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81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ntv489/Dropbox (GloriamGroup)/GPCRDB_Project_Alignments_and_Similarities/"/>
    </mc:Choice>
  </mc:AlternateContent>
  <bookViews>
    <workbookView xWindow="1000" yWindow="460" windowWidth="32600" windowHeight="20540" tabRatio="500"/>
  </bookViews>
  <sheets>
    <sheet name="SegEnds_Xtal_Prot#" sheetId="1" r:id="rId1"/>
    <sheet name="SegEnds_Xtal_BW#" sheetId="2" r:id="rId2"/>
    <sheet name="ICL3_classA" sheetId="3" r:id="rId3"/>
    <sheet name="ICL3_classB" sheetId="13" r:id="rId4"/>
    <sheet name="ICL3_classF" sheetId="14" r:id="rId5"/>
    <sheet name="SegEnds_NonXtal_BW#" sheetId="4" r:id="rId6"/>
    <sheet name="SegEnds_NonXtal_Prot#" sheetId="5" r:id="rId7"/>
    <sheet name="Bulges_Constr_NonXtal_GPCRdb#" sheetId="6" r:id="rId8"/>
    <sheet name="Seqs" sheetId="7" r:id="rId9"/>
    <sheet name="Seqs4TemplSearch" sheetId="8" r:id="rId10"/>
    <sheet name="Xtal_Templ" sheetId="9" r:id="rId11"/>
    <sheet name="Classification" sheetId="10" r:id="rId12"/>
    <sheet name="OLD-Templates_ICL3" sheetId="11" r:id="rId13"/>
    <sheet name="SegLen" sheetId="12" r:id="rId14"/>
  </sheets>
  <definedNames>
    <definedName name="_xlnm._FilterDatabase" localSheetId="7" hidden="1">'Bulges_Constr_NonXtal_GPCRdb#'!$A$1:$AE$411</definedName>
    <definedName name="_xlnm._FilterDatabase" localSheetId="5" hidden="1">'SegEnds_NonXtal_BW#'!$A$1:$AL$411</definedName>
    <definedName name="_xlnm._FilterDatabase" localSheetId="0" hidden="1">'SegEnds_Xtal_Prot#'!$A$1:$CT$320</definedName>
    <definedName name="GPCRdb_alignment" localSheetId="8">Seqs!$A$413:$B$414</definedName>
    <definedName name="human_GPCR_fasta.fas" localSheetId="8">Seqs!$A$8:$B$411</definedName>
    <definedName name="xtal_templates_1" localSheetId="10">Xtal_Templ!$A$2:$B$411</definedName>
    <definedName name="Z_3E3401AF_8459_8641_BD70_AD04F80E86ED_.wvu.FilterData" localSheetId="7" hidden="1">'Bulges_Constr_NonXtal_GPCRdb#'!$A$1:$AE$411</definedName>
    <definedName name="Z_3E3401AF_8459_8641_BD70_AD04F80E86ED_.wvu.FilterData" localSheetId="5" hidden="1">'SegEnds_NonXtal_BW#'!$A$1:$AL$411</definedName>
    <definedName name="Z_3E3401AF_8459_8641_BD70_AD04F80E86ED_.wvu.FilterData" localSheetId="0" hidden="1">'SegEnds_Xtal_Prot#'!$A$1:$CT$320</definedName>
  </definedNames>
  <calcPr calcId="150001" concurrentCalc="0"/>
  <customWorkbookViews>
    <customWorkbookView name="Microsoft Office User - Personal View" guid="{3E3401AF-8459-8641-BD70-AD04F80E86ED}" mergeInterval="0" personalView="1" maximized="1" windowWidth="1630" windowHeight="854" tabRatio="500" activeSheetId="5"/>
  </customWorkbookView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258" i="1" l="1"/>
  <c r="C64" i="2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AA64" i="2"/>
  <c r="AB64" i="2"/>
  <c r="E65" i="2"/>
  <c r="B251" i="4"/>
  <c r="E251" i="4"/>
  <c r="F226" i="5"/>
  <c r="D65" i="2"/>
  <c r="D251" i="4"/>
  <c r="E226" i="5"/>
  <c r="B250" i="4"/>
  <c r="E250" i="4"/>
  <c r="F225" i="5"/>
  <c r="D250" i="4"/>
  <c r="E225" i="5"/>
  <c r="AC64" i="2"/>
  <c r="I226" i="5"/>
  <c r="F65" i="2"/>
  <c r="F251" i="4"/>
  <c r="H226" i="5"/>
  <c r="I225" i="5"/>
  <c r="F250" i="4"/>
  <c r="H225" i="5"/>
  <c r="AD64" i="2"/>
  <c r="AE64" i="2"/>
  <c r="I65" i="2"/>
  <c r="I251" i="4"/>
  <c r="L226" i="5"/>
  <c r="H65" i="2"/>
  <c r="H251" i="4"/>
  <c r="K226" i="5"/>
  <c r="H250" i="4"/>
  <c r="K225" i="5"/>
  <c r="AF64" i="2"/>
  <c r="AG64" i="2"/>
  <c r="AH64" i="2"/>
  <c r="AI64" i="2"/>
  <c r="AJ64" i="2"/>
  <c r="O226" i="5"/>
  <c r="J65" i="2"/>
  <c r="J251" i="4"/>
  <c r="N226" i="5"/>
  <c r="AK64" i="2"/>
  <c r="M65" i="2"/>
  <c r="M251" i="4"/>
  <c r="R226" i="5"/>
  <c r="L65" i="2"/>
  <c r="L251" i="4"/>
  <c r="Q226" i="5"/>
  <c r="M250" i="4"/>
  <c r="R225" i="5"/>
  <c r="L250" i="4"/>
  <c r="Q225" i="5"/>
  <c r="AL64" i="2"/>
  <c r="AM64" i="2"/>
  <c r="AG171" i="5"/>
  <c r="AF171" i="5"/>
  <c r="B172" i="4"/>
  <c r="C61" i="2"/>
  <c r="C172" i="4"/>
  <c r="C171" i="5"/>
  <c r="D61" i="2"/>
  <c r="D172" i="4"/>
  <c r="E171" i="5"/>
  <c r="K171" i="5"/>
  <c r="L61" i="2"/>
  <c r="L172" i="4"/>
  <c r="Q171" i="5"/>
  <c r="M61" i="2"/>
  <c r="M172" i="4"/>
  <c r="R171" i="5"/>
  <c r="T171" i="5"/>
  <c r="U171" i="5"/>
  <c r="P61" i="2"/>
  <c r="P172" i="4"/>
  <c r="W171" i="5"/>
  <c r="Q61" i="2"/>
  <c r="Q172" i="4"/>
  <c r="X171" i="5"/>
  <c r="S61" i="2"/>
  <c r="AA171" i="5"/>
  <c r="AI172" i="4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T172" i="4" a="1"/>
  <c r="T172" i="4"/>
  <c r="AC171" i="5"/>
  <c r="H6" i="3"/>
  <c r="U172" i="4" a="1"/>
  <c r="U172" i="4"/>
  <c r="AD171" i="5"/>
  <c r="X61" i="2"/>
  <c r="X172" i="4"/>
  <c r="AI171" i="5"/>
  <c r="Y61" i="2"/>
  <c r="Y172" i="4"/>
  <c r="AJ171" i="5"/>
  <c r="Z61" i="2"/>
  <c r="Z172" i="4"/>
  <c r="AL171" i="5"/>
  <c r="AN171" i="5"/>
  <c r="A140" i="1"/>
  <c r="D140" i="1"/>
  <c r="F140" i="1"/>
  <c r="H140" i="1"/>
  <c r="J140" i="1"/>
  <c r="L140" i="1"/>
  <c r="N140" i="1"/>
  <c r="P140" i="1"/>
  <c r="R140" i="1"/>
  <c r="T140" i="1"/>
  <c r="V140" i="1"/>
  <c r="X140" i="1"/>
  <c r="Z140" i="1"/>
  <c r="AB140" i="1"/>
  <c r="AD140" i="1"/>
  <c r="AF140" i="1"/>
  <c r="AH140" i="1"/>
  <c r="AJ140" i="1"/>
  <c r="AL140" i="1"/>
  <c r="AN140" i="1"/>
  <c r="AP140" i="1"/>
  <c r="AR140" i="1"/>
  <c r="AT140" i="1"/>
  <c r="AV140" i="1"/>
  <c r="AX140" i="1"/>
  <c r="AZ140" i="1"/>
  <c r="BA140" i="1"/>
  <c r="BB140" i="1"/>
  <c r="CH140" i="1"/>
  <c r="CI140" i="1"/>
  <c r="CJ140" i="1"/>
  <c r="CK140" i="1"/>
  <c r="CL140" i="1"/>
  <c r="CM140" i="1"/>
  <c r="CN140" i="1"/>
  <c r="CO140" i="1"/>
  <c r="CP140" i="1"/>
  <c r="CQ140" i="1"/>
  <c r="CR140" i="1"/>
  <c r="CS140" i="1"/>
  <c r="BV140" i="1"/>
  <c r="BW140" i="1"/>
  <c r="BX140" i="1"/>
  <c r="BY140" i="1"/>
  <c r="BZ140" i="1"/>
  <c r="CA140" i="1"/>
  <c r="CB140" i="1"/>
  <c r="CC140" i="1"/>
  <c r="CD140" i="1"/>
  <c r="CE140" i="1"/>
  <c r="CF140" i="1"/>
  <c r="CG140" i="1"/>
  <c r="BC140" i="1"/>
  <c r="CT140" i="1"/>
  <c r="AD78" i="5"/>
  <c r="AI48" i="4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T48" i="4" a="1"/>
  <c r="T48" i="4"/>
  <c r="AC78" i="5"/>
  <c r="AI56" i="4"/>
  <c r="H10" i="3"/>
  <c r="U56" i="4" a="1"/>
  <c r="U56" i="4"/>
  <c r="AD85" i="5"/>
  <c r="T56" i="4" a="1"/>
  <c r="T56" i="4"/>
  <c r="AC85" i="5"/>
  <c r="A141" i="1"/>
  <c r="D141" i="1"/>
  <c r="F141" i="1"/>
  <c r="H141" i="1"/>
  <c r="J141" i="1"/>
  <c r="L141" i="1"/>
  <c r="N141" i="1"/>
  <c r="P141" i="1"/>
  <c r="R141" i="1"/>
  <c r="T141" i="1"/>
  <c r="V141" i="1"/>
  <c r="X141" i="1"/>
  <c r="Z141" i="1"/>
  <c r="AB141" i="1"/>
  <c r="AD141" i="1"/>
  <c r="AF141" i="1"/>
  <c r="AH141" i="1"/>
  <c r="AJ141" i="1"/>
  <c r="AL141" i="1"/>
  <c r="AN141" i="1"/>
  <c r="AP141" i="1"/>
  <c r="AR141" i="1"/>
  <c r="AT141" i="1"/>
  <c r="AV141" i="1"/>
  <c r="AX141" i="1"/>
  <c r="AZ141" i="1"/>
  <c r="BA141" i="1"/>
  <c r="BB141" i="1"/>
  <c r="CH141" i="1"/>
  <c r="CI141" i="1"/>
  <c r="CJ141" i="1"/>
  <c r="CK141" i="1"/>
  <c r="CL141" i="1"/>
  <c r="CM141" i="1"/>
  <c r="CN141" i="1"/>
  <c r="CO141" i="1"/>
  <c r="CP141" i="1"/>
  <c r="CQ141" i="1"/>
  <c r="CR141" i="1"/>
  <c r="CS141" i="1"/>
  <c r="BV141" i="1"/>
  <c r="BW141" i="1"/>
  <c r="BX141" i="1"/>
  <c r="BY141" i="1"/>
  <c r="BZ141" i="1"/>
  <c r="CA141" i="1"/>
  <c r="CB141" i="1"/>
  <c r="CC141" i="1"/>
  <c r="CD141" i="1"/>
  <c r="CE141" i="1"/>
  <c r="CF141" i="1"/>
  <c r="CG141" i="1"/>
  <c r="BC141" i="1"/>
  <c r="CT141" i="1"/>
  <c r="A260" i="1"/>
  <c r="D260" i="1"/>
  <c r="F260" i="1"/>
  <c r="H260" i="1"/>
  <c r="J260" i="1"/>
  <c r="L260" i="1"/>
  <c r="N260" i="1"/>
  <c r="P260" i="1"/>
  <c r="R260" i="1"/>
  <c r="T260" i="1"/>
  <c r="V260" i="1"/>
  <c r="X260" i="1"/>
  <c r="Z260" i="1"/>
  <c r="AB260" i="1"/>
  <c r="AD260" i="1"/>
  <c r="AF260" i="1"/>
  <c r="AH260" i="1"/>
  <c r="AJ260" i="1"/>
  <c r="AL260" i="1"/>
  <c r="AN260" i="1"/>
  <c r="AP260" i="1"/>
  <c r="AR260" i="1"/>
  <c r="AT260" i="1"/>
  <c r="AV260" i="1"/>
  <c r="AX260" i="1"/>
  <c r="AZ260" i="1"/>
  <c r="BA260" i="1"/>
  <c r="BB260" i="1"/>
  <c r="CH260" i="1"/>
  <c r="CI260" i="1"/>
  <c r="CJ260" i="1"/>
  <c r="CK260" i="1"/>
  <c r="CL260" i="1"/>
  <c r="CM260" i="1"/>
  <c r="CN260" i="1"/>
  <c r="CO260" i="1"/>
  <c r="CP260" i="1"/>
  <c r="CQ260" i="1"/>
  <c r="CR260" i="1"/>
  <c r="CS260" i="1"/>
  <c r="BV260" i="1"/>
  <c r="BW260" i="1"/>
  <c r="BX260" i="1"/>
  <c r="BY260" i="1"/>
  <c r="BZ260" i="1"/>
  <c r="CA260" i="1"/>
  <c r="CB260" i="1"/>
  <c r="CC260" i="1"/>
  <c r="CD260" i="1"/>
  <c r="CE260" i="1"/>
  <c r="CF260" i="1"/>
  <c r="CG260" i="1"/>
  <c r="BC260" i="1"/>
  <c r="CT260" i="1"/>
  <c r="A259" i="1"/>
  <c r="D259" i="1"/>
  <c r="F259" i="1"/>
  <c r="H259" i="1"/>
  <c r="J259" i="1"/>
  <c r="L259" i="1"/>
  <c r="N259" i="1"/>
  <c r="P259" i="1"/>
  <c r="R259" i="1"/>
  <c r="T259" i="1"/>
  <c r="V259" i="1"/>
  <c r="X259" i="1"/>
  <c r="Z259" i="1"/>
  <c r="AB259" i="1"/>
  <c r="AD259" i="1"/>
  <c r="AF259" i="1"/>
  <c r="AH259" i="1"/>
  <c r="AJ259" i="1"/>
  <c r="AL259" i="1"/>
  <c r="AN259" i="1"/>
  <c r="AP259" i="1"/>
  <c r="AR259" i="1"/>
  <c r="AT259" i="1"/>
  <c r="AV259" i="1"/>
  <c r="AX259" i="1"/>
  <c r="AZ259" i="1"/>
  <c r="BA259" i="1"/>
  <c r="BB259" i="1"/>
  <c r="CH259" i="1"/>
  <c r="CI259" i="1"/>
  <c r="CJ259" i="1"/>
  <c r="CK259" i="1"/>
  <c r="CL259" i="1"/>
  <c r="CM259" i="1"/>
  <c r="CN259" i="1"/>
  <c r="CO259" i="1"/>
  <c r="CP259" i="1"/>
  <c r="CQ259" i="1"/>
  <c r="CR259" i="1"/>
  <c r="CS259" i="1"/>
  <c r="BV259" i="1"/>
  <c r="BW259" i="1"/>
  <c r="BX259" i="1"/>
  <c r="BY259" i="1"/>
  <c r="BZ259" i="1"/>
  <c r="CA259" i="1"/>
  <c r="CB259" i="1"/>
  <c r="CC259" i="1"/>
  <c r="CD259" i="1"/>
  <c r="CE259" i="1"/>
  <c r="CF259" i="1"/>
  <c r="CG259" i="1"/>
  <c r="BC259" i="1"/>
  <c r="CT259" i="1"/>
  <c r="A261" i="1"/>
  <c r="D261" i="1"/>
  <c r="F261" i="1"/>
  <c r="H261" i="1"/>
  <c r="J261" i="1"/>
  <c r="L261" i="1"/>
  <c r="N261" i="1"/>
  <c r="P261" i="1"/>
  <c r="R261" i="1"/>
  <c r="T261" i="1"/>
  <c r="V261" i="1"/>
  <c r="X261" i="1"/>
  <c r="Z261" i="1"/>
  <c r="AB261" i="1"/>
  <c r="AD261" i="1"/>
  <c r="AF261" i="1"/>
  <c r="AH261" i="1"/>
  <c r="AJ261" i="1"/>
  <c r="AL261" i="1"/>
  <c r="AN261" i="1"/>
  <c r="AP261" i="1"/>
  <c r="AR261" i="1"/>
  <c r="AT261" i="1"/>
  <c r="AV261" i="1"/>
  <c r="AX261" i="1"/>
  <c r="AZ261" i="1"/>
  <c r="BA261" i="1"/>
  <c r="BB261" i="1"/>
  <c r="CH261" i="1"/>
  <c r="CI261" i="1"/>
  <c r="CJ261" i="1"/>
  <c r="CK261" i="1"/>
  <c r="CL261" i="1"/>
  <c r="CM261" i="1"/>
  <c r="CN261" i="1"/>
  <c r="CO261" i="1"/>
  <c r="CP261" i="1"/>
  <c r="CQ261" i="1"/>
  <c r="CR261" i="1"/>
  <c r="CS261" i="1"/>
  <c r="BV261" i="1"/>
  <c r="BW261" i="1"/>
  <c r="BX261" i="1"/>
  <c r="BY261" i="1"/>
  <c r="BZ261" i="1"/>
  <c r="CA261" i="1"/>
  <c r="CB261" i="1"/>
  <c r="CC261" i="1"/>
  <c r="CD261" i="1"/>
  <c r="CE261" i="1"/>
  <c r="CF261" i="1"/>
  <c r="CG261" i="1"/>
  <c r="BC261" i="1"/>
  <c r="CT261" i="1"/>
  <c r="A264" i="1"/>
  <c r="D264" i="1"/>
  <c r="F264" i="1"/>
  <c r="H264" i="1"/>
  <c r="J264" i="1"/>
  <c r="L264" i="1"/>
  <c r="N264" i="1"/>
  <c r="P264" i="1"/>
  <c r="R264" i="1"/>
  <c r="T264" i="1"/>
  <c r="V264" i="1"/>
  <c r="X264" i="1"/>
  <c r="Z264" i="1"/>
  <c r="AB264" i="1"/>
  <c r="AD264" i="1"/>
  <c r="AF264" i="1"/>
  <c r="AH264" i="1"/>
  <c r="AJ264" i="1"/>
  <c r="AL264" i="1"/>
  <c r="AN264" i="1"/>
  <c r="AP264" i="1"/>
  <c r="AR264" i="1"/>
  <c r="AT264" i="1"/>
  <c r="AV264" i="1"/>
  <c r="AX264" i="1"/>
  <c r="AZ264" i="1"/>
  <c r="BA264" i="1"/>
  <c r="BB264" i="1"/>
  <c r="CH264" i="1"/>
  <c r="CI264" i="1"/>
  <c r="CJ264" i="1"/>
  <c r="CK264" i="1"/>
  <c r="CL264" i="1"/>
  <c r="CM264" i="1"/>
  <c r="CN264" i="1"/>
  <c r="CO264" i="1"/>
  <c r="CP264" i="1"/>
  <c r="CQ264" i="1"/>
  <c r="CR264" i="1"/>
  <c r="CS264" i="1"/>
  <c r="BV264" i="1"/>
  <c r="BW264" i="1"/>
  <c r="BX264" i="1"/>
  <c r="BY264" i="1"/>
  <c r="BZ264" i="1"/>
  <c r="CA264" i="1"/>
  <c r="CB264" i="1"/>
  <c r="CC264" i="1"/>
  <c r="CD264" i="1"/>
  <c r="CE264" i="1"/>
  <c r="CF264" i="1"/>
  <c r="CG264" i="1"/>
  <c r="BC264" i="1"/>
  <c r="CT264" i="1"/>
  <c r="A2" i="1"/>
  <c r="A3" i="1"/>
  <c r="A4" i="1"/>
  <c r="A5" i="1"/>
  <c r="D2" i="1"/>
  <c r="F2" i="1"/>
  <c r="H2" i="1"/>
  <c r="J2" i="1"/>
  <c r="L2" i="1"/>
  <c r="N2" i="1"/>
  <c r="P2" i="1"/>
  <c r="R2" i="1"/>
  <c r="T2" i="1"/>
  <c r="V2" i="1"/>
  <c r="X2" i="1"/>
  <c r="Z2" i="1"/>
  <c r="AB2" i="1"/>
  <c r="AD2" i="1"/>
  <c r="AF2" i="1"/>
  <c r="AH2" i="1"/>
  <c r="AJ2" i="1"/>
  <c r="AL2" i="1"/>
  <c r="AN2" i="1"/>
  <c r="AP2" i="1"/>
  <c r="AR2" i="1"/>
  <c r="AT2" i="1"/>
  <c r="AV2" i="1"/>
  <c r="AX2" i="1"/>
  <c r="D3" i="1"/>
  <c r="F3" i="1"/>
  <c r="H3" i="1"/>
  <c r="J3" i="1"/>
  <c r="L3" i="1"/>
  <c r="N3" i="1"/>
  <c r="P3" i="1"/>
  <c r="R3" i="1"/>
  <c r="T3" i="1"/>
  <c r="V3" i="1"/>
  <c r="X3" i="1"/>
  <c r="Z3" i="1"/>
  <c r="AB3" i="1"/>
  <c r="AD3" i="1"/>
  <c r="AF3" i="1"/>
  <c r="AH3" i="1"/>
  <c r="AJ3" i="1"/>
  <c r="AL3" i="1"/>
  <c r="AN3" i="1"/>
  <c r="AP3" i="1"/>
  <c r="AR3" i="1"/>
  <c r="AT3" i="1"/>
  <c r="AV3" i="1"/>
  <c r="AX3" i="1"/>
  <c r="D4" i="1"/>
  <c r="F4" i="1"/>
  <c r="H4" i="1"/>
  <c r="J4" i="1"/>
  <c r="L4" i="1"/>
  <c r="N4" i="1"/>
  <c r="P4" i="1"/>
  <c r="R4" i="1"/>
  <c r="T4" i="1"/>
  <c r="V4" i="1"/>
  <c r="X4" i="1"/>
  <c r="Z4" i="1"/>
  <c r="AB4" i="1"/>
  <c r="AD4" i="1"/>
  <c r="AF4" i="1"/>
  <c r="AH4" i="1"/>
  <c r="AJ4" i="1"/>
  <c r="AL4" i="1"/>
  <c r="AN4" i="1"/>
  <c r="AP4" i="1"/>
  <c r="AR4" i="1"/>
  <c r="AT4" i="1"/>
  <c r="AV4" i="1"/>
  <c r="AX4" i="1"/>
  <c r="D5" i="1"/>
  <c r="F5" i="1"/>
  <c r="H5" i="1"/>
  <c r="J5" i="1"/>
  <c r="L5" i="1"/>
  <c r="N5" i="1"/>
  <c r="P5" i="1"/>
  <c r="R5" i="1"/>
  <c r="T5" i="1"/>
  <c r="V5" i="1"/>
  <c r="X5" i="1"/>
  <c r="Z5" i="1"/>
  <c r="AB5" i="1"/>
  <c r="AD5" i="1"/>
  <c r="AF5" i="1"/>
  <c r="AH5" i="1"/>
  <c r="AJ5" i="1"/>
  <c r="AL5" i="1"/>
  <c r="AN5" i="1"/>
  <c r="AP5" i="1"/>
  <c r="AR5" i="1"/>
  <c r="AT5" i="1"/>
  <c r="AV5" i="1"/>
  <c r="AX5" i="1"/>
  <c r="A6" i="1"/>
  <c r="D6" i="1"/>
  <c r="F6" i="1"/>
  <c r="H6" i="1"/>
  <c r="J6" i="1"/>
  <c r="L6" i="1"/>
  <c r="N6" i="1"/>
  <c r="P6" i="1"/>
  <c r="R6" i="1"/>
  <c r="T6" i="1"/>
  <c r="V6" i="1"/>
  <c r="X6" i="1"/>
  <c r="Z6" i="1"/>
  <c r="AB6" i="1"/>
  <c r="AD6" i="1"/>
  <c r="AF6" i="1"/>
  <c r="AH6" i="1"/>
  <c r="AJ6" i="1"/>
  <c r="AL6" i="1"/>
  <c r="AN6" i="1"/>
  <c r="AP6" i="1"/>
  <c r="AR6" i="1"/>
  <c r="AT6" i="1"/>
  <c r="AV6" i="1"/>
  <c r="AX6" i="1"/>
  <c r="A7" i="1"/>
  <c r="D7" i="1"/>
  <c r="F7" i="1"/>
  <c r="H7" i="1"/>
  <c r="J7" i="1"/>
  <c r="L7" i="1"/>
  <c r="N7" i="1"/>
  <c r="P7" i="1"/>
  <c r="R7" i="1"/>
  <c r="T7" i="1"/>
  <c r="V7" i="1"/>
  <c r="X7" i="1"/>
  <c r="Z7" i="1"/>
  <c r="AB7" i="1"/>
  <c r="AD7" i="1"/>
  <c r="AF7" i="1"/>
  <c r="AH7" i="1"/>
  <c r="AJ7" i="1"/>
  <c r="AL7" i="1"/>
  <c r="AN7" i="1"/>
  <c r="AP7" i="1"/>
  <c r="AR7" i="1"/>
  <c r="AT7" i="1"/>
  <c r="AV7" i="1"/>
  <c r="AX7" i="1"/>
  <c r="A8" i="1"/>
  <c r="D8" i="1"/>
  <c r="F8" i="1"/>
  <c r="H8" i="1"/>
  <c r="J8" i="1"/>
  <c r="L8" i="1"/>
  <c r="N8" i="1"/>
  <c r="P8" i="1"/>
  <c r="R8" i="1"/>
  <c r="T8" i="1"/>
  <c r="V8" i="1"/>
  <c r="X8" i="1"/>
  <c r="Z8" i="1"/>
  <c r="AB8" i="1"/>
  <c r="AD8" i="1"/>
  <c r="AF8" i="1"/>
  <c r="AH8" i="1"/>
  <c r="AJ8" i="1"/>
  <c r="AL8" i="1"/>
  <c r="AN8" i="1"/>
  <c r="AP8" i="1"/>
  <c r="AR8" i="1"/>
  <c r="AT8" i="1"/>
  <c r="AV8" i="1"/>
  <c r="AX8" i="1"/>
  <c r="A9" i="1"/>
  <c r="D9" i="1"/>
  <c r="F9" i="1"/>
  <c r="H9" i="1"/>
  <c r="J9" i="1"/>
  <c r="L9" i="1"/>
  <c r="N9" i="1"/>
  <c r="P9" i="1"/>
  <c r="R9" i="1"/>
  <c r="T9" i="1"/>
  <c r="V9" i="1"/>
  <c r="X9" i="1"/>
  <c r="Z9" i="1"/>
  <c r="AB9" i="1"/>
  <c r="AD9" i="1"/>
  <c r="AF9" i="1"/>
  <c r="AH9" i="1"/>
  <c r="AJ9" i="1"/>
  <c r="AL9" i="1"/>
  <c r="AN9" i="1"/>
  <c r="AP9" i="1"/>
  <c r="AR9" i="1"/>
  <c r="AT9" i="1"/>
  <c r="AV9" i="1"/>
  <c r="AX9" i="1"/>
  <c r="A10" i="1"/>
  <c r="D10" i="1"/>
  <c r="F10" i="1"/>
  <c r="H10" i="1"/>
  <c r="J10" i="1"/>
  <c r="L10" i="1"/>
  <c r="N10" i="1"/>
  <c r="P10" i="1"/>
  <c r="R10" i="1"/>
  <c r="T10" i="1"/>
  <c r="V10" i="1"/>
  <c r="X10" i="1"/>
  <c r="Z10" i="1"/>
  <c r="AB10" i="1"/>
  <c r="AD10" i="1"/>
  <c r="AF10" i="1"/>
  <c r="AH10" i="1"/>
  <c r="AJ10" i="1"/>
  <c r="AL10" i="1"/>
  <c r="AN10" i="1"/>
  <c r="AP10" i="1"/>
  <c r="AR10" i="1"/>
  <c r="AT10" i="1"/>
  <c r="AV10" i="1"/>
  <c r="AX10" i="1"/>
  <c r="A11" i="1"/>
  <c r="D11" i="1"/>
  <c r="F11" i="1"/>
  <c r="H11" i="1"/>
  <c r="J11" i="1"/>
  <c r="L11" i="1"/>
  <c r="N11" i="1"/>
  <c r="P11" i="1"/>
  <c r="R11" i="1"/>
  <c r="T11" i="1"/>
  <c r="V11" i="1"/>
  <c r="X11" i="1"/>
  <c r="Z11" i="1"/>
  <c r="AB11" i="1"/>
  <c r="AD11" i="1"/>
  <c r="AF11" i="1"/>
  <c r="AH11" i="1"/>
  <c r="AJ11" i="1"/>
  <c r="AL11" i="1"/>
  <c r="AN11" i="1"/>
  <c r="AP11" i="1"/>
  <c r="AR11" i="1"/>
  <c r="AT11" i="1"/>
  <c r="AV11" i="1"/>
  <c r="AX11" i="1"/>
  <c r="A12" i="1"/>
  <c r="D12" i="1"/>
  <c r="F12" i="1"/>
  <c r="H12" i="1"/>
  <c r="J12" i="1"/>
  <c r="L12" i="1"/>
  <c r="N12" i="1"/>
  <c r="P12" i="1"/>
  <c r="R12" i="1"/>
  <c r="T12" i="1"/>
  <c r="V12" i="1"/>
  <c r="X12" i="1"/>
  <c r="Z12" i="1"/>
  <c r="AB12" i="1"/>
  <c r="AD12" i="1"/>
  <c r="AF12" i="1"/>
  <c r="AH12" i="1"/>
  <c r="AJ12" i="1"/>
  <c r="AL12" i="1"/>
  <c r="AN12" i="1"/>
  <c r="AP12" i="1"/>
  <c r="AR12" i="1"/>
  <c r="AT12" i="1"/>
  <c r="AV12" i="1"/>
  <c r="AX12" i="1"/>
  <c r="A13" i="1"/>
  <c r="D13" i="1"/>
  <c r="F13" i="1"/>
  <c r="H13" i="1"/>
  <c r="J13" i="1"/>
  <c r="L13" i="1"/>
  <c r="N13" i="1"/>
  <c r="P13" i="1"/>
  <c r="R13" i="1"/>
  <c r="T13" i="1"/>
  <c r="V13" i="1"/>
  <c r="X13" i="1"/>
  <c r="Z13" i="1"/>
  <c r="AB13" i="1"/>
  <c r="AD13" i="1"/>
  <c r="AF13" i="1"/>
  <c r="AH13" i="1"/>
  <c r="AJ13" i="1"/>
  <c r="AL13" i="1"/>
  <c r="AN13" i="1"/>
  <c r="AP13" i="1"/>
  <c r="AR13" i="1"/>
  <c r="AT13" i="1"/>
  <c r="AV13" i="1"/>
  <c r="AX13" i="1"/>
  <c r="A14" i="1"/>
  <c r="D14" i="1"/>
  <c r="F14" i="1"/>
  <c r="H14" i="1"/>
  <c r="J14" i="1"/>
  <c r="L14" i="1"/>
  <c r="N14" i="1"/>
  <c r="P14" i="1"/>
  <c r="R14" i="1"/>
  <c r="T14" i="1"/>
  <c r="V14" i="1"/>
  <c r="X14" i="1"/>
  <c r="Z14" i="1"/>
  <c r="AB14" i="1"/>
  <c r="AD14" i="1"/>
  <c r="AF14" i="1"/>
  <c r="AH14" i="1"/>
  <c r="AJ14" i="1"/>
  <c r="AL14" i="1"/>
  <c r="AN14" i="1"/>
  <c r="AP14" i="1"/>
  <c r="AR14" i="1"/>
  <c r="AT14" i="1"/>
  <c r="AV14" i="1"/>
  <c r="AX14" i="1"/>
  <c r="A15" i="1"/>
  <c r="D15" i="1"/>
  <c r="F15" i="1"/>
  <c r="H15" i="1"/>
  <c r="J15" i="1"/>
  <c r="L15" i="1"/>
  <c r="N15" i="1"/>
  <c r="P15" i="1"/>
  <c r="R15" i="1"/>
  <c r="T15" i="1"/>
  <c r="V15" i="1"/>
  <c r="X15" i="1"/>
  <c r="Z15" i="1"/>
  <c r="AB15" i="1"/>
  <c r="AD15" i="1"/>
  <c r="AF15" i="1"/>
  <c r="AH15" i="1"/>
  <c r="AJ15" i="1"/>
  <c r="AL15" i="1"/>
  <c r="AN15" i="1"/>
  <c r="AP15" i="1"/>
  <c r="AR15" i="1"/>
  <c r="AT15" i="1"/>
  <c r="AV15" i="1"/>
  <c r="AX15" i="1"/>
  <c r="A16" i="1"/>
  <c r="D16" i="1"/>
  <c r="F16" i="1"/>
  <c r="H16" i="1"/>
  <c r="J16" i="1"/>
  <c r="L16" i="1"/>
  <c r="N16" i="1"/>
  <c r="P16" i="1"/>
  <c r="R16" i="1"/>
  <c r="T16" i="1"/>
  <c r="V16" i="1"/>
  <c r="X16" i="1"/>
  <c r="Z16" i="1"/>
  <c r="AB16" i="1"/>
  <c r="AD16" i="1"/>
  <c r="AF16" i="1"/>
  <c r="AH16" i="1"/>
  <c r="AJ16" i="1"/>
  <c r="AL16" i="1"/>
  <c r="AN16" i="1"/>
  <c r="AP16" i="1"/>
  <c r="AR16" i="1"/>
  <c r="AT16" i="1"/>
  <c r="AV16" i="1"/>
  <c r="AX16" i="1"/>
  <c r="A17" i="1"/>
  <c r="D17" i="1"/>
  <c r="F17" i="1"/>
  <c r="H17" i="1"/>
  <c r="J17" i="1"/>
  <c r="L17" i="1"/>
  <c r="N17" i="1"/>
  <c r="P17" i="1"/>
  <c r="R17" i="1"/>
  <c r="T17" i="1"/>
  <c r="V17" i="1"/>
  <c r="X17" i="1"/>
  <c r="Z17" i="1"/>
  <c r="AB17" i="1"/>
  <c r="AD17" i="1"/>
  <c r="AF17" i="1"/>
  <c r="AH17" i="1"/>
  <c r="AJ17" i="1"/>
  <c r="AL17" i="1"/>
  <c r="AN17" i="1"/>
  <c r="AP17" i="1"/>
  <c r="AR17" i="1"/>
  <c r="AT17" i="1"/>
  <c r="AV17" i="1"/>
  <c r="AX17" i="1"/>
  <c r="A18" i="1"/>
  <c r="D18" i="1"/>
  <c r="F18" i="1"/>
  <c r="H18" i="1"/>
  <c r="J18" i="1"/>
  <c r="L18" i="1"/>
  <c r="N18" i="1"/>
  <c r="P18" i="1"/>
  <c r="R18" i="1"/>
  <c r="T18" i="1"/>
  <c r="V18" i="1"/>
  <c r="X18" i="1"/>
  <c r="Z18" i="1"/>
  <c r="AB18" i="1"/>
  <c r="AD18" i="1"/>
  <c r="AF18" i="1"/>
  <c r="AH18" i="1"/>
  <c r="AJ18" i="1"/>
  <c r="AL18" i="1"/>
  <c r="AN18" i="1"/>
  <c r="AP18" i="1"/>
  <c r="AR18" i="1"/>
  <c r="AT18" i="1"/>
  <c r="AV18" i="1"/>
  <c r="AX18" i="1"/>
  <c r="A19" i="1"/>
  <c r="D19" i="1"/>
  <c r="F19" i="1"/>
  <c r="H19" i="1"/>
  <c r="J19" i="1"/>
  <c r="L19" i="1"/>
  <c r="N19" i="1"/>
  <c r="P19" i="1"/>
  <c r="R19" i="1"/>
  <c r="T19" i="1"/>
  <c r="V19" i="1"/>
  <c r="X19" i="1"/>
  <c r="Z19" i="1"/>
  <c r="AB19" i="1"/>
  <c r="AD19" i="1"/>
  <c r="AF19" i="1"/>
  <c r="AH19" i="1"/>
  <c r="AJ19" i="1"/>
  <c r="AL19" i="1"/>
  <c r="AN19" i="1"/>
  <c r="AP19" i="1"/>
  <c r="AR19" i="1"/>
  <c r="AT19" i="1"/>
  <c r="AV19" i="1"/>
  <c r="AX19" i="1"/>
  <c r="A20" i="1"/>
  <c r="D20" i="1"/>
  <c r="F20" i="1"/>
  <c r="H20" i="1"/>
  <c r="J20" i="1"/>
  <c r="L20" i="1"/>
  <c r="N20" i="1"/>
  <c r="P20" i="1"/>
  <c r="R20" i="1"/>
  <c r="T20" i="1"/>
  <c r="V20" i="1"/>
  <c r="X20" i="1"/>
  <c r="Z20" i="1"/>
  <c r="AB20" i="1"/>
  <c r="AD20" i="1"/>
  <c r="AF20" i="1"/>
  <c r="AH20" i="1"/>
  <c r="AJ20" i="1"/>
  <c r="AL20" i="1"/>
  <c r="AN20" i="1"/>
  <c r="AP20" i="1"/>
  <c r="AR20" i="1"/>
  <c r="AT20" i="1"/>
  <c r="AV20" i="1"/>
  <c r="AX20" i="1"/>
  <c r="A21" i="1"/>
  <c r="D21" i="1"/>
  <c r="F21" i="1"/>
  <c r="H21" i="1"/>
  <c r="J21" i="1"/>
  <c r="L21" i="1"/>
  <c r="N21" i="1"/>
  <c r="P21" i="1"/>
  <c r="R21" i="1"/>
  <c r="T21" i="1"/>
  <c r="V21" i="1"/>
  <c r="X21" i="1"/>
  <c r="Z21" i="1"/>
  <c r="AB21" i="1"/>
  <c r="AD21" i="1"/>
  <c r="AF21" i="1"/>
  <c r="AH21" i="1"/>
  <c r="AJ21" i="1"/>
  <c r="AL21" i="1"/>
  <c r="AN21" i="1"/>
  <c r="AP21" i="1"/>
  <c r="AR21" i="1"/>
  <c r="AT21" i="1"/>
  <c r="AV21" i="1"/>
  <c r="AX21" i="1"/>
  <c r="A22" i="1"/>
  <c r="D22" i="1"/>
  <c r="F22" i="1"/>
  <c r="H22" i="1"/>
  <c r="J22" i="1"/>
  <c r="L22" i="1"/>
  <c r="N22" i="1"/>
  <c r="P22" i="1"/>
  <c r="R22" i="1"/>
  <c r="T22" i="1"/>
  <c r="V22" i="1"/>
  <c r="X22" i="1"/>
  <c r="Z22" i="1"/>
  <c r="AB22" i="1"/>
  <c r="AD22" i="1"/>
  <c r="AF22" i="1"/>
  <c r="AH22" i="1"/>
  <c r="AJ22" i="1"/>
  <c r="AL22" i="1"/>
  <c r="AN22" i="1"/>
  <c r="AP22" i="1"/>
  <c r="AR22" i="1"/>
  <c r="AT22" i="1"/>
  <c r="AV22" i="1"/>
  <c r="AX22" i="1"/>
  <c r="A23" i="1"/>
  <c r="D23" i="1"/>
  <c r="F23" i="1"/>
  <c r="H23" i="1"/>
  <c r="J23" i="1"/>
  <c r="L23" i="1"/>
  <c r="N23" i="1"/>
  <c r="P23" i="1"/>
  <c r="R23" i="1"/>
  <c r="T23" i="1"/>
  <c r="V23" i="1"/>
  <c r="X23" i="1"/>
  <c r="Z23" i="1"/>
  <c r="AB23" i="1"/>
  <c r="AD23" i="1"/>
  <c r="AF23" i="1"/>
  <c r="AH23" i="1"/>
  <c r="AJ23" i="1"/>
  <c r="AL23" i="1"/>
  <c r="AN23" i="1"/>
  <c r="AP23" i="1"/>
  <c r="AR23" i="1"/>
  <c r="AT23" i="1"/>
  <c r="AV23" i="1"/>
  <c r="AX23" i="1"/>
  <c r="A24" i="1"/>
  <c r="D24" i="1"/>
  <c r="F24" i="1"/>
  <c r="H24" i="1"/>
  <c r="J24" i="1"/>
  <c r="L24" i="1"/>
  <c r="N24" i="1"/>
  <c r="P24" i="1"/>
  <c r="R24" i="1"/>
  <c r="T24" i="1"/>
  <c r="V24" i="1"/>
  <c r="X24" i="1"/>
  <c r="Z24" i="1"/>
  <c r="AB24" i="1"/>
  <c r="AD24" i="1"/>
  <c r="AF24" i="1"/>
  <c r="AH24" i="1"/>
  <c r="AJ24" i="1"/>
  <c r="AL24" i="1"/>
  <c r="AN24" i="1"/>
  <c r="AP24" i="1"/>
  <c r="AR24" i="1"/>
  <c r="AT24" i="1"/>
  <c r="AV24" i="1"/>
  <c r="AX24" i="1"/>
  <c r="A25" i="1"/>
  <c r="D25" i="1"/>
  <c r="F25" i="1"/>
  <c r="H25" i="1"/>
  <c r="J25" i="1"/>
  <c r="L25" i="1"/>
  <c r="N25" i="1"/>
  <c r="P25" i="1"/>
  <c r="R25" i="1"/>
  <c r="T25" i="1"/>
  <c r="V25" i="1"/>
  <c r="X25" i="1"/>
  <c r="Z25" i="1"/>
  <c r="AB25" i="1"/>
  <c r="AD25" i="1"/>
  <c r="AF25" i="1"/>
  <c r="AH25" i="1"/>
  <c r="AJ25" i="1"/>
  <c r="AL25" i="1"/>
  <c r="AN25" i="1"/>
  <c r="AP25" i="1"/>
  <c r="AR25" i="1"/>
  <c r="AT25" i="1"/>
  <c r="AV25" i="1"/>
  <c r="AX25" i="1"/>
  <c r="A26" i="1"/>
  <c r="D26" i="1"/>
  <c r="F26" i="1"/>
  <c r="H26" i="1"/>
  <c r="J26" i="1"/>
  <c r="L26" i="1"/>
  <c r="N26" i="1"/>
  <c r="P26" i="1"/>
  <c r="R26" i="1"/>
  <c r="T26" i="1"/>
  <c r="V26" i="1"/>
  <c r="X26" i="1"/>
  <c r="Z26" i="1"/>
  <c r="AB26" i="1"/>
  <c r="AD26" i="1"/>
  <c r="AF26" i="1"/>
  <c r="AH26" i="1"/>
  <c r="AJ26" i="1"/>
  <c r="AL26" i="1"/>
  <c r="AN26" i="1"/>
  <c r="AP26" i="1"/>
  <c r="AR26" i="1"/>
  <c r="AT26" i="1"/>
  <c r="AV26" i="1"/>
  <c r="AX26" i="1"/>
  <c r="A27" i="1"/>
  <c r="D27" i="1"/>
  <c r="F27" i="1"/>
  <c r="H27" i="1"/>
  <c r="J27" i="1"/>
  <c r="L27" i="1"/>
  <c r="N27" i="1"/>
  <c r="P27" i="1"/>
  <c r="R27" i="1"/>
  <c r="T27" i="1"/>
  <c r="V27" i="1"/>
  <c r="X27" i="1"/>
  <c r="Z27" i="1"/>
  <c r="AB27" i="1"/>
  <c r="AD27" i="1"/>
  <c r="AF27" i="1"/>
  <c r="AH27" i="1"/>
  <c r="AJ27" i="1"/>
  <c r="AL27" i="1"/>
  <c r="AN27" i="1"/>
  <c r="AP27" i="1"/>
  <c r="AR27" i="1"/>
  <c r="AT27" i="1"/>
  <c r="AV27" i="1"/>
  <c r="AX27" i="1"/>
  <c r="A28" i="1"/>
  <c r="D28" i="1"/>
  <c r="F28" i="1"/>
  <c r="H28" i="1"/>
  <c r="J28" i="1"/>
  <c r="L28" i="1"/>
  <c r="N28" i="1"/>
  <c r="P28" i="1"/>
  <c r="R28" i="1"/>
  <c r="T28" i="1"/>
  <c r="V28" i="1"/>
  <c r="X28" i="1"/>
  <c r="Z28" i="1"/>
  <c r="AB28" i="1"/>
  <c r="AD28" i="1"/>
  <c r="AF28" i="1"/>
  <c r="AH28" i="1"/>
  <c r="AJ28" i="1"/>
  <c r="AL28" i="1"/>
  <c r="AN28" i="1"/>
  <c r="AP28" i="1"/>
  <c r="AR28" i="1"/>
  <c r="AT28" i="1"/>
  <c r="AV28" i="1"/>
  <c r="AX28" i="1"/>
  <c r="A29" i="1"/>
  <c r="D29" i="1"/>
  <c r="F29" i="1"/>
  <c r="H29" i="1"/>
  <c r="J29" i="1"/>
  <c r="L29" i="1"/>
  <c r="N29" i="1"/>
  <c r="P29" i="1"/>
  <c r="R29" i="1"/>
  <c r="T29" i="1"/>
  <c r="V29" i="1"/>
  <c r="X29" i="1"/>
  <c r="Z29" i="1"/>
  <c r="AB29" i="1"/>
  <c r="AD29" i="1"/>
  <c r="AF29" i="1"/>
  <c r="AH29" i="1"/>
  <c r="AJ29" i="1"/>
  <c r="AL29" i="1"/>
  <c r="AN29" i="1"/>
  <c r="AP29" i="1"/>
  <c r="AR29" i="1"/>
  <c r="AT29" i="1"/>
  <c r="AV29" i="1"/>
  <c r="AX29" i="1"/>
  <c r="A30" i="1"/>
  <c r="D30" i="1"/>
  <c r="F30" i="1"/>
  <c r="H30" i="1"/>
  <c r="J30" i="1"/>
  <c r="L30" i="1"/>
  <c r="N30" i="1"/>
  <c r="P30" i="1"/>
  <c r="R30" i="1"/>
  <c r="T30" i="1"/>
  <c r="V30" i="1"/>
  <c r="X30" i="1"/>
  <c r="Z30" i="1"/>
  <c r="AB30" i="1"/>
  <c r="AD30" i="1"/>
  <c r="AF30" i="1"/>
  <c r="AH30" i="1"/>
  <c r="AJ30" i="1"/>
  <c r="AL30" i="1"/>
  <c r="AN30" i="1"/>
  <c r="AP30" i="1"/>
  <c r="AR30" i="1"/>
  <c r="AT30" i="1"/>
  <c r="AV30" i="1"/>
  <c r="AX30" i="1"/>
  <c r="A31" i="1"/>
  <c r="D31" i="1"/>
  <c r="F31" i="1"/>
  <c r="H31" i="1"/>
  <c r="J31" i="1"/>
  <c r="L31" i="1"/>
  <c r="N31" i="1"/>
  <c r="P31" i="1"/>
  <c r="R31" i="1"/>
  <c r="T31" i="1"/>
  <c r="V31" i="1"/>
  <c r="X31" i="1"/>
  <c r="Z31" i="1"/>
  <c r="AB31" i="1"/>
  <c r="AD31" i="1"/>
  <c r="AF31" i="1"/>
  <c r="AH31" i="1"/>
  <c r="AJ31" i="1"/>
  <c r="AL31" i="1"/>
  <c r="AN31" i="1"/>
  <c r="AP31" i="1"/>
  <c r="AR31" i="1"/>
  <c r="AT31" i="1"/>
  <c r="AV31" i="1"/>
  <c r="AX31" i="1"/>
  <c r="A32" i="1"/>
  <c r="D32" i="1"/>
  <c r="F32" i="1"/>
  <c r="H32" i="1"/>
  <c r="J32" i="1"/>
  <c r="L32" i="1"/>
  <c r="N32" i="1"/>
  <c r="P32" i="1"/>
  <c r="R32" i="1"/>
  <c r="T32" i="1"/>
  <c r="V32" i="1"/>
  <c r="X32" i="1"/>
  <c r="Z32" i="1"/>
  <c r="AB32" i="1"/>
  <c r="AD32" i="1"/>
  <c r="AF32" i="1"/>
  <c r="AH32" i="1"/>
  <c r="AJ32" i="1"/>
  <c r="AL32" i="1"/>
  <c r="AN32" i="1"/>
  <c r="AP32" i="1"/>
  <c r="AR32" i="1"/>
  <c r="AT32" i="1"/>
  <c r="AV32" i="1"/>
  <c r="AX32" i="1"/>
  <c r="A33" i="1"/>
  <c r="D33" i="1"/>
  <c r="F33" i="1"/>
  <c r="H33" i="1"/>
  <c r="J33" i="1"/>
  <c r="L33" i="1"/>
  <c r="N33" i="1"/>
  <c r="P33" i="1"/>
  <c r="R33" i="1"/>
  <c r="T33" i="1"/>
  <c r="V33" i="1"/>
  <c r="X33" i="1"/>
  <c r="Z33" i="1"/>
  <c r="AB33" i="1"/>
  <c r="AD33" i="1"/>
  <c r="AF33" i="1"/>
  <c r="AH33" i="1"/>
  <c r="AJ33" i="1"/>
  <c r="AL33" i="1"/>
  <c r="AN33" i="1"/>
  <c r="AP33" i="1"/>
  <c r="AR33" i="1"/>
  <c r="AT33" i="1"/>
  <c r="AV33" i="1"/>
  <c r="AX33" i="1"/>
  <c r="A34" i="1"/>
  <c r="D34" i="1"/>
  <c r="F34" i="1"/>
  <c r="H34" i="1"/>
  <c r="J34" i="1"/>
  <c r="L34" i="1"/>
  <c r="N34" i="1"/>
  <c r="P34" i="1"/>
  <c r="R34" i="1"/>
  <c r="T34" i="1"/>
  <c r="V34" i="1"/>
  <c r="X34" i="1"/>
  <c r="Z34" i="1"/>
  <c r="AB34" i="1"/>
  <c r="AD34" i="1"/>
  <c r="AF34" i="1"/>
  <c r="AH34" i="1"/>
  <c r="AJ34" i="1"/>
  <c r="AL34" i="1"/>
  <c r="AN34" i="1"/>
  <c r="AP34" i="1"/>
  <c r="AR34" i="1"/>
  <c r="AT34" i="1"/>
  <c r="AV34" i="1"/>
  <c r="AX34" i="1"/>
  <c r="A35" i="1"/>
  <c r="D35" i="1"/>
  <c r="F35" i="1"/>
  <c r="H35" i="1"/>
  <c r="J35" i="1"/>
  <c r="L35" i="1"/>
  <c r="N35" i="1"/>
  <c r="P35" i="1"/>
  <c r="R35" i="1"/>
  <c r="T35" i="1"/>
  <c r="V35" i="1"/>
  <c r="X35" i="1"/>
  <c r="Z35" i="1"/>
  <c r="AB35" i="1"/>
  <c r="AD35" i="1"/>
  <c r="AF35" i="1"/>
  <c r="AH35" i="1"/>
  <c r="AJ35" i="1"/>
  <c r="AL35" i="1"/>
  <c r="AN35" i="1"/>
  <c r="AP35" i="1"/>
  <c r="AR35" i="1"/>
  <c r="AT35" i="1"/>
  <c r="AV35" i="1"/>
  <c r="AX35" i="1"/>
  <c r="A36" i="1"/>
  <c r="D36" i="1"/>
  <c r="F36" i="1"/>
  <c r="H36" i="1"/>
  <c r="J36" i="1"/>
  <c r="L36" i="1"/>
  <c r="N36" i="1"/>
  <c r="P36" i="1"/>
  <c r="R36" i="1"/>
  <c r="T36" i="1"/>
  <c r="V36" i="1"/>
  <c r="X36" i="1"/>
  <c r="Z36" i="1"/>
  <c r="AB36" i="1"/>
  <c r="AD36" i="1"/>
  <c r="AF36" i="1"/>
  <c r="AH36" i="1"/>
  <c r="AJ36" i="1"/>
  <c r="AL36" i="1"/>
  <c r="AN36" i="1"/>
  <c r="AP36" i="1"/>
  <c r="AR36" i="1"/>
  <c r="AT36" i="1"/>
  <c r="AV36" i="1"/>
  <c r="AX36" i="1"/>
  <c r="A37" i="1"/>
  <c r="D37" i="1"/>
  <c r="F37" i="1"/>
  <c r="H37" i="1"/>
  <c r="J37" i="1"/>
  <c r="L37" i="1"/>
  <c r="N37" i="1"/>
  <c r="P37" i="1"/>
  <c r="R37" i="1"/>
  <c r="T37" i="1"/>
  <c r="V37" i="1"/>
  <c r="X37" i="1"/>
  <c r="Z37" i="1"/>
  <c r="AB37" i="1"/>
  <c r="AD37" i="1"/>
  <c r="AF37" i="1"/>
  <c r="AH37" i="1"/>
  <c r="AJ37" i="1"/>
  <c r="AL37" i="1"/>
  <c r="AN37" i="1"/>
  <c r="AP37" i="1"/>
  <c r="AR37" i="1"/>
  <c r="AT37" i="1"/>
  <c r="AV37" i="1"/>
  <c r="AX37" i="1"/>
  <c r="A38" i="1"/>
  <c r="D38" i="1"/>
  <c r="F38" i="1"/>
  <c r="H38" i="1"/>
  <c r="J38" i="1"/>
  <c r="L38" i="1"/>
  <c r="N38" i="1"/>
  <c r="P38" i="1"/>
  <c r="R38" i="1"/>
  <c r="T38" i="1"/>
  <c r="V38" i="1"/>
  <c r="X38" i="1"/>
  <c r="Z38" i="1"/>
  <c r="AB38" i="1"/>
  <c r="AD38" i="1"/>
  <c r="AF38" i="1"/>
  <c r="AH38" i="1"/>
  <c r="AJ38" i="1"/>
  <c r="AL38" i="1"/>
  <c r="AN38" i="1"/>
  <c r="AP38" i="1"/>
  <c r="AR38" i="1"/>
  <c r="AT38" i="1"/>
  <c r="AV38" i="1"/>
  <c r="AX38" i="1"/>
  <c r="A39" i="1"/>
  <c r="D39" i="1"/>
  <c r="F39" i="1"/>
  <c r="H39" i="1"/>
  <c r="J39" i="1"/>
  <c r="L39" i="1"/>
  <c r="N39" i="1"/>
  <c r="P39" i="1"/>
  <c r="R39" i="1"/>
  <c r="T39" i="1"/>
  <c r="V39" i="1"/>
  <c r="X39" i="1"/>
  <c r="Z39" i="1"/>
  <c r="AB39" i="1"/>
  <c r="AD39" i="1"/>
  <c r="AF39" i="1"/>
  <c r="AH39" i="1"/>
  <c r="AJ39" i="1"/>
  <c r="AL39" i="1"/>
  <c r="AN39" i="1"/>
  <c r="AP39" i="1"/>
  <c r="AR39" i="1"/>
  <c r="AT39" i="1"/>
  <c r="AV39" i="1"/>
  <c r="AX39" i="1"/>
  <c r="A40" i="1"/>
  <c r="D40" i="1"/>
  <c r="F40" i="1"/>
  <c r="H40" i="1"/>
  <c r="J40" i="1"/>
  <c r="L40" i="1"/>
  <c r="N40" i="1"/>
  <c r="P40" i="1"/>
  <c r="R40" i="1"/>
  <c r="T40" i="1"/>
  <c r="V40" i="1"/>
  <c r="X40" i="1"/>
  <c r="Z40" i="1"/>
  <c r="AB40" i="1"/>
  <c r="AD40" i="1"/>
  <c r="AF40" i="1"/>
  <c r="AH40" i="1"/>
  <c r="AJ40" i="1"/>
  <c r="AL40" i="1"/>
  <c r="AN40" i="1"/>
  <c r="AP40" i="1"/>
  <c r="AR40" i="1"/>
  <c r="AT40" i="1"/>
  <c r="AV40" i="1"/>
  <c r="AX40" i="1"/>
  <c r="A41" i="1"/>
  <c r="D41" i="1"/>
  <c r="F41" i="1"/>
  <c r="H41" i="1"/>
  <c r="J41" i="1"/>
  <c r="L41" i="1"/>
  <c r="N41" i="1"/>
  <c r="P41" i="1"/>
  <c r="R41" i="1"/>
  <c r="T41" i="1"/>
  <c r="V41" i="1"/>
  <c r="X41" i="1"/>
  <c r="Z41" i="1"/>
  <c r="AB41" i="1"/>
  <c r="AD41" i="1"/>
  <c r="AF41" i="1"/>
  <c r="AH41" i="1"/>
  <c r="AJ41" i="1"/>
  <c r="AL41" i="1"/>
  <c r="AN41" i="1"/>
  <c r="AP41" i="1"/>
  <c r="AR41" i="1"/>
  <c r="AT41" i="1"/>
  <c r="AV41" i="1"/>
  <c r="AX41" i="1"/>
  <c r="A42" i="1"/>
  <c r="D42" i="1"/>
  <c r="F42" i="1"/>
  <c r="H42" i="1"/>
  <c r="J42" i="1"/>
  <c r="L42" i="1"/>
  <c r="N42" i="1"/>
  <c r="P42" i="1"/>
  <c r="R42" i="1"/>
  <c r="T42" i="1"/>
  <c r="V42" i="1"/>
  <c r="X42" i="1"/>
  <c r="Z42" i="1"/>
  <c r="AB42" i="1"/>
  <c r="AD42" i="1"/>
  <c r="AF42" i="1"/>
  <c r="AH42" i="1"/>
  <c r="AJ42" i="1"/>
  <c r="AL42" i="1"/>
  <c r="AN42" i="1"/>
  <c r="AP42" i="1"/>
  <c r="AR42" i="1"/>
  <c r="AT42" i="1"/>
  <c r="AV42" i="1"/>
  <c r="AX42" i="1"/>
  <c r="A43" i="1"/>
  <c r="D43" i="1"/>
  <c r="F43" i="1"/>
  <c r="H43" i="1"/>
  <c r="J43" i="1"/>
  <c r="L43" i="1"/>
  <c r="N43" i="1"/>
  <c r="P43" i="1"/>
  <c r="R43" i="1"/>
  <c r="T43" i="1"/>
  <c r="V43" i="1"/>
  <c r="X43" i="1"/>
  <c r="Z43" i="1"/>
  <c r="AB43" i="1"/>
  <c r="AD43" i="1"/>
  <c r="AF43" i="1"/>
  <c r="AH43" i="1"/>
  <c r="AJ43" i="1"/>
  <c r="AL43" i="1"/>
  <c r="AN43" i="1"/>
  <c r="AP43" i="1"/>
  <c r="AR43" i="1"/>
  <c r="AT43" i="1"/>
  <c r="AV43" i="1"/>
  <c r="AX43" i="1"/>
  <c r="A44" i="1"/>
  <c r="D44" i="1"/>
  <c r="F44" i="1"/>
  <c r="H44" i="1"/>
  <c r="J44" i="1"/>
  <c r="L44" i="1"/>
  <c r="N44" i="1"/>
  <c r="P44" i="1"/>
  <c r="R44" i="1"/>
  <c r="T44" i="1"/>
  <c r="V44" i="1"/>
  <c r="X44" i="1"/>
  <c r="Z44" i="1"/>
  <c r="AB44" i="1"/>
  <c r="AD44" i="1"/>
  <c r="AF44" i="1"/>
  <c r="AH44" i="1"/>
  <c r="AJ44" i="1"/>
  <c r="AL44" i="1"/>
  <c r="AN44" i="1"/>
  <c r="AP44" i="1"/>
  <c r="AR44" i="1"/>
  <c r="AT44" i="1"/>
  <c r="AV44" i="1"/>
  <c r="AX44" i="1"/>
  <c r="A45" i="1"/>
  <c r="D45" i="1"/>
  <c r="F45" i="1"/>
  <c r="H45" i="1"/>
  <c r="J45" i="1"/>
  <c r="L45" i="1"/>
  <c r="N45" i="1"/>
  <c r="P45" i="1"/>
  <c r="R45" i="1"/>
  <c r="T45" i="1"/>
  <c r="V45" i="1"/>
  <c r="X45" i="1"/>
  <c r="Z45" i="1"/>
  <c r="AB45" i="1"/>
  <c r="AD45" i="1"/>
  <c r="AF45" i="1"/>
  <c r="AH45" i="1"/>
  <c r="AJ45" i="1"/>
  <c r="AL45" i="1"/>
  <c r="AN45" i="1"/>
  <c r="AP45" i="1"/>
  <c r="AR45" i="1"/>
  <c r="AT45" i="1"/>
  <c r="AV45" i="1"/>
  <c r="AX45" i="1"/>
  <c r="A46" i="1"/>
  <c r="D46" i="1"/>
  <c r="F46" i="1"/>
  <c r="H46" i="1"/>
  <c r="J46" i="1"/>
  <c r="L46" i="1"/>
  <c r="N46" i="1"/>
  <c r="P46" i="1"/>
  <c r="R46" i="1"/>
  <c r="T46" i="1"/>
  <c r="V46" i="1"/>
  <c r="X46" i="1"/>
  <c r="Z46" i="1"/>
  <c r="AB46" i="1"/>
  <c r="AD46" i="1"/>
  <c r="AF46" i="1"/>
  <c r="AH46" i="1"/>
  <c r="AJ46" i="1"/>
  <c r="AL46" i="1"/>
  <c r="AN46" i="1"/>
  <c r="AP46" i="1"/>
  <c r="AR46" i="1"/>
  <c r="AT46" i="1"/>
  <c r="AV46" i="1"/>
  <c r="AX46" i="1"/>
  <c r="A47" i="1"/>
  <c r="D47" i="1"/>
  <c r="F47" i="1"/>
  <c r="H47" i="1"/>
  <c r="J47" i="1"/>
  <c r="L47" i="1"/>
  <c r="N47" i="1"/>
  <c r="P47" i="1"/>
  <c r="R47" i="1"/>
  <c r="T47" i="1"/>
  <c r="V47" i="1"/>
  <c r="X47" i="1"/>
  <c r="Z47" i="1"/>
  <c r="AB47" i="1"/>
  <c r="AD47" i="1"/>
  <c r="AF47" i="1"/>
  <c r="AH47" i="1"/>
  <c r="AJ47" i="1"/>
  <c r="AL47" i="1"/>
  <c r="AN47" i="1"/>
  <c r="AP47" i="1"/>
  <c r="AR47" i="1"/>
  <c r="AT47" i="1"/>
  <c r="AV47" i="1"/>
  <c r="AX47" i="1"/>
  <c r="A48" i="1"/>
  <c r="D48" i="1"/>
  <c r="F48" i="1"/>
  <c r="H48" i="1"/>
  <c r="J48" i="1"/>
  <c r="L48" i="1"/>
  <c r="N48" i="1"/>
  <c r="P48" i="1"/>
  <c r="R48" i="1"/>
  <c r="T48" i="1"/>
  <c r="V48" i="1"/>
  <c r="X48" i="1"/>
  <c r="Z48" i="1"/>
  <c r="AB48" i="1"/>
  <c r="AD48" i="1"/>
  <c r="AF48" i="1"/>
  <c r="AH48" i="1"/>
  <c r="AJ48" i="1"/>
  <c r="AL48" i="1"/>
  <c r="AN48" i="1"/>
  <c r="AP48" i="1"/>
  <c r="AR48" i="1"/>
  <c r="AT48" i="1"/>
  <c r="AV48" i="1"/>
  <c r="AX48" i="1"/>
  <c r="A49" i="1"/>
  <c r="D49" i="1"/>
  <c r="F49" i="1"/>
  <c r="H49" i="1"/>
  <c r="J49" i="1"/>
  <c r="L49" i="1"/>
  <c r="N49" i="1"/>
  <c r="P49" i="1"/>
  <c r="R49" i="1"/>
  <c r="T49" i="1"/>
  <c r="V49" i="1"/>
  <c r="X49" i="1"/>
  <c r="Z49" i="1"/>
  <c r="AB49" i="1"/>
  <c r="AD49" i="1"/>
  <c r="AF49" i="1"/>
  <c r="AH49" i="1"/>
  <c r="AJ49" i="1"/>
  <c r="AL49" i="1"/>
  <c r="AN49" i="1"/>
  <c r="AP49" i="1"/>
  <c r="AR49" i="1"/>
  <c r="AT49" i="1"/>
  <c r="AV49" i="1"/>
  <c r="AX49" i="1"/>
  <c r="A50" i="1"/>
  <c r="D50" i="1"/>
  <c r="F50" i="1"/>
  <c r="H50" i="1"/>
  <c r="J50" i="1"/>
  <c r="L50" i="1"/>
  <c r="N50" i="1"/>
  <c r="P50" i="1"/>
  <c r="R50" i="1"/>
  <c r="T50" i="1"/>
  <c r="V50" i="1"/>
  <c r="X50" i="1"/>
  <c r="Z50" i="1"/>
  <c r="AB50" i="1"/>
  <c r="AD50" i="1"/>
  <c r="AF50" i="1"/>
  <c r="AH50" i="1"/>
  <c r="AJ50" i="1"/>
  <c r="AL50" i="1"/>
  <c r="AN50" i="1"/>
  <c r="AP50" i="1"/>
  <c r="AR50" i="1"/>
  <c r="AT50" i="1"/>
  <c r="AV50" i="1"/>
  <c r="AX50" i="1"/>
  <c r="A51" i="1"/>
  <c r="D51" i="1"/>
  <c r="F51" i="1"/>
  <c r="H51" i="1"/>
  <c r="J51" i="1"/>
  <c r="L51" i="1"/>
  <c r="N51" i="1"/>
  <c r="P51" i="1"/>
  <c r="R51" i="1"/>
  <c r="T51" i="1"/>
  <c r="V51" i="1"/>
  <c r="X51" i="1"/>
  <c r="Z51" i="1"/>
  <c r="AB51" i="1"/>
  <c r="AD51" i="1"/>
  <c r="AF51" i="1"/>
  <c r="AH51" i="1"/>
  <c r="AJ51" i="1"/>
  <c r="AL51" i="1"/>
  <c r="AN51" i="1"/>
  <c r="AP51" i="1"/>
  <c r="AR51" i="1"/>
  <c r="AT51" i="1"/>
  <c r="AV51" i="1"/>
  <c r="AX51" i="1"/>
  <c r="A52" i="1"/>
  <c r="D52" i="1"/>
  <c r="F52" i="1"/>
  <c r="H52" i="1"/>
  <c r="J52" i="1"/>
  <c r="L52" i="1"/>
  <c r="N52" i="1"/>
  <c r="P52" i="1"/>
  <c r="R52" i="1"/>
  <c r="T52" i="1"/>
  <c r="V52" i="1"/>
  <c r="X52" i="1"/>
  <c r="Z52" i="1"/>
  <c r="AB52" i="1"/>
  <c r="AD52" i="1"/>
  <c r="AF52" i="1"/>
  <c r="AH52" i="1"/>
  <c r="AJ52" i="1"/>
  <c r="AL52" i="1"/>
  <c r="AN52" i="1"/>
  <c r="AP52" i="1"/>
  <c r="AR52" i="1"/>
  <c r="AT52" i="1"/>
  <c r="AV52" i="1"/>
  <c r="AX52" i="1"/>
  <c r="A53" i="1"/>
  <c r="D53" i="1"/>
  <c r="F53" i="1"/>
  <c r="H53" i="1"/>
  <c r="J53" i="1"/>
  <c r="L53" i="1"/>
  <c r="N53" i="1"/>
  <c r="P53" i="1"/>
  <c r="R53" i="1"/>
  <c r="T53" i="1"/>
  <c r="V53" i="1"/>
  <c r="X53" i="1"/>
  <c r="Z53" i="1"/>
  <c r="AB53" i="1"/>
  <c r="AD53" i="1"/>
  <c r="AF53" i="1"/>
  <c r="AH53" i="1"/>
  <c r="AJ53" i="1"/>
  <c r="AL53" i="1"/>
  <c r="AN53" i="1"/>
  <c r="AP53" i="1"/>
  <c r="AR53" i="1"/>
  <c r="AT53" i="1"/>
  <c r="AV53" i="1"/>
  <c r="AX53" i="1"/>
  <c r="A54" i="1"/>
  <c r="D54" i="1"/>
  <c r="F54" i="1"/>
  <c r="H54" i="1"/>
  <c r="J54" i="1"/>
  <c r="L54" i="1"/>
  <c r="N54" i="1"/>
  <c r="P54" i="1"/>
  <c r="R54" i="1"/>
  <c r="T54" i="1"/>
  <c r="V54" i="1"/>
  <c r="X54" i="1"/>
  <c r="Z54" i="1"/>
  <c r="AB54" i="1"/>
  <c r="AD54" i="1"/>
  <c r="AF54" i="1"/>
  <c r="AH54" i="1"/>
  <c r="AJ54" i="1"/>
  <c r="AL54" i="1"/>
  <c r="AN54" i="1"/>
  <c r="AP54" i="1"/>
  <c r="AR54" i="1"/>
  <c r="AT54" i="1"/>
  <c r="AV54" i="1"/>
  <c r="AX54" i="1"/>
  <c r="A55" i="1"/>
  <c r="D55" i="1"/>
  <c r="F55" i="1"/>
  <c r="H55" i="1"/>
  <c r="J55" i="1"/>
  <c r="L55" i="1"/>
  <c r="N55" i="1"/>
  <c r="P55" i="1"/>
  <c r="R55" i="1"/>
  <c r="T55" i="1"/>
  <c r="V55" i="1"/>
  <c r="X55" i="1"/>
  <c r="Z55" i="1"/>
  <c r="AB55" i="1"/>
  <c r="AD55" i="1"/>
  <c r="AF55" i="1"/>
  <c r="AH55" i="1"/>
  <c r="AJ55" i="1"/>
  <c r="AL55" i="1"/>
  <c r="AN55" i="1"/>
  <c r="AP55" i="1"/>
  <c r="AR55" i="1"/>
  <c r="AT55" i="1"/>
  <c r="AV55" i="1"/>
  <c r="AX55" i="1"/>
  <c r="A56" i="1"/>
  <c r="D56" i="1"/>
  <c r="F56" i="1"/>
  <c r="H56" i="1"/>
  <c r="J56" i="1"/>
  <c r="L56" i="1"/>
  <c r="N56" i="1"/>
  <c r="P56" i="1"/>
  <c r="R56" i="1"/>
  <c r="T56" i="1"/>
  <c r="V56" i="1"/>
  <c r="X56" i="1"/>
  <c r="Z56" i="1"/>
  <c r="AB56" i="1"/>
  <c r="AD56" i="1"/>
  <c r="AF56" i="1"/>
  <c r="AH56" i="1"/>
  <c r="AJ56" i="1"/>
  <c r="AL56" i="1"/>
  <c r="AN56" i="1"/>
  <c r="AP56" i="1"/>
  <c r="AR56" i="1"/>
  <c r="AT56" i="1"/>
  <c r="AV56" i="1"/>
  <c r="AX56" i="1"/>
  <c r="A57" i="1"/>
  <c r="D57" i="1"/>
  <c r="F57" i="1"/>
  <c r="H57" i="1"/>
  <c r="J57" i="1"/>
  <c r="L57" i="1"/>
  <c r="N57" i="1"/>
  <c r="P57" i="1"/>
  <c r="R57" i="1"/>
  <c r="T57" i="1"/>
  <c r="V57" i="1"/>
  <c r="X57" i="1"/>
  <c r="Z57" i="1"/>
  <c r="AB57" i="1"/>
  <c r="AD57" i="1"/>
  <c r="AF57" i="1"/>
  <c r="AH57" i="1"/>
  <c r="AJ57" i="1"/>
  <c r="AL57" i="1"/>
  <c r="AN57" i="1"/>
  <c r="AP57" i="1"/>
  <c r="AR57" i="1"/>
  <c r="AT57" i="1"/>
  <c r="AV57" i="1"/>
  <c r="AX57" i="1"/>
  <c r="A58" i="1"/>
  <c r="D58" i="1"/>
  <c r="F58" i="1"/>
  <c r="H58" i="1"/>
  <c r="J58" i="1"/>
  <c r="L58" i="1"/>
  <c r="N58" i="1"/>
  <c r="P58" i="1"/>
  <c r="R58" i="1"/>
  <c r="T58" i="1"/>
  <c r="V58" i="1"/>
  <c r="X58" i="1"/>
  <c r="Z58" i="1"/>
  <c r="AB58" i="1"/>
  <c r="AD58" i="1"/>
  <c r="AF58" i="1"/>
  <c r="AH58" i="1"/>
  <c r="AJ58" i="1"/>
  <c r="AL58" i="1"/>
  <c r="AN58" i="1"/>
  <c r="AP58" i="1"/>
  <c r="AR58" i="1"/>
  <c r="AT58" i="1"/>
  <c r="AV58" i="1"/>
  <c r="AX58" i="1"/>
  <c r="A59" i="1"/>
  <c r="D59" i="1"/>
  <c r="F59" i="1"/>
  <c r="H59" i="1"/>
  <c r="J59" i="1"/>
  <c r="L59" i="1"/>
  <c r="N59" i="1"/>
  <c r="P59" i="1"/>
  <c r="R59" i="1"/>
  <c r="T59" i="1"/>
  <c r="V59" i="1"/>
  <c r="X59" i="1"/>
  <c r="Z59" i="1"/>
  <c r="AB59" i="1"/>
  <c r="AD59" i="1"/>
  <c r="AF59" i="1"/>
  <c r="AH59" i="1"/>
  <c r="AJ59" i="1"/>
  <c r="AL59" i="1"/>
  <c r="AN59" i="1"/>
  <c r="AP59" i="1"/>
  <c r="AR59" i="1"/>
  <c r="AT59" i="1"/>
  <c r="AV59" i="1"/>
  <c r="AX59" i="1"/>
  <c r="A60" i="1"/>
  <c r="D60" i="1"/>
  <c r="F60" i="1"/>
  <c r="H60" i="1"/>
  <c r="J60" i="1"/>
  <c r="L60" i="1"/>
  <c r="N60" i="1"/>
  <c r="P60" i="1"/>
  <c r="R60" i="1"/>
  <c r="T60" i="1"/>
  <c r="V60" i="1"/>
  <c r="X60" i="1"/>
  <c r="Z60" i="1"/>
  <c r="AB60" i="1"/>
  <c r="AD60" i="1"/>
  <c r="AF60" i="1"/>
  <c r="AH60" i="1"/>
  <c r="AJ60" i="1"/>
  <c r="AL60" i="1"/>
  <c r="AN60" i="1"/>
  <c r="AP60" i="1"/>
  <c r="AR60" i="1"/>
  <c r="AT60" i="1"/>
  <c r="AV60" i="1"/>
  <c r="AX60" i="1"/>
  <c r="A61" i="1"/>
  <c r="D61" i="1"/>
  <c r="F61" i="1"/>
  <c r="H61" i="1"/>
  <c r="J61" i="1"/>
  <c r="L61" i="1"/>
  <c r="N61" i="1"/>
  <c r="P61" i="1"/>
  <c r="R61" i="1"/>
  <c r="T61" i="1"/>
  <c r="V61" i="1"/>
  <c r="X61" i="1"/>
  <c r="Z61" i="1"/>
  <c r="AB61" i="1"/>
  <c r="AD61" i="1"/>
  <c r="AF61" i="1"/>
  <c r="AH61" i="1"/>
  <c r="AJ61" i="1"/>
  <c r="AL61" i="1"/>
  <c r="AN61" i="1"/>
  <c r="AP61" i="1"/>
  <c r="AR61" i="1"/>
  <c r="AT61" i="1"/>
  <c r="AV61" i="1"/>
  <c r="AX61" i="1"/>
  <c r="A62" i="1"/>
  <c r="D62" i="1"/>
  <c r="F62" i="1"/>
  <c r="H62" i="1"/>
  <c r="J62" i="1"/>
  <c r="L62" i="1"/>
  <c r="N62" i="1"/>
  <c r="P62" i="1"/>
  <c r="R62" i="1"/>
  <c r="T62" i="1"/>
  <c r="V62" i="1"/>
  <c r="X62" i="1"/>
  <c r="Z62" i="1"/>
  <c r="AB62" i="1"/>
  <c r="AD62" i="1"/>
  <c r="AF62" i="1"/>
  <c r="AH62" i="1"/>
  <c r="AJ62" i="1"/>
  <c r="AL62" i="1"/>
  <c r="AN62" i="1"/>
  <c r="AP62" i="1"/>
  <c r="AR62" i="1"/>
  <c r="AT62" i="1"/>
  <c r="AV62" i="1"/>
  <c r="AX62" i="1"/>
  <c r="A63" i="1"/>
  <c r="D63" i="1"/>
  <c r="F63" i="1"/>
  <c r="H63" i="1"/>
  <c r="J63" i="1"/>
  <c r="L63" i="1"/>
  <c r="N63" i="1"/>
  <c r="P63" i="1"/>
  <c r="R63" i="1"/>
  <c r="T63" i="1"/>
  <c r="V63" i="1"/>
  <c r="X63" i="1"/>
  <c r="Z63" i="1"/>
  <c r="AB63" i="1"/>
  <c r="AD63" i="1"/>
  <c r="AF63" i="1"/>
  <c r="AH63" i="1"/>
  <c r="AJ63" i="1"/>
  <c r="AL63" i="1"/>
  <c r="AN63" i="1"/>
  <c r="AP63" i="1"/>
  <c r="AR63" i="1"/>
  <c r="AT63" i="1"/>
  <c r="AV63" i="1"/>
  <c r="AX63" i="1"/>
  <c r="A64" i="1"/>
  <c r="D64" i="1"/>
  <c r="F64" i="1"/>
  <c r="H64" i="1"/>
  <c r="J64" i="1"/>
  <c r="L64" i="1"/>
  <c r="N64" i="1"/>
  <c r="P64" i="1"/>
  <c r="R64" i="1"/>
  <c r="T64" i="1"/>
  <c r="V64" i="1"/>
  <c r="X64" i="1"/>
  <c r="Z64" i="1"/>
  <c r="AB64" i="1"/>
  <c r="AD64" i="1"/>
  <c r="AF64" i="1"/>
  <c r="AH64" i="1"/>
  <c r="AJ64" i="1"/>
  <c r="AL64" i="1"/>
  <c r="AN64" i="1"/>
  <c r="AP64" i="1"/>
  <c r="AR64" i="1"/>
  <c r="AT64" i="1"/>
  <c r="AV64" i="1"/>
  <c r="AX64" i="1"/>
  <c r="A65" i="1"/>
  <c r="D65" i="1"/>
  <c r="F65" i="1"/>
  <c r="H65" i="1"/>
  <c r="J65" i="1"/>
  <c r="L65" i="1"/>
  <c r="N65" i="1"/>
  <c r="P65" i="1"/>
  <c r="R65" i="1"/>
  <c r="T65" i="1"/>
  <c r="V65" i="1"/>
  <c r="X65" i="1"/>
  <c r="Z65" i="1"/>
  <c r="AB65" i="1"/>
  <c r="AD65" i="1"/>
  <c r="AF65" i="1"/>
  <c r="AH65" i="1"/>
  <c r="AJ65" i="1"/>
  <c r="AL65" i="1"/>
  <c r="AN65" i="1"/>
  <c r="AP65" i="1"/>
  <c r="AR65" i="1"/>
  <c r="AT65" i="1"/>
  <c r="AV65" i="1"/>
  <c r="AX65" i="1"/>
  <c r="A66" i="1"/>
  <c r="D66" i="1"/>
  <c r="F66" i="1"/>
  <c r="H66" i="1"/>
  <c r="J66" i="1"/>
  <c r="L66" i="1"/>
  <c r="N66" i="1"/>
  <c r="P66" i="1"/>
  <c r="R66" i="1"/>
  <c r="T66" i="1"/>
  <c r="V66" i="1"/>
  <c r="X66" i="1"/>
  <c r="Z66" i="1"/>
  <c r="AB66" i="1"/>
  <c r="AD66" i="1"/>
  <c r="AF66" i="1"/>
  <c r="AH66" i="1"/>
  <c r="AJ66" i="1"/>
  <c r="AL66" i="1"/>
  <c r="AN66" i="1"/>
  <c r="AP66" i="1"/>
  <c r="AR66" i="1"/>
  <c r="AT66" i="1"/>
  <c r="AV66" i="1"/>
  <c r="AX66" i="1"/>
  <c r="A67" i="1"/>
  <c r="D67" i="1"/>
  <c r="F67" i="1"/>
  <c r="H67" i="1"/>
  <c r="J67" i="1"/>
  <c r="L67" i="1"/>
  <c r="N67" i="1"/>
  <c r="P67" i="1"/>
  <c r="R67" i="1"/>
  <c r="T67" i="1"/>
  <c r="V67" i="1"/>
  <c r="X67" i="1"/>
  <c r="Z67" i="1"/>
  <c r="AB67" i="1"/>
  <c r="AD67" i="1"/>
  <c r="AF67" i="1"/>
  <c r="AH67" i="1"/>
  <c r="AJ67" i="1"/>
  <c r="AL67" i="1"/>
  <c r="AN67" i="1"/>
  <c r="AP67" i="1"/>
  <c r="AR67" i="1"/>
  <c r="AT67" i="1"/>
  <c r="AV67" i="1"/>
  <c r="AX67" i="1"/>
  <c r="A68" i="1"/>
  <c r="D68" i="1"/>
  <c r="F68" i="1"/>
  <c r="H68" i="1"/>
  <c r="J68" i="1"/>
  <c r="L68" i="1"/>
  <c r="N68" i="1"/>
  <c r="P68" i="1"/>
  <c r="R68" i="1"/>
  <c r="T68" i="1"/>
  <c r="V68" i="1"/>
  <c r="X68" i="1"/>
  <c r="Z68" i="1"/>
  <c r="AB68" i="1"/>
  <c r="AD68" i="1"/>
  <c r="AF68" i="1"/>
  <c r="AH68" i="1"/>
  <c r="AJ68" i="1"/>
  <c r="AL68" i="1"/>
  <c r="AN68" i="1"/>
  <c r="AP68" i="1"/>
  <c r="AR68" i="1"/>
  <c r="AT68" i="1"/>
  <c r="AV68" i="1"/>
  <c r="AX68" i="1"/>
  <c r="A69" i="1"/>
  <c r="D69" i="1"/>
  <c r="F69" i="1"/>
  <c r="H69" i="1"/>
  <c r="J69" i="1"/>
  <c r="L69" i="1"/>
  <c r="N69" i="1"/>
  <c r="P69" i="1"/>
  <c r="R69" i="1"/>
  <c r="T69" i="1"/>
  <c r="V69" i="1"/>
  <c r="X69" i="1"/>
  <c r="Z69" i="1"/>
  <c r="AB69" i="1"/>
  <c r="AD69" i="1"/>
  <c r="AF69" i="1"/>
  <c r="AH69" i="1"/>
  <c r="AJ69" i="1"/>
  <c r="AL69" i="1"/>
  <c r="AN69" i="1"/>
  <c r="AP69" i="1"/>
  <c r="AR69" i="1"/>
  <c r="AT69" i="1"/>
  <c r="AV69" i="1"/>
  <c r="AX69" i="1"/>
  <c r="A70" i="1"/>
  <c r="D70" i="1"/>
  <c r="F70" i="1"/>
  <c r="H70" i="1"/>
  <c r="J70" i="1"/>
  <c r="L70" i="1"/>
  <c r="N70" i="1"/>
  <c r="P70" i="1"/>
  <c r="R70" i="1"/>
  <c r="T70" i="1"/>
  <c r="V70" i="1"/>
  <c r="X70" i="1"/>
  <c r="Z70" i="1"/>
  <c r="AB70" i="1"/>
  <c r="AD70" i="1"/>
  <c r="AF70" i="1"/>
  <c r="AH70" i="1"/>
  <c r="AJ70" i="1"/>
  <c r="AL70" i="1"/>
  <c r="AN70" i="1"/>
  <c r="AP70" i="1"/>
  <c r="AR70" i="1"/>
  <c r="AT70" i="1"/>
  <c r="AV70" i="1"/>
  <c r="AX70" i="1"/>
  <c r="A71" i="1"/>
  <c r="D71" i="1"/>
  <c r="F71" i="1"/>
  <c r="H71" i="1"/>
  <c r="J71" i="1"/>
  <c r="L71" i="1"/>
  <c r="N71" i="1"/>
  <c r="P71" i="1"/>
  <c r="R71" i="1"/>
  <c r="T71" i="1"/>
  <c r="V71" i="1"/>
  <c r="X71" i="1"/>
  <c r="Z71" i="1"/>
  <c r="AB71" i="1"/>
  <c r="AD71" i="1"/>
  <c r="AF71" i="1"/>
  <c r="AH71" i="1"/>
  <c r="AJ71" i="1"/>
  <c r="AL71" i="1"/>
  <c r="AN71" i="1"/>
  <c r="AP71" i="1"/>
  <c r="AR71" i="1"/>
  <c r="AT71" i="1"/>
  <c r="AV71" i="1"/>
  <c r="AX71" i="1"/>
  <c r="A72" i="1"/>
  <c r="D72" i="1"/>
  <c r="F72" i="1"/>
  <c r="H72" i="1"/>
  <c r="J72" i="1"/>
  <c r="L72" i="1"/>
  <c r="N72" i="1"/>
  <c r="P72" i="1"/>
  <c r="R72" i="1"/>
  <c r="T72" i="1"/>
  <c r="V72" i="1"/>
  <c r="X72" i="1"/>
  <c r="Z72" i="1"/>
  <c r="AB72" i="1"/>
  <c r="AD72" i="1"/>
  <c r="AF72" i="1"/>
  <c r="AH72" i="1"/>
  <c r="AJ72" i="1"/>
  <c r="AL72" i="1"/>
  <c r="AN72" i="1"/>
  <c r="AP72" i="1"/>
  <c r="AR72" i="1"/>
  <c r="AT72" i="1"/>
  <c r="AV72" i="1"/>
  <c r="AX72" i="1"/>
  <c r="A73" i="1"/>
  <c r="D73" i="1"/>
  <c r="F73" i="1"/>
  <c r="H73" i="1"/>
  <c r="J73" i="1"/>
  <c r="L73" i="1"/>
  <c r="N73" i="1"/>
  <c r="P73" i="1"/>
  <c r="R73" i="1"/>
  <c r="T73" i="1"/>
  <c r="V73" i="1"/>
  <c r="X73" i="1"/>
  <c r="Z73" i="1"/>
  <c r="AB73" i="1"/>
  <c r="AD73" i="1"/>
  <c r="AF73" i="1"/>
  <c r="AH73" i="1"/>
  <c r="AJ73" i="1"/>
  <c r="AL73" i="1"/>
  <c r="AN73" i="1"/>
  <c r="AP73" i="1"/>
  <c r="AR73" i="1"/>
  <c r="AT73" i="1"/>
  <c r="AV73" i="1"/>
  <c r="AX73" i="1"/>
  <c r="A74" i="1"/>
  <c r="D74" i="1"/>
  <c r="F74" i="1"/>
  <c r="H74" i="1"/>
  <c r="J74" i="1"/>
  <c r="L74" i="1"/>
  <c r="N74" i="1"/>
  <c r="P74" i="1"/>
  <c r="R74" i="1"/>
  <c r="T74" i="1"/>
  <c r="V74" i="1"/>
  <c r="X74" i="1"/>
  <c r="Z74" i="1"/>
  <c r="AB74" i="1"/>
  <c r="AD74" i="1"/>
  <c r="AF74" i="1"/>
  <c r="AH74" i="1"/>
  <c r="AJ74" i="1"/>
  <c r="AL74" i="1"/>
  <c r="AN74" i="1"/>
  <c r="AP74" i="1"/>
  <c r="AR74" i="1"/>
  <c r="AT74" i="1"/>
  <c r="AV74" i="1"/>
  <c r="AX74" i="1"/>
  <c r="A75" i="1"/>
  <c r="D75" i="1"/>
  <c r="F75" i="1"/>
  <c r="H75" i="1"/>
  <c r="J75" i="1"/>
  <c r="L75" i="1"/>
  <c r="N75" i="1"/>
  <c r="P75" i="1"/>
  <c r="R75" i="1"/>
  <c r="T75" i="1"/>
  <c r="V75" i="1"/>
  <c r="X75" i="1"/>
  <c r="Z75" i="1"/>
  <c r="AB75" i="1"/>
  <c r="AD75" i="1"/>
  <c r="AF75" i="1"/>
  <c r="AH75" i="1"/>
  <c r="AJ75" i="1"/>
  <c r="AL75" i="1"/>
  <c r="AN75" i="1"/>
  <c r="AP75" i="1"/>
  <c r="AR75" i="1"/>
  <c r="AT75" i="1"/>
  <c r="AV75" i="1"/>
  <c r="AX75" i="1"/>
  <c r="A76" i="1"/>
  <c r="D76" i="1"/>
  <c r="F76" i="1"/>
  <c r="H76" i="1"/>
  <c r="J76" i="1"/>
  <c r="L76" i="1"/>
  <c r="N76" i="1"/>
  <c r="P76" i="1"/>
  <c r="R76" i="1"/>
  <c r="T76" i="1"/>
  <c r="V76" i="1"/>
  <c r="X76" i="1"/>
  <c r="Z76" i="1"/>
  <c r="AB76" i="1"/>
  <c r="AD76" i="1"/>
  <c r="AF76" i="1"/>
  <c r="AH76" i="1"/>
  <c r="AJ76" i="1"/>
  <c r="AL76" i="1"/>
  <c r="AN76" i="1"/>
  <c r="AP76" i="1"/>
  <c r="AR76" i="1"/>
  <c r="AT76" i="1"/>
  <c r="AV76" i="1"/>
  <c r="AX76" i="1"/>
  <c r="A77" i="1"/>
  <c r="D77" i="1"/>
  <c r="F77" i="1"/>
  <c r="H77" i="1"/>
  <c r="J77" i="1"/>
  <c r="L77" i="1"/>
  <c r="N77" i="1"/>
  <c r="P77" i="1"/>
  <c r="R77" i="1"/>
  <c r="T77" i="1"/>
  <c r="V77" i="1"/>
  <c r="X77" i="1"/>
  <c r="Z77" i="1"/>
  <c r="AB77" i="1"/>
  <c r="AD77" i="1"/>
  <c r="AF77" i="1"/>
  <c r="AH77" i="1"/>
  <c r="AJ77" i="1"/>
  <c r="AL77" i="1"/>
  <c r="AN77" i="1"/>
  <c r="AP77" i="1"/>
  <c r="AR77" i="1"/>
  <c r="AT77" i="1"/>
  <c r="AV77" i="1"/>
  <c r="AX77" i="1"/>
  <c r="A78" i="1"/>
  <c r="D78" i="1"/>
  <c r="F78" i="1"/>
  <c r="H78" i="1"/>
  <c r="J78" i="1"/>
  <c r="L78" i="1"/>
  <c r="N78" i="1"/>
  <c r="P78" i="1"/>
  <c r="R78" i="1"/>
  <c r="T78" i="1"/>
  <c r="V78" i="1"/>
  <c r="X78" i="1"/>
  <c r="Z78" i="1"/>
  <c r="AB78" i="1"/>
  <c r="AD78" i="1"/>
  <c r="AF78" i="1"/>
  <c r="AH78" i="1"/>
  <c r="AJ78" i="1"/>
  <c r="AL78" i="1"/>
  <c r="AN78" i="1"/>
  <c r="AP78" i="1"/>
  <c r="AR78" i="1"/>
  <c r="AT78" i="1"/>
  <c r="AV78" i="1"/>
  <c r="AX78" i="1"/>
  <c r="A79" i="1"/>
  <c r="D79" i="1"/>
  <c r="F79" i="1"/>
  <c r="H79" i="1"/>
  <c r="J79" i="1"/>
  <c r="L79" i="1"/>
  <c r="N79" i="1"/>
  <c r="P79" i="1"/>
  <c r="R79" i="1"/>
  <c r="T79" i="1"/>
  <c r="V79" i="1"/>
  <c r="X79" i="1"/>
  <c r="Z79" i="1"/>
  <c r="AB79" i="1"/>
  <c r="AD79" i="1"/>
  <c r="AF79" i="1"/>
  <c r="AH79" i="1"/>
  <c r="AJ79" i="1"/>
  <c r="AL79" i="1"/>
  <c r="AN79" i="1"/>
  <c r="AP79" i="1"/>
  <c r="AR79" i="1"/>
  <c r="AT79" i="1"/>
  <c r="AV79" i="1"/>
  <c r="AX79" i="1"/>
  <c r="A80" i="1"/>
  <c r="D80" i="1"/>
  <c r="F80" i="1"/>
  <c r="H80" i="1"/>
  <c r="J80" i="1"/>
  <c r="L80" i="1"/>
  <c r="N80" i="1"/>
  <c r="P80" i="1"/>
  <c r="R80" i="1"/>
  <c r="T80" i="1"/>
  <c r="V80" i="1"/>
  <c r="X80" i="1"/>
  <c r="Z80" i="1"/>
  <c r="AB80" i="1"/>
  <c r="AD80" i="1"/>
  <c r="AF80" i="1"/>
  <c r="AH80" i="1"/>
  <c r="AJ80" i="1"/>
  <c r="AL80" i="1"/>
  <c r="AN80" i="1"/>
  <c r="AP80" i="1"/>
  <c r="AR80" i="1"/>
  <c r="AT80" i="1"/>
  <c r="AV80" i="1"/>
  <c r="AX80" i="1"/>
  <c r="A81" i="1"/>
  <c r="D81" i="1"/>
  <c r="F81" i="1"/>
  <c r="H81" i="1"/>
  <c r="J81" i="1"/>
  <c r="L81" i="1"/>
  <c r="N81" i="1"/>
  <c r="P81" i="1"/>
  <c r="R81" i="1"/>
  <c r="T81" i="1"/>
  <c r="V81" i="1"/>
  <c r="X81" i="1"/>
  <c r="Z81" i="1"/>
  <c r="AB81" i="1"/>
  <c r="AD81" i="1"/>
  <c r="AF81" i="1"/>
  <c r="AH81" i="1"/>
  <c r="AJ81" i="1"/>
  <c r="AL81" i="1"/>
  <c r="AN81" i="1"/>
  <c r="AP81" i="1"/>
  <c r="AR81" i="1"/>
  <c r="AT81" i="1"/>
  <c r="AV81" i="1"/>
  <c r="AX81" i="1"/>
  <c r="A82" i="1"/>
  <c r="D82" i="1"/>
  <c r="F82" i="1"/>
  <c r="H82" i="1"/>
  <c r="J82" i="1"/>
  <c r="L82" i="1"/>
  <c r="N82" i="1"/>
  <c r="P82" i="1"/>
  <c r="R82" i="1"/>
  <c r="T82" i="1"/>
  <c r="V82" i="1"/>
  <c r="X82" i="1"/>
  <c r="Z82" i="1"/>
  <c r="AB82" i="1"/>
  <c r="AD82" i="1"/>
  <c r="AF82" i="1"/>
  <c r="AH82" i="1"/>
  <c r="AJ82" i="1"/>
  <c r="AL82" i="1"/>
  <c r="AN82" i="1"/>
  <c r="AP82" i="1"/>
  <c r="AR82" i="1"/>
  <c r="AT82" i="1"/>
  <c r="AV82" i="1"/>
  <c r="AX82" i="1"/>
  <c r="A83" i="1"/>
  <c r="D83" i="1"/>
  <c r="F83" i="1"/>
  <c r="H83" i="1"/>
  <c r="J83" i="1"/>
  <c r="L83" i="1"/>
  <c r="N83" i="1"/>
  <c r="P83" i="1"/>
  <c r="R83" i="1"/>
  <c r="T83" i="1"/>
  <c r="V83" i="1"/>
  <c r="X83" i="1"/>
  <c r="Z83" i="1"/>
  <c r="AB83" i="1"/>
  <c r="AD83" i="1"/>
  <c r="AF83" i="1"/>
  <c r="AH83" i="1"/>
  <c r="AJ83" i="1"/>
  <c r="AL83" i="1"/>
  <c r="AN83" i="1"/>
  <c r="AP83" i="1"/>
  <c r="AR83" i="1"/>
  <c r="AT83" i="1"/>
  <c r="AV83" i="1"/>
  <c r="AX83" i="1"/>
  <c r="A84" i="1"/>
  <c r="D84" i="1"/>
  <c r="F84" i="1"/>
  <c r="H84" i="1"/>
  <c r="J84" i="1"/>
  <c r="L84" i="1"/>
  <c r="N84" i="1"/>
  <c r="P84" i="1"/>
  <c r="R84" i="1"/>
  <c r="T84" i="1"/>
  <c r="V84" i="1"/>
  <c r="X84" i="1"/>
  <c r="Z84" i="1"/>
  <c r="AB84" i="1"/>
  <c r="AD84" i="1"/>
  <c r="AF84" i="1"/>
  <c r="AH84" i="1"/>
  <c r="AJ84" i="1"/>
  <c r="AL84" i="1"/>
  <c r="AN84" i="1"/>
  <c r="AP84" i="1"/>
  <c r="AR84" i="1"/>
  <c r="AT84" i="1"/>
  <c r="AV84" i="1"/>
  <c r="AX84" i="1"/>
  <c r="A85" i="1"/>
  <c r="D85" i="1"/>
  <c r="F85" i="1"/>
  <c r="H85" i="1"/>
  <c r="J85" i="1"/>
  <c r="L85" i="1"/>
  <c r="N85" i="1"/>
  <c r="P85" i="1"/>
  <c r="R85" i="1"/>
  <c r="T85" i="1"/>
  <c r="V85" i="1"/>
  <c r="X85" i="1"/>
  <c r="Z85" i="1"/>
  <c r="AB85" i="1"/>
  <c r="AD85" i="1"/>
  <c r="AF85" i="1"/>
  <c r="AH85" i="1"/>
  <c r="AJ85" i="1"/>
  <c r="AL85" i="1"/>
  <c r="AN85" i="1"/>
  <c r="AP85" i="1"/>
  <c r="AR85" i="1"/>
  <c r="AT85" i="1"/>
  <c r="AV85" i="1"/>
  <c r="AX85" i="1"/>
  <c r="A86" i="1"/>
  <c r="D86" i="1"/>
  <c r="F86" i="1"/>
  <c r="H86" i="1"/>
  <c r="J86" i="1"/>
  <c r="L86" i="1"/>
  <c r="N86" i="1"/>
  <c r="P86" i="1"/>
  <c r="R86" i="1"/>
  <c r="T86" i="1"/>
  <c r="V86" i="1"/>
  <c r="X86" i="1"/>
  <c r="Z86" i="1"/>
  <c r="AB86" i="1"/>
  <c r="AD86" i="1"/>
  <c r="AF86" i="1"/>
  <c r="AH86" i="1"/>
  <c r="AJ86" i="1"/>
  <c r="AL86" i="1"/>
  <c r="AN86" i="1"/>
  <c r="AP86" i="1"/>
  <c r="AR86" i="1"/>
  <c r="AT86" i="1"/>
  <c r="AV86" i="1"/>
  <c r="AX86" i="1"/>
  <c r="A87" i="1"/>
  <c r="D87" i="1"/>
  <c r="F87" i="1"/>
  <c r="H87" i="1"/>
  <c r="J87" i="1"/>
  <c r="L87" i="1"/>
  <c r="N87" i="1"/>
  <c r="P87" i="1"/>
  <c r="R87" i="1"/>
  <c r="T87" i="1"/>
  <c r="V87" i="1"/>
  <c r="X87" i="1"/>
  <c r="Z87" i="1"/>
  <c r="AB87" i="1"/>
  <c r="AD87" i="1"/>
  <c r="AF87" i="1"/>
  <c r="AH87" i="1"/>
  <c r="AJ87" i="1"/>
  <c r="AL87" i="1"/>
  <c r="AN87" i="1"/>
  <c r="AP87" i="1"/>
  <c r="AR87" i="1"/>
  <c r="AT87" i="1"/>
  <c r="AV87" i="1"/>
  <c r="AX87" i="1"/>
  <c r="A88" i="1"/>
  <c r="D88" i="1"/>
  <c r="F88" i="1"/>
  <c r="H88" i="1"/>
  <c r="J88" i="1"/>
  <c r="L88" i="1"/>
  <c r="N88" i="1"/>
  <c r="P88" i="1"/>
  <c r="R88" i="1"/>
  <c r="T88" i="1"/>
  <c r="V88" i="1"/>
  <c r="X88" i="1"/>
  <c r="Z88" i="1"/>
  <c r="AB88" i="1"/>
  <c r="AD88" i="1"/>
  <c r="AF88" i="1"/>
  <c r="AH88" i="1"/>
  <c r="AJ88" i="1"/>
  <c r="AL88" i="1"/>
  <c r="AN88" i="1"/>
  <c r="AP88" i="1"/>
  <c r="AR88" i="1"/>
  <c r="AT88" i="1"/>
  <c r="AV88" i="1"/>
  <c r="AX88" i="1"/>
  <c r="A89" i="1"/>
  <c r="D89" i="1"/>
  <c r="F89" i="1"/>
  <c r="H89" i="1"/>
  <c r="J89" i="1"/>
  <c r="L89" i="1"/>
  <c r="N89" i="1"/>
  <c r="P89" i="1"/>
  <c r="R89" i="1"/>
  <c r="T89" i="1"/>
  <c r="V89" i="1"/>
  <c r="X89" i="1"/>
  <c r="Z89" i="1"/>
  <c r="AB89" i="1"/>
  <c r="AD89" i="1"/>
  <c r="AF89" i="1"/>
  <c r="AH89" i="1"/>
  <c r="AJ89" i="1"/>
  <c r="AL89" i="1"/>
  <c r="AN89" i="1"/>
  <c r="AP89" i="1"/>
  <c r="AR89" i="1"/>
  <c r="AT89" i="1"/>
  <c r="AV89" i="1"/>
  <c r="AX89" i="1"/>
  <c r="A90" i="1"/>
  <c r="D90" i="1"/>
  <c r="F90" i="1"/>
  <c r="H90" i="1"/>
  <c r="J90" i="1"/>
  <c r="L90" i="1"/>
  <c r="N90" i="1"/>
  <c r="P90" i="1"/>
  <c r="R90" i="1"/>
  <c r="T90" i="1"/>
  <c r="V90" i="1"/>
  <c r="X90" i="1"/>
  <c r="Z90" i="1"/>
  <c r="AB90" i="1"/>
  <c r="AD90" i="1"/>
  <c r="AF90" i="1"/>
  <c r="AH90" i="1"/>
  <c r="AJ90" i="1"/>
  <c r="AL90" i="1"/>
  <c r="AN90" i="1"/>
  <c r="AP90" i="1"/>
  <c r="AR90" i="1"/>
  <c r="AT90" i="1"/>
  <c r="AV90" i="1"/>
  <c r="AX90" i="1"/>
  <c r="A91" i="1"/>
  <c r="D91" i="1"/>
  <c r="F91" i="1"/>
  <c r="H91" i="1"/>
  <c r="J91" i="1"/>
  <c r="L91" i="1"/>
  <c r="N91" i="1"/>
  <c r="P91" i="1"/>
  <c r="R91" i="1"/>
  <c r="T91" i="1"/>
  <c r="V91" i="1"/>
  <c r="X91" i="1"/>
  <c r="Z91" i="1"/>
  <c r="AB91" i="1"/>
  <c r="AD91" i="1"/>
  <c r="AF91" i="1"/>
  <c r="AH91" i="1"/>
  <c r="AJ91" i="1"/>
  <c r="AL91" i="1"/>
  <c r="AN91" i="1"/>
  <c r="AP91" i="1"/>
  <c r="AR91" i="1"/>
  <c r="AT91" i="1"/>
  <c r="AV91" i="1"/>
  <c r="AX91" i="1"/>
  <c r="A92" i="1"/>
  <c r="D92" i="1"/>
  <c r="F92" i="1"/>
  <c r="H92" i="1"/>
  <c r="J92" i="1"/>
  <c r="L92" i="1"/>
  <c r="N92" i="1"/>
  <c r="P92" i="1"/>
  <c r="R92" i="1"/>
  <c r="T92" i="1"/>
  <c r="V92" i="1"/>
  <c r="X92" i="1"/>
  <c r="Z92" i="1"/>
  <c r="AB92" i="1"/>
  <c r="AD92" i="1"/>
  <c r="AF92" i="1"/>
  <c r="AH92" i="1"/>
  <c r="AJ92" i="1"/>
  <c r="AL92" i="1"/>
  <c r="AN92" i="1"/>
  <c r="AP92" i="1"/>
  <c r="AR92" i="1"/>
  <c r="AT92" i="1"/>
  <c r="AV92" i="1"/>
  <c r="AX92" i="1"/>
  <c r="A93" i="1"/>
  <c r="D93" i="1"/>
  <c r="F93" i="1"/>
  <c r="H93" i="1"/>
  <c r="J93" i="1"/>
  <c r="L93" i="1"/>
  <c r="N93" i="1"/>
  <c r="P93" i="1"/>
  <c r="R93" i="1"/>
  <c r="T93" i="1"/>
  <c r="V93" i="1"/>
  <c r="X93" i="1"/>
  <c r="Z93" i="1"/>
  <c r="AB93" i="1"/>
  <c r="AD93" i="1"/>
  <c r="AF93" i="1"/>
  <c r="AH93" i="1"/>
  <c r="AJ93" i="1"/>
  <c r="AL93" i="1"/>
  <c r="AN93" i="1"/>
  <c r="AP93" i="1"/>
  <c r="AR93" i="1"/>
  <c r="AT93" i="1"/>
  <c r="AV93" i="1"/>
  <c r="AX93" i="1"/>
  <c r="A94" i="1"/>
  <c r="D94" i="1"/>
  <c r="F94" i="1"/>
  <c r="H94" i="1"/>
  <c r="J94" i="1"/>
  <c r="L94" i="1"/>
  <c r="N94" i="1"/>
  <c r="P94" i="1"/>
  <c r="R94" i="1"/>
  <c r="T94" i="1"/>
  <c r="V94" i="1"/>
  <c r="X94" i="1"/>
  <c r="Z94" i="1"/>
  <c r="AB94" i="1"/>
  <c r="AD94" i="1"/>
  <c r="AF94" i="1"/>
  <c r="AH94" i="1"/>
  <c r="AJ94" i="1"/>
  <c r="AL94" i="1"/>
  <c r="AN94" i="1"/>
  <c r="AP94" i="1"/>
  <c r="AR94" i="1"/>
  <c r="AT94" i="1"/>
  <c r="AV94" i="1"/>
  <c r="AX94" i="1"/>
  <c r="A95" i="1"/>
  <c r="D95" i="1"/>
  <c r="F95" i="1"/>
  <c r="H95" i="1"/>
  <c r="J95" i="1"/>
  <c r="L95" i="1"/>
  <c r="N95" i="1"/>
  <c r="P95" i="1"/>
  <c r="R95" i="1"/>
  <c r="T95" i="1"/>
  <c r="V95" i="1"/>
  <c r="X95" i="1"/>
  <c r="Z95" i="1"/>
  <c r="AB95" i="1"/>
  <c r="AD95" i="1"/>
  <c r="AF95" i="1"/>
  <c r="AH95" i="1"/>
  <c r="AJ95" i="1"/>
  <c r="AL95" i="1"/>
  <c r="AN95" i="1"/>
  <c r="AP95" i="1"/>
  <c r="AR95" i="1"/>
  <c r="AT95" i="1"/>
  <c r="AV95" i="1"/>
  <c r="AX95" i="1"/>
  <c r="A96" i="1"/>
  <c r="D96" i="1"/>
  <c r="F96" i="1"/>
  <c r="H96" i="1"/>
  <c r="J96" i="1"/>
  <c r="L96" i="1"/>
  <c r="N96" i="1"/>
  <c r="P96" i="1"/>
  <c r="R96" i="1"/>
  <c r="T96" i="1"/>
  <c r="V96" i="1"/>
  <c r="X96" i="1"/>
  <c r="Z96" i="1"/>
  <c r="AB96" i="1"/>
  <c r="AD96" i="1"/>
  <c r="AF96" i="1"/>
  <c r="AH96" i="1"/>
  <c r="AJ96" i="1"/>
  <c r="AL96" i="1"/>
  <c r="AN96" i="1"/>
  <c r="AP96" i="1"/>
  <c r="AR96" i="1"/>
  <c r="AT96" i="1"/>
  <c r="AV96" i="1"/>
  <c r="AX96" i="1"/>
  <c r="A97" i="1"/>
  <c r="D97" i="1"/>
  <c r="F97" i="1"/>
  <c r="H97" i="1"/>
  <c r="J97" i="1"/>
  <c r="L97" i="1"/>
  <c r="N97" i="1"/>
  <c r="P97" i="1"/>
  <c r="R97" i="1"/>
  <c r="T97" i="1"/>
  <c r="V97" i="1"/>
  <c r="X97" i="1"/>
  <c r="Z97" i="1"/>
  <c r="AB97" i="1"/>
  <c r="AD97" i="1"/>
  <c r="AF97" i="1"/>
  <c r="AH97" i="1"/>
  <c r="AJ97" i="1"/>
  <c r="AL97" i="1"/>
  <c r="AN97" i="1"/>
  <c r="AP97" i="1"/>
  <c r="AR97" i="1"/>
  <c r="AT97" i="1"/>
  <c r="AV97" i="1"/>
  <c r="AX97" i="1"/>
  <c r="A98" i="1"/>
  <c r="D98" i="1"/>
  <c r="F98" i="1"/>
  <c r="H98" i="1"/>
  <c r="J98" i="1"/>
  <c r="L98" i="1"/>
  <c r="N98" i="1"/>
  <c r="P98" i="1"/>
  <c r="R98" i="1"/>
  <c r="T98" i="1"/>
  <c r="V98" i="1"/>
  <c r="X98" i="1"/>
  <c r="Z98" i="1"/>
  <c r="AB98" i="1"/>
  <c r="AD98" i="1"/>
  <c r="AF98" i="1"/>
  <c r="AH98" i="1"/>
  <c r="AJ98" i="1"/>
  <c r="AL98" i="1"/>
  <c r="AN98" i="1"/>
  <c r="AP98" i="1"/>
  <c r="AR98" i="1"/>
  <c r="AT98" i="1"/>
  <c r="AV98" i="1"/>
  <c r="AX98" i="1"/>
  <c r="A99" i="1"/>
  <c r="D99" i="1"/>
  <c r="F99" i="1"/>
  <c r="H99" i="1"/>
  <c r="J99" i="1"/>
  <c r="L99" i="1"/>
  <c r="N99" i="1"/>
  <c r="P99" i="1"/>
  <c r="R99" i="1"/>
  <c r="T99" i="1"/>
  <c r="V99" i="1"/>
  <c r="X99" i="1"/>
  <c r="Z99" i="1"/>
  <c r="AB99" i="1"/>
  <c r="AD99" i="1"/>
  <c r="AF99" i="1"/>
  <c r="AH99" i="1"/>
  <c r="AJ99" i="1"/>
  <c r="AL99" i="1"/>
  <c r="AN99" i="1"/>
  <c r="AP99" i="1"/>
  <c r="AR99" i="1"/>
  <c r="AT99" i="1"/>
  <c r="AV99" i="1"/>
  <c r="AX99" i="1"/>
  <c r="A100" i="1"/>
  <c r="D100" i="1"/>
  <c r="F100" i="1"/>
  <c r="H100" i="1"/>
  <c r="J100" i="1"/>
  <c r="L100" i="1"/>
  <c r="N100" i="1"/>
  <c r="P100" i="1"/>
  <c r="R100" i="1"/>
  <c r="T100" i="1"/>
  <c r="V100" i="1"/>
  <c r="X100" i="1"/>
  <c r="Z100" i="1"/>
  <c r="AB100" i="1"/>
  <c r="AD100" i="1"/>
  <c r="AF100" i="1"/>
  <c r="AH100" i="1"/>
  <c r="AJ100" i="1"/>
  <c r="AL100" i="1"/>
  <c r="AN100" i="1"/>
  <c r="AP100" i="1"/>
  <c r="AR100" i="1"/>
  <c r="AT100" i="1"/>
  <c r="AV100" i="1"/>
  <c r="AX100" i="1"/>
  <c r="A101" i="1"/>
  <c r="D101" i="1"/>
  <c r="F101" i="1"/>
  <c r="H101" i="1"/>
  <c r="J101" i="1"/>
  <c r="L101" i="1"/>
  <c r="N101" i="1"/>
  <c r="P101" i="1"/>
  <c r="R101" i="1"/>
  <c r="T101" i="1"/>
  <c r="V101" i="1"/>
  <c r="X101" i="1"/>
  <c r="Z101" i="1"/>
  <c r="AB101" i="1"/>
  <c r="AD101" i="1"/>
  <c r="AF101" i="1"/>
  <c r="AH101" i="1"/>
  <c r="AJ101" i="1"/>
  <c r="AL101" i="1"/>
  <c r="AN101" i="1"/>
  <c r="AP101" i="1"/>
  <c r="AR101" i="1"/>
  <c r="AT101" i="1"/>
  <c r="AV101" i="1"/>
  <c r="AX101" i="1"/>
  <c r="A102" i="1"/>
  <c r="D102" i="1"/>
  <c r="F102" i="1"/>
  <c r="H102" i="1"/>
  <c r="J102" i="1"/>
  <c r="L102" i="1"/>
  <c r="N102" i="1"/>
  <c r="P102" i="1"/>
  <c r="R102" i="1"/>
  <c r="T102" i="1"/>
  <c r="V102" i="1"/>
  <c r="X102" i="1"/>
  <c r="Z102" i="1"/>
  <c r="AB102" i="1"/>
  <c r="AD102" i="1"/>
  <c r="AF102" i="1"/>
  <c r="AH102" i="1"/>
  <c r="AJ102" i="1"/>
  <c r="AL102" i="1"/>
  <c r="AN102" i="1"/>
  <c r="AP102" i="1"/>
  <c r="AR102" i="1"/>
  <c r="AT102" i="1"/>
  <c r="AV102" i="1"/>
  <c r="AX102" i="1"/>
  <c r="A103" i="1"/>
  <c r="D103" i="1"/>
  <c r="F103" i="1"/>
  <c r="H103" i="1"/>
  <c r="J103" i="1"/>
  <c r="L103" i="1"/>
  <c r="N103" i="1"/>
  <c r="P103" i="1"/>
  <c r="R103" i="1"/>
  <c r="T103" i="1"/>
  <c r="V103" i="1"/>
  <c r="X103" i="1"/>
  <c r="Z103" i="1"/>
  <c r="AB103" i="1"/>
  <c r="AD103" i="1"/>
  <c r="AF103" i="1"/>
  <c r="AH103" i="1"/>
  <c r="AJ103" i="1"/>
  <c r="AL103" i="1"/>
  <c r="AN103" i="1"/>
  <c r="AP103" i="1"/>
  <c r="AR103" i="1"/>
  <c r="AT103" i="1"/>
  <c r="AV103" i="1"/>
  <c r="AX103" i="1"/>
  <c r="A104" i="1"/>
  <c r="D104" i="1"/>
  <c r="F104" i="1"/>
  <c r="H104" i="1"/>
  <c r="J104" i="1"/>
  <c r="L104" i="1"/>
  <c r="N104" i="1"/>
  <c r="P104" i="1"/>
  <c r="R104" i="1"/>
  <c r="T104" i="1"/>
  <c r="V104" i="1"/>
  <c r="X104" i="1"/>
  <c r="Z104" i="1"/>
  <c r="AB104" i="1"/>
  <c r="AD104" i="1"/>
  <c r="AF104" i="1"/>
  <c r="AH104" i="1"/>
  <c r="AJ104" i="1"/>
  <c r="AL104" i="1"/>
  <c r="AN104" i="1"/>
  <c r="AP104" i="1"/>
  <c r="AR104" i="1"/>
  <c r="AT104" i="1"/>
  <c r="AV104" i="1"/>
  <c r="AX104" i="1"/>
  <c r="A105" i="1"/>
  <c r="D105" i="1"/>
  <c r="F105" i="1"/>
  <c r="H105" i="1"/>
  <c r="J105" i="1"/>
  <c r="L105" i="1"/>
  <c r="N105" i="1"/>
  <c r="P105" i="1"/>
  <c r="R105" i="1"/>
  <c r="T105" i="1"/>
  <c r="V105" i="1"/>
  <c r="X105" i="1"/>
  <c r="Z105" i="1"/>
  <c r="AB105" i="1"/>
  <c r="AD105" i="1"/>
  <c r="AF105" i="1"/>
  <c r="AH105" i="1"/>
  <c r="AJ105" i="1"/>
  <c r="AL105" i="1"/>
  <c r="AN105" i="1"/>
  <c r="AP105" i="1"/>
  <c r="AR105" i="1"/>
  <c r="AT105" i="1"/>
  <c r="AV105" i="1"/>
  <c r="AX105" i="1"/>
  <c r="A106" i="1"/>
  <c r="D106" i="1"/>
  <c r="F106" i="1"/>
  <c r="H106" i="1"/>
  <c r="J106" i="1"/>
  <c r="L106" i="1"/>
  <c r="N106" i="1"/>
  <c r="P106" i="1"/>
  <c r="R106" i="1"/>
  <c r="T106" i="1"/>
  <c r="V106" i="1"/>
  <c r="X106" i="1"/>
  <c r="Z106" i="1"/>
  <c r="AB106" i="1"/>
  <c r="AD106" i="1"/>
  <c r="AF106" i="1"/>
  <c r="AH106" i="1"/>
  <c r="AJ106" i="1"/>
  <c r="AL106" i="1"/>
  <c r="AN106" i="1"/>
  <c r="AP106" i="1"/>
  <c r="AR106" i="1"/>
  <c r="AT106" i="1"/>
  <c r="AV106" i="1"/>
  <c r="AX106" i="1"/>
  <c r="A107" i="1"/>
  <c r="D107" i="1"/>
  <c r="F107" i="1"/>
  <c r="H107" i="1"/>
  <c r="J107" i="1"/>
  <c r="L107" i="1"/>
  <c r="N107" i="1"/>
  <c r="P107" i="1"/>
  <c r="R107" i="1"/>
  <c r="T107" i="1"/>
  <c r="V107" i="1"/>
  <c r="X107" i="1"/>
  <c r="Z107" i="1"/>
  <c r="AB107" i="1"/>
  <c r="AD107" i="1"/>
  <c r="AF107" i="1"/>
  <c r="AH107" i="1"/>
  <c r="AJ107" i="1"/>
  <c r="AL107" i="1"/>
  <c r="AN107" i="1"/>
  <c r="AP107" i="1"/>
  <c r="AR107" i="1"/>
  <c r="AT107" i="1"/>
  <c r="AV107" i="1"/>
  <c r="AX107" i="1"/>
  <c r="A108" i="1"/>
  <c r="D108" i="1"/>
  <c r="F108" i="1"/>
  <c r="H108" i="1"/>
  <c r="J108" i="1"/>
  <c r="L108" i="1"/>
  <c r="N108" i="1"/>
  <c r="P108" i="1"/>
  <c r="R108" i="1"/>
  <c r="T108" i="1"/>
  <c r="V108" i="1"/>
  <c r="X108" i="1"/>
  <c r="Z108" i="1"/>
  <c r="AB108" i="1"/>
  <c r="AD108" i="1"/>
  <c r="AF108" i="1"/>
  <c r="AH108" i="1"/>
  <c r="AJ108" i="1"/>
  <c r="AL108" i="1"/>
  <c r="AN108" i="1"/>
  <c r="AP108" i="1"/>
  <c r="AR108" i="1"/>
  <c r="AT108" i="1"/>
  <c r="AV108" i="1"/>
  <c r="AX108" i="1"/>
  <c r="A109" i="1"/>
  <c r="D109" i="1"/>
  <c r="F109" i="1"/>
  <c r="H109" i="1"/>
  <c r="J109" i="1"/>
  <c r="L109" i="1"/>
  <c r="N109" i="1"/>
  <c r="P109" i="1"/>
  <c r="R109" i="1"/>
  <c r="T109" i="1"/>
  <c r="V109" i="1"/>
  <c r="X109" i="1"/>
  <c r="Z109" i="1"/>
  <c r="AB109" i="1"/>
  <c r="AD109" i="1"/>
  <c r="AF109" i="1"/>
  <c r="AH109" i="1"/>
  <c r="AJ109" i="1"/>
  <c r="AL109" i="1"/>
  <c r="AN109" i="1"/>
  <c r="AP109" i="1"/>
  <c r="AR109" i="1"/>
  <c r="AT109" i="1"/>
  <c r="AV109" i="1"/>
  <c r="AX109" i="1"/>
  <c r="A110" i="1"/>
  <c r="D110" i="1"/>
  <c r="F110" i="1"/>
  <c r="H110" i="1"/>
  <c r="J110" i="1"/>
  <c r="L110" i="1"/>
  <c r="N110" i="1"/>
  <c r="P110" i="1"/>
  <c r="R110" i="1"/>
  <c r="T110" i="1"/>
  <c r="V110" i="1"/>
  <c r="X110" i="1"/>
  <c r="Z110" i="1"/>
  <c r="AB110" i="1"/>
  <c r="AD110" i="1"/>
  <c r="AF110" i="1"/>
  <c r="AH110" i="1"/>
  <c r="AJ110" i="1"/>
  <c r="AL110" i="1"/>
  <c r="AN110" i="1"/>
  <c r="AP110" i="1"/>
  <c r="AR110" i="1"/>
  <c r="AT110" i="1"/>
  <c r="AV110" i="1"/>
  <c r="AX110" i="1"/>
  <c r="A111" i="1"/>
  <c r="D111" i="1"/>
  <c r="F111" i="1"/>
  <c r="H111" i="1"/>
  <c r="J111" i="1"/>
  <c r="L111" i="1"/>
  <c r="N111" i="1"/>
  <c r="P111" i="1"/>
  <c r="R111" i="1"/>
  <c r="T111" i="1"/>
  <c r="V111" i="1"/>
  <c r="X111" i="1"/>
  <c r="Z111" i="1"/>
  <c r="AB111" i="1"/>
  <c r="AD111" i="1"/>
  <c r="AF111" i="1"/>
  <c r="AH111" i="1"/>
  <c r="AJ111" i="1"/>
  <c r="AL111" i="1"/>
  <c r="AN111" i="1"/>
  <c r="AP111" i="1"/>
  <c r="AR111" i="1"/>
  <c r="AT111" i="1"/>
  <c r="AV111" i="1"/>
  <c r="AX111" i="1"/>
  <c r="A112" i="1"/>
  <c r="D112" i="1"/>
  <c r="F112" i="1"/>
  <c r="H112" i="1"/>
  <c r="J112" i="1"/>
  <c r="L112" i="1"/>
  <c r="N112" i="1"/>
  <c r="P112" i="1"/>
  <c r="R112" i="1"/>
  <c r="T112" i="1"/>
  <c r="V112" i="1"/>
  <c r="X112" i="1"/>
  <c r="Z112" i="1"/>
  <c r="AB112" i="1"/>
  <c r="AD112" i="1"/>
  <c r="AF112" i="1"/>
  <c r="AH112" i="1"/>
  <c r="AJ112" i="1"/>
  <c r="AL112" i="1"/>
  <c r="AN112" i="1"/>
  <c r="AP112" i="1"/>
  <c r="AR112" i="1"/>
  <c r="AT112" i="1"/>
  <c r="AV112" i="1"/>
  <c r="AX112" i="1"/>
  <c r="A113" i="1"/>
  <c r="D113" i="1"/>
  <c r="F113" i="1"/>
  <c r="H113" i="1"/>
  <c r="J113" i="1"/>
  <c r="L113" i="1"/>
  <c r="N113" i="1"/>
  <c r="P113" i="1"/>
  <c r="R113" i="1"/>
  <c r="T113" i="1"/>
  <c r="V113" i="1"/>
  <c r="X113" i="1"/>
  <c r="Z113" i="1"/>
  <c r="AB113" i="1"/>
  <c r="AD113" i="1"/>
  <c r="AF113" i="1"/>
  <c r="AH113" i="1"/>
  <c r="AJ113" i="1"/>
  <c r="AL113" i="1"/>
  <c r="AN113" i="1"/>
  <c r="AP113" i="1"/>
  <c r="AR113" i="1"/>
  <c r="AT113" i="1"/>
  <c r="AV113" i="1"/>
  <c r="AX113" i="1"/>
  <c r="A114" i="1"/>
  <c r="D114" i="1"/>
  <c r="F114" i="1"/>
  <c r="H114" i="1"/>
  <c r="J114" i="1"/>
  <c r="L114" i="1"/>
  <c r="N114" i="1"/>
  <c r="P114" i="1"/>
  <c r="R114" i="1"/>
  <c r="T114" i="1"/>
  <c r="V114" i="1"/>
  <c r="X114" i="1"/>
  <c r="Z114" i="1"/>
  <c r="AB114" i="1"/>
  <c r="AD114" i="1"/>
  <c r="AF114" i="1"/>
  <c r="AH114" i="1"/>
  <c r="AJ114" i="1"/>
  <c r="AL114" i="1"/>
  <c r="AN114" i="1"/>
  <c r="AP114" i="1"/>
  <c r="AR114" i="1"/>
  <c r="AT114" i="1"/>
  <c r="AV114" i="1"/>
  <c r="AX114" i="1"/>
  <c r="A115" i="1"/>
  <c r="D115" i="1"/>
  <c r="F115" i="1"/>
  <c r="H115" i="1"/>
  <c r="J115" i="1"/>
  <c r="L115" i="1"/>
  <c r="N115" i="1"/>
  <c r="P115" i="1"/>
  <c r="R115" i="1"/>
  <c r="T115" i="1"/>
  <c r="V115" i="1"/>
  <c r="X115" i="1"/>
  <c r="Z115" i="1"/>
  <c r="AB115" i="1"/>
  <c r="AD115" i="1"/>
  <c r="AF115" i="1"/>
  <c r="AH115" i="1"/>
  <c r="AJ115" i="1"/>
  <c r="AL115" i="1"/>
  <c r="AN115" i="1"/>
  <c r="AP115" i="1"/>
  <c r="AR115" i="1"/>
  <c r="AT115" i="1"/>
  <c r="AV115" i="1"/>
  <c r="AX115" i="1"/>
  <c r="A116" i="1"/>
  <c r="D116" i="1"/>
  <c r="F116" i="1"/>
  <c r="H116" i="1"/>
  <c r="J116" i="1"/>
  <c r="L116" i="1"/>
  <c r="N116" i="1"/>
  <c r="P116" i="1"/>
  <c r="R116" i="1"/>
  <c r="T116" i="1"/>
  <c r="V116" i="1"/>
  <c r="X116" i="1"/>
  <c r="Z116" i="1"/>
  <c r="AB116" i="1"/>
  <c r="AD116" i="1"/>
  <c r="AF116" i="1"/>
  <c r="AH116" i="1"/>
  <c r="AJ116" i="1"/>
  <c r="AL116" i="1"/>
  <c r="AN116" i="1"/>
  <c r="AP116" i="1"/>
  <c r="AR116" i="1"/>
  <c r="AT116" i="1"/>
  <c r="AV116" i="1"/>
  <c r="AX116" i="1"/>
  <c r="A117" i="1"/>
  <c r="D117" i="1"/>
  <c r="F117" i="1"/>
  <c r="H117" i="1"/>
  <c r="J117" i="1"/>
  <c r="L117" i="1"/>
  <c r="N117" i="1"/>
  <c r="P117" i="1"/>
  <c r="R117" i="1"/>
  <c r="T117" i="1"/>
  <c r="V117" i="1"/>
  <c r="X117" i="1"/>
  <c r="Z117" i="1"/>
  <c r="AB117" i="1"/>
  <c r="AD117" i="1"/>
  <c r="AF117" i="1"/>
  <c r="AH117" i="1"/>
  <c r="AJ117" i="1"/>
  <c r="AL117" i="1"/>
  <c r="AN117" i="1"/>
  <c r="AP117" i="1"/>
  <c r="AR117" i="1"/>
  <c r="AT117" i="1"/>
  <c r="AV117" i="1"/>
  <c r="AX117" i="1"/>
  <c r="A118" i="1"/>
  <c r="D118" i="1"/>
  <c r="F118" i="1"/>
  <c r="H118" i="1"/>
  <c r="J118" i="1"/>
  <c r="L118" i="1"/>
  <c r="N118" i="1"/>
  <c r="P118" i="1"/>
  <c r="R118" i="1"/>
  <c r="T118" i="1"/>
  <c r="V118" i="1"/>
  <c r="X118" i="1"/>
  <c r="Z118" i="1"/>
  <c r="AB118" i="1"/>
  <c r="AD118" i="1"/>
  <c r="AF118" i="1"/>
  <c r="AH118" i="1"/>
  <c r="AJ118" i="1"/>
  <c r="AL118" i="1"/>
  <c r="AN118" i="1"/>
  <c r="AP118" i="1"/>
  <c r="AR118" i="1"/>
  <c r="AT118" i="1"/>
  <c r="AV118" i="1"/>
  <c r="AX118" i="1"/>
  <c r="A119" i="1"/>
  <c r="D119" i="1"/>
  <c r="F119" i="1"/>
  <c r="H119" i="1"/>
  <c r="J119" i="1"/>
  <c r="L119" i="1"/>
  <c r="N119" i="1"/>
  <c r="P119" i="1"/>
  <c r="R119" i="1"/>
  <c r="T119" i="1"/>
  <c r="V119" i="1"/>
  <c r="X119" i="1"/>
  <c r="Z119" i="1"/>
  <c r="AB119" i="1"/>
  <c r="AD119" i="1"/>
  <c r="AF119" i="1"/>
  <c r="AH119" i="1"/>
  <c r="AJ119" i="1"/>
  <c r="AL119" i="1"/>
  <c r="AN119" i="1"/>
  <c r="AP119" i="1"/>
  <c r="AR119" i="1"/>
  <c r="AT119" i="1"/>
  <c r="AV119" i="1"/>
  <c r="AX119" i="1"/>
  <c r="A120" i="1"/>
  <c r="D120" i="1"/>
  <c r="F120" i="1"/>
  <c r="H120" i="1"/>
  <c r="J120" i="1"/>
  <c r="L120" i="1"/>
  <c r="N120" i="1"/>
  <c r="P120" i="1"/>
  <c r="R120" i="1"/>
  <c r="T120" i="1"/>
  <c r="V120" i="1"/>
  <c r="X120" i="1"/>
  <c r="Z120" i="1"/>
  <c r="AB120" i="1"/>
  <c r="AD120" i="1"/>
  <c r="AF120" i="1"/>
  <c r="AH120" i="1"/>
  <c r="AJ120" i="1"/>
  <c r="AL120" i="1"/>
  <c r="AN120" i="1"/>
  <c r="AP120" i="1"/>
  <c r="AR120" i="1"/>
  <c r="AT120" i="1"/>
  <c r="AV120" i="1"/>
  <c r="AX120" i="1"/>
  <c r="A121" i="1"/>
  <c r="D121" i="1"/>
  <c r="F121" i="1"/>
  <c r="H121" i="1"/>
  <c r="J121" i="1"/>
  <c r="L121" i="1"/>
  <c r="N121" i="1"/>
  <c r="P121" i="1"/>
  <c r="R121" i="1"/>
  <c r="T121" i="1"/>
  <c r="V121" i="1"/>
  <c r="X121" i="1"/>
  <c r="Z121" i="1"/>
  <c r="AB121" i="1"/>
  <c r="AD121" i="1"/>
  <c r="AF121" i="1"/>
  <c r="AH121" i="1"/>
  <c r="AJ121" i="1"/>
  <c r="AL121" i="1"/>
  <c r="AN121" i="1"/>
  <c r="AP121" i="1"/>
  <c r="AR121" i="1"/>
  <c r="AT121" i="1"/>
  <c r="AV121" i="1"/>
  <c r="AX121" i="1"/>
  <c r="A122" i="1"/>
  <c r="D122" i="1"/>
  <c r="F122" i="1"/>
  <c r="H122" i="1"/>
  <c r="J122" i="1"/>
  <c r="L122" i="1"/>
  <c r="N122" i="1"/>
  <c r="P122" i="1"/>
  <c r="R122" i="1"/>
  <c r="T122" i="1"/>
  <c r="V122" i="1"/>
  <c r="X122" i="1"/>
  <c r="Z122" i="1"/>
  <c r="AB122" i="1"/>
  <c r="AD122" i="1"/>
  <c r="AF122" i="1"/>
  <c r="AH122" i="1"/>
  <c r="AJ122" i="1"/>
  <c r="AL122" i="1"/>
  <c r="AN122" i="1"/>
  <c r="AP122" i="1"/>
  <c r="AR122" i="1"/>
  <c r="AT122" i="1"/>
  <c r="AV122" i="1"/>
  <c r="AX122" i="1"/>
  <c r="A123" i="1"/>
  <c r="D123" i="1"/>
  <c r="F123" i="1"/>
  <c r="H123" i="1"/>
  <c r="J123" i="1"/>
  <c r="L123" i="1"/>
  <c r="N123" i="1"/>
  <c r="P123" i="1"/>
  <c r="R123" i="1"/>
  <c r="T123" i="1"/>
  <c r="V123" i="1"/>
  <c r="X123" i="1"/>
  <c r="Z123" i="1"/>
  <c r="AB123" i="1"/>
  <c r="AD123" i="1"/>
  <c r="AF123" i="1"/>
  <c r="AH123" i="1"/>
  <c r="AJ123" i="1"/>
  <c r="AL123" i="1"/>
  <c r="AN123" i="1"/>
  <c r="AP123" i="1"/>
  <c r="AR123" i="1"/>
  <c r="AT123" i="1"/>
  <c r="AV123" i="1"/>
  <c r="AX123" i="1"/>
  <c r="A124" i="1"/>
  <c r="D124" i="1"/>
  <c r="F124" i="1"/>
  <c r="H124" i="1"/>
  <c r="J124" i="1"/>
  <c r="L124" i="1"/>
  <c r="N124" i="1"/>
  <c r="P124" i="1"/>
  <c r="R124" i="1"/>
  <c r="T124" i="1"/>
  <c r="V124" i="1"/>
  <c r="X124" i="1"/>
  <c r="Z124" i="1"/>
  <c r="AB124" i="1"/>
  <c r="AD124" i="1"/>
  <c r="AF124" i="1"/>
  <c r="AH124" i="1"/>
  <c r="AJ124" i="1"/>
  <c r="AL124" i="1"/>
  <c r="AN124" i="1"/>
  <c r="AP124" i="1"/>
  <c r="AR124" i="1"/>
  <c r="AT124" i="1"/>
  <c r="AV124" i="1"/>
  <c r="AX124" i="1"/>
  <c r="A125" i="1"/>
  <c r="D125" i="1"/>
  <c r="F125" i="1"/>
  <c r="H125" i="1"/>
  <c r="J125" i="1"/>
  <c r="L125" i="1"/>
  <c r="N125" i="1"/>
  <c r="P125" i="1"/>
  <c r="R125" i="1"/>
  <c r="T125" i="1"/>
  <c r="V125" i="1"/>
  <c r="X125" i="1"/>
  <c r="Z125" i="1"/>
  <c r="AB125" i="1"/>
  <c r="AD125" i="1"/>
  <c r="AF125" i="1"/>
  <c r="AH125" i="1"/>
  <c r="AJ125" i="1"/>
  <c r="AL125" i="1"/>
  <c r="AN125" i="1"/>
  <c r="AP125" i="1"/>
  <c r="AR125" i="1"/>
  <c r="AT125" i="1"/>
  <c r="AV125" i="1"/>
  <c r="AX125" i="1"/>
  <c r="A126" i="1"/>
  <c r="D126" i="1"/>
  <c r="F126" i="1"/>
  <c r="H126" i="1"/>
  <c r="J126" i="1"/>
  <c r="L126" i="1"/>
  <c r="N126" i="1"/>
  <c r="P126" i="1"/>
  <c r="R126" i="1"/>
  <c r="T126" i="1"/>
  <c r="V126" i="1"/>
  <c r="X126" i="1"/>
  <c r="Z126" i="1"/>
  <c r="AB126" i="1"/>
  <c r="AD126" i="1"/>
  <c r="AF126" i="1"/>
  <c r="AH126" i="1"/>
  <c r="AJ126" i="1"/>
  <c r="AL126" i="1"/>
  <c r="AN126" i="1"/>
  <c r="AP126" i="1"/>
  <c r="AR126" i="1"/>
  <c r="AT126" i="1"/>
  <c r="AV126" i="1"/>
  <c r="AX126" i="1"/>
  <c r="A127" i="1"/>
  <c r="D127" i="1"/>
  <c r="F127" i="1"/>
  <c r="H127" i="1"/>
  <c r="J127" i="1"/>
  <c r="L127" i="1"/>
  <c r="N127" i="1"/>
  <c r="P127" i="1"/>
  <c r="R127" i="1"/>
  <c r="T127" i="1"/>
  <c r="V127" i="1"/>
  <c r="X127" i="1"/>
  <c r="Z127" i="1"/>
  <c r="AB127" i="1"/>
  <c r="AD127" i="1"/>
  <c r="AF127" i="1"/>
  <c r="AH127" i="1"/>
  <c r="AJ127" i="1"/>
  <c r="AL127" i="1"/>
  <c r="AN127" i="1"/>
  <c r="AP127" i="1"/>
  <c r="AR127" i="1"/>
  <c r="AT127" i="1"/>
  <c r="AV127" i="1"/>
  <c r="AX127" i="1"/>
  <c r="A128" i="1"/>
  <c r="D128" i="1"/>
  <c r="F128" i="1"/>
  <c r="H128" i="1"/>
  <c r="J128" i="1"/>
  <c r="L128" i="1"/>
  <c r="N128" i="1"/>
  <c r="P128" i="1"/>
  <c r="R128" i="1"/>
  <c r="T128" i="1"/>
  <c r="V128" i="1"/>
  <c r="X128" i="1"/>
  <c r="Z128" i="1"/>
  <c r="AB128" i="1"/>
  <c r="AD128" i="1"/>
  <c r="AF128" i="1"/>
  <c r="AH128" i="1"/>
  <c r="AJ128" i="1"/>
  <c r="AL128" i="1"/>
  <c r="AN128" i="1"/>
  <c r="AP128" i="1"/>
  <c r="AR128" i="1"/>
  <c r="AT128" i="1"/>
  <c r="AV128" i="1"/>
  <c r="AX128" i="1"/>
  <c r="A129" i="1"/>
  <c r="D129" i="1"/>
  <c r="F129" i="1"/>
  <c r="H129" i="1"/>
  <c r="J129" i="1"/>
  <c r="L129" i="1"/>
  <c r="N129" i="1"/>
  <c r="P129" i="1"/>
  <c r="R129" i="1"/>
  <c r="T129" i="1"/>
  <c r="V129" i="1"/>
  <c r="X129" i="1"/>
  <c r="Z129" i="1"/>
  <c r="AB129" i="1"/>
  <c r="AD129" i="1"/>
  <c r="AF129" i="1"/>
  <c r="AH129" i="1"/>
  <c r="AJ129" i="1"/>
  <c r="AL129" i="1"/>
  <c r="AN129" i="1"/>
  <c r="AP129" i="1"/>
  <c r="AR129" i="1"/>
  <c r="AT129" i="1"/>
  <c r="AV129" i="1"/>
  <c r="AX129" i="1"/>
  <c r="A130" i="1"/>
  <c r="D130" i="1"/>
  <c r="F130" i="1"/>
  <c r="H130" i="1"/>
  <c r="J130" i="1"/>
  <c r="L130" i="1"/>
  <c r="N130" i="1"/>
  <c r="P130" i="1"/>
  <c r="R130" i="1"/>
  <c r="T130" i="1"/>
  <c r="V130" i="1"/>
  <c r="X130" i="1"/>
  <c r="Z130" i="1"/>
  <c r="AB130" i="1"/>
  <c r="AD130" i="1"/>
  <c r="AF130" i="1"/>
  <c r="AH130" i="1"/>
  <c r="AJ130" i="1"/>
  <c r="AL130" i="1"/>
  <c r="AN130" i="1"/>
  <c r="AP130" i="1"/>
  <c r="AR130" i="1"/>
  <c r="AT130" i="1"/>
  <c r="AV130" i="1"/>
  <c r="AX130" i="1"/>
  <c r="A131" i="1"/>
  <c r="D131" i="1"/>
  <c r="F131" i="1"/>
  <c r="H131" i="1"/>
  <c r="J131" i="1"/>
  <c r="L131" i="1"/>
  <c r="N131" i="1"/>
  <c r="P131" i="1"/>
  <c r="R131" i="1"/>
  <c r="T131" i="1"/>
  <c r="V131" i="1"/>
  <c r="X131" i="1"/>
  <c r="Z131" i="1"/>
  <c r="AB131" i="1"/>
  <c r="AD131" i="1"/>
  <c r="AF131" i="1"/>
  <c r="AH131" i="1"/>
  <c r="AJ131" i="1"/>
  <c r="AL131" i="1"/>
  <c r="AN131" i="1"/>
  <c r="AP131" i="1"/>
  <c r="AR131" i="1"/>
  <c r="AT131" i="1"/>
  <c r="AV131" i="1"/>
  <c r="AX131" i="1"/>
  <c r="A132" i="1"/>
  <c r="D132" i="1"/>
  <c r="F132" i="1"/>
  <c r="H132" i="1"/>
  <c r="J132" i="1"/>
  <c r="L132" i="1"/>
  <c r="N132" i="1"/>
  <c r="P132" i="1"/>
  <c r="R132" i="1"/>
  <c r="T132" i="1"/>
  <c r="V132" i="1"/>
  <c r="X132" i="1"/>
  <c r="Z132" i="1"/>
  <c r="AB132" i="1"/>
  <c r="AD132" i="1"/>
  <c r="AF132" i="1"/>
  <c r="AH132" i="1"/>
  <c r="AJ132" i="1"/>
  <c r="AL132" i="1"/>
  <c r="AN132" i="1"/>
  <c r="AP132" i="1"/>
  <c r="AR132" i="1"/>
  <c r="AT132" i="1"/>
  <c r="AV132" i="1"/>
  <c r="AX132" i="1"/>
  <c r="A133" i="1"/>
  <c r="D133" i="1"/>
  <c r="F133" i="1"/>
  <c r="H133" i="1"/>
  <c r="J133" i="1"/>
  <c r="L133" i="1"/>
  <c r="N133" i="1"/>
  <c r="P133" i="1"/>
  <c r="R133" i="1"/>
  <c r="T133" i="1"/>
  <c r="V133" i="1"/>
  <c r="X133" i="1"/>
  <c r="Z133" i="1"/>
  <c r="AB133" i="1"/>
  <c r="AD133" i="1"/>
  <c r="AF133" i="1"/>
  <c r="AH133" i="1"/>
  <c r="AJ133" i="1"/>
  <c r="AL133" i="1"/>
  <c r="AN133" i="1"/>
  <c r="AP133" i="1"/>
  <c r="AR133" i="1"/>
  <c r="AT133" i="1"/>
  <c r="AV133" i="1"/>
  <c r="AX133" i="1"/>
  <c r="A134" i="1"/>
  <c r="D134" i="1"/>
  <c r="F134" i="1"/>
  <c r="H134" i="1"/>
  <c r="J134" i="1"/>
  <c r="L134" i="1"/>
  <c r="N134" i="1"/>
  <c r="P134" i="1"/>
  <c r="R134" i="1"/>
  <c r="T134" i="1"/>
  <c r="V134" i="1"/>
  <c r="X134" i="1"/>
  <c r="Z134" i="1"/>
  <c r="AB134" i="1"/>
  <c r="AD134" i="1"/>
  <c r="AF134" i="1"/>
  <c r="AH134" i="1"/>
  <c r="AJ134" i="1"/>
  <c r="AL134" i="1"/>
  <c r="AN134" i="1"/>
  <c r="AP134" i="1"/>
  <c r="AR134" i="1"/>
  <c r="AT134" i="1"/>
  <c r="AV134" i="1"/>
  <c r="AX134" i="1"/>
  <c r="A135" i="1"/>
  <c r="D135" i="1"/>
  <c r="F135" i="1"/>
  <c r="H135" i="1"/>
  <c r="J135" i="1"/>
  <c r="L135" i="1"/>
  <c r="N135" i="1"/>
  <c r="P135" i="1"/>
  <c r="R135" i="1"/>
  <c r="T135" i="1"/>
  <c r="V135" i="1"/>
  <c r="X135" i="1"/>
  <c r="Z135" i="1"/>
  <c r="AB135" i="1"/>
  <c r="AD135" i="1"/>
  <c r="AF135" i="1"/>
  <c r="AH135" i="1"/>
  <c r="AJ135" i="1"/>
  <c r="AL135" i="1"/>
  <c r="AN135" i="1"/>
  <c r="AP135" i="1"/>
  <c r="AR135" i="1"/>
  <c r="AT135" i="1"/>
  <c r="AV135" i="1"/>
  <c r="AX135" i="1"/>
  <c r="A136" i="1"/>
  <c r="D136" i="1"/>
  <c r="F136" i="1"/>
  <c r="H136" i="1"/>
  <c r="J136" i="1"/>
  <c r="L136" i="1"/>
  <c r="N136" i="1"/>
  <c r="P136" i="1"/>
  <c r="R136" i="1"/>
  <c r="T136" i="1"/>
  <c r="V136" i="1"/>
  <c r="X136" i="1"/>
  <c r="Z136" i="1"/>
  <c r="AB136" i="1"/>
  <c r="AD136" i="1"/>
  <c r="AF136" i="1"/>
  <c r="AH136" i="1"/>
  <c r="AJ136" i="1"/>
  <c r="AL136" i="1"/>
  <c r="AN136" i="1"/>
  <c r="AP136" i="1"/>
  <c r="AR136" i="1"/>
  <c r="AT136" i="1"/>
  <c r="AV136" i="1"/>
  <c r="AX136" i="1"/>
  <c r="A137" i="1"/>
  <c r="D137" i="1"/>
  <c r="F137" i="1"/>
  <c r="H137" i="1"/>
  <c r="J137" i="1"/>
  <c r="L137" i="1"/>
  <c r="N137" i="1"/>
  <c r="P137" i="1"/>
  <c r="R137" i="1"/>
  <c r="T137" i="1"/>
  <c r="V137" i="1"/>
  <c r="X137" i="1"/>
  <c r="Z137" i="1"/>
  <c r="AB137" i="1"/>
  <c r="AD137" i="1"/>
  <c r="AF137" i="1"/>
  <c r="AH137" i="1"/>
  <c r="AJ137" i="1"/>
  <c r="AL137" i="1"/>
  <c r="AN137" i="1"/>
  <c r="AP137" i="1"/>
  <c r="AR137" i="1"/>
  <c r="AT137" i="1"/>
  <c r="AV137" i="1"/>
  <c r="AX137" i="1"/>
  <c r="A138" i="1"/>
  <c r="D138" i="1"/>
  <c r="F138" i="1"/>
  <c r="H138" i="1"/>
  <c r="J138" i="1"/>
  <c r="L138" i="1"/>
  <c r="N138" i="1"/>
  <c r="P138" i="1"/>
  <c r="R138" i="1"/>
  <c r="T138" i="1"/>
  <c r="V138" i="1"/>
  <c r="X138" i="1"/>
  <c r="Z138" i="1"/>
  <c r="AB138" i="1"/>
  <c r="AD138" i="1"/>
  <c r="AF138" i="1"/>
  <c r="AH138" i="1"/>
  <c r="AJ138" i="1"/>
  <c r="AL138" i="1"/>
  <c r="AN138" i="1"/>
  <c r="AP138" i="1"/>
  <c r="AR138" i="1"/>
  <c r="AT138" i="1"/>
  <c r="AV138" i="1"/>
  <c r="AX138" i="1"/>
  <c r="A139" i="1"/>
  <c r="D139" i="1"/>
  <c r="F139" i="1"/>
  <c r="H139" i="1"/>
  <c r="J139" i="1"/>
  <c r="L139" i="1"/>
  <c r="N139" i="1"/>
  <c r="P139" i="1"/>
  <c r="R139" i="1"/>
  <c r="T139" i="1"/>
  <c r="V139" i="1"/>
  <c r="X139" i="1"/>
  <c r="Z139" i="1"/>
  <c r="AB139" i="1"/>
  <c r="AD139" i="1"/>
  <c r="AF139" i="1"/>
  <c r="AH139" i="1"/>
  <c r="AJ139" i="1"/>
  <c r="AL139" i="1"/>
  <c r="AN139" i="1"/>
  <c r="AP139" i="1"/>
  <c r="AR139" i="1"/>
  <c r="AT139" i="1"/>
  <c r="AV139" i="1"/>
  <c r="AX139" i="1"/>
  <c r="A142" i="1"/>
  <c r="D142" i="1"/>
  <c r="F142" i="1"/>
  <c r="H142" i="1"/>
  <c r="J142" i="1"/>
  <c r="L142" i="1"/>
  <c r="N142" i="1"/>
  <c r="P142" i="1"/>
  <c r="R142" i="1"/>
  <c r="T142" i="1"/>
  <c r="V142" i="1"/>
  <c r="X142" i="1"/>
  <c r="Z142" i="1"/>
  <c r="AB142" i="1"/>
  <c r="AD142" i="1"/>
  <c r="AF142" i="1"/>
  <c r="AH142" i="1"/>
  <c r="AJ142" i="1"/>
  <c r="AL142" i="1"/>
  <c r="AN142" i="1"/>
  <c r="AP142" i="1"/>
  <c r="AR142" i="1"/>
  <c r="AT142" i="1"/>
  <c r="AV142" i="1"/>
  <c r="AX142" i="1"/>
  <c r="A143" i="1"/>
  <c r="D143" i="1"/>
  <c r="F143" i="1"/>
  <c r="H143" i="1"/>
  <c r="J143" i="1"/>
  <c r="L143" i="1"/>
  <c r="N143" i="1"/>
  <c r="P143" i="1"/>
  <c r="R143" i="1"/>
  <c r="T143" i="1"/>
  <c r="V143" i="1"/>
  <c r="X143" i="1"/>
  <c r="Z143" i="1"/>
  <c r="AB143" i="1"/>
  <c r="AD143" i="1"/>
  <c r="AF143" i="1"/>
  <c r="AH143" i="1"/>
  <c r="AJ143" i="1"/>
  <c r="AL143" i="1"/>
  <c r="AN143" i="1"/>
  <c r="AP143" i="1"/>
  <c r="AR143" i="1"/>
  <c r="AT143" i="1"/>
  <c r="AV143" i="1"/>
  <c r="AX143" i="1"/>
  <c r="A144" i="1"/>
  <c r="D144" i="1"/>
  <c r="F144" i="1"/>
  <c r="H144" i="1"/>
  <c r="J144" i="1"/>
  <c r="L144" i="1"/>
  <c r="N144" i="1"/>
  <c r="P144" i="1"/>
  <c r="R144" i="1"/>
  <c r="T144" i="1"/>
  <c r="V144" i="1"/>
  <c r="X144" i="1"/>
  <c r="Z144" i="1"/>
  <c r="AB144" i="1"/>
  <c r="AD144" i="1"/>
  <c r="AF144" i="1"/>
  <c r="AH144" i="1"/>
  <c r="AJ144" i="1"/>
  <c r="AL144" i="1"/>
  <c r="AN144" i="1"/>
  <c r="AP144" i="1"/>
  <c r="AR144" i="1"/>
  <c r="AT144" i="1"/>
  <c r="AV144" i="1"/>
  <c r="AX144" i="1"/>
  <c r="A145" i="1"/>
  <c r="D145" i="1"/>
  <c r="F145" i="1"/>
  <c r="H145" i="1"/>
  <c r="J145" i="1"/>
  <c r="L145" i="1"/>
  <c r="N145" i="1"/>
  <c r="P145" i="1"/>
  <c r="R145" i="1"/>
  <c r="T145" i="1"/>
  <c r="V145" i="1"/>
  <c r="X145" i="1"/>
  <c r="Z145" i="1"/>
  <c r="AB145" i="1"/>
  <c r="AD145" i="1"/>
  <c r="AF145" i="1"/>
  <c r="AH145" i="1"/>
  <c r="AJ145" i="1"/>
  <c r="AL145" i="1"/>
  <c r="AN145" i="1"/>
  <c r="AP145" i="1"/>
  <c r="AR145" i="1"/>
  <c r="AT145" i="1"/>
  <c r="AV145" i="1"/>
  <c r="AX145" i="1"/>
  <c r="A146" i="1"/>
  <c r="D146" i="1"/>
  <c r="F146" i="1"/>
  <c r="H146" i="1"/>
  <c r="J146" i="1"/>
  <c r="L146" i="1"/>
  <c r="N146" i="1"/>
  <c r="P146" i="1"/>
  <c r="R146" i="1"/>
  <c r="T146" i="1"/>
  <c r="V146" i="1"/>
  <c r="X146" i="1"/>
  <c r="Z146" i="1"/>
  <c r="AB146" i="1"/>
  <c r="AD146" i="1"/>
  <c r="AF146" i="1"/>
  <c r="AH146" i="1"/>
  <c r="AJ146" i="1"/>
  <c r="AL146" i="1"/>
  <c r="AN146" i="1"/>
  <c r="AP146" i="1"/>
  <c r="AR146" i="1"/>
  <c r="AT146" i="1"/>
  <c r="AV146" i="1"/>
  <c r="AX146" i="1"/>
  <c r="A147" i="1"/>
  <c r="D147" i="1"/>
  <c r="F147" i="1"/>
  <c r="H147" i="1"/>
  <c r="J147" i="1"/>
  <c r="L147" i="1"/>
  <c r="N147" i="1"/>
  <c r="P147" i="1"/>
  <c r="R147" i="1"/>
  <c r="T147" i="1"/>
  <c r="V147" i="1"/>
  <c r="X147" i="1"/>
  <c r="Z147" i="1"/>
  <c r="AB147" i="1"/>
  <c r="AD147" i="1"/>
  <c r="AF147" i="1"/>
  <c r="AH147" i="1"/>
  <c r="AJ147" i="1"/>
  <c r="AL147" i="1"/>
  <c r="AN147" i="1"/>
  <c r="AP147" i="1"/>
  <c r="AR147" i="1"/>
  <c r="AT147" i="1"/>
  <c r="AV147" i="1"/>
  <c r="AX147" i="1"/>
  <c r="A148" i="1"/>
  <c r="D148" i="1"/>
  <c r="F148" i="1"/>
  <c r="H148" i="1"/>
  <c r="J148" i="1"/>
  <c r="L148" i="1"/>
  <c r="N148" i="1"/>
  <c r="P148" i="1"/>
  <c r="R148" i="1"/>
  <c r="T148" i="1"/>
  <c r="V148" i="1"/>
  <c r="X148" i="1"/>
  <c r="Z148" i="1"/>
  <c r="AB148" i="1"/>
  <c r="AD148" i="1"/>
  <c r="AF148" i="1"/>
  <c r="AH148" i="1"/>
  <c r="AJ148" i="1"/>
  <c r="AL148" i="1"/>
  <c r="AN148" i="1"/>
  <c r="AP148" i="1"/>
  <c r="AR148" i="1"/>
  <c r="AT148" i="1"/>
  <c r="AV148" i="1"/>
  <c r="AX148" i="1"/>
  <c r="A149" i="1"/>
  <c r="D149" i="1"/>
  <c r="F149" i="1"/>
  <c r="H149" i="1"/>
  <c r="J149" i="1"/>
  <c r="L149" i="1"/>
  <c r="N149" i="1"/>
  <c r="P149" i="1"/>
  <c r="R149" i="1"/>
  <c r="T149" i="1"/>
  <c r="V149" i="1"/>
  <c r="X149" i="1"/>
  <c r="Z149" i="1"/>
  <c r="AB149" i="1"/>
  <c r="AD149" i="1"/>
  <c r="AF149" i="1"/>
  <c r="AH149" i="1"/>
  <c r="AJ149" i="1"/>
  <c r="AL149" i="1"/>
  <c r="AN149" i="1"/>
  <c r="AP149" i="1"/>
  <c r="AR149" i="1"/>
  <c r="AT149" i="1"/>
  <c r="AV149" i="1"/>
  <c r="AX149" i="1"/>
  <c r="A150" i="1"/>
  <c r="D150" i="1"/>
  <c r="F150" i="1"/>
  <c r="H150" i="1"/>
  <c r="J150" i="1"/>
  <c r="L150" i="1"/>
  <c r="N150" i="1"/>
  <c r="P150" i="1"/>
  <c r="R150" i="1"/>
  <c r="T150" i="1"/>
  <c r="V150" i="1"/>
  <c r="X150" i="1"/>
  <c r="Z150" i="1"/>
  <c r="AB150" i="1"/>
  <c r="AD150" i="1"/>
  <c r="AF150" i="1"/>
  <c r="AH150" i="1"/>
  <c r="AJ150" i="1"/>
  <c r="AL150" i="1"/>
  <c r="AN150" i="1"/>
  <c r="AP150" i="1"/>
  <c r="AR150" i="1"/>
  <c r="AT150" i="1"/>
  <c r="AV150" i="1"/>
  <c r="AX150" i="1"/>
  <c r="A151" i="1"/>
  <c r="D151" i="1"/>
  <c r="F151" i="1"/>
  <c r="H151" i="1"/>
  <c r="J151" i="1"/>
  <c r="L151" i="1"/>
  <c r="N151" i="1"/>
  <c r="P151" i="1"/>
  <c r="R151" i="1"/>
  <c r="T151" i="1"/>
  <c r="V151" i="1"/>
  <c r="X151" i="1"/>
  <c r="Z151" i="1"/>
  <c r="AB151" i="1"/>
  <c r="AD151" i="1"/>
  <c r="AF151" i="1"/>
  <c r="AH151" i="1"/>
  <c r="AJ151" i="1"/>
  <c r="AL151" i="1"/>
  <c r="AN151" i="1"/>
  <c r="AP151" i="1"/>
  <c r="AR151" i="1"/>
  <c r="AT151" i="1"/>
  <c r="AV151" i="1"/>
  <c r="AX151" i="1"/>
  <c r="A152" i="1"/>
  <c r="D152" i="1"/>
  <c r="F152" i="1"/>
  <c r="H152" i="1"/>
  <c r="J152" i="1"/>
  <c r="L152" i="1"/>
  <c r="N152" i="1"/>
  <c r="P152" i="1"/>
  <c r="R152" i="1"/>
  <c r="T152" i="1"/>
  <c r="V152" i="1"/>
  <c r="X152" i="1"/>
  <c r="Z152" i="1"/>
  <c r="AB152" i="1"/>
  <c r="AD152" i="1"/>
  <c r="AF152" i="1"/>
  <c r="AH152" i="1"/>
  <c r="AJ152" i="1"/>
  <c r="AL152" i="1"/>
  <c r="AN152" i="1"/>
  <c r="AP152" i="1"/>
  <c r="AR152" i="1"/>
  <c r="AT152" i="1"/>
  <c r="AV152" i="1"/>
  <c r="AX152" i="1"/>
  <c r="A153" i="1"/>
  <c r="D153" i="1"/>
  <c r="F153" i="1"/>
  <c r="H153" i="1"/>
  <c r="J153" i="1"/>
  <c r="L153" i="1"/>
  <c r="N153" i="1"/>
  <c r="P153" i="1"/>
  <c r="R153" i="1"/>
  <c r="T153" i="1"/>
  <c r="V153" i="1"/>
  <c r="X153" i="1"/>
  <c r="Z153" i="1"/>
  <c r="AB153" i="1"/>
  <c r="AD153" i="1"/>
  <c r="AF153" i="1"/>
  <c r="AH153" i="1"/>
  <c r="AJ153" i="1"/>
  <c r="AL153" i="1"/>
  <c r="AN153" i="1"/>
  <c r="AP153" i="1"/>
  <c r="AR153" i="1"/>
  <c r="AT153" i="1"/>
  <c r="AV153" i="1"/>
  <c r="AX153" i="1"/>
  <c r="A154" i="1"/>
  <c r="D154" i="1"/>
  <c r="F154" i="1"/>
  <c r="H154" i="1"/>
  <c r="J154" i="1"/>
  <c r="L154" i="1"/>
  <c r="N154" i="1"/>
  <c r="P154" i="1"/>
  <c r="R154" i="1"/>
  <c r="T154" i="1"/>
  <c r="V154" i="1"/>
  <c r="X154" i="1"/>
  <c r="Z154" i="1"/>
  <c r="AB154" i="1"/>
  <c r="AD154" i="1"/>
  <c r="AF154" i="1"/>
  <c r="AH154" i="1"/>
  <c r="AJ154" i="1"/>
  <c r="AL154" i="1"/>
  <c r="AN154" i="1"/>
  <c r="AP154" i="1"/>
  <c r="AR154" i="1"/>
  <c r="AT154" i="1"/>
  <c r="AV154" i="1"/>
  <c r="AX154" i="1"/>
  <c r="A155" i="1"/>
  <c r="D155" i="1"/>
  <c r="F155" i="1"/>
  <c r="H155" i="1"/>
  <c r="J155" i="1"/>
  <c r="L155" i="1"/>
  <c r="N155" i="1"/>
  <c r="P155" i="1"/>
  <c r="R155" i="1"/>
  <c r="T155" i="1"/>
  <c r="V155" i="1"/>
  <c r="X155" i="1"/>
  <c r="Z155" i="1"/>
  <c r="AB155" i="1"/>
  <c r="AD155" i="1"/>
  <c r="AF155" i="1"/>
  <c r="AH155" i="1"/>
  <c r="AJ155" i="1"/>
  <c r="AL155" i="1"/>
  <c r="AN155" i="1"/>
  <c r="AP155" i="1"/>
  <c r="AR155" i="1"/>
  <c r="AT155" i="1"/>
  <c r="AV155" i="1"/>
  <c r="AX155" i="1"/>
  <c r="A156" i="1"/>
  <c r="D156" i="1"/>
  <c r="F156" i="1"/>
  <c r="H156" i="1"/>
  <c r="J156" i="1"/>
  <c r="L156" i="1"/>
  <c r="N156" i="1"/>
  <c r="P156" i="1"/>
  <c r="R156" i="1"/>
  <c r="T156" i="1"/>
  <c r="V156" i="1"/>
  <c r="X156" i="1"/>
  <c r="Z156" i="1"/>
  <c r="AB156" i="1"/>
  <c r="AD156" i="1"/>
  <c r="AF156" i="1"/>
  <c r="AH156" i="1"/>
  <c r="AJ156" i="1"/>
  <c r="AL156" i="1"/>
  <c r="AN156" i="1"/>
  <c r="AP156" i="1"/>
  <c r="AR156" i="1"/>
  <c r="AT156" i="1"/>
  <c r="AV156" i="1"/>
  <c r="AX156" i="1"/>
  <c r="A157" i="1"/>
  <c r="D157" i="1"/>
  <c r="F157" i="1"/>
  <c r="H157" i="1"/>
  <c r="J157" i="1"/>
  <c r="L157" i="1"/>
  <c r="N157" i="1"/>
  <c r="P157" i="1"/>
  <c r="R157" i="1"/>
  <c r="T157" i="1"/>
  <c r="V157" i="1"/>
  <c r="X157" i="1"/>
  <c r="Z157" i="1"/>
  <c r="AB157" i="1"/>
  <c r="AD157" i="1"/>
  <c r="AF157" i="1"/>
  <c r="AH157" i="1"/>
  <c r="AJ157" i="1"/>
  <c r="AL157" i="1"/>
  <c r="AN157" i="1"/>
  <c r="AP157" i="1"/>
  <c r="AR157" i="1"/>
  <c r="AT157" i="1"/>
  <c r="AV157" i="1"/>
  <c r="AX157" i="1"/>
  <c r="A158" i="1"/>
  <c r="D158" i="1"/>
  <c r="F158" i="1"/>
  <c r="H158" i="1"/>
  <c r="J158" i="1"/>
  <c r="L158" i="1"/>
  <c r="N158" i="1"/>
  <c r="P158" i="1"/>
  <c r="R158" i="1"/>
  <c r="T158" i="1"/>
  <c r="V158" i="1"/>
  <c r="X158" i="1"/>
  <c r="Z158" i="1"/>
  <c r="AB158" i="1"/>
  <c r="AD158" i="1"/>
  <c r="AF158" i="1"/>
  <c r="AH158" i="1"/>
  <c r="AJ158" i="1"/>
  <c r="AL158" i="1"/>
  <c r="AN158" i="1"/>
  <c r="AP158" i="1"/>
  <c r="AR158" i="1"/>
  <c r="AT158" i="1"/>
  <c r="AV158" i="1"/>
  <c r="AX158" i="1"/>
  <c r="A159" i="1"/>
  <c r="D159" i="1"/>
  <c r="F159" i="1"/>
  <c r="H159" i="1"/>
  <c r="J159" i="1"/>
  <c r="L159" i="1"/>
  <c r="N159" i="1"/>
  <c r="P159" i="1"/>
  <c r="R159" i="1"/>
  <c r="T159" i="1"/>
  <c r="V159" i="1"/>
  <c r="X159" i="1"/>
  <c r="Z159" i="1"/>
  <c r="AB159" i="1"/>
  <c r="AD159" i="1"/>
  <c r="AF159" i="1"/>
  <c r="AH159" i="1"/>
  <c r="AJ159" i="1"/>
  <c r="AL159" i="1"/>
  <c r="AN159" i="1"/>
  <c r="AP159" i="1"/>
  <c r="AR159" i="1"/>
  <c r="AT159" i="1"/>
  <c r="AV159" i="1"/>
  <c r="AX159" i="1"/>
  <c r="A160" i="1"/>
  <c r="D160" i="1"/>
  <c r="F160" i="1"/>
  <c r="H160" i="1"/>
  <c r="J160" i="1"/>
  <c r="L160" i="1"/>
  <c r="N160" i="1"/>
  <c r="P160" i="1"/>
  <c r="R160" i="1"/>
  <c r="T160" i="1"/>
  <c r="V160" i="1"/>
  <c r="X160" i="1"/>
  <c r="Z160" i="1"/>
  <c r="AB160" i="1"/>
  <c r="AD160" i="1"/>
  <c r="AF160" i="1"/>
  <c r="AH160" i="1"/>
  <c r="AJ160" i="1"/>
  <c r="AL160" i="1"/>
  <c r="AN160" i="1"/>
  <c r="AP160" i="1"/>
  <c r="AR160" i="1"/>
  <c r="AT160" i="1"/>
  <c r="AV160" i="1"/>
  <c r="AX160" i="1"/>
  <c r="A161" i="1"/>
  <c r="D161" i="1"/>
  <c r="F161" i="1"/>
  <c r="H161" i="1"/>
  <c r="J161" i="1"/>
  <c r="L161" i="1"/>
  <c r="N161" i="1"/>
  <c r="P161" i="1"/>
  <c r="R161" i="1"/>
  <c r="T161" i="1"/>
  <c r="V161" i="1"/>
  <c r="X161" i="1"/>
  <c r="Z161" i="1"/>
  <c r="AB161" i="1"/>
  <c r="AD161" i="1"/>
  <c r="AF161" i="1"/>
  <c r="AH161" i="1"/>
  <c r="AJ161" i="1"/>
  <c r="AL161" i="1"/>
  <c r="AN161" i="1"/>
  <c r="AP161" i="1"/>
  <c r="AR161" i="1"/>
  <c r="AT161" i="1"/>
  <c r="AV161" i="1"/>
  <c r="AX161" i="1"/>
  <c r="A162" i="1"/>
  <c r="D162" i="1"/>
  <c r="F162" i="1"/>
  <c r="H162" i="1"/>
  <c r="J162" i="1"/>
  <c r="L162" i="1"/>
  <c r="N162" i="1"/>
  <c r="P162" i="1"/>
  <c r="R162" i="1"/>
  <c r="T162" i="1"/>
  <c r="V162" i="1"/>
  <c r="X162" i="1"/>
  <c r="Z162" i="1"/>
  <c r="AB162" i="1"/>
  <c r="AD162" i="1"/>
  <c r="AF162" i="1"/>
  <c r="AH162" i="1"/>
  <c r="AJ162" i="1"/>
  <c r="AL162" i="1"/>
  <c r="AN162" i="1"/>
  <c r="AP162" i="1"/>
  <c r="AR162" i="1"/>
  <c r="AT162" i="1"/>
  <c r="AV162" i="1"/>
  <c r="AX162" i="1"/>
  <c r="A163" i="1"/>
  <c r="D163" i="1"/>
  <c r="F163" i="1"/>
  <c r="H163" i="1"/>
  <c r="J163" i="1"/>
  <c r="L163" i="1"/>
  <c r="N163" i="1"/>
  <c r="P163" i="1"/>
  <c r="R163" i="1"/>
  <c r="T163" i="1"/>
  <c r="V163" i="1"/>
  <c r="X163" i="1"/>
  <c r="Z163" i="1"/>
  <c r="AB163" i="1"/>
  <c r="AD163" i="1"/>
  <c r="AF163" i="1"/>
  <c r="AH163" i="1"/>
  <c r="AJ163" i="1"/>
  <c r="AL163" i="1"/>
  <c r="AN163" i="1"/>
  <c r="AP163" i="1"/>
  <c r="AR163" i="1"/>
  <c r="AT163" i="1"/>
  <c r="AV163" i="1"/>
  <c r="AX163" i="1"/>
  <c r="A164" i="1"/>
  <c r="D164" i="1"/>
  <c r="F164" i="1"/>
  <c r="H164" i="1"/>
  <c r="J164" i="1"/>
  <c r="L164" i="1"/>
  <c r="N164" i="1"/>
  <c r="P164" i="1"/>
  <c r="R164" i="1"/>
  <c r="T164" i="1"/>
  <c r="V164" i="1"/>
  <c r="X164" i="1"/>
  <c r="Z164" i="1"/>
  <c r="AB164" i="1"/>
  <c r="AD164" i="1"/>
  <c r="AF164" i="1"/>
  <c r="AH164" i="1"/>
  <c r="AJ164" i="1"/>
  <c r="AL164" i="1"/>
  <c r="AN164" i="1"/>
  <c r="AP164" i="1"/>
  <c r="AR164" i="1"/>
  <c r="AT164" i="1"/>
  <c r="AV164" i="1"/>
  <c r="AX164" i="1"/>
  <c r="A165" i="1"/>
  <c r="D165" i="1"/>
  <c r="F165" i="1"/>
  <c r="H165" i="1"/>
  <c r="J165" i="1"/>
  <c r="L165" i="1"/>
  <c r="N165" i="1"/>
  <c r="P165" i="1"/>
  <c r="R165" i="1"/>
  <c r="T165" i="1"/>
  <c r="V165" i="1"/>
  <c r="X165" i="1"/>
  <c r="Z165" i="1"/>
  <c r="AB165" i="1"/>
  <c r="AD165" i="1"/>
  <c r="AF165" i="1"/>
  <c r="AH165" i="1"/>
  <c r="AJ165" i="1"/>
  <c r="AL165" i="1"/>
  <c r="AN165" i="1"/>
  <c r="AP165" i="1"/>
  <c r="AR165" i="1"/>
  <c r="AT165" i="1"/>
  <c r="AV165" i="1"/>
  <c r="AX165" i="1"/>
  <c r="A166" i="1"/>
  <c r="D166" i="1"/>
  <c r="F166" i="1"/>
  <c r="H166" i="1"/>
  <c r="J166" i="1"/>
  <c r="L166" i="1"/>
  <c r="N166" i="1"/>
  <c r="P166" i="1"/>
  <c r="R166" i="1"/>
  <c r="T166" i="1"/>
  <c r="V166" i="1"/>
  <c r="X166" i="1"/>
  <c r="Z166" i="1"/>
  <c r="AB166" i="1"/>
  <c r="AD166" i="1"/>
  <c r="AF166" i="1"/>
  <c r="AH166" i="1"/>
  <c r="AJ166" i="1"/>
  <c r="AL166" i="1"/>
  <c r="AN166" i="1"/>
  <c r="AP166" i="1"/>
  <c r="AR166" i="1"/>
  <c r="AT166" i="1"/>
  <c r="AV166" i="1"/>
  <c r="AX166" i="1"/>
  <c r="A167" i="1"/>
  <c r="D167" i="1"/>
  <c r="F167" i="1"/>
  <c r="H167" i="1"/>
  <c r="J167" i="1"/>
  <c r="L167" i="1"/>
  <c r="N167" i="1"/>
  <c r="P167" i="1"/>
  <c r="R167" i="1"/>
  <c r="T167" i="1"/>
  <c r="V167" i="1"/>
  <c r="X167" i="1"/>
  <c r="Z167" i="1"/>
  <c r="AB167" i="1"/>
  <c r="AD167" i="1"/>
  <c r="AF167" i="1"/>
  <c r="AH167" i="1"/>
  <c r="AJ167" i="1"/>
  <c r="AL167" i="1"/>
  <c r="AN167" i="1"/>
  <c r="AP167" i="1"/>
  <c r="AR167" i="1"/>
  <c r="AT167" i="1"/>
  <c r="AV167" i="1"/>
  <c r="AX167" i="1"/>
  <c r="A168" i="1"/>
  <c r="D168" i="1"/>
  <c r="F168" i="1"/>
  <c r="H168" i="1"/>
  <c r="J168" i="1"/>
  <c r="L168" i="1"/>
  <c r="N168" i="1"/>
  <c r="P168" i="1"/>
  <c r="R168" i="1"/>
  <c r="T168" i="1"/>
  <c r="V168" i="1"/>
  <c r="X168" i="1"/>
  <c r="Z168" i="1"/>
  <c r="AB168" i="1"/>
  <c r="AD168" i="1"/>
  <c r="AF168" i="1"/>
  <c r="AH168" i="1"/>
  <c r="AJ168" i="1"/>
  <c r="AL168" i="1"/>
  <c r="AN168" i="1"/>
  <c r="AP168" i="1"/>
  <c r="AR168" i="1"/>
  <c r="AT168" i="1"/>
  <c r="AV168" i="1"/>
  <c r="AX168" i="1"/>
  <c r="A169" i="1"/>
  <c r="D169" i="1"/>
  <c r="F169" i="1"/>
  <c r="H169" i="1"/>
  <c r="J169" i="1"/>
  <c r="L169" i="1"/>
  <c r="N169" i="1"/>
  <c r="P169" i="1"/>
  <c r="R169" i="1"/>
  <c r="T169" i="1"/>
  <c r="V169" i="1"/>
  <c r="X169" i="1"/>
  <c r="Z169" i="1"/>
  <c r="AB169" i="1"/>
  <c r="AD169" i="1"/>
  <c r="AF169" i="1"/>
  <c r="AH169" i="1"/>
  <c r="AJ169" i="1"/>
  <c r="AL169" i="1"/>
  <c r="AN169" i="1"/>
  <c r="AP169" i="1"/>
  <c r="AR169" i="1"/>
  <c r="AT169" i="1"/>
  <c r="AV169" i="1"/>
  <c r="AX169" i="1"/>
  <c r="A170" i="1"/>
  <c r="D170" i="1"/>
  <c r="F170" i="1"/>
  <c r="H170" i="1"/>
  <c r="J170" i="1"/>
  <c r="L170" i="1"/>
  <c r="N170" i="1"/>
  <c r="P170" i="1"/>
  <c r="R170" i="1"/>
  <c r="T170" i="1"/>
  <c r="V170" i="1"/>
  <c r="X170" i="1"/>
  <c r="Z170" i="1"/>
  <c r="AB170" i="1"/>
  <c r="AD170" i="1"/>
  <c r="AF170" i="1"/>
  <c r="AH170" i="1"/>
  <c r="AJ170" i="1"/>
  <c r="AL170" i="1"/>
  <c r="AN170" i="1"/>
  <c r="AP170" i="1"/>
  <c r="AR170" i="1"/>
  <c r="AT170" i="1"/>
  <c r="AV170" i="1"/>
  <c r="AX170" i="1"/>
  <c r="A171" i="1"/>
  <c r="D171" i="1"/>
  <c r="F171" i="1"/>
  <c r="H171" i="1"/>
  <c r="J171" i="1"/>
  <c r="L171" i="1"/>
  <c r="N171" i="1"/>
  <c r="P171" i="1"/>
  <c r="R171" i="1"/>
  <c r="T171" i="1"/>
  <c r="V171" i="1"/>
  <c r="X171" i="1"/>
  <c r="Z171" i="1"/>
  <c r="AB171" i="1"/>
  <c r="AD171" i="1"/>
  <c r="AF171" i="1"/>
  <c r="AH171" i="1"/>
  <c r="AJ171" i="1"/>
  <c r="AL171" i="1"/>
  <c r="AN171" i="1"/>
  <c r="AP171" i="1"/>
  <c r="AR171" i="1"/>
  <c r="AT171" i="1"/>
  <c r="AV171" i="1"/>
  <c r="AX171" i="1"/>
  <c r="A172" i="1"/>
  <c r="D172" i="1"/>
  <c r="F172" i="1"/>
  <c r="H172" i="1"/>
  <c r="J172" i="1"/>
  <c r="L172" i="1"/>
  <c r="N172" i="1"/>
  <c r="P172" i="1"/>
  <c r="R172" i="1"/>
  <c r="T172" i="1"/>
  <c r="V172" i="1"/>
  <c r="X172" i="1"/>
  <c r="Z172" i="1"/>
  <c r="AB172" i="1"/>
  <c r="AD172" i="1"/>
  <c r="AF172" i="1"/>
  <c r="AH172" i="1"/>
  <c r="AJ172" i="1"/>
  <c r="AL172" i="1"/>
  <c r="AN172" i="1"/>
  <c r="AP172" i="1"/>
  <c r="AR172" i="1"/>
  <c r="AT172" i="1"/>
  <c r="AV172" i="1"/>
  <c r="AX172" i="1"/>
  <c r="A173" i="1"/>
  <c r="D173" i="1"/>
  <c r="F173" i="1"/>
  <c r="H173" i="1"/>
  <c r="J173" i="1"/>
  <c r="L173" i="1"/>
  <c r="N173" i="1"/>
  <c r="P173" i="1"/>
  <c r="R173" i="1"/>
  <c r="T173" i="1"/>
  <c r="V173" i="1"/>
  <c r="X173" i="1"/>
  <c r="Z173" i="1"/>
  <c r="AB173" i="1"/>
  <c r="AD173" i="1"/>
  <c r="AF173" i="1"/>
  <c r="AH173" i="1"/>
  <c r="AJ173" i="1"/>
  <c r="AL173" i="1"/>
  <c r="AN173" i="1"/>
  <c r="AP173" i="1"/>
  <c r="AR173" i="1"/>
  <c r="AT173" i="1"/>
  <c r="AV173" i="1"/>
  <c r="AX173" i="1"/>
  <c r="A174" i="1"/>
  <c r="D174" i="1"/>
  <c r="F174" i="1"/>
  <c r="H174" i="1"/>
  <c r="J174" i="1"/>
  <c r="L174" i="1"/>
  <c r="N174" i="1"/>
  <c r="P174" i="1"/>
  <c r="R174" i="1"/>
  <c r="T174" i="1"/>
  <c r="V174" i="1"/>
  <c r="X174" i="1"/>
  <c r="Z174" i="1"/>
  <c r="AB174" i="1"/>
  <c r="AD174" i="1"/>
  <c r="AF174" i="1"/>
  <c r="AH174" i="1"/>
  <c r="AJ174" i="1"/>
  <c r="AL174" i="1"/>
  <c r="AN174" i="1"/>
  <c r="AP174" i="1"/>
  <c r="AR174" i="1"/>
  <c r="AT174" i="1"/>
  <c r="AV174" i="1"/>
  <c r="AX174" i="1"/>
  <c r="A175" i="1"/>
  <c r="D175" i="1"/>
  <c r="F175" i="1"/>
  <c r="H175" i="1"/>
  <c r="J175" i="1"/>
  <c r="L175" i="1"/>
  <c r="N175" i="1"/>
  <c r="P175" i="1"/>
  <c r="R175" i="1"/>
  <c r="T175" i="1"/>
  <c r="V175" i="1"/>
  <c r="X175" i="1"/>
  <c r="Z175" i="1"/>
  <c r="AB175" i="1"/>
  <c r="AD175" i="1"/>
  <c r="AF175" i="1"/>
  <c r="AH175" i="1"/>
  <c r="AJ175" i="1"/>
  <c r="AL175" i="1"/>
  <c r="AN175" i="1"/>
  <c r="AP175" i="1"/>
  <c r="AR175" i="1"/>
  <c r="AT175" i="1"/>
  <c r="AV175" i="1"/>
  <c r="AX175" i="1"/>
  <c r="A176" i="1"/>
  <c r="D176" i="1"/>
  <c r="F176" i="1"/>
  <c r="H176" i="1"/>
  <c r="J176" i="1"/>
  <c r="L176" i="1"/>
  <c r="N176" i="1"/>
  <c r="P176" i="1"/>
  <c r="R176" i="1"/>
  <c r="T176" i="1"/>
  <c r="V176" i="1"/>
  <c r="X176" i="1"/>
  <c r="Z176" i="1"/>
  <c r="AB176" i="1"/>
  <c r="AD176" i="1"/>
  <c r="AF176" i="1"/>
  <c r="AH176" i="1"/>
  <c r="AJ176" i="1"/>
  <c r="AL176" i="1"/>
  <c r="AN176" i="1"/>
  <c r="AP176" i="1"/>
  <c r="AR176" i="1"/>
  <c r="AT176" i="1"/>
  <c r="AV176" i="1"/>
  <c r="AX176" i="1"/>
  <c r="A177" i="1"/>
  <c r="D177" i="1"/>
  <c r="F177" i="1"/>
  <c r="H177" i="1"/>
  <c r="J177" i="1"/>
  <c r="L177" i="1"/>
  <c r="N177" i="1"/>
  <c r="P177" i="1"/>
  <c r="R177" i="1"/>
  <c r="T177" i="1"/>
  <c r="V177" i="1"/>
  <c r="X177" i="1"/>
  <c r="Z177" i="1"/>
  <c r="AB177" i="1"/>
  <c r="AD177" i="1"/>
  <c r="AF177" i="1"/>
  <c r="AH177" i="1"/>
  <c r="AJ177" i="1"/>
  <c r="AL177" i="1"/>
  <c r="AN177" i="1"/>
  <c r="AP177" i="1"/>
  <c r="AR177" i="1"/>
  <c r="AT177" i="1"/>
  <c r="AV177" i="1"/>
  <c r="AX177" i="1"/>
  <c r="A178" i="1"/>
  <c r="D178" i="1"/>
  <c r="F178" i="1"/>
  <c r="H178" i="1"/>
  <c r="J178" i="1"/>
  <c r="L178" i="1"/>
  <c r="N178" i="1"/>
  <c r="P178" i="1"/>
  <c r="R178" i="1"/>
  <c r="T178" i="1"/>
  <c r="V178" i="1"/>
  <c r="X178" i="1"/>
  <c r="Z178" i="1"/>
  <c r="AB178" i="1"/>
  <c r="AD178" i="1"/>
  <c r="AF178" i="1"/>
  <c r="AH178" i="1"/>
  <c r="AJ178" i="1"/>
  <c r="AL178" i="1"/>
  <c r="AN178" i="1"/>
  <c r="AP178" i="1"/>
  <c r="AR178" i="1"/>
  <c r="AT178" i="1"/>
  <c r="AV178" i="1"/>
  <c r="AX178" i="1"/>
  <c r="A179" i="1"/>
  <c r="D179" i="1"/>
  <c r="F179" i="1"/>
  <c r="H179" i="1"/>
  <c r="J179" i="1"/>
  <c r="L179" i="1"/>
  <c r="N179" i="1"/>
  <c r="P179" i="1"/>
  <c r="R179" i="1"/>
  <c r="T179" i="1"/>
  <c r="V179" i="1"/>
  <c r="X179" i="1"/>
  <c r="Z179" i="1"/>
  <c r="AB179" i="1"/>
  <c r="AD179" i="1"/>
  <c r="AF179" i="1"/>
  <c r="AH179" i="1"/>
  <c r="AJ179" i="1"/>
  <c r="AL179" i="1"/>
  <c r="AN179" i="1"/>
  <c r="AP179" i="1"/>
  <c r="AR179" i="1"/>
  <c r="AT179" i="1"/>
  <c r="AV179" i="1"/>
  <c r="AX179" i="1"/>
  <c r="A180" i="1"/>
  <c r="D180" i="1"/>
  <c r="F180" i="1"/>
  <c r="H180" i="1"/>
  <c r="J180" i="1"/>
  <c r="L180" i="1"/>
  <c r="N180" i="1"/>
  <c r="P180" i="1"/>
  <c r="R180" i="1"/>
  <c r="T180" i="1"/>
  <c r="V180" i="1"/>
  <c r="X180" i="1"/>
  <c r="Z180" i="1"/>
  <c r="AB180" i="1"/>
  <c r="AD180" i="1"/>
  <c r="AF180" i="1"/>
  <c r="AH180" i="1"/>
  <c r="AJ180" i="1"/>
  <c r="AL180" i="1"/>
  <c r="AN180" i="1"/>
  <c r="AP180" i="1"/>
  <c r="AR180" i="1"/>
  <c r="AT180" i="1"/>
  <c r="AV180" i="1"/>
  <c r="AX180" i="1"/>
  <c r="A181" i="1"/>
  <c r="D181" i="1"/>
  <c r="F181" i="1"/>
  <c r="H181" i="1"/>
  <c r="J181" i="1"/>
  <c r="L181" i="1"/>
  <c r="N181" i="1"/>
  <c r="P181" i="1"/>
  <c r="R181" i="1"/>
  <c r="T181" i="1"/>
  <c r="V181" i="1"/>
  <c r="X181" i="1"/>
  <c r="Z181" i="1"/>
  <c r="AB181" i="1"/>
  <c r="AD181" i="1"/>
  <c r="AF181" i="1"/>
  <c r="AH181" i="1"/>
  <c r="AJ181" i="1"/>
  <c r="AL181" i="1"/>
  <c r="AN181" i="1"/>
  <c r="AP181" i="1"/>
  <c r="AR181" i="1"/>
  <c r="AT181" i="1"/>
  <c r="AV181" i="1"/>
  <c r="AX181" i="1"/>
  <c r="A182" i="1"/>
  <c r="D182" i="1"/>
  <c r="F182" i="1"/>
  <c r="H182" i="1"/>
  <c r="J182" i="1"/>
  <c r="L182" i="1"/>
  <c r="N182" i="1"/>
  <c r="P182" i="1"/>
  <c r="R182" i="1"/>
  <c r="T182" i="1"/>
  <c r="V182" i="1"/>
  <c r="X182" i="1"/>
  <c r="Z182" i="1"/>
  <c r="AB182" i="1"/>
  <c r="AD182" i="1"/>
  <c r="AF182" i="1"/>
  <c r="AH182" i="1"/>
  <c r="AJ182" i="1"/>
  <c r="AL182" i="1"/>
  <c r="AN182" i="1"/>
  <c r="AP182" i="1"/>
  <c r="AR182" i="1"/>
  <c r="AT182" i="1"/>
  <c r="AV182" i="1"/>
  <c r="AX182" i="1"/>
  <c r="A183" i="1"/>
  <c r="D183" i="1"/>
  <c r="F183" i="1"/>
  <c r="H183" i="1"/>
  <c r="J183" i="1"/>
  <c r="L183" i="1"/>
  <c r="N183" i="1"/>
  <c r="P183" i="1"/>
  <c r="R183" i="1"/>
  <c r="T183" i="1"/>
  <c r="V183" i="1"/>
  <c r="X183" i="1"/>
  <c r="Z183" i="1"/>
  <c r="AB183" i="1"/>
  <c r="AD183" i="1"/>
  <c r="AF183" i="1"/>
  <c r="AH183" i="1"/>
  <c r="AJ183" i="1"/>
  <c r="AL183" i="1"/>
  <c r="AN183" i="1"/>
  <c r="AP183" i="1"/>
  <c r="AR183" i="1"/>
  <c r="AT183" i="1"/>
  <c r="AV183" i="1"/>
  <c r="AX183" i="1"/>
  <c r="A184" i="1"/>
  <c r="D184" i="1"/>
  <c r="F184" i="1"/>
  <c r="H184" i="1"/>
  <c r="J184" i="1"/>
  <c r="L184" i="1"/>
  <c r="N184" i="1"/>
  <c r="P184" i="1"/>
  <c r="R184" i="1"/>
  <c r="T184" i="1"/>
  <c r="V184" i="1"/>
  <c r="X184" i="1"/>
  <c r="Z184" i="1"/>
  <c r="AB184" i="1"/>
  <c r="AD184" i="1"/>
  <c r="AF184" i="1"/>
  <c r="AH184" i="1"/>
  <c r="AJ184" i="1"/>
  <c r="AL184" i="1"/>
  <c r="AN184" i="1"/>
  <c r="AP184" i="1"/>
  <c r="AR184" i="1"/>
  <c r="AT184" i="1"/>
  <c r="AV184" i="1"/>
  <c r="AX184" i="1"/>
  <c r="A185" i="1"/>
  <c r="D185" i="1"/>
  <c r="F185" i="1"/>
  <c r="H185" i="1"/>
  <c r="J185" i="1"/>
  <c r="L185" i="1"/>
  <c r="N185" i="1"/>
  <c r="P185" i="1"/>
  <c r="R185" i="1"/>
  <c r="T185" i="1"/>
  <c r="V185" i="1"/>
  <c r="X185" i="1"/>
  <c r="Z185" i="1"/>
  <c r="AB185" i="1"/>
  <c r="AD185" i="1"/>
  <c r="AF185" i="1"/>
  <c r="AH185" i="1"/>
  <c r="AJ185" i="1"/>
  <c r="AL185" i="1"/>
  <c r="AN185" i="1"/>
  <c r="AP185" i="1"/>
  <c r="AR185" i="1"/>
  <c r="AT185" i="1"/>
  <c r="AV185" i="1"/>
  <c r="AX185" i="1"/>
  <c r="A186" i="1"/>
  <c r="D186" i="1"/>
  <c r="F186" i="1"/>
  <c r="H186" i="1"/>
  <c r="J186" i="1"/>
  <c r="L186" i="1"/>
  <c r="N186" i="1"/>
  <c r="P186" i="1"/>
  <c r="R186" i="1"/>
  <c r="T186" i="1"/>
  <c r="V186" i="1"/>
  <c r="X186" i="1"/>
  <c r="Z186" i="1"/>
  <c r="AB186" i="1"/>
  <c r="AD186" i="1"/>
  <c r="AF186" i="1"/>
  <c r="AH186" i="1"/>
  <c r="AJ186" i="1"/>
  <c r="AL186" i="1"/>
  <c r="AN186" i="1"/>
  <c r="AP186" i="1"/>
  <c r="AR186" i="1"/>
  <c r="AT186" i="1"/>
  <c r="AV186" i="1"/>
  <c r="AX186" i="1"/>
  <c r="A187" i="1"/>
  <c r="D187" i="1"/>
  <c r="F187" i="1"/>
  <c r="H187" i="1"/>
  <c r="J187" i="1"/>
  <c r="L187" i="1"/>
  <c r="N187" i="1"/>
  <c r="P187" i="1"/>
  <c r="R187" i="1"/>
  <c r="T187" i="1"/>
  <c r="V187" i="1"/>
  <c r="X187" i="1"/>
  <c r="Z187" i="1"/>
  <c r="AB187" i="1"/>
  <c r="AD187" i="1"/>
  <c r="AF187" i="1"/>
  <c r="AH187" i="1"/>
  <c r="AJ187" i="1"/>
  <c r="AL187" i="1"/>
  <c r="AN187" i="1"/>
  <c r="AP187" i="1"/>
  <c r="AR187" i="1"/>
  <c r="AT187" i="1"/>
  <c r="AV187" i="1"/>
  <c r="AX187" i="1"/>
  <c r="A188" i="1"/>
  <c r="D188" i="1"/>
  <c r="F188" i="1"/>
  <c r="H188" i="1"/>
  <c r="J188" i="1"/>
  <c r="L188" i="1"/>
  <c r="N188" i="1"/>
  <c r="P188" i="1"/>
  <c r="R188" i="1"/>
  <c r="T188" i="1"/>
  <c r="V188" i="1"/>
  <c r="X188" i="1"/>
  <c r="Z188" i="1"/>
  <c r="AB188" i="1"/>
  <c r="AD188" i="1"/>
  <c r="AF188" i="1"/>
  <c r="AH188" i="1"/>
  <c r="AJ188" i="1"/>
  <c r="AL188" i="1"/>
  <c r="AN188" i="1"/>
  <c r="AP188" i="1"/>
  <c r="AR188" i="1"/>
  <c r="AT188" i="1"/>
  <c r="AV188" i="1"/>
  <c r="AX188" i="1"/>
  <c r="A189" i="1"/>
  <c r="D189" i="1"/>
  <c r="F189" i="1"/>
  <c r="H189" i="1"/>
  <c r="J189" i="1"/>
  <c r="L189" i="1"/>
  <c r="N189" i="1"/>
  <c r="P189" i="1"/>
  <c r="R189" i="1"/>
  <c r="T189" i="1"/>
  <c r="V189" i="1"/>
  <c r="X189" i="1"/>
  <c r="Z189" i="1"/>
  <c r="AB189" i="1"/>
  <c r="AD189" i="1"/>
  <c r="AF189" i="1"/>
  <c r="AH189" i="1"/>
  <c r="AJ189" i="1"/>
  <c r="AL189" i="1"/>
  <c r="AN189" i="1"/>
  <c r="AP189" i="1"/>
  <c r="AR189" i="1"/>
  <c r="AT189" i="1"/>
  <c r="AV189" i="1"/>
  <c r="AX189" i="1"/>
  <c r="A190" i="1"/>
  <c r="D190" i="1"/>
  <c r="F190" i="1"/>
  <c r="H190" i="1"/>
  <c r="J190" i="1"/>
  <c r="L190" i="1"/>
  <c r="N190" i="1"/>
  <c r="P190" i="1"/>
  <c r="R190" i="1"/>
  <c r="T190" i="1"/>
  <c r="V190" i="1"/>
  <c r="X190" i="1"/>
  <c r="Z190" i="1"/>
  <c r="AB190" i="1"/>
  <c r="AD190" i="1"/>
  <c r="AF190" i="1"/>
  <c r="AH190" i="1"/>
  <c r="AJ190" i="1"/>
  <c r="AL190" i="1"/>
  <c r="AN190" i="1"/>
  <c r="AP190" i="1"/>
  <c r="AR190" i="1"/>
  <c r="AT190" i="1"/>
  <c r="AV190" i="1"/>
  <c r="AX190" i="1"/>
  <c r="A191" i="1"/>
  <c r="D191" i="1"/>
  <c r="F191" i="1"/>
  <c r="H191" i="1"/>
  <c r="J191" i="1"/>
  <c r="L191" i="1"/>
  <c r="N191" i="1"/>
  <c r="P191" i="1"/>
  <c r="R191" i="1"/>
  <c r="T191" i="1"/>
  <c r="V191" i="1"/>
  <c r="X191" i="1"/>
  <c r="Z191" i="1"/>
  <c r="AB191" i="1"/>
  <c r="AD191" i="1"/>
  <c r="AF191" i="1"/>
  <c r="AH191" i="1"/>
  <c r="AJ191" i="1"/>
  <c r="AL191" i="1"/>
  <c r="AN191" i="1"/>
  <c r="AP191" i="1"/>
  <c r="AR191" i="1"/>
  <c r="AT191" i="1"/>
  <c r="AV191" i="1"/>
  <c r="AX191" i="1"/>
  <c r="A192" i="1"/>
  <c r="D192" i="1"/>
  <c r="F192" i="1"/>
  <c r="H192" i="1"/>
  <c r="J192" i="1"/>
  <c r="L192" i="1"/>
  <c r="N192" i="1"/>
  <c r="P192" i="1"/>
  <c r="R192" i="1"/>
  <c r="T192" i="1"/>
  <c r="V192" i="1"/>
  <c r="X192" i="1"/>
  <c r="Z192" i="1"/>
  <c r="AB192" i="1"/>
  <c r="AD192" i="1"/>
  <c r="AF192" i="1"/>
  <c r="AH192" i="1"/>
  <c r="AJ192" i="1"/>
  <c r="AL192" i="1"/>
  <c r="AN192" i="1"/>
  <c r="AP192" i="1"/>
  <c r="AR192" i="1"/>
  <c r="AT192" i="1"/>
  <c r="AV192" i="1"/>
  <c r="AX192" i="1"/>
  <c r="A193" i="1"/>
  <c r="D193" i="1"/>
  <c r="F193" i="1"/>
  <c r="H193" i="1"/>
  <c r="J193" i="1"/>
  <c r="L193" i="1"/>
  <c r="N193" i="1"/>
  <c r="P193" i="1"/>
  <c r="R193" i="1"/>
  <c r="T193" i="1"/>
  <c r="V193" i="1"/>
  <c r="X193" i="1"/>
  <c r="Z193" i="1"/>
  <c r="AB193" i="1"/>
  <c r="AD193" i="1"/>
  <c r="AF193" i="1"/>
  <c r="AH193" i="1"/>
  <c r="AJ193" i="1"/>
  <c r="AL193" i="1"/>
  <c r="AN193" i="1"/>
  <c r="AP193" i="1"/>
  <c r="AR193" i="1"/>
  <c r="AT193" i="1"/>
  <c r="AV193" i="1"/>
  <c r="AX193" i="1"/>
  <c r="A194" i="1"/>
  <c r="D194" i="1"/>
  <c r="F194" i="1"/>
  <c r="H194" i="1"/>
  <c r="J194" i="1"/>
  <c r="L194" i="1"/>
  <c r="N194" i="1"/>
  <c r="P194" i="1"/>
  <c r="R194" i="1"/>
  <c r="T194" i="1"/>
  <c r="V194" i="1"/>
  <c r="X194" i="1"/>
  <c r="Z194" i="1"/>
  <c r="AB194" i="1"/>
  <c r="AD194" i="1"/>
  <c r="AF194" i="1"/>
  <c r="AH194" i="1"/>
  <c r="AJ194" i="1"/>
  <c r="AL194" i="1"/>
  <c r="AN194" i="1"/>
  <c r="AP194" i="1"/>
  <c r="AR194" i="1"/>
  <c r="AT194" i="1"/>
  <c r="AV194" i="1"/>
  <c r="AX194" i="1"/>
  <c r="A195" i="1"/>
  <c r="D195" i="1"/>
  <c r="F195" i="1"/>
  <c r="H195" i="1"/>
  <c r="J195" i="1"/>
  <c r="L195" i="1"/>
  <c r="N195" i="1"/>
  <c r="P195" i="1"/>
  <c r="R195" i="1"/>
  <c r="T195" i="1"/>
  <c r="V195" i="1"/>
  <c r="X195" i="1"/>
  <c r="Z195" i="1"/>
  <c r="AB195" i="1"/>
  <c r="AD195" i="1"/>
  <c r="AF195" i="1"/>
  <c r="AH195" i="1"/>
  <c r="AJ195" i="1"/>
  <c r="AL195" i="1"/>
  <c r="AN195" i="1"/>
  <c r="AP195" i="1"/>
  <c r="AR195" i="1"/>
  <c r="AT195" i="1"/>
  <c r="AV195" i="1"/>
  <c r="AX195" i="1"/>
  <c r="A196" i="1"/>
  <c r="D196" i="1"/>
  <c r="F196" i="1"/>
  <c r="H196" i="1"/>
  <c r="J196" i="1"/>
  <c r="L196" i="1"/>
  <c r="N196" i="1"/>
  <c r="P196" i="1"/>
  <c r="R196" i="1"/>
  <c r="T196" i="1"/>
  <c r="V196" i="1"/>
  <c r="X196" i="1"/>
  <c r="Z196" i="1"/>
  <c r="AB196" i="1"/>
  <c r="AD196" i="1"/>
  <c r="AF196" i="1"/>
  <c r="AH196" i="1"/>
  <c r="AJ196" i="1"/>
  <c r="AL196" i="1"/>
  <c r="AN196" i="1"/>
  <c r="AP196" i="1"/>
  <c r="AR196" i="1"/>
  <c r="AT196" i="1"/>
  <c r="AV196" i="1"/>
  <c r="AX196" i="1"/>
  <c r="A197" i="1"/>
  <c r="D197" i="1"/>
  <c r="F197" i="1"/>
  <c r="H197" i="1"/>
  <c r="J197" i="1"/>
  <c r="L197" i="1"/>
  <c r="N197" i="1"/>
  <c r="P197" i="1"/>
  <c r="R197" i="1"/>
  <c r="T197" i="1"/>
  <c r="V197" i="1"/>
  <c r="X197" i="1"/>
  <c r="Z197" i="1"/>
  <c r="AB197" i="1"/>
  <c r="AD197" i="1"/>
  <c r="AF197" i="1"/>
  <c r="AH197" i="1"/>
  <c r="AJ197" i="1"/>
  <c r="AL197" i="1"/>
  <c r="AN197" i="1"/>
  <c r="AP197" i="1"/>
  <c r="AR197" i="1"/>
  <c r="AT197" i="1"/>
  <c r="AV197" i="1"/>
  <c r="AX197" i="1"/>
  <c r="A198" i="1"/>
  <c r="D198" i="1"/>
  <c r="F198" i="1"/>
  <c r="H198" i="1"/>
  <c r="J198" i="1"/>
  <c r="L198" i="1"/>
  <c r="N198" i="1"/>
  <c r="P198" i="1"/>
  <c r="R198" i="1"/>
  <c r="T198" i="1"/>
  <c r="V198" i="1"/>
  <c r="X198" i="1"/>
  <c r="Z198" i="1"/>
  <c r="AB198" i="1"/>
  <c r="AD198" i="1"/>
  <c r="AF198" i="1"/>
  <c r="AH198" i="1"/>
  <c r="AJ198" i="1"/>
  <c r="AL198" i="1"/>
  <c r="AN198" i="1"/>
  <c r="AP198" i="1"/>
  <c r="AR198" i="1"/>
  <c r="AT198" i="1"/>
  <c r="AV198" i="1"/>
  <c r="AX198" i="1"/>
  <c r="A199" i="1"/>
  <c r="D199" i="1"/>
  <c r="F199" i="1"/>
  <c r="H199" i="1"/>
  <c r="J199" i="1"/>
  <c r="L199" i="1"/>
  <c r="N199" i="1"/>
  <c r="P199" i="1"/>
  <c r="R199" i="1"/>
  <c r="T199" i="1"/>
  <c r="V199" i="1"/>
  <c r="X199" i="1"/>
  <c r="Z199" i="1"/>
  <c r="AB199" i="1"/>
  <c r="AD199" i="1"/>
  <c r="AF199" i="1"/>
  <c r="AH199" i="1"/>
  <c r="AJ199" i="1"/>
  <c r="AL199" i="1"/>
  <c r="AN199" i="1"/>
  <c r="AP199" i="1"/>
  <c r="AR199" i="1"/>
  <c r="AT199" i="1"/>
  <c r="AV199" i="1"/>
  <c r="AX199" i="1"/>
  <c r="A200" i="1"/>
  <c r="D200" i="1"/>
  <c r="F200" i="1"/>
  <c r="H200" i="1"/>
  <c r="J200" i="1"/>
  <c r="L200" i="1"/>
  <c r="N200" i="1"/>
  <c r="P200" i="1"/>
  <c r="R200" i="1"/>
  <c r="T200" i="1"/>
  <c r="V200" i="1"/>
  <c r="X200" i="1"/>
  <c r="Z200" i="1"/>
  <c r="AB200" i="1"/>
  <c r="AD200" i="1"/>
  <c r="AF200" i="1"/>
  <c r="AH200" i="1"/>
  <c r="AJ200" i="1"/>
  <c r="AL200" i="1"/>
  <c r="AN200" i="1"/>
  <c r="AP200" i="1"/>
  <c r="AR200" i="1"/>
  <c r="AT200" i="1"/>
  <c r="AV200" i="1"/>
  <c r="AX200" i="1"/>
  <c r="A201" i="1"/>
  <c r="D201" i="1"/>
  <c r="F201" i="1"/>
  <c r="H201" i="1"/>
  <c r="J201" i="1"/>
  <c r="L201" i="1"/>
  <c r="N201" i="1"/>
  <c r="P201" i="1"/>
  <c r="R201" i="1"/>
  <c r="T201" i="1"/>
  <c r="V201" i="1"/>
  <c r="X201" i="1"/>
  <c r="Z201" i="1"/>
  <c r="AB201" i="1"/>
  <c r="AD201" i="1"/>
  <c r="AF201" i="1"/>
  <c r="AH201" i="1"/>
  <c r="AJ201" i="1"/>
  <c r="AL201" i="1"/>
  <c r="AN201" i="1"/>
  <c r="AP201" i="1"/>
  <c r="AR201" i="1"/>
  <c r="AT201" i="1"/>
  <c r="AV201" i="1"/>
  <c r="AX201" i="1"/>
  <c r="A202" i="1"/>
  <c r="D202" i="1"/>
  <c r="F202" i="1"/>
  <c r="H202" i="1"/>
  <c r="J202" i="1"/>
  <c r="L202" i="1"/>
  <c r="N202" i="1"/>
  <c r="P202" i="1"/>
  <c r="R202" i="1"/>
  <c r="T202" i="1"/>
  <c r="V202" i="1"/>
  <c r="X202" i="1"/>
  <c r="Z202" i="1"/>
  <c r="AB202" i="1"/>
  <c r="AD202" i="1"/>
  <c r="AF202" i="1"/>
  <c r="AH202" i="1"/>
  <c r="AJ202" i="1"/>
  <c r="AL202" i="1"/>
  <c r="AN202" i="1"/>
  <c r="AP202" i="1"/>
  <c r="AR202" i="1"/>
  <c r="AT202" i="1"/>
  <c r="AV202" i="1"/>
  <c r="AX202" i="1"/>
  <c r="A203" i="1"/>
  <c r="D203" i="1"/>
  <c r="F203" i="1"/>
  <c r="H203" i="1"/>
  <c r="J203" i="1"/>
  <c r="L203" i="1"/>
  <c r="N203" i="1"/>
  <c r="P203" i="1"/>
  <c r="R203" i="1"/>
  <c r="T203" i="1"/>
  <c r="V203" i="1"/>
  <c r="X203" i="1"/>
  <c r="Z203" i="1"/>
  <c r="AB203" i="1"/>
  <c r="AD203" i="1"/>
  <c r="AF203" i="1"/>
  <c r="AH203" i="1"/>
  <c r="AJ203" i="1"/>
  <c r="AL203" i="1"/>
  <c r="AN203" i="1"/>
  <c r="AP203" i="1"/>
  <c r="AR203" i="1"/>
  <c r="AT203" i="1"/>
  <c r="AV203" i="1"/>
  <c r="AX203" i="1"/>
  <c r="A204" i="1"/>
  <c r="D204" i="1"/>
  <c r="F204" i="1"/>
  <c r="H204" i="1"/>
  <c r="J204" i="1"/>
  <c r="L204" i="1"/>
  <c r="N204" i="1"/>
  <c r="P204" i="1"/>
  <c r="R204" i="1"/>
  <c r="T204" i="1"/>
  <c r="V204" i="1"/>
  <c r="X204" i="1"/>
  <c r="Z204" i="1"/>
  <c r="AB204" i="1"/>
  <c r="AD204" i="1"/>
  <c r="AF204" i="1"/>
  <c r="AH204" i="1"/>
  <c r="AJ204" i="1"/>
  <c r="AL204" i="1"/>
  <c r="AN204" i="1"/>
  <c r="AP204" i="1"/>
  <c r="AR204" i="1"/>
  <c r="AT204" i="1"/>
  <c r="AV204" i="1"/>
  <c r="AX204" i="1"/>
  <c r="A205" i="1"/>
  <c r="D205" i="1"/>
  <c r="F205" i="1"/>
  <c r="H205" i="1"/>
  <c r="J205" i="1"/>
  <c r="L205" i="1"/>
  <c r="N205" i="1"/>
  <c r="P205" i="1"/>
  <c r="R205" i="1"/>
  <c r="T205" i="1"/>
  <c r="V205" i="1"/>
  <c r="X205" i="1"/>
  <c r="Z205" i="1"/>
  <c r="AB205" i="1"/>
  <c r="AD205" i="1"/>
  <c r="AF205" i="1"/>
  <c r="AH205" i="1"/>
  <c r="AJ205" i="1"/>
  <c r="AL205" i="1"/>
  <c r="AN205" i="1"/>
  <c r="AP205" i="1"/>
  <c r="AR205" i="1"/>
  <c r="AT205" i="1"/>
  <c r="AV205" i="1"/>
  <c r="AX205" i="1"/>
  <c r="A206" i="1"/>
  <c r="D206" i="1"/>
  <c r="F206" i="1"/>
  <c r="H206" i="1"/>
  <c r="J206" i="1"/>
  <c r="L206" i="1"/>
  <c r="N206" i="1"/>
  <c r="P206" i="1"/>
  <c r="R206" i="1"/>
  <c r="T206" i="1"/>
  <c r="V206" i="1"/>
  <c r="X206" i="1"/>
  <c r="Z206" i="1"/>
  <c r="AB206" i="1"/>
  <c r="AD206" i="1"/>
  <c r="AF206" i="1"/>
  <c r="AH206" i="1"/>
  <c r="AJ206" i="1"/>
  <c r="AL206" i="1"/>
  <c r="AN206" i="1"/>
  <c r="AP206" i="1"/>
  <c r="AR206" i="1"/>
  <c r="AT206" i="1"/>
  <c r="AV206" i="1"/>
  <c r="AX206" i="1"/>
  <c r="A207" i="1"/>
  <c r="D207" i="1"/>
  <c r="F207" i="1"/>
  <c r="H207" i="1"/>
  <c r="J207" i="1"/>
  <c r="L207" i="1"/>
  <c r="N207" i="1"/>
  <c r="P207" i="1"/>
  <c r="R207" i="1"/>
  <c r="T207" i="1"/>
  <c r="V207" i="1"/>
  <c r="X207" i="1"/>
  <c r="Z207" i="1"/>
  <c r="AB207" i="1"/>
  <c r="AD207" i="1"/>
  <c r="AF207" i="1"/>
  <c r="AH207" i="1"/>
  <c r="AJ207" i="1"/>
  <c r="AL207" i="1"/>
  <c r="AN207" i="1"/>
  <c r="AP207" i="1"/>
  <c r="AR207" i="1"/>
  <c r="AT207" i="1"/>
  <c r="AV207" i="1"/>
  <c r="AX207" i="1"/>
  <c r="A208" i="1"/>
  <c r="D208" i="1"/>
  <c r="F208" i="1"/>
  <c r="H208" i="1"/>
  <c r="J208" i="1"/>
  <c r="L208" i="1"/>
  <c r="N208" i="1"/>
  <c r="P208" i="1"/>
  <c r="R208" i="1"/>
  <c r="T208" i="1"/>
  <c r="V208" i="1"/>
  <c r="X208" i="1"/>
  <c r="Z208" i="1"/>
  <c r="AB208" i="1"/>
  <c r="AD208" i="1"/>
  <c r="AF208" i="1"/>
  <c r="AH208" i="1"/>
  <c r="AJ208" i="1"/>
  <c r="AL208" i="1"/>
  <c r="AN208" i="1"/>
  <c r="AP208" i="1"/>
  <c r="AR208" i="1"/>
  <c r="AT208" i="1"/>
  <c r="AV208" i="1"/>
  <c r="AX208" i="1"/>
  <c r="A209" i="1"/>
  <c r="D209" i="1"/>
  <c r="F209" i="1"/>
  <c r="H209" i="1"/>
  <c r="J209" i="1"/>
  <c r="L209" i="1"/>
  <c r="N209" i="1"/>
  <c r="P209" i="1"/>
  <c r="R209" i="1"/>
  <c r="T209" i="1"/>
  <c r="V209" i="1"/>
  <c r="X209" i="1"/>
  <c r="Z209" i="1"/>
  <c r="AB209" i="1"/>
  <c r="AD209" i="1"/>
  <c r="AF209" i="1"/>
  <c r="AH209" i="1"/>
  <c r="AJ209" i="1"/>
  <c r="AL209" i="1"/>
  <c r="AN209" i="1"/>
  <c r="AP209" i="1"/>
  <c r="AR209" i="1"/>
  <c r="AT209" i="1"/>
  <c r="AV209" i="1"/>
  <c r="AX209" i="1"/>
  <c r="A210" i="1"/>
  <c r="D210" i="1"/>
  <c r="F210" i="1"/>
  <c r="H210" i="1"/>
  <c r="J210" i="1"/>
  <c r="L210" i="1"/>
  <c r="N210" i="1"/>
  <c r="P210" i="1"/>
  <c r="R210" i="1"/>
  <c r="T210" i="1"/>
  <c r="V210" i="1"/>
  <c r="X210" i="1"/>
  <c r="Z210" i="1"/>
  <c r="AB210" i="1"/>
  <c r="AD210" i="1"/>
  <c r="AF210" i="1"/>
  <c r="AH210" i="1"/>
  <c r="AJ210" i="1"/>
  <c r="AL210" i="1"/>
  <c r="AN210" i="1"/>
  <c r="AP210" i="1"/>
  <c r="AR210" i="1"/>
  <c r="AT210" i="1"/>
  <c r="AV210" i="1"/>
  <c r="AX210" i="1"/>
  <c r="A211" i="1"/>
  <c r="D211" i="1"/>
  <c r="F211" i="1"/>
  <c r="H211" i="1"/>
  <c r="J211" i="1"/>
  <c r="L211" i="1"/>
  <c r="N211" i="1"/>
  <c r="P211" i="1"/>
  <c r="R211" i="1"/>
  <c r="T211" i="1"/>
  <c r="V211" i="1"/>
  <c r="X211" i="1"/>
  <c r="Z211" i="1"/>
  <c r="AB211" i="1"/>
  <c r="AD211" i="1"/>
  <c r="AF211" i="1"/>
  <c r="AH211" i="1"/>
  <c r="AJ211" i="1"/>
  <c r="AL211" i="1"/>
  <c r="AN211" i="1"/>
  <c r="AP211" i="1"/>
  <c r="AR211" i="1"/>
  <c r="AT211" i="1"/>
  <c r="AV211" i="1"/>
  <c r="AX211" i="1"/>
  <c r="A212" i="1"/>
  <c r="D212" i="1"/>
  <c r="F212" i="1"/>
  <c r="H212" i="1"/>
  <c r="J212" i="1"/>
  <c r="L212" i="1"/>
  <c r="N212" i="1"/>
  <c r="P212" i="1"/>
  <c r="R212" i="1"/>
  <c r="T212" i="1"/>
  <c r="V212" i="1"/>
  <c r="X212" i="1"/>
  <c r="Z212" i="1"/>
  <c r="AB212" i="1"/>
  <c r="AD212" i="1"/>
  <c r="AF212" i="1"/>
  <c r="AH212" i="1"/>
  <c r="AJ212" i="1"/>
  <c r="AL212" i="1"/>
  <c r="AN212" i="1"/>
  <c r="AP212" i="1"/>
  <c r="AR212" i="1"/>
  <c r="AT212" i="1"/>
  <c r="AV212" i="1"/>
  <c r="AX212" i="1"/>
  <c r="A213" i="1"/>
  <c r="D213" i="1"/>
  <c r="F213" i="1"/>
  <c r="H213" i="1"/>
  <c r="J213" i="1"/>
  <c r="L213" i="1"/>
  <c r="N213" i="1"/>
  <c r="P213" i="1"/>
  <c r="R213" i="1"/>
  <c r="T213" i="1"/>
  <c r="V213" i="1"/>
  <c r="X213" i="1"/>
  <c r="Z213" i="1"/>
  <c r="AB213" i="1"/>
  <c r="AD213" i="1"/>
  <c r="AF213" i="1"/>
  <c r="AH213" i="1"/>
  <c r="AJ213" i="1"/>
  <c r="AL213" i="1"/>
  <c r="AN213" i="1"/>
  <c r="AP213" i="1"/>
  <c r="AR213" i="1"/>
  <c r="AT213" i="1"/>
  <c r="AV213" i="1"/>
  <c r="AX213" i="1"/>
  <c r="A214" i="1"/>
  <c r="D214" i="1"/>
  <c r="F214" i="1"/>
  <c r="H214" i="1"/>
  <c r="J214" i="1"/>
  <c r="L214" i="1"/>
  <c r="N214" i="1"/>
  <c r="P214" i="1"/>
  <c r="R214" i="1"/>
  <c r="T214" i="1"/>
  <c r="V214" i="1"/>
  <c r="X214" i="1"/>
  <c r="Z214" i="1"/>
  <c r="AB214" i="1"/>
  <c r="AD214" i="1"/>
  <c r="AF214" i="1"/>
  <c r="AH214" i="1"/>
  <c r="AJ214" i="1"/>
  <c r="AL214" i="1"/>
  <c r="AN214" i="1"/>
  <c r="AP214" i="1"/>
  <c r="AR214" i="1"/>
  <c r="AT214" i="1"/>
  <c r="AV214" i="1"/>
  <c r="AX214" i="1"/>
  <c r="A215" i="1"/>
  <c r="D215" i="1"/>
  <c r="F215" i="1"/>
  <c r="H215" i="1"/>
  <c r="J215" i="1"/>
  <c r="L215" i="1"/>
  <c r="N215" i="1"/>
  <c r="P215" i="1"/>
  <c r="R215" i="1"/>
  <c r="T215" i="1"/>
  <c r="V215" i="1"/>
  <c r="X215" i="1"/>
  <c r="Z215" i="1"/>
  <c r="AB215" i="1"/>
  <c r="AD215" i="1"/>
  <c r="AF215" i="1"/>
  <c r="AH215" i="1"/>
  <c r="AJ215" i="1"/>
  <c r="AL215" i="1"/>
  <c r="AN215" i="1"/>
  <c r="AP215" i="1"/>
  <c r="AR215" i="1"/>
  <c r="AT215" i="1"/>
  <c r="AV215" i="1"/>
  <c r="AX215" i="1"/>
  <c r="A216" i="1"/>
  <c r="D216" i="1"/>
  <c r="F216" i="1"/>
  <c r="H216" i="1"/>
  <c r="J216" i="1"/>
  <c r="L216" i="1"/>
  <c r="N216" i="1"/>
  <c r="P216" i="1"/>
  <c r="R216" i="1"/>
  <c r="T216" i="1"/>
  <c r="V216" i="1"/>
  <c r="X216" i="1"/>
  <c r="Z216" i="1"/>
  <c r="AB216" i="1"/>
  <c r="AD216" i="1"/>
  <c r="AF216" i="1"/>
  <c r="AH216" i="1"/>
  <c r="AJ216" i="1"/>
  <c r="AL216" i="1"/>
  <c r="AN216" i="1"/>
  <c r="AP216" i="1"/>
  <c r="AR216" i="1"/>
  <c r="AT216" i="1"/>
  <c r="AV216" i="1"/>
  <c r="AX216" i="1"/>
  <c r="A217" i="1"/>
  <c r="D217" i="1"/>
  <c r="F217" i="1"/>
  <c r="H217" i="1"/>
  <c r="J217" i="1"/>
  <c r="L217" i="1"/>
  <c r="N217" i="1"/>
  <c r="P217" i="1"/>
  <c r="R217" i="1"/>
  <c r="T217" i="1"/>
  <c r="V217" i="1"/>
  <c r="X217" i="1"/>
  <c r="Z217" i="1"/>
  <c r="AB217" i="1"/>
  <c r="AD217" i="1"/>
  <c r="AF217" i="1"/>
  <c r="AH217" i="1"/>
  <c r="AJ217" i="1"/>
  <c r="AL217" i="1"/>
  <c r="AN217" i="1"/>
  <c r="AP217" i="1"/>
  <c r="AR217" i="1"/>
  <c r="AT217" i="1"/>
  <c r="AV217" i="1"/>
  <c r="AX217" i="1"/>
  <c r="A218" i="1"/>
  <c r="D218" i="1"/>
  <c r="F218" i="1"/>
  <c r="H218" i="1"/>
  <c r="J218" i="1"/>
  <c r="L218" i="1"/>
  <c r="N218" i="1"/>
  <c r="P218" i="1"/>
  <c r="R218" i="1"/>
  <c r="T218" i="1"/>
  <c r="V218" i="1"/>
  <c r="X218" i="1"/>
  <c r="Z218" i="1"/>
  <c r="AB218" i="1"/>
  <c r="AD218" i="1"/>
  <c r="AF218" i="1"/>
  <c r="AH218" i="1"/>
  <c r="AJ218" i="1"/>
  <c r="AL218" i="1"/>
  <c r="AN218" i="1"/>
  <c r="AP218" i="1"/>
  <c r="AR218" i="1"/>
  <c r="AT218" i="1"/>
  <c r="AV218" i="1"/>
  <c r="AX218" i="1"/>
  <c r="A219" i="1"/>
  <c r="D219" i="1"/>
  <c r="F219" i="1"/>
  <c r="H219" i="1"/>
  <c r="J219" i="1"/>
  <c r="L219" i="1"/>
  <c r="N219" i="1"/>
  <c r="P219" i="1"/>
  <c r="R219" i="1"/>
  <c r="T219" i="1"/>
  <c r="V219" i="1"/>
  <c r="X219" i="1"/>
  <c r="Z219" i="1"/>
  <c r="AB219" i="1"/>
  <c r="AD219" i="1"/>
  <c r="AF219" i="1"/>
  <c r="AH219" i="1"/>
  <c r="AJ219" i="1"/>
  <c r="AL219" i="1"/>
  <c r="AN219" i="1"/>
  <c r="AP219" i="1"/>
  <c r="AR219" i="1"/>
  <c r="AT219" i="1"/>
  <c r="AV219" i="1"/>
  <c r="AX219" i="1"/>
  <c r="A220" i="1"/>
  <c r="D220" i="1"/>
  <c r="F220" i="1"/>
  <c r="H220" i="1"/>
  <c r="J220" i="1"/>
  <c r="L220" i="1"/>
  <c r="N220" i="1"/>
  <c r="P220" i="1"/>
  <c r="R220" i="1"/>
  <c r="T220" i="1"/>
  <c r="V220" i="1"/>
  <c r="X220" i="1"/>
  <c r="Z220" i="1"/>
  <c r="AB220" i="1"/>
  <c r="AD220" i="1"/>
  <c r="AF220" i="1"/>
  <c r="AH220" i="1"/>
  <c r="AJ220" i="1"/>
  <c r="AL220" i="1"/>
  <c r="AN220" i="1"/>
  <c r="AP220" i="1"/>
  <c r="AR220" i="1"/>
  <c r="AT220" i="1"/>
  <c r="AV220" i="1"/>
  <c r="AX220" i="1"/>
  <c r="A221" i="1"/>
  <c r="D221" i="1"/>
  <c r="F221" i="1"/>
  <c r="H221" i="1"/>
  <c r="J221" i="1"/>
  <c r="L221" i="1"/>
  <c r="N221" i="1"/>
  <c r="P221" i="1"/>
  <c r="R221" i="1"/>
  <c r="T221" i="1"/>
  <c r="V221" i="1"/>
  <c r="X221" i="1"/>
  <c r="Z221" i="1"/>
  <c r="AB221" i="1"/>
  <c r="AD221" i="1"/>
  <c r="AF221" i="1"/>
  <c r="AH221" i="1"/>
  <c r="AJ221" i="1"/>
  <c r="AL221" i="1"/>
  <c r="AN221" i="1"/>
  <c r="AP221" i="1"/>
  <c r="AR221" i="1"/>
  <c r="AT221" i="1"/>
  <c r="AV221" i="1"/>
  <c r="AX221" i="1"/>
  <c r="A222" i="1"/>
  <c r="D222" i="1"/>
  <c r="F222" i="1"/>
  <c r="H222" i="1"/>
  <c r="J222" i="1"/>
  <c r="L222" i="1"/>
  <c r="N222" i="1"/>
  <c r="P222" i="1"/>
  <c r="R222" i="1"/>
  <c r="T222" i="1"/>
  <c r="V222" i="1"/>
  <c r="X222" i="1"/>
  <c r="Z222" i="1"/>
  <c r="AB222" i="1"/>
  <c r="AD222" i="1"/>
  <c r="AF222" i="1"/>
  <c r="AH222" i="1"/>
  <c r="AJ222" i="1"/>
  <c r="AL222" i="1"/>
  <c r="AN222" i="1"/>
  <c r="AP222" i="1"/>
  <c r="AR222" i="1"/>
  <c r="AT222" i="1"/>
  <c r="AV222" i="1"/>
  <c r="AX222" i="1"/>
  <c r="A223" i="1"/>
  <c r="D223" i="1"/>
  <c r="F223" i="1"/>
  <c r="H223" i="1"/>
  <c r="J223" i="1"/>
  <c r="L223" i="1"/>
  <c r="N223" i="1"/>
  <c r="P223" i="1"/>
  <c r="R223" i="1"/>
  <c r="T223" i="1"/>
  <c r="V223" i="1"/>
  <c r="X223" i="1"/>
  <c r="Z223" i="1"/>
  <c r="AB223" i="1"/>
  <c r="AD223" i="1"/>
  <c r="AF223" i="1"/>
  <c r="AH223" i="1"/>
  <c r="AJ223" i="1"/>
  <c r="AL223" i="1"/>
  <c r="AN223" i="1"/>
  <c r="AP223" i="1"/>
  <c r="AR223" i="1"/>
  <c r="AT223" i="1"/>
  <c r="AV223" i="1"/>
  <c r="AX223" i="1"/>
  <c r="A224" i="1"/>
  <c r="D224" i="1"/>
  <c r="F224" i="1"/>
  <c r="H224" i="1"/>
  <c r="J224" i="1"/>
  <c r="L224" i="1"/>
  <c r="N224" i="1"/>
  <c r="P224" i="1"/>
  <c r="R224" i="1"/>
  <c r="T224" i="1"/>
  <c r="V224" i="1"/>
  <c r="X224" i="1"/>
  <c r="Z224" i="1"/>
  <c r="AB224" i="1"/>
  <c r="AD224" i="1"/>
  <c r="AF224" i="1"/>
  <c r="AH224" i="1"/>
  <c r="AJ224" i="1"/>
  <c r="AL224" i="1"/>
  <c r="AN224" i="1"/>
  <c r="AP224" i="1"/>
  <c r="AR224" i="1"/>
  <c r="AT224" i="1"/>
  <c r="AV224" i="1"/>
  <c r="AX224" i="1"/>
  <c r="A225" i="1"/>
  <c r="D225" i="1"/>
  <c r="F225" i="1"/>
  <c r="H225" i="1"/>
  <c r="J225" i="1"/>
  <c r="L225" i="1"/>
  <c r="N225" i="1"/>
  <c r="P225" i="1"/>
  <c r="R225" i="1"/>
  <c r="T225" i="1"/>
  <c r="V225" i="1"/>
  <c r="X225" i="1"/>
  <c r="Z225" i="1"/>
  <c r="AB225" i="1"/>
  <c r="AD225" i="1"/>
  <c r="AF225" i="1"/>
  <c r="AH225" i="1"/>
  <c r="AJ225" i="1"/>
  <c r="AL225" i="1"/>
  <c r="AN225" i="1"/>
  <c r="AP225" i="1"/>
  <c r="AR225" i="1"/>
  <c r="AT225" i="1"/>
  <c r="AV225" i="1"/>
  <c r="AX225" i="1"/>
  <c r="A226" i="1"/>
  <c r="D226" i="1"/>
  <c r="F226" i="1"/>
  <c r="H226" i="1"/>
  <c r="J226" i="1"/>
  <c r="L226" i="1"/>
  <c r="N226" i="1"/>
  <c r="P226" i="1"/>
  <c r="R226" i="1"/>
  <c r="T226" i="1"/>
  <c r="V226" i="1"/>
  <c r="X226" i="1"/>
  <c r="Z226" i="1"/>
  <c r="AB226" i="1"/>
  <c r="AD226" i="1"/>
  <c r="AF226" i="1"/>
  <c r="AH226" i="1"/>
  <c r="AJ226" i="1"/>
  <c r="AL226" i="1"/>
  <c r="AN226" i="1"/>
  <c r="AP226" i="1"/>
  <c r="AR226" i="1"/>
  <c r="AT226" i="1"/>
  <c r="AV226" i="1"/>
  <c r="AX226" i="1"/>
  <c r="A227" i="1"/>
  <c r="D227" i="1"/>
  <c r="F227" i="1"/>
  <c r="H227" i="1"/>
  <c r="J227" i="1"/>
  <c r="L227" i="1"/>
  <c r="N227" i="1"/>
  <c r="P227" i="1"/>
  <c r="R227" i="1"/>
  <c r="T227" i="1"/>
  <c r="V227" i="1"/>
  <c r="X227" i="1"/>
  <c r="Z227" i="1"/>
  <c r="AB227" i="1"/>
  <c r="AD227" i="1"/>
  <c r="AF227" i="1"/>
  <c r="AH227" i="1"/>
  <c r="AJ227" i="1"/>
  <c r="AL227" i="1"/>
  <c r="AN227" i="1"/>
  <c r="AP227" i="1"/>
  <c r="AR227" i="1"/>
  <c r="AT227" i="1"/>
  <c r="AV227" i="1"/>
  <c r="AX227" i="1"/>
  <c r="A228" i="1"/>
  <c r="D228" i="1"/>
  <c r="F228" i="1"/>
  <c r="H228" i="1"/>
  <c r="J228" i="1"/>
  <c r="L228" i="1"/>
  <c r="N228" i="1"/>
  <c r="P228" i="1"/>
  <c r="R228" i="1"/>
  <c r="T228" i="1"/>
  <c r="V228" i="1"/>
  <c r="X228" i="1"/>
  <c r="Z228" i="1"/>
  <c r="AB228" i="1"/>
  <c r="AD228" i="1"/>
  <c r="AF228" i="1"/>
  <c r="AH228" i="1"/>
  <c r="AJ228" i="1"/>
  <c r="AL228" i="1"/>
  <c r="AN228" i="1"/>
  <c r="AP228" i="1"/>
  <c r="AR228" i="1"/>
  <c r="AT228" i="1"/>
  <c r="AV228" i="1"/>
  <c r="AX228" i="1"/>
  <c r="A229" i="1"/>
  <c r="D229" i="1"/>
  <c r="F229" i="1"/>
  <c r="H229" i="1"/>
  <c r="J229" i="1"/>
  <c r="L229" i="1"/>
  <c r="N229" i="1"/>
  <c r="P229" i="1"/>
  <c r="R229" i="1"/>
  <c r="T229" i="1"/>
  <c r="V229" i="1"/>
  <c r="X229" i="1"/>
  <c r="Z229" i="1"/>
  <c r="AB229" i="1"/>
  <c r="AD229" i="1"/>
  <c r="AF229" i="1"/>
  <c r="AH229" i="1"/>
  <c r="AJ229" i="1"/>
  <c r="AL229" i="1"/>
  <c r="AN229" i="1"/>
  <c r="AP229" i="1"/>
  <c r="AR229" i="1"/>
  <c r="AT229" i="1"/>
  <c r="AV229" i="1"/>
  <c r="AX229" i="1"/>
  <c r="A230" i="1"/>
  <c r="D230" i="1"/>
  <c r="F230" i="1"/>
  <c r="H230" i="1"/>
  <c r="J230" i="1"/>
  <c r="L230" i="1"/>
  <c r="N230" i="1"/>
  <c r="P230" i="1"/>
  <c r="R230" i="1"/>
  <c r="T230" i="1"/>
  <c r="V230" i="1"/>
  <c r="X230" i="1"/>
  <c r="Z230" i="1"/>
  <c r="AB230" i="1"/>
  <c r="AD230" i="1"/>
  <c r="AF230" i="1"/>
  <c r="AH230" i="1"/>
  <c r="AJ230" i="1"/>
  <c r="AL230" i="1"/>
  <c r="AN230" i="1"/>
  <c r="AP230" i="1"/>
  <c r="AR230" i="1"/>
  <c r="AT230" i="1"/>
  <c r="AV230" i="1"/>
  <c r="AX230" i="1"/>
  <c r="A231" i="1"/>
  <c r="D231" i="1"/>
  <c r="F231" i="1"/>
  <c r="H231" i="1"/>
  <c r="J231" i="1"/>
  <c r="L231" i="1"/>
  <c r="N231" i="1"/>
  <c r="P231" i="1"/>
  <c r="R231" i="1"/>
  <c r="T231" i="1"/>
  <c r="V231" i="1"/>
  <c r="X231" i="1"/>
  <c r="Z231" i="1"/>
  <c r="AB231" i="1"/>
  <c r="AD231" i="1"/>
  <c r="AF231" i="1"/>
  <c r="AH231" i="1"/>
  <c r="AJ231" i="1"/>
  <c r="AL231" i="1"/>
  <c r="AN231" i="1"/>
  <c r="AP231" i="1"/>
  <c r="AR231" i="1"/>
  <c r="AT231" i="1"/>
  <c r="AV231" i="1"/>
  <c r="AX231" i="1"/>
  <c r="A232" i="1"/>
  <c r="D232" i="1"/>
  <c r="F232" i="1"/>
  <c r="H232" i="1"/>
  <c r="J232" i="1"/>
  <c r="L232" i="1"/>
  <c r="N232" i="1"/>
  <c r="P232" i="1"/>
  <c r="R232" i="1"/>
  <c r="T232" i="1"/>
  <c r="V232" i="1"/>
  <c r="X232" i="1"/>
  <c r="Z232" i="1"/>
  <c r="AB232" i="1"/>
  <c r="AD232" i="1"/>
  <c r="AF232" i="1"/>
  <c r="AH232" i="1"/>
  <c r="AJ232" i="1"/>
  <c r="AL232" i="1"/>
  <c r="AN232" i="1"/>
  <c r="AP232" i="1"/>
  <c r="AR232" i="1"/>
  <c r="AT232" i="1"/>
  <c r="AV232" i="1"/>
  <c r="AX232" i="1"/>
  <c r="A233" i="1"/>
  <c r="D233" i="1"/>
  <c r="F233" i="1"/>
  <c r="H233" i="1"/>
  <c r="J233" i="1"/>
  <c r="L233" i="1"/>
  <c r="N233" i="1"/>
  <c r="P233" i="1"/>
  <c r="R233" i="1"/>
  <c r="T233" i="1"/>
  <c r="V233" i="1"/>
  <c r="X233" i="1"/>
  <c r="Z233" i="1"/>
  <c r="AB233" i="1"/>
  <c r="AD233" i="1"/>
  <c r="AF233" i="1"/>
  <c r="AH233" i="1"/>
  <c r="AJ233" i="1"/>
  <c r="AL233" i="1"/>
  <c r="AN233" i="1"/>
  <c r="AP233" i="1"/>
  <c r="AR233" i="1"/>
  <c r="AT233" i="1"/>
  <c r="AV233" i="1"/>
  <c r="AX233" i="1"/>
  <c r="A234" i="1"/>
  <c r="D234" i="1"/>
  <c r="F234" i="1"/>
  <c r="H234" i="1"/>
  <c r="J234" i="1"/>
  <c r="L234" i="1"/>
  <c r="N234" i="1"/>
  <c r="P234" i="1"/>
  <c r="R234" i="1"/>
  <c r="T234" i="1"/>
  <c r="V234" i="1"/>
  <c r="X234" i="1"/>
  <c r="Z234" i="1"/>
  <c r="AB234" i="1"/>
  <c r="AD234" i="1"/>
  <c r="AF234" i="1"/>
  <c r="AH234" i="1"/>
  <c r="AJ234" i="1"/>
  <c r="AL234" i="1"/>
  <c r="AN234" i="1"/>
  <c r="AP234" i="1"/>
  <c r="AR234" i="1"/>
  <c r="AT234" i="1"/>
  <c r="AV234" i="1"/>
  <c r="AX234" i="1"/>
  <c r="A235" i="1"/>
  <c r="D235" i="1"/>
  <c r="F235" i="1"/>
  <c r="H235" i="1"/>
  <c r="J235" i="1"/>
  <c r="L235" i="1"/>
  <c r="N235" i="1"/>
  <c r="P235" i="1"/>
  <c r="R235" i="1"/>
  <c r="T235" i="1"/>
  <c r="V235" i="1"/>
  <c r="X235" i="1"/>
  <c r="Z235" i="1"/>
  <c r="AB235" i="1"/>
  <c r="AD235" i="1"/>
  <c r="AF235" i="1"/>
  <c r="AH235" i="1"/>
  <c r="AJ235" i="1"/>
  <c r="AL235" i="1"/>
  <c r="AN235" i="1"/>
  <c r="AP235" i="1"/>
  <c r="AR235" i="1"/>
  <c r="AT235" i="1"/>
  <c r="AV235" i="1"/>
  <c r="AX235" i="1"/>
  <c r="A236" i="1"/>
  <c r="D236" i="1"/>
  <c r="F236" i="1"/>
  <c r="H236" i="1"/>
  <c r="J236" i="1"/>
  <c r="L236" i="1"/>
  <c r="N236" i="1"/>
  <c r="P236" i="1"/>
  <c r="R236" i="1"/>
  <c r="T236" i="1"/>
  <c r="V236" i="1"/>
  <c r="X236" i="1"/>
  <c r="Z236" i="1"/>
  <c r="AB236" i="1"/>
  <c r="AD236" i="1"/>
  <c r="AF236" i="1"/>
  <c r="AH236" i="1"/>
  <c r="AJ236" i="1"/>
  <c r="AL236" i="1"/>
  <c r="AN236" i="1"/>
  <c r="AP236" i="1"/>
  <c r="AR236" i="1"/>
  <c r="AT236" i="1"/>
  <c r="AV236" i="1"/>
  <c r="AX236" i="1"/>
  <c r="A237" i="1"/>
  <c r="D237" i="1"/>
  <c r="F237" i="1"/>
  <c r="H237" i="1"/>
  <c r="J237" i="1"/>
  <c r="L237" i="1"/>
  <c r="N237" i="1"/>
  <c r="P237" i="1"/>
  <c r="R237" i="1"/>
  <c r="T237" i="1"/>
  <c r="V237" i="1"/>
  <c r="X237" i="1"/>
  <c r="Z237" i="1"/>
  <c r="AB237" i="1"/>
  <c r="AD237" i="1"/>
  <c r="AF237" i="1"/>
  <c r="AH237" i="1"/>
  <c r="AJ237" i="1"/>
  <c r="AL237" i="1"/>
  <c r="AN237" i="1"/>
  <c r="AP237" i="1"/>
  <c r="AR237" i="1"/>
  <c r="AT237" i="1"/>
  <c r="AV237" i="1"/>
  <c r="AX237" i="1"/>
  <c r="A238" i="1"/>
  <c r="D238" i="1"/>
  <c r="F238" i="1"/>
  <c r="H238" i="1"/>
  <c r="J238" i="1"/>
  <c r="L238" i="1"/>
  <c r="N238" i="1"/>
  <c r="P238" i="1"/>
  <c r="R238" i="1"/>
  <c r="T238" i="1"/>
  <c r="V238" i="1"/>
  <c r="X238" i="1"/>
  <c r="Z238" i="1"/>
  <c r="AB238" i="1"/>
  <c r="AD238" i="1"/>
  <c r="AF238" i="1"/>
  <c r="AH238" i="1"/>
  <c r="AJ238" i="1"/>
  <c r="AL238" i="1"/>
  <c r="AN238" i="1"/>
  <c r="AP238" i="1"/>
  <c r="AR238" i="1"/>
  <c r="AT238" i="1"/>
  <c r="AV238" i="1"/>
  <c r="AX238" i="1"/>
  <c r="A239" i="1"/>
  <c r="D239" i="1"/>
  <c r="F239" i="1"/>
  <c r="H239" i="1"/>
  <c r="J239" i="1"/>
  <c r="L239" i="1"/>
  <c r="N239" i="1"/>
  <c r="P239" i="1"/>
  <c r="R239" i="1"/>
  <c r="T239" i="1"/>
  <c r="V239" i="1"/>
  <c r="X239" i="1"/>
  <c r="Z239" i="1"/>
  <c r="AB239" i="1"/>
  <c r="AD239" i="1"/>
  <c r="AF239" i="1"/>
  <c r="AH239" i="1"/>
  <c r="AJ239" i="1"/>
  <c r="AL239" i="1"/>
  <c r="AN239" i="1"/>
  <c r="AP239" i="1"/>
  <c r="AR239" i="1"/>
  <c r="AT239" i="1"/>
  <c r="AV239" i="1"/>
  <c r="AX239" i="1"/>
  <c r="A240" i="1"/>
  <c r="D240" i="1"/>
  <c r="F240" i="1"/>
  <c r="H240" i="1"/>
  <c r="J240" i="1"/>
  <c r="L240" i="1"/>
  <c r="N240" i="1"/>
  <c r="P240" i="1"/>
  <c r="R240" i="1"/>
  <c r="T240" i="1"/>
  <c r="V240" i="1"/>
  <c r="X240" i="1"/>
  <c r="Z240" i="1"/>
  <c r="AB240" i="1"/>
  <c r="AD240" i="1"/>
  <c r="AF240" i="1"/>
  <c r="AH240" i="1"/>
  <c r="AJ240" i="1"/>
  <c r="AL240" i="1"/>
  <c r="AN240" i="1"/>
  <c r="AP240" i="1"/>
  <c r="AR240" i="1"/>
  <c r="AT240" i="1"/>
  <c r="AV240" i="1"/>
  <c r="AX240" i="1"/>
  <c r="A241" i="1"/>
  <c r="D241" i="1"/>
  <c r="F241" i="1"/>
  <c r="H241" i="1"/>
  <c r="J241" i="1"/>
  <c r="L241" i="1"/>
  <c r="N241" i="1"/>
  <c r="P241" i="1"/>
  <c r="R241" i="1"/>
  <c r="T241" i="1"/>
  <c r="V241" i="1"/>
  <c r="X241" i="1"/>
  <c r="Z241" i="1"/>
  <c r="AB241" i="1"/>
  <c r="AD241" i="1"/>
  <c r="AF241" i="1"/>
  <c r="AH241" i="1"/>
  <c r="AJ241" i="1"/>
  <c r="AL241" i="1"/>
  <c r="AN241" i="1"/>
  <c r="AP241" i="1"/>
  <c r="AR241" i="1"/>
  <c r="AT241" i="1"/>
  <c r="AV241" i="1"/>
  <c r="AX241" i="1"/>
  <c r="A242" i="1"/>
  <c r="D242" i="1"/>
  <c r="F242" i="1"/>
  <c r="H242" i="1"/>
  <c r="J242" i="1"/>
  <c r="L242" i="1"/>
  <c r="N242" i="1"/>
  <c r="P242" i="1"/>
  <c r="R242" i="1"/>
  <c r="T242" i="1"/>
  <c r="V242" i="1"/>
  <c r="X242" i="1"/>
  <c r="Z242" i="1"/>
  <c r="AB242" i="1"/>
  <c r="AD242" i="1"/>
  <c r="AF242" i="1"/>
  <c r="AH242" i="1"/>
  <c r="AJ242" i="1"/>
  <c r="AL242" i="1"/>
  <c r="AN242" i="1"/>
  <c r="AP242" i="1"/>
  <c r="AR242" i="1"/>
  <c r="AT242" i="1"/>
  <c r="AV242" i="1"/>
  <c r="AX242" i="1"/>
  <c r="A243" i="1"/>
  <c r="D243" i="1"/>
  <c r="F243" i="1"/>
  <c r="H243" i="1"/>
  <c r="J243" i="1"/>
  <c r="L243" i="1"/>
  <c r="N243" i="1"/>
  <c r="P243" i="1"/>
  <c r="R243" i="1"/>
  <c r="T243" i="1"/>
  <c r="V243" i="1"/>
  <c r="X243" i="1"/>
  <c r="Z243" i="1"/>
  <c r="AB243" i="1"/>
  <c r="AD243" i="1"/>
  <c r="AF243" i="1"/>
  <c r="AH243" i="1"/>
  <c r="AJ243" i="1"/>
  <c r="AL243" i="1"/>
  <c r="AN243" i="1"/>
  <c r="AP243" i="1"/>
  <c r="AR243" i="1"/>
  <c r="AT243" i="1"/>
  <c r="AV243" i="1"/>
  <c r="AX243" i="1"/>
  <c r="A244" i="1"/>
  <c r="D244" i="1"/>
  <c r="F244" i="1"/>
  <c r="H244" i="1"/>
  <c r="J244" i="1"/>
  <c r="L244" i="1"/>
  <c r="N244" i="1"/>
  <c r="P244" i="1"/>
  <c r="R244" i="1"/>
  <c r="T244" i="1"/>
  <c r="V244" i="1"/>
  <c r="X244" i="1"/>
  <c r="Z244" i="1"/>
  <c r="AB244" i="1"/>
  <c r="AD244" i="1"/>
  <c r="AF244" i="1"/>
  <c r="AH244" i="1"/>
  <c r="AJ244" i="1"/>
  <c r="AL244" i="1"/>
  <c r="AN244" i="1"/>
  <c r="AP244" i="1"/>
  <c r="AR244" i="1"/>
  <c r="AT244" i="1"/>
  <c r="AV244" i="1"/>
  <c r="AX244" i="1"/>
  <c r="A245" i="1"/>
  <c r="D245" i="1"/>
  <c r="F245" i="1"/>
  <c r="H245" i="1"/>
  <c r="J245" i="1"/>
  <c r="L245" i="1"/>
  <c r="N245" i="1"/>
  <c r="P245" i="1"/>
  <c r="R245" i="1"/>
  <c r="T245" i="1"/>
  <c r="V245" i="1"/>
  <c r="X245" i="1"/>
  <c r="Z245" i="1"/>
  <c r="AB245" i="1"/>
  <c r="AD245" i="1"/>
  <c r="AF245" i="1"/>
  <c r="AH245" i="1"/>
  <c r="AJ245" i="1"/>
  <c r="AL245" i="1"/>
  <c r="AN245" i="1"/>
  <c r="AP245" i="1"/>
  <c r="AR245" i="1"/>
  <c r="AT245" i="1"/>
  <c r="AV245" i="1"/>
  <c r="AX245" i="1"/>
  <c r="A246" i="1"/>
  <c r="D246" i="1"/>
  <c r="F246" i="1"/>
  <c r="H246" i="1"/>
  <c r="J246" i="1"/>
  <c r="L246" i="1"/>
  <c r="N246" i="1"/>
  <c r="P246" i="1"/>
  <c r="R246" i="1"/>
  <c r="T246" i="1"/>
  <c r="V246" i="1"/>
  <c r="X246" i="1"/>
  <c r="Z246" i="1"/>
  <c r="AB246" i="1"/>
  <c r="AD246" i="1"/>
  <c r="AF246" i="1"/>
  <c r="AH246" i="1"/>
  <c r="AJ246" i="1"/>
  <c r="AL246" i="1"/>
  <c r="AN246" i="1"/>
  <c r="AP246" i="1"/>
  <c r="AR246" i="1"/>
  <c r="AT246" i="1"/>
  <c r="AV246" i="1"/>
  <c r="AX246" i="1"/>
  <c r="A247" i="1"/>
  <c r="D247" i="1"/>
  <c r="F247" i="1"/>
  <c r="H247" i="1"/>
  <c r="J247" i="1"/>
  <c r="L247" i="1"/>
  <c r="N247" i="1"/>
  <c r="P247" i="1"/>
  <c r="R247" i="1"/>
  <c r="T247" i="1"/>
  <c r="V247" i="1"/>
  <c r="X247" i="1"/>
  <c r="Z247" i="1"/>
  <c r="AB247" i="1"/>
  <c r="AD247" i="1"/>
  <c r="AF247" i="1"/>
  <c r="AH247" i="1"/>
  <c r="AJ247" i="1"/>
  <c r="AL247" i="1"/>
  <c r="AN247" i="1"/>
  <c r="AP247" i="1"/>
  <c r="AR247" i="1"/>
  <c r="AT247" i="1"/>
  <c r="AV247" i="1"/>
  <c r="AX247" i="1"/>
  <c r="A248" i="1"/>
  <c r="D248" i="1"/>
  <c r="F248" i="1"/>
  <c r="H248" i="1"/>
  <c r="J248" i="1"/>
  <c r="L248" i="1"/>
  <c r="N248" i="1"/>
  <c r="P248" i="1"/>
  <c r="R248" i="1"/>
  <c r="T248" i="1"/>
  <c r="V248" i="1"/>
  <c r="X248" i="1"/>
  <c r="Z248" i="1"/>
  <c r="AB248" i="1"/>
  <c r="AD248" i="1"/>
  <c r="AF248" i="1"/>
  <c r="AH248" i="1"/>
  <c r="AJ248" i="1"/>
  <c r="AL248" i="1"/>
  <c r="AN248" i="1"/>
  <c r="AP248" i="1"/>
  <c r="AR248" i="1"/>
  <c r="AT248" i="1"/>
  <c r="AV248" i="1"/>
  <c r="AX248" i="1"/>
  <c r="A249" i="1"/>
  <c r="D249" i="1"/>
  <c r="F249" i="1"/>
  <c r="H249" i="1"/>
  <c r="J249" i="1"/>
  <c r="L249" i="1"/>
  <c r="N249" i="1"/>
  <c r="P249" i="1"/>
  <c r="R249" i="1"/>
  <c r="T249" i="1"/>
  <c r="V249" i="1"/>
  <c r="X249" i="1"/>
  <c r="Z249" i="1"/>
  <c r="AB249" i="1"/>
  <c r="AD249" i="1"/>
  <c r="AF249" i="1"/>
  <c r="AH249" i="1"/>
  <c r="AJ249" i="1"/>
  <c r="AL249" i="1"/>
  <c r="AN249" i="1"/>
  <c r="AP249" i="1"/>
  <c r="AR249" i="1"/>
  <c r="AT249" i="1"/>
  <c r="AV249" i="1"/>
  <c r="AX249" i="1"/>
  <c r="A250" i="1"/>
  <c r="D250" i="1"/>
  <c r="F250" i="1"/>
  <c r="H250" i="1"/>
  <c r="J250" i="1"/>
  <c r="L250" i="1"/>
  <c r="N250" i="1"/>
  <c r="P250" i="1"/>
  <c r="R250" i="1"/>
  <c r="T250" i="1"/>
  <c r="V250" i="1"/>
  <c r="X250" i="1"/>
  <c r="Z250" i="1"/>
  <c r="AB250" i="1"/>
  <c r="AD250" i="1"/>
  <c r="AF250" i="1"/>
  <c r="AH250" i="1"/>
  <c r="AJ250" i="1"/>
  <c r="AL250" i="1"/>
  <c r="AN250" i="1"/>
  <c r="AP250" i="1"/>
  <c r="AR250" i="1"/>
  <c r="AT250" i="1"/>
  <c r="AV250" i="1"/>
  <c r="AX250" i="1"/>
  <c r="A251" i="1"/>
  <c r="D251" i="1"/>
  <c r="F251" i="1"/>
  <c r="H251" i="1"/>
  <c r="J251" i="1"/>
  <c r="L251" i="1"/>
  <c r="N251" i="1"/>
  <c r="P251" i="1"/>
  <c r="R251" i="1"/>
  <c r="T251" i="1"/>
  <c r="V251" i="1"/>
  <c r="X251" i="1"/>
  <c r="Z251" i="1"/>
  <c r="AB251" i="1"/>
  <c r="AD251" i="1"/>
  <c r="AF251" i="1"/>
  <c r="AH251" i="1"/>
  <c r="AJ251" i="1"/>
  <c r="AL251" i="1"/>
  <c r="AN251" i="1"/>
  <c r="AP251" i="1"/>
  <c r="AR251" i="1"/>
  <c r="AT251" i="1"/>
  <c r="AV251" i="1"/>
  <c r="AX251" i="1"/>
  <c r="A252" i="1"/>
  <c r="D252" i="1"/>
  <c r="F252" i="1"/>
  <c r="H252" i="1"/>
  <c r="J252" i="1"/>
  <c r="L252" i="1"/>
  <c r="N252" i="1"/>
  <c r="P252" i="1"/>
  <c r="R252" i="1"/>
  <c r="T252" i="1"/>
  <c r="V252" i="1"/>
  <c r="X252" i="1"/>
  <c r="Z252" i="1"/>
  <c r="AB252" i="1"/>
  <c r="AD252" i="1"/>
  <c r="AF252" i="1"/>
  <c r="AH252" i="1"/>
  <c r="AJ252" i="1"/>
  <c r="AL252" i="1"/>
  <c r="AN252" i="1"/>
  <c r="AP252" i="1"/>
  <c r="AR252" i="1"/>
  <c r="AT252" i="1"/>
  <c r="AV252" i="1"/>
  <c r="AX252" i="1"/>
  <c r="A253" i="1"/>
  <c r="D253" i="1"/>
  <c r="F253" i="1"/>
  <c r="H253" i="1"/>
  <c r="J253" i="1"/>
  <c r="L253" i="1"/>
  <c r="N253" i="1"/>
  <c r="P253" i="1"/>
  <c r="R253" i="1"/>
  <c r="T253" i="1"/>
  <c r="V253" i="1"/>
  <c r="X253" i="1"/>
  <c r="Z253" i="1"/>
  <c r="AB253" i="1"/>
  <c r="AD253" i="1"/>
  <c r="AF253" i="1"/>
  <c r="AH253" i="1"/>
  <c r="AJ253" i="1"/>
  <c r="AL253" i="1"/>
  <c r="AN253" i="1"/>
  <c r="AP253" i="1"/>
  <c r="AR253" i="1"/>
  <c r="AT253" i="1"/>
  <c r="AV253" i="1"/>
  <c r="AX253" i="1"/>
  <c r="A254" i="1"/>
  <c r="D254" i="1"/>
  <c r="F254" i="1"/>
  <c r="H254" i="1"/>
  <c r="J254" i="1"/>
  <c r="L254" i="1"/>
  <c r="N254" i="1"/>
  <c r="P254" i="1"/>
  <c r="R254" i="1"/>
  <c r="T254" i="1"/>
  <c r="V254" i="1"/>
  <c r="X254" i="1"/>
  <c r="Z254" i="1"/>
  <c r="AB254" i="1"/>
  <c r="AD254" i="1"/>
  <c r="AF254" i="1"/>
  <c r="AH254" i="1"/>
  <c r="AJ254" i="1"/>
  <c r="AL254" i="1"/>
  <c r="AN254" i="1"/>
  <c r="AP254" i="1"/>
  <c r="AR254" i="1"/>
  <c r="AT254" i="1"/>
  <c r="AV254" i="1"/>
  <c r="AX254" i="1"/>
  <c r="A255" i="1"/>
  <c r="D255" i="1"/>
  <c r="F255" i="1"/>
  <c r="H255" i="1"/>
  <c r="J255" i="1"/>
  <c r="L255" i="1"/>
  <c r="N255" i="1"/>
  <c r="P255" i="1"/>
  <c r="R255" i="1"/>
  <c r="T255" i="1"/>
  <c r="V255" i="1"/>
  <c r="X255" i="1"/>
  <c r="Z255" i="1"/>
  <c r="AB255" i="1"/>
  <c r="AD255" i="1"/>
  <c r="AF255" i="1"/>
  <c r="AH255" i="1"/>
  <c r="AJ255" i="1"/>
  <c r="AL255" i="1"/>
  <c r="AN255" i="1"/>
  <c r="AP255" i="1"/>
  <c r="AR255" i="1"/>
  <c r="AT255" i="1"/>
  <c r="AV255" i="1"/>
  <c r="AX255" i="1"/>
  <c r="A256" i="1"/>
  <c r="D256" i="1"/>
  <c r="F256" i="1"/>
  <c r="H256" i="1"/>
  <c r="J256" i="1"/>
  <c r="L256" i="1"/>
  <c r="N256" i="1"/>
  <c r="P256" i="1"/>
  <c r="R256" i="1"/>
  <c r="T256" i="1"/>
  <c r="V256" i="1"/>
  <c r="X256" i="1"/>
  <c r="Z256" i="1"/>
  <c r="AB256" i="1"/>
  <c r="AD256" i="1"/>
  <c r="AF256" i="1"/>
  <c r="AH256" i="1"/>
  <c r="AJ256" i="1"/>
  <c r="AL256" i="1"/>
  <c r="AN256" i="1"/>
  <c r="AP256" i="1"/>
  <c r="AR256" i="1"/>
  <c r="AT256" i="1"/>
  <c r="AV256" i="1"/>
  <c r="AX256" i="1"/>
  <c r="A257" i="1"/>
  <c r="D257" i="1"/>
  <c r="F257" i="1"/>
  <c r="H257" i="1"/>
  <c r="J257" i="1"/>
  <c r="L257" i="1"/>
  <c r="N257" i="1"/>
  <c r="P257" i="1"/>
  <c r="R257" i="1"/>
  <c r="T257" i="1"/>
  <c r="V257" i="1"/>
  <c r="X257" i="1"/>
  <c r="Z257" i="1"/>
  <c r="AB257" i="1"/>
  <c r="AD257" i="1"/>
  <c r="AF257" i="1"/>
  <c r="AH257" i="1"/>
  <c r="AJ257" i="1"/>
  <c r="AL257" i="1"/>
  <c r="AN257" i="1"/>
  <c r="AP257" i="1"/>
  <c r="AR257" i="1"/>
  <c r="AT257" i="1"/>
  <c r="AV257" i="1"/>
  <c r="AX257" i="1"/>
  <c r="D258" i="1"/>
  <c r="F258" i="1"/>
  <c r="H258" i="1"/>
  <c r="J258" i="1"/>
  <c r="L258" i="1"/>
  <c r="N258" i="1"/>
  <c r="P258" i="1"/>
  <c r="R258" i="1"/>
  <c r="T258" i="1"/>
  <c r="V258" i="1"/>
  <c r="X258" i="1"/>
  <c r="Z258" i="1"/>
  <c r="AB258" i="1"/>
  <c r="AD258" i="1"/>
  <c r="AF258" i="1"/>
  <c r="AH258" i="1"/>
  <c r="AJ258" i="1"/>
  <c r="AL258" i="1"/>
  <c r="AN258" i="1"/>
  <c r="AP258" i="1"/>
  <c r="AR258" i="1"/>
  <c r="AT258" i="1"/>
  <c r="AV258" i="1"/>
  <c r="AX258" i="1"/>
  <c r="A262" i="1"/>
  <c r="D262" i="1"/>
  <c r="F262" i="1"/>
  <c r="H262" i="1"/>
  <c r="J262" i="1"/>
  <c r="L262" i="1"/>
  <c r="N262" i="1"/>
  <c r="P262" i="1"/>
  <c r="R262" i="1"/>
  <c r="T262" i="1"/>
  <c r="V262" i="1"/>
  <c r="X262" i="1"/>
  <c r="Z262" i="1"/>
  <c r="AB262" i="1"/>
  <c r="AD262" i="1"/>
  <c r="AF262" i="1"/>
  <c r="AH262" i="1"/>
  <c r="AJ262" i="1"/>
  <c r="AL262" i="1"/>
  <c r="AN262" i="1"/>
  <c r="AP262" i="1"/>
  <c r="AR262" i="1"/>
  <c r="AT262" i="1"/>
  <c r="AV262" i="1"/>
  <c r="AX262" i="1"/>
  <c r="A263" i="1"/>
  <c r="D263" i="1"/>
  <c r="F263" i="1"/>
  <c r="H263" i="1"/>
  <c r="J263" i="1"/>
  <c r="L263" i="1"/>
  <c r="N263" i="1"/>
  <c r="P263" i="1"/>
  <c r="R263" i="1"/>
  <c r="T263" i="1"/>
  <c r="V263" i="1"/>
  <c r="X263" i="1"/>
  <c r="Z263" i="1"/>
  <c r="AB263" i="1"/>
  <c r="AD263" i="1"/>
  <c r="AF263" i="1"/>
  <c r="AH263" i="1"/>
  <c r="AJ263" i="1"/>
  <c r="AL263" i="1"/>
  <c r="AN263" i="1"/>
  <c r="AP263" i="1"/>
  <c r="AR263" i="1"/>
  <c r="AT263" i="1"/>
  <c r="AV263" i="1"/>
  <c r="AX263" i="1"/>
  <c r="A265" i="1"/>
  <c r="D265" i="1"/>
  <c r="F265" i="1"/>
  <c r="H265" i="1"/>
  <c r="J265" i="1"/>
  <c r="L265" i="1"/>
  <c r="N265" i="1"/>
  <c r="P265" i="1"/>
  <c r="R265" i="1"/>
  <c r="T265" i="1"/>
  <c r="V265" i="1"/>
  <c r="X265" i="1"/>
  <c r="Z265" i="1"/>
  <c r="AB265" i="1"/>
  <c r="AD265" i="1"/>
  <c r="AF265" i="1"/>
  <c r="AH265" i="1"/>
  <c r="AJ265" i="1"/>
  <c r="AL265" i="1"/>
  <c r="AN265" i="1"/>
  <c r="AP265" i="1"/>
  <c r="AR265" i="1"/>
  <c r="AT265" i="1"/>
  <c r="AV265" i="1"/>
  <c r="AX265" i="1"/>
  <c r="A266" i="1"/>
  <c r="D266" i="1"/>
  <c r="F266" i="1"/>
  <c r="H266" i="1"/>
  <c r="J266" i="1"/>
  <c r="L266" i="1"/>
  <c r="N266" i="1"/>
  <c r="P266" i="1"/>
  <c r="R266" i="1"/>
  <c r="T266" i="1"/>
  <c r="V266" i="1"/>
  <c r="X266" i="1"/>
  <c r="Z266" i="1"/>
  <c r="AB266" i="1"/>
  <c r="AD266" i="1"/>
  <c r="AF266" i="1"/>
  <c r="AH266" i="1"/>
  <c r="AJ266" i="1"/>
  <c r="AL266" i="1"/>
  <c r="AN266" i="1"/>
  <c r="AP266" i="1"/>
  <c r="AR266" i="1"/>
  <c r="AT266" i="1"/>
  <c r="AV266" i="1"/>
  <c r="AX266" i="1"/>
  <c r="A267" i="1"/>
  <c r="D267" i="1"/>
  <c r="F267" i="1"/>
  <c r="H267" i="1"/>
  <c r="J267" i="1"/>
  <c r="L267" i="1"/>
  <c r="N267" i="1"/>
  <c r="P267" i="1"/>
  <c r="R267" i="1"/>
  <c r="T267" i="1"/>
  <c r="V267" i="1"/>
  <c r="X267" i="1"/>
  <c r="Z267" i="1"/>
  <c r="AB267" i="1"/>
  <c r="AD267" i="1"/>
  <c r="AF267" i="1"/>
  <c r="AH267" i="1"/>
  <c r="AJ267" i="1"/>
  <c r="AL267" i="1"/>
  <c r="AN267" i="1"/>
  <c r="AP267" i="1"/>
  <c r="AR267" i="1"/>
  <c r="AT267" i="1"/>
  <c r="AV267" i="1"/>
  <c r="AX267" i="1"/>
  <c r="A268" i="1"/>
  <c r="D268" i="1"/>
  <c r="F268" i="1"/>
  <c r="H268" i="1"/>
  <c r="J268" i="1"/>
  <c r="L268" i="1"/>
  <c r="N268" i="1"/>
  <c r="P268" i="1"/>
  <c r="R268" i="1"/>
  <c r="T268" i="1"/>
  <c r="V268" i="1"/>
  <c r="X268" i="1"/>
  <c r="Z268" i="1"/>
  <c r="AB268" i="1"/>
  <c r="AD268" i="1"/>
  <c r="AF268" i="1"/>
  <c r="AH268" i="1"/>
  <c r="AJ268" i="1"/>
  <c r="AL268" i="1"/>
  <c r="AN268" i="1"/>
  <c r="AP268" i="1"/>
  <c r="AR268" i="1"/>
  <c r="AT268" i="1"/>
  <c r="AV268" i="1"/>
  <c r="AX268" i="1"/>
  <c r="A269" i="1"/>
  <c r="D269" i="1"/>
  <c r="F269" i="1"/>
  <c r="H269" i="1"/>
  <c r="J269" i="1"/>
  <c r="L269" i="1"/>
  <c r="N269" i="1"/>
  <c r="P269" i="1"/>
  <c r="R269" i="1"/>
  <c r="T269" i="1"/>
  <c r="V269" i="1"/>
  <c r="X269" i="1"/>
  <c r="Z269" i="1"/>
  <c r="AB269" i="1"/>
  <c r="AD269" i="1"/>
  <c r="AF269" i="1"/>
  <c r="AH269" i="1"/>
  <c r="AJ269" i="1"/>
  <c r="AL269" i="1"/>
  <c r="AN269" i="1"/>
  <c r="AP269" i="1"/>
  <c r="AR269" i="1"/>
  <c r="AT269" i="1"/>
  <c r="AV269" i="1"/>
  <c r="AX269" i="1"/>
  <c r="A270" i="1"/>
  <c r="D270" i="1"/>
  <c r="F270" i="1"/>
  <c r="H270" i="1"/>
  <c r="J270" i="1"/>
  <c r="L270" i="1"/>
  <c r="N270" i="1"/>
  <c r="P270" i="1"/>
  <c r="R270" i="1"/>
  <c r="T270" i="1"/>
  <c r="V270" i="1"/>
  <c r="X270" i="1"/>
  <c r="Z270" i="1"/>
  <c r="AB270" i="1"/>
  <c r="AD270" i="1"/>
  <c r="AF270" i="1"/>
  <c r="AH270" i="1"/>
  <c r="AJ270" i="1"/>
  <c r="AL270" i="1"/>
  <c r="AN270" i="1"/>
  <c r="AP270" i="1"/>
  <c r="AR270" i="1"/>
  <c r="AT270" i="1"/>
  <c r="AV270" i="1"/>
  <c r="AX270" i="1"/>
  <c r="A271" i="1"/>
  <c r="D271" i="1"/>
  <c r="F271" i="1"/>
  <c r="H271" i="1"/>
  <c r="J271" i="1"/>
  <c r="L271" i="1"/>
  <c r="N271" i="1"/>
  <c r="P271" i="1"/>
  <c r="R271" i="1"/>
  <c r="T271" i="1"/>
  <c r="V271" i="1"/>
  <c r="X271" i="1"/>
  <c r="Z271" i="1"/>
  <c r="AB271" i="1"/>
  <c r="AD271" i="1"/>
  <c r="AF271" i="1"/>
  <c r="AH271" i="1"/>
  <c r="AJ271" i="1"/>
  <c r="AL271" i="1"/>
  <c r="AN271" i="1"/>
  <c r="AP271" i="1"/>
  <c r="AR271" i="1"/>
  <c r="AT271" i="1"/>
  <c r="AV271" i="1"/>
  <c r="AX271" i="1"/>
  <c r="A272" i="1"/>
  <c r="D272" i="1"/>
  <c r="F272" i="1"/>
  <c r="H272" i="1"/>
  <c r="J272" i="1"/>
  <c r="L272" i="1"/>
  <c r="N272" i="1"/>
  <c r="P272" i="1"/>
  <c r="R272" i="1"/>
  <c r="T272" i="1"/>
  <c r="V272" i="1"/>
  <c r="X272" i="1"/>
  <c r="Z272" i="1"/>
  <c r="AB272" i="1"/>
  <c r="AD272" i="1"/>
  <c r="AF272" i="1"/>
  <c r="AH272" i="1"/>
  <c r="AJ272" i="1"/>
  <c r="AL272" i="1"/>
  <c r="AN272" i="1"/>
  <c r="AP272" i="1"/>
  <c r="AR272" i="1"/>
  <c r="AT272" i="1"/>
  <c r="AV272" i="1"/>
  <c r="AX272" i="1"/>
  <c r="A273" i="1"/>
  <c r="D273" i="1"/>
  <c r="F273" i="1"/>
  <c r="H273" i="1"/>
  <c r="J273" i="1"/>
  <c r="L273" i="1"/>
  <c r="N273" i="1"/>
  <c r="P273" i="1"/>
  <c r="R273" i="1"/>
  <c r="T273" i="1"/>
  <c r="V273" i="1"/>
  <c r="X273" i="1"/>
  <c r="Z273" i="1"/>
  <c r="AB273" i="1"/>
  <c r="AD273" i="1"/>
  <c r="AF273" i="1"/>
  <c r="AH273" i="1"/>
  <c r="AJ273" i="1"/>
  <c r="AL273" i="1"/>
  <c r="AN273" i="1"/>
  <c r="AP273" i="1"/>
  <c r="AR273" i="1"/>
  <c r="AT273" i="1"/>
  <c r="AV273" i="1"/>
  <c r="AX273" i="1"/>
  <c r="A274" i="1"/>
  <c r="D274" i="1"/>
  <c r="F274" i="1"/>
  <c r="H274" i="1"/>
  <c r="J274" i="1"/>
  <c r="L274" i="1"/>
  <c r="N274" i="1"/>
  <c r="P274" i="1"/>
  <c r="R274" i="1"/>
  <c r="T274" i="1"/>
  <c r="V274" i="1"/>
  <c r="X274" i="1"/>
  <c r="Z274" i="1"/>
  <c r="AB274" i="1"/>
  <c r="AD274" i="1"/>
  <c r="AF274" i="1"/>
  <c r="AH274" i="1"/>
  <c r="AJ274" i="1"/>
  <c r="AL274" i="1"/>
  <c r="AN274" i="1"/>
  <c r="AP274" i="1"/>
  <c r="AR274" i="1"/>
  <c r="AT274" i="1"/>
  <c r="AV274" i="1"/>
  <c r="AX274" i="1"/>
  <c r="A275" i="1"/>
  <c r="D275" i="1"/>
  <c r="F275" i="1"/>
  <c r="H275" i="1"/>
  <c r="J275" i="1"/>
  <c r="L275" i="1"/>
  <c r="N275" i="1"/>
  <c r="P275" i="1"/>
  <c r="R275" i="1"/>
  <c r="T275" i="1"/>
  <c r="V275" i="1"/>
  <c r="X275" i="1"/>
  <c r="Z275" i="1"/>
  <c r="AB275" i="1"/>
  <c r="AD275" i="1"/>
  <c r="AF275" i="1"/>
  <c r="AH275" i="1"/>
  <c r="AJ275" i="1"/>
  <c r="AL275" i="1"/>
  <c r="AN275" i="1"/>
  <c r="AP275" i="1"/>
  <c r="AR275" i="1"/>
  <c r="AT275" i="1"/>
  <c r="AV275" i="1"/>
  <c r="AX275" i="1"/>
  <c r="A276" i="1"/>
  <c r="D276" i="1"/>
  <c r="F276" i="1"/>
  <c r="H276" i="1"/>
  <c r="J276" i="1"/>
  <c r="L276" i="1"/>
  <c r="N276" i="1"/>
  <c r="P276" i="1"/>
  <c r="R276" i="1"/>
  <c r="T276" i="1"/>
  <c r="V276" i="1"/>
  <c r="X276" i="1"/>
  <c r="Z276" i="1"/>
  <c r="AB276" i="1"/>
  <c r="AD276" i="1"/>
  <c r="AF276" i="1"/>
  <c r="AH276" i="1"/>
  <c r="AJ276" i="1"/>
  <c r="AL276" i="1"/>
  <c r="AN276" i="1"/>
  <c r="AP276" i="1"/>
  <c r="AR276" i="1"/>
  <c r="AT276" i="1"/>
  <c r="AV276" i="1"/>
  <c r="AX276" i="1"/>
  <c r="A277" i="1"/>
  <c r="D277" i="1"/>
  <c r="F277" i="1"/>
  <c r="H277" i="1"/>
  <c r="J277" i="1"/>
  <c r="L277" i="1"/>
  <c r="N277" i="1"/>
  <c r="P277" i="1"/>
  <c r="R277" i="1"/>
  <c r="T277" i="1"/>
  <c r="V277" i="1"/>
  <c r="X277" i="1"/>
  <c r="Z277" i="1"/>
  <c r="AB277" i="1"/>
  <c r="AD277" i="1"/>
  <c r="AF277" i="1"/>
  <c r="AH277" i="1"/>
  <c r="AJ277" i="1"/>
  <c r="AL277" i="1"/>
  <c r="AN277" i="1"/>
  <c r="AP277" i="1"/>
  <c r="AR277" i="1"/>
  <c r="AT277" i="1"/>
  <c r="AV277" i="1"/>
  <c r="AX277" i="1"/>
  <c r="A278" i="1"/>
  <c r="D278" i="1"/>
  <c r="F278" i="1"/>
  <c r="H278" i="1"/>
  <c r="J278" i="1"/>
  <c r="L278" i="1"/>
  <c r="N278" i="1"/>
  <c r="P278" i="1"/>
  <c r="R278" i="1"/>
  <c r="T278" i="1"/>
  <c r="V278" i="1"/>
  <c r="X278" i="1"/>
  <c r="Z278" i="1"/>
  <c r="AB278" i="1"/>
  <c r="AD278" i="1"/>
  <c r="AF278" i="1"/>
  <c r="AH278" i="1"/>
  <c r="AJ278" i="1"/>
  <c r="AL278" i="1"/>
  <c r="AN278" i="1"/>
  <c r="AP278" i="1"/>
  <c r="AR278" i="1"/>
  <c r="AT278" i="1"/>
  <c r="AV278" i="1"/>
  <c r="AX278" i="1"/>
  <c r="A279" i="1"/>
  <c r="D279" i="1"/>
  <c r="F279" i="1"/>
  <c r="H279" i="1"/>
  <c r="J279" i="1"/>
  <c r="L279" i="1"/>
  <c r="N279" i="1"/>
  <c r="P279" i="1"/>
  <c r="R279" i="1"/>
  <c r="T279" i="1"/>
  <c r="V279" i="1"/>
  <c r="X279" i="1"/>
  <c r="Z279" i="1"/>
  <c r="AB279" i="1"/>
  <c r="AD279" i="1"/>
  <c r="AF279" i="1"/>
  <c r="AH279" i="1"/>
  <c r="AJ279" i="1"/>
  <c r="AL279" i="1"/>
  <c r="AN279" i="1"/>
  <c r="AP279" i="1"/>
  <c r="AR279" i="1"/>
  <c r="AT279" i="1"/>
  <c r="AV279" i="1"/>
  <c r="AX279" i="1"/>
  <c r="A280" i="1"/>
  <c r="D280" i="1"/>
  <c r="F280" i="1"/>
  <c r="H280" i="1"/>
  <c r="J280" i="1"/>
  <c r="L280" i="1"/>
  <c r="N280" i="1"/>
  <c r="P280" i="1"/>
  <c r="R280" i="1"/>
  <c r="T280" i="1"/>
  <c r="V280" i="1"/>
  <c r="X280" i="1"/>
  <c r="Z280" i="1"/>
  <c r="AB280" i="1"/>
  <c r="AD280" i="1"/>
  <c r="AF280" i="1"/>
  <c r="AH280" i="1"/>
  <c r="AJ280" i="1"/>
  <c r="AL280" i="1"/>
  <c r="AN280" i="1"/>
  <c r="AP280" i="1"/>
  <c r="AR280" i="1"/>
  <c r="AT280" i="1"/>
  <c r="AV280" i="1"/>
  <c r="AX280" i="1"/>
  <c r="A281" i="1"/>
  <c r="D281" i="1"/>
  <c r="F281" i="1"/>
  <c r="H281" i="1"/>
  <c r="J281" i="1"/>
  <c r="L281" i="1"/>
  <c r="N281" i="1"/>
  <c r="P281" i="1"/>
  <c r="R281" i="1"/>
  <c r="T281" i="1"/>
  <c r="V281" i="1"/>
  <c r="X281" i="1"/>
  <c r="Z281" i="1"/>
  <c r="AB281" i="1"/>
  <c r="AD281" i="1"/>
  <c r="AF281" i="1"/>
  <c r="AH281" i="1"/>
  <c r="AJ281" i="1"/>
  <c r="AL281" i="1"/>
  <c r="AN281" i="1"/>
  <c r="AP281" i="1"/>
  <c r="AR281" i="1"/>
  <c r="AT281" i="1"/>
  <c r="AV281" i="1"/>
  <c r="AX281" i="1"/>
  <c r="A282" i="1"/>
  <c r="D282" i="1"/>
  <c r="F282" i="1"/>
  <c r="H282" i="1"/>
  <c r="J282" i="1"/>
  <c r="L282" i="1"/>
  <c r="N282" i="1"/>
  <c r="P282" i="1"/>
  <c r="R282" i="1"/>
  <c r="T282" i="1"/>
  <c r="V282" i="1"/>
  <c r="X282" i="1"/>
  <c r="Z282" i="1"/>
  <c r="AB282" i="1"/>
  <c r="AD282" i="1"/>
  <c r="AF282" i="1"/>
  <c r="AH282" i="1"/>
  <c r="AJ282" i="1"/>
  <c r="AL282" i="1"/>
  <c r="AN282" i="1"/>
  <c r="AP282" i="1"/>
  <c r="AR282" i="1"/>
  <c r="AT282" i="1"/>
  <c r="AV282" i="1"/>
  <c r="AX282" i="1"/>
  <c r="A283" i="1"/>
  <c r="D283" i="1"/>
  <c r="F283" i="1"/>
  <c r="H283" i="1"/>
  <c r="J283" i="1"/>
  <c r="L283" i="1"/>
  <c r="N283" i="1"/>
  <c r="P283" i="1"/>
  <c r="R283" i="1"/>
  <c r="T283" i="1"/>
  <c r="V283" i="1"/>
  <c r="X283" i="1"/>
  <c r="Z283" i="1"/>
  <c r="AB283" i="1"/>
  <c r="AD283" i="1"/>
  <c r="AF283" i="1"/>
  <c r="AH283" i="1"/>
  <c r="AJ283" i="1"/>
  <c r="AL283" i="1"/>
  <c r="AN283" i="1"/>
  <c r="AP283" i="1"/>
  <c r="AR283" i="1"/>
  <c r="AT283" i="1"/>
  <c r="AV283" i="1"/>
  <c r="AX283" i="1"/>
  <c r="A284" i="1"/>
  <c r="D284" i="1"/>
  <c r="F284" i="1"/>
  <c r="H284" i="1"/>
  <c r="J284" i="1"/>
  <c r="L284" i="1"/>
  <c r="N284" i="1"/>
  <c r="P284" i="1"/>
  <c r="R284" i="1"/>
  <c r="T284" i="1"/>
  <c r="V284" i="1"/>
  <c r="X284" i="1"/>
  <c r="Z284" i="1"/>
  <c r="AB284" i="1"/>
  <c r="AD284" i="1"/>
  <c r="AF284" i="1"/>
  <c r="AH284" i="1"/>
  <c r="AJ284" i="1"/>
  <c r="AL284" i="1"/>
  <c r="AN284" i="1"/>
  <c r="AP284" i="1"/>
  <c r="AR284" i="1"/>
  <c r="AT284" i="1"/>
  <c r="AV284" i="1"/>
  <c r="AX284" i="1"/>
  <c r="A285" i="1"/>
  <c r="D285" i="1"/>
  <c r="F285" i="1"/>
  <c r="H285" i="1"/>
  <c r="J285" i="1"/>
  <c r="L285" i="1"/>
  <c r="N285" i="1"/>
  <c r="P285" i="1"/>
  <c r="R285" i="1"/>
  <c r="T285" i="1"/>
  <c r="V285" i="1"/>
  <c r="X285" i="1"/>
  <c r="Z285" i="1"/>
  <c r="AB285" i="1"/>
  <c r="AD285" i="1"/>
  <c r="AF285" i="1"/>
  <c r="AH285" i="1"/>
  <c r="AJ285" i="1"/>
  <c r="AL285" i="1"/>
  <c r="AN285" i="1"/>
  <c r="AP285" i="1"/>
  <c r="AR285" i="1"/>
  <c r="AT285" i="1"/>
  <c r="AV285" i="1"/>
  <c r="AX285" i="1"/>
  <c r="A286" i="1"/>
  <c r="D286" i="1"/>
  <c r="F286" i="1"/>
  <c r="H286" i="1"/>
  <c r="J286" i="1"/>
  <c r="L286" i="1"/>
  <c r="N286" i="1"/>
  <c r="P286" i="1"/>
  <c r="R286" i="1"/>
  <c r="T286" i="1"/>
  <c r="V286" i="1"/>
  <c r="X286" i="1"/>
  <c r="Z286" i="1"/>
  <c r="AB286" i="1"/>
  <c r="AD286" i="1"/>
  <c r="AF286" i="1"/>
  <c r="AH286" i="1"/>
  <c r="AJ286" i="1"/>
  <c r="AL286" i="1"/>
  <c r="AN286" i="1"/>
  <c r="AP286" i="1"/>
  <c r="AR286" i="1"/>
  <c r="AT286" i="1"/>
  <c r="AV286" i="1"/>
  <c r="AX286" i="1"/>
  <c r="A287" i="1"/>
  <c r="D287" i="1"/>
  <c r="F287" i="1"/>
  <c r="H287" i="1"/>
  <c r="J287" i="1"/>
  <c r="L287" i="1"/>
  <c r="N287" i="1"/>
  <c r="P287" i="1"/>
  <c r="R287" i="1"/>
  <c r="T287" i="1"/>
  <c r="V287" i="1"/>
  <c r="X287" i="1"/>
  <c r="Z287" i="1"/>
  <c r="AB287" i="1"/>
  <c r="AD287" i="1"/>
  <c r="AF287" i="1"/>
  <c r="AH287" i="1"/>
  <c r="AJ287" i="1"/>
  <c r="AL287" i="1"/>
  <c r="AN287" i="1"/>
  <c r="AP287" i="1"/>
  <c r="AR287" i="1"/>
  <c r="AT287" i="1"/>
  <c r="AV287" i="1"/>
  <c r="AX287" i="1"/>
  <c r="A288" i="1"/>
  <c r="D288" i="1"/>
  <c r="F288" i="1"/>
  <c r="H288" i="1"/>
  <c r="J288" i="1"/>
  <c r="L288" i="1"/>
  <c r="N288" i="1"/>
  <c r="P288" i="1"/>
  <c r="R288" i="1"/>
  <c r="T288" i="1"/>
  <c r="V288" i="1"/>
  <c r="X288" i="1"/>
  <c r="Z288" i="1"/>
  <c r="AB288" i="1"/>
  <c r="AD288" i="1"/>
  <c r="AF288" i="1"/>
  <c r="AH288" i="1"/>
  <c r="AJ288" i="1"/>
  <c r="AL288" i="1"/>
  <c r="AN288" i="1"/>
  <c r="AP288" i="1"/>
  <c r="AR288" i="1"/>
  <c r="AT288" i="1"/>
  <c r="AV288" i="1"/>
  <c r="AX288" i="1"/>
  <c r="A289" i="1"/>
  <c r="D289" i="1"/>
  <c r="F289" i="1"/>
  <c r="H289" i="1"/>
  <c r="J289" i="1"/>
  <c r="L289" i="1"/>
  <c r="N289" i="1"/>
  <c r="P289" i="1"/>
  <c r="R289" i="1"/>
  <c r="T289" i="1"/>
  <c r="V289" i="1"/>
  <c r="X289" i="1"/>
  <c r="Z289" i="1"/>
  <c r="AB289" i="1"/>
  <c r="AD289" i="1"/>
  <c r="AF289" i="1"/>
  <c r="AH289" i="1"/>
  <c r="AJ289" i="1"/>
  <c r="AL289" i="1"/>
  <c r="AN289" i="1"/>
  <c r="AP289" i="1"/>
  <c r="AR289" i="1"/>
  <c r="AT289" i="1"/>
  <c r="AV289" i="1"/>
  <c r="AX289" i="1"/>
  <c r="A290" i="1"/>
  <c r="D290" i="1"/>
  <c r="F290" i="1"/>
  <c r="H290" i="1"/>
  <c r="J290" i="1"/>
  <c r="L290" i="1"/>
  <c r="N290" i="1"/>
  <c r="P290" i="1"/>
  <c r="R290" i="1"/>
  <c r="T290" i="1"/>
  <c r="V290" i="1"/>
  <c r="X290" i="1"/>
  <c r="Z290" i="1"/>
  <c r="AB290" i="1"/>
  <c r="AD290" i="1"/>
  <c r="AF290" i="1"/>
  <c r="AH290" i="1"/>
  <c r="AJ290" i="1"/>
  <c r="AL290" i="1"/>
  <c r="AN290" i="1"/>
  <c r="AP290" i="1"/>
  <c r="AR290" i="1"/>
  <c r="AT290" i="1"/>
  <c r="AV290" i="1"/>
  <c r="AX290" i="1"/>
  <c r="A291" i="1"/>
  <c r="D291" i="1"/>
  <c r="F291" i="1"/>
  <c r="H291" i="1"/>
  <c r="J291" i="1"/>
  <c r="L291" i="1"/>
  <c r="N291" i="1"/>
  <c r="P291" i="1"/>
  <c r="R291" i="1"/>
  <c r="T291" i="1"/>
  <c r="V291" i="1"/>
  <c r="X291" i="1"/>
  <c r="Z291" i="1"/>
  <c r="AB291" i="1"/>
  <c r="AD291" i="1"/>
  <c r="AF291" i="1"/>
  <c r="AH291" i="1"/>
  <c r="AJ291" i="1"/>
  <c r="AL291" i="1"/>
  <c r="AN291" i="1"/>
  <c r="AP291" i="1"/>
  <c r="AR291" i="1"/>
  <c r="AT291" i="1"/>
  <c r="AV291" i="1"/>
  <c r="AX291" i="1"/>
  <c r="A292" i="1"/>
  <c r="D292" i="1"/>
  <c r="F292" i="1"/>
  <c r="H292" i="1"/>
  <c r="J292" i="1"/>
  <c r="L292" i="1"/>
  <c r="N292" i="1"/>
  <c r="P292" i="1"/>
  <c r="R292" i="1"/>
  <c r="T292" i="1"/>
  <c r="V292" i="1"/>
  <c r="X292" i="1"/>
  <c r="Z292" i="1"/>
  <c r="AB292" i="1"/>
  <c r="AD292" i="1"/>
  <c r="AF292" i="1"/>
  <c r="AH292" i="1"/>
  <c r="AJ292" i="1"/>
  <c r="AL292" i="1"/>
  <c r="AN292" i="1"/>
  <c r="AP292" i="1"/>
  <c r="AR292" i="1"/>
  <c r="AT292" i="1"/>
  <c r="AV292" i="1"/>
  <c r="AX292" i="1"/>
  <c r="A293" i="1"/>
  <c r="D293" i="1"/>
  <c r="F293" i="1"/>
  <c r="H293" i="1"/>
  <c r="J293" i="1"/>
  <c r="L293" i="1"/>
  <c r="N293" i="1"/>
  <c r="P293" i="1"/>
  <c r="R293" i="1"/>
  <c r="T293" i="1"/>
  <c r="V293" i="1"/>
  <c r="X293" i="1"/>
  <c r="Z293" i="1"/>
  <c r="AB293" i="1"/>
  <c r="AD293" i="1"/>
  <c r="AF293" i="1"/>
  <c r="AH293" i="1"/>
  <c r="AJ293" i="1"/>
  <c r="AL293" i="1"/>
  <c r="AN293" i="1"/>
  <c r="AP293" i="1"/>
  <c r="AR293" i="1"/>
  <c r="AT293" i="1"/>
  <c r="AV293" i="1"/>
  <c r="AX293" i="1"/>
  <c r="A294" i="1"/>
  <c r="D294" i="1"/>
  <c r="F294" i="1"/>
  <c r="H294" i="1"/>
  <c r="J294" i="1"/>
  <c r="L294" i="1"/>
  <c r="N294" i="1"/>
  <c r="P294" i="1"/>
  <c r="R294" i="1"/>
  <c r="T294" i="1"/>
  <c r="V294" i="1"/>
  <c r="X294" i="1"/>
  <c r="Z294" i="1"/>
  <c r="AB294" i="1"/>
  <c r="AD294" i="1"/>
  <c r="AF294" i="1"/>
  <c r="AH294" i="1"/>
  <c r="AJ294" i="1"/>
  <c r="AL294" i="1"/>
  <c r="AN294" i="1"/>
  <c r="AP294" i="1"/>
  <c r="AR294" i="1"/>
  <c r="AT294" i="1"/>
  <c r="AV294" i="1"/>
  <c r="AX294" i="1"/>
  <c r="A295" i="1"/>
  <c r="D295" i="1"/>
  <c r="F295" i="1"/>
  <c r="H295" i="1"/>
  <c r="J295" i="1"/>
  <c r="L295" i="1"/>
  <c r="N295" i="1"/>
  <c r="P295" i="1"/>
  <c r="R295" i="1"/>
  <c r="T295" i="1"/>
  <c r="V295" i="1"/>
  <c r="X295" i="1"/>
  <c r="Z295" i="1"/>
  <c r="AB295" i="1"/>
  <c r="AD295" i="1"/>
  <c r="AF295" i="1"/>
  <c r="AH295" i="1"/>
  <c r="AJ295" i="1"/>
  <c r="AL295" i="1"/>
  <c r="AN295" i="1"/>
  <c r="AP295" i="1"/>
  <c r="AR295" i="1"/>
  <c r="AT295" i="1"/>
  <c r="AV295" i="1"/>
  <c r="AX295" i="1"/>
  <c r="A296" i="1"/>
  <c r="D296" i="1"/>
  <c r="F296" i="1"/>
  <c r="H296" i="1"/>
  <c r="J296" i="1"/>
  <c r="L296" i="1"/>
  <c r="N296" i="1"/>
  <c r="P296" i="1"/>
  <c r="R296" i="1"/>
  <c r="T296" i="1"/>
  <c r="V296" i="1"/>
  <c r="X296" i="1"/>
  <c r="Z296" i="1"/>
  <c r="AB296" i="1"/>
  <c r="AD296" i="1"/>
  <c r="AF296" i="1"/>
  <c r="AH296" i="1"/>
  <c r="AJ296" i="1"/>
  <c r="AL296" i="1"/>
  <c r="AN296" i="1"/>
  <c r="AP296" i="1"/>
  <c r="AR296" i="1"/>
  <c r="AT296" i="1"/>
  <c r="AV296" i="1"/>
  <c r="AX296" i="1"/>
  <c r="A297" i="1"/>
  <c r="D297" i="1"/>
  <c r="F297" i="1"/>
  <c r="H297" i="1"/>
  <c r="J297" i="1"/>
  <c r="L297" i="1"/>
  <c r="N297" i="1"/>
  <c r="P297" i="1"/>
  <c r="R297" i="1"/>
  <c r="T297" i="1"/>
  <c r="V297" i="1"/>
  <c r="X297" i="1"/>
  <c r="Z297" i="1"/>
  <c r="AB297" i="1"/>
  <c r="AD297" i="1"/>
  <c r="AF297" i="1"/>
  <c r="AH297" i="1"/>
  <c r="AJ297" i="1"/>
  <c r="AL297" i="1"/>
  <c r="AN297" i="1"/>
  <c r="AP297" i="1"/>
  <c r="AR297" i="1"/>
  <c r="AT297" i="1"/>
  <c r="AV297" i="1"/>
  <c r="AX297" i="1"/>
  <c r="A298" i="1"/>
  <c r="D298" i="1"/>
  <c r="F298" i="1"/>
  <c r="H298" i="1"/>
  <c r="J298" i="1"/>
  <c r="L298" i="1"/>
  <c r="N298" i="1"/>
  <c r="P298" i="1"/>
  <c r="R298" i="1"/>
  <c r="T298" i="1"/>
  <c r="V298" i="1"/>
  <c r="X298" i="1"/>
  <c r="Z298" i="1"/>
  <c r="AB298" i="1"/>
  <c r="AD298" i="1"/>
  <c r="AF298" i="1"/>
  <c r="AH298" i="1"/>
  <c r="AJ298" i="1"/>
  <c r="AL298" i="1"/>
  <c r="AN298" i="1"/>
  <c r="AP298" i="1"/>
  <c r="AR298" i="1"/>
  <c r="AT298" i="1"/>
  <c r="AV298" i="1"/>
  <c r="AX298" i="1"/>
  <c r="A299" i="1"/>
  <c r="D299" i="1"/>
  <c r="F299" i="1"/>
  <c r="H299" i="1"/>
  <c r="J299" i="1"/>
  <c r="L299" i="1"/>
  <c r="N299" i="1"/>
  <c r="P299" i="1"/>
  <c r="R299" i="1"/>
  <c r="T299" i="1"/>
  <c r="V299" i="1"/>
  <c r="X299" i="1"/>
  <c r="Z299" i="1"/>
  <c r="AB299" i="1"/>
  <c r="AD299" i="1"/>
  <c r="AF299" i="1"/>
  <c r="AH299" i="1"/>
  <c r="AJ299" i="1"/>
  <c r="AL299" i="1"/>
  <c r="AN299" i="1"/>
  <c r="AP299" i="1"/>
  <c r="AR299" i="1"/>
  <c r="AT299" i="1"/>
  <c r="AV299" i="1"/>
  <c r="AX299" i="1"/>
  <c r="A300" i="1"/>
  <c r="D300" i="1"/>
  <c r="F300" i="1"/>
  <c r="H300" i="1"/>
  <c r="J300" i="1"/>
  <c r="L300" i="1"/>
  <c r="N300" i="1"/>
  <c r="P300" i="1"/>
  <c r="R300" i="1"/>
  <c r="T300" i="1"/>
  <c r="V300" i="1"/>
  <c r="X300" i="1"/>
  <c r="Z300" i="1"/>
  <c r="AB300" i="1"/>
  <c r="AD300" i="1"/>
  <c r="AF300" i="1"/>
  <c r="AH300" i="1"/>
  <c r="AJ300" i="1"/>
  <c r="AL300" i="1"/>
  <c r="AN300" i="1"/>
  <c r="AP300" i="1"/>
  <c r="AR300" i="1"/>
  <c r="AT300" i="1"/>
  <c r="AV300" i="1"/>
  <c r="AX300" i="1"/>
  <c r="A301" i="1"/>
  <c r="D301" i="1"/>
  <c r="F301" i="1"/>
  <c r="H301" i="1"/>
  <c r="J301" i="1"/>
  <c r="L301" i="1"/>
  <c r="N301" i="1"/>
  <c r="P301" i="1"/>
  <c r="R301" i="1"/>
  <c r="T301" i="1"/>
  <c r="V301" i="1"/>
  <c r="X301" i="1"/>
  <c r="Z301" i="1"/>
  <c r="AB301" i="1"/>
  <c r="AD301" i="1"/>
  <c r="AF301" i="1"/>
  <c r="AH301" i="1"/>
  <c r="AJ301" i="1"/>
  <c r="AL301" i="1"/>
  <c r="AN301" i="1"/>
  <c r="AP301" i="1"/>
  <c r="AR301" i="1"/>
  <c r="AT301" i="1"/>
  <c r="AV301" i="1"/>
  <c r="AX301" i="1"/>
  <c r="A302" i="1"/>
  <c r="D302" i="1"/>
  <c r="F302" i="1"/>
  <c r="H302" i="1"/>
  <c r="J302" i="1"/>
  <c r="L302" i="1"/>
  <c r="N302" i="1"/>
  <c r="P302" i="1"/>
  <c r="R302" i="1"/>
  <c r="T302" i="1"/>
  <c r="V302" i="1"/>
  <c r="X302" i="1"/>
  <c r="Z302" i="1"/>
  <c r="AB302" i="1"/>
  <c r="AD302" i="1"/>
  <c r="AF302" i="1"/>
  <c r="AH302" i="1"/>
  <c r="AJ302" i="1"/>
  <c r="AL302" i="1"/>
  <c r="AN302" i="1"/>
  <c r="AP302" i="1"/>
  <c r="AR302" i="1"/>
  <c r="AT302" i="1"/>
  <c r="AV302" i="1"/>
  <c r="AX302" i="1"/>
  <c r="A303" i="1"/>
  <c r="D303" i="1"/>
  <c r="F303" i="1"/>
  <c r="H303" i="1"/>
  <c r="J303" i="1"/>
  <c r="L303" i="1"/>
  <c r="N303" i="1"/>
  <c r="P303" i="1"/>
  <c r="R303" i="1"/>
  <c r="T303" i="1"/>
  <c r="V303" i="1"/>
  <c r="X303" i="1"/>
  <c r="Z303" i="1"/>
  <c r="AB303" i="1"/>
  <c r="AD303" i="1"/>
  <c r="AF303" i="1"/>
  <c r="AH303" i="1"/>
  <c r="AJ303" i="1"/>
  <c r="AL303" i="1"/>
  <c r="AN303" i="1"/>
  <c r="AP303" i="1"/>
  <c r="AR303" i="1"/>
  <c r="AT303" i="1"/>
  <c r="AV303" i="1"/>
  <c r="AX303" i="1"/>
  <c r="A304" i="1"/>
  <c r="D304" i="1"/>
  <c r="F304" i="1"/>
  <c r="H304" i="1"/>
  <c r="J304" i="1"/>
  <c r="L304" i="1"/>
  <c r="N304" i="1"/>
  <c r="P304" i="1"/>
  <c r="R304" i="1"/>
  <c r="T304" i="1"/>
  <c r="V304" i="1"/>
  <c r="X304" i="1"/>
  <c r="Z304" i="1"/>
  <c r="AB304" i="1"/>
  <c r="AD304" i="1"/>
  <c r="AF304" i="1"/>
  <c r="AH304" i="1"/>
  <c r="AJ304" i="1"/>
  <c r="AL304" i="1"/>
  <c r="AN304" i="1"/>
  <c r="AP304" i="1"/>
  <c r="AR304" i="1"/>
  <c r="AT304" i="1"/>
  <c r="AV304" i="1"/>
  <c r="AX304" i="1"/>
  <c r="A305" i="1"/>
  <c r="D305" i="1"/>
  <c r="F305" i="1"/>
  <c r="H305" i="1"/>
  <c r="J305" i="1"/>
  <c r="L305" i="1"/>
  <c r="N305" i="1"/>
  <c r="P305" i="1"/>
  <c r="R305" i="1"/>
  <c r="T305" i="1"/>
  <c r="V305" i="1"/>
  <c r="X305" i="1"/>
  <c r="Z305" i="1"/>
  <c r="AB305" i="1"/>
  <c r="AD305" i="1"/>
  <c r="AF305" i="1"/>
  <c r="AH305" i="1"/>
  <c r="AJ305" i="1"/>
  <c r="AL305" i="1"/>
  <c r="AN305" i="1"/>
  <c r="AP305" i="1"/>
  <c r="AR305" i="1"/>
  <c r="AT305" i="1"/>
  <c r="AV305" i="1"/>
  <c r="AX305" i="1"/>
  <c r="A306" i="1"/>
  <c r="D306" i="1"/>
  <c r="F306" i="1"/>
  <c r="H306" i="1"/>
  <c r="J306" i="1"/>
  <c r="L306" i="1"/>
  <c r="N306" i="1"/>
  <c r="P306" i="1"/>
  <c r="R306" i="1"/>
  <c r="T306" i="1"/>
  <c r="V306" i="1"/>
  <c r="X306" i="1"/>
  <c r="Z306" i="1"/>
  <c r="AB306" i="1"/>
  <c r="AD306" i="1"/>
  <c r="AF306" i="1"/>
  <c r="AH306" i="1"/>
  <c r="AJ306" i="1"/>
  <c r="AL306" i="1"/>
  <c r="AN306" i="1"/>
  <c r="AP306" i="1"/>
  <c r="AR306" i="1"/>
  <c r="AT306" i="1"/>
  <c r="AV306" i="1"/>
  <c r="AX306" i="1"/>
  <c r="A307" i="1"/>
  <c r="D307" i="1"/>
  <c r="F307" i="1"/>
  <c r="H307" i="1"/>
  <c r="J307" i="1"/>
  <c r="L307" i="1"/>
  <c r="N307" i="1"/>
  <c r="P307" i="1"/>
  <c r="R307" i="1"/>
  <c r="T307" i="1"/>
  <c r="V307" i="1"/>
  <c r="X307" i="1"/>
  <c r="Z307" i="1"/>
  <c r="AB307" i="1"/>
  <c r="AD307" i="1"/>
  <c r="AF307" i="1"/>
  <c r="AH307" i="1"/>
  <c r="AJ307" i="1"/>
  <c r="AL307" i="1"/>
  <c r="AN307" i="1"/>
  <c r="AP307" i="1"/>
  <c r="AR307" i="1"/>
  <c r="AT307" i="1"/>
  <c r="AV307" i="1"/>
  <c r="AX307" i="1"/>
  <c r="A308" i="1"/>
  <c r="D308" i="1"/>
  <c r="F308" i="1"/>
  <c r="H308" i="1"/>
  <c r="J308" i="1"/>
  <c r="L308" i="1"/>
  <c r="N308" i="1"/>
  <c r="P308" i="1"/>
  <c r="R308" i="1"/>
  <c r="T308" i="1"/>
  <c r="V308" i="1"/>
  <c r="X308" i="1"/>
  <c r="Z308" i="1"/>
  <c r="AB308" i="1"/>
  <c r="AD308" i="1"/>
  <c r="AF308" i="1"/>
  <c r="AH308" i="1"/>
  <c r="AJ308" i="1"/>
  <c r="AL308" i="1"/>
  <c r="AN308" i="1"/>
  <c r="AP308" i="1"/>
  <c r="AR308" i="1"/>
  <c r="AT308" i="1"/>
  <c r="AV308" i="1"/>
  <c r="AX308" i="1"/>
  <c r="A309" i="1"/>
  <c r="D309" i="1"/>
  <c r="F309" i="1"/>
  <c r="H309" i="1"/>
  <c r="J309" i="1"/>
  <c r="L309" i="1"/>
  <c r="N309" i="1"/>
  <c r="P309" i="1"/>
  <c r="R309" i="1"/>
  <c r="T309" i="1"/>
  <c r="V309" i="1"/>
  <c r="X309" i="1"/>
  <c r="Z309" i="1"/>
  <c r="AB309" i="1"/>
  <c r="AD309" i="1"/>
  <c r="AF309" i="1"/>
  <c r="AH309" i="1"/>
  <c r="AJ309" i="1"/>
  <c r="AL309" i="1"/>
  <c r="AN309" i="1"/>
  <c r="AP309" i="1"/>
  <c r="AR309" i="1"/>
  <c r="AT309" i="1"/>
  <c r="AV309" i="1"/>
  <c r="AX309" i="1"/>
  <c r="A310" i="1"/>
  <c r="D310" i="1"/>
  <c r="F310" i="1"/>
  <c r="H310" i="1"/>
  <c r="J310" i="1"/>
  <c r="L310" i="1"/>
  <c r="N310" i="1"/>
  <c r="P310" i="1"/>
  <c r="R310" i="1"/>
  <c r="T310" i="1"/>
  <c r="V310" i="1"/>
  <c r="X310" i="1"/>
  <c r="Z310" i="1"/>
  <c r="AB310" i="1"/>
  <c r="AD310" i="1"/>
  <c r="AF310" i="1"/>
  <c r="AH310" i="1"/>
  <c r="AJ310" i="1"/>
  <c r="AL310" i="1"/>
  <c r="AN310" i="1"/>
  <c r="AP310" i="1"/>
  <c r="AR310" i="1"/>
  <c r="AT310" i="1"/>
  <c r="AV310" i="1"/>
  <c r="AX310" i="1"/>
  <c r="A311" i="1"/>
  <c r="D311" i="1"/>
  <c r="F311" i="1"/>
  <c r="H311" i="1"/>
  <c r="J311" i="1"/>
  <c r="L311" i="1"/>
  <c r="N311" i="1"/>
  <c r="P311" i="1"/>
  <c r="R311" i="1"/>
  <c r="T311" i="1"/>
  <c r="V311" i="1"/>
  <c r="X311" i="1"/>
  <c r="Z311" i="1"/>
  <c r="AB311" i="1"/>
  <c r="AD311" i="1"/>
  <c r="AF311" i="1"/>
  <c r="AH311" i="1"/>
  <c r="AJ311" i="1"/>
  <c r="AL311" i="1"/>
  <c r="AN311" i="1"/>
  <c r="AP311" i="1"/>
  <c r="AR311" i="1"/>
  <c r="AT311" i="1"/>
  <c r="AV311" i="1"/>
  <c r="AX311" i="1"/>
  <c r="A312" i="1"/>
  <c r="D312" i="1"/>
  <c r="F312" i="1"/>
  <c r="H312" i="1"/>
  <c r="J312" i="1"/>
  <c r="L312" i="1"/>
  <c r="N312" i="1"/>
  <c r="P312" i="1"/>
  <c r="R312" i="1"/>
  <c r="T312" i="1"/>
  <c r="V312" i="1"/>
  <c r="X312" i="1"/>
  <c r="Z312" i="1"/>
  <c r="AB312" i="1"/>
  <c r="AD312" i="1"/>
  <c r="AF312" i="1"/>
  <c r="AH312" i="1"/>
  <c r="AJ312" i="1"/>
  <c r="AL312" i="1"/>
  <c r="AN312" i="1"/>
  <c r="AP312" i="1"/>
  <c r="AR312" i="1"/>
  <c r="AT312" i="1"/>
  <c r="AV312" i="1"/>
  <c r="AX312" i="1"/>
  <c r="A313" i="1"/>
  <c r="D313" i="1"/>
  <c r="F313" i="1"/>
  <c r="H313" i="1"/>
  <c r="J313" i="1"/>
  <c r="L313" i="1"/>
  <c r="N313" i="1"/>
  <c r="P313" i="1"/>
  <c r="R313" i="1"/>
  <c r="T313" i="1"/>
  <c r="V313" i="1"/>
  <c r="X313" i="1"/>
  <c r="Z313" i="1"/>
  <c r="AB313" i="1"/>
  <c r="AD313" i="1"/>
  <c r="AF313" i="1"/>
  <c r="AH313" i="1"/>
  <c r="AJ313" i="1"/>
  <c r="AL313" i="1"/>
  <c r="AN313" i="1"/>
  <c r="AP313" i="1"/>
  <c r="AR313" i="1"/>
  <c r="AT313" i="1"/>
  <c r="AV313" i="1"/>
  <c r="AX313" i="1"/>
  <c r="A314" i="1"/>
  <c r="D314" i="1"/>
  <c r="F314" i="1"/>
  <c r="H314" i="1"/>
  <c r="J314" i="1"/>
  <c r="L314" i="1"/>
  <c r="N314" i="1"/>
  <c r="P314" i="1"/>
  <c r="R314" i="1"/>
  <c r="T314" i="1"/>
  <c r="V314" i="1"/>
  <c r="X314" i="1"/>
  <c r="Z314" i="1"/>
  <c r="AB314" i="1"/>
  <c r="AD314" i="1"/>
  <c r="AF314" i="1"/>
  <c r="AH314" i="1"/>
  <c r="AJ314" i="1"/>
  <c r="AL314" i="1"/>
  <c r="AN314" i="1"/>
  <c r="AP314" i="1"/>
  <c r="AR314" i="1"/>
  <c r="AT314" i="1"/>
  <c r="AV314" i="1"/>
  <c r="AX314" i="1"/>
  <c r="A315" i="1"/>
  <c r="D315" i="1"/>
  <c r="F315" i="1"/>
  <c r="H315" i="1"/>
  <c r="J315" i="1"/>
  <c r="L315" i="1"/>
  <c r="N315" i="1"/>
  <c r="P315" i="1"/>
  <c r="R315" i="1"/>
  <c r="T315" i="1"/>
  <c r="V315" i="1"/>
  <c r="X315" i="1"/>
  <c r="Z315" i="1"/>
  <c r="AB315" i="1"/>
  <c r="AD315" i="1"/>
  <c r="AF315" i="1"/>
  <c r="AH315" i="1"/>
  <c r="AJ315" i="1"/>
  <c r="AL315" i="1"/>
  <c r="AN315" i="1"/>
  <c r="AP315" i="1"/>
  <c r="AR315" i="1"/>
  <c r="AT315" i="1"/>
  <c r="AV315" i="1"/>
  <c r="AX315" i="1"/>
  <c r="A316" i="1"/>
  <c r="D316" i="1"/>
  <c r="F316" i="1"/>
  <c r="H316" i="1"/>
  <c r="J316" i="1"/>
  <c r="L316" i="1"/>
  <c r="N316" i="1"/>
  <c r="P316" i="1"/>
  <c r="R316" i="1"/>
  <c r="T316" i="1"/>
  <c r="V316" i="1"/>
  <c r="X316" i="1"/>
  <c r="Z316" i="1"/>
  <c r="AB316" i="1"/>
  <c r="AD316" i="1"/>
  <c r="AF316" i="1"/>
  <c r="AH316" i="1"/>
  <c r="AJ316" i="1"/>
  <c r="AL316" i="1"/>
  <c r="AN316" i="1"/>
  <c r="AP316" i="1"/>
  <c r="AR316" i="1"/>
  <c r="AT316" i="1"/>
  <c r="AV316" i="1"/>
  <c r="AX316" i="1"/>
  <c r="A317" i="1"/>
  <c r="D317" i="1"/>
  <c r="F317" i="1"/>
  <c r="H317" i="1"/>
  <c r="J317" i="1"/>
  <c r="L317" i="1"/>
  <c r="N317" i="1"/>
  <c r="P317" i="1"/>
  <c r="R317" i="1"/>
  <c r="T317" i="1"/>
  <c r="V317" i="1"/>
  <c r="X317" i="1"/>
  <c r="Z317" i="1"/>
  <c r="AB317" i="1"/>
  <c r="AD317" i="1"/>
  <c r="AF317" i="1"/>
  <c r="AH317" i="1"/>
  <c r="AJ317" i="1"/>
  <c r="AL317" i="1"/>
  <c r="AN317" i="1"/>
  <c r="AP317" i="1"/>
  <c r="AR317" i="1"/>
  <c r="AT317" i="1"/>
  <c r="AV317" i="1"/>
  <c r="AX317" i="1"/>
  <c r="A318" i="1"/>
  <c r="D318" i="1"/>
  <c r="F318" i="1"/>
  <c r="H318" i="1"/>
  <c r="J318" i="1"/>
  <c r="L318" i="1"/>
  <c r="N318" i="1"/>
  <c r="P318" i="1"/>
  <c r="R318" i="1"/>
  <c r="T318" i="1"/>
  <c r="V318" i="1"/>
  <c r="X318" i="1"/>
  <c r="Z318" i="1"/>
  <c r="AB318" i="1"/>
  <c r="AD318" i="1"/>
  <c r="AF318" i="1"/>
  <c r="AH318" i="1"/>
  <c r="AJ318" i="1"/>
  <c r="AL318" i="1"/>
  <c r="AN318" i="1"/>
  <c r="AP318" i="1"/>
  <c r="AR318" i="1"/>
  <c r="AT318" i="1"/>
  <c r="AV318" i="1"/>
  <c r="AX318" i="1"/>
  <c r="A319" i="1"/>
  <c r="D319" i="1"/>
  <c r="F319" i="1"/>
  <c r="H319" i="1"/>
  <c r="J319" i="1"/>
  <c r="L319" i="1"/>
  <c r="N319" i="1"/>
  <c r="P319" i="1"/>
  <c r="R319" i="1"/>
  <c r="T319" i="1"/>
  <c r="V319" i="1"/>
  <c r="X319" i="1"/>
  <c r="Z319" i="1"/>
  <c r="AB319" i="1"/>
  <c r="AD319" i="1"/>
  <c r="AF319" i="1"/>
  <c r="AH319" i="1"/>
  <c r="AJ319" i="1"/>
  <c r="AL319" i="1"/>
  <c r="AN319" i="1"/>
  <c r="AP319" i="1"/>
  <c r="AR319" i="1"/>
  <c r="AT319" i="1"/>
  <c r="AV319" i="1"/>
  <c r="AX319" i="1"/>
  <c r="A320" i="1"/>
  <c r="D320" i="1"/>
  <c r="F320" i="1"/>
  <c r="H320" i="1"/>
  <c r="J320" i="1"/>
  <c r="L320" i="1"/>
  <c r="N320" i="1"/>
  <c r="P320" i="1"/>
  <c r="R320" i="1"/>
  <c r="T320" i="1"/>
  <c r="V320" i="1"/>
  <c r="X320" i="1"/>
  <c r="Z320" i="1"/>
  <c r="AB320" i="1"/>
  <c r="AD320" i="1"/>
  <c r="AF320" i="1"/>
  <c r="AH320" i="1"/>
  <c r="AJ320" i="1"/>
  <c r="AL320" i="1"/>
  <c r="AN320" i="1"/>
  <c r="AP320" i="1"/>
  <c r="AR320" i="1"/>
  <c r="AT320" i="1"/>
  <c r="AV320" i="1"/>
  <c r="AX320" i="1"/>
  <c r="A321" i="1"/>
  <c r="D321" i="1"/>
  <c r="F321" i="1"/>
  <c r="H321" i="1"/>
  <c r="J321" i="1"/>
  <c r="L321" i="1"/>
  <c r="N321" i="1"/>
  <c r="P321" i="1"/>
  <c r="R321" i="1"/>
  <c r="T321" i="1"/>
  <c r="V321" i="1"/>
  <c r="X321" i="1"/>
  <c r="Z321" i="1"/>
  <c r="AB321" i="1"/>
  <c r="AD321" i="1"/>
  <c r="AF321" i="1"/>
  <c r="AH321" i="1"/>
  <c r="AJ321" i="1"/>
  <c r="AL321" i="1"/>
  <c r="AN321" i="1"/>
  <c r="AP321" i="1"/>
  <c r="AR321" i="1"/>
  <c r="AT321" i="1"/>
  <c r="AV321" i="1"/>
  <c r="AX321" i="1"/>
  <c r="A322" i="1"/>
  <c r="D322" i="1"/>
  <c r="F322" i="1"/>
  <c r="H322" i="1"/>
  <c r="J322" i="1"/>
  <c r="L322" i="1"/>
  <c r="N322" i="1"/>
  <c r="P322" i="1"/>
  <c r="R322" i="1"/>
  <c r="T322" i="1"/>
  <c r="V322" i="1"/>
  <c r="X322" i="1"/>
  <c r="Z322" i="1"/>
  <c r="AB322" i="1"/>
  <c r="AD322" i="1"/>
  <c r="AF322" i="1"/>
  <c r="AH322" i="1"/>
  <c r="AJ322" i="1"/>
  <c r="AL322" i="1"/>
  <c r="AN322" i="1"/>
  <c r="AP322" i="1"/>
  <c r="AR322" i="1"/>
  <c r="AT322" i="1"/>
  <c r="AV322" i="1"/>
  <c r="AX322" i="1"/>
  <c r="A323" i="1"/>
  <c r="D323" i="1"/>
  <c r="F323" i="1"/>
  <c r="H323" i="1"/>
  <c r="J323" i="1"/>
  <c r="L323" i="1"/>
  <c r="N323" i="1"/>
  <c r="P323" i="1"/>
  <c r="R323" i="1"/>
  <c r="T323" i="1"/>
  <c r="V323" i="1"/>
  <c r="X323" i="1"/>
  <c r="Z323" i="1"/>
  <c r="AB323" i="1"/>
  <c r="AD323" i="1"/>
  <c r="AF323" i="1"/>
  <c r="AH323" i="1"/>
  <c r="AJ323" i="1"/>
  <c r="AL323" i="1"/>
  <c r="AN323" i="1"/>
  <c r="AP323" i="1"/>
  <c r="AR323" i="1"/>
  <c r="AT323" i="1"/>
  <c r="AV323" i="1"/>
  <c r="AX323" i="1"/>
  <c r="A324" i="1"/>
  <c r="D324" i="1"/>
  <c r="F324" i="1"/>
  <c r="H324" i="1"/>
  <c r="J324" i="1"/>
  <c r="L324" i="1"/>
  <c r="N324" i="1"/>
  <c r="P324" i="1"/>
  <c r="R324" i="1"/>
  <c r="T324" i="1"/>
  <c r="V324" i="1"/>
  <c r="X324" i="1"/>
  <c r="Z324" i="1"/>
  <c r="AB324" i="1"/>
  <c r="AD324" i="1"/>
  <c r="AF324" i="1"/>
  <c r="AH324" i="1"/>
  <c r="AJ324" i="1"/>
  <c r="AL324" i="1"/>
  <c r="AN324" i="1"/>
  <c r="AP324" i="1"/>
  <c r="AR324" i="1"/>
  <c r="AT324" i="1"/>
  <c r="AV324" i="1"/>
  <c r="AX324" i="1"/>
  <c r="A325" i="1"/>
  <c r="D325" i="1"/>
  <c r="F325" i="1"/>
  <c r="H325" i="1"/>
  <c r="J325" i="1"/>
  <c r="L325" i="1"/>
  <c r="N325" i="1"/>
  <c r="P325" i="1"/>
  <c r="R325" i="1"/>
  <c r="T325" i="1"/>
  <c r="V325" i="1"/>
  <c r="X325" i="1"/>
  <c r="Z325" i="1"/>
  <c r="AB325" i="1"/>
  <c r="AD325" i="1"/>
  <c r="AF325" i="1"/>
  <c r="AH325" i="1"/>
  <c r="AJ325" i="1"/>
  <c r="AL325" i="1"/>
  <c r="AN325" i="1"/>
  <c r="AP325" i="1"/>
  <c r="AR325" i="1"/>
  <c r="AT325" i="1"/>
  <c r="AV325" i="1"/>
  <c r="AX325" i="1"/>
  <c r="C65" i="2"/>
  <c r="G65" i="2"/>
  <c r="K65" i="2"/>
  <c r="N65" i="2"/>
  <c r="O65" i="2"/>
  <c r="P65" i="2"/>
  <c r="Q65" i="2"/>
  <c r="R65" i="2"/>
  <c r="S65" i="2"/>
  <c r="T65" i="2"/>
  <c r="U65" i="2"/>
  <c r="V65" i="2"/>
  <c r="W65" i="2"/>
  <c r="X65" i="2"/>
  <c r="Y65" i="2"/>
  <c r="Z65" i="2"/>
  <c r="AA65" i="2"/>
  <c r="AB65" i="2"/>
  <c r="D63" i="2"/>
  <c r="B194" i="4"/>
  <c r="D194" i="4"/>
  <c r="E280" i="5"/>
  <c r="E9" i="2"/>
  <c r="D9" i="2"/>
  <c r="AC65" i="2"/>
  <c r="F9" i="2"/>
  <c r="AD65" i="2"/>
  <c r="AE65" i="2"/>
  <c r="H63" i="2"/>
  <c r="H194" i="4"/>
  <c r="K280" i="5"/>
  <c r="I9" i="2"/>
  <c r="H9" i="2"/>
  <c r="AF65" i="2"/>
  <c r="AG65" i="2"/>
  <c r="AH65" i="2"/>
  <c r="AI65" i="2"/>
  <c r="AJ65" i="2"/>
  <c r="J9" i="2"/>
  <c r="AK65" i="2"/>
  <c r="M63" i="2"/>
  <c r="M194" i="4"/>
  <c r="R280" i="5"/>
  <c r="L63" i="2"/>
  <c r="L194" i="4"/>
  <c r="Q280" i="5"/>
  <c r="M9" i="2"/>
  <c r="L9" i="2"/>
  <c r="AL65" i="2"/>
  <c r="AM65" i="2"/>
  <c r="AZ263" i="1"/>
  <c r="BA263" i="1"/>
  <c r="BB263" i="1"/>
  <c r="CH263" i="1"/>
  <c r="CI263" i="1"/>
  <c r="CJ263" i="1"/>
  <c r="CK263" i="1"/>
  <c r="CL263" i="1"/>
  <c r="CM263" i="1"/>
  <c r="CN263" i="1"/>
  <c r="CO263" i="1"/>
  <c r="CP263" i="1"/>
  <c r="CQ263" i="1"/>
  <c r="CR263" i="1"/>
  <c r="CS263" i="1"/>
  <c r="BV263" i="1"/>
  <c r="BW263" i="1"/>
  <c r="BX263" i="1"/>
  <c r="BY263" i="1"/>
  <c r="BZ263" i="1"/>
  <c r="CA263" i="1"/>
  <c r="CB263" i="1"/>
  <c r="CC263" i="1"/>
  <c r="CD263" i="1"/>
  <c r="CE263" i="1"/>
  <c r="CF263" i="1"/>
  <c r="CG263" i="1"/>
  <c r="BC263" i="1"/>
  <c r="CT263" i="1"/>
  <c r="AZ258" i="1"/>
  <c r="BA258" i="1"/>
  <c r="BB258" i="1"/>
  <c r="CH258" i="1"/>
  <c r="CI258" i="1"/>
  <c r="CJ258" i="1"/>
  <c r="CK258" i="1"/>
  <c r="CL258" i="1"/>
  <c r="CM258" i="1"/>
  <c r="CN258" i="1"/>
  <c r="CO258" i="1"/>
  <c r="CP258" i="1"/>
  <c r="CQ258" i="1"/>
  <c r="CR258" i="1"/>
  <c r="CS258" i="1"/>
  <c r="BV258" i="1"/>
  <c r="BW258" i="1"/>
  <c r="BX258" i="1"/>
  <c r="BY258" i="1"/>
  <c r="BZ258" i="1"/>
  <c r="CA258" i="1"/>
  <c r="CB258" i="1"/>
  <c r="CC258" i="1"/>
  <c r="CD258" i="1"/>
  <c r="CE258" i="1"/>
  <c r="CF258" i="1"/>
  <c r="CG258" i="1"/>
  <c r="BC258" i="1"/>
  <c r="CT258" i="1"/>
  <c r="C63" i="2"/>
  <c r="E63" i="2"/>
  <c r="F63" i="2"/>
  <c r="G63" i="2"/>
  <c r="I63" i="2"/>
  <c r="J63" i="2"/>
  <c r="K63" i="2"/>
  <c r="N63" i="2"/>
  <c r="O63" i="2"/>
  <c r="P63" i="2"/>
  <c r="Q63" i="2"/>
  <c r="R63" i="2"/>
  <c r="S63" i="2"/>
  <c r="T63" i="2"/>
  <c r="U63" i="2"/>
  <c r="V63" i="2"/>
  <c r="W63" i="2"/>
  <c r="X63" i="2"/>
  <c r="Y63" i="2"/>
  <c r="Z63" i="2"/>
  <c r="AA63" i="2"/>
  <c r="AB63" i="2"/>
  <c r="D62" i="2"/>
  <c r="B310" i="4"/>
  <c r="D310" i="4"/>
  <c r="E310" i="5"/>
  <c r="AC63" i="2"/>
  <c r="AD63" i="2"/>
  <c r="AE63" i="2"/>
  <c r="I62" i="2"/>
  <c r="I310" i="4"/>
  <c r="L310" i="5"/>
  <c r="K310" i="5"/>
  <c r="AF63" i="2"/>
  <c r="AG63" i="2"/>
  <c r="AH63" i="2"/>
  <c r="AI63" i="2"/>
  <c r="AJ63" i="2"/>
  <c r="O310" i="5"/>
  <c r="J62" i="2"/>
  <c r="J310" i="4"/>
  <c r="N310" i="5"/>
  <c r="AK63" i="2"/>
  <c r="M62" i="2"/>
  <c r="M310" i="4"/>
  <c r="R310" i="5"/>
  <c r="L62" i="2"/>
  <c r="L310" i="4"/>
  <c r="Q310" i="5"/>
  <c r="AL63" i="2"/>
  <c r="AM63" i="2"/>
  <c r="AZ180" i="1"/>
  <c r="BA180" i="1"/>
  <c r="BB180" i="1"/>
  <c r="CH180" i="1"/>
  <c r="CI180" i="1"/>
  <c r="CJ180" i="1"/>
  <c r="CK180" i="1"/>
  <c r="CL180" i="1"/>
  <c r="CM180" i="1"/>
  <c r="CN180" i="1"/>
  <c r="CO180" i="1"/>
  <c r="CP180" i="1"/>
  <c r="CQ180" i="1"/>
  <c r="CR180" i="1"/>
  <c r="CS180" i="1"/>
  <c r="BV180" i="1"/>
  <c r="BW180" i="1"/>
  <c r="BX180" i="1"/>
  <c r="BY180" i="1"/>
  <c r="BZ180" i="1"/>
  <c r="CA180" i="1"/>
  <c r="CB180" i="1"/>
  <c r="CC180" i="1"/>
  <c r="CD180" i="1"/>
  <c r="CE180" i="1"/>
  <c r="CF180" i="1"/>
  <c r="CG180" i="1"/>
  <c r="BC180" i="1"/>
  <c r="CT180" i="1"/>
  <c r="AZ179" i="1"/>
  <c r="BA179" i="1"/>
  <c r="BB179" i="1"/>
  <c r="CH179" i="1"/>
  <c r="CI179" i="1"/>
  <c r="CJ179" i="1"/>
  <c r="CK179" i="1"/>
  <c r="CL179" i="1"/>
  <c r="CM179" i="1"/>
  <c r="CN179" i="1"/>
  <c r="CO179" i="1"/>
  <c r="CP179" i="1"/>
  <c r="CQ179" i="1"/>
  <c r="CR179" i="1"/>
  <c r="CS179" i="1"/>
  <c r="BV179" i="1"/>
  <c r="BW179" i="1"/>
  <c r="BX179" i="1"/>
  <c r="BY179" i="1"/>
  <c r="BZ179" i="1"/>
  <c r="CA179" i="1"/>
  <c r="CB179" i="1"/>
  <c r="CC179" i="1"/>
  <c r="CD179" i="1"/>
  <c r="CE179" i="1"/>
  <c r="CF179" i="1"/>
  <c r="CG179" i="1"/>
  <c r="BC179" i="1"/>
  <c r="CT179" i="1"/>
  <c r="AZ74" i="1"/>
  <c r="BA74" i="1"/>
  <c r="BB74" i="1"/>
  <c r="CH74" i="1"/>
  <c r="CI74" i="1"/>
  <c r="CJ74" i="1"/>
  <c r="CK74" i="1"/>
  <c r="CL74" i="1"/>
  <c r="CM74" i="1"/>
  <c r="CN74" i="1"/>
  <c r="CO74" i="1"/>
  <c r="CP74" i="1"/>
  <c r="CQ74" i="1"/>
  <c r="CR74" i="1"/>
  <c r="CS74" i="1"/>
  <c r="BV74" i="1"/>
  <c r="BW74" i="1"/>
  <c r="BX74" i="1"/>
  <c r="BY74" i="1"/>
  <c r="BZ74" i="1"/>
  <c r="CA74" i="1"/>
  <c r="CB74" i="1"/>
  <c r="CC74" i="1"/>
  <c r="CD74" i="1"/>
  <c r="CE74" i="1"/>
  <c r="CF74" i="1"/>
  <c r="CG74" i="1"/>
  <c r="BC74" i="1"/>
  <c r="CT74" i="1"/>
  <c r="AZ73" i="1"/>
  <c r="BA73" i="1"/>
  <c r="BB73" i="1"/>
  <c r="CH73" i="1"/>
  <c r="CI73" i="1"/>
  <c r="CJ73" i="1"/>
  <c r="CK73" i="1"/>
  <c r="CL73" i="1"/>
  <c r="CM73" i="1"/>
  <c r="CN73" i="1"/>
  <c r="CO73" i="1"/>
  <c r="CP73" i="1"/>
  <c r="CQ73" i="1"/>
  <c r="CR73" i="1"/>
  <c r="CS73" i="1"/>
  <c r="BV73" i="1"/>
  <c r="BW73" i="1"/>
  <c r="BX73" i="1"/>
  <c r="BY73" i="1"/>
  <c r="BZ73" i="1"/>
  <c r="CA73" i="1"/>
  <c r="CB73" i="1"/>
  <c r="CC73" i="1"/>
  <c r="CD73" i="1"/>
  <c r="CE73" i="1"/>
  <c r="CF73" i="1"/>
  <c r="CG73" i="1"/>
  <c r="BC73" i="1"/>
  <c r="CT73" i="1"/>
  <c r="AZ72" i="1"/>
  <c r="BA72" i="1"/>
  <c r="BB72" i="1"/>
  <c r="CH72" i="1"/>
  <c r="CI72" i="1"/>
  <c r="CJ72" i="1"/>
  <c r="CK72" i="1"/>
  <c r="CL72" i="1"/>
  <c r="CM72" i="1"/>
  <c r="CN72" i="1"/>
  <c r="CO72" i="1"/>
  <c r="CP72" i="1"/>
  <c r="CQ72" i="1"/>
  <c r="CR72" i="1"/>
  <c r="CS72" i="1"/>
  <c r="BV72" i="1"/>
  <c r="BW72" i="1"/>
  <c r="BX72" i="1"/>
  <c r="BY72" i="1"/>
  <c r="BZ72" i="1"/>
  <c r="CA72" i="1"/>
  <c r="CB72" i="1"/>
  <c r="CC72" i="1"/>
  <c r="CD72" i="1"/>
  <c r="CE72" i="1"/>
  <c r="CF72" i="1"/>
  <c r="CG72" i="1"/>
  <c r="BC72" i="1"/>
  <c r="CT72" i="1"/>
  <c r="AZ71" i="1"/>
  <c r="BA71" i="1"/>
  <c r="BB71" i="1"/>
  <c r="CH71" i="1"/>
  <c r="CI71" i="1"/>
  <c r="CJ71" i="1"/>
  <c r="CK71" i="1"/>
  <c r="CL71" i="1"/>
  <c r="CM71" i="1"/>
  <c r="CN71" i="1"/>
  <c r="CO71" i="1"/>
  <c r="CP71" i="1"/>
  <c r="CQ71" i="1"/>
  <c r="CR71" i="1"/>
  <c r="CS71" i="1"/>
  <c r="BV71" i="1"/>
  <c r="BW71" i="1"/>
  <c r="BX71" i="1"/>
  <c r="BY71" i="1"/>
  <c r="BZ71" i="1"/>
  <c r="CA71" i="1"/>
  <c r="CB71" i="1"/>
  <c r="CC71" i="1"/>
  <c r="CD71" i="1"/>
  <c r="CE71" i="1"/>
  <c r="CF71" i="1"/>
  <c r="CG71" i="1"/>
  <c r="BC71" i="1"/>
  <c r="CT71" i="1"/>
  <c r="AZ70" i="1"/>
  <c r="BA70" i="1"/>
  <c r="BB70" i="1"/>
  <c r="CH70" i="1"/>
  <c r="CI70" i="1"/>
  <c r="CJ70" i="1"/>
  <c r="CK70" i="1"/>
  <c r="CL70" i="1"/>
  <c r="CM70" i="1"/>
  <c r="CN70" i="1"/>
  <c r="CO70" i="1"/>
  <c r="CP70" i="1"/>
  <c r="CQ70" i="1"/>
  <c r="CR70" i="1"/>
  <c r="CS70" i="1"/>
  <c r="BV70" i="1"/>
  <c r="BW70" i="1"/>
  <c r="BX70" i="1"/>
  <c r="BY70" i="1"/>
  <c r="BZ70" i="1"/>
  <c r="CA70" i="1"/>
  <c r="CB70" i="1"/>
  <c r="CC70" i="1"/>
  <c r="CD70" i="1"/>
  <c r="CE70" i="1"/>
  <c r="CF70" i="1"/>
  <c r="CG70" i="1"/>
  <c r="BC70" i="1"/>
  <c r="CT70" i="1"/>
  <c r="AZ167" i="1"/>
  <c r="BA167" i="1"/>
  <c r="BB167" i="1"/>
  <c r="CH167" i="1"/>
  <c r="CI167" i="1"/>
  <c r="CJ167" i="1"/>
  <c r="CK167" i="1"/>
  <c r="CL167" i="1"/>
  <c r="CM167" i="1"/>
  <c r="CN167" i="1"/>
  <c r="CO167" i="1"/>
  <c r="CP167" i="1"/>
  <c r="CQ167" i="1"/>
  <c r="CR167" i="1"/>
  <c r="CS167" i="1"/>
  <c r="BV167" i="1"/>
  <c r="BW167" i="1"/>
  <c r="BX167" i="1"/>
  <c r="BY167" i="1"/>
  <c r="BZ167" i="1"/>
  <c r="CA167" i="1"/>
  <c r="CB167" i="1"/>
  <c r="CC167" i="1"/>
  <c r="CD167" i="1"/>
  <c r="CE167" i="1"/>
  <c r="CF167" i="1"/>
  <c r="CG167" i="1"/>
  <c r="BC167" i="1"/>
  <c r="CT167" i="1"/>
  <c r="AZ166" i="1"/>
  <c r="BA166" i="1"/>
  <c r="BB166" i="1"/>
  <c r="CH166" i="1"/>
  <c r="CI166" i="1"/>
  <c r="CJ166" i="1"/>
  <c r="CK166" i="1"/>
  <c r="CL166" i="1"/>
  <c r="CM166" i="1"/>
  <c r="CN166" i="1"/>
  <c r="CO166" i="1"/>
  <c r="CP166" i="1"/>
  <c r="CQ166" i="1"/>
  <c r="CR166" i="1"/>
  <c r="CS166" i="1"/>
  <c r="BV166" i="1"/>
  <c r="BW166" i="1"/>
  <c r="BX166" i="1"/>
  <c r="BY166" i="1"/>
  <c r="BZ166" i="1"/>
  <c r="CA166" i="1"/>
  <c r="CB166" i="1"/>
  <c r="CC166" i="1"/>
  <c r="CD166" i="1"/>
  <c r="CE166" i="1"/>
  <c r="CF166" i="1"/>
  <c r="CG166" i="1"/>
  <c r="BC166" i="1"/>
  <c r="CT166" i="1"/>
  <c r="C62" i="2"/>
  <c r="E62" i="2"/>
  <c r="F62" i="2"/>
  <c r="G62" i="2"/>
  <c r="H62" i="2"/>
  <c r="K62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AA62" i="2"/>
  <c r="AB62" i="2"/>
  <c r="E61" i="2"/>
  <c r="B247" i="4"/>
  <c r="E247" i="4"/>
  <c r="F222" i="5"/>
  <c r="D247" i="4"/>
  <c r="E222" i="5"/>
  <c r="D48" i="2"/>
  <c r="AC62" i="2"/>
  <c r="I222" i="5"/>
  <c r="F61" i="2"/>
  <c r="F247" i="4"/>
  <c r="H222" i="5"/>
  <c r="AD62" i="2"/>
  <c r="AE62" i="2"/>
  <c r="H61" i="2"/>
  <c r="H247" i="4"/>
  <c r="K222" i="5"/>
  <c r="I48" i="2"/>
  <c r="AF62" i="2"/>
  <c r="AG62" i="2"/>
  <c r="AH62" i="2"/>
  <c r="AI62" i="2"/>
  <c r="AJ62" i="2"/>
  <c r="J48" i="2"/>
  <c r="AK62" i="2"/>
  <c r="M247" i="4"/>
  <c r="R222" i="5"/>
  <c r="L247" i="4"/>
  <c r="Q222" i="5"/>
  <c r="M48" i="2"/>
  <c r="L48" i="2"/>
  <c r="AL62" i="2"/>
  <c r="AM62" i="2"/>
  <c r="AZ304" i="1"/>
  <c r="BA304" i="1"/>
  <c r="BB304" i="1"/>
  <c r="CH304" i="1"/>
  <c r="CI304" i="1"/>
  <c r="CJ304" i="1"/>
  <c r="CK304" i="1"/>
  <c r="CL304" i="1"/>
  <c r="CM304" i="1"/>
  <c r="CN304" i="1"/>
  <c r="CO304" i="1"/>
  <c r="CP304" i="1"/>
  <c r="CQ304" i="1"/>
  <c r="CR304" i="1"/>
  <c r="CS304" i="1"/>
  <c r="BV304" i="1"/>
  <c r="BW304" i="1"/>
  <c r="BX304" i="1"/>
  <c r="BY304" i="1"/>
  <c r="BZ304" i="1"/>
  <c r="CA304" i="1"/>
  <c r="CB304" i="1"/>
  <c r="CC304" i="1"/>
  <c r="CD304" i="1"/>
  <c r="CE304" i="1"/>
  <c r="CF304" i="1"/>
  <c r="CG304" i="1"/>
  <c r="BC304" i="1"/>
  <c r="CT304" i="1"/>
  <c r="AZ303" i="1"/>
  <c r="BA303" i="1"/>
  <c r="BB303" i="1"/>
  <c r="CH303" i="1"/>
  <c r="CI303" i="1"/>
  <c r="CJ303" i="1"/>
  <c r="CK303" i="1"/>
  <c r="CL303" i="1"/>
  <c r="CM303" i="1"/>
  <c r="CN303" i="1"/>
  <c r="CO303" i="1"/>
  <c r="CP303" i="1"/>
  <c r="CQ303" i="1"/>
  <c r="CR303" i="1"/>
  <c r="CS303" i="1"/>
  <c r="BV303" i="1"/>
  <c r="BW303" i="1"/>
  <c r="BX303" i="1"/>
  <c r="BY303" i="1"/>
  <c r="BZ303" i="1"/>
  <c r="CA303" i="1"/>
  <c r="CB303" i="1"/>
  <c r="CC303" i="1"/>
  <c r="CD303" i="1"/>
  <c r="CE303" i="1"/>
  <c r="CF303" i="1"/>
  <c r="CG303" i="1"/>
  <c r="BC303" i="1"/>
  <c r="CT303" i="1"/>
  <c r="AZ117" i="1"/>
  <c r="BA117" i="1"/>
  <c r="BB117" i="1"/>
  <c r="CH117" i="1"/>
  <c r="CI117" i="1"/>
  <c r="CJ117" i="1"/>
  <c r="CK117" i="1"/>
  <c r="CL117" i="1"/>
  <c r="CM117" i="1"/>
  <c r="CN117" i="1"/>
  <c r="CO117" i="1"/>
  <c r="CP117" i="1"/>
  <c r="CQ117" i="1"/>
  <c r="CR117" i="1"/>
  <c r="CS117" i="1"/>
  <c r="BV117" i="1"/>
  <c r="BW117" i="1"/>
  <c r="BX117" i="1"/>
  <c r="BY117" i="1"/>
  <c r="BZ117" i="1"/>
  <c r="CA117" i="1"/>
  <c r="CB117" i="1"/>
  <c r="CC117" i="1"/>
  <c r="CD117" i="1"/>
  <c r="CE117" i="1"/>
  <c r="CF117" i="1"/>
  <c r="CG117" i="1"/>
  <c r="BC117" i="1"/>
  <c r="CT117" i="1"/>
  <c r="AZ139" i="1"/>
  <c r="BA139" i="1"/>
  <c r="BB139" i="1"/>
  <c r="CH139" i="1"/>
  <c r="CI139" i="1"/>
  <c r="CJ139" i="1"/>
  <c r="CK139" i="1"/>
  <c r="CL139" i="1"/>
  <c r="CM139" i="1"/>
  <c r="CN139" i="1"/>
  <c r="CO139" i="1"/>
  <c r="CP139" i="1"/>
  <c r="CQ139" i="1"/>
  <c r="CR139" i="1"/>
  <c r="CS139" i="1"/>
  <c r="BV139" i="1"/>
  <c r="BW139" i="1"/>
  <c r="BX139" i="1"/>
  <c r="BY139" i="1"/>
  <c r="BZ139" i="1"/>
  <c r="CA139" i="1"/>
  <c r="CB139" i="1"/>
  <c r="CC139" i="1"/>
  <c r="CD139" i="1"/>
  <c r="CE139" i="1"/>
  <c r="CF139" i="1"/>
  <c r="CG139" i="1"/>
  <c r="BC139" i="1"/>
  <c r="CT139" i="1"/>
  <c r="AZ138" i="1"/>
  <c r="BA138" i="1"/>
  <c r="BB138" i="1"/>
  <c r="CH138" i="1"/>
  <c r="CI138" i="1"/>
  <c r="CJ138" i="1"/>
  <c r="CK138" i="1"/>
  <c r="CL138" i="1"/>
  <c r="CM138" i="1"/>
  <c r="CN138" i="1"/>
  <c r="CO138" i="1"/>
  <c r="CP138" i="1"/>
  <c r="CQ138" i="1"/>
  <c r="CR138" i="1"/>
  <c r="CS138" i="1"/>
  <c r="BV138" i="1"/>
  <c r="BW138" i="1"/>
  <c r="BX138" i="1"/>
  <c r="BY138" i="1"/>
  <c r="BZ138" i="1"/>
  <c r="CA138" i="1"/>
  <c r="CB138" i="1"/>
  <c r="CC138" i="1"/>
  <c r="CD138" i="1"/>
  <c r="CE138" i="1"/>
  <c r="CF138" i="1"/>
  <c r="CG138" i="1"/>
  <c r="BC138" i="1"/>
  <c r="CT138" i="1"/>
  <c r="AZ100" i="1"/>
  <c r="BA100" i="1"/>
  <c r="BB100" i="1"/>
  <c r="CH100" i="1"/>
  <c r="CI100" i="1"/>
  <c r="CJ100" i="1"/>
  <c r="CK100" i="1"/>
  <c r="CL100" i="1"/>
  <c r="CM100" i="1"/>
  <c r="CN100" i="1"/>
  <c r="CO100" i="1"/>
  <c r="CP100" i="1"/>
  <c r="CQ100" i="1"/>
  <c r="CR100" i="1"/>
  <c r="CS100" i="1"/>
  <c r="BV100" i="1"/>
  <c r="BW100" i="1"/>
  <c r="BX100" i="1"/>
  <c r="BY100" i="1"/>
  <c r="BZ100" i="1"/>
  <c r="CA100" i="1"/>
  <c r="CB100" i="1"/>
  <c r="CC100" i="1"/>
  <c r="CD100" i="1"/>
  <c r="CE100" i="1"/>
  <c r="CF100" i="1"/>
  <c r="CG100" i="1"/>
  <c r="BC100" i="1"/>
  <c r="CT100" i="1"/>
  <c r="AZ99" i="1"/>
  <c r="BA99" i="1"/>
  <c r="BB99" i="1"/>
  <c r="CH99" i="1"/>
  <c r="CI99" i="1"/>
  <c r="CJ99" i="1"/>
  <c r="CK99" i="1"/>
  <c r="CL99" i="1"/>
  <c r="CM99" i="1"/>
  <c r="CN99" i="1"/>
  <c r="CO99" i="1"/>
  <c r="CP99" i="1"/>
  <c r="CQ99" i="1"/>
  <c r="CR99" i="1"/>
  <c r="CS99" i="1"/>
  <c r="BV99" i="1"/>
  <c r="BW99" i="1"/>
  <c r="BX99" i="1"/>
  <c r="BY99" i="1"/>
  <c r="BZ99" i="1"/>
  <c r="CA99" i="1"/>
  <c r="CB99" i="1"/>
  <c r="CC99" i="1"/>
  <c r="CD99" i="1"/>
  <c r="CE99" i="1"/>
  <c r="CF99" i="1"/>
  <c r="CG99" i="1"/>
  <c r="BC99" i="1"/>
  <c r="CT99" i="1"/>
  <c r="AZ98" i="1"/>
  <c r="BA98" i="1"/>
  <c r="BB98" i="1"/>
  <c r="CH98" i="1"/>
  <c r="CI98" i="1"/>
  <c r="CJ98" i="1"/>
  <c r="CK98" i="1"/>
  <c r="CL98" i="1"/>
  <c r="CM98" i="1"/>
  <c r="CN98" i="1"/>
  <c r="CO98" i="1"/>
  <c r="CP98" i="1"/>
  <c r="CQ98" i="1"/>
  <c r="CR98" i="1"/>
  <c r="CS98" i="1"/>
  <c r="BV98" i="1"/>
  <c r="BW98" i="1"/>
  <c r="BX98" i="1"/>
  <c r="BY98" i="1"/>
  <c r="BZ98" i="1"/>
  <c r="CA98" i="1"/>
  <c r="CB98" i="1"/>
  <c r="CC98" i="1"/>
  <c r="CD98" i="1"/>
  <c r="CE98" i="1"/>
  <c r="CF98" i="1"/>
  <c r="CG98" i="1"/>
  <c r="BC98" i="1"/>
  <c r="CT98" i="1"/>
  <c r="AZ97" i="1"/>
  <c r="BA97" i="1"/>
  <c r="BB97" i="1"/>
  <c r="CH97" i="1"/>
  <c r="CI97" i="1"/>
  <c r="CJ97" i="1"/>
  <c r="CK97" i="1"/>
  <c r="CL97" i="1"/>
  <c r="CM97" i="1"/>
  <c r="CN97" i="1"/>
  <c r="CO97" i="1"/>
  <c r="CP97" i="1"/>
  <c r="CQ97" i="1"/>
  <c r="CR97" i="1"/>
  <c r="CS97" i="1"/>
  <c r="BV97" i="1"/>
  <c r="BW97" i="1"/>
  <c r="BX97" i="1"/>
  <c r="BY97" i="1"/>
  <c r="BZ97" i="1"/>
  <c r="CA97" i="1"/>
  <c r="CB97" i="1"/>
  <c r="CC97" i="1"/>
  <c r="CD97" i="1"/>
  <c r="CE97" i="1"/>
  <c r="CF97" i="1"/>
  <c r="CG97" i="1"/>
  <c r="BC97" i="1"/>
  <c r="CT97" i="1"/>
  <c r="AZ96" i="1"/>
  <c r="BA96" i="1"/>
  <c r="BB96" i="1"/>
  <c r="CH96" i="1"/>
  <c r="CI96" i="1"/>
  <c r="CJ96" i="1"/>
  <c r="CK96" i="1"/>
  <c r="CL96" i="1"/>
  <c r="CM96" i="1"/>
  <c r="CN96" i="1"/>
  <c r="CO96" i="1"/>
  <c r="CP96" i="1"/>
  <c r="CQ96" i="1"/>
  <c r="CR96" i="1"/>
  <c r="CS96" i="1"/>
  <c r="BV96" i="1"/>
  <c r="BW96" i="1"/>
  <c r="BX96" i="1"/>
  <c r="BY96" i="1"/>
  <c r="BZ96" i="1"/>
  <c r="CA96" i="1"/>
  <c r="CB96" i="1"/>
  <c r="CC96" i="1"/>
  <c r="CD96" i="1"/>
  <c r="CE96" i="1"/>
  <c r="CF96" i="1"/>
  <c r="CG96" i="1"/>
  <c r="BC96" i="1"/>
  <c r="CT96" i="1"/>
  <c r="AZ95" i="1"/>
  <c r="BA95" i="1"/>
  <c r="BB95" i="1"/>
  <c r="CH95" i="1"/>
  <c r="CI95" i="1"/>
  <c r="CJ95" i="1"/>
  <c r="CK95" i="1"/>
  <c r="CL95" i="1"/>
  <c r="CM95" i="1"/>
  <c r="CN95" i="1"/>
  <c r="CO95" i="1"/>
  <c r="CP95" i="1"/>
  <c r="CQ95" i="1"/>
  <c r="CR95" i="1"/>
  <c r="CS95" i="1"/>
  <c r="BV95" i="1"/>
  <c r="BW95" i="1"/>
  <c r="BX95" i="1"/>
  <c r="BY95" i="1"/>
  <c r="BZ95" i="1"/>
  <c r="CA95" i="1"/>
  <c r="CB95" i="1"/>
  <c r="CC95" i="1"/>
  <c r="CD95" i="1"/>
  <c r="CE95" i="1"/>
  <c r="CF95" i="1"/>
  <c r="CG95" i="1"/>
  <c r="BC95" i="1"/>
  <c r="CT95" i="1"/>
  <c r="AZ228" i="1"/>
  <c r="BA228" i="1"/>
  <c r="BB228" i="1"/>
  <c r="CH228" i="1"/>
  <c r="CI228" i="1"/>
  <c r="CJ228" i="1"/>
  <c r="CK228" i="1"/>
  <c r="CL228" i="1"/>
  <c r="CM228" i="1"/>
  <c r="CN228" i="1"/>
  <c r="CO228" i="1"/>
  <c r="CP228" i="1"/>
  <c r="CQ228" i="1"/>
  <c r="CR228" i="1"/>
  <c r="CS228" i="1"/>
  <c r="BV228" i="1"/>
  <c r="BW228" i="1"/>
  <c r="BX228" i="1"/>
  <c r="BY228" i="1"/>
  <c r="BZ228" i="1"/>
  <c r="CA228" i="1"/>
  <c r="CB228" i="1"/>
  <c r="CC228" i="1"/>
  <c r="CD228" i="1"/>
  <c r="CE228" i="1"/>
  <c r="CF228" i="1"/>
  <c r="CG228" i="1"/>
  <c r="BC228" i="1"/>
  <c r="CT228" i="1"/>
  <c r="AZ262" i="1"/>
  <c r="BA262" i="1"/>
  <c r="BB262" i="1"/>
  <c r="CH262" i="1"/>
  <c r="CI262" i="1"/>
  <c r="CJ262" i="1"/>
  <c r="CK262" i="1"/>
  <c r="CL262" i="1"/>
  <c r="CM262" i="1"/>
  <c r="CN262" i="1"/>
  <c r="CO262" i="1"/>
  <c r="CP262" i="1"/>
  <c r="CQ262" i="1"/>
  <c r="CR262" i="1"/>
  <c r="CS262" i="1"/>
  <c r="BV262" i="1"/>
  <c r="BW262" i="1"/>
  <c r="BX262" i="1"/>
  <c r="BY262" i="1"/>
  <c r="BZ262" i="1"/>
  <c r="CA262" i="1"/>
  <c r="CB262" i="1"/>
  <c r="CC262" i="1"/>
  <c r="CD262" i="1"/>
  <c r="CE262" i="1"/>
  <c r="CF262" i="1"/>
  <c r="CG262" i="1"/>
  <c r="BC262" i="1"/>
  <c r="CT262" i="1"/>
  <c r="X247" i="4"/>
  <c r="G61" i="2"/>
  <c r="I61" i="2"/>
  <c r="J61" i="2"/>
  <c r="K61" i="2"/>
  <c r="N61" i="2"/>
  <c r="O61" i="2"/>
  <c r="R61" i="2"/>
  <c r="T61" i="2"/>
  <c r="U61" i="2"/>
  <c r="V61" i="2"/>
  <c r="W61" i="2"/>
  <c r="AA61" i="2"/>
  <c r="AB61" i="2"/>
  <c r="D60" i="2"/>
  <c r="B300" i="4"/>
  <c r="D300" i="4"/>
  <c r="E300" i="5"/>
  <c r="E19" i="2"/>
  <c r="D19" i="2"/>
  <c r="AC61" i="2"/>
  <c r="F19" i="2"/>
  <c r="AD61" i="2"/>
  <c r="AE61" i="2"/>
  <c r="I60" i="2"/>
  <c r="I300" i="4"/>
  <c r="L300" i="5"/>
  <c r="K300" i="5"/>
  <c r="H19" i="2"/>
  <c r="AF61" i="2"/>
  <c r="AG61" i="2"/>
  <c r="AH61" i="2"/>
  <c r="AI61" i="2"/>
  <c r="AJ61" i="2"/>
  <c r="O300" i="5"/>
  <c r="J60" i="2"/>
  <c r="J300" i="4"/>
  <c r="N300" i="5"/>
  <c r="AK61" i="2"/>
  <c r="M60" i="2"/>
  <c r="M300" i="4"/>
  <c r="R300" i="5"/>
  <c r="L60" i="2"/>
  <c r="L300" i="4"/>
  <c r="Q300" i="5"/>
  <c r="M19" i="2"/>
  <c r="L19" i="2"/>
  <c r="AL61" i="2"/>
  <c r="AM61" i="2"/>
  <c r="AZ257" i="1"/>
  <c r="BA257" i="1"/>
  <c r="BB257" i="1"/>
  <c r="CH257" i="1"/>
  <c r="CI257" i="1"/>
  <c r="CJ257" i="1"/>
  <c r="CK257" i="1"/>
  <c r="CL257" i="1"/>
  <c r="CM257" i="1"/>
  <c r="CN257" i="1"/>
  <c r="CO257" i="1"/>
  <c r="CP257" i="1"/>
  <c r="CQ257" i="1"/>
  <c r="CR257" i="1"/>
  <c r="CS257" i="1"/>
  <c r="BV257" i="1"/>
  <c r="BW257" i="1"/>
  <c r="BX257" i="1"/>
  <c r="BY257" i="1"/>
  <c r="BZ257" i="1"/>
  <c r="CA257" i="1"/>
  <c r="CB257" i="1"/>
  <c r="CC257" i="1"/>
  <c r="CD257" i="1"/>
  <c r="CE257" i="1"/>
  <c r="CF257" i="1"/>
  <c r="CG257" i="1"/>
  <c r="BC257" i="1"/>
  <c r="CT257" i="1"/>
  <c r="AZ256" i="1"/>
  <c r="BA256" i="1"/>
  <c r="BB256" i="1"/>
  <c r="CH256" i="1"/>
  <c r="CI256" i="1"/>
  <c r="CJ256" i="1"/>
  <c r="CK256" i="1"/>
  <c r="CL256" i="1"/>
  <c r="CM256" i="1"/>
  <c r="CN256" i="1"/>
  <c r="CO256" i="1"/>
  <c r="CP256" i="1"/>
  <c r="CQ256" i="1"/>
  <c r="CR256" i="1"/>
  <c r="CS256" i="1"/>
  <c r="BV256" i="1"/>
  <c r="BW256" i="1"/>
  <c r="BX256" i="1"/>
  <c r="BY256" i="1"/>
  <c r="BZ256" i="1"/>
  <c r="CA256" i="1"/>
  <c r="CB256" i="1"/>
  <c r="CC256" i="1"/>
  <c r="CD256" i="1"/>
  <c r="CE256" i="1"/>
  <c r="CF256" i="1"/>
  <c r="CG256" i="1"/>
  <c r="BC256" i="1"/>
  <c r="CT256" i="1"/>
  <c r="C60" i="2"/>
  <c r="E60" i="2"/>
  <c r="F60" i="2"/>
  <c r="G60" i="2"/>
  <c r="H60" i="2"/>
  <c r="K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A60" i="2"/>
  <c r="AB60" i="2"/>
  <c r="D59" i="2"/>
  <c r="B258" i="4"/>
  <c r="D258" i="4"/>
  <c r="E298" i="5"/>
  <c r="D45" i="2"/>
  <c r="AC60" i="2"/>
  <c r="AD60" i="2"/>
  <c r="AE60" i="2"/>
  <c r="I59" i="2"/>
  <c r="I258" i="4"/>
  <c r="L298" i="5"/>
  <c r="K298" i="5"/>
  <c r="I45" i="2"/>
  <c r="AF60" i="2"/>
  <c r="AG60" i="2"/>
  <c r="AH60" i="2"/>
  <c r="AI60" i="2"/>
  <c r="AJ60" i="2"/>
  <c r="O298" i="5"/>
  <c r="J59" i="2"/>
  <c r="J258" i="4"/>
  <c r="N298" i="5"/>
  <c r="J45" i="2"/>
  <c r="AK60" i="2"/>
  <c r="M59" i="2"/>
  <c r="M258" i="4"/>
  <c r="R298" i="5"/>
  <c r="L59" i="2"/>
  <c r="L258" i="4"/>
  <c r="Q298" i="5"/>
  <c r="M45" i="2"/>
  <c r="L45" i="2"/>
  <c r="AL60" i="2"/>
  <c r="AM60" i="2"/>
  <c r="AZ283" i="1"/>
  <c r="BA283" i="1"/>
  <c r="BB283" i="1"/>
  <c r="CH283" i="1"/>
  <c r="CI283" i="1"/>
  <c r="CJ283" i="1"/>
  <c r="CK283" i="1"/>
  <c r="CL283" i="1"/>
  <c r="CM283" i="1"/>
  <c r="CN283" i="1"/>
  <c r="CO283" i="1"/>
  <c r="CP283" i="1"/>
  <c r="CQ283" i="1"/>
  <c r="CR283" i="1"/>
  <c r="CS283" i="1"/>
  <c r="BV283" i="1"/>
  <c r="BW283" i="1"/>
  <c r="BX283" i="1"/>
  <c r="BY283" i="1"/>
  <c r="BZ283" i="1"/>
  <c r="CA283" i="1"/>
  <c r="CB283" i="1"/>
  <c r="CC283" i="1"/>
  <c r="CD283" i="1"/>
  <c r="CE283" i="1"/>
  <c r="CF283" i="1"/>
  <c r="CG283" i="1"/>
  <c r="BC283" i="1"/>
  <c r="CT283" i="1"/>
  <c r="AZ282" i="1"/>
  <c r="BA282" i="1"/>
  <c r="BB282" i="1"/>
  <c r="CH282" i="1"/>
  <c r="CI282" i="1"/>
  <c r="CJ282" i="1"/>
  <c r="CK282" i="1"/>
  <c r="CL282" i="1"/>
  <c r="CM282" i="1"/>
  <c r="CN282" i="1"/>
  <c r="CO282" i="1"/>
  <c r="CP282" i="1"/>
  <c r="CQ282" i="1"/>
  <c r="CR282" i="1"/>
  <c r="CS282" i="1"/>
  <c r="BV282" i="1"/>
  <c r="BW282" i="1"/>
  <c r="BX282" i="1"/>
  <c r="BY282" i="1"/>
  <c r="BZ282" i="1"/>
  <c r="CA282" i="1"/>
  <c r="CB282" i="1"/>
  <c r="CC282" i="1"/>
  <c r="CD282" i="1"/>
  <c r="CE282" i="1"/>
  <c r="CF282" i="1"/>
  <c r="CG282" i="1"/>
  <c r="BC282" i="1"/>
  <c r="CT282" i="1"/>
  <c r="AZ16" i="1"/>
  <c r="BA16" i="1"/>
  <c r="BB16" i="1"/>
  <c r="CH16" i="1"/>
  <c r="CI16" i="1"/>
  <c r="CJ16" i="1"/>
  <c r="CK16" i="1"/>
  <c r="CL16" i="1"/>
  <c r="CM16" i="1"/>
  <c r="CN16" i="1"/>
  <c r="CO16" i="1"/>
  <c r="CP16" i="1"/>
  <c r="CQ16" i="1"/>
  <c r="CR16" i="1"/>
  <c r="CS16" i="1"/>
  <c r="BV16" i="1"/>
  <c r="BW16" i="1"/>
  <c r="BX16" i="1"/>
  <c r="BY16" i="1"/>
  <c r="BZ16" i="1"/>
  <c r="CA16" i="1"/>
  <c r="CB16" i="1"/>
  <c r="CC16" i="1"/>
  <c r="CD16" i="1"/>
  <c r="CE16" i="1"/>
  <c r="CF16" i="1"/>
  <c r="CG16" i="1"/>
  <c r="BC16" i="1"/>
  <c r="CT16" i="1"/>
  <c r="AZ15" i="1"/>
  <c r="BA15" i="1"/>
  <c r="BB15" i="1"/>
  <c r="CH15" i="1"/>
  <c r="CI15" i="1"/>
  <c r="CJ15" i="1"/>
  <c r="CK15" i="1"/>
  <c r="CL15" i="1"/>
  <c r="CM15" i="1"/>
  <c r="CN15" i="1"/>
  <c r="CO15" i="1"/>
  <c r="CP15" i="1"/>
  <c r="CQ15" i="1"/>
  <c r="CR15" i="1"/>
  <c r="CS15" i="1"/>
  <c r="BV15" i="1"/>
  <c r="BW15" i="1"/>
  <c r="BX15" i="1"/>
  <c r="BY15" i="1"/>
  <c r="BZ15" i="1"/>
  <c r="CA15" i="1"/>
  <c r="CB15" i="1"/>
  <c r="CC15" i="1"/>
  <c r="CD15" i="1"/>
  <c r="CE15" i="1"/>
  <c r="CF15" i="1"/>
  <c r="CG15" i="1"/>
  <c r="BC15" i="1"/>
  <c r="CT15" i="1"/>
  <c r="AZ14" i="1"/>
  <c r="BA14" i="1"/>
  <c r="BB14" i="1"/>
  <c r="CH14" i="1"/>
  <c r="CI14" i="1"/>
  <c r="CJ14" i="1"/>
  <c r="CK14" i="1"/>
  <c r="CL14" i="1"/>
  <c r="CM14" i="1"/>
  <c r="CN14" i="1"/>
  <c r="CO14" i="1"/>
  <c r="CP14" i="1"/>
  <c r="CQ14" i="1"/>
  <c r="CR14" i="1"/>
  <c r="CS14" i="1"/>
  <c r="BV14" i="1"/>
  <c r="BW14" i="1"/>
  <c r="BX14" i="1"/>
  <c r="BY14" i="1"/>
  <c r="BZ14" i="1"/>
  <c r="CA14" i="1"/>
  <c r="CB14" i="1"/>
  <c r="CC14" i="1"/>
  <c r="CD14" i="1"/>
  <c r="CE14" i="1"/>
  <c r="CF14" i="1"/>
  <c r="CG14" i="1"/>
  <c r="BC14" i="1"/>
  <c r="CT14" i="1"/>
  <c r="AZ13" i="1"/>
  <c r="BA13" i="1"/>
  <c r="BB13" i="1"/>
  <c r="CH13" i="1"/>
  <c r="CI13" i="1"/>
  <c r="CJ13" i="1"/>
  <c r="CK13" i="1"/>
  <c r="CL13" i="1"/>
  <c r="CM13" i="1"/>
  <c r="CN13" i="1"/>
  <c r="CO13" i="1"/>
  <c r="CP13" i="1"/>
  <c r="CQ13" i="1"/>
  <c r="CR13" i="1"/>
  <c r="CS13" i="1"/>
  <c r="BV13" i="1"/>
  <c r="BW13" i="1"/>
  <c r="BX13" i="1"/>
  <c r="BY13" i="1"/>
  <c r="BZ13" i="1"/>
  <c r="CA13" i="1"/>
  <c r="CB13" i="1"/>
  <c r="CC13" i="1"/>
  <c r="CD13" i="1"/>
  <c r="CE13" i="1"/>
  <c r="CF13" i="1"/>
  <c r="CG13" i="1"/>
  <c r="BC13" i="1"/>
  <c r="CT13" i="1"/>
  <c r="AZ126" i="1"/>
  <c r="BA126" i="1"/>
  <c r="BB126" i="1"/>
  <c r="CH126" i="1"/>
  <c r="CI126" i="1"/>
  <c r="CJ126" i="1"/>
  <c r="CK126" i="1"/>
  <c r="CL126" i="1"/>
  <c r="CM126" i="1"/>
  <c r="CN126" i="1"/>
  <c r="CO126" i="1"/>
  <c r="CP126" i="1"/>
  <c r="CQ126" i="1"/>
  <c r="CR126" i="1"/>
  <c r="CS126" i="1"/>
  <c r="BV126" i="1"/>
  <c r="BW126" i="1"/>
  <c r="BX126" i="1"/>
  <c r="BY126" i="1"/>
  <c r="BZ126" i="1"/>
  <c r="CA126" i="1"/>
  <c r="CB126" i="1"/>
  <c r="CC126" i="1"/>
  <c r="CD126" i="1"/>
  <c r="CE126" i="1"/>
  <c r="CF126" i="1"/>
  <c r="CG126" i="1"/>
  <c r="BC126" i="1"/>
  <c r="CT126" i="1"/>
  <c r="H3" i="9"/>
  <c r="H4" i="9"/>
  <c r="H5" i="9"/>
  <c r="H6" i="9"/>
  <c r="H7" i="9"/>
  <c r="H8" i="9"/>
  <c r="H9" i="9"/>
  <c r="H10" i="9"/>
  <c r="H11" i="9"/>
  <c r="H12" i="9"/>
  <c r="H13" i="9"/>
  <c r="H14" i="9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47" i="9"/>
  <c r="H48" i="9"/>
  <c r="H49" i="9"/>
  <c r="H50" i="9"/>
  <c r="H51" i="9"/>
  <c r="H52" i="9"/>
  <c r="H53" i="9"/>
  <c r="H54" i="9"/>
  <c r="H55" i="9"/>
  <c r="H56" i="9"/>
  <c r="H57" i="9"/>
  <c r="H58" i="9"/>
  <c r="H59" i="9"/>
  <c r="H60" i="9"/>
  <c r="H61" i="9"/>
  <c r="H62" i="9"/>
  <c r="H63" i="9"/>
  <c r="H64" i="9"/>
  <c r="H65" i="9"/>
  <c r="H66" i="9"/>
  <c r="H67" i="9"/>
  <c r="H68" i="9"/>
  <c r="H69" i="9"/>
  <c r="H70" i="9"/>
  <c r="H71" i="9"/>
  <c r="H72" i="9"/>
  <c r="H73" i="9"/>
  <c r="H74" i="9"/>
  <c r="H75" i="9"/>
  <c r="H76" i="9"/>
  <c r="H77" i="9"/>
  <c r="H78" i="9"/>
  <c r="H79" i="9"/>
  <c r="H80" i="9"/>
  <c r="H81" i="9"/>
  <c r="H82" i="9"/>
  <c r="H83" i="9"/>
  <c r="H84" i="9"/>
  <c r="H85" i="9"/>
  <c r="H86" i="9"/>
  <c r="H87" i="9"/>
  <c r="H88" i="9"/>
  <c r="H89" i="9"/>
  <c r="H90" i="9"/>
  <c r="H91" i="9"/>
  <c r="H92" i="9"/>
  <c r="H93" i="9"/>
  <c r="H94" i="9"/>
  <c r="H95" i="9"/>
  <c r="H96" i="9"/>
  <c r="H97" i="9"/>
  <c r="H98" i="9"/>
  <c r="H99" i="9"/>
  <c r="H100" i="9"/>
  <c r="H101" i="9"/>
  <c r="H102" i="9"/>
  <c r="H103" i="9"/>
  <c r="H104" i="9"/>
  <c r="H105" i="9"/>
  <c r="H106" i="9"/>
  <c r="H107" i="9"/>
  <c r="H108" i="9"/>
  <c r="H109" i="9"/>
  <c r="H110" i="9"/>
  <c r="H111" i="9"/>
  <c r="H112" i="9"/>
  <c r="H113" i="9"/>
  <c r="H114" i="9"/>
  <c r="H115" i="9"/>
  <c r="H116" i="9"/>
  <c r="H117" i="9"/>
  <c r="H118" i="9"/>
  <c r="H119" i="9"/>
  <c r="H120" i="9"/>
  <c r="H121" i="9"/>
  <c r="H122" i="9"/>
  <c r="H123" i="9"/>
  <c r="H124" i="9"/>
  <c r="H125" i="9"/>
  <c r="H126" i="9"/>
  <c r="H127" i="9"/>
  <c r="H128" i="9"/>
  <c r="H129" i="9"/>
  <c r="H130" i="9"/>
  <c r="H131" i="9"/>
  <c r="H132" i="9"/>
  <c r="H133" i="9"/>
  <c r="H134" i="9"/>
  <c r="H135" i="9"/>
  <c r="H136" i="9"/>
  <c r="H137" i="9"/>
  <c r="H138" i="9"/>
  <c r="H139" i="9"/>
  <c r="H140" i="9"/>
  <c r="H141" i="9"/>
  <c r="H142" i="9"/>
  <c r="H143" i="9"/>
  <c r="H144" i="9"/>
  <c r="H145" i="9"/>
  <c r="H146" i="9"/>
  <c r="H147" i="9"/>
  <c r="H148" i="9"/>
  <c r="H149" i="9"/>
  <c r="H150" i="9"/>
  <c r="H151" i="9"/>
  <c r="H152" i="9"/>
  <c r="H153" i="9"/>
  <c r="H154" i="9"/>
  <c r="H155" i="9"/>
  <c r="H156" i="9"/>
  <c r="H157" i="9"/>
  <c r="H158" i="9"/>
  <c r="H159" i="9"/>
  <c r="H160" i="9"/>
  <c r="H161" i="9"/>
  <c r="H162" i="9"/>
  <c r="H163" i="9"/>
  <c r="H164" i="9"/>
  <c r="H165" i="9"/>
  <c r="H166" i="9"/>
  <c r="H167" i="9"/>
  <c r="H168" i="9"/>
  <c r="H169" i="9"/>
  <c r="H170" i="9"/>
  <c r="H171" i="9"/>
  <c r="H172" i="9"/>
  <c r="H173" i="9"/>
  <c r="H174" i="9"/>
  <c r="H175" i="9"/>
  <c r="H176" i="9"/>
  <c r="H177" i="9"/>
  <c r="H178" i="9"/>
  <c r="H179" i="9"/>
  <c r="H180" i="9"/>
  <c r="H181" i="9"/>
  <c r="H182" i="9"/>
  <c r="H183" i="9"/>
  <c r="H184" i="9"/>
  <c r="H185" i="9"/>
  <c r="H186" i="9"/>
  <c r="H187" i="9"/>
  <c r="H188" i="9"/>
  <c r="H189" i="9"/>
  <c r="H190" i="9"/>
  <c r="H191" i="9"/>
  <c r="H192" i="9"/>
  <c r="H193" i="9"/>
  <c r="H194" i="9"/>
  <c r="H195" i="9"/>
  <c r="H196" i="9"/>
  <c r="H197" i="9"/>
  <c r="H198" i="9"/>
  <c r="H199" i="9"/>
  <c r="H200" i="9"/>
  <c r="H201" i="9"/>
  <c r="H202" i="9"/>
  <c r="H203" i="9"/>
  <c r="H204" i="9"/>
  <c r="H205" i="9"/>
  <c r="H206" i="9"/>
  <c r="H207" i="9"/>
  <c r="H208" i="9"/>
  <c r="H209" i="9"/>
  <c r="H210" i="9"/>
  <c r="H211" i="9"/>
  <c r="H212" i="9"/>
  <c r="H213" i="9"/>
  <c r="H214" i="9"/>
  <c r="H215" i="9"/>
  <c r="H216" i="9"/>
  <c r="H217" i="9"/>
  <c r="H218" i="9"/>
  <c r="H219" i="9"/>
  <c r="H220" i="9"/>
  <c r="H221" i="9"/>
  <c r="H222" i="9"/>
  <c r="H223" i="9"/>
  <c r="H224" i="9"/>
  <c r="H225" i="9"/>
  <c r="H226" i="9"/>
  <c r="H227" i="9"/>
  <c r="H228" i="9"/>
  <c r="H229" i="9"/>
  <c r="H230" i="9"/>
  <c r="H231" i="9"/>
  <c r="H232" i="9"/>
  <c r="H233" i="9"/>
  <c r="H234" i="9"/>
  <c r="H235" i="9"/>
  <c r="H236" i="9"/>
  <c r="H237" i="9"/>
  <c r="H238" i="9"/>
  <c r="H239" i="9"/>
  <c r="H240" i="9"/>
  <c r="H241" i="9"/>
  <c r="H242" i="9"/>
  <c r="H243" i="9"/>
  <c r="H244" i="9"/>
  <c r="H245" i="9"/>
  <c r="H246" i="9"/>
  <c r="H247" i="9"/>
  <c r="H248" i="9"/>
  <c r="H249" i="9"/>
  <c r="H250" i="9"/>
  <c r="H251" i="9"/>
  <c r="H252" i="9"/>
  <c r="H253" i="9"/>
  <c r="H254" i="9"/>
  <c r="H255" i="9"/>
  <c r="H256" i="9"/>
  <c r="H257" i="9"/>
  <c r="H258" i="9"/>
  <c r="H259" i="9"/>
  <c r="H260" i="9"/>
  <c r="H261" i="9"/>
  <c r="H262" i="9"/>
  <c r="H263" i="9"/>
  <c r="H264" i="9"/>
  <c r="H265" i="9"/>
  <c r="H266" i="9"/>
  <c r="H267" i="9"/>
  <c r="H268" i="9"/>
  <c r="H269" i="9"/>
  <c r="H270" i="9"/>
  <c r="H271" i="9"/>
  <c r="H272" i="9"/>
  <c r="H273" i="9"/>
  <c r="H274" i="9"/>
  <c r="H275" i="9"/>
  <c r="H276" i="9"/>
  <c r="H277" i="9"/>
  <c r="H278" i="9"/>
  <c r="H279" i="9"/>
  <c r="H280" i="9"/>
  <c r="H281" i="9"/>
  <c r="H282" i="9"/>
  <c r="H283" i="9"/>
  <c r="H284" i="9"/>
  <c r="H285" i="9"/>
  <c r="H286" i="9"/>
  <c r="H287" i="9"/>
  <c r="H288" i="9"/>
  <c r="H289" i="9"/>
  <c r="H290" i="9"/>
  <c r="H291" i="9"/>
  <c r="H292" i="9"/>
  <c r="H293" i="9"/>
  <c r="H294" i="9"/>
  <c r="H295" i="9"/>
  <c r="H296" i="9"/>
  <c r="H297" i="9"/>
  <c r="H298" i="9"/>
  <c r="H299" i="9"/>
  <c r="H300" i="9"/>
  <c r="H301" i="9"/>
  <c r="H302" i="9"/>
  <c r="H303" i="9"/>
  <c r="H304" i="9"/>
  <c r="H305" i="9"/>
  <c r="H306" i="9"/>
  <c r="H307" i="9"/>
  <c r="H308" i="9"/>
  <c r="H309" i="9"/>
  <c r="H310" i="9"/>
  <c r="H311" i="9"/>
  <c r="H312" i="9"/>
  <c r="H313" i="9"/>
  <c r="H314" i="9"/>
  <c r="H315" i="9"/>
  <c r="H316" i="9"/>
  <c r="H317" i="9"/>
  <c r="H318" i="9"/>
  <c r="H319" i="9"/>
  <c r="H320" i="9"/>
  <c r="H321" i="9"/>
  <c r="H322" i="9"/>
  <c r="H323" i="9"/>
  <c r="H324" i="9"/>
  <c r="H325" i="9"/>
  <c r="H326" i="9"/>
  <c r="H327" i="9"/>
  <c r="H328" i="9"/>
  <c r="H329" i="9"/>
  <c r="H330" i="9"/>
  <c r="H331" i="9"/>
  <c r="H332" i="9"/>
  <c r="H333" i="9"/>
  <c r="H334" i="9"/>
  <c r="H335" i="9"/>
  <c r="H336" i="9"/>
  <c r="H337" i="9"/>
  <c r="H338" i="9"/>
  <c r="H339" i="9"/>
  <c r="H340" i="9"/>
  <c r="H341" i="9"/>
  <c r="H342" i="9"/>
  <c r="H343" i="9"/>
  <c r="H344" i="9"/>
  <c r="H345" i="9"/>
  <c r="H346" i="9"/>
  <c r="H347" i="9"/>
  <c r="H348" i="9"/>
  <c r="H349" i="9"/>
  <c r="H350" i="9"/>
  <c r="H351" i="9"/>
  <c r="H352" i="9"/>
  <c r="H353" i="9"/>
  <c r="H354" i="9"/>
  <c r="H355" i="9"/>
  <c r="H356" i="9"/>
  <c r="H357" i="9"/>
  <c r="H358" i="9"/>
  <c r="H359" i="9"/>
  <c r="H360" i="9"/>
  <c r="H361" i="9"/>
  <c r="H362" i="9"/>
  <c r="H363" i="9"/>
  <c r="H364" i="9"/>
  <c r="H365" i="9"/>
  <c r="H366" i="9"/>
  <c r="H367" i="9"/>
  <c r="H368" i="9"/>
  <c r="H369" i="9"/>
  <c r="H370" i="9"/>
  <c r="H371" i="9"/>
  <c r="H372" i="9"/>
  <c r="H373" i="9"/>
  <c r="H374" i="9"/>
  <c r="H375" i="9"/>
  <c r="H376" i="9"/>
  <c r="H377" i="9"/>
  <c r="H378" i="9"/>
  <c r="H379" i="9"/>
  <c r="H380" i="9"/>
  <c r="H381" i="9"/>
  <c r="H382" i="9"/>
  <c r="H383" i="9"/>
  <c r="H384" i="9"/>
  <c r="H385" i="9"/>
  <c r="H386" i="9"/>
  <c r="H387" i="9"/>
  <c r="H388" i="9"/>
  <c r="H389" i="9"/>
  <c r="H390" i="9"/>
  <c r="H391" i="9"/>
  <c r="H392" i="9"/>
  <c r="H393" i="9"/>
  <c r="H394" i="9"/>
  <c r="H395" i="9"/>
  <c r="H396" i="9"/>
  <c r="H397" i="9"/>
  <c r="H398" i="9"/>
  <c r="H399" i="9"/>
  <c r="H400" i="9"/>
  <c r="H401" i="9"/>
  <c r="H402" i="9"/>
  <c r="H403" i="9"/>
  <c r="H404" i="9"/>
  <c r="H405" i="9"/>
  <c r="H406" i="9"/>
  <c r="H407" i="9"/>
  <c r="H408" i="9"/>
  <c r="H409" i="9"/>
  <c r="H410" i="9"/>
  <c r="H411" i="9"/>
  <c r="H2" i="9"/>
  <c r="AL31" i="4"/>
  <c r="A6" i="14"/>
  <c r="H6" i="14"/>
  <c r="G6" i="14"/>
  <c r="F6" i="14"/>
  <c r="U52" i="2"/>
  <c r="B381" i="4"/>
  <c r="U381" i="4"/>
  <c r="AD380" i="5"/>
  <c r="T52" i="2"/>
  <c r="T381" i="4"/>
  <c r="AC380" i="5"/>
  <c r="E6" i="14"/>
  <c r="C6" i="14"/>
  <c r="B6" i="14"/>
  <c r="A8" i="13"/>
  <c r="H8" i="13"/>
  <c r="G8" i="13"/>
  <c r="F8" i="13"/>
  <c r="B303" i="4"/>
  <c r="U49" i="2"/>
  <c r="U303" i="4"/>
  <c r="AD303" i="5"/>
  <c r="T49" i="2"/>
  <c r="T303" i="4"/>
  <c r="AC303" i="5"/>
  <c r="E8" i="13"/>
  <c r="C8" i="13"/>
  <c r="B8" i="13"/>
  <c r="A7" i="13"/>
  <c r="H7" i="13"/>
  <c r="G7" i="13"/>
  <c r="F7" i="13"/>
  <c r="B308" i="4"/>
  <c r="U47" i="2"/>
  <c r="U308" i="4"/>
  <c r="AD308" i="5"/>
  <c r="T47" i="2"/>
  <c r="T308" i="4"/>
  <c r="AC308" i="5"/>
  <c r="E7" i="13"/>
  <c r="C7" i="13"/>
  <c r="B7" i="13"/>
  <c r="A6" i="13"/>
  <c r="H6" i="13"/>
  <c r="G6" i="13"/>
  <c r="F6" i="13"/>
  <c r="B306" i="4"/>
  <c r="U48" i="2"/>
  <c r="U306" i="4"/>
  <c r="AD306" i="5"/>
  <c r="T48" i="2"/>
  <c r="T306" i="4"/>
  <c r="AC306" i="5"/>
  <c r="E6" i="13"/>
  <c r="C6" i="13"/>
  <c r="B6" i="13"/>
  <c r="B298" i="6"/>
  <c r="C298" i="6"/>
  <c r="D298" i="6"/>
  <c r="V298" i="6"/>
  <c r="W298" i="6"/>
  <c r="X298" i="6"/>
  <c r="Y298" i="6"/>
  <c r="Z298" i="6"/>
  <c r="AA298" i="6"/>
  <c r="AB298" i="6"/>
  <c r="AC298" i="6"/>
  <c r="AD298" i="6"/>
  <c r="AE298" i="6"/>
  <c r="AF298" i="6"/>
  <c r="AG298" i="6"/>
  <c r="AH298" i="6"/>
  <c r="F298" i="5"/>
  <c r="B298" i="5"/>
  <c r="C23" i="2"/>
  <c r="B287" i="4"/>
  <c r="C59" i="2"/>
  <c r="C287" i="4"/>
  <c r="C258" i="4"/>
  <c r="C298" i="5"/>
  <c r="D23" i="2"/>
  <c r="D287" i="4"/>
  <c r="H298" i="5"/>
  <c r="I298" i="5"/>
  <c r="I23" i="2"/>
  <c r="I287" i="4"/>
  <c r="J23" i="2"/>
  <c r="J287" i="4"/>
  <c r="L23" i="2"/>
  <c r="L287" i="4"/>
  <c r="M23" i="2"/>
  <c r="M287" i="4"/>
  <c r="N23" i="2"/>
  <c r="N59" i="2"/>
  <c r="N287" i="4"/>
  <c r="N258" i="4"/>
  <c r="T298" i="5"/>
  <c r="O23" i="2"/>
  <c r="O59" i="2"/>
  <c r="O287" i="4"/>
  <c r="O258" i="4"/>
  <c r="U298" i="5"/>
  <c r="P23" i="2"/>
  <c r="P59" i="2"/>
  <c r="P287" i="4"/>
  <c r="P258" i="4"/>
  <c r="W298" i="5"/>
  <c r="Q23" i="2"/>
  <c r="Q59" i="2"/>
  <c r="Q287" i="4"/>
  <c r="Q258" i="4"/>
  <c r="X298" i="5"/>
  <c r="Z298" i="5"/>
  <c r="S23" i="2"/>
  <c r="S59" i="2"/>
  <c r="S287" i="4"/>
  <c r="S258" i="4"/>
  <c r="AA298" i="5"/>
  <c r="AI287" i="4"/>
  <c r="T287" i="4" a="1"/>
  <c r="T287" i="4"/>
  <c r="AI258" i="4"/>
  <c r="T258" i="4" a="1"/>
  <c r="T258" i="4"/>
  <c r="AC298" i="5"/>
  <c r="AD298" i="5"/>
  <c r="AF298" i="5"/>
  <c r="AG298" i="5"/>
  <c r="X23" i="2"/>
  <c r="X59" i="2"/>
  <c r="X287" i="4"/>
  <c r="X258" i="4"/>
  <c r="AI298" i="5"/>
  <c r="Y23" i="2"/>
  <c r="Y59" i="2"/>
  <c r="Y287" i="4"/>
  <c r="Y258" i="4"/>
  <c r="AJ298" i="5"/>
  <c r="Z23" i="2"/>
  <c r="Z59" i="2"/>
  <c r="Z287" i="4"/>
  <c r="Z258" i="4"/>
  <c r="AL298" i="5"/>
  <c r="AM298" i="5"/>
  <c r="AN298" i="5"/>
  <c r="AO298" i="5"/>
  <c r="AP298" i="5"/>
  <c r="AQ298" i="5"/>
  <c r="AR298" i="5"/>
  <c r="AS298" i="5"/>
  <c r="AT298" i="5"/>
  <c r="AU298" i="5"/>
  <c r="AV298" i="5"/>
  <c r="AW298" i="5"/>
  <c r="AX298" i="5"/>
  <c r="AY298" i="5"/>
  <c r="AZ298" i="5"/>
  <c r="BA298" i="5"/>
  <c r="BB298" i="5"/>
  <c r="BC298" i="5"/>
  <c r="BD298" i="5"/>
  <c r="BE298" i="5"/>
  <c r="E23" i="2"/>
  <c r="E59" i="2"/>
  <c r="E258" i="4"/>
  <c r="F23" i="2"/>
  <c r="F59" i="2"/>
  <c r="F258" i="4"/>
  <c r="R23" i="2"/>
  <c r="R59" i="2"/>
  <c r="R258" i="4"/>
  <c r="AA258" i="4"/>
  <c r="AB258" i="4"/>
  <c r="AC258" i="4"/>
  <c r="AD258" i="4"/>
  <c r="AE258" i="4"/>
  <c r="AF258" i="4"/>
  <c r="AG258" i="4"/>
  <c r="AH258" i="4"/>
  <c r="AJ258" i="4"/>
  <c r="AK258" i="4"/>
  <c r="AL258" i="4"/>
  <c r="G59" i="2"/>
  <c r="H59" i="2"/>
  <c r="K59" i="2"/>
  <c r="T59" i="2"/>
  <c r="U59" i="2"/>
  <c r="V59" i="2"/>
  <c r="W59" i="2"/>
  <c r="AA59" i="2"/>
  <c r="AB59" i="2"/>
  <c r="E58" i="2"/>
  <c r="B256" i="4"/>
  <c r="E256" i="4"/>
  <c r="F230" i="5"/>
  <c r="D58" i="2"/>
  <c r="D256" i="4"/>
  <c r="E230" i="5"/>
  <c r="AC59" i="2"/>
  <c r="I230" i="5"/>
  <c r="F58" i="2"/>
  <c r="F256" i="4"/>
  <c r="H230" i="5"/>
  <c r="AD59" i="2"/>
  <c r="AE59" i="2"/>
  <c r="H58" i="2"/>
  <c r="H256" i="4"/>
  <c r="K230" i="5"/>
  <c r="AF59" i="2"/>
  <c r="AG59" i="2"/>
  <c r="AH59" i="2"/>
  <c r="AI59" i="2"/>
  <c r="AJ59" i="2"/>
  <c r="AK59" i="2"/>
  <c r="M58" i="2"/>
  <c r="M256" i="4"/>
  <c r="R230" i="5"/>
  <c r="L58" i="2"/>
  <c r="L256" i="4"/>
  <c r="Q230" i="5"/>
  <c r="AL59" i="2"/>
  <c r="AM59" i="2"/>
  <c r="D411" i="9"/>
  <c r="E411" i="9"/>
  <c r="F411" i="9"/>
  <c r="G411" i="9"/>
  <c r="AZ279" i="1"/>
  <c r="BA279" i="1"/>
  <c r="BB279" i="1"/>
  <c r="CH279" i="1"/>
  <c r="CI279" i="1"/>
  <c r="CJ279" i="1"/>
  <c r="CK279" i="1"/>
  <c r="CL279" i="1"/>
  <c r="CM279" i="1"/>
  <c r="CN279" i="1"/>
  <c r="CO279" i="1"/>
  <c r="CP279" i="1"/>
  <c r="CQ279" i="1"/>
  <c r="CR279" i="1"/>
  <c r="CS279" i="1"/>
  <c r="BV279" i="1"/>
  <c r="BW279" i="1"/>
  <c r="BX279" i="1"/>
  <c r="BY279" i="1"/>
  <c r="BZ279" i="1"/>
  <c r="CA279" i="1"/>
  <c r="CB279" i="1"/>
  <c r="CC279" i="1"/>
  <c r="CD279" i="1"/>
  <c r="CE279" i="1"/>
  <c r="CF279" i="1"/>
  <c r="CG279" i="1"/>
  <c r="BC279" i="1"/>
  <c r="CT279" i="1"/>
  <c r="AZ278" i="1"/>
  <c r="BA278" i="1"/>
  <c r="BB278" i="1"/>
  <c r="CH278" i="1"/>
  <c r="CI278" i="1"/>
  <c r="CJ278" i="1"/>
  <c r="CK278" i="1"/>
  <c r="CL278" i="1"/>
  <c r="CM278" i="1"/>
  <c r="CN278" i="1"/>
  <c r="CO278" i="1"/>
  <c r="CP278" i="1"/>
  <c r="CQ278" i="1"/>
  <c r="CR278" i="1"/>
  <c r="CS278" i="1"/>
  <c r="BV278" i="1"/>
  <c r="BW278" i="1"/>
  <c r="BX278" i="1"/>
  <c r="BY278" i="1"/>
  <c r="BZ278" i="1"/>
  <c r="CA278" i="1"/>
  <c r="CB278" i="1"/>
  <c r="CC278" i="1"/>
  <c r="CD278" i="1"/>
  <c r="CE278" i="1"/>
  <c r="CF278" i="1"/>
  <c r="CG278" i="1"/>
  <c r="BC278" i="1"/>
  <c r="CT278" i="1"/>
  <c r="AZ277" i="1"/>
  <c r="BA277" i="1"/>
  <c r="BB277" i="1"/>
  <c r="CH277" i="1"/>
  <c r="CI277" i="1"/>
  <c r="CJ277" i="1"/>
  <c r="CK277" i="1"/>
  <c r="CL277" i="1"/>
  <c r="CM277" i="1"/>
  <c r="CN277" i="1"/>
  <c r="CO277" i="1"/>
  <c r="CP277" i="1"/>
  <c r="CQ277" i="1"/>
  <c r="CR277" i="1"/>
  <c r="CS277" i="1"/>
  <c r="BV277" i="1"/>
  <c r="BW277" i="1"/>
  <c r="BX277" i="1"/>
  <c r="BY277" i="1"/>
  <c r="BZ277" i="1"/>
  <c r="CA277" i="1"/>
  <c r="CB277" i="1"/>
  <c r="CC277" i="1"/>
  <c r="CD277" i="1"/>
  <c r="CE277" i="1"/>
  <c r="CF277" i="1"/>
  <c r="CG277" i="1"/>
  <c r="BC277" i="1"/>
  <c r="CT277" i="1"/>
  <c r="C124" i="7"/>
  <c r="D124" i="7"/>
  <c r="E124" i="7"/>
  <c r="AZ267" i="1"/>
  <c r="BA267" i="1"/>
  <c r="BB267" i="1"/>
  <c r="CH267" i="1"/>
  <c r="CI267" i="1"/>
  <c r="CJ267" i="1"/>
  <c r="CK267" i="1"/>
  <c r="CL267" i="1"/>
  <c r="CM267" i="1"/>
  <c r="CN267" i="1"/>
  <c r="CO267" i="1"/>
  <c r="CP267" i="1"/>
  <c r="CQ267" i="1"/>
  <c r="CR267" i="1"/>
  <c r="CS267" i="1"/>
  <c r="BV267" i="1"/>
  <c r="BW267" i="1"/>
  <c r="BX267" i="1"/>
  <c r="BY267" i="1"/>
  <c r="BZ267" i="1"/>
  <c r="CA267" i="1"/>
  <c r="CB267" i="1"/>
  <c r="CC267" i="1"/>
  <c r="CD267" i="1"/>
  <c r="CE267" i="1"/>
  <c r="CF267" i="1"/>
  <c r="CG267" i="1"/>
  <c r="BC267" i="1"/>
  <c r="CT267" i="1"/>
  <c r="AB184" i="4"/>
  <c r="AB24" i="4"/>
  <c r="AB117" i="4"/>
  <c r="AB128" i="4"/>
  <c r="AB133" i="4"/>
  <c r="AB141" i="4"/>
  <c r="AB185" i="4"/>
  <c r="AB187" i="4"/>
  <c r="AB188" i="4"/>
  <c r="AB101" i="4"/>
  <c r="AB114" i="4"/>
  <c r="AB122" i="4"/>
  <c r="AB140" i="4"/>
  <c r="AB20" i="4"/>
  <c r="AB21" i="4"/>
  <c r="AB22" i="4"/>
  <c r="AB23" i="4"/>
  <c r="AB25" i="4"/>
  <c r="AB27" i="4"/>
  <c r="AB52" i="4"/>
  <c r="AB53" i="4"/>
  <c r="AB55" i="4"/>
  <c r="AB56" i="4"/>
  <c r="AB58" i="4"/>
  <c r="AB59" i="4"/>
  <c r="AB60" i="4"/>
  <c r="AB67" i="4"/>
  <c r="AB68" i="4"/>
  <c r="AB69" i="4"/>
  <c r="AB70" i="4"/>
  <c r="AB71" i="4"/>
  <c r="AB72" i="4"/>
  <c r="AB73" i="4"/>
  <c r="AB293" i="4"/>
  <c r="AB115" i="4"/>
  <c r="AB287" i="4"/>
  <c r="AB291" i="4"/>
  <c r="AB51" i="4"/>
  <c r="AB54" i="4"/>
  <c r="AB57" i="4"/>
  <c r="AB65" i="4"/>
  <c r="AB66" i="4"/>
  <c r="AB74" i="4"/>
  <c r="AB78" i="4"/>
  <c r="AB85" i="4"/>
  <c r="AB292" i="4"/>
  <c r="AB110" i="4"/>
  <c r="AB120" i="4"/>
  <c r="AB130" i="4"/>
  <c r="AB160" i="4"/>
  <c r="AB165" i="4"/>
  <c r="AB166" i="4"/>
  <c r="AB167" i="4"/>
  <c r="AB168" i="4"/>
  <c r="AB169" i="4"/>
  <c r="AB170" i="4"/>
  <c r="AB172" i="4"/>
  <c r="AB173" i="4"/>
  <c r="AB181" i="4"/>
  <c r="AB200" i="4"/>
  <c r="AB201" i="4"/>
  <c r="AB216" i="4"/>
  <c r="AB217" i="4"/>
  <c r="AB218" i="4"/>
  <c r="AB219" i="4"/>
  <c r="AB220" i="4"/>
  <c r="AB221" i="4"/>
  <c r="AB238" i="4"/>
  <c r="AB248" i="4"/>
  <c r="AB257" i="4"/>
  <c r="AB259" i="4"/>
  <c r="AB265" i="4"/>
  <c r="AB266" i="4"/>
  <c r="AB267" i="4"/>
  <c r="AB268" i="4"/>
  <c r="AB269" i="4"/>
  <c r="AB270" i="4"/>
  <c r="AB271" i="4"/>
  <c r="AB272" i="4"/>
  <c r="AB273" i="4"/>
  <c r="AB274" i="4"/>
  <c r="AB275" i="4"/>
  <c r="AB286" i="4"/>
  <c r="AB8" i="4"/>
  <c r="AB9" i="4"/>
  <c r="AB10" i="4"/>
  <c r="AB11" i="4"/>
  <c r="AB12" i="4"/>
  <c r="AB16" i="4"/>
  <c r="AB18" i="4"/>
  <c r="AB26" i="4"/>
  <c r="AB28" i="4"/>
  <c r="AB29" i="4"/>
  <c r="AB30" i="4"/>
  <c r="AB31" i="4"/>
  <c r="AB32" i="4"/>
  <c r="AB33" i="4"/>
  <c r="AB35" i="4"/>
  <c r="AB36" i="4"/>
  <c r="AB37" i="4"/>
  <c r="AB38" i="4"/>
  <c r="AB39" i="4"/>
  <c r="AB40" i="4"/>
  <c r="AB2" i="4"/>
  <c r="AB3" i="4"/>
  <c r="AB4" i="4"/>
  <c r="AB5" i="4"/>
  <c r="AB41" i="4"/>
  <c r="AB42" i="4"/>
  <c r="AB43" i="4"/>
  <c r="AB44" i="4"/>
  <c r="AB45" i="4"/>
  <c r="AB46" i="4"/>
  <c r="AB47" i="4"/>
  <c r="AB48" i="4"/>
  <c r="AB49" i="4"/>
  <c r="AB50" i="4"/>
  <c r="AB62" i="4"/>
  <c r="AB63" i="4"/>
  <c r="AB64" i="4"/>
  <c r="AB75" i="4"/>
  <c r="AB80" i="4"/>
  <c r="AB81" i="4"/>
  <c r="AB82" i="4"/>
  <c r="AB83" i="4"/>
  <c r="AB84" i="4"/>
  <c r="AB86" i="4"/>
  <c r="AB87" i="4"/>
  <c r="AB88" i="4"/>
  <c r="AB90" i="4"/>
  <c r="AB91" i="4"/>
  <c r="AB92" i="4"/>
  <c r="AB93" i="4"/>
  <c r="AB94" i="4"/>
  <c r="AB296" i="4"/>
  <c r="AB95" i="4"/>
  <c r="AB96" i="4"/>
  <c r="AB97" i="4"/>
  <c r="AB104" i="4"/>
  <c r="AB105" i="4"/>
  <c r="AB107" i="4"/>
  <c r="AB108" i="4"/>
  <c r="AB112" i="4"/>
  <c r="AB113" i="4"/>
  <c r="AB116" i="4"/>
  <c r="AB118" i="4"/>
  <c r="AB119" i="4"/>
  <c r="AB121" i="4"/>
  <c r="AB123" i="4"/>
  <c r="AB124" i="4"/>
  <c r="AB125" i="4"/>
  <c r="AB126" i="4"/>
  <c r="AB129" i="4"/>
  <c r="AB131" i="4"/>
  <c r="AB132" i="4"/>
  <c r="AB134" i="4"/>
  <c r="AB136" i="4"/>
  <c r="AB137" i="4"/>
  <c r="AB138" i="4"/>
  <c r="AB139" i="4"/>
  <c r="AB144" i="4"/>
  <c r="AB146" i="4"/>
  <c r="AB148" i="4"/>
  <c r="AB149" i="4"/>
  <c r="AB151" i="4"/>
  <c r="AB153" i="4"/>
  <c r="AB154" i="4"/>
  <c r="AB155" i="4"/>
  <c r="AB156" i="4"/>
  <c r="AB157" i="4"/>
  <c r="AB158" i="4"/>
  <c r="AB159" i="4"/>
  <c r="AB161" i="4"/>
  <c r="AB175" i="4"/>
  <c r="AB179" i="4"/>
  <c r="AB180" i="4"/>
  <c r="AB182" i="4"/>
  <c r="AB183" i="4"/>
  <c r="AB186" i="4"/>
  <c r="AB190" i="4"/>
  <c r="AB191" i="4"/>
  <c r="AB192" i="4"/>
  <c r="AB193" i="4"/>
  <c r="AB194" i="4"/>
  <c r="AB195" i="4"/>
  <c r="AB196" i="4"/>
  <c r="AB197" i="4"/>
  <c r="AB202" i="4"/>
  <c r="AB203" i="4"/>
  <c r="AB204" i="4"/>
  <c r="AB205" i="4"/>
  <c r="AB206" i="4"/>
  <c r="AB207" i="4"/>
  <c r="AB208" i="4"/>
  <c r="AB297" i="4"/>
  <c r="AB212" i="4"/>
  <c r="AB213" i="4"/>
  <c r="AB214" i="4"/>
  <c r="AB215" i="4"/>
  <c r="AB222" i="4"/>
  <c r="AB223" i="4"/>
  <c r="AB224" i="4"/>
  <c r="AB226" i="4"/>
  <c r="AB227" i="4"/>
  <c r="AB228" i="4"/>
  <c r="AB229" i="4"/>
  <c r="AB230" i="4"/>
  <c r="AB231" i="4"/>
  <c r="AB232" i="4"/>
  <c r="AB233" i="4"/>
  <c r="AB234" i="4"/>
  <c r="AB235" i="4"/>
  <c r="AB236" i="4"/>
  <c r="AB237" i="4"/>
  <c r="AB239" i="4"/>
  <c r="AB240" i="4"/>
  <c r="AB241" i="4"/>
  <c r="AB242" i="4"/>
  <c r="AB243" i="4"/>
  <c r="AB244" i="4"/>
  <c r="AB298" i="4"/>
  <c r="AB245" i="4"/>
  <c r="AB247" i="4"/>
  <c r="AB251" i="4"/>
  <c r="AB255" i="4"/>
  <c r="AB256" i="4"/>
  <c r="AB260" i="4"/>
  <c r="AB261" i="4"/>
  <c r="AB262" i="4"/>
  <c r="AB277" i="4"/>
  <c r="AB278" i="4"/>
  <c r="AB279" i="4"/>
  <c r="AB280" i="4"/>
  <c r="AB281" i="4"/>
  <c r="AB282" i="4"/>
  <c r="AB283" i="4"/>
  <c r="AB284" i="4"/>
  <c r="AB288" i="4"/>
  <c r="AB289" i="4"/>
  <c r="AB290" i="4"/>
  <c r="AB13" i="4"/>
  <c r="AB14" i="4"/>
  <c r="AB15" i="4"/>
  <c r="AB17" i="4"/>
  <c r="AB19" i="4"/>
  <c r="AB76" i="4"/>
  <c r="AB77" i="4"/>
  <c r="AB99" i="4"/>
  <c r="AB100" i="4"/>
  <c r="AB109" i="4"/>
  <c r="AB145" i="4"/>
  <c r="AB150" i="4"/>
  <c r="AB174" i="4"/>
  <c r="AB198" i="4"/>
  <c r="AB199" i="4"/>
  <c r="AB225" i="4"/>
  <c r="AB254" i="4"/>
  <c r="AB103" i="4"/>
  <c r="AB106" i="4"/>
  <c r="AB135" i="4"/>
  <c r="AB142" i="4"/>
  <c r="AB209" i="4"/>
  <c r="AB210" i="4"/>
  <c r="AB211" i="4"/>
  <c r="AB294" i="4"/>
  <c r="AB295" i="4"/>
  <c r="AB111" i="4"/>
  <c r="AB143" i="4"/>
  <c r="AB6" i="4"/>
  <c r="AB127" i="4"/>
  <c r="AB147" i="4"/>
  <c r="AB249" i="4"/>
  <c r="AB250" i="4"/>
  <c r="AB252" i="4"/>
  <c r="AB276" i="4"/>
  <c r="AB79" i="4"/>
  <c r="AB7" i="4"/>
  <c r="AB177" i="4"/>
  <c r="AB253" i="4"/>
  <c r="AB34" i="4"/>
  <c r="AB176" i="4"/>
  <c r="AB178" i="4"/>
  <c r="AB189" i="4"/>
  <c r="AB246" i="4"/>
  <c r="AB89" i="4"/>
  <c r="AB162" i="4"/>
  <c r="AB163" i="4"/>
  <c r="AB164" i="4"/>
  <c r="AB171" i="4"/>
  <c r="AB263" i="4"/>
  <c r="AB264" i="4"/>
  <c r="AB285" i="4"/>
  <c r="AB98" i="4"/>
  <c r="AB152" i="4"/>
  <c r="AB102" i="4"/>
  <c r="AB302" i="4"/>
  <c r="AB301" i="4"/>
  <c r="AB299" i="4"/>
  <c r="AB300" i="4"/>
  <c r="AB304" i="4"/>
  <c r="AB309" i="4"/>
  <c r="AB312" i="4"/>
  <c r="AB313" i="4"/>
  <c r="AB314" i="4"/>
  <c r="AB305" i="4"/>
  <c r="AB303" i="4"/>
  <c r="AB306" i="4"/>
  <c r="AB307" i="4"/>
  <c r="AB308" i="4"/>
  <c r="AB311" i="4"/>
  <c r="AB310" i="4"/>
  <c r="AB318" i="4"/>
  <c r="AB319" i="4"/>
  <c r="AB320" i="4"/>
  <c r="AB321" i="4"/>
  <c r="AB322" i="4"/>
  <c r="AB323" i="4"/>
  <c r="AB324" i="4"/>
  <c r="AB325" i="4"/>
  <c r="AB337" i="4"/>
  <c r="AB338" i="4"/>
  <c r="AB339" i="4"/>
  <c r="AB340" i="4"/>
  <c r="AB341" i="4"/>
  <c r="AB343" i="4"/>
  <c r="AB344" i="4"/>
  <c r="AB345" i="4"/>
  <c r="AB315" i="4"/>
  <c r="AB316" i="4"/>
  <c r="AB317" i="4"/>
  <c r="AB330" i="4"/>
  <c r="AB331" i="4"/>
  <c r="AB332" i="4"/>
  <c r="AB333" i="4"/>
  <c r="AB335" i="4"/>
  <c r="AB342" i="4"/>
  <c r="AB346" i="4"/>
  <c r="AB334" i="4"/>
  <c r="AB327" i="4"/>
  <c r="AB326" i="4"/>
  <c r="AB347" i="4"/>
  <c r="AB328" i="4"/>
  <c r="AB329" i="4"/>
  <c r="AB336" i="4"/>
  <c r="AB348" i="4"/>
  <c r="AB352" i="4"/>
  <c r="AB353" i="4"/>
  <c r="AB366" i="4"/>
  <c r="AB367" i="4"/>
  <c r="AB368" i="4"/>
  <c r="AB354" i="4"/>
  <c r="AB355" i="4"/>
  <c r="AB356" i="4"/>
  <c r="AB357" i="4"/>
  <c r="AB358" i="4"/>
  <c r="AB359" i="4"/>
  <c r="AB360" i="4"/>
  <c r="AB361" i="4"/>
  <c r="AB362" i="4"/>
  <c r="AB369" i="4"/>
  <c r="AB363" i="4"/>
  <c r="AB364" i="4"/>
  <c r="AB365" i="4"/>
  <c r="AB351" i="4"/>
  <c r="AB349" i="4"/>
  <c r="AB350" i="4"/>
  <c r="AB375" i="4"/>
  <c r="AB371" i="4"/>
  <c r="AB379" i="4"/>
  <c r="AB370" i="4"/>
  <c r="AB372" i="4"/>
  <c r="AB374" i="4"/>
  <c r="AB377" i="4"/>
  <c r="AB381" i="4"/>
  <c r="AB380" i="4"/>
  <c r="AB373" i="4"/>
  <c r="AB376" i="4"/>
  <c r="AB378" i="4"/>
  <c r="AB386" i="4"/>
  <c r="AB385" i="4"/>
  <c r="AB383" i="4"/>
  <c r="AB384" i="4"/>
  <c r="AB382" i="4"/>
  <c r="AB390" i="4"/>
  <c r="AB405" i="4"/>
  <c r="AB408" i="4"/>
  <c r="AB391" i="4"/>
  <c r="AB392" i="4"/>
  <c r="AB393" i="4"/>
  <c r="AB394" i="4"/>
  <c r="AB400" i="4"/>
  <c r="AB401" i="4"/>
  <c r="AB402" i="4"/>
  <c r="AB403" i="4"/>
  <c r="AB407" i="4"/>
  <c r="AB387" i="4"/>
  <c r="AB388" i="4"/>
  <c r="AB389" i="4"/>
  <c r="AB396" i="4"/>
  <c r="AB397" i="4"/>
  <c r="AB398" i="4"/>
  <c r="AB399" i="4"/>
  <c r="AB404" i="4"/>
  <c r="AB406" i="4"/>
  <c r="AB409" i="4"/>
  <c r="AB410" i="4"/>
  <c r="AB411" i="4"/>
  <c r="AB395" i="4"/>
  <c r="AB61" i="4"/>
  <c r="C58" i="2"/>
  <c r="G58" i="2"/>
  <c r="I58" i="2"/>
  <c r="J58" i="2"/>
  <c r="K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A58" i="2"/>
  <c r="AB58" i="2"/>
  <c r="D57" i="2"/>
  <c r="B205" i="4"/>
  <c r="D205" i="4"/>
  <c r="E287" i="5"/>
  <c r="E42" i="2"/>
  <c r="D42" i="2"/>
  <c r="AC58" i="2"/>
  <c r="F42" i="2"/>
  <c r="AD58" i="2"/>
  <c r="AE58" i="2"/>
  <c r="H57" i="2"/>
  <c r="H205" i="4"/>
  <c r="K287" i="5"/>
  <c r="H42" i="2"/>
  <c r="L230" i="5"/>
  <c r="AF58" i="2"/>
  <c r="AG58" i="2"/>
  <c r="AH58" i="2"/>
  <c r="AI58" i="2"/>
  <c r="AJ58" i="2"/>
  <c r="N230" i="5"/>
  <c r="O230" i="5"/>
  <c r="AK58" i="2"/>
  <c r="M57" i="2"/>
  <c r="M205" i="4"/>
  <c r="R287" i="5"/>
  <c r="L57" i="2"/>
  <c r="L205" i="4"/>
  <c r="Q287" i="5"/>
  <c r="M42" i="2"/>
  <c r="L42" i="2"/>
  <c r="AL58" i="2"/>
  <c r="AM58" i="2"/>
  <c r="AZ266" i="1"/>
  <c r="BA266" i="1"/>
  <c r="BB266" i="1"/>
  <c r="CH266" i="1"/>
  <c r="CI266" i="1"/>
  <c r="CJ266" i="1"/>
  <c r="CK266" i="1"/>
  <c r="CL266" i="1"/>
  <c r="CM266" i="1"/>
  <c r="CN266" i="1"/>
  <c r="CO266" i="1"/>
  <c r="CP266" i="1"/>
  <c r="CQ266" i="1"/>
  <c r="CR266" i="1"/>
  <c r="CS266" i="1"/>
  <c r="BV266" i="1"/>
  <c r="BW266" i="1"/>
  <c r="BX266" i="1"/>
  <c r="BY266" i="1"/>
  <c r="BZ266" i="1"/>
  <c r="CA266" i="1"/>
  <c r="CB266" i="1"/>
  <c r="CC266" i="1"/>
  <c r="CD266" i="1"/>
  <c r="CE266" i="1"/>
  <c r="CF266" i="1"/>
  <c r="CG266" i="1"/>
  <c r="BC266" i="1"/>
  <c r="CT266" i="1"/>
  <c r="AZ265" i="1"/>
  <c r="BA265" i="1"/>
  <c r="BB265" i="1"/>
  <c r="CH265" i="1"/>
  <c r="CI265" i="1"/>
  <c r="CJ265" i="1"/>
  <c r="CK265" i="1"/>
  <c r="CL265" i="1"/>
  <c r="CM265" i="1"/>
  <c r="CN265" i="1"/>
  <c r="CO265" i="1"/>
  <c r="CP265" i="1"/>
  <c r="CQ265" i="1"/>
  <c r="CR265" i="1"/>
  <c r="CS265" i="1"/>
  <c r="BV265" i="1"/>
  <c r="BW265" i="1"/>
  <c r="BX265" i="1"/>
  <c r="BY265" i="1"/>
  <c r="BZ265" i="1"/>
  <c r="CA265" i="1"/>
  <c r="CB265" i="1"/>
  <c r="CC265" i="1"/>
  <c r="CD265" i="1"/>
  <c r="CE265" i="1"/>
  <c r="CF265" i="1"/>
  <c r="CG265" i="1"/>
  <c r="BC265" i="1"/>
  <c r="CT265" i="1"/>
  <c r="AZ6" i="1"/>
  <c r="BA6" i="1"/>
  <c r="BB6" i="1"/>
  <c r="CH6" i="1"/>
  <c r="CI6" i="1"/>
  <c r="CJ6" i="1"/>
  <c r="CK6" i="1"/>
  <c r="CL6" i="1"/>
  <c r="CM6" i="1"/>
  <c r="CN6" i="1"/>
  <c r="CO6" i="1"/>
  <c r="CP6" i="1"/>
  <c r="CQ6" i="1"/>
  <c r="CR6" i="1"/>
  <c r="CS6" i="1"/>
  <c r="BV6" i="1"/>
  <c r="BW6" i="1"/>
  <c r="BX6" i="1"/>
  <c r="BY6" i="1"/>
  <c r="BZ6" i="1"/>
  <c r="CA6" i="1"/>
  <c r="CB6" i="1"/>
  <c r="CC6" i="1"/>
  <c r="CD6" i="1"/>
  <c r="CE6" i="1"/>
  <c r="CF6" i="1"/>
  <c r="CG6" i="1"/>
  <c r="BC6" i="1"/>
  <c r="CT6" i="1"/>
  <c r="AZ23" i="1"/>
  <c r="BA23" i="1"/>
  <c r="BB23" i="1"/>
  <c r="CH23" i="1"/>
  <c r="CI23" i="1"/>
  <c r="CJ23" i="1"/>
  <c r="CK23" i="1"/>
  <c r="CL23" i="1"/>
  <c r="CM23" i="1"/>
  <c r="CN23" i="1"/>
  <c r="CO23" i="1"/>
  <c r="CP23" i="1"/>
  <c r="CQ23" i="1"/>
  <c r="CR23" i="1"/>
  <c r="CS23" i="1"/>
  <c r="BV23" i="1"/>
  <c r="BW23" i="1"/>
  <c r="BX23" i="1"/>
  <c r="BY23" i="1"/>
  <c r="BZ23" i="1"/>
  <c r="CA23" i="1"/>
  <c r="CB23" i="1"/>
  <c r="CC23" i="1"/>
  <c r="CD23" i="1"/>
  <c r="CE23" i="1"/>
  <c r="CF23" i="1"/>
  <c r="CG23" i="1"/>
  <c r="BC23" i="1"/>
  <c r="CT23" i="1"/>
  <c r="AZ233" i="1"/>
  <c r="BA233" i="1"/>
  <c r="BB233" i="1"/>
  <c r="CH233" i="1"/>
  <c r="CI233" i="1"/>
  <c r="CJ233" i="1"/>
  <c r="CK233" i="1"/>
  <c r="CL233" i="1"/>
  <c r="CM233" i="1"/>
  <c r="CN233" i="1"/>
  <c r="CO233" i="1"/>
  <c r="CP233" i="1"/>
  <c r="CQ233" i="1"/>
  <c r="CR233" i="1"/>
  <c r="CS233" i="1"/>
  <c r="BV233" i="1"/>
  <c r="BW233" i="1"/>
  <c r="BX233" i="1"/>
  <c r="BY233" i="1"/>
  <c r="BZ233" i="1"/>
  <c r="CA233" i="1"/>
  <c r="CB233" i="1"/>
  <c r="CC233" i="1"/>
  <c r="CD233" i="1"/>
  <c r="CE233" i="1"/>
  <c r="CF233" i="1"/>
  <c r="CG233" i="1"/>
  <c r="BC233" i="1"/>
  <c r="CT233" i="1"/>
  <c r="AZ202" i="1"/>
  <c r="BA202" i="1"/>
  <c r="BB202" i="1"/>
  <c r="CH202" i="1"/>
  <c r="CI202" i="1"/>
  <c r="CJ202" i="1"/>
  <c r="CK202" i="1"/>
  <c r="CL202" i="1"/>
  <c r="CM202" i="1"/>
  <c r="CN202" i="1"/>
  <c r="CO202" i="1"/>
  <c r="CP202" i="1"/>
  <c r="CQ202" i="1"/>
  <c r="CR202" i="1"/>
  <c r="CS202" i="1"/>
  <c r="BV202" i="1"/>
  <c r="BW202" i="1"/>
  <c r="BX202" i="1"/>
  <c r="BY202" i="1"/>
  <c r="BZ202" i="1"/>
  <c r="CA202" i="1"/>
  <c r="CB202" i="1"/>
  <c r="CC202" i="1"/>
  <c r="CD202" i="1"/>
  <c r="CE202" i="1"/>
  <c r="CF202" i="1"/>
  <c r="CG202" i="1"/>
  <c r="BC202" i="1"/>
  <c r="CT202" i="1"/>
  <c r="AZ201" i="1"/>
  <c r="BA201" i="1"/>
  <c r="BB201" i="1"/>
  <c r="CH201" i="1"/>
  <c r="CI201" i="1"/>
  <c r="CJ201" i="1"/>
  <c r="CK201" i="1"/>
  <c r="CL201" i="1"/>
  <c r="CM201" i="1"/>
  <c r="CN201" i="1"/>
  <c r="CO201" i="1"/>
  <c r="CP201" i="1"/>
  <c r="CQ201" i="1"/>
  <c r="CR201" i="1"/>
  <c r="CS201" i="1"/>
  <c r="BV201" i="1"/>
  <c r="BW201" i="1"/>
  <c r="BX201" i="1"/>
  <c r="BY201" i="1"/>
  <c r="BZ201" i="1"/>
  <c r="CA201" i="1"/>
  <c r="CB201" i="1"/>
  <c r="CC201" i="1"/>
  <c r="CD201" i="1"/>
  <c r="CE201" i="1"/>
  <c r="CF201" i="1"/>
  <c r="CG201" i="1"/>
  <c r="BC201" i="1"/>
  <c r="CT201" i="1"/>
  <c r="AZ132" i="1"/>
  <c r="BA132" i="1"/>
  <c r="BB132" i="1"/>
  <c r="CH132" i="1"/>
  <c r="CI132" i="1"/>
  <c r="CJ132" i="1"/>
  <c r="CK132" i="1"/>
  <c r="CL132" i="1"/>
  <c r="CM132" i="1"/>
  <c r="CN132" i="1"/>
  <c r="CO132" i="1"/>
  <c r="CP132" i="1"/>
  <c r="CQ132" i="1"/>
  <c r="CR132" i="1"/>
  <c r="CS132" i="1"/>
  <c r="BV132" i="1"/>
  <c r="BW132" i="1"/>
  <c r="BX132" i="1"/>
  <c r="BY132" i="1"/>
  <c r="BZ132" i="1"/>
  <c r="CA132" i="1"/>
  <c r="CB132" i="1"/>
  <c r="CC132" i="1"/>
  <c r="CD132" i="1"/>
  <c r="CE132" i="1"/>
  <c r="CF132" i="1"/>
  <c r="CG132" i="1"/>
  <c r="BC132" i="1"/>
  <c r="CT132" i="1"/>
  <c r="AZ131" i="1"/>
  <c r="BA131" i="1"/>
  <c r="BB131" i="1"/>
  <c r="CH131" i="1"/>
  <c r="CI131" i="1"/>
  <c r="CJ131" i="1"/>
  <c r="CK131" i="1"/>
  <c r="CL131" i="1"/>
  <c r="CM131" i="1"/>
  <c r="CN131" i="1"/>
  <c r="CO131" i="1"/>
  <c r="CP131" i="1"/>
  <c r="CQ131" i="1"/>
  <c r="CR131" i="1"/>
  <c r="CS131" i="1"/>
  <c r="BV131" i="1"/>
  <c r="BW131" i="1"/>
  <c r="BX131" i="1"/>
  <c r="BY131" i="1"/>
  <c r="BZ131" i="1"/>
  <c r="CA131" i="1"/>
  <c r="CB131" i="1"/>
  <c r="CC131" i="1"/>
  <c r="CD131" i="1"/>
  <c r="CE131" i="1"/>
  <c r="CF131" i="1"/>
  <c r="CG131" i="1"/>
  <c r="BC131" i="1"/>
  <c r="CT131" i="1"/>
  <c r="B381" i="6"/>
  <c r="C381" i="6"/>
  <c r="D381" i="6"/>
  <c r="V381" i="6"/>
  <c r="W381" i="6"/>
  <c r="X381" i="6"/>
  <c r="Y381" i="6"/>
  <c r="Z381" i="6"/>
  <c r="AA381" i="6"/>
  <c r="AB381" i="6"/>
  <c r="AC381" i="6"/>
  <c r="AD381" i="6"/>
  <c r="AE381" i="6"/>
  <c r="AF381" i="6"/>
  <c r="AG381" i="6"/>
  <c r="AH381" i="6"/>
  <c r="AZ325" i="1"/>
  <c r="BA325" i="1"/>
  <c r="BB325" i="1"/>
  <c r="CH325" i="1"/>
  <c r="CI325" i="1"/>
  <c r="CJ325" i="1"/>
  <c r="CK325" i="1"/>
  <c r="CL325" i="1"/>
  <c r="CM325" i="1"/>
  <c r="CN325" i="1"/>
  <c r="CO325" i="1"/>
  <c r="CP325" i="1"/>
  <c r="CQ325" i="1"/>
  <c r="CR325" i="1"/>
  <c r="CS325" i="1"/>
  <c r="BV325" i="1"/>
  <c r="BW325" i="1"/>
  <c r="BX325" i="1"/>
  <c r="BY325" i="1"/>
  <c r="BZ325" i="1"/>
  <c r="CA325" i="1"/>
  <c r="CB325" i="1"/>
  <c r="CC325" i="1"/>
  <c r="CD325" i="1"/>
  <c r="CE325" i="1"/>
  <c r="CF325" i="1"/>
  <c r="CG325" i="1"/>
  <c r="BC325" i="1"/>
  <c r="CT325" i="1"/>
  <c r="H381" i="5"/>
  <c r="H53" i="2"/>
  <c r="B380" i="4"/>
  <c r="H380" i="4"/>
  <c r="K381" i="5"/>
  <c r="F45" i="2"/>
  <c r="B381" i="5"/>
  <c r="C52" i="2"/>
  <c r="C381" i="4"/>
  <c r="C53" i="2"/>
  <c r="C380" i="4"/>
  <c r="C381" i="5"/>
  <c r="D52" i="2"/>
  <c r="D381" i="4"/>
  <c r="D53" i="2"/>
  <c r="D380" i="4"/>
  <c r="E381" i="5"/>
  <c r="F381" i="5"/>
  <c r="I381" i="5"/>
  <c r="H52" i="2"/>
  <c r="H381" i="4"/>
  <c r="I52" i="2"/>
  <c r="I381" i="4"/>
  <c r="I53" i="2"/>
  <c r="I380" i="4"/>
  <c r="L381" i="5"/>
  <c r="J52" i="2"/>
  <c r="J381" i="4"/>
  <c r="J53" i="2"/>
  <c r="J380" i="4"/>
  <c r="N381" i="5"/>
  <c r="K52" i="2"/>
  <c r="K381" i="4"/>
  <c r="K53" i="2"/>
  <c r="K380" i="4"/>
  <c r="O381" i="5"/>
  <c r="L52" i="2"/>
  <c r="L381" i="4"/>
  <c r="L53" i="2"/>
  <c r="L380" i="4"/>
  <c r="Q381" i="5"/>
  <c r="M52" i="2"/>
  <c r="M381" i="4"/>
  <c r="M53" i="2"/>
  <c r="M380" i="4"/>
  <c r="R381" i="5"/>
  <c r="N52" i="2"/>
  <c r="N381" i="4"/>
  <c r="N53" i="2"/>
  <c r="N380" i="4"/>
  <c r="T381" i="5"/>
  <c r="O52" i="2"/>
  <c r="O381" i="4"/>
  <c r="O53" i="2"/>
  <c r="O380" i="4"/>
  <c r="U381" i="5"/>
  <c r="P52" i="2"/>
  <c r="P381" i="4"/>
  <c r="P53" i="2"/>
  <c r="P380" i="4"/>
  <c r="W381" i="5"/>
  <c r="Q52" i="2"/>
  <c r="Q381" i="4"/>
  <c r="Q53" i="2"/>
  <c r="Q380" i="4"/>
  <c r="X381" i="5"/>
  <c r="Z381" i="5"/>
  <c r="S52" i="2"/>
  <c r="S381" i="4"/>
  <c r="S53" i="2"/>
  <c r="S380" i="4"/>
  <c r="AA381" i="5"/>
  <c r="T53" i="2"/>
  <c r="T380" i="4"/>
  <c r="AC381" i="5"/>
  <c r="U53" i="2"/>
  <c r="U380" i="4"/>
  <c r="AD381" i="5"/>
  <c r="V52" i="2"/>
  <c r="V381" i="4"/>
  <c r="V53" i="2"/>
  <c r="V380" i="4"/>
  <c r="AF381" i="5"/>
  <c r="W52" i="2"/>
  <c r="W381" i="4"/>
  <c r="W53" i="2"/>
  <c r="W380" i="4"/>
  <c r="AG381" i="5"/>
  <c r="X52" i="2"/>
  <c r="X381" i="4"/>
  <c r="X53" i="2"/>
  <c r="X380" i="4"/>
  <c r="AI381" i="5"/>
  <c r="Y52" i="2"/>
  <c r="Y381" i="4"/>
  <c r="Y53" i="2"/>
  <c r="Y380" i="4"/>
  <c r="AJ381" i="5"/>
  <c r="Z52" i="2"/>
  <c r="Z381" i="4"/>
  <c r="Z53" i="2"/>
  <c r="Z380" i="4"/>
  <c r="AL381" i="5"/>
  <c r="AM381" i="5"/>
  <c r="AN381" i="5"/>
  <c r="AO381" i="5"/>
  <c r="AP381" i="5"/>
  <c r="AQ381" i="5"/>
  <c r="AR381" i="5"/>
  <c r="AS381" i="5"/>
  <c r="AT381" i="5"/>
  <c r="AU381" i="5"/>
  <c r="AV381" i="5"/>
  <c r="AW381" i="5"/>
  <c r="AX381" i="5"/>
  <c r="AY381" i="5"/>
  <c r="AZ381" i="5"/>
  <c r="BA381" i="5"/>
  <c r="BB381" i="5"/>
  <c r="BC381" i="5"/>
  <c r="BD381" i="5"/>
  <c r="BE381" i="5"/>
  <c r="D410" i="9"/>
  <c r="E410" i="9"/>
  <c r="F410" i="9"/>
  <c r="G410" i="9"/>
  <c r="E52" i="2"/>
  <c r="E53" i="2"/>
  <c r="E380" i="4"/>
  <c r="F52" i="2"/>
  <c r="F53" i="2"/>
  <c r="F380" i="4"/>
  <c r="R52" i="2"/>
  <c r="R53" i="2"/>
  <c r="R380" i="4"/>
  <c r="AA380" i="4"/>
  <c r="AC380" i="4"/>
  <c r="AD380" i="4"/>
  <c r="AE380" i="4"/>
  <c r="AF380" i="4"/>
  <c r="AG380" i="4"/>
  <c r="AH380" i="4"/>
  <c r="AI380" i="4"/>
  <c r="AJ380" i="4"/>
  <c r="AK380" i="4"/>
  <c r="AL380" i="4"/>
  <c r="G53" i="2"/>
  <c r="AA53" i="2"/>
  <c r="AB53" i="2"/>
  <c r="E380" i="5"/>
  <c r="AC53" i="2"/>
  <c r="AD53" i="2"/>
  <c r="AE53" i="2"/>
  <c r="L380" i="5"/>
  <c r="K380" i="5"/>
  <c r="AF53" i="2"/>
  <c r="AG53" i="2"/>
  <c r="AH53" i="2"/>
  <c r="AI53" i="2"/>
  <c r="AJ53" i="2"/>
  <c r="O380" i="5"/>
  <c r="N380" i="5"/>
  <c r="AK53" i="2"/>
  <c r="R380" i="5"/>
  <c r="Q380" i="5"/>
  <c r="AL53" i="2"/>
  <c r="AM53" i="2"/>
  <c r="AZ324" i="1"/>
  <c r="BA324" i="1"/>
  <c r="BB324" i="1"/>
  <c r="CH324" i="1"/>
  <c r="CI324" i="1"/>
  <c r="CJ324" i="1"/>
  <c r="CK324" i="1"/>
  <c r="CL324" i="1"/>
  <c r="CM324" i="1"/>
  <c r="CN324" i="1"/>
  <c r="CO324" i="1"/>
  <c r="CP324" i="1"/>
  <c r="CQ324" i="1"/>
  <c r="CR324" i="1"/>
  <c r="CS324" i="1"/>
  <c r="BV324" i="1"/>
  <c r="BW324" i="1"/>
  <c r="BX324" i="1"/>
  <c r="BY324" i="1"/>
  <c r="BZ324" i="1"/>
  <c r="CA324" i="1"/>
  <c r="CB324" i="1"/>
  <c r="CC324" i="1"/>
  <c r="CD324" i="1"/>
  <c r="CE324" i="1"/>
  <c r="CF324" i="1"/>
  <c r="CG324" i="1"/>
  <c r="BC324" i="1"/>
  <c r="CT324" i="1"/>
  <c r="AZ323" i="1"/>
  <c r="BA323" i="1"/>
  <c r="BB323" i="1"/>
  <c r="CH323" i="1"/>
  <c r="CI323" i="1"/>
  <c r="CJ323" i="1"/>
  <c r="CK323" i="1"/>
  <c r="CL323" i="1"/>
  <c r="CM323" i="1"/>
  <c r="CN323" i="1"/>
  <c r="CO323" i="1"/>
  <c r="CP323" i="1"/>
  <c r="CQ323" i="1"/>
  <c r="CR323" i="1"/>
  <c r="CS323" i="1"/>
  <c r="BV323" i="1"/>
  <c r="BW323" i="1"/>
  <c r="BX323" i="1"/>
  <c r="BY323" i="1"/>
  <c r="BZ323" i="1"/>
  <c r="CA323" i="1"/>
  <c r="CB323" i="1"/>
  <c r="CC323" i="1"/>
  <c r="CD323" i="1"/>
  <c r="CE323" i="1"/>
  <c r="CF323" i="1"/>
  <c r="CG323" i="1"/>
  <c r="BC323" i="1"/>
  <c r="CT323" i="1"/>
  <c r="D44" i="7"/>
  <c r="E44" i="7"/>
  <c r="AZ63" i="1"/>
  <c r="BA63" i="1"/>
  <c r="BB63" i="1"/>
  <c r="CH63" i="1"/>
  <c r="CI63" i="1"/>
  <c r="CJ63" i="1"/>
  <c r="CK63" i="1"/>
  <c r="CL63" i="1"/>
  <c r="CM63" i="1"/>
  <c r="CN63" i="1"/>
  <c r="CO63" i="1"/>
  <c r="CP63" i="1"/>
  <c r="CQ63" i="1"/>
  <c r="CR63" i="1"/>
  <c r="CS63" i="1"/>
  <c r="BV63" i="1"/>
  <c r="BW63" i="1"/>
  <c r="BX63" i="1"/>
  <c r="BY63" i="1"/>
  <c r="BZ63" i="1"/>
  <c r="CA63" i="1"/>
  <c r="CB63" i="1"/>
  <c r="CC63" i="1"/>
  <c r="CD63" i="1"/>
  <c r="CE63" i="1"/>
  <c r="CF63" i="1"/>
  <c r="CG63" i="1"/>
  <c r="BC63" i="1"/>
  <c r="CT63" i="1"/>
  <c r="AZ170" i="1"/>
  <c r="BA170" i="1"/>
  <c r="BB170" i="1"/>
  <c r="CH170" i="1"/>
  <c r="CI170" i="1"/>
  <c r="CJ170" i="1"/>
  <c r="CK170" i="1"/>
  <c r="CL170" i="1"/>
  <c r="CM170" i="1"/>
  <c r="CN170" i="1"/>
  <c r="CO170" i="1"/>
  <c r="CP170" i="1"/>
  <c r="CQ170" i="1"/>
  <c r="CR170" i="1"/>
  <c r="CS170" i="1"/>
  <c r="BV170" i="1"/>
  <c r="BW170" i="1"/>
  <c r="BX170" i="1"/>
  <c r="BY170" i="1"/>
  <c r="BZ170" i="1"/>
  <c r="CA170" i="1"/>
  <c r="CB170" i="1"/>
  <c r="CC170" i="1"/>
  <c r="CD170" i="1"/>
  <c r="CE170" i="1"/>
  <c r="CF170" i="1"/>
  <c r="CG170" i="1"/>
  <c r="BC170" i="1"/>
  <c r="CT170" i="1"/>
  <c r="C57" i="2"/>
  <c r="E57" i="2"/>
  <c r="F57" i="2"/>
  <c r="G57" i="2"/>
  <c r="I57" i="2"/>
  <c r="J57" i="2"/>
  <c r="K57" i="2"/>
  <c r="N57" i="2"/>
  <c r="O57" i="2"/>
  <c r="P57" i="2"/>
  <c r="Q57" i="2"/>
  <c r="R57" i="2"/>
  <c r="S57" i="2"/>
  <c r="T57" i="2"/>
  <c r="U57" i="2"/>
  <c r="V57" i="2"/>
  <c r="W57" i="2"/>
  <c r="X57" i="2"/>
  <c r="Y57" i="2"/>
  <c r="Z57" i="2"/>
  <c r="AA57" i="2"/>
  <c r="AB57" i="2"/>
  <c r="E56" i="2"/>
  <c r="B48" i="4"/>
  <c r="E48" i="4"/>
  <c r="F78" i="5"/>
  <c r="D56" i="2"/>
  <c r="D48" i="4"/>
  <c r="E78" i="5"/>
  <c r="D40" i="2"/>
  <c r="F287" i="5"/>
  <c r="AC57" i="2"/>
  <c r="I78" i="5"/>
  <c r="F56" i="2"/>
  <c r="F48" i="4"/>
  <c r="H78" i="5"/>
  <c r="H287" i="5"/>
  <c r="I287" i="5"/>
  <c r="AD57" i="2"/>
  <c r="AE57" i="2"/>
  <c r="H56" i="2"/>
  <c r="H48" i="4"/>
  <c r="K78" i="5"/>
  <c r="H40" i="2"/>
  <c r="L287" i="5"/>
  <c r="AF57" i="2"/>
  <c r="AG57" i="2"/>
  <c r="AH57" i="2"/>
  <c r="AI57" i="2"/>
  <c r="AJ57" i="2"/>
  <c r="N287" i="5"/>
  <c r="O287" i="5"/>
  <c r="AK57" i="2"/>
  <c r="M56" i="2"/>
  <c r="M48" i="4"/>
  <c r="R78" i="5"/>
  <c r="L56" i="2"/>
  <c r="L48" i="4"/>
  <c r="Q78" i="5"/>
  <c r="M40" i="2"/>
  <c r="L40" i="2"/>
  <c r="AL57" i="2"/>
  <c r="AM57" i="2"/>
  <c r="AZ183" i="1"/>
  <c r="BA183" i="1"/>
  <c r="BB183" i="1"/>
  <c r="CH183" i="1"/>
  <c r="CI183" i="1"/>
  <c r="CJ183" i="1"/>
  <c r="CK183" i="1"/>
  <c r="CL183" i="1"/>
  <c r="CM183" i="1"/>
  <c r="CN183" i="1"/>
  <c r="CO183" i="1"/>
  <c r="CP183" i="1"/>
  <c r="CQ183" i="1"/>
  <c r="CR183" i="1"/>
  <c r="CS183" i="1"/>
  <c r="BV183" i="1"/>
  <c r="BW183" i="1"/>
  <c r="BX183" i="1"/>
  <c r="BY183" i="1"/>
  <c r="BZ183" i="1"/>
  <c r="CA183" i="1"/>
  <c r="CB183" i="1"/>
  <c r="CC183" i="1"/>
  <c r="CD183" i="1"/>
  <c r="CE183" i="1"/>
  <c r="CF183" i="1"/>
  <c r="CG183" i="1"/>
  <c r="BC183" i="1"/>
  <c r="CT183" i="1"/>
  <c r="AZ182" i="1"/>
  <c r="BA182" i="1"/>
  <c r="BB182" i="1"/>
  <c r="CH182" i="1"/>
  <c r="CI182" i="1"/>
  <c r="CJ182" i="1"/>
  <c r="CK182" i="1"/>
  <c r="CL182" i="1"/>
  <c r="CM182" i="1"/>
  <c r="CN182" i="1"/>
  <c r="CO182" i="1"/>
  <c r="CP182" i="1"/>
  <c r="CQ182" i="1"/>
  <c r="CR182" i="1"/>
  <c r="CS182" i="1"/>
  <c r="BV182" i="1"/>
  <c r="BW182" i="1"/>
  <c r="BX182" i="1"/>
  <c r="BY182" i="1"/>
  <c r="BZ182" i="1"/>
  <c r="CA182" i="1"/>
  <c r="CB182" i="1"/>
  <c r="CC182" i="1"/>
  <c r="CD182" i="1"/>
  <c r="CE182" i="1"/>
  <c r="CF182" i="1"/>
  <c r="CG182" i="1"/>
  <c r="BC182" i="1"/>
  <c r="CT182" i="1"/>
  <c r="AZ181" i="1"/>
  <c r="BA181" i="1"/>
  <c r="BB181" i="1"/>
  <c r="CH181" i="1"/>
  <c r="CI181" i="1"/>
  <c r="CJ181" i="1"/>
  <c r="CK181" i="1"/>
  <c r="CL181" i="1"/>
  <c r="CM181" i="1"/>
  <c r="CN181" i="1"/>
  <c r="CO181" i="1"/>
  <c r="CP181" i="1"/>
  <c r="CQ181" i="1"/>
  <c r="CR181" i="1"/>
  <c r="CS181" i="1"/>
  <c r="BV181" i="1"/>
  <c r="BW181" i="1"/>
  <c r="BX181" i="1"/>
  <c r="BY181" i="1"/>
  <c r="BZ181" i="1"/>
  <c r="CA181" i="1"/>
  <c r="CB181" i="1"/>
  <c r="CC181" i="1"/>
  <c r="CD181" i="1"/>
  <c r="CE181" i="1"/>
  <c r="CF181" i="1"/>
  <c r="CG181" i="1"/>
  <c r="BC181" i="1"/>
  <c r="CT181" i="1"/>
  <c r="AZ227" i="1"/>
  <c r="BA227" i="1"/>
  <c r="BB227" i="1"/>
  <c r="CH227" i="1"/>
  <c r="CI227" i="1"/>
  <c r="CJ227" i="1"/>
  <c r="CK227" i="1"/>
  <c r="CL227" i="1"/>
  <c r="CM227" i="1"/>
  <c r="CN227" i="1"/>
  <c r="CO227" i="1"/>
  <c r="CP227" i="1"/>
  <c r="CQ227" i="1"/>
  <c r="CR227" i="1"/>
  <c r="CS227" i="1"/>
  <c r="BV227" i="1"/>
  <c r="BW227" i="1"/>
  <c r="BX227" i="1"/>
  <c r="BY227" i="1"/>
  <c r="BZ227" i="1"/>
  <c r="CA227" i="1"/>
  <c r="CB227" i="1"/>
  <c r="CC227" i="1"/>
  <c r="CD227" i="1"/>
  <c r="CE227" i="1"/>
  <c r="CF227" i="1"/>
  <c r="CG227" i="1"/>
  <c r="BC227" i="1"/>
  <c r="CT227" i="1"/>
  <c r="AZ226" i="1"/>
  <c r="BA226" i="1"/>
  <c r="BB226" i="1"/>
  <c r="CH226" i="1"/>
  <c r="CI226" i="1"/>
  <c r="CJ226" i="1"/>
  <c r="CK226" i="1"/>
  <c r="CL226" i="1"/>
  <c r="CM226" i="1"/>
  <c r="CN226" i="1"/>
  <c r="CO226" i="1"/>
  <c r="CP226" i="1"/>
  <c r="CQ226" i="1"/>
  <c r="CR226" i="1"/>
  <c r="CS226" i="1"/>
  <c r="BV226" i="1"/>
  <c r="BW226" i="1"/>
  <c r="BX226" i="1"/>
  <c r="BY226" i="1"/>
  <c r="BZ226" i="1"/>
  <c r="CA226" i="1"/>
  <c r="CB226" i="1"/>
  <c r="CC226" i="1"/>
  <c r="CD226" i="1"/>
  <c r="CE226" i="1"/>
  <c r="CF226" i="1"/>
  <c r="CG226" i="1"/>
  <c r="BC226" i="1"/>
  <c r="CT226" i="1"/>
  <c r="AZ225" i="1"/>
  <c r="BA225" i="1"/>
  <c r="BB225" i="1"/>
  <c r="CH225" i="1"/>
  <c r="CI225" i="1"/>
  <c r="CJ225" i="1"/>
  <c r="CK225" i="1"/>
  <c r="CL225" i="1"/>
  <c r="CM225" i="1"/>
  <c r="CN225" i="1"/>
  <c r="CO225" i="1"/>
  <c r="CP225" i="1"/>
  <c r="CQ225" i="1"/>
  <c r="CR225" i="1"/>
  <c r="CS225" i="1"/>
  <c r="BV225" i="1"/>
  <c r="BW225" i="1"/>
  <c r="BX225" i="1"/>
  <c r="BY225" i="1"/>
  <c r="BZ225" i="1"/>
  <c r="CA225" i="1"/>
  <c r="CB225" i="1"/>
  <c r="CC225" i="1"/>
  <c r="CD225" i="1"/>
  <c r="CE225" i="1"/>
  <c r="CF225" i="1"/>
  <c r="CG225" i="1"/>
  <c r="BC225" i="1"/>
  <c r="CT225" i="1"/>
  <c r="AZ224" i="1"/>
  <c r="BA224" i="1"/>
  <c r="BB224" i="1"/>
  <c r="CH224" i="1"/>
  <c r="CI224" i="1"/>
  <c r="CJ224" i="1"/>
  <c r="CK224" i="1"/>
  <c r="CL224" i="1"/>
  <c r="CM224" i="1"/>
  <c r="CN224" i="1"/>
  <c r="CO224" i="1"/>
  <c r="CP224" i="1"/>
  <c r="CQ224" i="1"/>
  <c r="CR224" i="1"/>
  <c r="CS224" i="1"/>
  <c r="BV224" i="1"/>
  <c r="BW224" i="1"/>
  <c r="BX224" i="1"/>
  <c r="BY224" i="1"/>
  <c r="BZ224" i="1"/>
  <c r="CA224" i="1"/>
  <c r="CB224" i="1"/>
  <c r="CC224" i="1"/>
  <c r="CD224" i="1"/>
  <c r="CE224" i="1"/>
  <c r="CF224" i="1"/>
  <c r="CG224" i="1"/>
  <c r="BC224" i="1"/>
  <c r="CT224" i="1"/>
  <c r="AZ223" i="1"/>
  <c r="BA223" i="1"/>
  <c r="BB223" i="1"/>
  <c r="CH223" i="1"/>
  <c r="CI223" i="1"/>
  <c r="CJ223" i="1"/>
  <c r="CK223" i="1"/>
  <c r="CL223" i="1"/>
  <c r="CM223" i="1"/>
  <c r="CN223" i="1"/>
  <c r="CO223" i="1"/>
  <c r="CP223" i="1"/>
  <c r="CQ223" i="1"/>
  <c r="CR223" i="1"/>
  <c r="CS223" i="1"/>
  <c r="BV223" i="1"/>
  <c r="BW223" i="1"/>
  <c r="BX223" i="1"/>
  <c r="BY223" i="1"/>
  <c r="BZ223" i="1"/>
  <c r="CA223" i="1"/>
  <c r="CB223" i="1"/>
  <c r="CC223" i="1"/>
  <c r="CD223" i="1"/>
  <c r="CE223" i="1"/>
  <c r="CF223" i="1"/>
  <c r="CG223" i="1"/>
  <c r="BC223" i="1"/>
  <c r="CT223" i="1"/>
  <c r="AZ222" i="1"/>
  <c r="BA222" i="1"/>
  <c r="BB222" i="1"/>
  <c r="CH222" i="1"/>
  <c r="CI222" i="1"/>
  <c r="CJ222" i="1"/>
  <c r="CK222" i="1"/>
  <c r="CL222" i="1"/>
  <c r="CM222" i="1"/>
  <c r="CN222" i="1"/>
  <c r="CO222" i="1"/>
  <c r="CP222" i="1"/>
  <c r="CQ222" i="1"/>
  <c r="CR222" i="1"/>
  <c r="CS222" i="1"/>
  <c r="BV222" i="1"/>
  <c r="BW222" i="1"/>
  <c r="BX222" i="1"/>
  <c r="BY222" i="1"/>
  <c r="BZ222" i="1"/>
  <c r="CA222" i="1"/>
  <c r="CB222" i="1"/>
  <c r="CC222" i="1"/>
  <c r="CD222" i="1"/>
  <c r="CE222" i="1"/>
  <c r="CF222" i="1"/>
  <c r="CG222" i="1"/>
  <c r="BC222" i="1"/>
  <c r="CT222" i="1"/>
  <c r="AZ221" i="1"/>
  <c r="BA221" i="1"/>
  <c r="BB221" i="1"/>
  <c r="CH221" i="1"/>
  <c r="CI221" i="1"/>
  <c r="CJ221" i="1"/>
  <c r="CK221" i="1"/>
  <c r="CL221" i="1"/>
  <c r="CM221" i="1"/>
  <c r="CN221" i="1"/>
  <c r="CO221" i="1"/>
  <c r="CP221" i="1"/>
  <c r="CQ221" i="1"/>
  <c r="CR221" i="1"/>
  <c r="CS221" i="1"/>
  <c r="BV221" i="1"/>
  <c r="BW221" i="1"/>
  <c r="BX221" i="1"/>
  <c r="BY221" i="1"/>
  <c r="BZ221" i="1"/>
  <c r="CA221" i="1"/>
  <c r="CB221" i="1"/>
  <c r="CC221" i="1"/>
  <c r="CD221" i="1"/>
  <c r="CE221" i="1"/>
  <c r="CF221" i="1"/>
  <c r="CG221" i="1"/>
  <c r="BC221" i="1"/>
  <c r="CT221" i="1"/>
  <c r="AZ220" i="1"/>
  <c r="BA220" i="1"/>
  <c r="BB220" i="1"/>
  <c r="CH220" i="1"/>
  <c r="CI220" i="1"/>
  <c r="CJ220" i="1"/>
  <c r="CK220" i="1"/>
  <c r="CL220" i="1"/>
  <c r="CM220" i="1"/>
  <c r="CN220" i="1"/>
  <c r="CO220" i="1"/>
  <c r="CP220" i="1"/>
  <c r="CQ220" i="1"/>
  <c r="CR220" i="1"/>
  <c r="CS220" i="1"/>
  <c r="BV220" i="1"/>
  <c r="BW220" i="1"/>
  <c r="BX220" i="1"/>
  <c r="BY220" i="1"/>
  <c r="BZ220" i="1"/>
  <c r="CA220" i="1"/>
  <c r="CB220" i="1"/>
  <c r="CC220" i="1"/>
  <c r="CD220" i="1"/>
  <c r="CE220" i="1"/>
  <c r="CF220" i="1"/>
  <c r="CG220" i="1"/>
  <c r="BC220" i="1"/>
  <c r="CT220" i="1"/>
  <c r="X54" i="2"/>
  <c r="B257" i="4"/>
  <c r="X257" i="4"/>
  <c r="X56" i="2"/>
  <c r="AK143" i="4"/>
  <c r="AK175" i="4"/>
  <c r="AK117" i="4"/>
  <c r="AK128" i="4"/>
  <c r="AK141" i="4"/>
  <c r="AK84" i="4"/>
  <c r="AK137" i="4"/>
  <c r="AK83" i="4"/>
  <c r="AK249" i="4"/>
  <c r="AK149" i="4"/>
  <c r="AK184" i="4"/>
  <c r="AK174" i="4"/>
  <c r="AK182" i="4"/>
  <c r="AK183" i="4"/>
  <c r="AK82" i="4"/>
  <c r="AK270" i="4"/>
  <c r="AK273" i="4"/>
  <c r="AK23" i="4"/>
  <c r="AK152" i="4"/>
  <c r="AK123" i="4"/>
  <c r="AK139" i="4"/>
  <c r="AK6" i="4"/>
  <c r="AK18" i="4"/>
  <c r="AK7" i="4"/>
  <c r="AK102" i="4"/>
  <c r="AK38" i="4"/>
  <c r="AK263" i="4"/>
  <c r="AK264" i="4"/>
  <c r="AK148" i="4"/>
  <c r="AK165" i="4"/>
  <c r="AK278" i="4"/>
  <c r="AK280" i="4"/>
  <c r="AK253" i="4"/>
  <c r="AK106" i="4"/>
  <c r="AK279" i="4"/>
  <c r="AK277" i="4"/>
  <c r="AK281" i="4"/>
  <c r="AK282" i="4"/>
  <c r="AK283" i="4"/>
  <c r="AK16" i="4"/>
  <c r="AK126" i="4"/>
  <c r="AK146" i="4"/>
  <c r="AK4" i="4"/>
  <c r="AK3" i="4"/>
  <c r="AK17" i="4"/>
  <c r="AK2" i="4"/>
  <c r="AK11" i="4"/>
  <c r="AK28" i="4"/>
  <c r="AK75" i="4"/>
  <c r="AK29" i="4"/>
  <c r="AK32" i="4"/>
  <c r="AK157" i="4"/>
  <c r="AK33" i="4"/>
  <c r="AK30" i="4"/>
  <c r="AK31" i="4"/>
  <c r="AK131" i="4"/>
  <c r="AK162" i="4"/>
  <c r="AK163" i="4"/>
  <c r="AK164" i="4"/>
  <c r="AK89" i="4"/>
  <c r="AK171" i="4"/>
  <c r="AK285" i="4"/>
  <c r="AK120" i="4"/>
  <c r="AK222" i="4"/>
  <c r="AK223" i="4"/>
  <c r="AK224" i="4"/>
  <c r="AK226" i="4"/>
  <c r="AK227" i="4"/>
  <c r="AK158" i="4"/>
  <c r="AK121" i="4"/>
  <c r="AK166" i="4"/>
  <c r="AK167" i="4"/>
  <c r="AK213" i="4"/>
  <c r="AK215" i="4"/>
  <c r="AK20" i="4"/>
  <c r="AK66" i="4"/>
  <c r="AK96" i="4"/>
  <c r="AK111" i="4"/>
  <c r="AK214" i="4"/>
  <c r="AK225" i="4"/>
  <c r="AK109" i="4"/>
  <c r="AK150" i="4"/>
  <c r="AK290" i="4"/>
  <c r="AK65" i="4"/>
  <c r="AK232" i="4"/>
  <c r="AK284" i="4"/>
  <c r="AK142" i="4"/>
  <c r="AK107" i="4"/>
  <c r="AK35" i="4"/>
  <c r="AK5" i="4"/>
  <c r="AK36" i="4"/>
  <c r="AK248" i="4"/>
  <c r="AK37" i="4"/>
  <c r="AK124" i="4"/>
  <c r="AK127" i="4"/>
  <c r="AK12" i="4"/>
  <c r="AK76" i="4"/>
  <c r="AK159" i="4"/>
  <c r="AK77" i="4"/>
  <c r="AK181" i="4"/>
  <c r="AK266" i="4"/>
  <c r="AK252" i="4"/>
  <c r="AK179" i="4"/>
  <c r="AK267" i="4"/>
  <c r="AK180" i="4"/>
  <c r="AK265" i="4"/>
  <c r="AK21" i="4"/>
  <c r="AK269" i="4"/>
  <c r="AK10" i="4"/>
  <c r="AK9" i="4"/>
  <c r="AK145" i="4"/>
  <c r="AK160" i="4"/>
  <c r="AK8" i="4"/>
  <c r="AK40" i="4"/>
  <c r="AK39" i="4"/>
  <c r="AK95" i="4"/>
  <c r="AK185" i="4"/>
  <c r="AK186" i="4"/>
  <c r="AK187" i="4"/>
  <c r="AK188" i="4"/>
  <c r="AK64" i="4"/>
  <c r="AK237" i="4"/>
  <c r="AK122" i="4"/>
  <c r="AK90" i="4"/>
  <c r="AK274" i="4"/>
  <c r="AK104" i="4"/>
  <c r="AK200" i="4"/>
  <c r="AK201" i="4"/>
  <c r="AK218" i="4"/>
  <c r="AK219" i="4"/>
  <c r="AK220" i="4"/>
  <c r="AK221" i="4"/>
  <c r="AK268" i="4"/>
  <c r="AK271" i="4"/>
  <c r="AK91" i="4"/>
  <c r="AK92" i="4"/>
  <c r="AK272" i="4"/>
  <c r="AK22" i="4"/>
  <c r="AK98" i="4"/>
  <c r="AK296" i="4"/>
  <c r="AK114" i="4"/>
  <c r="AK204" i="4"/>
  <c r="AK14" i="4"/>
  <c r="AK34" i="4"/>
  <c r="AK298" i="4"/>
  <c r="AK245" i="4"/>
  <c r="AK73" i="4"/>
  <c r="AK177" i="4"/>
  <c r="AK178" i="4"/>
  <c r="AK100" i="4"/>
  <c r="AK189" i="4"/>
  <c r="AK99" i="4"/>
  <c r="AK176" i="4"/>
  <c r="AK244" i="4"/>
  <c r="AK286" i="4"/>
  <c r="AK216" i="4"/>
  <c r="AK217" i="4"/>
  <c r="AK193" i="4"/>
  <c r="AK206" i="4"/>
  <c r="AK81" i="4"/>
  <c r="AK134" i="4"/>
  <c r="AK190" i="4"/>
  <c r="AK191" i="4"/>
  <c r="AK192" i="4"/>
  <c r="AK207" i="4"/>
  <c r="AK194" i="4"/>
  <c r="AK196" i="4"/>
  <c r="AK205" i="4"/>
  <c r="AK195" i="4"/>
  <c r="AK254" i="4"/>
  <c r="AK103" i="4"/>
  <c r="AK138" i="4"/>
  <c r="AK144" i="4"/>
  <c r="AK85" i="4"/>
  <c r="AK288" i="4"/>
  <c r="AK289" i="4"/>
  <c r="AK251" i="4"/>
  <c r="AK19" i="4"/>
  <c r="AK13" i="4"/>
  <c r="AK15" i="4"/>
  <c r="AK50" i="4"/>
  <c r="AK93" i="4"/>
  <c r="AK208" i="4"/>
  <c r="AK49" i="4"/>
  <c r="AK48" i="4"/>
  <c r="AK116" i="4"/>
  <c r="AK247" i="4"/>
  <c r="AK47" i="4"/>
  <c r="AK292" i="4"/>
  <c r="AK212" i="4"/>
  <c r="AK243" i="4"/>
  <c r="AK154" i="4"/>
  <c r="AK105" i="4"/>
  <c r="AK63" i="4"/>
  <c r="AK294" i="4"/>
  <c r="AK295" i="4"/>
  <c r="AK153" i="4"/>
  <c r="AK197" i="4"/>
  <c r="AK246" i="4"/>
  <c r="AK133" i="4"/>
  <c r="AK199" i="4"/>
  <c r="AK46" i="4"/>
  <c r="AK202" i="4"/>
  <c r="AK203" i="4"/>
  <c r="AK260" i="4"/>
  <c r="AK198" i="4"/>
  <c r="AK74" i="4"/>
  <c r="AK86" i="4"/>
  <c r="AK130" i="4"/>
  <c r="AK230" i="4"/>
  <c r="AK129" i="4"/>
  <c r="AK147" i="4"/>
  <c r="AK94" i="4"/>
  <c r="AK161" i="4"/>
  <c r="AK229" i="4"/>
  <c r="AK228" i="4"/>
  <c r="AK87" i="4"/>
  <c r="AK88" i="4"/>
  <c r="AK259" i="4"/>
  <c r="AK231" i="4"/>
  <c r="AK235" i="4"/>
  <c r="AK118" i="4"/>
  <c r="AK256" i="4"/>
  <c r="AK43" i="4"/>
  <c r="AK234" i="4"/>
  <c r="AK132" i="4"/>
  <c r="AK135" i="4"/>
  <c r="AK209" i="4"/>
  <c r="AK210" i="4"/>
  <c r="AK211" i="4"/>
  <c r="AK61" i="4"/>
  <c r="AK25" i="4"/>
  <c r="AK51" i="4"/>
  <c r="AK54" i="4"/>
  <c r="AK55" i="4"/>
  <c r="AK57" i="4"/>
  <c r="AK59" i="4"/>
  <c r="AK67" i="4"/>
  <c r="AK112" i="4"/>
  <c r="AK291" i="4"/>
  <c r="AK53" i="4"/>
  <c r="AK56" i="4"/>
  <c r="AK119" i="4"/>
  <c r="AK136" i="4"/>
  <c r="AK62" i="4"/>
  <c r="AK108" i="4"/>
  <c r="AK41" i="4"/>
  <c r="AK42" i="4"/>
  <c r="AK110" i="4"/>
  <c r="AK140" i="4"/>
  <c r="AK168" i="4"/>
  <c r="AK170" i="4"/>
  <c r="AK238" i="4"/>
  <c r="AK45" i="4"/>
  <c r="AK151" i="4"/>
  <c r="AK257" i="4"/>
  <c r="AK236" i="4"/>
  <c r="AK240" i="4"/>
  <c r="AK241" i="4"/>
  <c r="AK242" i="4"/>
  <c r="AK44" i="4"/>
  <c r="AK276" i="4"/>
  <c r="AK26" i="4"/>
  <c r="AK27" i="4"/>
  <c r="AK52" i="4"/>
  <c r="AK58" i="4"/>
  <c r="AK60" i="4"/>
  <c r="AK68" i="4"/>
  <c r="AK69" i="4"/>
  <c r="AK70" i="4"/>
  <c r="AK71" i="4"/>
  <c r="AK287" i="4"/>
  <c r="AK72" i="4"/>
  <c r="AK125" i="4"/>
  <c r="AK262" i="4"/>
  <c r="AK155" i="4"/>
  <c r="AK156" i="4"/>
  <c r="AK169" i="4"/>
  <c r="AK275" i="4"/>
  <c r="AK101" i="4"/>
  <c r="AK80" i="4"/>
  <c r="AK79" i="4"/>
  <c r="AK261" i="4"/>
  <c r="AK78" i="4"/>
  <c r="AK24" i="4"/>
  <c r="AK172" i="4"/>
  <c r="AK173" i="4"/>
  <c r="AK233" i="4"/>
  <c r="AK255" i="4"/>
  <c r="AK113" i="4"/>
  <c r="AK250" i="4"/>
  <c r="AK115" i="4"/>
  <c r="AK97" i="4"/>
  <c r="AK239" i="4"/>
  <c r="AK297" i="4"/>
  <c r="AK312" i="4"/>
  <c r="AK304" i="4"/>
  <c r="AK309" i="4"/>
  <c r="AK313" i="4"/>
  <c r="AK314" i="4"/>
  <c r="AK299" i="4"/>
  <c r="AK300" i="4"/>
  <c r="AK301" i="4"/>
  <c r="AK302" i="4"/>
  <c r="AK311" i="4"/>
  <c r="AK303" i="4"/>
  <c r="AK305" i="4"/>
  <c r="AK306" i="4"/>
  <c r="AK307" i="4"/>
  <c r="AK308" i="4"/>
  <c r="AK310" i="4"/>
  <c r="AK321" i="4"/>
  <c r="AK347" i="4"/>
  <c r="AK332" i="4"/>
  <c r="AK345" i="4"/>
  <c r="AK343" i="4"/>
  <c r="AK344" i="4"/>
  <c r="AK334" i="4"/>
  <c r="AK346" i="4"/>
  <c r="AK333" i="4"/>
  <c r="AK331" i="4"/>
  <c r="AK335" i="4"/>
  <c r="AK320" i="4"/>
  <c r="AK322" i="4"/>
  <c r="AK323" i="4"/>
  <c r="AK324" i="4"/>
  <c r="AK337" i="4"/>
  <c r="AK338" i="4"/>
  <c r="AK339" i="4"/>
  <c r="AK340" i="4"/>
  <c r="AK342" i="4"/>
  <c r="AK341" i="4"/>
  <c r="AK328" i="4"/>
  <c r="AK326" i="4"/>
  <c r="AK327" i="4"/>
  <c r="AK329" i="4"/>
  <c r="AK318" i="4"/>
  <c r="AK319" i="4"/>
  <c r="AK330" i="4"/>
  <c r="AK336" i="4"/>
  <c r="AK317" i="4"/>
  <c r="AK315" i="4"/>
  <c r="AK316" i="4"/>
  <c r="AK325" i="4"/>
  <c r="AK355" i="4"/>
  <c r="AK359" i="4"/>
  <c r="AK354" i="4"/>
  <c r="AK348" i="4"/>
  <c r="AK363" i="4"/>
  <c r="AK364" i="4"/>
  <c r="AK365" i="4"/>
  <c r="AK351" i="4"/>
  <c r="AK356" i="4"/>
  <c r="AK357" i="4"/>
  <c r="AK349" i="4"/>
  <c r="AK350" i="4"/>
  <c r="AK369" i="4"/>
  <c r="AK352" i="4"/>
  <c r="AK353" i="4"/>
  <c r="AK358" i="4"/>
  <c r="AK360" i="4"/>
  <c r="AK361" i="4"/>
  <c r="AK362" i="4"/>
  <c r="AK367" i="4"/>
  <c r="AK366" i="4"/>
  <c r="AK368" i="4"/>
  <c r="AK374" i="4"/>
  <c r="AK375" i="4"/>
  <c r="AK378" i="4"/>
  <c r="AK372" i="4"/>
  <c r="AK373" i="4"/>
  <c r="AK376" i="4"/>
  <c r="AK377" i="4"/>
  <c r="AK371" i="4"/>
  <c r="AK379" i="4"/>
  <c r="AK370" i="4"/>
  <c r="AK381" i="4"/>
  <c r="AK382" i="4"/>
  <c r="AK386" i="4"/>
  <c r="AK384" i="4"/>
  <c r="AK385" i="4"/>
  <c r="AK383" i="4"/>
  <c r="AK401" i="4"/>
  <c r="AK390" i="4"/>
  <c r="AK389" i="4"/>
  <c r="AK388" i="4"/>
  <c r="AK396" i="4"/>
  <c r="AK397" i="4"/>
  <c r="AK398" i="4"/>
  <c r="AK404" i="4"/>
  <c r="AK405" i="4"/>
  <c r="AK387" i="4"/>
  <c r="AK391" i="4"/>
  <c r="AK392" i="4"/>
  <c r="AK393" i="4"/>
  <c r="AK394" i="4"/>
  <c r="AK395" i="4"/>
  <c r="AK399" i="4"/>
  <c r="AK400" i="4"/>
  <c r="AK402" i="4"/>
  <c r="AK403" i="4"/>
  <c r="AK406" i="4"/>
  <c r="AK407" i="4"/>
  <c r="AK408" i="4"/>
  <c r="AK409" i="4"/>
  <c r="AK410" i="4"/>
  <c r="AK411" i="4"/>
  <c r="AK293" i="4"/>
  <c r="B7" i="3"/>
  <c r="C7" i="3"/>
  <c r="AI71" i="4"/>
  <c r="H7" i="3"/>
  <c r="H8" i="3"/>
  <c r="H9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U71" i="4" a="1"/>
  <c r="U71" i="4"/>
  <c r="AD94" i="5"/>
  <c r="T71" i="4" a="1"/>
  <c r="T71" i="4"/>
  <c r="AC94" i="5"/>
  <c r="E7" i="3"/>
  <c r="C56" i="2"/>
  <c r="G56" i="2"/>
  <c r="I56" i="2"/>
  <c r="J56" i="2"/>
  <c r="K56" i="2"/>
  <c r="N56" i="2"/>
  <c r="O56" i="2"/>
  <c r="P56" i="2"/>
  <c r="Q56" i="2"/>
  <c r="R56" i="2"/>
  <c r="S56" i="2"/>
  <c r="T56" i="2"/>
  <c r="U56" i="2"/>
  <c r="V56" i="2"/>
  <c r="W56" i="2"/>
  <c r="Y56" i="2"/>
  <c r="Z56" i="2"/>
  <c r="AA56" i="2"/>
  <c r="AB56" i="2"/>
  <c r="D55" i="2"/>
  <c r="D259" i="4"/>
  <c r="E20" i="5"/>
  <c r="E18" i="2"/>
  <c r="D18" i="2"/>
  <c r="AC56" i="2"/>
  <c r="F18" i="2"/>
  <c r="AD56" i="2"/>
  <c r="AE56" i="2"/>
  <c r="H55" i="2"/>
  <c r="H259" i="4"/>
  <c r="K20" i="5"/>
  <c r="H18" i="2"/>
  <c r="L78" i="5"/>
  <c r="AF56" i="2"/>
  <c r="AG56" i="2"/>
  <c r="AH56" i="2"/>
  <c r="AI56" i="2"/>
  <c r="AJ56" i="2"/>
  <c r="N78" i="5"/>
  <c r="O78" i="5"/>
  <c r="AK56" i="2"/>
  <c r="M55" i="2"/>
  <c r="M259" i="4"/>
  <c r="R20" i="5"/>
  <c r="L55" i="2"/>
  <c r="L259" i="4"/>
  <c r="Q20" i="5"/>
  <c r="M18" i="2"/>
  <c r="L18" i="2"/>
  <c r="AL56" i="2"/>
  <c r="AM56" i="2"/>
  <c r="AZ130" i="1"/>
  <c r="BA130" i="1"/>
  <c r="BB130" i="1"/>
  <c r="CH130" i="1"/>
  <c r="CI130" i="1"/>
  <c r="CJ130" i="1"/>
  <c r="CK130" i="1"/>
  <c r="CL130" i="1"/>
  <c r="CM130" i="1"/>
  <c r="CN130" i="1"/>
  <c r="CO130" i="1"/>
  <c r="CP130" i="1"/>
  <c r="CQ130" i="1"/>
  <c r="CR130" i="1"/>
  <c r="CS130" i="1"/>
  <c r="BV130" i="1"/>
  <c r="BW130" i="1"/>
  <c r="BX130" i="1"/>
  <c r="BY130" i="1"/>
  <c r="BZ130" i="1"/>
  <c r="CA130" i="1"/>
  <c r="CB130" i="1"/>
  <c r="CC130" i="1"/>
  <c r="CD130" i="1"/>
  <c r="CE130" i="1"/>
  <c r="CF130" i="1"/>
  <c r="CG130" i="1"/>
  <c r="BC130" i="1"/>
  <c r="CT130" i="1"/>
  <c r="AZ129" i="1"/>
  <c r="BA129" i="1"/>
  <c r="BB129" i="1"/>
  <c r="CH129" i="1"/>
  <c r="CI129" i="1"/>
  <c r="CJ129" i="1"/>
  <c r="CK129" i="1"/>
  <c r="CL129" i="1"/>
  <c r="CM129" i="1"/>
  <c r="CN129" i="1"/>
  <c r="CO129" i="1"/>
  <c r="CP129" i="1"/>
  <c r="CQ129" i="1"/>
  <c r="CR129" i="1"/>
  <c r="CS129" i="1"/>
  <c r="BV129" i="1"/>
  <c r="BW129" i="1"/>
  <c r="BX129" i="1"/>
  <c r="BY129" i="1"/>
  <c r="BZ129" i="1"/>
  <c r="CA129" i="1"/>
  <c r="CB129" i="1"/>
  <c r="CC129" i="1"/>
  <c r="CD129" i="1"/>
  <c r="CE129" i="1"/>
  <c r="CF129" i="1"/>
  <c r="CG129" i="1"/>
  <c r="BC129" i="1"/>
  <c r="CT129" i="1"/>
  <c r="AZ322" i="1"/>
  <c r="BA322" i="1"/>
  <c r="BB322" i="1"/>
  <c r="CH322" i="1"/>
  <c r="CI322" i="1"/>
  <c r="CJ322" i="1"/>
  <c r="CK322" i="1"/>
  <c r="CL322" i="1"/>
  <c r="CM322" i="1"/>
  <c r="CN322" i="1"/>
  <c r="CO322" i="1"/>
  <c r="CP322" i="1"/>
  <c r="CQ322" i="1"/>
  <c r="CR322" i="1"/>
  <c r="CS322" i="1"/>
  <c r="BV322" i="1"/>
  <c r="BW322" i="1"/>
  <c r="BX322" i="1"/>
  <c r="BY322" i="1"/>
  <c r="BZ322" i="1"/>
  <c r="CA322" i="1"/>
  <c r="CB322" i="1"/>
  <c r="CC322" i="1"/>
  <c r="CD322" i="1"/>
  <c r="CE322" i="1"/>
  <c r="CF322" i="1"/>
  <c r="CG322" i="1"/>
  <c r="BC322" i="1"/>
  <c r="CT322" i="1"/>
  <c r="AZ321" i="1"/>
  <c r="BA321" i="1"/>
  <c r="BB321" i="1"/>
  <c r="CH321" i="1"/>
  <c r="CI321" i="1"/>
  <c r="CJ321" i="1"/>
  <c r="CK321" i="1"/>
  <c r="CL321" i="1"/>
  <c r="CM321" i="1"/>
  <c r="CN321" i="1"/>
  <c r="CO321" i="1"/>
  <c r="CP321" i="1"/>
  <c r="CQ321" i="1"/>
  <c r="CR321" i="1"/>
  <c r="CS321" i="1"/>
  <c r="BV321" i="1"/>
  <c r="BW321" i="1"/>
  <c r="BX321" i="1"/>
  <c r="BY321" i="1"/>
  <c r="BZ321" i="1"/>
  <c r="CA321" i="1"/>
  <c r="CB321" i="1"/>
  <c r="CC321" i="1"/>
  <c r="CD321" i="1"/>
  <c r="CE321" i="1"/>
  <c r="CF321" i="1"/>
  <c r="CG321" i="1"/>
  <c r="BC321" i="1"/>
  <c r="CT321" i="1"/>
  <c r="AZ155" i="1"/>
  <c r="BA155" i="1"/>
  <c r="BB155" i="1"/>
  <c r="CH155" i="1"/>
  <c r="CI155" i="1"/>
  <c r="CJ155" i="1"/>
  <c r="CK155" i="1"/>
  <c r="CL155" i="1"/>
  <c r="CM155" i="1"/>
  <c r="CN155" i="1"/>
  <c r="CO155" i="1"/>
  <c r="CP155" i="1"/>
  <c r="CQ155" i="1"/>
  <c r="CR155" i="1"/>
  <c r="CS155" i="1"/>
  <c r="BV155" i="1"/>
  <c r="BW155" i="1"/>
  <c r="BX155" i="1"/>
  <c r="BY155" i="1"/>
  <c r="BZ155" i="1"/>
  <c r="CA155" i="1"/>
  <c r="CB155" i="1"/>
  <c r="CC155" i="1"/>
  <c r="CD155" i="1"/>
  <c r="CE155" i="1"/>
  <c r="CF155" i="1"/>
  <c r="CG155" i="1"/>
  <c r="BC155" i="1"/>
  <c r="CT155" i="1"/>
  <c r="S51" i="2"/>
  <c r="B352" i="4"/>
  <c r="S352" i="4"/>
  <c r="AZ312" i="1"/>
  <c r="BA312" i="1"/>
  <c r="BB312" i="1"/>
  <c r="CH312" i="1"/>
  <c r="CI312" i="1"/>
  <c r="CJ312" i="1"/>
  <c r="CK312" i="1"/>
  <c r="CL312" i="1"/>
  <c r="CM312" i="1"/>
  <c r="CN312" i="1"/>
  <c r="CO312" i="1"/>
  <c r="CP312" i="1"/>
  <c r="CQ312" i="1"/>
  <c r="CR312" i="1"/>
  <c r="CS312" i="1"/>
  <c r="BV312" i="1"/>
  <c r="BW312" i="1"/>
  <c r="BX312" i="1"/>
  <c r="BY312" i="1"/>
  <c r="BZ312" i="1"/>
  <c r="CA312" i="1"/>
  <c r="CB312" i="1"/>
  <c r="CC312" i="1"/>
  <c r="CD312" i="1"/>
  <c r="CE312" i="1"/>
  <c r="CF312" i="1"/>
  <c r="CG312" i="1"/>
  <c r="BC312" i="1"/>
  <c r="CT312" i="1"/>
  <c r="AZ311" i="1"/>
  <c r="BA311" i="1"/>
  <c r="BB311" i="1"/>
  <c r="CH311" i="1"/>
  <c r="CI311" i="1"/>
  <c r="CJ311" i="1"/>
  <c r="CK311" i="1"/>
  <c r="CL311" i="1"/>
  <c r="CM311" i="1"/>
  <c r="CN311" i="1"/>
  <c r="CO311" i="1"/>
  <c r="CP311" i="1"/>
  <c r="CQ311" i="1"/>
  <c r="CR311" i="1"/>
  <c r="CS311" i="1"/>
  <c r="BV311" i="1"/>
  <c r="BW311" i="1"/>
  <c r="BX311" i="1"/>
  <c r="BY311" i="1"/>
  <c r="BZ311" i="1"/>
  <c r="CA311" i="1"/>
  <c r="CB311" i="1"/>
  <c r="CC311" i="1"/>
  <c r="CD311" i="1"/>
  <c r="CE311" i="1"/>
  <c r="CF311" i="1"/>
  <c r="CG311" i="1"/>
  <c r="BC311" i="1"/>
  <c r="CT311" i="1"/>
  <c r="AZ300" i="1"/>
  <c r="BA300" i="1"/>
  <c r="BB300" i="1"/>
  <c r="CH300" i="1"/>
  <c r="CI300" i="1"/>
  <c r="CJ300" i="1"/>
  <c r="CK300" i="1"/>
  <c r="CL300" i="1"/>
  <c r="CM300" i="1"/>
  <c r="CN300" i="1"/>
  <c r="CO300" i="1"/>
  <c r="CP300" i="1"/>
  <c r="CQ300" i="1"/>
  <c r="CR300" i="1"/>
  <c r="CS300" i="1"/>
  <c r="BV300" i="1"/>
  <c r="BW300" i="1"/>
  <c r="BX300" i="1"/>
  <c r="BY300" i="1"/>
  <c r="BZ300" i="1"/>
  <c r="CA300" i="1"/>
  <c r="CB300" i="1"/>
  <c r="CC300" i="1"/>
  <c r="CD300" i="1"/>
  <c r="CE300" i="1"/>
  <c r="CF300" i="1"/>
  <c r="CG300" i="1"/>
  <c r="BC300" i="1"/>
  <c r="CT300" i="1"/>
  <c r="AZ62" i="1"/>
  <c r="BA62" i="1"/>
  <c r="BB62" i="1"/>
  <c r="CH62" i="1"/>
  <c r="CI62" i="1"/>
  <c r="CJ62" i="1"/>
  <c r="CK62" i="1"/>
  <c r="CL62" i="1"/>
  <c r="CM62" i="1"/>
  <c r="CN62" i="1"/>
  <c r="CO62" i="1"/>
  <c r="CP62" i="1"/>
  <c r="CQ62" i="1"/>
  <c r="CR62" i="1"/>
  <c r="CS62" i="1"/>
  <c r="BV62" i="1"/>
  <c r="BW62" i="1"/>
  <c r="BX62" i="1"/>
  <c r="BY62" i="1"/>
  <c r="BZ62" i="1"/>
  <c r="CA62" i="1"/>
  <c r="CB62" i="1"/>
  <c r="CC62" i="1"/>
  <c r="CD62" i="1"/>
  <c r="CE62" i="1"/>
  <c r="CF62" i="1"/>
  <c r="CG62" i="1"/>
  <c r="BC62" i="1"/>
  <c r="CT62" i="1"/>
  <c r="AZ61" i="1"/>
  <c r="BA61" i="1"/>
  <c r="BB61" i="1"/>
  <c r="CH61" i="1"/>
  <c r="CI61" i="1"/>
  <c r="CJ61" i="1"/>
  <c r="CK61" i="1"/>
  <c r="CL61" i="1"/>
  <c r="CM61" i="1"/>
  <c r="CN61" i="1"/>
  <c r="CO61" i="1"/>
  <c r="CP61" i="1"/>
  <c r="CQ61" i="1"/>
  <c r="CR61" i="1"/>
  <c r="CS61" i="1"/>
  <c r="BV61" i="1"/>
  <c r="BW61" i="1"/>
  <c r="BX61" i="1"/>
  <c r="BY61" i="1"/>
  <c r="BZ61" i="1"/>
  <c r="CA61" i="1"/>
  <c r="CB61" i="1"/>
  <c r="CC61" i="1"/>
  <c r="CD61" i="1"/>
  <c r="CE61" i="1"/>
  <c r="CF61" i="1"/>
  <c r="CG61" i="1"/>
  <c r="BC61" i="1"/>
  <c r="CT61" i="1"/>
  <c r="H7" i="2"/>
  <c r="B283" i="4"/>
  <c r="H283" i="4"/>
  <c r="H30" i="2"/>
  <c r="S9" i="2"/>
  <c r="B15" i="4"/>
  <c r="S8" i="2"/>
  <c r="S15" i="4"/>
  <c r="N30" i="2"/>
  <c r="B211" i="4"/>
  <c r="N211" i="4"/>
  <c r="N9" i="2"/>
  <c r="N25" i="2"/>
  <c r="N16" i="2"/>
  <c r="N21" i="2"/>
  <c r="N39" i="2"/>
  <c r="N5" i="2"/>
  <c r="N8" i="2"/>
  <c r="N7" i="2"/>
  <c r="N18" i="2"/>
  <c r="N44" i="2"/>
  <c r="N251" i="4"/>
  <c r="B17" i="4"/>
  <c r="N17" i="4"/>
  <c r="C9" i="2"/>
  <c r="G9" i="2"/>
  <c r="K9" i="2"/>
  <c r="O9" i="2"/>
  <c r="P9" i="2"/>
  <c r="Q9" i="2"/>
  <c r="R9" i="2"/>
  <c r="T9" i="2"/>
  <c r="U9" i="2"/>
  <c r="V9" i="2"/>
  <c r="W9" i="2"/>
  <c r="X9" i="2"/>
  <c r="Y9" i="2"/>
  <c r="Z9" i="2"/>
  <c r="AA9" i="2"/>
  <c r="AB9" i="2"/>
  <c r="D8" i="2"/>
  <c r="B14" i="4"/>
  <c r="D14" i="4"/>
  <c r="E44" i="5"/>
  <c r="D15" i="4"/>
  <c r="E45" i="5"/>
  <c r="F45" i="5"/>
  <c r="AC9" i="2"/>
  <c r="H45" i="5"/>
  <c r="I45" i="5"/>
  <c r="AD9" i="2"/>
  <c r="AE9" i="2"/>
  <c r="H8" i="2"/>
  <c r="H14" i="4"/>
  <c r="K44" i="5"/>
  <c r="H15" i="4"/>
  <c r="K45" i="5"/>
  <c r="L45" i="5"/>
  <c r="AF9" i="2"/>
  <c r="AG9" i="2"/>
  <c r="AH9" i="2"/>
  <c r="AI9" i="2"/>
  <c r="AJ9" i="2"/>
  <c r="N45" i="5"/>
  <c r="O45" i="5"/>
  <c r="AK9" i="2"/>
  <c r="M8" i="2"/>
  <c r="M14" i="4"/>
  <c r="R44" i="5"/>
  <c r="L8" i="2"/>
  <c r="L14" i="4"/>
  <c r="Q44" i="5"/>
  <c r="M15" i="4"/>
  <c r="R45" i="5"/>
  <c r="L15" i="4"/>
  <c r="Q45" i="5"/>
  <c r="AL9" i="2"/>
  <c r="AM9" i="2"/>
  <c r="AZ5" i="1"/>
  <c r="BA5" i="1"/>
  <c r="BB5" i="1"/>
  <c r="CH5" i="1"/>
  <c r="CI5" i="1"/>
  <c r="CJ5" i="1"/>
  <c r="CK5" i="1"/>
  <c r="CL5" i="1"/>
  <c r="CM5" i="1"/>
  <c r="CN5" i="1"/>
  <c r="CO5" i="1"/>
  <c r="CP5" i="1"/>
  <c r="CQ5" i="1"/>
  <c r="CR5" i="1"/>
  <c r="CS5" i="1"/>
  <c r="BV5" i="1"/>
  <c r="BW5" i="1"/>
  <c r="BX5" i="1"/>
  <c r="BY5" i="1"/>
  <c r="BZ5" i="1"/>
  <c r="CA5" i="1"/>
  <c r="CB5" i="1"/>
  <c r="CC5" i="1"/>
  <c r="CD5" i="1"/>
  <c r="CE5" i="1"/>
  <c r="CF5" i="1"/>
  <c r="CG5" i="1"/>
  <c r="BC5" i="1"/>
  <c r="CT5" i="1"/>
  <c r="AZ19" i="1"/>
  <c r="BA19" i="1"/>
  <c r="BB19" i="1"/>
  <c r="CH19" i="1"/>
  <c r="CI19" i="1"/>
  <c r="CJ19" i="1"/>
  <c r="CK19" i="1"/>
  <c r="CL19" i="1"/>
  <c r="CM19" i="1"/>
  <c r="CN19" i="1"/>
  <c r="CO19" i="1"/>
  <c r="CP19" i="1"/>
  <c r="CQ19" i="1"/>
  <c r="CR19" i="1"/>
  <c r="CS19" i="1"/>
  <c r="BV19" i="1"/>
  <c r="BW19" i="1"/>
  <c r="BX19" i="1"/>
  <c r="BY19" i="1"/>
  <c r="BZ19" i="1"/>
  <c r="CA19" i="1"/>
  <c r="CB19" i="1"/>
  <c r="CC19" i="1"/>
  <c r="CD19" i="1"/>
  <c r="CE19" i="1"/>
  <c r="CF19" i="1"/>
  <c r="CG19" i="1"/>
  <c r="BC19" i="1"/>
  <c r="CT19" i="1"/>
  <c r="AZ18" i="1"/>
  <c r="BA18" i="1"/>
  <c r="BB18" i="1"/>
  <c r="CH18" i="1"/>
  <c r="CI18" i="1"/>
  <c r="CJ18" i="1"/>
  <c r="CK18" i="1"/>
  <c r="CL18" i="1"/>
  <c r="CM18" i="1"/>
  <c r="CN18" i="1"/>
  <c r="CO18" i="1"/>
  <c r="CP18" i="1"/>
  <c r="CQ18" i="1"/>
  <c r="CR18" i="1"/>
  <c r="CS18" i="1"/>
  <c r="BV18" i="1"/>
  <c r="BW18" i="1"/>
  <c r="BX18" i="1"/>
  <c r="BY18" i="1"/>
  <c r="BZ18" i="1"/>
  <c r="CA18" i="1"/>
  <c r="CB18" i="1"/>
  <c r="CC18" i="1"/>
  <c r="CD18" i="1"/>
  <c r="CE18" i="1"/>
  <c r="CF18" i="1"/>
  <c r="CG18" i="1"/>
  <c r="BC18" i="1"/>
  <c r="CT18" i="1"/>
  <c r="AZ17" i="1"/>
  <c r="BA17" i="1"/>
  <c r="BB17" i="1"/>
  <c r="CH17" i="1"/>
  <c r="CI17" i="1"/>
  <c r="CJ17" i="1"/>
  <c r="CK17" i="1"/>
  <c r="CL17" i="1"/>
  <c r="CM17" i="1"/>
  <c r="CN17" i="1"/>
  <c r="CO17" i="1"/>
  <c r="CP17" i="1"/>
  <c r="CQ17" i="1"/>
  <c r="CR17" i="1"/>
  <c r="CS17" i="1"/>
  <c r="BV17" i="1"/>
  <c r="BW17" i="1"/>
  <c r="BX17" i="1"/>
  <c r="BY17" i="1"/>
  <c r="BZ17" i="1"/>
  <c r="CA17" i="1"/>
  <c r="CB17" i="1"/>
  <c r="CC17" i="1"/>
  <c r="CD17" i="1"/>
  <c r="CE17" i="1"/>
  <c r="CF17" i="1"/>
  <c r="CG17" i="1"/>
  <c r="BC17" i="1"/>
  <c r="CT17" i="1"/>
  <c r="S4" i="2"/>
  <c r="B75" i="4"/>
  <c r="S5" i="2"/>
  <c r="S75" i="4"/>
  <c r="S42" i="2"/>
  <c r="S16" i="2"/>
  <c r="B2" i="4"/>
  <c r="S2" i="4"/>
  <c r="S17" i="2"/>
  <c r="B3" i="4"/>
  <c r="S3" i="4"/>
  <c r="B4" i="4"/>
  <c r="S4" i="4"/>
  <c r="S12" i="2"/>
  <c r="B31" i="4"/>
  <c r="S31" i="4"/>
  <c r="S10" i="2"/>
  <c r="B32" i="4"/>
  <c r="S32" i="4"/>
  <c r="B33" i="4"/>
  <c r="S33" i="4"/>
  <c r="S11" i="2"/>
  <c r="B28" i="4"/>
  <c r="S28" i="4"/>
  <c r="S13" i="2"/>
  <c r="B29" i="4"/>
  <c r="S29" i="4"/>
  <c r="B30" i="4"/>
  <c r="S30" i="4"/>
  <c r="S7" i="2"/>
  <c r="S17" i="4"/>
  <c r="B16" i="4"/>
  <c r="S16" i="4"/>
  <c r="B11" i="4"/>
  <c r="S11" i="4"/>
  <c r="N4" i="2"/>
  <c r="N75" i="4"/>
  <c r="C4" i="2"/>
  <c r="D4" i="2"/>
  <c r="E4" i="2"/>
  <c r="F4" i="2"/>
  <c r="G4" i="2"/>
  <c r="H4" i="2"/>
  <c r="I4" i="2"/>
  <c r="J4" i="2"/>
  <c r="K4" i="2"/>
  <c r="L4" i="2"/>
  <c r="M4" i="2"/>
  <c r="O4" i="2"/>
  <c r="P4" i="2"/>
  <c r="Q4" i="2"/>
  <c r="R4" i="2"/>
  <c r="T4" i="2"/>
  <c r="U4" i="2"/>
  <c r="V4" i="2"/>
  <c r="W4" i="2"/>
  <c r="X4" i="2"/>
  <c r="Y4" i="2"/>
  <c r="Z4" i="2"/>
  <c r="AA4" i="2"/>
  <c r="AB4" i="2"/>
  <c r="D5" i="2"/>
  <c r="B76" i="4"/>
  <c r="D76" i="4"/>
  <c r="E262" i="5"/>
  <c r="D75" i="4"/>
  <c r="E253" i="5"/>
  <c r="F253" i="5"/>
  <c r="AC4" i="2"/>
  <c r="H253" i="5"/>
  <c r="I253" i="5"/>
  <c r="AD4" i="2"/>
  <c r="AE4" i="2"/>
  <c r="H5" i="2"/>
  <c r="H76" i="4"/>
  <c r="K262" i="5"/>
  <c r="H75" i="4"/>
  <c r="K253" i="5"/>
  <c r="L253" i="5"/>
  <c r="AF4" i="2"/>
  <c r="AG4" i="2"/>
  <c r="AH4" i="2"/>
  <c r="AI4" i="2"/>
  <c r="AJ4" i="2"/>
  <c r="N253" i="5"/>
  <c r="O253" i="5"/>
  <c r="AK4" i="2"/>
  <c r="M5" i="2"/>
  <c r="M76" i="4"/>
  <c r="R262" i="5"/>
  <c r="L5" i="2"/>
  <c r="L76" i="4"/>
  <c r="Q262" i="5"/>
  <c r="M75" i="4"/>
  <c r="R253" i="5"/>
  <c r="L75" i="4"/>
  <c r="Q253" i="5"/>
  <c r="AL4" i="2"/>
  <c r="AM4" i="2"/>
  <c r="AZ154" i="1"/>
  <c r="BA154" i="1"/>
  <c r="BB154" i="1"/>
  <c r="CH154" i="1"/>
  <c r="CI154" i="1"/>
  <c r="CJ154" i="1"/>
  <c r="CK154" i="1"/>
  <c r="CL154" i="1"/>
  <c r="CM154" i="1"/>
  <c r="CN154" i="1"/>
  <c r="CO154" i="1"/>
  <c r="CP154" i="1"/>
  <c r="CQ154" i="1"/>
  <c r="CR154" i="1"/>
  <c r="CS154" i="1"/>
  <c r="BV154" i="1"/>
  <c r="BW154" i="1"/>
  <c r="BX154" i="1"/>
  <c r="BY154" i="1"/>
  <c r="BZ154" i="1"/>
  <c r="CA154" i="1"/>
  <c r="CB154" i="1"/>
  <c r="CC154" i="1"/>
  <c r="CD154" i="1"/>
  <c r="CE154" i="1"/>
  <c r="CF154" i="1"/>
  <c r="CG154" i="1"/>
  <c r="BC154" i="1"/>
  <c r="CT154" i="1"/>
  <c r="AZ197" i="1"/>
  <c r="BA197" i="1"/>
  <c r="BB197" i="1"/>
  <c r="CH197" i="1"/>
  <c r="CI197" i="1"/>
  <c r="CJ197" i="1"/>
  <c r="CK197" i="1"/>
  <c r="CL197" i="1"/>
  <c r="CM197" i="1"/>
  <c r="CN197" i="1"/>
  <c r="CO197" i="1"/>
  <c r="CP197" i="1"/>
  <c r="CQ197" i="1"/>
  <c r="CR197" i="1"/>
  <c r="CS197" i="1"/>
  <c r="BV197" i="1"/>
  <c r="BW197" i="1"/>
  <c r="BX197" i="1"/>
  <c r="BY197" i="1"/>
  <c r="BZ197" i="1"/>
  <c r="CA197" i="1"/>
  <c r="CB197" i="1"/>
  <c r="CC197" i="1"/>
  <c r="CD197" i="1"/>
  <c r="CE197" i="1"/>
  <c r="CF197" i="1"/>
  <c r="CG197" i="1"/>
  <c r="BC197" i="1"/>
  <c r="CT197" i="1"/>
  <c r="AZ295" i="1"/>
  <c r="BA295" i="1"/>
  <c r="BB295" i="1"/>
  <c r="CH295" i="1"/>
  <c r="CI295" i="1"/>
  <c r="CJ295" i="1"/>
  <c r="CK295" i="1"/>
  <c r="CL295" i="1"/>
  <c r="CM295" i="1"/>
  <c r="CN295" i="1"/>
  <c r="CO295" i="1"/>
  <c r="CP295" i="1"/>
  <c r="CQ295" i="1"/>
  <c r="CR295" i="1"/>
  <c r="CS295" i="1"/>
  <c r="BV295" i="1"/>
  <c r="BW295" i="1"/>
  <c r="BX295" i="1"/>
  <c r="BY295" i="1"/>
  <c r="BZ295" i="1"/>
  <c r="CA295" i="1"/>
  <c r="CB295" i="1"/>
  <c r="CC295" i="1"/>
  <c r="CD295" i="1"/>
  <c r="CE295" i="1"/>
  <c r="CF295" i="1"/>
  <c r="CG295" i="1"/>
  <c r="BC295" i="1"/>
  <c r="CT295" i="1"/>
  <c r="AZ60" i="1"/>
  <c r="BA60" i="1"/>
  <c r="BB60" i="1"/>
  <c r="CH60" i="1"/>
  <c r="CI60" i="1"/>
  <c r="CJ60" i="1"/>
  <c r="CK60" i="1"/>
  <c r="CL60" i="1"/>
  <c r="CM60" i="1"/>
  <c r="CN60" i="1"/>
  <c r="CO60" i="1"/>
  <c r="CP60" i="1"/>
  <c r="CQ60" i="1"/>
  <c r="CR60" i="1"/>
  <c r="CS60" i="1"/>
  <c r="BV60" i="1"/>
  <c r="BW60" i="1"/>
  <c r="BX60" i="1"/>
  <c r="BY60" i="1"/>
  <c r="BZ60" i="1"/>
  <c r="CA60" i="1"/>
  <c r="CB60" i="1"/>
  <c r="CC60" i="1"/>
  <c r="CD60" i="1"/>
  <c r="CE60" i="1"/>
  <c r="CF60" i="1"/>
  <c r="CG60" i="1"/>
  <c r="BC60" i="1"/>
  <c r="CT60" i="1"/>
  <c r="AZ59" i="1"/>
  <c r="BA59" i="1"/>
  <c r="BB59" i="1"/>
  <c r="CH59" i="1"/>
  <c r="CI59" i="1"/>
  <c r="CJ59" i="1"/>
  <c r="CK59" i="1"/>
  <c r="CL59" i="1"/>
  <c r="CM59" i="1"/>
  <c r="CN59" i="1"/>
  <c r="CO59" i="1"/>
  <c r="CP59" i="1"/>
  <c r="CQ59" i="1"/>
  <c r="CR59" i="1"/>
  <c r="CS59" i="1"/>
  <c r="BV59" i="1"/>
  <c r="BW59" i="1"/>
  <c r="BX59" i="1"/>
  <c r="BY59" i="1"/>
  <c r="BZ59" i="1"/>
  <c r="CA59" i="1"/>
  <c r="CB59" i="1"/>
  <c r="CC59" i="1"/>
  <c r="CD59" i="1"/>
  <c r="CE59" i="1"/>
  <c r="CF59" i="1"/>
  <c r="CG59" i="1"/>
  <c r="BC59" i="1"/>
  <c r="CT59" i="1"/>
  <c r="AZ58" i="1"/>
  <c r="BA58" i="1"/>
  <c r="BB58" i="1"/>
  <c r="CH58" i="1"/>
  <c r="CI58" i="1"/>
  <c r="CJ58" i="1"/>
  <c r="CK58" i="1"/>
  <c r="CL58" i="1"/>
  <c r="CM58" i="1"/>
  <c r="CN58" i="1"/>
  <c r="CO58" i="1"/>
  <c r="CP58" i="1"/>
  <c r="CQ58" i="1"/>
  <c r="CR58" i="1"/>
  <c r="CS58" i="1"/>
  <c r="BV58" i="1"/>
  <c r="BW58" i="1"/>
  <c r="BX58" i="1"/>
  <c r="BY58" i="1"/>
  <c r="BZ58" i="1"/>
  <c r="CA58" i="1"/>
  <c r="CB58" i="1"/>
  <c r="CC58" i="1"/>
  <c r="CD58" i="1"/>
  <c r="CE58" i="1"/>
  <c r="CF58" i="1"/>
  <c r="CG58" i="1"/>
  <c r="BC58" i="1"/>
  <c r="CT58" i="1"/>
  <c r="AZ57" i="1"/>
  <c r="BA57" i="1"/>
  <c r="BB57" i="1"/>
  <c r="CH57" i="1"/>
  <c r="CI57" i="1"/>
  <c r="CJ57" i="1"/>
  <c r="CK57" i="1"/>
  <c r="CL57" i="1"/>
  <c r="CM57" i="1"/>
  <c r="CN57" i="1"/>
  <c r="CO57" i="1"/>
  <c r="CP57" i="1"/>
  <c r="CQ57" i="1"/>
  <c r="CR57" i="1"/>
  <c r="CS57" i="1"/>
  <c r="BV57" i="1"/>
  <c r="BW57" i="1"/>
  <c r="BX57" i="1"/>
  <c r="BY57" i="1"/>
  <c r="BZ57" i="1"/>
  <c r="CA57" i="1"/>
  <c r="CB57" i="1"/>
  <c r="CC57" i="1"/>
  <c r="CD57" i="1"/>
  <c r="CE57" i="1"/>
  <c r="CF57" i="1"/>
  <c r="CG57" i="1"/>
  <c r="BC57" i="1"/>
  <c r="CT57" i="1"/>
  <c r="AZ56" i="1"/>
  <c r="BA56" i="1"/>
  <c r="BB56" i="1"/>
  <c r="CH56" i="1"/>
  <c r="CI56" i="1"/>
  <c r="CJ56" i="1"/>
  <c r="CK56" i="1"/>
  <c r="CL56" i="1"/>
  <c r="CM56" i="1"/>
  <c r="CN56" i="1"/>
  <c r="CO56" i="1"/>
  <c r="CP56" i="1"/>
  <c r="CQ56" i="1"/>
  <c r="CR56" i="1"/>
  <c r="CS56" i="1"/>
  <c r="BV56" i="1"/>
  <c r="BW56" i="1"/>
  <c r="BX56" i="1"/>
  <c r="BY56" i="1"/>
  <c r="BZ56" i="1"/>
  <c r="CA56" i="1"/>
  <c r="CB56" i="1"/>
  <c r="CC56" i="1"/>
  <c r="CD56" i="1"/>
  <c r="CE56" i="1"/>
  <c r="CF56" i="1"/>
  <c r="CG56" i="1"/>
  <c r="BC56" i="1"/>
  <c r="CT56" i="1"/>
  <c r="AZ55" i="1"/>
  <c r="BA55" i="1"/>
  <c r="BB55" i="1"/>
  <c r="CH55" i="1"/>
  <c r="CI55" i="1"/>
  <c r="CJ55" i="1"/>
  <c r="CK55" i="1"/>
  <c r="CL55" i="1"/>
  <c r="CM55" i="1"/>
  <c r="CN55" i="1"/>
  <c r="CO55" i="1"/>
  <c r="CP55" i="1"/>
  <c r="CQ55" i="1"/>
  <c r="CR55" i="1"/>
  <c r="CS55" i="1"/>
  <c r="BV55" i="1"/>
  <c r="BW55" i="1"/>
  <c r="BX55" i="1"/>
  <c r="BY55" i="1"/>
  <c r="BZ55" i="1"/>
  <c r="CA55" i="1"/>
  <c r="CB55" i="1"/>
  <c r="CC55" i="1"/>
  <c r="CD55" i="1"/>
  <c r="CE55" i="1"/>
  <c r="CF55" i="1"/>
  <c r="CG55" i="1"/>
  <c r="BC55" i="1"/>
  <c r="CT55" i="1"/>
  <c r="AZ54" i="1"/>
  <c r="BA54" i="1"/>
  <c r="BB54" i="1"/>
  <c r="CH54" i="1"/>
  <c r="CI54" i="1"/>
  <c r="CJ54" i="1"/>
  <c r="CK54" i="1"/>
  <c r="CL54" i="1"/>
  <c r="CM54" i="1"/>
  <c r="CN54" i="1"/>
  <c r="CO54" i="1"/>
  <c r="CP54" i="1"/>
  <c r="CQ54" i="1"/>
  <c r="CR54" i="1"/>
  <c r="CS54" i="1"/>
  <c r="BV54" i="1"/>
  <c r="BW54" i="1"/>
  <c r="BX54" i="1"/>
  <c r="BY54" i="1"/>
  <c r="BZ54" i="1"/>
  <c r="CA54" i="1"/>
  <c r="CB54" i="1"/>
  <c r="CC54" i="1"/>
  <c r="CD54" i="1"/>
  <c r="CE54" i="1"/>
  <c r="CF54" i="1"/>
  <c r="CG54" i="1"/>
  <c r="BC54" i="1"/>
  <c r="CT54" i="1"/>
  <c r="AZ53" i="1"/>
  <c r="BA53" i="1"/>
  <c r="BB53" i="1"/>
  <c r="CH53" i="1"/>
  <c r="CI53" i="1"/>
  <c r="CJ53" i="1"/>
  <c r="CK53" i="1"/>
  <c r="CL53" i="1"/>
  <c r="CM53" i="1"/>
  <c r="CN53" i="1"/>
  <c r="CO53" i="1"/>
  <c r="CP53" i="1"/>
  <c r="CQ53" i="1"/>
  <c r="CR53" i="1"/>
  <c r="CS53" i="1"/>
  <c r="BV53" i="1"/>
  <c r="BW53" i="1"/>
  <c r="BX53" i="1"/>
  <c r="BY53" i="1"/>
  <c r="BZ53" i="1"/>
  <c r="CA53" i="1"/>
  <c r="CB53" i="1"/>
  <c r="CC53" i="1"/>
  <c r="CD53" i="1"/>
  <c r="CE53" i="1"/>
  <c r="CF53" i="1"/>
  <c r="CG53" i="1"/>
  <c r="BC53" i="1"/>
  <c r="CT53" i="1"/>
  <c r="N2" i="2"/>
  <c r="B45" i="4"/>
  <c r="M45" i="4"/>
  <c r="M24" i="2"/>
  <c r="B51" i="4"/>
  <c r="M51" i="4"/>
  <c r="B44" i="4"/>
  <c r="N44" i="4"/>
  <c r="N19" i="2"/>
  <c r="N24" i="2"/>
  <c r="N51" i="4"/>
  <c r="N3" i="2"/>
  <c r="B53" i="4"/>
  <c r="N53" i="4"/>
  <c r="B54" i="4"/>
  <c r="N54" i="4"/>
  <c r="B55" i="4"/>
  <c r="N55" i="4"/>
  <c r="B56" i="4"/>
  <c r="N56" i="4"/>
  <c r="B42" i="4"/>
  <c r="N42" i="4"/>
  <c r="N32" i="2"/>
  <c r="B230" i="4"/>
  <c r="N230" i="4"/>
  <c r="N20" i="2"/>
  <c r="B43" i="4"/>
  <c r="N43" i="4"/>
  <c r="B87" i="4"/>
  <c r="N22" i="2"/>
  <c r="N87" i="4"/>
  <c r="B88" i="4"/>
  <c r="N88" i="4"/>
  <c r="B118" i="4"/>
  <c r="N118" i="4"/>
  <c r="N43" i="2"/>
  <c r="B132" i="4"/>
  <c r="N132" i="4"/>
  <c r="B135" i="4"/>
  <c r="N135" i="4"/>
  <c r="B209" i="4"/>
  <c r="N209" i="4"/>
  <c r="B210" i="4"/>
  <c r="N210" i="4"/>
  <c r="N41" i="2"/>
  <c r="B231" i="4"/>
  <c r="N231" i="4"/>
  <c r="B234" i="4"/>
  <c r="N234" i="4"/>
  <c r="B235" i="4"/>
  <c r="N235" i="4"/>
  <c r="N42" i="2"/>
  <c r="N256" i="4"/>
  <c r="B25" i="4"/>
  <c r="N25" i="4"/>
  <c r="B41" i="4"/>
  <c r="N41" i="4"/>
  <c r="O41" i="2"/>
  <c r="O235" i="4"/>
  <c r="O55" i="2"/>
  <c r="O259" i="4"/>
  <c r="O3" i="2"/>
  <c r="O24" i="2"/>
  <c r="O25" i="4"/>
  <c r="N55" i="2"/>
  <c r="N259" i="4"/>
  <c r="B140" i="6"/>
  <c r="C140" i="6"/>
  <c r="D140" i="6"/>
  <c r="V140" i="6"/>
  <c r="W140" i="6"/>
  <c r="X140" i="6"/>
  <c r="Y140" i="6"/>
  <c r="Z140" i="6"/>
  <c r="AA140" i="6"/>
  <c r="AB140" i="6"/>
  <c r="AC140" i="6"/>
  <c r="AD140" i="6"/>
  <c r="AE140" i="6"/>
  <c r="AF140" i="6"/>
  <c r="AG140" i="6"/>
  <c r="AH140" i="6"/>
  <c r="B20" i="5"/>
  <c r="C54" i="2"/>
  <c r="C257" i="4"/>
  <c r="C55" i="2"/>
  <c r="C259" i="4"/>
  <c r="C20" i="5"/>
  <c r="D54" i="2"/>
  <c r="D257" i="4"/>
  <c r="F20" i="5"/>
  <c r="H20" i="5"/>
  <c r="I20" i="5"/>
  <c r="H54" i="2"/>
  <c r="H257" i="4"/>
  <c r="L20" i="5"/>
  <c r="N20" i="5"/>
  <c r="O20" i="5"/>
  <c r="L54" i="2"/>
  <c r="L257" i="4"/>
  <c r="M54" i="2"/>
  <c r="M257" i="4"/>
  <c r="N54" i="2"/>
  <c r="N257" i="4"/>
  <c r="T20" i="5"/>
  <c r="O54" i="2"/>
  <c r="O257" i="4"/>
  <c r="U20" i="5"/>
  <c r="P54" i="2"/>
  <c r="P257" i="4"/>
  <c r="P55" i="2"/>
  <c r="P259" i="4"/>
  <c r="W20" i="5"/>
  <c r="Q54" i="2"/>
  <c r="Q257" i="4"/>
  <c r="Q55" i="2"/>
  <c r="Q259" i="4"/>
  <c r="X20" i="5"/>
  <c r="R54" i="2"/>
  <c r="R257" i="4"/>
  <c r="R55" i="2"/>
  <c r="R259" i="4"/>
  <c r="Z20" i="5"/>
  <c r="S54" i="2"/>
  <c r="S257" i="4"/>
  <c r="S55" i="2"/>
  <c r="S259" i="4"/>
  <c r="AA20" i="5"/>
  <c r="AI257" i="4"/>
  <c r="T257" i="4" a="1"/>
  <c r="T257" i="4"/>
  <c r="AI259" i="4"/>
  <c r="T259" i="4" a="1"/>
  <c r="T259" i="4"/>
  <c r="AC20" i="5"/>
  <c r="U257" i="4" a="1"/>
  <c r="U257" i="4"/>
  <c r="U259" i="4" a="1"/>
  <c r="U259" i="4"/>
  <c r="AD20" i="5"/>
  <c r="AF20" i="5"/>
  <c r="AG20" i="5"/>
  <c r="X55" i="2"/>
  <c r="X259" i="4"/>
  <c r="AI20" i="5"/>
  <c r="Y54" i="2"/>
  <c r="Y257" i="4"/>
  <c r="Y55" i="2"/>
  <c r="Y259" i="4"/>
  <c r="AJ20" i="5"/>
  <c r="Z54" i="2"/>
  <c r="Z257" i="4"/>
  <c r="Z55" i="2"/>
  <c r="Z259" i="4"/>
  <c r="AL20" i="5"/>
  <c r="AM20" i="5"/>
  <c r="AN20" i="5"/>
  <c r="AO20" i="5"/>
  <c r="AP20" i="5"/>
  <c r="AQ20" i="5"/>
  <c r="AR20" i="5"/>
  <c r="AS20" i="5"/>
  <c r="AT20" i="5"/>
  <c r="AU20" i="5"/>
  <c r="AV20" i="5"/>
  <c r="AW20" i="5"/>
  <c r="AX20" i="5"/>
  <c r="AY20" i="5"/>
  <c r="AZ20" i="5"/>
  <c r="BA20" i="5"/>
  <c r="BB20" i="5"/>
  <c r="BC20" i="5"/>
  <c r="BD20" i="5"/>
  <c r="BE20" i="5"/>
  <c r="E54" i="2"/>
  <c r="E55" i="2"/>
  <c r="E259" i="4"/>
  <c r="F54" i="2"/>
  <c r="F55" i="2"/>
  <c r="F259" i="4"/>
  <c r="I54" i="2"/>
  <c r="I55" i="2"/>
  <c r="I259" i="4"/>
  <c r="J54" i="2"/>
  <c r="J55" i="2"/>
  <c r="J259" i="4"/>
  <c r="K54" i="2"/>
  <c r="K55" i="2"/>
  <c r="K259" i="4"/>
  <c r="AA259" i="4"/>
  <c r="AC259" i="4"/>
  <c r="AD259" i="4"/>
  <c r="AE259" i="4"/>
  <c r="AF259" i="4"/>
  <c r="AG259" i="4"/>
  <c r="AH259" i="4"/>
  <c r="AJ259" i="4"/>
  <c r="AL259" i="4"/>
  <c r="G55" i="2"/>
  <c r="T55" i="2"/>
  <c r="U55" i="2"/>
  <c r="V55" i="2"/>
  <c r="W55" i="2"/>
  <c r="AA55" i="2"/>
  <c r="AB55" i="2"/>
  <c r="E19" i="5"/>
  <c r="AC55" i="2"/>
  <c r="AD55" i="2"/>
  <c r="AE55" i="2"/>
  <c r="K19" i="5"/>
  <c r="AF55" i="2"/>
  <c r="AG55" i="2"/>
  <c r="AH55" i="2"/>
  <c r="AI55" i="2"/>
  <c r="AJ55" i="2"/>
  <c r="AK55" i="2"/>
  <c r="R19" i="5"/>
  <c r="Q19" i="5"/>
  <c r="AL55" i="2"/>
  <c r="AM55" i="2"/>
  <c r="AZ270" i="1"/>
  <c r="BA270" i="1"/>
  <c r="BB270" i="1"/>
  <c r="CH270" i="1"/>
  <c r="CI270" i="1"/>
  <c r="CJ270" i="1"/>
  <c r="CK270" i="1"/>
  <c r="CL270" i="1"/>
  <c r="CM270" i="1"/>
  <c r="CN270" i="1"/>
  <c r="CO270" i="1"/>
  <c r="CP270" i="1"/>
  <c r="CQ270" i="1"/>
  <c r="CR270" i="1"/>
  <c r="CS270" i="1"/>
  <c r="BV270" i="1"/>
  <c r="BW270" i="1"/>
  <c r="BX270" i="1"/>
  <c r="BY270" i="1"/>
  <c r="BZ270" i="1"/>
  <c r="CA270" i="1"/>
  <c r="CB270" i="1"/>
  <c r="CC270" i="1"/>
  <c r="CD270" i="1"/>
  <c r="CE270" i="1"/>
  <c r="CF270" i="1"/>
  <c r="CG270" i="1"/>
  <c r="BC270" i="1"/>
  <c r="CT270" i="1"/>
  <c r="D347" i="9"/>
  <c r="E347" i="9"/>
  <c r="F347" i="9"/>
  <c r="G347" i="9"/>
  <c r="C125" i="7"/>
  <c r="D125" i="7"/>
  <c r="E125" i="7"/>
  <c r="AZ271" i="1"/>
  <c r="BA271" i="1"/>
  <c r="BB271" i="1"/>
  <c r="CH271" i="1"/>
  <c r="CI271" i="1"/>
  <c r="CJ271" i="1"/>
  <c r="CK271" i="1"/>
  <c r="CL271" i="1"/>
  <c r="CM271" i="1"/>
  <c r="CN271" i="1"/>
  <c r="CO271" i="1"/>
  <c r="CP271" i="1"/>
  <c r="CQ271" i="1"/>
  <c r="CR271" i="1"/>
  <c r="CS271" i="1"/>
  <c r="BV271" i="1"/>
  <c r="BW271" i="1"/>
  <c r="BX271" i="1"/>
  <c r="BY271" i="1"/>
  <c r="BZ271" i="1"/>
  <c r="CA271" i="1"/>
  <c r="CB271" i="1"/>
  <c r="CC271" i="1"/>
  <c r="CD271" i="1"/>
  <c r="CE271" i="1"/>
  <c r="CF271" i="1"/>
  <c r="CG271" i="1"/>
  <c r="BC271" i="1"/>
  <c r="CT271" i="1"/>
  <c r="AZ219" i="1"/>
  <c r="BA219" i="1"/>
  <c r="BB219" i="1"/>
  <c r="CH219" i="1"/>
  <c r="CI219" i="1"/>
  <c r="CJ219" i="1"/>
  <c r="CK219" i="1"/>
  <c r="CL219" i="1"/>
  <c r="CM219" i="1"/>
  <c r="CN219" i="1"/>
  <c r="CO219" i="1"/>
  <c r="CP219" i="1"/>
  <c r="CQ219" i="1"/>
  <c r="CR219" i="1"/>
  <c r="CS219" i="1"/>
  <c r="BV219" i="1"/>
  <c r="BW219" i="1"/>
  <c r="BX219" i="1"/>
  <c r="BY219" i="1"/>
  <c r="BZ219" i="1"/>
  <c r="CA219" i="1"/>
  <c r="CB219" i="1"/>
  <c r="CC219" i="1"/>
  <c r="CD219" i="1"/>
  <c r="CE219" i="1"/>
  <c r="CF219" i="1"/>
  <c r="CG219" i="1"/>
  <c r="BC219" i="1"/>
  <c r="CT219" i="1"/>
  <c r="AZ52" i="1"/>
  <c r="BA52" i="1"/>
  <c r="BB52" i="1"/>
  <c r="CH52" i="1"/>
  <c r="CI52" i="1"/>
  <c r="CJ52" i="1"/>
  <c r="CK52" i="1"/>
  <c r="CL52" i="1"/>
  <c r="CM52" i="1"/>
  <c r="CN52" i="1"/>
  <c r="CO52" i="1"/>
  <c r="CP52" i="1"/>
  <c r="CQ52" i="1"/>
  <c r="CR52" i="1"/>
  <c r="CS52" i="1"/>
  <c r="BV52" i="1"/>
  <c r="BW52" i="1"/>
  <c r="BX52" i="1"/>
  <c r="BY52" i="1"/>
  <c r="BZ52" i="1"/>
  <c r="CA52" i="1"/>
  <c r="CB52" i="1"/>
  <c r="CC52" i="1"/>
  <c r="CD52" i="1"/>
  <c r="CE52" i="1"/>
  <c r="CF52" i="1"/>
  <c r="CG52" i="1"/>
  <c r="BC52" i="1"/>
  <c r="CT52" i="1"/>
  <c r="AZ242" i="1"/>
  <c r="BA242" i="1"/>
  <c r="BB242" i="1"/>
  <c r="CH242" i="1"/>
  <c r="CI242" i="1"/>
  <c r="CJ242" i="1"/>
  <c r="CK242" i="1"/>
  <c r="CL242" i="1"/>
  <c r="CM242" i="1"/>
  <c r="CN242" i="1"/>
  <c r="CO242" i="1"/>
  <c r="CP242" i="1"/>
  <c r="CQ242" i="1"/>
  <c r="CR242" i="1"/>
  <c r="CS242" i="1"/>
  <c r="BV242" i="1"/>
  <c r="BW242" i="1"/>
  <c r="BX242" i="1"/>
  <c r="BY242" i="1"/>
  <c r="BZ242" i="1"/>
  <c r="CA242" i="1"/>
  <c r="CB242" i="1"/>
  <c r="CC242" i="1"/>
  <c r="CD242" i="1"/>
  <c r="CE242" i="1"/>
  <c r="CF242" i="1"/>
  <c r="CG242" i="1"/>
  <c r="BC242" i="1"/>
  <c r="CT242" i="1"/>
  <c r="AZ241" i="1"/>
  <c r="BA241" i="1"/>
  <c r="BB241" i="1"/>
  <c r="CH241" i="1"/>
  <c r="CI241" i="1"/>
  <c r="CJ241" i="1"/>
  <c r="CK241" i="1"/>
  <c r="CL241" i="1"/>
  <c r="CM241" i="1"/>
  <c r="CN241" i="1"/>
  <c r="CO241" i="1"/>
  <c r="CP241" i="1"/>
  <c r="CQ241" i="1"/>
  <c r="CR241" i="1"/>
  <c r="CS241" i="1"/>
  <c r="BV241" i="1"/>
  <c r="BW241" i="1"/>
  <c r="BX241" i="1"/>
  <c r="BY241" i="1"/>
  <c r="BZ241" i="1"/>
  <c r="CA241" i="1"/>
  <c r="CB241" i="1"/>
  <c r="CC241" i="1"/>
  <c r="CD241" i="1"/>
  <c r="CE241" i="1"/>
  <c r="CF241" i="1"/>
  <c r="CG241" i="1"/>
  <c r="BC241" i="1"/>
  <c r="CT241" i="1"/>
  <c r="X29" i="2"/>
  <c r="B265" i="4"/>
  <c r="X265" i="4"/>
  <c r="N29" i="2"/>
  <c r="N265" i="4"/>
  <c r="X30" i="2"/>
  <c r="B145" i="4"/>
  <c r="X16" i="2"/>
  <c r="X12" i="2"/>
  <c r="X145" i="4"/>
  <c r="Q21" i="2"/>
  <c r="N38" i="2"/>
  <c r="B226" i="4"/>
  <c r="N226" i="4"/>
  <c r="N36" i="2"/>
  <c r="B227" i="4"/>
  <c r="N227" i="4"/>
  <c r="B223" i="4"/>
  <c r="N223" i="4"/>
  <c r="B224" i="4"/>
  <c r="N224" i="4"/>
  <c r="O28" i="2"/>
  <c r="B166" i="4"/>
  <c r="O166" i="4"/>
  <c r="B167" i="4"/>
  <c r="O167" i="4"/>
  <c r="H14" i="2"/>
  <c r="B165" i="4"/>
  <c r="O165" i="4"/>
  <c r="N28" i="2"/>
  <c r="N165" i="4"/>
  <c r="Y51" i="2"/>
  <c r="B368" i="4"/>
  <c r="Y368" i="4"/>
  <c r="AJ356" i="5"/>
  <c r="Q30" i="2"/>
  <c r="B289" i="4"/>
  <c r="Q289" i="4"/>
  <c r="AZ160" i="1"/>
  <c r="BA160" i="1"/>
  <c r="BB160" i="1"/>
  <c r="CH160" i="1"/>
  <c r="CI160" i="1"/>
  <c r="CJ160" i="1"/>
  <c r="CK160" i="1"/>
  <c r="CL160" i="1"/>
  <c r="CM160" i="1"/>
  <c r="CN160" i="1"/>
  <c r="CO160" i="1"/>
  <c r="CP160" i="1"/>
  <c r="CQ160" i="1"/>
  <c r="CR160" i="1"/>
  <c r="CS160" i="1"/>
  <c r="BV160" i="1"/>
  <c r="BW160" i="1"/>
  <c r="BX160" i="1"/>
  <c r="BY160" i="1"/>
  <c r="BZ160" i="1"/>
  <c r="CA160" i="1"/>
  <c r="CB160" i="1"/>
  <c r="CC160" i="1"/>
  <c r="CD160" i="1"/>
  <c r="CE160" i="1"/>
  <c r="CF160" i="1"/>
  <c r="CG160" i="1"/>
  <c r="BC160" i="1"/>
  <c r="CT160" i="1"/>
  <c r="V15" i="2"/>
  <c r="V8" i="2"/>
  <c r="V7" i="2"/>
  <c r="V40" i="2"/>
  <c r="V32" i="2"/>
  <c r="V39" i="2"/>
  <c r="V27" i="2"/>
  <c r="V18" i="2"/>
  <c r="V16" i="2"/>
  <c r="V21" i="2"/>
  <c r="B66" i="4"/>
  <c r="V66" i="4"/>
  <c r="V5" i="2"/>
  <c r="V76" i="4"/>
  <c r="V6" i="2"/>
  <c r="B77" i="4"/>
  <c r="V77" i="4"/>
  <c r="C5" i="2"/>
  <c r="C6" i="2"/>
  <c r="C77" i="4"/>
  <c r="D6" i="2"/>
  <c r="D77" i="4"/>
  <c r="E5" i="2"/>
  <c r="E6" i="2"/>
  <c r="E77" i="4"/>
  <c r="F5" i="2"/>
  <c r="F6" i="2"/>
  <c r="F77" i="4"/>
  <c r="H6" i="2"/>
  <c r="H77" i="4"/>
  <c r="I5" i="2"/>
  <c r="I6" i="2"/>
  <c r="I77" i="4"/>
  <c r="J5" i="2"/>
  <c r="J6" i="2"/>
  <c r="J77" i="4"/>
  <c r="L6" i="2"/>
  <c r="L77" i="4"/>
  <c r="M6" i="2"/>
  <c r="M77" i="4"/>
  <c r="N6" i="2"/>
  <c r="N77" i="4"/>
  <c r="O5" i="2"/>
  <c r="O6" i="2"/>
  <c r="O77" i="4"/>
  <c r="P5" i="2"/>
  <c r="P6" i="2"/>
  <c r="P77" i="4"/>
  <c r="Q5" i="2"/>
  <c r="Q6" i="2"/>
  <c r="Q77" i="4"/>
  <c r="R5" i="2"/>
  <c r="R6" i="2"/>
  <c r="R77" i="4"/>
  <c r="AI77" i="4"/>
  <c r="T77" i="4" a="1"/>
  <c r="T77" i="4"/>
  <c r="U77" i="4" a="1"/>
  <c r="U77" i="4"/>
  <c r="X5" i="2"/>
  <c r="X6" i="2"/>
  <c r="X77" i="4"/>
  <c r="Y5" i="2"/>
  <c r="Y6" i="2"/>
  <c r="Y77" i="4"/>
  <c r="Z5" i="2"/>
  <c r="Z6" i="2"/>
  <c r="Z77" i="4"/>
  <c r="AA77" i="4"/>
  <c r="AC77" i="4"/>
  <c r="AD77" i="4"/>
  <c r="AE77" i="4"/>
  <c r="AF77" i="4"/>
  <c r="AG77" i="4"/>
  <c r="AH77" i="4"/>
  <c r="AJ77" i="4"/>
  <c r="AL77" i="4"/>
  <c r="G6" i="2"/>
  <c r="K6" i="2"/>
  <c r="S6" i="2"/>
  <c r="T6" i="2"/>
  <c r="U6" i="2"/>
  <c r="W6" i="2"/>
  <c r="AA6" i="2"/>
  <c r="AB6" i="2"/>
  <c r="E97" i="5"/>
  <c r="F97" i="5"/>
  <c r="AC6" i="2"/>
  <c r="H97" i="5"/>
  <c r="I97" i="5"/>
  <c r="AD6" i="2"/>
  <c r="AE6" i="2"/>
  <c r="K97" i="5"/>
  <c r="L97" i="5"/>
  <c r="AF6" i="2"/>
  <c r="AG6" i="2"/>
  <c r="AH6" i="2"/>
  <c r="AI6" i="2"/>
  <c r="AJ6" i="2"/>
  <c r="N97" i="5"/>
  <c r="O97" i="5"/>
  <c r="AK6" i="2"/>
  <c r="R97" i="5"/>
  <c r="Q97" i="5"/>
  <c r="AL6" i="2"/>
  <c r="AM6" i="2"/>
  <c r="AZ158" i="1"/>
  <c r="BA158" i="1"/>
  <c r="BB158" i="1"/>
  <c r="CH158" i="1"/>
  <c r="CI158" i="1"/>
  <c r="CJ158" i="1"/>
  <c r="CK158" i="1"/>
  <c r="CL158" i="1"/>
  <c r="CM158" i="1"/>
  <c r="CN158" i="1"/>
  <c r="CO158" i="1"/>
  <c r="CP158" i="1"/>
  <c r="CQ158" i="1"/>
  <c r="CR158" i="1"/>
  <c r="CS158" i="1"/>
  <c r="BV158" i="1"/>
  <c r="BW158" i="1"/>
  <c r="BX158" i="1"/>
  <c r="BY158" i="1"/>
  <c r="BZ158" i="1"/>
  <c r="CA158" i="1"/>
  <c r="CB158" i="1"/>
  <c r="CC158" i="1"/>
  <c r="CD158" i="1"/>
  <c r="CE158" i="1"/>
  <c r="CF158" i="1"/>
  <c r="CG158" i="1"/>
  <c r="BC158" i="1"/>
  <c r="CT158" i="1"/>
  <c r="AZ159" i="1"/>
  <c r="BA159" i="1"/>
  <c r="BB159" i="1"/>
  <c r="CH159" i="1"/>
  <c r="CI159" i="1"/>
  <c r="CJ159" i="1"/>
  <c r="CK159" i="1"/>
  <c r="CL159" i="1"/>
  <c r="CM159" i="1"/>
  <c r="CN159" i="1"/>
  <c r="CO159" i="1"/>
  <c r="CP159" i="1"/>
  <c r="CQ159" i="1"/>
  <c r="CR159" i="1"/>
  <c r="CS159" i="1"/>
  <c r="BV159" i="1"/>
  <c r="BW159" i="1"/>
  <c r="BX159" i="1"/>
  <c r="BY159" i="1"/>
  <c r="BZ159" i="1"/>
  <c r="CA159" i="1"/>
  <c r="CB159" i="1"/>
  <c r="CC159" i="1"/>
  <c r="CD159" i="1"/>
  <c r="CE159" i="1"/>
  <c r="CF159" i="1"/>
  <c r="CG159" i="1"/>
  <c r="BC159" i="1"/>
  <c r="CT159" i="1"/>
  <c r="AZ51" i="1"/>
  <c r="BA51" i="1"/>
  <c r="BB51" i="1"/>
  <c r="CH51" i="1"/>
  <c r="CI51" i="1"/>
  <c r="CJ51" i="1"/>
  <c r="CK51" i="1"/>
  <c r="CL51" i="1"/>
  <c r="CM51" i="1"/>
  <c r="CN51" i="1"/>
  <c r="CO51" i="1"/>
  <c r="CP51" i="1"/>
  <c r="CQ51" i="1"/>
  <c r="CR51" i="1"/>
  <c r="CS51" i="1"/>
  <c r="BV51" i="1"/>
  <c r="BW51" i="1"/>
  <c r="BX51" i="1"/>
  <c r="BY51" i="1"/>
  <c r="BZ51" i="1"/>
  <c r="CA51" i="1"/>
  <c r="CB51" i="1"/>
  <c r="CC51" i="1"/>
  <c r="CD51" i="1"/>
  <c r="CE51" i="1"/>
  <c r="CF51" i="1"/>
  <c r="CG51" i="1"/>
  <c r="BC51" i="1"/>
  <c r="CT51" i="1"/>
  <c r="B139" i="6"/>
  <c r="C139" i="6"/>
  <c r="D139" i="6"/>
  <c r="V139" i="6"/>
  <c r="W139" i="6"/>
  <c r="X139" i="6"/>
  <c r="Y139" i="6"/>
  <c r="Z139" i="6"/>
  <c r="AA139" i="6"/>
  <c r="AB139" i="6"/>
  <c r="AC139" i="6"/>
  <c r="AD139" i="6"/>
  <c r="AE139" i="6"/>
  <c r="AF139" i="6"/>
  <c r="AG139" i="6"/>
  <c r="AH139" i="6"/>
  <c r="AL19" i="5"/>
  <c r="N19" i="5"/>
  <c r="L19" i="5"/>
  <c r="B19" i="5"/>
  <c r="C28" i="2"/>
  <c r="C167" i="4"/>
  <c r="C19" i="5"/>
  <c r="D28" i="2"/>
  <c r="D167" i="4"/>
  <c r="F19" i="5"/>
  <c r="H19" i="5"/>
  <c r="I19" i="5"/>
  <c r="H28" i="2"/>
  <c r="H167" i="4"/>
  <c r="O19" i="5"/>
  <c r="L28" i="2"/>
  <c r="L167" i="4"/>
  <c r="M28" i="2"/>
  <c r="M167" i="4"/>
  <c r="T19" i="5"/>
  <c r="U19" i="5"/>
  <c r="P28" i="2"/>
  <c r="P167" i="4"/>
  <c r="W19" i="5"/>
  <c r="Q28" i="2"/>
  <c r="Q167" i="4"/>
  <c r="X19" i="5"/>
  <c r="R28" i="2"/>
  <c r="R167" i="4"/>
  <c r="Z19" i="5"/>
  <c r="S28" i="2"/>
  <c r="S167" i="4"/>
  <c r="AA19" i="5"/>
  <c r="AI167" i="4"/>
  <c r="T167" i="4" a="1"/>
  <c r="T167" i="4"/>
  <c r="AC19" i="5"/>
  <c r="U167" i="4" a="1"/>
  <c r="U167" i="4"/>
  <c r="AD19" i="5"/>
  <c r="AF19" i="5"/>
  <c r="AG19" i="5"/>
  <c r="X28" i="2"/>
  <c r="X167" i="4"/>
  <c r="AI19" i="5"/>
  <c r="Y28" i="2"/>
  <c r="Y167" i="4"/>
  <c r="AJ19" i="5"/>
  <c r="Z28" i="2"/>
  <c r="Z167" i="4"/>
  <c r="AM19" i="5"/>
  <c r="AN19" i="5"/>
  <c r="AO19" i="5"/>
  <c r="AP19" i="5"/>
  <c r="AQ19" i="5"/>
  <c r="AR19" i="5"/>
  <c r="AS19" i="5"/>
  <c r="AT19" i="5"/>
  <c r="AU19" i="5"/>
  <c r="AV19" i="5"/>
  <c r="AW19" i="5"/>
  <c r="AX19" i="5"/>
  <c r="AY19" i="5"/>
  <c r="AZ19" i="5"/>
  <c r="BA19" i="5"/>
  <c r="BB19" i="5"/>
  <c r="BC19" i="5"/>
  <c r="BD19" i="5"/>
  <c r="BE19" i="5"/>
  <c r="E28" i="2"/>
  <c r="E257" i="4"/>
  <c r="F28" i="2"/>
  <c r="F257" i="4"/>
  <c r="I28" i="2"/>
  <c r="I257" i="4"/>
  <c r="J28" i="2"/>
  <c r="J257" i="4"/>
  <c r="K28" i="2"/>
  <c r="K257" i="4"/>
  <c r="AA257" i="4"/>
  <c r="AC257" i="4"/>
  <c r="AD257" i="4"/>
  <c r="AE257" i="4"/>
  <c r="AF257" i="4"/>
  <c r="AG257" i="4"/>
  <c r="AH257" i="4"/>
  <c r="AJ257" i="4"/>
  <c r="AL257" i="4"/>
  <c r="G54" i="2"/>
  <c r="T54" i="2"/>
  <c r="U54" i="2"/>
  <c r="V54" i="2"/>
  <c r="W54" i="2"/>
  <c r="AA54" i="2"/>
  <c r="AB54" i="2"/>
  <c r="AC54" i="2"/>
  <c r="AD54" i="2"/>
  <c r="AE54" i="2"/>
  <c r="AF54" i="2"/>
  <c r="AG54" i="2"/>
  <c r="AH54" i="2"/>
  <c r="AI54" i="2"/>
  <c r="AJ54" i="2"/>
  <c r="AK54" i="2"/>
  <c r="AL54" i="2"/>
  <c r="AM54" i="2"/>
  <c r="AZ269" i="1"/>
  <c r="BA269" i="1"/>
  <c r="BB269" i="1"/>
  <c r="CH269" i="1"/>
  <c r="CI269" i="1"/>
  <c r="CJ269" i="1"/>
  <c r="CK269" i="1"/>
  <c r="CL269" i="1"/>
  <c r="CM269" i="1"/>
  <c r="CN269" i="1"/>
  <c r="CO269" i="1"/>
  <c r="CP269" i="1"/>
  <c r="CQ269" i="1"/>
  <c r="CR269" i="1"/>
  <c r="CS269" i="1"/>
  <c r="BV269" i="1"/>
  <c r="BW269" i="1"/>
  <c r="BX269" i="1"/>
  <c r="BY269" i="1"/>
  <c r="BZ269" i="1"/>
  <c r="CA269" i="1"/>
  <c r="CB269" i="1"/>
  <c r="CC269" i="1"/>
  <c r="CD269" i="1"/>
  <c r="CE269" i="1"/>
  <c r="CF269" i="1"/>
  <c r="CG269" i="1"/>
  <c r="BC269" i="1"/>
  <c r="CT269" i="1"/>
  <c r="AZ268" i="1"/>
  <c r="BA268" i="1"/>
  <c r="BB268" i="1"/>
  <c r="CH268" i="1"/>
  <c r="CI268" i="1"/>
  <c r="CJ268" i="1"/>
  <c r="CK268" i="1"/>
  <c r="CL268" i="1"/>
  <c r="CM268" i="1"/>
  <c r="CN268" i="1"/>
  <c r="CO268" i="1"/>
  <c r="CP268" i="1"/>
  <c r="CQ268" i="1"/>
  <c r="CR268" i="1"/>
  <c r="CS268" i="1"/>
  <c r="BV268" i="1"/>
  <c r="BW268" i="1"/>
  <c r="BX268" i="1"/>
  <c r="BY268" i="1"/>
  <c r="BZ268" i="1"/>
  <c r="CA268" i="1"/>
  <c r="CB268" i="1"/>
  <c r="CC268" i="1"/>
  <c r="CD268" i="1"/>
  <c r="CE268" i="1"/>
  <c r="CF268" i="1"/>
  <c r="CG268" i="1"/>
  <c r="BC268" i="1"/>
  <c r="CT268" i="1"/>
  <c r="D346" i="9"/>
  <c r="E346" i="9"/>
  <c r="F346" i="9"/>
  <c r="G346" i="9"/>
  <c r="C123" i="7"/>
  <c r="E123" i="7"/>
  <c r="D123" i="7"/>
  <c r="AG3" i="5"/>
  <c r="AF3" i="5"/>
  <c r="C39" i="2"/>
  <c r="B121" i="4"/>
  <c r="C121" i="4"/>
  <c r="C3" i="5"/>
  <c r="D39" i="2"/>
  <c r="D121" i="4"/>
  <c r="E3" i="5"/>
  <c r="H39" i="2"/>
  <c r="H121" i="4"/>
  <c r="K3" i="5"/>
  <c r="L39" i="2"/>
  <c r="L121" i="4"/>
  <c r="Q3" i="5"/>
  <c r="M39" i="2"/>
  <c r="M121" i="4"/>
  <c r="R3" i="5"/>
  <c r="T3" i="5"/>
  <c r="O39" i="2"/>
  <c r="O121" i="4"/>
  <c r="U3" i="5"/>
  <c r="P39" i="2"/>
  <c r="P121" i="4"/>
  <c r="W3" i="5"/>
  <c r="Q39" i="2"/>
  <c r="Q121" i="4"/>
  <c r="X3" i="5"/>
  <c r="S39" i="2"/>
  <c r="S121" i="4"/>
  <c r="AA3" i="5"/>
  <c r="AI121" i="4"/>
  <c r="T121" i="4" a="1"/>
  <c r="T121" i="4"/>
  <c r="AC3" i="5"/>
  <c r="U121" i="4" a="1"/>
  <c r="U121" i="4"/>
  <c r="AD3" i="5"/>
  <c r="X39" i="2"/>
  <c r="X121" i="4"/>
  <c r="AI3" i="5"/>
  <c r="Y39" i="2"/>
  <c r="Y121" i="4"/>
  <c r="AJ3" i="5"/>
  <c r="Z39" i="2"/>
  <c r="Z121" i="4"/>
  <c r="AL3" i="5"/>
  <c r="F3" i="5"/>
  <c r="L3" i="5"/>
  <c r="N3" i="5"/>
  <c r="O3" i="5"/>
  <c r="H3" i="5"/>
  <c r="I3" i="5"/>
  <c r="Z3" i="5"/>
  <c r="AN3" i="5"/>
  <c r="O4" i="5"/>
  <c r="H27" i="2"/>
  <c r="B124" i="4"/>
  <c r="H124" i="4"/>
  <c r="K4" i="5"/>
  <c r="AG4" i="5"/>
  <c r="AF4" i="5"/>
  <c r="C27" i="2"/>
  <c r="C124" i="4"/>
  <c r="C4" i="5"/>
  <c r="D27" i="2"/>
  <c r="D124" i="4"/>
  <c r="E4" i="5"/>
  <c r="I27" i="2"/>
  <c r="I124" i="4"/>
  <c r="L4" i="5"/>
  <c r="J27" i="2"/>
  <c r="J124" i="4"/>
  <c r="N4" i="5"/>
  <c r="L27" i="2"/>
  <c r="L124" i="4"/>
  <c r="Q4" i="5"/>
  <c r="M27" i="2"/>
  <c r="M124" i="4"/>
  <c r="R4" i="5"/>
  <c r="T4" i="5"/>
  <c r="O27" i="2"/>
  <c r="O124" i="4"/>
  <c r="U4" i="5"/>
  <c r="W4" i="5"/>
  <c r="Q27" i="2"/>
  <c r="Q124" i="4"/>
  <c r="X4" i="5"/>
  <c r="AA4" i="5"/>
  <c r="AI124" i="4"/>
  <c r="T124" i="4" a="1"/>
  <c r="T124" i="4"/>
  <c r="AC4" i="5"/>
  <c r="U124" i="4" a="1"/>
  <c r="U124" i="4"/>
  <c r="AD4" i="5"/>
  <c r="X27" i="2"/>
  <c r="X124" i="4"/>
  <c r="AI4" i="5"/>
  <c r="Y27" i="2"/>
  <c r="Y124" i="4"/>
  <c r="AJ4" i="5"/>
  <c r="Z27" i="2"/>
  <c r="Z124" i="4"/>
  <c r="AL4" i="5"/>
  <c r="F4" i="5"/>
  <c r="H4" i="5"/>
  <c r="I4" i="5"/>
  <c r="Z4" i="5"/>
  <c r="AN4" i="5"/>
  <c r="AG5" i="5"/>
  <c r="AF5" i="5"/>
  <c r="B204" i="4"/>
  <c r="C16" i="2"/>
  <c r="C204" i="4"/>
  <c r="C5" i="5"/>
  <c r="D16" i="2"/>
  <c r="D204" i="4"/>
  <c r="E5" i="5"/>
  <c r="E27" i="2"/>
  <c r="E16" i="2"/>
  <c r="E204" i="4"/>
  <c r="F5" i="5"/>
  <c r="F27" i="2"/>
  <c r="F16" i="2"/>
  <c r="F204" i="4"/>
  <c r="H5" i="5"/>
  <c r="I5" i="5"/>
  <c r="H16" i="2"/>
  <c r="H204" i="4"/>
  <c r="K5" i="5"/>
  <c r="L16" i="2"/>
  <c r="L204" i="4"/>
  <c r="Q5" i="5"/>
  <c r="M16" i="2"/>
  <c r="M204" i="4"/>
  <c r="R5" i="5"/>
  <c r="T5" i="5"/>
  <c r="U5" i="5"/>
  <c r="P27" i="2"/>
  <c r="P16" i="2"/>
  <c r="P204" i="4"/>
  <c r="W5" i="5"/>
  <c r="Q16" i="2"/>
  <c r="Q204" i="4"/>
  <c r="X5" i="5"/>
  <c r="S27" i="2"/>
  <c r="S204" i="4"/>
  <c r="AA5" i="5"/>
  <c r="AI204" i="4"/>
  <c r="T204" i="4" a="1"/>
  <c r="T204" i="4"/>
  <c r="AC5" i="5"/>
  <c r="U204" i="4" a="1"/>
  <c r="U204" i="4"/>
  <c r="AD5" i="5"/>
  <c r="X204" i="4"/>
  <c r="AI5" i="5"/>
  <c r="Y16" i="2"/>
  <c r="Y204" i="4"/>
  <c r="AJ5" i="5"/>
  <c r="Z16" i="2"/>
  <c r="Z204" i="4"/>
  <c r="AL5" i="5"/>
  <c r="L5" i="5"/>
  <c r="N5" i="5"/>
  <c r="O5" i="5"/>
  <c r="Z5" i="5"/>
  <c r="AN5" i="5"/>
  <c r="AG6" i="5"/>
  <c r="AF6" i="5"/>
  <c r="C40" i="2"/>
  <c r="B228" i="4"/>
  <c r="C228" i="4"/>
  <c r="C6" i="5"/>
  <c r="D228" i="4"/>
  <c r="E6" i="5"/>
  <c r="H228" i="4"/>
  <c r="K6" i="5"/>
  <c r="L228" i="4"/>
  <c r="Q6" i="5"/>
  <c r="M228" i="4"/>
  <c r="R6" i="5"/>
  <c r="N40" i="2"/>
  <c r="N228" i="4"/>
  <c r="T6" i="5"/>
  <c r="O40" i="2"/>
  <c r="O228" i="4"/>
  <c r="U6" i="5"/>
  <c r="P40" i="2"/>
  <c r="P228" i="4"/>
  <c r="W6" i="5"/>
  <c r="Q40" i="2"/>
  <c r="Q228" i="4"/>
  <c r="X6" i="5"/>
  <c r="S40" i="2"/>
  <c r="S228" i="4"/>
  <c r="AA6" i="5"/>
  <c r="AD6" i="5"/>
  <c r="X40" i="2"/>
  <c r="X228" i="4"/>
  <c r="AI6" i="5"/>
  <c r="Y40" i="2"/>
  <c r="Y228" i="4"/>
  <c r="AJ6" i="5"/>
  <c r="Z40" i="2"/>
  <c r="Z228" i="4"/>
  <c r="AL6" i="5"/>
  <c r="F6" i="5"/>
  <c r="H6" i="5"/>
  <c r="I6" i="5"/>
  <c r="L6" i="5"/>
  <c r="N6" i="5"/>
  <c r="O6" i="5"/>
  <c r="Z6" i="5"/>
  <c r="AN6" i="5"/>
  <c r="AG7" i="5"/>
  <c r="AF7" i="5"/>
  <c r="B229" i="4"/>
  <c r="C229" i="4"/>
  <c r="C7" i="5"/>
  <c r="D229" i="4"/>
  <c r="E7" i="5"/>
  <c r="H229" i="4"/>
  <c r="K7" i="5"/>
  <c r="L229" i="4"/>
  <c r="Q7" i="5"/>
  <c r="M229" i="4"/>
  <c r="R7" i="5"/>
  <c r="N229" i="4"/>
  <c r="T7" i="5"/>
  <c r="O229" i="4"/>
  <c r="U7" i="5"/>
  <c r="P229" i="4"/>
  <c r="W7" i="5"/>
  <c r="Q229" i="4"/>
  <c r="X7" i="5"/>
  <c r="S229" i="4"/>
  <c r="AA7" i="5"/>
  <c r="AD7" i="5"/>
  <c r="X229" i="4"/>
  <c r="AI7" i="5"/>
  <c r="Y229" i="4"/>
  <c r="AJ7" i="5"/>
  <c r="Z229" i="4"/>
  <c r="AL7" i="5"/>
  <c r="F7" i="5"/>
  <c r="H7" i="5"/>
  <c r="I7" i="5"/>
  <c r="L7" i="5"/>
  <c r="N7" i="5"/>
  <c r="O7" i="5"/>
  <c r="Z7" i="5"/>
  <c r="AN7" i="5"/>
  <c r="AG8" i="5"/>
  <c r="AF8" i="5"/>
  <c r="B254" i="4"/>
  <c r="C254" i="4"/>
  <c r="C8" i="5"/>
  <c r="D254" i="4"/>
  <c r="E8" i="5"/>
  <c r="H254" i="4"/>
  <c r="K8" i="5"/>
  <c r="L254" i="4"/>
  <c r="Q8" i="5"/>
  <c r="M254" i="4"/>
  <c r="R8" i="5"/>
  <c r="T8" i="5"/>
  <c r="O254" i="4"/>
  <c r="U8" i="5"/>
  <c r="P254" i="4"/>
  <c r="W8" i="5"/>
  <c r="Q254" i="4"/>
  <c r="X8" i="5"/>
  <c r="S254" i="4"/>
  <c r="AA8" i="5"/>
  <c r="AI254" i="4"/>
  <c r="T254" i="4" a="1"/>
  <c r="T254" i="4"/>
  <c r="AC8" i="5"/>
  <c r="U254" i="4" a="1"/>
  <c r="U254" i="4"/>
  <c r="AD8" i="5"/>
  <c r="X254" i="4"/>
  <c r="AI8" i="5"/>
  <c r="Y254" i="4"/>
  <c r="AJ8" i="5"/>
  <c r="Z254" i="4"/>
  <c r="AL8" i="5"/>
  <c r="F8" i="5"/>
  <c r="H8" i="5"/>
  <c r="I8" i="5"/>
  <c r="L8" i="5"/>
  <c r="N8" i="5"/>
  <c r="O8" i="5"/>
  <c r="Z8" i="5"/>
  <c r="AN8" i="5"/>
  <c r="AG9" i="5"/>
  <c r="AF9" i="5"/>
  <c r="C19" i="2"/>
  <c r="C42" i="4"/>
  <c r="C9" i="5"/>
  <c r="D42" i="4"/>
  <c r="E9" i="5"/>
  <c r="E42" i="4"/>
  <c r="F9" i="5"/>
  <c r="F42" i="4"/>
  <c r="H9" i="5"/>
  <c r="I9" i="5"/>
  <c r="H42" i="4"/>
  <c r="K9" i="5"/>
  <c r="L42" i="4"/>
  <c r="Q9" i="5"/>
  <c r="M42" i="4"/>
  <c r="R9" i="5"/>
  <c r="T9" i="5"/>
  <c r="O19" i="2"/>
  <c r="O42" i="4"/>
  <c r="U9" i="5"/>
  <c r="P19" i="2"/>
  <c r="P42" i="4"/>
  <c r="W9" i="5"/>
  <c r="Q19" i="2"/>
  <c r="Q42" i="4"/>
  <c r="X9" i="5"/>
  <c r="S19" i="2"/>
  <c r="S42" i="4"/>
  <c r="AA9" i="5"/>
  <c r="AI42" i="4"/>
  <c r="T42" i="4" a="1"/>
  <c r="T42" i="4"/>
  <c r="AC9" i="5"/>
  <c r="U42" i="4" a="1"/>
  <c r="U42" i="4"/>
  <c r="AD9" i="5"/>
  <c r="X19" i="2"/>
  <c r="X42" i="4"/>
  <c r="AI9" i="5"/>
  <c r="Y19" i="2"/>
  <c r="Y42" i="4"/>
  <c r="AJ9" i="5"/>
  <c r="Z19" i="2"/>
  <c r="Z42" i="4"/>
  <c r="AL9" i="5"/>
  <c r="L9" i="5"/>
  <c r="N9" i="5"/>
  <c r="O9" i="5"/>
  <c r="Z9" i="5"/>
  <c r="AN9" i="5"/>
  <c r="AG10" i="5"/>
  <c r="AF10" i="5"/>
  <c r="C3" i="2"/>
  <c r="B68" i="4"/>
  <c r="C68" i="4"/>
  <c r="C10" i="5"/>
  <c r="D3" i="2"/>
  <c r="D68" i="4"/>
  <c r="E10" i="5"/>
  <c r="K10" i="5"/>
  <c r="L3" i="2"/>
  <c r="L68" i="4"/>
  <c r="Q10" i="5"/>
  <c r="M3" i="2"/>
  <c r="M68" i="4"/>
  <c r="R10" i="5"/>
  <c r="T10" i="5"/>
  <c r="O68" i="4"/>
  <c r="U10" i="5"/>
  <c r="P3" i="2"/>
  <c r="P68" i="4"/>
  <c r="W10" i="5"/>
  <c r="Q3" i="2"/>
  <c r="Q68" i="4"/>
  <c r="X10" i="5"/>
  <c r="S3" i="2"/>
  <c r="S68" i="4"/>
  <c r="AA10" i="5"/>
  <c r="AI68" i="4"/>
  <c r="T68" i="4" a="1"/>
  <c r="T68" i="4"/>
  <c r="AC10" i="5"/>
  <c r="U68" i="4" a="1"/>
  <c r="U68" i="4"/>
  <c r="AD10" i="5"/>
  <c r="X3" i="2"/>
  <c r="X68" i="4"/>
  <c r="AI10" i="5"/>
  <c r="Y3" i="2"/>
  <c r="Y68" i="4"/>
  <c r="AJ10" i="5"/>
  <c r="Z3" i="2"/>
  <c r="Z68" i="4"/>
  <c r="AL10" i="5"/>
  <c r="F10" i="5"/>
  <c r="H10" i="5"/>
  <c r="I10" i="5"/>
  <c r="L10" i="5"/>
  <c r="N10" i="5"/>
  <c r="O10" i="5"/>
  <c r="Z10" i="5"/>
  <c r="AN10" i="5"/>
  <c r="AG11" i="5"/>
  <c r="AF11" i="5"/>
  <c r="C2" i="2"/>
  <c r="B69" i="4"/>
  <c r="C69" i="4"/>
  <c r="C11" i="5"/>
  <c r="D2" i="2"/>
  <c r="D69" i="4"/>
  <c r="E11" i="5"/>
  <c r="K11" i="5"/>
  <c r="L2" i="2"/>
  <c r="L69" i="4"/>
  <c r="Q11" i="5"/>
  <c r="M2" i="2"/>
  <c r="M69" i="4"/>
  <c r="R11" i="5"/>
  <c r="T11" i="5"/>
  <c r="U11" i="5"/>
  <c r="P2" i="2"/>
  <c r="P69" i="4"/>
  <c r="W11" i="5"/>
  <c r="Q2" i="2"/>
  <c r="Q69" i="4"/>
  <c r="X11" i="5"/>
  <c r="S2" i="2"/>
  <c r="S69" i="4"/>
  <c r="AA11" i="5"/>
  <c r="AI69" i="4"/>
  <c r="T69" i="4" a="1"/>
  <c r="T69" i="4"/>
  <c r="AC11" i="5"/>
  <c r="U69" i="4" a="1"/>
  <c r="U69" i="4"/>
  <c r="AD11" i="5"/>
  <c r="X2" i="2"/>
  <c r="X69" i="4"/>
  <c r="AI11" i="5"/>
  <c r="Y2" i="2"/>
  <c r="Y69" i="4"/>
  <c r="AJ11" i="5"/>
  <c r="Z2" i="2"/>
  <c r="Z69" i="4"/>
  <c r="AL11" i="5"/>
  <c r="F11" i="5"/>
  <c r="H11" i="5"/>
  <c r="I11" i="5"/>
  <c r="L11" i="5"/>
  <c r="N11" i="5"/>
  <c r="O11" i="5"/>
  <c r="Z11" i="5"/>
  <c r="AN11" i="5"/>
  <c r="S30" i="2"/>
  <c r="B99" i="4"/>
  <c r="S99" i="4"/>
  <c r="AA12" i="5"/>
  <c r="P30" i="2"/>
  <c r="P99" i="4"/>
  <c r="W12" i="5"/>
  <c r="O12" i="5"/>
  <c r="K12" i="5"/>
  <c r="AG12" i="5"/>
  <c r="AF12" i="5"/>
  <c r="C30" i="2"/>
  <c r="C99" i="4"/>
  <c r="C12" i="5"/>
  <c r="D30" i="2"/>
  <c r="D99" i="4"/>
  <c r="E12" i="5"/>
  <c r="E30" i="2"/>
  <c r="E99" i="4"/>
  <c r="F12" i="5"/>
  <c r="F30" i="2"/>
  <c r="F99" i="4"/>
  <c r="H12" i="5"/>
  <c r="I12" i="5"/>
  <c r="L30" i="2"/>
  <c r="L99" i="4"/>
  <c r="Q12" i="5"/>
  <c r="M30" i="2"/>
  <c r="M99" i="4"/>
  <c r="R12" i="5"/>
  <c r="T12" i="5"/>
  <c r="O30" i="2"/>
  <c r="O99" i="4"/>
  <c r="U12" i="5"/>
  <c r="Q99" i="4"/>
  <c r="X12" i="5"/>
  <c r="R30" i="2"/>
  <c r="R99" i="4"/>
  <c r="Z12" i="5"/>
  <c r="AI99" i="4"/>
  <c r="T99" i="4" a="1"/>
  <c r="T99" i="4"/>
  <c r="AC12" i="5"/>
  <c r="U99" i="4" a="1"/>
  <c r="U99" i="4"/>
  <c r="AD12" i="5"/>
  <c r="X99" i="4"/>
  <c r="AI12" i="5"/>
  <c r="Y30" i="2"/>
  <c r="Y99" i="4"/>
  <c r="AJ12" i="5"/>
  <c r="Z30" i="2"/>
  <c r="Z99" i="4"/>
  <c r="AL12" i="5"/>
  <c r="AN12" i="5"/>
  <c r="B100" i="4"/>
  <c r="S100" i="4"/>
  <c r="AA13" i="5"/>
  <c r="P8" i="2"/>
  <c r="P100" i="4"/>
  <c r="W13" i="5"/>
  <c r="O13" i="5"/>
  <c r="K13" i="5"/>
  <c r="AG13" i="5"/>
  <c r="AF13" i="5"/>
  <c r="C8" i="2"/>
  <c r="C100" i="4"/>
  <c r="C13" i="5"/>
  <c r="D100" i="4"/>
  <c r="E13" i="5"/>
  <c r="E8" i="2"/>
  <c r="E100" i="4"/>
  <c r="F13" i="5"/>
  <c r="F8" i="2"/>
  <c r="F100" i="4"/>
  <c r="H13" i="5"/>
  <c r="I13" i="5"/>
  <c r="I8" i="2"/>
  <c r="I100" i="4"/>
  <c r="L13" i="5"/>
  <c r="J8" i="2"/>
  <c r="J100" i="4"/>
  <c r="N13" i="5"/>
  <c r="L100" i="4"/>
  <c r="Q13" i="5"/>
  <c r="M100" i="4"/>
  <c r="R13" i="5"/>
  <c r="T13" i="5"/>
  <c r="O8" i="2"/>
  <c r="O100" i="4"/>
  <c r="U13" i="5"/>
  <c r="Q8" i="2"/>
  <c r="Q100" i="4"/>
  <c r="X13" i="5"/>
  <c r="R8" i="2"/>
  <c r="R100" i="4"/>
  <c r="Z13" i="5"/>
  <c r="AI100" i="4"/>
  <c r="T100" i="4" a="1"/>
  <c r="T100" i="4"/>
  <c r="AC13" i="5"/>
  <c r="U100" i="4" a="1"/>
  <c r="U100" i="4"/>
  <c r="AD13" i="5"/>
  <c r="X8" i="2"/>
  <c r="X100" i="4"/>
  <c r="AI13" i="5"/>
  <c r="Y8" i="2"/>
  <c r="Y100" i="4"/>
  <c r="AJ13" i="5"/>
  <c r="Z8" i="2"/>
  <c r="Z100" i="4"/>
  <c r="AL13" i="5"/>
  <c r="AN13" i="5"/>
  <c r="AG14" i="5"/>
  <c r="AF14" i="5"/>
  <c r="B104" i="4"/>
  <c r="C104" i="4"/>
  <c r="C14" i="5"/>
  <c r="D104" i="4"/>
  <c r="E14" i="5"/>
  <c r="E104" i="4"/>
  <c r="F14" i="5"/>
  <c r="F104" i="4"/>
  <c r="H14" i="5"/>
  <c r="I14" i="5"/>
  <c r="H104" i="4"/>
  <c r="K14" i="5"/>
  <c r="L104" i="4"/>
  <c r="Q14" i="5"/>
  <c r="M104" i="4"/>
  <c r="R14" i="5"/>
  <c r="T14" i="5"/>
  <c r="O104" i="4"/>
  <c r="U14" i="5"/>
  <c r="P104" i="4"/>
  <c r="W14" i="5"/>
  <c r="Q104" i="4"/>
  <c r="X14" i="5"/>
  <c r="S104" i="4"/>
  <c r="AA14" i="5"/>
  <c r="AI104" i="4"/>
  <c r="T104" i="4" a="1"/>
  <c r="T104" i="4"/>
  <c r="AC14" i="5"/>
  <c r="U104" i="4" a="1"/>
  <c r="U104" i="4"/>
  <c r="AD14" i="5"/>
  <c r="X104" i="4"/>
  <c r="AI14" i="5"/>
  <c r="Y104" i="4"/>
  <c r="AJ14" i="5"/>
  <c r="Z104" i="4"/>
  <c r="AL14" i="5"/>
  <c r="L14" i="5"/>
  <c r="N14" i="5"/>
  <c r="O14" i="5"/>
  <c r="Z14" i="5"/>
  <c r="AN14" i="5"/>
  <c r="AG15" i="5"/>
  <c r="AF15" i="5"/>
  <c r="C41" i="2"/>
  <c r="B110" i="4"/>
  <c r="C110" i="4"/>
  <c r="C15" i="5"/>
  <c r="D41" i="2"/>
  <c r="D110" i="4"/>
  <c r="E15" i="5"/>
  <c r="E41" i="2"/>
  <c r="E110" i="4"/>
  <c r="F15" i="5"/>
  <c r="F41" i="2"/>
  <c r="F110" i="4"/>
  <c r="H15" i="5"/>
  <c r="I15" i="5"/>
  <c r="K15" i="5"/>
  <c r="L41" i="2"/>
  <c r="L110" i="4"/>
  <c r="Q15" i="5"/>
  <c r="M41" i="2"/>
  <c r="M110" i="4"/>
  <c r="R15" i="5"/>
  <c r="T15" i="5"/>
  <c r="O110" i="4"/>
  <c r="U15" i="5"/>
  <c r="P41" i="2"/>
  <c r="P110" i="4"/>
  <c r="W15" i="5"/>
  <c r="Q41" i="2"/>
  <c r="Q110" i="4"/>
  <c r="X15" i="5"/>
  <c r="S41" i="2"/>
  <c r="S110" i="4"/>
  <c r="AA15" i="5"/>
  <c r="AI110" i="4"/>
  <c r="T110" i="4" a="1"/>
  <c r="T110" i="4"/>
  <c r="AC15" i="5"/>
  <c r="U110" i="4" a="1"/>
  <c r="U110" i="4"/>
  <c r="AD15" i="5"/>
  <c r="X41" i="2"/>
  <c r="X110" i="4"/>
  <c r="AI15" i="5"/>
  <c r="Y41" i="2"/>
  <c r="Y110" i="4"/>
  <c r="AJ15" i="5"/>
  <c r="Z41" i="2"/>
  <c r="Z110" i="4"/>
  <c r="AL15" i="5"/>
  <c r="L15" i="5"/>
  <c r="N15" i="5"/>
  <c r="O15" i="5"/>
  <c r="Z15" i="5"/>
  <c r="AN15" i="5"/>
  <c r="S165" i="4"/>
  <c r="AA16" i="5"/>
  <c r="P165" i="4"/>
  <c r="W16" i="5"/>
  <c r="AG16" i="5"/>
  <c r="AF16" i="5"/>
  <c r="C165" i="4"/>
  <c r="C16" i="5"/>
  <c r="D165" i="4"/>
  <c r="E16" i="5"/>
  <c r="K16" i="5"/>
  <c r="L165" i="4"/>
  <c r="Q16" i="5"/>
  <c r="M165" i="4"/>
  <c r="R16" i="5"/>
  <c r="T16" i="5"/>
  <c r="U16" i="5"/>
  <c r="Q165" i="4"/>
  <c r="X16" i="5"/>
  <c r="R165" i="4"/>
  <c r="Z16" i="5"/>
  <c r="AI165" i="4"/>
  <c r="T165" i="4" a="1"/>
  <c r="T165" i="4"/>
  <c r="AC16" i="5"/>
  <c r="U165" i="4" a="1"/>
  <c r="U165" i="4"/>
  <c r="AD16" i="5"/>
  <c r="X165" i="4"/>
  <c r="AI16" i="5"/>
  <c r="Y165" i="4"/>
  <c r="AJ16" i="5"/>
  <c r="Z165" i="4"/>
  <c r="AL16" i="5"/>
  <c r="L16" i="5"/>
  <c r="N16" i="5"/>
  <c r="O16" i="5"/>
  <c r="F16" i="5"/>
  <c r="H16" i="5"/>
  <c r="I16" i="5"/>
  <c r="AN16" i="5"/>
  <c r="S166" i="4"/>
  <c r="AA17" i="5"/>
  <c r="P166" i="4"/>
  <c r="W17" i="5"/>
  <c r="AG17" i="5"/>
  <c r="AF17" i="5"/>
  <c r="C166" i="4"/>
  <c r="C17" i="5"/>
  <c r="D166" i="4"/>
  <c r="E17" i="5"/>
  <c r="H166" i="4"/>
  <c r="K17" i="5"/>
  <c r="L166" i="4"/>
  <c r="Q17" i="5"/>
  <c r="M166" i="4"/>
  <c r="R17" i="5"/>
  <c r="T17" i="5"/>
  <c r="U17" i="5"/>
  <c r="Q166" i="4"/>
  <c r="X17" i="5"/>
  <c r="R166" i="4"/>
  <c r="Z17" i="5"/>
  <c r="AI166" i="4"/>
  <c r="T166" i="4" a="1"/>
  <c r="T166" i="4"/>
  <c r="AC17" i="5"/>
  <c r="U166" i="4" a="1"/>
  <c r="U166" i="4"/>
  <c r="AD17" i="5"/>
  <c r="X166" i="4"/>
  <c r="AI17" i="5"/>
  <c r="Y166" i="4"/>
  <c r="AJ17" i="5"/>
  <c r="Z166" i="4"/>
  <c r="AL17" i="5"/>
  <c r="L17" i="5"/>
  <c r="N17" i="5"/>
  <c r="O17" i="5"/>
  <c r="F17" i="5"/>
  <c r="H17" i="5"/>
  <c r="I17" i="5"/>
  <c r="AN17" i="5"/>
  <c r="AA18" i="5"/>
  <c r="W18" i="5"/>
  <c r="AG18" i="5"/>
  <c r="AF18" i="5"/>
  <c r="C18" i="5"/>
  <c r="E18" i="5"/>
  <c r="K18" i="5"/>
  <c r="Q18" i="5"/>
  <c r="R18" i="5"/>
  <c r="T18" i="5"/>
  <c r="U18" i="5"/>
  <c r="X18" i="5"/>
  <c r="Z18" i="5"/>
  <c r="AC18" i="5"/>
  <c r="AD18" i="5"/>
  <c r="AI18" i="5"/>
  <c r="AJ18" i="5"/>
  <c r="AL18" i="5"/>
  <c r="L18" i="5"/>
  <c r="N18" i="5"/>
  <c r="O18" i="5"/>
  <c r="F18" i="5"/>
  <c r="H18" i="5"/>
  <c r="I18" i="5"/>
  <c r="AN18" i="5"/>
  <c r="AG21" i="5"/>
  <c r="AF21" i="5"/>
  <c r="C36" i="2"/>
  <c r="B215" i="4"/>
  <c r="C215" i="4"/>
  <c r="C21" i="5"/>
  <c r="D36" i="2"/>
  <c r="D215" i="4"/>
  <c r="E21" i="5"/>
  <c r="L36" i="2"/>
  <c r="L215" i="4"/>
  <c r="Q21" i="5"/>
  <c r="M36" i="2"/>
  <c r="M215" i="4"/>
  <c r="R21" i="5"/>
  <c r="T21" i="5"/>
  <c r="O36" i="2"/>
  <c r="O215" i="4"/>
  <c r="U21" i="5"/>
  <c r="P36" i="2"/>
  <c r="P215" i="4"/>
  <c r="W21" i="5"/>
  <c r="Q36" i="2"/>
  <c r="Q215" i="4"/>
  <c r="X21" i="5"/>
  <c r="S36" i="2"/>
  <c r="S215" i="4"/>
  <c r="AA21" i="5"/>
  <c r="AI215" i="4"/>
  <c r="T215" i="4" a="1"/>
  <c r="T215" i="4"/>
  <c r="AC21" i="5"/>
  <c r="U215" i="4" a="1"/>
  <c r="U215" i="4"/>
  <c r="AD21" i="5"/>
  <c r="X36" i="2"/>
  <c r="X215" i="4"/>
  <c r="AI21" i="5"/>
  <c r="Y36" i="2"/>
  <c r="Y215" i="4"/>
  <c r="AJ21" i="5"/>
  <c r="Z36" i="2"/>
  <c r="Z215" i="4"/>
  <c r="AL21" i="5"/>
  <c r="L21" i="5"/>
  <c r="N21" i="5"/>
  <c r="O21" i="5"/>
  <c r="F21" i="5"/>
  <c r="H21" i="5"/>
  <c r="I21" i="5"/>
  <c r="Z21" i="5"/>
  <c r="AN21" i="5"/>
  <c r="AG22" i="5"/>
  <c r="AF22" i="5"/>
  <c r="C38" i="2"/>
  <c r="B222" i="4"/>
  <c r="C222" i="4"/>
  <c r="C22" i="5"/>
  <c r="D38" i="2"/>
  <c r="D222" i="4"/>
  <c r="E22" i="5"/>
  <c r="H38" i="2"/>
  <c r="H222" i="4"/>
  <c r="K22" i="5"/>
  <c r="L38" i="2"/>
  <c r="L222" i="4"/>
  <c r="Q22" i="5"/>
  <c r="M38" i="2"/>
  <c r="M222" i="4"/>
  <c r="R22" i="5"/>
  <c r="T22" i="5"/>
  <c r="O38" i="2"/>
  <c r="O222" i="4"/>
  <c r="U22" i="5"/>
  <c r="P38" i="2"/>
  <c r="P222" i="4"/>
  <c r="W22" i="5"/>
  <c r="Q38" i="2"/>
  <c r="Q222" i="4"/>
  <c r="X22" i="5"/>
  <c r="S38" i="2"/>
  <c r="S222" i="4"/>
  <c r="AA22" i="5"/>
  <c r="AI222" i="4"/>
  <c r="T222" i="4" a="1"/>
  <c r="T222" i="4"/>
  <c r="AC22" i="5"/>
  <c r="U222" i="4" a="1"/>
  <c r="U222" i="4"/>
  <c r="AD22" i="5"/>
  <c r="X38" i="2"/>
  <c r="X222" i="4"/>
  <c r="AI22" i="5"/>
  <c r="Y38" i="2"/>
  <c r="Y222" i="4"/>
  <c r="AJ22" i="5"/>
  <c r="Z38" i="2"/>
  <c r="Z222" i="4"/>
  <c r="AL22" i="5"/>
  <c r="L22" i="5"/>
  <c r="N22" i="5"/>
  <c r="O22" i="5"/>
  <c r="F22" i="5"/>
  <c r="H22" i="5"/>
  <c r="I22" i="5"/>
  <c r="Z22" i="5"/>
  <c r="AN22" i="5"/>
  <c r="AG23" i="5"/>
  <c r="AF23" i="5"/>
  <c r="C223" i="4"/>
  <c r="C23" i="5"/>
  <c r="D223" i="4"/>
  <c r="E23" i="5"/>
  <c r="H36" i="2"/>
  <c r="H223" i="4"/>
  <c r="K23" i="5"/>
  <c r="I36" i="2"/>
  <c r="I223" i="4"/>
  <c r="L23" i="5"/>
  <c r="J36" i="2"/>
  <c r="J223" i="4"/>
  <c r="N23" i="5"/>
  <c r="O23" i="5"/>
  <c r="L223" i="4"/>
  <c r="Q23" i="5"/>
  <c r="M223" i="4"/>
  <c r="R23" i="5"/>
  <c r="T23" i="5"/>
  <c r="O223" i="4"/>
  <c r="U23" i="5"/>
  <c r="P223" i="4"/>
  <c r="W23" i="5"/>
  <c r="Q223" i="4"/>
  <c r="X23" i="5"/>
  <c r="S223" i="4"/>
  <c r="AA23" i="5"/>
  <c r="AI223" i="4"/>
  <c r="T223" i="4" a="1"/>
  <c r="T223" i="4"/>
  <c r="AC23" i="5"/>
  <c r="U223" i="4" a="1"/>
  <c r="U223" i="4"/>
  <c r="AD23" i="5"/>
  <c r="X223" i="4"/>
  <c r="AI23" i="5"/>
  <c r="Y223" i="4"/>
  <c r="AJ23" i="5"/>
  <c r="Z223" i="4"/>
  <c r="AL23" i="5"/>
  <c r="F23" i="5"/>
  <c r="H23" i="5"/>
  <c r="I23" i="5"/>
  <c r="Z23" i="5"/>
  <c r="AN23" i="5"/>
  <c r="AG24" i="5"/>
  <c r="AF24" i="5"/>
  <c r="C224" i="4"/>
  <c r="C24" i="5"/>
  <c r="D224" i="4"/>
  <c r="E24" i="5"/>
  <c r="H224" i="4"/>
  <c r="K24" i="5"/>
  <c r="L224" i="4"/>
  <c r="Q24" i="5"/>
  <c r="M224" i="4"/>
  <c r="R24" i="5"/>
  <c r="T24" i="5"/>
  <c r="O224" i="4"/>
  <c r="U24" i="5"/>
  <c r="P224" i="4"/>
  <c r="W24" i="5"/>
  <c r="Q224" i="4"/>
  <c r="X24" i="5"/>
  <c r="S224" i="4"/>
  <c r="AA24" i="5"/>
  <c r="AI224" i="4"/>
  <c r="T224" i="4" a="1"/>
  <c r="T224" i="4"/>
  <c r="AC24" i="5"/>
  <c r="U224" i="4" a="1"/>
  <c r="U224" i="4"/>
  <c r="AD24" i="5"/>
  <c r="X224" i="4"/>
  <c r="AI24" i="5"/>
  <c r="Y224" i="4"/>
  <c r="AJ24" i="5"/>
  <c r="Z224" i="4"/>
  <c r="AL24" i="5"/>
  <c r="L24" i="5"/>
  <c r="N24" i="5"/>
  <c r="O24" i="5"/>
  <c r="F24" i="5"/>
  <c r="H24" i="5"/>
  <c r="I24" i="5"/>
  <c r="Z24" i="5"/>
  <c r="AN24" i="5"/>
  <c r="AG25" i="5"/>
  <c r="AF25" i="5"/>
  <c r="C226" i="4"/>
  <c r="C25" i="5"/>
  <c r="D226" i="4"/>
  <c r="E25" i="5"/>
  <c r="H226" i="4"/>
  <c r="K25" i="5"/>
  <c r="L226" i="4"/>
  <c r="Q25" i="5"/>
  <c r="M226" i="4"/>
  <c r="R25" i="5"/>
  <c r="T25" i="5"/>
  <c r="O226" i="4"/>
  <c r="U25" i="5"/>
  <c r="P226" i="4"/>
  <c r="W25" i="5"/>
  <c r="Q226" i="4"/>
  <c r="X25" i="5"/>
  <c r="S226" i="4"/>
  <c r="AA25" i="5"/>
  <c r="AI226" i="4"/>
  <c r="T226" i="4" a="1"/>
  <c r="T226" i="4"/>
  <c r="AC25" i="5"/>
  <c r="U226" i="4" a="1"/>
  <c r="U226" i="4"/>
  <c r="AD25" i="5"/>
  <c r="X226" i="4"/>
  <c r="AI25" i="5"/>
  <c r="Y226" i="4"/>
  <c r="AJ25" i="5"/>
  <c r="Z226" i="4"/>
  <c r="AL25" i="5"/>
  <c r="L25" i="5"/>
  <c r="N25" i="5"/>
  <c r="O25" i="5"/>
  <c r="F25" i="5"/>
  <c r="H25" i="5"/>
  <c r="I25" i="5"/>
  <c r="Z25" i="5"/>
  <c r="AN25" i="5"/>
  <c r="AG26" i="5"/>
  <c r="AF26" i="5"/>
  <c r="C227" i="4"/>
  <c r="C26" i="5"/>
  <c r="D227" i="4"/>
  <c r="E26" i="5"/>
  <c r="H227" i="4"/>
  <c r="K26" i="5"/>
  <c r="L227" i="4"/>
  <c r="Q26" i="5"/>
  <c r="M227" i="4"/>
  <c r="R26" i="5"/>
  <c r="T26" i="5"/>
  <c r="O227" i="4"/>
  <c r="U26" i="5"/>
  <c r="P227" i="4"/>
  <c r="W26" i="5"/>
  <c r="Q227" i="4"/>
  <c r="X26" i="5"/>
  <c r="S227" i="4"/>
  <c r="AA26" i="5"/>
  <c r="AI227" i="4"/>
  <c r="T227" i="4" a="1"/>
  <c r="T227" i="4"/>
  <c r="AC26" i="5"/>
  <c r="U227" i="4" a="1"/>
  <c r="U227" i="4"/>
  <c r="AD26" i="5"/>
  <c r="X227" i="4"/>
  <c r="AI26" i="5"/>
  <c r="Y227" i="4"/>
  <c r="AJ26" i="5"/>
  <c r="Z227" i="4"/>
  <c r="AL26" i="5"/>
  <c r="L26" i="5"/>
  <c r="N26" i="5"/>
  <c r="O26" i="5"/>
  <c r="F26" i="5"/>
  <c r="H26" i="5"/>
  <c r="I26" i="5"/>
  <c r="Z26" i="5"/>
  <c r="AN26" i="5"/>
  <c r="AG27" i="5"/>
  <c r="AF27" i="5"/>
  <c r="B238" i="4"/>
  <c r="C238" i="4"/>
  <c r="C27" i="5"/>
  <c r="D238" i="4"/>
  <c r="E27" i="5"/>
  <c r="E238" i="4"/>
  <c r="F27" i="5"/>
  <c r="F238" i="4"/>
  <c r="H27" i="5"/>
  <c r="I27" i="5"/>
  <c r="K27" i="5"/>
  <c r="L238" i="4"/>
  <c r="Q27" i="5"/>
  <c r="M238" i="4"/>
  <c r="R27" i="5"/>
  <c r="T27" i="5"/>
  <c r="O238" i="4"/>
  <c r="U27" i="5"/>
  <c r="P238" i="4"/>
  <c r="W27" i="5"/>
  <c r="Q238" i="4"/>
  <c r="X27" i="5"/>
  <c r="S238" i="4"/>
  <c r="AA27" i="5"/>
  <c r="AI238" i="4"/>
  <c r="T238" i="4" a="1"/>
  <c r="T238" i="4"/>
  <c r="AC27" i="5"/>
  <c r="U238" i="4" a="1"/>
  <c r="U238" i="4"/>
  <c r="AD27" i="5"/>
  <c r="X238" i="4"/>
  <c r="AI27" i="5"/>
  <c r="Y238" i="4"/>
  <c r="AJ27" i="5"/>
  <c r="Z238" i="4"/>
  <c r="AL27" i="5"/>
  <c r="L27" i="5"/>
  <c r="N27" i="5"/>
  <c r="O27" i="5"/>
  <c r="Z27" i="5"/>
  <c r="AN27" i="5"/>
  <c r="AG28" i="5"/>
  <c r="AF28" i="5"/>
  <c r="C44" i="2"/>
  <c r="B244" i="4"/>
  <c r="C244" i="4"/>
  <c r="C28" i="5"/>
  <c r="D44" i="2"/>
  <c r="D244" i="4"/>
  <c r="E28" i="5"/>
  <c r="E44" i="2"/>
  <c r="E244" i="4"/>
  <c r="F28" i="5"/>
  <c r="F44" i="2"/>
  <c r="F244" i="4"/>
  <c r="H28" i="5"/>
  <c r="I28" i="5"/>
  <c r="H44" i="2"/>
  <c r="H244" i="4"/>
  <c r="K28" i="5"/>
  <c r="L44" i="2"/>
  <c r="L244" i="4"/>
  <c r="Q28" i="5"/>
  <c r="M44" i="2"/>
  <c r="M244" i="4"/>
  <c r="R28" i="5"/>
  <c r="N244" i="4"/>
  <c r="T28" i="5"/>
  <c r="O44" i="2"/>
  <c r="O244" i="4"/>
  <c r="U28" i="5"/>
  <c r="P44" i="2"/>
  <c r="P244" i="4"/>
  <c r="W28" i="5"/>
  <c r="Q44" i="2"/>
  <c r="Q244" i="4"/>
  <c r="X28" i="5"/>
  <c r="S44" i="2"/>
  <c r="S244" i="4"/>
  <c r="AA28" i="5"/>
  <c r="AI244" i="4"/>
  <c r="T244" i="4" a="1"/>
  <c r="T244" i="4"/>
  <c r="AC28" i="5"/>
  <c r="U244" i="4" a="1"/>
  <c r="U244" i="4"/>
  <c r="AD28" i="5"/>
  <c r="X44" i="2"/>
  <c r="X244" i="4"/>
  <c r="AI28" i="5"/>
  <c r="Y44" i="2"/>
  <c r="Y244" i="4"/>
  <c r="AJ28" i="5"/>
  <c r="Z44" i="2"/>
  <c r="Z244" i="4"/>
  <c r="AL28" i="5"/>
  <c r="L28" i="5"/>
  <c r="N28" i="5"/>
  <c r="O28" i="5"/>
  <c r="Z28" i="5"/>
  <c r="AN28" i="5"/>
  <c r="O29" i="5"/>
  <c r="B263" i="4"/>
  <c r="H263" i="4"/>
  <c r="K29" i="5"/>
  <c r="AG29" i="5"/>
  <c r="AF29" i="5"/>
  <c r="C14" i="2"/>
  <c r="C263" i="4"/>
  <c r="C29" i="5"/>
  <c r="D14" i="2"/>
  <c r="D263" i="4"/>
  <c r="E29" i="5"/>
  <c r="I14" i="2"/>
  <c r="I263" i="4"/>
  <c r="L29" i="5"/>
  <c r="J14" i="2"/>
  <c r="J263" i="4"/>
  <c r="N29" i="5"/>
  <c r="L14" i="2"/>
  <c r="L263" i="4"/>
  <c r="Q29" i="5"/>
  <c r="M14" i="2"/>
  <c r="M263" i="4"/>
  <c r="R29" i="5"/>
  <c r="T29" i="5"/>
  <c r="O14" i="2"/>
  <c r="O263" i="4"/>
  <c r="U29" i="5"/>
  <c r="P14" i="2"/>
  <c r="P263" i="4"/>
  <c r="W29" i="5"/>
  <c r="Q14" i="2"/>
  <c r="Q263" i="4"/>
  <c r="X29" i="5"/>
  <c r="AA29" i="5"/>
  <c r="AI263" i="4"/>
  <c r="T263" i="4" a="1"/>
  <c r="T263" i="4"/>
  <c r="AC29" i="5"/>
  <c r="U263" i="4" a="1"/>
  <c r="U263" i="4"/>
  <c r="AD29" i="5"/>
  <c r="Y14" i="2"/>
  <c r="Y263" i="4"/>
  <c r="AJ29" i="5"/>
  <c r="Z14" i="2"/>
  <c r="Z263" i="4"/>
  <c r="AL29" i="5"/>
  <c r="F29" i="5"/>
  <c r="H29" i="5"/>
  <c r="I29" i="5"/>
  <c r="Z29" i="5"/>
  <c r="AN29" i="5"/>
  <c r="AG30" i="5"/>
  <c r="AF30" i="5"/>
  <c r="B264" i="4"/>
  <c r="C264" i="4"/>
  <c r="C30" i="5"/>
  <c r="D264" i="4"/>
  <c r="E30" i="5"/>
  <c r="H264" i="4"/>
  <c r="K30" i="5"/>
  <c r="L264" i="4"/>
  <c r="Q30" i="5"/>
  <c r="M264" i="4"/>
  <c r="R30" i="5"/>
  <c r="T30" i="5"/>
  <c r="O264" i="4"/>
  <c r="U30" i="5"/>
  <c r="P264" i="4"/>
  <c r="W30" i="5"/>
  <c r="Q264" i="4"/>
  <c r="X30" i="5"/>
  <c r="AA30" i="5"/>
  <c r="AI264" i="4"/>
  <c r="T264" i="4" a="1"/>
  <c r="T264" i="4"/>
  <c r="AC30" i="5"/>
  <c r="U264" i="4" a="1"/>
  <c r="U264" i="4"/>
  <c r="AD30" i="5"/>
  <c r="Y264" i="4"/>
  <c r="AJ30" i="5"/>
  <c r="Z264" i="4"/>
  <c r="AL30" i="5"/>
  <c r="L30" i="5"/>
  <c r="N30" i="5"/>
  <c r="O30" i="5"/>
  <c r="F30" i="5"/>
  <c r="H30" i="5"/>
  <c r="I30" i="5"/>
  <c r="Z30" i="5"/>
  <c r="AN30" i="5"/>
  <c r="S29" i="2"/>
  <c r="S265" i="4"/>
  <c r="AA31" i="5"/>
  <c r="P29" i="2"/>
  <c r="P265" i="4"/>
  <c r="W31" i="5"/>
  <c r="AG31" i="5"/>
  <c r="AF31" i="5"/>
  <c r="C29" i="2"/>
  <c r="C265" i="4"/>
  <c r="C31" i="5"/>
  <c r="D29" i="2"/>
  <c r="D265" i="4"/>
  <c r="E31" i="5"/>
  <c r="K31" i="5"/>
  <c r="L29" i="2"/>
  <c r="L265" i="4"/>
  <c r="Q31" i="5"/>
  <c r="M29" i="2"/>
  <c r="M265" i="4"/>
  <c r="R31" i="5"/>
  <c r="T31" i="5"/>
  <c r="O29" i="2"/>
  <c r="O265" i="4"/>
  <c r="U31" i="5"/>
  <c r="Q29" i="2"/>
  <c r="Q265" i="4"/>
  <c r="X31" i="5"/>
  <c r="R29" i="2"/>
  <c r="R265" i="4"/>
  <c r="Z31" i="5"/>
  <c r="AI265" i="4"/>
  <c r="T265" i="4" a="1"/>
  <c r="T265" i="4"/>
  <c r="AC31" i="5"/>
  <c r="U265" i="4" a="1"/>
  <c r="U265" i="4"/>
  <c r="AD31" i="5"/>
  <c r="AI31" i="5"/>
  <c r="Y29" i="2"/>
  <c r="Y265" i="4"/>
  <c r="AJ31" i="5"/>
  <c r="Z29" i="2"/>
  <c r="Z265" i="4"/>
  <c r="AL31" i="5"/>
  <c r="L31" i="5"/>
  <c r="N31" i="5"/>
  <c r="O31" i="5"/>
  <c r="F31" i="5"/>
  <c r="H31" i="5"/>
  <c r="I31" i="5"/>
  <c r="AN31" i="5"/>
  <c r="B266" i="4"/>
  <c r="S266" i="4"/>
  <c r="AA32" i="5"/>
  <c r="P266" i="4"/>
  <c r="W32" i="5"/>
  <c r="AG32" i="5"/>
  <c r="AF32" i="5"/>
  <c r="C266" i="4"/>
  <c r="C32" i="5"/>
  <c r="D266" i="4"/>
  <c r="E32" i="5"/>
  <c r="K32" i="5"/>
  <c r="L266" i="4"/>
  <c r="Q32" i="5"/>
  <c r="M266" i="4"/>
  <c r="R32" i="5"/>
  <c r="T32" i="5"/>
  <c r="O266" i="4"/>
  <c r="U32" i="5"/>
  <c r="Q266" i="4"/>
  <c r="X32" i="5"/>
  <c r="R266" i="4"/>
  <c r="Z32" i="5"/>
  <c r="AI266" i="4"/>
  <c r="T266" i="4" a="1"/>
  <c r="T266" i="4"/>
  <c r="AC32" i="5"/>
  <c r="U266" i="4" a="1"/>
  <c r="U266" i="4"/>
  <c r="AD32" i="5"/>
  <c r="X266" i="4"/>
  <c r="AI32" i="5"/>
  <c r="Y266" i="4"/>
  <c r="AJ32" i="5"/>
  <c r="Z266" i="4"/>
  <c r="AL32" i="5"/>
  <c r="L32" i="5"/>
  <c r="N32" i="5"/>
  <c r="O32" i="5"/>
  <c r="F32" i="5"/>
  <c r="H32" i="5"/>
  <c r="I32" i="5"/>
  <c r="AN32" i="5"/>
  <c r="B267" i="4"/>
  <c r="S267" i="4"/>
  <c r="AA33" i="5"/>
  <c r="P267" i="4"/>
  <c r="W33" i="5"/>
  <c r="AG33" i="5"/>
  <c r="AF33" i="5"/>
  <c r="C267" i="4"/>
  <c r="C33" i="5"/>
  <c r="D267" i="4"/>
  <c r="E33" i="5"/>
  <c r="K33" i="5"/>
  <c r="L267" i="4"/>
  <c r="Q33" i="5"/>
  <c r="M267" i="4"/>
  <c r="R33" i="5"/>
  <c r="T33" i="5"/>
  <c r="O267" i="4"/>
  <c r="U33" i="5"/>
  <c r="Q267" i="4"/>
  <c r="X33" i="5"/>
  <c r="R267" i="4"/>
  <c r="Z33" i="5"/>
  <c r="AI267" i="4"/>
  <c r="T267" i="4" a="1"/>
  <c r="T267" i="4"/>
  <c r="AC33" i="5"/>
  <c r="U267" i="4" a="1"/>
  <c r="U267" i="4"/>
  <c r="AD33" i="5"/>
  <c r="X267" i="4"/>
  <c r="AI33" i="5"/>
  <c r="Y267" i="4"/>
  <c r="AJ33" i="5"/>
  <c r="Z267" i="4"/>
  <c r="AL33" i="5"/>
  <c r="L33" i="5"/>
  <c r="N33" i="5"/>
  <c r="O33" i="5"/>
  <c r="F33" i="5"/>
  <c r="H33" i="5"/>
  <c r="I33" i="5"/>
  <c r="AN33" i="5"/>
  <c r="B269" i="4"/>
  <c r="S269" i="4"/>
  <c r="AA34" i="5"/>
  <c r="P269" i="4"/>
  <c r="W34" i="5"/>
  <c r="AG34" i="5"/>
  <c r="AF34" i="5"/>
  <c r="C269" i="4"/>
  <c r="C34" i="5"/>
  <c r="D269" i="4"/>
  <c r="E34" i="5"/>
  <c r="K34" i="5"/>
  <c r="L269" i="4"/>
  <c r="Q34" i="5"/>
  <c r="M269" i="4"/>
  <c r="R34" i="5"/>
  <c r="T34" i="5"/>
  <c r="O269" i="4"/>
  <c r="U34" i="5"/>
  <c r="Q269" i="4"/>
  <c r="X34" i="5"/>
  <c r="R269" i="4"/>
  <c r="Z34" i="5"/>
  <c r="AI269" i="4"/>
  <c r="T269" i="4" a="1"/>
  <c r="T269" i="4"/>
  <c r="AC34" i="5"/>
  <c r="U269" i="4" a="1"/>
  <c r="U269" i="4"/>
  <c r="AD34" i="5"/>
  <c r="X269" i="4"/>
  <c r="AI34" i="5"/>
  <c r="Y269" i="4"/>
  <c r="AJ34" i="5"/>
  <c r="Z269" i="4"/>
  <c r="AL34" i="5"/>
  <c r="L34" i="5"/>
  <c r="N34" i="5"/>
  <c r="O34" i="5"/>
  <c r="F34" i="5"/>
  <c r="H34" i="5"/>
  <c r="I34" i="5"/>
  <c r="AN34" i="5"/>
  <c r="AG35" i="5"/>
  <c r="AF35" i="5"/>
  <c r="B286" i="4"/>
  <c r="C24" i="2"/>
  <c r="C286" i="4"/>
  <c r="C35" i="5"/>
  <c r="D24" i="2"/>
  <c r="D286" i="4"/>
  <c r="E35" i="5"/>
  <c r="K35" i="5"/>
  <c r="L24" i="2"/>
  <c r="L286" i="4"/>
  <c r="Q35" i="5"/>
  <c r="M286" i="4"/>
  <c r="R35" i="5"/>
  <c r="T35" i="5"/>
  <c r="O16" i="2"/>
  <c r="O286" i="4"/>
  <c r="U35" i="5"/>
  <c r="P24" i="2"/>
  <c r="P286" i="4"/>
  <c r="W35" i="5"/>
  <c r="Q24" i="2"/>
  <c r="Q286" i="4"/>
  <c r="X35" i="5"/>
  <c r="S24" i="2"/>
  <c r="S286" i="4"/>
  <c r="AA35" i="5"/>
  <c r="AI286" i="4"/>
  <c r="T286" i="4" a="1"/>
  <c r="T286" i="4"/>
  <c r="AC35" i="5"/>
  <c r="U286" i="4" a="1"/>
  <c r="U286" i="4"/>
  <c r="AD35" i="5"/>
  <c r="AI35" i="5"/>
  <c r="Y24" i="2"/>
  <c r="Y286" i="4"/>
  <c r="AJ35" i="5"/>
  <c r="Z24" i="2"/>
  <c r="Z286" i="4"/>
  <c r="AL35" i="5"/>
  <c r="L35" i="5"/>
  <c r="F35" i="5"/>
  <c r="H35" i="5"/>
  <c r="I35" i="5"/>
  <c r="N35" i="5"/>
  <c r="O35" i="5"/>
  <c r="Z35" i="5"/>
  <c r="AN35" i="5"/>
  <c r="AG36" i="5"/>
  <c r="AF36" i="5"/>
  <c r="B288" i="4"/>
  <c r="C288" i="4"/>
  <c r="C36" i="5"/>
  <c r="D288" i="4"/>
  <c r="E36" i="5"/>
  <c r="K36" i="5"/>
  <c r="L288" i="4"/>
  <c r="Q36" i="5"/>
  <c r="M288" i="4"/>
  <c r="R36" i="5"/>
  <c r="T36" i="5"/>
  <c r="O288" i="4"/>
  <c r="U36" i="5"/>
  <c r="P288" i="4"/>
  <c r="W36" i="5"/>
  <c r="Q288" i="4"/>
  <c r="X36" i="5"/>
  <c r="S288" i="4"/>
  <c r="AA36" i="5"/>
  <c r="AI288" i="4"/>
  <c r="T288" i="4" a="1"/>
  <c r="T288" i="4"/>
  <c r="AC36" i="5"/>
  <c r="U288" i="4" a="1"/>
  <c r="U288" i="4"/>
  <c r="AD36" i="5"/>
  <c r="X288" i="4"/>
  <c r="AI36" i="5"/>
  <c r="Y288" i="4"/>
  <c r="AJ36" i="5"/>
  <c r="Z288" i="4"/>
  <c r="AL36" i="5"/>
  <c r="L36" i="5"/>
  <c r="F36" i="5"/>
  <c r="H36" i="5"/>
  <c r="I36" i="5"/>
  <c r="N36" i="5"/>
  <c r="O36" i="5"/>
  <c r="Z36" i="5"/>
  <c r="AN36" i="5"/>
  <c r="AG37" i="5"/>
  <c r="AF37" i="5"/>
  <c r="C289" i="4"/>
  <c r="C37" i="5"/>
  <c r="D289" i="4"/>
  <c r="E37" i="5"/>
  <c r="H29" i="2"/>
  <c r="K37" i="5"/>
  <c r="L289" i="4"/>
  <c r="Q37" i="5"/>
  <c r="M289" i="4"/>
  <c r="R37" i="5"/>
  <c r="T37" i="5"/>
  <c r="O289" i="4"/>
  <c r="U37" i="5"/>
  <c r="P289" i="4"/>
  <c r="W37" i="5"/>
  <c r="S289" i="4"/>
  <c r="AA37" i="5"/>
  <c r="AI289" i="4"/>
  <c r="T289" i="4" a="1"/>
  <c r="T289" i="4"/>
  <c r="AC37" i="5"/>
  <c r="U289" i="4" a="1"/>
  <c r="U289" i="4"/>
  <c r="AD37" i="5"/>
  <c r="X289" i="4"/>
  <c r="AI37" i="5"/>
  <c r="Y289" i="4"/>
  <c r="AJ37" i="5"/>
  <c r="Z289" i="4"/>
  <c r="AL37" i="5"/>
  <c r="L37" i="5"/>
  <c r="F37" i="5"/>
  <c r="H37" i="5"/>
  <c r="I37" i="5"/>
  <c r="N37" i="5"/>
  <c r="O37" i="5"/>
  <c r="Z37" i="5"/>
  <c r="AN37" i="5"/>
  <c r="AG38" i="5"/>
  <c r="AF38" i="5"/>
  <c r="C7" i="2"/>
  <c r="B8" i="4"/>
  <c r="C8" i="4"/>
  <c r="C38" i="5"/>
  <c r="D7" i="2"/>
  <c r="D8" i="4"/>
  <c r="E38" i="5"/>
  <c r="H8" i="4"/>
  <c r="K38" i="5"/>
  <c r="L7" i="2"/>
  <c r="L8" i="4"/>
  <c r="Q38" i="5"/>
  <c r="M7" i="2"/>
  <c r="M8" i="4"/>
  <c r="R38" i="5"/>
  <c r="T38" i="5"/>
  <c r="U38" i="5"/>
  <c r="P7" i="2"/>
  <c r="P8" i="4"/>
  <c r="W38" i="5"/>
  <c r="Q7" i="2"/>
  <c r="Q8" i="4"/>
  <c r="X38" i="5"/>
  <c r="AA38" i="5"/>
  <c r="AI8" i="4"/>
  <c r="T8" i="4" a="1"/>
  <c r="T8" i="4"/>
  <c r="AC38" i="5"/>
  <c r="U8" i="4" a="1"/>
  <c r="U8" i="4"/>
  <c r="AD38" i="5"/>
  <c r="X7" i="2"/>
  <c r="X8" i="4"/>
  <c r="AI38" i="5"/>
  <c r="Y7" i="2"/>
  <c r="Y8" i="4"/>
  <c r="AJ38" i="5"/>
  <c r="Z7" i="2"/>
  <c r="Z8" i="4"/>
  <c r="AL38" i="5"/>
  <c r="F38" i="5"/>
  <c r="H38" i="5"/>
  <c r="I38" i="5"/>
  <c r="L38" i="5"/>
  <c r="N38" i="5"/>
  <c r="O38" i="5"/>
  <c r="Z38" i="5"/>
  <c r="AN38" i="5"/>
  <c r="AG39" i="5"/>
  <c r="AF39" i="5"/>
  <c r="B9" i="4"/>
  <c r="C9" i="4"/>
  <c r="C39" i="5"/>
  <c r="D9" i="4"/>
  <c r="E39" i="5"/>
  <c r="H9" i="4"/>
  <c r="K39" i="5"/>
  <c r="L9" i="4"/>
  <c r="Q39" i="5"/>
  <c r="M9" i="4"/>
  <c r="R39" i="5"/>
  <c r="N9" i="4"/>
  <c r="T39" i="5"/>
  <c r="O7" i="2"/>
  <c r="O9" i="4"/>
  <c r="U39" i="5"/>
  <c r="P9" i="4"/>
  <c r="W39" i="5"/>
  <c r="Q9" i="4"/>
  <c r="X39" i="5"/>
  <c r="AA39" i="5"/>
  <c r="AI9" i="4"/>
  <c r="T9" i="4" a="1"/>
  <c r="T9" i="4"/>
  <c r="AC39" i="5"/>
  <c r="U9" i="4" a="1"/>
  <c r="U9" i="4"/>
  <c r="AD39" i="5"/>
  <c r="X9" i="4"/>
  <c r="AI39" i="5"/>
  <c r="Y9" i="4"/>
  <c r="AJ39" i="5"/>
  <c r="Z9" i="4"/>
  <c r="AL39" i="5"/>
  <c r="F39" i="5"/>
  <c r="H39" i="5"/>
  <c r="I39" i="5"/>
  <c r="L39" i="5"/>
  <c r="N39" i="5"/>
  <c r="O39" i="5"/>
  <c r="Z39" i="5"/>
  <c r="AN39" i="5"/>
  <c r="AG40" i="5"/>
  <c r="AF40" i="5"/>
  <c r="B10" i="4"/>
  <c r="C10" i="4"/>
  <c r="C40" i="5"/>
  <c r="D10" i="4"/>
  <c r="E40" i="5"/>
  <c r="H10" i="4"/>
  <c r="K40" i="5"/>
  <c r="L10" i="4"/>
  <c r="Q40" i="5"/>
  <c r="M10" i="4"/>
  <c r="R40" i="5"/>
  <c r="T40" i="5"/>
  <c r="U40" i="5"/>
  <c r="P10" i="4"/>
  <c r="W40" i="5"/>
  <c r="Q10" i="4"/>
  <c r="X40" i="5"/>
  <c r="AA40" i="5"/>
  <c r="AI10" i="4"/>
  <c r="T10" i="4" a="1"/>
  <c r="T10" i="4"/>
  <c r="AC40" i="5"/>
  <c r="U10" i="4" a="1"/>
  <c r="U10" i="4"/>
  <c r="AD40" i="5"/>
  <c r="X10" i="4"/>
  <c r="AI40" i="5"/>
  <c r="Y10" i="4"/>
  <c r="AJ40" i="5"/>
  <c r="Z10" i="4"/>
  <c r="AL40" i="5"/>
  <c r="F40" i="5"/>
  <c r="H40" i="5"/>
  <c r="I40" i="5"/>
  <c r="L40" i="5"/>
  <c r="N40" i="5"/>
  <c r="O40" i="5"/>
  <c r="Z40" i="5"/>
  <c r="AN40" i="5"/>
  <c r="AG41" i="5"/>
  <c r="AF41" i="5"/>
  <c r="C11" i="4"/>
  <c r="C41" i="5"/>
  <c r="D11" i="4"/>
  <c r="E41" i="5"/>
  <c r="H11" i="4"/>
  <c r="K41" i="5"/>
  <c r="L11" i="4"/>
  <c r="Q41" i="5"/>
  <c r="M11" i="4"/>
  <c r="R41" i="5"/>
  <c r="T41" i="5"/>
  <c r="U41" i="5"/>
  <c r="P11" i="4"/>
  <c r="W41" i="5"/>
  <c r="Q11" i="4"/>
  <c r="X41" i="5"/>
  <c r="AA41" i="5"/>
  <c r="AI11" i="4"/>
  <c r="T11" i="4" a="1"/>
  <c r="T11" i="4"/>
  <c r="AC41" i="5"/>
  <c r="U11" i="4" a="1"/>
  <c r="U11" i="4"/>
  <c r="AD41" i="5"/>
  <c r="X11" i="4"/>
  <c r="AI41" i="5"/>
  <c r="Y11" i="4"/>
  <c r="AJ41" i="5"/>
  <c r="Z11" i="4"/>
  <c r="AL41" i="5"/>
  <c r="F41" i="5"/>
  <c r="H41" i="5"/>
  <c r="I41" i="5"/>
  <c r="L41" i="5"/>
  <c r="N41" i="5"/>
  <c r="O41" i="5"/>
  <c r="Z41" i="5"/>
  <c r="AN41" i="5"/>
  <c r="AG42" i="5"/>
  <c r="AF42" i="5"/>
  <c r="B12" i="4"/>
  <c r="C12" i="4"/>
  <c r="C42" i="5"/>
  <c r="D12" i="4"/>
  <c r="E42" i="5"/>
  <c r="H12" i="4"/>
  <c r="K42" i="5"/>
  <c r="L12" i="4"/>
  <c r="Q42" i="5"/>
  <c r="M12" i="4"/>
  <c r="R42" i="5"/>
  <c r="T42" i="5"/>
  <c r="U42" i="5"/>
  <c r="P12" i="4"/>
  <c r="W42" i="5"/>
  <c r="Q12" i="4"/>
  <c r="X42" i="5"/>
  <c r="AA42" i="5"/>
  <c r="AI12" i="4"/>
  <c r="T12" i="4" a="1"/>
  <c r="T12" i="4"/>
  <c r="AC42" i="5"/>
  <c r="U12" i="4" a="1"/>
  <c r="U12" i="4"/>
  <c r="AD42" i="5"/>
  <c r="X12" i="4"/>
  <c r="AI42" i="5"/>
  <c r="Y12" i="4"/>
  <c r="AJ42" i="5"/>
  <c r="Z12" i="4"/>
  <c r="AL42" i="5"/>
  <c r="F42" i="5"/>
  <c r="H42" i="5"/>
  <c r="I42" i="5"/>
  <c r="L42" i="5"/>
  <c r="N42" i="5"/>
  <c r="O42" i="5"/>
  <c r="Z42" i="5"/>
  <c r="AN42" i="5"/>
  <c r="AG43" i="5"/>
  <c r="AF43" i="5"/>
  <c r="B13" i="4"/>
  <c r="C13" i="4"/>
  <c r="C43" i="5"/>
  <c r="D13" i="4"/>
  <c r="E43" i="5"/>
  <c r="H13" i="4"/>
  <c r="K43" i="5"/>
  <c r="L13" i="4"/>
  <c r="Q43" i="5"/>
  <c r="M13" i="4"/>
  <c r="R43" i="5"/>
  <c r="T43" i="5"/>
  <c r="O13" i="4"/>
  <c r="U43" i="5"/>
  <c r="P13" i="4"/>
  <c r="W43" i="5"/>
  <c r="Q13" i="4"/>
  <c r="X43" i="5"/>
  <c r="AA43" i="5"/>
  <c r="AI13" i="4"/>
  <c r="T13" i="4" a="1"/>
  <c r="T13" i="4"/>
  <c r="AC43" i="5"/>
  <c r="U13" i="4" a="1"/>
  <c r="U13" i="4"/>
  <c r="AD43" i="5"/>
  <c r="X13" i="4"/>
  <c r="AI43" i="5"/>
  <c r="Y13" i="4"/>
  <c r="AJ43" i="5"/>
  <c r="Z13" i="4"/>
  <c r="AL43" i="5"/>
  <c r="F43" i="5"/>
  <c r="H43" i="5"/>
  <c r="I43" i="5"/>
  <c r="L43" i="5"/>
  <c r="N43" i="5"/>
  <c r="O43" i="5"/>
  <c r="Z43" i="5"/>
  <c r="AN43" i="5"/>
  <c r="AG44" i="5"/>
  <c r="AF44" i="5"/>
  <c r="C14" i="4"/>
  <c r="C44" i="5"/>
  <c r="N14" i="4"/>
  <c r="T44" i="5"/>
  <c r="O14" i="4"/>
  <c r="U44" i="5"/>
  <c r="P14" i="4"/>
  <c r="W44" i="5"/>
  <c r="Q14" i="4"/>
  <c r="X44" i="5"/>
  <c r="AA44" i="5"/>
  <c r="AI14" i="4"/>
  <c r="T14" i="4" a="1"/>
  <c r="T14" i="4"/>
  <c r="AC44" i="5"/>
  <c r="U14" i="4" a="1"/>
  <c r="U14" i="4"/>
  <c r="AD44" i="5"/>
  <c r="X14" i="4"/>
  <c r="AI44" i="5"/>
  <c r="Y14" i="4"/>
  <c r="AJ44" i="5"/>
  <c r="Z14" i="4"/>
  <c r="AL44" i="5"/>
  <c r="F44" i="5"/>
  <c r="H44" i="5"/>
  <c r="I44" i="5"/>
  <c r="L44" i="5"/>
  <c r="N44" i="5"/>
  <c r="O44" i="5"/>
  <c r="Z44" i="5"/>
  <c r="AN44" i="5"/>
  <c r="AG45" i="5"/>
  <c r="AF45" i="5"/>
  <c r="C15" i="4"/>
  <c r="C45" i="5"/>
  <c r="T45" i="5"/>
  <c r="O15" i="4"/>
  <c r="U45" i="5"/>
  <c r="P15" i="4"/>
  <c r="W45" i="5"/>
  <c r="Q15" i="4"/>
  <c r="X45" i="5"/>
  <c r="AA45" i="5"/>
  <c r="AI15" i="4"/>
  <c r="T15" i="4" a="1"/>
  <c r="T15" i="4"/>
  <c r="AC45" i="5"/>
  <c r="U15" i="4" a="1"/>
  <c r="U15" i="4"/>
  <c r="AD45" i="5"/>
  <c r="X15" i="4"/>
  <c r="AI45" i="5"/>
  <c r="Y15" i="4"/>
  <c r="AJ45" i="5"/>
  <c r="Z15" i="4"/>
  <c r="AL45" i="5"/>
  <c r="Z45" i="5"/>
  <c r="AN45" i="5"/>
  <c r="AG46" i="5"/>
  <c r="AF46" i="5"/>
  <c r="C16" i="4"/>
  <c r="C46" i="5"/>
  <c r="D16" i="4"/>
  <c r="E46" i="5"/>
  <c r="H16" i="4"/>
  <c r="K46" i="5"/>
  <c r="L16" i="4"/>
  <c r="Q46" i="5"/>
  <c r="M16" i="4"/>
  <c r="R46" i="5"/>
  <c r="T46" i="5"/>
  <c r="U46" i="5"/>
  <c r="P16" i="4"/>
  <c r="W46" i="5"/>
  <c r="Q16" i="4"/>
  <c r="X46" i="5"/>
  <c r="AA46" i="5"/>
  <c r="AI16" i="4"/>
  <c r="T16" i="4" a="1"/>
  <c r="T16" i="4"/>
  <c r="AC46" i="5"/>
  <c r="U16" i="4" a="1"/>
  <c r="U16" i="4"/>
  <c r="AD46" i="5"/>
  <c r="Y16" i="4"/>
  <c r="AJ46" i="5"/>
  <c r="Z16" i="4"/>
  <c r="AL46" i="5"/>
  <c r="F46" i="5"/>
  <c r="H46" i="5"/>
  <c r="I46" i="5"/>
  <c r="L46" i="5"/>
  <c r="N46" i="5"/>
  <c r="O46" i="5"/>
  <c r="Z46" i="5"/>
  <c r="AN46" i="5"/>
  <c r="AG47" i="5"/>
  <c r="AF47" i="5"/>
  <c r="C17" i="4"/>
  <c r="C47" i="5"/>
  <c r="D17" i="4"/>
  <c r="E47" i="5"/>
  <c r="H17" i="4"/>
  <c r="K47" i="5"/>
  <c r="L17" i="4"/>
  <c r="Q47" i="5"/>
  <c r="M17" i="4"/>
  <c r="R47" i="5"/>
  <c r="T47" i="5"/>
  <c r="O17" i="4"/>
  <c r="U47" i="5"/>
  <c r="P17" i="4"/>
  <c r="W47" i="5"/>
  <c r="Q17" i="4"/>
  <c r="X47" i="5"/>
  <c r="AA47" i="5"/>
  <c r="AI17" i="4"/>
  <c r="T17" i="4" a="1"/>
  <c r="T17" i="4"/>
  <c r="AC47" i="5"/>
  <c r="U17" i="4" a="1"/>
  <c r="U17" i="4"/>
  <c r="AD47" i="5"/>
  <c r="X17" i="4"/>
  <c r="AI47" i="5"/>
  <c r="Y17" i="4"/>
  <c r="AJ47" i="5"/>
  <c r="Z17" i="4"/>
  <c r="AL47" i="5"/>
  <c r="F47" i="5"/>
  <c r="H47" i="5"/>
  <c r="I47" i="5"/>
  <c r="L47" i="5"/>
  <c r="N47" i="5"/>
  <c r="O47" i="5"/>
  <c r="Z47" i="5"/>
  <c r="AN47" i="5"/>
  <c r="AG48" i="5"/>
  <c r="AF48" i="5"/>
  <c r="B18" i="4"/>
  <c r="C18" i="4"/>
  <c r="C48" i="5"/>
  <c r="D18" i="4"/>
  <c r="E48" i="5"/>
  <c r="H18" i="4"/>
  <c r="K48" i="5"/>
  <c r="L18" i="4"/>
  <c r="Q48" i="5"/>
  <c r="M18" i="4"/>
  <c r="R48" i="5"/>
  <c r="T48" i="5"/>
  <c r="U48" i="5"/>
  <c r="P18" i="4"/>
  <c r="W48" i="5"/>
  <c r="Q18" i="4"/>
  <c r="X48" i="5"/>
  <c r="AA48" i="5"/>
  <c r="AI18" i="4"/>
  <c r="T18" i="4" a="1"/>
  <c r="T18" i="4"/>
  <c r="AC48" i="5"/>
  <c r="U18" i="4" a="1"/>
  <c r="U18" i="4"/>
  <c r="AD48" i="5"/>
  <c r="X18" i="4"/>
  <c r="AI48" i="5"/>
  <c r="Y18" i="4"/>
  <c r="AJ48" i="5"/>
  <c r="Z18" i="4"/>
  <c r="AL48" i="5"/>
  <c r="F48" i="5"/>
  <c r="H48" i="5"/>
  <c r="I48" i="5"/>
  <c r="L48" i="5"/>
  <c r="N48" i="5"/>
  <c r="O48" i="5"/>
  <c r="Z48" i="5"/>
  <c r="AN48" i="5"/>
  <c r="AG49" i="5"/>
  <c r="AF49" i="5"/>
  <c r="B19" i="4"/>
  <c r="C19" i="4"/>
  <c r="C49" i="5"/>
  <c r="D19" i="4"/>
  <c r="E49" i="5"/>
  <c r="H19" i="4"/>
  <c r="K49" i="5"/>
  <c r="L19" i="4"/>
  <c r="Q49" i="5"/>
  <c r="M19" i="4"/>
  <c r="R49" i="5"/>
  <c r="T49" i="5"/>
  <c r="O19" i="4"/>
  <c r="U49" i="5"/>
  <c r="P19" i="4"/>
  <c r="W49" i="5"/>
  <c r="Q19" i="4"/>
  <c r="X49" i="5"/>
  <c r="AA49" i="5"/>
  <c r="AI19" i="4"/>
  <c r="T19" i="4" a="1"/>
  <c r="T19" i="4"/>
  <c r="AC49" i="5"/>
  <c r="U19" i="4" a="1"/>
  <c r="U19" i="4"/>
  <c r="AD49" i="5"/>
  <c r="X19" i="4"/>
  <c r="AI49" i="5"/>
  <c r="Y19" i="4"/>
  <c r="AJ49" i="5"/>
  <c r="Z19" i="4"/>
  <c r="AL49" i="5"/>
  <c r="F49" i="5"/>
  <c r="H49" i="5"/>
  <c r="I49" i="5"/>
  <c r="L49" i="5"/>
  <c r="N49" i="5"/>
  <c r="O49" i="5"/>
  <c r="Z49" i="5"/>
  <c r="AN49" i="5"/>
  <c r="AG50" i="5"/>
  <c r="AF50" i="5"/>
  <c r="B20" i="4"/>
  <c r="C20" i="4"/>
  <c r="C50" i="5"/>
  <c r="D20" i="4"/>
  <c r="E50" i="5"/>
  <c r="L20" i="4"/>
  <c r="Q50" i="5"/>
  <c r="M20" i="4"/>
  <c r="R50" i="5"/>
  <c r="T50" i="5"/>
  <c r="U50" i="5"/>
  <c r="P20" i="4"/>
  <c r="W50" i="5"/>
  <c r="Q20" i="4"/>
  <c r="X50" i="5"/>
  <c r="S14" i="2"/>
  <c r="S20" i="4"/>
  <c r="AA50" i="5"/>
  <c r="AI20" i="4"/>
  <c r="T20" i="4" a="1"/>
  <c r="T20" i="4"/>
  <c r="AC50" i="5"/>
  <c r="U20" i="4" a="1"/>
  <c r="U20" i="4"/>
  <c r="AD50" i="5"/>
  <c r="X14" i="2"/>
  <c r="X20" i="4"/>
  <c r="AI50" i="5"/>
  <c r="Y20" i="4"/>
  <c r="AJ50" i="5"/>
  <c r="Z20" i="4"/>
  <c r="AL50" i="5"/>
  <c r="L50" i="5"/>
  <c r="F50" i="5"/>
  <c r="H50" i="5"/>
  <c r="I50" i="5"/>
  <c r="N50" i="5"/>
  <c r="O50" i="5"/>
  <c r="Z50" i="5"/>
  <c r="AN50" i="5"/>
  <c r="AG51" i="5"/>
  <c r="AF51" i="5"/>
  <c r="C15" i="2"/>
  <c r="B21" i="4"/>
  <c r="C21" i="4"/>
  <c r="C51" i="5"/>
  <c r="D15" i="2"/>
  <c r="D21" i="4"/>
  <c r="E51" i="5"/>
  <c r="L15" i="2"/>
  <c r="L21" i="4"/>
  <c r="Q51" i="5"/>
  <c r="M15" i="2"/>
  <c r="M21" i="4"/>
  <c r="R51" i="5"/>
  <c r="N15" i="2"/>
  <c r="N21" i="4"/>
  <c r="T51" i="5"/>
  <c r="O15" i="2"/>
  <c r="O21" i="4"/>
  <c r="U51" i="5"/>
  <c r="P15" i="2"/>
  <c r="P21" i="4"/>
  <c r="W51" i="5"/>
  <c r="Q15" i="2"/>
  <c r="Q21" i="4"/>
  <c r="X51" i="5"/>
  <c r="S15" i="2"/>
  <c r="S21" i="4"/>
  <c r="AA51" i="5"/>
  <c r="AI21" i="4"/>
  <c r="T21" i="4" a="1"/>
  <c r="T21" i="4"/>
  <c r="AC51" i="5"/>
  <c r="U21" i="4" a="1"/>
  <c r="U21" i="4"/>
  <c r="AD51" i="5"/>
  <c r="X15" i="2"/>
  <c r="X21" i="4"/>
  <c r="AI51" i="5"/>
  <c r="Y15" i="2"/>
  <c r="Y21" i="4"/>
  <c r="AJ51" i="5"/>
  <c r="Z15" i="2"/>
  <c r="Z21" i="4"/>
  <c r="AL51" i="5"/>
  <c r="L51" i="5"/>
  <c r="F51" i="5"/>
  <c r="H51" i="5"/>
  <c r="I51" i="5"/>
  <c r="N51" i="5"/>
  <c r="O51" i="5"/>
  <c r="Z51" i="5"/>
  <c r="AN51" i="5"/>
  <c r="AG52" i="5"/>
  <c r="AF52" i="5"/>
  <c r="B22" i="4"/>
  <c r="C22" i="4"/>
  <c r="C52" i="5"/>
  <c r="D22" i="4"/>
  <c r="E52" i="5"/>
  <c r="L22" i="4"/>
  <c r="Q52" i="5"/>
  <c r="M22" i="4"/>
  <c r="R52" i="5"/>
  <c r="T52" i="5"/>
  <c r="U52" i="5"/>
  <c r="P22" i="4"/>
  <c r="W52" i="5"/>
  <c r="Q22" i="4"/>
  <c r="X52" i="5"/>
  <c r="S22" i="4"/>
  <c r="AA52" i="5"/>
  <c r="AI22" i="4"/>
  <c r="T22" i="4" a="1"/>
  <c r="T22" i="4"/>
  <c r="AC52" i="5"/>
  <c r="U22" i="4" a="1"/>
  <c r="U22" i="4"/>
  <c r="AD52" i="5"/>
  <c r="X22" i="4"/>
  <c r="AI52" i="5"/>
  <c r="Y22" i="4"/>
  <c r="AJ52" i="5"/>
  <c r="Z22" i="4"/>
  <c r="AL52" i="5"/>
  <c r="L52" i="5"/>
  <c r="F52" i="5"/>
  <c r="H52" i="5"/>
  <c r="I52" i="5"/>
  <c r="N52" i="5"/>
  <c r="O52" i="5"/>
  <c r="Z52" i="5"/>
  <c r="AN52" i="5"/>
  <c r="AG53" i="5"/>
  <c r="AF53" i="5"/>
  <c r="B23" i="4"/>
  <c r="C23" i="4"/>
  <c r="C53" i="5"/>
  <c r="D23" i="4"/>
  <c r="E53" i="5"/>
  <c r="L23" i="4"/>
  <c r="Q53" i="5"/>
  <c r="M23" i="4"/>
  <c r="R53" i="5"/>
  <c r="T53" i="5"/>
  <c r="U53" i="5"/>
  <c r="P23" i="4"/>
  <c r="W53" i="5"/>
  <c r="Q23" i="4"/>
  <c r="X53" i="5"/>
  <c r="S23" i="4"/>
  <c r="AA53" i="5"/>
  <c r="AI23" i="4"/>
  <c r="T23" i="4" a="1"/>
  <c r="T23" i="4"/>
  <c r="AC53" i="5"/>
  <c r="U23" i="4" a="1"/>
  <c r="U23" i="4"/>
  <c r="AD53" i="5"/>
  <c r="X23" i="4"/>
  <c r="AI53" i="5"/>
  <c r="Y23" i="4"/>
  <c r="AJ53" i="5"/>
  <c r="Z23" i="4"/>
  <c r="AL53" i="5"/>
  <c r="L53" i="5"/>
  <c r="F53" i="5"/>
  <c r="H53" i="5"/>
  <c r="I53" i="5"/>
  <c r="N53" i="5"/>
  <c r="O53" i="5"/>
  <c r="Z53" i="5"/>
  <c r="AN53" i="5"/>
  <c r="AG54" i="5"/>
  <c r="AF54" i="5"/>
  <c r="C25" i="4"/>
  <c r="C54" i="5"/>
  <c r="D25" i="4"/>
  <c r="E54" i="5"/>
  <c r="K54" i="5"/>
  <c r="I24" i="2"/>
  <c r="I3" i="2"/>
  <c r="I25" i="4"/>
  <c r="L54" i="5"/>
  <c r="J24" i="2"/>
  <c r="J3" i="2"/>
  <c r="J25" i="4"/>
  <c r="N54" i="5"/>
  <c r="O54" i="5"/>
  <c r="L25" i="4"/>
  <c r="Q54" i="5"/>
  <c r="M25" i="4"/>
  <c r="R54" i="5"/>
  <c r="T54" i="5"/>
  <c r="U54" i="5"/>
  <c r="P25" i="4"/>
  <c r="W54" i="5"/>
  <c r="Q25" i="4"/>
  <c r="X54" i="5"/>
  <c r="S25" i="4"/>
  <c r="AA54" i="5"/>
  <c r="AI25" i="4"/>
  <c r="T25" i="4" a="1"/>
  <c r="T25" i="4"/>
  <c r="AC54" i="5"/>
  <c r="U25" i="4" a="1"/>
  <c r="U25" i="4"/>
  <c r="AD54" i="5"/>
  <c r="X24" i="2"/>
  <c r="X25" i="4"/>
  <c r="AI54" i="5"/>
  <c r="Y25" i="4"/>
  <c r="AJ54" i="5"/>
  <c r="Z25" i="4"/>
  <c r="AL54" i="5"/>
  <c r="F54" i="5"/>
  <c r="H54" i="5"/>
  <c r="I54" i="5"/>
  <c r="Z54" i="5"/>
  <c r="AN54" i="5"/>
  <c r="AG55" i="5"/>
  <c r="AF55" i="5"/>
  <c r="C11" i="2"/>
  <c r="C28" i="4"/>
  <c r="C55" i="5"/>
  <c r="D11" i="2"/>
  <c r="D28" i="4"/>
  <c r="E55" i="5"/>
  <c r="H11" i="2"/>
  <c r="H28" i="4"/>
  <c r="K55" i="5"/>
  <c r="L11" i="2"/>
  <c r="L28" i="4"/>
  <c r="Q55" i="5"/>
  <c r="M11" i="2"/>
  <c r="M28" i="4"/>
  <c r="R55" i="5"/>
  <c r="N11" i="2"/>
  <c r="N28" i="4"/>
  <c r="T55" i="5"/>
  <c r="O11" i="2"/>
  <c r="O28" i="4"/>
  <c r="U55" i="5"/>
  <c r="P11" i="2"/>
  <c r="P28" i="4"/>
  <c r="W55" i="5"/>
  <c r="Q11" i="2"/>
  <c r="Q28" i="4"/>
  <c r="X55" i="5"/>
  <c r="AA55" i="5"/>
  <c r="AI28" i="4"/>
  <c r="T28" i="4" a="1"/>
  <c r="T28" i="4"/>
  <c r="AC55" i="5"/>
  <c r="U28" i="4" a="1"/>
  <c r="U28" i="4"/>
  <c r="AD55" i="5"/>
  <c r="X11" i="2"/>
  <c r="X28" i="4"/>
  <c r="AI55" i="5"/>
  <c r="Y11" i="2"/>
  <c r="Y28" i="4"/>
  <c r="AJ55" i="5"/>
  <c r="Z11" i="2"/>
  <c r="Z28" i="4"/>
  <c r="AL55" i="5"/>
  <c r="L55" i="5"/>
  <c r="N55" i="5"/>
  <c r="O55" i="5"/>
  <c r="F55" i="5"/>
  <c r="H55" i="5"/>
  <c r="I55" i="5"/>
  <c r="Z55" i="5"/>
  <c r="AN55" i="5"/>
  <c r="AG56" i="5"/>
  <c r="AF56" i="5"/>
  <c r="C13" i="2"/>
  <c r="C29" i="4"/>
  <c r="C56" i="5"/>
  <c r="D13" i="2"/>
  <c r="D29" i="4"/>
  <c r="E56" i="5"/>
  <c r="H13" i="2"/>
  <c r="H29" i="4"/>
  <c r="K56" i="5"/>
  <c r="L13" i="2"/>
  <c r="L29" i="4"/>
  <c r="Q56" i="5"/>
  <c r="M13" i="2"/>
  <c r="M29" i="4"/>
  <c r="R56" i="5"/>
  <c r="N13" i="2"/>
  <c r="N29" i="4"/>
  <c r="T56" i="5"/>
  <c r="O13" i="2"/>
  <c r="O29" i="4"/>
  <c r="U56" i="5"/>
  <c r="P13" i="2"/>
  <c r="P29" i="4"/>
  <c r="W56" i="5"/>
  <c r="Q13" i="2"/>
  <c r="Q29" i="4"/>
  <c r="X56" i="5"/>
  <c r="AA56" i="5"/>
  <c r="AI29" i="4"/>
  <c r="T29" i="4" a="1"/>
  <c r="T29" i="4"/>
  <c r="AC56" i="5"/>
  <c r="U29" i="4" a="1"/>
  <c r="U29" i="4"/>
  <c r="AD56" i="5"/>
  <c r="X13" i="2"/>
  <c r="X29" i="4"/>
  <c r="AI56" i="5"/>
  <c r="Y13" i="2"/>
  <c r="Y29" i="4"/>
  <c r="AJ56" i="5"/>
  <c r="Z13" i="2"/>
  <c r="Z29" i="4"/>
  <c r="AL56" i="5"/>
  <c r="L56" i="5"/>
  <c r="N56" i="5"/>
  <c r="O56" i="5"/>
  <c r="F56" i="5"/>
  <c r="H56" i="5"/>
  <c r="I56" i="5"/>
  <c r="Z56" i="5"/>
  <c r="AN56" i="5"/>
  <c r="AG57" i="5"/>
  <c r="AF57" i="5"/>
  <c r="C12" i="2"/>
  <c r="C30" i="4"/>
  <c r="C57" i="5"/>
  <c r="D12" i="2"/>
  <c r="D30" i="4"/>
  <c r="E57" i="5"/>
  <c r="H12" i="2"/>
  <c r="H30" i="4"/>
  <c r="K57" i="5"/>
  <c r="L12" i="2"/>
  <c r="L30" i="4"/>
  <c r="Q57" i="5"/>
  <c r="M12" i="2"/>
  <c r="M30" i="4"/>
  <c r="R57" i="5"/>
  <c r="T57" i="5"/>
  <c r="U57" i="5"/>
  <c r="P12" i="2"/>
  <c r="P30" i="4"/>
  <c r="W57" i="5"/>
  <c r="Q12" i="2"/>
  <c r="Q30" i="4"/>
  <c r="X57" i="5"/>
  <c r="AA57" i="5"/>
  <c r="AI30" i="4"/>
  <c r="T30" i="4" a="1"/>
  <c r="T30" i="4"/>
  <c r="AC57" i="5"/>
  <c r="U30" i="4" a="1"/>
  <c r="U30" i="4"/>
  <c r="AD57" i="5"/>
  <c r="X30" i="4"/>
  <c r="AI57" i="5"/>
  <c r="Y12" i="2"/>
  <c r="Y30" i="4"/>
  <c r="AJ57" i="5"/>
  <c r="Z12" i="2"/>
  <c r="Z30" i="4"/>
  <c r="AL57" i="5"/>
  <c r="L57" i="5"/>
  <c r="N57" i="5"/>
  <c r="O57" i="5"/>
  <c r="F57" i="5"/>
  <c r="H57" i="5"/>
  <c r="I57" i="5"/>
  <c r="Z57" i="5"/>
  <c r="AN57" i="5"/>
  <c r="AG58" i="5"/>
  <c r="AF58" i="5"/>
  <c r="C31" i="4"/>
  <c r="C58" i="5"/>
  <c r="D31" i="4"/>
  <c r="E58" i="5"/>
  <c r="H31" i="4"/>
  <c r="K58" i="5"/>
  <c r="I12" i="2"/>
  <c r="I31" i="4"/>
  <c r="L58" i="5"/>
  <c r="J12" i="2"/>
  <c r="J31" i="4"/>
  <c r="N58" i="5"/>
  <c r="O58" i="5"/>
  <c r="L31" i="4"/>
  <c r="Q58" i="5"/>
  <c r="M31" i="4"/>
  <c r="R58" i="5"/>
  <c r="N12" i="2"/>
  <c r="N31" i="4"/>
  <c r="T58" i="5"/>
  <c r="O12" i="2"/>
  <c r="O31" i="4"/>
  <c r="U58" i="5"/>
  <c r="P31" i="4"/>
  <c r="W58" i="5"/>
  <c r="Q31" i="4"/>
  <c r="X58" i="5"/>
  <c r="AA58" i="5"/>
  <c r="AI31" i="4"/>
  <c r="T31" i="4" a="1"/>
  <c r="T31" i="4"/>
  <c r="AC58" i="5"/>
  <c r="U31" i="4" a="1"/>
  <c r="U31" i="4"/>
  <c r="AD58" i="5"/>
  <c r="X31" i="4"/>
  <c r="AI58" i="5"/>
  <c r="Y31" i="4"/>
  <c r="AJ58" i="5"/>
  <c r="Z31" i="4"/>
  <c r="AL58" i="5"/>
  <c r="F58" i="5"/>
  <c r="H58" i="5"/>
  <c r="I58" i="5"/>
  <c r="Z58" i="5"/>
  <c r="AN58" i="5"/>
  <c r="AG59" i="5"/>
  <c r="AF59" i="5"/>
  <c r="C10" i="2"/>
  <c r="C32" i="4"/>
  <c r="C59" i="5"/>
  <c r="D10" i="2"/>
  <c r="D32" i="4"/>
  <c r="E59" i="5"/>
  <c r="H10" i="2"/>
  <c r="H32" i="4"/>
  <c r="K59" i="5"/>
  <c r="L10" i="2"/>
  <c r="L32" i="4"/>
  <c r="Q59" i="5"/>
  <c r="M10" i="2"/>
  <c r="M32" i="4"/>
  <c r="R59" i="5"/>
  <c r="N10" i="2"/>
  <c r="N32" i="4"/>
  <c r="T59" i="5"/>
  <c r="O10" i="2"/>
  <c r="O32" i="4"/>
  <c r="U59" i="5"/>
  <c r="P10" i="2"/>
  <c r="P32" i="4"/>
  <c r="W59" i="5"/>
  <c r="Q10" i="2"/>
  <c r="Q32" i="4"/>
  <c r="X59" i="5"/>
  <c r="AA59" i="5"/>
  <c r="AI32" i="4"/>
  <c r="T32" i="4" a="1"/>
  <c r="T32" i="4"/>
  <c r="AC59" i="5"/>
  <c r="U32" i="4" a="1"/>
  <c r="U32" i="4"/>
  <c r="AD59" i="5"/>
  <c r="X10" i="2"/>
  <c r="X32" i="4"/>
  <c r="AI59" i="5"/>
  <c r="Y10" i="2"/>
  <c r="Y32" i="4"/>
  <c r="AJ59" i="5"/>
  <c r="Z10" i="2"/>
  <c r="Z32" i="4"/>
  <c r="AL59" i="5"/>
  <c r="L59" i="5"/>
  <c r="N59" i="5"/>
  <c r="O59" i="5"/>
  <c r="F59" i="5"/>
  <c r="H59" i="5"/>
  <c r="I59" i="5"/>
  <c r="Z59" i="5"/>
  <c r="AN59" i="5"/>
  <c r="AG60" i="5"/>
  <c r="AF60" i="5"/>
  <c r="C33" i="4"/>
  <c r="C60" i="5"/>
  <c r="D33" i="4"/>
  <c r="E60" i="5"/>
  <c r="H33" i="4"/>
  <c r="K60" i="5"/>
  <c r="L33" i="4"/>
  <c r="Q60" i="5"/>
  <c r="M33" i="4"/>
  <c r="R60" i="5"/>
  <c r="T60" i="5"/>
  <c r="U60" i="5"/>
  <c r="P33" i="4"/>
  <c r="W60" i="5"/>
  <c r="Q33" i="4"/>
  <c r="X60" i="5"/>
  <c r="AA60" i="5"/>
  <c r="AI33" i="4"/>
  <c r="T33" i="4" a="1"/>
  <c r="T33" i="4"/>
  <c r="AC60" i="5"/>
  <c r="U33" i="4" a="1"/>
  <c r="U33" i="4"/>
  <c r="AD60" i="5"/>
  <c r="X33" i="4"/>
  <c r="AI60" i="5"/>
  <c r="Y33" i="4"/>
  <c r="AJ60" i="5"/>
  <c r="Z33" i="4"/>
  <c r="AL60" i="5"/>
  <c r="L60" i="5"/>
  <c r="N60" i="5"/>
  <c r="O60" i="5"/>
  <c r="F60" i="5"/>
  <c r="H60" i="5"/>
  <c r="I60" i="5"/>
  <c r="Z60" i="5"/>
  <c r="AN60" i="5"/>
  <c r="AA61" i="5"/>
  <c r="B34" i="4"/>
  <c r="P34" i="4"/>
  <c r="W61" i="5"/>
  <c r="O61" i="5"/>
  <c r="K61" i="5"/>
  <c r="AG61" i="5"/>
  <c r="AF61" i="5"/>
  <c r="C34" i="4"/>
  <c r="C61" i="5"/>
  <c r="D34" i="4"/>
  <c r="E61" i="5"/>
  <c r="L61" i="5"/>
  <c r="N61" i="5"/>
  <c r="L34" i="4"/>
  <c r="Q61" i="5"/>
  <c r="O34" i="4"/>
  <c r="U61" i="5"/>
  <c r="Q34" i="4"/>
  <c r="X61" i="5"/>
  <c r="R34" i="4"/>
  <c r="Z61" i="5"/>
  <c r="AI34" i="4"/>
  <c r="T34" i="4" a="1"/>
  <c r="T34" i="4"/>
  <c r="AC61" i="5"/>
  <c r="U34" i="4" a="1"/>
  <c r="U34" i="4"/>
  <c r="AD61" i="5"/>
  <c r="X34" i="4"/>
  <c r="AI61" i="5"/>
  <c r="Y34" i="4"/>
  <c r="AJ61" i="5"/>
  <c r="Z34" i="4"/>
  <c r="AL61" i="5"/>
  <c r="R61" i="5"/>
  <c r="T61" i="5"/>
  <c r="F61" i="5"/>
  <c r="H61" i="5"/>
  <c r="I61" i="5"/>
  <c r="AN61" i="5"/>
  <c r="AG62" i="5"/>
  <c r="AF62" i="5"/>
  <c r="B35" i="4"/>
  <c r="C35" i="4"/>
  <c r="C62" i="5"/>
  <c r="D35" i="4"/>
  <c r="E62" i="5"/>
  <c r="H35" i="4"/>
  <c r="K62" i="5"/>
  <c r="L35" i="4"/>
  <c r="Q62" i="5"/>
  <c r="M35" i="4"/>
  <c r="R62" i="5"/>
  <c r="T62" i="5"/>
  <c r="U62" i="5"/>
  <c r="P35" i="4"/>
  <c r="W62" i="5"/>
  <c r="Q35" i="4"/>
  <c r="X62" i="5"/>
  <c r="AA62" i="5"/>
  <c r="AI35" i="4"/>
  <c r="T35" i="4" a="1"/>
  <c r="T35" i="4"/>
  <c r="AC62" i="5"/>
  <c r="U35" i="4" a="1"/>
  <c r="U35" i="4"/>
  <c r="AD62" i="5"/>
  <c r="AI62" i="5"/>
  <c r="Y35" i="4"/>
  <c r="AJ62" i="5"/>
  <c r="Z35" i="4"/>
  <c r="AL62" i="5"/>
  <c r="F62" i="5"/>
  <c r="H62" i="5"/>
  <c r="I62" i="5"/>
  <c r="L62" i="5"/>
  <c r="N62" i="5"/>
  <c r="O62" i="5"/>
  <c r="Z62" i="5"/>
  <c r="AN62" i="5"/>
  <c r="AG63" i="5"/>
  <c r="AF63" i="5"/>
  <c r="B36" i="4"/>
  <c r="C36" i="4"/>
  <c r="C63" i="5"/>
  <c r="D36" i="4"/>
  <c r="E63" i="5"/>
  <c r="H36" i="4"/>
  <c r="K63" i="5"/>
  <c r="L36" i="4"/>
  <c r="Q63" i="5"/>
  <c r="M36" i="4"/>
  <c r="R63" i="5"/>
  <c r="T63" i="5"/>
  <c r="U63" i="5"/>
  <c r="P36" i="4"/>
  <c r="W63" i="5"/>
  <c r="Q36" i="4"/>
  <c r="X63" i="5"/>
  <c r="AA63" i="5"/>
  <c r="AI36" i="4"/>
  <c r="T36" i="4" a="1"/>
  <c r="T36" i="4"/>
  <c r="AC63" i="5"/>
  <c r="U36" i="4" a="1"/>
  <c r="U36" i="4"/>
  <c r="AD63" i="5"/>
  <c r="Y36" i="4"/>
  <c r="AJ63" i="5"/>
  <c r="Z36" i="4"/>
  <c r="AL63" i="5"/>
  <c r="F63" i="5"/>
  <c r="H63" i="5"/>
  <c r="I63" i="5"/>
  <c r="L63" i="5"/>
  <c r="N63" i="5"/>
  <c r="O63" i="5"/>
  <c r="Z63" i="5"/>
  <c r="AN63" i="5"/>
  <c r="AG64" i="5"/>
  <c r="AF64" i="5"/>
  <c r="B37" i="4"/>
  <c r="C37" i="4"/>
  <c r="C64" i="5"/>
  <c r="D37" i="4"/>
  <c r="E64" i="5"/>
  <c r="H37" i="4"/>
  <c r="K64" i="5"/>
  <c r="L37" i="4"/>
  <c r="Q64" i="5"/>
  <c r="M37" i="4"/>
  <c r="R64" i="5"/>
  <c r="T64" i="5"/>
  <c r="U64" i="5"/>
  <c r="P37" i="4"/>
  <c r="W64" i="5"/>
  <c r="Q37" i="4"/>
  <c r="X64" i="5"/>
  <c r="AA64" i="5"/>
  <c r="AI37" i="4"/>
  <c r="T37" i="4" a="1"/>
  <c r="T37" i="4"/>
  <c r="AC64" i="5"/>
  <c r="U37" i="4" a="1"/>
  <c r="U37" i="4"/>
  <c r="AD64" i="5"/>
  <c r="Y37" i="4"/>
  <c r="AJ64" i="5"/>
  <c r="Z37" i="4"/>
  <c r="AL64" i="5"/>
  <c r="F64" i="5"/>
  <c r="H64" i="5"/>
  <c r="I64" i="5"/>
  <c r="L64" i="5"/>
  <c r="N64" i="5"/>
  <c r="O64" i="5"/>
  <c r="Z64" i="5"/>
  <c r="AN64" i="5"/>
  <c r="AG65" i="5"/>
  <c r="AF65" i="5"/>
  <c r="B38" i="4"/>
  <c r="C38" i="4"/>
  <c r="C65" i="5"/>
  <c r="D38" i="4"/>
  <c r="E65" i="5"/>
  <c r="H38" i="4"/>
  <c r="K65" i="5"/>
  <c r="L38" i="4"/>
  <c r="Q65" i="5"/>
  <c r="M38" i="4"/>
  <c r="R65" i="5"/>
  <c r="T65" i="5"/>
  <c r="U65" i="5"/>
  <c r="P38" i="4"/>
  <c r="W65" i="5"/>
  <c r="Q38" i="4"/>
  <c r="X65" i="5"/>
  <c r="AA65" i="5"/>
  <c r="AI38" i="4"/>
  <c r="T38" i="4" a="1"/>
  <c r="T38" i="4"/>
  <c r="AC65" i="5"/>
  <c r="U38" i="4" a="1"/>
  <c r="U38" i="4"/>
  <c r="AD65" i="5"/>
  <c r="X38" i="4"/>
  <c r="AI65" i="5"/>
  <c r="Y38" i="4"/>
  <c r="AJ65" i="5"/>
  <c r="Z38" i="4"/>
  <c r="AL65" i="5"/>
  <c r="F65" i="5"/>
  <c r="H65" i="5"/>
  <c r="I65" i="5"/>
  <c r="L65" i="5"/>
  <c r="N65" i="5"/>
  <c r="O65" i="5"/>
  <c r="Z65" i="5"/>
  <c r="AN65" i="5"/>
  <c r="AG66" i="5"/>
  <c r="AF66" i="5"/>
  <c r="B39" i="4"/>
  <c r="C39" i="4"/>
  <c r="C66" i="5"/>
  <c r="D39" i="4"/>
  <c r="E66" i="5"/>
  <c r="H39" i="4"/>
  <c r="K66" i="5"/>
  <c r="L39" i="4"/>
  <c r="Q66" i="5"/>
  <c r="M39" i="4"/>
  <c r="R66" i="5"/>
  <c r="T66" i="5"/>
  <c r="U66" i="5"/>
  <c r="P39" i="4"/>
  <c r="W66" i="5"/>
  <c r="Q39" i="4"/>
  <c r="X66" i="5"/>
  <c r="AA66" i="5"/>
  <c r="AI39" i="4"/>
  <c r="T39" i="4" a="1"/>
  <c r="T39" i="4"/>
  <c r="AC66" i="5"/>
  <c r="U39" i="4" a="1"/>
  <c r="U39" i="4"/>
  <c r="AD66" i="5"/>
  <c r="X39" i="4"/>
  <c r="AI66" i="5"/>
  <c r="Y39" i="4"/>
  <c r="AJ66" i="5"/>
  <c r="Z39" i="4"/>
  <c r="AL66" i="5"/>
  <c r="F66" i="5"/>
  <c r="H66" i="5"/>
  <c r="I66" i="5"/>
  <c r="L66" i="5"/>
  <c r="N66" i="5"/>
  <c r="O66" i="5"/>
  <c r="Z66" i="5"/>
  <c r="AN66" i="5"/>
  <c r="AG67" i="5"/>
  <c r="AF67" i="5"/>
  <c r="B40" i="4"/>
  <c r="C40" i="4"/>
  <c r="C67" i="5"/>
  <c r="D40" i="4"/>
  <c r="E67" i="5"/>
  <c r="H40" i="4"/>
  <c r="K67" i="5"/>
  <c r="L40" i="4"/>
  <c r="Q67" i="5"/>
  <c r="M40" i="4"/>
  <c r="R67" i="5"/>
  <c r="T67" i="5"/>
  <c r="U67" i="5"/>
  <c r="P40" i="4"/>
  <c r="W67" i="5"/>
  <c r="Q40" i="4"/>
  <c r="X67" i="5"/>
  <c r="AA67" i="5"/>
  <c r="AI40" i="4"/>
  <c r="T40" i="4" a="1"/>
  <c r="T40" i="4"/>
  <c r="AC67" i="5"/>
  <c r="U40" i="4" a="1"/>
  <c r="U40" i="4"/>
  <c r="AD67" i="5"/>
  <c r="X40" i="4"/>
  <c r="AI67" i="5"/>
  <c r="Y40" i="4"/>
  <c r="AJ67" i="5"/>
  <c r="Z40" i="4"/>
  <c r="AL67" i="5"/>
  <c r="F67" i="5"/>
  <c r="H67" i="5"/>
  <c r="I67" i="5"/>
  <c r="L67" i="5"/>
  <c r="N67" i="5"/>
  <c r="O67" i="5"/>
  <c r="Z67" i="5"/>
  <c r="AN67" i="5"/>
  <c r="AG68" i="5"/>
  <c r="AF68" i="5"/>
  <c r="C2" i="4"/>
  <c r="C68" i="5"/>
  <c r="D2" i="4"/>
  <c r="E68" i="5"/>
  <c r="H2" i="4"/>
  <c r="K68" i="5"/>
  <c r="L2" i="4"/>
  <c r="Q68" i="5"/>
  <c r="M2" i="4"/>
  <c r="R68" i="5"/>
  <c r="T68" i="5"/>
  <c r="U68" i="5"/>
  <c r="P2" i="4"/>
  <c r="W68" i="5"/>
  <c r="Q2" i="4"/>
  <c r="X68" i="5"/>
  <c r="AA68" i="5"/>
  <c r="AI2" i="4"/>
  <c r="T2" i="4" a="1"/>
  <c r="T2" i="4"/>
  <c r="AC68" i="5"/>
  <c r="U2" i="4" a="1"/>
  <c r="U2" i="4"/>
  <c r="AD68" i="5"/>
  <c r="Y2" i="4"/>
  <c r="AJ68" i="5"/>
  <c r="Z2" i="4"/>
  <c r="AL68" i="5"/>
  <c r="F68" i="5"/>
  <c r="H68" i="5"/>
  <c r="I68" i="5"/>
  <c r="L68" i="5"/>
  <c r="N68" i="5"/>
  <c r="O68" i="5"/>
  <c r="Z68" i="5"/>
  <c r="AN68" i="5"/>
  <c r="AG69" i="5"/>
  <c r="AF69" i="5"/>
  <c r="C17" i="2"/>
  <c r="C3" i="4"/>
  <c r="C69" i="5"/>
  <c r="D17" i="2"/>
  <c r="D3" i="4"/>
  <c r="E69" i="5"/>
  <c r="H17" i="2"/>
  <c r="H3" i="4"/>
  <c r="K69" i="5"/>
  <c r="I17" i="2"/>
  <c r="I3" i="4"/>
  <c r="L69" i="5"/>
  <c r="J17" i="2"/>
  <c r="J3" i="4"/>
  <c r="N69" i="5"/>
  <c r="O69" i="5"/>
  <c r="L17" i="2"/>
  <c r="L3" i="4"/>
  <c r="Q69" i="5"/>
  <c r="M17" i="2"/>
  <c r="M3" i="4"/>
  <c r="R69" i="5"/>
  <c r="N17" i="2"/>
  <c r="N3" i="4"/>
  <c r="T69" i="5"/>
  <c r="O17" i="2"/>
  <c r="O3" i="4"/>
  <c r="U69" i="5"/>
  <c r="P17" i="2"/>
  <c r="P3" i="4"/>
  <c r="W69" i="5"/>
  <c r="Q17" i="2"/>
  <c r="Q3" i="4"/>
  <c r="X69" i="5"/>
  <c r="AA69" i="5"/>
  <c r="AI3" i="4"/>
  <c r="T3" i="4" a="1"/>
  <c r="T3" i="4"/>
  <c r="AC69" i="5"/>
  <c r="AD69" i="5"/>
  <c r="X17" i="2"/>
  <c r="X3" i="4"/>
  <c r="AI69" i="5"/>
  <c r="Y17" i="2"/>
  <c r="Y3" i="4"/>
  <c r="AJ69" i="5"/>
  <c r="Z17" i="2"/>
  <c r="Z3" i="4"/>
  <c r="AL69" i="5"/>
  <c r="F69" i="5"/>
  <c r="H69" i="5"/>
  <c r="I69" i="5"/>
  <c r="Z69" i="5"/>
  <c r="AN69" i="5"/>
  <c r="AG70" i="5"/>
  <c r="AF70" i="5"/>
  <c r="C4" i="4"/>
  <c r="C70" i="5"/>
  <c r="D4" i="4"/>
  <c r="E70" i="5"/>
  <c r="H4" i="4"/>
  <c r="K70" i="5"/>
  <c r="L4" i="4"/>
  <c r="Q70" i="5"/>
  <c r="M4" i="4"/>
  <c r="R70" i="5"/>
  <c r="N4" i="4"/>
  <c r="T70" i="5"/>
  <c r="O4" i="4"/>
  <c r="U70" i="5"/>
  <c r="P4" i="4"/>
  <c r="W70" i="5"/>
  <c r="Q4" i="4"/>
  <c r="X70" i="5"/>
  <c r="AA70" i="5"/>
  <c r="AI4" i="4"/>
  <c r="T4" i="4" a="1"/>
  <c r="T4" i="4"/>
  <c r="AC70" i="5"/>
  <c r="U4" i="4" a="1"/>
  <c r="U4" i="4"/>
  <c r="AD70" i="5"/>
  <c r="Y4" i="4"/>
  <c r="AJ70" i="5"/>
  <c r="Z4" i="4"/>
  <c r="AL70" i="5"/>
  <c r="F70" i="5"/>
  <c r="H70" i="5"/>
  <c r="I70" i="5"/>
  <c r="L70" i="5"/>
  <c r="N70" i="5"/>
  <c r="O70" i="5"/>
  <c r="Z70" i="5"/>
  <c r="AN70" i="5"/>
  <c r="AG71" i="5"/>
  <c r="AF71" i="5"/>
  <c r="B5" i="4"/>
  <c r="C5" i="4"/>
  <c r="C71" i="5"/>
  <c r="D5" i="4"/>
  <c r="E71" i="5"/>
  <c r="H5" i="4"/>
  <c r="K71" i="5"/>
  <c r="L5" i="4"/>
  <c r="Q71" i="5"/>
  <c r="M5" i="4"/>
  <c r="R71" i="5"/>
  <c r="T71" i="5"/>
  <c r="U71" i="5"/>
  <c r="P5" i="4"/>
  <c r="W71" i="5"/>
  <c r="Q5" i="4"/>
  <c r="X71" i="5"/>
  <c r="AA71" i="5"/>
  <c r="AI5" i="4"/>
  <c r="T5" i="4" a="1"/>
  <c r="T5" i="4"/>
  <c r="AC71" i="5"/>
  <c r="U5" i="4" a="1"/>
  <c r="U5" i="4"/>
  <c r="AD71" i="5"/>
  <c r="Y5" i="4"/>
  <c r="AJ71" i="5"/>
  <c r="Z5" i="4"/>
  <c r="AL71" i="5"/>
  <c r="F71" i="5"/>
  <c r="H71" i="5"/>
  <c r="I71" i="5"/>
  <c r="L71" i="5"/>
  <c r="N71" i="5"/>
  <c r="O71" i="5"/>
  <c r="Z71" i="5"/>
  <c r="AN71" i="5"/>
  <c r="AG72" i="5"/>
  <c r="AF72" i="5"/>
  <c r="C18" i="2"/>
  <c r="C41" i="4"/>
  <c r="C72" i="5"/>
  <c r="D41" i="4"/>
  <c r="E72" i="5"/>
  <c r="H41" i="4"/>
  <c r="K72" i="5"/>
  <c r="L41" i="4"/>
  <c r="Q72" i="5"/>
  <c r="M41" i="4"/>
  <c r="R72" i="5"/>
  <c r="T72" i="5"/>
  <c r="O18" i="2"/>
  <c r="O41" i="4"/>
  <c r="U72" i="5"/>
  <c r="P18" i="2"/>
  <c r="P41" i="4"/>
  <c r="W72" i="5"/>
  <c r="Q18" i="2"/>
  <c r="Q41" i="4"/>
  <c r="X72" i="5"/>
  <c r="S18" i="2"/>
  <c r="S41" i="4"/>
  <c r="AA72" i="5"/>
  <c r="AI41" i="4"/>
  <c r="T41" i="4" a="1"/>
  <c r="T41" i="4"/>
  <c r="AC72" i="5"/>
  <c r="U41" i="4" a="1"/>
  <c r="U41" i="4"/>
  <c r="AD72" i="5"/>
  <c r="X18" i="2"/>
  <c r="X41" i="4"/>
  <c r="AI72" i="5"/>
  <c r="Y18" i="2"/>
  <c r="Y41" i="4"/>
  <c r="AJ72" i="5"/>
  <c r="Z18" i="2"/>
  <c r="Z41" i="4"/>
  <c r="AL72" i="5"/>
  <c r="F72" i="5"/>
  <c r="H72" i="5"/>
  <c r="I72" i="5"/>
  <c r="L72" i="5"/>
  <c r="N72" i="5"/>
  <c r="O72" i="5"/>
  <c r="Z72" i="5"/>
  <c r="AN72" i="5"/>
  <c r="AG73" i="5"/>
  <c r="AF73" i="5"/>
  <c r="C20" i="2"/>
  <c r="C43" i="4"/>
  <c r="C73" i="5"/>
  <c r="D20" i="2"/>
  <c r="D43" i="4"/>
  <c r="E73" i="5"/>
  <c r="E20" i="2"/>
  <c r="E43" i="4"/>
  <c r="F73" i="5"/>
  <c r="F20" i="2"/>
  <c r="F43" i="4"/>
  <c r="H73" i="5"/>
  <c r="I73" i="5"/>
  <c r="H20" i="2"/>
  <c r="H43" i="4"/>
  <c r="K73" i="5"/>
  <c r="L20" i="2"/>
  <c r="L43" i="4"/>
  <c r="Q73" i="5"/>
  <c r="M20" i="2"/>
  <c r="M43" i="4"/>
  <c r="R73" i="5"/>
  <c r="T73" i="5"/>
  <c r="U73" i="5"/>
  <c r="P20" i="2"/>
  <c r="P43" i="4"/>
  <c r="W73" i="5"/>
  <c r="Q20" i="2"/>
  <c r="Q43" i="4"/>
  <c r="X73" i="5"/>
  <c r="S20" i="2"/>
  <c r="S43" i="4"/>
  <c r="AA73" i="5"/>
  <c r="AI43" i="4"/>
  <c r="T43" i="4" a="1"/>
  <c r="T43" i="4"/>
  <c r="AC73" i="5"/>
  <c r="U43" i="4" a="1"/>
  <c r="U43" i="4"/>
  <c r="AD73" i="5"/>
  <c r="X20" i="2"/>
  <c r="X43" i="4"/>
  <c r="AI73" i="5"/>
  <c r="Y20" i="2"/>
  <c r="Y43" i="4"/>
  <c r="AJ73" i="5"/>
  <c r="Z20" i="2"/>
  <c r="Z43" i="4"/>
  <c r="AL73" i="5"/>
  <c r="L73" i="5"/>
  <c r="N73" i="5"/>
  <c r="O73" i="5"/>
  <c r="Z73" i="5"/>
  <c r="AN73" i="5"/>
  <c r="AG74" i="5"/>
  <c r="AF74" i="5"/>
  <c r="C44" i="4"/>
  <c r="C74" i="5"/>
  <c r="D44" i="4"/>
  <c r="E74" i="5"/>
  <c r="H44" i="4"/>
  <c r="K74" i="5"/>
  <c r="L44" i="4"/>
  <c r="Q74" i="5"/>
  <c r="M44" i="4"/>
  <c r="R74" i="5"/>
  <c r="T74" i="5"/>
  <c r="U74" i="5"/>
  <c r="P44" i="4"/>
  <c r="W74" i="5"/>
  <c r="Q44" i="4"/>
  <c r="X74" i="5"/>
  <c r="S44" i="4"/>
  <c r="AA74" i="5"/>
  <c r="AI44" i="4"/>
  <c r="T44" i="4" a="1"/>
  <c r="T44" i="4"/>
  <c r="AC74" i="5"/>
  <c r="U44" i="4" a="1"/>
  <c r="U44" i="4"/>
  <c r="AD74" i="5"/>
  <c r="X44" i="4"/>
  <c r="AI74" i="5"/>
  <c r="Y44" i="4"/>
  <c r="AJ74" i="5"/>
  <c r="Z44" i="4"/>
  <c r="AL74" i="5"/>
  <c r="F74" i="5"/>
  <c r="H74" i="5"/>
  <c r="I74" i="5"/>
  <c r="L74" i="5"/>
  <c r="N74" i="5"/>
  <c r="O74" i="5"/>
  <c r="Z74" i="5"/>
  <c r="AN74" i="5"/>
  <c r="AG75" i="5"/>
  <c r="AF75" i="5"/>
  <c r="C45" i="4"/>
  <c r="C75" i="5"/>
  <c r="D45" i="4"/>
  <c r="E75" i="5"/>
  <c r="H45" i="4"/>
  <c r="K75" i="5"/>
  <c r="L45" i="4"/>
  <c r="Q75" i="5"/>
  <c r="R75" i="5"/>
  <c r="T75" i="5"/>
  <c r="O45" i="4"/>
  <c r="U75" i="5"/>
  <c r="P45" i="4"/>
  <c r="W75" i="5"/>
  <c r="Q45" i="4"/>
  <c r="X75" i="5"/>
  <c r="S45" i="4"/>
  <c r="AA75" i="5"/>
  <c r="AI45" i="4"/>
  <c r="T45" i="4" a="1"/>
  <c r="T45" i="4"/>
  <c r="AC75" i="5"/>
  <c r="U45" i="4" a="1"/>
  <c r="U45" i="4"/>
  <c r="AD75" i="5"/>
  <c r="X45" i="4"/>
  <c r="AI75" i="5"/>
  <c r="Y45" i="4"/>
  <c r="AJ75" i="5"/>
  <c r="Z45" i="4"/>
  <c r="AL75" i="5"/>
  <c r="F75" i="5"/>
  <c r="H75" i="5"/>
  <c r="I75" i="5"/>
  <c r="L75" i="5"/>
  <c r="N75" i="5"/>
  <c r="O75" i="5"/>
  <c r="Z75" i="5"/>
  <c r="AN75" i="5"/>
  <c r="AG76" i="5"/>
  <c r="AF76" i="5"/>
  <c r="C25" i="2"/>
  <c r="B46" i="4"/>
  <c r="C46" i="4"/>
  <c r="C76" i="5"/>
  <c r="D25" i="2"/>
  <c r="D46" i="4"/>
  <c r="E76" i="5"/>
  <c r="H25" i="2"/>
  <c r="H46" i="4"/>
  <c r="K76" i="5"/>
  <c r="L25" i="2"/>
  <c r="L46" i="4"/>
  <c r="Q76" i="5"/>
  <c r="M25" i="2"/>
  <c r="M46" i="4"/>
  <c r="R76" i="5"/>
  <c r="T76" i="5"/>
  <c r="U76" i="5"/>
  <c r="P25" i="2"/>
  <c r="P46" i="4"/>
  <c r="W76" i="5"/>
  <c r="Q25" i="2"/>
  <c r="Q46" i="4"/>
  <c r="X76" i="5"/>
  <c r="S25" i="2"/>
  <c r="S46" i="4"/>
  <c r="AA76" i="5"/>
  <c r="AI46" i="4"/>
  <c r="T46" i="4" a="1"/>
  <c r="T46" i="4"/>
  <c r="AC76" i="5"/>
  <c r="U46" i="4" a="1"/>
  <c r="U46" i="4"/>
  <c r="AD76" i="5"/>
  <c r="X25" i="2"/>
  <c r="X46" i="4"/>
  <c r="AI76" i="5"/>
  <c r="Y25" i="2"/>
  <c r="Y46" i="4"/>
  <c r="AJ76" i="5"/>
  <c r="Z25" i="2"/>
  <c r="Z46" i="4"/>
  <c r="AL76" i="5"/>
  <c r="F76" i="5"/>
  <c r="H76" i="5"/>
  <c r="I76" i="5"/>
  <c r="L76" i="5"/>
  <c r="N76" i="5"/>
  <c r="O76" i="5"/>
  <c r="Z76" i="5"/>
  <c r="AN76" i="5"/>
  <c r="AG77" i="5"/>
  <c r="AF77" i="5"/>
  <c r="B47" i="4"/>
  <c r="C32" i="2"/>
  <c r="C47" i="4"/>
  <c r="C77" i="5"/>
  <c r="D32" i="2"/>
  <c r="D47" i="4"/>
  <c r="E77" i="5"/>
  <c r="E32" i="2"/>
  <c r="E47" i="4"/>
  <c r="F77" i="5"/>
  <c r="F32" i="2"/>
  <c r="F47" i="4"/>
  <c r="H77" i="5"/>
  <c r="I77" i="5"/>
  <c r="H32" i="2"/>
  <c r="H47" i="4"/>
  <c r="K77" i="5"/>
  <c r="L32" i="2"/>
  <c r="L47" i="4"/>
  <c r="Q77" i="5"/>
  <c r="M32" i="2"/>
  <c r="M47" i="4"/>
  <c r="R77" i="5"/>
  <c r="T77" i="5"/>
  <c r="U77" i="5"/>
  <c r="P32" i="2"/>
  <c r="P47" i="4"/>
  <c r="W77" i="5"/>
  <c r="Q32" i="2"/>
  <c r="Q47" i="4"/>
  <c r="X77" i="5"/>
  <c r="S32" i="2"/>
  <c r="S47" i="4"/>
  <c r="AA77" i="5"/>
  <c r="AI47" i="4"/>
  <c r="T47" i="4" a="1"/>
  <c r="T47" i="4"/>
  <c r="AC77" i="5"/>
  <c r="AD77" i="5"/>
  <c r="X32" i="2"/>
  <c r="X47" i="4"/>
  <c r="AI77" i="5"/>
  <c r="Y32" i="2"/>
  <c r="Y47" i="4"/>
  <c r="AJ77" i="5"/>
  <c r="Z32" i="2"/>
  <c r="Z47" i="4"/>
  <c r="AL77" i="5"/>
  <c r="L77" i="5"/>
  <c r="N77" i="5"/>
  <c r="O77" i="5"/>
  <c r="Z77" i="5"/>
  <c r="AN77" i="5"/>
  <c r="AG78" i="5"/>
  <c r="AF78" i="5"/>
  <c r="C48" i="4"/>
  <c r="C78" i="5"/>
  <c r="T78" i="5"/>
  <c r="U78" i="5"/>
  <c r="P48" i="4"/>
  <c r="W78" i="5"/>
  <c r="Q48" i="4"/>
  <c r="X78" i="5"/>
  <c r="S48" i="4"/>
  <c r="AA78" i="5"/>
  <c r="X48" i="4"/>
  <c r="AI78" i="5"/>
  <c r="Y48" i="4"/>
  <c r="AJ78" i="5"/>
  <c r="Z48" i="4"/>
  <c r="AL78" i="5"/>
  <c r="Z78" i="5"/>
  <c r="AN78" i="5"/>
  <c r="AG79" i="5"/>
  <c r="AF79" i="5"/>
  <c r="B49" i="4"/>
  <c r="C49" i="4"/>
  <c r="C79" i="5"/>
  <c r="D49" i="4"/>
  <c r="E79" i="5"/>
  <c r="E49" i="4"/>
  <c r="F79" i="5"/>
  <c r="F49" i="4"/>
  <c r="H79" i="5"/>
  <c r="I79" i="5"/>
  <c r="H49" i="4"/>
  <c r="K79" i="5"/>
  <c r="L49" i="4"/>
  <c r="Q79" i="5"/>
  <c r="M49" i="4"/>
  <c r="R79" i="5"/>
  <c r="T79" i="5"/>
  <c r="U79" i="5"/>
  <c r="P49" i="4"/>
  <c r="W79" i="5"/>
  <c r="Q49" i="4"/>
  <c r="X79" i="5"/>
  <c r="S49" i="4"/>
  <c r="AA79" i="5"/>
  <c r="AI49" i="4"/>
  <c r="T49" i="4" a="1"/>
  <c r="T49" i="4"/>
  <c r="AC79" i="5"/>
  <c r="AD79" i="5"/>
  <c r="X49" i="4"/>
  <c r="AI79" i="5"/>
  <c r="Y49" i="4"/>
  <c r="AJ79" i="5"/>
  <c r="Z49" i="4"/>
  <c r="AL79" i="5"/>
  <c r="L79" i="5"/>
  <c r="N79" i="5"/>
  <c r="O79" i="5"/>
  <c r="Z79" i="5"/>
  <c r="AN79" i="5"/>
  <c r="AG80" i="5"/>
  <c r="AF80" i="5"/>
  <c r="B50" i="4"/>
  <c r="C50" i="4"/>
  <c r="C80" i="5"/>
  <c r="D50" i="4"/>
  <c r="E80" i="5"/>
  <c r="H50" i="4"/>
  <c r="K80" i="5"/>
  <c r="L50" i="4"/>
  <c r="Q80" i="5"/>
  <c r="M50" i="4"/>
  <c r="R80" i="5"/>
  <c r="T80" i="5"/>
  <c r="O50" i="4"/>
  <c r="U80" i="5"/>
  <c r="P50" i="4"/>
  <c r="W80" i="5"/>
  <c r="Q50" i="4"/>
  <c r="X80" i="5"/>
  <c r="S50" i="4"/>
  <c r="AA80" i="5"/>
  <c r="AI50" i="4"/>
  <c r="T50" i="4" a="1"/>
  <c r="T50" i="4"/>
  <c r="AC80" i="5"/>
  <c r="U50" i="4" a="1"/>
  <c r="U50" i="4"/>
  <c r="AD80" i="5"/>
  <c r="X50" i="4"/>
  <c r="AI80" i="5"/>
  <c r="Y50" i="4"/>
  <c r="AJ80" i="5"/>
  <c r="Z50" i="4"/>
  <c r="AL80" i="5"/>
  <c r="F80" i="5"/>
  <c r="H80" i="5"/>
  <c r="I80" i="5"/>
  <c r="L80" i="5"/>
  <c r="N80" i="5"/>
  <c r="O80" i="5"/>
  <c r="Z80" i="5"/>
  <c r="AN80" i="5"/>
  <c r="AG81" i="5"/>
  <c r="AF81" i="5"/>
  <c r="C51" i="4"/>
  <c r="C81" i="5"/>
  <c r="D51" i="4"/>
  <c r="E81" i="5"/>
  <c r="K81" i="5"/>
  <c r="L51" i="4"/>
  <c r="Q81" i="5"/>
  <c r="R81" i="5"/>
  <c r="T81" i="5"/>
  <c r="O51" i="4"/>
  <c r="U81" i="5"/>
  <c r="P51" i="4"/>
  <c r="W81" i="5"/>
  <c r="Q51" i="4"/>
  <c r="X81" i="5"/>
  <c r="S51" i="4"/>
  <c r="AA81" i="5"/>
  <c r="AI51" i="4"/>
  <c r="T51" i="4" a="1"/>
  <c r="T51" i="4"/>
  <c r="AC81" i="5"/>
  <c r="U51" i="4" a="1"/>
  <c r="U51" i="4"/>
  <c r="AD81" i="5"/>
  <c r="X51" i="4"/>
  <c r="AI81" i="5"/>
  <c r="Y51" i="4"/>
  <c r="AJ81" i="5"/>
  <c r="Z51" i="4"/>
  <c r="AL81" i="5"/>
  <c r="F81" i="5"/>
  <c r="H81" i="5"/>
  <c r="I81" i="5"/>
  <c r="L81" i="5"/>
  <c r="N81" i="5"/>
  <c r="O81" i="5"/>
  <c r="Z81" i="5"/>
  <c r="AN81" i="5"/>
  <c r="AG82" i="5"/>
  <c r="AF82" i="5"/>
  <c r="C53" i="4"/>
  <c r="C82" i="5"/>
  <c r="D53" i="4"/>
  <c r="E82" i="5"/>
  <c r="K82" i="5"/>
  <c r="L53" i="4"/>
  <c r="Q82" i="5"/>
  <c r="M53" i="4"/>
  <c r="R82" i="5"/>
  <c r="T82" i="5"/>
  <c r="O53" i="4"/>
  <c r="U82" i="5"/>
  <c r="P53" i="4"/>
  <c r="W82" i="5"/>
  <c r="Q53" i="4"/>
  <c r="X82" i="5"/>
  <c r="S53" i="4"/>
  <c r="AA82" i="5"/>
  <c r="AI53" i="4"/>
  <c r="T53" i="4" a="1"/>
  <c r="T53" i="4"/>
  <c r="AC82" i="5"/>
  <c r="U53" i="4" a="1"/>
  <c r="U53" i="4"/>
  <c r="AD82" i="5"/>
  <c r="X53" i="4"/>
  <c r="AI82" i="5"/>
  <c r="Y53" i="4"/>
  <c r="AJ82" i="5"/>
  <c r="Z53" i="4"/>
  <c r="AL82" i="5"/>
  <c r="F82" i="5"/>
  <c r="H82" i="5"/>
  <c r="I82" i="5"/>
  <c r="L82" i="5"/>
  <c r="N82" i="5"/>
  <c r="O82" i="5"/>
  <c r="Z82" i="5"/>
  <c r="AN82" i="5"/>
  <c r="AG83" i="5"/>
  <c r="AF83" i="5"/>
  <c r="C54" i="4"/>
  <c r="C83" i="5"/>
  <c r="D54" i="4"/>
  <c r="E83" i="5"/>
  <c r="K83" i="5"/>
  <c r="L54" i="4"/>
  <c r="Q83" i="5"/>
  <c r="M54" i="4"/>
  <c r="R83" i="5"/>
  <c r="T83" i="5"/>
  <c r="O54" i="4"/>
  <c r="U83" i="5"/>
  <c r="P54" i="4"/>
  <c r="W83" i="5"/>
  <c r="Q54" i="4"/>
  <c r="X83" i="5"/>
  <c r="S54" i="4"/>
  <c r="AA83" i="5"/>
  <c r="AI54" i="4"/>
  <c r="T54" i="4" a="1"/>
  <c r="T54" i="4"/>
  <c r="AC83" i="5"/>
  <c r="U54" i="4" a="1"/>
  <c r="U54" i="4"/>
  <c r="AD83" i="5"/>
  <c r="X54" i="4"/>
  <c r="AI83" i="5"/>
  <c r="Y54" i="4"/>
  <c r="AJ83" i="5"/>
  <c r="Z54" i="4"/>
  <c r="AL83" i="5"/>
  <c r="F83" i="5"/>
  <c r="H83" i="5"/>
  <c r="I83" i="5"/>
  <c r="L83" i="5"/>
  <c r="N83" i="5"/>
  <c r="O83" i="5"/>
  <c r="Z83" i="5"/>
  <c r="AN83" i="5"/>
  <c r="AG84" i="5"/>
  <c r="AF84" i="5"/>
  <c r="C55" i="4"/>
  <c r="C84" i="5"/>
  <c r="D55" i="4"/>
  <c r="E84" i="5"/>
  <c r="K84" i="5"/>
  <c r="L55" i="4"/>
  <c r="Q84" i="5"/>
  <c r="M55" i="4"/>
  <c r="R84" i="5"/>
  <c r="T84" i="5"/>
  <c r="U84" i="5"/>
  <c r="P55" i="4"/>
  <c r="W84" i="5"/>
  <c r="Q55" i="4"/>
  <c r="X84" i="5"/>
  <c r="S55" i="4"/>
  <c r="AA84" i="5"/>
  <c r="AI55" i="4"/>
  <c r="T55" i="4" a="1"/>
  <c r="T55" i="4"/>
  <c r="AC84" i="5"/>
  <c r="U55" i="4" a="1"/>
  <c r="U55" i="4"/>
  <c r="AD84" i="5"/>
  <c r="X55" i="4"/>
  <c r="AI84" i="5"/>
  <c r="Y55" i="4"/>
  <c r="AJ84" i="5"/>
  <c r="Z55" i="4"/>
  <c r="AL84" i="5"/>
  <c r="F84" i="5"/>
  <c r="H84" i="5"/>
  <c r="I84" i="5"/>
  <c r="L84" i="5"/>
  <c r="N84" i="5"/>
  <c r="O84" i="5"/>
  <c r="Z84" i="5"/>
  <c r="AN84" i="5"/>
  <c r="AG85" i="5"/>
  <c r="AF85" i="5"/>
  <c r="C56" i="4"/>
  <c r="C85" i="5"/>
  <c r="D56" i="4"/>
  <c r="E85" i="5"/>
  <c r="K85" i="5"/>
  <c r="L56" i="4"/>
  <c r="Q85" i="5"/>
  <c r="M56" i="4"/>
  <c r="R85" i="5"/>
  <c r="T85" i="5"/>
  <c r="O56" i="4"/>
  <c r="U85" i="5"/>
  <c r="P56" i="4"/>
  <c r="W85" i="5"/>
  <c r="Q56" i="4"/>
  <c r="X85" i="5"/>
  <c r="S56" i="4"/>
  <c r="AA85" i="5"/>
  <c r="X56" i="4"/>
  <c r="AI85" i="5"/>
  <c r="Y56" i="4"/>
  <c r="AJ85" i="5"/>
  <c r="Z56" i="4"/>
  <c r="AL85" i="5"/>
  <c r="F85" i="5"/>
  <c r="H85" i="5"/>
  <c r="I85" i="5"/>
  <c r="L85" i="5"/>
  <c r="N85" i="5"/>
  <c r="O85" i="5"/>
  <c r="Z85" i="5"/>
  <c r="AN85" i="5"/>
  <c r="AG86" i="5"/>
  <c r="AF86" i="5"/>
  <c r="B59" i="4"/>
  <c r="C59" i="4"/>
  <c r="C86" i="5"/>
  <c r="D59" i="4"/>
  <c r="E86" i="5"/>
  <c r="K86" i="5"/>
  <c r="L59" i="4"/>
  <c r="Q86" i="5"/>
  <c r="M59" i="4"/>
  <c r="R86" i="5"/>
  <c r="T86" i="5"/>
  <c r="U86" i="5"/>
  <c r="P59" i="4"/>
  <c r="W86" i="5"/>
  <c r="Q59" i="4"/>
  <c r="X86" i="5"/>
  <c r="S59" i="4"/>
  <c r="AA86" i="5"/>
  <c r="AI59" i="4"/>
  <c r="T59" i="4" a="1"/>
  <c r="T59" i="4"/>
  <c r="AC86" i="5"/>
  <c r="U59" i="4" a="1"/>
  <c r="U59" i="4"/>
  <c r="AD86" i="5"/>
  <c r="X59" i="4"/>
  <c r="AI86" i="5"/>
  <c r="Y59" i="4"/>
  <c r="AJ86" i="5"/>
  <c r="Z59" i="4"/>
  <c r="AL86" i="5"/>
  <c r="F86" i="5"/>
  <c r="H86" i="5"/>
  <c r="I86" i="5"/>
  <c r="L86" i="5"/>
  <c r="N86" i="5"/>
  <c r="O86" i="5"/>
  <c r="Z86" i="5"/>
  <c r="AN86" i="5"/>
  <c r="AG87" i="5"/>
  <c r="AF87" i="5"/>
  <c r="B62" i="4"/>
  <c r="C62" i="4"/>
  <c r="C87" i="5"/>
  <c r="D62" i="4"/>
  <c r="E87" i="5"/>
  <c r="E62" i="4"/>
  <c r="F87" i="5"/>
  <c r="F62" i="4"/>
  <c r="H87" i="5"/>
  <c r="I87" i="5"/>
  <c r="H41" i="2"/>
  <c r="H62" i="4"/>
  <c r="K87" i="5"/>
  <c r="L62" i="4"/>
  <c r="Q87" i="5"/>
  <c r="M62" i="4"/>
  <c r="R87" i="5"/>
  <c r="T87" i="5"/>
  <c r="O62" i="4"/>
  <c r="U87" i="5"/>
  <c r="P62" i="4"/>
  <c r="W87" i="5"/>
  <c r="Q62" i="4"/>
  <c r="X87" i="5"/>
  <c r="S62" i="4"/>
  <c r="AA87" i="5"/>
  <c r="AI62" i="4"/>
  <c r="T62" i="4" a="1"/>
  <c r="T62" i="4"/>
  <c r="AC87" i="5"/>
  <c r="U62" i="4" a="1"/>
  <c r="U62" i="4"/>
  <c r="AD87" i="5"/>
  <c r="X62" i="4"/>
  <c r="AI87" i="5"/>
  <c r="Y62" i="4"/>
  <c r="AJ87" i="5"/>
  <c r="Z62" i="4"/>
  <c r="AL87" i="5"/>
  <c r="L87" i="5"/>
  <c r="N87" i="5"/>
  <c r="O87" i="5"/>
  <c r="Z87" i="5"/>
  <c r="AN87" i="5"/>
  <c r="AG88" i="5"/>
  <c r="AF88" i="5"/>
  <c r="B63" i="4"/>
  <c r="C63" i="4"/>
  <c r="C88" i="5"/>
  <c r="D63" i="4"/>
  <c r="E88" i="5"/>
  <c r="E63" i="4"/>
  <c r="F88" i="5"/>
  <c r="F63" i="4"/>
  <c r="H88" i="5"/>
  <c r="I88" i="5"/>
  <c r="H63" i="4"/>
  <c r="K88" i="5"/>
  <c r="L63" i="4"/>
  <c r="Q88" i="5"/>
  <c r="M63" i="4"/>
  <c r="R88" i="5"/>
  <c r="T88" i="5"/>
  <c r="O63" i="4"/>
  <c r="U88" i="5"/>
  <c r="P63" i="4"/>
  <c r="W88" i="5"/>
  <c r="Q63" i="4"/>
  <c r="X88" i="5"/>
  <c r="S63" i="4"/>
  <c r="AA88" i="5"/>
  <c r="AI63" i="4"/>
  <c r="T63" i="4" a="1"/>
  <c r="T63" i="4"/>
  <c r="AC88" i="5"/>
  <c r="U63" i="4" a="1"/>
  <c r="U63" i="4"/>
  <c r="AD88" i="5"/>
  <c r="X63" i="4"/>
  <c r="AI88" i="5"/>
  <c r="Y63" i="4"/>
  <c r="AJ88" i="5"/>
  <c r="Z63" i="4"/>
  <c r="AL88" i="5"/>
  <c r="L88" i="5"/>
  <c r="N88" i="5"/>
  <c r="O88" i="5"/>
  <c r="Z88" i="5"/>
  <c r="AN88" i="5"/>
  <c r="AG89" i="5"/>
  <c r="AF89" i="5"/>
  <c r="B64" i="4"/>
  <c r="C64" i="4"/>
  <c r="C89" i="5"/>
  <c r="D64" i="4"/>
  <c r="E89" i="5"/>
  <c r="E64" i="4"/>
  <c r="F89" i="5"/>
  <c r="F64" i="4"/>
  <c r="H89" i="5"/>
  <c r="I89" i="5"/>
  <c r="H64" i="4"/>
  <c r="K89" i="5"/>
  <c r="L64" i="4"/>
  <c r="Q89" i="5"/>
  <c r="M64" i="4"/>
  <c r="R89" i="5"/>
  <c r="T89" i="5"/>
  <c r="U89" i="5"/>
  <c r="P64" i="4"/>
  <c r="W89" i="5"/>
  <c r="Q64" i="4"/>
  <c r="X89" i="5"/>
  <c r="S64" i="4"/>
  <c r="AA89" i="5"/>
  <c r="AI64" i="4"/>
  <c r="T64" i="4" a="1"/>
  <c r="T64" i="4"/>
  <c r="AC89" i="5"/>
  <c r="U64" i="4" a="1"/>
  <c r="U64" i="4"/>
  <c r="AD89" i="5"/>
  <c r="X64" i="4"/>
  <c r="AI89" i="5"/>
  <c r="Y64" i="4"/>
  <c r="AJ89" i="5"/>
  <c r="Z64" i="4"/>
  <c r="AL89" i="5"/>
  <c r="L89" i="5"/>
  <c r="N89" i="5"/>
  <c r="O89" i="5"/>
  <c r="Z89" i="5"/>
  <c r="AN89" i="5"/>
  <c r="S21" i="2"/>
  <c r="B65" i="4"/>
  <c r="S65" i="4"/>
  <c r="AA90" i="5"/>
  <c r="P21" i="2"/>
  <c r="P65" i="4"/>
  <c r="W90" i="5"/>
  <c r="K21" i="2"/>
  <c r="K65" i="4"/>
  <c r="O90" i="5"/>
  <c r="H21" i="2"/>
  <c r="H65" i="4"/>
  <c r="K90" i="5"/>
  <c r="W21" i="2"/>
  <c r="W65" i="4"/>
  <c r="AG90" i="5"/>
  <c r="V65" i="4"/>
  <c r="AF90" i="5"/>
  <c r="C21" i="2"/>
  <c r="C65" i="4"/>
  <c r="C90" i="5"/>
  <c r="D21" i="2"/>
  <c r="D65" i="4"/>
  <c r="E90" i="5"/>
  <c r="G21" i="2"/>
  <c r="G65" i="4"/>
  <c r="I90" i="5"/>
  <c r="I21" i="2"/>
  <c r="I65" i="4"/>
  <c r="L90" i="5"/>
  <c r="J21" i="2"/>
  <c r="J65" i="4"/>
  <c r="N90" i="5"/>
  <c r="L21" i="2"/>
  <c r="L65" i="4"/>
  <c r="Q90" i="5"/>
  <c r="O21" i="2"/>
  <c r="O65" i="4"/>
  <c r="U90" i="5"/>
  <c r="Q65" i="4"/>
  <c r="X90" i="5"/>
  <c r="R21" i="2"/>
  <c r="R65" i="4"/>
  <c r="Z90" i="5"/>
  <c r="AI65" i="4"/>
  <c r="T65" i="4" a="1"/>
  <c r="T65" i="4"/>
  <c r="AC90" i="5"/>
  <c r="U65" i="4" a="1"/>
  <c r="U65" i="4"/>
  <c r="AD90" i="5"/>
  <c r="X21" i="2"/>
  <c r="X65" i="4"/>
  <c r="AI90" i="5"/>
  <c r="Y21" i="2"/>
  <c r="Y65" i="4"/>
  <c r="AJ90" i="5"/>
  <c r="Z21" i="2"/>
  <c r="Z65" i="4"/>
  <c r="AL90" i="5"/>
  <c r="R90" i="5"/>
  <c r="T90" i="5"/>
  <c r="F90" i="5"/>
  <c r="H90" i="5"/>
  <c r="AN90" i="5"/>
  <c r="S66" i="4"/>
  <c r="AA91" i="5"/>
  <c r="P66" i="4"/>
  <c r="W91" i="5"/>
  <c r="O91" i="5"/>
  <c r="K91" i="5"/>
  <c r="AG91" i="5"/>
  <c r="AF91" i="5"/>
  <c r="C66" i="4"/>
  <c r="C91" i="5"/>
  <c r="D66" i="4"/>
  <c r="E91" i="5"/>
  <c r="L91" i="5"/>
  <c r="N91" i="5"/>
  <c r="L66" i="4"/>
  <c r="Q91" i="5"/>
  <c r="O66" i="4"/>
  <c r="U91" i="5"/>
  <c r="Q66" i="4"/>
  <c r="X91" i="5"/>
  <c r="R66" i="4"/>
  <c r="Z91" i="5"/>
  <c r="AI66" i="4"/>
  <c r="T66" i="4" a="1"/>
  <c r="T66" i="4"/>
  <c r="AC91" i="5"/>
  <c r="U66" i="4" a="1"/>
  <c r="U66" i="4"/>
  <c r="AD91" i="5"/>
  <c r="X66" i="4"/>
  <c r="AI91" i="5"/>
  <c r="Y66" i="4"/>
  <c r="AJ91" i="5"/>
  <c r="Z66" i="4"/>
  <c r="AL91" i="5"/>
  <c r="R91" i="5"/>
  <c r="T91" i="5"/>
  <c r="F91" i="5"/>
  <c r="H91" i="5"/>
  <c r="I91" i="5"/>
  <c r="AN91" i="5"/>
  <c r="O92" i="5"/>
  <c r="K92" i="5"/>
  <c r="AG92" i="5"/>
  <c r="AF92" i="5"/>
  <c r="B67" i="4"/>
  <c r="C67" i="4"/>
  <c r="C92" i="5"/>
  <c r="D67" i="4"/>
  <c r="E92" i="5"/>
  <c r="I67" i="4"/>
  <c r="L92" i="5"/>
  <c r="J67" i="4"/>
  <c r="N92" i="5"/>
  <c r="L67" i="4"/>
  <c r="Q92" i="5"/>
  <c r="M67" i="4"/>
  <c r="R92" i="5"/>
  <c r="T92" i="5"/>
  <c r="U92" i="5"/>
  <c r="P67" i="4"/>
  <c r="W92" i="5"/>
  <c r="Q67" i="4"/>
  <c r="X92" i="5"/>
  <c r="S67" i="4"/>
  <c r="AA92" i="5"/>
  <c r="AI67" i="4"/>
  <c r="T67" i="4" a="1"/>
  <c r="T67" i="4"/>
  <c r="AC92" i="5"/>
  <c r="U67" i="4" a="1"/>
  <c r="U67" i="4"/>
  <c r="AD92" i="5"/>
  <c r="X67" i="4"/>
  <c r="AI92" i="5"/>
  <c r="Y67" i="4"/>
  <c r="AJ92" i="5"/>
  <c r="Z67" i="4"/>
  <c r="AL92" i="5"/>
  <c r="F92" i="5"/>
  <c r="H92" i="5"/>
  <c r="I92" i="5"/>
  <c r="Z92" i="5"/>
  <c r="AN92" i="5"/>
  <c r="AG93" i="5"/>
  <c r="AF93" i="5"/>
  <c r="C22" i="2"/>
  <c r="B70" i="4"/>
  <c r="C70" i="4"/>
  <c r="C93" i="5"/>
  <c r="D22" i="2"/>
  <c r="D70" i="4"/>
  <c r="E93" i="5"/>
  <c r="K93" i="5"/>
  <c r="L22" i="2"/>
  <c r="L70" i="4"/>
  <c r="Q93" i="5"/>
  <c r="M22" i="2"/>
  <c r="M70" i="4"/>
  <c r="R93" i="5"/>
  <c r="T93" i="5"/>
  <c r="U93" i="5"/>
  <c r="P22" i="2"/>
  <c r="P70" i="4"/>
  <c r="W93" i="5"/>
  <c r="Q22" i="2"/>
  <c r="Q70" i="4"/>
  <c r="X93" i="5"/>
  <c r="S22" i="2"/>
  <c r="S70" i="4"/>
  <c r="AA93" i="5"/>
  <c r="AI70" i="4"/>
  <c r="T70" i="4" a="1"/>
  <c r="T70" i="4"/>
  <c r="AC93" i="5"/>
  <c r="U70" i="4" a="1"/>
  <c r="U70" i="4"/>
  <c r="AD93" i="5"/>
  <c r="X22" i="2"/>
  <c r="X70" i="4"/>
  <c r="AI93" i="5"/>
  <c r="Y22" i="2"/>
  <c r="Y70" i="4"/>
  <c r="AJ93" i="5"/>
  <c r="Z22" i="2"/>
  <c r="Z70" i="4"/>
  <c r="AL93" i="5"/>
  <c r="F93" i="5"/>
  <c r="H93" i="5"/>
  <c r="I93" i="5"/>
  <c r="L93" i="5"/>
  <c r="N93" i="5"/>
  <c r="O93" i="5"/>
  <c r="Z93" i="5"/>
  <c r="AN93" i="5"/>
  <c r="AG94" i="5"/>
  <c r="AF94" i="5"/>
  <c r="B71" i="4"/>
  <c r="C71" i="4"/>
  <c r="C94" i="5"/>
  <c r="D71" i="4"/>
  <c r="E94" i="5"/>
  <c r="K94" i="5"/>
  <c r="L71" i="4"/>
  <c r="Q94" i="5"/>
  <c r="M71" i="4"/>
  <c r="R94" i="5"/>
  <c r="N71" i="4"/>
  <c r="T94" i="5"/>
  <c r="O22" i="2"/>
  <c r="O71" i="4"/>
  <c r="U94" i="5"/>
  <c r="P71" i="4"/>
  <c r="W94" i="5"/>
  <c r="Q71" i="4"/>
  <c r="X94" i="5"/>
  <c r="S71" i="4"/>
  <c r="AA94" i="5"/>
  <c r="X71" i="4"/>
  <c r="AI94" i="5"/>
  <c r="Y71" i="4"/>
  <c r="AJ94" i="5"/>
  <c r="Z71" i="4"/>
  <c r="AL94" i="5"/>
  <c r="F94" i="5"/>
  <c r="H94" i="5"/>
  <c r="I94" i="5"/>
  <c r="L94" i="5"/>
  <c r="N94" i="5"/>
  <c r="O94" i="5"/>
  <c r="Z94" i="5"/>
  <c r="AN94" i="5"/>
  <c r="AG95" i="5"/>
  <c r="AF95" i="5"/>
  <c r="B72" i="4"/>
  <c r="C72" i="4"/>
  <c r="C95" i="5"/>
  <c r="D72" i="4"/>
  <c r="E95" i="5"/>
  <c r="K95" i="5"/>
  <c r="L72" i="4"/>
  <c r="Q95" i="5"/>
  <c r="M72" i="4"/>
  <c r="R95" i="5"/>
  <c r="T95" i="5"/>
  <c r="U95" i="5"/>
  <c r="P72" i="4"/>
  <c r="W95" i="5"/>
  <c r="Q72" i="4"/>
  <c r="X95" i="5"/>
  <c r="S72" i="4"/>
  <c r="AA95" i="5"/>
  <c r="AI72" i="4"/>
  <c r="T72" i="4" a="1"/>
  <c r="T72" i="4"/>
  <c r="AC95" i="5"/>
  <c r="U72" i="4" a="1"/>
  <c r="U72" i="4"/>
  <c r="AD95" i="5"/>
  <c r="X72" i="4"/>
  <c r="AI95" i="5"/>
  <c r="Y72" i="4"/>
  <c r="AJ95" i="5"/>
  <c r="Z72" i="4"/>
  <c r="AL95" i="5"/>
  <c r="F95" i="5"/>
  <c r="H95" i="5"/>
  <c r="I95" i="5"/>
  <c r="L95" i="5"/>
  <c r="N95" i="5"/>
  <c r="O95" i="5"/>
  <c r="Z95" i="5"/>
  <c r="AN95" i="5"/>
  <c r="AG96" i="5"/>
  <c r="AF96" i="5"/>
  <c r="B74" i="4"/>
  <c r="C74" i="4"/>
  <c r="C96" i="5"/>
  <c r="D74" i="4"/>
  <c r="E96" i="5"/>
  <c r="K96" i="5"/>
  <c r="L74" i="4"/>
  <c r="Q96" i="5"/>
  <c r="M74" i="4"/>
  <c r="R96" i="5"/>
  <c r="T96" i="5"/>
  <c r="U96" i="5"/>
  <c r="P74" i="4"/>
  <c r="W96" i="5"/>
  <c r="Q74" i="4"/>
  <c r="X96" i="5"/>
  <c r="AA96" i="5"/>
  <c r="AI74" i="4"/>
  <c r="T74" i="4" a="1"/>
  <c r="T74" i="4"/>
  <c r="AC96" i="5"/>
  <c r="U74" i="4" a="1"/>
  <c r="U74" i="4"/>
  <c r="AD96" i="5"/>
  <c r="Y74" i="4"/>
  <c r="AJ96" i="5"/>
  <c r="Z74" i="4"/>
  <c r="AL96" i="5"/>
  <c r="F96" i="5"/>
  <c r="H96" i="5"/>
  <c r="I96" i="5"/>
  <c r="L96" i="5"/>
  <c r="N96" i="5"/>
  <c r="O96" i="5"/>
  <c r="Z96" i="5"/>
  <c r="AN96" i="5"/>
  <c r="AG97" i="5"/>
  <c r="AF97" i="5"/>
  <c r="C97" i="5"/>
  <c r="T97" i="5"/>
  <c r="U97" i="5"/>
  <c r="W97" i="5"/>
  <c r="X97" i="5"/>
  <c r="AA97" i="5"/>
  <c r="AC97" i="5"/>
  <c r="AD97" i="5"/>
  <c r="AI97" i="5"/>
  <c r="AJ97" i="5"/>
  <c r="AL97" i="5"/>
  <c r="Z97" i="5"/>
  <c r="AN97" i="5"/>
  <c r="AG98" i="5"/>
  <c r="AF98" i="5"/>
  <c r="B78" i="4"/>
  <c r="C78" i="4"/>
  <c r="C98" i="5"/>
  <c r="D78" i="4"/>
  <c r="E98" i="5"/>
  <c r="K98" i="5"/>
  <c r="L78" i="4"/>
  <c r="Q98" i="5"/>
  <c r="M78" i="4"/>
  <c r="R98" i="5"/>
  <c r="T98" i="5"/>
  <c r="U98" i="5"/>
  <c r="P78" i="4"/>
  <c r="W98" i="5"/>
  <c r="Q78" i="4"/>
  <c r="X98" i="5"/>
  <c r="AA98" i="5"/>
  <c r="AI78" i="4"/>
  <c r="T78" i="4" a="1"/>
  <c r="T78" i="4"/>
  <c r="AC98" i="5"/>
  <c r="U78" i="4" a="1"/>
  <c r="U78" i="4"/>
  <c r="AD98" i="5"/>
  <c r="Y78" i="4"/>
  <c r="AJ98" i="5"/>
  <c r="Z78" i="4"/>
  <c r="AL98" i="5"/>
  <c r="F98" i="5"/>
  <c r="H98" i="5"/>
  <c r="I98" i="5"/>
  <c r="L98" i="5"/>
  <c r="N98" i="5"/>
  <c r="O98" i="5"/>
  <c r="Z98" i="5"/>
  <c r="AN98" i="5"/>
  <c r="AG99" i="5"/>
  <c r="AF99" i="5"/>
  <c r="B79" i="4"/>
  <c r="C79" i="4"/>
  <c r="C99" i="5"/>
  <c r="D79" i="4"/>
  <c r="E99" i="5"/>
  <c r="K99" i="5"/>
  <c r="L79" i="4"/>
  <c r="Q99" i="5"/>
  <c r="M79" i="4"/>
  <c r="R99" i="5"/>
  <c r="T99" i="5"/>
  <c r="O25" i="2"/>
  <c r="O79" i="4"/>
  <c r="U99" i="5"/>
  <c r="P79" i="4"/>
  <c r="W99" i="5"/>
  <c r="Q79" i="4"/>
  <c r="X99" i="5"/>
  <c r="S79" i="4"/>
  <c r="AA99" i="5"/>
  <c r="AI79" i="4"/>
  <c r="T79" i="4" a="1"/>
  <c r="T79" i="4"/>
  <c r="AC99" i="5"/>
  <c r="U79" i="4" a="1"/>
  <c r="U79" i="4"/>
  <c r="AD99" i="5"/>
  <c r="X79" i="4"/>
  <c r="AI99" i="5"/>
  <c r="Y79" i="4"/>
  <c r="AJ99" i="5"/>
  <c r="Z79" i="4"/>
  <c r="AL99" i="5"/>
  <c r="F99" i="5"/>
  <c r="I99" i="5"/>
  <c r="L99" i="5"/>
  <c r="N99" i="5"/>
  <c r="O99" i="5"/>
  <c r="Z99" i="5"/>
  <c r="AN99" i="5"/>
  <c r="AG100" i="5"/>
  <c r="AF100" i="5"/>
  <c r="B80" i="4"/>
  <c r="C80" i="4"/>
  <c r="C100" i="5"/>
  <c r="D80" i="4"/>
  <c r="E100" i="5"/>
  <c r="H80" i="4"/>
  <c r="K100" i="5"/>
  <c r="L80" i="4"/>
  <c r="Q100" i="5"/>
  <c r="M80" i="4"/>
  <c r="R100" i="5"/>
  <c r="N80" i="4"/>
  <c r="T100" i="5"/>
  <c r="O80" i="4"/>
  <c r="U100" i="5"/>
  <c r="P80" i="4"/>
  <c r="W100" i="5"/>
  <c r="Q80" i="4"/>
  <c r="X100" i="5"/>
  <c r="S80" i="4"/>
  <c r="AA100" i="5"/>
  <c r="AI80" i="4"/>
  <c r="T80" i="4" a="1"/>
  <c r="T80" i="4"/>
  <c r="AC100" i="5"/>
  <c r="U80" i="4" a="1"/>
  <c r="U80" i="4"/>
  <c r="AD100" i="5"/>
  <c r="X80" i="4"/>
  <c r="AI100" i="5"/>
  <c r="Y80" i="4"/>
  <c r="AJ100" i="5"/>
  <c r="Z80" i="4"/>
  <c r="AL100" i="5"/>
  <c r="F100" i="5"/>
  <c r="I100" i="5"/>
  <c r="L100" i="5"/>
  <c r="N100" i="5"/>
  <c r="O100" i="5"/>
  <c r="Z100" i="5"/>
  <c r="AN100" i="5"/>
  <c r="O101" i="5"/>
  <c r="B81" i="4"/>
  <c r="H81" i="4"/>
  <c r="K101" i="5"/>
  <c r="AG101" i="5"/>
  <c r="AF101" i="5"/>
  <c r="C81" i="4"/>
  <c r="C101" i="5"/>
  <c r="D81" i="4"/>
  <c r="E101" i="5"/>
  <c r="I25" i="2"/>
  <c r="I81" i="4"/>
  <c r="L101" i="5"/>
  <c r="J25" i="2"/>
  <c r="J81" i="4"/>
  <c r="N101" i="5"/>
  <c r="L81" i="4"/>
  <c r="Q101" i="5"/>
  <c r="M81" i="4"/>
  <c r="R101" i="5"/>
  <c r="T101" i="5"/>
  <c r="U101" i="5"/>
  <c r="P81" i="4"/>
  <c r="W101" i="5"/>
  <c r="Q81" i="4"/>
  <c r="X101" i="5"/>
  <c r="S81" i="4"/>
  <c r="AA101" i="5"/>
  <c r="AI81" i="4"/>
  <c r="T81" i="4" a="1"/>
  <c r="T81" i="4"/>
  <c r="AC101" i="5"/>
  <c r="U81" i="4" a="1"/>
  <c r="U81" i="4"/>
  <c r="AD101" i="5"/>
  <c r="X81" i="4"/>
  <c r="AI101" i="5"/>
  <c r="Y81" i="4"/>
  <c r="AJ101" i="5"/>
  <c r="Z81" i="4"/>
  <c r="AL101" i="5"/>
  <c r="H101" i="5"/>
  <c r="I101" i="5"/>
  <c r="F101" i="5"/>
  <c r="Z101" i="5"/>
  <c r="AN101" i="5"/>
  <c r="AG102" i="5"/>
  <c r="AF102" i="5"/>
  <c r="C26" i="2"/>
  <c r="B82" i="4"/>
  <c r="C82" i="4"/>
  <c r="C102" i="5"/>
  <c r="D26" i="2"/>
  <c r="D82" i="4"/>
  <c r="E102" i="5"/>
  <c r="E26" i="2"/>
  <c r="E82" i="4"/>
  <c r="F102" i="5"/>
  <c r="F26" i="2"/>
  <c r="F82" i="4"/>
  <c r="H102" i="5"/>
  <c r="I102" i="5"/>
  <c r="H26" i="2"/>
  <c r="H82" i="4"/>
  <c r="K102" i="5"/>
  <c r="L26" i="2"/>
  <c r="L82" i="4"/>
  <c r="Q102" i="5"/>
  <c r="M26" i="2"/>
  <c r="M82" i="4"/>
  <c r="R102" i="5"/>
  <c r="N26" i="2"/>
  <c r="N82" i="4"/>
  <c r="T102" i="5"/>
  <c r="O26" i="2"/>
  <c r="O82" i="4"/>
  <c r="U102" i="5"/>
  <c r="P26" i="2"/>
  <c r="P82" i="4"/>
  <c r="W102" i="5"/>
  <c r="Q26" i="2"/>
  <c r="Q82" i="4"/>
  <c r="X102" i="5"/>
  <c r="S26" i="2"/>
  <c r="S82" i="4"/>
  <c r="AA102" i="5"/>
  <c r="AI82" i="4"/>
  <c r="T82" i="4" a="1"/>
  <c r="T82" i="4"/>
  <c r="AC102" i="5"/>
  <c r="U82" i="4" a="1"/>
  <c r="U82" i="4"/>
  <c r="AD102" i="5"/>
  <c r="X26" i="2"/>
  <c r="X82" i="4"/>
  <c r="AI102" i="5"/>
  <c r="Y26" i="2"/>
  <c r="Y82" i="4"/>
  <c r="AJ102" i="5"/>
  <c r="Z26" i="2"/>
  <c r="Z82" i="4"/>
  <c r="AL102" i="5"/>
  <c r="L102" i="5"/>
  <c r="N102" i="5"/>
  <c r="O102" i="5"/>
  <c r="Z102" i="5"/>
  <c r="AN102" i="5"/>
  <c r="AG103" i="5"/>
  <c r="AF103" i="5"/>
  <c r="B83" i="4"/>
  <c r="C83" i="4"/>
  <c r="C103" i="5"/>
  <c r="D83" i="4"/>
  <c r="E103" i="5"/>
  <c r="E83" i="4"/>
  <c r="F103" i="5"/>
  <c r="F83" i="4"/>
  <c r="H103" i="5"/>
  <c r="I103" i="5"/>
  <c r="H83" i="4"/>
  <c r="K103" i="5"/>
  <c r="L83" i="4"/>
  <c r="Q103" i="5"/>
  <c r="M83" i="4"/>
  <c r="R103" i="5"/>
  <c r="T103" i="5"/>
  <c r="O83" i="4"/>
  <c r="U103" i="5"/>
  <c r="P83" i="4"/>
  <c r="W103" i="5"/>
  <c r="Q83" i="4"/>
  <c r="X103" i="5"/>
  <c r="S83" i="4"/>
  <c r="AA103" i="5"/>
  <c r="AI83" i="4"/>
  <c r="T83" i="4" a="1"/>
  <c r="T83" i="4"/>
  <c r="AC103" i="5"/>
  <c r="U83" i="4" a="1"/>
  <c r="U83" i="4"/>
  <c r="AD103" i="5"/>
  <c r="X83" i="4"/>
  <c r="AI103" i="5"/>
  <c r="Y83" i="4"/>
  <c r="AJ103" i="5"/>
  <c r="Z83" i="4"/>
  <c r="AL103" i="5"/>
  <c r="L103" i="5"/>
  <c r="N103" i="5"/>
  <c r="O103" i="5"/>
  <c r="Z103" i="5"/>
  <c r="AN103" i="5"/>
  <c r="AG104" i="5"/>
  <c r="AF104" i="5"/>
  <c r="C43" i="2"/>
  <c r="B84" i="4"/>
  <c r="C84" i="4"/>
  <c r="C104" i="5"/>
  <c r="D43" i="2"/>
  <c r="D84" i="4"/>
  <c r="E104" i="5"/>
  <c r="E43" i="2"/>
  <c r="E84" i="4"/>
  <c r="F104" i="5"/>
  <c r="F43" i="2"/>
  <c r="F84" i="4"/>
  <c r="H104" i="5"/>
  <c r="I104" i="5"/>
  <c r="H43" i="2"/>
  <c r="H84" i="4"/>
  <c r="K104" i="5"/>
  <c r="L43" i="2"/>
  <c r="L84" i="4"/>
  <c r="Q104" i="5"/>
  <c r="M43" i="2"/>
  <c r="M84" i="4"/>
  <c r="R104" i="5"/>
  <c r="T104" i="5"/>
  <c r="O43" i="2"/>
  <c r="O84" i="4"/>
  <c r="U104" i="5"/>
  <c r="P43" i="2"/>
  <c r="P84" i="4"/>
  <c r="W104" i="5"/>
  <c r="Q43" i="2"/>
  <c r="Q84" i="4"/>
  <c r="X104" i="5"/>
  <c r="S43" i="2"/>
  <c r="S84" i="4"/>
  <c r="AA104" i="5"/>
  <c r="AI84" i="4"/>
  <c r="T84" i="4" a="1"/>
  <c r="T84" i="4"/>
  <c r="AC104" i="5"/>
  <c r="U84" i="4" a="1"/>
  <c r="U84" i="4"/>
  <c r="AD104" i="5"/>
  <c r="X43" i="2"/>
  <c r="X84" i="4"/>
  <c r="AI104" i="5"/>
  <c r="Y43" i="2"/>
  <c r="Y84" i="4"/>
  <c r="AJ104" i="5"/>
  <c r="Z43" i="2"/>
  <c r="Z84" i="4"/>
  <c r="AL104" i="5"/>
  <c r="L104" i="5"/>
  <c r="N104" i="5"/>
  <c r="O104" i="5"/>
  <c r="Z104" i="5"/>
  <c r="AN104" i="5"/>
  <c r="AG105" i="5"/>
  <c r="AF105" i="5"/>
  <c r="B85" i="4"/>
  <c r="C85" i="4"/>
  <c r="C105" i="5"/>
  <c r="D85" i="4"/>
  <c r="E105" i="5"/>
  <c r="E39" i="2"/>
  <c r="E85" i="4"/>
  <c r="F105" i="5"/>
  <c r="F39" i="2"/>
  <c r="F85" i="4"/>
  <c r="H105" i="5"/>
  <c r="I105" i="5"/>
  <c r="K105" i="5"/>
  <c r="L85" i="4"/>
  <c r="Q105" i="5"/>
  <c r="M85" i="4"/>
  <c r="R105" i="5"/>
  <c r="T105" i="5"/>
  <c r="O85" i="4"/>
  <c r="U105" i="5"/>
  <c r="P85" i="4"/>
  <c r="W105" i="5"/>
  <c r="Q85" i="4"/>
  <c r="X105" i="5"/>
  <c r="S85" i="4"/>
  <c r="AA105" i="5"/>
  <c r="AI85" i="4"/>
  <c r="T85" i="4" a="1"/>
  <c r="T85" i="4"/>
  <c r="AC105" i="5"/>
  <c r="U85" i="4" a="1"/>
  <c r="U85" i="4"/>
  <c r="AD105" i="5"/>
  <c r="X85" i="4"/>
  <c r="AI105" i="5"/>
  <c r="Y85" i="4"/>
  <c r="AJ105" i="5"/>
  <c r="Z85" i="4"/>
  <c r="AL105" i="5"/>
  <c r="L105" i="5"/>
  <c r="N105" i="5"/>
  <c r="O105" i="5"/>
  <c r="Z105" i="5"/>
  <c r="AN105" i="5"/>
  <c r="AG106" i="5"/>
  <c r="AF106" i="5"/>
  <c r="B86" i="4"/>
  <c r="C86" i="4"/>
  <c r="C106" i="5"/>
  <c r="D86" i="4"/>
  <c r="E106" i="5"/>
  <c r="E86" i="4"/>
  <c r="F106" i="5"/>
  <c r="F86" i="4"/>
  <c r="H106" i="5"/>
  <c r="I106" i="5"/>
  <c r="H86" i="4"/>
  <c r="K106" i="5"/>
  <c r="L86" i="4"/>
  <c r="Q106" i="5"/>
  <c r="M86" i="4"/>
  <c r="R106" i="5"/>
  <c r="T106" i="5"/>
  <c r="U106" i="5"/>
  <c r="P86" i="4"/>
  <c r="W106" i="5"/>
  <c r="Q86" i="4"/>
  <c r="X106" i="5"/>
  <c r="S86" i="4"/>
  <c r="AA106" i="5"/>
  <c r="AI86" i="4"/>
  <c r="T86" i="4" a="1"/>
  <c r="T86" i="4"/>
  <c r="AC106" i="5"/>
  <c r="U86" i="4" a="1"/>
  <c r="U86" i="4"/>
  <c r="AD106" i="5"/>
  <c r="X86" i="4"/>
  <c r="AI106" i="5"/>
  <c r="Y86" i="4"/>
  <c r="AJ106" i="5"/>
  <c r="Z86" i="4"/>
  <c r="AL106" i="5"/>
  <c r="L106" i="5"/>
  <c r="N106" i="5"/>
  <c r="O106" i="5"/>
  <c r="Z106" i="5"/>
  <c r="AN106" i="5"/>
  <c r="AG107" i="5"/>
  <c r="AF107" i="5"/>
  <c r="C87" i="4"/>
  <c r="C107" i="5"/>
  <c r="D87" i="4"/>
  <c r="E107" i="5"/>
  <c r="E22" i="2"/>
  <c r="E87" i="4"/>
  <c r="F107" i="5"/>
  <c r="F22" i="2"/>
  <c r="F87" i="4"/>
  <c r="H107" i="5"/>
  <c r="I107" i="5"/>
  <c r="H22" i="2"/>
  <c r="H87" i="4"/>
  <c r="K107" i="5"/>
  <c r="L87" i="4"/>
  <c r="Q107" i="5"/>
  <c r="M87" i="4"/>
  <c r="R107" i="5"/>
  <c r="T107" i="5"/>
  <c r="U107" i="5"/>
  <c r="P87" i="4"/>
  <c r="W107" i="5"/>
  <c r="Q87" i="4"/>
  <c r="X107" i="5"/>
  <c r="S87" i="4"/>
  <c r="AA107" i="5"/>
  <c r="AI87" i="4"/>
  <c r="T87" i="4" a="1"/>
  <c r="T87" i="4"/>
  <c r="AC107" i="5"/>
  <c r="U87" i="4" a="1"/>
  <c r="U87" i="4"/>
  <c r="AD107" i="5"/>
  <c r="AI107" i="5"/>
  <c r="Y87" i="4"/>
  <c r="AJ107" i="5"/>
  <c r="Z87" i="4"/>
  <c r="AL107" i="5"/>
  <c r="L107" i="5"/>
  <c r="N107" i="5"/>
  <c r="O107" i="5"/>
  <c r="Z107" i="5"/>
  <c r="AN107" i="5"/>
  <c r="AG108" i="5"/>
  <c r="AF108" i="5"/>
  <c r="C88" i="4"/>
  <c r="C108" i="5"/>
  <c r="D88" i="4"/>
  <c r="E108" i="5"/>
  <c r="E88" i="4"/>
  <c r="F108" i="5"/>
  <c r="F88" i="4"/>
  <c r="H108" i="5"/>
  <c r="I108" i="5"/>
  <c r="H88" i="4"/>
  <c r="K108" i="5"/>
  <c r="L88" i="4"/>
  <c r="Q108" i="5"/>
  <c r="M88" i="4"/>
  <c r="R108" i="5"/>
  <c r="T108" i="5"/>
  <c r="U108" i="5"/>
  <c r="P88" i="4"/>
  <c r="W108" i="5"/>
  <c r="Q88" i="4"/>
  <c r="X108" i="5"/>
  <c r="S88" i="4"/>
  <c r="AA108" i="5"/>
  <c r="AI88" i="4"/>
  <c r="T88" i="4" a="1"/>
  <c r="T88" i="4"/>
  <c r="AC108" i="5"/>
  <c r="U88" i="4" a="1"/>
  <c r="U88" i="4"/>
  <c r="AD108" i="5"/>
  <c r="AI108" i="5"/>
  <c r="Y88" i="4"/>
  <c r="AJ108" i="5"/>
  <c r="Z88" i="4"/>
  <c r="AL108" i="5"/>
  <c r="L108" i="5"/>
  <c r="N108" i="5"/>
  <c r="O108" i="5"/>
  <c r="Z108" i="5"/>
  <c r="AN108" i="5"/>
  <c r="AG109" i="5"/>
  <c r="AF109" i="5"/>
  <c r="B89" i="4"/>
  <c r="C89" i="4"/>
  <c r="C109" i="5"/>
  <c r="D89" i="4"/>
  <c r="E109" i="5"/>
  <c r="H15" i="2"/>
  <c r="H89" i="4"/>
  <c r="K109" i="5"/>
  <c r="L89" i="4"/>
  <c r="Q109" i="5"/>
  <c r="M89" i="4"/>
  <c r="R109" i="5"/>
  <c r="T109" i="5"/>
  <c r="O89" i="4"/>
  <c r="U109" i="5"/>
  <c r="P89" i="4"/>
  <c r="W109" i="5"/>
  <c r="Q89" i="4"/>
  <c r="X109" i="5"/>
  <c r="S89" i="4"/>
  <c r="AA109" i="5"/>
  <c r="AI89" i="4"/>
  <c r="T89" i="4" a="1"/>
  <c r="T89" i="4"/>
  <c r="AC109" i="5"/>
  <c r="U89" i="4" a="1"/>
  <c r="U89" i="4"/>
  <c r="AD109" i="5"/>
  <c r="X89" i="4"/>
  <c r="AI109" i="5"/>
  <c r="Y89" i="4"/>
  <c r="AJ109" i="5"/>
  <c r="Z89" i="4"/>
  <c r="AL109" i="5"/>
  <c r="F109" i="5"/>
  <c r="H109" i="5"/>
  <c r="I109" i="5"/>
  <c r="L109" i="5"/>
  <c r="N109" i="5"/>
  <c r="O109" i="5"/>
  <c r="Z109" i="5"/>
  <c r="AN109" i="5"/>
  <c r="AG110" i="5"/>
  <c r="AF110" i="5"/>
  <c r="B90" i="4"/>
  <c r="C90" i="4"/>
  <c r="C110" i="5"/>
  <c r="D90" i="4"/>
  <c r="E110" i="5"/>
  <c r="E40" i="2"/>
  <c r="E90" i="4"/>
  <c r="F110" i="5"/>
  <c r="F40" i="2"/>
  <c r="F90" i="4"/>
  <c r="H110" i="5"/>
  <c r="I110" i="5"/>
  <c r="H90" i="4"/>
  <c r="K110" i="5"/>
  <c r="L90" i="4"/>
  <c r="Q110" i="5"/>
  <c r="M90" i="4"/>
  <c r="R110" i="5"/>
  <c r="T110" i="5"/>
  <c r="O32" i="2"/>
  <c r="O90" i="4"/>
  <c r="U110" i="5"/>
  <c r="P90" i="4"/>
  <c r="W110" i="5"/>
  <c r="Q90" i="4"/>
  <c r="X110" i="5"/>
  <c r="S90" i="4"/>
  <c r="AA110" i="5"/>
  <c r="AI90" i="4"/>
  <c r="T90" i="4" a="1"/>
  <c r="T90" i="4"/>
  <c r="AC110" i="5"/>
  <c r="U90" i="4" a="1"/>
  <c r="U90" i="4"/>
  <c r="AD110" i="5"/>
  <c r="X90" i="4"/>
  <c r="AI110" i="5"/>
  <c r="Y90" i="4"/>
  <c r="AJ110" i="5"/>
  <c r="Z90" i="4"/>
  <c r="AL110" i="5"/>
  <c r="L110" i="5"/>
  <c r="N110" i="5"/>
  <c r="O110" i="5"/>
  <c r="Z110" i="5"/>
  <c r="AN110" i="5"/>
  <c r="AG111" i="5"/>
  <c r="AF111" i="5"/>
  <c r="B91" i="4"/>
  <c r="C91" i="4"/>
  <c r="C111" i="5"/>
  <c r="D91" i="4"/>
  <c r="E111" i="5"/>
  <c r="H91" i="4"/>
  <c r="K111" i="5"/>
  <c r="L91" i="4"/>
  <c r="Q111" i="5"/>
  <c r="M91" i="4"/>
  <c r="R111" i="5"/>
  <c r="T111" i="5"/>
  <c r="O91" i="4"/>
  <c r="U111" i="5"/>
  <c r="P91" i="4"/>
  <c r="W111" i="5"/>
  <c r="Q91" i="4"/>
  <c r="X111" i="5"/>
  <c r="S91" i="4"/>
  <c r="AA111" i="5"/>
  <c r="AI91" i="4"/>
  <c r="T91" i="4" a="1"/>
  <c r="T91" i="4"/>
  <c r="AC111" i="5"/>
  <c r="U91" i="4" a="1"/>
  <c r="U91" i="4"/>
  <c r="AD111" i="5"/>
  <c r="X91" i="4"/>
  <c r="AI111" i="5"/>
  <c r="Y91" i="4"/>
  <c r="AJ111" i="5"/>
  <c r="Z91" i="4"/>
  <c r="AL111" i="5"/>
  <c r="F111" i="5"/>
  <c r="H111" i="5"/>
  <c r="I111" i="5"/>
  <c r="L111" i="5"/>
  <c r="N111" i="5"/>
  <c r="O111" i="5"/>
  <c r="Z111" i="5"/>
  <c r="AN111" i="5"/>
  <c r="AG112" i="5"/>
  <c r="AF112" i="5"/>
  <c r="B92" i="4"/>
  <c r="C92" i="4"/>
  <c r="C112" i="5"/>
  <c r="D92" i="4"/>
  <c r="E112" i="5"/>
  <c r="H92" i="4"/>
  <c r="K112" i="5"/>
  <c r="L92" i="4"/>
  <c r="Q112" i="5"/>
  <c r="M92" i="4"/>
  <c r="R112" i="5"/>
  <c r="T112" i="5"/>
  <c r="O92" i="4"/>
  <c r="U112" i="5"/>
  <c r="P92" i="4"/>
  <c r="W112" i="5"/>
  <c r="Q92" i="4"/>
  <c r="X112" i="5"/>
  <c r="S92" i="4"/>
  <c r="AA112" i="5"/>
  <c r="AI92" i="4"/>
  <c r="T92" i="4" a="1"/>
  <c r="T92" i="4"/>
  <c r="AC112" i="5"/>
  <c r="U92" i="4" a="1"/>
  <c r="U92" i="4"/>
  <c r="AD112" i="5"/>
  <c r="X92" i="4"/>
  <c r="AI112" i="5"/>
  <c r="Y92" i="4"/>
  <c r="AJ112" i="5"/>
  <c r="Z92" i="4"/>
  <c r="AL112" i="5"/>
  <c r="F112" i="5"/>
  <c r="H112" i="5"/>
  <c r="I112" i="5"/>
  <c r="L112" i="5"/>
  <c r="N112" i="5"/>
  <c r="O112" i="5"/>
  <c r="Z112" i="5"/>
  <c r="AN112" i="5"/>
  <c r="AG113" i="5"/>
  <c r="AF113" i="5"/>
  <c r="B93" i="4"/>
  <c r="C93" i="4"/>
  <c r="C113" i="5"/>
  <c r="D93" i="4"/>
  <c r="E113" i="5"/>
  <c r="H93" i="4"/>
  <c r="K113" i="5"/>
  <c r="L93" i="4"/>
  <c r="Q113" i="5"/>
  <c r="M93" i="4"/>
  <c r="R113" i="5"/>
  <c r="T113" i="5"/>
  <c r="O93" i="4"/>
  <c r="U113" i="5"/>
  <c r="P93" i="4"/>
  <c r="W113" i="5"/>
  <c r="Q93" i="4"/>
  <c r="X113" i="5"/>
  <c r="S93" i="4"/>
  <c r="AA113" i="5"/>
  <c r="AI93" i="4"/>
  <c r="T93" i="4" a="1"/>
  <c r="T93" i="4"/>
  <c r="AC113" i="5"/>
  <c r="U93" i="4" a="1"/>
  <c r="U93" i="4"/>
  <c r="AD113" i="5"/>
  <c r="X93" i="4"/>
  <c r="AI113" i="5"/>
  <c r="Y93" i="4"/>
  <c r="AJ113" i="5"/>
  <c r="Z93" i="4"/>
  <c r="AL113" i="5"/>
  <c r="F113" i="5"/>
  <c r="H113" i="5"/>
  <c r="I113" i="5"/>
  <c r="L113" i="5"/>
  <c r="N113" i="5"/>
  <c r="O113" i="5"/>
  <c r="Z113" i="5"/>
  <c r="AN113" i="5"/>
  <c r="AG114" i="5"/>
  <c r="AF114" i="5"/>
  <c r="B94" i="4"/>
  <c r="C94" i="4"/>
  <c r="C114" i="5"/>
  <c r="D94" i="4"/>
  <c r="E114" i="5"/>
  <c r="K114" i="5"/>
  <c r="L94" i="4"/>
  <c r="Q114" i="5"/>
  <c r="M94" i="4"/>
  <c r="R114" i="5"/>
  <c r="T114" i="5"/>
  <c r="O94" i="4"/>
  <c r="U114" i="5"/>
  <c r="P94" i="4"/>
  <c r="W114" i="5"/>
  <c r="Q94" i="4"/>
  <c r="X114" i="5"/>
  <c r="S94" i="4"/>
  <c r="AA114" i="5"/>
  <c r="AI94" i="4"/>
  <c r="T94" i="4" a="1"/>
  <c r="T94" i="4"/>
  <c r="AC114" i="5"/>
  <c r="U94" i="4" a="1"/>
  <c r="U94" i="4"/>
  <c r="AD114" i="5"/>
  <c r="X94" i="4"/>
  <c r="AI114" i="5"/>
  <c r="Y94" i="4"/>
  <c r="AJ114" i="5"/>
  <c r="Z94" i="4"/>
  <c r="AL114" i="5"/>
  <c r="F114" i="5"/>
  <c r="H114" i="5"/>
  <c r="I114" i="5"/>
  <c r="L114" i="5"/>
  <c r="N114" i="5"/>
  <c r="O114" i="5"/>
  <c r="Z114" i="5"/>
  <c r="AN114" i="5"/>
  <c r="AG115" i="5"/>
  <c r="AF115" i="5"/>
  <c r="B95" i="4"/>
  <c r="C95" i="4"/>
  <c r="C115" i="5"/>
  <c r="D95" i="4"/>
  <c r="E115" i="5"/>
  <c r="H24" i="2"/>
  <c r="H95" i="4"/>
  <c r="K115" i="5"/>
  <c r="L95" i="4"/>
  <c r="Q115" i="5"/>
  <c r="M95" i="4"/>
  <c r="R115" i="5"/>
  <c r="T115" i="5"/>
  <c r="U115" i="5"/>
  <c r="P95" i="4"/>
  <c r="W115" i="5"/>
  <c r="Q95" i="4"/>
  <c r="X115" i="5"/>
  <c r="AA115" i="5"/>
  <c r="AI95" i="4"/>
  <c r="T95" i="4" a="1"/>
  <c r="T95" i="4"/>
  <c r="AC115" i="5"/>
  <c r="U95" i="4" a="1"/>
  <c r="U95" i="4"/>
  <c r="AD115" i="5"/>
  <c r="X95" i="4"/>
  <c r="AI115" i="5"/>
  <c r="Y95" i="4"/>
  <c r="AJ115" i="5"/>
  <c r="Z95" i="4"/>
  <c r="AL115" i="5"/>
  <c r="F115" i="5"/>
  <c r="H115" i="5"/>
  <c r="I115" i="5"/>
  <c r="L115" i="5"/>
  <c r="N115" i="5"/>
  <c r="O115" i="5"/>
  <c r="Z115" i="5"/>
  <c r="AN115" i="5"/>
  <c r="O116" i="5"/>
  <c r="K116" i="5"/>
  <c r="AG116" i="5"/>
  <c r="AF116" i="5"/>
  <c r="B96" i="4"/>
  <c r="C96" i="4"/>
  <c r="C116" i="5"/>
  <c r="D96" i="4"/>
  <c r="E116" i="5"/>
  <c r="E14" i="2"/>
  <c r="E11" i="2"/>
  <c r="E96" i="4"/>
  <c r="F116" i="5"/>
  <c r="F14" i="2"/>
  <c r="F11" i="2"/>
  <c r="F96" i="4"/>
  <c r="H116" i="5"/>
  <c r="I116" i="5"/>
  <c r="I11" i="2"/>
  <c r="I96" i="4"/>
  <c r="L116" i="5"/>
  <c r="J11" i="2"/>
  <c r="J96" i="4"/>
  <c r="N116" i="5"/>
  <c r="L96" i="4"/>
  <c r="Q116" i="5"/>
  <c r="M96" i="4"/>
  <c r="R116" i="5"/>
  <c r="T116" i="5"/>
  <c r="U116" i="5"/>
  <c r="P96" i="4"/>
  <c r="W116" i="5"/>
  <c r="AA116" i="5"/>
  <c r="AI96" i="4"/>
  <c r="T96" i="4" a="1"/>
  <c r="T96" i="4"/>
  <c r="AC116" i="5"/>
  <c r="U96" i="4" a="1"/>
  <c r="U96" i="4"/>
  <c r="AD116" i="5"/>
  <c r="Y96" i="4"/>
  <c r="AJ116" i="5"/>
  <c r="Z96" i="4"/>
  <c r="AL116" i="5"/>
  <c r="X116" i="5"/>
  <c r="Z116" i="5"/>
  <c r="AN116" i="5"/>
  <c r="AG117" i="5"/>
  <c r="AF117" i="5"/>
  <c r="B292" i="4"/>
  <c r="C292" i="4"/>
  <c r="C117" i="5"/>
  <c r="D292" i="4"/>
  <c r="E117" i="5"/>
  <c r="K117" i="5"/>
  <c r="L292" i="4"/>
  <c r="Q117" i="5"/>
  <c r="M292" i="4"/>
  <c r="R117" i="5"/>
  <c r="T117" i="5"/>
  <c r="U117" i="5"/>
  <c r="P292" i="4"/>
  <c r="W117" i="5"/>
  <c r="Q292" i="4"/>
  <c r="X117" i="5"/>
  <c r="S292" i="4"/>
  <c r="AA117" i="5"/>
  <c r="AI292" i="4"/>
  <c r="T292" i="4" a="1"/>
  <c r="T292" i="4"/>
  <c r="AC117" i="5"/>
  <c r="U292" i="4" a="1"/>
  <c r="U292" i="4"/>
  <c r="AD117" i="5"/>
  <c r="X292" i="4"/>
  <c r="AI117" i="5"/>
  <c r="F117" i="5"/>
  <c r="H117" i="5"/>
  <c r="I117" i="5"/>
  <c r="L117" i="5"/>
  <c r="N117" i="5"/>
  <c r="O117" i="5"/>
  <c r="Z117" i="5"/>
  <c r="AN117" i="5"/>
  <c r="AA118" i="5"/>
  <c r="B293" i="4"/>
  <c r="P293" i="4"/>
  <c r="W118" i="5"/>
  <c r="AG118" i="5"/>
  <c r="AF118" i="5"/>
  <c r="C293" i="4"/>
  <c r="C118" i="5"/>
  <c r="D293" i="4"/>
  <c r="E118" i="5"/>
  <c r="K118" i="5"/>
  <c r="L293" i="4"/>
  <c r="Q118" i="5"/>
  <c r="M293" i="4"/>
  <c r="R118" i="5"/>
  <c r="T118" i="5"/>
  <c r="U118" i="5"/>
  <c r="Q293" i="4"/>
  <c r="X118" i="5"/>
  <c r="R7" i="2"/>
  <c r="R20" i="2"/>
  <c r="R14" i="2"/>
  <c r="R293" i="4"/>
  <c r="Z118" i="5"/>
  <c r="AI293" i="4"/>
  <c r="T293" i="4" a="1"/>
  <c r="T293" i="4"/>
  <c r="AC118" i="5"/>
  <c r="U293" i="4" a="1"/>
  <c r="U293" i="4"/>
  <c r="AD118" i="5"/>
  <c r="Y293" i="4"/>
  <c r="AJ118" i="5"/>
  <c r="Z293" i="4"/>
  <c r="AL118" i="5"/>
  <c r="F118" i="5"/>
  <c r="H118" i="5"/>
  <c r="I118" i="5"/>
  <c r="L118" i="5"/>
  <c r="N118" i="5"/>
  <c r="O118" i="5"/>
  <c r="AN118" i="5"/>
  <c r="AG119" i="5"/>
  <c r="AF119" i="5"/>
  <c r="B105" i="4"/>
  <c r="C105" i="4"/>
  <c r="C119" i="5"/>
  <c r="D105" i="4"/>
  <c r="E119" i="5"/>
  <c r="E105" i="4"/>
  <c r="F119" i="5"/>
  <c r="F105" i="4"/>
  <c r="H119" i="5"/>
  <c r="I119" i="5"/>
  <c r="K119" i="5"/>
  <c r="L105" i="4"/>
  <c r="Q119" i="5"/>
  <c r="M105" i="4"/>
  <c r="R119" i="5"/>
  <c r="T119" i="5"/>
  <c r="O105" i="4"/>
  <c r="U119" i="5"/>
  <c r="P105" i="4"/>
  <c r="W119" i="5"/>
  <c r="Q105" i="4"/>
  <c r="X119" i="5"/>
  <c r="AA119" i="5"/>
  <c r="AI105" i="4"/>
  <c r="T105" i="4" a="1"/>
  <c r="T105" i="4"/>
  <c r="AC119" i="5"/>
  <c r="U105" i="4" a="1"/>
  <c r="U105" i="4"/>
  <c r="AD119" i="5"/>
  <c r="X105" i="4"/>
  <c r="AI119" i="5"/>
  <c r="Y105" i="4"/>
  <c r="AJ119" i="5"/>
  <c r="Z105" i="4"/>
  <c r="AL119" i="5"/>
  <c r="L119" i="5"/>
  <c r="N119" i="5"/>
  <c r="O119" i="5"/>
  <c r="Z119" i="5"/>
  <c r="AN119" i="5"/>
  <c r="AG120" i="5"/>
  <c r="AF120" i="5"/>
  <c r="B6" i="4"/>
  <c r="C6" i="4"/>
  <c r="C120" i="5"/>
  <c r="D6" i="4"/>
  <c r="E120" i="5"/>
  <c r="H6" i="4"/>
  <c r="K120" i="5"/>
  <c r="L6" i="4"/>
  <c r="Q120" i="5"/>
  <c r="M6" i="4"/>
  <c r="R120" i="5"/>
  <c r="T120" i="5"/>
  <c r="O6" i="4"/>
  <c r="U120" i="5"/>
  <c r="W120" i="5"/>
  <c r="Q6" i="4"/>
  <c r="X120" i="5"/>
  <c r="AA120" i="5"/>
  <c r="AI6" i="4"/>
  <c r="T6" i="4" a="1"/>
  <c r="T6" i="4"/>
  <c r="AC120" i="5"/>
  <c r="U6" i="4" a="1"/>
  <c r="U6" i="4"/>
  <c r="AD120" i="5"/>
  <c r="Y6" i="4"/>
  <c r="AJ120" i="5"/>
  <c r="Z6" i="4"/>
  <c r="AL120" i="5"/>
  <c r="F120" i="5"/>
  <c r="H120" i="5"/>
  <c r="I120" i="5"/>
  <c r="L120" i="5"/>
  <c r="N120" i="5"/>
  <c r="O120" i="5"/>
  <c r="Z120" i="5"/>
  <c r="AN120" i="5"/>
  <c r="AG121" i="5"/>
  <c r="AF121" i="5"/>
  <c r="B107" i="4"/>
  <c r="C107" i="4"/>
  <c r="C121" i="5"/>
  <c r="D107" i="4"/>
  <c r="E121" i="5"/>
  <c r="H107" i="4"/>
  <c r="K121" i="5"/>
  <c r="L107" i="4"/>
  <c r="Q121" i="5"/>
  <c r="M107" i="4"/>
  <c r="R121" i="5"/>
  <c r="N107" i="4"/>
  <c r="T121" i="5"/>
  <c r="U121" i="5"/>
  <c r="W121" i="5"/>
  <c r="Q107" i="4"/>
  <c r="X121" i="5"/>
  <c r="AA121" i="5"/>
  <c r="AI107" i="4"/>
  <c r="T107" i="4" a="1"/>
  <c r="T107" i="4"/>
  <c r="AC121" i="5"/>
  <c r="U107" i="4" a="1"/>
  <c r="U107" i="4"/>
  <c r="AD121" i="5"/>
  <c r="X107" i="4"/>
  <c r="AI121" i="5"/>
  <c r="Y107" i="4"/>
  <c r="AJ121" i="5"/>
  <c r="Z107" i="4"/>
  <c r="AL121" i="5"/>
  <c r="F121" i="5"/>
  <c r="H121" i="5"/>
  <c r="I121" i="5"/>
  <c r="L121" i="5"/>
  <c r="N121" i="5"/>
  <c r="O121" i="5"/>
  <c r="Z121" i="5"/>
  <c r="AN121" i="5"/>
  <c r="AG122" i="5"/>
  <c r="AF122" i="5"/>
  <c r="B7" i="4"/>
  <c r="C7" i="4"/>
  <c r="C122" i="5"/>
  <c r="D7" i="4"/>
  <c r="E122" i="5"/>
  <c r="H7" i="4"/>
  <c r="K122" i="5"/>
  <c r="L7" i="4"/>
  <c r="Q122" i="5"/>
  <c r="R122" i="5"/>
  <c r="T122" i="5"/>
  <c r="O7" i="4"/>
  <c r="U122" i="5"/>
  <c r="P7" i="4"/>
  <c r="W122" i="5"/>
  <c r="Q7" i="4"/>
  <c r="X122" i="5"/>
  <c r="AA122" i="5"/>
  <c r="AI7" i="4"/>
  <c r="T7" i="4" a="1"/>
  <c r="T7" i="4"/>
  <c r="AC122" i="5"/>
  <c r="U7" i="4" a="1"/>
  <c r="U7" i="4"/>
  <c r="AD122" i="5"/>
  <c r="Y7" i="4"/>
  <c r="AJ122" i="5"/>
  <c r="Z7" i="4"/>
  <c r="AL122" i="5"/>
  <c r="F122" i="5"/>
  <c r="H122" i="5"/>
  <c r="I122" i="5"/>
  <c r="L122" i="5"/>
  <c r="N122" i="5"/>
  <c r="O122" i="5"/>
  <c r="Z122" i="5"/>
  <c r="AN122" i="5"/>
  <c r="O123" i="5"/>
  <c r="B108" i="4"/>
  <c r="H108" i="4"/>
  <c r="K123" i="5"/>
  <c r="AG123" i="5"/>
  <c r="AF123" i="5"/>
  <c r="C42" i="2"/>
  <c r="C108" i="4"/>
  <c r="C123" i="5"/>
  <c r="D108" i="4"/>
  <c r="E123" i="5"/>
  <c r="E108" i="4"/>
  <c r="F123" i="5"/>
  <c r="F108" i="4"/>
  <c r="H123" i="5"/>
  <c r="I123" i="5"/>
  <c r="I42" i="2"/>
  <c r="I108" i="4"/>
  <c r="L123" i="5"/>
  <c r="J42" i="2"/>
  <c r="J108" i="4"/>
  <c r="N123" i="5"/>
  <c r="L108" i="4"/>
  <c r="Q123" i="5"/>
  <c r="M108" i="4"/>
  <c r="R123" i="5"/>
  <c r="T123" i="5"/>
  <c r="O42" i="2"/>
  <c r="O108" i="4"/>
  <c r="U123" i="5"/>
  <c r="P42" i="2"/>
  <c r="P108" i="4"/>
  <c r="W123" i="5"/>
  <c r="Q42" i="2"/>
  <c r="Q108" i="4"/>
  <c r="X123" i="5"/>
  <c r="S108" i="4"/>
  <c r="AA123" i="5"/>
  <c r="AI108" i="4"/>
  <c r="T108" i="4" a="1"/>
  <c r="T108" i="4"/>
  <c r="AC123" i="5"/>
  <c r="U108" i="4" a="1"/>
  <c r="U108" i="4"/>
  <c r="AD123" i="5"/>
  <c r="X42" i="2"/>
  <c r="X108" i="4"/>
  <c r="AI123" i="5"/>
  <c r="Y42" i="2"/>
  <c r="Y108" i="4"/>
  <c r="AJ123" i="5"/>
  <c r="Z42" i="2"/>
  <c r="Z108" i="4"/>
  <c r="AL123" i="5"/>
  <c r="Z123" i="5"/>
  <c r="AN123" i="5"/>
  <c r="AG124" i="5"/>
  <c r="AF124" i="5"/>
  <c r="B109" i="4"/>
  <c r="C109" i="4"/>
  <c r="C124" i="5"/>
  <c r="D109" i="4"/>
  <c r="E124" i="5"/>
  <c r="H109" i="4"/>
  <c r="K124" i="5"/>
  <c r="L109" i="4"/>
  <c r="Q124" i="5"/>
  <c r="M109" i="4"/>
  <c r="R124" i="5"/>
  <c r="T124" i="5"/>
  <c r="O109" i="4"/>
  <c r="U124" i="5"/>
  <c r="P109" i="4"/>
  <c r="W124" i="5"/>
  <c r="Q109" i="4"/>
  <c r="X124" i="5"/>
  <c r="AA124" i="5"/>
  <c r="AI109" i="4"/>
  <c r="T109" i="4" a="1"/>
  <c r="T109" i="4"/>
  <c r="AC124" i="5"/>
  <c r="U109" i="4" a="1"/>
  <c r="U109" i="4"/>
  <c r="AD124" i="5"/>
  <c r="X109" i="4"/>
  <c r="AI124" i="5"/>
  <c r="Y109" i="4"/>
  <c r="AJ124" i="5"/>
  <c r="Z109" i="4"/>
  <c r="AL124" i="5"/>
  <c r="F124" i="5"/>
  <c r="H124" i="5"/>
  <c r="I124" i="5"/>
  <c r="L124" i="5"/>
  <c r="N124" i="5"/>
  <c r="O124" i="5"/>
  <c r="Z124" i="5"/>
  <c r="AN124" i="5"/>
  <c r="AG125" i="5"/>
  <c r="AF125" i="5"/>
  <c r="B112" i="4"/>
  <c r="C112" i="4"/>
  <c r="C125" i="5"/>
  <c r="D112" i="4"/>
  <c r="E125" i="5"/>
  <c r="H112" i="4"/>
  <c r="K125" i="5"/>
  <c r="L112" i="4"/>
  <c r="Q125" i="5"/>
  <c r="M112" i="4"/>
  <c r="R125" i="5"/>
  <c r="T125" i="5"/>
  <c r="U125" i="5"/>
  <c r="P112" i="4"/>
  <c r="W125" i="5"/>
  <c r="Q112" i="4"/>
  <c r="X125" i="5"/>
  <c r="S112" i="4"/>
  <c r="AA125" i="5"/>
  <c r="AI112" i="4"/>
  <c r="T112" i="4" a="1"/>
  <c r="T112" i="4"/>
  <c r="AC125" i="5"/>
  <c r="U112" i="4" a="1"/>
  <c r="U112" i="4"/>
  <c r="AD125" i="5"/>
  <c r="X112" i="4"/>
  <c r="AI125" i="5"/>
  <c r="Y112" i="4"/>
  <c r="AJ125" i="5"/>
  <c r="Z112" i="4"/>
  <c r="AL125" i="5"/>
  <c r="F125" i="5"/>
  <c r="H125" i="5"/>
  <c r="I125" i="5"/>
  <c r="L125" i="5"/>
  <c r="N125" i="5"/>
  <c r="O125" i="5"/>
  <c r="Z125" i="5"/>
  <c r="AN125" i="5"/>
  <c r="AG126" i="5"/>
  <c r="AF126" i="5"/>
  <c r="B113" i="4"/>
  <c r="C113" i="4"/>
  <c r="C126" i="5"/>
  <c r="D113" i="4"/>
  <c r="E126" i="5"/>
  <c r="H113" i="4"/>
  <c r="K126" i="5"/>
  <c r="L113" i="4"/>
  <c r="Q126" i="5"/>
  <c r="M113" i="4"/>
  <c r="R126" i="5"/>
  <c r="T126" i="5"/>
  <c r="O113" i="4"/>
  <c r="U126" i="5"/>
  <c r="P113" i="4"/>
  <c r="W126" i="5"/>
  <c r="Q113" i="4"/>
  <c r="X126" i="5"/>
  <c r="S113" i="4"/>
  <c r="AA126" i="5"/>
  <c r="AI113" i="4"/>
  <c r="T113" i="4" a="1"/>
  <c r="T113" i="4"/>
  <c r="AC126" i="5"/>
  <c r="U113" i="4" a="1"/>
  <c r="U113" i="4"/>
  <c r="AD126" i="5"/>
  <c r="X113" i="4"/>
  <c r="AI126" i="5"/>
  <c r="Y113" i="4"/>
  <c r="AJ126" i="5"/>
  <c r="Z113" i="4"/>
  <c r="AL126" i="5"/>
  <c r="F126" i="5"/>
  <c r="H126" i="5"/>
  <c r="I126" i="5"/>
  <c r="L126" i="5"/>
  <c r="N126" i="5"/>
  <c r="O126" i="5"/>
  <c r="Z126" i="5"/>
  <c r="AN126" i="5"/>
  <c r="AG127" i="5"/>
  <c r="AF127" i="5"/>
  <c r="B115" i="4"/>
  <c r="C115" i="4"/>
  <c r="C127" i="5"/>
  <c r="D115" i="4"/>
  <c r="E127" i="5"/>
  <c r="K127" i="5"/>
  <c r="L115" i="4"/>
  <c r="Q127" i="5"/>
  <c r="M115" i="4"/>
  <c r="R127" i="5"/>
  <c r="T127" i="5"/>
  <c r="O115" i="4"/>
  <c r="U127" i="5"/>
  <c r="P115" i="4"/>
  <c r="W127" i="5"/>
  <c r="Q115" i="4"/>
  <c r="X127" i="5"/>
  <c r="AA127" i="5"/>
  <c r="AI115" i="4"/>
  <c r="T115" i="4" a="1"/>
  <c r="T115" i="4"/>
  <c r="AC127" i="5"/>
  <c r="U115" i="4" a="1"/>
  <c r="U115" i="4"/>
  <c r="AD127" i="5"/>
  <c r="X115" i="4"/>
  <c r="AI127" i="5"/>
  <c r="Y115" i="4"/>
  <c r="AJ127" i="5"/>
  <c r="Z115" i="4"/>
  <c r="AL127" i="5"/>
  <c r="F127" i="5"/>
  <c r="H127" i="5"/>
  <c r="I127" i="5"/>
  <c r="L127" i="5"/>
  <c r="N127" i="5"/>
  <c r="O127" i="5"/>
  <c r="Z127" i="5"/>
  <c r="AN127" i="5"/>
  <c r="AG128" i="5"/>
  <c r="AF128" i="5"/>
  <c r="B116" i="4"/>
  <c r="C116" i="4"/>
  <c r="C128" i="5"/>
  <c r="D116" i="4"/>
  <c r="E128" i="5"/>
  <c r="E116" i="4"/>
  <c r="F128" i="5"/>
  <c r="F116" i="4"/>
  <c r="H128" i="5"/>
  <c r="I128" i="5"/>
  <c r="H116" i="4"/>
  <c r="K128" i="5"/>
  <c r="L116" i="4"/>
  <c r="Q128" i="5"/>
  <c r="M116" i="4"/>
  <c r="R128" i="5"/>
  <c r="T128" i="5"/>
  <c r="U128" i="5"/>
  <c r="P116" i="4"/>
  <c r="W128" i="5"/>
  <c r="Q116" i="4"/>
  <c r="X128" i="5"/>
  <c r="S116" i="4"/>
  <c r="AA128" i="5"/>
  <c r="AI116" i="4"/>
  <c r="T116" i="4" a="1"/>
  <c r="T116" i="4"/>
  <c r="AC128" i="5"/>
  <c r="U116" i="4" a="1"/>
  <c r="U116" i="4"/>
  <c r="AD128" i="5"/>
  <c r="X116" i="4"/>
  <c r="AI128" i="5"/>
  <c r="Y116" i="4"/>
  <c r="AJ128" i="5"/>
  <c r="Z116" i="4"/>
  <c r="AL128" i="5"/>
  <c r="L128" i="5"/>
  <c r="N128" i="5"/>
  <c r="O128" i="5"/>
  <c r="Z128" i="5"/>
  <c r="AN128" i="5"/>
  <c r="B117" i="4"/>
  <c r="S117" i="4"/>
  <c r="AA129" i="5"/>
  <c r="P117" i="4"/>
  <c r="W129" i="5"/>
  <c r="AG129" i="5"/>
  <c r="AF129" i="5"/>
  <c r="C117" i="4"/>
  <c r="C129" i="5"/>
  <c r="D117" i="4"/>
  <c r="E129" i="5"/>
  <c r="E117" i="4"/>
  <c r="F129" i="5"/>
  <c r="F117" i="4"/>
  <c r="H129" i="5"/>
  <c r="I129" i="5"/>
  <c r="K129" i="5"/>
  <c r="L117" i="4"/>
  <c r="Q129" i="5"/>
  <c r="U129" i="5"/>
  <c r="Q117" i="4"/>
  <c r="X129" i="5"/>
  <c r="R117" i="4"/>
  <c r="Z129" i="5"/>
  <c r="AI117" i="4"/>
  <c r="T117" i="4" a="1"/>
  <c r="T117" i="4"/>
  <c r="AC129" i="5"/>
  <c r="U117" i="4" a="1"/>
  <c r="U117" i="4"/>
  <c r="AD129" i="5"/>
  <c r="X117" i="4"/>
  <c r="AI129" i="5"/>
  <c r="Y117" i="4"/>
  <c r="AJ129" i="5"/>
  <c r="Z117" i="4"/>
  <c r="AL129" i="5"/>
  <c r="R129" i="5"/>
  <c r="T129" i="5"/>
  <c r="L129" i="5"/>
  <c r="N129" i="5"/>
  <c r="O129" i="5"/>
  <c r="AN129" i="5"/>
  <c r="AG130" i="5"/>
  <c r="AF130" i="5"/>
  <c r="C118" i="4"/>
  <c r="C130" i="5"/>
  <c r="D118" i="4"/>
  <c r="E130" i="5"/>
  <c r="E118" i="4"/>
  <c r="F130" i="5"/>
  <c r="F118" i="4"/>
  <c r="H130" i="5"/>
  <c r="I130" i="5"/>
  <c r="H118" i="4"/>
  <c r="K130" i="5"/>
  <c r="L118" i="4"/>
  <c r="Q130" i="5"/>
  <c r="M118" i="4"/>
  <c r="R130" i="5"/>
  <c r="T130" i="5"/>
  <c r="U130" i="5"/>
  <c r="P118" i="4"/>
  <c r="W130" i="5"/>
  <c r="Q118" i="4"/>
  <c r="X130" i="5"/>
  <c r="S118" i="4"/>
  <c r="AA130" i="5"/>
  <c r="AI118" i="4"/>
  <c r="T118" i="4" a="1"/>
  <c r="T118" i="4"/>
  <c r="AC130" i="5"/>
  <c r="U118" i="4" a="1"/>
  <c r="U118" i="4"/>
  <c r="AD130" i="5"/>
  <c r="X118" i="4"/>
  <c r="AI130" i="5"/>
  <c r="Y118" i="4"/>
  <c r="AJ130" i="5"/>
  <c r="Z118" i="4"/>
  <c r="AL130" i="5"/>
  <c r="Z130" i="5"/>
  <c r="L130" i="5"/>
  <c r="N130" i="5"/>
  <c r="O130" i="5"/>
  <c r="AN130" i="5"/>
  <c r="AG131" i="5"/>
  <c r="AF131" i="5"/>
  <c r="B119" i="4"/>
  <c r="C119" i="4"/>
  <c r="C131" i="5"/>
  <c r="D119" i="4"/>
  <c r="E131" i="5"/>
  <c r="E119" i="4"/>
  <c r="F131" i="5"/>
  <c r="F119" i="4"/>
  <c r="H131" i="5"/>
  <c r="I131" i="5"/>
  <c r="H119" i="4"/>
  <c r="K131" i="5"/>
  <c r="L119" i="4"/>
  <c r="Q131" i="5"/>
  <c r="M119" i="4"/>
  <c r="R131" i="5"/>
  <c r="T131" i="5"/>
  <c r="O20" i="2"/>
  <c r="O119" i="4"/>
  <c r="U131" i="5"/>
  <c r="P119" i="4"/>
  <c r="W131" i="5"/>
  <c r="Q119" i="4"/>
  <c r="X131" i="5"/>
  <c r="S119" i="4"/>
  <c r="AA131" i="5"/>
  <c r="AI119" i="4"/>
  <c r="T119" i="4" a="1"/>
  <c r="T119" i="4"/>
  <c r="AC131" i="5"/>
  <c r="U119" i="4" a="1"/>
  <c r="U119" i="4"/>
  <c r="AD131" i="5"/>
  <c r="X119" i="4"/>
  <c r="AI131" i="5"/>
  <c r="Y119" i="4"/>
  <c r="AJ131" i="5"/>
  <c r="Z119" i="4"/>
  <c r="AL131" i="5"/>
  <c r="Z131" i="5"/>
  <c r="L131" i="5"/>
  <c r="N131" i="5"/>
  <c r="O131" i="5"/>
  <c r="AN131" i="5"/>
  <c r="AG132" i="5"/>
  <c r="AF132" i="5"/>
  <c r="B120" i="4"/>
  <c r="C120" i="4"/>
  <c r="C132" i="5"/>
  <c r="D120" i="4"/>
  <c r="E132" i="5"/>
  <c r="E120" i="4"/>
  <c r="F132" i="5"/>
  <c r="F120" i="4"/>
  <c r="H132" i="5"/>
  <c r="I132" i="5"/>
  <c r="K132" i="5"/>
  <c r="L120" i="4"/>
  <c r="Q132" i="5"/>
  <c r="M120" i="4"/>
  <c r="R132" i="5"/>
  <c r="T132" i="5"/>
  <c r="U132" i="5"/>
  <c r="P120" i="4"/>
  <c r="W132" i="5"/>
  <c r="Q120" i="4"/>
  <c r="X132" i="5"/>
  <c r="S120" i="4"/>
  <c r="AA132" i="5"/>
  <c r="AI120" i="4"/>
  <c r="T120" i="4" a="1"/>
  <c r="T120" i="4"/>
  <c r="AC132" i="5"/>
  <c r="U120" i="4" a="1"/>
  <c r="U120" i="4"/>
  <c r="AD132" i="5"/>
  <c r="X120" i="4"/>
  <c r="AI132" i="5"/>
  <c r="Y120" i="4"/>
  <c r="AJ132" i="5"/>
  <c r="Z120" i="4"/>
  <c r="AL132" i="5"/>
  <c r="Z132" i="5"/>
  <c r="L132" i="5"/>
  <c r="N132" i="5"/>
  <c r="O132" i="5"/>
  <c r="AN132" i="5"/>
  <c r="AA133" i="5"/>
  <c r="B122" i="4"/>
  <c r="P122" i="4"/>
  <c r="W133" i="5"/>
  <c r="O133" i="5"/>
  <c r="K133" i="5"/>
  <c r="AG133" i="5"/>
  <c r="AF133" i="5"/>
  <c r="C122" i="4"/>
  <c r="C133" i="5"/>
  <c r="D122" i="4"/>
  <c r="E133" i="5"/>
  <c r="I32" i="2"/>
  <c r="I44" i="2"/>
  <c r="I122" i="4"/>
  <c r="L133" i="5"/>
  <c r="J32" i="2"/>
  <c r="J44" i="2"/>
  <c r="J122" i="4"/>
  <c r="N133" i="5"/>
  <c r="L122" i="4"/>
  <c r="Q133" i="5"/>
  <c r="M122" i="4"/>
  <c r="R133" i="5"/>
  <c r="T133" i="5"/>
  <c r="U133" i="5"/>
  <c r="Q122" i="4"/>
  <c r="X133" i="5"/>
  <c r="R32" i="2"/>
  <c r="R44" i="2"/>
  <c r="R122" i="4"/>
  <c r="Z133" i="5"/>
  <c r="AI122" i="4"/>
  <c r="T122" i="4" a="1"/>
  <c r="T122" i="4"/>
  <c r="AC133" i="5"/>
  <c r="U122" i="4" a="1"/>
  <c r="U122" i="4"/>
  <c r="AD133" i="5"/>
  <c r="X122" i="4"/>
  <c r="AI133" i="5"/>
  <c r="Y122" i="4"/>
  <c r="AJ133" i="5"/>
  <c r="Z122" i="4"/>
  <c r="AL133" i="5"/>
  <c r="F133" i="5"/>
  <c r="H133" i="5"/>
  <c r="I133" i="5"/>
  <c r="AN133" i="5"/>
  <c r="O134" i="5"/>
  <c r="K134" i="5"/>
  <c r="AG134" i="5"/>
  <c r="AF134" i="5"/>
  <c r="B123" i="4"/>
  <c r="C123" i="4"/>
  <c r="C134" i="5"/>
  <c r="D123" i="4"/>
  <c r="E134" i="5"/>
  <c r="I123" i="4"/>
  <c r="L134" i="5"/>
  <c r="J123" i="4"/>
  <c r="N134" i="5"/>
  <c r="L123" i="4"/>
  <c r="Q134" i="5"/>
  <c r="M123" i="4"/>
  <c r="R134" i="5"/>
  <c r="T134" i="5"/>
  <c r="U134" i="5"/>
  <c r="P123" i="4"/>
  <c r="W134" i="5"/>
  <c r="Q123" i="4"/>
  <c r="X134" i="5"/>
  <c r="AA134" i="5"/>
  <c r="AI123" i="4"/>
  <c r="T123" i="4" a="1"/>
  <c r="T123" i="4"/>
  <c r="AC134" i="5"/>
  <c r="U123" i="4" a="1"/>
  <c r="U123" i="4"/>
  <c r="AD134" i="5"/>
  <c r="X123" i="4"/>
  <c r="AI134" i="5"/>
  <c r="Y123" i="4"/>
  <c r="AJ134" i="5"/>
  <c r="Z123" i="4"/>
  <c r="AL134" i="5"/>
  <c r="Z134" i="5"/>
  <c r="F134" i="5"/>
  <c r="H134" i="5"/>
  <c r="I134" i="5"/>
  <c r="AN134" i="5"/>
  <c r="AG135" i="5"/>
  <c r="AF135" i="5"/>
  <c r="B125" i="4"/>
  <c r="C125" i="4"/>
  <c r="C135" i="5"/>
  <c r="D125" i="4"/>
  <c r="E135" i="5"/>
  <c r="H125" i="4"/>
  <c r="K135" i="5"/>
  <c r="L125" i="4"/>
  <c r="Q135" i="5"/>
  <c r="M125" i="4"/>
  <c r="R135" i="5"/>
  <c r="T135" i="5"/>
  <c r="O125" i="4"/>
  <c r="U135" i="5"/>
  <c r="P125" i="4"/>
  <c r="W135" i="5"/>
  <c r="Q125" i="4"/>
  <c r="X135" i="5"/>
  <c r="S125" i="4"/>
  <c r="AA135" i="5"/>
  <c r="AI125" i="4"/>
  <c r="T125" i="4" a="1"/>
  <c r="T125" i="4"/>
  <c r="AC135" i="5"/>
  <c r="U125" i="4" a="1"/>
  <c r="U125" i="4"/>
  <c r="AD135" i="5"/>
  <c r="X125" i="4"/>
  <c r="AI135" i="5"/>
  <c r="Y125" i="4"/>
  <c r="AJ135" i="5"/>
  <c r="Z125" i="4"/>
  <c r="AL135" i="5"/>
  <c r="L135" i="5"/>
  <c r="N135" i="5"/>
  <c r="O135" i="5"/>
  <c r="Z135" i="5"/>
  <c r="F135" i="5"/>
  <c r="H135" i="5"/>
  <c r="I135" i="5"/>
  <c r="AN135" i="5"/>
  <c r="O136" i="5"/>
  <c r="B126" i="4"/>
  <c r="H126" i="4"/>
  <c r="K136" i="5"/>
  <c r="AG136" i="5"/>
  <c r="AF136" i="5"/>
  <c r="C126" i="4"/>
  <c r="C136" i="5"/>
  <c r="D126" i="4"/>
  <c r="E136" i="5"/>
  <c r="I39" i="2"/>
  <c r="I126" i="4"/>
  <c r="L136" i="5"/>
  <c r="J39" i="2"/>
  <c r="J126" i="4"/>
  <c r="N136" i="5"/>
  <c r="L126" i="4"/>
  <c r="Q136" i="5"/>
  <c r="M126" i="4"/>
  <c r="R136" i="5"/>
  <c r="T136" i="5"/>
  <c r="U136" i="5"/>
  <c r="P126" i="4"/>
  <c r="W136" i="5"/>
  <c r="Q126" i="4"/>
  <c r="X136" i="5"/>
  <c r="AA136" i="5"/>
  <c r="AI126" i="4"/>
  <c r="T126" i="4" a="1"/>
  <c r="T126" i="4"/>
  <c r="AC136" i="5"/>
  <c r="U126" i="4" a="1"/>
  <c r="U126" i="4"/>
  <c r="AD136" i="5"/>
  <c r="X126" i="4"/>
  <c r="AI136" i="5"/>
  <c r="Y126" i="4"/>
  <c r="AJ136" i="5"/>
  <c r="Z126" i="4"/>
  <c r="AL136" i="5"/>
  <c r="Z136" i="5"/>
  <c r="F136" i="5"/>
  <c r="H136" i="5"/>
  <c r="I136" i="5"/>
  <c r="AN136" i="5"/>
  <c r="B128" i="4"/>
  <c r="S128" i="4"/>
  <c r="AA137" i="5"/>
  <c r="P128" i="4"/>
  <c r="W137" i="5"/>
  <c r="AG137" i="5"/>
  <c r="AF137" i="5"/>
  <c r="C128" i="4"/>
  <c r="C137" i="5"/>
  <c r="D128" i="4"/>
  <c r="E137" i="5"/>
  <c r="K137" i="5"/>
  <c r="L128" i="4"/>
  <c r="Q137" i="5"/>
  <c r="U137" i="5"/>
  <c r="Q128" i="4"/>
  <c r="X137" i="5"/>
  <c r="R128" i="4"/>
  <c r="Z137" i="5"/>
  <c r="AI128" i="4"/>
  <c r="T128" i="4" a="1"/>
  <c r="T128" i="4"/>
  <c r="AC137" i="5"/>
  <c r="U128" i="4" a="1"/>
  <c r="U128" i="4"/>
  <c r="AD137" i="5"/>
  <c r="X128" i="4"/>
  <c r="AI137" i="5"/>
  <c r="Y128" i="4"/>
  <c r="AJ137" i="5"/>
  <c r="Z128" i="4"/>
  <c r="AL137" i="5"/>
  <c r="L137" i="5"/>
  <c r="N137" i="5"/>
  <c r="O137" i="5"/>
  <c r="R137" i="5"/>
  <c r="T137" i="5"/>
  <c r="F137" i="5"/>
  <c r="H137" i="5"/>
  <c r="I137" i="5"/>
  <c r="AN137" i="5"/>
  <c r="AG138" i="5"/>
  <c r="AF138" i="5"/>
  <c r="C35" i="2"/>
  <c r="B129" i="4"/>
  <c r="C31" i="2"/>
  <c r="C129" i="4"/>
  <c r="C138" i="5"/>
  <c r="D35" i="2"/>
  <c r="D31" i="2"/>
  <c r="D129" i="4"/>
  <c r="E138" i="5"/>
  <c r="H35" i="2"/>
  <c r="H31" i="2"/>
  <c r="H129" i="4"/>
  <c r="K138" i="5"/>
  <c r="L35" i="2"/>
  <c r="L31" i="2"/>
  <c r="L129" i="4"/>
  <c r="Q138" i="5"/>
  <c r="M35" i="2"/>
  <c r="M31" i="2"/>
  <c r="M129" i="4"/>
  <c r="R138" i="5"/>
  <c r="T138" i="5"/>
  <c r="O35" i="2"/>
  <c r="O31" i="2"/>
  <c r="O129" i="4"/>
  <c r="U138" i="5"/>
  <c r="P35" i="2"/>
  <c r="P31" i="2"/>
  <c r="P129" i="4"/>
  <c r="W138" i="5"/>
  <c r="Q35" i="2"/>
  <c r="Q31" i="2"/>
  <c r="Q129" i="4"/>
  <c r="X138" i="5"/>
  <c r="S35" i="2"/>
  <c r="S31" i="2"/>
  <c r="S129" i="4"/>
  <c r="AA138" i="5"/>
  <c r="AI129" i="4"/>
  <c r="T129" i="4" a="1"/>
  <c r="T129" i="4"/>
  <c r="AC138" i="5"/>
  <c r="U129" i="4" a="1"/>
  <c r="U129" i="4"/>
  <c r="AD138" i="5"/>
  <c r="X35" i="2"/>
  <c r="X31" i="2"/>
  <c r="X129" i="4"/>
  <c r="AI138" i="5"/>
  <c r="Y35" i="2"/>
  <c r="Y31" i="2"/>
  <c r="Y129" i="4"/>
  <c r="AJ138" i="5"/>
  <c r="Z35" i="2"/>
  <c r="Z31" i="2"/>
  <c r="Z129" i="4"/>
  <c r="AL138" i="5"/>
  <c r="L138" i="5"/>
  <c r="N138" i="5"/>
  <c r="O138" i="5"/>
  <c r="F138" i="5"/>
  <c r="H138" i="5"/>
  <c r="I138" i="5"/>
  <c r="Z138" i="5"/>
  <c r="AN138" i="5"/>
  <c r="AG139" i="5"/>
  <c r="AF139" i="5"/>
  <c r="B130" i="4"/>
  <c r="C130" i="4"/>
  <c r="C139" i="5"/>
  <c r="D130" i="4"/>
  <c r="E139" i="5"/>
  <c r="E35" i="2"/>
  <c r="E130" i="4"/>
  <c r="F139" i="5"/>
  <c r="F35" i="2"/>
  <c r="F130" i="4"/>
  <c r="H139" i="5"/>
  <c r="I139" i="5"/>
  <c r="K139" i="5"/>
  <c r="L130" i="4"/>
  <c r="Q139" i="5"/>
  <c r="M130" i="4"/>
  <c r="R139" i="5"/>
  <c r="T139" i="5"/>
  <c r="U139" i="5"/>
  <c r="P130" i="4"/>
  <c r="W139" i="5"/>
  <c r="Q130" i="4"/>
  <c r="X139" i="5"/>
  <c r="S130" i="4"/>
  <c r="AA139" i="5"/>
  <c r="AI130" i="4"/>
  <c r="T130" i="4" a="1"/>
  <c r="T130" i="4"/>
  <c r="AC139" i="5"/>
  <c r="U130" i="4" a="1"/>
  <c r="U130" i="4"/>
  <c r="AD139" i="5"/>
  <c r="X130" i="4"/>
  <c r="AI139" i="5"/>
  <c r="Y130" i="4"/>
  <c r="AJ139" i="5"/>
  <c r="Z130" i="4"/>
  <c r="AL139" i="5"/>
  <c r="L139" i="5"/>
  <c r="N139" i="5"/>
  <c r="O139" i="5"/>
  <c r="Z139" i="5"/>
  <c r="AN139" i="5"/>
  <c r="AG140" i="5"/>
  <c r="AF140" i="5"/>
  <c r="B131" i="4"/>
  <c r="C131" i="4"/>
  <c r="C140" i="5"/>
  <c r="D131" i="4"/>
  <c r="E140" i="5"/>
  <c r="E131" i="4"/>
  <c r="F140" i="5"/>
  <c r="F131" i="4"/>
  <c r="H140" i="5"/>
  <c r="I140" i="5"/>
  <c r="H131" i="4"/>
  <c r="K140" i="5"/>
  <c r="L131" i="4"/>
  <c r="Q140" i="5"/>
  <c r="M131" i="4"/>
  <c r="R140" i="5"/>
  <c r="T140" i="5"/>
  <c r="U140" i="5"/>
  <c r="P131" i="4"/>
  <c r="W140" i="5"/>
  <c r="Q131" i="4"/>
  <c r="X140" i="5"/>
  <c r="S131" i="4"/>
  <c r="AA140" i="5"/>
  <c r="AI131" i="4"/>
  <c r="T131" i="4" a="1"/>
  <c r="T131" i="4"/>
  <c r="AC140" i="5"/>
  <c r="U131" i="4" a="1"/>
  <c r="U131" i="4"/>
  <c r="AD140" i="5"/>
  <c r="X131" i="4"/>
  <c r="AI140" i="5"/>
  <c r="Y131" i="4"/>
  <c r="AJ140" i="5"/>
  <c r="Z131" i="4"/>
  <c r="AL140" i="5"/>
  <c r="L140" i="5"/>
  <c r="N140" i="5"/>
  <c r="O140" i="5"/>
  <c r="Z140" i="5"/>
  <c r="AN140" i="5"/>
  <c r="AG141" i="5"/>
  <c r="AF141" i="5"/>
  <c r="C132" i="4"/>
  <c r="C141" i="5"/>
  <c r="D132" i="4"/>
  <c r="E141" i="5"/>
  <c r="E132" i="4"/>
  <c r="F141" i="5"/>
  <c r="F132" i="4"/>
  <c r="H141" i="5"/>
  <c r="I141" i="5"/>
  <c r="H132" i="4"/>
  <c r="K141" i="5"/>
  <c r="L132" i="4"/>
  <c r="Q141" i="5"/>
  <c r="M132" i="4"/>
  <c r="R141" i="5"/>
  <c r="T141" i="5"/>
  <c r="O132" i="4"/>
  <c r="U141" i="5"/>
  <c r="P132" i="4"/>
  <c r="W141" i="5"/>
  <c r="Q132" i="4"/>
  <c r="X141" i="5"/>
  <c r="S132" i="4"/>
  <c r="AA141" i="5"/>
  <c r="AI132" i="4"/>
  <c r="T132" i="4" a="1"/>
  <c r="T132" i="4"/>
  <c r="AC141" i="5"/>
  <c r="U132" i="4" a="1"/>
  <c r="U132" i="4"/>
  <c r="AD141" i="5"/>
  <c r="X132" i="4"/>
  <c r="AI141" i="5"/>
  <c r="Y132" i="4"/>
  <c r="AJ141" i="5"/>
  <c r="Z132" i="4"/>
  <c r="AL141" i="5"/>
  <c r="L141" i="5"/>
  <c r="N141" i="5"/>
  <c r="O141" i="5"/>
  <c r="Z141" i="5"/>
  <c r="AN141" i="5"/>
  <c r="O142" i="5"/>
  <c r="K142" i="5"/>
  <c r="AG142" i="5"/>
  <c r="AF142" i="5"/>
  <c r="B133" i="4"/>
  <c r="C133" i="4"/>
  <c r="C142" i="5"/>
  <c r="D133" i="4"/>
  <c r="E142" i="5"/>
  <c r="I133" i="4"/>
  <c r="L142" i="5"/>
  <c r="J133" i="4"/>
  <c r="N142" i="5"/>
  <c r="L133" i="4"/>
  <c r="Q142" i="5"/>
  <c r="M133" i="4"/>
  <c r="R142" i="5"/>
  <c r="T142" i="5"/>
  <c r="U142" i="5"/>
  <c r="P133" i="4"/>
  <c r="W142" i="5"/>
  <c r="Q133" i="4"/>
  <c r="X142" i="5"/>
  <c r="AA142" i="5"/>
  <c r="AI133" i="4"/>
  <c r="T133" i="4" a="1"/>
  <c r="T133" i="4"/>
  <c r="AC142" i="5"/>
  <c r="U133" i="4" a="1"/>
  <c r="U133" i="4"/>
  <c r="AD142" i="5"/>
  <c r="X133" i="4"/>
  <c r="AI142" i="5"/>
  <c r="Y133" i="4"/>
  <c r="AJ142" i="5"/>
  <c r="Z133" i="4"/>
  <c r="AL142" i="5"/>
  <c r="F142" i="5"/>
  <c r="H142" i="5"/>
  <c r="I142" i="5"/>
  <c r="Z142" i="5"/>
  <c r="AN142" i="5"/>
  <c r="AG143" i="5"/>
  <c r="AF143" i="5"/>
  <c r="B134" i="4"/>
  <c r="C134" i="4"/>
  <c r="C143" i="5"/>
  <c r="D134" i="4"/>
  <c r="E143" i="5"/>
  <c r="H134" i="4"/>
  <c r="K143" i="5"/>
  <c r="L134" i="4"/>
  <c r="Q143" i="5"/>
  <c r="M134" i="4"/>
  <c r="R143" i="5"/>
  <c r="T143" i="5"/>
  <c r="U143" i="5"/>
  <c r="P134" i="4"/>
  <c r="W143" i="5"/>
  <c r="Q134" i="4"/>
  <c r="X143" i="5"/>
  <c r="S134" i="4"/>
  <c r="AA143" i="5"/>
  <c r="AI134" i="4"/>
  <c r="T134" i="4" a="1"/>
  <c r="T134" i="4"/>
  <c r="AC143" i="5"/>
  <c r="U134" i="4" a="1"/>
  <c r="U134" i="4"/>
  <c r="AD143" i="5"/>
  <c r="X134" i="4"/>
  <c r="AI143" i="5"/>
  <c r="Y134" i="4"/>
  <c r="AJ143" i="5"/>
  <c r="Z134" i="4"/>
  <c r="AL143" i="5"/>
  <c r="F143" i="5"/>
  <c r="H143" i="5"/>
  <c r="I143" i="5"/>
  <c r="L143" i="5"/>
  <c r="N143" i="5"/>
  <c r="O143" i="5"/>
  <c r="Z143" i="5"/>
  <c r="AN143" i="5"/>
  <c r="O144" i="5"/>
  <c r="H135" i="4"/>
  <c r="K144" i="5"/>
  <c r="AG144" i="5"/>
  <c r="AF144" i="5"/>
  <c r="C135" i="4"/>
  <c r="C144" i="5"/>
  <c r="D135" i="4"/>
  <c r="E144" i="5"/>
  <c r="E135" i="4"/>
  <c r="F144" i="5"/>
  <c r="F135" i="4"/>
  <c r="H144" i="5"/>
  <c r="I144" i="5"/>
  <c r="I30" i="2"/>
  <c r="I135" i="4"/>
  <c r="L144" i="5"/>
  <c r="J30" i="2"/>
  <c r="J135" i="4"/>
  <c r="N144" i="5"/>
  <c r="L135" i="4"/>
  <c r="Q144" i="5"/>
  <c r="M135" i="4"/>
  <c r="R144" i="5"/>
  <c r="T144" i="5"/>
  <c r="O135" i="4"/>
  <c r="U144" i="5"/>
  <c r="P135" i="4"/>
  <c r="W144" i="5"/>
  <c r="Q135" i="4"/>
  <c r="X144" i="5"/>
  <c r="AA144" i="5"/>
  <c r="AI135" i="4"/>
  <c r="T135" i="4" a="1"/>
  <c r="T135" i="4"/>
  <c r="AC144" i="5"/>
  <c r="U135" i="4" a="1"/>
  <c r="U135" i="4"/>
  <c r="AD144" i="5"/>
  <c r="X135" i="4"/>
  <c r="AI144" i="5"/>
  <c r="Y135" i="4"/>
  <c r="AJ144" i="5"/>
  <c r="Z135" i="4"/>
  <c r="AL144" i="5"/>
  <c r="Z144" i="5"/>
  <c r="AN144" i="5"/>
  <c r="AG145" i="5"/>
  <c r="AF145" i="5"/>
  <c r="B136" i="4"/>
  <c r="C136" i="4"/>
  <c r="C145" i="5"/>
  <c r="D136" i="4"/>
  <c r="E145" i="5"/>
  <c r="E136" i="4"/>
  <c r="F145" i="5"/>
  <c r="F136" i="4"/>
  <c r="H145" i="5"/>
  <c r="I145" i="5"/>
  <c r="H136" i="4"/>
  <c r="K145" i="5"/>
  <c r="L136" i="4"/>
  <c r="Q145" i="5"/>
  <c r="M136" i="4"/>
  <c r="R145" i="5"/>
  <c r="T145" i="5"/>
  <c r="O136" i="4"/>
  <c r="U145" i="5"/>
  <c r="P136" i="4"/>
  <c r="W145" i="5"/>
  <c r="Q136" i="4"/>
  <c r="X145" i="5"/>
  <c r="S136" i="4"/>
  <c r="AA145" i="5"/>
  <c r="AI136" i="4"/>
  <c r="T136" i="4" a="1"/>
  <c r="T136" i="4"/>
  <c r="AC145" i="5"/>
  <c r="U136" i="4" a="1"/>
  <c r="U136" i="4"/>
  <c r="AD145" i="5"/>
  <c r="X136" i="4"/>
  <c r="AI145" i="5"/>
  <c r="Y136" i="4"/>
  <c r="AJ145" i="5"/>
  <c r="Z136" i="4"/>
  <c r="AL145" i="5"/>
  <c r="L145" i="5"/>
  <c r="N145" i="5"/>
  <c r="O145" i="5"/>
  <c r="Z145" i="5"/>
  <c r="AN145" i="5"/>
  <c r="AG146" i="5"/>
  <c r="AF146" i="5"/>
  <c r="B137" i="4"/>
  <c r="C137" i="4"/>
  <c r="C146" i="5"/>
  <c r="D137" i="4"/>
  <c r="E146" i="5"/>
  <c r="E137" i="4"/>
  <c r="F146" i="5"/>
  <c r="F137" i="4"/>
  <c r="H146" i="5"/>
  <c r="I146" i="5"/>
  <c r="H137" i="4"/>
  <c r="K146" i="5"/>
  <c r="L137" i="4"/>
  <c r="Q146" i="5"/>
  <c r="M137" i="4"/>
  <c r="R146" i="5"/>
  <c r="T146" i="5"/>
  <c r="O137" i="4"/>
  <c r="U146" i="5"/>
  <c r="P137" i="4"/>
  <c r="W146" i="5"/>
  <c r="Q137" i="4"/>
  <c r="X146" i="5"/>
  <c r="S137" i="4"/>
  <c r="AA146" i="5"/>
  <c r="AI137" i="4"/>
  <c r="T137" i="4" a="1"/>
  <c r="T137" i="4"/>
  <c r="AC146" i="5"/>
  <c r="U137" i="4" a="1"/>
  <c r="U137" i="4"/>
  <c r="AD146" i="5"/>
  <c r="X137" i="4"/>
  <c r="AI146" i="5"/>
  <c r="Y137" i="4"/>
  <c r="AJ146" i="5"/>
  <c r="Z137" i="4"/>
  <c r="AL146" i="5"/>
  <c r="L146" i="5"/>
  <c r="N146" i="5"/>
  <c r="O146" i="5"/>
  <c r="Z146" i="5"/>
  <c r="AN146" i="5"/>
  <c r="O147" i="5"/>
  <c r="K147" i="5"/>
  <c r="AG147" i="5"/>
  <c r="AF147" i="5"/>
  <c r="B139" i="4"/>
  <c r="C139" i="4"/>
  <c r="C147" i="5"/>
  <c r="D139" i="4"/>
  <c r="E147" i="5"/>
  <c r="I139" i="4"/>
  <c r="L147" i="5"/>
  <c r="J139" i="4"/>
  <c r="N147" i="5"/>
  <c r="L139" i="4"/>
  <c r="Q147" i="5"/>
  <c r="M139" i="4"/>
  <c r="R147" i="5"/>
  <c r="T147" i="5"/>
  <c r="U147" i="5"/>
  <c r="P139" i="4"/>
  <c r="W147" i="5"/>
  <c r="Q139" i="4"/>
  <c r="X147" i="5"/>
  <c r="AA147" i="5"/>
  <c r="AI139" i="4"/>
  <c r="T139" i="4" a="1"/>
  <c r="T139" i="4"/>
  <c r="AC147" i="5"/>
  <c r="U139" i="4" a="1"/>
  <c r="U139" i="4"/>
  <c r="AD147" i="5"/>
  <c r="X139" i="4"/>
  <c r="AI147" i="5"/>
  <c r="Y139" i="4"/>
  <c r="AJ147" i="5"/>
  <c r="Z139" i="4"/>
  <c r="AL147" i="5"/>
  <c r="F147" i="5"/>
  <c r="H147" i="5"/>
  <c r="I147" i="5"/>
  <c r="Z147" i="5"/>
  <c r="AN147" i="5"/>
  <c r="O148" i="5"/>
  <c r="K148" i="5"/>
  <c r="AG148" i="5"/>
  <c r="AF148" i="5"/>
  <c r="B140" i="4"/>
  <c r="C140" i="4"/>
  <c r="C148" i="5"/>
  <c r="D140" i="4"/>
  <c r="E148" i="5"/>
  <c r="E140" i="4"/>
  <c r="F148" i="5"/>
  <c r="F140" i="4"/>
  <c r="H148" i="5"/>
  <c r="I148" i="5"/>
  <c r="I140" i="4"/>
  <c r="L148" i="5"/>
  <c r="J140" i="4"/>
  <c r="N148" i="5"/>
  <c r="L140" i="4"/>
  <c r="Q148" i="5"/>
  <c r="M140" i="4"/>
  <c r="R148" i="5"/>
  <c r="T148" i="5"/>
  <c r="U148" i="5"/>
  <c r="P140" i="4"/>
  <c r="W148" i="5"/>
  <c r="Q140" i="4"/>
  <c r="X148" i="5"/>
  <c r="S140" i="4"/>
  <c r="AA148" i="5"/>
  <c r="AI140" i="4"/>
  <c r="T140" i="4" a="1"/>
  <c r="T140" i="4"/>
  <c r="AC148" i="5"/>
  <c r="U140" i="4" a="1"/>
  <c r="U140" i="4"/>
  <c r="AD148" i="5"/>
  <c r="X140" i="4"/>
  <c r="AI148" i="5"/>
  <c r="Y140" i="4"/>
  <c r="AJ148" i="5"/>
  <c r="Z140" i="4"/>
  <c r="AL148" i="5"/>
  <c r="Z148" i="5"/>
  <c r="AN148" i="5"/>
  <c r="B141" i="4"/>
  <c r="S141" i="4"/>
  <c r="AA149" i="5"/>
  <c r="P141" i="4"/>
  <c r="W149" i="5"/>
  <c r="AG149" i="5"/>
  <c r="AF149" i="5"/>
  <c r="C141" i="4"/>
  <c r="C149" i="5"/>
  <c r="D141" i="4"/>
  <c r="E149" i="5"/>
  <c r="K149" i="5"/>
  <c r="L141" i="4"/>
  <c r="Q149" i="5"/>
  <c r="U149" i="5"/>
  <c r="Q141" i="4"/>
  <c r="X149" i="5"/>
  <c r="R141" i="4"/>
  <c r="Z149" i="5"/>
  <c r="AI141" i="4"/>
  <c r="T141" i="4" a="1"/>
  <c r="T141" i="4"/>
  <c r="AC149" i="5"/>
  <c r="U141" i="4" a="1"/>
  <c r="U141" i="4"/>
  <c r="AD149" i="5"/>
  <c r="X141" i="4"/>
  <c r="AI149" i="5"/>
  <c r="Y141" i="4"/>
  <c r="AJ149" i="5"/>
  <c r="Z141" i="4"/>
  <c r="AL149" i="5"/>
  <c r="F149" i="5"/>
  <c r="H149" i="5"/>
  <c r="I149" i="5"/>
  <c r="L149" i="5"/>
  <c r="N149" i="5"/>
  <c r="O149" i="5"/>
  <c r="R149" i="5"/>
  <c r="T149" i="5"/>
  <c r="AN149" i="5"/>
  <c r="AG150" i="5"/>
  <c r="AF150" i="5"/>
  <c r="B142" i="4"/>
  <c r="C142" i="4"/>
  <c r="C150" i="5"/>
  <c r="D142" i="4"/>
  <c r="E150" i="5"/>
  <c r="E142" i="4"/>
  <c r="F150" i="5"/>
  <c r="F142" i="4"/>
  <c r="H150" i="5"/>
  <c r="I150" i="5"/>
  <c r="H142" i="4"/>
  <c r="K150" i="5"/>
  <c r="L142" i="4"/>
  <c r="Q150" i="5"/>
  <c r="M142" i="4"/>
  <c r="R150" i="5"/>
  <c r="T150" i="5"/>
  <c r="O142" i="4"/>
  <c r="U150" i="5"/>
  <c r="P142" i="4"/>
  <c r="W150" i="5"/>
  <c r="Q142" i="4"/>
  <c r="X150" i="5"/>
  <c r="AA150" i="5"/>
  <c r="AI142" i="4"/>
  <c r="T142" i="4" a="1"/>
  <c r="T142" i="4"/>
  <c r="AC150" i="5"/>
  <c r="U142" i="4" a="1"/>
  <c r="U142" i="4"/>
  <c r="AD150" i="5"/>
  <c r="X142" i="4"/>
  <c r="AI150" i="5"/>
  <c r="Y142" i="4"/>
  <c r="AJ150" i="5"/>
  <c r="Z142" i="4"/>
  <c r="AL150" i="5"/>
  <c r="L150" i="5"/>
  <c r="N150" i="5"/>
  <c r="O150" i="5"/>
  <c r="Z150" i="5"/>
  <c r="AN150" i="5"/>
  <c r="O151" i="5"/>
  <c r="B146" i="4"/>
  <c r="H146" i="4"/>
  <c r="K151" i="5"/>
  <c r="AG151" i="5"/>
  <c r="AF151" i="5"/>
  <c r="C146" i="4"/>
  <c r="C151" i="5"/>
  <c r="D146" i="4"/>
  <c r="E151" i="5"/>
  <c r="I40" i="2"/>
  <c r="I146" i="4"/>
  <c r="L151" i="5"/>
  <c r="J40" i="2"/>
  <c r="J146" i="4"/>
  <c r="N151" i="5"/>
  <c r="L146" i="4"/>
  <c r="Q151" i="5"/>
  <c r="M146" i="4"/>
  <c r="R151" i="5"/>
  <c r="T151" i="5"/>
  <c r="U151" i="5"/>
  <c r="P146" i="4"/>
  <c r="W151" i="5"/>
  <c r="Q146" i="4"/>
  <c r="X151" i="5"/>
  <c r="S146" i="4"/>
  <c r="AA151" i="5"/>
  <c r="AI146" i="4"/>
  <c r="T146" i="4" a="1"/>
  <c r="T146" i="4"/>
  <c r="AC151" i="5"/>
  <c r="U146" i="4" a="1"/>
  <c r="U146" i="4"/>
  <c r="AD151" i="5"/>
  <c r="X146" i="4"/>
  <c r="AI151" i="5"/>
  <c r="Y146" i="4"/>
  <c r="AJ151" i="5"/>
  <c r="Z146" i="4"/>
  <c r="AL151" i="5"/>
  <c r="F151" i="5"/>
  <c r="H151" i="5"/>
  <c r="I151" i="5"/>
  <c r="Z151" i="5"/>
  <c r="AN151" i="5"/>
  <c r="S34" i="2"/>
  <c r="B147" i="4"/>
  <c r="S147" i="4"/>
  <c r="AA152" i="5"/>
  <c r="P34" i="2"/>
  <c r="P147" i="4"/>
  <c r="W152" i="5"/>
  <c r="AG152" i="5"/>
  <c r="AF152" i="5"/>
  <c r="C34" i="2"/>
  <c r="C147" i="4"/>
  <c r="C152" i="5"/>
  <c r="D34" i="2"/>
  <c r="D147" i="4"/>
  <c r="E152" i="5"/>
  <c r="E34" i="2"/>
  <c r="E147" i="4"/>
  <c r="F152" i="5"/>
  <c r="F34" i="2"/>
  <c r="F147" i="4"/>
  <c r="H152" i="5"/>
  <c r="I152" i="5"/>
  <c r="K152" i="5"/>
  <c r="L34" i="2"/>
  <c r="L147" i="4"/>
  <c r="Q152" i="5"/>
  <c r="M34" i="2"/>
  <c r="M147" i="4"/>
  <c r="R152" i="5"/>
  <c r="T152" i="5"/>
  <c r="O34" i="2"/>
  <c r="O147" i="4"/>
  <c r="U152" i="5"/>
  <c r="Q34" i="2"/>
  <c r="Q147" i="4"/>
  <c r="X152" i="5"/>
  <c r="R34" i="2"/>
  <c r="R35" i="2"/>
  <c r="R147" i="4"/>
  <c r="Z152" i="5"/>
  <c r="AI147" i="4"/>
  <c r="T147" i="4" a="1"/>
  <c r="T147" i="4"/>
  <c r="AC152" i="5"/>
  <c r="U147" i="4" a="1"/>
  <c r="U147" i="4"/>
  <c r="AD152" i="5"/>
  <c r="X34" i="2"/>
  <c r="X147" i="4"/>
  <c r="AI152" i="5"/>
  <c r="Y34" i="2"/>
  <c r="Y147" i="4"/>
  <c r="AJ152" i="5"/>
  <c r="Z34" i="2"/>
  <c r="Z147" i="4"/>
  <c r="AL152" i="5"/>
  <c r="L152" i="5"/>
  <c r="N152" i="5"/>
  <c r="O152" i="5"/>
  <c r="AN152" i="5"/>
  <c r="O153" i="5"/>
  <c r="B149" i="4"/>
  <c r="H149" i="4"/>
  <c r="K153" i="5"/>
  <c r="AG153" i="5"/>
  <c r="AF153" i="5"/>
  <c r="C149" i="4"/>
  <c r="C153" i="5"/>
  <c r="D149" i="4"/>
  <c r="E153" i="5"/>
  <c r="I149" i="4"/>
  <c r="L153" i="5"/>
  <c r="J149" i="4"/>
  <c r="N153" i="5"/>
  <c r="L149" i="4"/>
  <c r="Q153" i="5"/>
  <c r="M149" i="4"/>
  <c r="R153" i="5"/>
  <c r="T153" i="5"/>
  <c r="U153" i="5"/>
  <c r="P149" i="4"/>
  <c r="W153" i="5"/>
  <c r="Q149" i="4"/>
  <c r="X153" i="5"/>
  <c r="S149" i="4"/>
  <c r="AA153" i="5"/>
  <c r="AI149" i="4"/>
  <c r="T149" i="4" a="1"/>
  <c r="T149" i="4"/>
  <c r="AC153" i="5"/>
  <c r="U149" i="4" a="1"/>
  <c r="U149" i="4"/>
  <c r="AD153" i="5"/>
  <c r="X149" i="4"/>
  <c r="AI153" i="5"/>
  <c r="Y149" i="4"/>
  <c r="AJ153" i="5"/>
  <c r="Z149" i="4"/>
  <c r="AL153" i="5"/>
  <c r="F153" i="5"/>
  <c r="H153" i="5"/>
  <c r="I153" i="5"/>
  <c r="Z153" i="5"/>
  <c r="AN153" i="5"/>
  <c r="AG154" i="5"/>
  <c r="AF154" i="5"/>
  <c r="B150" i="4"/>
  <c r="C150" i="4"/>
  <c r="C154" i="5"/>
  <c r="D150" i="4"/>
  <c r="E154" i="5"/>
  <c r="H150" i="4"/>
  <c r="K154" i="5"/>
  <c r="L150" i="4"/>
  <c r="Q154" i="5"/>
  <c r="M150" i="4"/>
  <c r="R154" i="5"/>
  <c r="T154" i="5"/>
  <c r="O150" i="4"/>
  <c r="U154" i="5"/>
  <c r="P150" i="4"/>
  <c r="W154" i="5"/>
  <c r="Q150" i="4"/>
  <c r="X154" i="5"/>
  <c r="AA154" i="5"/>
  <c r="AI150" i="4"/>
  <c r="T150" i="4" a="1"/>
  <c r="T150" i="4"/>
  <c r="AC154" i="5"/>
  <c r="U150" i="4" a="1"/>
  <c r="U150" i="4"/>
  <c r="AD154" i="5"/>
  <c r="X150" i="4"/>
  <c r="AI154" i="5"/>
  <c r="Y150" i="4"/>
  <c r="AJ154" i="5"/>
  <c r="Z150" i="4"/>
  <c r="AL154" i="5"/>
  <c r="F154" i="5"/>
  <c r="H154" i="5"/>
  <c r="I154" i="5"/>
  <c r="L154" i="5"/>
  <c r="N154" i="5"/>
  <c r="O154" i="5"/>
  <c r="Z154" i="5"/>
  <c r="AN154" i="5"/>
  <c r="AG155" i="5"/>
  <c r="AF155" i="5"/>
  <c r="B151" i="4"/>
  <c r="C151" i="4"/>
  <c r="C155" i="5"/>
  <c r="D151" i="4"/>
  <c r="E155" i="5"/>
  <c r="E151" i="4"/>
  <c r="F155" i="5"/>
  <c r="F151" i="4"/>
  <c r="H155" i="5"/>
  <c r="I155" i="5"/>
  <c r="H151" i="4"/>
  <c r="K155" i="5"/>
  <c r="L151" i="4"/>
  <c r="Q155" i="5"/>
  <c r="M151" i="4"/>
  <c r="R155" i="5"/>
  <c r="T155" i="5"/>
  <c r="O151" i="4"/>
  <c r="U155" i="5"/>
  <c r="P151" i="4"/>
  <c r="W155" i="5"/>
  <c r="Q151" i="4"/>
  <c r="X155" i="5"/>
  <c r="S151" i="4"/>
  <c r="AA155" i="5"/>
  <c r="AI151" i="4"/>
  <c r="T151" i="4" a="1"/>
  <c r="T151" i="4"/>
  <c r="AC155" i="5"/>
  <c r="U151" i="4" a="1"/>
  <c r="U151" i="4"/>
  <c r="AD155" i="5"/>
  <c r="X151" i="4"/>
  <c r="AI155" i="5"/>
  <c r="Y151" i="4"/>
  <c r="AJ155" i="5"/>
  <c r="Z151" i="4"/>
  <c r="AL155" i="5"/>
  <c r="L155" i="5"/>
  <c r="N155" i="5"/>
  <c r="O155" i="5"/>
  <c r="Z155" i="5"/>
  <c r="AN155" i="5"/>
  <c r="AA156" i="5"/>
  <c r="B152" i="4"/>
  <c r="P152" i="4"/>
  <c r="W156" i="5"/>
  <c r="O156" i="5"/>
  <c r="H152" i="4"/>
  <c r="K156" i="5"/>
  <c r="AG156" i="5"/>
  <c r="AF156" i="5"/>
  <c r="C152" i="4"/>
  <c r="C156" i="5"/>
  <c r="D152" i="4"/>
  <c r="E156" i="5"/>
  <c r="I152" i="4"/>
  <c r="L156" i="5"/>
  <c r="J152" i="4"/>
  <c r="N156" i="5"/>
  <c r="L152" i="4"/>
  <c r="Q156" i="5"/>
  <c r="M152" i="4"/>
  <c r="R156" i="5"/>
  <c r="T156" i="5"/>
  <c r="O152" i="4"/>
  <c r="U156" i="5"/>
  <c r="Q152" i="4"/>
  <c r="X156" i="5"/>
  <c r="R40" i="2"/>
  <c r="R152" i="4"/>
  <c r="Z156" i="5"/>
  <c r="AI152" i="4"/>
  <c r="T152" i="4" a="1"/>
  <c r="T152" i="4"/>
  <c r="AC156" i="5"/>
  <c r="U152" i="4" a="1"/>
  <c r="U152" i="4"/>
  <c r="AD156" i="5"/>
  <c r="X152" i="4"/>
  <c r="AI156" i="5"/>
  <c r="Y152" i="4"/>
  <c r="AJ156" i="5"/>
  <c r="Z152" i="4"/>
  <c r="AL156" i="5"/>
  <c r="F156" i="5"/>
  <c r="H156" i="5"/>
  <c r="I156" i="5"/>
  <c r="AN156" i="5"/>
  <c r="AG157" i="5"/>
  <c r="AF157" i="5"/>
  <c r="B153" i="4"/>
  <c r="C153" i="4"/>
  <c r="C157" i="5"/>
  <c r="D153" i="4"/>
  <c r="E157" i="5"/>
  <c r="H153" i="4"/>
  <c r="K157" i="5"/>
  <c r="L153" i="4"/>
  <c r="Q157" i="5"/>
  <c r="M153" i="4"/>
  <c r="R157" i="5"/>
  <c r="T157" i="5"/>
  <c r="U157" i="5"/>
  <c r="P153" i="4"/>
  <c r="W157" i="5"/>
  <c r="Q153" i="4"/>
  <c r="X157" i="5"/>
  <c r="S153" i="4"/>
  <c r="AA157" i="5"/>
  <c r="AI153" i="4"/>
  <c r="T153" i="4" a="1"/>
  <c r="T153" i="4"/>
  <c r="AC157" i="5"/>
  <c r="U153" i="4" a="1"/>
  <c r="U153" i="4"/>
  <c r="AD157" i="5"/>
  <c r="X153" i="4"/>
  <c r="AI157" i="5"/>
  <c r="Y153" i="4"/>
  <c r="AJ157" i="5"/>
  <c r="Z153" i="4"/>
  <c r="AL157" i="5"/>
  <c r="F157" i="5"/>
  <c r="H157" i="5"/>
  <c r="I157" i="5"/>
  <c r="L157" i="5"/>
  <c r="N157" i="5"/>
  <c r="O157" i="5"/>
  <c r="Z157" i="5"/>
  <c r="AN157" i="5"/>
  <c r="AG158" i="5"/>
  <c r="AF158" i="5"/>
  <c r="B154" i="4"/>
  <c r="C154" i="4"/>
  <c r="C158" i="5"/>
  <c r="D154" i="4"/>
  <c r="E158" i="5"/>
  <c r="E154" i="4"/>
  <c r="F158" i="5"/>
  <c r="F154" i="4"/>
  <c r="H158" i="5"/>
  <c r="I158" i="5"/>
  <c r="H154" i="4"/>
  <c r="K158" i="5"/>
  <c r="L154" i="4"/>
  <c r="Q158" i="5"/>
  <c r="M154" i="4"/>
  <c r="R158" i="5"/>
  <c r="T158" i="5"/>
  <c r="O154" i="4"/>
  <c r="U158" i="5"/>
  <c r="P154" i="4"/>
  <c r="W158" i="5"/>
  <c r="Q154" i="4"/>
  <c r="X158" i="5"/>
  <c r="S154" i="4"/>
  <c r="AA158" i="5"/>
  <c r="AI154" i="4"/>
  <c r="T154" i="4" a="1"/>
  <c r="T154" i="4"/>
  <c r="AC158" i="5"/>
  <c r="U154" i="4" a="1"/>
  <c r="U154" i="4"/>
  <c r="AD158" i="5"/>
  <c r="X154" i="4"/>
  <c r="AI158" i="5"/>
  <c r="Y154" i="4"/>
  <c r="AJ158" i="5"/>
  <c r="Z154" i="4"/>
  <c r="AL158" i="5"/>
  <c r="L158" i="5"/>
  <c r="N158" i="5"/>
  <c r="O158" i="5"/>
  <c r="Z158" i="5"/>
  <c r="AN158" i="5"/>
  <c r="AG159" i="5"/>
  <c r="AF159" i="5"/>
  <c r="B155" i="4"/>
  <c r="C155" i="4"/>
  <c r="C159" i="5"/>
  <c r="D155" i="4"/>
  <c r="E159" i="5"/>
  <c r="E155" i="4"/>
  <c r="F159" i="5"/>
  <c r="F155" i="4"/>
  <c r="H159" i="5"/>
  <c r="I159" i="5"/>
  <c r="H155" i="4"/>
  <c r="K159" i="5"/>
  <c r="L155" i="4"/>
  <c r="Q159" i="5"/>
  <c r="M155" i="4"/>
  <c r="R159" i="5"/>
  <c r="T159" i="5"/>
  <c r="O155" i="4"/>
  <c r="U159" i="5"/>
  <c r="P155" i="4"/>
  <c r="W159" i="5"/>
  <c r="Q155" i="4"/>
  <c r="X159" i="5"/>
  <c r="S155" i="4"/>
  <c r="AA159" i="5"/>
  <c r="AI155" i="4"/>
  <c r="T155" i="4" a="1"/>
  <c r="T155" i="4"/>
  <c r="AC159" i="5"/>
  <c r="U155" i="4" a="1"/>
  <c r="U155" i="4"/>
  <c r="AD159" i="5"/>
  <c r="X155" i="4"/>
  <c r="AI159" i="5"/>
  <c r="Y155" i="4"/>
  <c r="AJ159" i="5"/>
  <c r="Z155" i="4"/>
  <c r="AL159" i="5"/>
  <c r="L159" i="5"/>
  <c r="N159" i="5"/>
  <c r="O159" i="5"/>
  <c r="Z159" i="5"/>
  <c r="AN159" i="5"/>
  <c r="AG160" i="5"/>
  <c r="AF160" i="5"/>
  <c r="B156" i="4"/>
  <c r="C156" i="4"/>
  <c r="C160" i="5"/>
  <c r="D156" i="4"/>
  <c r="E160" i="5"/>
  <c r="E156" i="4"/>
  <c r="F160" i="5"/>
  <c r="F156" i="4"/>
  <c r="H160" i="5"/>
  <c r="I160" i="5"/>
  <c r="H156" i="4"/>
  <c r="K160" i="5"/>
  <c r="L156" i="4"/>
  <c r="Q160" i="5"/>
  <c r="M156" i="4"/>
  <c r="R160" i="5"/>
  <c r="T160" i="5"/>
  <c r="O156" i="4"/>
  <c r="U160" i="5"/>
  <c r="P156" i="4"/>
  <c r="W160" i="5"/>
  <c r="Q156" i="4"/>
  <c r="X160" i="5"/>
  <c r="S156" i="4"/>
  <c r="AA160" i="5"/>
  <c r="AI156" i="4"/>
  <c r="T156" i="4" a="1"/>
  <c r="T156" i="4"/>
  <c r="AC160" i="5"/>
  <c r="U156" i="4" a="1"/>
  <c r="U156" i="4"/>
  <c r="AD160" i="5"/>
  <c r="X156" i="4"/>
  <c r="AI160" i="5"/>
  <c r="Y156" i="4"/>
  <c r="AJ160" i="5"/>
  <c r="Z156" i="4"/>
  <c r="AL160" i="5"/>
  <c r="L160" i="5"/>
  <c r="N160" i="5"/>
  <c r="O160" i="5"/>
  <c r="Z160" i="5"/>
  <c r="AN160" i="5"/>
  <c r="AG161" i="5"/>
  <c r="AF161" i="5"/>
  <c r="B157" i="4"/>
  <c r="C157" i="4"/>
  <c r="C161" i="5"/>
  <c r="D157" i="4"/>
  <c r="E161" i="5"/>
  <c r="H157" i="4"/>
  <c r="K161" i="5"/>
  <c r="L157" i="4"/>
  <c r="Q161" i="5"/>
  <c r="M157" i="4"/>
  <c r="R161" i="5"/>
  <c r="N27" i="2"/>
  <c r="N157" i="4"/>
  <c r="T161" i="5"/>
  <c r="O157" i="4"/>
  <c r="U161" i="5"/>
  <c r="P157" i="4"/>
  <c r="W161" i="5"/>
  <c r="Q157" i="4"/>
  <c r="X161" i="5"/>
  <c r="AA161" i="5"/>
  <c r="AI157" i="4"/>
  <c r="T157" i="4" a="1"/>
  <c r="T157" i="4"/>
  <c r="AC161" i="5"/>
  <c r="U157" i="4" a="1"/>
  <c r="U157" i="4"/>
  <c r="AD161" i="5"/>
  <c r="X157" i="4"/>
  <c r="AI161" i="5"/>
  <c r="Y157" i="4"/>
  <c r="AJ161" i="5"/>
  <c r="Z157" i="4"/>
  <c r="AL161" i="5"/>
  <c r="F161" i="5"/>
  <c r="H161" i="5"/>
  <c r="I161" i="5"/>
  <c r="L161" i="5"/>
  <c r="N161" i="5"/>
  <c r="O161" i="5"/>
  <c r="Z161" i="5"/>
  <c r="AN161" i="5"/>
  <c r="AG162" i="5"/>
  <c r="AF162" i="5"/>
  <c r="B158" i="4"/>
  <c r="C158" i="4"/>
  <c r="C162" i="5"/>
  <c r="D158" i="4"/>
  <c r="E162" i="5"/>
  <c r="H158" i="4"/>
  <c r="K162" i="5"/>
  <c r="L158" i="4"/>
  <c r="Q162" i="5"/>
  <c r="M158" i="4"/>
  <c r="R162" i="5"/>
  <c r="T162" i="5"/>
  <c r="U162" i="5"/>
  <c r="P158" i="4"/>
  <c r="W162" i="5"/>
  <c r="Q158" i="4"/>
  <c r="X162" i="5"/>
  <c r="AA162" i="5"/>
  <c r="AI158" i="4"/>
  <c r="T158" i="4" a="1"/>
  <c r="T158" i="4"/>
  <c r="AC162" i="5"/>
  <c r="U158" i="4" a="1"/>
  <c r="U158" i="4"/>
  <c r="AD162" i="5"/>
  <c r="Y158" i="4"/>
  <c r="AJ162" i="5"/>
  <c r="Z158" i="4"/>
  <c r="AL162" i="5"/>
  <c r="F162" i="5"/>
  <c r="H162" i="5"/>
  <c r="I162" i="5"/>
  <c r="L162" i="5"/>
  <c r="N162" i="5"/>
  <c r="O162" i="5"/>
  <c r="Z162" i="5"/>
  <c r="AN162" i="5"/>
  <c r="AG163" i="5"/>
  <c r="AF163" i="5"/>
  <c r="B161" i="4"/>
  <c r="C161" i="4"/>
  <c r="C163" i="5"/>
  <c r="D161" i="4"/>
  <c r="E163" i="5"/>
  <c r="H161" i="4"/>
  <c r="K163" i="5"/>
  <c r="L161" i="4"/>
  <c r="Q163" i="5"/>
  <c r="M161" i="4"/>
  <c r="R163" i="5"/>
  <c r="T163" i="5"/>
  <c r="O161" i="4"/>
  <c r="U163" i="5"/>
  <c r="P161" i="4"/>
  <c r="W163" i="5"/>
  <c r="Q161" i="4"/>
  <c r="X163" i="5"/>
  <c r="S161" i="4"/>
  <c r="AA163" i="5"/>
  <c r="AI161" i="4"/>
  <c r="T161" i="4" a="1"/>
  <c r="T161" i="4"/>
  <c r="AC163" i="5"/>
  <c r="U161" i="4" a="1"/>
  <c r="U161" i="4"/>
  <c r="AD163" i="5"/>
  <c r="X161" i="4"/>
  <c r="AI163" i="5"/>
  <c r="Y161" i="4"/>
  <c r="AJ163" i="5"/>
  <c r="Z161" i="4"/>
  <c r="AL163" i="5"/>
  <c r="F163" i="5"/>
  <c r="H163" i="5"/>
  <c r="I163" i="5"/>
  <c r="L163" i="5"/>
  <c r="N163" i="5"/>
  <c r="O163" i="5"/>
  <c r="Z163" i="5"/>
  <c r="AN163" i="5"/>
  <c r="O164" i="5"/>
  <c r="K164" i="5"/>
  <c r="AG164" i="5"/>
  <c r="AF164" i="5"/>
  <c r="B162" i="4"/>
  <c r="C162" i="4"/>
  <c r="C164" i="5"/>
  <c r="D162" i="4"/>
  <c r="E164" i="5"/>
  <c r="E162" i="4"/>
  <c r="F164" i="5"/>
  <c r="F162" i="4"/>
  <c r="H164" i="5"/>
  <c r="I164" i="5"/>
  <c r="I18" i="2"/>
  <c r="I162" i="4"/>
  <c r="L164" i="5"/>
  <c r="J18" i="2"/>
  <c r="J162" i="4"/>
  <c r="N164" i="5"/>
  <c r="L162" i="4"/>
  <c r="Q164" i="5"/>
  <c r="M162" i="4"/>
  <c r="R164" i="5"/>
  <c r="T164" i="5"/>
  <c r="O162" i="4"/>
  <c r="U164" i="5"/>
  <c r="P162" i="4"/>
  <c r="W164" i="5"/>
  <c r="Q162" i="4"/>
  <c r="X164" i="5"/>
  <c r="S162" i="4"/>
  <c r="AA164" i="5"/>
  <c r="AI162" i="4"/>
  <c r="T162" i="4" a="1"/>
  <c r="T162" i="4"/>
  <c r="AC164" i="5"/>
  <c r="U162" i="4" a="1"/>
  <c r="U162" i="4"/>
  <c r="AD164" i="5"/>
  <c r="X162" i="4"/>
  <c r="AI164" i="5"/>
  <c r="Y162" i="4"/>
  <c r="AJ164" i="5"/>
  <c r="Z162" i="4"/>
  <c r="AL164" i="5"/>
  <c r="Z164" i="5"/>
  <c r="AN164" i="5"/>
  <c r="O165" i="5"/>
  <c r="B163" i="4"/>
  <c r="H163" i="4"/>
  <c r="K165" i="5"/>
  <c r="AG165" i="5"/>
  <c r="AF165" i="5"/>
  <c r="C163" i="4"/>
  <c r="C165" i="5"/>
  <c r="D163" i="4"/>
  <c r="E165" i="5"/>
  <c r="E15" i="2"/>
  <c r="E163" i="4"/>
  <c r="F165" i="5"/>
  <c r="F15" i="2"/>
  <c r="F163" i="4"/>
  <c r="H165" i="5"/>
  <c r="I165" i="5"/>
  <c r="L165" i="5"/>
  <c r="J15" i="2"/>
  <c r="J163" i="4"/>
  <c r="N165" i="5"/>
  <c r="L163" i="4"/>
  <c r="Q165" i="5"/>
  <c r="M163" i="4"/>
  <c r="R165" i="5"/>
  <c r="T165" i="5"/>
  <c r="O163" i="4"/>
  <c r="U165" i="5"/>
  <c r="P163" i="4"/>
  <c r="W165" i="5"/>
  <c r="Q163" i="4"/>
  <c r="X165" i="5"/>
  <c r="S163" i="4"/>
  <c r="AA165" i="5"/>
  <c r="AI163" i="4"/>
  <c r="T163" i="4" a="1"/>
  <c r="T163" i="4"/>
  <c r="AC165" i="5"/>
  <c r="U163" i="4" a="1"/>
  <c r="U163" i="4"/>
  <c r="AD165" i="5"/>
  <c r="X163" i="4"/>
  <c r="AI165" i="5"/>
  <c r="Y163" i="4"/>
  <c r="AJ165" i="5"/>
  <c r="Z163" i="4"/>
  <c r="AL165" i="5"/>
  <c r="Z165" i="5"/>
  <c r="AN165" i="5"/>
  <c r="O166" i="5"/>
  <c r="B164" i="4"/>
  <c r="H164" i="4"/>
  <c r="K166" i="5"/>
  <c r="AG166" i="5"/>
  <c r="AF166" i="5"/>
  <c r="C164" i="4"/>
  <c r="C166" i="5"/>
  <c r="D164" i="4"/>
  <c r="E166" i="5"/>
  <c r="E164" i="4"/>
  <c r="F166" i="5"/>
  <c r="F164" i="4"/>
  <c r="H166" i="5"/>
  <c r="I166" i="5"/>
  <c r="I16" i="2"/>
  <c r="I164" i="4"/>
  <c r="L166" i="5"/>
  <c r="J16" i="2"/>
  <c r="J164" i="4"/>
  <c r="N166" i="5"/>
  <c r="L164" i="4"/>
  <c r="Q166" i="5"/>
  <c r="M164" i="4"/>
  <c r="R166" i="5"/>
  <c r="T166" i="5"/>
  <c r="O164" i="4"/>
  <c r="U166" i="5"/>
  <c r="P164" i="4"/>
  <c r="W166" i="5"/>
  <c r="Q164" i="4"/>
  <c r="X166" i="5"/>
  <c r="AA166" i="5"/>
  <c r="AI164" i="4"/>
  <c r="T164" i="4" a="1"/>
  <c r="T164" i="4"/>
  <c r="AC166" i="5"/>
  <c r="U164" i="4" a="1"/>
  <c r="U164" i="4"/>
  <c r="AD166" i="5"/>
  <c r="AI166" i="5"/>
  <c r="Y164" i="4"/>
  <c r="AJ166" i="5"/>
  <c r="Z164" i="4"/>
  <c r="AL166" i="5"/>
  <c r="Z166" i="5"/>
  <c r="AN166" i="5"/>
  <c r="AG167" i="5"/>
  <c r="AF167" i="5"/>
  <c r="B168" i="4"/>
  <c r="C168" i="4"/>
  <c r="C167" i="5"/>
  <c r="D168" i="4"/>
  <c r="E167" i="5"/>
  <c r="K167" i="5"/>
  <c r="L168" i="4"/>
  <c r="Q167" i="5"/>
  <c r="M168" i="4"/>
  <c r="R167" i="5"/>
  <c r="T167" i="5"/>
  <c r="U167" i="5"/>
  <c r="P168" i="4"/>
  <c r="W167" i="5"/>
  <c r="Q168" i="4"/>
  <c r="X167" i="5"/>
  <c r="S168" i="4"/>
  <c r="AA167" i="5"/>
  <c r="AI168" i="4"/>
  <c r="T168" i="4" a="1"/>
  <c r="T168" i="4"/>
  <c r="AC167" i="5"/>
  <c r="U168" i="4" a="1"/>
  <c r="U168" i="4"/>
  <c r="AD167" i="5"/>
  <c r="X168" i="4"/>
  <c r="AI167" i="5"/>
  <c r="Y168" i="4"/>
  <c r="AJ167" i="5"/>
  <c r="Z168" i="4"/>
  <c r="AL167" i="5"/>
  <c r="F167" i="5"/>
  <c r="H167" i="5"/>
  <c r="I167" i="5"/>
  <c r="L167" i="5"/>
  <c r="N167" i="5"/>
  <c r="O167" i="5"/>
  <c r="Z167" i="5"/>
  <c r="AN167" i="5"/>
  <c r="AG168" i="5"/>
  <c r="AF168" i="5"/>
  <c r="B169" i="4"/>
  <c r="C169" i="4"/>
  <c r="C168" i="5"/>
  <c r="D169" i="4"/>
  <c r="E168" i="5"/>
  <c r="K168" i="5"/>
  <c r="L169" i="4"/>
  <c r="Q168" i="5"/>
  <c r="M169" i="4"/>
  <c r="R168" i="5"/>
  <c r="T168" i="5"/>
  <c r="U168" i="5"/>
  <c r="P169" i="4"/>
  <c r="W168" i="5"/>
  <c r="Q169" i="4"/>
  <c r="X168" i="5"/>
  <c r="S169" i="4"/>
  <c r="AA168" i="5"/>
  <c r="AI169" i="4"/>
  <c r="T169" i="4" a="1"/>
  <c r="T169" i="4"/>
  <c r="AC168" i="5"/>
  <c r="U169" i="4" a="1"/>
  <c r="U169" i="4"/>
  <c r="AD168" i="5"/>
  <c r="X169" i="4"/>
  <c r="AI168" i="5"/>
  <c r="Y169" i="4"/>
  <c r="AJ168" i="5"/>
  <c r="Z169" i="4"/>
  <c r="AL168" i="5"/>
  <c r="F168" i="5"/>
  <c r="H168" i="5"/>
  <c r="I168" i="5"/>
  <c r="L168" i="5"/>
  <c r="N168" i="5"/>
  <c r="O168" i="5"/>
  <c r="Z168" i="5"/>
  <c r="AN168" i="5"/>
  <c r="AG169" i="5"/>
  <c r="AF169" i="5"/>
  <c r="B170" i="4"/>
  <c r="C170" i="4"/>
  <c r="C169" i="5"/>
  <c r="E169" i="5"/>
  <c r="K169" i="5"/>
  <c r="L170" i="4"/>
  <c r="Q169" i="5"/>
  <c r="M170" i="4"/>
  <c r="R169" i="5"/>
  <c r="T169" i="5"/>
  <c r="O170" i="4"/>
  <c r="U169" i="5"/>
  <c r="P170" i="4"/>
  <c r="W169" i="5"/>
  <c r="Q170" i="4"/>
  <c r="X169" i="5"/>
  <c r="S170" i="4"/>
  <c r="AA169" i="5"/>
  <c r="AI170" i="4"/>
  <c r="T170" i="4" a="1"/>
  <c r="T170" i="4"/>
  <c r="AC169" i="5"/>
  <c r="U170" i="4" a="1"/>
  <c r="U170" i="4"/>
  <c r="AD169" i="5"/>
  <c r="X170" i="4"/>
  <c r="AI169" i="5"/>
  <c r="Y170" i="4"/>
  <c r="AJ169" i="5"/>
  <c r="Z170" i="4"/>
  <c r="AL169" i="5"/>
  <c r="F169" i="5"/>
  <c r="H169" i="5"/>
  <c r="I169" i="5"/>
  <c r="L169" i="5"/>
  <c r="N169" i="5"/>
  <c r="O169" i="5"/>
  <c r="Z169" i="5"/>
  <c r="AN169" i="5"/>
  <c r="AG170" i="5"/>
  <c r="AF170" i="5"/>
  <c r="B171" i="4"/>
  <c r="C171" i="4"/>
  <c r="C170" i="5"/>
  <c r="D171" i="4"/>
  <c r="E170" i="5"/>
  <c r="H171" i="4"/>
  <c r="K170" i="5"/>
  <c r="L171" i="4"/>
  <c r="Q170" i="5"/>
  <c r="M171" i="4"/>
  <c r="R170" i="5"/>
  <c r="T170" i="5"/>
  <c r="O171" i="4"/>
  <c r="U170" i="5"/>
  <c r="P171" i="4"/>
  <c r="W170" i="5"/>
  <c r="Q171" i="4"/>
  <c r="X170" i="5"/>
  <c r="S171" i="4"/>
  <c r="AA170" i="5"/>
  <c r="AI171" i="4"/>
  <c r="T171" i="4" a="1"/>
  <c r="T171" i="4"/>
  <c r="AC170" i="5"/>
  <c r="U171" i="4" a="1"/>
  <c r="U171" i="4"/>
  <c r="AD170" i="5"/>
  <c r="X171" i="4"/>
  <c r="AI170" i="5"/>
  <c r="Y171" i="4"/>
  <c r="AJ170" i="5"/>
  <c r="Z171" i="4"/>
  <c r="AL170" i="5"/>
  <c r="F170" i="5"/>
  <c r="H170" i="5"/>
  <c r="I170" i="5"/>
  <c r="L170" i="5"/>
  <c r="N170" i="5"/>
  <c r="O170" i="5"/>
  <c r="Z170" i="5"/>
  <c r="AN170" i="5"/>
  <c r="F171" i="5"/>
  <c r="H171" i="5"/>
  <c r="I171" i="5"/>
  <c r="L171" i="5"/>
  <c r="N171" i="5"/>
  <c r="O171" i="5"/>
  <c r="Z171" i="5"/>
  <c r="AG172" i="5"/>
  <c r="AF172" i="5"/>
  <c r="B173" i="4"/>
  <c r="C173" i="4"/>
  <c r="C172" i="5"/>
  <c r="D173" i="4"/>
  <c r="E172" i="5"/>
  <c r="K172" i="5"/>
  <c r="L173" i="4"/>
  <c r="Q172" i="5"/>
  <c r="M173" i="4"/>
  <c r="R172" i="5"/>
  <c r="T172" i="5"/>
  <c r="U172" i="5"/>
  <c r="P173" i="4"/>
  <c r="W172" i="5"/>
  <c r="Q173" i="4"/>
  <c r="X172" i="5"/>
  <c r="AA172" i="5"/>
  <c r="AI173" i="4"/>
  <c r="T173" i="4" a="1"/>
  <c r="T173" i="4"/>
  <c r="AC172" i="5"/>
  <c r="U173" i="4" a="1"/>
  <c r="U173" i="4"/>
  <c r="AD172" i="5"/>
  <c r="AI172" i="5"/>
  <c r="Y173" i="4"/>
  <c r="AJ172" i="5"/>
  <c r="Z173" i="4"/>
  <c r="AL172" i="5"/>
  <c r="F172" i="5"/>
  <c r="H172" i="5"/>
  <c r="I172" i="5"/>
  <c r="L172" i="5"/>
  <c r="N172" i="5"/>
  <c r="O172" i="5"/>
  <c r="Z172" i="5"/>
  <c r="AN172" i="5"/>
  <c r="B174" i="4"/>
  <c r="S174" i="4"/>
  <c r="AA173" i="5"/>
  <c r="P174" i="4"/>
  <c r="W173" i="5"/>
  <c r="O173" i="5"/>
  <c r="K173" i="5"/>
  <c r="AG173" i="5"/>
  <c r="AF173" i="5"/>
  <c r="C174" i="4"/>
  <c r="C173" i="5"/>
  <c r="D174" i="4"/>
  <c r="E173" i="5"/>
  <c r="E174" i="4"/>
  <c r="F173" i="5"/>
  <c r="F174" i="4"/>
  <c r="H173" i="5"/>
  <c r="I173" i="5"/>
  <c r="L174" i="4"/>
  <c r="Q173" i="5"/>
  <c r="M174" i="4"/>
  <c r="R173" i="5"/>
  <c r="T173" i="5"/>
  <c r="O174" i="4"/>
  <c r="U173" i="5"/>
  <c r="Q174" i="4"/>
  <c r="X173" i="5"/>
  <c r="R18" i="2"/>
  <c r="R174" i="4"/>
  <c r="Z173" i="5"/>
  <c r="AI174" i="4"/>
  <c r="T174" i="4" a="1"/>
  <c r="T174" i="4"/>
  <c r="AC173" i="5"/>
  <c r="U174" i="4" a="1"/>
  <c r="U174" i="4"/>
  <c r="AD173" i="5"/>
  <c r="X174" i="4"/>
  <c r="AI173" i="5"/>
  <c r="Y174" i="4"/>
  <c r="AJ173" i="5"/>
  <c r="Z174" i="4"/>
  <c r="AL173" i="5"/>
  <c r="AN173" i="5"/>
  <c r="B175" i="4"/>
  <c r="S175" i="4"/>
  <c r="AA174" i="5"/>
  <c r="P175" i="4"/>
  <c r="W174" i="5"/>
  <c r="O174" i="5"/>
  <c r="H2" i="2"/>
  <c r="H175" i="4"/>
  <c r="K174" i="5"/>
  <c r="AG174" i="5"/>
  <c r="AF174" i="5"/>
  <c r="C175" i="4"/>
  <c r="C174" i="5"/>
  <c r="D175" i="4"/>
  <c r="E174" i="5"/>
  <c r="E2" i="2"/>
  <c r="E175" i="4"/>
  <c r="F174" i="5"/>
  <c r="F2" i="2"/>
  <c r="F175" i="4"/>
  <c r="H174" i="5"/>
  <c r="I174" i="5"/>
  <c r="I2" i="2"/>
  <c r="I175" i="4"/>
  <c r="L174" i="5"/>
  <c r="J2" i="2"/>
  <c r="J175" i="4"/>
  <c r="N174" i="5"/>
  <c r="L175" i="4"/>
  <c r="Q174" i="5"/>
  <c r="M175" i="4"/>
  <c r="R174" i="5"/>
  <c r="T174" i="5"/>
  <c r="U174" i="5"/>
  <c r="Q175" i="4"/>
  <c r="X174" i="5"/>
  <c r="R2" i="2"/>
  <c r="R175" i="4"/>
  <c r="Z174" i="5"/>
  <c r="AI175" i="4"/>
  <c r="T175" i="4" a="1"/>
  <c r="T175" i="4"/>
  <c r="AC174" i="5"/>
  <c r="U175" i="4" a="1"/>
  <c r="U175" i="4"/>
  <c r="AD174" i="5"/>
  <c r="X175" i="4"/>
  <c r="AI174" i="5"/>
  <c r="Y175" i="4"/>
  <c r="AJ174" i="5"/>
  <c r="Z175" i="4"/>
  <c r="AL174" i="5"/>
  <c r="AN174" i="5"/>
  <c r="AA175" i="5"/>
  <c r="B176" i="4"/>
  <c r="P176" i="4"/>
  <c r="W175" i="5"/>
  <c r="O175" i="5"/>
  <c r="K175" i="5"/>
  <c r="AG175" i="5"/>
  <c r="AF175" i="5"/>
  <c r="C176" i="4"/>
  <c r="C175" i="5"/>
  <c r="D176" i="4"/>
  <c r="E175" i="5"/>
  <c r="L175" i="5"/>
  <c r="N175" i="5"/>
  <c r="L176" i="4"/>
  <c r="Q175" i="5"/>
  <c r="O176" i="4"/>
  <c r="U175" i="5"/>
  <c r="Q176" i="4"/>
  <c r="X175" i="5"/>
  <c r="R176" i="4"/>
  <c r="Z175" i="5"/>
  <c r="AI176" i="4"/>
  <c r="T176" i="4" a="1"/>
  <c r="T176" i="4"/>
  <c r="AC175" i="5"/>
  <c r="AD175" i="5"/>
  <c r="X176" i="4"/>
  <c r="AI175" i="5"/>
  <c r="Y176" i="4"/>
  <c r="AJ175" i="5"/>
  <c r="Z176" i="4"/>
  <c r="AL175" i="5"/>
  <c r="F175" i="5"/>
  <c r="R175" i="5"/>
  <c r="T175" i="5"/>
  <c r="H175" i="5"/>
  <c r="I175" i="5"/>
  <c r="AN175" i="5"/>
  <c r="AA176" i="5"/>
  <c r="B177" i="4"/>
  <c r="P177" i="4"/>
  <c r="W176" i="5"/>
  <c r="O176" i="5"/>
  <c r="K176" i="5"/>
  <c r="AG176" i="5"/>
  <c r="AF176" i="5"/>
  <c r="C177" i="4"/>
  <c r="C176" i="5"/>
  <c r="D177" i="4"/>
  <c r="E176" i="5"/>
  <c r="L176" i="5"/>
  <c r="N176" i="5"/>
  <c r="L177" i="4"/>
  <c r="Q176" i="5"/>
  <c r="O177" i="4"/>
  <c r="U176" i="5"/>
  <c r="Q177" i="4"/>
  <c r="X176" i="5"/>
  <c r="R177" i="4"/>
  <c r="Z176" i="5"/>
  <c r="AI177" i="4"/>
  <c r="T177" i="4" a="1"/>
  <c r="T177" i="4"/>
  <c r="AC176" i="5"/>
  <c r="AD176" i="5"/>
  <c r="X177" i="4"/>
  <c r="AI176" i="5"/>
  <c r="Y177" i="4"/>
  <c r="AJ176" i="5"/>
  <c r="Z177" i="4"/>
  <c r="AL176" i="5"/>
  <c r="F176" i="5"/>
  <c r="R176" i="5"/>
  <c r="T176" i="5"/>
  <c r="H176" i="5"/>
  <c r="I176" i="5"/>
  <c r="AN176" i="5"/>
  <c r="AA177" i="5"/>
  <c r="B178" i="4"/>
  <c r="P178" i="4"/>
  <c r="W177" i="5"/>
  <c r="O177" i="5"/>
  <c r="H178" i="4"/>
  <c r="K177" i="5"/>
  <c r="AG177" i="5"/>
  <c r="AF177" i="5"/>
  <c r="C178" i="4"/>
  <c r="C177" i="5"/>
  <c r="D178" i="4"/>
  <c r="E177" i="5"/>
  <c r="L177" i="5"/>
  <c r="J178" i="4"/>
  <c r="N177" i="5"/>
  <c r="L178" i="4"/>
  <c r="Q177" i="5"/>
  <c r="M178" i="4"/>
  <c r="R177" i="5"/>
  <c r="T177" i="5"/>
  <c r="O178" i="4"/>
  <c r="U177" i="5"/>
  <c r="Q178" i="4"/>
  <c r="X177" i="5"/>
  <c r="R178" i="4"/>
  <c r="Z177" i="5"/>
  <c r="AI178" i="4"/>
  <c r="T178" i="4" a="1"/>
  <c r="T178" i="4"/>
  <c r="AC177" i="5"/>
  <c r="AD177" i="5"/>
  <c r="X178" i="4"/>
  <c r="AI177" i="5"/>
  <c r="Y178" i="4"/>
  <c r="AJ177" i="5"/>
  <c r="Z178" i="4"/>
  <c r="AL177" i="5"/>
  <c r="F177" i="5"/>
  <c r="H177" i="5"/>
  <c r="I177" i="5"/>
  <c r="AN177" i="5"/>
  <c r="AG178" i="5"/>
  <c r="AF178" i="5"/>
  <c r="B179" i="4"/>
  <c r="C179" i="4"/>
  <c r="C178" i="5"/>
  <c r="D179" i="4"/>
  <c r="E178" i="5"/>
  <c r="H179" i="4"/>
  <c r="K178" i="5"/>
  <c r="L179" i="4"/>
  <c r="Q178" i="5"/>
  <c r="M179" i="4"/>
  <c r="R178" i="5"/>
  <c r="T178" i="5"/>
  <c r="U178" i="5"/>
  <c r="P179" i="4"/>
  <c r="W178" i="5"/>
  <c r="Q179" i="4"/>
  <c r="X178" i="5"/>
  <c r="S179" i="4"/>
  <c r="AA178" i="5"/>
  <c r="AI179" i="4"/>
  <c r="T179" i="4" a="1"/>
  <c r="T179" i="4"/>
  <c r="AC178" i="5"/>
  <c r="U179" i="4" a="1"/>
  <c r="U179" i="4"/>
  <c r="AD178" i="5"/>
  <c r="X179" i="4"/>
  <c r="AI178" i="5"/>
  <c r="Y179" i="4"/>
  <c r="AJ178" i="5"/>
  <c r="Z179" i="4"/>
  <c r="AL178" i="5"/>
  <c r="F178" i="5"/>
  <c r="L178" i="5"/>
  <c r="N178" i="5"/>
  <c r="O178" i="5"/>
  <c r="Z178" i="5"/>
  <c r="H178" i="5"/>
  <c r="I178" i="5"/>
  <c r="AN178" i="5"/>
  <c r="AG179" i="5"/>
  <c r="AF179" i="5"/>
  <c r="B180" i="4"/>
  <c r="C180" i="4"/>
  <c r="C179" i="5"/>
  <c r="D180" i="4"/>
  <c r="E179" i="5"/>
  <c r="E180" i="4"/>
  <c r="F179" i="5"/>
  <c r="F180" i="4"/>
  <c r="H179" i="5"/>
  <c r="I179" i="5"/>
  <c r="H180" i="4"/>
  <c r="K179" i="5"/>
  <c r="L180" i="4"/>
  <c r="Q179" i="5"/>
  <c r="M180" i="4"/>
  <c r="R179" i="5"/>
  <c r="T179" i="5"/>
  <c r="O180" i="4"/>
  <c r="U179" i="5"/>
  <c r="P180" i="4"/>
  <c r="W179" i="5"/>
  <c r="Q180" i="4"/>
  <c r="X179" i="5"/>
  <c r="S180" i="4"/>
  <c r="AA179" i="5"/>
  <c r="AI180" i="4"/>
  <c r="T180" i="4" a="1"/>
  <c r="T180" i="4"/>
  <c r="AC179" i="5"/>
  <c r="U180" i="4" a="1"/>
  <c r="U180" i="4"/>
  <c r="AD179" i="5"/>
  <c r="X180" i="4"/>
  <c r="AI179" i="5"/>
  <c r="Y180" i="4"/>
  <c r="AJ179" i="5"/>
  <c r="Z180" i="4"/>
  <c r="AL179" i="5"/>
  <c r="L179" i="5"/>
  <c r="N179" i="5"/>
  <c r="O179" i="5"/>
  <c r="Z179" i="5"/>
  <c r="AN179" i="5"/>
  <c r="B181" i="4"/>
  <c r="S181" i="4"/>
  <c r="AA180" i="5"/>
  <c r="P181" i="4"/>
  <c r="W180" i="5"/>
  <c r="O180" i="5"/>
  <c r="K180" i="5"/>
  <c r="AG180" i="5"/>
  <c r="AF180" i="5"/>
  <c r="C181" i="4"/>
  <c r="C180" i="5"/>
  <c r="D181" i="4"/>
  <c r="E180" i="5"/>
  <c r="E181" i="4"/>
  <c r="F180" i="5"/>
  <c r="F181" i="4"/>
  <c r="H180" i="5"/>
  <c r="I180" i="5"/>
  <c r="I181" i="4"/>
  <c r="L180" i="5"/>
  <c r="J181" i="4"/>
  <c r="N180" i="5"/>
  <c r="L181" i="4"/>
  <c r="Q180" i="5"/>
  <c r="M181" i="4"/>
  <c r="R180" i="5"/>
  <c r="T180" i="5"/>
  <c r="U180" i="5"/>
  <c r="Q181" i="4"/>
  <c r="X180" i="5"/>
  <c r="R181" i="4"/>
  <c r="Z180" i="5"/>
  <c r="AI181" i="4"/>
  <c r="T181" i="4" a="1"/>
  <c r="T181" i="4"/>
  <c r="AC180" i="5"/>
  <c r="U181" i="4" a="1"/>
  <c r="U181" i="4"/>
  <c r="AD180" i="5"/>
  <c r="AI180" i="5"/>
  <c r="Y181" i="4"/>
  <c r="AJ180" i="5"/>
  <c r="Z181" i="4"/>
  <c r="AL180" i="5"/>
  <c r="AN180" i="5"/>
  <c r="B182" i="4"/>
  <c r="S182" i="4"/>
  <c r="AA181" i="5"/>
  <c r="P182" i="4"/>
  <c r="W181" i="5"/>
  <c r="O181" i="5"/>
  <c r="H182" i="4"/>
  <c r="K181" i="5"/>
  <c r="AG181" i="5"/>
  <c r="AF181" i="5"/>
  <c r="C182" i="4"/>
  <c r="C181" i="5"/>
  <c r="D182" i="4"/>
  <c r="E181" i="5"/>
  <c r="E182" i="4"/>
  <c r="F181" i="5"/>
  <c r="F182" i="4"/>
  <c r="H181" i="5"/>
  <c r="I181" i="5"/>
  <c r="I22" i="2"/>
  <c r="I182" i="4"/>
  <c r="L181" i="5"/>
  <c r="J22" i="2"/>
  <c r="J182" i="4"/>
  <c r="N181" i="5"/>
  <c r="L182" i="4"/>
  <c r="Q181" i="5"/>
  <c r="M182" i="4"/>
  <c r="R181" i="5"/>
  <c r="T181" i="5"/>
  <c r="U181" i="5"/>
  <c r="Q182" i="4"/>
  <c r="X181" i="5"/>
  <c r="R22" i="2"/>
  <c r="R182" i="4"/>
  <c r="Z181" i="5"/>
  <c r="AI182" i="4"/>
  <c r="T182" i="4" a="1"/>
  <c r="T182" i="4"/>
  <c r="AC181" i="5"/>
  <c r="U182" i="4" a="1"/>
  <c r="U182" i="4"/>
  <c r="AD181" i="5"/>
  <c r="X182" i="4"/>
  <c r="AI181" i="5"/>
  <c r="Y182" i="4"/>
  <c r="AJ181" i="5"/>
  <c r="Z182" i="4"/>
  <c r="AL181" i="5"/>
  <c r="AN181" i="5"/>
  <c r="B183" i="4"/>
  <c r="S183" i="4"/>
  <c r="AA182" i="5"/>
  <c r="P183" i="4"/>
  <c r="W182" i="5"/>
  <c r="O182" i="5"/>
  <c r="H183" i="4"/>
  <c r="K182" i="5"/>
  <c r="AG182" i="5"/>
  <c r="AF182" i="5"/>
  <c r="C183" i="4"/>
  <c r="C182" i="5"/>
  <c r="D183" i="4"/>
  <c r="E182" i="5"/>
  <c r="E183" i="4"/>
  <c r="F182" i="5"/>
  <c r="F183" i="4"/>
  <c r="H182" i="5"/>
  <c r="I182" i="5"/>
  <c r="I183" i="4"/>
  <c r="L182" i="5"/>
  <c r="J183" i="4"/>
  <c r="N182" i="5"/>
  <c r="L183" i="4"/>
  <c r="Q182" i="5"/>
  <c r="M183" i="4"/>
  <c r="R182" i="5"/>
  <c r="T182" i="5"/>
  <c r="U182" i="5"/>
  <c r="Q183" i="4"/>
  <c r="X182" i="5"/>
  <c r="R183" i="4"/>
  <c r="Z182" i="5"/>
  <c r="AI183" i="4"/>
  <c r="T183" i="4" a="1"/>
  <c r="T183" i="4"/>
  <c r="AC182" i="5"/>
  <c r="U183" i="4" a="1"/>
  <c r="U183" i="4"/>
  <c r="AD182" i="5"/>
  <c r="AI182" i="5"/>
  <c r="Y183" i="4"/>
  <c r="AJ182" i="5"/>
  <c r="Z183" i="4"/>
  <c r="AL182" i="5"/>
  <c r="AN182" i="5"/>
  <c r="B184" i="4"/>
  <c r="S184" i="4"/>
  <c r="AA183" i="5"/>
  <c r="P184" i="4"/>
  <c r="W183" i="5"/>
  <c r="O183" i="5"/>
  <c r="K183" i="5"/>
  <c r="AG183" i="5"/>
  <c r="AF183" i="5"/>
  <c r="C184" i="4"/>
  <c r="C183" i="5"/>
  <c r="D184" i="4"/>
  <c r="E183" i="5"/>
  <c r="E184" i="4"/>
  <c r="F183" i="5"/>
  <c r="F184" i="4"/>
  <c r="H183" i="5"/>
  <c r="I183" i="5"/>
  <c r="I184" i="4"/>
  <c r="L183" i="5"/>
  <c r="J184" i="4"/>
  <c r="N183" i="5"/>
  <c r="L184" i="4"/>
  <c r="Q183" i="5"/>
  <c r="M184" i="4"/>
  <c r="R183" i="5"/>
  <c r="T183" i="5"/>
  <c r="U183" i="5"/>
  <c r="Q184" i="4"/>
  <c r="X183" i="5"/>
  <c r="R184" i="4"/>
  <c r="Z183" i="5"/>
  <c r="AI184" i="4"/>
  <c r="T184" i="4" a="1"/>
  <c r="T184" i="4"/>
  <c r="AC183" i="5"/>
  <c r="U184" i="4" a="1"/>
  <c r="U184" i="4"/>
  <c r="AD183" i="5"/>
  <c r="X184" i="4"/>
  <c r="AI183" i="5"/>
  <c r="Y184" i="4"/>
  <c r="AJ183" i="5"/>
  <c r="Z184" i="4"/>
  <c r="AL183" i="5"/>
  <c r="AN183" i="5"/>
  <c r="B185" i="4"/>
  <c r="S185" i="4"/>
  <c r="AA184" i="5"/>
  <c r="P185" i="4"/>
  <c r="W184" i="5"/>
  <c r="O184" i="5"/>
  <c r="K184" i="5"/>
  <c r="AG184" i="5"/>
  <c r="AF184" i="5"/>
  <c r="C185" i="4"/>
  <c r="C184" i="5"/>
  <c r="D185" i="4"/>
  <c r="E184" i="5"/>
  <c r="E185" i="4"/>
  <c r="F184" i="5"/>
  <c r="F185" i="4"/>
  <c r="H184" i="5"/>
  <c r="I184" i="5"/>
  <c r="I185" i="4"/>
  <c r="L184" i="5"/>
  <c r="J185" i="4"/>
  <c r="N184" i="5"/>
  <c r="L185" i="4"/>
  <c r="Q184" i="5"/>
  <c r="M185" i="4"/>
  <c r="R184" i="5"/>
  <c r="T184" i="5"/>
  <c r="U184" i="5"/>
  <c r="Q185" i="4"/>
  <c r="X184" i="5"/>
  <c r="R185" i="4"/>
  <c r="Z184" i="5"/>
  <c r="AI185" i="4"/>
  <c r="T185" i="4" a="1"/>
  <c r="T185" i="4"/>
  <c r="AC184" i="5"/>
  <c r="U185" i="4" a="1"/>
  <c r="U185" i="4"/>
  <c r="AD184" i="5"/>
  <c r="X185" i="4"/>
  <c r="AI184" i="5"/>
  <c r="Y185" i="4"/>
  <c r="AJ184" i="5"/>
  <c r="Z185" i="4"/>
  <c r="AL184" i="5"/>
  <c r="AN184" i="5"/>
  <c r="B186" i="4"/>
  <c r="S186" i="4"/>
  <c r="AA185" i="5"/>
  <c r="P186" i="4"/>
  <c r="W185" i="5"/>
  <c r="O185" i="5"/>
  <c r="H186" i="4"/>
  <c r="K185" i="5"/>
  <c r="AG185" i="5"/>
  <c r="AF185" i="5"/>
  <c r="C186" i="4"/>
  <c r="C185" i="5"/>
  <c r="D186" i="4"/>
  <c r="E185" i="5"/>
  <c r="E186" i="4"/>
  <c r="F185" i="5"/>
  <c r="F186" i="4"/>
  <c r="H185" i="5"/>
  <c r="I185" i="5"/>
  <c r="I186" i="4"/>
  <c r="L185" i="5"/>
  <c r="J186" i="4"/>
  <c r="N185" i="5"/>
  <c r="L186" i="4"/>
  <c r="Q185" i="5"/>
  <c r="M186" i="4"/>
  <c r="R185" i="5"/>
  <c r="T185" i="5"/>
  <c r="O186" i="4"/>
  <c r="U185" i="5"/>
  <c r="Q186" i="4"/>
  <c r="X185" i="5"/>
  <c r="R186" i="4"/>
  <c r="Z185" i="5"/>
  <c r="AI186" i="4"/>
  <c r="T186" i="4" a="1"/>
  <c r="T186" i="4"/>
  <c r="AC185" i="5"/>
  <c r="U186" i="4" a="1"/>
  <c r="U186" i="4"/>
  <c r="AD185" i="5"/>
  <c r="AI185" i="5"/>
  <c r="Y186" i="4"/>
  <c r="AJ185" i="5"/>
  <c r="Z186" i="4"/>
  <c r="AL185" i="5"/>
  <c r="AN185" i="5"/>
  <c r="B187" i="4"/>
  <c r="S187" i="4"/>
  <c r="AA186" i="5"/>
  <c r="P187" i="4"/>
  <c r="W186" i="5"/>
  <c r="O186" i="5"/>
  <c r="K186" i="5"/>
  <c r="AG186" i="5"/>
  <c r="AF186" i="5"/>
  <c r="C187" i="4"/>
  <c r="C186" i="5"/>
  <c r="D187" i="4"/>
  <c r="E186" i="5"/>
  <c r="E187" i="4"/>
  <c r="F186" i="5"/>
  <c r="F187" i="4"/>
  <c r="H186" i="5"/>
  <c r="I186" i="5"/>
  <c r="I187" i="4"/>
  <c r="L186" i="5"/>
  <c r="J187" i="4"/>
  <c r="N186" i="5"/>
  <c r="L187" i="4"/>
  <c r="Q186" i="5"/>
  <c r="M187" i="4"/>
  <c r="R186" i="5"/>
  <c r="T186" i="5"/>
  <c r="U186" i="5"/>
  <c r="Q187" i="4"/>
  <c r="X186" i="5"/>
  <c r="R187" i="4"/>
  <c r="Z186" i="5"/>
  <c r="AI187" i="4"/>
  <c r="T187" i="4" a="1"/>
  <c r="T187" i="4"/>
  <c r="AC186" i="5"/>
  <c r="U187" i="4" a="1"/>
  <c r="U187" i="4"/>
  <c r="AD186" i="5"/>
  <c r="X187" i="4"/>
  <c r="AI186" i="5"/>
  <c r="Y187" i="4"/>
  <c r="AJ186" i="5"/>
  <c r="Z187" i="4"/>
  <c r="AL186" i="5"/>
  <c r="AN186" i="5"/>
  <c r="B188" i="4"/>
  <c r="S188" i="4"/>
  <c r="AA187" i="5"/>
  <c r="P188" i="4"/>
  <c r="W187" i="5"/>
  <c r="O187" i="5"/>
  <c r="K187" i="5"/>
  <c r="AG187" i="5"/>
  <c r="AF187" i="5"/>
  <c r="C188" i="4"/>
  <c r="C187" i="5"/>
  <c r="D188" i="4"/>
  <c r="E187" i="5"/>
  <c r="E188" i="4"/>
  <c r="F187" i="5"/>
  <c r="F188" i="4"/>
  <c r="H187" i="5"/>
  <c r="I187" i="5"/>
  <c r="I34" i="2"/>
  <c r="I188" i="4"/>
  <c r="L187" i="5"/>
  <c r="J34" i="2"/>
  <c r="J188" i="4"/>
  <c r="N187" i="5"/>
  <c r="L188" i="4"/>
  <c r="Q187" i="5"/>
  <c r="M188" i="4"/>
  <c r="R187" i="5"/>
  <c r="T187" i="5"/>
  <c r="U187" i="5"/>
  <c r="Q188" i="4"/>
  <c r="X187" i="5"/>
  <c r="R188" i="4"/>
  <c r="Z187" i="5"/>
  <c r="AI188" i="4"/>
  <c r="T188" i="4" a="1"/>
  <c r="T188" i="4"/>
  <c r="AC187" i="5"/>
  <c r="U188" i="4" a="1"/>
  <c r="U188" i="4"/>
  <c r="AD187" i="5"/>
  <c r="AI187" i="5"/>
  <c r="Y188" i="4"/>
  <c r="AJ187" i="5"/>
  <c r="Z188" i="4"/>
  <c r="AL187" i="5"/>
  <c r="AN187" i="5"/>
  <c r="AA188" i="5"/>
  <c r="B189" i="4"/>
  <c r="P189" i="4"/>
  <c r="W188" i="5"/>
  <c r="O188" i="5"/>
  <c r="K188" i="5"/>
  <c r="AG188" i="5"/>
  <c r="AF188" i="5"/>
  <c r="C189" i="4"/>
  <c r="C188" i="5"/>
  <c r="D189" i="4"/>
  <c r="E188" i="5"/>
  <c r="L188" i="5"/>
  <c r="N188" i="5"/>
  <c r="L189" i="4"/>
  <c r="Q188" i="5"/>
  <c r="O189" i="4"/>
  <c r="U188" i="5"/>
  <c r="Q189" i="4"/>
  <c r="X188" i="5"/>
  <c r="R189" i="4"/>
  <c r="Z188" i="5"/>
  <c r="AI189" i="4"/>
  <c r="T189" i="4" a="1"/>
  <c r="T189" i="4"/>
  <c r="AC188" i="5"/>
  <c r="AD188" i="5"/>
  <c r="X189" i="4"/>
  <c r="AI188" i="5"/>
  <c r="Y189" i="4"/>
  <c r="AJ188" i="5"/>
  <c r="Z189" i="4"/>
  <c r="AL188" i="5"/>
  <c r="R188" i="5"/>
  <c r="T188" i="5"/>
  <c r="F188" i="5"/>
  <c r="H188" i="5"/>
  <c r="I188" i="5"/>
  <c r="AN188" i="5"/>
  <c r="AG189" i="5"/>
  <c r="AF189" i="5"/>
  <c r="B190" i="4"/>
  <c r="C190" i="4"/>
  <c r="C189" i="5"/>
  <c r="D190" i="4"/>
  <c r="E189" i="5"/>
  <c r="K189" i="5"/>
  <c r="L190" i="4"/>
  <c r="Q189" i="5"/>
  <c r="M190" i="4"/>
  <c r="R189" i="5"/>
  <c r="T189" i="5"/>
  <c r="O190" i="4"/>
  <c r="U189" i="5"/>
  <c r="P190" i="4"/>
  <c r="W189" i="5"/>
  <c r="Q190" i="4"/>
  <c r="X189" i="5"/>
  <c r="S190" i="4"/>
  <c r="AA189" i="5"/>
  <c r="AI190" i="4"/>
  <c r="T190" i="4" a="1"/>
  <c r="T190" i="4"/>
  <c r="AC189" i="5"/>
  <c r="U190" i="4" a="1"/>
  <c r="U190" i="4"/>
  <c r="AD189" i="5"/>
  <c r="X190" i="4"/>
  <c r="AI189" i="5"/>
  <c r="Y190" i="4"/>
  <c r="AJ189" i="5"/>
  <c r="Z190" i="4"/>
  <c r="AL189" i="5"/>
  <c r="F189" i="5"/>
  <c r="H189" i="5"/>
  <c r="I189" i="5"/>
  <c r="L189" i="5"/>
  <c r="N189" i="5"/>
  <c r="O189" i="5"/>
  <c r="Z189" i="5"/>
  <c r="AN189" i="5"/>
  <c r="AG190" i="5"/>
  <c r="AF190" i="5"/>
  <c r="B191" i="4"/>
  <c r="C191" i="4"/>
  <c r="C190" i="5"/>
  <c r="D191" i="4"/>
  <c r="E190" i="5"/>
  <c r="H191" i="4"/>
  <c r="K190" i="5"/>
  <c r="L191" i="4"/>
  <c r="Q190" i="5"/>
  <c r="R190" i="5"/>
  <c r="T190" i="5"/>
  <c r="O191" i="4"/>
  <c r="U190" i="5"/>
  <c r="P191" i="4"/>
  <c r="W190" i="5"/>
  <c r="Q191" i="4"/>
  <c r="X190" i="5"/>
  <c r="AA190" i="5"/>
  <c r="AI191" i="4"/>
  <c r="T191" i="4" a="1"/>
  <c r="T191" i="4"/>
  <c r="AC190" i="5"/>
  <c r="U191" i="4" a="1"/>
  <c r="U191" i="4"/>
  <c r="AD190" i="5"/>
  <c r="X191" i="4"/>
  <c r="AI190" i="5"/>
  <c r="Y191" i="4"/>
  <c r="AJ190" i="5"/>
  <c r="Z191" i="4"/>
  <c r="AL190" i="5"/>
  <c r="F190" i="5"/>
  <c r="H190" i="5"/>
  <c r="I190" i="5"/>
  <c r="L190" i="5"/>
  <c r="N190" i="5"/>
  <c r="O190" i="5"/>
  <c r="Z190" i="5"/>
  <c r="AN190" i="5"/>
  <c r="AG191" i="5"/>
  <c r="AF191" i="5"/>
  <c r="B192" i="4"/>
  <c r="C192" i="4"/>
  <c r="C191" i="5"/>
  <c r="D192" i="4"/>
  <c r="E191" i="5"/>
  <c r="H192" i="4"/>
  <c r="K191" i="5"/>
  <c r="L192" i="4"/>
  <c r="Q191" i="5"/>
  <c r="M192" i="4"/>
  <c r="R191" i="5"/>
  <c r="T191" i="5"/>
  <c r="O192" i="4"/>
  <c r="U191" i="5"/>
  <c r="P192" i="4"/>
  <c r="W191" i="5"/>
  <c r="Q192" i="4"/>
  <c r="X191" i="5"/>
  <c r="AA191" i="5"/>
  <c r="AI192" i="4"/>
  <c r="T192" i="4" a="1"/>
  <c r="T192" i="4"/>
  <c r="AC191" i="5"/>
  <c r="U192" i="4" a="1"/>
  <c r="U192" i="4"/>
  <c r="AD191" i="5"/>
  <c r="X192" i="4"/>
  <c r="AI191" i="5"/>
  <c r="Y192" i="4"/>
  <c r="AJ191" i="5"/>
  <c r="Z192" i="4"/>
  <c r="AL191" i="5"/>
  <c r="F191" i="5"/>
  <c r="H191" i="5"/>
  <c r="I191" i="5"/>
  <c r="L191" i="5"/>
  <c r="N191" i="5"/>
  <c r="O191" i="5"/>
  <c r="Z191" i="5"/>
  <c r="AN191" i="5"/>
  <c r="AG192" i="5"/>
  <c r="AF192" i="5"/>
  <c r="B193" i="4"/>
  <c r="C193" i="4"/>
  <c r="C192" i="5"/>
  <c r="D193" i="4"/>
  <c r="E192" i="5"/>
  <c r="H193" i="4"/>
  <c r="K192" i="5"/>
  <c r="L193" i="4"/>
  <c r="Q192" i="5"/>
  <c r="M193" i="4"/>
  <c r="R192" i="5"/>
  <c r="T192" i="5"/>
  <c r="O193" i="4"/>
  <c r="U192" i="5"/>
  <c r="P193" i="4"/>
  <c r="W192" i="5"/>
  <c r="Q193" i="4"/>
  <c r="X192" i="5"/>
  <c r="AA192" i="5"/>
  <c r="AI193" i="4"/>
  <c r="T193" i="4" a="1"/>
  <c r="T193" i="4"/>
  <c r="AC192" i="5"/>
  <c r="U193" i="4" a="1"/>
  <c r="U193" i="4"/>
  <c r="AD192" i="5"/>
  <c r="X193" i="4"/>
  <c r="AI192" i="5"/>
  <c r="Y193" i="4"/>
  <c r="AJ192" i="5"/>
  <c r="Z193" i="4"/>
  <c r="AL192" i="5"/>
  <c r="F192" i="5"/>
  <c r="H192" i="5"/>
  <c r="I192" i="5"/>
  <c r="L192" i="5"/>
  <c r="N192" i="5"/>
  <c r="O192" i="5"/>
  <c r="Z192" i="5"/>
  <c r="AN192" i="5"/>
  <c r="AG193" i="5"/>
  <c r="AF193" i="5"/>
  <c r="B197" i="4"/>
  <c r="C197" i="4"/>
  <c r="C193" i="5"/>
  <c r="D197" i="4"/>
  <c r="E193" i="5"/>
  <c r="H197" i="4"/>
  <c r="K193" i="5"/>
  <c r="L197" i="4"/>
  <c r="Q193" i="5"/>
  <c r="M197" i="4"/>
  <c r="R193" i="5"/>
  <c r="T193" i="5"/>
  <c r="U193" i="5"/>
  <c r="P197" i="4"/>
  <c r="W193" i="5"/>
  <c r="Q197" i="4"/>
  <c r="X193" i="5"/>
  <c r="S197" i="4"/>
  <c r="AA193" i="5"/>
  <c r="AI197" i="4"/>
  <c r="T197" i="4" a="1"/>
  <c r="T197" i="4"/>
  <c r="AC193" i="5"/>
  <c r="U197" i="4" a="1"/>
  <c r="U197" i="4"/>
  <c r="AD193" i="5"/>
  <c r="X197" i="4"/>
  <c r="AI193" i="5"/>
  <c r="Y197" i="4"/>
  <c r="AJ193" i="5"/>
  <c r="Z197" i="4"/>
  <c r="AL193" i="5"/>
  <c r="F193" i="5"/>
  <c r="H193" i="5"/>
  <c r="I193" i="5"/>
  <c r="L193" i="5"/>
  <c r="N193" i="5"/>
  <c r="O193" i="5"/>
  <c r="Z193" i="5"/>
  <c r="AN193" i="5"/>
  <c r="AG194" i="5"/>
  <c r="AF194" i="5"/>
  <c r="B198" i="4"/>
  <c r="C198" i="4"/>
  <c r="C194" i="5"/>
  <c r="D198" i="4"/>
  <c r="E194" i="5"/>
  <c r="K194" i="5"/>
  <c r="L198" i="4"/>
  <c r="Q194" i="5"/>
  <c r="M198" i="4"/>
  <c r="R194" i="5"/>
  <c r="T194" i="5"/>
  <c r="O198" i="4"/>
  <c r="U194" i="5"/>
  <c r="P198" i="4"/>
  <c r="W194" i="5"/>
  <c r="Q198" i="4"/>
  <c r="X194" i="5"/>
  <c r="S198" i="4"/>
  <c r="AA194" i="5"/>
  <c r="AI198" i="4"/>
  <c r="T198" i="4" a="1"/>
  <c r="T198" i="4"/>
  <c r="AC194" i="5"/>
  <c r="U198" i="4" a="1"/>
  <c r="U198" i="4"/>
  <c r="AD194" i="5"/>
  <c r="X198" i="4"/>
  <c r="AI194" i="5"/>
  <c r="Y198" i="4"/>
  <c r="AJ194" i="5"/>
  <c r="Z198" i="4"/>
  <c r="AL194" i="5"/>
  <c r="F194" i="5"/>
  <c r="H194" i="5"/>
  <c r="I194" i="5"/>
  <c r="L194" i="5"/>
  <c r="N194" i="5"/>
  <c r="O194" i="5"/>
  <c r="Z194" i="5"/>
  <c r="AN194" i="5"/>
  <c r="AG195" i="5"/>
  <c r="AF195" i="5"/>
  <c r="B199" i="4"/>
  <c r="C199" i="4"/>
  <c r="C195" i="5"/>
  <c r="D199" i="4"/>
  <c r="E195" i="5"/>
  <c r="K195" i="5"/>
  <c r="L199" i="4"/>
  <c r="Q195" i="5"/>
  <c r="M199" i="4"/>
  <c r="R195" i="5"/>
  <c r="T195" i="5"/>
  <c r="O199" i="4"/>
  <c r="U195" i="5"/>
  <c r="P199" i="4"/>
  <c r="W195" i="5"/>
  <c r="Q199" i="4"/>
  <c r="X195" i="5"/>
  <c r="S199" i="4"/>
  <c r="AA195" i="5"/>
  <c r="AI199" i="4"/>
  <c r="T199" i="4" a="1"/>
  <c r="T199" i="4"/>
  <c r="AC195" i="5"/>
  <c r="U199" i="4" a="1"/>
  <c r="U199" i="4"/>
  <c r="AD195" i="5"/>
  <c r="X199" i="4"/>
  <c r="AI195" i="5"/>
  <c r="Y199" i="4"/>
  <c r="AJ195" i="5"/>
  <c r="Z199" i="4"/>
  <c r="AL195" i="5"/>
  <c r="F195" i="5"/>
  <c r="H195" i="5"/>
  <c r="I195" i="5"/>
  <c r="L195" i="5"/>
  <c r="N195" i="5"/>
  <c r="O195" i="5"/>
  <c r="Z195" i="5"/>
  <c r="AN195" i="5"/>
  <c r="AG196" i="5"/>
  <c r="AF196" i="5"/>
  <c r="C209" i="4"/>
  <c r="C196" i="5"/>
  <c r="D209" i="4"/>
  <c r="E196" i="5"/>
  <c r="H209" i="4"/>
  <c r="K196" i="5"/>
  <c r="L209" i="4"/>
  <c r="Q196" i="5"/>
  <c r="M209" i="4"/>
  <c r="R196" i="5"/>
  <c r="T196" i="5"/>
  <c r="O209" i="4"/>
  <c r="U196" i="5"/>
  <c r="P209" i="4"/>
  <c r="W196" i="5"/>
  <c r="Q209" i="4"/>
  <c r="X196" i="5"/>
  <c r="S209" i="4"/>
  <c r="AA196" i="5"/>
  <c r="AI209" i="4"/>
  <c r="T209" i="4" a="1"/>
  <c r="T209" i="4"/>
  <c r="AC196" i="5"/>
  <c r="U209" i="4" a="1"/>
  <c r="U209" i="4"/>
  <c r="AD196" i="5"/>
  <c r="X209" i="4"/>
  <c r="AI196" i="5"/>
  <c r="Y209" i="4"/>
  <c r="AJ196" i="5"/>
  <c r="Z209" i="4"/>
  <c r="AL196" i="5"/>
  <c r="F196" i="5"/>
  <c r="H196" i="5"/>
  <c r="I196" i="5"/>
  <c r="L196" i="5"/>
  <c r="N196" i="5"/>
  <c r="O196" i="5"/>
  <c r="Z196" i="5"/>
  <c r="AN196" i="5"/>
  <c r="AG197" i="5"/>
  <c r="AF197" i="5"/>
  <c r="C210" i="4"/>
  <c r="C197" i="5"/>
  <c r="D210" i="4"/>
  <c r="E197" i="5"/>
  <c r="H210" i="4"/>
  <c r="K197" i="5"/>
  <c r="I210" i="4"/>
  <c r="L197" i="5"/>
  <c r="J210" i="4"/>
  <c r="N197" i="5"/>
  <c r="O197" i="5"/>
  <c r="L210" i="4"/>
  <c r="Q197" i="5"/>
  <c r="M210" i="4"/>
  <c r="R197" i="5"/>
  <c r="T197" i="5"/>
  <c r="O210" i="4"/>
  <c r="U197" i="5"/>
  <c r="P210" i="4"/>
  <c r="W197" i="5"/>
  <c r="Q210" i="4"/>
  <c r="X197" i="5"/>
  <c r="S210" i="4"/>
  <c r="AA197" i="5"/>
  <c r="AI210" i="4"/>
  <c r="T210" i="4" a="1"/>
  <c r="T210" i="4"/>
  <c r="AC197" i="5"/>
  <c r="U210" i="4" a="1"/>
  <c r="U210" i="4"/>
  <c r="AD197" i="5"/>
  <c r="X210" i="4"/>
  <c r="AI197" i="5"/>
  <c r="Y210" i="4"/>
  <c r="AJ197" i="5"/>
  <c r="Z210" i="4"/>
  <c r="AL197" i="5"/>
  <c r="F197" i="5"/>
  <c r="H197" i="5"/>
  <c r="I197" i="5"/>
  <c r="Z197" i="5"/>
  <c r="AN197" i="5"/>
  <c r="AG198" i="5"/>
  <c r="AF198" i="5"/>
  <c r="C211" i="4"/>
  <c r="C198" i="5"/>
  <c r="D211" i="4"/>
  <c r="E198" i="5"/>
  <c r="E211" i="4"/>
  <c r="F198" i="5"/>
  <c r="F211" i="4"/>
  <c r="H198" i="5"/>
  <c r="I198" i="5"/>
  <c r="H211" i="4"/>
  <c r="K198" i="5"/>
  <c r="L211" i="4"/>
  <c r="Q198" i="5"/>
  <c r="M211" i="4"/>
  <c r="R198" i="5"/>
  <c r="T198" i="5"/>
  <c r="O211" i="4"/>
  <c r="U198" i="5"/>
  <c r="P211" i="4"/>
  <c r="W198" i="5"/>
  <c r="Q211" i="4"/>
  <c r="X198" i="5"/>
  <c r="S211" i="4"/>
  <c r="AA198" i="5"/>
  <c r="AI211" i="4"/>
  <c r="T211" i="4" a="1"/>
  <c r="T211" i="4"/>
  <c r="AC198" i="5"/>
  <c r="U211" i="4" a="1"/>
  <c r="U211" i="4"/>
  <c r="AD198" i="5"/>
  <c r="X211" i="4"/>
  <c r="AI198" i="5"/>
  <c r="Y211" i="4"/>
  <c r="AJ198" i="5"/>
  <c r="Z211" i="4"/>
  <c r="AL198" i="5"/>
  <c r="L198" i="5"/>
  <c r="N198" i="5"/>
  <c r="O198" i="5"/>
  <c r="Z198" i="5"/>
  <c r="AN198" i="5"/>
  <c r="AG199" i="5"/>
  <c r="AF199" i="5"/>
  <c r="B212" i="4"/>
  <c r="C212" i="4"/>
  <c r="C199" i="5"/>
  <c r="E199" i="5"/>
  <c r="F199" i="5"/>
  <c r="H199" i="5"/>
  <c r="I199" i="5"/>
  <c r="H212" i="4"/>
  <c r="K199" i="5"/>
  <c r="L212" i="4"/>
  <c r="Q199" i="5"/>
  <c r="M212" i="4"/>
  <c r="R199" i="5"/>
  <c r="T199" i="5"/>
  <c r="O212" i="4"/>
  <c r="U199" i="5"/>
  <c r="P212" i="4"/>
  <c r="W199" i="5"/>
  <c r="Q212" i="4"/>
  <c r="X199" i="5"/>
  <c r="S212" i="4"/>
  <c r="AA199" i="5"/>
  <c r="AI212" i="4"/>
  <c r="T212" i="4" a="1"/>
  <c r="T212" i="4"/>
  <c r="AC199" i="5"/>
  <c r="U212" i="4" a="1"/>
  <c r="U212" i="4"/>
  <c r="AD199" i="5"/>
  <c r="X212" i="4"/>
  <c r="AI199" i="5"/>
  <c r="Y212" i="4"/>
  <c r="AJ199" i="5"/>
  <c r="Z212" i="4"/>
  <c r="AL199" i="5"/>
  <c r="L199" i="5"/>
  <c r="N199" i="5"/>
  <c r="O199" i="5"/>
  <c r="Z199" i="5"/>
  <c r="AN199" i="5"/>
  <c r="AG200" i="5"/>
  <c r="AF200" i="5"/>
  <c r="B214" i="4"/>
  <c r="C214" i="4"/>
  <c r="C200" i="5"/>
  <c r="D214" i="4"/>
  <c r="E200" i="5"/>
  <c r="L214" i="4"/>
  <c r="Q200" i="5"/>
  <c r="M214" i="4"/>
  <c r="R200" i="5"/>
  <c r="T200" i="5"/>
  <c r="O214" i="4"/>
  <c r="U200" i="5"/>
  <c r="P214" i="4"/>
  <c r="W200" i="5"/>
  <c r="Q214" i="4"/>
  <c r="X200" i="5"/>
  <c r="S214" i="4"/>
  <c r="AA200" i="5"/>
  <c r="AI214" i="4"/>
  <c r="T214" i="4" a="1"/>
  <c r="T214" i="4"/>
  <c r="AC200" i="5"/>
  <c r="U214" i="4" a="1"/>
  <c r="U214" i="4"/>
  <c r="AD200" i="5"/>
  <c r="X214" i="4"/>
  <c r="AI200" i="5"/>
  <c r="Y214" i="4"/>
  <c r="AJ200" i="5"/>
  <c r="Z214" i="4"/>
  <c r="AL200" i="5"/>
  <c r="L200" i="5"/>
  <c r="N200" i="5"/>
  <c r="O200" i="5"/>
  <c r="F200" i="5"/>
  <c r="H200" i="5"/>
  <c r="I200" i="5"/>
  <c r="Z200" i="5"/>
  <c r="AN200" i="5"/>
  <c r="AG201" i="5"/>
  <c r="AF201" i="5"/>
  <c r="B216" i="4"/>
  <c r="C216" i="4"/>
  <c r="C201" i="5"/>
  <c r="D216" i="4"/>
  <c r="E201" i="5"/>
  <c r="K201" i="5"/>
  <c r="L216" i="4"/>
  <c r="Q201" i="5"/>
  <c r="M216" i="4"/>
  <c r="R201" i="5"/>
  <c r="N35" i="2"/>
  <c r="N216" i="4"/>
  <c r="T201" i="5"/>
  <c r="O216" i="4"/>
  <c r="U201" i="5"/>
  <c r="P216" i="4"/>
  <c r="W201" i="5"/>
  <c r="Q216" i="4"/>
  <c r="X201" i="5"/>
  <c r="S216" i="4"/>
  <c r="AA201" i="5"/>
  <c r="AI216" i="4"/>
  <c r="T216" i="4" a="1"/>
  <c r="T216" i="4"/>
  <c r="AC201" i="5"/>
  <c r="U216" i="4" a="1"/>
  <c r="U216" i="4"/>
  <c r="AD201" i="5"/>
  <c r="X216" i="4"/>
  <c r="AI201" i="5"/>
  <c r="Y216" i="4"/>
  <c r="AJ201" i="5"/>
  <c r="Z216" i="4"/>
  <c r="AL201" i="5"/>
  <c r="L201" i="5"/>
  <c r="N201" i="5"/>
  <c r="O201" i="5"/>
  <c r="F201" i="5"/>
  <c r="H201" i="5"/>
  <c r="I201" i="5"/>
  <c r="Z201" i="5"/>
  <c r="AN201" i="5"/>
  <c r="AG202" i="5"/>
  <c r="AF202" i="5"/>
  <c r="B217" i="4"/>
  <c r="C217" i="4"/>
  <c r="C202" i="5"/>
  <c r="D217" i="4"/>
  <c r="E202" i="5"/>
  <c r="K202" i="5"/>
  <c r="I35" i="2"/>
  <c r="I217" i="4"/>
  <c r="L202" i="5"/>
  <c r="J35" i="2"/>
  <c r="J217" i="4"/>
  <c r="N202" i="5"/>
  <c r="O202" i="5"/>
  <c r="L217" i="4"/>
  <c r="Q202" i="5"/>
  <c r="M217" i="4"/>
  <c r="R202" i="5"/>
  <c r="N217" i="4"/>
  <c r="T202" i="5"/>
  <c r="O217" i="4"/>
  <c r="U202" i="5"/>
  <c r="P217" i="4"/>
  <c r="W202" i="5"/>
  <c r="Q217" i="4"/>
  <c r="X202" i="5"/>
  <c r="S217" i="4"/>
  <c r="AA202" i="5"/>
  <c r="AI217" i="4"/>
  <c r="T217" i="4" a="1"/>
  <c r="T217" i="4"/>
  <c r="AC202" i="5"/>
  <c r="U217" i="4" a="1"/>
  <c r="U217" i="4"/>
  <c r="AD202" i="5"/>
  <c r="X217" i="4"/>
  <c r="AI202" i="5"/>
  <c r="Y217" i="4"/>
  <c r="AJ202" i="5"/>
  <c r="Z217" i="4"/>
  <c r="AL202" i="5"/>
  <c r="F202" i="5"/>
  <c r="H202" i="5"/>
  <c r="I202" i="5"/>
  <c r="Z202" i="5"/>
  <c r="AN202" i="5"/>
  <c r="AG203" i="5"/>
  <c r="AF203" i="5"/>
  <c r="B218" i="4"/>
  <c r="C218" i="4"/>
  <c r="C203" i="5"/>
  <c r="D218" i="4"/>
  <c r="E203" i="5"/>
  <c r="K203" i="5"/>
  <c r="L218" i="4"/>
  <c r="Q203" i="5"/>
  <c r="M218" i="4"/>
  <c r="R203" i="5"/>
  <c r="N218" i="4"/>
  <c r="T203" i="5"/>
  <c r="O218" i="4"/>
  <c r="U203" i="5"/>
  <c r="P218" i="4"/>
  <c r="W203" i="5"/>
  <c r="Q218" i="4"/>
  <c r="X203" i="5"/>
  <c r="S218" i="4"/>
  <c r="AA203" i="5"/>
  <c r="AI218" i="4"/>
  <c r="T218" i="4" a="1"/>
  <c r="T218" i="4"/>
  <c r="AC203" i="5"/>
  <c r="U218" i="4" a="1"/>
  <c r="U218" i="4"/>
  <c r="AD203" i="5"/>
  <c r="X218" i="4"/>
  <c r="AI203" i="5"/>
  <c r="Y218" i="4"/>
  <c r="AJ203" i="5"/>
  <c r="Z218" i="4"/>
  <c r="AL203" i="5"/>
  <c r="L203" i="5"/>
  <c r="N203" i="5"/>
  <c r="O203" i="5"/>
  <c r="F203" i="5"/>
  <c r="H203" i="5"/>
  <c r="I203" i="5"/>
  <c r="Z203" i="5"/>
  <c r="AN203" i="5"/>
  <c r="AG204" i="5"/>
  <c r="AF204" i="5"/>
  <c r="B219" i="4"/>
  <c r="C219" i="4"/>
  <c r="C204" i="5"/>
  <c r="D219" i="4"/>
  <c r="E204" i="5"/>
  <c r="K204" i="5"/>
  <c r="L219" i="4"/>
  <c r="Q204" i="5"/>
  <c r="M219" i="4"/>
  <c r="R204" i="5"/>
  <c r="T204" i="5"/>
  <c r="U204" i="5"/>
  <c r="P219" i="4"/>
  <c r="W204" i="5"/>
  <c r="Q219" i="4"/>
  <c r="X204" i="5"/>
  <c r="S219" i="4"/>
  <c r="AA204" i="5"/>
  <c r="AI219" i="4"/>
  <c r="T219" i="4" a="1"/>
  <c r="T219" i="4"/>
  <c r="AC204" i="5"/>
  <c r="U219" i="4" a="1"/>
  <c r="U219" i="4"/>
  <c r="AD204" i="5"/>
  <c r="X219" i="4"/>
  <c r="AI204" i="5"/>
  <c r="Y219" i="4"/>
  <c r="AJ204" i="5"/>
  <c r="Z219" i="4"/>
  <c r="AL204" i="5"/>
  <c r="L204" i="5"/>
  <c r="N204" i="5"/>
  <c r="O204" i="5"/>
  <c r="F204" i="5"/>
  <c r="H204" i="5"/>
  <c r="I204" i="5"/>
  <c r="Z204" i="5"/>
  <c r="AN204" i="5"/>
  <c r="AG205" i="5"/>
  <c r="AF205" i="5"/>
  <c r="B220" i="4"/>
  <c r="C220" i="4"/>
  <c r="C205" i="5"/>
  <c r="D220" i="4"/>
  <c r="E205" i="5"/>
  <c r="K205" i="5"/>
  <c r="I220" i="4"/>
  <c r="L205" i="5"/>
  <c r="J220" i="4"/>
  <c r="N205" i="5"/>
  <c r="O205" i="5"/>
  <c r="L220" i="4"/>
  <c r="Q205" i="5"/>
  <c r="M220" i="4"/>
  <c r="R205" i="5"/>
  <c r="N34" i="2"/>
  <c r="N220" i="4"/>
  <c r="T205" i="5"/>
  <c r="O220" i="4"/>
  <c r="U205" i="5"/>
  <c r="P220" i="4"/>
  <c r="W205" i="5"/>
  <c r="Q220" i="4"/>
  <c r="X205" i="5"/>
  <c r="S220" i="4"/>
  <c r="AA205" i="5"/>
  <c r="AI220" i="4"/>
  <c r="T220" i="4" a="1"/>
  <c r="T220" i="4"/>
  <c r="AC205" i="5"/>
  <c r="U220" i="4" a="1"/>
  <c r="U220" i="4"/>
  <c r="AD205" i="5"/>
  <c r="X220" i="4"/>
  <c r="AI205" i="5"/>
  <c r="Y220" i="4"/>
  <c r="AJ205" i="5"/>
  <c r="Z220" i="4"/>
  <c r="AL205" i="5"/>
  <c r="F205" i="5"/>
  <c r="H205" i="5"/>
  <c r="I205" i="5"/>
  <c r="Z205" i="5"/>
  <c r="AN205" i="5"/>
  <c r="AG206" i="5"/>
  <c r="AF206" i="5"/>
  <c r="C33" i="2"/>
  <c r="B221" i="4"/>
  <c r="C221" i="4"/>
  <c r="C206" i="5"/>
  <c r="D33" i="2"/>
  <c r="D221" i="4"/>
  <c r="E206" i="5"/>
  <c r="K206" i="5"/>
  <c r="L33" i="2"/>
  <c r="L221" i="4"/>
  <c r="Q206" i="5"/>
  <c r="M33" i="2"/>
  <c r="M221" i="4"/>
  <c r="R206" i="5"/>
  <c r="N33" i="2"/>
  <c r="N221" i="4"/>
  <c r="T206" i="5"/>
  <c r="O33" i="2"/>
  <c r="O221" i="4"/>
  <c r="U206" i="5"/>
  <c r="P33" i="2"/>
  <c r="P221" i="4"/>
  <c r="W206" i="5"/>
  <c r="Q33" i="2"/>
  <c r="Q221" i="4"/>
  <c r="X206" i="5"/>
  <c r="S33" i="2"/>
  <c r="S221" i="4"/>
  <c r="AA206" i="5"/>
  <c r="AI221" i="4"/>
  <c r="T221" i="4" a="1"/>
  <c r="T221" i="4"/>
  <c r="AC206" i="5"/>
  <c r="U221" i="4" a="1"/>
  <c r="U221" i="4"/>
  <c r="AD206" i="5"/>
  <c r="X33" i="2"/>
  <c r="X221" i="4"/>
  <c r="AI206" i="5"/>
  <c r="Y33" i="2"/>
  <c r="Y221" i="4"/>
  <c r="AJ206" i="5"/>
  <c r="Z33" i="2"/>
  <c r="Z221" i="4"/>
  <c r="AL206" i="5"/>
  <c r="L206" i="5"/>
  <c r="N206" i="5"/>
  <c r="O206" i="5"/>
  <c r="F206" i="5"/>
  <c r="H206" i="5"/>
  <c r="I206" i="5"/>
  <c r="Z206" i="5"/>
  <c r="AN206" i="5"/>
  <c r="AG207" i="5"/>
  <c r="AF207" i="5"/>
  <c r="C37" i="2"/>
  <c r="B225" i="4"/>
  <c r="C225" i="4"/>
  <c r="C207" i="5"/>
  <c r="D37" i="2"/>
  <c r="D225" i="4"/>
  <c r="E207" i="5"/>
  <c r="H37" i="2"/>
  <c r="H225" i="4"/>
  <c r="K207" i="5"/>
  <c r="I37" i="2"/>
  <c r="I225" i="4"/>
  <c r="L207" i="5"/>
  <c r="J37" i="2"/>
  <c r="J225" i="4"/>
  <c r="N207" i="5"/>
  <c r="O207" i="5"/>
  <c r="L37" i="2"/>
  <c r="L225" i="4"/>
  <c r="Q207" i="5"/>
  <c r="M37" i="2"/>
  <c r="M225" i="4"/>
  <c r="R207" i="5"/>
  <c r="N37" i="2"/>
  <c r="N225" i="4"/>
  <c r="T207" i="5"/>
  <c r="O37" i="2"/>
  <c r="O225" i="4"/>
  <c r="U207" i="5"/>
  <c r="P37" i="2"/>
  <c r="P225" i="4"/>
  <c r="W207" i="5"/>
  <c r="Q37" i="2"/>
  <c r="Q225" i="4"/>
  <c r="X207" i="5"/>
  <c r="S37" i="2"/>
  <c r="S225" i="4"/>
  <c r="AA207" i="5"/>
  <c r="X37" i="2"/>
  <c r="X225" i="4"/>
  <c r="AI207" i="5"/>
  <c r="Y37" i="2"/>
  <c r="Y225" i="4"/>
  <c r="AJ207" i="5"/>
  <c r="Z37" i="2"/>
  <c r="Z225" i="4"/>
  <c r="AL207" i="5"/>
  <c r="F207" i="5"/>
  <c r="H207" i="5"/>
  <c r="I207" i="5"/>
  <c r="Z207" i="5"/>
  <c r="AN207" i="5"/>
  <c r="AG208" i="5"/>
  <c r="AF208" i="5"/>
  <c r="C230" i="4"/>
  <c r="C208" i="5"/>
  <c r="D230" i="4"/>
  <c r="E208" i="5"/>
  <c r="H230" i="4"/>
  <c r="K208" i="5"/>
  <c r="L230" i="4"/>
  <c r="Q208" i="5"/>
  <c r="M230" i="4"/>
  <c r="R208" i="5"/>
  <c r="T208" i="5"/>
  <c r="O230" i="4"/>
  <c r="U208" i="5"/>
  <c r="P230" i="4"/>
  <c r="W208" i="5"/>
  <c r="Q230" i="4"/>
  <c r="X208" i="5"/>
  <c r="S230" i="4"/>
  <c r="AA208" i="5"/>
  <c r="AI230" i="4"/>
  <c r="T230" i="4" a="1"/>
  <c r="T230" i="4"/>
  <c r="AC208" i="5"/>
  <c r="U230" i="4" a="1"/>
  <c r="U230" i="4"/>
  <c r="AD208" i="5"/>
  <c r="X230" i="4"/>
  <c r="AI208" i="5"/>
  <c r="Y230" i="4"/>
  <c r="AJ208" i="5"/>
  <c r="Z230" i="4"/>
  <c r="AL208" i="5"/>
  <c r="F208" i="5"/>
  <c r="H208" i="5"/>
  <c r="I208" i="5"/>
  <c r="L208" i="5"/>
  <c r="N208" i="5"/>
  <c r="O208" i="5"/>
  <c r="Z208" i="5"/>
  <c r="AN208" i="5"/>
  <c r="AG209" i="5"/>
  <c r="AF209" i="5"/>
  <c r="C231" i="4"/>
  <c r="C209" i="5"/>
  <c r="D231" i="4"/>
  <c r="E209" i="5"/>
  <c r="E231" i="4"/>
  <c r="F209" i="5"/>
  <c r="F231" i="4"/>
  <c r="H209" i="5"/>
  <c r="I209" i="5"/>
  <c r="H231" i="4"/>
  <c r="K209" i="5"/>
  <c r="L231" i="4"/>
  <c r="Q209" i="5"/>
  <c r="M231" i="4"/>
  <c r="R209" i="5"/>
  <c r="T209" i="5"/>
  <c r="O231" i="4"/>
  <c r="U209" i="5"/>
  <c r="P231" i="4"/>
  <c r="W209" i="5"/>
  <c r="Q231" i="4"/>
  <c r="X209" i="5"/>
  <c r="S231" i="4"/>
  <c r="AA209" i="5"/>
  <c r="AI231" i="4"/>
  <c r="T231" i="4" a="1"/>
  <c r="T231" i="4"/>
  <c r="AC209" i="5"/>
  <c r="U231" i="4" a="1"/>
  <c r="U231" i="4"/>
  <c r="AD209" i="5"/>
  <c r="X231" i="4"/>
  <c r="AI209" i="5"/>
  <c r="Y231" i="4"/>
  <c r="AJ209" i="5"/>
  <c r="Z231" i="4"/>
  <c r="AL209" i="5"/>
  <c r="L209" i="5"/>
  <c r="N209" i="5"/>
  <c r="O209" i="5"/>
  <c r="Z209" i="5"/>
  <c r="AN209" i="5"/>
  <c r="AG210" i="5"/>
  <c r="AF210" i="5"/>
  <c r="B233" i="4"/>
  <c r="C233" i="4"/>
  <c r="C210" i="5"/>
  <c r="D233" i="4"/>
  <c r="E210" i="5"/>
  <c r="E233" i="4"/>
  <c r="F210" i="5"/>
  <c r="F233" i="4"/>
  <c r="H210" i="5"/>
  <c r="I210" i="5"/>
  <c r="H233" i="4"/>
  <c r="K210" i="5"/>
  <c r="L233" i="4"/>
  <c r="Q210" i="5"/>
  <c r="M233" i="4"/>
  <c r="R210" i="5"/>
  <c r="N233" i="4"/>
  <c r="T210" i="5"/>
  <c r="O233" i="4"/>
  <c r="U210" i="5"/>
  <c r="P233" i="4"/>
  <c r="W210" i="5"/>
  <c r="Q233" i="4"/>
  <c r="X210" i="5"/>
  <c r="S233" i="4"/>
  <c r="AA210" i="5"/>
  <c r="AC210" i="5"/>
  <c r="AD210" i="5"/>
  <c r="X233" i="4"/>
  <c r="AI210" i="5"/>
  <c r="Y233" i="4"/>
  <c r="AJ210" i="5"/>
  <c r="Z233" i="4"/>
  <c r="AL210" i="5"/>
  <c r="L210" i="5"/>
  <c r="N210" i="5"/>
  <c r="O210" i="5"/>
  <c r="Z210" i="5"/>
  <c r="AN210" i="5"/>
  <c r="AG211" i="5"/>
  <c r="AF211" i="5"/>
  <c r="C234" i="4"/>
  <c r="C211" i="5"/>
  <c r="D234" i="4"/>
  <c r="E211" i="5"/>
  <c r="E234" i="4"/>
  <c r="F211" i="5"/>
  <c r="F234" i="4"/>
  <c r="H211" i="5"/>
  <c r="I211" i="5"/>
  <c r="H234" i="4"/>
  <c r="K211" i="5"/>
  <c r="L234" i="4"/>
  <c r="Q211" i="5"/>
  <c r="M234" i="4"/>
  <c r="R211" i="5"/>
  <c r="T211" i="5"/>
  <c r="O234" i="4"/>
  <c r="U211" i="5"/>
  <c r="P234" i="4"/>
  <c r="W211" i="5"/>
  <c r="Q234" i="4"/>
  <c r="X211" i="5"/>
  <c r="S234" i="4"/>
  <c r="AA211" i="5"/>
  <c r="AI234" i="4"/>
  <c r="T234" i="4" a="1"/>
  <c r="T234" i="4"/>
  <c r="AC211" i="5"/>
  <c r="U234" i="4" a="1"/>
  <c r="U234" i="4"/>
  <c r="AD211" i="5"/>
  <c r="X234" i="4"/>
  <c r="AI211" i="5"/>
  <c r="Y234" i="4"/>
  <c r="AJ211" i="5"/>
  <c r="Z234" i="4"/>
  <c r="AL211" i="5"/>
  <c r="L211" i="5"/>
  <c r="N211" i="5"/>
  <c r="O211" i="5"/>
  <c r="Z211" i="5"/>
  <c r="AN211" i="5"/>
  <c r="AG212" i="5"/>
  <c r="AF212" i="5"/>
  <c r="C235" i="4"/>
  <c r="C212" i="5"/>
  <c r="D235" i="4"/>
  <c r="E212" i="5"/>
  <c r="E235" i="4"/>
  <c r="F212" i="5"/>
  <c r="F235" i="4"/>
  <c r="H212" i="5"/>
  <c r="I212" i="5"/>
  <c r="H235" i="4"/>
  <c r="K212" i="5"/>
  <c r="L235" i="4"/>
  <c r="Q212" i="5"/>
  <c r="M235" i="4"/>
  <c r="R212" i="5"/>
  <c r="T212" i="5"/>
  <c r="U212" i="5"/>
  <c r="P235" i="4"/>
  <c r="W212" i="5"/>
  <c r="Q235" i="4"/>
  <c r="X212" i="5"/>
  <c r="S235" i="4"/>
  <c r="AA212" i="5"/>
  <c r="AI235" i="4"/>
  <c r="T235" i="4" a="1"/>
  <c r="T235" i="4"/>
  <c r="AC212" i="5"/>
  <c r="U235" i="4" a="1"/>
  <c r="U235" i="4"/>
  <c r="AD212" i="5"/>
  <c r="X235" i="4"/>
  <c r="AI212" i="5"/>
  <c r="Y235" i="4"/>
  <c r="AJ212" i="5"/>
  <c r="Z235" i="4"/>
  <c r="AL212" i="5"/>
  <c r="L212" i="5"/>
  <c r="N212" i="5"/>
  <c r="O212" i="5"/>
  <c r="Z212" i="5"/>
  <c r="AN212" i="5"/>
  <c r="AG213" i="5"/>
  <c r="AF213" i="5"/>
  <c r="B237" i="4"/>
  <c r="C237" i="4"/>
  <c r="C213" i="5"/>
  <c r="D237" i="4"/>
  <c r="E213" i="5"/>
  <c r="E237" i="4"/>
  <c r="F213" i="5"/>
  <c r="F237" i="4"/>
  <c r="H213" i="5"/>
  <c r="I213" i="5"/>
  <c r="H237" i="4"/>
  <c r="K213" i="5"/>
  <c r="L237" i="4"/>
  <c r="Q213" i="5"/>
  <c r="M237" i="4"/>
  <c r="R213" i="5"/>
  <c r="T213" i="5"/>
  <c r="O237" i="4"/>
  <c r="U213" i="5"/>
  <c r="P237" i="4"/>
  <c r="W213" i="5"/>
  <c r="Q237" i="4"/>
  <c r="X213" i="5"/>
  <c r="S237" i="4"/>
  <c r="AA213" i="5"/>
  <c r="AI237" i="4"/>
  <c r="T237" i="4" a="1"/>
  <c r="T237" i="4"/>
  <c r="AC213" i="5"/>
  <c r="U237" i="4" a="1"/>
  <c r="U237" i="4"/>
  <c r="AD213" i="5"/>
  <c r="X237" i="4"/>
  <c r="AI213" i="5"/>
  <c r="Y237" i="4"/>
  <c r="AJ213" i="5"/>
  <c r="Z237" i="4"/>
  <c r="AL213" i="5"/>
  <c r="L213" i="5"/>
  <c r="N213" i="5"/>
  <c r="O213" i="5"/>
  <c r="Z213" i="5"/>
  <c r="AN213" i="5"/>
  <c r="AG214" i="5"/>
  <c r="AF214" i="5"/>
  <c r="B239" i="4"/>
  <c r="C239" i="4"/>
  <c r="C214" i="5"/>
  <c r="D239" i="4"/>
  <c r="E214" i="5"/>
  <c r="E239" i="4"/>
  <c r="F214" i="5"/>
  <c r="F239" i="4"/>
  <c r="H214" i="5"/>
  <c r="I214" i="5"/>
  <c r="H239" i="4"/>
  <c r="K214" i="5"/>
  <c r="L239" i="4"/>
  <c r="Q214" i="5"/>
  <c r="M239" i="4"/>
  <c r="R214" i="5"/>
  <c r="T214" i="5"/>
  <c r="O239" i="4"/>
  <c r="U214" i="5"/>
  <c r="P239" i="4"/>
  <c r="W214" i="5"/>
  <c r="Q239" i="4"/>
  <c r="X214" i="5"/>
  <c r="S239" i="4"/>
  <c r="AA214" i="5"/>
  <c r="AI239" i="4"/>
  <c r="T239" i="4" a="1"/>
  <c r="T239" i="4"/>
  <c r="AC214" i="5"/>
  <c r="U239" i="4" a="1"/>
  <c r="U239" i="4"/>
  <c r="AD214" i="5"/>
  <c r="X239" i="4"/>
  <c r="AI214" i="5"/>
  <c r="Y239" i="4"/>
  <c r="AJ214" i="5"/>
  <c r="Z239" i="4"/>
  <c r="AL214" i="5"/>
  <c r="L214" i="5"/>
  <c r="N214" i="5"/>
  <c r="O214" i="5"/>
  <c r="Z214" i="5"/>
  <c r="AN214" i="5"/>
  <c r="O215" i="5"/>
  <c r="B240" i="4"/>
  <c r="H240" i="4"/>
  <c r="K215" i="5"/>
  <c r="AG215" i="5"/>
  <c r="AF215" i="5"/>
  <c r="C240" i="4"/>
  <c r="C215" i="5"/>
  <c r="D240" i="4"/>
  <c r="E215" i="5"/>
  <c r="E240" i="4"/>
  <c r="F215" i="5"/>
  <c r="F240" i="4"/>
  <c r="H215" i="5"/>
  <c r="I215" i="5"/>
  <c r="I240" i="4"/>
  <c r="L215" i="5"/>
  <c r="J240" i="4"/>
  <c r="N215" i="5"/>
  <c r="L240" i="4"/>
  <c r="Q215" i="5"/>
  <c r="M240" i="4"/>
  <c r="R215" i="5"/>
  <c r="N240" i="4"/>
  <c r="T215" i="5"/>
  <c r="O240" i="4"/>
  <c r="U215" i="5"/>
  <c r="P240" i="4"/>
  <c r="W215" i="5"/>
  <c r="Q240" i="4"/>
  <c r="X215" i="5"/>
  <c r="S240" i="4"/>
  <c r="AA215" i="5"/>
  <c r="AI240" i="4"/>
  <c r="T240" i="4" a="1"/>
  <c r="T240" i="4"/>
  <c r="AC215" i="5"/>
  <c r="U240" i="4" a="1"/>
  <c r="U240" i="4"/>
  <c r="AD215" i="5"/>
  <c r="X240" i="4"/>
  <c r="AI215" i="5"/>
  <c r="Y240" i="4"/>
  <c r="AJ215" i="5"/>
  <c r="Z240" i="4"/>
  <c r="AL215" i="5"/>
  <c r="Z215" i="5"/>
  <c r="AN215" i="5"/>
  <c r="O216" i="5"/>
  <c r="B241" i="4"/>
  <c r="H241" i="4"/>
  <c r="K216" i="5"/>
  <c r="AG216" i="5"/>
  <c r="AF216" i="5"/>
  <c r="C241" i="4"/>
  <c r="C216" i="5"/>
  <c r="D241" i="4"/>
  <c r="E216" i="5"/>
  <c r="E241" i="4"/>
  <c r="F216" i="5"/>
  <c r="F241" i="4"/>
  <c r="H216" i="5"/>
  <c r="I216" i="5"/>
  <c r="L241" i="4"/>
  <c r="Q216" i="5"/>
  <c r="M241" i="4"/>
  <c r="R216" i="5"/>
  <c r="T216" i="5"/>
  <c r="O241" i="4"/>
  <c r="U216" i="5"/>
  <c r="P241" i="4"/>
  <c r="W216" i="5"/>
  <c r="Q241" i="4"/>
  <c r="X216" i="5"/>
  <c r="S241" i="4"/>
  <c r="AA216" i="5"/>
  <c r="AI241" i="4"/>
  <c r="T241" i="4" a="1"/>
  <c r="T241" i="4"/>
  <c r="AC216" i="5"/>
  <c r="U241" i="4" a="1"/>
  <c r="U241" i="4"/>
  <c r="AD216" i="5"/>
  <c r="X241" i="4"/>
  <c r="AI216" i="5"/>
  <c r="Y241" i="4"/>
  <c r="AJ216" i="5"/>
  <c r="Z241" i="4"/>
  <c r="AL216" i="5"/>
  <c r="Z216" i="5"/>
  <c r="AN216" i="5"/>
  <c r="O217" i="5"/>
  <c r="B242" i="4"/>
  <c r="H242" i="4"/>
  <c r="K217" i="5"/>
  <c r="AG217" i="5"/>
  <c r="AF217" i="5"/>
  <c r="C242" i="4"/>
  <c r="C217" i="5"/>
  <c r="D242" i="4"/>
  <c r="E217" i="5"/>
  <c r="E242" i="4"/>
  <c r="F217" i="5"/>
  <c r="F242" i="4"/>
  <c r="H217" i="5"/>
  <c r="I217" i="5"/>
  <c r="I242" i="4"/>
  <c r="L217" i="5"/>
  <c r="J242" i="4"/>
  <c r="N217" i="5"/>
  <c r="L242" i="4"/>
  <c r="Q217" i="5"/>
  <c r="M242" i="4"/>
  <c r="R217" i="5"/>
  <c r="T217" i="5"/>
  <c r="O242" i="4"/>
  <c r="U217" i="5"/>
  <c r="P242" i="4"/>
  <c r="W217" i="5"/>
  <c r="Q242" i="4"/>
  <c r="X217" i="5"/>
  <c r="S242" i="4"/>
  <c r="AA217" i="5"/>
  <c r="AI242" i="4"/>
  <c r="T242" i="4" a="1"/>
  <c r="T242" i="4"/>
  <c r="AC217" i="5"/>
  <c r="U242" i="4" a="1"/>
  <c r="U242" i="4"/>
  <c r="AD217" i="5"/>
  <c r="X242" i="4"/>
  <c r="AI217" i="5"/>
  <c r="Y242" i="4"/>
  <c r="AJ217" i="5"/>
  <c r="Z242" i="4"/>
  <c r="AL217" i="5"/>
  <c r="Z217" i="5"/>
  <c r="AN217" i="5"/>
  <c r="AG218" i="5"/>
  <c r="AF218" i="5"/>
  <c r="B243" i="4"/>
  <c r="C243" i="4"/>
  <c r="C218" i="5"/>
  <c r="D243" i="4"/>
  <c r="E218" i="5"/>
  <c r="H243" i="4"/>
  <c r="K218" i="5"/>
  <c r="L243" i="4"/>
  <c r="Q218" i="5"/>
  <c r="M243" i="4"/>
  <c r="R218" i="5"/>
  <c r="N243" i="4"/>
  <c r="T218" i="5"/>
  <c r="O243" i="4"/>
  <c r="U218" i="5"/>
  <c r="P243" i="4"/>
  <c r="W218" i="5"/>
  <c r="Q243" i="4"/>
  <c r="X218" i="5"/>
  <c r="S243" i="4"/>
  <c r="AA218" i="5"/>
  <c r="AI243" i="4"/>
  <c r="T243" i="4" a="1"/>
  <c r="T243" i="4"/>
  <c r="AC218" i="5"/>
  <c r="U243" i="4" a="1"/>
  <c r="U243" i="4"/>
  <c r="AD218" i="5"/>
  <c r="X243" i="4"/>
  <c r="AI218" i="5"/>
  <c r="Y243" i="4"/>
  <c r="AJ218" i="5"/>
  <c r="Z243" i="4"/>
  <c r="AL218" i="5"/>
  <c r="F218" i="5"/>
  <c r="H218" i="5"/>
  <c r="I218" i="5"/>
  <c r="L218" i="5"/>
  <c r="N218" i="5"/>
  <c r="O218" i="5"/>
  <c r="Z218" i="5"/>
  <c r="AN218" i="5"/>
  <c r="AG219" i="5"/>
  <c r="AF219" i="5"/>
  <c r="B298" i="4"/>
  <c r="C298" i="4"/>
  <c r="C219" i="5"/>
  <c r="D298" i="4"/>
  <c r="E219" i="5"/>
  <c r="E298" i="4"/>
  <c r="F219" i="5"/>
  <c r="F298" i="4"/>
  <c r="H219" i="5"/>
  <c r="I219" i="5"/>
  <c r="H298" i="4"/>
  <c r="K219" i="5"/>
  <c r="L298" i="4"/>
  <c r="Q219" i="5"/>
  <c r="M298" i="4"/>
  <c r="R219" i="5"/>
  <c r="T219" i="5"/>
  <c r="O298" i="4"/>
  <c r="U219" i="5"/>
  <c r="P298" i="4"/>
  <c r="W219" i="5"/>
  <c r="Q298" i="4"/>
  <c r="X219" i="5"/>
  <c r="AA219" i="5"/>
  <c r="AI298" i="4"/>
  <c r="T298" i="4" a="1"/>
  <c r="T298" i="4"/>
  <c r="AC219" i="5"/>
  <c r="U298" i="4" a="1"/>
  <c r="U298" i="4"/>
  <c r="AD219" i="5"/>
  <c r="X298" i="4"/>
  <c r="AI219" i="5"/>
  <c r="L219" i="5"/>
  <c r="N219" i="5"/>
  <c r="O219" i="5"/>
  <c r="Z219" i="5"/>
  <c r="AN219" i="5"/>
  <c r="AG220" i="5"/>
  <c r="AF220" i="5"/>
  <c r="B245" i="4"/>
  <c r="C245" i="4"/>
  <c r="C220" i="5"/>
  <c r="D245" i="4"/>
  <c r="E220" i="5"/>
  <c r="E245" i="4"/>
  <c r="F220" i="5"/>
  <c r="F245" i="4"/>
  <c r="H220" i="5"/>
  <c r="I220" i="5"/>
  <c r="H245" i="4"/>
  <c r="K220" i="5"/>
  <c r="L245" i="4"/>
  <c r="Q220" i="5"/>
  <c r="M245" i="4"/>
  <c r="R220" i="5"/>
  <c r="T220" i="5"/>
  <c r="O245" i="4"/>
  <c r="U220" i="5"/>
  <c r="P245" i="4"/>
  <c r="W220" i="5"/>
  <c r="Q245" i="4"/>
  <c r="X220" i="5"/>
  <c r="S245" i="4"/>
  <c r="AA220" i="5"/>
  <c r="AI245" i="4"/>
  <c r="T245" i="4" a="1"/>
  <c r="T245" i="4"/>
  <c r="AC220" i="5"/>
  <c r="U245" i="4" a="1"/>
  <c r="U245" i="4"/>
  <c r="AD220" i="5"/>
  <c r="X245" i="4"/>
  <c r="AI220" i="5"/>
  <c r="Y245" i="4"/>
  <c r="AJ220" i="5"/>
  <c r="Z245" i="4"/>
  <c r="AL220" i="5"/>
  <c r="L220" i="5"/>
  <c r="N220" i="5"/>
  <c r="O220" i="5"/>
  <c r="Z220" i="5"/>
  <c r="AN220" i="5"/>
  <c r="O221" i="5"/>
  <c r="B246" i="4"/>
  <c r="H246" i="4"/>
  <c r="K221" i="5"/>
  <c r="AG221" i="5"/>
  <c r="AF221" i="5"/>
  <c r="C246" i="4"/>
  <c r="C221" i="5"/>
  <c r="D246" i="4"/>
  <c r="E221" i="5"/>
  <c r="E246" i="4"/>
  <c r="F221" i="5"/>
  <c r="F246" i="4"/>
  <c r="H221" i="5"/>
  <c r="I221" i="5"/>
  <c r="I15" i="2"/>
  <c r="I246" i="4"/>
  <c r="L221" i="5"/>
  <c r="J246" i="4"/>
  <c r="N221" i="5"/>
  <c r="L246" i="4"/>
  <c r="Q221" i="5"/>
  <c r="M246" i="4"/>
  <c r="R221" i="5"/>
  <c r="T221" i="5"/>
  <c r="O246" i="4"/>
  <c r="U221" i="5"/>
  <c r="P246" i="4"/>
  <c r="W221" i="5"/>
  <c r="Q246" i="4"/>
  <c r="X221" i="5"/>
  <c r="S246" i="4"/>
  <c r="AA221" i="5"/>
  <c r="AI246" i="4"/>
  <c r="T246" i="4" a="1"/>
  <c r="T246" i="4"/>
  <c r="AC221" i="5"/>
  <c r="U246" i="4" a="1"/>
  <c r="U246" i="4"/>
  <c r="AD221" i="5"/>
  <c r="X246" i="4"/>
  <c r="AI221" i="5"/>
  <c r="Y246" i="4"/>
  <c r="AJ221" i="5"/>
  <c r="Z246" i="4"/>
  <c r="AL221" i="5"/>
  <c r="Z221" i="5"/>
  <c r="AN221" i="5"/>
  <c r="AG222" i="5"/>
  <c r="AF222" i="5"/>
  <c r="C247" i="4"/>
  <c r="C222" i="5"/>
  <c r="T222" i="5"/>
  <c r="O247" i="4"/>
  <c r="U222" i="5"/>
  <c r="P247" i="4"/>
  <c r="W222" i="5"/>
  <c r="Q247" i="4"/>
  <c r="X222" i="5"/>
  <c r="S247" i="4"/>
  <c r="AA222" i="5"/>
  <c r="AI247" i="4"/>
  <c r="T247" i="4" a="1"/>
  <c r="T247" i="4"/>
  <c r="AC222" i="5"/>
  <c r="U247" i="4" a="1"/>
  <c r="U247" i="4"/>
  <c r="AD222" i="5"/>
  <c r="AI222" i="5"/>
  <c r="Y247" i="4"/>
  <c r="AJ222" i="5"/>
  <c r="Z247" i="4"/>
  <c r="AL222" i="5"/>
  <c r="L222" i="5"/>
  <c r="N222" i="5"/>
  <c r="O222" i="5"/>
  <c r="Z222" i="5"/>
  <c r="AN222" i="5"/>
  <c r="AG223" i="5"/>
  <c r="AF223" i="5"/>
  <c r="B248" i="4"/>
  <c r="C248" i="4"/>
  <c r="C223" i="5"/>
  <c r="E223" i="5"/>
  <c r="K223" i="5"/>
  <c r="L248" i="4"/>
  <c r="Q223" i="5"/>
  <c r="M21" i="2"/>
  <c r="M248" i="4"/>
  <c r="R223" i="5"/>
  <c r="T223" i="5"/>
  <c r="O248" i="4"/>
  <c r="U223" i="5"/>
  <c r="P248" i="4"/>
  <c r="W223" i="5"/>
  <c r="X223" i="5"/>
  <c r="S248" i="4"/>
  <c r="AA223" i="5"/>
  <c r="AI248" i="4"/>
  <c r="T248" i="4" a="1"/>
  <c r="T248" i="4"/>
  <c r="AC223" i="5"/>
  <c r="U248" i="4" a="1"/>
  <c r="U248" i="4"/>
  <c r="AD223" i="5"/>
  <c r="X248" i="4"/>
  <c r="AI223" i="5"/>
  <c r="Y248" i="4"/>
  <c r="AJ223" i="5"/>
  <c r="Z248" i="4"/>
  <c r="AL223" i="5"/>
  <c r="F223" i="5"/>
  <c r="H223" i="5"/>
  <c r="I223" i="5"/>
  <c r="L223" i="5"/>
  <c r="N223" i="5"/>
  <c r="O223" i="5"/>
  <c r="Z223" i="5"/>
  <c r="AN223" i="5"/>
  <c r="O224" i="5"/>
  <c r="B249" i="4"/>
  <c r="H249" i="4"/>
  <c r="K224" i="5"/>
  <c r="AG224" i="5"/>
  <c r="AF224" i="5"/>
  <c r="C249" i="4"/>
  <c r="C224" i="5"/>
  <c r="D249" i="4"/>
  <c r="E224" i="5"/>
  <c r="I249" i="4"/>
  <c r="L224" i="5"/>
  <c r="J249" i="4"/>
  <c r="N224" i="5"/>
  <c r="L249" i="4"/>
  <c r="Q224" i="5"/>
  <c r="M249" i="4"/>
  <c r="R224" i="5"/>
  <c r="T224" i="5"/>
  <c r="O249" i="4"/>
  <c r="U224" i="5"/>
  <c r="P249" i="4"/>
  <c r="W224" i="5"/>
  <c r="Q249" i="4"/>
  <c r="X224" i="5"/>
  <c r="AA224" i="5"/>
  <c r="AI249" i="4"/>
  <c r="T249" i="4" a="1"/>
  <c r="T249" i="4"/>
  <c r="AC224" i="5"/>
  <c r="U249" i="4" a="1"/>
  <c r="U249" i="4"/>
  <c r="AD224" i="5"/>
  <c r="X249" i="4"/>
  <c r="AI224" i="5"/>
  <c r="Y249" i="4"/>
  <c r="AJ224" i="5"/>
  <c r="Z249" i="4"/>
  <c r="AL224" i="5"/>
  <c r="F224" i="5"/>
  <c r="H224" i="5"/>
  <c r="I224" i="5"/>
  <c r="Z224" i="5"/>
  <c r="AN224" i="5"/>
  <c r="AG225" i="5"/>
  <c r="AF225" i="5"/>
  <c r="C250" i="4"/>
  <c r="C225" i="5"/>
  <c r="E29" i="2"/>
  <c r="F29" i="2"/>
  <c r="T225" i="5"/>
  <c r="O250" i="4"/>
  <c r="U225" i="5"/>
  <c r="P250" i="4"/>
  <c r="W225" i="5"/>
  <c r="S250" i="4"/>
  <c r="AA225" i="5"/>
  <c r="AI250" i="4"/>
  <c r="T250" i="4" a="1"/>
  <c r="T250" i="4"/>
  <c r="AC225" i="5"/>
  <c r="U250" i="4" a="1"/>
  <c r="U250" i="4"/>
  <c r="AD225" i="5"/>
  <c r="X250" i="4"/>
  <c r="AI225" i="5"/>
  <c r="Y250" i="4"/>
  <c r="AJ225" i="5"/>
  <c r="Z250" i="4"/>
  <c r="AL225" i="5"/>
  <c r="L225" i="5"/>
  <c r="N225" i="5"/>
  <c r="O225" i="5"/>
  <c r="X225" i="5"/>
  <c r="Z225" i="5"/>
  <c r="AN225" i="5"/>
  <c r="AG226" i="5"/>
  <c r="AF226" i="5"/>
  <c r="C251" i="4"/>
  <c r="C226" i="5"/>
  <c r="T226" i="5"/>
  <c r="U226" i="5"/>
  <c r="P251" i="4"/>
  <c r="W226" i="5"/>
  <c r="Q251" i="4"/>
  <c r="X226" i="5"/>
  <c r="R251" i="4"/>
  <c r="Z226" i="5"/>
  <c r="S251" i="4"/>
  <c r="AA226" i="5"/>
  <c r="AI251" i="4"/>
  <c r="T251" i="4" a="1"/>
  <c r="T251" i="4"/>
  <c r="AC226" i="5"/>
  <c r="U251" i="4" a="1"/>
  <c r="U251" i="4"/>
  <c r="AD226" i="5"/>
  <c r="X251" i="4"/>
  <c r="AI226" i="5"/>
  <c r="Y251" i="4"/>
  <c r="AJ226" i="5"/>
  <c r="Z251" i="4"/>
  <c r="AL226" i="5"/>
  <c r="AN226" i="5"/>
  <c r="AG227" i="5"/>
  <c r="AF227" i="5"/>
  <c r="B252" i="4"/>
  <c r="C252" i="4"/>
  <c r="C227" i="5"/>
  <c r="E227" i="5"/>
  <c r="H252" i="4"/>
  <c r="K227" i="5"/>
  <c r="L252" i="4"/>
  <c r="Q227" i="5"/>
  <c r="M252" i="4"/>
  <c r="R227" i="5"/>
  <c r="T227" i="5"/>
  <c r="O252" i="4"/>
  <c r="U227" i="5"/>
  <c r="P252" i="4"/>
  <c r="W227" i="5"/>
  <c r="X227" i="5"/>
  <c r="AA227" i="5"/>
  <c r="AI252" i="4"/>
  <c r="T252" i="4" a="1"/>
  <c r="T252" i="4"/>
  <c r="AC227" i="5"/>
  <c r="U252" i="4" a="1"/>
  <c r="U252" i="4"/>
  <c r="AD227" i="5"/>
  <c r="AI227" i="5"/>
  <c r="AJ227" i="5"/>
  <c r="Z252" i="4"/>
  <c r="AL227" i="5"/>
  <c r="F227" i="5"/>
  <c r="H227" i="5"/>
  <c r="I227" i="5"/>
  <c r="L227" i="5"/>
  <c r="N227" i="5"/>
  <c r="O227" i="5"/>
  <c r="Z227" i="5"/>
  <c r="AN227" i="5"/>
  <c r="O228" i="5"/>
  <c r="K228" i="5"/>
  <c r="AG228" i="5"/>
  <c r="AF228" i="5"/>
  <c r="B253" i="4"/>
  <c r="C253" i="4"/>
  <c r="C228" i="5"/>
  <c r="D253" i="4"/>
  <c r="E228" i="5"/>
  <c r="E253" i="4"/>
  <c r="F228" i="5"/>
  <c r="F253" i="4"/>
  <c r="H228" i="5"/>
  <c r="I228" i="5"/>
  <c r="I19" i="2"/>
  <c r="I253" i="4"/>
  <c r="L228" i="5"/>
  <c r="J19" i="2"/>
  <c r="J253" i="4"/>
  <c r="N228" i="5"/>
  <c r="L253" i="4"/>
  <c r="Q228" i="5"/>
  <c r="M253" i="4"/>
  <c r="R228" i="5"/>
  <c r="T228" i="5"/>
  <c r="O253" i="4"/>
  <c r="U228" i="5"/>
  <c r="P253" i="4"/>
  <c r="W228" i="5"/>
  <c r="Q253" i="4"/>
  <c r="X228" i="5"/>
  <c r="S253" i="4"/>
  <c r="AA228" i="5"/>
  <c r="AI253" i="4"/>
  <c r="T253" i="4" a="1"/>
  <c r="T253" i="4"/>
  <c r="AC228" i="5"/>
  <c r="U253" i="4" a="1"/>
  <c r="U253" i="4"/>
  <c r="AD228" i="5"/>
  <c r="AI228" i="5"/>
  <c r="Y253" i="4"/>
  <c r="AJ228" i="5"/>
  <c r="Z253" i="4"/>
  <c r="AL228" i="5"/>
  <c r="Z228" i="5"/>
  <c r="AN228" i="5"/>
  <c r="AG229" i="5"/>
  <c r="AF229" i="5"/>
  <c r="B255" i="4"/>
  <c r="C255" i="4"/>
  <c r="C229" i="5"/>
  <c r="D255" i="4"/>
  <c r="E229" i="5"/>
  <c r="E255" i="4"/>
  <c r="F229" i="5"/>
  <c r="F255" i="4"/>
  <c r="H229" i="5"/>
  <c r="I229" i="5"/>
  <c r="H255" i="4"/>
  <c r="K229" i="5"/>
  <c r="L255" i="4"/>
  <c r="Q229" i="5"/>
  <c r="M255" i="4"/>
  <c r="R229" i="5"/>
  <c r="T229" i="5"/>
  <c r="O255" i="4"/>
  <c r="U229" i="5"/>
  <c r="P255" i="4"/>
  <c r="W229" i="5"/>
  <c r="Q255" i="4"/>
  <c r="X229" i="5"/>
  <c r="S255" i="4"/>
  <c r="AA229" i="5"/>
  <c r="AI255" i="4"/>
  <c r="T255" i="4" a="1"/>
  <c r="T255" i="4"/>
  <c r="AC229" i="5"/>
  <c r="U255" i="4" a="1"/>
  <c r="U255" i="4"/>
  <c r="AD229" i="5"/>
  <c r="X255" i="4"/>
  <c r="AI229" i="5"/>
  <c r="Y255" i="4"/>
  <c r="AJ229" i="5"/>
  <c r="Z255" i="4"/>
  <c r="AL229" i="5"/>
  <c r="L229" i="5"/>
  <c r="N229" i="5"/>
  <c r="O229" i="5"/>
  <c r="Z229" i="5"/>
  <c r="AN229" i="5"/>
  <c r="AG230" i="5"/>
  <c r="AF230" i="5"/>
  <c r="C256" i="4"/>
  <c r="C230" i="5"/>
  <c r="E24" i="2"/>
  <c r="F24" i="2"/>
  <c r="T230" i="5"/>
  <c r="U230" i="5"/>
  <c r="P256" i="4"/>
  <c r="W230" i="5"/>
  <c r="Q256" i="4"/>
  <c r="X230" i="5"/>
  <c r="S256" i="4"/>
  <c r="AA230" i="5"/>
  <c r="AI256" i="4"/>
  <c r="T256" i="4" a="1"/>
  <c r="T256" i="4"/>
  <c r="AC230" i="5"/>
  <c r="U256" i="4" a="1"/>
  <c r="U256" i="4"/>
  <c r="AD230" i="5"/>
  <c r="X256" i="4"/>
  <c r="AI230" i="5"/>
  <c r="Y256" i="4"/>
  <c r="AJ230" i="5"/>
  <c r="Z256" i="4"/>
  <c r="AL230" i="5"/>
  <c r="Z230" i="5"/>
  <c r="AN230" i="5"/>
  <c r="AG231" i="5"/>
  <c r="AF231" i="5"/>
  <c r="B260" i="4"/>
  <c r="C260" i="4"/>
  <c r="C231" i="5"/>
  <c r="D260" i="4"/>
  <c r="E231" i="5"/>
  <c r="H260" i="4"/>
  <c r="K231" i="5"/>
  <c r="L260" i="4"/>
  <c r="Q231" i="5"/>
  <c r="M260" i="4"/>
  <c r="R231" i="5"/>
  <c r="T231" i="5"/>
  <c r="O260" i="4"/>
  <c r="U231" i="5"/>
  <c r="P260" i="4"/>
  <c r="W231" i="5"/>
  <c r="Q260" i="4"/>
  <c r="X231" i="5"/>
  <c r="S260" i="4"/>
  <c r="AA231" i="5"/>
  <c r="AI260" i="4"/>
  <c r="T260" i="4" a="1"/>
  <c r="T260" i="4"/>
  <c r="AC231" i="5"/>
  <c r="U260" i="4" a="1"/>
  <c r="U260" i="4"/>
  <c r="AD231" i="5"/>
  <c r="X260" i="4"/>
  <c r="AI231" i="5"/>
  <c r="Y260" i="4"/>
  <c r="AJ231" i="5"/>
  <c r="Z260" i="4"/>
  <c r="AL231" i="5"/>
  <c r="L231" i="5"/>
  <c r="N231" i="5"/>
  <c r="O231" i="5"/>
  <c r="F231" i="5"/>
  <c r="H231" i="5"/>
  <c r="I231" i="5"/>
  <c r="Z231" i="5"/>
  <c r="AN231" i="5"/>
  <c r="AG232" i="5"/>
  <c r="AF232" i="5"/>
  <c r="B262" i="4"/>
  <c r="C262" i="4"/>
  <c r="C232" i="5"/>
  <c r="D262" i="4"/>
  <c r="E232" i="5"/>
  <c r="H262" i="4"/>
  <c r="K232" i="5"/>
  <c r="L262" i="4"/>
  <c r="Q232" i="5"/>
  <c r="M262" i="4"/>
  <c r="R232" i="5"/>
  <c r="T232" i="5"/>
  <c r="O262" i="4"/>
  <c r="U232" i="5"/>
  <c r="P262" i="4"/>
  <c r="W232" i="5"/>
  <c r="Q262" i="4"/>
  <c r="X232" i="5"/>
  <c r="S262" i="4"/>
  <c r="AA232" i="5"/>
  <c r="AI262" i="4"/>
  <c r="T262" i="4" a="1"/>
  <c r="T262" i="4"/>
  <c r="AC232" i="5"/>
  <c r="U262" i="4" a="1"/>
  <c r="U262" i="4"/>
  <c r="AD232" i="5"/>
  <c r="X262" i="4"/>
  <c r="AI232" i="5"/>
  <c r="Y262" i="4"/>
  <c r="AJ232" i="5"/>
  <c r="Z262" i="4"/>
  <c r="AL232" i="5"/>
  <c r="L232" i="5"/>
  <c r="N232" i="5"/>
  <c r="O232" i="5"/>
  <c r="F232" i="5"/>
  <c r="H232" i="5"/>
  <c r="I232" i="5"/>
  <c r="Z232" i="5"/>
  <c r="AN232" i="5"/>
  <c r="B268" i="4"/>
  <c r="S268" i="4"/>
  <c r="AA233" i="5"/>
  <c r="P268" i="4"/>
  <c r="W233" i="5"/>
  <c r="AG233" i="5"/>
  <c r="AF233" i="5"/>
  <c r="C268" i="4"/>
  <c r="C233" i="5"/>
  <c r="D268" i="4"/>
  <c r="E233" i="5"/>
  <c r="K233" i="5"/>
  <c r="L268" i="4"/>
  <c r="Q233" i="5"/>
  <c r="M268" i="4"/>
  <c r="R233" i="5"/>
  <c r="T233" i="5"/>
  <c r="U233" i="5"/>
  <c r="Q268" i="4"/>
  <c r="X233" i="5"/>
  <c r="R268" i="4"/>
  <c r="Z233" i="5"/>
  <c r="AI268" i="4"/>
  <c r="T268" i="4" a="1"/>
  <c r="T268" i="4"/>
  <c r="AC233" i="5"/>
  <c r="U268" i="4" a="1"/>
  <c r="U268" i="4"/>
  <c r="AD233" i="5"/>
  <c r="X268" i="4"/>
  <c r="AI233" i="5"/>
  <c r="Y268" i="4"/>
  <c r="AJ233" i="5"/>
  <c r="Z268" i="4"/>
  <c r="AL233" i="5"/>
  <c r="L233" i="5"/>
  <c r="N233" i="5"/>
  <c r="O233" i="5"/>
  <c r="F233" i="5"/>
  <c r="H233" i="5"/>
  <c r="I233" i="5"/>
  <c r="AN233" i="5"/>
  <c r="AG234" i="5"/>
  <c r="AF234" i="5"/>
  <c r="B270" i="4"/>
  <c r="C270" i="4"/>
  <c r="C234" i="5"/>
  <c r="D270" i="4"/>
  <c r="E234" i="5"/>
  <c r="K234" i="5"/>
  <c r="L270" i="4"/>
  <c r="Q234" i="5"/>
  <c r="M270" i="4"/>
  <c r="R234" i="5"/>
  <c r="T234" i="5"/>
  <c r="U234" i="5"/>
  <c r="P270" i="4"/>
  <c r="W234" i="5"/>
  <c r="Q270" i="4"/>
  <c r="X234" i="5"/>
  <c r="S270" i="4"/>
  <c r="AA234" i="5"/>
  <c r="AI270" i="4"/>
  <c r="T270" i="4" a="1"/>
  <c r="T270" i="4"/>
  <c r="AC234" i="5"/>
  <c r="U270" i="4" a="1"/>
  <c r="U270" i="4"/>
  <c r="AD234" i="5"/>
  <c r="X270" i="4"/>
  <c r="AI234" i="5"/>
  <c r="Y270" i="4"/>
  <c r="AJ234" i="5"/>
  <c r="Z270" i="4"/>
  <c r="AL234" i="5"/>
  <c r="F234" i="5"/>
  <c r="H234" i="5"/>
  <c r="I234" i="5"/>
  <c r="L234" i="5"/>
  <c r="N234" i="5"/>
  <c r="O234" i="5"/>
  <c r="Z234" i="5"/>
  <c r="AN234" i="5"/>
  <c r="AG235" i="5"/>
  <c r="AF235" i="5"/>
  <c r="B271" i="4"/>
  <c r="C271" i="4"/>
  <c r="C235" i="5"/>
  <c r="D271" i="4"/>
  <c r="E235" i="5"/>
  <c r="K235" i="5"/>
  <c r="L271" i="4"/>
  <c r="Q235" i="5"/>
  <c r="M271" i="4"/>
  <c r="R235" i="5"/>
  <c r="T235" i="5"/>
  <c r="U235" i="5"/>
  <c r="P271" i="4"/>
  <c r="W235" i="5"/>
  <c r="Q271" i="4"/>
  <c r="X235" i="5"/>
  <c r="S271" i="4"/>
  <c r="AA235" i="5"/>
  <c r="AI271" i="4"/>
  <c r="T271" i="4" a="1"/>
  <c r="T271" i="4"/>
  <c r="AC235" i="5"/>
  <c r="U271" i="4" a="1"/>
  <c r="U271" i="4"/>
  <c r="AD235" i="5"/>
  <c r="X271" i="4"/>
  <c r="AI235" i="5"/>
  <c r="Y271" i="4"/>
  <c r="AJ235" i="5"/>
  <c r="Z271" i="4"/>
  <c r="AL235" i="5"/>
  <c r="F235" i="5"/>
  <c r="H235" i="5"/>
  <c r="I235" i="5"/>
  <c r="L235" i="5"/>
  <c r="N235" i="5"/>
  <c r="O235" i="5"/>
  <c r="Z235" i="5"/>
  <c r="AN235" i="5"/>
  <c r="AG236" i="5"/>
  <c r="AF236" i="5"/>
  <c r="B272" i="4"/>
  <c r="C272" i="4"/>
  <c r="C236" i="5"/>
  <c r="D272" i="4"/>
  <c r="E236" i="5"/>
  <c r="K236" i="5"/>
  <c r="L272" i="4"/>
  <c r="Q236" i="5"/>
  <c r="M272" i="4"/>
  <c r="R236" i="5"/>
  <c r="T236" i="5"/>
  <c r="U236" i="5"/>
  <c r="P272" i="4"/>
  <c r="W236" i="5"/>
  <c r="Q272" i="4"/>
  <c r="X236" i="5"/>
  <c r="S272" i="4"/>
  <c r="AA236" i="5"/>
  <c r="AI272" i="4"/>
  <c r="T272" i="4" a="1"/>
  <c r="T272" i="4"/>
  <c r="AC236" i="5"/>
  <c r="U272" i="4" a="1"/>
  <c r="U272" i="4"/>
  <c r="AD236" i="5"/>
  <c r="X272" i="4"/>
  <c r="AI236" i="5"/>
  <c r="Y272" i="4"/>
  <c r="AJ236" i="5"/>
  <c r="Z272" i="4"/>
  <c r="AL236" i="5"/>
  <c r="F236" i="5"/>
  <c r="H236" i="5"/>
  <c r="I236" i="5"/>
  <c r="L236" i="5"/>
  <c r="N236" i="5"/>
  <c r="O236" i="5"/>
  <c r="Z236" i="5"/>
  <c r="AN236" i="5"/>
  <c r="AG237" i="5"/>
  <c r="AF237" i="5"/>
  <c r="B273" i="4"/>
  <c r="C273" i="4"/>
  <c r="C237" i="5"/>
  <c r="D273" i="4"/>
  <c r="E237" i="5"/>
  <c r="K237" i="5"/>
  <c r="L273" i="4"/>
  <c r="Q237" i="5"/>
  <c r="M273" i="4"/>
  <c r="R237" i="5"/>
  <c r="T237" i="5"/>
  <c r="U237" i="5"/>
  <c r="P273" i="4"/>
  <c r="W237" i="5"/>
  <c r="Q273" i="4"/>
  <c r="X237" i="5"/>
  <c r="S273" i="4"/>
  <c r="AA237" i="5"/>
  <c r="AI273" i="4"/>
  <c r="T273" i="4" a="1"/>
  <c r="T273" i="4"/>
  <c r="AC237" i="5"/>
  <c r="U273" i="4" a="1"/>
  <c r="U273" i="4"/>
  <c r="AD237" i="5"/>
  <c r="X273" i="4"/>
  <c r="AI237" i="5"/>
  <c r="Y273" i="4"/>
  <c r="AJ237" i="5"/>
  <c r="Z273" i="4"/>
  <c r="AL237" i="5"/>
  <c r="F237" i="5"/>
  <c r="H237" i="5"/>
  <c r="I237" i="5"/>
  <c r="L237" i="5"/>
  <c r="N237" i="5"/>
  <c r="O237" i="5"/>
  <c r="Z237" i="5"/>
  <c r="AN237" i="5"/>
  <c r="AG238" i="5"/>
  <c r="AF238" i="5"/>
  <c r="B274" i="4"/>
  <c r="C274" i="4"/>
  <c r="C238" i="5"/>
  <c r="D274" i="4"/>
  <c r="E238" i="5"/>
  <c r="K238" i="5"/>
  <c r="L274" i="4"/>
  <c r="Q238" i="5"/>
  <c r="M274" i="4"/>
  <c r="R238" i="5"/>
  <c r="T238" i="5"/>
  <c r="U238" i="5"/>
  <c r="P274" i="4"/>
  <c r="W238" i="5"/>
  <c r="Q274" i="4"/>
  <c r="X238" i="5"/>
  <c r="S274" i="4"/>
  <c r="AA238" i="5"/>
  <c r="AI274" i="4"/>
  <c r="T274" i="4" a="1"/>
  <c r="T274" i="4"/>
  <c r="AC238" i="5"/>
  <c r="U274" i="4" a="1"/>
  <c r="U274" i="4"/>
  <c r="AD238" i="5"/>
  <c r="X274" i="4"/>
  <c r="AI238" i="5"/>
  <c r="Y274" i="4"/>
  <c r="AJ238" i="5"/>
  <c r="Z274" i="4"/>
  <c r="AL238" i="5"/>
  <c r="F238" i="5"/>
  <c r="H238" i="5"/>
  <c r="I238" i="5"/>
  <c r="L238" i="5"/>
  <c r="N238" i="5"/>
  <c r="O238" i="5"/>
  <c r="Z238" i="5"/>
  <c r="AN238" i="5"/>
  <c r="AG239" i="5"/>
  <c r="AF239" i="5"/>
  <c r="B275" i="4"/>
  <c r="C275" i="4"/>
  <c r="C239" i="5"/>
  <c r="D275" i="4"/>
  <c r="E239" i="5"/>
  <c r="E275" i="4"/>
  <c r="F239" i="5"/>
  <c r="F275" i="4"/>
  <c r="H239" i="5"/>
  <c r="I239" i="5"/>
  <c r="K239" i="5"/>
  <c r="L275" i="4"/>
  <c r="Q239" i="5"/>
  <c r="M275" i="4"/>
  <c r="R239" i="5"/>
  <c r="T239" i="5"/>
  <c r="O275" i="4"/>
  <c r="U239" i="5"/>
  <c r="P275" i="4"/>
  <c r="W239" i="5"/>
  <c r="Q275" i="4"/>
  <c r="X239" i="5"/>
  <c r="S275" i="4"/>
  <c r="AA239" i="5"/>
  <c r="AI275" i="4"/>
  <c r="T275" i="4" a="1"/>
  <c r="T275" i="4"/>
  <c r="AC239" i="5"/>
  <c r="U275" i="4" a="1"/>
  <c r="U275" i="4"/>
  <c r="AD239" i="5"/>
  <c r="X275" i="4"/>
  <c r="AI239" i="5"/>
  <c r="Y275" i="4"/>
  <c r="AJ239" i="5"/>
  <c r="Z275" i="4"/>
  <c r="AL239" i="5"/>
  <c r="L239" i="5"/>
  <c r="N239" i="5"/>
  <c r="O239" i="5"/>
  <c r="Z239" i="5"/>
  <c r="AN239" i="5"/>
  <c r="AG240" i="5"/>
  <c r="AF240" i="5"/>
  <c r="B276" i="4"/>
  <c r="C276" i="4"/>
  <c r="C240" i="5"/>
  <c r="D276" i="4"/>
  <c r="E240" i="5"/>
  <c r="E21" i="2"/>
  <c r="E276" i="4"/>
  <c r="F240" i="5"/>
  <c r="F21" i="2"/>
  <c r="F276" i="4"/>
  <c r="H240" i="5"/>
  <c r="I240" i="5"/>
  <c r="K240" i="5"/>
  <c r="L276" i="4"/>
  <c r="Q240" i="5"/>
  <c r="M276" i="4"/>
  <c r="R240" i="5"/>
  <c r="T240" i="5"/>
  <c r="O276" i="4"/>
  <c r="U240" i="5"/>
  <c r="P276" i="4"/>
  <c r="W240" i="5"/>
  <c r="S276" i="4"/>
  <c r="AA240" i="5"/>
  <c r="AI276" i="4"/>
  <c r="T276" i="4" a="1"/>
  <c r="T276" i="4"/>
  <c r="AC240" i="5"/>
  <c r="U276" i="4" a="1"/>
  <c r="U276" i="4"/>
  <c r="AD240" i="5"/>
  <c r="X276" i="4"/>
  <c r="AI240" i="5"/>
  <c r="Y276" i="4"/>
  <c r="AJ240" i="5"/>
  <c r="Z276" i="4"/>
  <c r="AL240" i="5"/>
  <c r="X240" i="5"/>
  <c r="L240" i="5"/>
  <c r="N240" i="5"/>
  <c r="O240" i="5"/>
  <c r="Z240" i="5"/>
  <c r="AN240" i="5"/>
  <c r="AG241" i="5"/>
  <c r="AF241" i="5"/>
  <c r="B277" i="4"/>
  <c r="C277" i="4"/>
  <c r="C241" i="5"/>
  <c r="D277" i="4"/>
  <c r="E241" i="5"/>
  <c r="H277" i="4"/>
  <c r="K241" i="5"/>
  <c r="L277" i="4"/>
  <c r="Q241" i="5"/>
  <c r="M277" i="4"/>
  <c r="R241" i="5"/>
  <c r="T241" i="5"/>
  <c r="U241" i="5"/>
  <c r="P277" i="4"/>
  <c r="W241" i="5"/>
  <c r="Q277" i="4"/>
  <c r="X241" i="5"/>
  <c r="AA241" i="5"/>
  <c r="AI277" i="4"/>
  <c r="T277" i="4" a="1"/>
  <c r="T277" i="4"/>
  <c r="AC241" i="5"/>
  <c r="U277" i="4" a="1"/>
  <c r="U277" i="4"/>
  <c r="AD241" i="5"/>
  <c r="Y277" i="4"/>
  <c r="AJ241" i="5"/>
  <c r="Z277" i="4"/>
  <c r="AL241" i="5"/>
  <c r="F241" i="5"/>
  <c r="H241" i="5"/>
  <c r="I241" i="5"/>
  <c r="L241" i="5"/>
  <c r="N241" i="5"/>
  <c r="O241" i="5"/>
  <c r="Z241" i="5"/>
  <c r="AN241" i="5"/>
  <c r="AG242" i="5"/>
  <c r="AF242" i="5"/>
  <c r="B278" i="4"/>
  <c r="C278" i="4"/>
  <c r="C242" i="5"/>
  <c r="D278" i="4"/>
  <c r="E242" i="5"/>
  <c r="H278" i="4"/>
  <c r="K242" i="5"/>
  <c r="L278" i="4"/>
  <c r="Q242" i="5"/>
  <c r="M278" i="4"/>
  <c r="R242" i="5"/>
  <c r="T242" i="5"/>
  <c r="O278" i="4"/>
  <c r="U242" i="5"/>
  <c r="P278" i="4"/>
  <c r="W242" i="5"/>
  <c r="Q278" i="4"/>
  <c r="X242" i="5"/>
  <c r="AA242" i="5"/>
  <c r="AI278" i="4"/>
  <c r="T278" i="4" a="1"/>
  <c r="T278" i="4"/>
  <c r="AC242" i="5"/>
  <c r="U278" i="4" a="1"/>
  <c r="U278" i="4"/>
  <c r="AD242" i="5"/>
  <c r="AI242" i="5"/>
  <c r="Y278" i="4"/>
  <c r="AJ242" i="5"/>
  <c r="Z278" i="4"/>
  <c r="AL242" i="5"/>
  <c r="F242" i="5"/>
  <c r="H242" i="5"/>
  <c r="I242" i="5"/>
  <c r="L242" i="5"/>
  <c r="N242" i="5"/>
  <c r="O242" i="5"/>
  <c r="Z242" i="5"/>
  <c r="AN242" i="5"/>
  <c r="AG243" i="5"/>
  <c r="AF243" i="5"/>
  <c r="B279" i="4"/>
  <c r="C279" i="4"/>
  <c r="C243" i="5"/>
  <c r="D279" i="4"/>
  <c r="E243" i="5"/>
  <c r="H279" i="4"/>
  <c r="K243" i="5"/>
  <c r="L279" i="4"/>
  <c r="Q243" i="5"/>
  <c r="M279" i="4"/>
  <c r="R243" i="5"/>
  <c r="T243" i="5"/>
  <c r="O279" i="4"/>
  <c r="U243" i="5"/>
  <c r="P279" i="4"/>
  <c r="W243" i="5"/>
  <c r="Q279" i="4"/>
  <c r="X243" i="5"/>
  <c r="AA243" i="5"/>
  <c r="AI279" i="4"/>
  <c r="T279" i="4" a="1"/>
  <c r="T279" i="4"/>
  <c r="AC243" i="5"/>
  <c r="U279" i="4" a="1"/>
  <c r="U279" i="4"/>
  <c r="AD243" i="5"/>
  <c r="AI243" i="5"/>
  <c r="Y279" i="4"/>
  <c r="AJ243" i="5"/>
  <c r="Z279" i="4"/>
  <c r="AL243" i="5"/>
  <c r="F243" i="5"/>
  <c r="H243" i="5"/>
  <c r="I243" i="5"/>
  <c r="L243" i="5"/>
  <c r="N243" i="5"/>
  <c r="O243" i="5"/>
  <c r="Z243" i="5"/>
  <c r="AN243" i="5"/>
  <c r="AG244" i="5"/>
  <c r="AF244" i="5"/>
  <c r="B280" i="4"/>
  <c r="C280" i="4"/>
  <c r="C244" i="5"/>
  <c r="D280" i="4"/>
  <c r="E244" i="5"/>
  <c r="H280" i="4"/>
  <c r="K244" i="5"/>
  <c r="L280" i="4"/>
  <c r="Q244" i="5"/>
  <c r="M280" i="4"/>
  <c r="R244" i="5"/>
  <c r="T244" i="5"/>
  <c r="U244" i="5"/>
  <c r="P280" i="4"/>
  <c r="W244" i="5"/>
  <c r="Q280" i="4"/>
  <c r="X244" i="5"/>
  <c r="AA244" i="5"/>
  <c r="AI280" i="4"/>
  <c r="T280" i="4" a="1"/>
  <c r="T280" i="4"/>
  <c r="AC244" i="5"/>
  <c r="U280" i="4" a="1"/>
  <c r="U280" i="4"/>
  <c r="AD244" i="5"/>
  <c r="X280" i="4"/>
  <c r="AI244" i="5"/>
  <c r="Y280" i="4"/>
  <c r="AJ244" i="5"/>
  <c r="Z280" i="4"/>
  <c r="AL244" i="5"/>
  <c r="F244" i="5"/>
  <c r="H244" i="5"/>
  <c r="I244" i="5"/>
  <c r="L244" i="5"/>
  <c r="N244" i="5"/>
  <c r="O244" i="5"/>
  <c r="Z244" i="5"/>
  <c r="AN244" i="5"/>
  <c r="AG245" i="5"/>
  <c r="AF245" i="5"/>
  <c r="B281" i="4"/>
  <c r="C281" i="4"/>
  <c r="C245" i="5"/>
  <c r="D281" i="4"/>
  <c r="E245" i="5"/>
  <c r="H281" i="4"/>
  <c r="K245" i="5"/>
  <c r="L281" i="4"/>
  <c r="Q245" i="5"/>
  <c r="M281" i="4"/>
  <c r="R245" i="5"/>
  <c r="T245" i="5"/>
  <c r="U245" i="5"/>
  <c r="P281" i="4"/>
  <c r="W245" i="5"/>
  <c r="Q281" i="4"/>
  <c r="X245" i="5"/>
  <c r="AA245" i="5"/>
  <c r="AI281" i="4"/>
  <c r="T281" i="4" a="1"/>
  <c r="T281" i="4"/>
  <c r="AC245" i="5"/>
  <c r="U281" i="4" a="1"/>
  <c r="U281" i="4"/>
  <c r="AD245" i="5"/>
  <c r="X281" i="4"/>
  <c r="AI245" i="5"/>
  <c r="Y281" i="4"/>
  <c r="AJ245" i="5"/>
  <c r="Z281" i="4"/>
  <c r="AL245" i="5"/>
  <c r="F245" i="5"/>
  <c r="H245" i="5"/>
  <c r="I245" i="5"/>
  <c r="L245" i="5"/>
  <c r="N245" i="5"/>
  <c r="O245" i="5"/>
  <c r="Z245" i="5"/>
  <c r="AN245" i="5"/>
  <c r="AG246" i="5"/>
  <c r="AF246" i="5"/>
  <c r="B282" i="4"/>
  <c r="C282" i="4"/>
  <c r="C246" i="5"/>
  <c r="D282" i="4"/>
  <c r="E246" i="5"/>
  <c r="H282" i="4"/>
  <c r="K246" i="5"/>
  <c r="L282" i="4"/>
  <c r="Q246" i="5"/>
  <c r="M282" i="4"/>
  <c r="R246" i="5"/>
  <c r="T246" i="5"/>
  <c r="U246" i="5"/>
  <c r="P282" i="4"/>
  <c r="W246" i="5"/>
  <c r="Q282" i="4"/>
  <c r="X246" i="5"/>
  <c r="AA246" i="5"/>
  <c r="AI282" i="4"/>
  <c r="T282" i="4" a="1"/>
  <c r="T282" i="4"/>
  <c r="AC246" i="5"/>
  <c r="U282" i="4" a="1"/>
  <c r="U282" i="4"/>
  <c r="AD246" i="5"/>
  <c r="X282" i="4"/>
  <c r="AI246" i="5"/>
  <c r="Y282" i="4"/>
  <c r="AJ246" i="5"/>
  <c r="Z282" i="4"/>
  <c r="AL246" i="5"/>
  <c r="F246" i="5"/>
  <c r="H246" i="5"/>
  <c r="I246" i="5"/>
  <c r="L246" i="5"/>
  <c r="N246" i="5"/>
  <c r="O246" i="5"/>
  <c r="Z246" i="5"/>
  <c r="AN246" i="5"/>
  <c r="AG247" i="5"/>
  <c r="AF247" i="5"/>
  <c r="C283" i="4"/>
  <c r="C247" i="5"/>
  <c r="D283" i="4"/>
  <c r="E247" i="5"/>
  <c r="K247" i="5"/>
  <c r="L283" i="4"/>
  <c r="Q247" i="5"/>
  <c r="M283" i="4"/>
  <c r="R247" i="5"/>
  <c r="T247" i="5"/>
  <c r="U247" i="5"/>
  <c r="P283" i="4"/>
  <c r="W247" i="5"/>
  <c r="Q283" i="4"/>
  <c r="X247" i="5"/>
  <c r="AA247" i="5"/>
  <c r="AI283" i="4"/>
  <c r="T283" i="4" a="1"/>
  <c r="T283" i="4"/>
  <c r="AC247" i="5"/>
  <c r="U283" i="4" a="1"/>
  <c r="U283" i="4"/>
  <c r="AD247" i="5"/>
  <c r="X283" i="4"/>
  <c r="AI247" i="5"/>
  <c r="Y283" i="4"/>
  <c r="AJ247" i="5"/>
  <c r="Z283" i="4"/>
  <c r="AL247" i="5"/>
  <c r="F247" i="5"/>
  <c r="H247" i="5"/>
  <c r="I247" i="5"/>
  <c r="L247" i="5"/>
  <c r="N247" i="5"/>
  <c r="O247" i="5"/>
  <c r="Z247" i="5"/>
  <c r="AN247" i="5"/>
  <c r="AG248" i="5"/>
  <c r="AF248" i="5"/>
  <c r="B284" i="4"/>
  <c r="C284" i="4"/>
  <c r="C248" i="5"/>
  <c r="D284" i="4"/>
  <c r="E248" i="5"/>
  <c r="H33" i="2"/>
  <c r="H284" i="4"/>
  <c r="K248" i="5"/>
  <c r="L284" i="4"/>
  <c r="Q248" i="5"/>
  <c r="M284" i="4"/>
  <c r="R248" i="5"/>
  <c r="T248" i="5"/>
  <c r="O284" i="4"/>
  <c r="U248" i="5"/>
  <c r="P284" i="4"/>
  <c r="W248" i="5"/>
  <c r="Q284" i="4"/>
  <c r="X248" i="5"/>
  <c r="S284" i="4"/>
  <c r="AA248" i="5"/>
  <c r="AI284" i="4"/>
  <c r="T284" i="4" a="1"/>
  <c r="T284" i="4"/>
  <c r="AC248" i="5"/>
  <c r="U284" i="4" a="1"/>
  <c r="U284" i="4"/>
  <c r="AD248" i="5"/>
  <c r="X284" i="4"/>
  <c r="AI248" i="5"/>
  <c r="Y284" i="4"/>
  <c r="AJ248" i="5"/>
  <c r="Z284" i="4"/>
  <c r="AL248" i="5"/>
  <c r="F248" i="5"/>
  <c r="H248" i="5"/>
  <c r="I248" i="5"/>
  <c r="L248" i="5"/>
  <c r="N248" i="5"/>
  <c r="O248" i="5"/>
  <c r="Z248" i="5"/>
  <c r="AN248" i="5"/>
  <c r="AG249" i="5"/>
  <c r="AF249" i="5"/>
  <c r="B285" i="4"/>
  <c r="C285" i="4"/>
  <c r="C249" i="5"/>
  <c r="D285" i="4"/>
  <c r="E249" i="5"/>
  <c r="H285" i="4"/>
  <c r="K249" i="5"/>
  <c r="L285" i="4"/>
  <c r="Q249" i="5"/>
  <c r="M285" i="4"/>
  <c r="R249" i="5"/>
  <c r="T249" i="5"/>
  <c r="O285" i="4"/>
  <c r="U249" i="5"/>
  <c r="P285" i="4"/>
  <c r="W249" i="5"/>
  <c r="Q285" i="4"/>
  <c r="X249" i="5"/>
  <c r="S285" i="4"/>
  <c r="AA249" i="5"/>
  <c r="AI285" i="4"/>
  <c r="T285" i="4" a="1"/>
  <c r="T285" i="4"/>
  <c r="AC249" i="5"/>
  <c r="U285" i="4" a="1"/>
  <c r="U285" i="4"/>
  <c r="AD249" i="5"/>
  <c r="X285" i="4"/>
  <c r="AI249" i="5"/>
  <c r="Y285" i="4"/>
  <c r="AJ249" i="5"/>
  <c r="Z285" i="4"/>
  <c r="AL249" i="5"/>
  <c r="F249" i="5"/>
  <c r="H249" i="5"/>
  <c r="I249" i="5"/>
  <c r="L249" i="5"/>
  <c r="N249" i="5"/>
  <c r="O249" i="5"/>
  <c r="Z249" i="5"/>
  <c r="AN249" i="5"/>
  <c r="AG250" i="5"/>
  <c r="AF250" i="5"/>
  <c r="B290" i="4"/>
  <c r="C290" i="4"/>
  <c r="C250" i="5"/>
  <c r="D290" i="4"/>
  <c r="E250" i="5"/>
  <c r="K250" i="5"/>
  <c r="L290" i="4"/>
  <c r="Q250" i="5"/>
  <c r="M290" i="4"/>
  <c r="R250" i="5"/>
  <c r="T250" i="5"/>
  <c r="O290" i="4"/>
  <c r="U250" i="5"/>
  <c r="P290" i="4"/>
  <c r="W250" i="5"/>
  <c r="Q290" i="4"/>
  <c r="X250" i="5"/>
  <c r="S290" i="4"/>
  <c r="AA250" i="5"/>
  <c r="AI290" i="4"/>
  <c r="T290" i="4" a="1"/>
  <c r="T290" i="4"/>
  <c r="AC250" i="5"/>
  <c r="U290" i="4" a="1"/>
  <c r="U290" i="4"/>
  <c r="AD250" i="5"/>
  <c r="X290" i="4"/>
  <c r="AI250" i="5"/>
  <c r="Y290" i="4"/>
  <c r="AJ250" i="5"/>
  <c r="Z290" i="4"/>
  <c r="AL250" i="5"/>
  <c r="F250" i="5"/>
  <c r="H250" i="5"/>
  <c r="I250" i="5"/>
  <c r="L250" i="5"/>
  <c r="N250" i="5"/>
  <c r="O250" i="5"/>
  <c r="Z250" i="5"/>
  <c r="AN250" i="5"/>
  <c r="AG251" i="5"/>
  <c r="AF251" i="5"/>
  <c r="B291" i="4"/>
  <c r="C291" i="4"/>
  <c r="C251" i="5"/>
  <c r="D291" i="4"/>
  <c r="E251" i="5"/>
  <c r="K251" i="5"/>
  <c r="L291" i="4"/>
  <c r="Q251" i="5"/>
  <c r="M291" i="4"/>
  <c r="R251" i="5"/>
  <c r="T251" i="5"/>
  <c r="U251" i="5"/>
  <c r="P291" i="4"/>
  <c r="W251" i="5"/>
  <c r="Q291" i="4"/>
  <c r="X251" i="5"/>
  <c r="AA251" i="5"/>
  <c r="AI291" i="4"/>
  <c r="T291" i="4" a="1"/>
  <c r="T291" i="4"/>
  <c r="AC251" i="5"/>
  <c r="U291" i="4" a="1"/>
  <c r="U291" i="4"/>
  <c r="AD251" i="5"/>
  <c r="X291" i="4"/>
  <c r="AI251" i="5"/>
  <c r="Y291" i="4"/>
  <c r="AJ251" i="5"/>
  <c r="Z291" i="4"/>
  <c r="AL251" i="5"/>
  <c r="F251" i="5"/>
  <c r="H251" i="5"/>
  <c r="I251" i="5"/>
  <c r="L251" i="5"/>
  <c r="N251" i="5"/>
  <c r="O251" i="5"/>
  <c r="Z251" i="5"/>
  <c r="AN251" i="5"/>
  <c r="O252" i="5"/>
  <c r="K252" i="5"/>
  <c r="AG252" i="5"/>
  <c r="AF252" i="5"/>
  <c r="B61" i="4"/>
  <c r="C61" i="4"/>
  <c r="C252" i="5"/>
  <c r="D61" i="4"/>
  <c r="E252" i="5"/>
  <c r="I61" i="4"/>
  <c r="L252" i="5"/>
  <c r="J61" i="4"/>
  <c r="N252" i="5"/>
  <c r="L61" i="4"/>
  <c r="Q252" i="5"/>
  <c r="M61" i="4"/>
  <c r="R252" i="5"/>
  <c r="T252" i="5"/>
  <c r="U252" i="5"/>
  <c r="P61" i="4"/>
  <c r="W252" i="5"/>
  <c r="Q61" i="4"/>
  <c r="X252" i="5"/>
  <c r="S61" i="4"/>
  <c r="AA252" i="5"/>
  <c r="AI61" i="4"/>
  <c r="T61" i="4" a="1"/>
  <c r="T61" i="4"/>
  <c r="AC252" i="5"/>
  <c r="U61" i="4" a="1"/>
  <c r="U61" i="4"/>
  <c r="AD252" i="5"/>
  <c r="X61" i="4"/>
  <c r="AI252" i="5"/>
  <c r="Y61" i="4"/>
  <c r="AJ252" i="5"/>
  <c r="Z61" i="4"/>
  <c r="AL252" i="5"/>
  <c r="F252" i="5"/>
  <c r="H252" i="5"/>
  <c r="I252" i="5"/>
  <c r="Z252" i="5"/>
  <c r="AN252" i="5"/>
  <c r="AG253" i="5"/>
  <c r="AF253" i="5"/>
  <c r="C75" i="4"/>
  <c r="C253" i="5"/>
  <c r="T253" i="5"/>
  <c r="U253" i="5"/>
  <c r="P75" i="4"/>
  <c r="W253" i="5"/>
  <c r="Q75" i="4"/>
  <c r="X253" i="5"/>
  <c r="AA253" i="5"/>
  <c r="AI75" i="4"/>
  <c r="T75" i="4" a="1"/>
  <c r="T75" i="4"/>
  <c r="AC253" i="5"/>
  <c r="U75" i="4" a="1"/>
  <c r="U75" i="4"/>
  <c r="AD253" i="5"/>
  <c r="X75" i="4"/>
  <c r="AI253" i="5"/>
  <c r="Y75" i="4"/>
  <c r="AJ253" i="5"/>
  <c r="Z75" i="4"/>
  <c r="AL253" i="5"/>
  <c r="Z253" i="5"/>
  <c r="AN253" i="5"/>
  <c r="O254" i="5"/>
  <c r="B127" i="4"/>
  <c r="H127" i="4"/>
  <c r="K254" i="5"/>
  <c r="AG254" i="5"/>
  <c r="AF254" i="5"/>
  <c r="C127" i="4"/>
  <c r="C254" i="5"/>
  <c r="D127" i="4"/>
  <c r="E254" i="5"/>
  <c r="I127" i="4"/>
  <c r="L254" i="5"/>
  <c r="J127" i="4"/>
  <c r="N254" i="5"/>
  <c r="L127" i="4"/>
  <c r="Q254" i="5"/>
  <c r="M127" i="4"/>
  <c r="R254" i="5"/>
  <c r="T254" i="5"/>
  <c r="O127" i="4"/>
  <c r="U254" i="5"/>
  <c r="P127" i="4"/>
  <c r="W254" i="5"/>
  <c r="Q127" i="4"/>
  <c r="X254" i="5"/>
  <c r="AA254" i="5"/>
  <c r="AI127" i="4"/>
  <c r="T127" i="4" a="1"/>
  <c r="T127" i="4"/>
  <c r="AC254" i="5"/>
  <c r="U127" i="4" a="1"/>
  <c r="U127" i="4"/>
  <c r="AD254" i="5"/>
  <c r="X127" i="4"/>
  <c r="AI254" i="5"/>
  <c r="Y127" i="4"/>
  <c r="AJ254" i="5"/>
  <c r="Z127" i="4"/>
  <c r="AL254" i="5"/>
  <c r="F254" i="5"/>
  <c r="H254" i="5"/>
  <c r="I254" i="5"/>
  <c r="Z254" i="5"/>
  <c r="AN254" i="5"/>
  <c r="AG255" i="5"/>
  <c r="AF255" i="5"/>
  <c r="B159" i="4"/>
  <c r="C159" i="4"/>
  <c r="C255" i="5"/>
  <c r="D159" i="4"/>
  <c r="E255" i="5"/>
  <c r="H159" i="4"/>
  <c r="K255" i="5"/>
  <c r="L159" i="4"/>
  <c r="Q255" i="5"/>
  <c r="M159" i="4"/>
  <c r="R255" i="5"/>
  <c r="T255" i="5"/>
  <c r="O159" i="4"/>
  <c r="U255" i="5"/>
  <c r="W255" i="5"/>
  <c r="Q159" i="4"/>
  <c r="X255" i="5"/>
  <c r="AA255" i="5"/>
  <c r="AI159" i="4"/>
  <c r="T159" i="4" a="1"/>
  <c r="T159" i="4"/>
  <c r="AC255" i="5"/>
  <c r="U159" i="4" a="1"/>
  <c r="U159" i="4"/>
  <c r="AD255" i="5"/>
  <c r="X159" i="4"/>
  <c r="AI255" i="5"/>
  <c r="Y159" i="4"/>
  <c r="AJ255" i="5"/>
  <c r="Z159" i="4"/>
  <c r="AL255" i="5"/>
  <c r="F255" i="5"/>
  <c r="H255" i="5"/>
  <c r="I255" i="5"/>
  <c r="L255" i="5"/>
  <c r="N255" i="5"/>
  <c r="O255" i="5"/>
  <c r="Z255" i="5"/>
  <c r="AN255" i="5"/>
  <c r="AG256" i="5"/>
  <c r="AF256" i="5"/>
  <c r="B160" i="4"/>
  <c r="C160" i="4"/>
  <c r="C256" i="5"/>
  <c r="D160" i="4"/>
  <c r="E256" i="5"/>
  <c r="K256" i="5"/>
  <c r="L160" i="4"/>
  <c r="Q256" i="5"/>
  <c r="M160" i="4"/>
  <c r="R256" i="5"/>
  <c r="T256" i="5"/>
  <c r="U256" i="5"/>
  <c r="W256" i="5"/>
  <c r="Q160" i="4"/>
  <c r="X256" i="5"/>
  <c r="AA256" i="5"/>
  <c r="AI160" i="4"/>
  <c r="T160" i="4" a="1"/>
  <c r="T160" i="4"/>
  <c r="AC256" i="5"/>
  <c r="U160" i="4" a="1"/>
  <c r="U160" i="4"/>
  <c r="AD256" i="5"/>
  <c r="X160" i="4"/>
  <c r="AI256" i="5"/>
  <c r="Y160" i="4"/>
  <c r="AJ256" i="5"/>
  <c r="Z160" i="4"/>
  <c r="AL256" i="5"/>
  <c r="F256" i="5"/>
  <c r="H256" i="5"/>
  <c r="I256" i="5"/>
  <c r="L256" i="5"/>
  <c r="N256" i="5"/>
  <c r="O256" i="5"/>
  <c r="Z256" i="5"/>
  <c r="AN256" i="5"/>
  <c r="AG257" i="5"/>
  <c r="AF257" i="5"/>
  <c r="B236" i="4"/>
  <c r="C236" i="4"/>
  <c r="C257" i="5"/>
  <c r="D236" i="4"/>
  <c r="E257" i="5"/>
  <c r="H236" i="4"/>
  <c r="K257" i="5"/>
  <c r="L236" i="4"/>
  <c r="Q257" i="5"/>
  <c r="M236" i="4"/>
  <c r="R257" i="5"/>
  <c r="T257" i="5"/>
  <c r="O236" i="4"/>
  <c r="U257" i="5"/>
  <c r="P236" i="4"/>
  <c r="W257" i="5"/>
  <c r="Q236" i="4"/>
  <c r="X257" i="5"/>
  <c r="S236" i="4"/>
  <c r="AA257" i="5"/>
  <c r="AI236" i="4"/>
  <c r="T236" i="4" a="1"/>
  <c r="T236" i="4"/>
  <c r="AC257" i="5"/>
  <c r="U236" i="4" a="1"/>
  <c r="U236" i="4"/>
  <c r="AD257" i="5"/>
  <c r="X236" i="4"/>
  <c r="AI257" i="5"/>
  <c r="Y236" i="4"/>
  <c r="AJ257" i="5"/>
  <c r="Z236" i="4"/>
  <c r="AL257" i="5"/>
  <c r="F257" i="5"/>
  <c r="H257" i="5"/>
  <c r="I257" i="5"/>
  <c r="L257" i="5"/>
  <c r="N257" i="5"/>
  <c r="O257" i="5"/>
  <c r="Z257" i="5"/>
  <c r="AN257" i="5"/>
  <c r="AG258" i="5"/>
  <c r="AF258" i="5"/>
  <c r="B57" i="4"/>
  <c r="C57" i="4"/>
  <c r="C258" i="5"/>
  <c r="D57" i="4"/>
  <c r="E258" i="5"/>
  <c r="K258" i="5"/>
  <c r="L57" i="4"/>
  <c r="Q258" i="5"/>
  <c r="M57" i="4"/>
  <c r="R258" i="5"/>
  <c r="T258" i="5"/>
  <c r="U258" i="5"/>
  <c r="P57" i="4"/>
  <c r="W258" i="5"/>
  <c r="Q57" i="4"/>
  <c r="X258" i="5"/>
  <c r="S57" i="4"/>
  <c r="AA258" i="5"/>
  <c r="AI57" i="4"/>
  <c r="T57" i="4" a="1"/>
  <c r="T57" i="4"/>
  <c r="AC258" i="5"/>
  <c r="U57" i="4" a="1"/>
  <c r="U57" i="4"/>
  <c r="AD258" i="5"/>
  <c r="X57" i="4"/>
  <c r="AI258" i="5"/>
  <c r="Y57" i="4"/>
  <c r="AJ258" i="5"/>
  <c r="Z57" i="4"/>
  <c r="AL258" i="5"/>
  <c r="F258" i="5"/>
  <c r="H258" i="5"/>
  <c r="I258" i="5"/>
  <c r="L258" i="5"/>
  <c r="N258" i="5"/>
  <c r="O258" i="5"/>
  <c r="Z258" i="5"/>
  <c r="AN258" i="5"/>
  <c r="AG259" i="5"/>
  <c r="AF259" i="5"/>
  <c r="B58" i="4"/>
  <c r="C58" i="4"/>
  <c r="C259" i="5"/>
  <c r="D58" i="4"/>
  <c r="E259" i="5"/>
  <c r="K259" i="5"/>
  <c r="L58" i="4"/>
  <c r="Q259" i="5"/>
  <c r="M58" i="4"/>
  <c r="R259" i="5"/>
  <c r="T259" i="5"/>
  <c r="U259" i="5"/>
  <c r="P58" i="4"/>
  <c r="W259" i="5"/>
  <c r="Q58" i="4"/>
  <c r="X259" i="5"/>
  <c r="S58" i="4"/>
  <c r="AA259" i="5"/>
  <c r="AI58" i="4"/>
  <c r="T58" i="4" a="1"/>
  <c r="T58" i="4"/>
  <c r="AC259" i="5"/>
  <c r="U58" i="4" a="1"/>
  <c r="U58" i="4"/>
  <c r="AD259" i="5"/>
  <c r="X58" i="4"/>
  <c r="AI259" i="5"/>
  <c r="Y58" i="4"/>
  <c r="AJ259" i="5"/>
  <c r="Z58" i="4"/>
  <c r="AL259" i="5"/>
  <c r="F259" i="5"/>
  <c r="H259" i="5"/>
  <c r="I259" i="5"/>
  <c r="L259" i="5"/>
  <c r="N259" i="5"/>
  <c r="O259" i="5"/>
  <c r="Z259" i="5"/>
  <c r="AN259" i="5"/>
  <c r="AG260" i="5"/>
  <c r="AF260" i="5"/>
  <c r="B60" i="4"/>
  <c r="C60" i="4"/>
  <c r="C260" i="5"/>
  <c r="D60" i="4"/>
  <c r="E260" i="5"/>
  <c r="K260" i="5"/>
  <c r="L60" i="4"/>
  <c r="Q260" i="5"/>
  <c r="M60" i="4"/>
  <c r="R260" i="5"/>
  <c r="N60" i="4"/>
  <c r="T260" i="5"/>
  <c r="O2" i="2"/>
  <c r="O60" i="4"/>
  <c r="U260" i="5"/>
  <c r="P60" i="4"/>
  <c r="W260" i="5"/>
  <c r="Q60" i="4"/>
  <c r="X260" i="5"/>
  <c r="S60" i="4"/>
  <c r="AA260" i="5"/>
  <c r="AI60" i="4"/>
  <c r="T60" i="4" a="1"/>
  <c r="T60" i="4"/>
  <c r="AC260" i="5"/>
  <c r="U60" i="4" a="1"/>
  <c r="U60" i="4"/>
  <c r="AD260" i="5"/>
  <c r="X60" i="4"/>
  <c r="AI260" i="5"/>
  <c r="Y60" i="4"/>
  <c r="AJ260" i="5"/>
  <c r="Z60" i="4"/>
  <c r="AL260" i="5"/>
  <c r="F260" i="5"/>
  <c r="H260" i="5"/>
  <c r="I260" i="5"/>
  <c r="L260" i="5"/>
  <c r="N260" i="5"/>
  <c r="O260" i="5"/>
  <c r="Z260" i="5"/>
  <c r="AN260" i="5"/>
  <c r="AG261" i="5"/>
  <c r="AF261" i="5"/>
  <c r="B73" i="4"/>
  <c r="C73" i="4"/>
  <c r="C261" i="5"/>
  <c r="D73" i="4"/>
  <c r="E261" i="5"/>
  <c r="K261" i="5"/>
  <c r="L73" i="4"/>
  <c r="Q261" i="5"/>
  <c r="M73" i="4"/>
  <c r="R261" i="5"/>
  <c r="T261" i="5"/>
  <c r="U261" i="5"/>
  <c r="P73" i="4"/>
  <c r="W261" i="5"/>
  <c r="Q73" i="4"/>
  <c r="X261" i="5"/>
  <c r="S73" i="4"/>
  <c r="AA261" i="5"/>
  <c r="AI73" i="4"/>
  <c r="T73" i="4" a="1"/>
  <c r="T73" i="4"/>
  <c r="AC261" i="5"/>
  <c r="U73" i="4" a="1"/>
  <c r="U73" i="4"/>
  <c r="AD261" i="5"/>
  <c r="X73" i="4"/>
  <c r="AI261" i="5"/>
  <c r="Y73" i="4"/>
  <c r="AJ261" i="5"/>
  <c r="Z73" i="4"/>
  <c r="AL261" i="5"/>
  <c r="F261" i="5"/>
  <c r="H261" i="5"/>
  <c r="I261" i="5"/>
  <c r="L261" i="5"/>
  <c r="N261" i="5"/>
  <c r="O261" i="5"/>
  <c r="Z261" i="5"/>
  <c r="AN261" i="5"/>
  <c r="AG262" i="5"/>
  <c r="AF262" i="5"/>
  <c r="C76" i="4"/>
  <c r="C262" i="5"/>
  <c r="N76" i="4"/>
  <c r="T262" i="5"/>
  <c r="O76" i="4"/>
  <c r="U262" i="5"/>
  <c r="P76" i="4"/>
  <c r="W262" i="5"/>
  <c r="Q76" i="4"/>
  <c r="X262" i="5"/>
  <c r="AA262" i="5"/>
  <c r="AI76" i="4"/>
  <c r="T76" i="4" a="1"/>
  <c r="T76" i="4"/>
  <c r="AC262" i="5"/>
  <c r="U76" i="4" a="1"/>
  <c r="U76" i="4"/>
  <c r="AD262" i="5"/>
  <c r="X76" i="4"/>
  <c r="AI262" i="5"/>
  <c r="Y76" i="4"/>
  <c r="AJ262" i="5"/>
  <c r="Z76" i="4"/>
  <c r="AL262" i="5"/>
  <c r="F262" i="5"/>
  <c r="H262" i="5"/>
  <c r="I262" i="5"/>
  <c r="L262" i="5"/>
  <c r="N262" i="5"/>
  <c r="O262" i="5"/>
  <c r="Z262" i="5"/>
  <c r="AN262" i="5"/>
  <c r="O263" i="5"/>
  <c r="K263" i="5"/>
  <c r="AG263" i="5"/>
  <c r="AF263" i="5"/>
  <c r="B24" i="4"/>
  <c r="C24" i="4"/>
  <c r="C263" i="5"/>
  <c r="D24" i="4"/>
  <c r="E263" i="5"/>
  <c r="E24" i="4"/>
  <c r="F263" i="5"/>
  <c r="F24" i="4"/>
  <c r="H263" i="5"/>
  <c r="I263" i="5"/>
  <c r="I24" i="4"/>
  <c r="L263" i="5"/>
  <c r="J24" i="4"/>
  <c r="N263" i="5"/>
  <c r="L24" i="4"/>
  <c r="Q263" i="5"/>
  <c r="M24" i="4"/>
  <c r="R263" i="5"/>
  <c r="N24" i="4"/>
  <c r="T263" i="5"/>
  <c r="U263" i="5"/>
  <c r="P24" i="4"/>
  <c r="W263" i="5"/>
  <c r="Q24" i="4"/>
  <c r="X263" i="5"/>
  <c r="S24" i="4"/>
  <c r="AA263" i="5"/>
  <c r="AI24" i="4"/>
  <c r="T24" i="4" a="1"/>
  <c r="T24" i="4"/>
  <c r="AC263" i="5"/>
  <c r="U24" i="4" a="1"/>
  <c r="U24" i="4"/>
  <c r="AD263" i="5"/>
  <c r="AI263" i="5"/>
  <c r="Y24" i="4"/>
  <c r="AJ263" i="5"/>
  <c r="Z24" i="4"/>
  <c r="AL263" i="5"/>
  <c r="Z263" i="5"/>
  <c r="AN263" i="5"/>
  <c r="AG264" i="5"/>
  <c r="AF264" i="5"/>
  <c r="B26" i="4"/>
  <c r="C26" i="4"/>
  <c r="C264" i="5"/>
  <c r="D26" i="4"/>
  <c r="E264" i="5"/>
  <c r="H26" i="4"/>
  <c r="K264" i="5"/>
  <c r="I26" i="4"/>
  <c r="L264" i="5"/>
  <c r="J26" i="4"/>
  <c r="N264" i="5"/>
  <c r="O264" i="5"/>
  <c r="L26" i="4"/>
  <c r="Q264" i="5"/>
  <c r="M26" i="4"/>
  <c r="R264" i="5"/>
  <c r="N26" i="4"/>
  <c r="T264" i="5"/>
  <c r="O26" i="4"/>
  <c r="U264" i="5"/>
  <c r="P26" i="4"/>
  <c r="W264" i="5"/>
  <c r="Q26" i="4"/>
  <c r="X264" i="5"/>
  <c r="S26" i="4"/>
  <c r="AA264" i="5"/>
  <c r="AI26" i="4"/>
  <c r="T26" i="4" a="1"/>
  <c r="T26" i="4"/>
  <c r="AC264" i="5"/>
  <c r="U26" i="4" a="1"/>
  <c r="U26" i="4"/>
  <c r="AD264" i="5"/>
  <c r="X26" i="4"/>
  <c r="AI264" i="5"/>
  <c r="Y26" i="4"/>
  <c r="AJ264" i="5"/>
  <c r="Z26" i="4"/>
  <c r="AL264" i="5"/>
  <c r="F264" i="5"/>
  <c r="H264" i="5"/>
  <c r="I264" i="5"/>
  <c r="Z264" i="5"/>
  <c r="AN264" i="5"/>
  <c r="AG265" i="5"/>
  <c r="AF265" i="5"/>
  <c r="B27" i="4"/>
  <c r="C27" i="4"/>
  <c r="C265" i="5"/>
  <c r="D27" i="4"/>
  <c r="E265" i="5"/>
  <c r="K265" i="5"/>
  <c r="I27" i="4"/>
  <c r="L265" i="5"/>
  <c r="J27" i="4"/>
  <c r="N265" i="5"/>
  <c r="O265" i="5"/>
  <c r="L27" i="4"/>
  <c r="Q265" i="5"/>
  <c r="M27" i="4"/>
  <c r="R265" i="5"/>
  <c r="N27" i="4"/>
  <c r="T265" i="5"/>
  <c r="U265" i="5"/>
  <c r="P27" i="4"/>
  <c r="W265" i="5"/>
  <c r="Q27" i="4"/>
  <c r="X265" i="5"/>
  <c r="S27" i="4"/>
  <c r="AA265" i="5"/>
  <c r="AI27" i="4"/>
  <c r="T27" i="4" a="1"/>
  <c r="T27" i="4"/>
  <c r="AC265" i="5"/>
  <c r="U27" i="4" a="1"/>
  <c r="U27" i="4"/>
  <c r="AD265" i="5"/>
  <c r="X27" i="4"/>
  <c r="AI265" i="5"/>
  <c r="Y27" i="4"/>
  <c r="AJ265" i="5"/>
  <c r="Z27" i="4"/>
  <c r="AL265" i="5"/>
  <c r="F265" i="5"/>
  <c r="H265" i="5"/>
  <c r="I265" i="5"/>
  <c r="Z265" i="5"/>
  <c r="AN265" i="5"/>
  <c r="AG266" i="5"/>
  <c r="AF266" i="5"/>
  <c r="B52" i="4"/>
  <c r="C52" i="4"/>
  <c r="C266" i="5"/>
  <c r="D52" i="4"/>
  <c r="E266" i="5"/>
  <c r="K266" i="5"/>
  <c r="L52" i="4"/>
  <c r="Q266" i="5"/>
  <c r="M52" i="4"/>
  <c r="R266" i="5"/>
  <c r="N52" i="4"/>
  <c r="T266" i="5"/>
  <c r="U266" i="5"/>
  <c r="P52" i="4"/>
  <c r="W266" i="5"/>
  <c r="Q52" i="4"/>
  <c r="X266" i="5"/>
  <c r="S52" i="4"/>
  <c r="AA266" i="5"/>
  <c r="AI52" i="4"/>
  <c r="T52" i="4" a="1"/>
  <c r="T52" i="4"/>
  <c r="AC266" i="5"/>
  <c r="U52" i="4" a="1"/>
  <c r="U52" i="4"/>
  <c r="AD266" i="5"/>
  <c r="X52" i="4"/>
  <c r="AI266" i="5"/>
  <c r="Y52" i="4"/>
  <c r="AJ266" i="5"/>
  <c r="Z52" i="4"/>
  <c r="AL266" i="5"/>
  <c r="F266" i="5"/>
  <c r="L266" i="5"/>
  <c r="N266" i="5"/>
  <c r="O266" i="5"/>
  <c r="H266" i="5"/>
  <c r="I266" i="5"/>
  <c r="Z266" i="5"/>
  <c r="AN266" i="5"/>
  <c r="AG267" i="5"/>
  <c r="AF267" i="5"/>
  <c r="B97" i="4"/>
  <c r="C97" i="4"/>
  <c r="C267" i="5"/>
  <c r="D97" i="4"/>
  <c r="E267" i="5"/>
  <c r="E97" i="4"/>
  <c r="F267" i="5"/>
  <c r="F97" i="4"/>
  <c r="H267" i="5"/>
  <c r="I267" i="5"/>
  <c r="H97" i="4"/>
  <c r="K267" i="5"/>
  <c r="L97" i="4"/>
  <c r="Q267" i="5"/>
  <c r="M97" i="4"/>
  <c r="R267" i="5"/>
  <c r="N97" i="4"/>
  <c r="T267" i="5"/>
  <c r="O97" i="4"/>
  <c r="U267" i="5"/>
  <c r="P97" i="4"/>
  <c r="W267" i="5"/>
  <c r="Q97" i="4"/>
  <c r="X267" i="5"/>
  <c r="S97" i="4"/>
  <c r="AA267" i="5"/>
  <c r="AI97" i="4"/>
  <c r="T97" i="4" a="1"/>
  <c r="T97" i="4"/>
  <c r="AC267" i="5"/>
  <c r="U97" i="4" a="1"/>
  <c r="U97" i="4"/>
  <c r="AD267" i="5"/>
  <c r="X97" i="4"/>
  <c r="AI267" i="5"/>
  <c r="Y97" i="4"/>
  <c r="AJ267" i="5"/>
  <c r="Z97" i="4"/>
  <c r="AL267" i="5"/>
  <c r="L267" i="5"/>
  <c r="N267" i="5"/>
  <c r="O267" i="5"/>
  <c r="Z267" i="5"/>
  <c r="AN267" i="5"/>
  <c r="O268" i="5"/>
  <c r="B98" i="4"/>
  <c r="H98" i="4"/>
  <c r="K268" i="5"/>
  <c r="AG268" i="5"/>
  <c r="AF268" i="5"/>
  <c r="C98" i="4"/>
  <c r="C268" i="5"/>
  <c r="D98" i="4"/>
  <c r="E268" i="5"/>
  <c r="I7" i="2"/>
  <c r="I98" i="4"/>
  <c r="L268" i="5"/>
  <c r="J7" i="2"/>
  <c r="J98" i="4"/>
  <c r="N268" i="5"/>
  <c r="L98" i="4"/>
  <c r="Q268" i="5"/>
  <c r="M98" i="4"/>
  <c r="R268" i="5"/>
  <c r="T268" i="5"/>
  <c r="O98" i="4"/>
  <c r="U268" i="5"/>
  <c r="P98" i="4"/>
  <c r="W268" i="5"/>
  <c r="Q98" i="4"/>
  <c r="X268" i="5"/>
  <c r="S98" i="4"/>
  <c r="AA268" i="5"/>
  <c r="AI98" i="4"/>
  <c r="T98" i="4" a="1"/>
  <c r="T98" i="4"/>
  <c r="AC268" i="5"/>
  <c r="U98" i="4" a="1"/>
  <c r="U98" i="4"/>
  <c r="AD268" i="5"/>
  <c r="X98" i="4"/>
  <c r="AI268" i="5"/>
  <c r="Y98" i="4"/>
  <c r="AJ268" i="5"/>
  <c r="Z98" i="4"/>
  <c r="AL268" i="5"/>
  <c r="F268" i="5"/>
  <c r="H268" i="5"/>
  <c r="I268" i="5"/>
  <c r="Z268" i="5"/>
  <c r="AN268" i="5"/>
  <c r="B101" i="4"/>
  <c r="S101" i="4"/>
  <c r="AA269" i="5"/>
  <c r="P101" i="4"/>
  <c r="W269" i="5"/>
  <c r="AG269" i="5"/>
  <c r="AF269" i="5"/>
  <c r="C101" i="4"/>
  <c r="C269" i="5"/>
  <c r="D101" i="4"/>
  <c r="E269" i="5"/>
  <c r="E101" i="4"/>
  <c r="F269" i="5"/>
  <c r="F101" i="4"/>
  <c r="H269" i="5"/>
  <c r="I269" i="5"/>
  <c r="K269" i="5"/>
  <c r="L101" i="4"/>
  <c r="Q269" i="5"/>
  <c r="M101" i="4"/>
  <c r="R269" i="5"/>
  <c r="T269" i="5"/>
  <c r="U269" i="5"/>
  <c r="Q101" i="4"/>
  <c r="X269" i="5"/>
  <c r="R101" i="4"/>
  <c r="Z269" i="5"/>
  <c r="AI101" i="4"/>
  <c r="T101" i="4" a="1"/>
  <c r="T101" i="4"/>
  <c r="AC269" i="5"/>
  <c r="U101" i="4" a="1"/>
  <c r="U101" i="4"/>
  <c r="AD269" i="5"/>
  <c r="X101" i="4"/>
  <c r="AI269" i="5"/>
  <c r="Y101" i="4"/>
  <c r="AJ269" i="5"/>
  <c r="Z101" i="4"/>
  <c r="AL269" i="5"/>
  <c r="L269" i="5"/>
  <c r="N269" i="5"/>
  <c r="O269" i="5"/>
  <c r="AN269" i="5"/>
  <c r="B102" i="4"/>
  <c r="S102" i="4"/>
  <c r="AA270" i="5"/>
  <c r="P102" i="4"/>
  <c r="W270" i="5"/>
  <c r="AG270" i="5"/>
  <c r="AF270" i="5"/>
  <c r="C102" i="4"/>
  <c r="C270" i="5"/>
  <c r="D102" i="4"/>
  <c r="E270" i="5"/>
  <c r="E102" i="4"/>
  <c r="F270" i="5"/>
  <c r="F102" i="4"/>
  <c r="H270" i="5"/>
  <c r="I270" i="5"/>
  <c r="K270" i="5"/>
  <c r="L102" i="4"/>
  <c r="Q270" i="5"/>
  <c r="O102" i="4"/>
  <c r="U270" i="5"/>
  <c r="Q102" i="4"/>
  <c r="X270" i="5"/>
  <c r="R102" i="4"/>
  <c r="Z270" i="5"/>
  <c r="AI102" i="4"/>
  <c r="T102" i="4" a="1"/>
  <c r="T102" i="4"/>
  <c r="AC270" i="5"/>
  <c r="U102" i="4" a="1"/>
  <c r="U102" i="4"/>
  <c r="AD270" i="5"/>
  <c r="X102" i="4"/>
  <c r="AI270" i="5"/>
  <c r="Y102" i="4"/>
  <c r="AJ270" i="5"/>
  <c r="Z102" i="4"/>
  <c r="AL270" i="5"/>
  <c r="L270" i="5"/>
  <c r="N270" i="5"/>
  <c r="O270" i="5"/>
  <c r="R270" i="5"/>
  <c r="AN270" i="5"/>
  <c r="O271" i="5"/>
  <c r="B103" i="4"/>
  <c r="H103" i="4"/>
  <c r="K271" i="5"/>
  <c r="AG271" i="5"/>
  <c r="AF271" i="5"/>
  <c r="C103" i="4"/>
  <c r="C271" i="5"/>
  <c r="D103" i="4"/>
  <c r="E271" i="5"/>
  <c r="E103" i="4"/>
  <c r="F271" i="5"/>
  <c r="F103" i="4"/>
  <c r="H271" i="5"/>
  <c r="I271" i="5"/>
  <c r="I103" i="4"/>
  <c r="L271" i="5"/>
  <c r="J103" i="4"/>
  <c r="N271" i="5"/>
  <c r="L103" i="4"/>
  <c r="Q271" i="5"/>
  <c r="M103" i="4"/>
  <c r="R271" i="5"/>
  <c r="N103" i="4"/>
  <c r="T271" i="5"/>
  <c r="O103" i="4"/>
  <c r="U271" i="5"/>
  <c r="P103" i="4"/>
  <c r="W271" i="5"/>
  <c r="Q103" i="4"/>
  <c r="X271" i="5"/>
  <c r="S103" i="4"/>
  <c r="AA271" i="5"/>
  <c r="AI103" i="4"/>
  <c r="T103" i="4" a="1"/>
  <c r="T103" i="4"/>
  <c r="AC271" i="5"/>
  <c r="U103" i="4" a="1"/>
  <c r="U103" i="4"/>
  <c r="AD271" i="5"/>
  <c r="X103" i="4"/>
  <c r="AI271" i="5"/>
  <c r="Y103" i="4"/>
  <c r="AJ271" i="5"/>
  <c r="Z103" i="4"/>
  <c r="AL271" i="5"/>
  <c r="Z271" i="5"/>
  <c r="AN271" i="5"/>
  <c r="O272" i="5"/>
  <c r="B106" i="4"/>
  <c r="H106" i="4"/>
  <c r="K272" i="5"/>
  <c r="AG272" i="5"/>
  <c r="AF272" i="5"/>
  <c r="C106" i="4"/>
  <c r="C272" i="5"/>
  <c r="D106" i="4"/>
  <c r="E272" i="5"/>
  <c r="E106" i="4"/>
  <c r="F272" i="5"/>
  <c r="F106" i="4"/>
  <c r="H272" i="5"/>
  <c r="I272" i="5"/>
  <c r="I43" i="2"/>
  <c r="I106" i="4"/>
  <c r="L272" i="5"/>
  <c r="J43" i="2"/>
  <c r="J106" i="4"/>
  <c r="N272" i="5"/>
  <c r="L106" i="4"/>
  <c r="Q272" i="5"/>
  <c r="M106" i="4"/>
  <c r="R272" i="5"/>
  <c r="T272" i="5"/>
  <c r="O106" i="4"/>
  <c r="U272" i="5"/>
  <c r="W272" i="5"/>
  <c r="Q106" i="4"/>
  <c r="X272" i="5"/>
  <c r="AA272" i="5"/>
  <c r="AI106" i="4"/>
  <c r="T106" i="4" a="1"/>
  <c r="T106" i="4"/>
  <c r="AC272" i="5"/>
  <c r="U106" i="4" a="1"/>
  <c r="U106" i="4"/>
  <c r="AD272" i="5"/>
  <c r="X106" i="4"/>
  <c r="AI272" i="5"/>
  <c r="Y106" i="4"/>
  <c r="AJ272" i="5"/>
  <c r="Z106" i="4"/>
  <c r="AL272" i="5"/>
  <c r="Z272" i="5"/>
  <c r="AN272" i="5"/>
  <c r="AG273" i="5"/>
  <c r="AF273" i="5"/>
  <c r="B111" i="4"/>
  <c r="C111" i="4"/>
  <c r="C273" i="5"/>
  <c r="D111" i="4"/>
  <c r="E273" i="5"/>
  <c r="H111" i="4"/>
  <c r="K273" i="5"/>
  <c r="L111" i="4"/>
  <c r="Q273" i="5"/>
  <c r="M111" i="4"/>
  <c r="R273" i="5"/>
  <c r="T273" i="5"/>
  <c r="O111" i="4"/>
  <c r="U273" i="5"/>
  <c r="P111" i="4"/>
  <c r="W273" i="5"/>
  <c r="Q111" i="4"/>
  <c r="X273" i="5"/>
  <c r="S111" i="4"/>
  <c r="AA273" i="5"/>
  <c r="AI111" i="4"/>
  <c r="T111" i="4" a="1"/>
  <c r="T111" i="4"/>
  <c r="AC273" i="5"/>
  <c r="U111" i="4" a="1"/>
  <c r="U111" i="4"/>
  <c r="AD273" i="5"/>
  <c r="X111" i="4"/>
  <c r="AI273" i="5"/>
  <c r="Y111" i="4"/>
  <c r="AJ273" i="5"/>
  <c r="Z111" i="4"/>
  <c r="AL273" i="5"/>
  <c r="F273" i="5"/>
  <c r="L273" i="5"/>
  <c r="N273" i="5"/>
  <c r="O273" i="5"/>
  <c r="H273" i="5"/>
  <c r="I273" i="5"/>
  <c r="Z273" i="5"/>
  <c r="AN273" i="5"/>
  <c r="O274" i="5"/>
  <c r="K274" i="5"/>
  <c r="AG274" i="5"/>
  <c r="AF274" i="5"/>
  <c r="B114" i="4"/>
  <c r="C114" i="4"/>
  <c r="C274" i="5"/>
  <c r="D114" i="4"/>
  <c r="E274" i="5"/>
  <c r="L274" i="5"/>
  <c r="N274" i="5"/>
  <c r="L114" i="4"/>
  <c r="Q274" i="5"/>
  <c r="M114" i="4"/>
  <c r="R274" i="5"/>
  <c r="N114" i="4"/>
  <c r="T274" i="5"/>
  <c r="U274" i="5"/>
  <c r="P114" i="4"/>
  <c r="W274" i="5"/>
  <c r="X274" i="5"/>
  <c r="AA274" i="5"/>
  <c r="AI114" i="4"/>
  <c r="T114" i="4" a="1"/>
  <c r="T114" i="4"/>
  <c r="AC274" i="5"/>
  <c r="U114" i="4" a="1"/>
  <c r="U114" i="4"/>
  <c r="AD274" i="5"/>
  <c r="X114" i="4"/>
  <c r="AI274" i="5"/>
  <c r="Y114" i="4"/>
  <c r="AJ274" i="5"/>
  <c r="Z114" i="4"/>
  <c r="AL274" i="5"/>
  <c r="F274" i="5"/>
  <c r="H274" i="5"/>
  <c r="I274" i="5"/>
  <c r="Z274" i="5"/>
  <c r="AN274" i="5"/>
  <c r="AG275" i="5"/>
  <c r="AF275" i="5"/>
  <c r="B138" i="4"/>
  <c r="C138" i="4"/>
  <c r="C275" i="5"/>
  <c r="D138" i="4"/>
  <c r="E275" i="5"/>
  <c r="H138" i="4"/>
  <c r="K275" i="5"/>
  <c r="L138" i="4"/>
  <c r="Q275" i="5"/>
  <c r="M138" i="4"/>
  <c r="R275" i="5"/>
  <c r="N138" i="4"/>
  <c r="T275" i="5"/>
  <c r="U275" i="5"/>
  <c r="P138" i="4"/>
  <c r="W275" i="5"/>
  <c r="Q138" i="4"/>
  <c r="X275" i="5"/>
  <c r="AA275" i="5"/>
  <c r="AI138" i="4"/>
  <c r="T138" i="4" a="1"/>
  <c r="T138" i="4"/>
  <c r="AC275" i="5"/>
  <c r="U138" i="4" a="1"/>
  <c r="U138" i="4"/>
  <c r="AD275" i="5"/>
  <c r="Y138" i="4"/>
  <c r="AJ275" i="5"/>
  <c r="Z138" i="4"/>
  <c r="AL275" i="5"/>
  <c r="F275" i="5"/>
  <c r="L275" i="5"/>
  <c r="N275" i="5"/>
  <c r="O275" i="5"/>
  <c r="H275" i="5"/>
  <c r="I275" i="5"/>
  <c r="Z275" i="5"/>
  <c r="AN275" i="5"/>
  <c r="O276" i="5"/>
  <c r="B143" i="4"/>
  <c r="H143" i="4"/>
  <c r="K276" i="5"/>
  <c r="AG276" i="5"/>
  <c r="AF276" i="5"/>
  <c r="C143" i="4"/>
  <c r="C276" i="5"/>
  <c r="D143" i="4"/>
  <c r="E276" i="5"/>
  <c r="E143" i="4"/>
  <c r="F276" i="5"/>
  <c r="F143" i="4"/>
  <c r="H276" i="5"/>
  <c r="I276" i="5"/>
  <c r="I143" i="4"/>
  <c r="L276" i="5"/>
  <c r="J143" i="4"/>
  <c r="N276" i="5"/>
  <c r="L143" i="4"/>
  <c r="Q276" i="5"/>
  <c r="M143" i="4"/>
  <c r="R276" i="5"/>
  <c r="N143" i="4"/>
  <c r="T276" i="5"/>
  <c r="O143" i="4"/>
  <c r="U276" i="5"/>
  <c r="P143" i="4"/>
  <c r="W276" i="5"/>
  <c r="Q143" i="4"/>
  <c r="X276" i="5"/>
  <c r="AA276" i="5"/>
  <c r="AI143" i="4"/>
  <c r="T143" i="4" a="1"/>
  <c r="T143" i="4"/>
  <c r="AC276" i="5"/>
  <c r="U143" i="4" a="1"/>
  <c r="U143" i="4"/>
  <c r="AD276" i="5"/>
  <c r="X143" i="4"/>
  <c r="AI276" i="5"/>
  <c r="Y143" i="4"/>
  <c r="AJ276" i="5"/>
  <c r="Z143" i="4"/>
  <c r="AL276" i="5"/>
  <c r="Z276" i="5"/>
  <c r="AN276" i="5"/>
  <c r="AG277" i="5"/>
  <c r="AF277" i="5"/>
  <c r="B144" i="4"/>
  <c r="C144" i="4"/>
  <c r="C277" i="5"/>
  <c r="D144" i="4"/>
  <c r="E277" i="5"/>
  <c r="H144" i="4"/>
  <c r="K277" i="5"/>
  <c r="L144" i="4"/>
  <c r="Q277" i="5"/>
  <c r="M144" i="4"/>
  <c r="R277" i="5"/>
  <c r="N144" i="4"/>
  <c r="T277" i="5"/>
  <c r="U277" i="5"/>
  <c r="P144" i="4"/>
  <c r="W277" i="5"/>
  <c r="Q144" i="4"/>
  <c r="X277" i="5"/>
  <c r="AA277" i="5"/>
  <c r="AI144" i="4"/>
  <c r="T144" i="4" a="1"/>
  <c r="T144" i="4"/>
  <c r="AC277" i="5"/>
  <c r="U144" i="4" a="1"/>
  <c r="U144" i="4"/>
  <c r="AD277" i="5"/>
  <c r="X144" i="4"/>
  <c r="AI277" i="5"/>
  <c r="Y144" i="4"/>
  <c r="AJ277" i="5"/>
  <c r="Z144" i="4"/>
  <c r="AL277" i="5"/>
  <c r="L277" i="5"/>
  <c r="N277" i="5"/>
  <c r="O277" i="5"/>
  <c r="F277" i="5"/>
  <c r="H277" i="5"/>
  <c r="I277" i="5"/>
  <c r="Z277" i="5"/>
  <c r="AN277" i="5"/>
  <c r="O278" i="5"/>
  <c r="K278" i="5"/>
  <c r="AG278" i="5"/>
  <c r="AF278" i="5"/>
  <c r="C145" i="4"/>
  <c r="C278" i="5"/>
  <c r="D145" i="4"/>
  <c r="E278" i="5"/>
  <c r="I145" i="4"/>
  <c r="L278" i="5"/>
  <c r="J145" i="4"/>
  <c r="N278" i="5"/>
  <c r="L145" i="4"/>
  <c r="Q278" i="5"/>
  <c r="M145" i="4"/>
  <c r="R278" i="5"/>
  <c r="N145" i="4"/>
  <c r="T278" i="5"/>
  <c r="O145" i="4"/>
  <c r="U278" i="5"/>
  <c r="P145" i="4"/>
  <c r="W278" i="5"/>
  <c r="Q145" i="4"/>
  <c r="X278" i="5"/>
  <c r="S145" i="4"/>
  <c r="AA278" i="5"/>
  <c r="AI145" i="4"/>
  <c r="T145" i="4" a="1"/>
  <c r="T145" i="4"/>
  <c r="AC278" i="5"/>
  <c r="U145" i="4" a="1"/>
  <c r="U145" i="4"/>
  <c r="AD278" i="5"/>
  <c r="AI278" i="5"/>
  <c r="Y145" i="4"/>
  <c r="AJ278" i="5"/>
  <c r="Z145" i="4"/>
  <c r="AL278" i="5"/>
  <c r="F278" i="5"/>
  <c r="H278" i="5"/>
  <c r="I278" i="5"/>
  <c r="Z278" i="5"/>
  <c r="AN278" i="5"/>
  <c r="AG279" i="5"/>
  <c r="AF279" i="5"/>
  <c r="B148" i="4"/>
  <c r="C148" i="4"/>
  <c r="C279" i="5"/>
  <c r="D148" i="4"/>
  <c r="E279" i="5"/>
  <c r="H148" i="4"/>
  <c r="K279" i="5"/>
  <c r="L148" i="4"/>
  <c r="Q279" i="5"/>
  <c r="M148" i="4"/>
  <c r="R279" i="5"/>
  <c r="T279" i="5"/>
  <c r="O148" i="4"/>
  <c r="U279" i="5"/>
  <c r="P148" i="4"/>
  <c r="W279" i="5"/>
  <c r="Q148" i="4"/>
  <c r="X279" i="5"/>
  <c r="S148" i="4"/>
  <c r="AA279" i="5"/>
  <c r="AI148" i="4"/>
  <c r="T148" i="4" a="1"/>
  <c r="T148" i="4"/>
  <c r="AC279" i="5"/>
  <c r="U148" i="4" a="1"/>
  <c r="U148" i="4"/>
  <c r="AD279" i="5"/>
  <c r="X148" i="4"/>
  <c r="AI279" i="5"/>
  <c r="Y148" i="4"/>
  <c r="AJ279" i="5"/>
  <c r="Z148" i="4"/>
  <c r="AL279" i="5"/>
  <c r="F279" i="5"/>
  <c r="H279" i="5"/>
  <c r="I279" i="5"/>
  <c r="L279" i="5"/>
  <c r="N279" i="5"/>
  <c r="O279" i="5"/>
  <c r="Z279" i="5"/>
  <c r="AN279" i="5"/>
  <c r="AG280" i="5"/>
  <c r="AF280" i="5"/>
  <c r="C194" i="4"/>
  <c r="C280" i="5"/>
  <c r="T280" i="5"/>
  <c r="O194" i="4"/>
  <c r="U280" i="5"/>
  <c r="P194" i="4"/>
  <c r="W280" i="5"/>
  <c r="Q194" i="4"/>
  <c r="X280" i="5"/>
  <c r="S194" i="4"/>
  <c r="AA280" i="5"/>
  <c r="AI194" i="4"/>
  <c r="T194" i="4" a="1"/>
  <c r="T194" i="4"/>
  <c r="AC280" i="5"/>
  <c r="U194" i="4" a="1"/>
  <c r="U194" i="4"/>
  <c r="AD280" i="5"/>
  <c r="X194" i="4"/>
  <c r="AI280" i="5"/>
  <c r="Y194" i="4"/>
  <c r="AJ280" i="5"/>
  <c r="Z194" i="4"/>
  <c r="AL280" i="5"/>
  <c r="F280" i="5"/>
  <c r="H280" i="5"/>
  <c r="I280" i="5"/>
  <c r="L280" i="5"/>
  <c r="N280" i="5"/>
  <c r="O280" i="5"/>
  <c r="Z280" i="5"/>
  <c r="AN280" i="5"/>
  <c r="AG281" i="5"/>
  <c r="AF281" i="5"/>
  <c r="B195" i="4"/>
  <c r="C195" i="4"/>
  <c r="C281" i="5"/>
  <c r="D195" i="4"/>
  <c r="E281" i="5"/>
  <c r="H195" i="4"/>
  <c r="K281" i="5"/>
  <c r="L195" i="4"/>
  <c r="Q281" i="5"/>
  <c r="M195" i="4"/>
  <c r="R281" i="5"/>
  <c r="T281" i="5"/>
  <c r="O195" i="4"/>
  <c r="U281" i="5"/>
  <c r="P195" i="4"/>
  <c r="W281" i="5"/>
  <c r="Q195" i="4"/>
  <c r="X281" i="5"/>
  <c r="S195" i="4"/>
  <c r="AA281" i="5"/>
  <c r="AI195" i="4"/>
  <c r="T195" i="4" a="1"/>
  <c r="T195" i="4"/>
  <c r="AC281" i="5"/>
  <c r="U195" i="4" a="1"/>
  <c r="U195" i="4"/>
  <c r="AD281" i="5"/>
  <c r="X195" i="4"/>
  <c r="AI281" i="5"/>
  <c r="Y195" i="4"/>
  <c r="AJ281" i="5"/>
  <c r="Z195" i="4"/>
  <c r="AL281" i="5"/>
  <c r="F281" i="5"/>
  <c r="H281" i="5"/>
  <c r="I281" i="5"/>
  <c r="L281" i="5"/>
  <c r="N281" i="5"/>
  <c r="O281" i="5"/>
  <c r="Z281" i="5"/>
  <c r="AN281" i="5"/>
  <c r="AG282" i="5"/>
  <c r="AF282" i="5"/>
  <c r="B196" i="4"/>
  <c r="C196" i="4"/>
  <c r="C282" i="5"/>
  <c r="D196" i="4"/>
  <c r="E282" i="5"/>
  <c r="H196" i="4"/>
  <c r="K282" i="5"/>
  <c r="L196" i="4"/>
  <c r="Q282" i="5"/>
  <c r="M196" i="4"/>
  <c r="R282" i="5"/>
  <c r="T282" i="5"/>
  <c r="O196" i="4"/>
  <c r="U282" i="5"/>
  <c r="P196" i="4"/>
  <c r="W282" i="5"/>
  <c r="Q196" i="4"/>
  <c r="X282" i="5"/>
  <c r="S196" i="4"/>
  <c r="AA282" i="5"/>
  <c r="AI196" i="4"/>
  <c r="T196" i="4" a="1"/>
  <c r="T196" i="4"/>
  <c r="AC282" i="5"/>
  <c r="U196" i="4" a="1"/>
  <c r="U196" i="4"/>
  <c r="AD282" i="5"/>
  <c r="X196" i="4"/>
  <c r="AI282" i="5"/>
  <c r="Y196" i="4"/>
  <c r="AJ282" i="5"/>
  <c r="Z196" i="4"/>
  <c r="AL282" i="5"/>
  <c r="F282" i="5"/>
  <c r="H282" i="5"/>
  <c r="I282" i="5"/>
  <c r="L282" i="5"/>
  <c r="N282" i="5"/>
  <c r="O282" i="5"/>
  <c r="Z282" i="5"/>
  <c r="AN282" i="5"/>
  <c r="AG283" i="5"/>
  <c r="AF283" i="5"/>
  <c r="B200" i="4"/>
  <c r="C200" i="4"/>
  <c r="C283" i="5"/>
  <c r="D200" i="4"/>
  <c r="E283" i="5"/>
  <c r="K283" i="5"/>
  <c r="L200" i="4"/>
  <c r="Q283" i="5"/>
  <c r="M200" i="4"/>
  <c r="R283" i="5"/>
  <c r="N200" i="4"/>
  <c r="T283" i="5"/>
  <c r="U283" i="5"/>
  <c r="P200" i="4"/>
  <c r="W283" i="5"/>
  <c r="Q200" i="4"/>
  <c r="X283" i="5"/>
  <c r="S200" i="4"/>
  <c r="AA283" i="5"/>
  <c r="AI200" i="4"/>
  <c r="T200" i="4" a="1"/>
  <c r="T200" i="4"/>
  <c r="AC283" i="5"/>
  <c r="U200" i="4" a="1"/>
  <c r="U200" i="4"/>
  <c r="AD283" i="5"/>
  <c r="X200" i="4"/>
  <c r="AI283" i="5"/>
  <c r="Y200" i="4"/>
  <c r="AJ283" i="5"/>
  <c r="Z200" i="4"/>
  <c r="AL283" i="5"/>
  <c r="F283" i="5"/>
  <c r="H283" i="5"/>
  <c r="I283" i="5"/>
  <c r="L283" i="5"/>
  <c r="N283" i="5"/>
  <c r="O283" i="5"/>
  <c r="Z283" i="5"/>
  <c r="AN283" i="5"/>
  <c r="AG284" i="5"/>
  <c r="AF284" i="5"/>
  <c r="B201" i="4"/>
  <c r="C201" i="4"/>
  <c r="C284" i="5"/>
  <c r="D201" i="4"/>
  <c r="E284" i="5"/>
  <c r="K284" i="5"/>
  <c r="L201" i="4"/>
  <c r="Q284" i="5"/>
  <c r="M201" i="4"/>
  <c r="R284" i="5"/>
  <c r="N201" i="4"/>
  <c r="T284" i="5"/>
  <c r="U284" i="5"/>
  <c r="P201" i="4"/>
  <c r="W284" i="5"/>
  <c r="Q201" i="4"/>
  <c r="X284" i="5"/>
  <c r="S201" i="4"/>
  <c r="AA284" i="5"/>
  <c r="AI201" i="4"/>
  <c r="T201" i="4" a="1"/>
  <c r="T201" i="4"/>
  <c r="AC284" i="5"/>
  <c r="U201" i="4" a="1"/>
  <c r="U201" i="4"/>
  <c r="AD284" i="5"/>
  <c r="X201" i="4"/>
  <c r="AI284" i="5"/>
  <c r="Y201" i="4"/>
  <c r="AJ284" i="5"/>
  <c r="Z201" i="4"/>
  <c r="AL284" i="5"/>
  <c r="F284" i="5"/>
  <c r="H284" i="5"/>
  <c r="I284" i="5"/>
  <c r="L284" i="5"/>
  <c r="N284" i="5"/>
  <c r="O284" i="5"/>
  <c r="Z284" i="5"/>
  <c r="AN284" i="5"/>
  <c r="AG285" i="5"/>
  <c r="AF285" i="5"/>
  <c r="B202" i="4"/>
  <c r="C202" i="4"/>
  <c r="C285" i="5"/>
  <c r="D202" i="4"/>
  <c r="E285" i="5"/>
  <c r="H202" i="4"/>
  <c r="K285" i="5"/>
  <c r="L202" i="4"/>
  <c r="Q285" i="5"/>
  <c r="M202" i="4"/>
  <c r="R285" i="5"/>
  <c r="T285" i="5"/>
  <c r="O202" i="4"/>
  <c r="U285" i="5"/>
  <c r="P202" i="4"/>
  <c r="W285" i="5"/>
  <c r="Q202" i="4"/>
  <c r="X285" i="5"/>
  <c r="S202" i="4"/>
  <c r="AA285" i="5"/>
  <c r="AI202" i="4"/>
  <c r="T202" i="4" a="1"/>
  <c r="T202" i="4"/>
  <c r="AC285" i="5"/>
  <c r="U202" i="4" a="1"/>
  <c r="U202" i="4"/>
  <c r="AD285" i="5"/>
  <c r="X202" i="4"/>
  <c r="AI285" i="5"/>
  <c r="Y202" i="4"/>
  <c r="AJ285" i="5"/>
  <c r="Z202" i="4"/>
  <c r="AL285" i="5"/>
  <c r="F285" i="5"/>
  <c r="H285" i="5"/>
  <c r="I285" i="5"/>
  <c r="L285" i="5"/>
  <c r="N285" i="5"/>
  <c r="O285" i="5"/>
  <c r="Z285" i="5"/>
  <c r="AN285" i="5"/>
  <c r="AG286" i="5"/>
  <c r="AF286" i="5"/>
  <c r="B203" i="4"/>
  <c r="C203" i="4"/>
  <c r="C286" i="5"/>
  <c r="D203" i="4"/>
  <c r="E286" i="5"/>
  <c r="H203" i="4"/>
  <c r="K286" i="5"/>
  <c r="L203" i="4"/>
  <c r="Q286" i="5"/>
  <c r="M203" i="4"/>
  <c r="R286" i="5"/>
  <c r="T286" i="5"/>
  <c r="O203" i="4"/>
  <c r="U286" i="5"/>
  <c r="P203" i="4"/>
  <c r="W286" i="5"/>
  <c r="Q203" i="4"/>
  <c r="X286" i="5"/>
  <c r="S203" i="4"/>
  <c r="AA286" i="5"/>
  <c r="AI203" i="4"/>
  <c r="T203" i="4" a="1"/>
  <c r="T203" i="4"/>
  <c r="AC286" i="5"/>
  <c r="U203" i="4" a="1"/>
  <c r="U203" i="4"/>
  <c r="AD286" i="5"/>
  <c r="X203" i="4"/>
  <c r="AI286" i="5"/>
  <c r="Y203" i="4"/>
  <c r="AJ286" i="5"/>
  <c r="Z203" i="4"/>
  <c r="AL286" i="5"/>
  <c r="F286" i="5"/>
  <c r="H286" i="5"/>
  <c r="I286" i="5"/>
  <c r="L286" i="5"/>
  <c r="N286" i="5"/>
  <c r="O286" i="5"/>
  <c r="Z286" i="5"/>
  <c r="AN286" i="5"/>
  <c r="AG287" i="5"/>
  <c r="AF287" i="5"/>
  <c r="C205" i="4"/>
  <c r="C287" i="5"/>
  <c r="T287" i="5"/>
  <c r="O205" i="4"/>
  <c r="U287" i="5"/>
  <c r="P205" i="4"/>
  <c r="W287" i="5"/>
  <c r="Q205" i="4"/>
  <c r="X287" i="5"/>
  <c r="S205" i="4"/>
  <c r="AA287" i="5"/>
  <c r="AI205" i="4"/>
  <c r="T205" i="4" a="1"/>
  <c r="T205" i="4"/>
  <c r="AC287" i="5"/>
  <c r="U205" i="4" a="1"/>
  <c r="U205" i="4"/>
  <c r="AD287" i="5"/>
  <c r="X205" i="4"/>
  <c r="AI287" i="5"/>
  <c r="Y205" i="4"/>
  <c r="AJ287" i="5"/>
  <c r="Z205" i="4"/>
  <c r="AL287" i="5"/>
  <c r="Z287" i="5"/>
  <c r="AN287" i="5"/>
  <c r="AG288" i="5"/>
  <c r="AF288" i="5"/>
  <c r="B206" i="4"/>
  <c r="C206" i="4"/>
  <c r="C288" i="5"/>
  <c r="D206" i="4"/>
  <c r="E288" i="5"/>
  <c r="H206" i="4"/>
  <c r="K288" i="5"/>
  <c r="L206" i="4"/>
  <c r="Q288" i="5"/>
  <c r="M206" i="4"/>
  <c r="R288" i="5"/>
  <c r="T288" i="5"/>
  <c r="O206" i="4"/>
  <c r="U288" i="5"/>
  <c r="P206" i="4"/>
  <c r="W288" i="5"/>
  <c r="Q206" i="4"/>
  <c r="X288" i="5"/>
  <c r="S206" i="4"/>
  <c r="AA288" i="5"/>
  <c r="AI206" i="4"/>
  <c r="T206" i="4" a="1"/>
  <c r="T206" i="4"/>
  <c r="AC288" i="5"/>
  <c r="U206" i="4" a="1"/>
  <c r="U206" i="4"/>
  <c r="AD288" i="5"/>
  <c r="X206" i="4"/>
  <c r="AI288" i="5"/>
  <c r="Y206" i="4"/>
  <c r="AJ288" i="5"/>
  <c r="Z206" i="4"/>
  <c r="AL288" i="5"/>
  <c r="F288" i="5"/>
  <c r="H288" i="5"/>
  <c r="I288" i="5"/>
  <c r="L288" i="5"/>
  <c r="N288" i="5"/>
  <c r="O288" i="5"/>
  <c r="Z288" i="5"/>
  <c r="AN288" i="5"/>
  <c r="AG289" i="5"/>
  <c r="AF289" i="5"/>
  <c r="B207" i="4"/>
  <c r="C207" i="4"/>
  <c r="C289" i="5"/>
  <c r="D207" i="4"/>
  <c r="E289" i="5"/>
  <c r="H207" i="4"/>
  <c r="K289" i="5"/>
  <c r="L207" i="4"/>
  <c r="Q289" i="5"/>
  <c r="M207" i="4"/>
  <c r="R289" i="5"/>
  <c r="T289" i="5"/>
  <c r="O207" i="4"/>
  <c r="U289" i="5"/>
  <c r="P207" i="4"/>
  <c r="W289" i="5"/>
  <c r="Q207" i="4"/>
  <c r="X289" i="5"/>
  <c r="S207" i="4"/>
  <c r="AA289" i="5"/>
  <c r="AI207" i="4"/>
  <c r="T207" i="4" a="1"/>
  <c r="T207" i="4"/>
  <c r="AC289" i="5"/>
  <c r="U207" i="4" a="1"/>
  <c r="U207" i="4"/>
  <c r="AD289" i="5"/>
  <c r="X207" i="4"/>
  <c r="AI289" i="5"/>
  <c r="Y207" i="4"/>
  <c r="AJ289" i="5"/>
  <c r="Z207" i="4"/>
  <c r="AL289" i="5"/>
  <c r="F289" i="5"/>
  <c r="H289" i="5"/>
  <c r="I289" i="5"/>
  <c r="L289" i="5"/>
  <c r="N289" i="5"/>
  <c r="O289" i="5"/>
  <c r="Z289" i="5"/>
  <c r="AN289" i="5"/>
  <c r="AG290" i="5"/>
  <c r="AF290" i="5"/>
  <c r="B208" i="4"/>
  <c r="C208" i="4"/>
  <c r="C290" i="5"/>
  <c r="D208" i="4"/>
  <c r="E290" i="5"/>
  <c r="H208" i="4"/>
  <c r="K290" i="5"/>
  <c r="L208" i="4"/>
  <c r="Q290" i="5"/>
  <c r="M208" i="4"/>
  <c r="R290" i="5"/>
  <c r="T290" i="5"/>
  <c r="O208" i="4"/>
  <c r="U290" i="5"/>
  <c r="P208" i="4"/>
  <c r="W290" i="5"/>
  <c r="Q208" i="4"/>
  <c r="X290" i="5"/>
  <c r="S208" i="4"/>
  <c r="AA290" i="5"/>
  <c r="AI208" i="4"/>
  <c r="T208" i="4" a="1"/>
  <c r="T208" i="4"/>
  <c r="AC290" i="5"/>
  <c r="U208" i="4" a="1"/>
  <c r="U208" i="4"/>
  <c r="AD290" i="5"/>
  <c r="X208" i="4"/>
  <c r="AI290" i="5"/>
  <c r="Y208" i="4"/>
  <c r="AJ290" i="5"/>
  <c r="Z208" i="4"/>
  <c r="AL290" i="5"/>
  <c r="F290" i="5"/>
  <c r="H290" i="5"/>
  <c r="I290" i="5"/>
  <c r="L290" i="5"/>
  <c r="N290" i="5"/>
  <c r="O290" i="5"/>
  <c r="Z290" i="5"/>
  <c r="AN290" i="5"/>
  <c r="B297" i="4"/>
  <c r="S297" i="4"/>
  <c r="AA291" i="5"/>
  <c r="P297" i="4"/>
  <c r="W291" i="5"/>
  <c r="AG291" i="5"/>
  <c r="AF291" i="5"/>
  <c r="C297" i="4"/>
  <c r="C291" i="5"/>
  <c r="D297" i="4"/>
  <c r="E291" i="5"/>
  <c r="H297" i="4"/>
  <c r="K291" i="5"/>
  <c r="L297" i="4"/>
  <c r="Q291" i="5"/>
  <c r="M297" i="4"/>
  <c r="R291" i="5"/>
  <c r="N297" i="4"/>
  <c r="T291" i="5"/>
  <c r="O297" i="4"/>
  <c r="U291" i="5"/>
  <c r="Q297" i="4"/>
  <c r="X291" i="5"/>
  <c r="R39" i="2"/>
  <c r="R297" i="4"/>
  <c r="Z291" i="5"/>
  <c r="AI297" i="4"/>
  <c r="T297" i="4" a="1"/>
  <c r="T297" i="4"/>
  <c r="AC291" i="5"/>
  <c r="U297" i="4" a="1"/>
  <c r="U297" i="4"/>
  <c r="AD291" i="5"/>
  <c r="X297" i="4"/>
  <c r="AI291" i="5"/>
  <c r="Y297" i="4"/>
  <c r="AJ291" i="5"/>
  <c r="Z297" i="4"/>
  <c r="AL291" i="5"/>
  <c r="F291" i="5"/>
  <c r="H291" i="5"/>
  <c r="I291" i="5"/>
  <c r="L291" i="5"/>
  <c r="N291" i="5"/>
  <c r="O291" i="5"/>
  <c r="AN291" i="5"/>
  <c r="AG292" i="5"/>
  <c r="AF292" i="5"/>
  <c r="B213" i="4"/>
  <c r="C213" i="4"/>
  <c r="C292" i="5"/>
  <c r="D213" i="4"/>
  <c r="E292" i="5"/>
  <c r="H213" i="4"/>
  <c r="K292" i="5"/>
  <c r="L213" i="4"/>
  <c r="Q292" i="5"/>
  <c r="M213" i="4"/>
  <c r="R292" i="5"/>
  <c r="N213" i="4"/>
  <c r="T292" i="5"/>
  <c r="O213" i="4"/>
  <c r="U292" i="5"/>
  <c r="P213" i="4"/>
  <c r="W292" i="5"/>
  <c r="Q213" i="4"/>
  <c r="X292" i="5"/>
  <c r="S213" i="4"/>
  <c r="AA292" i="5"/>
  <c r="AI213" i="4"/>
  <c r="T213" i="4" a="1"/>
  <c r="T213" i="4"/>
  <c r="AC292" i="5"/>
  <c r="U213" i="4" a="1"/>
  <c r="U213" i="4"/>
  <c r="AD292" i="5"/>
  <c r="X213" i="4"/>
  <c r="AI292" i="5"/>
  <c r="Y213" i="4"/>
  <c r="AJ292" i="5"/>
  <c r="Z213" i="4"/>
  <c r="AL292" i="5"/>
  <c r="F292" i="5"/>
  <c r="H292" i="5"/>
  <c r="I292" i="5"/>
  <c r="L292" i="5"/>
  <c r="N292" i="5"/>
  <c r="O292" i="5"/>
  <c r="Z292" i="5"/>
  <c r="AN292" i="5"/>
  <c r="AG293" i="5"/>
  <c r="AF293" i="5"/>
  <c r="B232" i="4"/>
  <c r="C232" i="4"/>
  <c r="C293" i="5"/>
  <c r="D232" i="4"/>
  <c r="E293" i="5"/>
  <c r="K293" i="5"/>
  <c r="L232" i="4"/>
  <c r="Q293" i="5"/>
  <c r="M232" i="4"/>
  <c r="R293" i="5"/>
  <c r="T293" i="5"/>
  <c r="U293" i="5"/>
  <c r="P232" i="4"/>
  <c r="W293" i="5"/>
  <c r="Q232" i="4"/>
  <c r="X293" i="5"/>
  <c r="S232" i="4"/>
  <c r="AA293" i="5"/>
  <c r="AI232" i="4"/>
  <c r="T232" i="4" a="1"/>
  <c r="T232" i="4"/>
  <c r="AC293" i="5"/>
  <c r="U232" i="4" a="1"/>
  <c r="U232" i="4"/>
  <c r="AD293" i="5"/>
  <c r="X232" i="4"/>
  <c r="AI293" i="5"/>
  <c r="Y232" i="4"/>
  <c r="AJ293" i="5"/>
  <c r="Z232" i="4"/>
  <c r="AL293" i="5"/>
  <c r="F293" i="5"/>
  <c r="H293" i="5"/>
  <c r="I293" i="5"/>
  <c r="L293" i="5"/>
  <c r="N293" i="5"/>
  <c r="O293" i="5"/>
  <c r="Z293" i="5"/>
  <c r="AN293" i="5"/>
  <c r="AG294" i="5"/>
  <c r="AF294" i="5"/>
  <c r="B294" i="4"/>
  <c r="C294" i="4"/>
  <c r="C294" i="5"/>
  <c r="D294" i="4"/>
  <c r="E294" i="5"/>
  <c r="H294" i="4"/>
  <c r="K294" i="5"/>
  <c r="L294" i="4"/>
  <c r="Q294" i="5"/>
  <c r="M294" i="4"/>
  <c r="R294" i="5"/>
  <c r="T294" i="5"/>
  <c r="O294" i="4"/>
  <c r="U294" i="5"/>
  <c r="P294" i="4"/>
  <c r="W294" i="5"/>
  <c r="Q294" i="4"/>
  <c r="X294" i="5"/>
  <c r="S294" i="4"/>
  <c r="AA294" i="5"/>
  <c r="AI294" i="4"/>
  <c r="T294" i="4" a="1"/>
  <c r="T294" i="4"/>
  <c r="AC294" i="5"/>
  <c r="U294" i="4" a="1"/>
  <c r="U294" i="4"/>
  <c r="AD294" i="5"/>
  <c r="X294" i="4"/>
  <c r="AI294" i="5"/>
  <c r="F294" i="5"/>
  <c r="H294" i="5"/>
  <c r="I294" i="5"/>
  <c r="L294" i="5"/>
  <c r="N294" i="5"/>
  <c r="O294" i="5"/>
  <c r="Z294" i="5"/>
  <c r="AN294" i="5"/>
  <c r="AG295" i="5"/>
  <c r="AF295" i="5"/>
  <c r="B295" i="4"/>
  <c r="C295" i="4"/>
  <c r="C295" i="5"/>
  <c r="D295" i="4"/>
  <c r="E295" i="5"/>
  <c r="H295" i="4"/>
  <c r="K295" i="5"/>
  <c r="L295" i="4"/>
  <c r="Q295" i="5"/>
  <c r="M295" i="4"/>
  <c r="R295" i="5"/>
  <c r="T295" i="5"/>
  <c r="O295" i="4"/>
  <c r="U295" i="5"/>
  <c r="P295" i="4"/>
  <c r="W295" i="5"/>
  <c r="Q295" i="4"/>
  <c r="X295" i="5"/>
  <c r="S295" i="4"/>
  <c r="AA295" i="5"/>
  <c r="AI295" i="4"/>
  <c r="T295" i="4" a="1"/>
  <c r="T295" i="4"/>
  <c r="AC295" i="5"/>
  <c r="U295" i="4" a="1"/>
  <c r="U295" i="4"/>
  <c r="AD295" i="5"/>
  <c r="X295" i="4"/>
  <c r="AI295" i="5"/>
  <c r="F295" i="5"/>
  <c r="H295" i="5"/>
  <c r="I295" i="5"/>
  <c r="L295" i="5"/>
  <c r="N295" i="5"/>
  <c r="O295" i="5"/>
  <c r="Z295" i="5"/>
  <c r="AN295" i="5"/>
  <c r="AG296" i="5"/>
  <c r="AF296" i="5"/>
  <c r="B261" i="4"/>
  <c r="C261" i="4"/>
  <c r="C296" i="5"/>
  <c r="D261" i="4"/>
  <c r="E296" i="5"/>
  <c r="H261" i="4"/>
  <c r="K296" i="5"/>
  <c r="L261" i="4"/>
  <c r="Q296" i="5"/>
  <c r="M261" i="4"/>
  <c r="R296" i="5"/>
  <c r="T296" i="5"/>
  <c r="O261" i="4"/>
  <c r="U296" i="5"/>
  <c r="P261" i="4"/>
  <c r="W296" i="5"/>
  <c r="Q261" i="4"/>
  <c r="X296" i="5"/>
  <c r="S261" i="4"/>
  <c r="AA296" i="5"/>
  <c r="AI261" i="4"/>
  <c r="T261" i="4" a="1"/>
  <c r="T261" i="4"/>
  <c r="AC296" i="5"/>
  <c r="U261" i="4" a="1"/>
  <c r="U261" i="4"/>
  <c r="AD296" i="5"/>
  <c r="X261" i="4"/>
  <c r="AI296" i="5"/>
  <c r="Y261" i="4"/>
  <c r="AJ296" i="5"/>
  <c r="Z261" i="4"/>
  <c r="AL296" i="5"/>
  <c r="F296" i="5"/>
  <c r="H296" i="5"/>
  <c r="I296" i="5"/>
  <c r="L296" i="5"/>
  <c r="N296" i="5"/>
  <c r="O296" i="5"/>
  <c r="Z296" i="5"/>
  <c r="AN296" i="5"/>
  <c r="O297" i="5"/>
  <c r="K297" i="5"/>
  <c r="AG297" i="5"/>
  <c r="AF297" i="5"/>
  <c r="C297" i="5"/>
  <c r="E297" i="5"/>
  <c r="L297" i="5"/>
  <c r="N297" i="5"/>
  <c r="Q297" i="5"/>
  <c r="R297" i="5"/>
  <c r="T297" i="5"/>
  <c r="U297" i="5"/>
  <c r="W297" i="5"/>
  <c r="X297" i="5"/>
  <c r="AA297" i="5"/>
  <c r="AC297" i="5"/>
  <c r="AD297" i="5"/>
  <c r="AI297" i="5"/>
  <c r="AJ297" i="5"/>
  <c r="AL297" i="5"/>
  <c r="F297" i="5"/>
  <c r="H297" i="5"/>
  <c r="I297" i="5"/>
  <c r="Z297" i="5"/>
  <c r="AN297" i="5"/>
  <c r="O299" i="5"/>
  <c r="K299" i="5"/>
  <c r="AG299" i="5"/>
  <c r="V45" i="2"/>
  <c r="B299" i="4"/>
  <c r="V299" i="4"/>
  <c r="AF299" i="5"/>
  <c r="C45" i="2"/>
  <c r="C299" i="4"/>
  <c r="C299" i="5"/>
  <c r="D299" i="4"/>
  <c r="E299" i="5"/>
  <c r="I299" i="4"/>
  <c r="L299" i="5"/>
  <c r="J299" i="4"/>
  <c r="N299" i="5"/>
  <c r="L299" i="4"/>
  <c r="Q299" i="5"/>
  <c r="M299" i="4"/>
  <c r="R299" i="5"/>
  <c r="N45" i="2"/>
  <c r="N299" i="4"/>
  <c r="T299" i="5"/>
  <c r="O45" i="2"/>
  <c r="O299" i="4"/>
  <c r="U299" i="5"/>
  <c r="P45" i="2"/>
  <c r="P299" i="4"/>
  <c r="W299" i="5"/>
  <c r="Q45" i="2"/>
  <c r="Q299" i="4"/>
  <c r="X299" i="5"/>
  <c r="AA299" i="5"/>
  <c r="T45" i="2"/>
  <c r="T299" i="4"/>
  <c r="AC299" i="5"/>
  <c r="U45" i="2"/>
  <c r="U299" i="4"/>
  <c r="AD299" i="5"/>
  <c r="X45" i="2"/>
  <c r="X299" i="4"/>
  <c r="AI299" i="5"/>
  <c r="Y45" i="2"/>
  <c r="Y299" i="4"/>
  <c r="AJ299" i="5"/>
  <c r="Z45" i="2"/>
  <c r="Z299" i="4"/>
  <c r="AL299" i="5"/>
  <c r="F299" i="5"/>
  <c r="H299" i="5"/>
  <c r="I299" i="5"/>
  <c r="Z299" i="5"/>
  <c r="AN299" i="5"/>
  <c r="AG300" i="5"/>
  <c r="V300" i="4"/>
  <c r="AF300" i="5"/>
  <c r="C300" i="4"/>
  <c r="C300" i="5"/>
  <c r="N300" i="4"/>
  <c r="T300" i="5"/>
  <c r="O300" i="4"/>
  <c r="U300" i="5"/>
  <c r="P300" i="4"/>
  <c r="W300" i="5"/>
  <c r="Q300" i="4"/>
  <c r="X300" i="5"/>
  <c r="AA300" i="5"/>
  <c r="T300" i="4"/>
  <c r="AC300" i="5"/>
  <c r="U300" i="4"/>
  <c r="AD300" i="5"/>
  <c r="X300" i="4"/>
  <c r="AI300" i="5"/>
  <c r="Y300" i="4"/>
  <c r="AJ300" i="5"/>
  <c r="Z300" i="4"/>
  <c r="AL300" i="5"/>
  <c r="F300" i="5"/>
  <c r="H300" i="5"/>
  <c r="I300" i="5"/>
  <c r="Z300" i="5"/>
  <c r="AN300" i="5"/>
  <c r="O301" i="5"/>
  <c r="K301" i="5"/>
  <c r="AG301" i="5"/>
  <c r="V46" i="2"/>
  <c r="B301" i="4"/>
  <c r="V301" i="4"/>
  <c r="AF301" i="5"/>
  <c r="C46" i="2"/>
  <c r="C301" i="4"/>
  <c r="C301" i="5"/>
  <c r="D46" i="2"/>
  <c r="D301" i="4"/>
  <c r="E301" i="5"/>
  <c r="I46" i="2"/>
  <c r="I301" i="4"/>
  <c r="L301" i="5"/>
  <c r="J46" i="2"/>
  <c r="J301" i="4"/>
  <c r="N301" i="5"/>
  <c r="L46" i="2"/>
  <c r="L301" i="4"/>
  <c r="Q301" i="5"/>
  <c r="M46" i="2"/>
  <c r="M301" i="4"/>
  <c r="R301" i="5"/>
  <c r="N46" i="2"/>
  <c r="N301" i="4"/>
  <c r="T301" i="5"/>
  <c r="O46" i="2"/>
  <c r="O301" i="4"/>
  <c r="U301" i="5"/>
  <c r="P46" i="2"/>
  <c r="P301" i="4"/>
  <c r="W301" i="5"/>
  <c r="Q46" i="2"/>
  <c r="Q301" i="4"/>
  <c r="X301" i="5"/>
  <c r="AA301" i="5"/>
  <c r="T46" i="2"/>
  <c r="T301" i="4"/>
  <c r="AC301" i="5"/>
  <c r="U46" i="2"/>
  <c r="U301" i="4"/>
  <c r="AD301" i="5"/>
  <c r="X46" i="2"/>
  <c r="X301" i="4"/>
  <c r="AI301" i="5"/>
  <c r="Y46" i="2"/>
  <c r="Y301" i="4"/>
  <c r="AJ301" i="5"/>
  <c r="Z46" i="2"/>
  <c r="Z301" i="4"/>
  <c r="AL301" i="5"/>
  <c r="F301" i="5"/>
  <c r="H301" i="5"/>
  <c r="I301" i="5"/>
  <c r="Z301" i="5"/>
  <c r="AN301" i="5"/>
  <c r="O302" i="5"/>
  <c r="K302" i="5"/>
  <c r="AG302" i="5"/>
  <c r="B302" i="4"/>
  <c r="V302" i="4"/>
  <c r="AF302" i="5"/>
  <c r="C302" i="4"/>
  <c r="C302" i="5"/>
  <c r="D302" i="4"/>
  <c r="E302" i="5"/>
  <c r="I302" i="4"/>
  <c r="L302" i="5"/>
  <c r="J302" i="4"/>
  <c r="N302" i="5"/>
  <c r="L302" i="4"/>
  <c r="Q302" i="5"/>
  <c r="M302" i="4"/>
  <c r="R302" i="5"/>
  <c r="N302" i="4"/>
  <c r="T302" i="5"/>
  <c r="O302" i="4"/>
  <c r="U302" i="5"/>
  <c r="P302" i="4"/>
  <c r="W302" i="5"/>
  <c r="Q302" i="4"/>
  <c r="X302" i="5"/>
  <c r="AA302" i="5"/>
  <c r="T302" i="4"/>
  <c r="AC302" i="5"/>
  <c r="U302" i="4"/>
  <c r="AD302" i="5"/>
  <c r="X302" i="4"/>
  <c r="AI302" i="5"/>
  <c r="Y302" i="4"/>
  <c r="AJ302" i="5"/>
  <c r="Z302" i="4"/>
  <c r="AL302" i="5"/>
  <c r="F302" i="5"/>
  <c r="H302" i="5"/>
  <c r="I302" i="5"/>
  <c r="Z302" i="5"/>
  <c r="AN302" i="5"/>
  <c r="O303" i="5"/>
  <c r="K303" i="5"/>
  <c r="AG303" i="5"/>
  <c r="V49" i="2"/>
  <c r="V303" i="4"/>
  <c r="AF303" i="5"/>
  <c r="C49" i="2"/>
  <c r="C303" i="4"/>
  <c r="C303" i="5"/>
  <c r="D49" i="2"/>
  <c r="D303" i="4"/>
  <c r="E303" i="5"/>
  <c r="I49" i="2"/>
  <c r="I303" i="4"/>
  <c r="L303" i="5"/>
  <c r="J49" i="2"/>
  <c r="J303" i="4"/>
  <c r="N303" i="5"/>
  <c r="L49" i="2"/>
  <c r="L303" i="4"/>
  <c r="Q303" i="5"/>
  <c r="M49" i="2"/>
  <c r="M303" i="4"/>
  <c r="R303" i="5"/>
  <c r="N49" i="2"/>
  <c r="N303" i="4"/>
  <c r="T303" i="5"/>
  <c r="O49" i="2"/>
  <c r="O303" i="4"/>
  <c r="U303" i="5"/>
  <c r="P49" i="2"/>
  <c r="P303" i="4"/>
  <c r="W303" i="5"/>
  <c r="Q49" i="2"/>
  <c r="Q303" i="4"/>
  <c r="X303" i="5"/>
  <c r="AA303" i="5"/>
  <c r="X49" i="2"/>
  <c r="X303" i="4"/>
  <c r="AI303" i="5"/>
  <c r="Y49" i="2"/>
  <c r="Y303" i="4"/>
  <c r="AJ303" i="5"/>
  <c r="Z49" i="2"/>
  <c r="Z303" i="4"/>
  <c r="AL303" i="5"/>
  <c r="F303" i="5"/>
  <c r="H303" i="5"/>
  <c r="I303" i="5"/>
  <c r="Z303" i="5"/>
  <c r="AN303" i="5"/>
  <c r="O304" i="5"/>
  <c r="K304" i="5"/>
  <c r="AG304" i="5"/>
  <c r="V47" i="2"/>
  <c r="B304" i="4"/>
  <c r="V304" i="4"/>
  <c r="AF304" i="5"/>
  <c r="C47" i="2"/>
  <c r="C304" i="4"/>
  <c r="C304" i="5"/>
  <c r="D47" i="2"/>
  <c r="D304" i="4"/>
  <c r="E304" i="5"/>
  <c r="I47" i="2"/>
  <c r="I304" i="4"/>
  <c r="L304" i="5"/>
  <c r="J47" i="2"/>
  <c r="J304" i="4"/>
  <c r="N304" i="5"/>
  <c r="L47" i="2"/>
  <c r="L304" i="4"/>
  <c r="Q304" i="5"/>
  <c r="M47" i="2"/>
  <c r="M304" i="4"/>
  <c r="R304" i="5"/>
  <c r="N47" i="2"/>
  <c r="N304" i="4"/>
  <c r="T304" i="5"/>
  <c r="O47" i="2"/>
  <c r="O304" i="4"/>
  <c r="U304" i="5"/>
  <c r="P47" i="2"/>
  <c r="P304" i="4"/>
  <c r="W304" i="5"/>
  <c r="Q47" i="2"/>
  <c r="Q304" i="4"/>
  <c r="X304" i="5"/>
  <c r="AA304" i="5"/>
  <c r="AC304" i="5"/>
  <c r="AD304" i="5"/>
  <c r="X47" i="2"/>
  <c r="X304" i="4"/>
  <c r="AI304" i="5"/>
  <c r="Y47" i="2"/>
  <c r="Y304" i="4"/>
  <c r="AJ304" i="5"/>
  <c r="Z47" i="2"/>
  <c r="Z304" i="4"/>
  <c r="AL304" i="5"/>
  <c r="F304" i="5"/>
  <c r="H304" i="5"/>
  <c r="I304" i="5"/>
  <c r="Z304" i="5"/>
  <c r="AN304" i="5"/>
  <c r="O305" i="5"/>
  <c r="K305" i="5"/>
  <c r="AG305" i="5"/>
  <c r="B305" i="4"/>
  <c r="V305" i="4"/>
  <c r="AF305" i="5"/>
  <c r="C305" i="4"/>
  <c r="C305" i="5"/>
  <c r="D305" i="4"/>
  <c r="E305" i="5"/>
  <c r="I305" i="4"/>
  <c r="L305" i="5"/>
  <c r="J305" i="4"/>
  <c r="N305" i="5"/>
  <c r="L305" i="4"/>
  <c r="Q305" i="5"/>
  <c r="M305" i="4"/>
  <c r="R305" i="5"/>
  <c r="N305" i="4"/>
  <c r="T305" i="5"/>
  <c r="O305" i="4"/>
  <c r="U305" i="5"/>
  <c r="P305" i="4"/>
  <c r="W305" i="5"/>
  <c r="Q305" i="4"/>
  <c r="X305" i="5"/>
  <c r="AA305" i="5"/>
  <c r="T305" i="4"/>
  <c r="AC305" i="5"/>
  <c r="AD305" i="5"/>
  <c r="X305" i="4"/>
  <c r="AI305" i="5"/>
  <c r="Y305" i="4"/>
  <c r="AJ305" i="5"/>
  <c r="Z305" i="4"/>
  <c r="AL305" i="5"/>
  <c r="F305" i="5"/>
  <c r="H305" i="5"/>
  <c r="I305" i="5"/>
  <c r="Z305" i="5"/>
  <c r="AN305" i="5"/>
  <c r="O306" i="5"/>
  <c r="K306" i="5"/>
  <c r="AG306" i="5"/>
  <c r="V48" i="2"/>
  <c r="V306" i="4"/>
  <c r="AF306" i="5"/>
  <c r="C48" i="2"/>
  <c r="C306" i="4"/>
  <c r="C306" i="5"/>
  <c r="D306" i="4"/>
  <c r="E306" i="5"/>
  <c r="I306" i="4"/>
  <c r="L306" i="5"/>
  <c r="J306" i="4"/>
  <c r="N306" i="5"/>
  <c r="L306" i="4"/>
  <c r="Q306" i="5"/>
  <c r="M306" i="4"/>
  <c r="R306" i="5"/>
  <c r="N48" i="2"/>
  <c r="N306" i="4"/>
  <c r="T306" i="5"/>
  <c r="O48" i="2"/>
  <c r="O306" i="4"/>
  <c r="U306" i="5"/>
  <c r="P48" i="2"/>
  <c r="P306" i="4"/>
  <c r="W306" i="5"/>
  <c r="Q48" i="2"/>
  <c r="Q306" i="4"/>
  <c r="X306" i="5"/>
  <c r="AA306" i="5"/>
  <c r="X48" i="2"/>
  <c r="X306" i="4"/>
  <c r="AI306" i="5"/>
  <c r="Y48" i="2"/>
  <c r="Y306" i="4"/>
  <c r="AJ306" i="5"/>
  <c r="Z48" i="2"/>
  <c r="Z306" i="4"/>
  <c r="AL306" i="5"/>
  <c r="F306" i="5"/>
  <c r="H306" i="5"/>
  <c r="I306" i="5"/>
  <c r="Z306" i="5"/>
  <c r="AN306" i="5"/>
  <c r="O307" i="5"/>
  <c r="K307" i="5"/>
  <c r="AG307" i="5"/>
  <c r="B307" i="4"/>
  <c r="V307" i="4"/>
  <c r="AF307" i="5"/>
  <c r="C307" i="4"/>
  <c r="C307" i="5"/>
  <c r="D307" i="4"/>
  <c r="E307" i="5"/>
  <c r="I307" i="4"/>
  <c r="L307" i="5"/>
  <c r="J307" i="4"/>
  <c r="N307" i="5"/>
  <c r="L307" i="4"/>
  <c r="Q307" i="5"/>
  <c r="M307" i="4"/>
  <c r="R307" i="5"/>
  <c r="N307" i="4"/>
  <c r="T307" i="5"/>
  <c r="O307" i="4"/>
  <c r="U307" i="5"/>
  <c r="P307" i="4"/>
  <c r="W307" i="5"/>
  <c r="Q307" i="4"/>
  <c r="X307" i="5"/>
  <c r="AA307" i="5"/>
  <c r="T307" i="4"/>
  <c r="AC307" i="5"/>
  <c r="AD307" i="5"/>
  <c r="X307" i="4"/>
  <c r="AI307" i="5"/>
  <c r="Y307" i="4"/>
  <c r="AJ307" i="5"/>
  <c r="Z307" i="4"/>
  <c r="AL307" i="5"/>
  <c r="F307" i="5"/>
  <c r="H307" i="5"/>
  <c r="I307" i="5"/>
  <c r="Z307" i="5"/>
  <c r="AN307" i="5"/>
  <c r="O308" i="5"/>
  <c r="K308" i="5"/>
  <c r="AG308" i="5"/>
  <c r="V308" i="4"/>
  <c r="AF308" i="5"/>
  <c r="C308" i="4"/>
  <c r="C308" i="5"/>
  <c r="D308" i="4"/>
  <c r="E308" i="5"/>
  <c r="I308" i="4"/>
  <c r="L308" i="5"/>
  <c r="J308" i="4"/>
  <c r="N308" i="5"/>
  <c r="L308" i="4"/>
  <c r="Q308" i="5"/>
  <c r="M308" i="4"/>
  <c r="R308" i="5"/>
  <c r="N308" i="4"/>
  <c r="T308" i="5"/>
  <c r="O308" i="4"/>
  <c r="U308" i="5"/>
  <c r="P308" i="4"/>
  <c r="W308" i="5"/>
  <c r="Q308" i="4"/>
  <c r="X308" i="5"/>
  <c r="AA308" i="5"/>
  <c r="X308" i="4"/>
  <c r="AI308" i="5"/>
  <c r="Y308" i="4"/>
  <c r="AJ308" i="5"/>
  <c r="Z308" i="4"/>
  <c r="AL308" i="5"/>
  <c r="F308" i="5"/>
  <c r="H308" i="5"/>
  <c r="I308" i="5"/>
  <c r="Z308" i="5"/>
  <c r="AN308" i="5"/>
  <c r="O309" i="5"/>
  <c r="K309" i="5"/>
  <c r="AG309" i="5"/>
  <c r="B309" i="4"/>
  <c r="V309" i="4"/>
  <c r="AF309" i="5"/>
  <c r="C309" i="4"/>
  <c r="C309" i="5"/>
  <c r="D309" i="4"/>
  <c r="E309" i="5"/>
  <c r="I309" i="4"/>
  <c r="L309" i="5"/>
  <c r="J309" i="4"/>
  <c r="N309" i="5"/>
  <c r="L309" i="4"/>
  <c r="Q309" i="5"/>
  <c r="M309" i="4"/>
  <c r="R309" i="5"/>
  <c r="N309" i="4"/>
  <c r="T309" i="5"/>
  <c r="O309" i="4"/>
  <c r="U309" i="5"/>
  <c r="P309" i="4"/>
  <c r="W309" i="5"/>
  <c r="Q309" i="4"/>
  <c r="X309" i="5"/>
  <c r="AA309" i="5"/>
  <c r="AC309" i="5"/>
  <c r="AD309" i="5"/>
  <c r="X309" i="4"/>
  <c r="AI309" i="5"/>
  <c r="Y309" i="4"/>
  <c r="AJ309" i="5"/>
  <c r="Z309" i="4"/>
  <c r="AL309" i="5"/>
  <c r="F309" i="5"/>
  <c r="H309" i="5"/>
  <c r="I309" i="5"/>
  <c r="Z309" i="5"/>
  <c r="AN309" i="5"/>
  <c r="AG310" i="5"/>
  <c r="V310" i="4"/>
  <c r="AF310" i="5"/>
  <c r="C310" i="4"/>
  <c r="C310" i="5"/>
  <c r="N310" i="4"/>
  <c r="T310" i="5"/>
  <c r="O310" i="4"/>
  <c r="U310" i="5"/>
  <c r="P310" i="4"/>
  <c r="W310" i="5"/>
  <c r="Q310" i="4"/>
  <c r="X310" i="5"/>
  <c r="AA310" i="5"/>
  <c r="AC310" i="5"/>
  <c r="AD310" i="5"/>
  <c r="X310" i="4"/>
  <c r="AI310" i="5"/>
  <c r="Y310" i="4"/>
  <c r="AJ310" i="5"/>
  <c r="Z310" i="4"/>
  <c r="AL310" i="5"/>
  <c r="F310" i="5"/>
  <c r="H310" i="5"/>
  <c r="I310" i="5"/>
  <c r="Z310" i="5"/>
  <c r="AN310" i="5"/>
  <c r="O311" i="5"/>
  <c r="K311" i="5"/>
  <c r="AG311" i="5"/>
  <c r="B311" i="4"/>
  <c r="V311" i="4"/>
  <c r="AF311" i="5"/>
  <c r="C311" i="4"/>
  <c r="C311" i="5"/>
  <c r="D311" i="4"/>
  <c r="E311" i="5"/>
  <c r="I311" i="4"/>
  <c r="L311" i="5"/>
  <c r="J311" i="4"/>
  <c r="N311" i="5"/>
  <c r="L311" i="4"/>
  <c r="Q311" i="5"/>
  <c r="M311" i="4"/>
  <c r="R311" i="5"/>
  <c r="N311" i="4"/>
  <c r="T311" i="5"/>
  <c r="O311" i="4"/>
  <c r="U311" i="5"/>
  <c r="P311" i="4"/>
  <c r="W311" i="5"/>
  <c r="Q311" i="4"/>
  <c r="X311" i="5"/>
  <c r="AA311" i="5"/>
  <c r="AC311" i="5"/>
  <c r="AD311" i="5"/>
  <c r="X311" i="4"/>
  <c r="AI311" i="5"/>
  <c r="Y311" i="4"/>
  <c r="AJ311" i="5"/>
  <c r="Z311" i="4"/>
  <c r="AL311" i="5"/>
  <c r="F311" i="5"/>
  <c r="H311" i="5"/>
  <c r="I311" i="5"/>
  <c r="Z311" i="5"/>
  <c r="AN311" i="5"/>
  <c r="O312" i="5"/>
  <c r="K312" i="5"/>
  <c r="AG312" i="5"/>
  <c r="B312" i="4"/>
  <c r="V312" i="4"/>
  <c r="AF312" i="5"/>
  <c r="C312" i="4"/>
  <c r="C312" i="5"/>
  <c r="D312" i="4"/>
  <c r="E312" i="5"/>
  <c r="I312" i="4"/>
  <c r="L312" i="5"/>
  <c r="J312" i="4"/>
  <c r="N312" i="5"/>
  <c r="L312" i="4"/>
  <c r="Q312" i="5"/>
  <c r="M312" i="4"/>
  <c r="R312" i="5"/>
  <c r="N312" i="4"/>
  <c r="T312" i="5"/>
  <c r="O312" i="4"/>
  <c r="U312" i="5"/>
  <c r="P312" i="4"/>
  <c r="W312" i="5"/>
  <c r="Q312" i="4"/>
  <c r="X312" i="5"/>
  <c r="AA312" i="5"/>
  <c r="AC312" i="5"/>
  <c r="AD312" i="5"/>
  <c r="X312" i="4"/>
  <c r="AI312" i="5"/>
  <c r="Y312" i="4"/>
  <c r="AJ312" i="5"/>
  <c r="Z312" i="4"/>
  <c r="AL312" i="5"/>
  <c r="F312" i="5"/>
  <c r="H312" i="5"/>
  <c r="I312" i="5"/>
  <c r="Z312" i="5"/>
  <c r="AN312" i="5"/>
  <c r="O313" i="5"/>
  <c r="K313" i="5"/>
  <c r="AG313" i="5"/>
  <c r="B313" i="4"/>
  <c r="V313" i="4"/>
  <c r="AF313" i="5"/>
  <c r="C313" i="4"/>
  <c r="C313" i="5"/>
  <c r="D313" i="4"/>
  <c r="E313" i="5"/>
  <c r="I313" i="4"/>
  <c r="L313" i="5"/>
  <c r="J313" i="4"/>
  <c r="N313" i="5"/>
  <c r="L313" i="4"/>
  <c r="Q313" i="5"/>
  <c r="M313" i="4"/>
  <c r="R313" i="5"/>
  <c r="N313" i="4"/>
  <c r="T313" i="5"/>
  <c r="O313" i="4"/>
  <c r="U313" i="5"/>
  <c r="P313" i="4"/>
  <c r="W313" i="5"/>
  <c r="Q313" i="4"/>
  <c r="X313" i="5"/>
  <c r="AA313" i="5"/>
  <c r="AC313" i="5"/>
  <c r="AD313" i="5"/>
  <c r="X313" i="4"/>
  <c r="AI313" i="5"/>
  <c r="Y313" i="4"/>
  <c r="AJ313" i="5"/>
  <c r="Z313" i="4"/>
  <c r="AL313" i="5"/>
  <c r="F313" i="5"/>
  <c r="H313" i="5"/>
  <c r="I313" i="5"/>
  <c r="Z313" i="5"/>
  <c r="AN313" i="5"/>
  <c r="O314" i="5"/>
  <c r="K314" i="5"/>
  <c r="AG314" i="5"/>
  <c r="B314" i="4"/>
  <c r="V314" i="4"/>
  <c r="AF314" i="5"/>
  <c r="C314" i="4"/>
  <c r="C314" i="5"/>
  <c r="D314" i="4"/>
  <c r="E314" i="5"/>
  <c r="I314" i="4"/>
  <c r="L314" i="5"/>
  <c r="J314" i="4"/>
  <c r="N314" i="5"/>
  <c r="L314" i="4"/>
  <c r="Q314" i="5"/>
  <c r="M314" i="4"/>
  <c r="R314" i="5"/>
  <c r="N314" i="4"/>
  <c r="T314" i="5"/>
  <c r="O314" i="4"/>
  <c r="U314" i="5"/>
  <c r="P314" i="4"/>
  <c r="W314" i="5"/>
  <c r="Q314" i="4"/>
  <c r="X314" i="5"/>
  <c r="AA314" i="5"/>
  <c r="AC314" i="5"/>
  <c r="AD314" i="5"/>
  <c r="X314" i="4"/>
  <c r="AI314" i="5"/>
  <c r="Y314" i="4"/>
  <c r="AJ314" i="5"/>
  <c r="Z314" i="4"/>
  <c r="AL314" i="5"/>
  <c r="F314" i="5"/>
  <c r="H314" i="5"/>
  <c r="I314" i="5"/>
  <c r="Z314" i="5"/>
  <c r="AN314" i="5"/>
  <c r="O315" i="5"/>
  <c r="K315" i="5"/>
  <c r="AG315" i="5"/>
  <c r="B315" i="4"/>
  <c r="V315" i="4"/>
  <c r="AF315" i="5"/>
  <c r="C315" i="5"/>
  <c r="D315" i="4"/>
  <c r="E315" i="5"/>
  <c r="I315" i="5"/>
  <c r="I315" i="4"/>
  <c r="L315" i="5"/>
  <c r="J315" i="4"/>
  <c r="N315" i="5"/>
  <c r="L315" i="4"/>
  <c r="Q315" i="5"/>
  <c r="M315" i="4"/>
  <c r="R315" i="5"/>
  <c r="N315" i="4"/>
  <c r="T315" i="5"/>
  <c r="O315" i="4"/>
  <c r="U315" i="5"/>
  <c r="P315" i="4"/>
  <c r="W315" i="5"/>
  <c r="Q315" i="4"/>
  <c r="X315" i="5"/>
  <c r="AA315" i="5"/>
  <c r="AC315" i="5"/>
  <c r="AD315" i="5"/>
  <c r="X315" i="4"/>
  <c r="AI315" i="5"/>
  <c r="Y315" i="4"/>
  <c r="AJ315" i="5"/>
  <c r="AL315" i="5"/>
  <c r="Z315" i="5"/>
  <c r="AN315" i="5"/>
  <c r="O316" i="5"/>
  <c r="K316" i="5"/>
  <c r="AG316" i="5"/>
  <c r="B316" i="4"/>
  <c r="V316" i="4"/>
  <c r="AF316" i="5"/>
  <c r="C316" i="5"/>
  <c r="D316" i="4"/>
  <c r="E316" i="5"/>
  <c r="I316" i="5"/>
  <c r="I316" i="4"/>
  <c r="L316" i="5"/>
  <c r="J316" i="4"/>
  <c r="N316" i="5"/>
  <c r="L316" i="4"/>
  <c r="Q316" i="5"/>
  <c r="M316" i="4"/>
  <c r="R316" i="5"/>
  <c r="N316" i="4"/>
  <c r="T316" i="5"/>
  <c r="O316" i="4"/>
  <c r="U316" i="5"/>
  <c r="P316" i="4"/>
  <c r="W316" i="5"/>
  <c r="Q316" i="4"/>
  <c r="X316" i="5"/>
  <c r="AA316" i="5"/>
  <c r="AC316" i="5"/>
  <c r="AD316" i="5"/>
  <c r="X316" i="4"/>
  <c r="AI316" i="5"/>
  <c r="Y316" i="4"/>
  <c r="AJ316" i="5"/>
  <c r="AL316" i="5"/>
  <c r="Z316" i="5"/>
  <c r="AN316" i="5"/>
  <c r="O317" i="5"/>
  <c r="K317" i="5"/>
  <c r="AG317" i="5"/>
  <c r="B317" i="4"/>
  <c r="V317" i="4"/>
  <c r="AF317" i="5"/>
  <c r="C317" i="5"/>
  <c r="D317" i="4"/>
  <c r="E317" i="5"/>
  <c r="I317" i="5"/>
  <c r="I317" i="4"/>
  <c r="L317" i="5"/>
  <c r="J317" i="4"/>
  <c r="N317" i="5"/>
  <c r="L317" i="4"/>
  <c r="Q317" i="5"/>
  <c r="M317" i="4"/>
  <c r="R317" i="5"/>
  <c r="N317" i="4"/>
  <c r="T317" i="5"/>
  <c r="O317" i="4"/>
  <c r="U317" i="5"/>
  <c r="P317" i="4"/>
  <c r="W317" i="5"/>
  <c r="Q317" i="4"/>
  <c r="X317" i="5"/>
  <c r="AA317" i="5"/>
  <c r="AC317" i="5"/>
  <c r="AD317" i="5"/>
  <c r="X317" i="4"/>
  <c r="AI317" i="5"/>
  <c r="Y317" i="4"/>
  <c r="AJ317" i="5"/>
  <c r="AL317" i="5"/>
  <c r="Z317" i="5"/>
  <c r="AN317" i="5"/>
  <c r="O318" i="5"/>
  <c r="K318" i="5"/>
  <c r="AG318" i="5"/>
  <c r="B318" i="4"/>
  <c r="V318" i="4"/>
  <c r="AF318" i="5"/>
  <c r="C318" i="5"/>
  <c r="D318" i="4"/>
  <c r="E318" i="5"/>
  <c r="I318" i="5"/>
  <c r="I318" i="4"/>
  <c r="L318" i="5"/>
  <c r="J318" i="4"/>
  <c r="N318" i="5"/>
  <c r="L318" i="4"/>
  <c r="Q318" i="5"/>
  <c r="M318" i="4"/>
  <c r="R318" i="5"/>
  <c r="N318" i="4"/>
  <c r="T318" i="5"/>
  <c r="O318" i="4"/>
  <c r="U318" i="5"/>
  <c r="P318" i="4"/>
  <c r="W318" i="5"/>
  <c r="Q318" i="4"/>
  <c r="X318" i="5"/>
  <c r="AA318" i="5"/>
  <c r="AC318" i="5"/>
  <c r="AD318" i="5"/>
  <c r="X318" i="4"/>
  <c r="AI318" i="5"/>
  <c r="Y318" i="4"/>
  <c r="AJ318" i="5"/>
  <c r="AL318" i="5"/>
  <c r="Z318" i="5"/>
  <c r="AN318" i="5"/>
  <c r="O319" i="5"/>
  <c r="K319" i="5"/>
  <c r="AG319" i="5"/>
  <c r="B319" i="4"/>
  <c r="V319" i="4"/>
  <c r="AF319" i="5"/>
  <c r="C319" i="5"/>
  <c r="D319" i="4"/>
  <c r="E319" i="5"/>
  <c r="I319" i="5"/>
  <c r="I319" i="4"/>
  <c r="L319" i="5"/>
  <c r="J319" i="4"/>
  <c r="N319" i="5"/>
  <c r="L319" i="4"/>
  <c r="Q319" i="5"/>
  <c r="M319" i="4"/>
  <c r="R319" i="5"/>
  <c r="N319" i="4"/>
  <c r="T319" i="5"/>
  <c r="O319" i="4"/>
  <c r="U319" i="5"/>
  <c r="P319" i="4"/>
  <c r="W319" i="5"/>
  <c r="Q319" i="4"/>
  <c r="X319" i="5"/>
  <c r="AA319" i="5"/>
  <c r="AC319" i="5"/>
  <c r="AD319" i="5"/>
  <c r="X319" i="4"/>
  <c r="AI319" i="5"/>
  <c r="Y319" i="4"/>
  <c r="AJ319" i="5"/>
  <c r="AL319" i="5"/>
  <c r="Z319" i="5"/>
  <c r="AN319" i="5"/>
  <c r="O320" i="5"/>
  <c r="K320" i="5"/>
  <c r="AG320" i="5"/>
  <c r="B320" i="4"/>
  <c r="V320" i="4"/>
  <c r="AF320" i="5"/>
  <c r="C320" i="5"/>
  <c r="D320" i="4"/>
  <c r="E320" i="5"/>
  <c r="I320" i="4"/>
  <c r="L320" i="5"/>
  <c r="J320" i="4"/>
  <c r="N320" i="5"/>
  <c r="L320" i="4"/>
  <c r="Q320" i="5"/>
  <c r="M320" i="4"/>
  <c r="R320" i="5"/>
  <c r="N320" i="4"/>
  <c r="T320" i="5"/>
  <c r="O320" i="4"/>
  <c r="U320" i="5"/>
  <c r="P320" i="4"/>
  <c r="W320" i="5"/>
  <c r="Q320" i="4"/>
  <c r="X320" i="5"/>
  <c r="AA320" i="5"/>
  <c r="AC320" i="5"/>
  <c r="AD320" i="5"/>
  <c r="X320" i="4"/>
  <c r="AI320" i="5"/>
  <c r="Y320" i="4"/>
  <c r="AJ320" i="5"/>
  <c r="AL320" i="5"/>
  <c r="F320" i="5"/>
  <c r="H320" i="5"/>
  <c r="I320" i="5"/>
  <c r="Z320" i="5"/>
  <c r="AN320" i="5"/>
  <c r="O321" i="5"/>
  <c r="K321" i="5"/>
  <c r="AG321" i="5"/>
  <c r="AF321" i="5"/>
  <c r="C321" i="5"/>
  <c r="B321" i="4"/>
  <c r="D321" i="4"/>
  <c r="E321" i="5"/>
  <c r="I321" i="5"/>
  <c r="I321" i="4"/>
  <c r="L321" i="5"/>
  <c r="J321" i="4"/>
  <c r="N321" i="5"/>
  <c r="L321" i="4"/>
  <c r="Q321" i="5"/>
  <c r="M321" i="4"/>
  <c r="R321" i="5"/>
  <c r="N321" i="4"/>
  <c r="T321" i="5"/>
  <c r="O321" i="4"/>
  <c r="U321" i="5"/>
  <c r="P321" i="4"/>
  <c r="W321" i="5"/>
  <c r="Q321" i="4"/>
  <c r="X321" i="5"/>
  <c r="AA321" i="5"/>
  <c r="AC321" i="5"/>
  <c r="AD321" i="5"/>
  <c r="X321" i="4"/>
  <c r="AI321" i="5"/>
  <c r="Y321" i="4"/>
  <c r="AJ321" i="5"/>
  <c r="AL321" i="5"/>
  <c r="Z321" i="5"/>
  <c r="AN321" i="5"/>
  <c r="O322" i="5"/>
  <c r="K322" i="5"/>
  <c r="AG322" i="5"/>
  <c r="B322" i="4"/>
  <c r="V322" i="4"/>
  <c r="AF322" i="5"/>
  <c r="C322" i="5"/>
  <c r="D322" i="4"/>
  <c r="E322" i="5"/>
  <c r="I322" i="5"/>
  <c r="I322" i="4"/>
  <c r="L322" i="5"/>
  <c r="J322" i="4"/>
  <c r="N322" i="5"/>
  <c r="L322" i="4"/>
  <c r="Q322" i="5"/>
  <c r="M322" i="4"/>
  <c r="R322" i="5"/>
  <c r="N322" i="4"/>
  <c r="T322" i="5"/>
  <c r="O322" i="4"/>
  <c r="U322" i="5"/>
  <c r="P322" i="4"/>
  <c r="W322" i="5"/>
  <c r="Q322" i="4"/>
  <c r="X322" i="5"/>
  <c r="AA322" i="5"/>
  <c r="AC322" i="5"/>
  <c r="AD322" i="5"/>
  <c r="X322" i="4"/>
  <c r="AI322" i="5"/>
  <c r="Y322" i="4"/>
  <c r="AJ322" i="5"/>
  <c r="AL322" i="5"/>
  <c r="Z322" i="5"/>
  <c r="AN322" i="5"/>
  <c r="O323" i="5"/>
  <c r="K323" i="5"/>
  <c r="AG323" i="5"/>
  <c r="B323" i="4"/>
  <c r="V323" i="4"/>
  <c r="AF323" i="5"/>
  <c r="C323" i="5"/>
  <c r="D323" i="4"/>
  <c r="E323" i="5"/>
  <c r="I323" i="4"/>
  <c r="L323" i="5"/>
  <c r="J323" i="4"/>
  <c r="N323" i="5"/>
  <c r="L323" i="4"/>
  <c r="Q323" i="5"/>
  <c r="M323" i="4"/>
  <c r="R323" i="5"/>
  <c r="N323" i="4"/>
  <c r="T323" i="5"/>
  <c r="O323" i="4"/>
  <c r="U323" i="5"/>
  <c r="P323" i="4"/>
  <c r="W323" i="5"/>
  <c r="Q323" i="4"/>
  <c r="X323" i="5"/>
  <c r="AA323" i="5"/>
  <c r="AC323" i="5"/>
  <c r="AD323" i="5"/>
  <c r="X323" i="4"/>
  <c r="AI323" i="5"/>
  <c r="Y323" i="4"/>
  <c r="AJ323" i="5"/>
  <c r="AL323" i="5"/>
  <c r="F323" i="5"/>
  <c r="H323" i="5"/>
  <c r="I323" i="5"/>
  <c r="Z323" i="5"/>
  <c r="AN323" i="5"/>
  <c r="O324" i="5"/>
  <c r="K324" i="5"/>
  <c r="AG324" i="5"/>
  <c r="B324" i="4"/>
  <c r="V324" i="4"/>
  <c r="AF324" i="5"/>
  <c r="C324" i="5"/>
  <c r="D324" i="4"/>
  <c r="E324" i="5"/>
  <c r="I324" i="4"/>
  <c r="L324" i="5"/>
  <c r="J324" i="4"/>
  <c r="N324" i="5"/>
  <c r="L324" i="4"/>
  <c r="Q324" i="5"/>
  <c r="M324" i="4"/>
  <c r="R324" i="5"/>
  <c r="N324" i="4"/>
  <c r="T324" i="5"/>
  <c r="O324" i="4"/>
  <c r="U324" i="5"/>
  <c r="P324" i="4"/>
  <c r="W324" i="5"/>
  <c r="Q324" i="4"/>
  <c r="X324" i="5"/>
  <c r="AA324" i="5"/>
  <c r="AC324" i="5"/>
  <c r="AD324" i="5"/>
  <c r="X324" i="4"/>
  <c r="AI324" i="5"/>
  <c r="Y324" i="4"/>
  <c r="AJ324" i="5"/>
  <c r="AL324" i="5"/>
  <c r="F324" i="5"/>
  <c r="H324" i="5"/>
  <c r="I324" i="5"/>
  <c r="Z324" i="5"/>
  <c r="AN324" i="5"/>
  <c r="O325" i="5"/>
  <c r="K325" i="5"/>
  <c r="AG325" i="5"/>
  <c r="B325" i="4"/>
  <c r="V325" i="4"/>
  <c r="AF325" i="5"/>
  <c r="C325" i="5"/>
  <c r="D325" i="4"/>
  <c r="E325" i="5"/>
  <c r="I325" i="4"/>
  <c r="L325" i="5"/>
  <c r="J325" i="4"/>
  <c r="N325" i="5"/>
  <c r="L325" i="4"/>
  <c r="Q325" i="5"/>
  <c r="M325" i="4"/>
  <c r="R325" i="5"/>
  <c r="N325" i="4"/>
  <c r="T325" i="5"/>
  <c r="O325" i="4"/>
  <c r="U325" i="5"/>
  <c r="P325" i="4"/>
  <c r="W325" i="5"/>
  <c r="Q325" i="4"/>
  <c r="X325" i="5"/>
  <c r="AA325" i="5"/>
  <c r="AC325" i="5"/>
  <c r="AD325" i="5"/>
  <c r="X325" i="4"/>
  <c r="AI325" i="5"/>
  <c r="Y325" i="4"/>
  <c r="AJ325" i="5"/>
  <c r="AL325" i="5"/>
  <c r="F325" i="5"/>
  <c r="H325" i="5"/>
  <c r="I325" i="5"/>
  <c r="Z325" i="5"/>
  <c r="AN325" i="5"/>
  <c r="O326" i="5"/>
  <c r="K326" i="5"/>
  <c r="AG326" i="5"/>
  <c r="B326" i="4"/>
  <c r="V326" i="4"/>
  <c r="AF326" i="5"/>
  <c r="C326" i="5"/>
  <c r="D326" i="4"/>
  <c r="E326" i="5"/>
  <c r="I326" i="5"/>
  <c r="I326" i="4"/>
  <c r="L326" i="5"/>
  <c r="J326" i="4"/>
  <c r="N326" i="5"/>
  <c r="L326" i="4"/>
  <c r="Q326" i="5"/>
  <c r="M326" i="4"/>
  <c r="R326" i="5"/>
  <c r="N326" i="4"/>
  <c r="T326" i="5"/>
  <c r="O326" i="4"/>
  <c r="U326" i="5"/>
  <c r="P326" i="4"/>
  <c r="W326" i="5"/>
  <c r="Q326" i="4"/>
  <c r="X326" i="5"/>
  <c r="AA326" i="5"/>
  <c r="AC326" i="5"/>
  <c r="AD326" i="5"/>
  <c r="X326" i="4"/>
  <c r="AI326" i="5"/>
  <c r="Y326" i="4"/>
  <c r="AJ326" i="5"/>
  <c r="AL326" i="5"/>
  <c r="Z326" i="5"/>
  <c r="AN326" i="5"/>
  <c r="O327" i="5"/>
  <c r="K327" i="5"/>
  <c r="AG327" i="5"/>
  <c r="B347" i="4"/>
  <c r="AF327" i="5"/>
  <c r="C327" i="5"/>
  <c r="D347" i="4"/>
  <c r="E327" i="5"/>
  <c r="I327" i="5"/>
  <c r="I347" i="4"/>
  <c r="L327" i="5"/>
  <c r="J347" i="4"/>
  <c r="N327" i="5"/>
  <c r="L347" i="4"/>
  <c r="Q327" i="5"/>
  <c r="M347" i="4"/>
  <c r="R327" i="5"/>
  <c r="N347" i="4"/>
  <c r="T327" i="5"/>
  <c r="O347" i="4"/>
  <c r="U327" i="5"/>
  <c r="P347" i="4"/>
  <c r="W327" i="5"/>
  <c r="Q347" i="4"/>
  <c r="X327" i="5"/>
  <c r="AA327" i="5"/>
  <c r="AC327" i="5"/>
  <c r="AD327" i="5"/>
  <c r="X347" i="4"/>
  <c r="AI327" i="5"/>
  <c r="Z327" i="5"/>
  <c r="AN327" i="5"/>
  <c r="O328" i="5"/>
  <c r="K328" i="5"/>
  <c r="AG328" i="5"/>
  <c r="B327" i="4"/>
  <c r="V327" i="4"/>
  <c r="AF328" i="5"/>
  <c r="C328" i="5"/>
  <c r="D327" i="4"/>
  <c r="E328" i="5"/>
  <c r="I328" i="5"/>
  <c r="I327" i="4"/>
  <c r="L328" i="5"/>
  <c r="J327" i="4"/>
  <c r="N328" i="5"/>
  <c r="L327" i="4"/>
  <c r="Q328" i="5"/>
  <c r="M327" i="4"/>
  <c r="R328" i="5"/>
  <c r="N327" i="4"/>
  <c r="T328" i="5"/>
  <c r="O327" i="4"/>
  <c r="U328" i="5"/>
  <c r="P327" i="4"/>
  <c r="W328" i="5"/>
  <c r="Q327" i="4"/>
  <c r="X328" i="5"/>
  <c r="AA328" i="5"/>
  <c r="AC328" i="5"/>
  <c r="AD328" i="5"/>
  <c r="X327" i="4"/>
  <c r="AI328" i="5"/>
  <c r="Y327" i="4"/>
  <c r="AJ328" i="5"/>
  <c r="AL328" i="5"/>
  <c r="Z328" i="5"/>
  <c r="AN328" i="5"/>
  <c r="O329" i="5"/>
  <c r="K329" i="5"/>
  <c r="AG329" i="5"/>
  <c r="B328" i="4"/>
  <c r="V328" i="4"/>
  <c r="AF329" i="5"/>
  <c r="C329" i="5"/>
  <c r="D328" i="4"/>
  <c r="E329" i="5"/>
  <c r="I329" i="5"/>
  <c r="I328" i="4"/>
  <c r="L329" i="5"/>
  <c r="J328" i="4"/>
  <c r="N329" i="5"/>
  <c r="L328" i="4"/>
  <c r="Q329" i="5"/>
  <c r="M328" i="4"/>
  <c r="R329" i="5"/>
  <c r="N328" i="4"/>
  <c r="T329" i="5"/>
  <c r="O328" i="4"/>
  <c r="U329" i="5"/>
  <c r="P328" i="4"/>
  <c r="W329" i="5"/>
  <c r="Q328" i="4"/>
  <c r="X329" i="5"/>
  <c r="AA329" i="5"/>
  <c r="AC329" i="5"/>
  <c r="AD329" i="5"/>
  <c r="X328" i="4"/>
  <c r="AI329" i="5"/>
  <c r="Y328" i="4"/>
  <c r="AJ329" i="5"/>
  <c r="AL329" i="5"/>
  <c r="Z329" i="5"/>
  <c r="AN329" i="5"/>
  <c r="O330" i="5"/>
  <c r="K330" i="5"/>
  <c r="AG330" i="5"/>
  <c r="B329" i="4"/>
  <c r="V329" i="4"/>
  <c r="AF330" i="5"/>
  <c r="C330" i="5"/>
  <c r="D329" i="4"/>
  <c r="E330" i="5"/>
  <c r="I329" i="4"/>
  <c r="L330" i="5"/>
  <c r="J329" i="4"/>
  <c r="N330" i="5"/>
  <c r="L329" i="4"/>
  <c r="Q330" i="5"/>
  <c r="M329" i="4"/>
  <c r="R330" i="5"/>
  <c r="N329" i="4"/>
  <c r="T330" i="5"/>
  <c r="O329" i="4"/>
  <c r="U330" i="5"/>
  <c r="P329" i="4"/>
  <c r="W330" i="5"/>
  <c r="Q329" i="4"/>
  <c r="X330" i="5"/>
  <c r="AA330" i="5"/>
  <c r="AC330" i="5"/>
  <c r="AD330" i="5"/>
  <c r="X329" i="4"/>
  <c r="AI330" i="5"/>
  <c r="Y329" i="4"/>
  <c r="AJ330" i="5"/>
  <c r="AL330" i="5"/>
  <c r="F330" i="5"/>
  <c r="H330" i="5"/>
  <c r="I330" i="5"/>
  <c r="Z330" i="5"/>
  <c r="AN330" i="5"/>
  <c r="O331" i="5"/>
  <c r="K331" i="5"/>
  <c r="AG331" i="5"/>
  <c r="B330" i="4"/>
  <c r="V330" i="4"/>
  <c r="AF331" i="5"/>
  <c r="C331" i="5"/>
  <c r="D330" i="4"/>
  <c r="E331" i="5"/>
  <c r="I330" i="4"/>
  <c r="L331" i="5"/>
  <c r="J330" i="4"/>
  <c r="N331" i="5"/>
  <c r="L330" i="4"/>
  <c r="Q331" i="5"/>
  <c r="M330" i="4"/>
  <c r="R331" i="5"/>
  <c r="N330" i="4"/>
  <c r="T331" i="5"/>
  <c r="O330" i="4"/>
  <c r="U331" i="5"/>
  <c r="P330" i="4"/>
  <c r="W331" i="5"/>
  <c r="Q330" i="4"/>
  <c r="X331" i="5"/>
  <c r="AA331" i="5"/>
  <c r="AC331" i="5"/>
  <c r="AD331" i="5"/>
  <c r="X330" i="4"/>
  <c r="AI331" i="5"/>
  <c r="Y330" i="4"/>
  <c r="AJ331" i="5"/>
  <c r="AL331" i="5"/>
  <c r="F331" i="5"/>
  <c r="H331" i="5"/>
  <c r="I331" i="5"/>
  <c r="Z331" i="5"/>
  <c r="AN331" i="5"/>
  <c r="O332" i="5"/>
  <c r="K332" i="5"/>
  <c r="AG332" i="5"/>
  <c r="B331" i="4"/>
  <c r="V331" i="4"/>
  <c r="AF332" i="5"/>
  <c r="C332" i="5"/>
  <c r="D331" i="4"/>
  <c r="E332" i="5"/>
  <c r="I332" i="5"/>
  <c r="I331" i="4"/>
  <c r="L332" i="5"/>
  <c r="J331" i="4"/>
  <c r="N332" i="5"/>
  <c r="L331" i="4"/>
  <c r="Q332" i="5"/>
  <c r="M331" i="4"/>
  <c r="R332" i="5"/>
  <c r="N331" i="4"/>
  <c r="T332" i="5"/>
  <c r="O331" i="4"/>
  <c r="U332" i="5"/>
  <c r="P331" i="4"/>
  <c r="W332" i="5"/>
  <c r="Q331" i="4"/>
  <c r="X332" i="5"/>
  <c r="AA332" i="5"/>
  <c r="AC332" i="5"/>
  <c r="AD332" i="5"/>
  <c r="X331" i="4"/>
  <c r="AI332" i="5"/>
  <c r="Y331" i="4"/>
  <c r="AJ332" i="5"/>
  <c r="AL332" i="5"/>
  <c r="Z332" i="5"/>
  <c r="AN332" i="5"/>
  <c r="O333" i="5"/>
  <c r="K333" i="5"/>
  <c r="AG333" i="5"/>
  <c r="AF333" i="5"/>
  <c r="C333" i="5"/>
  <c r="B332" i="4"/>
  <c r="D332" i="4"/>
  <c r="E333" i="5"/>
  <c r="I333" i="5"/>
  <c r="I332" i="4"/>
  <c r="L333" i="5"/>
  <c r="J332" i="4"/>
  <c r="N333" i="5"/>
  <c r="L332" i="4"/>
  <c r="Q333" i="5"/>
  <c r="M332" i="4"/>
  <c r="R333" i="5"/>
  <c r="N332" i="4"/>
  <c r="T333" i="5"/>
  <c r="O332" i="4"/>
  <c r="U333" i="5"/>
  <c r="P332" i="4"/>
  <c r="W333" i="5"/>
  <c r="Q332" i="4"/>
  <c r="X333" i="5"/>
  <c r="AA333" i="5"/>
  <c r="AC333" i="5"/>
  <c r="AD333" i="5"/>
  <c r="X332" i="4"/>
  <c r="AI333" i="5"/>
  <c r="Y332" i="4"/>
  <c r="AJ333" i="5"/>
  <c r="AL333" i="5"/>
  <c r="Z333" i="5"/>
  <c r="AN333" i="5"/>
  <c r="O334" i="5"/>
  <c r="K334" i="5"/>
  <c r="AG334" i="5"/>
  <c r="B333" i="4"/>
  <c r="V333" i="4"/>
  <c r="AF334" i="5"/>
  <c r="C334" i="5"/>
  <c r="D333" i="4"/>
  <c r="E334" i="5"/>
  <c r="I334" i="5"/>
  <c r="I333" i="4"/>
  <c r="L334" i="5"/>
  <c r="J333" i="4"/>
  <c r="N334" i="5"/>
  <c r="L333" i="4"/>
  <c r="Q334" i="5"/>
  <c r="M333" i="4"/>
  <c r="R334" i="5"/>
  <c r="N333" i="4"/>
  <c r="T334" i="5"/>
  <c r="O333" i="4"/>
  <c r="U334" i="5"/>
  <c r="P333" i="4"/>
  <c r="W334" i="5"/>
  <c r="Q333" i="4"/>
  <c r="X334" i="5"/>
  <c r="AA334" i="5"/>
  <c r="AC334" i="5"/>
  <c r="AD334" i="5"/>
  <c r="X333" i="4"/>
  <c r="AI334" i="5"/>
  <c r="Y333" i="4"/>
  <c r="AJ334" i="5"/>
  <c r="AL334" i="5"/>
  <c r="Z334" i="5"/>
  <c r="AN334" i="5"/>
  <c r="O335" i="5"/>
  <c r="K335" i="5"/>
  <c r="AG335" i="5"/>
  <c r="B334" i="4"/>
  <c r="V334" i="4"/>
  <c r="AF335" i="5"/>
  <c r="C335" i="5"/>
  <c r="D334" i="4"/>
  <c r="E335" i="5"/>
  <c r="I335" i="5"/>
  <c r="I334" i="4"/>
  <c r="L335" i="5"/>
  <c r="J334" i="4"/>
  <c r="N335" i="5"/>
  <c r="L334" i="4"/>
  <c r="Q335" i="5"/>
  <c r="M334" i="4"/>
  <c r="R335" i="5"/>
  <c r="N334" i="4"/>
  <c r="T335" i="5"/>
  <c r="O334" i="4"/>
  <c r="U335" i="5"/>
  <c r="P334" i="4"/>
  <c r="W335" i="5"/>
  <c r="Q334" i="4"/>
  <c r="X335" i="5"/>
  <c r="AA335" i="5"/>
  <c r="AC335" i="5"/>
  <c r="AD335" i="5"/>
  <c r="X334" i="4"/>
  <c r="AI335" i="5"/>
  <c r="Y334" i="4"/>
  <c r="AJ335" i="5"/>
  <c r="AL335" i="5"/>
  <c r="Z335" i="5"/>
  <c r="AN335" i="5"/>
  <c r="O336" i="5"/>
  <c r="K336" i="5"/>
  <c r="AG336" i="5"/>
  <c r="B335" i="4"/>
  <c r="V335" i="4"/>
  <c r="AF336" i="5"/>
  <c r="C336" i="5"/>
  <c r="D335" i="4"/>
  <c r="E336" i="5"/>
  <c r="I335" i="4"/>
  <c r="L336" i="5"/>
  <c r="J335" i="4"/>
  <c r="N336" i="5"/>
  <c r="L335" i="4"/>
  <c r="Q336" i="5"/>
  <c r="M335" i="4"/>
  <c r="R336" i="5"/>
  <c r="N335" i="4"/>
  <c r="T336" i="5"/>
  <c r="O335" i="4"/>
  <c r="U336" i="5"/>
  <c r="P335" i="4"/>
  <c r="W336" i="5"/>
  <c r="Q335" i="4"/>
  <c r="X336" i="5"/>
  <c r="AA336" i="5"/>
  <c r="AC336" i="5"/>
  <c r="AD336" i="5"/>
  <c r="X335" i="4"/>
  <c r="AI336" i="5"/>
  <c r="Y335" i="4"/>
  <c r="AJ336" i="5"/>
  <c r="AL336" i="5"/>
  <c r="F336" i="5"/>
  <c r="H336" i="5"/>
  <c r="I336" i="5"/>
  <c r="Z336" i="5"/>
  <c r="AN336" i="5"/>
  <c r="O337" i="5"/>
  <c r="K337" i="5"/>
  <c r="AG337" i="5"/>
  <c r="B336" i="4"/>
  <c r="V336" i="4"/>
  <c r="AF337" i="5"/>
  <c r="C337" i="5"/>
  <c r="D336" i="4"/>
  <c r="E337" i="5"/>
  <c r="I337" i="5"/>
  <c r="I336" i="4"/>
  <c r="L337" i="5"/>
  <c r="J336" i="4"/>
  <c r="N337" i="5"/>
  <c r="L336" i="4"/>
  <c r="Q337" i="5"/>
  <c r="M336" i="4"/>
  <c r="R337" i="5"/>
  <c r="N336" i="4"/>
  <c r="T337" i="5"/>
  <c r="O336" i="4"/>
  <c r="U337" i="5"/>
  <c r="P336" i="4"/>
  <c r="W337" i="5"/>
  <c r="Q336" i="4"/>
  <c r="X337" i="5"/>
  <c r="AA337" i="5"/>
  <c r="AC337" i="5"/>
  <c r="AD337" i="5"/>
  <c r="X336" i="4"/>
  <c r="AI337" i="5"/>
  <c r="Y336" i="4"/>
  <c r="AJ337" i="5"/>
  <c r="AL337" i="5"/>
  <c r="Z337" i="5"/>
  <c r="AN337" i="5"/>
  <c r="O338" i="5"/>
  <c r="K338" i="5"/>
  <c r="AG338" i="5"/>
  <c r="B337" i="4"/>
  <c r="V337" i="4"/>
  <c r="AF338" i="5"/>
  <c r="C338" i="5"/>
  <c r="D337" i="4"/>
  <c r="E338" i="5"/>
  <c r="I337" i="4"/>
  <c r="L338" i="5"/>
  <c r="J337" i="4"/>
  <c r="N338" i="5"/>
  <c r="L337" i="4"/>
  <c r="Q338" i="5"/>
  <c r="M337" i="4"/>
  <c r="R338" i="5"/>
  <c r="N337" i="4"/>
  <c r="T338" i="5"/>
  <c r="O337" i="4"/>
  <c r="U338" i="5"/>
  <c r="P337" i="4"/>
  <c r="W338" i="5"/>
  <c r="Q337" i="4"/>
  <c r="X338" i="5"/>
  <c r="AA338" i="5"/>
  <c r="AC338" i="5"/>
  <c r="AD338" i="5"/>
  <c r="X337" i="4"/>
  <c r="AI338" i="5"/>
  <c r="Y337" i="4"/>
  <c r="AJ338" i="5"/>
  <c r="AL338" i="5"/>
  <c r="F338" i="5"/>
  <c r="H338" i="5"/>
  <c r="I338" i="5"/>
  <c r="Z338" i="5"/>
  <c r="AN338" i="5"/>
  <c r="O339" i="5"/>
  <c r="K339" i="5"/>
  <c r="AG339" i="5"/>
  <c r="B338" i="4"/>
  <c r="V338" i="4"/>
  <c r="AF339" i="5"/>
  <c r="C339" i="5"/>
  <c r="D338" i="4"/>
  <c r="E339" i="5"/>
  <c r="I339" i="5"/>
  <c r="I338" i="4"/>
  <c r="L339" i="5"/>
  <c r="J338" i="4"/>
  <c r="N339" i="5"/>
  <c r="L338" i="4"/>
  <c r="Q339" i="5"/>
  <c r="M338" i="4"/>
  <c r="R339" i="5"/>
  <c r="N338" i="4"/>
  <c r="T339" i="5"/>
  <c r="O338" i="4"/>
  <c r="U339" i="5"/>
  <c r="P338" i="4"/>
  <c r="W339" i="5"/>
  <c r="Q338" i="4"/>
  <c r="X339" i="5"/>
  <c r="AA339" i="5"/>
  <c r="AC339" i="5"/>
  <c r="AD339" i="5"/>
  <c r="X338" i="4"/>
  <c r="AI339" i="5"/>
  <c r="Y338" i="4"/>
  <c r="AJ339" i="5"/>
  <c r="AL339" i="5"/>
  <c r="Z339" i="5"/>
  <c r="AN339" i="5"/>
  <c r="O340" i="5"/>
  <c r="K340" i="5"/>
  <c r="AG340" i="5"/>
  <c r="B339" i="4"/>
  <c r="V339" i="4"/>
  <c r="AF340" i="5"/>
  <c r="C340" i="5"/>
  <c r="D339" i="4"/>
  <c r="E340" i="5"/>
  <c r="I339" i="4"/>
  <c r="L340" i="5"/>
  <c r="J339" i="4"/>
  <c r="N340" i="5"/>
  <c r="L339" i="4"/>
  <c r="Q340" i="5"/>
  <c r="M339" i="4"/>
  <c r="R340" i="5"/>
  <c r="N339" i="4"/>
  <c r="T340" i="5"/>
  <c r="O339" i="4"/>
  <c r="U340" i="5"/>
  <c r="P339" i="4"/>
  <c r="W340" i="5"/>
  <c r="Q339" i="4"/>
  <c r="X340" i="5"/>
  <c r="AA340" i="5"/>
  <c r="AC340" i="5"/>
  <c r="AD340" i="5"/>
  <c r="X339" i="4"/>
  <c r="AI340" i="5"/>
  <c r="Y339" i="4"/>
  <c r="AJ340" i="5"/>
  <c r="AL340" i="5"/>
  <c r="F340" i="5"/>
  <c r="H340" i="5"/>
  <c r="I340" i="5"/>
  <c r="Z340" i="5"/>
  <c r="AN340" i="5"/>
  <c r="O341" i="5"/>
  <c r="K341" i="5"/>
  <c r="AG341" i="5"/>
  <c r="B340" i="4"/>
  <c r="V340" i="4"/>
  <c r="AF341" i="5"/>
  <c r="C341" i="5"/>
  <c r="D340" i="4"/>
  <c r="E341" i="5"/>
  <c r="I341" i="5"/>
  <c r="I340" i="4"/>
  <c r="L341" i="5"/>
  <c r="J340" i="4"/>
  <c r="N341" i="5"/>
  <c r="L340" i="4"/>
  <c r="Q341" i="5"/>
  <c r="M340" i="4"/>
  <c r="R341" i="5"/>
  <c r="N340" i="4"/>
  <c r="T341" i="5"/>
  <c r="O340" i="4"/>
  <c r="U341" i="5"/>
  <c r="P340" i="4"/>
  <c r="W341" i="5"/>
  <c r="Q340" i="4"/>
  <c r="X341" i="5"/>
  <c r="AA341" i="5"/>
  <c r="AC341" i="5"/>
  <c r="AD341" i="5"/>
  <c r="X340" i="4"/>
  <c r="AI341" i="5"/>
  <c r="Y340" i="4"/>
  <c r="AJ341" i="5"/>
  <c r="AL341" i="5"/>
  <c r="Z341" i="5"/>
  <c r="AN341" i="5"/>
  <c r="O342" i="5"/>
  <c r="K342" i="5"/>
  <c r="AG342" i="5"/>
  <c r="B341" i="4"/>
  <c r="V341" i="4"/>
  <c r="AF342" i="5"/>
  <c r="C342" i="5"/>
  <c r="D341" i="4"/>
  <c r="E342" i="5"/>
  <c r="I342" i="5"/>
  <c r="I341" i="4"/>
  <c r="L342" i="5"/>
  <c r="J341" i="4"/>
  <c r="N342" i="5"/>
  <c r="L341" i="4"/>
  <c r="Q342" i="5"/>
  <c r="M341" i="4"/>
  <c r="R342" i="5"/>
  <c r="N341" i="4"/>
  <c r="T342" i="5"/>
  <c r="O341" i="4"/>
  <c r="U342" i="5"/>
  <c r="P341" i="4"/>
  <c r="W342" i="5"/>
  <c r="Q341" i="4"/>
  <c r="X342" i="5"/>
  <c r="AA342" i="5"/>
  <c r="AC342" i="5"/>
  <c r="AD342" i="5"/>
  <c r="X341" i="4"/>
  <c r="AI342" i="5"/>
  <c r="Y341" i="4"/>
  <c r="AJ342" i="5"/>
  <c r="AL342" i="5"/>
  <c r="Z342" i="5"/>
  <c r="AN342" i="5"/>
  <c r="O343" i="5"/>
  <c r="K343" i="5"/>
  <c r="AG343" i="5"/>
  <c r="B342" i="4"/>
  <c r="V342" i="4"/>
  <c r="AF343" i="5"/>
  <c r="C343" i="5"/>
  <c r="D342" i="4"/>
  <c r="E343" i="5"/>
  <c r="I343" i="5"/>
  <c r="I342" i="4"/>
  <c r="L343" i="5"/>
  <c r="J342" i="4"/>
  <c r="N343" i="5"/>
  <c r="L342" i="4"/>
  <c r="Q343" i="5"/>
  <c r="M342" i="4"/>
  <c r="R343" i="5"/>
  <c r="N342" i="4"/>
  <c r="T343" i="5"/>
  <c r="O342" i="4"/>
  <c r="U343" i="5"/>
  <c r="P342" i="4"/>
  <c r="W343" i="5"/>
  <c r="Q342" i="4"/>
  <c r="X343" i="5"/>
  <c r="AA343" i="5"/>
  <c r="AC343" i="5"/>
  <c r="AD343" i="5"/>
  <c r="X342" i="4"/>
  <c r="AI343" i="5"/>
  <c r="Y342" i="4"/>
  <c r="AJ343" i="5"/>
  <c r="AL343" i="5"/>
  <c r="Z343" i="5"/>
  <c r="AN343" i="5"/>
  <c r="O344" i="5"/>
  <c r="K344" i="5"/>
  <c r="AG344" i="5"/>
  <c r="B343" i="4"/>
  <c r="V343" i="4"/>
  <c r="AF344" i="5"/>
  <c r="C344" i="5"/>
  <c r="D343" i="4"/>
  <c r="E344" i="5"/>
  <c r="I343" i="4"/>
  <c r="L344" i="5"/>
  <c r="J343" i="4"/>
  <c r="N344" i="5"/>
  <c r="L343" i="4"/>
  <c r="Q344" i="5"/>
  <c r="M343" i="4"/>
  <c r="R344" i="5"/>
  <c r="N343" i="4"/>
  <c r="T344" i="5"/>
  <c r="O343" i="4"/>
  <c r="U344" i="5"/>
  <c r="P343" i="4"/>
  <c r="W344" i="5"/>
  <c r="Q343" i="4"/>
  <c r="X344" i="5"/>
  <c r="AA344" i="5"/>
  <c r="AC344" i="5"/>
  <c r="AD344" i="5"/>
  <c r="X343" i="4"/>
  <c r="AI344" i="5"/>
  <c r="Y343" i="4"/>
  <c r="AJ344" i="5"/>
  <c r="AL344" i="5"/>
  <c r="F344" i="5"/>
  <c r="H344" i="5"/>
  <c r="I344" i="5"/>
  <c r="Z344" i="5"/>
  <c r="AN344" i="5"/>
  <c r="O345" i="5"/>
  <c r="K345" i="5"/>
  <c r="AG345" i="5"/>
  <c r="B344" i="4"/>
  <c r="V344" i="4"/>
  <c r="AF345" i="5"/>
  <c r="C345" i="5"/>
  <c r="D344" i="4"/>
  <c r="E345" i="5"/>
  <c r="I344" i="4"/>
  <c r="L345" i="5"/>
  <c r="J344" i="4"/>
  <c r="N345" i="5"/>
  <c r="L344" i="4"/>
  <c r="Q345" i="5"/>
  <c r="M344" i="4"/>
  <c r="R345" i="5"/>
  <c r="N344" i="4"/>
  <c r="T345" i="5"/>
  <c r="O344" i="4"/>
  <c r="U345" i="5"/>
  <c r="P344" i="4"/>
  <c r="W345" i="5"/>
  <c r="Q344" i="4"/>
  <c r="X345" i="5"/>
  <c r="AA345" i="5"/>
  <c r="AC345" i="5"/>
  <c r="AD345" i="5"/>
  <c r="X344" i="4"/>
  <c r="AI345" i="5"/>
  <c r="Y344" i="4"/>
  <c r="AJ345" i="5"/>
  <c r="AL345" i="5"/>
  <c r="F345" i="5"/>
  <c r="H345" i="5"/>
  <c r="I345" i="5"/>
  <c r="Z345" i="5"/>
  <c r="AN345" i="5"/>
  <c r="O346" i="5"/>
  <c r="K346" i="5"/>
  <c r="AG346" i="5"/>
  <c r="B345" i="4"/>
  <c r="V345" i="4"/>
  <c r="AF346" i="5"/>
  <c r="C346" i="5"/>
  <c r="D345" i="4"/>
  <c r="E346" i="5"/>
  <c r="I345" i="4"/>
  <c r="L346" i="5"/>
  <c r="J345" i="4"/>
  <c r="N346" i="5"/>
  <c r="L345" i="4"/>
  <c r="Q346" i="5"/>
  <c r="M345" i="4"/>
  <c r="R346" i="5"/>
  <c r="N345" i="4"/>
  <c r="T346" i="5"/>
  <c r="O345" i="4"/>
  <c r="U346" i="5"/>
  <c r="P345" i="4"/>
  <c r="W346" i="5"/>
  <c r="Q345" i="4"/>
  <c r="X346" i="5"/>
  <c r="AA346" i="5"/>
  <c r="AC346" i="5"/>
  <c r="AD346" i="5"/>
  <c r="X345" i="4"/>
  <c r="AI346" i="5"/>
  <c r="Y345" i="4"/>
  <c r="AJ346" i="5"/>
  <c r="AL346" i="5"/>
  <c r="F346" i="5"/>
  <c r="H346" i="5"/>
  <c r="I346" i="5"/>
  <c r="Z346" i="5"/>
  <c r="AN346" i="5"/>
  <c r="O347" i="5"/>
  <c r="K347" i="5"/>
  <c r="AG347" i="5"/>
  <c r="B346" i="4"/>
  <c r="V346" i="4"/>
  <c r="AF347" i="5"/>
  <c r="C347" i="5"/>
  <c r="D346" i="4"/>
  <c r="E347" i="5"/>
  <c r="I347" i="5"/>
  <c r="I346" i="4"/>
  <c r="L347" i="5"/>
  <c r="J346" i="4"/>
  <c r="N347" i="5"/>
  <c r="L346" i="4"/>
  <c r="Q347" i="5"/>
  <c r="M346" i="4"/>
  <c r="R347" i="5"/>
  <c r="N346" i="4"/>
  <c r="T347" i="5"/>
  <c r="O346" i="4"/>
  <c r="U347" i="5"/>
  <c r="P346" i="4"/>
  <c r="W347" i="5"/>
  <c r="Q346" i="4"/>
  <c r="X347" i="5"/>
  <c r="AA347" i="5"/>
  <c r="AC347" i="5"/>
  <c r="AD347" i="5"/>
  <c r="X346" i="4"/>
  <c r="AI347" i="5"/>
  <c r="Y346" i="4"/>
  <c r="AJ347" i="5"/>
  <c r="AL347" i="5"/>
  <c r="Z347" i="5"/>
  <c r="AN347" i="5"/>
  <c r="K50" i="2"/>
  <c r="B348" i="4"/>
  <c r="K348" i="4"/>
  <c r="O348" i="5"/>
  <c r="H50" i="2"/>
  <c r="H348" i="4"/>
  <c r="K348" i="5"/>
  <c r="W50" i="2"/>
  <c r="W348" i="4"/>
  <c r="AG348" i="5"/>
  <c r="V50" i="2"/>
  <c r="V348" i="4"/>
  <c r="AF348" i="5"/>
  <c r="C50" i="2"/>
  <c r="C348" i="4"/>
  <c r="C348" i="5"/>
  <c r="D50" i="2"/>
  <c r="D348" i="4"/>
  <c r="E348" i="5"/>
  <c r="I50" i="2"/>
  <c r="I348" i="4"/>
  <c r="L348" i="5"/>
  <c r="J50" i="2"/>
  <c r="J348" i="4"/>
  <c r="N348" i="5"/>
  <c r="L50" i="2"/>
  <c r="L348" i="4"/>
  <c r="Q348" i="5"/>
  <c r="M50" i="2"/>
  <c r="M348" i="4"/>
  <c r="R348" i="5"/>
  <c r="N50" i="2"/>
  <c r="N348" i="4"/>
  <c r="T348" i="5"/>
  <c r="O50" i="2"/>
  <c r="O348" i="4"/>
  <c r="U348" i="5"/>
  <c r="P50" i="2"/>
  <c r="P348" i="4"/>
  <c r="W348" i="5"/>
  <c r="Q50" i="2"/>
  <c r="Q348" i="4"/>
  <c r="X348" i="5"/>
  <c r="S50" i="2"/>
  <c r="S348" i="4"/>
  <c r="AA348" i="5"/>
  <c r="T50" i="2"/>
  <c r="T348" i="4"/>
  <c r="AC348" i="5"/>
  <c r="U50" i="2"/>
  <c r="U348" i="4"/>
  <c r="AD348" i="5"/>
  <c r="X50" i="2"/>
  <c r="X348" i="4"/>
  <c r="AI348" i="5"/>
  <c r="Y50" i="2"/>
  <c r="Y348" i="4"/>
  <c r="AJ348" i="5"/>
  <c r="Z50" i="2"/>
  <c r="Z348" i="4"/>
  <c r="AL348" i="5"/>
  <c r="F348" i="5"/>
  <c r="H348" i="5"/>
  <c r="I348" i="5"/>
  <c r="Z348" i="5"/>
  <c r="AN348" i="5"/>
  <c r="B349" i="4"/>
  <c r="K349" i="4"/>
  <c r="O349" i="5"/>
  <c r="H349" i="4"/>
  <c r="K349" i="5"/>
  <c r="W349" i="4"/>
  <c r="AG349" i="5"/>
  <c r="V349" i="4"/>
  <c r="AF349" i="5"/>
  <c r="C349" i="4"/>
  <c r="C349" i="5"/>
  <c r="D349" i="4"/>
  <c r="E349" i="5"/>
  <c r="I349" i="4"/>
  <c r="L349" i="5"/>
  <c r="J349" i="4"/>
  <c r="N349" i="5"/>
  <c r="L349" i="4"/>
  <c r="Q349" i="5"/>
  <c r="M349" i="4"/>
  <c r="R349" i="5"/>
  <c r="N349" i="4"/>
  <c r="T349" i="5"/>
  <c r="O349" i="4"/>
  <c r="U349" i="5"/>
  <c r="P349" i="4"/>
  <c r="W349" i="5"/>
  <c r="Q349" i="4"/>
  <c r="X349" i="5"/>
  <c r="S349" i="4"/>
  <c r="AA349" i="5"/>
  <c r="T349" i="4"/>
  <c r="AC349" i="5"/>
  <c r="U349" i="4"/>
  <c r="AD349" i="5"/>
  <c r="X349" i="4"/>
  <c r="AI349" i="5"/>
  <c r="Y349" i="4"/>
  <c r="AJ349" i="5"/>
  <c r="Z349" i="4"/>
  <c r="AL349" i="5"/>
  <c r="F349" i="5"/>
  <c r="H349" i="5"/>
  <c r="I349" i="5"/>
  <c r="Z349" i="5"/>
  <c r="AN349" i="5"/>
  <c r="B350" i="4"/>
  <c r="K350" i="4"/>
  <c r="O350" i="5"/>
  <c r="H350" i="4"/>
  <c r="K350" i="5"/>
  <c r="W350" i="4"/>
  <c r="AG350" i="5"/>
  <c r="V350" i="4"/>
  <c r="AF350" i="5"/>
  <c r="C350" i="4"/>
  <c r="C350" i="5"/>
  <c r="D350" i="4"/>
  <c r="E350" i="5"/>
  <c r="I350" i="4"/>
  <c r="L350" i="5"/>
  <c r="J350" i="4"/>
  <c r="N350" i="5"/>
  <c r="L350" i="4"/>
  <c r="Q350" i="5"/>
  <c r="M350" i="4"/>
  <c r="R350" i="5"/>
  <c r="N350" i="4"/>
  <c r="T350" i="5"/>
  <c r="O350" i="4"/>
  <c r="U350" i="5"/>
  <c r="P350" i="4"/>
  <c r="W350" i="5"/>
  <c r="Q350" i="4"/>
  <c r="X350" i="5"/>
  <c r="S350" i="4"/>
  <c r="AA350" i="5"/>
  <c r="T350" i="4"/>
  <c r="AC350" i="5"/>
  <c r="U350" i="4"/>
  <c r="AD350" i="5"/>
  <c r="X350" i="4"/>
  <c r="AI350" i="5"/>
  <c r="Y350" i="4"/>
  <c r="AJ350" i="5"/>
  <c r="Z350" i="4"/>
  <c r="AL350" i="5"/>
  <c r="F350" i="5"/>
  <c r="H350" i="5"/>
  <c r="I350" i="5"/>
  <c r="Z350" i="5"/>
  <c r="AN350" i="5"/>
  <c r="B351" i="4"/>
  <c r="S351" i="4"/>
  <c r="AA351" i="5"/>
  <c r="P51" i="2"/>
  <c r="P351" i="4"/>
  <c r="W351" i="5"/>
  <c r="K51" i="2"/>
  <c r="K351" i="4"/>
  <c r="O351" i="5"/>
  <c r="H51" i="2"/>
  <c r="H351" i="4"/>
  <c r="K351" i="5"/>
  <c r="W51" i="2"/>
  <c r="W351" i="4"/>
  <c r="AG351" i="5"/>
  <c r="V51" i="2"/>
  <c r="V351" i="4"/>
  <c r="AF351" i="5"/>
  <c r="C51" i="2"/>
  <c r="C351" i="4"/>
  <c r="C351" i="5"/>
  <c r="D51" i="2"/>
  <c r="D351" i="4"/>
  <c r="E351" i="5"/>
  <c r="I51" i="2"/>
  <c r="I351" i="4"/>
  <c r="L351" i="5"/>
  <c r="J51" i="2"/>
  <c r="J351" i="4"/>
  <c r="N351" i="5"/>
  <c r="L51" i="2"/>
  <c r="L351" i="4"/>
  <c r="Q351" i="5"/>
  <c r="M51" i="2"/>
  <c r="M351" i="4"/>
  <c r="R351" i="5"/>
  <c r="N51" i="2"/>
  <c r="N351" i="4"/>
  <c r="T351" i="5"/>
  <c r="O51" i="2"/>
  <c r="O351" i="4"/>
  <c r="U351" i="5"/>
  <c r="Q51" i="2"/>
  <c r="Q351" i="4"/>
  <c r="X351" i="5"/>
  <c r="R51" i="2"/>
  <c r="R351" i="4"/>
  <c r="Z351" i="5"/>
  <c r="T51" i="2"/>
  <c r="T351" i="4"/>
  <c r="AC351" i="5"/>
  <c r="U51" i="2"/>
  <c r="U351" i="4"/>
  <c r="AD351" i="5"/>
  <c r="X51" i="2"/>
  <c r="X351" i="4"/>
  <c r="AI351" i="5"/>
  <c r="Y351" i="4"/>
  <c r="AJ351" i="5"/>
  <c r="Z51" i="2"/>
  <c r="Z351" i="4"/>
  <c r="AL351" i="5"/>
  <c r="F351" i="5"/>
  <c r="H351" i="5"/>
  <c r="I351" i="5"/>
  <c r="AN351" i="5"/>
  <c r="K352" i="4"/>
  <c r="O352" i="5"/>
  <c r="H352" i="4"/>
  <c r="K352" i="5"/>
  <c r="W352" i="4"/>
  <c r="AG352" i="5"/>
  <c r="V352" i="4"/>
  <c r="AF352" i="5"/>
  <c r="C352" i="4"/>
  <c r="C352" i="5"/>
  <c r="D352" i="4"/>
  <c r="E352" i="5"/>
  <c r="I352" i="4"/>
  <c r="L352" i="5"/>
  <c r="J352" i="4"/>
  <c r="N352" i="5"/>
  <c r="L352" i="4"/>
  <c r="Q352" i="5"/>
  <c r="M352" i="4"/>
  <c r="R352" i="5"/>
  <c r="N352" i="4"/>
  <c r="T352" i="5"/>
  <c r="O352" i="4"/>
  <c r="U352" i="5"/>
  <c r="P352" i="4"/>
  <c r="W352" i="5"/>
  <c r="Q352" i="4"/>
  <c r="X352" i="5"/>
  <c r="T352" i="4"/>
  <c r="AC352" i="5"/>
  <c r="U352" i="4"/>
  <c r="AD352" i="5"/>
  <c r="X352" i="4"/>
  <c r="AI352" i="5"/>
  <c r="Y352" i="4"/>
  <c r="AJ352" i="5"/>
  <c r="Z352" i="4"/>
  <c r="AL352" i="5"/>
  <c r="Z352" i="5"/>
  <c r="F352" i="5"/>
  <c r="H352" i="5"/>
  <c r="I352" i="5"/>
  <c r="AN352" i="5"/>
  <c r="B353" i="4"/>
  <c r="K353" i="4"/>
  <c r="O353" i="5"/>
  <c r="H353" i="4"/>
  <c r="K353" i="5"/>
  <c r="W353" i="4"/>
  <c r="AG353" i="5"/>
  <c r="V353" i="4"/>
  <c r="AF353" i="5"/>
  <c r="C353" i="4"/>
  <c r="C353" i="5"/>
  <c r="D353" i="4"/>
  <c r="E353" i="5"/>
  <c r="I353" i="4"/>
  <c r="L353" i="5"/>
  <c r="J353" i="4"/>
  <c r="N353" i="5"/>
  <c r="L353" i="4"/>
  <c r="Q353" i="5"/>
  <c r="M353" i="4"/>
  <c r="R353" i="5"/>
  <c r="N353" i="4"/>
  <c r="T353" i="5"/>
  <c r="O353" i="4"/>
  <c r="U353" i="5"/>
  <c r="P353" i="4"/>
  <c r="W353" i="5"/>
  <c r="Q353" i="4"/>
  <c r="X353" i="5"/>
  <c r="S353" i="4"/>
  <c r="T353" i="4"/>
  <c r="AC353" i="5"/>
  <c r="U353" i="4"/>
  <c r="AD353" i="5"/>
  <c r="X353" i="4"/>
  <c r="AI353" i="5"/>
  <c r="Y353" i="4"/>
  <c r="AJ353" i="5"/>
  <c r="Z353" i="4"/>
  <c r="AL353" i="5"/>
  <c r="Z353" i="5"/>
  <c r="F353" i="5"/>
  <c r="H353" i="5"/>
  <c r="I353" i="5"/>
  <c r="AN353" i="5"/>
  <c r="B366" i="4"/>
  <c r="K366" i="4"/>
  <c r="O354" i="5"/>
  <c r="H366" i="4"/>
  <c r="K354" i="5"/>
  <c r="W366" i="4"/>
  <c r="AG354" i="5"/>
  <c r="V366" i="4"/>
  <c r="AF354" i="5"/>
  <c r="C366" i="4"/>
  <c r="C354" i="5"/>
  <c r="D366" i="4"/>
  <c r="E354" i="5"/>
  <c r="I366" i="4"/>
  <c r="L354" i="5"/>
  <c r="J366" i="4"/>
  <c r="N354" i="5"/>
  <c r="L366" i="4"/>
  <c r="Q354" i="5"/>
  <c r="M366" i="4"/>
  <c r="R354" i="5"/>
  <c r="N366" i="4"/>
  <c r="T354" i="5"/>
  <c r="O366" i="4"/>
  <c r="U354" i="5"/>
  <c r="P366" i="4"/>
  <c r="W354" i="5"/>
  <c r="Q366" i="4"/>
  <c r="X354" i="5"/>
  <c r="S366" i="4"/>
  <c r="AA354" i="5"/>
  <c r="T366" i="4"/>
  <c r="AC354" i="5"/>
  <c r="U366" i="4"/>
  <c r="AD354" i="5"/>
  <c r="X366" i="4"/>
  <c r="AI354" i="5"/>
  <c r="Y366" i="4"/>
  <c r="AJ354" i="5"/>
  <c r="Z366" i="4"/>
  <c r="AL354" i="5"/>
  <c r="Z354" i="5"/>
  <c r="F354" i="5"/>
  <c r="H354" i="5"/>
  <c r="I354" i="5"/>
  <c r="AN354" i="5"/>
  <c r="B367" i="4"/>
  <c r="K367" i="4"/>
  <c r="O355" i="5"/>
  <c r="H367" i="4"/>
  <c r="K355" i="5"/>
  <c r="W367" i="4"/>
  <c r="AG355" i="5"/>
  <c r="V367" i="4"/>
  <c r="AF355" i="5"/>
  <c r="C367" i="4"/>
  <c r="C355" i="5"/>
  <c r="D367" i="4"/>
  <c r="E355" i="5"/>
  <c r="I367" i="4"/>
  <c r="L355" i="5"/>
  <c r="J367" i="4"/>
  <c r="N355" i="5"/>
  <c r="L367" i="4"/>
  <c r="Q355" i="5"/>
  <c r="M367" i="4"/>
  <c r="R355" i="5"/>
  <c r="N367" i="4"/>
  <c r="T355" i="5"/>
  <c r="O367" i="4"/>
  <c r="U355" i="5"/>
  <c r="P367" i="4"/>
  <c r="W355" i="5"/>
  <c r="Q367" i="4"/>
  <c r="X355" i="5"/>
  <c r="S367" i="4"/>
  <c r="AA355" i="5"/>
  <c r="T367" i="4"/>
  <c r="AC355" i="5"/>
  <c r="U367" i="4"/>
  <c r="AD355" i="5"/>
  <c r="X367" i="4"/>
  <c r="AI355" i="5"/>
  <c r="Y367" i="4"/>
  <c r="AJ355" i="5"/>
  <c r="Z355" i="5"/>
  <c r="F355" i="5"/>
  <c r="H355" i="5"/>
  <c r="I355" i="5"/>
  <c r="AN355" i="5"/>
  <c r="S368" i="4"/>
  <c r="P368" i="4"/>
  <c r="W356" i="5"/>
  <c r="K368" i="4"/>
  <c r="O356" i="5"/>
  <c r="H368" i="4"/>
  <c r="K356" i="5"/>
  <c r="W368" i="4"/>
  <c r="AG356" i="5"/>
  <c r="V368" i="4"/>
  <c r="AF356" i="5"/>
  <c r="C368" i="4"/>
  <c r="C356" i="5"/>
  <c r="D368" i="4"/>
  <c r="E356" i="5"/>
  <c r="I368" i="4"/>
  <c r="L356" i="5"/>
  <c r="J368" i="4"/>
  <c r="N356" i="5"/>
  <c r="L368" i="4"/>
  <c r="Q356" i="5"/>
  <c r="M368" i="4"/>
  <c r="R356" i="5"/>
  <c r="N368" i="4"/>
  <c r="T356" i="5"/>
  <c r="O368" i="4"/>
  <c r="U356" i="5"/>
  <c r="Q368" i="4"/>
  <c r="X356" i="5"/>
  <c r="R368" i="4"/>
  <c r="Z356" i="5"/>
  <c r="T368" i="4"/>
  <c r="AC356" i="5"/>
  <c r="U368" i="4"/>
  <c r="AD356" i="5"/>
  <c r="X368" i="4"/>
  <c r="AI356" i="5"/>
  <c r="F356" i="5"/>
  <c r="H356" i="5"/>
  <c r="I356" i="5"/>
  <c r="AN356" i="5"/>
  <c r="B354" i="4"/>
  <c r="K354" i="4"/>
  <c r="O357" i="5"/>
  <c r="H354" i="4"/>
  <c r="K357" i="5"/>
  <c r="W354" i="4"/>
  <c r="AG357" i="5"/>
  <c r="V354" i="4"/>
  <c r="AF357" i="5"/>
  <c r="C354" i="4"/>
  <c r="C357" i="5"/>
  <c r="D354" i="4"/>
  <c r="E357" i="5"/>
  <c r="I354" i="4"/>
  <c r="L357" i="5"/>
  <c r="J354" i="4"/>
  <c r="N357" i="5"/>
  <c r="L354" i="4"/>
  <c r="Q357" i="5"/>
  <c r="M354" i="4"/>
  <c r="R357" i="5"/>
  <c r="N354" i="4"/>
  <c r="T357" i="5"/>
  <c r="O354" i="4"/>
  <c r="U357" i="5"/>
  <c r="P354" i="4"/>
  <c r="W357" i="5"/>
  <c r="Q354" i="4"/>
  <c r="X357" i="5"/>
  <c r="S354" i="4"/>
  <c r="AA357" i="5"/>
  <c r="T354" i="4"/>
  <c r="AC357" i="5"/>
  <c r="U354" i="4"/>
  <c r="AD357" i="5"/>
  <c r="X354" i="4"/>
  <c r="AI357" i="5"/>
  <c r="Y354" i="4"/>
  <c r="AJ357" i="5"/>
  <c r="Z354" i="4"/>
  <c r="AL357" i="5"/>
  <c r="F357" i="5"/>
  <c r="H357" i="5"/>
  <c r="I357" i="5"/>
  <c r="Z357" i="5"/>
  <c r="AN357" i="5"/>
  <c r="B355" i="4"/>
  <c r="K355" i="4"/>
  <c r="O358" i="5"/>
  <c r="H355" i="4"/>
  <c r="K358" i="5"/>
  <c r="W355" i="4"/>
  <c r="AG358" i="5"/>
  <c r="V355" i="4"/>
  <c r="AF358" i="5"/>
  <c r="C355" i="4"/>
  <c r="C358" i="5"/>
  <c r="D355" i="4"/>
  <c r="E358" i="5"/>
  <c r="I355" i="4"/>
  <c r="L358" i="5"/>
  <c r="J355" i="4"/>
  <c r="N358" i="5"/>
  <c r="L355" i="4"/>
  <c r="Q358" i="5"/>
  <c r="M355" i="4"/>
  <c r="R358" i="5"/>
  <c r="N355" i="4"/>
  <c r="T358" i="5"/>
  <c r="O355" i="4"/>
  <c r="U358" i="5"/>
  <c r="P355" i="4"/>
  <c r="W358" i="5"/>
  <c r="Q355" i="4"/>
  <c r="X358" i="5"/>
  <c r="S355" i="4"/>
  <c r="AA358" i="5"/>
  <c r="T355" i="4"/>
  <c r="AC358" i="5"/>
  <c r="U355" i="4"/>
  <c r="AD358" i="5"/>
  <c r="X355" i="4"/>
  <c r="AI358" i="5"/>
  <c r="Y355" i="4"/>
  <c r="AJ358" i="5"/>
  <c r="Z355" i="4"/>
  <c r="AL358" i="5"/>
  <c r="F358" i="5"/>
  <c r="H358" i="5"/>
  <c r="I358" i="5"/>
  <c r="Z358" i="5"/>
  <c r="AN358" i="5"/>
  <c r="B356" i="4"/>
  <c r="K356" i="4"/>
  <c r="O359" i="5"/>
  <c r="H356" i="4"/>
  <c r="K359" i="5"/>
  <c r="W356" i="4"/>
  <c r="AG359" i="5"/>
  <c r="V356" i="4"/>
  <c r="AF359" i="5"/>
  <c r="C356" i="4"/>
  <c r="C359" i="5"/>
  <c r="D356" i="4"/>
  <c r="E359" i="5"/>
  <c r="I356" i="4"/>
  <c r="L359" i="5"/>
  <c r="J356" i="4"/>
  <c r="N359" i="5"/>
  <c r="L356" i="4"/>
  <c r="Q359" i="5"/>
  <c r="M356" i="4"/>
  <c r="R359" i="5"/>
  <c r="N356" i="4"/>
  <c r="T359" i="5"/>
  <c r="O356" i="4"/>
  <c r="U359" i="5"/>
  <c r="P356" i="4"/>
  <c r="W359" i="5"/>
  <c r="Q356" i="4"/>
  <c r="X359" i="5"/>
  <c r="S356" i="4"/>
  <c r="AA359" i="5"/>
  <c r="T356" i="4"/>
  <c r="AC359" i="5"/>
  <c r="U356" i="4"/>
  <c r="AD359" i="5"/>
  <c r="X356" i="4"/>
  <c r="AI359" i="5"/>
  <c r="Y356" i="4"/>
  <c r="AJ359" i="5"/>
  <c r="Z356" i="4"/>
  <c r="AL359" i="5"/>
  <c r="F359" i="5"/>
  <c r="H359" i="5"/>
  <c r="I359" i="5"/>
  <c r="Z359" i="5"/>
  <c r="AN359" i="5"/>
  <c r="B357" i="4"/>
  <c r="K357" i="4"/>
  <c r="O360" i="5"/>
  <c r="H357" i="4"/>
  <c r="K360" i="5"/>
  <c r="W357" i="4"/>
  <c r="AG360" i="5"/>
  <c r="V357" i="4"/>
  <c r="AF360" i="5"/>
  <c r="C357" i="4"/>
  <c r="C360" i="5"/>
  <c r="D357" i="4"/>
  <c r="E360" i="5"/>
  <c r="I357" i="4"/>
  <c r="L360" i="5"/>
  <c r="J357" i="4"/>
  <c r="N360" i="5"/>
  <c r="L357" i="4"/>
  <c r="Q360" i="5"/>
  <c r="M357" i="4"/>
  <c r="R360" i="5"/>
  <c r="N357" i="4"/>
  <c r="T360" i="5"/>
  <c r="O357" i="4"/>
  <c r="U360" i="5"/>
  <c r="P357" i="4"/>
  <c r="W360" i="5"/>
  <c r="Q357" i="4"/>
  <c r="X360" i="5"/>
  <c r="S357" i="4"/>
  <c r="AA360" i="5"/>
  <c r="T357" i="4"/>
  <c r="AC360" i="5"/>
  <c r="U357" i="4"/>
  <c r="AD360" i="5"/>
  <c r="X357" i="4"/>
  <c r="AI360" i="5"/>
  <c r="Y357" i="4"/>
  <c r="AJ360" i="5"/>
  <c r="Z357" i="4"/>
  <c r="AL360" i="5"/>
  <c r="F360" i="5"/>
  <c r="H360" i="5"/>
  <c r="I360" i="5"/>
  <c r="Z360" i="5"/>
  <c r="AN360" i="5"/>
  <c r="B358" i="4"/>
  <c r="K358" i="4"/>
  <c r="O361" i="5"/>
  <c r="H358" i="4"/>
  <c r="K361" i="5"/>
  <c r="W358" i="4"/>
  <c r="AG361" i="5"/>
  <c r="V358" i="4"/>
  <c r="AF361" i="5"/>
  <c r="C358" i="4"/>
  <c r="C361" i="5"/>
  <c r="D358" i="4"/>
  <c r="E361" i="5"/>
  <c r="I358" i="4"/>
  <c r="L361" i="5"/>
  <c r="J358" i="4"/>
  <c r="N361" i="5"/>
  <c r="L358" i="4"/>
  <c r="Q361" i="5"/>
  <c r="M358" i="4"/>
  <c r="R361" i="5"/>
  <c r="N358" i="4"/>
  <c r="T361" i="5"/>
  <c r="O358" i="4"/>
  <c r="U361" i="5"/>
  <c r="P358" i="4"/>
  <c r="W361" i="5"/>
  <c r="Q358" i="4"/>
  <c r="X361" i="5"/>
  <c r="S358" i="4"/>
  <c r="AA361" i="5"/>
  <c r="T358" i="4"/>
  <c r="AC361" i="5"/>
  <c r="U358" i="4"/>
  <c r="AD361" i="5"/>
  <c r="X358" i="4"/>
  <c r="AI361" i="5"/>
  <c r="Y358" i="4"/>
  <c r="AJ361" i="5"/>
  <c r="Z358" i="4"/>
  <c r="AL361" i="5"/>
  <c r="F361" i="5"/>
  <c r="H361" i="5"/>
  <c r="I361" i="5"/>
  <c r="Z361" i="5"/>
  <c r="AN361" i="5"/>
  <c r="B359" i="4"/>
  <c r="K359" i="4"/>
  <c r="O362" i="5"/>
  <c r="H359" i="4"/>
  <c r="K362" i="5"/>
  <c r="W359" i="4"/>
  <c r="AG362" i="5"/>
  <c r="V359" i="4"/>
  <c r="AF362" i="5"/>
  <c r="C359" i="4"/>
  <c r="C362" i="5"/>
  <c r="D359" i="4"/>
  <c r="E362" i="5"/>
  <c r="I359" i="4"/>
  <c r="L362" i="5"/>
  <c r="J359" i="4"/>
  <c r="N362" i="5"/>
  <c r="L359" i="4"/>
  <c r="Q362" i="5"/>
  <c r="M359" i="4"/>
  <c r="R362" i="5"/>
  <c r="N359" i="4"/>
  <c r="T362" i="5"/>
  <c r="O359" i="4"/>
  <c r="U362" i="5"/>
  <c r="P359" i="4"/>
  <c r="W362" i="5"/>
  <c r="Q359" i="4"/>
  <c r="X362" i="5"/>
  <c r="S359" i="4"/>
  <c r="AA362" i="5"/>
  <c r="T359" i="4"/>
  <c r="AC362" i="5"/>
  <c r="U359" i="4"/>
  <c r="AD362" i="5"/>
  <c r="X359" i="4"/>
  <c r="AI362" i="5"/>
  <c r="Y359" i="4"/>
  <c r="AJ362" i="5"/>
  <c r="Z359" i="4"/>
  <c r="AL362" i="5"/>
  <c r="F362" i="5"/>
  <c r="H362" i="5"/>
  <c r="I362" i="5"/>
  <c r="Z362" i="5"/>
  <c r="AN362" i="5"/>
  <c r="B360" i="4"/>
  <c r="K360" i="4"/>
  <c r="O363" i="5"/>
  <c r="H360" i="4"/>
  <c r="K363" i="5"/>
  <c r="W360" i="4"/>
  <c r="AG363" i="5"/>
  <c r="V360" i="4"/>
  <c r="AF363" i="5"/>
  <c r="C360" i="4"/>
  <c r="C363" i="5"/>
  <c r="D360" i="4"/>
  <c r="E363" i="5"/>
  <c r="I360" i="4"/>
  <c r="L363" i="5"/>
  <c r="J360" i="4"/>
  <c r="N363" i="5"/>
  <c r="L360" i="4"/>
  <c r="Q363" i="5"/>
  <c r="M360" i="4"/>
  <c r="R363" i="5"/>
  <c r="N360" i="4"/>
  <c r="T363" i="5"/>
  <c r="O360" i="4"/>
  <c r="U363" i="5"/>
  <c r="P360" i="4"/>
  <c r="W363" i="5"/>
  <c r="Q360" i="4"/>
  <c r="X363" i="5"/>
  <c r="S360" i="4"/>
  <c r="AA363" i="5"/>
  <c r="T360" i="4"/>
  <c r="AC363" i="5"/>
  <c r="U360" i="4"/>
  <c r="AD363" i="5"/>
  <c r="X360" i="4"/>
  <c r="AI363" i="5"/>
  <c r="Y360" i="4"/>
  <c r="AJ363" i="5"/>
  <c r="Z360" i="4"/>
  <c r="AL363" i="5"/>
  <c r="F363" i="5"/>
  <c r="H363" i="5"/>
  <c r="I363" i="5"/>
  <c r="Z363" i="5"/>
  <c r="AN363" i="5"/>
  <c r="B361" i="4"/>
  <c r="K361" i="4"/>
  <c r="O364" i="5"/>
  <c r="H361" i="4"/>
  <c r="K364" i="5"/>
  <c r="W361" i="4"/>
  <c r="AG364" i="5"/>
  <c r="V361" i="4"/>
  <c r="AF364" i="5"/>
  <c r="C361" i="4"/>
  <c r="C364" i="5"/>
  <c r="D361" i="4"/>
  <c r="E364" i="5"/>
  <c r="I361" i="4"/>
  <c r="L364" i="5"/>
  <c r="J361" i="4"/>
  <c r="N364" i="5"/>
  <c r="L361" i="4"/>
  <c r="Q364" i="5"/>
  <c r="M361" i="4"/>
  <c r="R364" i="5"/>
  <c r="N361" i="4"/>
  <c r="T364" i="5"/>
  <c r="O361" i="4"/>
  <c r="U364" i="5"/>
  <c r="P361" i="4"/>
  <c r="W364" i="5"/>
  <c r="Q361" i="4"/>
  <c r="X364" i="5"/>
  <c r="S361" i="4"/>
  <c r="AA364" i="5"/>
  <c r="T361" i="4"/>
  <c r="AC364" i="5"/>
  <c r="U361" i="4"/>
  <c r="AD364" i="5"/>
  <c r="X361" i="4"/>
  <c r="AI364" i="5"/>
  <c r="Y361" i="4"/>
  <c r="AJ364" i="5"/>
  <c r="Z361" i="4"/>
  <c r="AL364" i="5"/>
  <c r="F364" i="5"/>
  <c r="H364" i="5"/>
  <c r="I364" i="5"/>
  <c r="Z364" i="5"/>
  <c r="AN364" i="5"/>
  <c r="B362" i="4"/>
  <c r="K362" i="4"/>
  <c r="O365" i="5"/>
  <c r="H362" i="4"/>
  <c r="K365" i="5"/>
  <c r="W362" i="4"/>
  <c r="AG365" i="5"/>
  <c r="V362" i="4"/>
  <c r="AF365" i="5"/>
  <c r="C362" i="4"/>
  <c r="C365" i="5"/>
  <c r="D362" i="4"/>
  <c r="E365" i="5"/>
  <c r="I362" i="4"/>
  <c r="L365" i="5"/>
  <c r="J362" i="4"/>
  <c r="N365" i="5"/>
  <c r="L362" i="4"/>
  <c r="Q365" i="5"/>
  <c r="M362" i="4"/>
  <c r="R365" i="5"/>
  <c r="N362" i="4"/>
  <c r="T365" i="5"/>
  <c r="O362" i="4"/>
  <c r="U365" i="5"/>
  <c r="P362" i="4"/>
  <c r="W365" i="5"/>
  <c r="Q362" i="4"/>
  <c r="X365" i="5"/>
  <c r="S362" i="4"/>
  <c r="AA365" i="5"/>
  <c r="T362" i="4"/>
  <c r="AC365" i="5"/>
  <c r="U362" i="4"/>
  <c r="AD365" i="5"/>
  <c r="X362" i="4"/>
  <c r="AI365" i="5"/>
  <c r="Y362" i="4"/>
  <c r="AJ365" i="5"/>
  <c r="Z362" i="4"/>
  <c r="AL365" i="5"/>
  <c r="F365" i="5"/>
  <c r="H365" i="5"/>
  <c r="I365" i="5"/>
  <c r="Z365" i="5"/>
  <c r="AN365" i="5"/>
  <c r="B369" i="4"/>
  <c r="S369" i="4"/>
  <c r="AA366" i="5"/>
  <c r="P369" i="4"/>
  <c r="W366" i="5"/>
  <c r="K369" i="4"/>
  <c r="O366" i="5"/>
  <c r="H369" i="4"/>
  <c r="K366" i="5"/>
  <c r="W369" i="4"/>
  <c r="AG366" i="5"/>
  <c r="V369" i="4"/>
  <c r="AF366" i="5"/>
  <c r="C369" i="4"/>
  <c r="C366" i="5"/>
  <c r="D369" i="4"/>
  <c r="E366" i="5"/>
  <c r="I369" i="4"/>
  <c r="L366" i="5"/>
  <c r="J369" i="4"/>
  <c r="N366" i="5"/>
  <c r="L369" i="4"/>
  <c r="Q366" i="5"/>
  <c r="M369" i="4"/>
  <c r="R366" i="5"/>
  <c r="N369" i="4"/>
  <c r="T366" i="5"/>
  <c r="O369" i="4"/>
  <c r="U366" i="5"/>
  <c r="Q369" i="4"/>
  <c r="X366" i="5"/>
  <c r="R369" i="4"/>
  <c r="Z366" i="5"/>
  <c r="T369" i="4"/>
  <c r="AC366" i="5"/>
  <c r="U369" i="4"/>
  <c r="AD366" i="5"/>
  <c r="X369" i="4"/>
  <c r="AI366" i="5"/>
  <c r="F366" i="5"/>
  <c r="H366" i="5"/>
  <c r="I366" i="5"/>
  <c r="AN366" i="5"/>
  <c r="B363" i="4"/>
  <c r="K363" i="4"/>
  <c r="O367" i="5"/>
  <c r="H363" i="4"/>
  <c r="K367" i="5"/>
  <c r="W363" i="4"/>
  <c r="AG367" i="5"/>
  <c r="V363" i="4"/>
  <c r="AF367" i="5"/>
  <c r="C363" i="4"/>
  <c r="C367" i="5"/>
  <c r="D363" i="4"/>
  <c r="E367" i="5"/>
  <c r="I363" i="4"/>
  <c r="L367" i="5"/>
  <c r="J363" i="4"/>
  <c r="N367" i="5"/>
  <c r="L363" i="4"/>
  <c r="Q367" i="5"/>
  <c r="M363" i="4"/>
  <c r="R367" i="5"/>
  <c r="N363" i="4"/>
  <c r="T367" i="5"/>
  <c r="O363" i="4"/>
  <c r="U367" i="5"/>
  <c r="P363" i="4"/>
  <c r="W367" i="5"/>
  <c r="Q363" i="4"/>
  <c r="X367" i="5"/>
  <c r="S363" i="4"/>
  <c r="AA367" i="5"/>
  <c r="T363" i="4"/>
  <c r="AC367" i="5"/>
  <c r="U363" i="4"/>
  <c r="AD367" i="5"/>
  <c r="X363" i="4"/>
  <c r="AI367" i="5"/>
  <c r="Y363" i="4"/>
  <c r="AJ367" i="5"/>
  <c r="Z363" i="4"/>
  <c r="AL367" i="5"/>
  <c r="F367" i="5"/>
  <c r="H367" i="5"/>
  <c r="I367" i="5"/>
  <c r="Z367" i="5"/>
  <c r="AN367" i="5"/>
  <c r="B364" i="4"/>
  <c r="K364" i="4"/>
  <c r="O368" i="5"/>
  <c r="H364" i="4"/>
  <c r="K368" i="5"/>
  <c r="W364" i="4"/>
  <c r="AG368" i="5"/>
  <c r="V364" i="4"/>
  <c r="AF368" i="5"/>
  <c r="C364" i="4"/>
  <c r="C368" i="5"/>
  <c r="D364" i="4"/>
  <c r="E368" i="5"/>
  <c r="I364" i="4"/>
  <c r="L368" i="5"/>
  <c r="J364" i="4"/>
  <c r="N368" i="5"/>
  <c r="L364" i="4"/>
  <c r="Q368" i="5"/>
  <c r="M364" i="4"/>
  <c r="R368" i="5"/>
  <c r="N364" i="4"/>
  <c r="T368" i="5"/>
  <c r="O364" i="4"/>
  <c r="U368" i="5"/>
  <c r="P364" i="4"/>
  <c r="W368" i="5"/>
  <c r="Q364" i="4"/>
  <c r="X368" i="5"/>
  <c r="S364" i="4"/>
  <c r="AA368" i="5"/>
  <c r="T364" i="4"/>
  <c r="AC368" i="5"/>
  <c r="U364" i="4"/>
  <c r="AD368" i="5"/>
  <c r="X364" i="4"/>
  <c r="AI368" i="5"/>
  <c r="Y364" i="4"/>
  <c r="AJ368" i="5"/>
  <c r="Z364" i="4"/>
  <c r="AL368" i="5"/>
  <c r="F368" i="5"/>
  <c r="H368" i="5"/>
  <c r="I368" i="5"/>
  <c r="Z368" i="5"/>
  <c r="AN368" i="5"/>
  <c r="B365" i="4"/>
  <c r="K365" i="4"/>
  <c r="O369" i="5"/>
  <c r="H365" i="4"/>
  <c r="K369" i="5"/>
  <c r="W365" i="4"/>
  <c r="AG369" i="5"/>
  <c r="V365" i="4"/>
  <c r="AF369" i="5"/>
  <c r="C365" i="4"/>
  <c r="C369" i="5"/>
  <c r="D365" i="4"/>
  <c r="E369" i="5"/>
  <c r="I365" i="4"/>
  <c r="L369" i="5"/>
  <c r="J365" i="4"/>
  <c r="N369" i="5"/>
  <c r="L365" i="4"/>
  <c r="Q369" i="5"/>
  <c r="M365" i="4"/>
  <c r="R369" i="5"/>
  <c r="N365" i="4"/>
  <c r="T369" i="5"/>
  <c r="O365" i="4"/>
  <c r="U369" i="5"/>
  <c r="P365" i="4"/>
  <c r="W369" i="5"/>
  <c r="Q365" i="4"/>
  <c r="X369" i="5"/>
  <c r="S365" i="4"/>
  <c r="AA369" i="5"/>
  <c r="T365" i="4"/>
  <c r="AC369" i="5"/>
  <c r="U365" i="4"/>
  <c r="AD369" i="5"/>
  <c r="X365" i="4"/>
  <c r="AI369" i="5"/>
  <c r="Y365" i="4"/>
  <c r="AJ369" i="5"/>
  <c r="Z365" i="4"/>
  <c r="AL369" i="5"/>
  <c r="F369" i="5"/>
  <c r="H369" i="5"/>
  <c r="I369" i="5"/>
  <c r="Z369" i="5"/>
  <c r="AN369" i="5"/>
  <c r="B370" i="4"/>
  <c r="K370" i="4"/>
  <c r="O370" i="5"/>
  <c r="H370" i="4"/>
  <c r="K370" i="5"/>
  <c r="W370" i="4"/>
  <c r="AG370" i="5"/>
  <c r="V370" i="4"/>
  <c r="AF370" i="5"/>
  <c r="C370" i="4"/>
  <c r="C370" i="5"/>
  <c r="D370" i="4"/>
  <c r="E370" i="5"/>
  <c r="I370" i="4"/>
  <c r="L370" i="5"/>
  <c r="J370" i="4"/>
  <c r="N370" i="5"/>
  <c r="L370" i="4"/>
  <c r="Q370" i="5"/>
  <c r="M370" i="4"/>
  <c r="R370" i="5"/>
  <c r="N370" i="4"/>
  <c r="T370" i="5"/>
  <c r="O370" i="4"/>
  <c r="U370" i="5"/>
  <c r="P370" i="4"/>
  <c r="W370" i="5"/>
  <c r="Q370" i="4"/>
  <c r="X370" i="5"/>
  <c r="S370" i="4"/>
  <c r="AA370" i="5"/>
  <c r="T370" i="4"/>
  <c r="AC370" i="5"/>
  <c r="U370" i="4"/>
  <c r="AD370" i="5"/>
  <c r="X370" i="4"/>
  <c r="AI370" i="5"/>
  <c r="Y370" i="4"/>
  <c r="AJ370" i="5"/>
  <c r="Z370" i="4"/>
  <c r="AL370" i="5"/>
  <c r="F370" i="5"/>
  <c r="H370" i="5"/>
  <c r="I370" i="5"/>
  <c r="Z370" i="5"/>
  <c r="AN370" i="5"/>
  <c r="B371" i="4"/>
  <c r="K371" i="4"/>
  <c r="O371" i="5"/>
  <c r="H371" i="4"/>
  <c r="K371" i="5"/>
  <c r="W371" i="4"/>
  <c r="AG371" i="5"/>
  <c r="V371" i="4"/>
  <c r="AF371" i="5"/>
  <c r="C371" i="4"/>
  <c r="C371" i="5"/>
  <c r="D371" i="4"/>
  <c r="E371" i="5"/>
  <c r="I371" i="4"/>
  <c r="L371" i="5"/>
  <c r="J371" i="4"/>
  <c r="N371" i="5"/>
  <c r="L371" i="4"/>
  <c r="Q371" i="5"/>
  <c r="M371" i="4"/>
  <c r="R371" i="5"/>
  <c r="N371" i="4"/>
  <c r="T371" i="5"/>
  <c r="O371" i="4"/>
  <c r="U371" i="5"/>
  <c r="P371" i="4"/>
  <c r="W371" i="5"/>
  <c r="Q371" i="4"/>
  <c r="X371" i="5"/>
  <c r="S371" i="4"/>
  <c r="AA371" i="5"/>
  <c r="T371" i="4"/>
  <c r="AC371" i="5"/>
  <c r="U371" i="4"/>
  <c r="AD371" i="5"/>
  <c r="X371" i="4"/>
  <c r="AI371" i="5"/>
  <c r="Y371" i="4"/>
  <c r="AJ371" i="5"/>
  <c r="Z371" i="4"/>
  <c r="AL371" i="5"/>
  <c r="F371" i="5"/>
  <c r="H371" i="5"/>
  <c r="I371" i="5"/>
  <c r="Z371" i="5"/>
  <c r="AN371" i="5"/>
  <c r="B372" i="4"/>
  <c r="K372" i="4"/>
  <c r="O372" i="5"/>
  <c r="H372" i="4"/>
  <c r="K372" i="5"/>
  <c r="W372" i="4"/>
  <c r="AG372" i="5"/>
  <c r="V372" i="4"/>
  <c r="AF372" i="5"/>
  <c r="C372" i="4"/>
  <c r="C372" i="5"/>
  <c r="D372" i="4"/>
  <c r="E372" i="5"/>
  <c r="I372" i="4"/>
  <c r="L372" i="5"/>
  <c r="J372" i="4"/>
  <c r="N372" i="5"/>
  <c r="L372" i="4"/>
  <c r="Q372" i="5"/>
  <c r="M372" i="4"/>
  <c r="R372" i="5"/>
  <c r="N372" i="4"/>
  <c r="T372" i="5"/>
  <c r="O372" i="4"/>
  <c r="U372" i="5"/>
  <c r="P372" i="4"/>
  <c r="W372" i="5"/>
  <c r="Q372" i="4"/>
  <c r="X372" i="5"/>
  <c r="S372" i="4"/>
  <c r="AA372" i="5"/>
  <c r="T372" i="4"/>
  <c r="AC372" i="5"/>
  <c r="U372" i="4"/>
  <c r="AD372" i="5"/>
  <c r="X372" i="4"/>
  <c r="AI372" i="5"/>
  <c r="Y372" i="4"/>
  <c r="AJ372" i="5"/>
  <c r="Z372" i="4"/>
  <c r="AL372" i="5"/>
  <c r="F372" i="5"/>
  <c r="H372" i="5"/>
  <c r="I372" i="5"/>
  <c r="Z372" i="5"/>
  <c r="AN372" i="5"/>
  <c r="B373" i="4"/>
  <c r="K373" i="4"/>
  <c r="O373" i="5"/>
  <c r="H373" i="4"/>
  <c r="K373" i="5"/>
  <c r="W373" i="4"/>
  <c r="AG373" i="5"/>
  <c r="V373" i="4"/>
  <c r="AF373" i="5"/>
  <c r="C373" i="4"/>
  <c r="C373" i="5"/>
  <c r="D373" i="4"/>
  <c r="E373" i="5"/>
  <c r="I373" i="4"/>
  <c r="L373" i="5"/>
  <c r="J373" i="4"/>
  <c r="N373" i="5"/>
  <c r="L373" i="4"/>
  <c r="Q373" i="5"/>
  <c r="M373" i="4"/>
  <c r="R373" i="5"/>
  <c r="N373" i="4"/>
  <c r="T373" i="5"/>
  <c r="O373" i="4"/>
  <c r="U373" i="5"/>
  <c r="P373" i="4"/>
  <c r="W373" i="5"/>
  <c r="Q373" i="4"/>
  <c r="X373" i="5"/>
  <c r="S373" i="4"/>
  <c r="AA373" i="5"/>
  <c r="T373" i="4"/>
  <c r="AC373" i="5"/>
  <c r="U373" i="4"/>
  <c r="AD373" i="5"/>
  <c r="X373" i="4"/>
  <c r="AI373" i="5"/>
  <c r="Y373" i="4"/>
  <c r="AJ373" i="5"/>
  <c r="Z373" i="4"/>
  <c r="AL373" i="5"/>
  <c r="F373" i="5"/>
  <c r="H373" i="5"/>
  <c r="I373" i="5"/>
  <c r="Z373" i="5"/>
  <c r="AN373" i="5"/>
  <c r="B374" i="4"/>
  <c r="K374" i="4"/>
  <c r="O374" i="5"/>
  <c r="H374" i="4"/>
  <c r="K374" i="5"/>
  <c r="W374" i="4"/>
  <c r="AG374" i="5"/>
  <c r="AF374" i="5"/>
  <c r="C374" i="4"/>
  <c r="C374" i="5"/>
  <c r="D374" i="4"/>
  <c r="E374" i="5"/>
  <c r="I374" i="4"/>
  <c r="L374" i="5"/>
  <c r="J374" i="4"/>
  <c r="N374" i="5"/>
  <c r="L374" i="4"/>
  <c r="Q374" i="5"/>
  <c r="M374" i="4"/>
  <c r="R374" i="5"/>
  <c r="N374" i="4"/>
  <c r="T374" i="5"/>
  <c r="O374" i="4"/>
  <c r="U374" i="5"/>
  <c r="P374" i="4"/>
  <c r="W374" i="5"/>
  <c r="Q374" i="4"/>
  <c r="X374" i="5"/>
  <c r="S374" i="4"/>
  <c r="AA374" i="5"/>
  <c r="T374" i="4"/>
  <c r="AC374" i="5"/>
  <c r="U374" i="4"/>
  <c r="AD374" i="5"/>
  <c r="X374" i="4"/>
  <c r="AI374" i="5"/>
  <c r="Y374" i="4"/>
  <c r="AJ374" i="5"/>
  <c r="Z374" i="4"/>
  <c r="AL374" i="5"/>
  <c r="F374" i="5"/>
  <c r="H374" i="5"/>
  <c r="I374" i="5"/>
  <c r="Z374" i="5"/>
  <c r="AN374" i="5"/>
  <c r="B375" i="4"/>
  <c r="K375" i="4"/>
  <c r="O375" i="5"/>
  <c r="H375" i="4"/>
  <c r="K375" i="5"/>
  <c r="W375" i="4"/>
  <c r="AG375" i="5"/>
  <c r="V375" i="4"/>
  <c r="AF375" i="5"/>
  <c r="C375" i="4"/>
  <c r="C375" i="5"/>
  <c r="D375" i="4"/>
  <c r="E375" i="5"/>
  <c r="I375" i="4"/>
  <c r="L375" i="5"/>
  <c r="J375" i="4"/>
  <c r="N375" i="5"/>
  <c r="L375" i="4"/>
  <c r="Q375" i="5"/>
  <c r="M375" i="4"/>
  <c r="R375" i="5"/>
  <c r="N375" i="4"/>
  <c r="T375" i="5"/>
  <c r="O375" i="4"/>
  <c r="U375" i="5"/>
  <c r="P375" i="4"/>
  <c r="W375" i="5"/>
  <c r="Q375" i="4"/>
  <c r="X375" i="5"/>
  <c r="S375" i="4"/>
  <c r="AA375" i="5"/>
  <c r="T375" i="4"/>
  <c r="AC375" i="5"/>
  <c r="U375" i="4"/>
  <c r="AD375" i="5"/>
  <c r="X375" i="4"/>
  <c r="AI375" i="5"/>
  <c r="Y375" i="4"/>
  <c r="AJ375" i="5"/>
  <c r="Z375" i="4"/>
  <c r="AL375" i="5"/>
  <c r="F375" i="5"/>
  <c r="H375" i="5"/>
  <c r="I375" i="5"/>
  <c r="Z375" i="5"/>
  <c r="AN375" i="5"/>
  <c r="B376" i="4"/>
  <c r="K376" i="4"/>
  <c r="O376" i="5"/>
  <c r="H376" i="4"/>
  <c r="K376" i="5"/>
  <c r="W376" i="4"/>
  <c r="AG376" i="5"/>
  <c r="V376" i="4"/>
  <c r="AF376" i="5"/>
  <c r="C376" i="4"/>
  <c r="C376" i="5"/>
  <c r="D376" i="4"/>
  <c r="E376" i="5"/>
  <c r="I376" i="4"/>
  <c r="L376" i="5"/>
  <c r="J376" i="4"/>
  <c r="N376" i="5"/>
  <c r="L376" i="4"/>
  <c r="Q376" i="5"/>
  <c r="M376" i="4"/>
  <c r="R376" i="5"/>
  <c r="N376" i="4"/>
  <c r="T376" i="5"/>
  <c r="O376" i="4"/>
  <c r="U376" i="5"/>
  <c r="P376" i="4"/>
  <c r="W376" i="5"/>
  <c r="Q376" i="4"/>
  <c r="X376" i="5"/>
  <c r="S376" i="4"/>
  <c r="AA376" i="5"/>
  <c r="T376" i="4"/>
  <c r="AC376" i="5"/>
  <c r="U376" i="4"/>
  <c r="AD376" i="5"/>
  <c r="X376" i="4"/>
  <c r="AI376" i="5"/>
  <c r="Y376" i="4"/>
  <c r="AJ376" i="5"/>
  <c r="Z376" i="4"/>
  <c r="AL376" i="5"/>
  <c r="F376" i="5"/>
  <c r="H376" i="5"/>
  <c r="I376" i="5"/>
  <c r="Z376" i="5"/>
  <c r="AN376" i="5"/>
  <c r="B377" i="4"/>
  <c r="K377" i="4"/>
  <c r="O377" i="5"/>
  <c r="H377" i="4"/>
  <c r="K377" i="5"/>
  <c r="W377" i="4"/>
  <c r="AG377" i="5"/>
  <c r="V377" i="4"/>
  <c r="AF377" i="5"/>
  <c r="C377" i="4"/>
  <c r="C377" i="5"/>
  <c r="D377" i="4"/>
  <c r="E377" i="5"/>
  <c r="I377" i="4"/>
  <c r="L377" i="5"/>
  <c r="J377" i="4"/>
  <c r="N377" i="5"/>
  <c r="L377" i="4"/>
  <c r="Q377" i="5"/>
  <c r="M377" i="4"/>
  <c r="R377" i="5"/>
  <c r="N377" i="4"/>
  <c r="T377" i="5"/>
  <c r="O377" i="4"/>
  <c r="U377" i="5"/>
  <c r="P377" i="4"/>
  <c r="W377" i="5"/>
  <c r="Q377" i="4"/>
  <c r="X377" i="5"/>
  <c r="S377" i="4"/>
  <c r="AA377" i="5"/>
  <c r="T377" i="4"/>
  <c r="AC377" i="5"/>
  <c r="U377" i="4"/>
  <c r="AD377" i="5"/>
  <c r="X377" i="4"/>
  <c r="AI377" i="5"/>
  <c r="Y377" i="4"/>
  <c r="AJ377" i="5"/>
  <c r="Z377" i="4"/>
  <c r="AL377" i="5"/>
  <c r="F377" i="5"/>
  <c r="H377" i="5"/>
  <c r="I377" i="5"/>
  <c r="Z377" i="5"/>
  <c r="AN377" i="5"/>
  <c r="B378" i="4"/>
  <c r="K378" i="4"/>
  <c r="O378" i="5"/>
  <c r="H378" i="4"/>
  <c r="K378" i="5"/>
  <c r="W378" i="4"/>
  <c r="AG378" i="5"/>
  <c r="V378" i="4"/>
  <c r="AF378" i="5"/>
  <c r="C378" i="4"/>
  <c r="C378" i="5"/>
  <c r="D378" i="4"/>
  <c r="E378" i="5"/>
  <c r="I378" i="4"/>
  <c r="L378" i="5"/>
  <c r="J378" i="4"/>
  <c r="N378" i="5"/>
  <c r="L378" i="4"/>
  <c r="Q378" i="5"/>
  <c r="M378" i="4"/>
  <c r="R378" i="5"/>
  <c r="N378" i="4"/>
  <c r="T378" i="5"/>
  <c r="O378" i="4"/>
  <c r="U378" i="5"/>
  <c r="P378" i="4"/>
  <c r="W378" i="5"/>
  <c r="Q378" i="4"/>
  <c r="X378" i="5"/>
  <c r="S378" i="4"/>
  <c r="AA378" i="5"/>
  <c r="T378" i="4"/>
  <c r="AC378" i="5"/>
  <c r="U378" i="4"/>
  <c r="AD378" i="5"/>
  <c r="X378" i="4"/>
  <c r="AI378" i="5"/>
  <c r="Y378" i="4"/>
  <c r="AJ378" i="5"/>
  <c r="Z378" i="4"/>
  <c r="AL378" i="5"/>
  <c r="F378" i="5"/>
  <c r="H378" i="5"/>
  <c r="I378" i="5"/>
  <c r="Z378" i="5"/>
  <c r="AN378" i="5"/>
  <c r="B379" i="4"/>
  <c r="K379" i="4"/>
  <c r="O379" i="5"/>
  <c r="H379" i="4"/>
  <c r="K379" i="5"/>
  <c r="W379" i="4"/>
  <c r="AG379" i="5"/>
  <c r="V379" i="4"/>
  <c r="AF379" i="5"/>
  <c r="C379" i="4"/>
  <c r="C379" i="5"/>
  <c r="D379" i="4"/>
  <c r="E379" i="5"/>
  <c r="I379" i="4"/>
  <c r="L379" i="5"/>
  <c r="J379" i="4"/>
  <c r="N379" i="5"/>
  <c r="L379" i="4"/>
  <c r="Q379" i="5"/>
  <c r="M379" i="4"/>
  <c r="R379" i="5"/>
  <c r="N379" i="4"/>
  <c r="T379" i="5"/>
  <c r="O379" i="4"/>
  <c r="U379" i="5"/>
  <c r="P379" i="4"/>
  <c r="W379" i="5"/>
  <c r="Q379" i="4"/>
  <c r="X379" i="5"/>
  <c r="S379" i="4"/>
  <c r="AA379" i="5"/>
  <c r="T379" i="4"/>
  <c r="AC379" i="5"/>
  <c r="U379" i="4"/>
  <c r="AD379" i="5"/>
  <c r="X379" i="4"/>
  <c r="AI379" i="5"/>
  <c r="Y379" i="4"/>
  <c r="AJ379" i="5"/>
  <c r="Z379" i="4"/>
  <c r="AL379" i="5"/>
  <c r="F379" i="5"/>
  <c r="H379" i="5"/>
  <c r="I379" i="5"/>
  <c r="Z379" i="5"/>
  <c r="AN379" i="5"/>
  <c r="AG380" i="5"/>
  <c r="AF380" i="5"/>
  <c r="C380" i="5"/>
  <c r="T380" i="5"/>
  <c r="U380" i="5"/>
  <c r="W380" i="5"/>
  <c r="X380" i="5"/>
  <c r="AA380" i="5"/>
  <c r="AI380" i="5"/>
  <c r="AJ380" i="5"/>
  <c r="AL380" i="5"/>
  <c r="F380" i="5"/>
  <c r="H380" i="5"/>
  <c r="I380" i="5"/>
  <c r="Z380" i="5"/>
  <c r="AN380" i="5"/>
  <c r="AA382" i="5"/>
  <c r="B382" i="4"/>
  <c r="P382" i="4"/>
  <c r="W382" i="5"/>
  <c r="O382" i="5"/>
  <c r="K382" i="5"/>
  <c r="AG382" i="5"/>
  <c r="AF382" i="5"/>
  <c r="E382" i="5"/>
  <c r="F382" i="5"/>
  <c r="H382" i="5"/>
  <c r="I382" i="5"/>
  <c r="L382" i="5"/>
  <c r="N382" i="5"/>
  <c r="Q382" i="5"/>
  <c r="R382" i="5"/>
  <c r="T382" i="5"/>
  <c r="U382" i="5"/>
  <c r="X382" i="5"/>
  <c r="Z382" i="5"/>
  <c r="AC382" i="5"/>
  <c r="AD382" i="5"/>
  <c r="AI382" i="5"/>
  <c r="AJ382" i="5"/>
  <c r="AL382" i="5"/>
  <c r="AN382" i="5"/>
  <c r="AA383" i="5"/>
  <c r="W383" i="5"/>
  <c r="O383" i="5"/>
  <c r="K383" i="5"/>
  <c r="AG383" i="5"/>
  <c r="AF383" i="5"/>
  <c r="E383" i="5"/>
  <c r="F383" i="5"/>
  <c r="H383" i="5"/>
  <c r="I383" i="5"/>
  <c r="L383" i="5"/>
  <c r="N383" i="5"/>
  <c r="Q383" i="5"/>
  <c r="R383" i="5"/>
  <c r="T383" i="5"/>
  <c r="U383" i="5"/>
  <c r="X383" i="5"/>
  <c r="Z383" i="5"/>
  <c r="AC383" i="5"/>
  <c r="AD383" i="5"/>
  <c r="AI383" i="5"/>
  <c r="AJ383" i="5"/>
  <c r="AL383" i="5"/>
  <c r="AN383" i="5"/>
  <c r="AA384" i="5"/>
  <c r="W384" i="5"/>
  <c r="O384" i="5"/>
  <c r="K384" i="5"/>
  <c r="AG384" i="5"/>
  <c r="AF384" i="5"/>
  <c r="E384" i="5"/>
  <c r="F384" i="5"/>
  <c r="H384" i="5"/>
  <c r="I384" i="5"/>
  <c r="L384" i="5"/>
  <c r="N384" i="5"/>
  <c r="Q384" i="5"/>
  <c r="R384" i="5"/>
  <c r="T384" i="5"/>
  <c r="U384" i="5"/>
  <c r="X384" i="5"/>
  <c r="Z384" i="5"/>
  <c r="AC384" i="5"/>
  <c r="AD384" i="5"/>
  <c r="AI384" i="5"/>
  <c r="AJ384" i="5"/>
  <c r="AL384" i="5"/>
  <c r="AN384" i="5"/>
  <c r="AA385" i="5"/>
  <c r="W385" i="5"/>
  <c r="O385" i="5"/>
  <c r="K385" i="5"/>
  <c r="AG385" i="5"/>
  <c r="AF385" i="5"/>
  <c r="B385" i="4"/>
  <c r="C385" i="4"/>
  <c r="C385" i="5"/>
  <c r="E385" i="5"/>
  <c r="F385" i="5"/>
  <c r="H385" i="5"/>
  <c r="I385" i="5"/>
  <c r="L385" i="5"/>
  <c r="N385" i="5"/>
  <c r="Q385" i="5"/>
  <c r="R385" i="5"/>
  <c r="T385" i="5"/>
  <c r="U385" i="5"/>
  <c r="X385" i="5"/>
  <c r="Z385" i="5"/>
  <c r="AC385" i="5"/>
  <c r="AD385" i="5"/>
  <c r="AI385" i="5"/>
  <c r="AL385" i="5"/>
  <c r="AN385" i="5"/>
  <c r="AA386" i="5"/>
  <c r="W386" i="5"/>
  <c r="O386" i="5"/>
  <c r="K386" i="5"/>
  <c r="AG386" i="5"/>
  <c r="AF386" i="5"/>
  <c r="E386" i="5"/>
  <c r="F386" i="5"/>
  <c r="H386" i="5"/>
  <c r="I386" i="5"/>
  <c r="L386" i="5"/>
  <c r="N386" i="5"/>
  <c r="Q386" i="5"/>
  <c r="R386" i="5"/>
  <c r="T386" i="5"/>
  <c r="U386" i="5"/>
  <c r="X386" i="5"/>
  <c r="Z386" i="5"/>
  <c r="AC386" i="5"/>
  <c r="AD386" i="5"/>
  <c r="AI386" i="5"/>
  <c r="AL386" i="5"/>
  <c r="AN386" i="5"/>
  <c r="AA387" i="5"/>
  <c r="B387" i="4"/>
  <c r="P387" i="4"/>
  <c r="W387" i="5"/>
  <c r="O387" i="5"/>
  <c r="K387" i="5"/>
  <c r="AG387" i="5"/>
  <c r="AF387" i="5"/>
  <c r="C387" i="5"/>
  <c r="L387" i="5"/>
  <c r="N387" i="5"/>
  <c r="L387" i="4"/>
  <c r="Q387" i="5"/>
  <c r="U387" i="5"/>
  <c r="Q387" i="4"/>
  <c r="X387" i="5"/>
  <c r="R15" i="2"/>
  <c r="R387" i="4"/>
  <c r="Z387" i="5"/>
  <c r="AC387" i="5"/>
  <c r="AD387" i="5"/>
  <c r="X387" i="4"/>
  <c r="AI387" i="5"/>
  <c r="Y387" i="4"/>
  <c r="AJ387" i="5"/>
  <c r="AL387" i="5"/>
  <c r="F387" i="5"/>
  <c r="E387" i="5"/>
  <c r="H387" i="5"/>
  <c r="I387" i="5"/>
  <c r="R387" i="5"/>
  <c r="T387" i="5"/>
  <c r="AN387" i="5"/>
  <c r="AA388" i="5"/>
  <c r="B388" i="4"/>
  <c r="P388" i="4"/>
  <c r="W388" i="5"/>
  <c r="O388" i="5"/>
  <c r="K388" i="5"/>
  <c r="AG388" i="5"/>
  <c r="AF388" i="5"/>
  <c r="C388" i="5"/>
  <c r="L388" i="5"/>
  <c r="N388" i="5"/>
  <c r="L388" i="4"/>
  <c r="Q388" i="5"/>
  <c r="U388" i="5"/>
  <c r="Q388" i="4"/>
  <c r="X388" i="5"/>
  <c r="R388" i="4"/>
  <c r="Z388" i="5"/>
  <c r="AC388" i="5"/>
  <c r="AD388" i="5"/>
  <c r="X388" i="4"/>
  <c r="AI388" i="5"/>
  <c r="Y388" i="4"/>
  <c r="AJ388" i="5"/>
  <c r="AL388" i="5"/>
  <c r="F388" i="5"/>
  <c r="E388" i="5"/>
  <c r="H388" i="5"/>
  <c r="I388" i="5"/>
  <c r="R388" i="5"/>
  <c r="T388" i="5"/>
  <c r="AN388" i="5"/>
  <c r="AA389" i="5"/>
  <c r="B389" i="4"/>
  <c r="P389" i="4"/>
  <c r="W389" i="5"/>
  <c r="O389" i="5"/>
  <c r="K389" i="5"/>
  <c r="AG389" i="5"/>
  <c r="AF389" i="5"/>
  <c r="C389" i="5"/>
  <c r="L389" i="5"/>
  <c r="N389" i="5"/>
  <c r="L389" i="4"/>
  <c r="Q389" i="5"/>
  <c r="U389" i="5"/>
  <c r="Q389" i="4"/>
  <c r="X389" i="5"/>
  <c r="R389" i="4"/>
  <c r="Z389" i="5"/>
  <c r="AC389" i="5"/>
  <c r="AD389" i="5"/>
  <c r="X389" i="4"/>
  <c r="AI389" i="5"/>
  <c r="Y389" i="4"/>
  <c r="AJ389" i="5"/>
  <c r="AL389" i="5"/>
  <c r="F389" i="5"/>
  <c r="E389" i="5"/>
  <c r="H389" i="5"/>
  <c r="I389" i="5"/>
  <c r="R389" i="5"/>
  <c r="T389" i="5"/>
  <c r="AN389" i="5"/>
  <c r="AA390" i="5"/>
  <c r="B390" i="4"/>
  <c r="P390" i="4"/>
  <c r="W390" i="5"/>
  <c r="O390" i="5"/>
  <c r="K390" i="5"/>
  <c r="AG390" i="5"/>
  <c r="AF390" i="5"/>
  <c r="C390" i="5"/>
  <c r="L390" i="5"/>
  <c r="N390" i="5"/>
  <c r="L390" i="4"/>
  <c r="Q390" i="5"/>
  <c r="U390" i="5"/>
  <c r="Q390" i="4"/>
  <c r="X390" i="5"/>
  <c r="R390" i="4"/>
  <c r="Z390" i="5"/>
  <c r="AC390" i="5"/>
  <c r="AD390" i="5"/>
  <c r="X390" i="4"/>
  <c r="AI390" i="5"/>
  <c r="Y390" i="4"/>
  <c r="AJ390" i="5"/>
  <c r="F390" i="5"/>
  <c r="E390" i="5"/>
  <c r="H390" i="5"/>
  <c r="I390" i="5"/>
  <c r="R390" i="5"/>
  <c r="T390" i="5"/>
  <c r="AN390" i="5"/>
  <c r="AA391" i="5"/>
  <c r="B391" i="4"/>
  <c r="P391" i="4"/>
  <c r="W391" i="5"/>
  <c r="O391" i="5"/>
  <c r="K391" i="5"/>
  <c r="AG391" i="5"/>
  <c r="AF391" i="5"/>
  <c r="C391" i="5"/>
  <c r="L391" i="5"/>
  <c r="N391" i="5"/>
  <c r="L391" i="4"/>
  <c r="Q391" i="5"/>
  <c r="U391" i="5"/>
  <c r="Q391" i="4"/>
  <c r="X391" i="5"/>
  <c r="R13" i="2"/>
  <c r="R391" i="4"/>
  <c r="Z391" i="5"/>
  <c r="AC391" i="5"/>
  <c r="AD391" i="5"/>
  <c r="X391" i="4"/>
  <c r="AI391" i="5"/>
  <c r="Y391" i="4"/>
  <c r="AJ391" i="5"/>
  <c r="AL391" i="5"/>
  <c r="F391" i="5"/>
  <c r="E391" i="5"/>
  <c r="H391" i="5"/>
  <c r="I391" i="5"/>
  <c r="R391" i="5"/>
  <c r="T391" i="5"/>
  <c r="AN391" i="5"/>
  <c r="AA392" i="5"/>
  <c r="B392" i="4"/>
  <c r="P392" i="4"/>
  <c r="W392" i="5"/>
  <c r="O392" i="5"/>
  <c r="K392" i="5"/>
  <c r="AG392" i="5"/>
  <c r="AF392" i="5"/>
  <c r="C392" i="5"/>
  <c r="L392" i="5"/>
  <c r="N392" i="5"/>
  <c r="L392" i="4"/>
  <c r="Q392" i="5"/>
  <c r="U392" i="5"/>
  <c r="Q392" i="4"/>
  <c r="X392" i="5"/>
  <c r="R392" i="4"/>
  <c r="Z392" i="5"/>
  <c r="AC392" i="5"/>
  <c r="AD392" i="5"/>
  <c r="X392" i="4"/>
  <c r="AI392" i="5"/>
  <c r="Y392" i="4"/>
  <c r="AJ392" i="5"/>
  <c r="AL392" i="5"/>
  <c r="F392" i="5"/>
  <c r="E392" i="5"/>
  <c r="H392" i="5"/>
  <c r="I392" i="5"/>
  <c r="R392" i="5"/>
  <c r="T392" i="5"/>
  <c r="AN392" i="5"/>
  <c r="AA393" i="5"/>
  <c r="B393" i="4"/>
  <c r="P393" i="4"/>
  <c r="W393" i="5"/>
  <c r="O393" i="5"/>
  <c r="K393" i="5"/>
  <c r="AG393" i="5"/>
  <c r="AF393" i="5"/>
  <c r="C393" i="5"/>
  <c r="L393" i="5"/>
  <c r="N393" i="5"/>
  <c r="L393" i="4"/>
  <c r="Q393" i="5"/>
  <c r="U393" i="5"/>
  <c r="Q393" i="4"/>
  <c r="X393" i="5"/>
  <c r="R393" i="4"/>
  <c r="Z393" i="5"/>
  <c r="AC393" i="5"/>
  <c r="AD393" i="5"/>
  <c r="X393" i="4"/>
  <c r="AI393" i="5"/>
  <c r="Y393" i="4"/>
  <c r="AJ393" i="5"/>
  <c r="AL393" i="5"/>
  <c r="F393" i="5"/>
  <c r="E393" i="5"/>
  <c r="H393" i="5"/>
  <c r="I393" i="5"/>
  <c r="R393" i="5"/>
  <c r="T393" i="5"/>
  <c r="AN393" i="5"/>
  <c r="AA394" i="5"/>
  <c r="B394" i="4"/>
  <c r="P394" i="4"/>
  <c r="W394" i="5"/>
  <c r="O394" i="5"/>
  <c r="K394" i="5"/>
  <c r="AG394" i="5"/>
  <c r="AF394" i="5"/>
  <c r="C394" i="5"/>
  <c r="L394" i="5"/>
  <c r="N394" i="5"/>
  <c r="L394" i="4"/>
  <c r="Q394" i="5"/>
  <c r="U394" i="5"/>
  <c r="Q394" i="4"/>
  <c r="X394" i="5"/>
  <c r="R394" i="4"/>
  <c r="Z394" i="5"/>
  <c r="AC394" i="5"/>
  <c r="AD394" i="5"/>
  <c r="X394" i="4"/>
  <c r="AI394" i="5"/>
  <c r="Y394" i="4"/>
  <c r="AJ394" i="5"/>
  <c r="AL394" i="5"/>
  <c r="F394" i="5"/>
  <c r="E394" i="5"/>
  <c r="H394" i="5"/>
  <c r="I394" i="5"/>
  <c r="R394" i="5"/>
  <c r="T394" i="5"/>
  <c r="AN394" i="5"/>
  <c r="AA395" i="5"/>
  <c r="B395" i="4"/>
  <c r="P395" i="4"/>
  <c r="W395" i="5"/>
  <c r="O395" i="5"/>
  <c r="K395" i="5"/>
  <c r="AG395" i="5"/>
  <c r="AF395" i="5"/>
  <c r="C395" i="5"/>
  <c r="L395" i="5"/>
  <c r="N395" i="5"/>
  <c r="L395" i="4"/>
  <c r="Q395" i="5"/>
  <c r="U395" i="5"/>
  <c r="Q395" i="4"/>
  <c r="X395" i="5"/>
  <c r="R395" i="4"/>
  <c r="Z395" i="5"/>
  <c r="AC395" i="5"/>
  <c r="AD395" i="5"/>
  <c r="X395" i="4"/>
  <c r="AI395" i="5"/>
  <c r="Y395" i="4"/>
  <c r="AJ395" i="5"/>
  <c r="AL395" i="5"/>
  <c r="F395" i="5"/>
  <c r="E395" i="5"/>
  <c r="H395" i="5"/>
  <c r="I395" i="5"/>
  <c r="R395" i="5"/>
  <c r="T395" i="5"/>
  <c r="AN395" i="5"/>
  <c r="AA396" i="5"/>
  <c r="B396" i="4"/>
  <c r="P396" i="4"/>
  <c r="W396" i="5"/>
  <c r="O396" i="5"/>
  <c r="K396" i="5"/>
  <c r="AG396" i="5"/>
  <c r="AF396" i="5"/>
  <c r="C396" i="5"/>
  <c r="L396" i="5"/>
  <c r="N396" i="5"/>
  <c r="L396" i="4"/>
  <c r="Q396" i="5"/>
  <c r="U396" i="5"/>
  <c r="Q396" i="4"/>
  <c r="X396" i="5"/>
  <c r="R396" i="4"/>
  <c r="Z396" i="5"/>
  <c r="AC396" i="5"/>
  <c r="AD396" i="5"/>
  <c r="X396" i="4"/>
  <c r="AI396" i="5"/>
  <c r="Y396" i="4"/>
  <c r="AJ396" i="5"/>
  <c r="AL396" i="5"/>
  <c r="F396" i="5"/>
  <c r="E396" i="5"/>
  <c r="H396" i="5"/>
  <c r="I396" i="5"/>
  <c r="R396" i="5"/>
  <c r="T396" i="5"/>
  <c r="AN396" i="5"/>
  <c r="AA397" i="5"/>
  <c r="B397" i="4"/>
  <c r="P397" i="4"/>
  <c r="W397" i="5"/>
  <c r="O397" i="5"/>
  <c r="K397" i="5"/>
  <c r="AG397" i="5"/>
  <c r="AF397" i="5"/>
  <c r="C397" i="5"/>
  <c r="L397" i="5"/>
  <c r="N397" i="5"/>
  <c r="L397" i="4"/>
  <c r="Q397" i="5"/>
  <c r="U397" i="5"/>
  <c r="Q397" i="4"/>
  <c r="X397" i="5"/>
  <c r="R397" i="4"/>
  <c r="Z397" i="5"/>
  <c r="AC397" i="5"/>
  <c r="AD397" i="5"/>
  <c r="X397" i="4"/>
  <c r="AI397" i="5"/>
  <c r="Y397" i="4"/>
  <c r="AJ397" i="5"/>
  <c r="AL397" i="5"/>
  <c r="F397" i="5"/>
  <c r="E397" i="5"/>
  <c r="H397" i="5"/>
  <c r="I397" i="5"/>
  <c r="R397" i="5"/>
  <c r="T397" i="5"/>
  <c r="AN397" i="5"/>
  <c r="AA398" i="5"/>
  <c r="B398" i="4"/>
  <c r="P398" i="4"/>
  <c r="W398" i="5"/>
  <c r="O398" i="5"/>
  <c r="K398" i="5"/>
  <c r="AG398" i="5"/>
  <c r="AF398" i="5"/>
  <c r="C398" i="5"/>
  <c r="L398" i="5"/>
  <c r="N398" i="5"/>
  <c r="L398" i="4"/>
  <c r="Q398" i="5"/>
  <c r="U398" i="5"/>
  <c r="Q398" i="4"/>
  <c r="X398" i="5"/>
  <c r="R27" i="2"/>
  <c r="R398" i="4"/>
  <c r="Z398" i="5"/>
  <c r="AC398" i="5"/>
  <c r="AD398" i="5"/>
  <c r="X398" i="4"/>
  <c r="AI398" i="5"/>
  <c r="Y398" i="4"/>
  <c r="AJ398" i="5"/>
  <c r="AL398" i="5"/>
  <c r="F398" i="5"/>
  <c r="E398" i="5"/>
  <c r="H398" i="5"/>
  <c r="I398" i="5"/>
  <c r="R398" i="5"/>
  <c r="T398" i="5"/>
  <c r="AN398" i="5"/>
  <c r="AA399" i="5"/>
  <c r="B399" i="4"/>
  <c r="P399" i="4"/>
  <c r="W399" i="5"/>
  <c r="O399" i="5"/>
  <c r="K399" i="5"/>
  <c r="AG399" i="5"/>
  <c r="AF399" i="5"/>
  <c r="C399" i="5"/>
  <c r="L399" i="5"/>
  <c r="N399" i="5"/>
  <c r="L399" i="4"/>
  <c r="Q399" i="5"/>
  <c r="U399" i="5"/>
  <c r="Q399" i="4"/>
  <c r="X399" i="5"/>
  <c r="R399" i="4"/>
  <c r="Z399" i="5"/>
  <c r="AC399" i="5"/>
  <c r="AD399" i="5"/>
  <c r="X399" i="4"/>
  <c r="AI399" i="5"/>
  <c r="Y399" i="4"/>
  <c r="AJ399" i="5"/>
  <c r="AL399" i="5"/>
  <c r="F399" i="5"/>
  <c r="E399" i="5"/>
  <c r="H399" i="5"/>
  <c r="I399" i="5"/>
  <c r="R399" i="5"/>
  <c r="T399" i="5"/>
  <c r="AN399" i="5"/>
  <c r="AA400" i="5"/>
  <c r="B400" i="4"/>
  <c r="P400" i="4"/>
  <c r="W400" i="5"/>
  <c r="O400" i="5"/>
  <c r="K400" i="5"/>
  <c r="AG400" i="5"/>
  <c r="AF400" i="5"/>
  <c r="C400" i="5"/>
  <c r="L400" i="5"/>
  <c r="N400" i="5"/>
  <c r="L400" i="4"/>
  <c r="Q400" i="5"/>
  <c r="U400" i="5"/>
  <c r="Q400" i="4"/>
  <c r="X400" i="5"/>
  <c r="R400" i="4"/>
  <c r="Z400" i="5"/>
  <c r="AC400" i="5"/>
  <c r="AD400" i="5"/>
  <c r="X400" i="4"/>
  <c r="AI400" i="5"/>
  <c r="Y400" i="4"/>
  <c r="AJ400" i="5"/>
  <c r="AL400" i="5"/>
  <c r="F400" i="5"/>
  <c r="E400" i="5"/>
  <c r="H400" i="5"/>
  <c r="I400" i="5"/>
  <c r="R400" i="5"/>
  <c r="T400" i="5"/>
  <c r="AN400" i="5"/>
  <c r="AA401" i="5"/>
  <c r="B401" i="4"/>
  <c r="P401" i="4"/>
  <c r="W401" i="5"/>
  <c r="O401" i="5"/>
  <c r="K401" i="5"/>
  <c r="AG401" i="5"/>
  <c r="AF401" i="5"/>
  <c r="C401" i="5"/>
  <c r="L401" i="5"/>
  <c r="N401" i="5"/>
  <c r="L401" i="4"/>
  <c r="Q401" i="5"/>
  <c r="U401" i="5"/>
  <c r="Q401" i="4"/>
  <c r="X401" i="5"/>
  <c r="R401" i="4"/>
  <c r="Z401" i="5"/>
  <c r="AC401" i="5"/>
  <c r="AD401" i="5"/>
  <c r="X401" i="4"/>
  <c r="AI401" i="5"/>
  <c r="Y401" i="4"/>
  <c r="AJ401" i="5"/>
  <c r="AL401" i="5"/>
  <c r="F401" i="5"/>
  <c r="E401" i="5"/>
  <c r="H401" i="5"/>
  <c r="I401" i="5"/>
  <c r="R401" i="5"/>
  <c r="T401" i="5"/>
  <c r="AN401" i="5"/>
  <c r="AA402" i="5"/>
  <c r="B402" i="4"/>
  <c r="P402" i="4"/>
  <c r="W402" i="5"/>
  <c r="O402" i="5"/>
  <c r="K402" i="5"/>
  <c r="AG402" i="5"/>
  <c r="AF402" i="5"/>
  <c r="C402" i="5"/>
  <c r="L402" i="5"/>
  <c r="N402" i="5"/>
  <c r="L402" i="4"/>
  <c r="Q402" i="5"/>
  <c r="U402" i="5"/>
  <c r="Q402" i="4"/>
  <c r="X402" i="5"/>
  <c r="R402" i="4"/>
  <c r="Z402" i="5"/>
  <c r="AC402" i="5"/>
  <c r="AD402" i="5"/>
  <c r="X402" i="4"/>
  <c r="AI402" i="5"/>
  <c r="Y402" i="4"/>
  <c r="AJ402" i="5"/>
  <c r="AL402" i="5"/>
  <c r="F402" i="5"/>
  <c r="E402" i="5"/>
  <c r="H402" i="5"/>
  <c r="I402" i="5"/>
  <c r="R402" i="5"/>
  <c r="T402" i="5"/>
  <c r="AN402" i="5"/>
  <c r="AA403" i="5"/>
  <c r="B403" i="4"/>
  <c r="P403" i="4"/>
  <c r="W403" i="5"/>
  <c r="O403" i="5"/>
  <c r="K403" i="5"/>
  <c r="AG403" i="5"/>
  <c r="AF403" i="5"/>
  <c r="C403" i="5"/>
  <c r="L403" i="5"/>
  <c r="N403" i="5"/>
  <c r="L403" i="4"/>
  <c r="Q403" i="5"/>
  <c r="U403" i="5"/>
  <c r="Q403" i="4"/>
  <c r="X403" i="5"/>
  <c r="R403" i="4"/>
  <c r="Z403" i="5"/>
  <c r="AC403" i="5"/>
  <c r="AD403" i="5"/>
  <c r="X403" i="4"/>
  <c r="AI403" i="5"/>
  <c r="Y403" i="4"/>
  <c r="AJ403" i="5"/>
  <c r="AL403" i="5"/>
  <c r="F403" i="5"/>
  <c r="E403" i="5"/>
  <c r="H403" i="5"/>
  <c r="I403" i="5"/>
  <c r="R403" i="5"/>
  <c r="T403" i="5"/>
  <c r="AN403" i="5"/>
  <c r="AA404" i="5"/>
  <c r="B404" i="4"/>
  <c r="P404" i="4"/>
  <c r="W404" i="5"/>
  <c r="O404" i="5"/>
  <c r="K404" i="5"/>
  <c r="AG404" i="5"/>
  <c r="AF404" i="5"/>
  <c r="C404" i="5"/>
  <c r="L404" i="5"/>
  <c r="N404" i="5"/>
  <c r="L404" i="4"/>
  <c r="Q404" i="5"/>
  <c r="U404" i="5"/>
  <c r="Q404" i="4"/>
  <c r="X404" i="5"/>
  <c r="R404" i="4"/>
  <c r="Z404" i="5"/>
  <c r="AC404" i="5"/>
  <c r="AD404" i="5"/>
  <c r="X404" i="4"/>
  <c r="AI404" i="5"/>
  <c r="Y404" i="4"/>
  <c r="AJ404" i="5"/>
  <c r="AL404" i="5"/>
  <c r="F404" i="5"/>
  <c r="E404" i="5"/>
  <c r="H404" i="5"/>
  <c r="I404" i="5"/>
  <c r="R404" i="5"/>
  <c r="T404" i="5"/>
  <c r="AN404" i="5"/>
  <c r="AA405" i="5"/>
  <c r="B405" i="4"/>
  <c r="P405" i="4"/>
  <c r="W405" i="5"/>
  <c r="O405" i="5"/>
  <c r="K405" i="5"/>
  <c r="AG405" i="5"/>
  <c r="AF405" i="5"/>
  <c r="C405" i="5"/>
  <c r="L405" i="5"/>
  <c r="N405" i="5"/>
  <c r="L405" i="4"/>
  <c r="Q405" i="5"/>
  <c r="U405" i="5"/>
  <c r="Q405" i="4"/>
  <c r="X405" i="5"/>
  <c r="R405" i="4"/>
  <c r="Z405" i="5"/>
  <c r="AC405" i="5"/>
  <c r="AD405" i="5"/>
  <c r="X405" i="4"/>
  <c r="AI405" i="5"/>
  <c r="Y405" i="4"/>
  <c r="AJ405" i="5"/>
  <c r="AL405" i="5"/>
  <c r="F405" i="5"/>
  <c r="E405" i="5"/>
  <c r="H405" i="5"/>
  <c r="I405" i="5"/>
  <c r="R405" i="5"/>
  <c r="T405" i="5"/>
  <c r="AN405" i="5"/>
  <c r="AA406" i="5"/>
  <c r="B406" i="4"/>
  <c r="P406" i="4"/>
  <c r="W406" i="5"/>
  <c r="O406" i="5"/>
  <c r="K406" i="5"/>
  <c r="AG406" i="5"/>
  <c r="AF406" i="5"/>
  <c r="C406" i="5"/>
  <c r="L406" i="5"/>
  <c r="N406" i="5"/>
  <c r="L406" i="4"/>
  <c r="Q406" i="5"/>
  <c r="U406" i="5"/>
  <c r="Q406" i="4"/>
  <c r="X406" i="5"/>
  <c r="R406" i="4"/>
  <c r="Z406" i="5"/>
  <c r="AC406" i="5"/>
  <c r="AD406" i="5"/>
  <c r="X406" i="4"/>
  <c r="AI406" i="5"/>
  <c r="Y406" i="4"/>
  <c r="AJ406" i="5"/>
  <c r="AL406" i="5"/>
  <c r="F406" i="5"/>
  <c r="E406" i="5"/>
  <c r="H406" i="5"/>
  <c r="I406" i="5"/>
  <c r="R406" i="5"/>
  <c r="T406" i="5"/>
  <c r="AN406" i="5"/>
  <c r="AA407" i="5"/>
  <c r="B407" i="4"/>
  <c r="P407" i="4"/>
  <c r="W407" i="5"/>
  <c r="O407" i="5"/>
  <c r="K407" i="5"/>
  <c r="AG407" i="5"/>
  <c r="AF407" i="5"/>
  <c r="C407" i="5"/>
  <c r="L407" i="5"/>
  <c r="N407" i="5"/>
  <c r="L407" i="4"/>
  <c r="Q407" i="5"/>
  <c r="U407" i="5"/>
  <c r="Q407" i="4"/>
  <c r="X407" i="5"/>
  <c r="R407" i="4"/>
  <c r="Z407" i="5"/>
  <c r="AC407" i="5"/>
  <c r="AD407" i="5"/>
  <c r="X407" i="4"/>
  <c r="AI407" i="5"/>
  <c r="Y407" i="4"/>
  <c r="AJ407" i="5"/>
  <c r="AL407" i="5"/>
  <c r="F407" i="5"/>
  <c r="E407" i="5"/>
  <c r="H407" i="5"/>
  <c r="I407" i="5"/>
  <c r="R407" i="5"/>
  <c r="T407" i="5"/>
  <c r="AN407" i="5"/>
  <c r="AA408" i="5"/>
  <c r="B408" i="4"/>
  <c r="P408" i="4"/>
  <c r="W408" i="5"/>
  <c r="O408" i="5"/>
  <c r="K408" i="5"/>
  <c r="AG408" i="5"/>
  <c r="AF408" i="5"/>
  <c r="C408" i="5"/>
  <c r="L408" i="5"/>
  <c r="N408" i="5"/>
  <c r="L408" i="4"/>
  <c r="Q408" i="5"/>
  <c r="U408" i="5"/>
  <c r="Q408" i="4"/>
  <c r="X408" i="5"/>
  <c r="R408" i="4"/>
  <c r="Z408" i="5"/>
  <c r="AC408" i="5"/>
  <c r="AD408" i="5"/>
  <c r="X408" i="4"/>
  <c r="AI408" i="5"/>
  <c r="Y408" i="4"/>
  <c r="AJ408" i="5"/>
  <c r="AL408" i="5"/>
  <c r="F408" i="5"/>
  <c r="E408" i="5"/>
  <c r="H408" i="5"/>
  <c r="I408" i="5"/>
  <c r="R408" i="5"/>
  <c r="T408" i="5"/>
  <c r="AN408" i="5"/>
  <c r="AA409" i="5"/>
  <c r="B409" i="4"/>
  <c r="P409" i="4"/>
  <c r="W409" i="5"/>
  <c r="O409" i="5"/>
  <c r="K409" i="5"/>
  <c r="AG409" i="5"/>
  <c r="AF409" i="5"/>
  <c r="C409" i="5"/>
  <c r="L409" i="5"/>
  <c r="N409" i="5"/>
  <c r="L409" i="4"/>
  <c r="Q409" i="5"/>
  <c r="U409" i="5"/>
  <c r="Q409" i="4"/>
  <c r="X409" i="5"/>
  <c r="R25" i="2"/>
  <c r="R409" i="4"/>
  <c r="Z409" i="5"/>
  <c r="AC409" i="5"/>
  <c r="AD409" i="5"/>
  <c r="X409" i="4"/>
  <c r="AI409" i="5"/>
  <c r="Y409" i="4"/>
  <c r="AJ409" i="5"/>
  <c r="AL409" i="5"/>
  <c r="F409" i="5"/>
  <c r="E409" i="5"/>
  <c r="H409" i="5"/>
  <c r="I409" i="5"/>
  <c r="R409" i="5"/>
  <c r="T409" i="5"/>
  <c r="AN409" i="5"/>
  <c r="AA410" i="5"/>
  <c r="B410" i="4"/>
  <c r="P410" i="4"/>
  <c r="W410" i="5"/>
  <c r="O410" i="5"/>
  <c r="K410" i="5"/>
  <c r="AG410" i="5"/>
  <c r="AF410" i="5"/>
  <c r="C410" i="5"/>
  <c r="L410" i="5"/>
  <c r="N410" i="5"/>
  <c r="L410" i="4"/>
  <c r="Q410" i="5"/>
  <c r="U410" i="5"/>
  <c r="Q410" i="4"/>
  <c r="X410" i="5"/>
  <c r="R410" i="4"/>
  <c r="Z410" i="5"/>
  <c r="AC410" i="5"/>
  <c r="AD410" i="5"/>
  <c r="X410" i="4"/>
  <c r="AI410" i="5"/>
  <c r="Y410" i="4"/>
  <c r="AJ410" i="5"/>
  <c r="AL410" i="5"/>
  <c r="F410" i="5"/>
  <c r="E410" i="5"/>
  <c r="H410" i="5"/>
  <c r="I410" i="5"/>
  <c r="R410" i="5"/>
  <c r="T410" i="5"/>
  <c r="AN410" i="5"/>
  <c r="AA411" i="5"/>
  <c r="B411" i="4"/>
  <c r="P411" i="4"/>
  <c r="W411" i="5"/>
  <c r="O411" i="5"/>
  <c r="K411" i="5"/>
  <c r="AG411" i="5"/>
  <c r="AF411" i="5"/>
  <c r="C411" i="5"/>
  <c r="L411" i="5"/>
  <c r="N411" i="5"/>
  <c r="L411" i="4"/>
  <c r="Q411" i="5"/>
  <c r="U411" i="5"/>
  <c r="Q411" i="4"/>
  <c r="X411" i="5"/>
  <c r="R411" i="4"/>
  <c r="Z411" i="5"/>
  <c r="AC411" i="5"/>
  <c r="AD411" i="5"/>
  <c r="X411" i="4"/>
  <c r="AI411" i="5"/>
  <c r="Y411" i="4"/>
  <c r="AJ411" i="5"/>
  <c r="AL411" i="5"/>
  <c r="F411" i="5"/>
  <c r="E411" i="5"/>
  <c r="H411" i="5"/>
  <c r="I411" i="5"/>
  <c r="R411" i="5"/>
  <c r="T411" i="5"/>
  <c r="AN411" i="5"/>
  <c r="AG2" i="5"/>
  <c r="AF2" i="5"/>
  <c r="B296" i="4"/>
  <c r="C296" i="4"/>
  <c r="C2" i="5"/>
  <c r="D296" i="4"/>
  <c r="E2" i="5"/>
  <c r="K2" i="5"/>
  <c r="L296" i="4"/>
  <c r="Q2" i="5"/>
  <c r="M296" i="4"/>
  <c r="R2" i="5"/>
  <c r="T2" i="5"/>
  <c r="U2" i="5"/>
  <c r="P296" i="4"/>
  <c r="W2" i="5"/>
  <c r="Q296" i="4"/>
  <c r="X2" i="5"/>
  <c r="S296" i="4"/>
  <c r="AA2" i="5"/>
  <c r="AI296" i="4"/>
  <c r="T296" i="4" a="1"/>
  <c r="T296" i="4"/>
  <c r="AC2" i="5"/>
  <c r="U296" i="4" a="1"/>
  <c r="U296" i="4"/>
  <c r="AD2" i="5"/>
  <c r="X296" i="4"/>
  <c r="AI2" i="5"/>
  <c r="Y296" i="4"/>
  <c r="AJ2" i="5"/>
  <c r="Z296" i="4"/>
  <c r="AL2" i="5"/>
  <c r="F2" i="5"/>
  <c r="L2" i="5"/>
  <c r="N2" i="5"/>
  <c r="O2" i="5"/>
  <c r="H2" i="5"/>
  <c r="I2" i="5"/>
  <c r="Z2" i="5"/>
  <c r="AN2" i="5"/>
  <c r="AZ165" i="1"/>
  <c r="BA165" i="1"/>
  <c r="BB165" i="1"/>
  <c r="CH165" i="1"/>
  <c r="CI165" i="1"/>
  <c r="CJ165" i="1"/>
  <c r="CK165" i="1"/>
  <c r="CL165" i="1"/>
  <c r="CM165" i="1"/>
  <c r="CN165" i="1"/>
  <c r="CO165" i="1"/>
  <c r="CP165" i="1"/>
  <c r="CQ165" i="1"/>
  <c r="CR165" i="1"/>
  <c r="CS165" i="1"/>
  <c r="BV165" i="1"/>
  <c r="BW165" i="1"/>
  <c r="BX165" i="1"/>
  <c r="BY165" i="1"/>
  <c r="BZ165" i="1"/>
  <c r="CA165" i="1"/>
  <c r="CB165" i="1"/>
  <c r="CC165" i="1"/>
  <c r="CD165" i="1"/>
  <c r="CE165" i="1"/>
  <c r="CF165" i="1"/>
  <c r="CG165" i="1"/>
  <c r="BC165" i="1"/>
  <c r="CT165" i="1"/>
  <c r="AZ164" i="1"/>
  <c r="BA164" i="1"/>
  <c r="BB164" i="1"/>
  <c r="CH164" i="1"/>
  <c r="CI164" i="1"/>
  <c r="CJ164" i="1"/>
  <c r="CK164" i="1"/>
  <c r="CL164" i="1"/>
  <c r="CM164" i="1"/>
  <c r="CN164" i="1"/>
  <c r="CO164" i="1"/>
  <c r="CP164" i="1"/>
  <c r="CQ164" i="1"/>
  <c r="CR164" i="1"/>
  <c r="CS164" i="1"/>
  <c r="BV164" i="1"/>
  <c r="BW164" i="1"/>
  <c r="BX164" i="1"/>
  <c r="BY164" i="1"/>
  <c r="BZ164" i="1"/>
  <c r="CA164" i="1"/>
  <c r="CB164" i="1"/>
  <c r="CC164" i="1"/>
  <c r="CD164" i="1"/>
  <c r="CE164" i="1"/>
  <c r="CF164" i="1"/>
  <c r="CG164" i="1"/>
  <c r="BC164" i="1"/>
  <c r="CT164" i="1"/>
  <c r="AZ116" i="1"/>
  <c r="BA116" i="1"/>
  <c r="BB116" i="1"/>
  <c r="CH116" i="1"/>
  <c r="CI116" i="1"/>
  <c r="CJ116" i="1"/>
  <c r="CK116" i="1"/>
  <c r="CL116" i="1"/>
  <c r="CM116" i="1"/>
  <c r="CN116" i="1"/>
  <c r="CO116" i="1"/>
  <c r="CP116" i="1"/>
  <c r="CQ116" i="1"/>
  <c r="CR116" i="1"/>
  <c r="CS116" i="1"/>
  <c r="BV116" i="1"/>
  <c r="BW116" i="1"/>
  <c r="BX116" i="1"/>
  <c r="BY116" i="1"/>
  <c r="BZ116" i="1"/>
  <c r="CA116" i="1"/>
  <c r="CB116" i="1"/>
  <c r="CC116" i="1"/>
  <c r="CD116" i="1"/>
  <c r="CE116" i="1"/>
  <c r="CF116" i="1"/>
  <c r="CG116" i="1"/>
  <c r="BC116" i="1"/>
  <c r="CT116" i="1"/>
  <c r="AZ46" i="1"/>
  <c r="BA46" i="1"/>
  <c r="BB46" i="1"/>
  <c r="CH46" i="1"/>
  <c r="CI46" i="1"/>
  <c r="CJ46" i="1"/>
  <c r="CK46" i="1"/>
  <c r="CL46" i="1"/>
  <c r="CM46" i="1"/>
  <c r="CN46" i="1"/>
  <c r="CO46" i="1"/>
  <c r="CP46" i="1"/>
  <c r="CQ46" i="1"/>
  <c r="CR46" i="1"/>
  <c r="CS46" i="1"/>
  <c r="BV46" i="1"/>
  <c r="BW46" i="1"/>
  <c r="BX46" i="1"/>
  <c r="BY46" i="1"/>
  <c r="BZ46" i="1"/>
  <c r="CA46" i="1"/>
  <c r="CB46" i="1"/>
  <c r="CC46" i="1"/>
  <c r="CD46" i="1"/>
  <c r="CE46" i="1"/>
  <c r="CF46" i="1"/>
  <c r="CG46" i="1"/>
  <c r="BC46" i="1"/>
  <c r="CT46" i="1"/>
  <c r="AZ45" i="1"/>
  <c r="BA45" i="1"/>
  <c r="BB45" i="1"/>
  <c r="CH45" i="1"/>
  <c r="CI45" i="1"/>
  <c r="CJ45" i="1"/>
  <c r="CK45" i="1"/>
  <c r="CL45" i="1"/>
  <c r="CM45" i="1"/>
  <c r="CN45" i="1"/>
  <c r="CO45" i="1"/>
  <c r="CP45" i="1"/>
  <c r="CQ45" i="1"/>
  <c r="CR45" i="1"/>
  <c r="CS45" i="1"/>
  <c r="BV45" i="1"/>
  <c r="BW45" i="1"/>
  <c r="BX45" i="1"/>
  <c r="BY45" i="1"/>
  <c r="BZ45" i="1"/>
  <c r="CA45" i="1"/>
  <c r="CB45" i="1"/>
  <c r="CC45" i="1"/>
  <c r="CD45" i="1"/>
  <c r="CE45" i="1"/>
  <c r="CF45" i="1"/>
  <c r="CG45" i="1"/>
  <c r="BC45" i="1"/>
  <c r="CT45" i="1"/>
  <c r="AZ231" i="1"/>
  <c r="BA231" i="1"/>
  <c r="BB231" i="1"/>
  <c r="CH231" i="1"/>
  <c r="CI231" i="1"/>
  <c r="CJ231" i="1"/>
  <c r="CK231" i="1"/>
  <c r="CL231" i="1"/>
  <c r="CM231" i="1"/>
  <c r="CN231" i="1"/>
  <c r="CO231" i="1"/>
  <c r="CP231" i="1"/>
  <c r="CQ231" i="1"/>
  <c r="CR231" i="1"/>
  <c r="CS231" i="1"/>
  <c r="BV231" i="1"/>
  <c r="BW231" i="1"/>
  <c r="BX231" i="1"/>
  <c r="BY231" i="1"/>
  <c r="BZ231" i="1"/>
  <c r="CA231" i="1"/>
  <c r="CB231" i="1"/>
  <c r="CC231" i="1"/>
  <c r="CD231" i="1"/>
  <c r="CE231" i="1"/>
  <c r="CF231" i="1"/>
  <c r="CG231" i="1"/>
  <c r="BC231" i="1"/>
  <c r="CT231" i="1"/>
  <c r="AZ232" i="1"/>
  <c r="BA232" i="1"/>
  <c r="BB232" i="1"/>
  <c r="CH232" i="1"/>
  <c r="CI232" i="1"/>
  <c r="CJ232" i="1"/>
  <c r="CK232" i="1"/>
  <c r="CL232" i="1"/>
  <c r="CM232" i="1"/>
  <c r="CN232" i="1"/>
  <c r="CO232" i="1"/>
  <c r="CP232" i="1"/>
  <c r="CQ232" i="1"/>
  <c r="CR232" i="1"/>
  <c r="CS232" i="1"/>
  <c r="BV232" i="1"/>
  <c r="BW232" i="1"/>
  <c r="BX232" i="1"/>
  <c r="BY232" i="1"/>
  <c r="BZ232" i="1"/>
  <c r="CA232" i="1"/>
  <c r="CB232" i="1"/>
  <c r="CC232" i="1"/>
  <c r="CD232" i="1"/>
  <c r="CE232" i="1"/>
  <c r="CF232" i="1"/>
  <c r="CG232" i="1"/>
  <c r="BC232" i="1"/>
  <c r="CT232" i="1"/>
  <c r="BB21" i="1"/>
  <c r="AZ21" i="1"/>
  <c r="BA21" i="1"/>
  <c r="CH21" i="1"/>
  <c r="CI21" i="1"/>
  <c r="CJ21" i="1"/>
  <c r="CK21" i="1"/>
  <c r="CL21" i="1"/>
  <c r="CM21" i="1"/>
  <c r="CN21" i="1"/>
  <c r="CO21" i="1"/>
  <c r="CP21" i="1"/>
  <c r="CQ21" i="1"/>
  <c r="CR21" i="1"/>
  <c r="CS21" i="1"/>
  <c r="BV21" i="1"/>
  <c r="BW21" i="1"/>
  <c r="BX21" i="1"/>
  <c r="BY21" i="1"/>
  <c r="BZ21" i="1"/>
  <c r="CA21" i="1"/>
  <c r="CB21" i="1"/>
  <c r="CC21" i="1"/>
  <c r="CD21" i="1"/>
  <c r="CE21" i="1"/>
  <c r="CF21" i="1"/>
  <c r="CG21" i="1"/>
  <c r="BC21" i="1"/>
  <c r="CT21" i="1"/>
  <c r="AZ11" i="1"/>
  <c r="BA11" i="1"/>
  <c r="BB11" i="1"/>
  <c r="CH11" i="1"/>
  <c r="CI11" i="1"/>
  <c r="CJ11" i="1"/>
  <c r="CK11" i="1"/>
  <c r="CL11" i="1"/>
  <c r="CM11" i="1"/>
  <c r="CN11" i="1"/>
  <c r="CO11" i="1"/>
  <c r="CP11" i="1"/>
  <c r="CQ11" i="1"/>
  <c r="CR11" i="1"/>
  <c r="CS11" i="1"/>
  <c r="BV11" i="1"/>
  <c r="BW11" i="1"/>
  <c r="BX11" i="1"/>
  <c r="BY11" i="1"/>
  <c r="BZ11" i="1"/>
  <c r="CA11" i="1"/>
  <c r="CB11" i="1"/>
  <c r="CC11" i="1"/>
  <c r="CD11" i="1"/>
  <c r="CE11" i="1"/>
  <c r="CF11" i="1"/>
  <c r="CG11" i="1"/>
  <c r="BC11" i="1"/>
  <c r="CT11" i="1"/>
  <c r="AZ47" i="1"/>
  <c r="BA47" i="1"/>
  <c r="BB47" i="1"/>
  <c r="CH47" i="1"/>
  <c r="CI47" i="1"/>
  <c r="CJ47" i="1"/>
  <c r="CK47" i="1"/>
  <c r="CL47" i="1"/>
  <c r="CM47" i="1"/>
  <c r="CN47" i="1"/>
  <c r="CO47" i="1"/>
  <c r="CP47" i="1"/>
  <c r="CQ47" i="1"/>
  <c r="CR47" i="1"/>
  <c r="CS47" i="1"/>
  <c r="BV47" i="1"/>
  <c r="BW47" i="1"/>
  <c r="BX47" i="1"/>
  <c r="BY47" i="1"/>
  <c r="BZ47" i="1"/>
  <c r="CA47" i="1"/>
  <c r="CB47" i="1"/>
  <c r="CC47" i="1"/>
  <c r="CD47" i="1"/>
  <c r="CE47" i="1"/>
  <c r="CF47" i="1"/>
  <c r="CG47" i="1"/>
  <c r="BC47" i="1"/>
  <c r="CT47" i="1"/>
  <c r="CH2" i="1"/>
  <c r="CI2" i="1"/>
  <c r="CJ2" i="1"/>
  <c r="CK2" i="1"/>
  <c r="CL2" i="1"/>
  <c r="CM2" i="1"/>
  <c r="CN2" i="1"/>
  <c r="CO2" i="1"/>
  <c r="CP2" i="1"/>
  <c r="CQ2" i="1"/>
  <c r="CR2" i="1"/>
  <c r="CS2" i="1"/>
  <c r="BV2" i="1"/>
  <c r="BW2" i="1"/>
  <c r="BX2" i="1"/>
  <c r="BY2" i="1"/>
  <c r="BZ2" i="1"/>
  <c r="CA2" i="1"/>
  <c r="CB2" i="1"/>
  <c r="CC2" i="1"/>
  <c r="CD2" i="1"/>
  <c r="CE2" i="1"/>
  <c r="CF2" i="1"/>
  <c r="CG2" i="1"/>
  <c r="BC2" i="1"/>
  <c r="AZ149" i="1"/>
  <c r="BA149" i="1"/>
  <c r="BB149" i="1"/>
  <c r="CH149" i="1"/>
  <c r="CI149" i="1"/>
  <c r="CJ149" i="1"/>
  <c r="CK149" i="1"/>
  <c r="CL149" i="1"/>
  <c r="CM149" i="1"/>
  <c r="CN149" i="1"/>
  <c r="CO149" i="1"/>
  <c r="CP149" i="1"/>
  <c r="CQ149" i="1"/>
  <c r="CR149" i="1"/>
  <c r="CS149" i="1"/>
  <c r="BV149" i="1"/>
  <c r="BW149" i="1"/>
  <c r="BX149" i="1"/>
  <c r="BY149" i="1"/>
  <c r="BZ149" i="1"/>
  <c r="CA149" i="1"/>
  <c r="CB149" i="1"/>
  <c r="CC149" i="1"/>
  <c r="CD149" i="1"/>
  <c r="CE149" i="1"/>
  <c r="CF149" i="1"/>
  <c r="CG149" i="1"/>
  <c r="BC149" i="1"/>
  <c r="CT149" i="1"/>
  <c r="AZ148" i="1"/>
  <c r="BA148" i="1"/>
  <c r="BB148" i="1"/>
  <c r="CH148" i="1"/>
  <c r="CI148" i="1"/>
  <c r="CJ148" i="1"/>
  <c r="CK148" i="1"/>
  <c r="CL148" i="1"/>
  <c r="CM148" i="1"/>
  <c r="CN148" i="1"/>
  <c r="CO148" i="1"/>
  <c r="CP148" i="1"/>
  <c r="CQ148" i="1"/>
  <c r="CR148" i="1"/>
  <c r="CS148" i="1"/>
  <c r="BV148" i="1"/>
  <c r="BW148" i="1"/>
  <c r="BX148" i="1"/>
  <c r="BY148" i="1"/>
  <c r="BZ148" i="1"/>
  <c r="CA148" i="1"/>
  <c r="CB148" i="1"/>
  <c r="CC148" i="1"/>
  <c r="CD148" i="1"/>
  <c r="CE148" i="1"/>
  <c r="CF148" i="1"/>
  <c r="CG148" i="1"/>
  <c r="BC148" i="1"/>
  <c r="CT148" i="1"/>
  <c r="CH137" i="1"/>
  <c r="CI137" i="1"/>
  <c r="CJ137" i="1"/>
  <c r="CK137" i="1"/>
  <c r="CL137" i="1"/>
  <c r="CM137" i="1"/>
  <c r="CN137" i="1"/>
  <c r="CO137" i="1"/>
  <c r="CP137" i="1"/>
  <c r="CQ137" i="1"/>
  <c r="CR137" i="1"/>
  <c r="CS137" i="1"/>
  <c r="BV137" i="1"/>
  <c r="BW137" i="1"/>
  <c r="BX137" i="1"/>
  <c r="BY137" i="1"/>
  <c r="BZ137" i="1"/>
  <c r="CA137" i="1"/>
  <c r="CB137" i="1"/>
  <c r="CC137" i="1"/>
  <c r="CD137" i="1"/>
  <c r="CE137" i="1"/>
  <c r="CF137" i="1"/>
  <c r="CG137" i="1"/>
  <c r="BC137" i="1"/>
  <c r="AZ137" i="1"/>
  <c r="BA137" i="1"/>
  <c r="BB137" i="1"/>
  <c r="CT137" i="1"/>
  <c r="AI304" i="4"/>
  <c r="AI305" i="4"/>
  <c r="AZ301" i="1"/>
  <c r="BA301" i="1"/>
  <c r="BB301" i="1"/>
  <c r="CH301" i="1"/>
  <c r="CI301" i="1"/>
  <c r="CJ301" i="1"/>
  <c r="CK301" i="1"/>
  <c r="CL301" i="1"/>
  <c r="CM301" i="1"/>
  <c r="CN301" i="1"/>
  <c r="CO301" i="1"/>
  <c r="CP301" i="1"/>
  <c r="CQ301" i="1"/>
  <c r="CR301" i="1"/>
  <c r="CS301" i="1"/>
  <c r="BV301" i="1"/>
  <c r="BW301" i="1"/>
  <c r="BX301" i="1"/>
  <c r="BY301" i="1"/>
  <c r="BZ301" i="1"/>
  <c r="CA301" i="1"/>
  <c r="CB301" i="1"/>
  <c r="CC301" i="1"/>
  <c r="CD301" i="1"/>
  <c r="CE301" i="1"/>
  <c r="CF301" i="1"/>
  <c r="CG301" i="1"/>
  <c r="BC301" i="1"/>
  <c r="CT301" i="1"/>
  <c r="AZ302" i="1"/>
  <c r="BA302" i="1"/>
  <c r="BB302" i="1"/>
  <c r="CH302" i="1"/>
  <c r="CI302" i="1"/>
  <c r="CJ302" i="1"/>
  <c r="CK302" i="1"/>
  <c r="CL302" i="1"/>
  <c r="CM302" i="1"/>
  <c r="CN302" i="1"/>
  <c r="CO302" i="1"/>
  <c r="CP302" i="1"/>
  <c r="CQ302" i="1"/>
  <c r="CR302" i="1"/>
  <c r="CS302" i="1"/>
  <c r="BV302" i="1"/>
  <c r="BW302" i="1"/>
  <c r="BX302" i="1"/>
  <c r="BY302" i="1"/>
  <c r="BZ302" i="1"/>
  <c r="CA302" i="1"/>
  <c r="CB302" i="1"/>
  <c r="CC302" i="1"/>
  <c r="CD302" i="1"/>
  <c r="CE302" i="1"/>
  <c r="CF302" i="1"/>
  <c r="CG302" i="1"/>
  <c r="BC302" i="1"/>
  <c r="CT302" i="1"/>
  <c r="AM49" i="2"/>
  <c r="AL49" i="2"/>
  <c r="AK49" i="2"/>
  <c r="AJ49" i="2"/>
  <c r="AI49" i="2"/>
  <c r="AH49" i="2"/>
  <c r="AG49" i="2"/>
  <c r="AF49" i="2"/>
  <c r="AE49" i="2"/>
  <c r="AD49" i="2"/>
  <c r="AC49" i="2"/>
  <c r="AB49" i="2"/>
  <c r="AA49" i="2"/>
  <c r="W49" i="2"/>
  <c r="S49" i="2"/>
  <c r="R49" i="2"/>
  <c r="K49" i="2"/>
  <c r="H49" i="2"/>
  <c r="G49" i="2"/>
  <c r="F49" i="2"/>
  <c r="E49" i="2"/>
  <c r="E47" i="2"/>
  <c r="E303" i="4"/>
  <c r="F47" i="2"/>
  <c r="F303" i="4"/>
  <c r="R47" i="2"/>
  <c r="R303" i="4"/>
  <c r="AA303" i="4"/>
  <c r="AC303" i="4"/>
  <c r="AD303" i="4"/>
  <c r="AE303" i="4"/>
  <c r="AF303" i="4"/>
  <c r="AG303" i="4"/>
  <c r="AH303" i="4"/>
  <c r="AI303" i="4"/>
  <c r="AJ303" i="4"/>
  <c r="AL303" i="4"/>
  <c r="B303" i="5"/>
  <c r="AM303" i="5"/>
  <c r="AO303" i="5"/>
  <c r="AP303" i="5"/>
  <c r="AQ303" i="5"/>
  <c r="AR303" i="5"/>
  <c r="AS303" i="5"/>
  <c r="AT303" i="5"/>
  <c r="AU303" i="5"/>
  <c r="AV303" i="5"/>
  <c r="AW303" i="5"/>
  <c r="AX303" i="5"/>
  <c r="AY303" i="5"/>
  <c r="AZ303" i="5"/>
  <c r="BA303" i="5"/>
  <c r="BB303" i="5"/>
  <c r="BC303" i="5"/>
  <c r="BD303" i="5"/>
  <c r="BE303" i="5"/>
  <c r="B314" i="6"/>
  <c r="C314" i="6"/>
  <c r="D314" i="6"/>
  <c r="V314" i="6"/>
  <c r="W314" i="6"/>
  <c r="X314" i="6"/>
  <c r="Y314" i="6"/>
  <c r="Z314" i="6"/>
  <c r="AA314" i="6"/>
  <c r="AB314" i="6"/>
  <c r="AC314" i="6"/>
  <c r="AD314" i="6"/>
  <c r="AE314" i="6"/>
  <c r="AF314" i="6"/>
  <c r="AG314" i="6"/>
  <c r="AH314" i="6"/>
  <c r="D409" i="9"/>
  <c r="E409" i="9"/>
  <c r="F409" i="9"/>
  <c r="G409" i="9"/>
  <c r="C115" i="7"/>
  <c r="D115" i="7"/>
  <c r="E115" i="7"/>
  <c r="U23" i="2"/>
  <c r="T23" i="2"/>
  <c r="AZ299" i="1"/>
  <c r="BA299" i="1"/>
  <c r="BB299" i="1"/>
  <c r="CH299" i="1"/>
  <c r="CI299" i="1"/>
  <c r="CJ299" i="1"/>
  <c r="CK299" i="1"/>
  <c r="CL299" i="1"/>
  <c r="CM299" i="1"/>
  <c r="CN299" i="1"/>
  <c r="CO299" i="1"/>
  <c r="CP299" i="1"/>
  <c r="CQ299" i="1"/>
  <c r="CR299" i="1"/>
  <c r="CS299" i="1"/>
  <c r="BV299" i="1"/>
  <c r="BW299" i="1"/>
  <c r="BX299" i="1"/>
  <c r="BY299" i="1"/>
  <c r="BZ299" i="1"/>
  <c r="CA299" i="1"/>
  <c r="CB299" i="1"/>
  <c r="CC299" i="1"/>
  <c r="CD299" i="1"/>
  <c r="CE299" i="1"/>
  <c r="CF299" i="1"/>
  <c r="CG299" i="1"/>
  <c r="BC299" i="1"/>
  <c r="CT299" i="1"/>
  <c r="AZ172" i="1"/>
  <c r="BA172" i="1"/>
  <c r="BB172" i="1"/>
  <c r="CH172" i="1"/>
  <c r="CI172" i="1"/>
  <c r="CJ172" i="1"/>
  <c r="CK172" i="1"/>
  <c r="CL172" i="1"/>
  <c r="CM172" i="1"/>
  <c r="CN172" i="1"/>
  <c r="CO172" i="1"/>
  <c r="CP172" i="1"/>
  <c r="CQ172" i="1"/>
  <c r="CR172" i="1"/>
  <c r="CS172" i="1"/>
  <c r="BV172" i="1"/>
  <c r="BW172" i="1"/>
  <c r="BX172" i="1"/>
  <c r="BY172" i="1"/>
  <c r="BZ172" i="1"/>
  <c r="CA172" i="1"/>
  <c r="CB172" i="1"/>
  <c r="CC172" i="1"/>
  <c r="CD172" i="1"/>
  <c r="CE172" i="1"/>
  <c r="CF172" i="1"/>
  <c r="CG172" i="1"/>
  <c r="BC172" i="1"/>
  <c r="CT172" i="1"/>
  <c r="AZ171" i="1"/>
  <c r="BA171" i="1"/>
  <c r="BB171" i="1"/>
  <c r="CH171" i="1"/>
  <c r="CI171" i="1"/>
  <c r="CJ171" i="1"/>
  <c r="CK171" i="1"/>
  <c r="CL171" i="1"/>
  <c r="CM171" i="1"/>
  <c r="CN171" i="1"/>
  <c r="CO171" i="1"/>
  <c r="CP171" i="1"/>
  <c r="CQ171" i="1"/>
  <c r="CR171" i="1"/>
  <c r="CS171" i="1"/>
  <c r="BV171" i="1"/>
  <c r="BW171" i="1"/>
  <c r="BX171" i="1"/>
  <c r="BY171" i="1"/>
  <c r="BZ171" i="1"/>
  <c r="CA171" i="1"/>
  <c r="CB171" i="1"/>
  <c r="CC171" i="1"/>
  <c r="CD171" i="1"/>
  <c r="CE171" i="1"/>
  <c r="CF171" i="1"/>
  <c r="CG171" i="1"/>
  <c r="BC171" i="1"/>
  <c r="CT171" i="1"/>
  <c r="G20" i="2"/>
  <c r="I20" i="2"/>
  <c r="J20" i="2"/>
  <c r="K20" i="2"/>
  <c r="T20" i="2"/>
  <c r="U20" i="2"/>
  <c r="V20" i="2"/>
  <c r="W20" i="2"/>
  <c r="AA20" i="2"/>
  <c r="AB20" i="2"/>
  <c r="AC20" i="2"/>
  <c r="AD20" i="2"/>
  <c r="AE20" i="2"/>
  <c r="AF20" i="2"/>
  <c r="AG20" i="2"/>
  <c r="AH20" i="2"/>
  <c r="AI20" i="2"/>
  <c r="AJ20" i="2"/>
  <c r="AK20" i="2"/>
  <c r="AL20" i="2"/>
  <c r="AM20" i="2"/>
  <c r="AZ127" i="1"/>
  <c r="BA127" i="1"/>
  <c r="BB127" i="1"/>
  <c r="CH127" i="1"/>
  <c r="CI127" i="1"/>
  <c r="CJ127" i="1"/>
  <c r="CK127" i="1"/>
  <c r="CL127" i="1"/>
  <c r="CM127" i="1"/>
  <c r="CN127" i="1"/>
  <c r="CO127" i="1"/>
  <c r="CP127" i="1"/>
  <c r="CQ127" i="1"/>
  <c r="CR127" i="1"/>
  <c r="CS127" i="1"/>
  <c r="BV127" i="1"/>
  <c r="BW127" i="1"/>
  <c r="BX127" i="1"/>
  <c r="BY127" i="1"/>
  <c r="BZ127" i="1"/>
  <c r="CA127" i="1"/>
  <c r="CB127" i="1"/>
  <c r="CC127" i="1"/>
  <c r="CD127" i="1"/>
  <c r="CE127" i="1"/>
  <c r="CF127" i="1"/>
  <c r="CG127" i="1"/>
  <c r="BC127" i="1"/>
  <c r="CT127" i="1"/>
  <c r="AZ128" i="1"/>
  <c r="BA128" i="1"/>
  <c r="BB128" i="1"/>
  <c r="CH128" i="1"/>
  <c r="CI128" i="1"/>
  <c r="CJ128" i="1"/>
  <c r="CK128" i="1"/>
  <c r="CL128" i="1"/>
  <c r="CM128" i="1"/>
  <c r="CN128" i="1"/>
  <c r="CO128" i="1"/>
  <c r="CP128" i="1"/>
  <c r="CQ128" i="1"/>
  <c r="CR128" i="1"/>
  <c r="CS128" i="1"/>
  <c r="BV128" i="1"/>
  <c r="BW128" i="1"/>
  <c r="BX128" i="1"/>
  <c r="BY128" i="1"/>
  <c r="BZ128" i="1"/>
  <c r="CA128" i="1"/>
  <c r="CB128" i="1"/>
  <c r="CC128" i="1"/>
  <c r="CD128" i="1"/>
  <c r="CE128" i="1"/>
  <c r="CF128" i="1"/>
  <c r="CG128" i="1"/>
  <c r="BC128" i="1"/>
  <c r="CT128" i="1"/>
  <c r="AZ50" i="1"/>
  <c r="BA50" i="1"/>
  <c r="BB50" i="1"/>
  <c r="CH50" i="1"/>
  <c r="CI50" i="1"/>
  <c r="CJ50" i="1"/>
  <c r="CK50" i="1"/>
  <c r="CL50" i="1"/>
  <c r="CM50" i="1"/>
  <c r="CN50" i="1"/>
  <c r="CO50" i="1"/>
  <c r="CP50" i="1"/>
  <c r="CQ50" i="1"/>
  <c r="CR50" i="1"/>
  <c r="CS50" i="1"/>
  <c r="BV50" i="1"/>
  <c r="BW50" i="1"/>
  <c r="BX50" i="1"/>
  <c r="BY50" i="1"/>
  <c r="BZ50" i="1"/>
  <c r="CA50" i="1"/>
  <c r="CB50" i="1"/>
  <c r="CC50" i="1"/>
  <c r="CD50" i="1"/>
  <c r="CE50" i="1"/>
  <c r="CF50" i="1"/>
  <c r="CG50" i="1"/>
  <c r="BC50" i="1"/>
  <c r="CT50" i="1"/>
  <c r="AZ49" i="1"/>
  <c r="BA49" i="1"/>
  <c r="BB49" i="1"/>
  <c r="CH49" i="1"/>
  <c r="CI49" i="1"/>
  <c r="CJ49" i="1"/>
  <c r="CK49" i="1"/>
  <c r="CL49" i="1"/>
  <c r="CM49" i="1"/>
  <c r="CN49" i="1"/>
  <c r="CO49" i="1"/>
  <c r="CP49" i="1"/>
  <c r="CQ49" i="1"/>
  <c r="CR49" i="1"/>
  <c r="CS49" i="1"/>
  <c r="BV49" i="1"/>
  <c r="BW49" i="1"/>
  <c r="BX49" i="1"/>
  <c r="BY49" i="1"/>
  <c r="BZ49" i="1"/>
  <c r="CA49" i="1"/>
  <c r="CB49" i="1"/>
  <c r="CC49" i="1"/>
  <c r="CD49" i="1"/>
  <c r="CE49" i="1"/>
  <c r="CF49" i="1"/>
  <c r="CG49" i="1"/>
  <c r="BC49" i="1"/>
  <c r="CT49" i="1"/>
  <c r="D408" i="9"/>
  <c r="F408" i="9"/>
  <c r="G408" i="9"/>
  <c r="E408" i="9"/>
  <c r="D407" i="9"/>
  <c r="F407" i="9"/>
  <c r="G407" i="9"/>
  <c r="E407" i="9"/>
  <c r="D406" i="9"/>
  <c r="F406" i="9"/>
  <c r="G406" i="9"/>
  <c r="E406" i="9"/>
  <c r="D405" i="9"/>
  <c r="F405" i="9"/>
  <c r="G405" i="9"/>
  <c r="E405" i="9"/>
  <c r="D404" i="9"/>
  <c r="F404" i="9"/>
  <c r="G404" i="9"/>
  <c r="E404" i="9"/>
  <c r="D403" i="9"/>
  <c r="F403" i="9"/>
  <c r="G403" i="9"/>
  <c r="E403" i="9"/>
  <c r="D402" i="9"/>
  <c r="F402" i="9"/>
  <c r="G402" i="9"/>
  <c r="E402" i="9"/>
  <c r="D401" i="9"/>
  <c r="F401" i="9"/>
  <c r="G401" i="9"/>
  <c r="E401" i="9"/>
  <c r="D400" i="9"/>
  <c r="F400" i="9"/>
  <c r="G400" i="9"/>
  <c r="E400" i="9"/>
  <c r="D399" i="9"/>
  <c r="F399" i="9"/>
  <c r="G399" i="9"/>
  <c r="E399" i="9"/>
  <c r="D398" i="9"/>
  <c r="F398" i="9"/>
  <c r="G398" i="9"/>
  <c r="E398" i="9"/>
  <c r="D397" i="9"/>
  <c r="F397" i="9"/>
  <c r="G397" i="9"/>
  <c r="E397" i="9"/>
  <c r="D396" i="9"/>
  <c r="F396" i="9"/>
  <c r="G396" i="9"/>
  <c r="E396" i="9"/>
  <c r="D395" i="9"/>
  <c r="F395" i="9"/>
  <c r="G395" i="9"/>
  <c r="E395" i="9"/>
  <c r="D394" i="9"/>
  <c r="F394" i="9"/>
  <c r="G394" i="9"/>
  <c r="E394" i="9"/>
  <c r="D393" i="9"/>
  <c r="F393" i="9"/>
  <c r="G393" i="9"/>
  <c r="E393" i="9"/>
  <c r="D392" i="9"/>
  <c r="F392" i="9"/>
  <c r="G392" i="9"/>
  <c r="E392" i="9"/>
  <c r="D391" i="9"/>
  <c r="F391" i="9"/>
  <c r="G391" i="9"/>
  <c r="E391" i="9"/>
  <c r="D390" i="9"/>
  <c r="F390" i="9"/>
  <c r="G390" i="9"/>
  <c r="E390" i="9"/>
  <c r="D389" i="9"/>
  <c r="F389" i="9"/>
  <c r="G389" i="9"/>
  <c r="E389" i="9"/>
  <c r="D388" i="9"/>
  <c r="F388" i="9"/>
  <c r="G388" i="9"/>
  <c r="E388" i="9"/>
  <c r="D387" i="9"/>
  <c r="F387" i="9"/>
  <c r="G387" i="9"/>
  <c r="E387" i="9"/>
  <c r="D386" i="9"/>
  <c r="F386" i="9"/>
  <c r="G386" i="9"/>
  <c r="E386" i="9"/>
  <c r="D385" i="9"/>
  <c r="F385" i="9"/>
  <c r="G385" i="9"/>
  <c r="E385" i="9"/>
  <c r="D384" i="9"/>
  <c r="F384" i="9"/>
  <c r="G384" i="9"/>
  <c r="E384" i="9"/>
  <c r="D383" i="9"/>
  <c r="F383" i="9"/>
  <c r="G383" i="9"/>
  <c r="E383" i="9"/>
  <c r="D382" i="9"/>
  <c r="F382" i="9"/>
  <c r="G382" i="9"/>
  <c r="E382" i="9"/>
  <c r="D381" i="9"/>
  <c r="F381" i="9"/>
  <c r="G381" i="9"/>
  <c r="E381" i="9"/>
  <c r="D380" i="9"/>
  <c r="F380" i="9"/>
  <c r="G380" i="9"/>
  <c r="E380" i="9"/>
  <c r="D379" i="9"/>
  <c r="F379" i="9"/>
  <c r="G379" i="9"/>
  <c r="E379" i="9"/>
  <c r="D378" i="9"/>
  <c r="F378" i="9"/>
  <c r="G378" i="9"/>
  <c r="E378" i="9"/>
  <c r="D377" i="9"/>
  <c r="F377" i="9"/>
  <c r="G377" i="9"/>
  <c r="E377" i="9"/>
  <c r="D376" i="9"/>
  <c r="F376" i="9"/>
  <c r="G376" i="9"/>
  <c r="E376" i="9"/>
  <c r="D375" i="9"/>
  <c r="F375" i="9"/>
  <c r="G375" i="9"/>
  <c r="E375" i="9"/>
  <c r="D374" i="9"/>
  <c r="F374" i="9"/>
  <c r="G374" i="9"/>
  <c r="E374" i="9"/>
  <c r="D373" i="9"/>
  <c r="F373" i="9"/>
  <c r="G373" i="9"/>
  <c r="E373" i="9"/>
  <c r="D372" i="9"/>
  <c r="F372" i="9"/>
  <c r="G372" i="9"/>
  <c r="E372" i="9"/>
  <c r="D371" i="9"/>
  <c r="F371" i="9"/>
  <c r="G371" i="9"/>
  <c r="E371" i="9"/>
  <c r="D370" i="9"/>
  <c r="F370" i="9"/>
  <c r="G370" i="9"/>
  <c r="E370" i="9"/>
  <c r="D369" i="9"/>
  <c r="F369" i="9"/>
  <c r="G369" i="9"/>
  <c r="E369" i="9"/>
  <c r="D368" i="9"/>
  <c r="F368" i="9"/>
  <c r="G368" i="9"/>
  <c r="E368" i="9"/>
  <c r="D367" i="9"/>
  <c r="F367" i="9"/>
  <c r="G367" i="9"/>
  <c r="E367" i="9"/>
  <c r="D366" i="9"/>
  <c r="F366" i="9"/>
  <c r="G366" i="9"/>
  <c r="E366" i="9"/>
  <c r="D365" i="9"/>
  <c r="F365" i="9"/>
  <c r="G365" i="9"/>
  <c r="E365" i="9"/>
  <c r="D364" i="9"/>
  <c r="F364" i="9"/>
  <c r="G364" i="9"/>
  <c r="E364" i="9"/>
  <c r="D363" i="9"/>
  <c r="F363" i="9"/>
  <c r="G363" i="9"/>
  <c r="E363" i="9"/>
  <c r="D362" i="9"/>
  <c r="F362" i="9"/>
  <c r="G362" i="9"/>
  <c r="E362" i="9"/>
  <c r="D361" i="9"/>
  <c r="F361" i="9"/>
  <c r="G361" i="9"/>
  <c r="E361" i="9"/>
  <c r="D360" i="9"/>
  <c r="F360" i="9"/>
  <c r="G360" i="9"/>
  <c r="E360" i="9"/>
  <c r="D359" i="9"/>
  <c r="F359" i="9"/>
  <c r="G359" i="9"/>
  <c r="E359" i="9"/>
  <c r="D358" i="9"/>
  <c r="F358" i="9"/>
  <c r="G358" i="9"/>
  <c r="E358" i="9"/>
  <c r="D357" i="9"/>
  <c r="F357" i="9"/>
  <c r="G357" i="9"/>
  <c r="E357" i="9"/>
  <c r="D356" i="9"/>
  <c r="F356" i="9"/>
  <c r="G356" i="9"/>
  <c r="E356" i="9"/>
  <c r="D355" i="9"/>
  <c r="F355" i="9"/>
  <c r="G355" i="9"/>
  <c r="E355" i="9"/>
  <c r="D354" i="9"/>
  <c r="F354" i="9"/>
  <c r="G354" i="9"/>
  <c r="E354" i="9"/>
  <c r="D353" i="9"/>
  <c r="F353" i="9"/>
  <c r="G353" i="9"/>
  <c r="E353" i="9"/>
  <c r="D352" i="9"/>
  <c r="F352" i="9"/>
  <c r="G352" i="9"/>
  <c r="E352" i="9"/>
  <c r="D351" i="9"/>
  <c r="F351" i="9"/>
  <c r="G351" i="9"/>
  <c r="E351" i="9"/>
  <c r="D350" i="9"/>
  <c r="F350" i="9"/>
  <c r="G350" i="9"/>
  <c r="E350" i="9"/>
  <c r="D349" i="9"/>
  <c r="F349" i="9"/>
  <c r="G349" i="9"/>
  <c r="E349" i="9"/>
  <c r="D348" i="9"/>
  <c r="F348" i="9"/>
  <c r="G348" i="9"/>
  <c r="E348" i="9"/>
  <c r="D345" i="9"/>
  <c r="F345" i="9"/>
  <c r="G345" i="9"/>
  <c r="E345" i="9"/>
  <c r="D344" i="9"/>
  <c r="F344" i="9"/>
  <c r="G344" i="9"/>
  <c r="E344" i="9"/>
  <c r="D343" i="9"/>
  <c r="F343" i="9"/>
  <c r="G343" i="9"/>
  <c r="E343" i="9"/>
  <c r="D342" i="9"/>
  <c r="F342" i="9"/>
  <c r="G342" i="9"/>
  <c r="E342" i="9"/>
  <c r="D341" i="9"/>
  <c r="F341" i="9"/>
  <c r="G341" i="9"/>
  <c r="E341" i="9"/>
  <c r="D340" i="9"/>
  <c r="F340" i="9"/>
  <c r="G340" i="9"/>
  <c r="E340" i="9"/>
  <c r="D339" i="9"/>
  <c r="F339" i="9"/>
  <c r="G339" i="9"/>
  <c r="E339" i="9"/>
  <c r="D338" i="9"/>
  <c r="F338" i="9"/>
  <c r="G338" i="9"/>
  <c r="E338" i="9"/>
  <c r="D337" i="9"/>
  <c r="F337" i="9"/>
  <c r="G337" i="9"/>
  <c r="E337" i="9"/>
  <c r="D336" i="9"/>
  <c r="F336" i="9"/>
  <c r="G336" i="9"/>
  <c r="E336" i="9"/>
  <c r="D335" i="9"/>
  <c r="F335" i="9"/>
  <c r="G335" i="9"/>
  <c r="E335" i="9"/>
  <c r="D334" i="9"/>
  <c r="F334" i="9"/>
  <c r="G334" i="9"/>
  <c r="E334" i="9"/>
  <c r="D333" i="9"/>
  <c r="F333" i="9"/>
  <c r="G333" i="9"/>
  <c r="E333" i="9"/>
  <c r="D332" i="9"/>
  <c r="F332" i="9"/>
  <c r="G332" i="9"/>
  <c r="E332" i="9"/>
  <c r="D331" i="9"/>
  <c r="F331" i="9"/>
  <c r="G331" i="9"/>
  <c r="E331" i="9"/>
  <c r="D330" i="9"/>
  <c r="F330" i="9"/>
  <c r="G330" i="9"/>
  <c r="E330" i="9"/>
  <c r="D329" i="9"/>
  <c r="F329" i="9"/>
  <c r="G329" i="9"/>
  <c r="E329" i="9"/>
  <c r="D328" i="9"/>
  <c r="F328" i="9"/>
  <c r="G328" i="9"/>
  <c r="E328" i="9"/>
  <c r="D327" i="9"/>
  <c r="F327" i="9"/>
  <c r="G327" i="9"/>
  <c r="E327" i="9"/>
  <c r="D326" i="9"/>
  <c r="F326" i="9"/>
  <c r="G326" i="9"/>
  <c r="E326" i="9"/>
  <c r="D325" i="9"/>
  <c r="F325" i="9"/>
  <c r="G325" i="9"/>
  <c r="E325" i="9"/>
  <c r="D324" i="9"/>
  <c r="F324" i="9"/>
  <c r="G324" i="9"/>
  <c r="E324" i="9"/>
  <c r="D323" i="9"/>
  <c r="F323" i="9"/>
  <c r="G323" i="9"/>
  <c r="E323" i="9"/>
  <c r="D322" i="9"/>
  <c r="F322" i="9"/>
  <c r="G322" i="9"/>
  <c r="E322" i="9"/>
  <c r="D321" i="9"/>
  <c r="F321" i="9"/>
  <c r="G321" i="9"/>
  <c r="E321" i="9"/>
  <c r="D320" i="9"/>
  <c r="F320" i="9"/>
  <c r="G320" i="9"/>
  <c r="E320" i="9"/>
  <c r="D319" i="9"/>
  <c r="F319" i="9"/>
  <c r="G319" i="9"/>
  <c r="E319" i="9"/>
  <c r="D318" i="9"/>
  <c r="F318" i="9"/>
  <c r="G318" i="9"/>
  <c r="E318" i="9"/>
  <c r="D317" i="9"/>
  <c r="F317" i="9"/>
  <c r="G317" i="9"/>
  <c r="E317" i="9"/>
  <c r="D316" i="9"/>
  <c r="F316" i="9"/>
  <c r="G316" i="9"/>
  <c r="E316" i="9"/>
  <c r="D315" i="9"/>
  <c r="F315" i="9"/>
  <c r="G315" i="9"/>
  <c r="E315" i="9"/>
  <c r="D314" i="9"/>
  <c r="F314" i="9"/>
  <c r="G314" i="9"/>
  <c r="E314" i="9"/>
  <c r="D313" i="9"/>
  <c r="F313" i="9"/>
  <c r="G313" i="9"/>
  <c r="E313" i="9"/>
  <c r="D312" i="9"/>
  <c r="F312" i="9"/>
  <c r="G312" i="9"/>
  <c r="E312" i="9"/>
  <c r="D311" i="9"/>
  <c r="F311" i="9"/>
  <c r="G311" i="9"/>
  <c r="E311" i="9"/>
  <c r="D310" i="9"/>
  <c r="F310" i="9"/>
  <c r="G310" i="9"/>
  <c r="E310" i="9"/>
  <c r="D309" i="9"/>
  <c r="F309" i="9"/>
  <c r="G309" i="9"/>
  <c r="E309" i="9"/>
  <c r="D308" i="9"/>
  <c r="F308" i="9"/>
  <c r="G308" i="9"/>
  <c r="E308" i="9"/>
  <c r="D307" i="9"/>
  <c r="F307" i="9"/>
  <c r="G307" i="9"/>
  <c r="E307" i="9"/>
  <c r="D306" i="9"/>
  <c r="F306" i="9"/>
  <c r="G306" i="9"/>
  <c r="E306" i="9"/>
  <c r="D305" i="9"/>
  <c r="F305" i="9"/>
  <c r="G305" i="9"/>
  <c r="E305" i="9"/>
  <c r="D304" i="9"/>
  <c r="F304" i="9"/>
  <c r="G304" i="9"/>
  <c r="E304" i="9"/>
  <c r="D303" i="9"/>
  <c r="F303" i="9"/>
  <c r="G303" i="9"/>
  <c r="E303" i="9"/>
  <c r="D302" i="9"/>
  <c r="F302" i="9"/>
  <c r="G302" i="9"/>
  <c r="E302" i="9"/>
  <c r="D301" i="9"/>
  <c r="F301" i="9"/>
  <c r="G301" i="9"/>
  <c r="E301" i="9"/>
  <c r="D300" i="9"/>
  <c r="F300" i="9"/>
  <c r="G300" i="9"/>
  <c r="E300" i="9"/>
  <c r="D299" i="9"/>
  <c r="F299" i="9"/>
  <c r="G299" i="9"/>
  <c r="E299" i="9"/>
  <c r="D298" i="9"/>
  <c r="F298" i="9"/>
  <c r="G298" i="9"/>
  <c r="E298" i="9"/>
  <c r="D297" i="9"/>
  <c r="F297" i="9"/>
  <c r="G297" i="9"/>
  <c r="E297" i="9"/>
  <c r="D296" i="9"/>
  <c r="F296" i="9"/>
  <c r="G296" i="9"/>
  <c r="E296" i="9"/>
  <c r="D295" i="9"/>
  <c r="F295" i="9"/>
  <c r="G295" i="9"/>
  <c r="E295" i="9"/>
  <c r="D294" i="9"/>
  <c r="F294" i="9"/>
  <c r="G294" i="9"/>
  <c r="E294" i="9"/>
  <c r="D293" i="9"/>
  <c r="F293" i="9"/>
  <c r="G293" i="9"/>
  <c r="E293" i="9"/>
  <c r="D292" i="9"/>
  <c r="F292" i="9"/>
  <c r="G292" i="9"/>
  <c r="E292" i="9"/>
  <c r="D291" i="9"/>
  <c r="F291" i="9"/>
  <c r="G291" i="9"/>
  <c r="E291" i="9"/>
  <c r="D290" i="9"/>
  <c r="F290" i="9"/>
  <c r="G290" i="9"/>
  <c r="E290" i="9"/>
  <c r="D289" i="9"/>
  <c r="F289" i="9"/>
  <c r="G289" i="9"/>
  <c r="E289" i="9"/>
  <c r="D288" i="9"/>
  <c r="F288" i="9"/>
  <c r="G288" i="9"/>
  <c r="E288" i="9"/>
  <c r="D287" i="9"/>
  <c r="F287" i="9"/>
  <c r="G287" i="9"/>
  <c r="E287" i="9"/>
  <c r="D286" i="9"/>
  <c r="F286" i="9"/>
  <c r="G286" i="9"/>
  <c r="E286" i="9"/>
  <c r="D285" i="9"/>
  <c r="F285" i="9"/>
  <c r="G285" i="9"/>
  <c r="E285" i="9"/>
  <c r="D284" i="9"/>
  <c r="F284" i="9"/>
  <c r="G284" i="9"/>
  <c r="E284" i="9"/>
  <c r="D283" i="9"/>
  <c r="F283" i="9"/>
  <c r="G283" i="9"/>
  <c r="E283" i="9"/>
  <c r="D282" i="9"/>
  <c r="F282" i="9"/>
  <c r="G282" i="9"/>
  <c r="E282" i="9"/>
  <c r="D281" i="9"/>
  <c r="F281" i="9"/>
  <c r="G281" i="9"/>
  <c r="E281" i="9"/>
  <c r="D280" i="9"/>
  <c r="F280" i="9"/>
  <c r="G280" i="9"/>
  <c r="E280" i="9"/>
  <c r="D279" i="9"/>
  <c r="F279" i="9"/>
  <c r="G279" i="9"/>
  <c r="E279" i="9"/>
  <c r="D278" i="9"/>
  <c r="F278" i="9"/>
  <c r="G278" i="9"/>
  <c r="E278" i="9"/>
  <c r="D277" i="9"/>
  <c r="F277" i="9"/>
  <c r="G277" i="9"/>
  <c r="E277" i="9"/>
  <c r="D276" i="9"/>
  <c r="F276" i="9"/>
  <c r="G276" i="9"/>
  <c r="E276" i="9"/>
  <c r="D275" i="9"/>
  <c r="F275" i="9"/>
  <c r="G275" i="9"/>
  <c r="E275" i="9"/>
  <c r="D274" i="9"/>
  <c r="F274" i="9"/>
  <c r="G274" i="9"/>
  <c r="E274" i="9"/>
  <c r="D273" i="9"/>
  <c r="F273" i="9"/>
  <c r="G273" i="9"/>
  <c r="E273" i="9"/>
  <c r="D272" i="9"/>
  <c r="F272" i="9"/>
  <c r="G272" i="9"/>
  <c r="E272" i="9"/>
  <c r="D271" i="9"/>
  <c r="F271" i="9"/>
  <c r="G271" i="9"/>
  <c r="E271" i="9"/>
  <c r="D270" i="9"/>
  <c r="F270" i="9"/>
  <c r="G270" i="9"/>
  <c r="E270" i="9"/>
  <c r="D269" i="9"/>
  <c r="F269" i="9"/>
  <c r="G269" i="9"/>
  <c r="E269" i="9"/>
  <c r="D268" i="9"/>
  <c r="F268" i="9"/>
  <c r="G268" i="9"/>
  <c r="E268" i="9"/>
  <c r="D267" i="9"/>
  <c r="F267" i="9"/>
  <c r="G267" i="9"/>
  <c r="E267" i="9"/>
  <c r="D266" i="9"/>
  <c r="F266" i="9"/>
  <c r="G266" i="9"/>
  <c r="E266" i="9"/>
  <c r="D265" i="9"/>
  <c r="F265" i="9"/>
  <c r="G265" i="9"/>
  <c r="E265" i="9"/>
  <c r="D264" i="9"/>
  <c r="F264" i="9"/>
  <c r="G264" i="9"/>
  <c r="E264" i="9"/>
  <c r="D263" i="9"/>
  <c r="F263" i="9"/>
  <c r="G263" i="9"/>
  <c r="E263" i="9"/>
  <c r="D262" i="9"/>
  <c r="F262" i="9"/>
  <c r="G262" i="9"/>
  <c r="E262" i="9"/>
  <c r="D261" i="9"/>
  <c r="F261" i="9"/>
  <c r="G261" i="9"/>
  <c r="E261" i="9"/>
  <c r="D260" i="9"/>
  <c r="F260" i="9"/>
  <c r="G260" i="9"/>
  <c r="E260" i="9"/>
  <c r="D259" i="9"/>
  <c r="F259" i="9"/>
  <c r="G259" i="9"/>
  <c r="E259" i="9"/>
  <c r="D258" i="9"/>
  <c r="F258" i="9"/>
  <c r="G258" i="9"/>
  <c r="E258" i="9"/>
  <c r="D257" i="9"/>
  <c r="F257" i="9"/>
  <c r="G257" i="9"/>
  <c r="E257" i="9"/>
  <c r="D256" i="9"/>
  <c r="F256" i="9"/>
  <c r="G256" i="9"/>
  <c r="E256" i="9"/>
  <c r="D255" i="9"/>
  <c r="F255" i="9"/>
  <c r="G255" i="9"/>
  <c r="E255" i="9"/>
  <c r="D254" i="9"/>
  <c r="F254" i="9"/>
  <c r="G254" i="9"/>
  <c r="E254" i="9"/>
  <c r="D253" i="9"/>
  <c r="F253" i="9"/>
  <c r="G253" i="9"/>
  <c r="E253" i="9"/>
  <c r="D252" i="9"/>
  <c r="F252" i="9"/>
  <c r="G252" i="9"/>
  <c r="E252" i="9"/>
  <c r="D251" i="9"/>
  <c r="F251" i="9"/>
  <c r="G251" i="9"/>
  <c r="E251" i="9"/>
  <c r="D250" i="9"/>
  <c r="F250" i="9"/>
  <c r="G250" i="9"/>
  <c r="E250" i="9"/>
  <c r="D249" i="9"/>
  <c r="F249" i="9"/>
  <c r="G249" i="9"/>
  <c r="E249" i="9"/>
  <c r="D248" i="9"/>
  <c r="F248" i="9"/>
  <c r="G248" i="9"/>
  <c r="E248" i="9"/>
  <c r="D247" i="9"/>
  <c r="F247" i="9"/>
  <c r="G247" i="9"/>
  <c r="E247" i="9"/>
  <c r="D246" i="9"/>
  <c r="F246" i="9"/>
  <c r="G246" i="9"/>
  <c r="E246" i="9"/>
  <c r="D245" i="9"/>
  <c r="F245" i="9"/>
  <c r="G245" i="9"/>
  <c r="E245" i="9"/>
  <c r="D244" i="9"/>
  <c r="F244" i="9"/>
  <c r="G244" i="9"/>
  <c r="E244" i="9"/>
  <c r="D243" i="9"/>
  <c r="F243" i="9"/>
  <c r="G243" i="9"/>
  <c r="E243" i="9"/>
  <c r="D242" i="9"/>
  <c r="F242" i="9"/>
  <c r="G242" i="9"/>
  <c r="E242" i="9"/>
  <c r="D241" i="9"/>
  <c r="F241" i="9"/>
  <c r="G241" i="9"/>
  <c r="E241" i="9"/>
  <c r="D240" i="9"/>
  <c r="F240" i="9"/>
  <c r="G240" i="9"/>
  <c r="E240" i="9"/>
  <c r="D239" i="9"/>
  <c r="F239" i="9"/>
  <c r="G239" i="9"/>
  <c r="E239" i="9"/>
  <c r="D238" i="9"/>
  <c r="F238" i="9"/>
  <c r="G238" i="9"/>
  <c r="E238" i="9"/>
  <c r="D237" i="9"/>
  <c r="F237" i="9"/>
  <c r="G237" i="9"/>
  <c r="E237" i="9"/>
  <c r="D236" i="9"/>
  <c r="F236" i="9"/>
  <c r="G236" i="9"/>
  <c r="E236" i="9"/>
  <c r="D235" i="9"/>
  <c r="F235" i="9"/>
  <c r="G235" i="9"/>
  <c r="E235" i="9"/>
  <c r="D234" i="9"/>
  <c r="F234" i="9"/>
  <c r="G234" i="9"/>
  <c r="E234" i="9"/>
  <c r="D233" i="9"/>
  <c r="F233" i="9"/>
  <c r="G233" i="9"/>
  <c r="E233" i="9"/>
  <c r="D232" i="9"/>
  <c r="F232" i="9"/>
  <c r="G232" i="9"/>
  <c r="E232" i="9"/>
  <c r="D231" i="9"/>
  <c r="F231" i="9"/>
  <c r="G231" i="9"/>
  <c r="E231" i="9"/>
  <c r="D230" i="9"/>
  <c r="F230" i="9"/>
  <c r="G230" i="9"/>
  <c r="E230" i="9"/>
  <c r="D229" i="9"/>
  <c r="F229" i="9"/>
  <c r="G229" i="9"/>
  <c r="E229" i="9"/>
  <c r="D228" i="9"/>
  <c r="F228" i="9"/>
  <c r="G228" i="9"/>
  <c r="E228" i="9"/>
  <c r="D227" i="9"/>
  <c r="F227" i="9"/>
  <c r="G227" i="9"/>
  <c r="E227" i="9"/>
  <c r="D226" i="9"/>
  <c r="F226" i="9"/>
  <c r="G226" i="9"/>
  <c r="E226" i="9"/>
  <c r="D225" i="9"/>
  <c r="F225" i="9"/>
  <c r="G225" i="9"/>
  <c r="E225" i="9"/>
  <c r="D224" i="9"/>
  <c r="F224" i="9"/>
  <c r="G224" i="9"/>
  <c r="E224" i="9"/>
  <c r="D223" i="9"/>
  <c r="F223" i="9"/>
  <c r="G223" i="9"/>
  <c r="E223" i="9"/>
  <c r="D222" i="9"/>
  <c r="F222" i="9"/>
  <c r="G222" i="9"/>
  <c r="E222" i="9"/>
  <c r="D221" i="9"/>
  <c r="F221" i="9"/>
  <c r="G221" i="9"/>
  <c r="E221" i="9"/>
  <c r="D220" i="9"/>
  <c r="F220" i="9"/>
  <c r="G220" i="9"/>
  <c r="E220" i="9"/>
  <c r="D219" i="9"/>
  <c r="F219" i="9"/>
  <c r="G219" i="9"/>
  <c r="E219" i="9"/>
  <c r="D218" i="9"/>
  <c r="F218" i="9"/>
  <c r="G218" i="9"/>
  <c r="E218" i="9"/>
  <c r="D217" i="9"/>
  <c r="F217" i="9"/>
  <c r="G217" i="9"/>
  <c r="E217" i="9"/>
  <c r="D216" i="9"/>
  <c r="F216" i="9"/>
  <c r="G216" i="9"/>
  <c r="E216" i="9"/>
  <c r="D215" i="9"/>
  <c r="F215" i="9"/>
  <c r="G215" i="9"/>
  <c r="E215" i="9"/>
  <c r="D214" i="9"/>
  <c r="F214" i="9"/>
  <c r="G214" i="9"/>
  <c r="E214" i="9"/>
  <c r="D213" i="9"/>
  <c r="F213" i="9"/>
  <c r="G213" i="9"/>
  <c r="E213" i="9"/>
  <c r="D212" i="9"/>
  <c r="F212" i="9"/>
  <c r="G212" i="9"/>
  <c r="E212" i="9"/>
  <c r="D211" i="9"/>
  <c r="F211" i="9"/>
  <c r="G211" i="9"/>
  <c r="E211" i="9"/>
  <c r="D210" i="9"/>
  <c r="F210" i="9"/>
  <c r="G210" i="9"/>
  <c r="E210" i="9"/>
  <c r="D209" i="9"/>
  <c r="F209" i="9"/>
  <c r="G209" i="9"/>
  <c r="E209" i="9"/>
  <c r="D208" i="9"/>
  <c r="F208" i="9"/>
  <c r="G208" i="9"/>
  <c r="E208" i="9"/>
  <c r="D207" i="9"/>
  <c r="F207" i="9"/>
  <c r="G207" i="9"/>
  <c r="E207" i="9"/>
  <c r="D206" i="9"/>
  <c r="F206" i="9"/>
  <c r="G206" i="9"/>
  <c r="E206" i="9"/>
  <c r="D205" i="9"/>
  <c r="F205" i="9"/>
  <c r="G205" i="9"/>
  <c r="E205" i="9"/>
  <c r="D204" i="9"/>
  <c r="F204" i="9"/>
  <c r="G204" i="9"/>
  <c r="E204" i="9"/>
  <c r="D203" i="9"/>
  <c r="F203" i="9"/>
  <c r="G203" i="9"/>
  <c r="E203" i="9"/>
  <c r="D202" i="9"/>
  <c r="F202" i="9"/>
  <c r="G202" i="9"/>
  <c r="E202" i="9"/>
  <c r="D201" i="9"/>
  <c r="F201" i="9"/>
  <c r="G201" i="9"/>
  <c r="E201" i="9"/>
  <c r="D200" i="9"/>
  <c r="F200" i="9"/>
  <c r="G200" i="9"/>
  <c r="E200" i="9"/>
  <c r="D199" i="9"/>
  <c r="F199" i="9"/>
  <c r="G199" i="9"/>
  <c r="E199" i="9"/>
  <c r="D198" i="9"/>
  <c r="F198" i="9"/>
  <c r="G198" i="9"/>
  <c r="E198" i="9"/>
  <c r="D197" i="9"/>
  <c r="F197" i="9"/>
  <c r="G197" i="9"/>
  <c r="E197" i="9"/>
  <c r="D196" i="9"/>
  <c r="F196" i="9"/>
  <c r="G196" i="9"/>
  <c r="E196" i="9"/>
  <c r="D195" i="9"/>
  <c r="F195" i="9"/>
  <c r="G195" i="9"/>
  <c r="E195" i="9"/>
  <c r="D194" i="9"/>
  <c r="F194" i="9"/>
  <c r="G194" i="9"/>
  <c r="E194" i="9"/>
  <c r="D193" i="9"/>
  <c r="F193" i="9"/>
  <c r="G193" i="9"/>
  <c r="E193" i="9"/>
  <c r="D192" i="9"/>
  <c r="F192" i="9"/>
  <c r="G192" i="9"/>
  <c r="E192" i="9"/>
  <c r="D191" i="9"/>
  <c r="F191" i="9"/>
  <c r="G191" i="9"/>
  <c r="E191" i="9"/>
  <c r="D190" i="9"/>
  <c r="F190" i="9"/>
  <c r="G190" i="9"/>
  <c r="E190" i="9"/>
  <c r="D189" i="9"/>
  <c r="F189" i="9"/>
  <c r="G189" i="9"/>
  <c r="E189" i="9"/>
  <c r="D188" i="9"/>
  <c r="F188" i="9"/>
  <c r="G188" i="9"/>
  <c r="E188" i="9"/>
  <c r="D187" i="9"/>
  <c r="F187" i="9"/>
  <c r="G187" i="9"/>
  <c r="E187" i="9"/>
  <c r="D186" i="9"/>
  <c r="F186" i="9"/>
  <c r="G186" i="9"/>
  <c r="E186" i="9"/>
  <c r="D185" i="9"/>
  <c r="F185" i="9"/>
  <c r="G185" i="9"/>
  <c r="E185" i="9"/>
  <c r="D184" i="9"/>
  <c r="F184" i="9"/>
  <c r="G184" i="9"/>
  <c r="E184" i="9"/>
  <c r="D183" i="9"/>
  <c r="F183" i="9"/>
  <c r="G183" i="9"/>
  <c r="E183" i="9"/>
  <c r="D182" i="9"/>
  <c r="F182" i="9"/>
  <c r="G182" i="9"/>
  <c r="E182" i="9"/>
  <c r="D181" i="9"/>
  <c r="F181" i="9"/>
  <c r="G181" i="9"/>
  <c r="E181" i="9"/>
  <c r="D180" i="9"/>
  <c r="F180" i="9"/>
  <c r="G180" i="9"/>
  <c r="E180" i="9"/>
  <c r="D179" i="9"/>
  <c r="F179" i="9"/>
  <c r="G179" i="9"/>
  <c r="E179" i="9"/>
  <c r="D178" i="9"/>
  <c r="F178" i="9"/>
  <c r="G178" i="9"/>
  <c r="E178" i="9"/>
  <c r="D177" i="9"/>
  <c r="F177" i="9"/>
  <c r="G177" i="9"/>
  <c r="E177" i="9"/>
  <c r="D176" i="9"/>
  <c r="F176" i="9"/>
  <c r="G176" i="9"/>
  <c r="E176" i="9"/>
  <c r="D175" i="9"/>
  <c r="F175" i="9"/>
  <c r="G175" i="9"/>
  <c r="E175" i="9"/>
  <c r="D174" i="9"/>
  <c r="F174" i="9"/>
  <c r="G174" i="9"/>
  <c r="E174" i="9"/>
  <c r="D173" i="9"/>
  <c r="F173" i="9"/>
  <c r="G173" i="9"/>
  <c r="E173" i="9"/>
  <c r="D172" i="9"/>
  <c r="F172" i="9"/>
  <c r="G172" i="9"/>
  <c r="E172" i="9"/>
  <c r="D171" i="9"/>
  <c r="F171" i="9"/>
  <c r="G171" i="9"/>
  <c r="E171" i="9"/>
  <c r="D170" i="9"/>
  <c r="F170" i="9"/>
  <c r="G170" i="9"/>
  <c r="E170" i="9"/>
  <c r="D169" i="9"/>
  <c r="F169" i="9"/>
  <c r="G169" i="9"/>
  <c r="E169" i="9"/>
  <c r="D168" i="9"/>
  <c r="F168" i="9"/>
  <c r="G168" i="9"/>
  <c r="E168" i="9"/>
  <c r="D167" i="9"/>
  <c r="F167" i="9"/>
  <c r="G167" i="9"/>
  <c r="E167" i="9"/>
  <c r="D166" i="9"/>
  <c r="F166" i="9"/>
  <c r="G166" i="9"/>
  <c r="E166" i="9"/>
  <c r="D165" i="9"/>
  <c r="F165" i="9"/>
  <c r="G165" i="9"/>
  <c r="E165" i="9"/>
  <c r="D164" i="9"/>
  <c r="F164" i="9"/>
  <c r="G164" i="9"/>
  <c r="E164" i="9"/>
  <c r="D163" i="9"/>
  <c r="F163" i="9"/>
  <c r="G163" i="9"/>
  <c r="E163" i="9"/>
  <c r="D162" i="9"/>
  <c r="F162" i="9"/>
  <c r="G162" i="9"/>
  <c r="E162" i="9"/>
  <c r="D161" i="9"/>
  <c r="F161" i="9"/>
  <c r="G161" i="9"/>
  <c r="E161" i="9"/>
  <c r="D160" i="9"/>
  <c r="F160" i="9"/>
  <c r="G160" i="9"/>
  <c r="E160" i="9"/>
  <c r="D159" i="9"/>
  <c r="F159" i="9"/>
  <c r="G159" i="9"/>
  <c r="E159" i="9"/>
  <c r="D158" i="9"/>
  <c r="F158" i="9"/>
  <c r="G158" i="9"/>
  <c r="E158" i="9"/>
  <c r="D157" i="9"/>
  <c r="F157" i="9"/>
  <c r="G157" i="9"/>
  <c r="E157" i="9"/>
  <c r="D156" i="9"/>
  <c r="F156" i="9"/>
  <c r="G156" i="9"/>
  <c r="E156" i="9"/>
  <c r="D155" i="9"/>
  <c r="F155" i="9"/>
  <c r="G155" i="9"/>
  <c r="E155" i="9"/>
  <c r="D154" i="9"/>
  <c r="F154" i="9"/>
  <c r="G154" i="9"/>
  <c r="E154" i="9"/>
  <c r="D153" i="9"/>
  <c r="F153" i="9"/>
  <c r="G153" i="9"/>
  <c r="E153" i="9"/>
  <c r="D152" i="9"/>
  <c r="F152" i="9"/>
  <c r="G152" i="9"/>
  <c r="E152" i="9"/>
  <c r="D151" i="9"/>
  <c r="F151" i="9"/>
  <c r="G151" i="9"/>
  <c r="E151" i="9"/>
  <c r="D150" i="9"/>
  <c r="F150" i="9"/>
  <c r="G150" i="9"/>
  <c r="E150" i="9"/>
  <c r="D149" i="9"/>
  <c r="F149" i="9"/>
  <c r="G149" i="9"/>
  <c r="E149" i="9"/>
  <c r="D148" i="9"/>
  <c r="F148" i="9"/>
  <c r="G148" i="9"/>
  <c r="E148" i="9"/>
  <c r="D147" i="9"/>
  <c r="F147" i="9"/>
  <c r="G147" i="9"/>
  <c r="E147" i="9"/>
  <c r="D146" i="9"/>
  <c r="F146" i="9"/>
  <c r="G146" i="9"/>
  <c r="E146" i="9"/>
  <c r="D145" i="9"/>
  <c r="F145" i="9"/>
  <c r="G145" i="9"/>
  <c r="E145" i="9"/>
  <c r="D144" i="9"/>
  <c r="F144" i="9"/>
  <c r="G144" i="9"/>
  <c r="E144" i="9"/>
  <c r="D143" i="9"/>
  <c r="F143" i="9"/>
  <c r="G143" i="9"/>
  <c r="E143" i="9"/>
  <c r="D142" i="9"/>
  <c r="F142" i="9"/>
  <c r="G142" i="9"/>
  <c r="E142" i="9"/>
  <c r="D141" i="9"/>
  <c r="F141" i="9"/>
  <c r="G141" i="9"/>
  <c r="E141" i="9"/>
  <c r="D140" i="9"/>
  <c r="F140" i="9"/>
  <c r="G140" i="9"/>
  <c r="E140" i="9"/>
  <c r="D139" i="9"/>
  <c r="F139" i="9"/>
  <c r="G139" i="9"/>
  <c r="E139" i="9"/>
  <c r="D138" i="9"/>
  <c r="F138" i="9"/>
  <c r="G138" i="9"/>
  <c r="E138" i="9"/>
  <c r="D137" i="9"/>
  <c r="F137" i="9"/>
  <c r="G137" i="9"/>
  <c r="E137" i="9"/>
  <c r="D136" i="9"/>
  <c r="F136" i="9"/>
  <c r="G136" i="9"/>
  <c r="E136" i="9"/>
  <c r="D135" i="9"/>
  <c r="F135" i="9"/>
  <c r="G135" i="9"/>
  <c r="E135" i="9"/>
  <c r="D134" i="9"/>
  <c r="F134" i="9"/>
  <c r="G134" i="9"/>
  <c r="E134" i="9"/>
  <c r="D133" i="9"/>
  <c r="F133" i="9"/>
  <c r="G133" i="9"/>
  <c r="E133" i="9"/>
  <c r="D132" i="9"/>
  <c r="F132" i="9"/>
  <c r="G132" i="9"/>
  <c r="E132" i="9"/>
  <c r="D131" i="9"/>
  <c r="F131" i="9"/>
  <c r="G131" i="9"/>
  <c r="E131" i="9"/>
  <c r="D130" i="9"/>
  <c r="F130" i="9"/>
  <c r="G130" i="9"/>
  <c r="E130" i="9"/>
  <c r="D129" i="9"/>
  <c r="F129" i="9"/>
  <c r="G129" i="9"/>
  <c r="E129" i="9"/>
  <c r="D128" i="9"/>
  <c r="F128" i="9"/>
  <c r="G128" i="9"/>
  <c r="E128" i="9"/>
  <c r="D127" i="9"/>
  <c r="F127" i="9"/>
  <c r="G127" i="9"/>
  <c r="E127" i="9"/>
  <c r="D126" i="9"/>
  <c r="F126" i="9"/>
  <c r="G126" i="9"/>
  <c r="E126" i="9"/>
  <c r="D125" i="9"/>
  <c r="F125" i="9"/>
  <c r="G125" i="9"/>
  <c r="E125" i="9"/>
  <c r="D124" i="9"/>
  <c r="F124" i="9"/>
  <c r="G124" i="9"/>
  <c r="E124" i="9"/>
  <c r="D123" i="9"/>
  <c r="F123" i="9"/>
  <c r="G123" i="9"/>
  <c r="E123" i="9"/>
  <c r="D122" i="9"/>
  <c r="F122" i="9"/>
  <c r="G122" i="9"/>
  <c r="E122" i="9"/>
  <c r="D121" i="9"/>
  <c r="F121" i="9"/>
  <c r="G121" i="9"/>
  <c r="E121" i="9"/>
  <c r="D120" i="9"/>
  <c r="F120" i="9"/>
  <c r="G120" i="9"/>
  <c r="E120" i="9"/>
  <c r="D119" i="9"/>
  <c r="F119" i="9"/>
  <c r="G119" i="9"/>
  <c r="E119" i="9"/>
  <c r="D118" i="9"/>
  <c r="F118" i="9"/>
  <c r="G118" i="9"/>
  <c r="E118" i="9"/>
  <c r="D117" i="9"/>
  <c r="F117" i="9"/>
  <c r="G117" i="9"/>
  <c r="E117" i="9"/>
  <c r="D116" i="9"/>
  <c r="F116" i="9"/>
  <c r="G116" i="9"/>
  <c r="E116" i="9"/>
  <c r="D115" i="9"/>
  <c r="F115" i="9"/>
  <c r="G115" i="9"/>
  <c r="E115" i="9"/>
  <c r="D114" i="9"/>
  <c r="F114" i="9"/>
  <c r="G114" i="9"/>
  <c r="E114" i="9"/>
  <c r="D113" i="9"/>
  <c r="F113" i="9"/>
  <c r="G113" i="9"/>
  <c r="E113" i="9"/>
  <c r="D112" i="9"/>
  <c r="F112" i="9"/>
  <c r="G112" i="9"/>
  <c r="E112" i="9"/>
  <c r="D111" i="9"/>
  <c r="F111" i="9"/>
  <c r="G111" i="9"/>
  <c r="E111" i="9"/>
  <c r="D110" i="9"/>
  <c r="F110" i="9"/>
  <c r="G110" i="9"/>
  <c r="E110" i="9"/>
  <c r="D109" i="9"/>
  <c r="F109" i="9"/>
  <c r="G109" i="9"/>
  <c r="E109" i="9"/>
  <c r="D108" i="9"/>
  <c r="F108" i="9"/>
  <c r="G108" i="9"/>
  <c r="E108" i="9"/>
  <c r="D107" i="9"/>
  <c r="F107" i="9"/>
  <c r="G107" i="9"/>
  <c r="E107" i="9"/>
  <c r="D106" i="9"/>
  <c r="F106" i="9"/>
  <c r="G106" i="9"/>
  <c r="E106" i="9"/>
  <c r="D105" i="9"/>
  <c r="F105" i="9"/>
  <c r="G105" i="9"/>
  <c r="E105" i="9"/>
  <c r="D104" i="9"/>
  <c r="F104" i="9"/>
  <c r="G104" i="9"/>
  <c r="E104" i="9"/>
  <c r="D103" i="9"/>
  <c r="F103" i="9"/>
  <c r="G103" i="9"/>
  <c r="E103" i="9"/>
  <c r="D102" i="9"/>
  <c r="F102" i="9"/>
  <c r="G102" i="9"/>
  <c r="E102" i="9"/>
  <c r="D101" i="9"/>
  <c r="F101" i="9"/>
  <c r="G101" i="9"/>
  <c r="E101" i="9"/>
  <c r="D100" i="9"/>
  <c r="F100" i="9"/>
  <c r="G100" i="9"/>
  <c r="E100" i="9"/>
  <c r="D99" i="9"/>
  <c r="F99" i="9"/>
  <c r="G99" i="9"/>
  <c r="E99" i="9"/>
  <c r="D98" i="9"/>
  <c r="F98" i="9"/>
  <c r="G98" i="9"/>
  <c r="E98" i="9"/>
  <c r="D97" i="9"/>
  <c r="F97" i="9"/>
  <c r="G97" i="9"/>
  <c r="E97" i="9"/>
  <c r="D96" i="9"/>
  <c r="F96" i="9"/>
  <c r="G96" i="9"/>
  <c r="E96" i="9"/>
  <c r="D95" i="9"/>
  <c r="F95" i="9"/>
  <c r="G95" i="9"/>
  <c r="E95" i="9"/>
  <c r="D94" i="9"/>
  <c r="F94" i="9"/>
  <c r="G94" i="9"/>
  <c r="E94" i="9"/>
  <c r="D93" i="9"/>
  <c r="F93" i="9"/>
  <c r="G93" i="9"/>
  <c r="E93" i="9"/>
  <c r="D92" i="9"/>
  <c r="F92" i="9"/>
  <c r="G92" i="9"/>
  <c r="E92" i="9"/>
  <c r="D91" i="9"/>
  <c r="F91" i="9"/>
  <c r="G91" i="9"/>
  <c r="E91" i="9"/>
  <c r="D90" i="9"/>
  <c r="F90" i="9"/>
  <c r="G90" i="9"/>
  <c r="E90" i="9"/>
  <c r="D89" i="9"/>
  <c r="F89" i="9"/>
  <c r="G89" i="9"/>
  <c r="E89" i="9"/>
  <c r="D88" i="9"/>
  <c r="F88" i="9"/>
  <c r="G88" i="9"/>
  <c r="E88" i="9"/>
  <c r="D87" i="9"/>
  <c r="F87" i="9"/>
  <c r="G87" i="9"/>
  <c r="E87" i="9"/>
  <c r="D86" i="9"/>
  <c r="F86" i="9"/>
  <c r="G86" i="9"/>
  <c r="E86" i="9"/>
  <c r="D85" i="9"/>
  <c r="F85" i="9"/>
  <c r="G85" i="9"/>
  <c r="E85" i="9"/>
  <c r="D84" i="9"/>
  <c r="F84" i="9"/>
  <c r="G84" i="9"/>
  <c r="E84" i="9"/>
  <c r="D83" i="9"/>
  <c r="F83" i="9"/>
  <c r="G83" i="9"/>
  <c r="E83" i="9"/>
  <c r="D82" i="9"/>
  <c r="F82" i="9"/>
  <c r="G82" i="9"/>
  <c r="E82" i="9"/>
  <c r="D81" i="9"/>
  <c r="F81" i="9"/>
  <c r="G81" i="9"/>
  <c r="E81" i="9"/>
  <c r="D80" i="9"/>
  <c r="F80" i="9"/>
  <c r="G80" i="9"/>
  <c r="E80" i="9"/>
  <c r="D79" i="9"/>
  <c r="F79" i="9"/>
  <c r="G79" i="9"/>
  <c r="E79" i="9"/>
  <c r="D78" i="9"/>
  <c r="F78" i="9"/>
  <c r="G78" i="9"/>
  <c r="E78" i="9"/>
  <c r="D77" i="9"/>
  <c r="F77" i="9"/>
  <c r="G77" i="9"/>
  <c r="E77" i="9"/>
  <c r="D76" i="9"/>
  <c r="F76" i="9"/>
  <c r="G76" i="9"/>
  <c r="E76" i="9"/>
  <c r="D75" i="9"/>
  <c r="F75" i="9"/>
  <c r="G75" i="9"/>
  <c r="E75" i="9"/>
  <c r="D74" i="9"/>
  <c r="F74" i="9"/>
  <c r="G74" i="9"/>
  <c r="E74" i="9"/>
  <c r="D73" i="9"/>
  <c r="F73" i="9"/>
  <c r="G73" i="9"/>
  <c r="E73" i="9"/>
  <c r="D72" i="9"/>
  <c r="F72" i="9"/>
  <c r="G72" i="9"/>
  <c r="E72" i="9"/>
  <c r="D71" i="9"/>
  <c r="F71" i="9"/>
  <c r="G71" i="9"/>
  <c r="E71" i="9"/>
  <c r="D70" i="9"/>
  <c r="F70" i="9"/>
  <c r="G70" i="9"/>
  <c r="E70" i="9"/>
  <c r="D69" i="9"/>
  <c r="F69" i="9"/>
  <c r="G69" i="9"/>
  <c r="E69" i="9"/>
  <c r="D68" i="9"/>
  <c r="F68" i="9"/>
  <c r="G68" i="9"/>
  <c r="E68" i="9"/>
  <c r="D67" i="9"/>
  <c r="F67" i="9"/>
  <c r="G67" i="9"/>
  <c r="E67" i="9"/>
  <c r="D66" i="9"/>
  <c r="F66" i="9"/>
  <c r="G66" i="9"/>
  <c r="E66" i="9"/>
  <c r="D65" i="9"/>
  <c r="F65" i="9"/>
  <c r="G65" i="9"/>
  <c r="E65" i="9"/>
  <c r="D64" i="9"/>
  <c r="F64" i="9"/>
  <c r="G64" i="9"/>
  <c r="E64" i="9"/>
  <c r="D63" i="9"/>
  <c r="F63" i="9"/>
  <c r="G63" i="9"/>
  <c r="E63" i="9"/>
  <c r="D62" i="9"/>
  <c r="F62" i="9"/>
  <c r="G62" i="9"/>
  <c r="E62" i="9"/>
  <c r="D61" i="9"/>
  <c r="F61" i="9"/>
  <c r="G61" i="9"/>
  <c r="E61" i="9"/>
  <c r="D60" i="9"/>
  <c r="F60" i="9"/>
  <c r="G60" i="9"/>
  <c r="E60" i="9"/>
  <c r="D59" i="9"/>
  <c r="F59" i="9"/>
  <c r="G59" i="9"/>
  <c r="E59" i="9"/>
  <c r="D58" i="9"/>
  <c r="F58" i="9"/>
  <c r="G58" i="9"/>
  <c r="E58" i="9"/>
  <c r="D57" i="9"/>
  <c r="F57" i="9"/>
  <c r="G57" i="9"/>
  <c r="E57" i="9"/>
  <c r="D56" i="9"/>
  <c r="F56" i="9"/>
  <c r="G56" i="9"/>
  <c r="E56" i="9"/>
  <c r="D55" i="9"/>
  <c r="F55" i="9"/>
  <c r="G55" i="9"/>
  <c r="E55" i="9"/>
  <c r="D54" i="9"/>
  <c r="F54" i="9"/>
  <c r="G54" i="9"/>
  <c r="E54" i="9"/>
  <c r="D53" i="9"/>
  <c r="F53" i="9"/>
  <c r="G53" i="9"/>
  <c r="E53" i="9"/>
  <c r="D52" i="9"/>
  <c r="F52" i="9"/>
  <c r="G52" i="9"/>
  <c r="E52" i="9"/>
  <c r="D51" i="9"/>
  <c r="F51" i="9"/>
  <c r="G51" i="9"/>
  <c r="E51" i="9"/>
  <c r="D50" i="9"/>
  <c r="F50" i="9"/>
  <c r="G50" i="9"/>
  <c r="E50" i="9"/>
  <c r="D49" i="9"/>
  <c r="F49" i="9"/>
  <c r="G49" i="9"/>
  <c r="E49" i="9"/>
  <c r="D48" i="9"/>
  <c r="F48" i="9"/>
  <c r="G48" i="9"/>
  <c r="E48" i="9"/>
  <c r="D47" i="9"/>
  <c r="F47" i="9"/>
  <c r="G47" i="9"/>
  <c r="E47" i="9"/>
  <c r="D46" i="9"/>
  <c r="F46" i="9"/>
  <c r="G46" i="9"/>
  <c r="E46" i="9"/>
  <c r="D45" i="9"/>
  <c r="F45" i="9"/>
  <c r="G45" i="9"/>
  <c r="E45" i="9"/>
  <c r="D44" i="9"/>
  <c r="F44" i="9"/>
  <c r="G44" i="9"/>
  <c r="E44" i="9"/>
  <c r="D43" i="9"/>
  <c r="F43" i="9"/>
  <c r="G43" i="9"/>
  <c r="E43" i="9"/>
  <c r="D42" i="9"/>
  <c r="F42" i="9"/>
  <c r="G42" i="9"/>
  <c r="E42" i="9"/>
  <c r="D41" i="9"/>
  <c r="F41" i="9"/>
  <c r="G41" i="9"/>
  <c r="E41" i="9"/>
  <c r="D40" i="9"/>
  <c r="F40" i="9"/>
  <c r="G40" i="9"/>
  <c r="E40" i="9"/>
  <c r="D39" i="9"/>
  <c r="F39" i="9"/>
  <c r="G39" i="9"/>
  <c r="E39" i="9"/>
  <c r="D38" i="9"/>
  <c r="F38" i="9"/>
  <c r="G38" i="9"/>
  <c r="E38" i="9"/>
  <c r="D37" i="9"/>
  <c r="F37" i="9"/>
  <c r="G37" i="9"/>
  <c r="E37" i="9"/>
  <c r="D36" i="9"/>
  <c r="F36" i="9"/>
  <c r="G36" i="9"/>
  <c r="E36" i="9"/>
  <c r="D35" i="9"/>
  <c r="F35" i="9"/>
  <c r="G35" i="9"/>
  <c r="E35" i="9"/>
  <c r="D34" i="9"/>
  <c r="F34" i="9"/>
  <c r="G34" i="9"/>
  <c r="E34" i="9"/>
  <c r="D33" i="9"/>
  <c r="F33" i="9"/>
  <c r="G33" i="9"/>
  <c r="E33" i="9"/>
  <c r="D32" i="9"/>
  <c r="F32" i="9"/>
  <c r="G32" i="9"/>
  <c r="E32" i="9"/>
  <c r="D31" i="9"/>
  <c r="F31" i="9"/>
  <c r="G31" i="9"/>
  <c r="E31" i="9"/>
  <c r="D30" i="9"/>
  <c r="F30" i="9"/>
  <c r="G30" i="9"/>
  <c r="E30" i="9"/>
  <c r="D29" i="9"/>
  <c r="F29" i="9"/>
  <c r="G29" i="9"/>
  <c r="E29" i="9"/>
  <c r="D28" i="9"/>
  <c r="F28" i="9"/>
  <c r="G28" i="9"/>
  <c r="E28" i="9"/>
  <c r="D27" i="9"/>
  <c r="F27" i="9"/>
  <c r="G27" i="9"/>
  <c r="E27" i="9"/>
  <c r="D26" i="9"/>
  <c r="F26" i="9"/>
  <c r="G26" i="9"/>
  <c r="E26" i="9"/>
  <c r="D25" i="9"/>
  <c r="F25" i="9"/>
  <c r="G25" i="9"/>
  <c r="E25" i="9"/>
  <c r="D24" i="9"/>
  <c r="F24" i="9"/>
  <c r="G24" i="9"/>
  <c r="E24" i="9"/>
  <c r="D23" i="9"/>
  <c r="F23" i="9"/>
  <c r="G23" i="9"/>
  <c r="E23" i="9"/>
  <c r="D22" i="9"/>
  <c r="F22" i="9"/>
  <c r="G22" i="9"/>
  <c r="E22" i="9"/>
  <c r="D21" i="9"/>
  <c r="F21" i="9"/>
  <c r="G21" i="9"/>
  <c r="E21" i="9"/>
  <c r="D20" i="9"/>
  <c r="F20" i="9"/>
  <c r="G20" i="9"/>
  <c r="E20" i="9"/>
  <c r="D19" i="9"/>
  <c r="F19" i="9"/>
  <c r="G19" i="9"/>
  <c r="E19" i="9"/>
  <c r="D18" i="9"/>
  <c r="F18" i="9"/>
  <c r="G18" i="9"/>
  <c r="E18" i="9"/>
  <c r="D17" i="9"/>
  <c r="F17" i="9"/>
  <c r="G17" i="9"/>
  <c r="E17" i="9"/>
  <c r="D16" i="9"/>
  <c r="F16" i="9"/>
  <c r="G16" i="9"/>
  <c r="E16" i="9"/>
  <c r="D15" i="9"/>
  <c r="F15" i="9"/>
  <c r="G15" i="9"/>
  <c r="E15" i="9"/>
  <c r="D14" i="9"/>
  <c r="F14" i="9"/>
  <c r="G14" i="9"/>
  <c r="E14" i="9"/>
  <c r="D13" i="9"/>
  <c r="F13" i="9"/>
  <c r="G13" i="9"/>
  <c r="E13" i="9"/>
  <c r="D12" i="9"/>
  <c r="F12" i="9"/>
  <c r="G12" i="9"/>
  <c r="E12" i="9"/>
  <c r="D11" i="9"/>
  <c r="F11" i="9"/>
  <c r="G11" i="9"/>
  <c r="E11" i="9"/>
  <c r="D10" i="9"/>
  <c r="F10" i="9"/>
  <c r="G10" i="9"/>
  <c r="E10" i="9"/>
  <c r="D9" i="9"/>
  <c r="F9" i="9"/>
  <c r="G9" i="9"/>
  <c r="E9" i="9"/>
  <c r="D8" i="9"/>
  <c r="F8" i="9"/>
  <c r="G8" i="9"/>
  <c r="E8" i="9"/>
  <c r="D7" i="9"/>
  <c r="F7" i="9"/>
  <c r="G7" i="9"/>
  <c r="E7" i="9"/>
  <c r="D6" i="9"/>
  <c r="F6" i="9"/>
  <c r="G6" i="9"/>
  <c r="E6" i="9"/>
  <c r="D5" i="9"/>
  <c r="F5" i="9"/>
  <c r="G5" i="9"/>
  <c r="E5" i="9"/>
  <c r="D4" i="9"/>
  <c r="F4" i="9"/>
  <c r="G4" i="9"/>
  <c r="E4" i="9"/>
  <c r="D3" i="9"/>
  <c r="F3" i="9"/>
  <c r="G3" i="9"/>
  <c r="E3" i="9"/>
  <c r="D2" i="9"/>
  <c r="F2" i="9"/>
  <c r="G2" i="9"/>
  <c r="E2" i="9"/>
  <c r="AZ294" i="1"/>
  <c r="BA294" i="1"/>
  <c r="BB294" i="1"/>
  <c r="CH294" i="1"/>
  <c r="CI294" i="1"/>
  <c r="CJ294" i="1"/>
  <c r="CK294" i="1"/>
  <c r="CL294" i="1"/>
  <c r="CM294" i="1"/>
  <c r="CN294" i="1"/>
  <c r="CO294" i="1"/>
  <c r="CP294" i="1"/>
  <c r="CQ294" i="1"/>
  <c r="CR294" i="1"/>
  <c r="CS294" i="1"/>
  <c r="BV294" i="1"/>
  <c r="BW294" i="1"/>
  <c r="BX294" i="1"/>
  <c r="BY294" i="1"/>
  <c r="BZ294" i="1"/>
  <c r="CA294" i="1"/>
  <c r="CB294" i="1"/>
  <c r="CC294" i="1"/>
  <c r="CD294" i="1"/>
  <c r="CE294" i="1"/>
  <c r="CF294" i="1"/>
  <c r="CG294" i="1"/>
  <c r="BC294" i="1"/>
  <c r="CT294" i="1"/>
  <c r="AZ293" i="1"/>
  <c r="BA293" i="1"/>
  <c r="BB293" i="1"/>
  <c r="CH293" i="1"/>
  <c r="CI293" i="1"/>
  <c r="CJ293" i="1"/>
  <c r="CK293" i="1"/>
  <c r="CL293" i="1"/>
  <c r="CM293" i="1"/>
  <c r="CN293" i="1"/>
  <c r="CO293" i="1"/>
  <c r="CP293" i="1"/>
  <c r="CQ293" i="1"/>
  <c r="CR293" i="1"/>
  <c r="CS293" i="1"/>
  <c r="BV293" i="1"/>
  <c r="BW293" i="1"/>
  <c r="BX293" i="1"/>
  <c r="BY293" i="1"/>
  <c r="BZ293" i="1"/>
  <c r="CA293" i="1"/>
  <c r="CB293" i="1"/>
  <c r="CC293" i="1"/>
  <c r="CD293" i="1"/>
  <c r="CE293" i="1"/>
  <c r="CF293" i="1"/>
  <c r="CG293" i="1"/>
  <c r="BC293" i="1"/>
  <c r="CT293" i="1"/>
  <c r="AZ297" i="1"/>
  <c r="BA297" i="1"/>
  <c r="BB297" i="1"/>
  <c r="CH297" i="1"/>
  <c r="CI297" i="1"/>
  <c r="CJ297" i="1"/>
  <c r="CK297" i="1"/>
  <c r="CL297" i="1"/>
  <c r="CM297" i="1"/>
  <c r="CN297" i="1"/>
  <c r="CO297" i="1"/>
  <c r="CP297" i="1"/>
  <c r="CQ297" i="1"/>
  <c r="CR297" i="1"/>
  <c r="CS297" i="1"/>
  <c r="BV297" i="1"/>
  <c r="BW297" i="1"/>
  <c r="BX297" i="1"/>
  <c r="BY297" i="1"/>
  <c r="BZ297" i="1"/>
  <c r="CA297" i="1"/>
  <c r="CB297" i="1"/>
  <c r="CC297" i="1"/>
  <c r="CD297" i="1"/>
  <c r="CE297" i="1"/>
  <c r="CF297" i="1"/>
  <c r="CG297" i="1"/>
  <c r="BC297" i="1"/>
  <c r="CT297" i="1"/>
  <c r="E48" i="2"/>
  <c r="F48" i="2"/>
  <c r="G48" i="2"/>
  <c r="H48" i="2"/>
  <c r="K48" i="2"/>
  <c r="R48" i="2"/>
  <c r="S48" i="2"/>
  <c r="W48" i="2"/>
  <c r="AA48" i="2"/>
  <c r="AB48" i="2"/>
  <c r="AC48" i="2"/>
  <c r="AD48" i="2"/>
  <c r="AE48" i="2"/>
  <c r="AF48" i="2"/>
  <c r="AG48" i="2"/>
  <c r="AH48" i="2"/>
  <c r="AI48" i="2"/>
  <c r="AJ48" i="2"/>
  <c r="AK48" i="2"/>
  <c r="AL48" i="2"/>
  <c r="AM48" i="2"/>
  <c r="AZ296" i="1"/>
  <c r="BA296" i="1"/>
  <c r="BB296" i="1"/>
  <c r="CH296" i="1"/>
  <c r="CI296" i="1"/>
  <c r="CJ296" i="1"/>
  <c r="CK296" i="1"/>
  <c r="CL296" i="1"/>
  <c r="CM296" i="1"/>
  <c r="CN296" i="1"/>
  <c r="CO296" i="1"/>
  <c r="CP296" i="1"/>
  <c r="CQ296" i="1"/>
  <c r="CR296" i="1"/>
  <c r="CS296" i="1"/>
  <c r="BV296" i="1"/>
  <c r="BW296" i="1"/>
  <c r="BX296" i="1"/>
  <c r="BY296" i="1"/>
  <c r="BZ296" i="1"/>
  <c r="CA296" i="1"/>
  <c r="CB296" i="1"/>
  <c r="CC296" i="1"/>
  <c r="CD296" i="1"/>
  <c r="CE296" i="1"/>
  <c r="CF296" i="1"/>
  <c r="CG296" i="1"/>
  <c r="BC296" i="1"/>
  <c r="CT296" i="1"/>
  <c r="AZ298" i="1"/>
  <c r="BA298" i="1"/>
  <c r="BB298" i="1"/>
  <c r="CH298" i="1"/>
  <c r="CI298" i="1"/>
  <c r="CJ298" i="1"/>
  <c r="CK298" i="1"/>
  <c r="CL298" i="1"/>
  <c r="CM298" i="1"/>
  <c r="CN298" i="1"/>
  <c r="CO298" i="1"/>
  <c r="CP298" i="1"/>
  <c r="CQ298" i="1"/>
  <c r="CR298" i="1"/>
  <c r="CS298" i="1"/>
  <c r="BV298" i="1"/>
  <c r="BW298" i="1"/>
  <c r="BX298" i="1"/>
  <c r="BY298" i="1"/>
  <c r="BZ298" i="1"/>
  <c r="CA298" i="1"/>
  <c r="CB298" i="1"/>
  <c r="CC298" i="1"/>
  <c r="CD298" i="1"/>
  <c r="CE298" i="1"/>
  <c r="CF298" i="1"/>
  <c r="CG298" i="1"/>
  <c r="BC298" i="1"/>
  <c r="CT298" i="1"/>
  <c r="E45" i="2"/>
  <c r="G45" i="2"/>
  <c r="H45" i="2"/>
  <c r="K45" i="2"/>
  <c r="R45" i="2"/>
  <c r="S45" i="2"/>
  <c r="W45" i="2"/>
  <c r="AA45" i="2"/>
  <c r="AB45" i="2"/>
  <c r="AC45" i="2"/>
  <c r="AD45" i="2"/>
  <c r="AE45" i="2"/>
  <c r="AF45" i="2"/>
  <c r="AG45" i="2"/>
  <c r="AH45" i="2"/>
  <c r="AI45" i="2"/>
  <c r="AJ45" i="2"/>
  <c r="AK45" i="2"/>
  <c r="AL45" i="2"/>
  <c r="AM45" i="2"/>
  <c r="AZ280" i="1"/>
  <c r="BA280" i="1"/>
  <c r="BB280" i="1"/>
  <c r="CH280" i="1"/>
  <c r="CI280" i="1"/>
  <c r="CJ280" i="1"/>
  <c r="CK280" i="1"/>
  <c r="CL280" i="1"/>
  <c r="CM280" i="1"/>
  <c r="CN280" i="1"/>
  <c r="CO280" i="1"/>
  <c r="CP280" i="1"/>
  <c r="CQ280" i="1"/>
  <c r="CR280" i="1"/>
  <c r="CS280" i="1"/>
  <c r="BV280" i="1"/>
  <c r="BW280" i="1"/>
  <c r="BX280" i="1"/>
  <c r="BY280" i="1"/>
  <c r="BZ280" i="1"/>
  <c r="CA280" i="1"/>
  <c r="CB280" i="1"/>
  <c r="CC280" i="1"/>
  <c r="CD280" i="1"/>
  <c r="CE280" i="1"/>
  <c r="CF280" i="1"/>
  <c r="CG280" i="1"/>
  <c r="BC280" i="1"/>
  <c r="CT280" i="1"/>
  <c r="AZ281" i="1"/>
  <c r="BA281" i="1"/>
  <c r="BB281" i="1"/>
  <c r="CH281" i="1"/>
  <c r="CI281" i="1"/>
  <c r="CJ281" i="1"/>
  <c r="CK281" i="1"/>
  <c r="CL281" i="1"/>
  <c r="CM281" i="1"/>
  <c r="CN281" i="1"/>
  <c r="CO281" i="1"/>
  <c r="CP281" i="1"/>
  <c r="CQ281" i="1"/>
  <c r="CR281" i="1"/>
  <c r="CS281" i="1"/>
  <c r="BV281" i="1"/>
  <c r="BW281" i="1"/>
  <c r="BX281" i="1"/>
  <c r="BY281" i="1"/>
  <c r="BZ281" i="1"/>
  <c r="CA281" i="1"/>
  <c r="CB281" i="1"/>
  <c r="CC281" i="1"/>
  <c r="CD281" i="1"/>
  <c r="CE281" i="1"/>
  <c r="CF281" i="1"/>
  <c r="CG281" i="1"/>
  <c r="BC281" i="1"/>
  <c r="CT281" i="1"/>
  <c r="AZ218" i="1"/>
  <c r="BA218" i="1"/>
  <c r="BB218" i="1"/>
  <c r="CH218" i="1"/>
  <c r="CI218" i="1"/>
  <c r="CJ218" i="1"/>
  <c r="CK218" i="1"/>
  <c r="CL218" i="1"/>
  <c r="CM218" i="1"/>
  <c r="CN218" i="1"/>
  <c r="CO218" i="1"/>
  <c r="CP218" i="1"/>
  <c r="CQ218" i="1"/>
  <c r="CR218" i="1"/>
  <c r="CS218" i="1"/>
  <c r="BV218" i="1"/>
  <c r="BW218" i="1"/>
  <c r="BX218" i="1"/>
  <c r="BY218" i="1"/>
  <c r="BZ218" i="1"/>
  <c r="CA218" i="1"/>
  <c r="CB218" i="1"/>
  <c r="CC218" i="1"/>
  <c r="CD218" i="1"/>
  <c r="CE218" i="1"/>
  <c r="CF218" i="1"/>
  <c r="CG218" i="1"/>
  <c r="BC218" i="1"/>
  <c r="CT218" i="1"/>
  <c r="AZ217" i="1"/>
  <c r="BA217" i="1"/>
  <c r="BB217" i="1"/>
  <c r="CH217" i="1"/>
  <c r="CI217" i="1"/>
  <c r="CJ217" i="1"/>
  <c r="CK217" i="1"/>
  <c r="CL217" i="1"/>
  <c r="CM217" i="1"/>
  <c r="CN217" i="1"/>
  <c r="CO217" i="1"/>
  <c r="CP217" i="1"/>
  <c r="CQ217" i="1"/>
  <c r="CR217" i="1"/>
  <c r="CS217" i="1"/>
  <c r="BV217" i="1"/>
  <c r="BW217" i="1"/>
  <c r="BX217" i="1"/>
  <c r="BY217" i="1"/>
  <c r="BZ217" i="1"/>
  <c r="CA217" i="1"/>
  <c r="CB217" i="1"/>
  <c r="CC217" i="1"/>
  <c r="CD217" i="1"/>
  <c r="CE217" i="1"/>
  <c r="CF217" i="1"/>
  <c r="CG217" i="1"/>
  <c r="BC217" i="1"/>
  <c r="CT217" i="1"/>
  <c r="AZ255" i="1"/>
  <c r="BA255" i="1"/>
  <c r="BB255" i="1"/>
  <c r="CH255" i="1"/>
  <c r="CI255" i="1"/>
  <c r="CJ255" i="1"/>
  <c r="CK255" i="1"/>
  <c r="CL255" i="1"/>
  <c r="CM255" i="1"/>
  <c r="CN255" i="1"/>
  <c r="CO255" i="1"/>
  <c r="CP255" i="1"/>
  <c r="CQ255" i="1"/>
  <c r="CR255" i="1"/>
  <c r="CS255" i="1"/>
  <c r="BV255" i="1"/>
  <c r="BW255" i="1"/>
  <c r="BX255" i="1"/>
  <c r="BY255" i="1"/>
  <c r="BZ255" i="1"/>
  <c r="CA255" i="1"/>
  <c r="CB255" i="1"/>
  <c r="CC255" i="1"/>
  <c r="CD255" i="1"/>
  <c r="CE255" i="1"/>
  <c r="CF255" i="1"/>
  <c r="CG255" i="1"/>
  <c r="BC255" i="1"/>
  <c r="CT255" i="1"/>
  <c r="G44" i="2"/>
  <c r="K44" i="2"/>
  <c r="T44" i="2"/>
  <c r="U44" i="2"/>
  <c r="V44" i="2"/>
  <c r="W44" i="2"/>
  <c r="AA44" i="2"/>
  <c r="AB44" i="2"/>
  <c r="AC44" i="2"/>
  <c r="AD44" i="2"/>
  <c r="AE44" i="2"/>
  <c r="AF44" i="2"/>
  <c r="AG44" i="2"/>
  <c r="AH44" i="2"/>
  <c r="AI44" i="2"/>
  <c r="AJ44" i="2"/>
  <c r="AK44" i="2"/>
  <c r="AL44" i="2"/>
  <c r="AM44" i="2"/>
  <c r="AZ254" i="1"/>
  <c r="BA254" i="1"/>
  <c r="BB254" i="1"/>
  <c r="CH254" i="1"/>
  <c r="CI254" i="1"/>
  <c r="CJ254" i="1"/>
  <c r="CK254" i="1"/>
  <c r="CL254" i="1"/>
  <c r="CM254" i="1"/>
  <c r="CN254" i="1"/>
  <c r="CO254" i="1"/>
  <c r="CP254" i="1"/>
  <c r="CQ254" i="1"/>
  <c r="CR254" i="1"/>
  <c r="CS254" i="1"/>
  <c r="BV254" i="1"/>
  <c r="BW254" i="1"/>
  <c r="BX254" i="1"/>
  <c r="BY254" i="1"/>
  <c r="BZ254" i="1"/>
  <c r="CA254" i="1"/>
  <c r="CB254" i="1"/>
  <c r="CC254" i="1"/>
  <c r="CD254" i="1"/>
  <c r="CE254" i="1"/>
  <c r="CF254" i="1"/>
  <c r="CG254" i="1"/>
  <c r="BC254" i="1"/>
  <c r="CT254" i="1"/>
  <c r="AZ252" i="1"/>
  <c r="BA252" i="1"/>
  <c r="BB252" i="1"/>
  <c r="CH252" i="1"/>
  <c r="CI252" i="1"/>
  <c r="CJ252" i="1"/>
  <c r="CK252" i="1"/>
  <c r="CL252" i="1"/>
  <c r="CM252" i="1"/>
  <c r="CN252" i="1"/>
  <c r="CO252" i="1"/>
  <c r="CP252" i="1"/>
  <c r="CQ252" i="1"/>
  <c r="CR252" i="1"/>
  <c r="CS252" i="1"/>
  <c r="BV252" i="1"/>
  <c r="BW252" i="1"/>
  <c r="BX252" i="1"/>
  <c r="BY252" i="1"/>
  <c r="BZ252" i="1"/>
  <c r="CA252" i="1"/>
  <c r="CB252" i="1"/>
  <c r="CC252" i="1"/>
  <c r="CD252" i="1"/>
  <c r="CE252" i="1"/>
  <c r="CF252" i="1"/>
  <c r="CG252" i="1"/>
  <c r="BC252" i="1"/>
  <c r="CT252" i="1"/>
  <c r="AZ253" i="1"/>
  <c r="BA253" i="1"/>
  <c r="BB253" i="1"/>
  <c r="CH253" i="1"/>
  <c r="CI253" i="1"/>
  <c r="CJ253" i="1"/>
  <c r="CK253" i="1"/>
  <c r="CL253" i="1"/>
  <c r="CM253" i="1"/>
  <c r="CN253" i="1"/>
  <c r="CO253" i="1"/>
  <c r="CP253" i="1"/>
  <c r="CQ253" i="1"/>
  <c r="CR253" i="1"/>
  <c r="CS253" i="1"/>
  <c r="BV253" i="1"/>
  <c r="BW253" i="1"/>
  <c r="BX253" i="1"/>
  <c r="BY253" i="1"/>
  <c r="BZ253" i="1"/>
  <c r="CA253" i="1"/>
  <c r="CB253" i="1"/>
  <c r="CC253" i="1"/>
  <c r="CD253" i="1"/>
  <c r="CE253" i="1"/>
  <c r="CF253" i="1"/>
  <c r="CG253" i="1"/>
  <c r="BC253" i="1"/>
  <c r="CT253" i="1"/>
  <c r="AZ125" i="1"/>
  <c r="BA125" i="1"/>
  <c r="BB125" i="1"/>
  <c r="CH125" i="1"/>
  <c r="CI125" i="1"/>
  <c r="CJ125" i="1"/>
  <c r="CK125" i="1"/>
  <c r="CL125" i="1"/>
  <c r="CM125" i="1"/>
  <c r="CN125" i="1"/>
  <c r="CO125" i="1"/>
  <c r="CP125" i="1"/>
  <c r="CQ125" i="1"/>
  <c r="CR125" i="1"/>
  <c r="CS125" i="1"/>
  <c r="BV125" i="1"/>
  <c r="BW125" i="1"/>
  <c r="BX125" i="1"/>
  <c r="BY125" i="1"/>
  <c r="BZ125" i="1"/>
  <c r="CA125" i="1"/>
  <c r="CB125" i="1"/>
  <c r="CC125" i="1"/>
  <c r="CD125" i="1"/>
  <c r="CE125" i="1"/>
  <c r="CF125" i="1"/>
  <c r="CG125" i="1"/>
  <c r="BC125" i="1"/>
  <c r="CT125" i="1"/>
  <c r="AZ124" i="1"/>
  <c r="BA124" i="1"/>
  <c r="BB124" i="1"/>
  <c r="CH124" i="1"/>
  <c r="CI124" i="1"/>
  <c r="CJ124" i="1"/>
  <c r="CK124" i="1"/>
  <c r="CL124" i="1"/>
  <c r="CM124" i="1"/>
  <c r="CN124" i="1"/>
  <c r="CO124" i="1"/>
  <c r="CP124" i="1"/>
  <c r="CQ124" i="1"/>
  <c r="CR124" i="1"/>
  <c r="CS124" i="1"/>
  <c r="BV124" i="1"/>
  <c r="BW124" i="1"/>
  <c r="BX124" i="1"/>
  <c r="BY124" i="1"/>
  <c r="BZ124" i="1"/>
  <c r="CA124" i="1"/>
  <c r="CB124" i="1"/>
  <c r="CC124" i="1"/>
  <c r="CD124" i="1"/>
  <c r="CE124" i="1"/>
  <c r="CF124" i="1"/>
  <c r="CG124" i="1"/>
  <c r="BC124" i="1"/>
  <c r="CT124" i="1"/>
  <c r="B14" i="3"/>
  <c r="C14" i="3"/>
  <c r="E14" i="3"/>
  <c r="G19" i="2"/>
  <c r="K19" i="2"/>
  <c r="R19" i="2"/>
  <c r="T19" i="2"/>
  <c r="U19" i="2"/>
  <c r="V19" i="2"/>
  <c r="W19" i="2"/>
  <c r="AA19" i="2"/>
  <c r="AB19" i="2"/>
  <c r="AC19" i="2"/>
  <c r="AD19" i="2"/>
  <c r="AE19" i="2"/>
  <c r="AF19" i="2"/>
  <c r="AG19" i="2"/>
  <c r="AH19" i="2"/>
  <c r="AI19" i="2"/>
  <c r="AJ19" i="2"/>
  <c r="AK19" i="2"/>
  <c r="AL19" i="2"/>
  <c r="AM19" i="2"/>
  <c r="AZ122" i="1"/>
  <c r="BA122" i="1"/>
  <c r="BB122" i="1"/>
  <c r="CH122" i="1"/>
  <c r="CI122" i="1"/>
  <c r="CJ122" i="1"/>
  <c r="CK122" i="1"/>
  <c r="CL122" i="1"/>
  <c r="CM122" i="1"/>
  <c r="CN122" i="1"/>
  <c r="CO122" i="1"/>
  <c r="CP122" i="1"/>
  <c r="CQ122" i="1"/>
  <c r="CR122" i="1"/>
  <c r="CS122" i="1"/>
  <c r="BV122" i="1"/>
  <c r="BW122" i="1"/>
  <c r="BX122" i="1"/>
  <c r="BY122" i="1"/>
  <c r="BZ122" i="1"/>
  <c r="CA122" i="1"/>
  <c r="CB122" i="1"/>
  <c r="CC122" i="1"/>
  <c r="CD122" i="1"/>
  <c r="CE122" i="1"/>
  <c r="CF122" i="1"/>
  <c r="CG122" i="1"/>
  <c r="BC122" i="1"/>
  <c r="CT122" i="1"/>
  <c r="BA123" i="1"/>
  <c r="BB123" i="1"/>
  <c r="CH123" i="1"/>
  <c r="CI123" i="1"/>
  <c r="CJ123" i="1"/>
  <c r="CK123" i="1"/>
  <c r="CL123" i="1"/>
  <c r="CM123" i="1"/>
  <c r="CN123" i="1"/>
  <c r="CO123" i="1"/>
  <c r="CP123" i="1"/>
  <c r="CQ123" i="1"/>
  <c r="CR123" i="1"/>
  <c r="CS123" i="1"/>
  <c r="BV123" i="1"/>
  <c r="BW123" i="1"/>
  <c r="BX123" i="1"/>
  <c r="BY123" i="1"/>
  <c r="BZ123" i="1"/>
  <c r="CA123" i="1"/>
  <c r="CB123" i="1"/>
  <c r="CC123" i="1"/>
  <c r="CD123" i="1"/>
  <c r="CE123" i="1"/>
  <c r="CF123" i="1"/>
  <c r="CG123" i="1"/>
  <c r="BC123" i="1"/>
  <c r="CT123" i="1"/>
  <c r="E33" i="2"/>
  <c r="F33" i="2"/>
  <c r="I33" i="2"/>
  <c r="J33" i="2"/>
  <c r="R33" i="2"/>
  <c r="H34" i="2"/>
  <c r="R41" i="2"/>
  <c r="I29" i="2"/>
  <c r="J29" i="2"/>
  <c r="E17" i="2"/>
  <c r="F17" i="2"/>
  <c r="S46" i="2"/>
  <c r="R12" i="2"/>
  <c r="R11" i="2"/>
  <c r="N14" i="2"/>
  <c r="H23" i="2"/>
  <c r="K30" i="2"/>
  <c r="G30" i="2"/>
  <c r="V30" i="2"/>
  <c r="W30" i="2"/>
  <c r="E25" i="2"/>
  <c r="F25" i="2"/>
  <c r="H47" i="2"/>
  <c r="S47" i="2"/>
  <c r="R16" i="2"/>
  <c r="AH24" i="4"/>
  <c r="AH184" i="4"/>
  <c r="AH61" i="4"/>
  <c r="AH186" i="4"/>
  <c r="AH188" i="4"/>
  <c r="AH185" i="4"/>
  <c r="AH175" i="4"/>
  <c r="AH174" i="4"/>
  <c r="AH187" i="4"/>
  <c r="AH182" i="4"/>
  <c r="AH298" i="4"/>
  <c r="AH245" i="4"/>
  <c r="AH276" i="4"/>
  <c r="AH172" i="4"/>
  <c r="AH48" i="4"/>
  <c r="AH112" i="4"/>
  <c r="AH131" i="4"/>
  <c r="AH116" i="4"/>
  <c r="AH64" i="4"/>
  <c r="AH26" i="4"/>
  <c r="AH68" i="4"/>
  <c r="AH69" i="4"/>
  <c r="AH25" i="4"/>
  <c r="AH67" i="4"/>
  <c r="AH55" i="4"/>
  <c r="AH59" i="4"/>
  <c r="AH291" i="4"/>
  <c r="AH73" i="4"/>
  <c r="AH58" i="4"/>
  <c r="AH27" i="4"/>
  <c r="AH52" i="4"/>
  <c r="AH51" i="4"/>
  <c r="AH54" i="4"/>
  <c r="AH57" i="4"/>
  <c r="AH60" i="4"/>
  <c r="AH71" i="4"/>
  <c r="AH70" i="4"/>
  <c r="AH86" i="4"/>
  <c r="AH87" i="4"/>
  <c r="AH88" i="4"/>
  <c r="AH247" i="4"/>
  <c r="AH130" i="4"/>
  <c r="AH183" i="4"/>
  <c r="AH287" i="4"/>
  <c r="AH53" i="4"/>
  <c r="AH56" i="4"/>
  <c r="AH72" i="4"/>
  <c r="AH47" i="4"/>
  <c r="AH292" i="4"/>
  <c r="AH181" i="4"/>
  <c r="AH84" i="4"/>
  <c r="AH137" i="4"/>
  <c r="AH163" i="4"/>
  <c r="AH125" i="4"/>
  <c r="AH262" i="4"/>
  <c r="AH162" i="4"/>
  <c r="AH82" i="4"/>
  <c r="AH164" i="4"/>
  <c r="AH89" i="4"/>
  <c r="AH171" i="4"/>
  <c r="AH285" i="4"/>
  <c r="AH212" i="4"/>
  <c r="AH173" i="4"/>
  <c r="AH83" i="4"/>
  <c r="AH230" i="4"/>
  <c r="AH169" i="4"/>
  <c r="AH233" i="4"/>
  <c r="AH119" i="4"/>
  <c r="AH136" i="4"/>
  <c r="AH155" i="4"/>
  <c r="AH156" i="4"/>
  <c r="AH231" i="4"/>
  <c r="AH239" i="4"/>
  <c r="AH255" i="4"/>
  <c r="AH97" i="4"/>
  <c r="AH243" i="4"/>
  <c r="AH100" i="4"/>
  <c r="AH62" i="4"/>
  <c r="AH154" i="4"/>
  <c r="AH108" i="4"/>
  <c r="AH237" i="4"/>
  <c r="AH266" i="4"/>
  <c r="AH115" i="4"/>
  <c r="AH42" i="4"/>
  <c r="AH41" i="4"/>
  <c r="AH105" i="4"/>
  <c r="AH99" i="4"/>
  <c r="AH110" i="4"/>
  <c r="AH238" i="4"/>
  <c r="AH275" i="4"/>
  <c r="AH170" i="4"/>
  <c r="AH168" i="4"/>
  <c r="AH120" i="4"/>
  <c r="AH235" i="4"/>
  <c r="AH129" i="4"/>
  <c r="AH122" i="4"/>
  <c r="AH140" i="4"/>
  <c r="AH244" i="4"/>
  <c r="AH45" i="4"/>
  <c r="AH118" i="4"/>
  <c r="AH101" i="4"/>
  <c r="AH63" i="4"/>
  <c r="AH256" i="4"/>
  <c r="AH151" i="4"/>
  <c r="AH133" i="4"/>
  <c r="AH34" i="4"/>
  <c r="AH43" i="4"/>
  <c r="AH274" i="4"/>
  <c r="AH90" i="4"/>
  <c r="AH286" i="4"/>
  <c r="AH234" i="4"/>
  <c r="AH236" i="4"/>
  <c r="AH240" i="4"/>
  <c r="AH242" i="4"/>
  <c r="AH241" i="4"/>
  <c r="AH252" i="4"/>
  <c r="AH44" i="4"/>
  <c r="AH216" i="4"/>
  <c r="AH217" i="4"/>
  <c r="AH273" i="4"/>
  <c r="AH201" i="4"/>
  <c r="AH147" i="4"/>
  <c r="AH218" i="4"/>
  <c r="AH220" i="4"/>
  <c r="AH270" i="4"/>
  <c r="AH219" i="4"/>
  <c r="AH271" i="4"/>
  <c r="AH221" i="4"/>
  <c r="AH200" i="4"/>
  <c r="AH179" i="4"/>
  <c r="AH104" i="4"/>
  <c r="AH113" i="4"/>
  <c r="AH132" i="4"/>
  <c r="AH267" i="4"/>
  <c r="AH268" i="4"/>
  <c r="AH264" i="4"/>
  <c r="AH263" i="4"/>
  <c r="AH91" i="4"/>
  <c r="AH223" i="4"/>
  <c r="AH224" i="4"/>
  <c r="AH222" i="4"/>
  <c r="AH227" i="4"/>
  <c r="AH226" i="4"/>
  <c r="AH206" i="4"/>
  <c r="AH193" i="4"/>
  <c r="AH80" i="4"/>
  <c r="AH81" i="4"/>
  <c r="AH134" i="4"/>
  <c r="AH191" i="4"/>
  <c r="AH79" i="4"/>
  <c r="AH94" i="4"/>
  <c r="AH190" i="4"/>
  <c r="AH92" i="4"/>
  <c r="AH272" i="4"/>
  <c r="AH192" i="4"/>
  <c r="AH207" i="4"/>
  <c r="AH250" i="4"/>
  <c r="AH22" i="4"/>
  <c r="AH158" i="4"/>
  <c r="AH199" i="4"/>
  <c r="AH194" i="4"/>
  <c r="AH196" i="4"/>
  <c r="AH205" i="4"/>
  <c r="AH297" i="4"/>
  <c r="AH294" i="4"/>
  <c r="AH295" i="4"/>
  <c r="AH278" i="4"/>
  <c r="AH280" i="4"/>
  <c r="AH23" i="4"/>
  <c r="AH178" i="4"/>
  <c r="AH165" i="4"/>
  <c r="AH166" i="4"/>
  <c r="AH167" i="4"/>
  <c r="AH213" i="4"/>
  <c r="AH215" i="4"/>
  <c r="AH195" i="4"/>
  <c r="AH121" i="4"/>
  <c r="AH148" i="4"/>
  <c r="AH254" i="4"/>
  <c r="AH177" i="4"/>
  <c r="AH20" i="4"/>
  <c r="AH253" i="4"/>
  <c r="AH153" i="4"/>
  <c r="AH197" i="4"/>
  <c r="AH128" i="4"/>
  <c r="AH180" i="4"/>
  <c r="AH98" i="4"/>
  <c r="AH46" i="4"/>
  <c r="AH202" i="4"/>
  <c r="AH141" i="4"/>
  <c r="AH117" i="4"/>
  <c r="AH189" i="4"/>
  <c r="AH106" i="4"/>
  <c r="AH203" i="4"/>
  <c r="AH265" i="4"/>
  <c r="AH176" i="4"/>
  <c r="AH21" i="4"/>
  <c r="AH66" i="4"/>
  <c r="AH296" i="4"/>
  <c r="AH152" i="4"/>
  <c r="AH279" i="4"/>
  <c r="AH261" i="4"/>
  <c r="AH161" i="4"/>
  <c r="AH260" i="4"/>
  <c r="AH269" i="4"/>
  <c r="AH114" i="4"/>
  <c r="AH281" i="4"/>
  <c r="AH283" i="4"/>
  <c r="AH282" i="4"/>
  <c r="AH277" i="4"/>
  <c r="AH214" i="4"/>
  <c r="AH225" i="4"/>
  <c r="AH111" i="4"/>
  <c r="AH96" i="4"/>
  <c r="AH123" i="4"/>
  <c r="AH109" i="4"/>
  <c r="AH103" i="4"/>
  <c r="AH139" i="4"/>
  <c r="AH150" i="4"/>
  <c r="AH135" i="4"/>
  <c r="AH204" i="4"/>
  <c r="AH293" i="4"/>
  <c r="AH246" i="4"/>
  <c r="AH198" i="4"/>
  <c r="AH290" i="4"/>
  <c r="AH16" i="4"/>
  <c r="AH209" i="4"/>
  <c r="AH249" i="4"/>
  <c r="AH65" i="4"/>
  <c r="AH143" i="4"/>
  <c r="AH146" i="4"/>
  <c r="AH126" i="4"/>
  <c r="AH78" i="4"/>
  <c r="AH210" i="4"/>
  <c r="AH144" i="4"/>
  <c r="AH138" i="4"/>
  <c r="AH85" i="4"/>
  <c r="AH6" i="4"/>
  <c r="AH4" i="4"/>
  <c r="AH288" i="4"/>
  <c r="AH284" i="4"/>
  <c r="AH232" i="4"/>
  <c r="AH74" i="4"/>
  <c r="AH142" i="4"/>
  <c r="AH18" i="4"/>
  <c r="AH229" i="4"/>
  <c r="AH107" i="4"/>
  <c r="AH289" i="4"/>
  <c r="AH3" i="4"/>
  <c r="AH228" i="4"/>
  <c r="AH17" i="4"/>
  <c r="AH251" i="4"/>
  <c r="AH35" i="4"/>
  <c r="AH19" i="4"/>
  <c r="AH5" i="4"/>
  <c r="AH13" i="4"/>
  <c r="AH36" i="4"/>
  <c r="AH211" i="4"/>
  <c r="AH248" i="4"/>
  <c r="AH7" i="4"/>
  <c r="AH37" i="4"/>
  <c r="AH149" i="4"/>
  <c r="AH15" i="4"/>
  <c r="AH2" i="4"/>
  <c r="AH124" i="4"/>
  <c r="AH10" i="4"/>
  <c r="AH50" i="4"/>
  <c r="AH9" i="4"/>
  <c r="AH14" i="4"/>
  <c r="AH127" i="4"/>
  <c r="AH11" i="4"/>
  <c r="AH102" i="4"/>
  <c r="AH12" i="4"/>
  <c r="AH93" i="4"/>
  <c r="AH145" i="4"/>
  <c r="AH160" i="4"/>
  <c r="AH76" i="4"/>
  <c r="AH8" i="4"/>
  <c r="AH208" i="4"/>
  <c r="AH159" i="4"/>
  <c r="AH40" i="4"/>
  <c r="AH28" i="4"/>
  <c r="AH38" i="4"/>
  <c r="AH75" i="4"/>
  <c r="AH39" i="4"/>
  <c r="AH29" i="4"/>
  <c r="AH32" i="4"/>
  <c r="AH95" i="4"/>
  <c r="AH157" i="4"/>
  <c r="AH33" i="4"/>
  <c r="AH31" i="4"/>
  <c r="AH30" i="4"/>
  <c r="AH302" i="4"/>
  <c r="AH301" i="4"/>
  <c r="AH299" i="4"/>
  <c r="AH300" i="4"/>
  <c r="AH305" i="4"/>
  <c r="AH306" i="4"/>
  <c r="AH307" i="4"/>
  <c r="AH308" i="4"/>
  <c r="AH304" i="4"/>
  <c r="AH309" i="4"/>
  <c r="AH312" i="4"/>
  <c r="AH313" i="4"/>
  <c r="AH314" i="4"/>
  <c r="AH311" i="4"/>
  <c r="AH310" i="4"/>
  <c r="AH330" i="4"/>
  <c r="AH345" i="4"/>
  <c r="AH343" i="4"/>
  <c r="AH344" i="4"/>
  <c r="AH346" i="4"/>
  <c r="AH334" i="4"/>
  <c r="AH341" i="4"/>
  <c r="AH333" i="4"/>
  <c r="AH331" i="4"/>
  <c r="AH335" i="4"/>
  <c r="AH328" i="4"/>
  <c r="AH336" i="4"/>
  <c r="AH320" i="4"/>
  <c r="AH337" i="4"/>
  <c r="AH338" i="4"/>
  <c r="AH339" i="4"/>
  <c r="AH340" i="4"/>
  <c r="AH322" i="4"/>
  <c r="AH323" i="4"/>
  <c r="AH324" i="4"/>
  <c r="AH325" i="4"/>
  <c r="AH327" i="4"/>
  <c r="AH326" i="4"/>
  <c r="AH329" i="4"/>
  <c r="AH342" i="4"/>
  <c r="AH332" i="4"/>
  <c r="AH347" i="4"/>
  <c r="AH321" i="4"/>
  <c r="AH318" i="4"/>
  <c r="AH319" i="4"/>
  <c r="AH317" i="4"/>
  <c r="AH315" i="4"/>
  <c r="AH316" i="4"/>
  <c r="AH354" i="4"/>
  <c r="AH355" i="4"/>
  <c r="AH352" i="4"/>
  <c r="AH353" i="4"/>
  <c r="AH363" i="4"/>
  <c r="AH364" i="4"/>
  <c r="AH365" i="4"/>
  <c r="AH359" i="4"/>
  <c r="AH348" i="4"/>
  <c r="AH356" i="4"/>
  <c r="AH357" i="4"/>
  <c r="AH358" i="4"/>
  <c r="AH360" i="4"/>
  <c r="AH361" i="4"/>
  <c r="AH362" i="4"/>
  <c r="AH349" i="4"/>
  <c r="AH350" i="4"/>
  <c r="AH366" i="4"/>
  <c r="AH367" i="4"/>
  <c r="AH368" i="4"/>
  <c r="AH369" i="4"/>
  <c r="AH351" i="4"/>
  <c r="AH375" i="4"/>
  <c r="AH371" i="4"/>
  <c r="AH379" i="4"/>
  <c r="AH370" i="4"/>
  <c r="AH372" i="4"/>
  <c r="AH374" i="4"/>
  <c r="AH377" i="4"/>
  <c r="AH373" i="4"/>
  <c r="AH376" i="4"/>
  <c r="AH381" i="4"/>
  <c r="AH378" i="4"/>
  <c r="AH384" i="4"/>
  <c r="AH383" i="4"/>
  <c r="AH385" i="4"/>
  <c r="AH386" i="4"/>
  <c r="AH382" i="4"/>
  <c r="AH390" i="4"/>
  <c r="AH389" i="4"/>
  <c r="AH404" i="4"/>
  <c r="AH388" i="4"/>
  <c r="AH407" i="4"/>
  <c r="AH396" i="4"/>
  <c r="AH391" i="4"/>
  <c r="AH392" i="4"/>
  <c r="AH393" i="4"/>
  <c r="AH394" i="4"/>
  <c r="AH400" i="4"/>
  <c r="AH402" i="4"/>
  <c r="AH403" i="4"/>
  <c r="AH398" i="4"/>
  <c r="AH399" i="4"/>
  <c r="AH406" i="4"/>
  <c r="AH409" i="4"/>
  <c r="AH410" i="4"/>
  <c r="AH411" i="4"/>
  <c r="AH395" i="4"/>
  <c r="AH397" i="4"/>
  <c r="AH405" i="4"/>
  <c r="AH387" i="4"/>
  <c r="AH408" i="4"/>
  <c r="AH401" i="4"/>
  <c r="AH49" i="4"/>
  <c r="E3" i="2"/>
  <c r="F3" i="2"/>
  <c r="E31" i="2"/>
  <c r="F31" i="2"/>
  <c r="R31" i="2"/>
  <c r="E38" i="2"/>
  <c r="E36" i="2"/>
  <c r="F38" i="2"/>
  <c r="F36" i="2"/>
  <c r="I38" i="2"/>
  <c r="J38" i="2"/>
  <c r="I41" i="2"/>
  <c r="J41" i="2"/>
  <c r="H3" i="2"/>
  <c r="R43" i="2"/>
  <c r="R3" i="2"/>
  <c r="R24" i="2"/>
  <c r="R42" i="2"/>
  <c r="I31" i="2"/>
  <c r="J31" i="2"/>
  <c r="N31" i="2"/>
  <c r="R17" i="2"/>
  <c r="R38" i="2"/>
  <c r="T18" i="2"/>
  <c r="U18" i="2"/>
  <c r="T24" i="2"/>
  <c r="U24" i="2"/>
  <c r="V24" i="2"/>
  <c r="K29" i="2"/>
  <c r="T29" i="2"/>
  <c r="U29" i="2"/>
  <c r="V29" i="2"/>
  <c r="W29" i="2"/>
  <c r="K27" i="2"/>
  <c r="T27" i="2"/>
  <c r="U27" i="2"/>
  <c r="W27" i="2"/>
  <c r="K23" i="2"/>
  <c r="V23" i="2"/>
  <c r="W23" i="2"/>
  <c r="G14" i="2"/>
  <c r="K14" i="2"/>
  <c r="T14" i="2"/>
  <c r="U14" i="2"/>
  <c r="V14" i="2"/>
  <c r="W14" i="2"/>
  <c r="AA14" i="2"/>
  <c r="AB14" i="2"/>
  <c r="AC14" i="2"/>
  <c r="AD14" i="2"/>
  <c r="AE14" i="2"/>
  <c r="AF14" i="2"/>
  <c r="AG14" i="2"/>
  <c r="AH14" i="2"/>
  <c r="AI14" i="2"/>
  <c r="AJ14" i="2"/>
  <c r="AK14" i="2"/>
  <c r="AL14" i="2"/>
  <c r="AM14" i="2"/>
  <c r="AZ20" i="1"/>
  <c r="BA20" i="1"/>
  <c r="BB20" i="1"/>
  <c r="CH20" i="1"/>
  <c r="CI20" i="1"/>
  <c r="CJ20" i="1"/>
  <c r="CK20" i="1"/>
  <c r="CL20" i="1"/>
  <c r="CM20" i="1"/>
  <c r="CN20" i="1"/>
  <c r="CO20" i="1"/>
  <c r="CP20" i="1"/>
  <c r="CQ20" i="1"/>
  <c r="CR20" i="1"/>
  <c r="CS20" i="1"/>
  <c r="BV20" i="1"/>
  <c r="BW20" i="1"/>
  <c r="BX20" i="1"/>
  <c r="BY20" i="1"/>
  <c r="BZ20" i="1"/>
  <c r="CA20" i="1"/>
  <c r="CB20" i="1"/>
  <c r="CC20" i="1"/>
  <c r="CD20" i="1"/>
  <c r="CE20" i="1"/>
  <c r="CF20" i="1"/>
  <c r="CG20" i="1"/>
  <c r="BC20" i="1"/>
  <c r="CT20" i="1"/>
  <c r="AZ22" i="1"/>
  <c r="BA22" i="1"/>
  <c r="BB22" i="1"/>
  <c r="CH22" i="1"/>
  <c r="CI22" i="1"/>
  <c r="CJ22" i="1"/>
  <c r="CK22" i="1"/>
  <c r="CL22" i="1"/>
  <c r="CM22" i="1"/>
  <c r="CN22" i="1"/>
  <c r="CO22" i="1"/>
  <c r="CP22" i="1"/>
  <c r="CQ22" i="1"/>
  <c r="CR22" i="1"/>
  <c r="CS22" i="1"/>
  <c r="BV22" i="1"/>
  <c r="BW22" i="1"/>
  <c r="BX22" i="1"/>
  <c r="BY22" i="1"/>
  <c r="BZ22" i="1"/>
  <c r="CA22" i="1"/>
  <c r="CB22" i="1"/>
  <c r="CC22" i="1"/>
  <c r="CD22" i="1"/>
  <c r="CE22" i="1"/>
  <c r="CF22" i="1"/>
  <c r="CG22" i="1"/>
  <c r="BC22" i="1"/>
  <c r="CT22" i="1"/>
  <c r="CT48" i="1"/>
  <c r="CS48" i="1"/>
  <c r="CR48" i="1"/>
  <c r="CQ48" i="1"/>
  <c r="CP48" i="1"/>
  <c r="CO48" i="1"/>
  <c r="CN48" i="1"/>
  <c r="CM48" i="1"/>
  <c r="CL48" i="1"/>
  <c r="CK48" i="1"/>
  <c r="CJ48" i="1"/>
  <c r="CI48" i="1"/>
  <c r="CH48" i="1"/>
  <c r="CG48" i="1"/>
  <c r="CF48" i="1"/>
  <c r="CE48" i="1"/>
  <c r="CD48" i="1"/>
  <c r="CC48" i="1"/>
  <c r="CB48" i="1"/>
  <c r="CA48" i="1"/>
  <c r="BZ48" i="1"/>
  <c r="BY48" i="1"/>
  <c r="BX48" i="1"/>
  <c r="BW48" i="1"/>
  <c r="BV48" i="1"/>
  <c r="BC48" i="1"/>
  <c r="BB48" i="1"/>
  <c r="BA48" i="1"/>
  <c r="AZ48" i="1"/>
  <c r="AZ12" i="1"/>
  <c r="BA12" i="1"/>
  <c r="BB12" i="1"/>
  <c r="CH12" i="1"/>
  <c r="CI12" i="1"/>
  <c r="CJ12" i="1"/>
  <c r="CK12" i="1"/>
  <c r="CL12" i="1"/>
  <c r="CM12" i="1"/>
  <c r="CN12" i="1"/>
  <c r="CO12" i="1"/>
  <c r="CP12" i="1"/>
  <c r="CQ12" i="1"/>
  <c r="CR12" i="1"/>
  <c r="CS12" i="1"/>
  <c r="BV12" i="1"/>
  <c r="BW12" i="1"/>
  <c r="BX12" i="1"/>
  <c r="BY12" i="1"/>
  <c r="BZ12" i="1"/>
  <c r="CA12" i="1"/>
  <c r="CB12" i="1"/>
  <c r="CC12" i="1"/>
  <c r="CD12" i="1"/>
  <c r="CE12" i="1"/>
  <c r="CF12" i="1"/>
  <c r="CG12" i="1"/>
  <c r="BC12" i="1"/>
  <c r="CT12" i="1"/>
  <c r="AZ189" i="1"/>
  <c r="BA189" i="1"/>
  <c r="BB189" i="1"/>
  <c r="CH189" i="1"/>
  <c r="CI189" i="1"/>
  <c r="CJ189" i="1"/>
  <c r="CK189" i="1"/>
  <c r="CL189" i="1"/>
  <c r="CM189" i="1"/>
  <c r="CN189" i="1"/>
  <c r="CO189" i="1"/>
  <c r="CP189" i="1"/>
  <c r="CQ189" i="1"/>
  <c r="CR189" i="1"/>
  <c r="CS189" i="1"/>
  <c r="BV189" i="1"/>
  <c r="BW189" i="1"/>
  <c r="BX189" i="1"/>
  <c r="BY189" i="1"/>
  <c r="BZ189" i="1"/>
  <c r="CA189" i="1"/>
  <c r="CB189" i="1"/>
  <c r="CC189" i="1"/>
  <c r="CD189" i="1"/>
  <c r="CE189" i="1"/>
  <c r="CF189" i="1"/>
  <c r="CG189" i="1"/>
  <c r="BC189" i="1"/>
  <c r="CT189" i="1"/>
  <c r="N65" i="4"/>
  <c r="AZ276" i="1"/>
  <c r="BA276" i="1"/>
  <c r="BB276" i="1"/>
  <c r="CH276" i="1"/>
  <c r="CI276" i="1"/>
  <c r="CJ276" i="1"/>
  <c r="CK276" i="1"/>
  <c r="CL276" i="1"/>
  <c r="CM276" i="1"/>
  <c r="CN276" i="1"/>
  <c r="CO276" i="1"/>
  <c r="CP276" i="1"/>
  <c r="CQ276" i="1"/>
  <c r="CR276" i="1"/>
  <c r="CS276" i="1"/>
  <c r="BV276" i="1"/>
  <c r="BW276" i="1"/>
  <c r="BX276" i="1"/>
  <c r="BY276" i="1"/>
  <c r="BZ276" i="1"/>
  <c r="CA276" i="1"/>
  <c r="CB276" i="1"/>
  <c r="CC276" i="1"/>
  <c r="CD276" i="1"/>
  <c r="CE276" i="1"/>
  <c r="CF276" i="1"/>
  <c r="CG276" i="1"/>
  <c r="BC276" i="1"/>
  <c r="CT276" i="1"/>
  <c r="AZ213" i="1"/>
  <c r="BA213" i="1"/>
  <c r="BB213" i="1"/>
  <c r="CH213" i="1"/>
  <c r="CI213" i="1"/>
  <c r="CJ213" i="1"/>
  <c r="CK213" i="1"/>
  <c r="CL213" i="1"/>
  <c r="CM213" i="1"/>
  <c r="CN213" i="1"/>
  <c r="CO213" i="1"/>
  <c r="CP213" i="1"/>
  <c r="CQ213" i="1"/>
  <c r="CR213" i="1"/>
  <c r="CS213" i="1"/>
  <c r="BV213" i="1"/>
  <c r="BW213" i="1"/>
  <c r="BX213" i="1"/>
  <c r="BY213" i="1"/>
  <c r="BZ213" i="1"/>
  <c r="CA213" i="1"/>
  <c r="CB213" i="1"/>
  <c r="CC213" i="1"/>
  <c r="CD213" i="1"/>
  <c r="CE213" i="1"/>
  <c r="CF213" i="1"/>
  <c r="CG213" i="1"/>
  <c r="BC213" i="1"/>
  <c r="CT213" i="1"/>
  <c r="AZ210" i="1"/>
  <c r="BA210" i="1"/>
  <c r="BB210" i="1"/>
  <c r="CH210" i="1"/>
  <c r="CI210" i="1"/>
  <c r="CJ210" i="1"/>
  <c r="CK210" i="1"/>
  <c r="CL210" i="1"/>
  <c r="CM210" i="1"/>
  <c r="CN210" i="1"/>
  <c r="CO210" i="1"/>
  <c r="CP210" i="1"/>
  <c r="CQ210" i="1"/>
  <c r="CR210" i="1"/>
  <c r="CS210" i="1"/>
  <c r="BV210" i="1"/>
  <c r="BW210" i="1"/>
  <c r="BX210" i="1"/>
  <c r="BY210" i="1"/>
  <c r="BZ210" i="1"/>
  <c r="CA210" i="1"/>
  <c r="CB210" i="1"/>
  <c r="CC210" i="1"/>
  <c r="CD210" i="1"/>
  <c r="CE210" i="1"/>
  <c r="CF210" i="1"/>
  <c r="CG210" i="1"/>
  <c r="BC210" i="1"/>
  <c r="CT210" i="1"/>
  <c r="AZ144" i="1"/>
  <c r="BA144" i="1"/>
  <c r="BB144" i="1"/>
  <c r="CH144" i="1"/>
  <c r="CI144" i="1"/>
  <c r="CJ144" i="1"/>
  <c r="CK144" i="1"/>
  <c r="CL144" i="1"/>
  <c r="CM144" i="1"/>
  <c r="CN144" i="1"/>
  <c r="CO144" i="1"/>
  <c r="CP144" i="1"/>
  <c r="CQ144" i="1"/>
  <c r="CR144" i="1"/>
  <c r="CS144" i="1"/>
  <c r="BV144" i="1"/>
  <c r="BW144" i="1"/>
  <c r="BX144" i="1"/>
  <c r="BY144" i="1"/>
  <c r="BZ144" i="1"/>
  <c r="CA144" i="1"/>
  <c r="CB144" i="1"/>
  <c r="CC144" i="1"/>
  <c r="CD144" i="1"/>
  <c r="CE144" i="1"/>
  <c r="CF144" i="1"/>
  <c r="CG144" i="1"/>
  <c r="BC144" i="1"/>
  <c r="CT144" i="1"/>
  <c r="AA22" i="6"/>
  <c r="AA28" i="6"/>
  <c r="AA37" i="6"/>
  <c r="AA40" i="6"/>
  <c r="AA42" i="6"/>
  <c r="AA45" i="6"/>
  <c r="AA52" i="6"/>
  <c r="AA62" i="6"/>
  <c r="AA65" i="6"/>
  <c r="AA85" i="6"/>
  <c r="AA93" i="6"/>
  <c r="AA103" i="6"/>
  <c r="AA104" i="6"/>
  <c r="AA108" i="6"/>
  <c r="AA116" i="6"/>
  <c r="AA124" i="6"/>
  <c r="AA129" i="6"/>
  <c r="AA134" i="6"/>
  <c r="AA136" i="6"/>
  <c r="AA149" i="6"/>
  <c r="AA152" i="6"/>
  <c r="AA156" i="6"/>
  <c r="AA163" i="6"/>
  <c r="AA170" i="6"/>
  <c r="AA180" i="6"/>
  <c r="AA189" i="6"/>
  <c r="AA192" i="6"/>
  <c r="AA195" i="6"/>
  <c r="AA204" i="6"/>
  <c r="AA226" i="6"/>
  <c r="AA252" i="6"/>
  <c r="AA265" i="6"/>
  <c r="AA278" i="6"/>
  <c r="AA290" i="6"/>
  <c r="AA297" i="6"/>
  <c r="AA2" i="6"/>
  <c r="AA4" i="6"/>
  <c r="AA5" i="6"/>
  <c r="AA6" i="6"/>
  <c r="AA21" i="6"/>
  <c r="AA23" i="6"/>
  <c r="AA47" i="6"/>
  <c r="AA7" i="6"/>
  <c r="AA48" i="6"/>
  <c r="AA8" i="6"/>
  <c r="AA27" i="6"/>
  <c r="AA29" i="6"/>
  <c r="AA30" i="6"/>
  <c r="AA86" i="6"/>
  <c r="AA87" i="6"/>
  <c r="AA64" i="6"/>
  <c r="AA88" i="6"/>
  <c r="AA41" i="6"/>
  <c r="AA43" i="6"/>
  <c r="AA282" i="6"/>
  <c r="AA9" i="6"/>
  <c r="AA49" i="6"/>
  <c r="AA50" i="6"/>
  <c r="AA10" i="6"/>
  <c r="AA114" i="6"/>
  <c r="AA11" i="6"/>
  <c r="AA51" i="6"/>
  <c r="AA53" i="6"/>
  <c r="AA66" i="6"/>
  <c r="AA67" i="6"/>
  <c r="AA68" i="6"/>
  <c r="AA69" i="6"/>
  <c r="AA206" i="6"/>
  <c r="AA159" i="6"/>
  <c r="AA70" i="6"/>
  <c r="AA106" i="6"/>
  <c r="AA207" i="6"/>
  <c r="AA89" i="6"/>
  <c r="AA90" i="6"/>
  <c r="AA91" i="6"/>
  <c r="AA92" i="6"/>
  <c r="AA94" i="6"/>
  <c r="AA95" i="6"/>
  <c r="AA96" i="6"/>
  <c r="AA97" i="6"/>
  <c r="AA232" i="6"/>
  <c r="AA233" i="6"/>
  <c r="AA71" i="6"/>
  <c r="AA105" i="6"/>
  <c r="AA98" i="6"/>
  <c r="AA99" i="6"/>
  <c r="AA100" i="6"/>
  <c r="AA107" i="6"/>
  <c r="AA109" i="6"/>
  <c r="AA101" i="6"/>
  <c r="AA54" i="6"/>
  <c r="AA115" i="6"/>
  <c r="AA117" i="6"/>
  <c r="AA55" i="6"/>
  <c r="AA123" i="6"/>
  <c r="AA125" i="6"/>
  <c r="AA130" i="6"/>
  <c r="AA271" i="6"/>
  <c r="AA160" i="6"/>
  <c r="AA110" i="6"/>
  <c r="AA111" i="6"/>
  <c r="AA112" i="6"/>
  <c r="AA31" i="6"/>
  <c r="AA165" i="6"/>
  <c r="AA166" i="6"/>
  <c r="AA167" i="6"/>
  <c r="AA208" i="6"/>
  <c r="AA141" i="6"/>
  <c r="AA168" i="6"/>
  <c r="AA56" i="6"/>
  <c r="AA283" i="6"/>
  <c r="AA234" i="6"/>
  <c r="AA196" i="6"/>
  <c r="AA142" i="6"/>
  <c r="AA175" i="6"/>
  <c r="AA176" i="6"/>
  <c r="AA131" i="6"/>
  <c r="AA12" i="6"/>
  <c r="AA296" i="6"/>
  <c r="AA197" i="6"/>
  <c r="AA209" i="6"/>
  <c r="AA143" i="6"/>
  <c r="AA210" i="6"/>
  <c r="AA132" i="6"/>
  <c r="AA13" i="6"/>
  <c r="AA46" i="6"/>
  <c r="AA260" i="6"/>
  <c r="AA24" i="6"/>
  <c r="AA235" i="6"/>
  <c r="AA198" i="6"/>
  <c r="AA72" i="6"/>
  <c r="AA261" i="6"/>
  <c r="AA38" i="6"/>
  <c r="AA73" i="6"/>
  <c r="AA74" i="6"/>
  <c r="AA284" i="6"/>
  <c r="AA75" i="6"/>
  <c r="AA236" i="6"/>
  <c r="AA237" i="6"/>
  <c r="AA211" i="6"/>
  <c r="AA272" i="6"/>
  <c r="AA212" i="6"/>
  <c r="AA133" i="6"/>
  <c r="AA76" i="6"/>
  <c r="AA213" i="6"/>
  <c r="AA25" i="6"/>
  <c r="AA135" i="6"/>
  <c r="AA238" i="6"/>
  <c r="AA161" i="6"/>
  <c r="AA77" i="6"/>
  <c r="AA262" i="6"/>
  <c r="AA273" i="6"/>
  <c r="AA126" i="6"/>
  <c r="AA144" i="6"/>
  <c r="AA239" i="6"/>
  <c r="AA274" i="6"/>
  <c r="AA57" i="6"/>
  <c r="AA214" i="6"/>
  <c r="AA275" i="6"/>
  <c r="AA285" i="6"/>
  <c r="AA118" i="6"/>
  <c r="AA119" i="6"/>
  <c r="AA14" i="6"/>
  <c r="AA120" i="6"/>
  <c r="AA199" i="6"/>
  <c r="AA153" i="6"/>
  <c r="AA215" i="6"/>
  <c r="AA200" i="6"/>
  <c r="AA26" i="6"/>
  <c r="AA263" i="6"/>
  <c r="AA121" i="6"/>
  <c r="AA127" i="6"/>
  <c r="AA240" i="6"/>
  <c r="AA241" i="6"/>
  <c r="AA242" i="6"/>
  <c r="AA58" i="6"/>
  <c r="AA39" i="6"/>
  <c r="AA44" i="6"/>
  <c r="AA177" i="6"/>
  <c r="AA78" i="6"/>
  <c r="AA32" i="6"/>
  <c r="AA190" i="6"/>
  <c r="AA137" i="6"/>
  <c r="AA138" i="6"/>
  <c r="AA243" i="6"/>
  <c r="AA244" i="6"/>
  <c r="AA245" i="6"/>
  <c r="AA33" i="6"/>
  <c r="AA79" i="6"/>
  <c r="AA113" i="6"/>
  <c r="AA246" i="6"/>
  <c r="AA247" i="6"/>
  <c r="AA286" i="6"/>
  <c r="AA287" i="6"/>
  <c r="AA34" i="6"/>
  <c r="AA178" i="6"/>
  <c r="AA154" i="6"/>
  <c r="AA248" i="6"/>
  <c r="AA276" i="6"/>
  <c r="AA249" i="6"/>
  <c r="AA80" i="6"/>
  <c r="AA250" i="6"/>
  <c r="AA81" i="6"/>
  <c r="AA264" i="6"/>
  <c r="AA162" i="6"/>
  <c r="AA288" i="6"/>
  <c r="AA145" i="6"/>
  <c r="AA59" i="6"/>
  <c r="AA216" i="6"/>
  <c r="AA217" i="6"/>
  <c r="AA218" i="6"/>
  <c r="AA201" i="6"/>
  <c r="AA219" i="6"/>
  <c r="AA128" i="6"/>
  <c r="AA146" i="6"/>
  <c r="AA147" i="6"/>
  <c r="AA179" i="6"/>
  <c r="AA155" i="6"/>
  <c r="AA220" i="6"/>
  <c r="AA202" i="6"/>
  <c r="AA221" i="6"/>
  <c r="AA222" i="6"/>
  <c r="AA203" i="6"/>
  <c r="AA223" i="6"/>
  <c r="AA224" i="6"/>
  <c r="AA225" i="6"/>
  <c r="AA148" i="6"/>
  <c r="AA150" i="6"/>
  <c r="AA82" i="6"/>
  <c r="AA186" i="6"/>
  <c r="AA187" i="6"/>
  <c r="AA188" i="6"/>
  <c r="AA169" i="6"/>
  <c r="AA191" i="6"/>
  <c r="AA193" i="6"/>
  <c r="AA194" i="6"/>
  <c r="AA164" i="6"/>
  <c r="AA251" i="6"/>
  <c r="AA205" i="6"/>
  <c r="AA253" i="6"/>
  <c r="AA254" i="6"/>
  <c r="AA255" i="6"/>
  <c r="AA277" i="6"/>
  <c r="AA256" i="6"/>
  <c r="AA257" i="6"/>
  <c r="AA266" i="6"/>
  <c r="AA267" i="6"/>
  <c r="AA279" i="6"/>
  <c r="AA280" i="6"/>
  <c r="AA281" i="6"/>
  <c r="AA227" i="6"/>
  <c r="AA157" i="6"/>
  <c r="AA35" i="6"/>
  <c r="AA151" i="6"/>
  <c r="AA289" i="6"/>
  <c r="AA268" i="6"/>
  <c r="AA269" i="6"/>
  <c r="AA122" i="6"/>
  <c r="AA228" i="6"/>
  <c r="AA229" i="6"/>
  <c r="AA230" i="6"/>
  <c r="AA258" i="6"/>
  <c r="AA270" i="6"/>
  <c r="AA231" i="6"/>
  <c r="AA83" i="6"/>
  <c r="AA84" i="6"/>
  <c r="AA63" i="6"/>
  <c r="AA60" i="6"/>
  <c r="AA291" i="6"/>
  <c r="AA292" i="6"/>
  <c r="AA293" i="6"/>
  <c r="AA294" i="6"/>
  <c r="AA171" i="6"/>
  <c r="AA172" i="6"/>
  <c r="AA181" i="6"/>
  <c r="AA158" i="6"/>
  <c r="AA173" i="6"/>
  <c r="AA259" i="6"/>
  <c r="AA295" i="6"/>
  <c r="AA61" i="6"/>
  <c r="AA15" i="6"/>
  <c r="AA16" i="6"/>
  <c r="AA17" i="6"/>
  <c r="AA18" i="6"/>
  <c r="AA19" i="6"/>
  <c r="AA20" i="6"/>
  <c r="AA182" i="6"/>
  <c r="AA36" i="6"/>
  <c r="AA183" i="6"/>
  <c r="AA174" i="6"/>
  <c r="AA184" i="6"/>
  <c r="AA185" i="6"/>
  <c r="AA102" i="6"/>
  <c r="AA301" i="6"/>
  <c r="AA307" i="6"/>
  <c r="AA299" i="6"/>
  <c r="AA300" i="6"/>
  <c r="AA302" i="6"/>
  <c r="AA303" i="6"/>
  <c r="AA304" i="6"/>
  <c r="AA305" i="6"/>
  <c r="AA306" i="6"/>
  <c r="AA308" i="6"/>
  <c r="AA309" i="6"/>
  <c r="AA310" i="6"/>
  <c r="AA311" i="6"/>
  <c r="AA312" i="6"/>
  <c r="AA313" i="6"/>
  <c r="AA315" i="6"/>
  <c r="AA316" i="6"/>
  <c r="AA317" i="6"/>
  <c r="AA318" i="6"/>
  <c r="AA319" i="6"/>
  <c r="AA320" i="6"/>
  <c r="AA321" i="6"/>
  <c r="AA322" i="6"/>
  <c r="AA323" i="6"/>
  <c r="AA324" i="6"/>
  <c r="AA325" i="6"/>
  <c r="AA326" i="6"/>
  <c r="AA327" i="6"/>
  <c r="AA328" i="6"/>
  <c r="AA329" i="6"/>
  <c r="AA330" i="6"/>
  <c r="AA331" i="6"/>
  <c r="AA332" i="6"/>
  <c r="AA333" i="6"/>
  <c r="AA334" i="6"/>
  <c r="AA335" i="6"/>
  <c r="AA336" i="6"/>
  <c r="AA337" i="6"/>
  <c r="AA338" i="6"/>
  <c r="AA339" i="6"/>
  <c r="AA340" i="6"/>
  <c r="AA341" i="6"/>
  <c r="AA346" i="6"/>
  <c r="AA342" i="6"/>
  <c r="AA343" i="6"/>
  <c r="AA347" i="6"/>
  <c r="AA344" i="6"/>
  <c r="AA345" i="6"/>
  <c r="AA356" i="6"/>
  <c r="AA366" i="6"/>
  <c r="AA361" i="6"/>
  <c r="AA348" i="6"/>
  <c r="AA362" i="6"/>
  <c r="AA349" i="6"/>
  <c r="AA350" i="6"/>
  <c r="AA351" i="6"/>
  <c r="AA352" i="6"/>
  <c r="AA353" i="6"/>
  <c r="AA354" i="6"/>
  <c r="AA355" i="6"/>
  <c r="AA363" i="6"/>
  <c r="AA364" i="6"/>
  <c r="AA365" i="6"/>
  <c r="AA367" i="6"/>
  <c r="AA368" i="6"/>
  <c r="AA369" i="6"/>
  <c r="AA357" i="6"/>
  <c r="AA358" i="6"/>
  <c r="AA359" i="6"/>
  <c r="AA360" i="6"/>
  <c r="AA380" i="6"/>
  <c r="AA370" i="6"/>
  <c r="AA371" i="6"/>
  <c r="AA372" i="6"/>
  <c r="AA373" i="6"/>
  <c r="AA374" i="6"/>
  <c r="AA375" i="6"/>
  <c r="AA376" i="6"/>
  <c r="AA377" i="6"/>
  <c r="AA378" i="6"/>
  <c r="AA379" i="6"/>
  <c r="AA383" i="6"/>
  <c r="AA386" i="6"/>
  <c r="AA382" i="6"/>
  <c r="AA385" i="6"/>
  <c r="AA384" i="6"/>
  <c r="AA410" i="6"/>
  <c r="AA388" i="6"/>
  <c r="AA409" i="6"/>
  <c r="AA408" i="6"/>
  <c r="AA391" i="6"/>
  <c r="AA392" i="6"/>
  <c r="AA393" i="6"/>
  <c r="AA394" i="6"/>
  <c r="AA395" i="6"/>
  <c r="AA390" i="6"/>
  <c r="AA406" i="6"/>
  <c r="AA396" i="6"/>
  <c r="AA397" i="6"/>
  <c r="AA398" i="6"/>
  <c r="AA399" i="6"/>
  <c r="AA400" i="6"/>
  <c r="AA401" i="6"/>
  <c r="AA387" i="6"/>
  <c r="AA407" i="6"/>
  <c r="AA402" i="6"/>
  <c r="AA389" i="6"/>
  <c r="AA411" i="6"/>
  <c r="AA403" i="6"/>
  <c r="AA404" i="6"/>
  <c r="AA405" i="6"/>
  <c r="AA3" i="6"/>
  <c r="Z22" i="6"/>
  <c r="Z28" i="6"/>
  <c r="Z37" i="6"/>
  <c r="Z40" i="6"/>
  <c r="Z42" i="6"/>
  <c r="Z45" i="6"/>
  <c r="Z52" i="6"/>
  <c r="Z62" i="6"/>
  <c r="Z65" i="6"/>
  <c r="Z85" i="6"/>
  <c r="Z93" i="6"/>
  <c r="Z103" i="6"/>
  <c r="Z104" i="6"/>
  <c r="Z108" i="6"/>
  <c r="Z116" i="6"/>
  <c r="Z124" i="6"/>
  <c r="Z129" i="6"/>
  <c r="Z134" i="6"/>
  <c r="Z136" i="6"/>
  <c r="Z149" i="6"/>
  <c r="Z152" i="6"/>
  <c r="Z156" i="6"/>
  <c r="Z163" i="6"/>
  <c r="Z170" i="6"/>
  <c r="Z180" i="6"/>
  <c r="Z189" i="6"/>
  <c r="Z192" i="6"/>
  <c r="Z195" i="6"/>
  <c r="Z204" i="6"/>
  <c r="Z226" i="6"/>
  <c r="Z252" i="6"/>
  <c r="Z265" i="6"/>
  <c r="Z278" i="6"/>
  <c r="Z290" i="6"/>
  <c r="Z297" i="6"/>
  <c r="Z2" i="6"/>
  <c r="Z4" i="6"/>
  <c r="Z5" i="6"/>
  <c r="Z6" i="6"/>
  <c r="Z21" i="6"/>
  <c r="Z23" i="6"/>
  <c r="Z47" i="6"/>
  <c r="Z7" i="6"/>
  <c r="Z48" i="6"/>
  <c r="Z8" i="6"/>
  <c r="Z27" i="6"/>
  <c r="Z29" i="6"/>
  <c r="Z30" i="6"/>
  <c r="Z86" i="6"/>
  <c r="Z87" i="6"/>
  <c r="Z64" i="6"/>
  <c r="Z88" i="6"/>
  <c r="Z41" i="6"/>
  <c r="Z43" i="6"/>
  <c r="Z282" i="6"/>
  <c r="Z9" i="6"/>
  <c r="Z49" i="6"/>
  <c r="Z50" i="6"/>
  <c r="Z10" i="6"/>
  <c r="Z114" i="6"/>
  <c r="Z11" i="6"/>
  <c r="Z51" i="6"/>
  <c r="Z53" i="6"/>
  <c r="Z66" i="6"/>
  <c r="Z67" i="6"/>
  <c r="Z68" i="6"/>
  <c r="Z69" i="6"/>
  <c r="Z206" i="6"/>
  <c r="Z159" i="6"/>
  <c r="Z70" i="6"/>
  <c r="Z106" i="6"/>
  <c r="Z207" i="6"/>
  <c r="Z89" i="6"/>
  <c r="Z90" i="6"/>
  <c r="Z91" i="6"/>
  <c r="Z92" i="6"/>
  <c r="Z94" i="6"/>
  <c r="Z95" i="6"/>
  <c r="Z96" i="6"/>
  <c r="Z97" i="6"/>
  <c r="Z232" i="6"/>
  <c r="Z233" i="6"/>
  <c r="Z71" i="6"/>
  <c r="Z105" i="6"/>
  <c r="Z98" i="6"/>
  <c r="Z99" i="6"/>
  <c r="Z100" i="6"/>
  <c r="Z107" i="6"/>
  <c r="Z109" i="6"/>
  <c r="Z101" i="6"/>
  <c r="Z54" i="6"/>
  <c r="Z115" i="6"/>
  <c r="Z117" i="6"/>
  <c r="Z55" i="6"/>
  <c r="Z123" i="6"/>
  <c r="Z125" i="6"/>
  <c r="Z130" i="6"/>
  <c r="Z271" i="6"/>
  <c r="Z160" i="6"/>
  <c r="Z110" i="6"/>
  <c r="Z111" i="6"/>
  <c r="Z112" i="6"/>
  <c r="Z31" i="6"/>
  <c r="Z165" i="6"/>
  <c r="Z166" i="6"/>
  <c r="Z167" i="6"/>
  <c r="Z208" i="6"/>
  <c r="Z141" i="6"/>
  <c r="Z168" i="6"/>
  <c r="Z56" i="6"/>
  <c r="Z283" i="6"/>
  <c r="Z234" i="6"/>
  <c r="Z196" i="6"/>
  <c r="Z142" i="6"/>
  <c r="Z175" i="6"/>
  <c r="Z176" i="6"/>
  <c r="Z131" i="6"/>
  <c r="Z12" i="6"/>
  <c r="Z296" i="6"/>
  <c r="Z197" i="6"/>
  <c r="Z209" i="6"/>
  <c r="Z143" i="6"/>
  <c r="Z210" i="6"/>
  <c r="Z132" i="6"/>
  <c r="Z13" i="6"/>
  <c r="Z46" i="6"/>
  <c r="Z260" i="6"/>
  <c r="Z24" i="6"/>
  <c r="Z235" i="6"/>
  <c r="Z198" i="6"/>
  <c r="Z72" i="6"/>
  <c r="Z261" i="6"/>
  <c r="Z38" i="6"/>
  <c r="Z73" i="6"/>
  <c r="Z74" i="6"/>
  <c r="Z284" i="6"/>
  <c r="Z75" i="6"/>
  <c r="Z236" i="6"/>
  <c r="Z237" i="6"/>
  <c r="Z211" i="6"/>
  <c r="Z272" i="6"/>
  <c r="Z212" i="6"/>
  <c r="Z133" i="6"/>
  <c r="Z76" i="6"/>
  <c r="Z213" i="6"/>
  <c r="Z25" i="6"/>
  <c r="Z135" i="6"/>
  <c r="Z238" i="6"/>
  <c r="Z161" i="6"/>
  <c r="Z77" i="6"/>
  <c r="Z262" i="6"/>
  <c r="Z273" i="6"/>
  <c r="Z126" i="6"/>
  <c r="Z144" i="6"/>
  <c r="Z239" i="6"/>
  <c r="Z274" i="6"/>
  <c r="Z57" i="6"/>
  <c r="Z214" i="6"/>
  <c r="Z275" i="6"/>
  <c r="Z285" i="6"/>
  <c r="Z118" i="6"/>
  <c r="Z119" i="6"/>
  <c r="Z14" i="6"/>
  <c r="Z120" i="6"/>
  <c r="Z199" i="6"/>
  <c r="Z153" i="6"/>
  <c r="Z215" i="6"/>
  <c r="Z200" i="6"/>
  <c r="Z26" i="6"/>
  <c r="Z263" i="6"/>
  <c r="Z121" i="6"/>
  <c r="Z127" i="6"/>
  <c r="Z240" i="6"/>
  <c r="Z241" i="6"/>
  <c r="Z242" i="6"/>
  <c r="Z58" i="6"/>
  <c r="Z39" i="6"/>
  <c r="Z44" i="6"/>
  <c r="Z177" i="6"/>
  <c r="Z78" i="6"/>
  <c r="Z32" i="6"/>
  <c r="Z190" i="6"/>
  <c r="Z137" i="6"/>
  <c r="Z138" i="6"/>
  <c r="Z243" i="6"/>
  <c r="Z244" i="6"/>
  <c r="Z245" i="6"/>
  <c r="Z33" i="6"/>
  <c r="Z79" i="6"/>
  <c r="Z113" i="6"/>
  <c r="Z246" i="6"/>
  <c r="Z247" i="6"/>
  <c r="Z286" i="6"/>
  <c r="Z287" i="6"/>
  <c r="Z34" i="6"/>
  <c r="Z178" i="6"/>
  <c r="Z154" i="6"/>
  <c r="Z248" i="6"/>
  <c r="Z276" i="6"/>
  <c r="Z249" i="6"/>
  <c r="Z80" i="6"/>
  <c r="Z250" i="6"/>
  <c r="Z81" i="6"/>
  <c r="Z264" i="6"/>
  <c r="Z162" i="6"/>
  <c r="Z288" i="6"/>
  <c r="Z145" i="6"/>
  <c r="Z59" i="6"/>
  <c r="Z216" i="6"/>
  <c r="Z217" i="6"/>
  <c r="Z218" i="6"/>
  <c r="Z201" i="6"/>
  <c r="Z219" i="6"/>
  <c r="Z128" i="6"/>
  <c r="Z146" i="6"/>
  <c r="Z147" i="6"/>
  <c r="Z179" i="6"/>
  <c r="Z155" i="6"/>
  <c r="Z220" i="6"/>
  <c r="Z202" i="6"/>
  <c r="Z221" i="6"/>
  <c r="Z222" i="6"/>
  <c r="Z203" i="6"/>
  <c r="Z223" i="6"/>
  <c r="Z224" i="6"/>
  <c r="Z225" i="6"/>
  <c r="Z148" i="6"/>
  <c r="Z150" i="6"/>
  <c r="Z82" i="6"/>
  <c r="Z186" i="6"/>
  <c r="Z187" i="6"/>
  <c r="Z188" i="6"/>
  <c r="Z169" i="6"/>
  <c r="Z191" i="6"/>
  <c r="Z193" i="6"/>
  <c r="Z194" i="6"/>
  <c r="Z164" i="6"/>
  <c r="Z251" i="6"/>
  <c r="Z205" i="6"/>
  <c r="Z253" i="6"/>
  <c r="Z254" i="6"/>
  <c r="Z255" i="6"/>
  <c r="Z277" i="6"/>
  <c r="Z256" i="6"/>
  <c r="Z257" i="6"/>
  <c r="Z266" i="6"/>
  <c r="Z267" i="6"/>
  <c r="Z279" i="6"/>
  <c r="Z280" i="6"/>
  <c r="Z281" i="6"/>
  <c r="Z227" i="6"/>
  <c r="Z157" i="6"/>
  <c r="Z35" i="6"/>
  <c r="Z151" i="6"/>
  <c r="Z289" i="6"/>
  <c r="Z268" i="6"/>
  <c r="Z269" i="6"/>
  <c r="Z122" i="6"/>
  <c r="Z228" i="6"/>
  <c r="Z229" i="6"/>
  <c r="Z230" i="6"/>
  <c r="Z258" i="6"/>
  <c r="Z270" i="6"/>
  <c r="Z231" i="6"/>
  <c r="Z83" i="6"/>
  <c r="Z84" i="6"/>
  <c r="Z63" i="6"/>
  <c r="Z60" i="6"/>
  <c r="Z291" i="6"/>
  <c r="Z292" i="6"/>
  <c r="Z293" i="6"/>
  <c r="Z294" i="6"/>
  <c r="Z171" i="6"/>
  <c r="Z172" i="6"/>
  <c r="Z181" i="6"/>
  <c r="Z158" i="6"/>
  <c r="Z173" i="6"/>
  <c r="Z259" i="6"/>
  <c r="Z295" i="6"/>
  <c r="Z61" i="6"/>
  <c r="Z15" i="6"/>
  <c r="Z16" i="6"/>
  <c r="Z17" i="6"/>
  <c r="Z18" i="6"/>
  <c r="Z19" i="6"/>
  <c r="Z20" i="6"/>
  <c r="Z182" i="6"/>
  <c r="Z36" i="6"/>
  <c r="Z183" i="6"/>
  <c r="Z174" i="6"/>
  <c r="Z184" i="6"/>
  <c r="Z185" i="6"/>
  <c r="Z102" i="6"/>
  <c r="Z301" i="6"/>
  <c r="Z307" i="6"/>
  <c r="Z299" i="6"/>
  <c r="Z300" i="6"/>
  <c r="Z302" i="6"/>
  <c r="Z303" i="6"/>
  <c r="Z304" i="6"/>
  <c r="Z305" i="6"/>
  <c r="Z306" i="6"/>
  <c r="Z308" i="6"/>
  <c r="Z309" i="6"/>
  <c r="Z310" i="6"/>
  <c r="Z311" i="6"/>
  <c r="Z312" i="6"/>
  <c r="Z313" i="6"/>
  <c r="Z315" i="6"/>
  <c r="Z316" i="6"/>
  <c r="Z317" i="6"/>
  <c r="Z318" i="6"/>
  <c r="Z319" i="6"/>
  <c r="Z320" i="6"/>
  <c r="Z321" i="6"/>
  <c r="Z322" i="6"/>
  <c r="Z323" i="6"/>
  <c r="Z324" i="6"/>
  <c r="Z325" i="6"/>
  <c r="Z326" i="6"/>
  <c r="Z327" i="6"/>
  <c r="Z328" i="6"/>
  <c r="Z329" i="6"/>
  <c r="Z330" i="6"/>
  <c r="Z331" i="6"/>
  <c r="Z332" i="6"/>
  <c r="Z333" i="6"/>
  <c r="Z334" i="6"/>
  <c r="Z335" i="6"/>
  <c r="Z336" i="6"/>
  <c r="Z337" i="6"/>
  <c r="Z338" i="6"/>
  <c r="Z339" i="6"/>
  <c r="Z340" i="6"/>
  <c r="Z341" i="6"/>
  <c r="Z346" i="6"/>
  <c r="Z342" i="6"/>
  <c r="Z343" i="6"/>
  <c r="Z347" i="6"/>
  <c r="Z344" i="6"/>
  <c r="Z345" i="6"/>
  <c r="Z356" i="6"/>
  <c r="Z366" i="6"/>
  <c r="Z361" i="6"/>
  <c r="Z348" i="6"/>
  <c r="Z362" i="6"/>
  <c r="Z349" i="6"/>
  <c r="Z350" i="6"/>
  <c r="Z351" i="6"/>
  <c r="Z352" i="6"/>
  <c r="Z353" i="6"/>
  <c r="Z354" i="6"/>
  <c r="Z355" i="6"/>
  <c r="Z363" i="6"/>
  <c r="Z364" i="6"/>
  <c r="Z365" i="6"/>
  <c r="Z367" i="6"/>
  <c r="Z368" i="6"/>
  <c r="Z369" i="6"/>
  <c r="Z357" i="6"/>
  <c r="Z358" i="6"/>
  <c r="Z359" i="6"/>
  <c r="Z360" i="6"/>
  <c r="Z380" i="6"/>
  <c r="Z370" i="6"/>
  <c r="Z371" i="6"/>
  <c r="Z372" i="6"/>
  <c r="Z373" i="6"/>
  <c r="Z374" i="6"/>
  <c r="Z375" i="6"/>
  <c r="Z376" i="6"/>
  <c r="Z377" i="6"/>
  <c r="Z378" i="6"/>
  <c r="Z379" i="6"/>
  <c r="Z383" i="6"/>
  <c r="Z386" i="6"/>
  <c r="Z382" i="6"/>
  <c r="Z385" i="6"/>
  <c r="Z384" i="6"/>
  <c r="Z410" i="6"/>
  <c r="Z388" i="6"/>
  <c r="Z409" i="6"/>
  <c r="Z408" i="6"/>
  <c r="Z391" i="6"/>
  <c r="Z392" i="6"/>
  <c r="Z393" i="6"/>
  <c r="Z394" i="6"/>
  <c r="Z395" i="6"/>
  <c r="Z390" i="6"/>
  <c r="Z406" i="6"/>
  <c r="Z396" i="6"/>
  <c r="Z397" i="6"/>
  <c r="Z398" i="6"/>
  <c r="Z399" i="6"/>
  <c r="Z400" i="6"/>
  <c r="Z401" i="6"/>
  <c r="Z387" i="6"/>
  <c r="Z407" i="6"/>
  <c r="Z402" i="6"/>
  <c r="Z389" i="6"/>
  <c r="Z411" i="6"/>
  <c r="Z403" i="6"/>
  <c r="Z404" i="6"/>
  <c r="Z405" i="6"/>
  <c r="Z3" i="6"/>
  <c r="AO29" i="5"/>
  <c r="AO9" i="5"/>
  <c r="AO11" i="5"/>
  <c r="AO10" i="5"/>
  <c r="AO269" i="5"/>
  <c r="AO4" i="5"/>
  <c r="AO17" i="5"/>
  <c r="AO18" i="5"/>
  <c r="AO12" i="5"/>
  <c r="AO36" i="5"/>
  <c r="AO2" i="5"/>
  <c r="AO13" i="5"/>
  <c r="AO35" i="5"/>
  <c r="AO37" i="5"/>
  <c r="AO21" i="5"/>
  <c r="AO25" i="5"/>
  <c r="AO26" i="5"/>
  <c r="AO22" i="5"/>
  <c r="AO286" i="5"/>
  <c r="AO268" i="5"/>
  <c r="AO288" i="5"/>
  <c r="AO273" i="5"/>
  <c r="AO293" i="5"/>
  <c r="AO281" i="5"/>
  <c r="AO291" i="5"/>
  <c r="AO282" i="5"/>
  <c r="AO279" i="5"/>
  <c r="AO294" i="5"/>
  <c r="AO8" i="5"/>
  <c r="AO3" i="5"/>
  <c r="AO295" i="5"/>
  <c r="AO285" i="5"/>
  <c r="AO289" i="5"/>
  <c r="AO287" i="5"/>
  <c r="AO290" i="5"/>
  <c r="AO5" i="5"/>
  <c r="AO14" i="5"/>
  <c r="AO280" i="5"/>
  <c r="AO27" i="5"/>
  <c r="AO15" i="5"/>
  <c r="AO28" i="5"/>
  <c r="AO32" i="5"/>
  <c r="AO33" i="5"/>
  <c r="AO118" i="5"/>
  <c r="AO404" i="5"/>
  <c r="AO49" i="5"/>
  <c r="AO277" i="5"/>
  <c r="AO67" i="5"/>
  <c r="AO242" i="5"/>
  <c r="AO39" i="5"/>
  <c r="AO47" i="5"/>
  <c r="AO244" i="5"/>
  <c r="AO245" i="5"/>
  <c r="AO247" i="5"/>
  <c r="AO243" i="5"/>
  <c r="AO246" i="5"/>
  <c r="AO40" i="5"/>
  <c r="AO65" i="5"/>
  <c r="AO38" i="5"/>
  <c r="AO121" i="5"/>
  <c r="AO62" i="5"/>
  <c r="AO41" i="5"/>
  <c r="AO42" i="5"/>
  <c r="AO388" i="5"/>
  <c r="AO43" i="5"/>
  <c r="AO44" i="5"/>
  <c r="AO45" i="5"/>
  <c r="AO124" i="5"/>
  <c r="AO154" i="5"/>
  <c r="AO254" i="5"/>
  <c r="AO177" i="5"/>
  <c r="AO165" i="5"/>
  <c r="AO249" i="5"/>
  <c r="AO109" i="5"/>
  <c r="AO170" i="5"/>
  <c r="AO223" i="5"/>
  <c r="AO52" i="5"/>
  <c r="AO50" i="5"/>
  <c r="AO51" i="5"/>
  <c r="AO53" i="5"/>
  <c r="AO255" i="5"/>
  <c r="AO55" i="5"/>
  <c r="AO274" i="5"/>
  <c r="AO407" i="5"/>
  <c r="AO56" i="5"/>
  <c r="AO396" i="5"/>
  <c r="AO57" i="5"/>
  <c r="AO58" i="5"/>
  <c r="AO60" i="5"/>
  <c r="AO256" i="5"/>
  <c r="AO59" i="5"/>
  <c r="AO122" i="5"/>
  <c r="AO64" i="5"/>
  <c r="AO98" i="5"/>
  <c r="AO68" i="5"/>
  <c r="AO69" i="5"/>
  <c r="AO71" i="5"/>
  <c r="AO63" i="5"/>
  <c r="AO96" i="5"/>
  <c r="AO46" i="5"/>
  <c r="AO115" i="5"/>
  <c r="AO275" i="5"/>
  <c r="AO241" i="5"/>
  <c r="AO48" i="5"/>
  <c r="AO190" i="5"/>
  <c r="AO162" i="5"/>
  <c r="AO70" i="5"/>
  <c r="AO183" i="5"/>
  <c r="AO185" i="5"/>
  <c r="AO384" i="5"/>
  <c r="AO391" i="5"/>
  <c r="AO392" i="5"/>
  <c r="AO393" i="5"/>
  <c r="AO394" i="5"/>
  <c r="AO395" i="5"/>
  <c r="AO398" i="5"/>
  <c r="AO399" i="5"/>
  <c r="AO400" i="5"/>
  <c r="AO401" i="5"/>
  <c r="AO402" i="5"/>
  <c r="AO403" i="5"/>
  <c r="AO406" i="5"/>
  <c r="AO409" i="5"/>
  <c r="AO410" i="5"/>
  <c r="AO411" i="5"/>
  <c r="AO164" i="5"/>
  <c r="AO296" i="5"/>
  <c r="AO75" i="5"/>
  <c r="AO127" i="5"/>
  <c r="AO125" i="5"/>
  <c r="AO264" i="5"/>
  <c r="AO135" i="5"/>
  <c r="AO232" i="5"/>
  <c r="AO74" i="5"/>
  <c r="AO89" i="5"/>
  <c r="AO78" i="5"/>
  <c r="AO128" i="5"/>
  <c r="AO130" i="5"/>
  <c r="AO73" i="5"/>
  <c r="AO72" i="5"/>
  <c r="AO140" i="5"/>
  <c r="AO199" i="5"/>
  <c r="AO171" i="5"/>
  <c r="AO259" i="5"/>
  <c r="AO260" i="5"/>
  <c r="AO258" i="5"/>
  <c r="AO263" i="5"/>
  <c r="AO54" i="5"/>
  <c r="AO266" i="5"/>
  <c r="AO82" i="5"/>
  <c r="AO84" i="5"/>
  <c r="AO265" i="5"/>
  <c r="AO81" i="5"/>
  <c r="AO83" i="5"/>
  <c r="AO86" i="5"/>
  <c r="AO252" i="5"/>
  <c r="AO261" i="5"/>
  <c r="AO85" i="5"/>
  <c r="AO92" i="5"/>
  <c r="AO251" i="5"/>
  <c r="AO347" i="5"/>
  <c r="AO334" i="5"/>
  <c r="AO344" i="5"/>
  <c r="AO345" i="5"/>
  <c r="AO330" i="5"/>
  <c r="AO342" i="5"/>
  <c r="AO318" i="5"/>
  <c r="AO319" i="5"/>
  <c r="AO336" i="5"/>
  <c r="AO340" i="5"/>
  <c r="AO338" i="5"/>
  <c r="AO339" i="5"/>
  <c r="AO316" i="5"/>
  <c r="AO328" i="5"/>
  <c r="AO317" i="5"/>
  <c r="AO321" i="5"/>
  <c r="AO332" i="5"/>
  <c r="AO322" i="5"/>
  <c r="AO326" i="5"/>
  <c r="AO320" i="5"/>
  <c r="AO323" i="5"/>
  <c r="AO337" i="5"/>
  <c r="AO327" i="5"/>
  <c r="AO331" i="5"/>
  <c r="AO341" i="5"/>
  <c r="AO329" i="5"/>
  <c r="AO324" i="5"/>
  <c r="AO333" i="5"/>
  <c r="AO335" i="5"/>
  <c r="AO325" i="5"/>
  <c r="AO299" i="5"/>
  <c r="AO300" i="5"/>
  <c r="AO301" i="5"/>
  <c r="AO302" i="5"/>
  <c r="AO315" i="5"/>
  <c r="AO382" i="5"/>
  <c r="AO386" i="5"/>
  <c r="AO93" i="5"/>
  <c r="AO95" i="5"/>
  <c r="AO172" i="5"/>
  <c r="AO79" i="5"/>
  <c r="AO94" i="5"/>
  <c r="AO106" i="5"/>
  <c r="AO107" i="5"/>
  <c r="AO108" i="5"/>
  <c r="AO156" i="5"/>
  <c r="AO150" i="5"/>
  <c r="AO278" i="5"/>
  <c r="AO97" i="5"/>
  <c r="AO253" i="5"/>
  <c r="AO262" i="5"/>
  <c r="AO228" i="5"/>
  <c r="AO66" i="5"/>
  <c r="AO276" i="5"/>
  <c r="AO143" i="5"/>
  <c r="AO101" i="5"/>
  <c r="AO100" i="5"/>
  <c r="AO99" i="5"/>
  <c r="AO193" i="5"/>
  <c r="AO157" i="5"/>
  <c r="AO102" i="5"/>
  <c r="AO103" i="5"/>
  <c r="AO346" i="5"/>
  <c r="AO343" i="5"/>
  <c r="AO310" i="5"/>
  <c r="AO307" i="5"/>
  <c r="AO311" i="5"/>
  <c r="AO306" i="5"/>
  <c r="AO309" i="5"/>
  <c r="AO308" i="5"/>
  <c r="AO305" i="5"/>
  <c r="AO312" i="5"/>
  <c r="AO313" i="5"/>
  <c r="AO304" i="5"/>
  <c r="AO314" i="5"/>
  <c r="AO351" i="5"/>
  <c r="AO356" i="5"/>
  <c r="AO366" i="5"/>
  <c r="AO385" i="5"/>
  <c r="AO349" i="5"/>
  <c r="AO358" i="5"/>
  <c r="AO357" i="5"/>
  <c r="AO369" i="5"/>
  <c r="AO367" i="5"/>
  <c r="AO368" i="5"/>
  <c r="AO352" i="5"/>
  <c r="AO353" i="5"/>
  <c r="AO355" i="5"/>
  <c r="AO354" i="5"/>
  <c r="AO348" i="5"/>
  <c r="AO364" i="5"/>
  <c r="AO361" i="5"/>
  <c r="AO363" i="5"/>
  <c r="AO365" i="5"/>
  <c r="AO362" i="5"/>
  <c r="AO360" i="5"/>
  <c r="AO359" i="5"/>
  <c r="AO350" i="5"/>
  <c r="AO161" i="5"/>
  <c r="AO272" i="5"/>
  <c r="AO90" i="5"/>
  <c r="AO91" i="5"/>
  <c r="AO137" i="5"/>
  <c r="AO16" i="5"/>
  <c r="AO189" i="5"/>
  <c r="AO197" i="5"/>
  <c r="AO196" i="5"/>
  <c r="AO194" i="5"/>
  <c r="AO144" i="5"/>
  <c r="AO195" i="5"/>
  <c r="AO114" i="5"/>
  <c r="AO198" i="5"/>
  <c r="AO224" i="5"/>
  <c r="AO119" i="5"/>
  <c r="AO152" i="5"/>
  <c r="AO201" i="5"/>
  <c r="AO202" i="5"/>
  <c r="AO237" i="5"/>
  <c r="AO284" i="5"/>
  <c r="AO179" i="5"/>
  <c r="AO222" i="5"/>
  <c r="AO187" i="5"/>
  <c r="AO208" i="5"/>
  <c r="AO203" i="5"/>
  <c r="AO105" i="5"/>
  <c r="AO139" i="5"/>
  <c r="AO77" i="5"/>
  <c r="AO397" i="5"/>
  <c r="AO204" i="5"/>
  <c r="AO205" i="5"/>
  <c r="AO234" i="5"/>
  <c r="AO235" i="5"/>
  <c r="AO110" i="5"/>
  <c r="AO238" i="5"/>
  <c r="AO111" i="5"/>
  <c r="AO112" i="5"/>
  <c r="AO178" i="5"/>
  <c r="AO206" i="5"/>
  <c r="AO250" i="5"/>
  <c r="AO163" i="5"/>
  <c r="AO236" i="5"/>
  <c r="AO283" i="5"/>
  <c r="AO248" i="5"/>
  <c r="AO117" i="5"/>
  <c r="AO200" i="5"/>
  <c r="AO292" i="5"/>
  <c r="AO23" i="5"/>
  <c r="AO405" i="5"/>
  <c r="AO166" i="5"/>
  <c r="AO24" i="5"/>
  <c r="AO207" i="5"/>
  <c r="AO271" i="5"/>
  <c r="AO6" i="5"/>
  <c r="AO153" i="5"/>
  <c r="AO151" i="5"/>
  <c r="AO390" i="5"/>
  <c r="AO7" i="5"/>
  <c r="AO113" i="5"/>
  <c r="AO76" i="5"/>
  <c r="AO231" i="5"/>
  <c r="AO80" i="5"/>
  <c r="AO147" i="5"/>
  <c r="AO191" i="5"/>
  <c r="AO221" i="5"/>
  <c r="AO134" i="5"/>
  <c r="AO192" i="5"/>
  <c r="AO120" i="5"/>
  <c r="AO136" i="5"/>
  <c r="AO173" i="5"/>
  <c r="AO174" i="5"/>
  <c r="AO180" i="5"/>
  <c r="AO182" i="5"/>
  <c r="AO184" i="5"/>
  <c r="AO389" i="5"/>
  <c r="AO131" i="5"/>
  <c r="AO210" i="5"/>
  <c r="AO214" i="5"/>
  <c r="AO167" i="5"/>
  <c r="AO88" i="5"/>
  <c r="AO267" i="5"/>
  <c r="AO212" i="5"/>
  <c r="AO209" i="5"/>
  <c r="AO211" i="5"/>
  <c r="AO159" i="5"/>
  <c r="AO160" i="5"/>
  <c r="AO257" i="5"/>
  <c r="AO168" i="5"/>
  <c r="AO87" i="5"/>
  <c r="AO132" i="5"/>
  <c r="AO239" i="5"/>
  <c r="AO229" i="5"/>
  <c r="AO145" i="5"/>
  <c r="AO169" i="5"/>
  <c r="AO158" i="5"/>
  <c r="AO138" i="5"/>
  <c r="AO186" i="5"/>
  <c r="AO226" i="5"/>
  <c r="AO383" i="5"/>
  <c r="AO141" i="5"/>
  <c r="AO216" i="5"/>
  <c r="AO155" i="5"/>
  <c r="AO227" i="5"/>
  <c r="AO126" i="5"/>
  <c r="AO215" i="5"/>
  <c r="AO230" i="5"/>
  <c r="AO217" i="5"/>
  <c r="AO123" i="5"/>
  <c r="AO133" i="5"/>
  <c r="AO181" i="5"/>
  <c r="AO218" i="5"/>
  <c r="AO219" i="5"/>
  <c r="AO220" i="5"/>
  <c r="AO213" i="5"/>
  <c r="AO104" i="5"/>
  <c r="AO146" i="5"/>
  <c r="AO148" i="5"/>
  <c r="AO142" i="5"/>
  <c r="AO61" i="5"/>
  <c r="AO116" i="5"/>
  <c r="AO129" i="5"/>
  <c r="AO149" i="5"/>
  <c r="AO175" i="5"/>
  <c r="AO176" i="5"/>
  <c r="AO188" i="5"/>
  <c r="AO225" i="5"/>
  <c r="AO31" i="5"/>
  <c r="AO233" i="5"/>
  <c r="AO34" i="5"/>
  <c r="AO240" i="5"/>
  <c r="AO387" i="5"/>
  <c r="AO370" i="5"/>
  <c r="AO378" i="5"/>
  <c r="AO377" i="5"/>
  <c r="AO372" i="5"/>
  <c r="AO375" i="5"/>
  <c r="AO380" i="5"/>
  <c r="AO379" i="5"/>
  <c r="AO371" i="5"/>
  <c r="AO374" i="5"/>
  <c r="AO373" i="5"/>
  <c r="AO376" i="5"/>
  <c r="AO270" i="5"/>
  <c r="AO408" i="5"/>
  <c r="AO297" i="5"/>
  <c r="AO30" i="5"/>
  <c r="C2" i="7"/>
  <c r="AZ142" i="1"/>
  <c r="BA142" i="1"/>
  <c r="BB142" i="1"/>
  <c r="CH142" i="1"/>
  <c r="CI142" i="1"/>
  <c r="CJ142" i="1"/>
  <c r="CK142" i="1"/>
  <c r="CL142" i="1"/>
  <c r="CM142" i="1"/>
  <c r="CN142" i="1"/>
  <c r="CO142" i="1"/>
  <c r="CP142" i="1"/>
  <c r="CQ142" i="1"/>
  <c r="CR142" i="1"/>
  <c r="CS142" i="1"/>
  <c r="BV142" i="1"/>
  <c r="BW142" i="1"/>
  <c r="BX142" i="1"/>
  <c r="BY142" i="1"/>
  <c r="BZ142" i="1"/>
  <c r="CA142" i="1"/>
  <c r="CB142" i="1"/>
  <c r="CC142" i="1"/>
  <c r="CD142" i="1"/>
  <c r="CE142" i="1"/>
  <c r="CF142" i="1"/>
  <c r="CG142" i="1"/>
  <c r="BC142" i="1"/>
  <c r="CT142" i="1"/>
  <c r="AB40" i="2"/>
  <c r="AB28" i="2"/>
  <c r="AB38" i="2"/>
  <c r="AB46" i="2"/>
  <c r="AB47" i="2"/>
  <c r="AB50" i="2"/>
  <c r="AB51" i="2"/>
  <c r="AB52" i="2"/>
  <c r="AB31" i="2"/>
  <c r="AB32" i="2"/>
  <c r="AB41" i="2"/>
  <c r="AB22" i="2"/>
  <c r="AB29" i="2"/>
  <c r="AB21" i="2"/>
  <c r="AB30" i="2"/>
  <c r="AB25" i="2"/>
  <c r="AB3" i="2"/>
  <c r="AB10" i="2"/>
  <c r="AB26" i="2"/>
  <c r="AB16" i="2"/>
  <c r="AB42" i="2"/>
  <c r="AB36" i="2"/>
  <c r="AB43" i="2"/>
  <c r="AB2" i="2"/>
  <c r="AB17" i="2"/>
  <c r="AB7" i="2"/>
  <c r="AB15" i="2"/>
  <c r="AB23" i="2"/>
  <c r="AB24" i="2"/>
  <c r="AB5" i="2"/>
  <c r="AB11" i="2"/>
  <c r="AB18" i="2"/>
  <c r="AB8" i="2"/>
  <c r="AB33" i="2"/>
  <c r="AB12" i="2"/>
  <c r="AB34" i="2"/>
  <c r="AB35" i="2"/>
  <c r="AB13" i="2"/>
  <c r="AB37" i="2"/>
  <c r="AB39" i="2"/>
  <c r="AB27" i="2"/>
  <c r="BA2" i="1"/>
  <c r="AC39" i="2"/>
  <c r="AC40" i="2"/>
  <c r="AC28" i="2"/>
  <c r="AC38" i="2"/>
  <c r="AC36" i="2"/>
  <c r="AC29" i="2"/>
  <c r="AC26" i="2"/>
  <c r="AC12" i="2"/>
  <c r="AC17" i="2"/>
  <c r="AC16" i="2"/>
  <c r="AC10" i="2"/>
  <c r="AC13" i="2"/>
  <c r="AC11" i="2"/>
  <c r="AC27" i="2"/>
  <c r="AC37" i="2"/>
  <c r="AC7" i="2"/>
  <c r="AC15" i="2"/>
  <c r="AC8" i="2"/>
  <c r="AC33" i="2"/>
  <c r="AC34" i="2"/>
  <c r="AC32" i="2"/>
  <c r="AC35" i="2"/>
  <c r="AC31" i="2"/>
  <c r="AC43" i="2"/>
  <c r="AC30" i="2"/>
  <c r="AC42" i="2"/>
  <c r="AC24" i="2"/>
  <c r="AC18" i="2"/>
  <c r="AC22" i="2"/>
  <c r="AC25" i="2"/>
  <c r="AC41" i="2"/>
  <c r="AC21" i="2"/>
  <c r="AC2" i="2"/>
  <c r="AC3" i="2"/>
  <c r="AC5" i="2"/>
  <c r="AC23" i="2"/>
  <c r="AC46" i="2"/>
  <c r="AC47" i="2"/>
  <c r="AC51" i="2"/>
  <c r="AC50" i="2"/>
  <c r="AC52" i="2"/>
  <c r="BA25" i="1"/>
  <c r="BA69" i="1"/>
  <c r="BA68" i="1"/>
  <c r="BA109" i="1"/>
  <c r="BA107" i="1"/>
  <c r="BA110" i="1"/>
  <c r="BA111" i="1"/>
  <c r="BA112" i="1"/>
  <c r="BA113" i="1"/>
  <c r="BA200" i="1"/>
  <c r="BA211" i="1"/>
  <c r="BA212" i="1"/>
  <c r="BA275" i="1"/>
  <c r="BA3" i="1"/>
  <c r="BA4" i="1"/>
  <c r="BA7" i="1"/>
  <c r="BA9" i="1"/>
  <c r="BA8" i="1"/>
  <c r="BA10" i="1"/>
  <c r="BA24" i="1"/>
  <c r="BA34" i="1"/>
  <c r="BA32" i="1"/>
  <c r="BA37" i="1"/>
  <c r="BA41" i="1"/>
  <c r="BA42" i="1"/>
  <c r="BA43" i="1"/>
  <c r="BA44" i="1"/>
  <c r="BA33" i="1"/>
  <c r="BA39" i="1"/>
  <c r="BA29" i="1"/>
  <c r="BA30" i="1"/>
  <c r="BA31" i="1"/>
  <c r="BA36" i="1"/>
  <c r="BA38" i="1"/>
  <c r="BA40" i="1"/>
  <c r="BA35" i="1"/>
  <c r="BA28" i="1"/>
  <c r="BA27" i="1"/>
  <c r="BA64" i="1"/>
  <c r="BA65" i="1"/>
  <c r="BA66" i="1"/>
  <c r="BA67" i="1"/>
  <c r="BA75" i="1"/>
  <c r="BA76" i="1"/>
  <c r="BA77" i="1"/>
  <c r="BA78" i="1"/>
  <c r="BA79" i="1"/>
  <c r="BA80" i="1"/>
  <c r="BA81" i="1"/>
  <c r="BA82" i="1"/>
  <c r="BA83" i="1"/>
  <c r="BA84" i="1"/>
  <c r="BA87" i="1"/>
  <c r="BA88" i="1"/>
  <c r="BA90" i="1"/>
  <c r="BA91" i="1"/>
  <c r="BA86" i="1"/>
  <c r="BA93" i="1"/>
  <c r="BA89" i="1"/>
  <c r="BA85" i="1"/>
  <c r="BA94" i="1"/>
  <c r="BA92" i="1"/>
  <c r="BA101" i="1"/>
  <c r="BA115" i="1"/>
  <c r="BA108" i="1"/>
  <c r="BA102" i="1"/>
  <c r="BA114" i="1"/>
  <c r="BA103" i="1"/>
  <c r="BA104" i="1"/>
  <c r="BA105" i="1"/>
  <c r="BA106" i="1"/>
  <c r="BA118" i="1"/>
  <c r="BA120" i="1"/>
  <c r="BA121" i="1"/>
  <c r="BA119" i="1"/>
  <c r="BA133" i="1"/>
  <c r="BA134" i="1"/>
  <c r="BA135" i="1"/>
  <c r="BA136" i="1"/>
  <c r="BA143" i="1"/>
  <c r="BA145" i="1"/>
  <c r="BA146" i="1"/>
  <c r="BA147" i="1"/>
  <c r="BA284" i="1"/>
  <c r="BA288" i="1"/>
  <c r="BA287" i="1"/>
  <c r="BA286" i="1"/>
  <c r="BA285" i="1"/>
  <c r="BA150" i="1"/>
  <c r="BA151" i="1"/>
  <c r="BA153" i="1"/>
  <c r="BA152" i="1"/>
  <c r="BA156" i="1"/>
  <c r="BA157" i="1"/>
  <c r="BA163" i="1"/>
  <c r="BA162" i="1"/>
  <c r="BA161" i="1"/>
  <c r="BA168" i="1"/>
  <c r="BA169" i="1"/>
  <c r="BA289" i="1"/>
  <c r="BA291" i="1"/>
  <c r="BA290" i="1"/>
  <c r="BA292" i="1"/>
  <c r="BA305" i="1"/>
  <c r="BA306" i="1"/>
  <c r="BA307" i="1"/>
  <c r="BA308" i="1"/>
  <c r="BA309" i="1"/>
  <c r="BA310" i="1"/>
  <c r="BA173" i="1"/>
  <c r="BA174" i="1"/>
  <c r="BA175" i="1"/>
  <c r="BA176" i="1"/>
  <c r="BA177" i="1"/>
  <c r="BA178" i="1"/>
  <c r="BA184" i="1"/>
  <c r="BA185" i="1"/>
  <c r="BA188" i="1"/>
  <c r="BA187" i="1"/>
  <c r="BA186" i="1"/>
  <c r="BA190" i="1"/>
  <c r="BA191" i="1"/>
  <c r="BA192" i="1"/>
  <c r="BA193" i="1"/>
  <c r="BA194" i="1"/>
  <c r="BA195" i="1"/>
  <c r="BA196" i="1"/>
  <c r="BA198" i="1"/>
  <c r="BA199" i="1"/>
  <c r="BA203" i="1"/>
  <c r="BA205" i="1"/>
  <c r="BA204" i="1"/>
  <c r="BA206" i="1"/>
  <c r="BA207" i="1"/>
  <c r="BA214" i="1"/>
  <c r="BA215" i="1"/>
  <c r="BA216" i="1"/>
  <c r="BA208" i="1"/>
  <c r="BA209" i="1"/>
  <c r="BA229" i="1"/>
  <c r="BA230" i="1"/>
  <c r="BA234" i="1"/>
  <c r="BA235" i="1"/>
  <c r="BA236" i="1"/>
  <c r="BA237" i="1"/>
  <c r="BA238" i="1"/>
  <c r="BA239" i="1"/>
  <c r="BA240" i="1"/>
  <c r="BA243" i="1"/>
  <c r="BA245" i="1"/>
  <c r="BA244" i="1"/>
  <c r="BA246" i="1"/>
  <c r="BA247" i="1"/>
  <c r="BA248" i="1"/>
  <c r="BA249" i="1"/>
  <c r="BA250" i="1"/>
  <c r="BA251" i="1"/>
  <c r="BA272" i="1"/>
  <c r="BA273" i="1"/>
  <c r="BA313" i="1"/>
  <c r="BA315" i="1"/>
  <c r="BA314" i="1"/>
  <c r="BA317" i="1"/>
  <c r="BA318" i="1"/>
  <c r="BA319" i="1"/>
  <c r="BA320" i="1"/>
  <c r="BA316" i="1"/>
  <c r="BA274" i="1"/>
  <c r="BA26" i="1"/>
  <c r="AZ26" i="1"/>
  <c r="G3" i="2"/>
  <c r="K3" i="2"/>
  <c r="T3" i="2"/>
  <c r="U3" i="2"/>
  <c r="V3" i="2"/>
  <c r="W3" i="2"/>
  <c r="AA3" i="2"/>
  <c r="AD3" i="2"/>
  <c r="AE3" i="2"/>
  <c r="AF3" i="2"/>
  <c r="AG3" i="2"/>
  <c r="AH3" i="2"/>
  <c r="AI3" i="2"/>
  <c r="AJ3" i="2"/>
  <c r="AK3" i="2"/>
  <c r="AL3" i="2"/>
  <c r="AM3" i="2"/>
  <c r="AZ134" i="1"/>
  <c r="BB134" i="1"/>
  <c r="CH134" i="1"/>
  <c r="CI134" i="1"/>
  <c r="CJ134" i="1"/>
  <c r="CK134" i="1"/>
  <c r="CL134" i="1"/>
  <c r="CM134" i="1"/>
  <c r="CN134" i="1"/>
  <c r="CO134" i="1"/>
  <c r="CP134" i="1"/>
  <c r="CQ134" i="1"/>
  <c r="CR134" i="1"/>
  <c r="CS134" i="1"/>
  <c r="BV134" i="1"/>
  <c r="BW134" i="1"/>
  <c r="BX134" i="1"/>
  <c r="BY134" i="1"/>
  <c r="BZ134" i="1"/>
  <c r="CA134" i="1"/>
  <c r="CB134" i="1"/>
  <c r="CC134" i="1"/>
  <c r="CD134" i="1"/>
  <c r="CE134" i="1"/>
  <c r="CF134" i="1"/>
  <c r="CG134" i="1"/>
  <c r="BC134" i="1"/>
  <c r="CT134" i="1"/>
  <c r="CT133" i="1"/>
  <c r="CS133" i="1"/>
  <c r="CR133" i="1"/>
  <c r="CQ133" i="1"/>
  <c r="CP133" i="1"/>
  <c r="CO133" i="1"/>
  <c r="CN133" i="1"/>
  <c r="CM133" i="1"/>
  <c r="CL133" i="1"/>
  <c r="CK133" i="1"/>
  <c r="CJ133" i="1"/>
  <c r="CI133" i="1"/>
  <c r="CH133" i="1"/>
  <c r="CG133" i="1"/>
  <c r="CF133" i="1"/>
  <c r="CE133" i="1"/>
  <c r="CD133" i="1"/>
  <c r="CC133" i="1"/>
  <c r="CB133" i="1"/>
  <c r="CA133" i="1"/>
  <c r="BZ133" i="1"/>
  <c r="BY133" i="1"/>
  <c r="BX133" i="1"/>
  <c r="BW133" i="1"/>
  <c r="BV133" i="1"/>
  <c r="BC133" i="1"/>
  <c r="BB133" i="1"/>
  <c r="AZ133" i="1"/>
  <c r="BB212" i="1"/>
  <c r="BB4" i="1"/>
  <c r="BB10" i="1"/>
  <c r="BB209" i="1"/>
  <c r="BB211" i="1"/>
  <c r="BB214" i="1"/>
  <c r="BB215" i="1"/>
  <c r="BB216" i="1"/>
  <c r="BB229" i="1"/>
  <c r="BB39" i="1"/>
  <c r="BB40" i="1"/>
  <c r="BB41" i="1"/>
  <c r="BB42" i="1"/>
  <c r="BB43" i="1"/>
  <c r="BB44" i="1"/>
  <c r="BB64" i="1"/>
  <c r="BB65" i="1"/>
  <c r="BB66" i="1"/>
  <c r="BB67" i="1"/>
  <c r="BB68" i="1"/>
  <c r="BB69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8" i="1"/>
  <c r="BB119" i="1"/>
  <c r="BB120" i="1"/>
  <c r="BB121" i="1"/>
  <c r="BB135" i="1"/>
  <c r="BB136" i="1"/>
  <c r="BB143" i="1"/>
  <c r="BB145" i="1"/>
  <c r="BB146" i="1"/>
  <c r="BB147" i="1"/>
  <c r="BB284" i="1"/>
  <c r="BB285" i="1"/>
  <c r="BB286" i="1"/>
  <c r="BB287" i="1"/>
  <c r="BB288" i="1"/>
  <c r="BB150" i="1"/>
  <c r="BB151" i="1"/>
  <c r="BB152" i="1"/>
  <c r="BB153" i="1"/>
  <c r="BB156" i="1"/>
  <c r="BB157" i="1"/>
  <c r="BB161" i="1"/>
  <c r="BB162" i="1"/>
  <c r="BB163" i="1"/>
  <c r="BB168" i="1"/>
  <c r="BB169" i="1"/>
  <c r="BB289" i="1"/>
  <c r="BB290" i="1"/>
  <c r="BB291" i="1"/>
  <c r="BB292" i="1"/>
  <c r="BB305" i="1"/>
  <c r="BB306" i="1"/>
  <c r="BB307" i="1"/>
  <c r="BB308" i="1"/>
  <c r="BB309" i="1"/>
  <c r="BB310" i="1"/>
  <c r="BB173" i="1"/>
  <c r="BB174" i="1"/>
  <c r="BB175" i="1"/>
  <c r="BB176" i="1"/>
  <c r="BB177" i="1"/>
  <c r="BB178" i="1"/>
  <c r="BB184" i="1"/>
  <c r="BB185" i="1"/>
  <c r="BB186" i="1"/>
  <c r="BB187" i="1"/>
  <c r="BB188" i="1"/>
  <c r="BB190" i="1"/>
  <c r="BB191" i="1"/>
  <c r="BB192" i="1"/>
  <c r="BB193" i="1"/>
  <c r="BB194" i="1"/>
  <c r="BB195" i="1"/>
  <c r="BB196" i="1"/>
  <c r="BB198" i="1"/>
  <c r="BB199" i="1"/>
  <c r="BB200" i="1"/>
  <c r="BB203" i="1"/>
  <c r="BB204" i="1"/>
  <c r="BB205" i="1"/>
  <c r="BB206" i="1"/>
  <c r="BB207" i="1"/>
  <c r="BB208" i="1"/>
  <c r="BB36" i="1"/>
  <c r="BB37" i="1"/>
  <c r="BB38" i="1"/>
  <c r="AZ36" i="1"/>
  <c r="AZ211" i="1"/>
  <c r="AZ212" i="1"/>
  <c r="AZ214" i="1"/>
  <c r="AZ215" i="1"/>
  <c r="AZ216" i="1"/>
  <c r="BV146" i="1"/>
  <c r="BW146" i="1"/>
  <c r="BX146" i="1"/>
  <c r="BY146" i="1"/>
  <c r="BZ146" i="1"/>
  <c r="CA146" i="1"/>
  <c r="CB146" i="1"/>
  <c r="CC146" i="1"/>
  <c r="CD146" i="1"/>
  <c r="CE146" i="1"/>
  <c r="CF146" i="1"/>
  <c r="CG146" i="1"/>
  <c r="CH146" i="1"/>
  <c r="CI146" i="1"/>
  <c r="CJ146" i="1"/>
  <c r="CK146" i="1"/>
  <c r="CL146" i="1"/>
  <c r="CM146" i="1"/>
  <c r="CN146" i="1"/>
  <c r="CO146" i="1"/>
  <c r="CP146" i="1"/>
  <c r="CQ146" i="1"/>
  <c r="CR146" i="1"/>
  <c r="CS146" i="1"/>
  <c r="CT146" i="1"/>
  <c r="BV143" i="1"/>
  <c r="BW143" i="1"/>
  <c r="BX143" i="1"/>
  <c r="BY143" i="1"/>
  <c r="BZ143" i="1"/>
  <c r="CA143" i="1"/>
  <c r="CB143" i="1"/>
  <c r="CC143" i="1"/>
  <c r="CD143" i="1"/>
  <c r="CE143" i="1"/>
  <c r="CF143" i="1"/>
  <c r="CG143" i="1"/>
  <c r="CH143" i="1"/>
  <c r="CI143" i="1"/>
  <c r="CJ143" i="1"/>
  <c r="CK143" i="1"/>
  <c r="CL143" i="1"/>
  <c r="CM143" i="1"/>
  <c r="CN143" i="1"/>
  <c r="CO143" i="1"/>
  <c r="CP143" i="1"/>
  <c r="CQ143" i="1"/>
  <c r="CR143" i="1"/>
  <c r="CS143" i="1"/>
  <c r="CT143" i="1"/>
  <c r="BV320" i="1"/>
  <c r="BW320" i="1"/>
  <c r="BX320" i="1"/>
  <c r="BY320" i="1"/>
  <c r="BZ320" i="1"/>
  <c r="CA320" i="1"/>
  <c r="CB320" i="1"/>
  <c r="CC320" i="1"/>
  <c r="CD320" i="1"/>
  <c r="CE320" i="1"/>
  <c r="CF320" i="1"/>
  <c r="CG320" i="1"/>
  <c r="CH320" i="1"/>
  <c r="CI320" i="1"/>
  <c r="CJ320" i="1"/>
  <c r="CK320" i="1"/>
  <c r="CL320" i="1"/>
  <c r="CM320" i="1"/>
  <c r="CN320" i="1"/>
  <c r="CO320" i="1"/>
  <c r="CP320" i="1"/>
  <c r="CQ320" i="1"/>
  <c r="CR320" i="1"/>
  <c r="CS320" i="1"/>
  <c r="CT320" i="1"/>
  <c r="BV319" i="1"/>
  <c r="BW319" i="1"/>
  <c r="BX319" i="1"/>
  <c r="BY319" i="1"/>
  <c r="BZ319" i="1"/>
  <c r="CA319" i="1"/>
  <c r="CB319" i="1"/>
  <c r="CC319" i="1"/>
  <c r="CD319" i="1"/>
  <c r="CE319" i="1"/>
  <c r="CF319" i="1"/>
  <c r="CG319" i="1"/>
  <c r="CH319" i="1"/>
  <c r="CI319" i="1"/>
  <c r="CJ319" i="1"/>
  <c r="CK319" i="1"/>
  <c r="CL319" i="1"/>
  <c r="CM319" i="1"/>
  <c r="CN319" i="1"/>
  <c r="CO319" i="1"/>
  <c r="CP319" i="1"/>
  <c r="CQ319" i="1"/>
  <c r="CR319" i="1"/>
  <c r="CS319" i="1"/>
  <c r="CT319" i="1"/>
  <c r="BV44" i="1"/>
  <c r="BW44" i="1"/>
  <c r="BX44" i="1"/>
  <c r="BY44" i="1"/>
  <c r="BZ44" i="1"/>
  <c r="CA44" i="1"/>
  <c r="CB44" i="1"/>
  <c r="CC44" i="1"/>
  <c r="CD44" i="1"/>
  <c r="CE44" i="1"/>
  <c r="CF44" i="1"/>
  <c r="CG44" i="1"/>
  <c r="CH44" i="1"/>
  <c r="CI44" i="1"/>
  <c r="CJ44" i="1"/>
  <c r="CK44" i="1"/>
  <c r="CL44" i="1"/>
  <c r="CM44" i="1"/>
  <c r="CN44" i="1"/>
  <c r="CO44" i="1"/>
  <c r="CP44" i="1"/>
  <c r="CQ44" i="1"/>
  <c r="CR44" i="1"/>
  <c r="CS44" i="1"/>
  <c r="CT44" i="1"/>
  <c r="BV43" i="1"/>
  <c r="BW43" i="1"/>
  <c r="BX43" i="1"/>
  <c r="BY43" i="1"/>
  <c r="BZ43" i="1"/>
  <c r="CA43" i="1"/>
  <c r="CB43" i="1"/>
  <c r="CC43" i="1"/>
  <c r="CD43" i="1"/>
  <c r="CE43" i="1"/>
  <c r="CF43" i="1"/>
  <c r="CG43" i="1"/>
  <c r="CH43" i="1"/>
  <c r="CI43" i="1"/>
  <c r="CJ43" i="1"/>
  <c r="CK43" i="1"/>
  <c r="CL43" i="1"/>
  <c r="CM43" i="1"/>
  <c r="CN43" i="1"/>
  <c r="CO43" i="1"/>
  <c r="CP43" i="1"/>
  <c r="CQ43" i="1"/>
  <c r="CR43" i="1"/>
  <c r="CS43" i="1"/>
  <c r="CT43" i="1"/>
  <c r="BV42" i="1"/>
  <c r="BW42" i="1"/>
  <c r="BX42" i="1"/>
  <c r="BY42" i="1"/>
  <c r="BZ42" i="1"/>
  <c r="CA42" i="1"/>
  <c r="CB42" i="1"/>
  <c r="CC42" i="1"/>
  <c r="CD42" i="1"/>
  <c r="CE42" i="1"/>
  <c r="CF42" i="1"/>
  <c r="CG42" i="1"/>
  <c r="CH42" i="1"/>
  <c r="CI42" i="1"/>
  <c r="CJ42" i="1"/>
  <c r="CK42" i="1"/>
  <c r="CL42" i="1"/>
  <c r="CM42" i="1"/>
  <c r="CN42" i="1"/>
  <c r="CO42" i="1"/>
  <c r="CP42" i="1"/>
  <c r="CQ42" i="1"/>
  <c r="CR42" i="1"/>
  <c r="CS42" i="1"/>
  <c r="CT42" i="1"/>
  <c r="BV41" i="1"/>
  <c r="BW41" i="1"/>
  <c r="BX41" i="1"/>
  <c r="BY41" i="1"/>
  <c r="BZ41" i="1"/>
  <c r="CA41" i="1"/>
  <c r="CB41" i="1"/>
  <c r="CC41" i="1"/>
  <c r="CD41" i="1"/>
  <c r="CE41" i="1"/>
  <c r="CF41" i="1"/>
  <c r="CG41" i="1"/>
  <c r="CH41" i="1"/>
  <c r="CI41" i="1"/>
  <c r="CJ41" i="1"/>
  <c r="CK41" i="1"/>
  <c r="CL41" i="1"/>
  <c r="CM41" i="1"/>
  <c r="CN41" i="1"/>
  <c r="CO41" i="1"/>
  <c r="CP41" i="1"/>
  <c r="CQ41" i="1"/>
  <c r="CR41" i="1"/>
  <c r="CS41" i="1"/>
  <c r="CT41" i="1"/>
  <c r="BV115" i="1"/>
  <c r="BW115" i="1"/>
  <c r="BX115" i="1"/>
  <c r="BY115" i="1"/>
  <c r="BZ115" i="1"/>
  <c r="CA115" i="1"/>
  <c r="CB115" i="1"/>
  <c r="CC115" i="1"/>
  <c r="CD115" i="1"/>
  <c r="CE115" i="1"/>
  <c r="CF115" i="1"/>
  <c r="CG115" i="1"/>
  <c r="CH115" i="1"/>
  <c r="CI115" i="1"/>
  <c r="CJ115" i="1"/>
  <c r="CK115" i="1"/>
  <c r="CL115" i="1"/>
  <c r="CM115" i="1"/>
  <c r="CN115" i="1"/>
  <c r="CO115" i="1"/>
  <c r="CP115" i="1"/>
  <c r="CQ115" i="1"/>
  <c r="CR115" i="1"/>
  <c r="CS115" i="1"/>
  <c r="CT115" i="1"/>
  <c r="BV40" i="1"/>
  <c r="BW40" i="1"/>
  <c r="BX40" i="1"/>
  <c r="BY40" i="1"/>
  <c r="BZ40" i="1"/>
  <c r="CA40" i="1"/>
  <c r="CB40" i="1"/>
  <c r="CC40" i="1"/>
  <c r="CD40" i="1"/>
  <c r="CE40" i="1"/>
  <c r="CF40" i="1"/>
  <c r="CG40" i="1"/>
  <c r="CH40" i="1"/>
  <c r="CI40" i="1"/>
  <c r="CJ40" i="1"/>
  <c r="CK40" i="1"/>
  <c r="CL40" i="1"/>
  <c r="CM40" i="1"/>
  <c r="CN40" i="1"/>
  <c r="CO40" i="1"/>
  <c r="CP40" i="1"/>
  <c r="CQ40" i="1"/>
  <c r="CR40" i="1"/>
  <c r="CS40" i="1"/>
  <c r="CT40" i="1"/>
  <c r="BV39" i="1"/>
  <c r="BW39" i="1"/>
  <c r="BX39" i="1"/>
  <c r="BY39" i="1"/>
  <c r="BZ39" i="1"/>
  <c r="CA39" i="1"/>
  <c r="CB39" i="1"/>
  <c r="CC39" i="1"/>
  <c r="CD39" i="1"/>
  <c r="CE39" i="1"/>
  <c r="CF39" i="1"/>
  <c r="CG39" i="1"/>
  <c r="CH39" i="1"/>
  <c r="CI39" i="1"/>
  <c r="CJ39" i="1"/>
  <c r="CK39" i="1"/>
  <c r="CL39" i="1"/>
  <c r="CM39" i="1"/>
  <c r="CN39" i="1"/>
  <c r="CO39" i="1"/>
  <c r="CP39" i="1"/>
  <c r="CQ39" i="1"/>
  <c r="CR39" i="1"/>
  <c r="CS39" i="1"/>
  <c r="CT39" i="1"/>
  <c r="BV38" i="1"/>
  <c r="BW38" i="1"/>
  <c r="BX38" i="1"/>
  <c r="BY38" i="1"/>
  <c r="BZ38" i="1"/>
  <c r="CA38" i="1"/>
  <c r="CB38" i="1"/>
  <c r="CC38" i="1"/>
  <c r="CD38" i="1"/>
  <c r="CE38" i="1"/>
  <c r="CF38" i="1"/>
  <c r="CG38" i="1"/>
  <c r="CH38" i="1"/>
  <c r="CI38" i="1"/>
  <c r="CJ38" i="1"/>
  <c r="CK38" i="1"/>
  <c r="CL38" i="1"/>
  <c r="CM38" i="1"/>
  <c r="CN38" i="1"/>
  <c r="CO38" i="1"/>
  <c r="CP38" i="1"/>
  <c r="CQ38" i="1"/>
  <c r="CR38" i="1"/>
  <c r="CS38" i="1"/>
  <c r="CT38" i="1"/>
  <c r="BV37" i="1"/>
  <c r="BW37" i="1"/>
  <c r="BX37" i="1"/>
  <c r="BY37" i="1"/>
  <c r="BZ37" i="1"/>
  <c r="CA37" i="1"/>
  <c r="CB37" i="1"/>
  <c r="CC37" i="1"/>
  <c r="CD37" i="1"/>
  <c r="CE37" i="1"/>
  <c r="CF37" i="1"/>
  <c r="CG37" i="1"/>
  <c r="CH37" i="1"/>
  <c r="CI37" i="1"/>
  <c r="CJ37" i="1"/>
  <c r="CK37" i="1"/>
  <c r="CL37" i="1"/>
  <c r="CM37" i="1"/>
  <c r="CN37" i="1"/>
  <c r="CO37" i="1"/>
  <c r="CP37" i="1"/>
  <c r="CQ37" i="1"/>
  <c r="CR37" i="1"/>
  <c r="CS37" i="1"/>
  <c r="CT37" i="1"/>
  <c r="BV36" i="1"/>
  <c r="BW36" i="1"/>
  <c r="BX36" i="1"/>
  <c r="BY36" i="1"/>
  <c r="BZ36" i="1"/>
  <c r="CA36" i="1"/>
  <c r="CB36" i="1"/>
  <c r="CC36" i="1"/>
  <c r="CD36" i="1"/>
  <c r="CE36" i="1"/>
  <c r="CF36" i="1"/>
  <c r="CG36" i="1"/>
  <c r="CH36" i="1"/>
  <c r="CI36" i="1"/>
  <c r="CJ36" i="1"/>
  <c r="CK36" i="1"/>
  <c r="CL36" i="1"/>
  <c r="CM36" i="1"/>
  <c r="CN36" i="1"/>
  <c r="CO36" i="1"/>
  <c r="CP36" i="1"/>
  <c r="CQ36" i="1"/>
  <c r="CR36" i="1"/>
  <c r="CS36" i="1"/>
  <c r="CT36" i="1"/>
  <c r="BV163" i="1"/>
  <c r="BW163" i="1"/>
  <c r="BX163" i="1"/>
  <c r="BY163" i="1"/>
  <c r="BZ163" i="1"/>
  <c r="CA163" i="1"/>
  <c r="CB163" i="1"/>
  <c r="CC163" i="1"/>
  <c r="CD163" i="1"/>
  <c r="CE163" i="1"/>
  <c r="CF163" i="1"/>
  <c r="CG163" i="1"/>
  <c r="CH163" i="1"/>
  <c r="CI163" i="1"/>
  <c r="CJ163" i="1"/>
  <c r="CK163" i="1"/>
  <c r="CL163" i="1"/>
  <c r="CM163" i="1"/>
  <c r="CN163" i="1"/>
  <c r="CO163" i="1"/>
  <c r="CP163" i="1"/>
  <c r="CQ163" i="1"/>
  <c r="CR163" i="1"/>
  <c r="CS163" i="1"/>
  <c r="CT163" i="1"/>
  <c r="BV162" i="1"/>
  <c r="BW162" i="1"/>
  <c r="BX162" i="1"/>
  <c r="BY162" i="1"/>
  <c r="BZ162" i="1"/>
  <c r="CA162" i="1"/>
  <c r="CB162" i="1"/>
  <c r="CC162" i="1"/>
  <c r="CD162" i="1"/>
  <c r="CE162" i="1"/>
  <c r="CF162" i="1"/>
  <c r="CG162" i="1"/>
  <c r="CH162" i="1"/>
  <c r="CI162" i="1"/>
  <c r="CJ162" i="1"/>
  <c r="CK162" i="1"/>
  <c r="CL162" i="1"/>
  <c r="CM162" i="1"/>
  <c r="CN162" i="1"/>
  <c r="CO162" i="1"/>
  <c r="CP162" i="1"/>
  <c r="CQ162" i="1"/>
  <c r="CR162" i="1"/>
  <c r="CS162" i="1"/>
  <c r="CT162" i="1"/>
  <c r="BV35" i="1"/>
  <c r="BW35" i="1"/>
  <c r="BX35" i="1"/>
  <c r="BY35" i="1"/>
  <c r="BZ35" i="1"/>
  <c r="CA35" i="1"/>
  <c r="CB35" i="1"/>
  <c r="CC35" i="1"/>
  <c r="CD35" i="1"/>
  <c r="CE35" i="1"/>
  <c r="CF35" i="1"/>
  <c r="CG35" i="1"/>
  <c r="CH35" i="1"/>
  <c r="CI35" i="1"/>
  <c r="CJ35" i="1"/>
  <c r="CK35" i="1"/>
  <c r="CL35" i="1"/>
  <c r="CM35" i="1"/>
  <c r="CN35" i="1"/>
  <c r="CO35" i="1"/>
  <c r="CP35" i="1"/>
  <c r="CQ35" i="1"/>
  <c r="CR35" i="1"/>
  <c r="CS35" i="1"/>
  <c r="CT35" i="1"/>
  <c r="BV94" i="1"/>
  <c r="BW94" i="1"/>
  <c r="BX94" i="1"/>
  <c r="BY94" i="1"/>
  <c r="BZ94" i="1"/>
  <c r="CA94" i="1"/>
  <c r="CB94" i="1"/>
  <c r="CC94" i="1"/>
  <c r="CD94" i="1"/>
  <c r="CE94" i="1"/>
  <c r="CF94" i="1"/>
  <c r="CG94" i="1"/>
  <c r="CH94" i="1"/>
  <c r="CI94" i="1"/>
  <c r="CJ94" i="1"/>
  <c r="CK94" i="1"/>
  <c r="CL94" i="1"/>
  <c r="CM94" i="1"/>
  <c r="CN94" i="1"/>
  <c r="CO94" i="1"/>
  <c r="CP94" i="1"/>
  <c r="CQ94" i="1"/>
  <c r="CR94" i="1"/>
  <c r="CS94" i="1"/>
  <c r="CT94" i="1"/>
  <c r="BV216" i="1"/>
  <c r="BW216" i="1"/>
  <c r="BX216" i="1"/>
  <c r="BY216" i="1"/>
  <c r="BZ216" i="1"/>
  <c r="CA216" i="1"/>
  <c r="CB216" i="1"/>
  <c r="CC216" i="1"/>
  <c r="CD216" i="1"/>
  <c r="CE216" i="1"/>
  <c r="CF216" i="1"/>
  <c r="CG216" i="1"/>
  <c r="CH216" i="1"/>
  <c r="CI216" i="1"/>
  <c r="CJ216" i="1"/>
  <c r="CK216" i="1"/>
  <c r="CL216" i="1"/>
  <c r="CM216" i="1"/>
  <c r="CN216" i="1"/>
  <c r="CO216" i="1"/>
  <c r="CP216" i="1"/>
  <c r="CQ216" i="1"/>
  <c r="CR216" i="1"/>
  <c r="CS216" i="1"/>
  <c r="CT216" i="1"/>
  <c r="BV292" i="1"/>
  <c r="BW292" i="1"/>
  <c r="BX292" i="1"/>
  <c r="BY292" i="1"/>
  <c r="BZ292" i="1"/>
  <c r="CA292" i="1"/>
  <c r="CB292" i="1"/>
  <c r="CC292" i="1"/>
  <c r="CD292" i="1"/>
  <c r="CE292" i="1"/>
  <c r="CF292" i="1"/>
  <c r="CG292" i="1"/>
  <c r="CH292" i="1"/>
  <c r="CI292" i="1"/>
  <c r="CJ292" i="1"/>
  <c r="CK292" i="1"/>
  <c r="CL292" i="1"/>
  <c r="CM292" i="1"/>
  <c r="CN292" i="1"/>
  <c r="CO292" i="1"/>
  <c r="CP292" i="1"/>
  <c r="CQ292" i="1"/>
  <c r="CR292" i="1"/>
  <c r="CS292" i="1"/>
  <c r="CT292" i="1"/>
  <c r="BV215" i="1"/>
  <c r="BW215" i="1"/>
  <c r="BX215" i="1"/>
  <c r="BY215" i="1"/>
  <c r="BZ215" i="1"/>
  <c r="CA215" i="1"/>
  <c r="CB215" i="1"/>
  <c r="CC215" i="1"/>
  <c r="CD215" i="1"/>
  <c r="CE215" i="1"/>
  <c r="CF215" i="1"/>
  <c r="CG215" i="1"/>
  <c r="CH215" i="1"/>
  <c r="CI215" i="1"/>
  <c r="CJ215" i="1"/>
  <c r="CK215" i="1"/>
  <c r="CL215" i="1"/>
  <c r="CM215" i="1"/>
  <c r="CN215" i="1"/>
  <c r="CO215" i="1"/>
  <c r="CP215" i="1"/>
  <c r="CQ215" i="1"/>
  <c r="CR215" i="1"/>
  <c r="CS215" i="1"/>
  <c r="CT215" i="1"/>
  <c r="BV79" i="1"/>
  <c r="BW79" i="1"/>
  <c r="BX79" i="1"/>
  <c r="BY79" i="1"/>
  <c r="BZ79" i="1"/>
  <c r="CA79" i="1"/>
  <c r="CB79" i="1"/>
  <c r="CC79" i="1"/>
  <c r="CD79" i="1"/>
  <c r="CE79" i="1"/>
  <c r="CF79" i="1"/>
  <c r="CG79" i="1"/>
  <c r="CH79" i="1"/>
  <c r="CI79" i="1"/>
  <c r="CJ79" i="1"/>
  <c r="CK79" i="1"/>
  <c r="CL79" i="1"/>
  <c r="CM79" i="1"/>
  <c r="CN79" i="1"/>
  <c r="CO79" i="1"/>
  <c r="CP79" i="1"/>
  <c r="CQ79" i="1"/>
  <c r="CR79" i="1"/>
  <c r="CS79" i="1"/>
  <c r="CT79" i="1"/>
  <c r="BV206" i="1"/>
  <c r="BW206" i="1"/>
  <c r="BX206" i="1"/>
  <c r="BY206" i="1"/>
  <c r="BZ206" i="1"/>
  <c r="CA206" i="1"/>
  <c r="CB206" i="1"/>
  <c r="CC206" i="1"/>
  <c r="CD206" i="1"/>
  <c r="CE206" i="1"/>
  <c r="CF206" i="1"/>
  <c r="CG206" i="1"/>
  <c r="CH206" i="1"/>
  <c r="CI206" i="1"/>
  <c r="CJ206" i="1"/>
  <c r="CK206" i="1"/>
  <c r="CL206" i="1"/>
  <c r="CM206" i="1"/>
  <c r="CN206" i="1"/>
  <c r="CO206" i="1"/>
  <c r="CP206" i="1"/>
  <c r="CQ206" i="1"/>
  <c r="CR206" i="1"/>
  <c r="CS206" i="1"/>
  <c r="CT206" i="1"/>
  <c r="BV205" i="1"/>
  <c r="BW205" i="1"/>
  <c r="BX205" i="1"/>
  <c r="BY205" i="1"/>
  <c r="BZ205" i="1"/>
  <c r="CA205" i="1"/>
  <c r="CB205" i="1"/>
  <c r="CC205" i="1"/>
  <c r="CD205" i="1"/>
  <c r="CE205" i="1"/>
  <c r="CF205" i="1"/>
  <c r="CG205" i="1"/>
  <c r="CH205" i="1"/>
  <c r="CI205" i="1"/>
  <c r="CJ205" i="1"/>
  <c r="CK205" i="1"/>
  <c r="CL205" i="1"/>
  <c r="CM205" i="1"/>
  <c r="CN205" i="1"/>
  <c r="CO205" i="1"/>
  <c r="CP205" i="1"/>
  <c r="CQ205" i="1"/>
  <c r="CR205" i="1"/>
  <c r="CS205" i="1"/>
  <c r="CT205" i="1"/>
  <c r="BV114" i="1"/>
  <c r="BW114" i="1"/>
  <c r="BX114" i="1"/>
  <c r="BY114" i="1"/>
  <c r="BZ114" i="1"/>
  <c r="CA114" i="1"/>
  <c r="CB114" i="1"/>
  <c r="CC114" i="1"/>
  <c r="CD114" i="1"/>
  <c r="CE114" i="1"/>
  <c r="CF114" i="1"/>
  <c r="CG114" i="1"/>
  <c r="CH114" i="1"/>
  <c r="CI114" i="1"/>
  <c r="CJ114" i="1"/>
  <c r="CK114" i="1"/>
  <c r="CL114" i="1"/>
  <c r="CM114" i="1"/>
  <c r="CN114" i="1"/>
  <c r="CO114" i="1"/>
  <c r="CP114" i="1"/>
  <c r="CQ114" i="1"/>
  <c r="CR114" i="1"/>
  <c r="CS114" i="1"/>
  <c r="CT114" i="1"/>
  <c r="BV65" i="1"/>
  <c r="BW65" i="1"/>
  <c r="BX65" i="1"/>
  <c r="BY65" i="1"/>
  <c r="BZ65" i="1"/>
  <c r="CA65" i="1"/>
  <c r="CB65" i="1"/>
  <c r="CC65" i="1"/>
  <c r="CD65" i="1"/>
  <c r="CE65" i="1"/>
  <c r="CF65" i="1"/>
  <c r="CG65" i="1"/>
  <c r="CH65" i="1"/>
  <c r="CI65" i="1"/>
  <c r="CJ65" i="1"/>
  <c r="CK65" i="1"/>
  <c r="CL65" i="1"/>
  <c r="CM65" i="1"/>
  <c r="CN65" i="1"/>
  <c r="CO65" i="1"/>
  <c r="CP65" i="1"/>
  <c r="CQ65" i="1"/>
  <c r="CR65" i="1"/>
  <c r="CS65" i="1"/>
  <c r="CT65" i="1"/>
  <c r="BV310" i="1"/>
  <c r="BW310" i="1"/>
  <c r="BX310" i="1"/>
  <c r="BY310" i="1"/>
  <c r="BZ310" i="1"/>
  <c r="CA310" i="1"/>
  <c r="CB310" i="1"/>
  <c r="CC310" i="1"/>
  <c r="CD310" i="1"/>
  <c r="CE310" i="1"/>
  <c r="CF310" i="1"/>
  <c r="CG310" i="1"/>
  <c r="CH310" i="1"/>
  <c r="CI310" i="1"/>
  <c r="CJ310" i="1"/>
  <c r="CK310" i="1"/>
  <c r="CL310" i="1"/>
  <c r="CM310" i="1"/>
  <c r="CN310" i="1"/>
  <c r="CO310" i="1"/>
  <c r="CP310" i="1"/>
  <c r="CQ310" i="1"/>
  <c r="CR310" i="1"/>
  <c r="CS310" i="1"/>
  <c r="CT310" i="1"/>
  <c r="BV309" i="1"/>
  <c r="BW309" i="1"/>
  <c r="BX309" i="1"/>
  <c r="BY309" i="1"/>
  <c r="BZ309" i="1"/>
  <c r="CA309" i="1"/>
  <c r="CB309" i="1"/>
  <c r="CC309" i="1"/>
  <c r="CD309" i="1"/>
  <c r="CE309" i="1"/>
  <c r="CF309" i="1"/>
  <c r="CG309" i="1"/>
  <c r="CH309" i="1"/>
  <c r="CI309" i="1"/>
  <c r="CJ309" i="1"/>
  <c r="CK309" i="1"/>
  <c r="CL309" i="1"/>
  <c r="CM309" i="1"/>
  <c r="CN309" i="1"/>
  <c r="CO309" i="1"/>
  <c r="CP309" i="1"/>
  <c r="CQ309" i="1"/>
  <c r="CR309" i="1"/>
  <c r="CS309" i="1"/>
  <c r="CT309" i="1"/>
  <c r="BV200" i="1"/>
  <c r="BW200" i="1"/>
  <c r="BX200" i="1"/>
  <c r="BY200" i="1"/>
  <c r="BZ200" i="1"/>
  <c r="CA200" i="1"/>
  <c r="CB200" i="1"/>
  <c r="CC200" i="1"/>
  <c r="CD200" i="1"/>
  <c r="CE200" i="1"/>
  <c r="CF200" i="1"/>
  <c r="CG200" i="1"/>
  <c r="CH200" i="1"/>
  <c r="CI200" i="1"/>
  <c r="CJ200" i="1"/>
  <c r="CK200" i="1"/>
  <c r="CL200" i="1"/>
  <c r="CM200" i="1"/>
  <c r="CN200" i="1"/>
  <c r="CO200" i="1"/>
  <c r="CP200" i="1"/>
  <c r="CQ200" i="1"/>
  <c r="CR200" i="1"/>
  <c r="CS200" i="1"/>
  <c r="CT200" i="1"/>
  <c r="BV93" i="1"/>
  <c r="BW93" i="1"/>
  <c r="BX93" i="1"/>
  <c r="BY93" i="1"/>
  <c r="BZ93" i="1"/>
  <c r="CA93" i="1"/>
  <c r="CB93" i="1"/>
  <c r="CC93" i="1"/>
  <c r="CD93" i="1"/>
  <c r="CE93" i="1"/>
  <c r="CF93" i="1"/>
  <c r="CG93" i="1"/>
  <c r="CH93" i="1"/>
  <c r="CI93" i="1"/>
  <c r="CJ93" i="1"/>
  <c r="CK93" i="1"/>
  <c r="CL93" i="1"/>
  <c r="CM93" i="1"/>
  <c r="CN93" i="1"/>
  <c r="CO93" i="1"/>
  <c r="CP93" i="1"/>
  <c r="CQ93" i="1"/>
  <c r="CR93" i="1"/>
  <c r="CS93" i="1"/>
  <c r="CT93" i="1"/>
  <c r="BV230" i="1"/>
  <c r="BW230" i="1"/>
  <c r="BX230" i="1"/>
  <c r="BY230" i="1"/>
  <c r="BZ230" i="1"/>
  <c r="CA230" i="1"/>
  <c r="CB230" i="1"/>
  <c r="CC230" i="1"/>
  <c r="CD230" i="1"/>
  <c r="CE230" i="1"/>
  <c r="CF230" i="1"/>
  <c r="CG230" i="1"/>
  <c r="CH230" i="1"/>
  <c r="CI230" i="1"/>
  <c r="CJ230" i="1"/>
  <c r="CK230" i="1"/>
  <c r="CL230" i="1"/>
  <c r="CM230" i="1"/>
  <c r="CN230" i="1"/>
  <c r="CO230" i="1"/>
  <c r="CP230" i="1"/>
  <c r="CQ230" i="1"/>
  <c r="CR230" i="1"/>
  <c r="CS230" i="1"/>
  <c r="CT230" i="1"/>
  <c r="BV121" i="1"/>
  <c r="BW121" i="1"/>
  <c r="BX121" i="1"/>
  <c r="BY121" i="1"/>
  <c r="BZ121" i="1"/>
  <c r="CA121" i="1"/>
  <c r="CB121" i="1"/>
  <c r="CC121" i="1"/>
  <c r="CD121" i="1"/>
  <c r="CE121" i="1"/>
  <c r="CF121" i="1"/>
  <c r="CG121" i="1"/>
  <c r="CH121" i="1"/>
  <c r="CI121" i="1"/>
  <c r="CJ121" i="1"/>
  <c r="CK121" i="1"/>
  <c r="CL121" i="1"/>
  <c r="CM121" i="1"/>
  <c r="CN121" i="1"/>
  <c r="CO121" i="1"/>
  <c r="CP121" i="1"/>
  <c r="CQ121" i="1"/>
  <c r="CR121" i="1"/>
  <c r="CS121" i="1"/>
  <c r="CT121" i="1"/>
  <c r="BV238" i="1"/>
  <c r="BW238" i="1"/>
  <c r="BX238" i="1"/>
  <c r="BY238" i="1"/>
  <c r="BZ238" i="1"/>
  <c r="CA238" i="1"/>
  <c r="CB238" i="1"/>
  <c r="CC238" i="1"/>
  <c r="CD238" i="1"/>
  <c r="CE238" i="1"/>
  <c r="CF238" i="1"/>
  <c r="CG238" i="1"/>
  <c r="CH238" i="1"/>
  <c r="CI238" i="1"/>
  <c r="CJ238" i="1"/>
  <c r="CK238" i="1"/>
  <c r="CL238" i="1"/>
  <c r="CM238" i="1"/>
  <c r="CN238" i="1"/>
  <c r="CO238" i="1"/>
  <c r="CP238" i="1"/>
  <c r="CQ238" i="1"/>
  <c r="CR238" i="1"/>
  <c r="CS238" i="1"/>
  <c r="CT238" i="1"/>
  <c r="BV237" i="1"/>
  <c r="BW237" i="1"/>
  <c r="BX237" i="1"/>
  <c r="BY237" i="1"/>
  <c r="BZ237" i="1"/>
  <c r="CA237" i="1"/>
  <c r="CB237" i="1"/>
  <c r="CC237" i="1"/>
  <c r="CD237" i="1"/>
  <c r="CE237" i="1"/>
  <c r="CF237" i="1"/>
  <c r="CG237" i="1"/>
  <c r="CH237" i="1"/>
  <c r="CI237" i="1"/>
  <c r="CJ237" i="1"/>
  <c r="CK237" i="1"/>
  <c r="CL237" i="1"/>
  <c r="CM237" i="1"/>
  <c r="CN237" i="1"/>
  <c r="CO237" i="1"/>
  <c r="CP237" i="1"/>
  <c r="CQ237" i="1"/>
  <c r="CR237" i="1"/>
  <c r="CS237" i="1"/>
  <c r="CT237" i="1"/>
  <c r="BV287" i="1"/>
  <c r="BW287" i="1"/>
  <c r="BX287" i="1"/>
  <c r="BY287" i="1"/>
  <c r="BZ287" i="1"/>
  <c r="CA287" i="1"/>
  <c r="CB287" i="1"/>
  <c r="CC287" i="1"/>
  <c r="CD287" i="1"/>
  <c r="CE287" i="1"/>
  <c r="CF287" i="1"/>
  <c r="CG287" i="1"/>
  <c r="CH287" i="1"/>
  <c r="CI287" i="1"/>
  <c r="CJ287" i="1"/>
  <c r="CK287" i="1"/>
  <c r="CL287" i="1"/>
  <c r="CM287" i="1"/>
  <c r="CN287" i="1"/>
  <c r="CO287" i="1"/>
  <c r="CP287" i="1"/>
  <c r="CQ287" i="1"/>
  <c r="CR287" i="1"/>
  <c r="CS287" i="1"/>
  <c r="CT287" i="1"/>
  <c r="BV178" i="1"/>
  <c r="BW178" i="1"/>
  <c r="BX178" i="1"/>
  <c r="BY178" i="1"/>
  <c r="BZ178" i="1"/>
  <c r="CA178" i="1"/>
  <c r="CB178" i="1"/>
  <c r="CC178" i="1"/>
  <c r="CD178" i="1"/>
  <c r="CE178" i="1"/>
  <c r="CF178" i="1"/>
  <c r="CG178" i="1"/>
  <c r="CH178" i="1"/>
  <c r="CI178" i="1"/>
  <c r="CJ178" i="1"/>
  <c r="CK178" i="1"/>
  <c r="CL178" i="1"/>
  <c r="CM178" i="1"/>
  <c r="CN178" i="1"/>
  <c r="CO178" i="1"/>
  <c r="CP178" i="1"/>
  <c r="CQ178" i="1"/>
  <c r="CR178" i="1"/>
  <c r="CS178" i="1"/>
  <c r="CT178" i="1"/>
  <c r="BV177" i="1"/>
  <c r="BW177" i="1"/>
  <c r="BX177" i="1"/>
  <c r="BY177" i="1"/>
  <c r="BZ177" i="1"/>
  <c r="CA177" i="1"/>
  <c r="CB177" i="1"/>
  <c r="CC177" i="1"/>
  <c r="CD177" i="1"/>
  <c r="CE177" i="1"/>
  <c r="CF177" i="1"/>
  <c r="CG177" i="1"/>
  <c r="CH177" i="1"/>
  <c r="CI177" i="1"/>
  <c r="CJ177" i="1"/>
  <c r="CK177" i="1"/>
  <c r="CL177" i="1"/>
  <c r="CM177" i="1"/>
  <c r="CN177" i="1"/>
  <c r="CO177" i="1"/>
  <c r="CP177" i="1"/>
  <c r="CQ177" i="1"/>
  <c r="CR177" i="1"/>
  <c r="CS177" i="1"/>
  <c r="CT177" i="1"/>
  <c r="BV176" i="1"/>
  <c r="BW176" i="1"/>
  <c r="BX176" i="1"/>
  <c r="BY176" i="1"/>
  <c r="BZ176" i="1"/>
  <c r="CA176" i="1"/>
  <c r="CB176" i="1"/>
  <c r="CC176" i="1"/>
  <c r="CD176" i="1"/>
  <c r="CE176" i="1"/>
  <c r="CF176" i="1"/>
  <c r="CG176" i="1"/>
  <c r="CH176" i="1"/>
  <c r="CI176" i="1"/>
  <c r="CJ176" i="1"/>
  <c r="CK176" i="1"/>
  <c r="CL176" i="1"/>
  <c r="CM176" i="1"/>
  <c r="CN176" i="1"/>
  <c r="CO176" i="1"/>
  <c r="CP176" i="1"/>
  <c r="CQ176" i="1"/>
  <c r="CR176" i="1"/>
  <c r="CS176" i="1"/>
  <c r="CT176" i="1"/>
  <c r="BV119" i="1"/>
  <c r="BW119" i="1"/>
  <c r="BX119" i="1"/>
  <c r="BY119" i="1"/>
  <c r="BZ119" i="1"/>
  <c r="CA119" i="1"/>
  <c r="CB119" i="1"/>
  <c r="CC119" i="1"/>
  <c r="CD119" i="1"/>
  <c r="CE119" i="1"/>
  <c r="CF119" i="1"/>
  <c r="CG119" i="1"/>
  <c r="CH119" i="1"/>
  <c r="CI119" i="1"/>
  <c r="CJ119" i="1"/>
  <c r="CK119" i="1"/>
  <c r="CL119" i="1"/>
  <c r="CM119" i="1"/>
  <c r="CN119" i="1"/>
  <c r="CO119" i="1"/>
  <c r="CP119" i="1"/>
  <c r="CQ119" i="1"/>
  <c r="CR119" i="1"/>
  <c r="CS119" i="1"/>
  <c r="CT119" i="1"/>
  <c r="BV275" i="1"/>
  <c r="BW275" i="1"/>
  <c r="BX275" i="1"/>
  <c r="BY275" i="1"/>
  <c r="BZ275" i="1"/>
  <c r="CA275" i="1"/>
  <c r="CB275" i="1"/>
  <c r="CC275" i="1"/>
  <c r="CD275" i="1"/>
  <c r="CE275" i="1"/>
  <c r="CF275" i="1"/>
  <c r="CG275" i="1"/>
  <c r="CH275" i="1"/>
  <c r="CI275" i="1"/>
  <c r="CJ275" i="1"/>
  <c r="CK275" i="1"/>
  <c r="CL275" i="1"/>
  <c r="CM275" i="1"/>
  <c r="CN275" i="1"/>
  <c r="CO275" i="1"/>
  <c r="CP275" i="1"/>
  <c r="CQ275" i="1"/>
  <c r="CR275" i="1"/>
  <c r="CS275" i="1"/>
  <c r="CT275" i="1"/>
  <c r="BV245" i="1"/>
  <c r="BW245" i="1"/>
  <c r="BX245" i="1"/>
  <c r="BY245" i="1"/>
  <c r="BZ245" i="1"/>
  <c r="CA245" i="1"/>
  <c r="CB245" i="1"/>
  <c r="CC245" i="1"/>
  <c r="CD245" i="1"/>
  <c r="CE245" i="1"/>
  <c r="CF245" i="1"/>
  <c r="CG245" i="1"/>
  <c r="CH245" i="1"/>
  <c r="CI245" i="1"/>
  <c r="CJ245" i="1"/>
  <c r="CK245" i="1"/>
  <c r="CL245" i="1"/>
  <c r="CM245" i="1"/>
  <c r="CN245" i="1"/>
  <c r="CO245" i="1"/>
  <c r="CP245" i="1"/>
  <c r="CQ245" i="1"/>
  <c r="CR245" i="1"/>
  <c r="CS245" i="1"/>
  <c r="CT245" i="1"/>
  <c r="BV244" i="1"/>
  <c r="BW244" i="1"/>
  <c r="BX244" i="1"/>
  <c r="BY244" i="1"/>
  <c r="BZ244" i="1"/>
  <c r="CA244" i="1"/>
  <c r="CB244" i="1"/>
  <c r="CC244" i="1"/>
  <c r="CD244" i="1"/>
  <c r="CE244" i="1"/>
  <c r="CF244" i="1"/>
  <c r="CG244" i="1"/>
  <c r="CH244" i="1"/>
  <c r="CI244" i="1"/>
  <c r="CJ244" i="1"/>
  <c r="CK244" i="1"/>
  <c r="CL244" i="1"/>
  <c r="CM244" i="1"/>
  <c r="CN244" i="1"/>
  <c r="CO244" i="1"/>
  <c r="CP244" i="1"/>
  <c r="CQ244" i="1"/>
  <c r="CR244" i="1"/>
  <c r="CS244" i="1"/>
  <c r="CT244" i="1"/>
  <c r="BV188" i="1"/>
  <c r="BW188" i="1"/>
  <c r="BX188" i="1"/>
  <c r="BY188" i="1"/>
  <c r="BZ188" i="1"/>
  <c r="CA188" i="1"/>
  <c r="CB188" i="1"/>
  <c r="CC188" i="1"/>
  <c r="CD188" i="1"/>
  <c r="CE188" i="1"/>
  <c r="CF188" i="1"/>
  <c r="CG188" i="1"/>
  <c r="CH188" i="1"/>
  <c r="CI188" i="1"/>
  <c r="CJ188" i="1"/>
  <c r="CK188" i="1"/>
  <c r="CL188" i="1"/>
  <c r="CM188" i="1"/>
  <c r="CN188" i="1"/>
  <c r="CO188" i="1"/>
  <c r="CP188" i="1"/>
  <c r="CQ188" i="1"/>
  <c r="CR188" i="1"/>
  <c r="CS188" i="1"/>
  <c r="CT188" i="1"/>
  <c r="BV187" i="1"/>
  <c r="BW187" i="1"/>
  <c r="BX187" i="1"/>
  <c r="BY187" i="1"/>
  <c r="BZ187" i="1"/>
  <c r="CA187" i="1"/>
  <c r="CB187" i="1"/>
  <c r="CC187" i="1"/>
  <c r="CD187" i="1"/>
  <c r="CE187" i="1"/>
  <c r="CF187" i="1"/>
  <c r="CG187" i="1"/>
  <c r="CH187" i="1"/>
  <c r="CI187" i="1"/>
  <c r="CJ187" i="1"/>
  <c r="CK187" i="1"/>
  <c r="CL187" i="1"/>
  <c r="CM187" i="1"/>
  <c r="CN187" i="1"/>
  <c r="CO187" i="1"/>
  <c r="CP187" i="1"/>
  <c r="CQ187" i="1"/>
  <c r="CR187" i="1"/>
  <c r="CS187" i="1"/>
  <c r="CT187" i="1"/>
  <c r="BV34" i="1"/>
  <c r="BW34" i="1"/>
  <c r="BX34" i="1"/>
  <c r="BY34" i="1"/>
  <c r="BZ34" i="1"/>
  <c r="CA34" i="1"/>
  <c r="CB34" i="1"/>
  <c r="CC34" i="1"/>
  <c r="CD34" i="1"/>
  <c r="CE34" i="1"/>
  <c r="CF34" i="1"/>
  <c r="CG34" i="1"/>
  <c r="CH34" i="1"/>
  <c r="CI34" i="1"/>
  <c r="CJ34" i="1"/>
  <c r="CK34" i="1"/>
  <c r="CL34" i="1"/>
  <c r="CM34" i="1"/>
  <c r="CN34" i="1"/>
  <c r="CO34" i="1"/>
  <c r="CP34" i="1"/>
  <c r="CQ34" i="1"/>
  <c r="CR34" i="1"/>
  <c r="CS34" i="1"/>
  <c r="CT34" i="1"/>
  <c r="BV77" i="1"/>
  <c r="BW77" i="1"/>
  <c r="BX77" i="1"/>
  <c r="BY77" i="1"/>
  <c r="BZ77" i="1"/>
  <c r="CA77" i="1"/>
  <c r="CB77" i="1"/>
  <c r="CC77" i="1"/>
  <c r="CD77" i="1"/>
  <c r="CE77" i="1"/>
  <c r="CF77" i="1"/>
  <c r="CG77" i="1"/>
  <c r="CH77" i="1"/>
  <c r="CI77" i="1"/>
  <c r="CJ77" i="1"/>
  <c r="CK77" i="1"/>
  <c r="CL77" i="1"/>
  <c r="CM77" i="1"/>
  <c r="CN77" i="1"/>
  <c r="CO77" i="1"/>
  <c r="CP77" i="1"/>
  <c r="CQ77" i="1"/>
  <c r="CR77" i="1"/>
  <c r="CS77" i="1"/>
  <c r="CT77" i="1"/>
  <c r="BV76" i="1"/>
  <c r="BW76" i="1"/>
  <c r="BX76" i="1"/>
  <c r="BY76" i="1"/>
  <c r="BZ76" i="1"/>
  <c r="CA76" i="1"/>
  <c r="CB76" i="1"/>
  <c r="CC76" i="1"/>
  <c r="CD76" i="1"/>
  <c r="CE76" i="1"/>
  <c r="CF76" i="1"/>
  <c r="CG76" i="1"/>
  <c r="CH76" i="1"/>
  <c r="CI76" i="1"/>
  <c r="CJ76" i="1"/>
  <c r="CK76" i="1"/>
  <c r="CL76" i="1"/>
  <c r="CM76" i="1"/>
  <c r="CN76" i="1"/>
  <c r="CO76" i="1"/>
  <c r="CP76" i="1"/>
  <c r="CQ76" i="1"/>
  <c r="CR76" i="1"/>
  <c r="CS76" i="1"/>
  <c r="CT76" i="1"/>
  <c r="BV240" i="1"/>
  <c r="BW240" i="1"/>
  <c r="BX240" i="1"/>
  <c r="BY240" i="1"/>
  <c r="BZ240" i="1"/>
  <c r="CA240" i="1"/>
  <c r="CB240" i="1"/>
  <c r="CC240" i="1"/>
  <c r="CD240" i="1"/>
  <c r="CE240" i="1"/>
  <c r="CF240" i="1"/>
  <c r="CG240" i="1"/>
  <c r="CH240" i="1"/>
  <c r="CI240" i="1"/>
  <c r="CJ240" i="1"/>
  <c r="CK240" i="1"/>
  <c r="CL240" i="1"/>
  <c r="CM240" i="1"/>
  <c r="CN240" i="1"/>
  <c r="CO240" i="1"/>
  <c r="CP240" i="1"/>
  <c r="CQ240" i="1"/>
  <c r="CR240" i="1"/>
  <c r="CS240" i="1"/>
  <c r="CT240" i="1"/>
  <c r="BV153" i="1"/>
  <c r="BW153" i="1"/>
  <c r="BX153" i="1"/>
  <c r="BY153" i="1"/>
  <c r="BZ153" i="1"/>
  <c r="CA153" i="1"/>
  <c r="CB153" i="1"/>
  <c r="CC153" i="1"/>
  <c r="CD153" i="1"/>
  <c r="CE153" i="1"/>
  <c r="CF153" i="1"/>
  <c r="CG153" i="1"/>
  <c r="CH153" i="1"/>
  <c r="CI153" i="1"/>
  <c r="CJ153" i="1"/>
  <c r="CK153" i="1"/>
  <c r="CL153" i="1"/>
  <c r="CM153" i="1"/>
  <c r="CN153" i="1"/>
  <c r="CO153" i="1"/>
  <c r="CP153" i="1"/>
  <c r="CQ153" i="1"/>
  <c r="CR153" i="1"/>
  <c r="CS153" i="1"/>
  <c r="CT153" i="1"/>
  <c r="BV192" i="1"/>
  <c r="BW192" i="1"/>
  <c r="BX192" i="1"/>
  <c r="BY192" i="1"/>
  <c r="BZ192" i="1"/>
  <c r="CA192" i="1"/>
  <c r="CB192" i="1"/>
  <c r="CC192" i="1"/>
  <c r="CD192" i="1"/>
  <c r="CE192" i="1"/>
  <c r="CF192" i="1"/>
  <c r="CG192" i="1"/>
  <c r="CH192" i="1"/>
  <c r="CI192" i="1"/>
  <c r="CJ192" i="1"/>
  <c r="CK192" i="1"/>
  <c r="CL192" i="1"/>
  <c r="CM192" i="1"/>
  <c r="CN192" i="1"/>
  <c r="CO192" i="1"/>
  <c r="CP192" i="1"/>
  <c r="CQ192" i="1"/>
  <c r="CR192" i="1"/>
  <c r="CS192" i="1"/>
  <c r="CT192" i="1"/>
  <c r="BV113" i="1"/>
  <c r="BW113" i="1"/>
  <c r="BX113" i="1"/>
  <c r="BY113" i="1"/>
  <c r="BZ113" i="1"/>
  <c r="CA113" i="1"/>
  <c r="CB113" i="1"/>
  <c r="CC113" i="1"/>
  <c r="CD113" i="1"/>
  <c r="CE113" i="1"/>
  <c r="CF113" i="1"/>
  <c r="CG113" i="1"/>
  <c r="CH113" i="1"/>
  <c r="CI113" i="1"/>
  <c r="CJ113" i="1"/>
  <c r="CK113" i="1"/>
  <c r="CL113" i="1"/>
  <c r="CM113" i="1"/>
  <c r="CN113" i="1"/>
  <c r="CO113" i="1"/>
  <c r="CP113" i="1"/>
  <c r="CQ113" i="1"/>
  <c r="CR113" i="1"/>
  <c r="CS113" i="1"/>
  <c r="CT113" i="1"/>
  <c r="BV318" i="1"/>
  <c r="BW318" i="1"/>
  <c r="BX318" i="1"/>
  <c r="BY318" i="1"/>
  <c r="BZ318" i="1"/>
  <c r="CA318" i="1"/>
  <c r="CB318" i="1"/>
  <c r="CC318" i="1"/>
  <c r="CD318" i="1"/>
  <c r="CE318" i="1"/>
  <c r="CF318" i="1"/>
  <c r="CG318" i="1"/>
  <c r="CH318" i="1"/>
  <c r="CI318" i="1"/>
  <c r="CJ318" i="1"/>
  <c r="CK318" i="1"/>
  <c r="CL318" i="1"/>
  <c r="CM318" i="1"/>
  <c r="CN318" i="1"/>
  <c r="CO318" i="1"/>
  <c r="CP318" i="1"/>
  <c r="CQ318" i="1"/>
  <c r="CR318" i="1"/>
  <c r="CS318" i="1"/>
  <c r="CT318" i="1"/>
  <c r="BV317" i="1"/>
  <c r="BW317" i="1"/>
  <c r="BX317" i="1"/>
  <c r="BY317" i="1"/>
  <c r="BZ317" i="1"/>
  <c r="CA317" i="1"/>
  <c r="CB317" i="1"/>
  <c r="CC317" i="1"/>
  <c r="CD317" i="1"/>
  <c r="CE317" i="1"/>
  <c r="CF317" i="1"/>
  <c r="CG317" i="1"/>
  <c r="CH317" i="1"/>
  <c r="CI317" i="1"/>
  <c r="CJ317" i="1"/>
  <c r="CK317" i="1"/>
  <c r="CL317" i="1"/>
  <c r="CM317" i="1"/>
  <c r="CN317" i="1"/>
  <c r="CO317" i="1"/>
  <c r="CP317" i="1"/>
  <c r="CQ317" i="1"/>
  <c r="CR317" i="1"/>
  <c r="CS317" i="1"/>
  <c r="CT317" i="1"/>
  <c r="BV249" i="1"/>
  <c r="BW249" i="1"/>
  <c r="BX249" i="1"/>
  <c r="BY249" i="1"/>
  <c r="BZ249" i="1"/>
  <c r="CA249" i="1"/>
  <c r="CB249" i="1"/>
  <c r="CC249" i="1"/>
  <c r="CD249" i="1"/>
  <c r="CE249" i="1"/>
  <c r="CF249" i="1"/>
  <c r="CG249" i="1"/>
  <c r="CH249" i="1"/>
  <c r="CI249" i="1"/>
  <c r="CJ249" i="1"/>
  <c r="CK249" i="1"/>
  <c r="CL249" i="1"/>
  <c r="CM249" i="1"/>
  <c r="CN249" i="1"/>
  <c r="CO249" i="1"/>
  <c r="CP249" i="1"/>
  <c r="CQ249" i="1"/>
  <c r="CR249" i="1"/>
  <c r="CS249" i="1"/>
  <c r="CT249" i="1"/>
  <c r="BV248" i="1"/>
  <c r="BW248" i="1"/>
  <c r="BX248" i="1"/>
  <c r="BY248" i="1"/>
  <c r="BZ248" i="1"/>
  <c r="CA248" i="1"/>
  <c r="CB248" i="1"/>
  <c r="CC248" i="1"/>
  <c r="CD248" i="1"/>
  <c r="CE248" i="1"/>
  <c r="CF248" i="1"/>
  <c r="CG248" i="1"/>
  <c r="CH248" i="1"/>
  <c r="CI248" i="1"/>
  <c r="CJ248" i="1"/>
  <c r="CK248" i="1"/>
  <c r="CL248" i="1"/>
  <c r="CM248" i="1"/>
  <c r="CN248" i="1"/>
  <c r="CO248" i="1"/>
  <c r="CP248" i="1"/>
  <c r="CQ248" i="1"/>
  <c r="CR248" i="1"/>
  <c r="CS248" i="1"/>
  <c r="CT248" i="1"/>
  <c r="BV169" i="1"/>
  <c r="BW169" i="1"/>
  <c r="BX169" i="1"/>
  <c r="BY169" i="1"/>
  <c r="BZ169" i="1"/>
  <c r="CA169" i="1"/>
  <c r="CB169" i="1"/>
  <c r="CC169" i="1"/>
  <c r="CD169" i="1"/>
  <c r="CE169" i="1"/>
  <c r="CF169" i="1"/>
  <c r="CG169" i="1"/>
  <c r="CH169" i="1"/>
  <c r="CI169" i="1"/>
  <c r="CJ169" i="1"/>
  <c r="CK169" i="1"/>
  <c r="CL169" i="1"/>
  <c r="CM169" i="1"/>
  <c r="CN169" i="1"/>
  <c r="CO169" i="1"/>
  <c r="CP169" i="1"/>
  <c r="CQ169" i="1"/>
  <c r="CR169" i="1"/>
  <c r="CS169" i="1"/>
  <c r="CT169" i="1"/>
  <c r="BV306" i="1"/>
  <c r="BW306" i="1"/>
  <c r="BX306" i="1"/>
  <c r="BY306" i="1"/>
  <c r="BZ306" i="1"/>
  <c r="CA306" i="1"/>
  <c r="CB306" i="1"/>
  <c r="CC306" i="1"/>
  <c r="CD306" i="1"/>
  <c r="CE306" i="1"/>
  <c r="CF306" i="1"/>
  <c r="CG306" i="1"/>
  <c r="CH306" i="1"/>
  <c r="CI306" i="1"/>
  <c r="CJ306" i="1"/>
  <c r="CK306" i="1"/>
  <c r="CL306" i="1"/>
  <c r="CM306" i="1"/>
  <c r="CN306" i="1"/>
  <c r="CO306" i="1"/>
  <c r="CP306" i="1"/>
  <c r="CQ306" i="1"/>
  <c r="CR306" i="1"/>
  <c r="CS306" i="1"/>
  <c r="CT306" i="1"/>
  <c r="BV308" i="1"/>
  <c r="BW308" i="1"/>
  <c r="BX308" i="1"/>
  <c r="BY308" i="1"/>
  <c r="BZ308" i="1"/>
  <c r="CA308" i="1"/>
  <c r="CB308" i="1"/>
  <c r="CC308" i="1"/>
  <c r="CD308" i="1"/>
  <c r="CE308" i="1"/>
  <c r="CF308" i="1"/>
  <c r="CG308" i="1"/>
  <c r="CH308" i="1"/>
  <c r="CI308" i="1"/>
  <c r="CJ308" i="1"/>
  <c r="CK308" i="1"/>
  <c r="CL308" i="1"/>
  <c r="CM308" i="1"/>
  <c r="CN308" i="1"/>
  <c r="CO308" i="1"/>
  <c r="CP308" i="1"/>
  <c r="CQ308" i="1"/>
  <c r="CR308" i="1"/>
  <c r="CS308" i="1"/>
  <c r="CT308" i="1"/>
  <c r="BV316" i="1"/>
  <c r="BW316" i="1"/>
  <c r="BX316" i="1"/>
  <c r="BY316" i="1"/>
  <c r="BZ316" i="1"/>
  <c r="CA316" i="1"/>
  <c r="CB316" i="1"/>
  <c r="CC316" i="1"/>
  <c r="CD316" i="1"/>
  <c r="CE316" i="1"/>
  <c r="CF316" i="1"/>
  <c r="CG316" i="1"/>
  <c r="CH316" i="1"/>
  <c r="CI316" i="1"/>
  <c r="CJ316" i="1"/>
  <c r="CK316" i="1"/>
  <c r="CL316" i="1"/>
  <c r="CM316" i="1"/>
  <c r="CN316" i="1"/>
  <c r="CO316" i="1"/>
  <c r="CP316" i="1"/>
  <c r="CQ316" i="1"/>
  <c r="CR316" i="1"/>
  <c r="CS316" i="1"/>
  <c r="CT316" i="1"/>
  <c r="BV247" i="1"/>
  <c r="BW247" i="1"/>
  <c r="BX247" i="1"/>
  <c r="BY247" i="1"/>
  <c r="BZ247" i="1"/>
  <c r="CA247" i="1"/>
  <c r="CB247" i="1"/>
  <c r="CC247" i="1"/>
  <c r="CD247" i="1"/>
  <c r="CE247" i="1"/>
  <c r="CF247" i="1"/>
  <c r="CG247" i="1"/>
  <c r="CH247" i="1"/>
  <c r="CI247" i="1"/>
  <c r="CJ247" i="1"/>
  <c r="CK247" i="1"/>
  <c r="CL247" i="1"/>
  <c r="CM247" i="1"/>
  <c r="CN247" i="1"/>
  <c r="CO247" i="1"/>
  <c r="CP247" i="1"/>
  <c r="CQ247" i="1"/>
  <c r="CR247" i="1"/>
  <c r="CS247" i="1"/>
  <c r="CT247" i="1"/>
  <c r="BV10" i="1"/>
  <c r="BW10" i="1"/>
  <c r="BX10" i="1"/>
  <c r="BY10" i="1"/>
  <c r="BZ10" i="1"/>
  <c r="CA10" i="1"/>
  <c r="CB10" i="1"/>
  <c r="CC10" i="1"/>
  <c r="CD10" i="1"/>
  <c r="CE10" i="1"/>
  <c r="CF10" i="1"/>
  <c r="CG10" i="1"/>
  <c r="CH10" i="1"/>
  <c r="CI10" i="1"/>
  <c r="CJ10" i="1"/>
  <c r="CK10" i="1"/>
  <c r="CL10" i="1"/>
  <c r="CM10" i="1"/>
  <c r="CN10" i="1"/>
  <c r="CO10" i="1"/>
  <c r="CP10" i="1"/>
  <c r="CQ10" i="1"/>
  <c r="CR10" i="1"/>
  <c r="CS10" i="1"/>
  <c r="CT10" i="1"/>
  <c r="BV191" i="1"/>
  <c r="BW191" i="1"/>
  <c r="BX191" i="1"/>
  <c r="BY191" i="1"/>
  <c r="BZ191" i="1"/>
  <c r="CA191" i="1"/>
  <c r="CB191" i="1"/>
  <c r="CC191" i="1"/>
  <c r="CD191" i="1"/>
  <c r="CE191" i="1"/>
  <c r="CF191" i="1"/>
  <c r="CG191" i="1"/>
  <c r="CH191" i="1"/>
  <c r="CI191" i="1"/>
  <c r="CJ191" i="1"/>
  <c r="CK191" i="1"/>
  <c r="CL191" i="1"/>
  <c r="CM191" i="1"/>
  <c r="CN191" i="1"/>
  <c r="CO191" i="1"/>
  <c r="CP191" i="1"/>
  <c r="CQ191" i="1"/>
  <c r="CR191" i="1"/>
  <c r="CS191" i="1"/>
  <c r="CT191" i="1"/>
  <c r="BV315" i="1"/>
  <c r="BW315" i="1"/>
  <c r="BX315" i="1"/>
  <c r="BY315" i="1"/>
  <c r="BZ315" i="1"/>
  <c r="CA315" i="1"/>
  <c r="CB315" i="1"/>
  <c r="CC315" i="1"/>
  <c r="CD315" i="1"/>
  <c r="CE315" i="1"/>
  <c r="CF315" i="1"/>
  <c r="CG315" i="1"/>
  <c r="CH315" i="1"/>
  <c r="CI315" i="1"/>
  <c r="CJ315" i="1"/>
  <c r="CK315" i="1"/>
  <c r="CL315" i="1"/>
  <c r="CM315" i="1"/>
  <c r="CN315" i="1"/>
  <c r="CO315" i="1"/>
  <c r="CP315" i="1"/>
  <c r="CQ315" i="1"/>
  <c r="CR315" i="1"/>
  <c r="CS315" i="1"/>
  <c r="CT315" i="1"/>
  <c r="BV69" i="1"/>
  <c r="BW69" i="1"/>
  <c r="BX69" i="1"/>
  <c r="BY69" i="1"/>
  <c r="BZ69" i="1"/>
  <c r="CA69" i="1"/>
  <c r="CB69" i="1"/>
  <c r="CC69" i="1"/>
  <c r="CD69" i="1"/>
  <c r="CE69" i="1"/>
  <c r="CF69" i="1"/>
  <c r="CG69" i="1"/>
  <c r="CH69" i="1"/>
  <c r="CI69" i="1"/>
  <c r="CJ69" i="1"/>
  <c r="CK69" i="1"/>
  <c r="CL69" i="1"/>
  <c r="CM69" i="1"/>
  <c r="CN69" i="1"/>
  <c r="CO69" i="1"/>
  <c r="CP69" i="1"/>
  <c r="CQ69" i="1"/>
  <c r="CR69" i="1"/>
  <c r="CS69" i="1"/>
  <c r="CT69" i="1"/>
  <c r="BV68" i="1"/>
  <c r="BW68" i="1"/>
  <c r="BX68" i="1"/>
  <c r="BY68" i="1"/>
  <c r="BZ68" i="1"/>
  <c r="CA68" i="1"/>
  <c r="CB68" i="1"/>
  <c r="CC68" i="1"/>
  <c r="CD68" i="1"/>
  <c r="CE68" i="1"/>
  <c r="CF68" i="1"/>
  <c r="CG68" i="1"/>
  <c r="CH68" i="1"/>
  <c r="CI68" i="1"/>
  <c r="CJ68" i="1"/>
  <c r="CK68" i="1"/>
  <c r="CL68" i="1"/>
  <c r="CM68" i="1"/>
  <c r="CN68" i="1"/>
  <c r="CO68" i="1"/>
  <c r="CP68" i="1"/>
  <c r="CQ68" i="1"/>
  <c r="CR68" i="1"/>
  <c r="CS68" i="1"/>
  <c r="CT68" i="1"/>
  <c r="BV136" i="1"/>
  <c r="BW136" i="1"/>
  <c r="BX136" i="1"/>
  <c r="BY136" i="1"/>
  <c r="BZ136" i="1"/>
  <c r="CA136" i="1"/>
  <c r="CB136" i="1"/>
  <c r="CC136" i="1"/>
  <c r="CD136" i="1"/>
  <c r="CE136" i="1"/>
  <c r="CF136" i="1"/>
  <c r="CG136" i="1"/>
  <c r="CH136" i="1"/>
  <c r="CI136" i="1"/>
  <c r="CJ136" i="1"/>
  <c r="CK136" i="1"/>
  <c r="CL136" i="1"/>
  <c r="CM136" i="1"/>
  <c r="CN136" i="1"/>
  <c r="CO136" i="1"/>
  <c r="CP136" i="1"/>
  <c r="CQ136" i="1"/>
  <c r="CR136" i="1"/>
  <c r="CS136" i="1"/>
  <c r="CT136" i="1"/>
  <c r="BV112" i="1"/>
  <c r="BW112" i="1"/>
  <c r="BX112" i="1"/>
  <c r="BY112" i="1"/>
  <c r="BZ112" i="1"/>
  <c r="CA112" i="1"/>
  <c r="CB112" i="1"/>
  <c r="CC112" i="1"/>
  <c r="CD112" i="1"/>
  <c r="CE112" i="1"/>
  <c r="CF112" i="1"/>
  <c r="CG112" i="1"/>
  <c r="CH112" i="1"/>
  <c r="CI112" i="1"/>
  <c r="CJ112" i="1"/>
  <c r="CK112" i="1"/>
  <c r="CL112" i="1"/>
  <c r="CM112" i="1"/>
  <c r="CN112" i="1"/>
  <c r="CO112" i="1"/>
  <c r="CP112" i="1"/>
  <c r="CQ112" i="1"/>
  <c r="CR112" i="1"/>
  <c r="CS112" i="1"/>
  <c r="CT112" i="1"/>
  <c r="BV111" i="1"/>
  <c r="BW111" i="1"/>
  <c r="BX111" i="1"/>
  <c r="BY111" i="1"/>
  <c r="BZ111" i="1"/>
  <c r="CA111" i="1"/>
  <c r="CB111" i="1"/>
  <c r="CC111" i="1"/>
  <c r="CD111" i="1"/>
  <c r="CE111" i="1"/>
  <c r="CF111" i="1"/>
  <c r="CG111" i="1"/>
  <c r="CH111" i="1"/>
  <c r="CI111" i="1"/>
  <c r="CJ111" i="1"/>
  <c r="CK111" i="1"/>
  <c r="CL111" i="1"/>
  <c r="CM111" i="1"/>
  <c r="CN111" i="1"/>
  <c r="CO111" i="1"/>
  <c r="CP111" i="1"/>
  <c r="CQ111" i="1"/>
  <c r="CR111" i="1"/>
  <c r="CS111" i="1"/>
  <c r="CT111" i="1"/>
  <c r="BV110" i="1"/>
  <c r="BW110" i="1"/>
  <c r="BX110" i="1"/>
  <c r="BY110" i="1"/>
  <c r="BZ110" i="1"/>
  <c r="CA110" i="1"/>
  <c r="CB110" i="1"/>
  <c r="CC110" i="1"/>
  <c r="CD110" i="1"/>
  <c r="CE110" i="1"/>
  <c r="CF110" i="1"/>
  <c r="CG110" i="1"/>
  <c r="CH110" i="1"/>
  <c r="CI110" i="1"/>
  <c r="CJ110" i="1"/>
  <c r="CK110" i="1"/>
  <c r="CL110" i="1"/>
  <c r="CM110" i="1"/>
  <c r="CN110" i="1"/>
  <c r="CO110" i="1"/>
  <c r="CP110" i="1"/>
  <c r="CQ110" i="1"/>
  <c r="CR110" i="1"/>
  <c r="CS110" i="1"/>
  <c r="CT110" i="1"/>
  <c r="BV290" i="1"/>
  <c r="BW290" i="1"/>
  <c r="BX290" i="1"/>
  <c r="BY290" i="1"/>
  <c r="BZ290" i="1"/>
  <c r="CA290" i="1"/>
  <c r="CB290" i="1"/>
  <c r="CC290" i="1"/>
  <c r="CD290" i="1"/>
  <c r="CE290" i="1"/>
  <c r="CF290" i="1"/>
  <c r="CG290" i="1"/>
  <c r="CH290" i="1"/>
  <c r="CI290" i="1"/>
  <c r="CJ290" i="1"/>
  <c r="CK290" i="1"/>
  <c r="CL290" i="1"/>
  <c r="CM290" i="1"/>
  <c r="CN290" i="1"/>
  <c r="CO290" i="1"/>
  <c r="CP290" i="1"/>
  <c r="CQ290" i="1"/>
  <c r="CR290" i="1"/>
  <c r="CS290" i="1"/>
  <c r="CT290" i="1"/>
  <c r="BV285" i="1"/>
  <c r="BW285" i="1"/>
  <c r="BX285" i="1"/>
  <c r="BY285" i="1"/>
  <c r="BZ285" i="1"/>
  <c r="CA285" i="1"/>
  <c r="CB285" i="1"/>
  <c r="CC285" i="1"/>
  <c r="CD285" i="1"/>
  <c r="CE285" i="1"/>
  <c r="CF285" i="1"/>
  <c r="CG285" i="1"/>
  <c r="CH285" i="1"/>
  <c r="CI285" i="1"/>
  <c r="CJ285" i="1"/>
  <c r="CK285" i="1"/>
  <c r="CL285" i="1"/>
  <c r="CM285" i="1"/>
  <c r="CN285" i="1"/>
  <c r="CO285" i="1"/>
  <c r="CP285" i="1"/>
  <c r="CQ285" i="1"/>
  <c r="CR285" i="1"/>
  <c r="CS285" i="1"/>
  <c r="CT285" i="1"/>
  <c r="BV314" i="1"/>
  <c r="BW314" i="1"/>
  <c r="BX314" i="1"/>
  <c r="BY314" i="1"/>
  <c r="BZ314" i="1"/>
  <c r="CA314" i="1"/>
  <c r="CB314" i="1"/>
  <c r="CC314" i="1"/>
  <c r="CD314" i="1"/>
  <c r="CE314" i="1"/>
  <c r="CF314" i="1"/>
  <c r="CG314" i="1"/>
  <c r="CH314" i="1"/>
  <c r="CI314" i="1"/>
  <c r="CJ314" i="1"/>
  <c r="CK314" i="1"/>
  <c r="CL314" i="1"/>
  <c r="CM314" i="1"/>
  <c r="CN314" i="1"/>
  <c r="CO314" i="1"/>
  <c r="CP314" i="1"/>
  <c r="CQ314" i="1"/>
  <c r="CR314" i="1"/>
  <c r="CS314" i="1"/>
  <c r="CT314" i="1"/>
  <c r="BV214" i="1"/>
  <c r="BW214" i="1"/>
  <c r="BX214" i="1"/>
  <c r="BY214" i="1"/>
  <c r="BZ214" i="1"/>
  <c r="CA214" i="1"/>
  <c r="CB214" i="1"/>
  <c r="CC214" i="1"/>
  <c r="CD214" i="1"/>
  <c r="CE214" i="1"/>
  <c r="CF214" i="1"/>
  <c r="CG214" i="1"/>
  <c r="CH214" i="1"/>
  <c r="CI214" i="1"/>
  <c r="CJ214" i="1"/>
  <c r="CK214" i="1"/>
  <c r="CL214" i="1"/>
  <c r="CM214" i="1"/>
  <c r="CN214" i="1"/>
  <c r="CO214" i="1"/>
  <c r="CP214" i="1"/>
  <c r="CQ214" i="1"/>
  <c r="CR214" i="1"/>
  <c r="CS214" i="1"/>
  <c r="CT214" i="1"/>
  <c r="BV8" i="1"/>
  <c r="BW8" i="1"/>
  <c r="BX8" i="1"/>
  <c r="BY8" i="1"/>
  <c r="BZ8" i="1"/>
  <c r="CA8" i="1"/>
  <c r="CB8" i="1"/>
  <c r="CC8" i="1"/>
  <c r="CD8" i="1"/>
  <c r="CE8" i="1"/>
  <c r="CF8" i="1"/>
  <c r="CG8" i="1"/>
  <c r="CH8" i="1"/>
  <c r="CI8" i="1"/>
  <c r="CJ8" i="1"/>
  <c r="CK8" i="1"/>
  <c r="CL8" i="1"/>
  <c r="CM8" i="1"/>
  <c r="CN8" i="1"/>
  <c r="CO8" i="1"/>
  <c r="CP8" i="1"/>
  <c r="CQ8" i="1"/>
  <c r="CR8" i="1"/>
  <c r="CS8" i="1"/>
  <c r="CT8" i="1"/>
  <c r="BV4" i="1"/>
  <c r="BW4" i="1"/>
  <c r="BX4" i="1"/>
  <c r="BY4" i="1"/>
  <c r="BZ4" i="1"/>
  <c r="CA4" i="1"/>
  <c r="CB4" i="1"/>
  <c r="CC4" i="1"/>
  <c r="CD4" i="1"/>
  <c r="CE4" i="1"/>
  <c r="CF4" i="1"/>
  <c r="CG4" i="1"/>
  <c r="CH4" i="1"/>
  <c r="CI4" i="1"/>
  <c r="CJ4" i="1"/>
  <c r="CK4" i="1"/>
  <c r="CL4" i="1"/>
  <c r="CM4" i="1"/>
  <c r="CN4" i="1"/>
  <c r="CO4" i="1"/>
  <c r="CP4" i="1"/>
  <c r="CQ4" i="1"/>
  <c r="CR4" i="1"/>
  <c r="CS4" i="1"/>
  <c r="CT4" i="1"/>
  <c r="BV3" i="1"/>
  <c r="BW3" i="1"/>
  <c r="BX3" i="1"/>
  <c r="BY3" i="1"/>
  <c r="BZ3" i="1"/>
  <c r="CA3" i="1"/>
  <c r="CB3" i="1"/>
  <c r="CC3" i="1"/>
  <c r="CD3" i="1"/>
  <c r="CE3" i="1"/>
  <c r="CF3" i="1"/>
  <c r="CG3" i="1"/>
  <c r="CH3" i="1"/>
  <c r="CI3" i="1"/>
  <c r="CJ3" i="1"/>
  <c r="CK3" i="1"/>
  <c r="CL3" i="1"/>
  <c r="CM3" i="1"/>
  <c r="CN3" i="1"/>
  <c r="CO3" i="1"/>
  <c r="CP3" i="1"/>
  <c r="CQ3" i="1"/>
  <c r="CR3" i="1"/>
  <c r="CS3" i="1"/>
  <c r="CT3" i="1"/>
  <c r="BV186" i="1"/>
  <c r="BW186" i="1"/>
  <c r="BX186" i="1"/>
  <c r="BY186" i="1"/>
  <c r="BZ186" i="1"/>
  <c r="CA186" i="1"/>
  <c r="CB186" i="1"/>
  <c r="CC186" i="1"/>
  <c r="CD186" i="1"/>
  <c r="CE186" i="1"/>
  <c r="CF186" i="1"/>
  <c r="CG186" i="1"/>
  <c r="CH186" i="1"/>
  <c r="CI186" i="1"/>
  <c r="CJ186" i="1"/>
  <c r="CK186" i="1"/>
  <c r="CL186" i="1"/>
  <c r="CM186" i="1"/>
  <c r="CN186" i="1"/>
  <c r="CO186" i="1"/>
  <c r="CP186" i="1"/>
  <c r="CQ186" i="1"/>
  <c r="CR186" i="1"/>
  <c r="CS186" i="1"/>
  <c r="CT186" i="1"/>
  <c r="BV92" i="1"/>
  <c r="BW92" i="1"/>
  <c r="BX92" i="1"/>
  <c r="BY92" i="1"/>
  <c r="BZ92" i="1"/>
  <c r="CA92" i="1"/>
  <c r="CB92" i="1"/>
  <c r="CC92" i="1"/>
  <c r="CD92" i="1"/>
  <c r="CE92" i="1"/>
  <c r="CF92" i="1"/>
  <c r="CG92" i="1"/>
  <c r="CH92" i="1"/>
  <c r="CI92" i="1"/>
  <c r="CJ92" i="1"/>
  <c r="CK92" i="1"/>
  <c r="CL92" i="1"/>
  <c r="CM92" i="1"/>
  <c r="CN92" i="1"/>
  <c r="CO92" i="1"/>
  <c r="CP92" i="1"/>
  <c r="CQ92" i="1"/>
  <c r="CR92" i="1"/>
  <c r="CS92" i="1"/>
  <c r="CT92" i="1"/>
  <c r="BV194" i="1"/>
  <c r="BW194" i="1"/>
  <c r="BX194" i="1"/>
  <c r="BY194" i="1"/>
  <c r="BZ194" i="1"/>
  <c r="CA194" i="1"/>
  <c r="CB194" i="1"/>
  <c r="CC194" i="1"/>
  <c r="CD194" i="1"/>
  <c r="CE194" i="1"/>
  <c r="CF194" i="1"/>
  <c r="CG194" i="1"/>
  <c r="CH194" i="1"/>
  <c r="CI194" i="1"/>
  <c r="CJ194" i="1"/>
  <c r="CK194" i="1"/>
  <c r="CL194" i="1"/>
  <c r="CM194" i="1"/>
  <c r="CN194" i="1"/>
  <c r="CO194" i="1"/>
  <c r="CP194" i="1"/>
  <c r="CQ194" i="1"/>
  <c r="CR194" i="1"/>
  <c r="CS194" i="1"/>
  <c r="CT194" i="1"/>
  <c r="BV33" i="1"/>
  <c r="BW33" i="1"/>
  <c r="BX33" i="1"/>
  <c r="BY33" i="1"/>
  <c r="BZ33" i="1"/>
  <c r="CA33" i="1"/>
  <c r="CB33" i="1"/>
  <c r="CC33" i="1"/>
  <c r="CD33" i="1"/>
  <c r="CE33" i="1"/>
  <c r="CF33" i="1"/>
  <c r="CG33" i="1"/>
  <c r="CH33" i="1"/>
  <c r="CI33" i="1"/>
  <c r="CJ33" i="1"/>
  <c r="CK33" i="1"/>
  <c r="CL33" i="1"/>
  <c r="CM33" i="1"/>
  <c r="CN33" i="1"/>
  <c r="CO33" i="1"/>
  <c r="CP33" i="1"/>
  <c r="CQ33" i="1"/>
  <c r="CR33" i="1"/>
  <c r="CS33" i="1"/>
  <c r="CT33" i="1"/>
  <c r="BV204" i="1"/>
  <c r="BW204" i="1"/>
  <c r="BX204" i="1"/>
  <c r="BY204" i="1"/>
  <c r="BZ204" i="1"/>
  <c r="CA204" i="1"/>
  <c r="CB204" i="1"/>
  <c r="CC204" i="1"/>
  <c r="CD204" i="1"/>
  <c r="CE204" i="1"/>
  <c r="CF204" i="1"/>
  <c r="CG204" i="1"/>
  <c r="CH204" i="1"/>
  <c r="CI204" i="1"/>
  <c r="CJ204" i="1"/>
  <c r="CK204" i="1"/>
  <c r="CL204" i="1"/>
  <c r="CM204" i="1"/>
  <c r="CN204" i="1"/>
  <c r="CO204" i="1"/>
  <c r="CP204" i="1"/>
  <c r="CQ204" i="1"/>
  <c r="CR204" i="1"/>
  <c r="CS204" i="1"/>
  <c r="CT204" i="1"/>
  <c r="BV199" i="1"/>
  <c r="BW199" i="1"/>
  <c r="BX199" i="1"/>
  <c r="BY199" i="1"/>
  <c r="BZ199" i="1"/>
  <c r="CA199" i="1"/>
  <c r="CB199" i="1"/>
  <c r="CC199" i="1"/>
  <c r="CD199" i="1"/>
  <c r="CE199" i="1"/>
  <c r="CF199" i="1"/>
  <c r="CG199" i="1"/>
  <c r="CH199" i="1"/>
  <c r="CI199" i="1"/>
  <c r="CJ199" i="1"/>
  <c r="CK199" i="1"/>
  <c r="CL199" i="1"/>
  <c r="CM199" i="1"/>
  <c r="CN199" i="1"/>
  <c r="CO199" i="1"/>
  <c r="CP199" i="1"/>
  <c r="CQ199" i="1"/>
  <c r="CR199" i="1"/>
  <c r="CS199" i="1"/>
  <c r="CT199" i="1"/>
  <c r="BV196" i="1"/>
  <c r="BW196" i="1"/>
  <c r="BX196" i="1"/>
  <c r="BY196" i="1"/>
  <c r="BZ196" i="1"/>
  <c r="CA196" i="1"/>
  <c r="CB196" i="1"/>
  <c r="CC196" i="1"/>
  <c r="CD196" i="1"/>
  <c r="CE196" i="1"/>
  <c r="CF196" i="1"/>
  <c r="CG196" i="1"/>
  <c r="CH196" i="1"/>
  <c r="CI196" i="1"/>
  <c r="CJ196" i="1"/>
  <c r="CK196" i="1"/>
  <c r="CL196" i="1"/>
  <c r="CM196" i="1"/>
  <c r="CN196" i="1"/>
  <c r="CO196" i="1"/>
  <c r="CP196" i="1"/>
  <c r="CQ196" i="1"/>
  <c r="CR196" i="1"/>
  <c r="CS196" i="1"/>
  <c r="CT196" i="1"/>
  <c r="BV91" i="1"/>
  <c r="BW91" i="1"/>
  <c r="BX91" i="1"/>
  <c r="BY91" i="1"/>
  <c r="BZ91" i="1"/>
  <c r="CA91" i="1"/>
  <c r="CB91" i="1"/>
  <c r="CC91" i="1"/>
  <c r="CD91" i="1"/>
  <c r="CE91" i="1"/>
  <c r="CF91" i="1"/>
  <c r="CG91" i="1"/>
  <c r="CH91" i="1"/>
  <c r="CI91" i="1"/>
  <c r="CJ91" i="1"/>
  <c r="CK91" i="1"/>
  <c r="CL91" i="1"/>
  <c r="CM91" i="1"/>
  <c r="CN91" i="1"/>
  <c r="CO91" i="1"/>
  <c r="CP91" i="1"/>
  <c r="CQ91" i="1"/>
  <c r="CR91" i="1"/>
  <c r="CS91" i="1"/>
  <c r="CT91" i="1"/>
  <c r="BV185" i="1"/>
  <c r="BW185" i="1"/>
  <c r="BX185" i="1"/>
  <c r="BY185" i="1"/>
  <c r="BZ185" i="1"/>
  <c r="CA185" i="1"/>
  <c r="CB185" i="1"/>
  <c r="CC185" i="1"/>
  <c r="CD185" i="1"/>
  <c r="CE185" i="1"/>
  <c r="CF185" i="1"/>
  <c r="CG185" i="1"/>
  <c r="CH185" i="1"/>
  <c r="CI185" i="1"/>
  <c r="CJ185" i="1"/>
  <c r="CK185" i="1"/>
  <c r="CL185" i="1"/>
  <c r="CM185" i="1"/>
  <c r="CN185" i="1"/>
  <c r="CO185" i="1"/>
  <c r="CP185" i="1"/>
  <c r="CQ185" i="1"/>
  <c r="CR185" i="1"/>
  <c r="CS185" i="1"/>
  <c r="CT185" i="1"/>
  <c r="BV90" i="1"/>
  <c r="BW90" i="1"/>
  <c r="BX90" i="1"/>
  <c r="BY90" i="1"/>
  <c r="BZ90" i="1"/>
  <c r="CA90" i="1"/>
  <c r="CB90" i="1"/>
  <c r="CC90" i="1"/>
  <c r="CD90" i="1"/>
  <c r="CE90" i="1"/>
  <c r="CF90" i="1"/>
  <c r="CG90" i="1"/>
  <c r="CH90" i="1"/>
  <c r="CI90" i="1"/>
  <c r="CJ90" i="1"/>
  <c r="CK90" i="1"/>
  <c r="CL90" i="1"/>
  <c r="CM90" i="1"/>
  <c r="CN90" i="1"/>
  <c r="CO90" i="1"/>
  <c r="CP90" i="1"/>
  <c r="CQ90" i="1"/>
  <c r="CR90" i="1"/>
  <c r="CS90" i="1"/>
  <c r="CT90" i="1"/>
  <c r="BV89" i="1"/>
  <c r="BW89" i="1"/>
  <c r="BX89" i="1"/>
  <c r="BY89" i="1"/>
  <c r="BZ89" i="1"/>
  <c r="CA89" i="1"/>
  <c r="CB89" i="1"/>
  <c r="CC89" i="1"/>
  <c r="CD89" i="1"/>
  <c r="CE89" i="1"/>
  <c r="CF89" i="1"/>
  <c r="CG89" i="1"/>
  <c r="CH89" i="1"/>
  <c r="CI89" i="1"/>
  <c r="CJ89" i="1"/>
  <c r="CK89" i="1"/>
  <c r="CL89" i="1"/>
  <c r="CM89" i="1"/>
  <c r="CN89" i="1"/>
  <c r="CO89" i="1"/>
  <c r="CP89" i="1"/>
  <c r="CQ89" i="1"/>
  <c r="CR89" i="1"/>
  <c r="CS89" i="1"/>
  <c r="CT89" i="1"/>
  <c r="BV88" i="1"/>
  <c r="BW88" i="1"/>
  <c r="BX88" i="1"/>
  <c r="BY88" i="1"/>
  <c r="BZ88" i="1"/>
  <c r="CA88" i="1"/>
  <c r="CB88" i="1"/>
  <c r="CC88" i="1"/>
  <c r="CD88" i="1"/>
  <c r="CE88" i="1"/>
  <c r="CF88" i="1"/>
  <c r="CG88" i="1"/>
  <c r="CH88" i="1"/>
  <c r="CI88" i="1"/>
  <c r="CJ88" i="1"/>
  <c r="CK88" i="1"/>
  <c r="CL88" i="1"/>
  <c r="CM88" i="1"/>
  <c r="CN88" i="1"/>
  <c r="CO88" i="1"/>
  <c r="CP88" i="1"/>
  <c r="CQ88" i="1"/>
  <c r="CR88" i="1"/>
  <c r="CS88" i="1"/>
  <c r="CT88" i="1"/>
  <c r="BV87" i="1"/>
  <c r="BW87" i="1"/>
  <c r="BX87" i="1"/>
  <c r="BY87" i="1"/>
  <c r="BZ87" i="1"/>
  <c r="CA87" i="1"/>
  <c r="CB87" i="1"/>
  <c r="CC87" i="1"/>
  <c r="CD87" i="1"/>
  <c r="CE87" i="1"/>
  <c r="CF87" i="1"/>
  <c r="CG87" i="1"/>
  <c r="CH87" i="1"/>
  <c r="CI87" i="1"/>
  <c r="CJ87" i="1"/>
  <c r="CK87" i="1"/>
  <c r="CL87" i="1"/>
  <c r="CM87" i="1"/>
  <c r="CN87" i="1"/>
  <c r="CO87" i="1"/>
  <c r="CP87" i="1"/>
  <c r="CQ87" i="1"/>
  <c r="CR87" i="1"/>
  <c r="CS87" i="1"/>
  <c r="CT87" i="1"/>
  <c r="BV251" i="1"/>
  <c r="BW251" i="1"/>
  <c r="BX251" i="1"/>
  <c r="BY251" i="1"/>
  <c r="BZ251" i="1"/>
  <c r="CA251" i="1"/>
  <c r="CB251" i="1"/>
  <c r="CC251" i="1"/>
  <c r="CD251" i="1"/>
  <c r="CE251" i="1"/>
  <c r="CF251" i="1"/>
  <c r="CG251" i="1"/>
  <c r="CH251" i="1"/>
  <c r="CI251" i="1"/>
  <c r="CJ251" i="1"/>
  <c r="CK251" i="1"/>
  <c r="CL251" i="1"/>
  <c r="CM251" i="1"/>
  <c r="CN251" i="1"/>
  <c r="CO251" i="1"/>
  <c r="CP251" i="1"/>
  <c r="CQ251" i="1"/>
  <c r="CR251" i="1"/>
  <c r="CS251" i="1"/>
  <c r="CT251" i="1"/>
  <c r="BV32" i="1"/>
  <c r="BW32" i="1"/>
  <c r="BX32" i="1"/>
  <c r="BY32" i="1"/>
  <c r="BZ32" i="1"/>
  <c r="CA32" i="1"/>
  <c r="CB32" i="1"/>
  <c r="CC32" i="1"/>
  <c r="CD32" i="1"/>
  <c r="CE32" i="1"/>
  <c r="CF32" i="1"/>
  <c r="CG32" i="1"/>
  <c r="CH32" i="1"/>
  <c r="CI32" i="1"/>
  <c r="CJ32" i="1"/>
  <c r="CK32" i="1"/>
  <c r="CL32" i="1"/>
  <c r="CM32" i="1"/>
  <c r="CN32" i="1"/>
  <c r="CO32" i="1"/>
  <c r="CP32" i="1"/>
  <c r="CQ32" i="1"/>
  <c r="CR32" i="1"/>
  <c r="CS32" i="1"/>
  <c r="CT32" i="1"/>
  <c r="BV273" i="1"/>
  <c r="BW273" i="1"/>
  <c r="BX273" i="1"/>
  <c r="BY273" i="1"/>
  <c r="BZ273" i="1"/>
  <c r="CA273" i="1"/>
  <c r="CB273" i="1"/>
  <c r="CC273" i="1"/>
  <c r="CD273" i="1"/>
  <c r="CE273" i="1"/>
  <c r="CF273" i="1"/>
  <c r="CG273" i="1"/>
  <c r="CH273" i="1"/>
  <c r="CI273" i="1"/>
  <c r="CJ273" i="1"/>
  <c r="CK273" i="1"/>
  <c r="CL273" i="1"/>
  <c r="CM273" i="1"/>
  <c r="CN273" i="1"/>
  <c r="CO273" i="1"/>
  <c r="CP273" i="1"/>
  <c r="CQ273" i="1"/>
  <c r="CR273" i="1"/>
  <c r="CS273" i="1"/>
  <c r="CT273" i="1"/>
  <c r="BV31" i="1"/>
  <c r="BW31" i="1"/>
  <c r="BX31" i="1"/>
  <c r="BY31" i="1"/>
  <c r="BZ31" i="1"/>
  <c r="CA31" i="1"/>
  <c r="CB31" i="1"/>
  <c r="CC31" i="1"/>
  <c r="CD31" i="1"/>
  <c r="CE31" i="1"/>
  <c r="CF31" i="1"/>
  <c r="CG31" i="1"/>
  <c r="CH31" i="1"/>
  <c r="CI31" i="1"/>
  <c r="CJ31" i="1"/>
  <c r="CK31" i="1"/>
  <c r="CL31" i="1"/>
  <c r="CM31" i="1"/>
  <c r="CN31" i="1"/>
  <c r="CO31" i="1"/>
  <c r="CP31" i="1"/>
  <c r="CQ31" i="1"/>
  <c r="CR31" i="1"/>
  <c r="CS31" i="1"/>
  <c r="CT31" i="1"/>
  <c r="BV30" i="1"/>
  <c r="BW30" i="1"/>
  <c r="BX30" i="1"/>
  <c r="BY30" i="1"/>
  <c r="BZ30" i="1"/>
  <c r="CA30" i="1"/>
  <c r="CB30" i="1"/>
  <c r="CC30" i="1"/>
  <c r="CD30" i="1"/>
  <c r="CE30" i="1"/>
  <c r="CF30" i="1"/>
  <c r="CG30" i="1"/>
  <c r="CH30" i="1"/>
  <c r="CI30" i="1"/>
  <c r="CJ30" i="1"/>
  <c r="CK30" i="1"/>
  <c r="CL30" i="1"/>
  <c r="CM30" i="1"/>
  <c r="CN30" i="1"/>
  <c r="CO30" i="1"/>
  <c r="CP30" i="1"/>
  <c r="CQ30" i="1"/>
  <c r="CR30" i="1"/>
  <c r="CS30" i="1"/>
  <c r="CT30" i="1"/>
  <c r="BV67" i="1"/>
  <c r="BW67" i="1"/>
  <c r="BX67" i="1"/>
  <c r="BY67" i="1"/>
  <c r="BZ67" i="1"/>
  <c r="CA67" i="1"/>
  <c r="CB67" i="1"/>
  <c r="CC67" i="1"/>
  <c r="CD67" i="1"/>
  <c r="CE67" i="1"/>
  <c r="CF67" i="1"/>
  <c r="CG67" i="1"/>
  <c r="CH67" i="1"/>
  <c r="CI67" i="1"/>
  <c r="CJ67" i="1"/>
  <c r="CK67" i="1"/>
  <c r="CL67" i="1"/>
  <c r="CM67" i="1"/>
  <c r="CN67" i="1"/>
  <c r="CO67" i="1"/>
  <c r="CP67" i="1"/>
  <c r="CQ67" i="1"/>
  <c r="CR67" i="1"/>
  <c r="CS67" i="1"/>
  <c r="CT67" i="1"/>
  <c r="BV109" i="1"/>
  <c r="BW109" i="1"/>
  <c r="BX109" i="1"/>
  <c r="BY109" i="1"/>
  <c r="BZ109" i="1"/>
  <c r="CA109" i="1"/>
  <c r="CB109" i="1"/>
  <c r="CC109" i="1"/>
  <c r="CD109" i="1"/>
  <c r="CE109" i="1"/>
  <c r="CF109" i="1"/>
  <c r="CG109" i="1"/>
  <c r="CH109" i="1"/>
  <c r="CI109" i="1"/>
  <c r="CJ109" i="1"/>
  <c r="CK109" i="1"/>
  <c r="CL109" i="1"/>
  <c r="CM109" i="1"/>
  <c r="CN109" i="1"/>
  <c r="CO109" i="1"/>
  <c r="CP109" i="1"/>
  <c r="CQ109" i="1"/>
  <c r="CR109" i="1"/>
  <c r="CS109" i="1"/>
  <c r="CT109" i="1"/>
  <c r="BV174" i="1"/>
  <c r="BW174" i="1"/>
  <c r="BX174" i="1"/>
  <c r="BY174" i="1"/>
  <c r="BZ174" i="1"/>
  <c r="CA174" i="1"/>
  <c r="CB174" i="1"/>
  <c r="CC174" i="1"/>
  <c r="CD174" i="1"/>
  <c r="CE174" i="1"/>
  <c r="CF174" i="1"/>
  <c r="CG174" i="1"/>
  <c r="CH174" i="1"/>
  <c r="CI174" i="1"/>
  <c r="CJ174" i="1"/>
  <c r="CK174" i="1"/>
  <c r="CL174" i="1"/>
  <c r="CM174" i="1"/>
  <c r="CN174" i="1"/>
  <c r="CO174" i="1"/>
  <c r="CP174" i="1"/>
  <c r="CQ174" i="1"/>
  <c r="CR174" i="1"/>
  <c r="CS174" i="1"/>
  <c r="CT174" i="1"/>
  <c r="BV29" i="1"/>
  <c r="BW29" i="1"/>
  <c r="BX29" i="1"/>
  <c r="BY29" i="1"/>
  <c r="BZ29" i="1"/>
  <c r="CA29" i="1"/>
  <c r="CB29" i="1"/>
  <c r="CC29" i="1"/>
  <c r="CD29" i="1"/>
  <c r="CE29" i="1"/>
  <c r="CF29" i="1"/>
  <c r="CG29" i="1"/>
  <c r="CH29" i="1"/>
  <c r="CI29" i="1"/>
  <c r="CJ29" i="1"/>
  <c r="CK29" i="1"/>
  <c r="CL29" i="1"/>
  <c r="CM29" i="1"/>
  <c r="CN29" i="1"/>
  <c r="CO29" i="1"/>
  <c r="CP29" i="1"/>
  <c r="CQ29" i="1"/>
  <c r="CR29" i="1"/>
  <c r="CS29" i="1"/>
  <c r="CT29" i="1"/>
  <c r="BV28" i="1"/>
  <c r="BW28" i="1"/>
  <c r="BX28" i="1"/>
  <c r="BY28" i="1"/>
  <c r="BZ28" i="1"/>
  <c r="CA28" i="1"/>
  <c r="CB28" i="1"/>
  <c r="CC28" i="1"/>
  <c r="CD28" i="1"/>
  <c r="CE28" i="1"/>
  <c r="CF28" i="1"/>
  <c r="CG28" i="1"/>
  <c r="CH28" i="1"/>
  <c r="CI28" i="1"/>
  <c r="CJ28" i="1"/>
  <c r="CK28" i="1"/>
  <c r="CL28" i="1"/>
  <c r="CM28" i="1"/>
  <c r="CN28" i="1"/>
  <c r="CO28" i="1"/>
  <c r="CP28" i="1"/>
  <c r="CQ28" i="1"/>
  <c r="CR28" i="1"/>
  <c r="CS28" i="1"/>
  <c r="CT28" i="1"/>
  <c r="BV27" i="1"/>
  <c r="BW27" i="1"/>
  <c r="BX27" i="1"/>
  <c r="BY27" i="1"/>
  <c r="BZ27" i="1"/>
  <c r="CA27" i="1"/>
  <c r="CB27" i="1"/>
  <c r="CC27" i="1"/>
  <c r="CD27" i="1"/>
  <c r="CE27" i="1"/>
  <c r="CF27" i="1"/>
  <c r="CG27" i="1"/>
  <c r="CH27" i="1"/>
  <c r="CI27" i="1"/>
  <c r="CJ27" i="1"/>
  <c r="CK27" i="1"/>
  <c r="CL27" i="1"/>
  <c r="CM27" i="1"/>
  <c r="CN27" i="1"/>
  <c r="CO27" i="1"/>
  <c r="CP27" i="1"/>
  <c r="CQ27" i="1"/>
  <c r="CR27" i="1"/>
  <c r="CS27" i="1"/>
  <c r="CT27" i="1"/>
  <c r="BV212" i="1"/>
  <c r="BW212" i="1"/>
  <c r="BX212" i="1"/>
  <c r="BY212" i="1"/>
  <c r="BZ212" i="1"/>
  <c r="CA212" i="1"/>
  <c r="CB212" i="1"/>
  <c r="CC212" i="1"/>
  <c r="CD212" i="1"/>
  <c r="CE212" i="1"/>
  <c r="CF212" i="1"/>
  <c r="CG212" i="1"/>
  <c r="CH212" i="1"/>
  <c r="CI212" i="1"/>
  <c r="CJ212" i="1"/>
  <c r="CK212" i="1"/>
  <c r="CL212" i="1"/>
  <c r="CM212" i="1"/>
  <c r="CN212" i="1"/>
  <c r="CO212" i="1"/>
  <c r="CP212" i="1"/>
  <c r="CQ212" i="1"/>
  <c r="CR212" i="1"/>
  <c r="CS212" i="1"/>
  <c r="CT212" i="1"/>
  <c r="BV108" i="1"/>
  <c r="BW108" i="1"/>
  <c r="BX108" i="1"/>
  <c r="BY108" i="1"/>
  <c r="BZ108" i="1"/>
  <c r="CA108" i="1"/>
  <c r="CB108" i="1"/>
  <c r="CC108" i="1"/>
  <c r="CD108" i="1"/>
  <c r="CE108" i="1"/>
  <c r="CF108" i="1"/>
  <c r="CG108" i="1"/>
  <c r="CH108" i="1"/>
  <c r="CI108" i="1"/>
  <c r="CJ108" i="1"/>
  <c r="CK108" i="1"/>
  <c r="CL108" i="1"/>
  <c r="CM108" i="1"/>
  <c r="CN108" i="1"/>
  <c r="CO108" i="1"/>
  <c r="CP108" i="1"/>
  <c r="CQ108" i="1"/>
  <c r="CR108" i="1"/>
  <c r="CS108" i="1"/>
  <c r="CT108" i="1"/>
  <c r="BV157" i="1"/>
  <c r="BW157" i="1"/>
  <c r="BX157" i="1"/>
  <c r="BY157" i="1"/>
  <c r="BZ157" i="1"/>
  <c r="CA157" i="1"/>
  <c r="CB157" i="1"/>
  <c r="CC157" i="1"/>
  <c r="CD157" i="1"/>
  <c r="CE157" i="1"/>
  <c r="CF157" i="1"/>
  <c r="CG157" i="1"/>
  <c r="CH157" i="1"/>
  <c r="CI157" i="1"/>
  <c r="CJ157" i="1"/>
  <c r="CK157" i="1"/>
  <c r="CL157" i="1"/>
  <c r="CM157" i="1"/>
  <c r="CN157" i="1"/>
  <c r="CO157" i="1"/>
  <c r="CP157" i="1"/>
  <c r="CQ157" i="1"/>
  <c r="CR157" i="1"/>
  <c r="CS157" i="1"/>
  <c r="CT157" i="1"/>
  <c r="BV107" i="1"/>
  <c r="BW107" i="1"/>
  <c r="BX107" i="1"/>
  <c r="BY107" i="1"/>
  <c r="BZ107" i="1"/>
  <c r="CA107" i="1"/>
  <c r="CB107" i="1"/>
  <c r="CC107" i="1"/>
  <c r="CD107" i="1"/>
  <c r="CE107" i="1"/>
  <c r="CF107" i="1"/>
  <c r="CG107" i="1"/>
  <c r="CH107" i="1"/>
  <c r="CI107" i="1"/>
  <c r="CJ107" i="1"/>
  <c r="CK107" i="1"/>
  <c r="CL107" i="1"/>
  <c r="CM107" i="1"/>
  <c r="CN107" i="1"/>
  <c r="CO107" i="1"/>
  <c r="CP107" i="1"/>
  <c r="CQ107" i="1"/>
  <c r="CR107" i="1"/>
  <c r="CS107" i="1"/>
  <c r="CT107" i="1"/>
  <c r="BV152" i="1"/>
  <c r="BW152" i="1"/>
  <c r="BX152" i="1"/>
  <c r="BY152" i="1"/>
  <c r="BZ152" i="1"/>
  <c r="CA152" i="1"/>
  <c r="CB152" i="1"/>
  <c r="CC152" i="1"/>
  <c r="CD152" i="1"/>
  <c r="CE152" i="1"/>
  <c r="CF152" i="1"/>
  <c r="CG152" i="1"/>
  <c r="CH152" i="1"/>
  <c r="CI152" i="1"/>
  <c r="CJ152" i="1"/>
  <c r="CK152" i="1"/>
  <c r="CL152" i="1"/>
  <c r="CM152" i="1"/>
  <c r="CN152" i="1"/>
  <c r="CO152" i="1"/>
  <c r="CP152" i="1"/>
  <c r="CQ152" i="1"/>
  <c r="CR152" i="1"/>
  <c r="CS152" i="1"/>
  <c r="CT152" i="1"/>
  <c r="BV151" i="1"/>
  <c r="BW151" i="1"/>
  <c r="BX151" i="1"/>
  <c r="BY151" i="1"/>
  <c r="BZ151" i="1"/>
  <c r="CA151" i="1"/>
  <c r="CB151" i="1"/>
  <c r="CC151" i="1"/>
  <c r="CD151" i="1"/>
  <c r="CE151" i="1"/>
  <c r="CF151" i="1"/>
  <c r="CG151" i="1"/>
  <c r="CH151" i="1"/>
  <c r="CI151" i="1"/>
  <c r="CJ151" i="1"/>
  <c r="CK151" i="1"/>
  <c r="CL151" i="1"/>
  <c r="CM151" i="1"/>
  <c r="CN151" i="1"/>
  <c r="CO151" i="1"/>
  <c r="CP151" i="1"/>
  <c r="CQ151" i="1"/>
  <c r="CR151" i="1"/>
  <c r="CS151" i="1"/>
  <c r="CT151" i="1"/>
  <c r="BV106" i="1"/>
  <c r="BW106" i="1"/>
  <c r="BX106" i="1"/>
  <c r="BY106" i="1"/>
  <c r="BZ106" i="1"/>
  <c r="CA106" i="1"/>
  <c r="CB106" i="1"/>
  <c r="CC106" i="1"/>
  <c r="CD106" i="1"/>
  <c r="CE106" i="1"/>
  <c r="CF106" i="1"/>
  <c r="CG106" i="1"/>
  <c r="CH106" i="1"/>
  <c r="CI106" i="1"/>
  <c r="CJ106" i="1"/>
  <c r="CK106" i="1"/>
  <c r="CL106" i="1"/>
  <c r="CM106" i="1"/>
  <c r="CN106" i="1"/>
  <c r="CO106" i="1"/>
  <c r="CP106" i="1"/>
  <c r="CQ106" i="1"/>
  <c r="CR106" i="1"/>
  <c r="CS106" i="1"/>
  <c r="CT106" i="1"/>
  <c r="BV105" i="1"/>
  <c r="BW105" i="1"/>
  <c r="BX105" i="1"/>
  <c r="BY105" i="1"/>
  <c r="BZ105" i="1"/>
  <c r="CA105" i="1"/>
  <c r="CB105" i="1"/>
  <c r="CC105" i="1"/>
  <c r="CD105" i="1"/>
  <c r="CE105" i="1"/>
  <c r="CF105" i="1"/>
  <c r="CG105" i="1"/>
  <c r="CH105" i="1"/>
  <c r="CI105" i="1"/>
  <c r="CJ105" i="1"/>
  <c r="CK105" i="1"/>
  <c r="CL105" i="1"/>
  <c r="CM105" i="1"/>
  <c r="CN105" i="1"/>
  <c r="CO105" i="1"/>
  <c r="CP105" i="1"/>
  <c r="CQ105" i="1"/>
  <c r="CR105" i="1"/>
  <c r="CS105" i="1"/>
  <c r="CT105" i="1"/>
  <c r="BV104" i="1"/>
  <c r="BW104" i="1"/>
  <c r="BX104" i="1"/>
  <c r="BY104" i="1"/>
  <c r="BZ104" i="1"/>
  <c r="CA104" i="1"/>
  <c r="CB104" i="1"/>
  <c r="CC104" i="1"/>
  <c r="CD104" i="1"/>
  <c r="CE104" i="1"/>
  <c r="CF104" i="1"/>
  <c r="CG104" i="1"/>
  <c r="CH104" i="1"/>
  <c r="CI104" i="1"/>
  <c r="CJ104" i="1"/>
  <c r="CK104" i="1"/>
  <c r="CL104" i="1"/>
  <c r="CM104" i="1"/>
  <c r="CN104" i="1"/>
  <c r="CO104" i="1"/>
  <c r="CP104" i="1"/>
  <c r="CQ104" i="1"/>
  <c r="CR104" i="1"/>
  <c r="CS104" i="1"/>
  <c r="CT104" i="1"/>
  <c r="BV211" i="1"/>
  <c r="BW211" i="1"/>
  <c r="BX211" i="1"/>
  <c r="BY211" i="1"/>
  <c r="BZ211" i="1"/>
  <c r="CA211" i="1"/>
  <c r="CB211" i="1"/>
  <c r="CC211" i="1"/>
  <c r="CD211" i="1"/>
  <c r="CE211" i="1"/>
  <c r="CF211" i="1"/>
  <c r="CG211" i="1"/>
  <c r="CH211" i="1"/>
  <c r="CI211" i="1"/>
  <c r="CJ211" i="1"/>
  <c r="CK211" i="1"/>
  <c r="CL211" i="1"/>
  <c r="CM211" i="1"/>
  <c r="CN211" i="1"/>
  <c r="CO211" i="1"/>
  <c r="CP211" i="1"/>
  <c r="CQ211" i="1"/>
  <c r="CR211" i="1"/>
  <c r="CS211" i="1"/>
  <c r="CT211" i="1"/>
  <c r="BV103" i="1"/>
  <c r="BW103" i="1"/>
  <c r="BX103" i="1"/>
  <c r="BY103" i="1"/>
  <c r="BZ103" i="1"/>
  <c r="CA103" i="1"/>
  <c r="CB103" i="1"/>
  <c r="CC103" i="1"/>
  <c r="CD103" i="1"/>
  <c r="CE103" i="1"/>
  <c r="CF103" i="1"/>
  <c r="CG103" i="1"/>
  <c r="CH103" i="1"/>
  <c r="CI103" i="1"/>
  <c r="CJ103" i="1"/>
  <c r="CK103" i="1"/>
  <c r="CL103" i="1"/>
  <c r="CM103" i="1"/>
  <c r="CN103" i="1"/>
  <c r="CO103" i="1"/>
  <c r="CP103" i="1"/>
  <c r="CQ103" i="1"/>
  <c r="CR103" i="1"/>
  <c r="CS103" i="1"/>
  <c r="CT103" i="1"/>
  <c r="BV235" i="1"/>
  <c r="BW235" i="1"/>
  <c r="BX235" i="1"/>
  <c r="BY235" i="1"/>
  <c r="BZ235" i="1"/>
  <c r="CA235" i="1"/>
  <c r="CB235" i="1"/>
  <c r="CC235" i="1"/>
  <c r="CD235" i="1"/>
  <c r="CE235" i="1"/>
  <c r="CF235" i="1"/>
  <c r="CG235" i="1"/>
  <c r="CH235" i="1"/>
  <c r="CI235" i="1"/>
  <c r="CJ235" i="1"/>
  <c r="CK235" i="1"/>
  <c r="CL235" i="1"/>
  <c r="CM235" i="1"/>
  <c r="CN235" i="1"/>
  <c r="CO235" i="1"/>
  <c r="CP235" i="1"/>
  <c r="CQ235" i="1"/>
  <c r="CR235" i="1"/>
  <c r="CS235" i="1"/>
  <c r="CT235" i="1"/>
  <c r="BV26" i="1"/>
  <c r="BW26" i="1"/>
  <c r="BX26" i="1"/>
  <c r="BY26" i="1"/>
  <c r="BZ26" i="1"/>
  <c r="CA26" i="1"/>
  <c r="CB26" i="1"/>
  <c r="CC26" i="1"/>
  <c r="CD26" i="1"/>
  <c r="CE26" i="1"/>
  <c r="CF26" i="1"/>
  <c r="CG26" i="1"/>
  <c r="CH26" i="1"/>
  <c r="CI26" i="1"/>
  <c r="CJ26" i="1"/>
  <c r="CK26" i="1"/>
  <c r="CL26" i="1"/>
  <c r="CM26" i="1"/>
  <c r="CN26" i="1"/>
  <c r="CO26" i="1"/>
  <c r="CP26" i="1"/>
  <c r="CQ26" i="1"/>
  <c r="CR26" i="1"/>
  <c r="CS26" i="1"/>
  <c r="CT26" i="1"/>
  <c r="BV25" i="1"/>
  <c r="BW25" i="1"/>
  <c r="BX25" i="1"/>
  <c r="BY25" i="1"/>
  <c r="BZ25" i="1"/>
  <c r="CA25" i="1"/>
  <c r="CB25" i="1"/>
  <c r="CC25" i="1"/>
  <c r="CD25" i="1"/>
  <c r="CE25" i="1"/>
  <c r="CF25" i="1"/>
  <c r="CG25" i="1"/>
  <c r="CH25" i="1"/>
  <c r="CI25" i="1"/>
  <c r="CJ25" i="1"/>
  <c r="CK25" i="1"/>
  <c r="CL25" i="1"/>
  <c r="CM25" i="1"/>
  <c r="CN25" i="1"/>
  <c r="CO25" i="1"/>
  <c r="CP25" i="1"/>
  <c r="CQ25" i="1"/>
  <c r="CR25" i="1"/>
  <c r="CS25" i="1"/>
  <c r="CT25" i="1"/>
  <c r="BV86" i="1"/>
  <c r="BW86" i="1"/>
  <c r="BX86" i="1"/>
  <c r="BY86" i="1"/>
  <c r="BZ86" i="1"/>
  <c r="CA86" i="1"/>
  <c r="CB86" i="1"/>
  <c r="CC86" i="1"/>
  <c r="CD86" i="1"/>
  <c r="CE86" i="1"/>
  <c r="CF86" i="1"/>
  <c r="CG86" i="1"/>
  <c r="CH86" i="1"/>
  <c r="CI86" i="1"/>
  <c r="CJ86" i="1"/>
  <c r="CK86" i="1"/>
  <c r="CL86" i="1"/>
  <c r="CM86" i="1"/>
  <c r="CN86" i="1"/>
  <c r="CO86" i="1"/>
  <c r="CP86" i="1"/>
  <c r="CQ86" i="1"/>
  <c r="CR86" i="1"/>
  <c r="CS86" i="1"/>
  <c r="CT86" i="1"/>
  <c r="BV85" i="1"/>
  <c r="BW85" i="1"/>
  <c r="BX85" i="1"/>
  <c r="BY85" i="1"/>
  <c r="BZ85" i="1"/>
  <c r="CA85" i="1"/>
  <c r="CB85" i="1"/>
  <c r="CC85" i="1"/>
  <c r="CD85" i="1"/>
  <c r="CE85" i="1"/>
  <c r="CF85" i="1"/>
  <c r="CG85" i="1"/>
  <c r="CH85" i="1"/>
  <c r="CI85" i="1"/>
  <c r="CJ85" i="1"/>
  <c r="CK85" i="1"/>
  <c r="CL85" i="1"/>
  <c r="CM85" i="1"/>
  <c r="CN85" i="1"/>
  <c r="CO85" i="1"/>
  <c r="CP85" i="1"/>
  <c r="CQ85" i="1"/>
  <c r="CR85" i="1"/>
  <c r="CS85" i="1"/>
  <c r="CT85" i="1"/>
  <c r="BV84" i="1"/>
  <c r="BW84" i="1"/>
  <c r="BX84" i="1"/>
  <c r="BY84" i="1"/>
  <c r="BZ84" i="1"/>
  <c r="CA84" i="1"/>
  <c r="CB84" i="1"/>
  <c r="CC84" i="1"/>
  <c r="CD84" i="1"/>
  <c r="CE84" i="1"/>
  <c r="CF84" i="1"/>
  <c r="CG84" i="1"/>
  <c r="CH84" i="1"/>
  <c r="CI84" i="1"/>
  <c r="CJ84" i="1"/>
  <c r="CK84" i="1"/>
  <c r="CL84" i="1"/>
  <c r="CM84" i="1"/>
  <c r="CN84" i="1"/>
  <c r="CO84" i="1"/>
  <c r="CP84" i="1"/>
  <c r="CQ84" i="1"/>
  <c r="CR84" i="1"/>
  <c r="CS84" i="1"/>
  <c r="CT84" i="1"/>
  <c r="BV83" i="1"/>
  <c r="BW83" i="1"/>
  <c r="BX83" i="1"/>
  <c r="BY83" i="1"/>
  <c r="BZ83" i="1"/>
  <c r="CA83" i="1"/>
  <c r="CB83" i="1"/>
  <c r="CC83" i="1"/>
  <c r="CD83" i="1"/>
  <c r="CE83" i="1"/>
  <c r="CF83" i="1"/>
  <c r="CG83" i="1"/>
  <c r="CH83" i="1"/>
  <c r="CI83" i="1"/>
  <c r="CJ83" i="1"/>
  <c r="CK83" i="1"/>
  <c r="CL83" i="1"/>
  <c r="CM83" i="1"/>
  <c r="CN83" i="1"/>
  <c r="CO83" i="1"/>
  <c r="CP83" i="1"/>
  <c r="CQ83" i="1"/>
  <c r="CR83" i="1"/>
  <c r="CS83" i="1"/>
  <c r="CT83" i="1"/>
  <c r="BV82" i="1"/>
  <c r="BW82" i="1"/>
  <c r="BX82" i="1"/>
  <c r="BY82" i="1"/>
  <c r="BZ82" i="1"/>
  <c r="CA82" i="1"/>
  <c r="CB82" i="1"/>
  <c r="CC82" i="1"/>
  <c r="CD82" i="1"/>
  <c r="CE82" i="1"/>
  <c r="CF82" i="1"/>
  <c r="CG82" i="1"/>
  <c r="CH82" i="1"/>
  <c r="CI82" i="1"/>
  <c r="CJ82" i="1"/>
  <c r="CK82" i="1"/>
  <c r="CL82" i="1"/>
  <c r="CM82" i="1"/>
  <c r="CN82" i="1"/>
  <c r="CO82" i="1"/>
  <c r="CP82" i="1"/>
  <c r="CQ82" i="1"/>
  <c r="CR82" i="1"/>
  <c r="CS82" i="1"/>
  <c r="CT82" i="1"/>
  <c r="BV81" i="1"/>
  <c r="BW81" i="1"/>
  <c r="BX81" i="1"/>
  <c r="BY81" i="1"/>
  <c r="BZ81" i="1"/>
  <c r="CA81" i="1"/>
  <c r="CB81" i="1"/>
  <c r="CC81" i="1"/>
  <c r="CD81" i="1"/>
  <c r="CE81" i="1"/>
  <c r="CF81" i="1"/>
  <c r="CG81" i="1"/>
  <c r="CH81" i="1"/>
  <c r="CI81" i="1"/>
  <c r="CJ81" i="1"/>
  <c r="CK81" i="1"/>
  <c r="CL81" i="1"/>
  <c r="CM81" i="1"/>
  <c r="CN81" i="1"/>
  <c r="CO81" i="1"/>
  <c r="CP81" i="1"/>
  <c r="CQ81" i="1"/>
  <c r="CR81" i="1"/>
  <c r="CS81" i="1"/>
  <c r="CT81" i="1"/>
  <c r="BV102" i="1"/>
  <c r="BW102" i="1"/>
  <c r="BX102" i="1"/>
  <c r="BY102" i="1"/>
  <c r="BZ102" i="1"/>
  <c r="CA102" i="1"/>
  <c r="CB102" i="1"/>
  <c r="CC102" i="1"/>
  <c r="CD102" i="1"/>
  <c r="CE102" i="1"/>
  <c r="CF102" i="1"/>
  <c r="CG102" i="1"/>
  <c r="CH102" i="1"/>
  <c r="CI102" i="1"/>
  <c r="CJ102" i="1"/>
  <c r="CK102" i="1"/>
  <c r="CL102" i="1"/>
  <c r="CM102" i="1"/>
  <c r="CN102" i="1"/>
  <c r="CO102" i="1"/>
  <c r="CP102" i="1"/>
  <c r="CQ102" i="1"/>
  <c r="CR102" i="1"/>
  <c r="CS102" i="1"/>
  <c r="CT102" i="1"/>
  <c r="BV209" i="1"/>
  <c r="BW209" i="1"/>
  <c r="BX209" i="1"/>
  <c r="BY209" i="1"/>
  <c r="BZ209" i="1"/>
  <c r="CA209" i="1"/>
  <c r="CB209" i="1"/>
  <c r="CC209" i="1"/>
  <c r="CD209" i="1"/>
  <c r="CE209" i="1"/>
  <c r="CF209" i="1"/>
  <c r="CG209" i="1"/>
  <c r="CH209" i="1"/>
  <c r="CI209" i="1"/>
  <c r="CJ209" i="1"/>
  <c r="CK209" i="1"/>
  <c r="CL209" i="1"/>
  <c r="CM209" i="1"/>
  <c r="CN209" i="1"/>
  <c r="CO209" i="1"/>
  <c r="CP209" i="1"/>
  <c r="CQ209" i="1"/>
  <c r="CR209" i="1"/>
  <c r="CS209" i="1"/>
  <c r="CT209" i="1"/>
  <c r="BV208" i="1"/>
  <c r="BW208" i="1"/>
  <c r="BX208" i="1"/>
  <c r="BY208" i="1"/>
  <c r="BZ208" i="1"/>
  <c r="CA208" i="1"/>
  <c r="CB208" i="1"/>
  <c r="CC208" i="1"/>
  <c r="CD208" i="1"/>
  <c r="CE208" i="1"/>
  <c r="CF208" i="1"/>
  <c r="CG208" i="1"/>
  <c r="CH208" i="1"/>
  <c r="CI208" i="1"/>
  <c r="CJ208" i="1"/>
  <c r="CK208" i="1"/>
  <c r="CL208" i="1"/>
  <c r="CM208" i="1"/>
  <c r="CN208" i="1"/>
  <c r="CO208" i="1"/>
  <c r="CP208" i="1"/>
  <c r="CQ208" i="1"/>
  <c r="CR208" i="1"/>
  <c r="CS208" i="1"/>
  <c r="CT208" i="1"/>
  <c r="CT2" i="1"/>
  <c r="BV7" i="1"/>
  <c r="BW7" i="1"/>
  <c r="BX7" i="1"/>
  <c r="BY7" i="1"/>
  <c r="BZ7" i="1"/>
  <c r="CA7" i="1"/>
  <c r="CB7" i="1"/>
  <c r="CC7" i="1"/>
  <c r="CD7" i="1"/>
  <c r="CE7" i="1"/>
  <c r="CF7" i="1"/>
  <c r="CG7" i="1"/>
  <c r="CH7" i="1"/>
  <c r="CI7" i="1"/>
  <c r="CJ7" i="1"/>
  <c r="CK7" i="1"/>
  <c r="CL7" i="1"/>
  <c r="CM7" i="1"/>
  <c r="CN7" i="1"/>
  <c r="CO7" i="1"/>
  <c r="CP7" i="1"/>
  <c r="CQ7" i="1"/>
  <c r="CR7" i="1"/>
  <c r="CS7" i="1"/>
  <c r="CT7" i="1"/>
  <c r="BV24" i="1"/>
  <c r="BW24" i="1"/>
  <c r="BX24" i="1"/>
  <c r="BY24" i="1"/>
  <c r="BZ24" i="1"/>
  <c r="CA24" i="1"/>
  <c r="CB24" i="1"/>
  <c r="CC24" i="1"/>
  <c r="CD24" i="1"/>
  <c r="CE24" i="1"/>
  <c r="CF24" i="1"/>
  <c r="CG24" i="1"/>
  <c r="CH24" i="1"/>
  <c r="CI24" i="1"/>
  <c r="CJ24" i="1"/>
  <c r="CK24" i="1"/>
  <c r="CL24" i="1"/>
  <c r="CM24" i="1"/>
  <c r="CN24" i="1"/>
  <c r="CO24" i="1"/>
  <c r="CP24" i="1"/>
  <c r="CQ24" i="1"/>
  <c r="CR24" i="1"/>
  <c r="CS24" i="1"/>
  <c r="CT24" i="1"/>
  <c r="BV64" i="1"/>
  <c r="BW64" i="1"/>
  <c r="BX64" i="1"/>
  <c r="BY64" i="1"/>
  <c r="BZ64" i="1"/>
  <c r="CA64" i="1"/>
  <c r="CB64" i="1"/>
  <c r="CC64" i="1"/>
  <c r="CD64" i="1"/>
  <c r="CE64" i="1"/>
  <c r="CF64" i="1"/>
  <c r="CG64" i="1"/>
  <c r="CH64" i="1"/>
  <c r="CI64" i="1"/>
  <c r="CJ64" i="1"/>
  <c r="CK64" i="1"/>
  <c r="CL64" i="1"/>
  <c r="CM64" i="1"/>
  <c r="CN64" i="1"/>
  <c r="CO64" i="1"/>
  <c r="CP64" i="1"/>
  <c r="CQ64" i="1"/>
  <c r="CR64" i="1"/>
  <c r="CS64" i="1"/>
  <c r="CT64" i="1"/>
  <c r="BV66" i="1"/>
  <c r="BW66" i="1"/>
  <c r="BX66" i="1"/>
  <c r="BY66" i="1"/>
  <c r="BZ66" i="1"/>
  <c r="CA66" i="1"/>
  <c r="CB66" i="1"/>
  <c r="CC66" i="1"/>
  <c r="CD66" i="1"/>
  <c r="CE66" i="1"/>
  <c r="CF66" i="1"/>
  <c r="CG66" i="1"/>
  <c r="CH66" i="1"/>
  <c r="CI66" i="1"/>
  <c r="CJ66" i="1"/>
  <c r="CK66" i="1"/>
  <c r="CL66" i="1"/>
  <c r="CM66" i="1"/>
  <c r="CN66" i="1"/>
  <c r="CO66" i="1"/>
  <c r="CP66" i="1"/>
  <c r="CQ66" i="1"/>
  <c r="CR66" i="1"/>
  <c r="CS66" i="1"/>
  <c r="CT66" i="1"/>
  <c r="BV75" i="1"/>
  <c r="BW75" i="1"/>
  <c r="BX75" i="1"/>
  <c r="BY75" i="1"/>
  <c r="BZ75" i="1"/>
  <c r="CA75" i="1"/>
  <c r="CB75" i="1"/>
  <c r="CC75" i="1"/>
  <c r="CD75" i="1"/>
  <c r="CE75" i="1"/>
  <c r="CF75" i="1"/>
  <c r="CG75" i="1"/>
  <c r="CH75" i="1"/>
  <c r="CI75" i="1"/>
  <c r="CJ75" i="1"/>
  <c r="CK75" i="1"/>
  <c r="CL75" i="1"/>
  <c r="CM75" i="1"/>
  <c r="CN75" i="1"/>
  <c r="CO75" i="1"/>
  <c r="CP75" i="1"/>
  <c r="CQ75" i="1"/>
  <c r="CR75" i="1"/>
  <c r="CS75" i="1"/>
  <c r="CT75" i="1"/>
  <c r="BV78" i="1"/>
  <c r="BW78" i="1"/>
  <c r="BX78" i="1"/>
  <c r="BY78" i="1"/>
  <c r="BZ78" i="1"/>
  <c r="CA78" i="1"/>
  <c r="CB78" i="1"/>
  <c r="CC78" i="1"/>
  <c r="CD78" i="1"/>
  <c r="CE78" i="1"/>
  <c r="CF78" i="1"/>
  <c r="CG78" i="1"/>
  <c r="CH78" i="1"/>
  <c r="CI78" i="1"/>
  <c r="CJ78" i="1"/>
  <c r="CK78" i="1"/>
  <c r="CL78" i="1"/>
  <c r="CM78" i="1"/>
  <c r="CN78" i="1"/>
  <c r="CO78" i="1"/>
  <c r="CP78" i="1"/>
  <c r="CQ78" i="1"/>
  <c r="CR78" i="1"/>
  <c r="CS78" i="1"/>
  <c r="CT78" i="1"/>
  <c r="BV80" i="1"/>
  <c r="BW80" i="1"/>
  <c r="BX80" i="1"/>
  <c r="BY80" i="1"/>
  <c r="BZ80" i="1"/>
  <c r="CA80" i="1"/>
  <c r="CB80" i="1"/>
  <c r="CC80" i="1"/>
  <c r="CD80" i="1"/>
  <c r="CE80" i="1"/>
  <c r="CF80" i="1"/>
  <c r="CG80" i="1"/>
  <c r="CH80" i="1"/>
  <c r="CI80" i="1"/>
  <c r="CJ80" i="1"/>
  <c r="CK80" i="1"/>
  <c r="CL80" i="1"/>
  <c r="CM80" i="1"/>
  <c r="CN80" i="1"/>
  <c r="CO80" i="1"/>
  <c r="CP80" i="1"/>
  <c r="CQ80" i="1"/>
  <c r="CR80" i="1"/>
  <c r="CS80" i="1"/>
  <c r="CT80" i="1"/>
  <c r="BV101" i="1"/>
  <c r="BW101" i="1"/>
  <c r="BX101" i="1"/>
  <c r="BY101" i="1"/>
  <c r="BZ101" i="1"/>
  <c r="CA101" i="1"/>
  <c r="CB101" i="1"/>
  <c r="CC101" i="1"/>
  <c r="CD101" i="1"/>
  <c r="CE101" i="1"/>
  <c r="CF101" i="1"/>
  <c r="CG101" i="1"/>
  <c r="CH101" i="1"/>
  <c r="CI101" i="1"/>
  <c r="CJ101" i="1"/>
  <c r="CK101" i="1"/>
  <c r="CL101" i="1"/>
  <c r="CM101" i="1"/>
  <c r="CN101" i="1"/>
  <c r="CO101" i="1"/>
  <c r="CP101" i="1"/>
  <c r="CQ101" i="1"/>
  <c r="CR101" i="1"/>
  <c r="CS101" i="1"/>
  <c r="CT101" i="1"/>
  <c r="BV118" i="1"/>
  <c r="BW118" i="1"/>
  <c r="BX118" i="1"/>
  <c r="BY118" i="1"/>
  <c r="BZ118" i="1"/>
  <c r="CA118" i="1"/>
  <c r="CB118" i="1"/>
  <c r="CC118" i="1"/>
  <c r="CD118" i="1"/>
  <c r="CE118" i="1"/>
  <c r="CF118" i="1"/>
  <c r="CG118" i="1"/>
  <c r="CH118" i="1"/>
  <c r="CI118" i="1"/>
  <c r="CJ118" i="1"/>
  <c r="CK118" i="1"/>
  <c r="CL118" i="1"/>
  <c r="CM118" i="1"/>
  <c r="CN118" i="1"/>
  <c r="CO118" i="1"/>
  <c r="CP118" i="1"/>
  <c r="CQ118" i="1"/>
  <c r="CR118" i="1"/>
  <c r="CS118" i="1"/>
  <c r="CT118" i="1"/>
  <c r="BV135" i="1"/>
  <c r="BW135" i="1"/>
  <c r="BX135" i="1"/>
  <c r="BY135" i="1"/>
  <c r="BZ135" i="1"/>
  <c r="CA135" i="1"/>
  <c r="CB135" i="1"/>
  <c r="CC135" i="1"/>
  <c r="CD135" i="1"/>
  <c r="CE135" i="1"/>
  <c r="CF135" i="1"/>
  <c r="CG135" i="1"/>
  <c r="CH135" i="1"/>
  <c r="CI135" i="1"/>
  <c r="CJ135" i="1"/>
  <c r="CK135" i="1"/>
  <c r="CL135" i="1"/>
  <c r="CM135" i="1"/>
  <c r="CN135" i="1"/>
  <c r="CO135" i="1"/>
  <c r="CP135" i="1"/>
  <c r="CQ135" i="1"/>
  <c r="CR135" i="1"/>
  <c r="CS135" i="1"/>
  <c r="CT135" i="1"/>
  <c r="BV145" i="1"/>
  <c r="BW145" i="1"/>
  <c r="BX145" i="1"/>
  <c r="BY145" i="1"/>
  <c r="BZ145" i="1"/>
  <c r="CA145" i="1"/>
  <c r="CB145" i="1"/>
  <c r="CC145" i="1"/>
  <c r="CD145" i="1"/>
  <c r="CE145" i="1"/>
  <c r="CF145" i="1"/>
  <c r="CG145" i="1"/>
  <c r="CH145" i="1"/>
  <c r="CI145" i="1"/>
  <c r="CJ145" i="1"/>
  <c r="CK145" i="1"/>
  <c r="CL145" i="1"/>
  <c r="CM145" i="1"/>
  <c r="CN145" i="1"/>
  <c r="CO145" i="1"/>
  <c r="CP145" i="1"/>
  <c r="CQ145" i="1"/>
  <c r="CR145" i="1"/>
  <c r="CS145" i="1"/>
  <c r="CT145" i="1"/>
  <c r="BV284" i="1"/>
  <c r="BW284" i="1"/>
  <c r="BX284" i="1"/>
  <c r="BY284" i="1"/>
  <c r="BZ284" i="1"/>
  <c r="CA284" i="1"/>
  <c r="CB284" i="1"/>
  <c r="CC284" i="1"/>
  <c r="CD284" i="1"/>
  <c r="CE284" i="1"/>
  <c r="CF284" i="1"/>
  <c r="CG284" i="1"/>
  <c r="CH284" i="1"/>
  <c r="CI284" i="1"/>
  <c r="CJ284" i="1"/>
  <c r="CK284" i="1"/>
  <c r="CL284" i="1"/>
  <c r="CM284" i="1"/>
  <c r="CN284" i="1"/>
  <c r="CO284" i="1"/>
  <c r="CP284" i="1"/>
  <c r="CQ284" i="1"/>
  <c r="CR284" i="1"/>
  <c r="CS284" i="1"/>
  <c r="CT284" i="1"/>
  <c r="BV150" i="1"/>
  <c r="BW150" i="1"/>
  <c r="BX150" i="1"/>
  <c r="BY150" i="1"/>
  <c r="BZ150" i="1"/>
  <c r="CA150" i="1"/>
  <c r="CB150" i="1"/>
  <c r="CC150" i="1"/>
  <c r="CD150" i="1"/>
  <c r="CE150" i="1"/>
  <c r="CF150" i="1"/>
  <c r="CG150" i="1"/>
  <c r="CH150" i="1"/>
  <c r="CI150" i="1"/>
  <c r="CJ150" i="1"/>
  <c r="CK150" i="1"/>
  <c r="CL150" i="1"/>
  <c r="CM150" i="1"/>
  <c r="CN150" i="1"/>
  <c r="CO150" i="1"/>
  <c r="CP150" i="1"/>
  <c r="CQ150" i="1"/>
  <c r="CR150" i="1"/>
  <c r="CS150" i="1"/>
  <c r="CT150" i="1"/>
  <c r="BV156" i="1"/>
  <c r="BW156" i="1"/>
  <c r="BX156" i="1"/>
  <c r="BY156" i="1"/>
  <c r="BZ156" i="1"/>
  <c r="CA156" i="1"/>
  <c r="CB156" i="1"/>
  <c r="CC156" i="1"/>
  <c r="CD156" i="1"/>
  <c r="CE156" i="1"/>
  <c r="CF156" i="1"/>
  <c r="CG156" i="1"/>
  <c r="CH156" i="1"/>
  <c r="CI156" i="1"/>
  <c r="CJ156" i="1"/>
  <c r="CK156" i="1"/>
  <c r="CL156" i="1"/>
  <c r="CM156" i="1"/>
  <c r="CN156" i="1"/>
  <c r="CO156" i="1"/>
  <c r="CP156" i="1"/>
  <c r="CQ156" i="1"/>
  <c r="CR156" i="1"/>
  <c r="CS156" i="1"/>
  <c r="CT156" i="1"/>
  <c r="BV291" i="1"/>
  <c r="BW291" i="1"/>
  <c r="BX291" i="1"/>
  <c r="BY291" i="1"/>
  <c r="BZ291" i="1"/>
  <c r="CA291" i="1"/>
  <c r="CB291" i="1"/>
  <c r="CC291" i="1"/>
  <c r="CD291" i="1"/>
  <c r="CE291" i="1"/>
  <c r="CF291" i="1"/>
  <c r="CG291" i="1"/>
  <c r="CH291" i="1"/>
  <c r="CI291" i="1"/>
  <c r="CJ291" i="1"/>
  <c r="CK291" i="1"/>
  <c r="CL291" i="1"/>
  <c r="CM291" i="1"/>
  <c r="CN291" i="1"/>
  <c r="CO291" i="1"/>
  <c r="CP291" i="1"/>
  <c r="CQ291" i="1"/>
  <c r="CR291" i="1"/>
  <c r="CS291" i="1"/>
  <c r="CT291" i="1"/>
  <c r="BC163" i="1"/>
  <c r="BC162" i="1"/>
  <c r="BC35" i="1"/>
  <c r="BC94" i="1"/>
  <c r="BC216" i="1"/>
  <c r="BC292" i="1"/>
  <c r="AJ50" i="2"/>
  <c r="AJ46" i="2"/>
  <c r="AJ47" i="2"/>
  <c r="AJ26" i="2"/>
  <c r="AJ12" i="2"/>
  <c r="AJ28" i="2"/>
  <c r="AJ17" i="2"/>
  <c r="AJ16" i="2"/>
  <c r="AJ10" i="2"/>
  <c r="AJ13" i="2"/>
  <c r="AJ11" i="2"/>
  <c r="AJ27" i="2"/>
  <c r="AJ37" i="2"/>
  <c r="AJ38" i="2"/>
  <c r="AJ36" i="2"/>
  <c r="AJ5" i="2"/>
  <c r="AJ7" i="2"/>
  <c r="AJ29" i="2"/>
  <c r="AJ15" i="2"/>
  <c r="AJ8" i="2"/>
  <c r="AJ33" i="2"/>
  <c r="AJ34" i="2"/>
  <c r="AJ32" i="2"/>
  <c r="AJ35" i="2"/>
  <c r="AJ31" i="2"/>
  <c r="AJ43" i="2"/>
  <c r="AJ39" i="2"/>
  <c r="AJ40" i="2"/>
  <c r="AJ30" i="2"/>
  <c r="AJ2" i="2"/>
  <c r="AJ42" i="2"/>
  <c r="AJ24" i="2"/>
  <c r="AJ18" i="2"/>
  <c r="AJ22" i="2"/>
  <c r="AJ25" i="2"/>
  <c r="AJ23" i="2"/>
  <c r="AJ41" i="2"/>
  <c r="AJ52" i="2"/>
  <c r="AJ21" i="2"/>
  <c r="AJ51" i="2"/>
  <c r="AF73" i="4"/>
  <c r="AF114" i="4"/>
  <c r="AF103" i="4"/>
  <c r="AF213" i="4"/>
  <c r="AF287" i="4"/>
  <c r="AF138" i="4"/>
  <c r="AF144" i="4"/>
  <c r="AF232" i="4"/>
  <c r="AF143" i="4"/>
  <c r="AF101" i="4"/>
  <c r="AF27" i="4"/>
  <c r="AF296" i="4"/>
  <c r="AF207" i="4"/>
  <c r="AF194" i="4"/>
  <c r="AF196" i="4"/>
  <c r="AF205" i="4"/>
  <c r="AF297" i="4"/>
  <c r="AF121" i="4"/>
  <c r="AF148" i="4"/>
  <c r="AF195" i="4"/>
  <c r="AF202" i="4"/>
  <c r="AF203" i="4"/>
  <c r="AF204" i="4"/>
  <c r="AF124" i="4"/>
  <c r="AF208" i="4"/>
  <c r="AF206" i="4"/>
  <c r="AF254" i="4"/>
  <c r="AF294" i="4"/>
  <c r="AF295" i="4"/>
  <c r="AF111" i="4"/>
  <c r="AF98" i="4"/>
  <c r="AF229" i="4"/>
  <c r="AF228" i="4"/>
  <c r="AF68" i="4"/>
  <c r="AF69" i="4"/>
  <c r="AF266" i="4"/>
  <c r="AF286" i="4"/>
  <c r="AF166" i="4"/>
  <c r="AF167" i="4"/>
  <c r="AF269" i="4"/>
  <c r="AF267" i="4"/>
  <c r="AF110" i="4"/>
  <c r="AF238" i="4"/>
  <c r="AF42" i="4"/>
  <c r="AF244" i="4"/>
  <c r="AF222" i="4"/>
  <c r="AF227" i="4"/>
  <c r="AF215" i="4"/>
  <c r="AF289" i="4"/>
  <c r="AF288" i="4"/>
  <c r="AF104" i="4"/>
  <c r="AF226" i="4"/>
  <c r="AF99" i="4"/>
  <c r="AF145" i="4"/>
  <c r="AF100" i="4"/>
  <c r="AF263" i="4"/>
  <c r="AF264" i="4"/>
  <c r="AF265" i="4"/>
  <c r="AF165" i="4"/>
  <c r="AF223" i="4"/>
  <c r="AF224" i="4"/>
  <c r="AF184" i="4"/>
  <c r="AF185" i="4"/>
  <c r="AF187" i="4"/>
  <c r="AF188" i="4"/>
  <c r="AF133" i="4"/>
  <c r="AF128" i="4"/>
  <c r="AF141" i="4"/>
  <c r="AF117" i="4"/>
  <c r="AF122" i="4"/>
  <c r="AF140" i="4"/>
  <c r="AF25" i="4"/>
  <c r="AF67" i="4"/>
  <c r="AF22" i="4"/>
  <c r="AF293" i="4"/>
  <c r="AF72" i="4"/>
  <c r="AF115" i="4"/>
  <c r="AF70" i="4"/>
  <c r="AF55" i="4"/>
  <c r="AF59" i="4"/>
  <c r="AF291" i="4"/>
  <c r="AF53" i="4"/>
  <c r="AF23" i="4"/>
  <c r="AF20" i="4"/>
  <c r="AF172" i="4"/>
  <c r="AF173" i="4"/>
  <c r="AF270" i="4"/>
  <c r="AF66" i="4"/>
  <c r="AF78" i="4"/>
  <c r="AF85" i="4"/>
  <c r="AF74" i="4"/>
  <c r="AF248" i="4"/>
  <c r="AF51" i="4"/>
  <c r="AF54" i="4"/>
  <c r="AF268" i="4"/>
  <c r="AF272" i="4"/>
  <c r="AF275" i="4"/>
  <c r="AF219" i="4"/>
  <c r="AF271" i="4"/>
  <c r="AF169" i="4"/>
  <c r="AF170" i="4"/>
  <c r="AF274" i="4"/>
  <c r="AF181" i="4"/>
  <c r="AF130" i="4"/>
  <c r="AF292" i="4"/>
  <c r="AF168" i="4"/>
  <c r="AF273" i="4"/>
  <c r="AF120" i="4"/>
  <c r="AF48" i="4"/>
  <c r="AF86" i="4"/>
  <c r="AF112" i="4"/>
  <c r="AF131" i="4"/>
  <c r="AF183" i="4"/>
  <c r="AF47" i="4"/>
  <c r="AF84" i="4"/>
  <c r="AF125" i="4"/>
  <c r="AF262" i="4"/>
  <c r="AF83" i="4"/>
  <c r="AF97" i="4"/>
  <c r="AF119" i="4"/>
  <c r="AF136" i="4"/>
  <c r="AF155" i="4"/>
  <c r="AF156" i="4"/>
  <c r="AF212" i="4"/>
  <c r="AF230" i="4"/>
  <c r="AF231" i="4"/>
  <c r="AF239" i="4"/>
  <c r="AF255" i="4"/>
  <c r="AF62" i="4"/>
  <c r="AF108" i="4"/>
  <c r="AF154" i="4"/>
  <c r="AF237" i="4"/>
  <c r="AF105" i="4"/>
  <c r="AF235" i="4"/>
  <c r="AF45" i="4"/>
  <c r="AF118" i="4"/>
  <c r="AF256" i="4"/>
  <c r="AF90" i="4"/>
  <c r="AF234" i="4"/>
  <c r="AF242" i="4"/>
  <c r="AF44" i="4"/>
  <c r="AF113" i="4"/>
  <c r="AF132" i="4"/>
  <c r="AF179" i="4"/>
  <c r="AF91" i="4"/>
  <c r="AF92" i="4"/>
  <c r="AF94" i="4"/>
  <c r="AF190" i="4"/>
  <c r="AF191" i="4"/>
  <c r="AF192" i="4"/>
  <c r="AF158" i="4"/>
  <c r="AF278" i="4"/>
  <c r="AF280" i="4"/>
  <c r="AF46" i="4"/>
  <c r="AF153" i="4"/>
  <c r="AF180" i="4"/>
  <c r="AF161" i="4"/>
  <c r="AF279" i="4"/>
  <c r="AF214" i="4"/>
  <c r="AF277" i="4"/>
  <c r="AF281" i="4"/>
  <c r="AF283" i="4"/>
  <c r="AF123" i="4"/>
  <c r="AF290" i="4"/>
  <c r="AF146" i="4"/>
  <c r="AF284" i="4"/>
  <c r="AF107" i="4"/>
  <c r="AF251" i="4"/>
  <c r="AF5" i="4"/>
  <c r="AF36" i="4"/>
  <c r="AF37" i="4"/>
  <c r="AF149" i="4"/>
  <c r="AF2" i="4"/>
  <c r="AF10" i="4"/>
  <c r="AF11" i="4"/>
  <c r="AF12" i="4"/>
  <c r="AF93" i="4"/>
  <c r="AF8" i="4"/>
  <c r="AF38" i="4"/>
  <c r="AF39" i="4"/>
  <c r="AF95" i="4"/>
  <c r="AF33" i="4"/>
  <c r="AF30" i="4"/>
  <c r="AF49" i="4"/>
  <c r="AF182" i="4"/>
  <c r="AF87" i="4"/>
  <c r="AF129" i="4"/>
  <c r="AF197" i="4"/>
  <c r="AF260" i="4"/>
  <c r="AF175" i="4"/>
  <c r="AF298" i="4"/>
  <c r="AF116" i="4"/>
  <c r="AF63" i="4"/>
  <c r="AF96" i="4"/>
  <c r="AF282" i="4"/>
  <c r="AF35" i="4"/>
  <c r="AF186" i="4"/>
  <c r="AF26" i="4"/>
  <c r="AF247" i="4"/>
  <c r="AF43" i="4"/>
  <c r="AF193" i="4"/>
  <c r="AF139" i="4"/>
  <c r="AF126" i="4"/>
  <c r="AF50" i="4"/>
  <c r="AF245" i="4"/>
  <c r="AF64" i="4"/>
  <c r="AF137" i="4"/>
  <c r="AF241" i="4"/>
  <c r="AF18" i="4"/>
  <c r="AF40" i="4"/>
  <c r="AF88" i="4"/>
  <c r="AF151" i="4"/>
  <c r="AF174" i="4"/>
  <c r="AF199" i="4"/>
  <c r="AF109" i="4"/>
  <c r="AF150" i="4"/>
  <c r="AF198" i="4"/>
  <c r="AF17" i="4"/>
  <c r="AF19" i="4"/>
  <c r="AF13" i="4"/>
  <c r="AF15" i="4"/>
  <c r="AF106" i="4"/>
  <c r="AF135" i="4"/>
  <c r="AF209" i="4"/>
  <c r="AF142" i="4"/>
  <c r="AF211" i="4"/>
  <c r="AF6" i="4"/>
  <c r="AF276" i="4"/>
  <c r="AF252" i="4"/>
  <c r="AF250" i="4"/>
  <c r="AF249" i="4"/>
  <c r="AF7" i="4"/>
  <c r="AF177" i="4"/>
  <c r="AF253" i="4"/>
  <c r="AF79" i="4"/>
  <c r="AF34" i="4"/>
  <c r="AF178" i="4"/>
  <c r="AF189" i="4"/>
  <c r="AF176" i="4"/>
  <c r="AF246" i="4"/>
  <c r="AF162" i="4"/>
  <c r="AF163" i="4"/>
  <c r="AF164" i="4"/>
  <c r="AF89" i="4"/>
  <c r="AF171" i="4"/>
  <c r="AF285" i="4"/>
  <c r="AF102" i="4"/>
  <c r="AF56" i="4"/>
  <c r="AF71" i="4"/>
  <c r="AF21" i="4"/>
  <c r="AF65" i="4"/>
  <c r="AF216" i="4"/>
  <c r="AF220" i="4"/>
  <c r="AF221" i="4"/>
  <c r="AF217" i="4"/>
  <c r="AF218" i="4"/>
  <c r="AF82" i="4"/>
  <c r="AF233" i="4"/>
  <c r="AF243" i="4"/>
  <c r="AF41" i="4"/>
  <c r="AF240" i="4"/>
  <c r="AF4" i="4"/>
  <c r="AF3" i="4"/>
  <c r="AF9" i="4"/>
  <c r="AF28" i="4"/>
  <c r="AF29" i="4"/>
  <c r="AF32" i="4"/>
  <c r="AF157" i="4"/>
  <c r="AF31" i="4"/>
  <c r="AF80" i="4"/>
  <c r="AF225" i="4"/>
  <c r="AF14" i="4"/>
  <c r="AF210" i="4"/>
  <c r="AF61" i="4"/>
  <c r="AF52" i="4"/>
  <c r="AF160" i="4"/>
  <c r="AF81" i="4"/>
  <c r="AF134" i="4"/>
  <c r="AF75" i="4"/>
  <c r="AF236" i="4"/>
  <c r="AF16" i="4"/>
  <c r="AF159" i="4"/>
  <c r="AF127" i="4"/>
  <c r="AF152" i="4"/>
  <c r="AF58" i="4"/>
  <c r="AF200" i="4"/>
  <c r="AF201" i="4"/>
  <c r="AF57" i="4"/>
  <c r="AF60" i="4"/>
  <c r="AF76" i="4"/>
  <c r="AF261" i="4"/>
  <c r="AF147" i="4"/>
  <c r="AF314" i="4"/>
  <c r="AF302" i="4"/>
  <c r="AF299" i="4"/>
  <c r="AF300" i="4"/>
  <c r="AF304" i="4"/>
  <c r="AF309" i="4"/>
  <c r="AF312" i="4"/>
  <c r="AF313" i="4"/>
  <c r="AF305" i="4"/>
  <c r="AF306" i="4"/>
  <c r="AF307" i="4"/>
  <c r="AF311" i="4"/>
  <c r="AF310" i="4"/>
  <c r="AF301" i="4"/>
  <c r="AF308" i="4"/>
  <c r="AF341" i="4"/>
  <c r="AF318" i="4"/>
  <c r="AF319" i="4"/>
  <c r="AF345" i="4"/>
  <c r="AF343" i="4"/>
  <c r="AF344" i="4"/>
  <c r="AF320" i="4"/>
  <c r="AF337" i="4"/>
  <c r="AF338" i="4"/>
  <c r="AF339" i="4"/>
  <c r="AF340" i="4"/>
  <c r="AF321" i="4"/>
  <c r="AF346" i="4"/>
  <c r="AF342" i="4"/>
  <c r="AF330" i="4"/>
  <c r="AF333" i="4"/>
  <c r="AF331" i="4"/>
  <c r="AF335" i="4"/>
  <c r="AF332" i="4"/>
  <c r="AF334" i="4"/>
  <c r="AF336" i="4"/>
  <c r="AF327" i="4"/>
  <c r="AF328" i="4"/>
  <c r="AF326" i="4"/>
  <c r="AF347" i="4"/>
  <c r="AF329" i="4"/>
  <c r="AF322" i="4"/>
  <c r="AF323" i="4"/>
  <c r="AF324" i="4"/>
  <c r="AF325" i="4"/>
  <c r="AF317" i="4"/>
  <c r="AF315" i="4"/>
  <c r="AF316" i="4"/>
  <c r="AF352" i="4"/>
  <c r="AF353" i="4"/>
  <c r="AF366" i="4"/>
  <c r="AF367" i="4"/>
  <c r="AF368" i="4"/>
  <c r="AF369" i="4"/>
  <c r="AF350" i="4"/>
  <c r="AF354" i="4"/>
  <c r="AF351" i="4"/>
  <c r="AF348" i="4"/>
  <c r="AF356" i="4"/>
  <c r="AF357" i="4"/>
  <c r="AF358" i="4"/>
  <c r="AF360" i="4"/>
  <c r="AF361" i="4"/>
  <c r="AF362" i="4"/>
  <c r="AF349" i="4"/>
  <c r="AF363" i="4"/>
  <c r="AF364" i="4"/>
  <c r="AF365" i="4"/>
  <c r="AF355" i="4"/>
  <c r="AF359" i="4"/>
  <c r="AF375" i="4"/>
  <c r="AF371" i="4"/>
  <c r="AF379" i="4"/>
  <c r="AF370" i="4"/>
  <c r="AF372" i="4"/>
  <c r="AF374" i="4"/>
  <c r="AF377" i="4"/>
  <c r="AF373" i="4"/>
  <c r="AF376" i="4"/>
  <c r="AF378" i="4"/>
  <c r="AF381" i="4"/>
  <c r="AF383" i="4"/>
  <c r="AF386" i="4"/>
  <c r="AF385" i="4"/>
  <c r="AF382" i="4"/>
  <c r="AF384" i="4"/>
  <c r="AF390" i="4"/>
  <c r="AF405" i="4"/>
  <c r="AF408" i="4"/>
  <c r="AF391" i="4"/>
  <c r="AF392" i="4"/>
  <c r="AF393" i="4"/>
  <c r="AF394" i="4"/>
  <c r="AF400" i="4"/>
  <c r="AF402" i="4"/>
  <c r="AF403" i="4"/>
  <c r="AF407" i="4"/>
  <c r="AF401" i="4"/>
  <c r="AF389" i="4"/>
  <c r="AF387" i="4"/>
  <c r="AF388" i="4"/>
  <c r="AF396" i="4"/>
  <c r="AF397" i="4"/>
  <c r="AF398" i="4"/>
  <c r="AF399" i="4"/>
  <c r="AF404" i="4"/>
  <c r="AF406" i="4"/>
  <c r="AF409" i="4"/>
  <c r="AF410" i="4"/>
  <c r="AF411" i="4"/>
  <c r="AF395" i="4"/>
  <c r="AF24" i="4"/>
  <c r="AE61" i="4"/>
  <c r="BC118" i="5"/>
  <c r="B8" i="3"/>
  <c r="C8" i="3"/>
  <c r="E8" i="3"/>
  <c r="B9" i="3"/>
  <c r="C9" i="3"/>
  <c r="E9" i="3"/>
  <c r="I9" i="3"/>
  <c r="J9" i="3"/>
  <c r="G2" i="2"/>
  <c r="K2" i="2"/>
  <c r="T2" i="2"/>
  <c r="U2" i="2"/>
  <c r="V2" i="2"/>
  <c r="W2" i="2"/>
  <c r="AA2" i="2"/>
  <c r="AD2" i="2"/>
  <c r="AE2" i="2"/>
  <c r="AF2" i="2"/>
  <c r="AG2" i="2"/>
  <c r="AH2" i="2"/>
  <c r="AI2" i="2"/>
  <c r="AK2" i="2"/>
  <c r="AL2" i="2"/>
  <c r="AM2" i="2"/>
  <c r="D67" i="6"/>
  <c r="D206" i="6"/>
  <c r="D90" i="6"/>
  <c r="D91" i="6"/>
  <c r="D98" i="6"/>
  <c r="D100" i="6"/>
  <c r="D107" i="6"/>
  <c r="D109" i="6"/>
  <c r="D117" i="6"/>
  <c r="D123" i="6"/>
  <c r="D124" i="6"/>
  <c r="D125" i="6"/>
  <c r="D160" i="6"/>
  <c r="D165" i="6"/>
  <c r="D141" i="6"/>
  <c r="D168" i="6"/>
  <c r="D126" i="6"/>
  <c r="D144" i="6"/>
  <c r="D57" i="6"/>
  <c r="D14" i="6"/>
  <c r="D127" i="6"/>
  <c r="D244" i="6"/>
  <c r="D79" i="6"/>
  <c r="D113" i="6"/>
  <c r="D154" i="6"/>
  <c r="D145" i="6"/>
  <c r="D218" i="6"/>
  <c r="D201" i="6"/>
  <c r="D219" i="6"/>
  <c r="D128" i="6"/>
  <c r="D203" i="6"/>
  <c r="D148" i="6"/>
  <c r="D149" i="6"/>
  <c r="D150" i="6"/>
  <c r="D281" i="6"/>
  <c r="D228" i="6"/>
  <c r="D229" i="6"/>
  <c r="D230" i="6"/>
  <c r="D297" i="6"/>
  <c r="D159" i="6"/>
  <c r="D103" i="6"/>
  <c r="D224" i="6"/>
  <c r="D212" i="6"/>
  <c r="D214" i="6"/>
  <c r="D200" i="6"/>
  <c r="D234" i="6"/>
  <c r="D153" i="6"/>
  <c r="D178" i="6"/>
  <c r="D171" i="6"/>
  <c r="D172" i="6"/>
  <c r="D216" i="6"/>
  <c r="D259" i="6"/>
  <c r="D207" i="6"/>
  <c r="D208" i="6"/>
  <c r="D260" i="6"/>
  <c r="D236" i="6"/>
  <c r="D220" i="6"/>
  <c r="D202" i="6"/>
  <c r="D204" i="6"/>
  <c r="D226" i="6"/>
  <c r="D280" i="6"/>
  <c r="D44" i="6"/>
  <c r="D209" i="6"/>
  <c r="D72" i="6"/>
  <c r="D21" i="6"/>
  <c r="D23" i="6"/>
  <c r="D87" i="6"/>
  <c r="D64" i="6"/>
  <c r="D88" i="6"/>
  <c r="D65" i="6"/>
  <c r="D66" i="6"/>
  <c r="D68" i="6"/>
  <c r="D69" i="6"/>
  <c r="D89" i="6"/>
  <c r="D85" i="6"/>
  <c r="D92" i="6"/>
  <c r="D93" i="6"/>
  <c r="D95" i="6"/>
  <c r="D232" i="6"/>
  <c r="D71" i="6"/>
  <c r="D99" i="6"/>
  <c r="D101" i="6"/>
  <c r="D115" i="6"/>
  <c r="D116" i="6"/>
  <c r="D166" i="6"/>
  <c r="D167" i="6"/>
  <c r="D196" i="6"/>
  <c r="D143" i="6"/>
  <c r="D198" i="6"/>
  <c r="D77" i="6"/>
  <c r="D275" i="6"/>
  <c r="D215" i="6"/>
  <c r="D263" i="6"/>
  <c r="D177" i="6"/>
  <c r="D245" i="6"/>
  <c r="D146" i="6"/>
  <c r="D147" i="6"/>
  <c r="D221" i="6"/>
  <c r="D222" i="6"/>
  <c r="D223" i="6"/>
  <c r="D225" i="6"/>
  <c r="D205" i="6"/>
  <c r="D83" i="6"/>
  <c r="D173" i="6"/>
  <c r="D174" i="6"/>
  <c r="D184" i="6"/>
  <c r="D185" i="6"/>
  <c r="D86" i="6"/>
  <c r="D70" i="6"/>
  <c r="D106" i="6"/>
  <c r="D96" i="6"/>
  <c r="D97" i="6"/>
  <c r="D108" i="6"/>
  <c r="D110" i="6"/>
  <c r="D111" i="6"/>
  <c r="D112" i="6"/>
  <c r="D261" i="6"/>
  <c r="D237" i="6"/>
  <c r="D238" i="6"/>
  <c r="D279" i="6"/>
  <c r="D157" i="6"/>
  <c r="D84" i="6"/>
  <c r="D158" i="6"/>
  <c r="D183" i="6"/>
  <c r="D175" i="6"/>
  <c r="D211" i="6"/>
  <c r="D134" i="6"/>
  <c r="D59" i="6"/>
  <c r="D217" i="6"/>
  <c r="D179" i="6"/>
  <c r="D155" i="6"/>
  <c r="D251" i="6"/>
  <c r="D278" i="6"/>
  <c r="D181" i="6"/>
  <c r="D39" i="6"/>
  <c r="D104" i="6"/>
  <c r="D31" i="6"/>
  <c r="D197" i="6"/>
  <c r="D24" i="6"/>
  <c r="D38" i="6"/>
  <c r="D25" i="6"/>
  <c r="D118" i="6"/>
  <c r="D120" i="6"/>
  <c r="D26" i="6"/>
  <c r="D32" i="6"/>
  <c r="D190" i="6"/>
  <c r="D33" i="6"/>
  <c r="D186" i="6"/>
  <c r="D189" i="6"/>
  <c r="D192" i="6"/>
  <c r="D195" i="6"/>
  <c r="D257" i="6"/>
  <c r="D267" i="6"/>
  <c r="D35" i="6"/>
  <c r="D289" i="6"/>
  <c r="D269" i="6"/>
  <c r="D270" i="6"/>
  <c r="D63" i="6"/>
  <c r="D60" i="6"/>
  <c r="D61" i="6"/>
  <c r="D15" i="6"/>
  <c r="D36" i="6"/>
  <c r="D130" i="6"/>
  <c r="D271" i="6"/>
  <c r="D13" i="6"/>
  <c r="D235" i="6"/>
  <c r="D161" i="6"/>
  <c r="D274" i="6"/>
  <c r="D255" i="6"/>
  <c r="D256" i="6"/>
  <c r="D227" i="6"/>
  <c r="D151" i="6"/>
  <c r="D268" i="6"/>
  <c r="D122" i="6"/>
  <c r="D182" i="6"/>
  <c r="D133" i="6"/>
  <c r="D262" i="6"/>
  <c r="D27" i="6"/>
  <c r="D28" i="6"/>
  <c r="D29" i="6"/>
  <c r="D30" i="6"/>
  <c r="D282" i="6"/>
  <c r="D283" i="6"/>
  <c r="D74" i="6"/>
  <c r="D284" i="6"/>
  <c r="D75" i="6"/>
  <c r="D76" i="6"/>
  <c r="D135" i="6"/>
  <c r="D285" i="6"/>
  <c r="D119" i="6"/>
  <c r="D78" i="6"/>
  <c r="D136" i="6"/>
  <c r="D137" i="6"/>
  <c r="D138" i="6"/>
  <c r="D243" i="6"/>
  <c r="D286" i="6"/>
  <c r="D287" i="6"/>
  <c r="D34" i="6"/>
  <c r="D152" i="6"/>
  <c r="D156" i="6"/>
  <c r="D163" i="6"/>
  <c r="D169" i="6"/>
  <c r="D170" i="6"/>
  <c r="D180" i="6"/>
  <c r="D231" i="6"/>
  <c r="D290" i="6"/>
  <c r="D291" i="6"/>
  <c r="D292" i="6"/>
  <c r="D293" i="6"/>
  <c r="D294" i="6"/>
  <c r="D295" i="6"/>
  <c r="D276" i="6"/>
  <c r="D252" i="6"/>
  <c r="D129" i="6"/>
  <c r="D273" i="6"/>
  <c r="D254" i="6"/>
  <c r="D277" i="6"/>
  <c r="D239" i="6"/>
  <c r="D247" i="6"/>
  <c r="D248" i="6"/>
  <c r="D164" i="6"/>
  <c r="D258" i="6"/>
  <c r="D12" i="6"/>
  <c r="D213" i="6"/>
  <c r="D253" i="6"/>
  <c r="D2" i="6"/>
  <c r="D3" i="6"/>
  <c r="D4" i="6"/>
  <c r="D5" i="6"/>
  <c r="D6" i="6"/>
  <c r="D47" i="6"/>
  <c r="D7" i="6"/>
  <c r="D48" i="6"/>
  <c r="D9" i="6"/>
  <c r="D49" i="6"/>
  <c r="D50" i="6"/>
  <c r="D10" i="6"/>
  <c r="D114" i="6"/>
  <c r="D11" i="6"/>
  <c r="D51" i="6"/>
  <c r="D52" i="6"/>
  <c r="D62" i="6"/>
  <c r="D53" i="6"/>
  <c r="D94" i="6"/>
  <c r="D233" i="6"/>
  <c r="D105" i="6"/>
  <c r="D54" i="6"/>
  <c r="D55" i="6"/>
  <c r="D56" i="6"/>
  <c r="D131" i="6"/>
  <c r="D296" i="6"/>
  <c r="D210" i="6"/>
  <c r="D46" i="6"/>
  <c r="D199" i="6"/>
  <c r="D58" i="6"/>
  <c r="D250" i="6"/>
  <c r="D81" i="6"/>
  <c r="D264" i="6"/>
  <c r="D162" i="6"/>
  <c r="D288" i="6"/>
  <c r="D82" i="6"/>
  <c r="D187" i="6"/>
  <c r="D191" i="6"/>
  <c r="D265" i="6"/>
  <c r="D266" i="6"/>
  <c r="D16" i="6"/>
  <c r="D18" i="6"/>
  <c r="D19" i="6"/>
  <c r="D20" i="6"/>
  <c r="D102" i="6"/>
  <c r="D8" i="6"/>
  <c r="D142" i="6"/>
  <c r="D176" i="6"/>
  <c r="D73" i="6"/>
  <c r="D272" i="6"/>
  <c r="D240" i="6"/>
  <c r="D241" i="6"/>
  <c r="D242" i="6"/>
  <c r="D246" i="6"/>
  <c r="D249" i="6"/>
  <c r="D188" i="6"/>
  <c r="D193" i="6"/>
  <c r="D194" i="6"/>
  <c r="D17" i="6"/>
  <c r="D132" i="6"/>
  <c r="D121" i="6"/>
  <c r="D80" i="6"/>
  <c r="D37" i="6"/>
  <c r="D40" i="6"/>
  <c r="D41" i="6"/>
  <c r="D42" i="6"/>
  <c r="D45" i="6"/>
  <c r="D43" i="6"/>
  <c r="D304" i="6"/>
  <c r="D305" i="6"/>
  <c r="D306" i="6"/>
  <c r="D307" i="6"/>
  <c r="D300" i="6"/>
  <c r="D301" i="6"/>
  <c r="D302" i="6"/>
  <c r="D313" i="6"/>
  <c r="D299" i="6"/>
  <c r="D303" i="6"/>
  <c r="D312" i="6"/>
  <c r="D308" i="6"/>
  <c r="D309" i="6"/>
  <c r="D310" i="6"/>
  <c r="D311" i="6"/>
  <c r="D327" i="6"/>
  <c r="D328" i="6"/>
  <c r="D329" i="6"/>
  <c r="D315" i="6"/>
  <c r="D316" i="6"/>
  <c r="D317" i="6"/>
  <c r="D320" i="6"/>
  <c r="D325" i="6"/>
  <c r="D347" i="6"/>
  <c r="D326" i="6"/>
  <c r="D330" i="6"/>
  <c r="D342" i="6"/>
  <c r="D343" i="6"/>
  <c r="D318" i="6"/>
  <c r="D319" i="6"/>
  <c r="D321" i="6"/>
  <c r="D322" i="6"/>
  <c r="D323" i="6"/>
  <c r="D324" i="6"/>
  <c r="D331" i="6"/>
  <c r="D332" i="6"/>
  <c r="D333" i="6"/>
  <c r="D334" i="6"/>
  <c r="D335" i="6"/>
  <c r="D336" i="6"/>
  <c r="D337" i="6"/>
  <c r="D338" i="6"/>
  <c r="D339" i="6"/>
  <c r="D340" i="6"/>
  <c r="D341" i="6"/>
  <c r="D346" i="6"/>
  <c r="D344" i="6"/>
  <c r="D345" i="6"/>
  <c r="D350" i="6"/>
  <c r="D352" i="6"/>
  <c r="D354" i="6"/>
  <c r="D357" i="6"/>
  <c r="D361" i="6"/>
  <c r="D355" i="6"/>
  <c r="D358" i="6"/>
  <c r="D360" i="6"/>
  <c r="D351" i="6"/>
  <c r="D365" i="6"/>
  <c r="D366" i="6"/>
  <c r="D348" i="6"/>
  <c r="D362" i="6"/>
  <c r="D349" i="6"/>
  <c r="D367" i="6"/>
  <c r="D353" i="6"/>
  <c r="D356" i="6"/>
  <c r="D363" i="6"/>
  <c r="D364" i="6"/>
  <c r="D368" i="6"/>
  <c r="D369" i="6"/>
  <c r="D359" i="6"/>
  <c r="D375" i="6"/>
  <c r="D378" i="6"/>
  <c r="D370" i="6"/>
  <c r="D371" i="6"/>
  <c r="D372" i="6"/>
  <c r="D373" i="6"/>
  <c r="D374" i="6"/>
  <c r="D376" i="6"/>
  <c r="D377" i="6"/>
  <c r="D379" i="6"/>
  <c r="D380" i="6"/>
  <c r="D383" i="6"/>
  <c r="D382" i="6"/>
  <c r="D386" i="6"/>
  <c r="D385" i="6"/>
  <c r="D384" i="6"/>
  <c r="D391" i="6"/>
  <c r="D392" i="6"/>
  <c r="D393" i="6"/>
  <c r="D394" i="6"/>
  <c r="D398" i="6"/>
  <c r="D399" i="6"/>
  <c r="D400" i="6"/>
  <c r="D401" i="6"/>
  <c r="D397" i="6"/>
  <c r="D387" i="6"/>
  <c r="D389" i="6"/>
  <c r="D403" i="6"/>
  <c r="D402" i="6"/>
  <c r="D395" i="6"/>
  <c r="D396" i="6"/>
  <c r="D405" i="6"/>
  <c r="D410" i="6"/>
  <c r="D388" i="6"/>
  <c r="D409" i="6"/>
  <c r="D411" i="6"/>
  <c r="D404" i="6"/>
  <c r="D407" i="6"/>
  <c r="D390" i="6"/>
  <c r="D406" i="6"/>
  <c r="D408" i="6"/>
  <c r="D22" i="6"/>
  <c r="A171" i="8"/>
  <c r="C171" i="8"/>
  <c r="AZ143" i="1"/>
  <c r="BC143" i="1"/>
  <c r="AZ147" i="1"/>
  <c r="CH147" i="1"/>
  <c r="CI147" i="1"/>
  <c r="CJ147" i="1"/>
  <c r="CK147" i="1"/>
  <c r="CL147" i="1"/>
  <c r="CM147" i="1"/>
  <c r="CN147" i="1"/>
  <c r="CO147" i="1"/>
  <c r="CP147" i="1"/>
  <c r="CQ147" i="1"/>
  <c r="CR147" i="1"/>
  <c r="CS147" i="1"/>
  <c r="BV147" i="1"/>
  <c r="BW147" i="1"/>
  <c r="BX147" i="1"/>
  <c r="BY147" i="1"/>
  <c r="BZ147" i="1"/>
  <c r="CA147" i="1"/>
  <c r="CB147" i="1"/>
  <c r="CC147" i="1"/>
  <c r="CD147" i="1"/>
  <c r="CE147" i="1"/>
  <c r="CF147" i="1"/>
  <c r="CG147" i="1"/>
  <c r="BC147" i="1"/>
  <c r="CT147" i="1"/>
  <c r="K35" i="2"/>
  <c r="K216" i="4"/>
  <c r="K34" i="2"/>
  <c r="K32" i="2"/>
  <c r="K220" i="4"/>
  <c r="K33" i="2"/>
  <c r="K8" i="2"/>
  <c r="K16" i="2"/>
  <c r="K221" i="4"/>
  <c r="K31" i="2"/>
  <c r="K217" i="4"/>
  <c r="K218" i="4"/>
  <c r="K165" i="4"/>
  <c r="K265" i="4"/>
  <c r="AL184" i="4"/>
  <c r="AL24" i="4"/>
  <c r="AL185" i="4"/>
  <c r="AL187" i="4"/>
  <c r="AL188" i="4"/>
  <c r="AL133" i="4"/>
  <c r="AL128" i="4"/>
  <c r="AL141" i="4"/>
  <c r="AL122" i="4"/>
  <c r="AL140" i="4"/>
  <c r="AL101" i="4"/>
  <c r="AL114" i="4"/>
  <c r="AL25" i="4"/>
  <c r="AL27" i="4"/>
  <c r="AL67" i="4"/>
  <c r="AL68" i="4"/>
  <c r="AL73" i="4"/>
  <c r="AL22" i="4"/>
  <c r="AL293" i="4"/>
  <c r="AL56" i="4"/>
  <c r="AL72" i="4"/>
  <c r="AL115" i="4"/>
  <c r="AL52" i="4"/>
  <c r="AL70" i="4"/>
  <c r="AL71" i="4"/>
  <c r="AL69" i="4"/>
  <c r="AL55" i="4"/>
  <c r="AL58" i="4"/>
  <c r="AL21" i="4"/>
  <c r="AL60" i="4"/>
  <c r="AL172" i="4"/>
  <c r="AL173" i="4"/>
  <c r="AL266" i="4"/>
  <c r="AL286" i="4"/>
  <c r="AL200" i="4"/>
  <c r="AL270" i="4"/>
  <c r="AL166" i="4"/>
  <c r="AL167" i="4"/>
  <c r="AL265" i="4"/>
  <c r="AL66" i="4"/>
  <c r="AL269" i="4"/>
  <c r="AL78" i="4"/>
  <c r="AL85" i="4"/>
  <c r="AL74" i="4"/>
  <c r="AL248" i="4"/>
  <c r="AL160" i="4"/>
  <c r="AL65" i="4"/>
  <c r="AL51" i="4"/>
  <c r="AL54" i="4"/>
  <c r="AL216" i="4"/>
  <c r="AL220" i="4"/>
  <c r="AL221" i="4"/>
  <c r="AL268" i="4"/>
  <c r="AL272" i="4"/>
  <c r="AL296" i="4"/>
  <c r="AL275" i="4"/>
  <c r="AL201" i="4"/>
  <c r="AL217" i="4"/>
  <c r="AL219" i="4"/>
  <c r="AL271" i="4"/>
  <c r="AL169" i="4"/>
  <c r="AL170" i="4"/>
  <c r="AL274" i="4"/>
  <c r="AL218" i="4"/>
  <c r="AL267" i="4"/>
  <c r="AL181" i="4"/>
  <c r="AL57" i="4"/>
  <c r="AL130" i="4"/>
  <c r="AL292" i="4"/>
  <c r="AL110" i="4"/>
  <c r="AL238" i="4"/>
  <c r="AL168" i="4"/>
  <c r="AL48" i="4"/>
  <c r="AL86" i="4"/>
  <c r="AL112" i="4"/>
  <c r="AL131" i="4"/>
  <c r="AL183" i="4"/>
  <c r="AL47" i="4"/>
  <c r="AL84" i="4"/>
  <c r="AL82" i="4"/>
  <c r="AL125" i="4"/>
  <c r="AL262" i="4"/>
  <c r="AL83" i="4"/>
  <c r="AL97" i="4"/>
  <c r="AL119" i="4"/>
  <c r="AL136" i="4"/>
  <c r="AL155" i="4"/>
  <c r="AL156" i="4"/>
  <c r="AL212" i="4"/>
  <c r="AL230" i="4"/>
  <c r="AL231" i="4"/>
  <c r="AL233" i="4"/>
  <c r="AL239" i="4"/>
  <c r="AL243" i="4"/>
  <c r="AL255" i="4"/>
  <c r="AL62" i="4"/>
  <c r="AL108" i="4"/>
  <c r="AL154" i="4"/>
  <c r="AL237" i="4"/>
  <c r="AL41" i="4"/>
  <c r="AL42" i="4"/>
  <c r="AL105" i="4"/>
  <c r="AL235" i="4"/>
  <c r="AL244" i="4"/>
  <c r="AL45" i="4"/>
  <c r="AL118" i="4"/>
  <c r="AL256" i="4"/>
  <c r="AL90" i="4"/>
  <c r="AL234" i="4"/>
  <c r="AL240" i="4"/>
  <c r="AL242" i="4"/>
  <c r="AL44" i="4"/>
  <c r="AL113" i="4"/>
  <c r="AL132" i="4"/>
  <c r="AL179" i="4"/>
  <c r="AL91" i="4"/>
  <c r="AL222" i="4"/>
  <c r="AL223" i="4"/>
  <c r="AL224" i="4"/>
  <c r="AL227" i="4"/>
  <c r="AL81" i="4"/>
  <c r="AL134" i="4"/>
  <c r="AL92" i="4"/>
  <c r="AL94" i="4"/>
  <c r="AL190" i="4"/>
  <c r="AL191" i="4"/>
  <c r="AL192" i="4"/>
  <c r="AL207" i="4"/>
  <c r="AL158" i="4"/>
  <c r="AL194" i="4"/>
  <c r="AL196" i="4"/>
  <c r="AL205" i="4"/>
  <c r="AL297" i="4"/>
  <c r="AL121" i="4"/>
  <c r="AL148" i="4"/>
  <c r="AL195" i="4"/>
  <c r="AL213" i="4"/>
  <c r="AL215" i="4"/>
  <c r="AL278" i="4"/>
  <c r="AL280" i="4"/>
  <c r="AL46" i="4"/>
  <c r="AL153" i="4"/>
  <c r="AL180" i="4"/>
  <c r="AL202" i="4"/>
  <c r="AL203" i="4"/>
  <c r="AL161" i="4"/>
  <c r="AL261" i="4"/>
  <c r="AL279" i="4"/>
  <c r="AL214" i="4"/>
  <c r="AL277" i="4"/>
  <c r="AL281" i="4"/>
  <c r="AL283" i="4"/>
  <c r="AL123" i="4"/>
  <c r="AL204" i="4"/>
  <c r="AL290" i="4"/>
  <c r="AL146" i="4"/>
  <c r="AL138" i="4"/>
  <c r="AL4" i="4"/>
  <c r="AL284" i="4"/>
  <c r="AL229" i="4"/>
  <c r="AL107" i="4"/>
  <c r="AL289" i="4"/>
  <c r="AL3" i="4"/>
  <c r="AL228" i="4"/>
  <c r="AL251" i="4"/>
  <c r="AL5" i="4"/>
  <c r="AL36" i="4"/>
  <c r="AL37" i="4"/>
  <c r="AL149" i="4"/>
  <c r="AL2" i="4"/>
  <c r="AL124" i="4"/>
  <c r="AL10" i="4"/>
  <c r="AL9" i="4"/>
  <c r="AL11" i="4"/>
  <c r="AL12" i="4"/>
  <c r="AL93" i="4"/>
  <c r="AL8" i="4"/>
  <c r="AL208" i="4"/>
  <c r="AL28" i="4"/>
  <c r="AL38" i="4"/>
  <c r="AL75" i="4"/>
  <c r="AL39" i="4"/>
  <c r="AL29" i="4"/>
  <c r="AL32" i="4"/>
  <c r="AL95" i="4"/>
  <c r="AL157" i="4"/>
  <c r="AL33" i="4"/>
  <c r="AL30" i="4"/>
  <c r="AL80" i="4"/>
  <c r="AL49" i="4"/>
  <c r="AL182" i="4"/>
  <c r="AL87" i="4"/>
  <c r="AL129" i="4"/>
  <c r="AL236" i="4"/>
  <c r="AL197" i="4"/>
  <c r="AL260" i="4"/>
  <c r="AL288" i="4"/>
  <c r="AL175" i="4"/>
  <c r="AL298" i="4"/>
  <c r="AL116" i="4"/>
  <c r="AL63" i="4"/>
  <c r="AL104" i="4"/>
  <c r="AL96" i="4"/>
  <c r="AL282" i="4"/>
  <c r="AL35" i="4"/>
  <c r="AL186" i="4"/>
  <c r="AL26" i="4"/>
  <c r="AL247" i="4"/>
  <c r="AL43" i="4"/>
  <c r="AL193" i="4"/>
  <c r="AL139" i="4"/>
  <c r="AL126" i="4"/>
  <c r="AL50" i="4"/>
  <c r="AL245" i="4"/>
  <c r="AL64" i="4"/>
  <c r="AL137" i="4"/>
  <c r="AL241" i="4"/>
  <c r="AL226" i="4"/>
  <c r="AL144" i="4"/>
  <c r="AL18" i="4"/>
  <c r="AL40" i="4"/>
  <c r="AL174" i="4"/>
  <c r="AL99" i="4"/>
  <c r="AL199" i="4"/>
  <c r="AL254" i="4"/>
  <c r="AL225" i="4"/>
  <c r="AL109" i="4"/>
  <c r="AL150" i="4"/>
  <c r="AL198" i="4"/>
  <c r="AL17" i="4"/>
  <c r="AL19" i="4"/>
  <c r="AL13" i="4"/>
  <c r="AL15" i="4"/>
  <c r="AL14" i="4"/>
  <c r="AL145" i="4"/>
  <c r="AL76" i="4"/>
  <c r="AL294" i="4"/>
  <c r="AL295" i="4"/>
  <c r="AL106" i="4"/>
  <c r="AL103" i="4"/>
  <c r="AL135" i="4"/>
  <c r="AL209" i="4"/>
  <c r="AL210" i="4"/>
  <c r="AL142" i="4"/>
  <c r="AL211" i="4"/>
  <c r="AL111" i="4"/>
  <c r="AL143" i="4"/>
  <c r="AL6" i="4"/>
  <c r="AL276" i="4"/>
  <c r="AL252" i="4"/>
  <c r="AL147" i="4"/>
  <c r="AL250" i="4"/>
  <c r="AL249" i="4"/>
  <c r="AL7" i="4"/>
  <c r="AL127" i="4"/>
  <c r="AL177" i="4"/>
  <c r="AL253" i="4"/>
  <c r="AL79" i="4"/>
  <c r="AL34" i="4"/>
  <c r="AL178" i="4"/>
  <c r="AL189" i="4"/>
  <c r="AL176" i="4"/>
  <c r="AL246" i="4"/>
  <c r="AL162" i="4"/>
  <c r="AL163" i="4"/>
  <c r="AL164" i="4"/>
  <c r="AL89" i="4"/>
  <c r="AL171" i="4"/>
  <c r="AL285" i="4"/>
  <c r="AL263" i="4"/>
  <c r="AL264" i="4"/>
  <c r="AL98" i="4"/>
  <c r="AL152" i="4"/>
  <c r="AL102" i="4"/>
  <c r="AL302" i="4"/>
  <c r="AL301" i="4"/>
  <c r="AL299" i="4"/>
  <c r="AL300" i="4"/>
  <c r="AL304" i="4"/>
  <c r="AL309" i="4"/>
  <c r="AL312" i="4"/>
  <c r="AL313" i="4"/>
  <c r="AL314" i="4"/>
  <c r="AL305" i="4"/>
  <c r="AL306" i="4"/>
  <c r="AL307" i="4"/>
  <c r="AL308" i="4"/>
  <c r="AL311" i="4"/>
  <c r="AL310" i="4"/>
  <c r="AL345" i="4"/>
  <c r="AL343" i="4"/>
  <c r="AL344" i="4"/>
  <c r="AL341" i="4"/>
  <c r="AL320" i="4"/>
  <c r="AL322" i="4"/>
  <c r="AL323" i="4"/>
  <c r="AL324" i="4"/>
  <c r="AL325" i="4"/>
  <c r="AL337" i="4"/>
  <c r="AL338" i="4"/>
  <c r="AL339" i="4"/>
  <c r="AL340" i="4"/>
  <c r="AL321" i="4"/>
  <c r="AL318" i="4"/>
  <c r="AL319" i="4"/>
  <c r="AL330" i="4"/>
  <c r="AL346" i="4"/>
  <c r="AL333" i="4"/>
  <c r="AL331" i="4"/>
  <c r="AL335" i="4"/>
  <c r="AL342" i="4"/>
  <c r="AL332" i="4"/>
  <c r="AL317" i="4"/>
  <c r="AL315" i="4"/>
  <c r="AL316" i="4"/>
  <c r="AL334" i="4"/>
  <c r="AL327" i="4"/>
  <c r="AL328" i="4"/>
  <c r="AL326" i="4"/>
  <c r="AL347" i="4"/>
  <c r="AL329" i="4"/>
  <c r="AL336" i="4"/>
  <c r="AL354" i="4"/>
  <c r="AL348" i="4"/>
  <c r="AL352" i="4"/>
  <c r="AL353" i="4"/>
  <c r="AL355" i="4"/>
  <c r="AL356" i="4"/>
  <c r="AL357" i="4"/>
  <c r="AL358" i="4"/>
  <c r="AL359" i="4"/>
  <c r="AL360" i="4"/>
  <c r="AL361" i="4"/>
  <c r="AL362" i="4"/>
  <c r="AL363" i="4"/>
  <c r="AL364" i="4"/>
  <c r="AL365" i="4"/>
  <c r="AL366" i="4"/>
  <c r="AL367" i="4"/>
  <c r="AL368" i="4"/>
  <c r="AL369" i="4"/>
  <c r="AL351" i="4"/>
  <c r="AL349" i="4"/>
  <c r="AL350" i="4"/>
  <c r="AL375" i="4"/>
  <c r="AL371" i="4"/>
  <c r="AL379" i="4"/>
  <c r="AL370" i="4"/>
  <c r="AL372" i="4"/>
  <c r="AL374" i="4"/>
  <c r="AL377" i="4"/>
  <c r="AL381" i="4"/>
  <c r="AL373" i="4"/>
  <c r="AL376" i="4"/>
  <c r="AL378" i="4"/>
  <c r="AL386" i="4"/>
  <c r="AL385" i="4"/>
  <c r="AL383" i="4"/>
  <c r="AL384" i="4"/>
  <c r="AL382" i="4"/>
  <c r="AL390" i="4"/>
  <c r="AL405" i="4"/>
  <c r="AL408" i="4"/>
  <c r="AL391" i="4"/>
  <c r="AL392" i="4"/>
  <c r="AL393" i="4"/>
  <c r="AL394" i="4"/>
  <c r="AL400" i="4"/>
  <c r="AL402" i="4"/>
  <c r="AL403" i="4"/>
  <c r="AL407" i="4"/>
  <c r="AL401" i="4"/>
  <c r="AL389" i="4"/>
  <c r="AL387" i="4"/>
  <c r="AL388" i="4"/>
  <c r="AL396" i="4"/>
  <c r="AL397" i="4"/>
  <c r="AL398" i="4"/>
  <c r="AL399" i="4"/>
  <c r="AL404" i="4"/>
  <c r="AL406" i="4"/>
  <c r="AL409" i="4"/>
  <c r="AL410" i="4"/>
  <c r="AL411" i="4"/>
  <c r="AL395" i="4"/>
  <c r="AL117" i="4"/>
  <c r="AL59" i="4"/>
  <c r="AL291" i="4"/>
  <c r="AL53" i="4"/>
  <c r="AL23" i="4"/>
  <c r="AL20" i="4"/>
  <c r="AL287" i="4"/>
  <c r="AL273" i="4"/>
  <c r="AL165" i="4"/>
  <c r="AL120" i="4"/>
  <c r="AL88" i="4"/>
  <c r="AL151" i="4"/>
  <c r="AL206" i="4"/>
  <c r="AL16" i="4"/>
  <c r="AL232" i="4"/>
  <c r="AL159" i="4"/>
  <c r="AL100" i="4"/>
  <c r="AL61" i="4"/>
  <c r="F65" i="4"/>
  <c r="F66" i="4"/>
  <c r="E66" i="4"/>
  <c r="E65" i="4"/>
  <c r="M65" i="4"/>
  <c r="T21" i="2"/>
  <c r="U21" i="2"/>
  <c r="AA21" i="2"/>
  <c r="AD21" i="2"/>
  <c r="AE21" i="2"/>
  <c r="AF21" i="2"/>
  <c r="AG21" i="2"/>
  <c r="AH21" i="2"/>
  <c r="AI21" i="2"/>
  <c r="AK21" i="2"/>
  <c r="AL21" i="2"/>
  <c r="AM21" i="2"/>
  <c r="AZ145" i="1"/>
  <c r="BC145" i="1"/>
  <c r="AZ146" i="1"/>
  <c r="BC146" i="1"/>
  <c r="BC215" i="1"/>
  <c r="AZ206" i="1"/>
  <c r="BC206" i="1"/>
  <c r="AZ205" i="1"/>
  <c r="BC205" i="1"/>
  <c r="AZ94" i="1"/>
  <c r="AZ320" i="1"/>
  <c r="BC320" i="1"/>
  <c r="BB320" i="1"/>
  <c r="AZ319" i="1"/>
  <c r="BC319" i="1"/>
  <c r="BB319" i="1"/>
  <c r="AZ188" i="1"/>
  <c r="BC188" i="1"/>
  <c r="AZ187" i="1"/>
  <c r="BC187" i="1"/>
  <c r="AZ40" i="1"/>
  <c r="BC40" i="1"/>
  <c r="AZ39" i="1"/>
  <c r="BC39" i="1"/>
  <c r="AZ38" i="1"/>
  <c r="BC38" i="1"/>
  <c r="AZ37" i="1"/>
  <c r="BC37" i="1"/>
  <c r="BC36" i="1"/>
  <c r="AZ115" i="1"/>
  <c r="BC115" i="1"/>
  <c r="AZ114" i="1"/>
  <c r="BC114" i="1"/>
  <c r="AZ44" i="1"/>
  <c r="BC44" i="1"/>
  <c r="AZ43" i="1"/>
  <c r="BC43" i="1"/>
  <c r="AZ3" i="1"/>
  <c r="AZ4" i="1"/>
  <c r="AZ7" i="1"/>
  <c r="AZ8" i="1"/>
  <c r="AZ9" i="1"/>
  <c r="AZ10" i="1"/>
  <c r="AZ24" i="1"/>
  <c r="AZ25" i="1"/>
  <c r="AZ27" i="1"/>
  <c r="AZ28" i="1"/>
  <c r="AZ29" i="1"/>
  <c r="AZ30" i="1"/>
  <c r="AZ31" i="1"/>
  <c r="AZ32" i="1"/>
  <c r="AZ33" i="1"/>
  <c r="AZ34" i="1"/>
  <c r="AZ35" i="1"/>
  <c r="AZ41" i="1"/>
  <c r="AZ42" i="1"/>
  <c r="AZ64" i="1"/>
  <c r="AZ65" i="1"/>
  <c r="AZ66" i="1"/>
  <c r="AZ67" i="1"/>
  <c r="AZ68" i="1"/>
  <c r="AZ69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8" i="1"/>
  <c r="AZ119" i="1"/>
  <c r="AZ120" i="1"/>
  <c r="AZ121" i="1"/>
  <c r="AZ135" i="1"/>
  <c r="AZ136" i="1"/>
  <c r="AZ150" i="1"/>
  <c r="AZ151" i="1"/>
  <c r="AZ152" i="1"/>
  <c r="AZ153" i="1"/>
  <c r="AZ156" i="1"/>
  <c r="AZ157" i="1"/>
  <c r="AZ161" i="1"/>
  <c r="AZ162" i="1"/>
  <c r="AZ163" i="1"/>
  <c r="AZ168" i="1"/>
  <c r="AZ169" i="1"/>
  <c r="AZ173" i="1"/>
  <c r="AZ174" i="1"/>
  <c r="AZ175" i="1"/>
  <c r="AZ176" i="1"/>
  <c r="AZ177" i="1"/>
  <c r="AZ178" i="1"/>
  <c r="AZ184" i="1"/>
  <c r="AZ185" i="1"/>
  <c r="AZ186" i="1"/>
  <c r="AZ190" i="1"/>
  <c r="AZ191" i="1"/>
  <c r="AZ192" i="1"/>
  <c r="AZ193" i="1"/>
  <c r="AZ194" i="1"/>
  <c r="AZ195" i="1"/>
  <c r="AZ196" i="1"/>
  <c r="AZ198" i="1"/>
  <c r="AZ199" i="1"/>
  <c r="AZ200" i="1"/>
  <c r="AZ203" i="1"/>
  <c r="AZ204" i="1"/>
  <c r="AZ207" i="1"/>
  <c r="AZ208" i="1"/>
  <c r="AZ209" i="1"/>
  <c r="AZ229" i="1"/>
  <c r="AZ230" i="1"/>
  <c r="AZ234" i="1"/>
  <c r="AZ235" i="1"/>
  <c r="AZ236" i="1"/>
  <c r="AZ237" i="1"/>
  <c r="AZ238" i="1"/>
  <c r="AZ239" i="1"/>
  <c r="AZ240" i="1"/>
  <c r="AZ243" i="1"/>
  <c r="AZ244" i="1"/>
  <c r="AZ245" i="1"/>
  <c r="AZ246" i="1"/>
  <c r="AZ247" i="1"/>
  <c r="AZ248" i="1"/>
  <c r="AZ249" i="1"/>
  <c r="AZ250" i="1"/>
  <c r="AZ251" i="1"/>
  <c r="AZ272" i="1"/>
  <c r="AZ273" i="1"/>
  <c r="AZ274" i="1"/>
  <c r="AZ275" i="1"/>
  <c r="AZ284" i="1"/>
  <c r="AZ285" i="1"/>
  <c r="AZ286" i="1"/>
  <c r="AZ287" i="1"/>
  <c r="AZ288" i="1"/>
  <c r="AZ289" i="1"/>
  <c r="AZ290" i="1"/>
  <c r="AZ291" i="1"/>
  <c r="AZ292" i="1"/>
  <c r="AZ305" i="1"/>
  <c r="AZ306" i="1"/>
  <c r="AZ307" i="1"/>
  <c r="AZ308" i="1"/>
  <c r="AZ309" i="1"/>
  <c r="AZ310" i="1"/>
  <c r="AZ313" i="1"/>
  <c r="AZ314" i="1"/>
  <c r="AZ315" i="1"/>
  <c r="AZ316" i="1"/>
  <c r="AZ317" i="1"/>
  <c r="AZ318" i="1"/>
  <c r="AZ2" i="1"/>
  <c r="BC42" i="1"/>
  <c r="BC41" i="1"/>
  <c r="BC192" i="1"/>
  <c r="BB318" i="1"/>
  <c r="BC318" i="1"/>
  <c r="BB317" i="1"/>
  <c r="BC317" i="1"/>
  <c r="BB316" i="1"/>
  <c r="BC316" i="1"/>
  <c r="BB315" i="1"/>
  <c r="BC315" i="1"/>
  <c r="BB314" i="1"/>
  <c r="BC314" i="1"/>
  <c r="CT313" i="1"/>
  <c r="CS313" i="1"/>
  <c r="CR313" i="1"/>
  <c r="CQ313" i="1"/>
  <c r="CP313" i="1"/>
  <c r="CO313" i="1"/>
  <c r="CN313" i="1"/>
  <c r="CM313" i="1"/>
  <c r="CL313" i="1"/>
  <c r="CK313" i="1"/>
  <c r="CJ313" i="1"/>
  <c r="CI313" i="1"/>
  <c r="CH313" i="1"/>
  <c r="CG313" i="1"/>
  <c r="CF313" i="1"/>
  <c r="CE313" i="1"/>
  <c r="CD313" i="1"/>
  <c r="CC313" i="1"/>
  <c r="CB313" i="1"/>
  <c r="CA313" i="1"/>
  <c r="BZ313" i="1"/>
  <c r="BY313" i="1"/>
  <c r="BX313" i="1"/>
  <c r="BW313" i="1"/>
  <c r="BV313" i="1"/>
  <c r="BB313" i="1"/>
  <c r="BC313" i="1"/>
  <c r="BC310" i="1"/>
  <c r="BC309" i="1"/>
  <c r="BC308" i="1"/>
  <c r="CT307" i="1"/>
  <c r="CS307" i="1"/>
  <c r="CR307" i="1"/>
  <c r="CQ307" i="1"/>
  <c r="CP307" i="1"/>
  <c r="CO307" i="1"/>
  <c r="CN307" i="1"/>
  <c r="CM307" i="1"/>
  <c r="CL307" i="1"/>
  <c r="CK307" i="1"/>
  <c r="CJ307" i="1"/>
  <c r="CI307" i="1"/>
  <c r="CH307" i="1"/>
  <c r="CG307" i="1"/>
  <c r="CF307" i="1"/>
  <c r="CE307" i="1"/>
  <c r="CD307" i="1"/>
  <c r="CC307" i="1"/>
  <c r="CB307" i="1"/>
  <c r="CA307" i="1"/>
  <c r="BZ307" i="1"/>
  <c r="BY307" i="1"/>
  <c r="BX307" i="1"/>
  <c r="BW307" i="1"/>
  <c r="BV307" i="1"/>
  <c r="BC307" i="1"/>
  <c r="BC306" i="1"/>
  <c r="CT305" i="1"/>
  <c r="CS305" i="1"/>
  <c r="CR305" i="1"/>
  <c r="CQ305" i="1"/>
  <c r="CP305" i="1"/>
  <c r="CO305" i="1"/>
  <c r="CN305" i="1"/>
  <c r="CM305" i="1"/>
  <c r="CL305" i="1"/>
  <c r="CK305" i="1"/>
  <c r="CJ305" i="1"/>
  <c r="CI305" i="1"/>
  <c r="CH305" i="1"/>
  <c r="CG305" i="1"/>
  <c r="CF305" i="1"/>
  <c r="CE305" i="1"/>
  <c r="CD305" i="1"/>
  <c r="CC305" i="1"/>
  <c r="CB305" i="1"/>
  <c r="CA305" i="1"/>
  <c r="BZ305" i="1"/>
  <c r="BY305" i="1"/>
  <c r="BX305" i="1"/>
  <c r="BW305" i="1"/>
  <c r="BV305" i="1"/>
  <c r="BC305" i="1"/>
  <c r="BC291" i="1"/>
  <c r="BC290" i="1"/>
  <c r="CT289" i="1"/>
  <c r="CS289" i="1"/>
  <c r="CR289" i="1"/>
  <c r="CQ289" i="1"/>
  <c r="CP289" i="1"/>
  <c r="CO289" i="1"/>
  <c r="CN289" i="1"/>
  <c r="CM289" i="1"/>
  <c r="CL289" i="1"/>
  <c r="CK289" i="1"/>
  <c r="CJ289" i="1"/>
  <c r="CI289" i="1"/>
  <c r="CH289" i="1"/>
  <c r="CG289" i="1"/>
  <c r="CF289" i="1"/>
  <c r="CE289" i="1"/>
  <c r="CD289" i="1"/>
  <c r="CC289" i="1"/>
  <c r="CB289" i="1"/>
  <c r="CA289" i="1"/>
  <c r="BZ289" i="1"/>
  <c r="BY289" i="1"/>
  <c r="BX289" i="1"/>
  <c r="BW289" i="1"/>
  <c r="BV289" i="1"/>
  <c r="BC289" i="1"/>
  <c r="CT288" i="1"/>
  <c r="CS288" i="1"/>
  <c r="CR288" i="1"/>
  <c r="CQ288" i="1"/>
  <c r="CP288" i="1"/>
  <c r="CO288" i="1"/>
  <c r="CN288" i="1"/>
  <c r="CM288" i="1"/>
  <c r="CL288" i="1"/>
  <c r="CK288" i="1"/>
  <c r="CJ288" i="1"/>
  <c r="CI288" i="1"/>
  <c r="CH288" i="1"/>
  <c r="CG288" i="1"/>
  <c r="CF288" i="1"/>
  <c r="CE288" i="1"/>
  <c r="CD288" i="1"/>
  <c r="CC288" i="1"/>
  <c r="CB288" i="1"/>
  <c r="CA288" i="1"/>
  <c r="BZ288" i="1"/>
  <c r="BY288" i="1"/>
  <c r="BX288" i="1"/>
  <c r="BW288" i="1"/>
  <c r="BV288" i="1"/>
  <c r="BC288" i="1"/>
  <c r="BC287" i="1"/>
  <c r="CT286" i="1"/>
  <c r="CS286" i="1"/>
  <c r="CR286" i="1"/>
  <c r="CQ286" i="1"/>
  <c r="CP286" i="1"/>
  <c r="CO286" i="1"/>
  <c r="CN286" i="1"/>
  <c r="CM286" i="1"/>
  <c r="CL286" i="1"/>
  <c r="CK286" i="1"/>
  <c r="CJ286" i="1"/>
  <c r="CI286" i="1"/>
  <c r="CH286" i="1"/>
  <c r="CG286" i="1"/>
  <c r="CF286" i="1"/>
  <c r="CE286" i="1"/>
  <c r="CD286" i="1"/>
  <c r="CC286" i="1"/>
  <c r="CB286" i="1"/>
  <c r="CA286" i="1"/>
  <c r="BZ286" i="1"/>
  <c r="BY286" i="1"/>
  <c r="BX286" i="1"/>
  <c r="BW286" i="1"/>
  <c r="BV286" i="1"/>
  <c r="BC286" i="1"/>
  <c r="BC285" i="1"/>
  <c r="BC284" i="1"/>
  <c r="BB275" i="1"/>
  <c r="BC275" i="1"/>
  <c r="CT274" i="1"/>
  <c r="CS274" i="1"/>
  <c r="CR274" i="1"/>
  <c r="CQ274" i="1"/>
  <c r="CP274" i="1"/>
  <c r="CO274" i="1"/>
  <c r="CN274" i="1"/>
  <c r="CM274" i="1"/>
  <c r="CL274" i="1"/>
  <c r="CK274" i="1"/>
  <c r="CJ274" i="1"/>
  <c r="CI274" i="1"/>
  <c r="CH274" i="1"/>
  <c r="CG274" i="1"/>
  <c r="CF274" i="1"/>
  <c r="CE274" i="1"/>
  <c r="CD274" i="1"/>
  <c r="CC274" i="1"/>
  <c r="CB274" i="1"/>
  <c r="CA274" i="1"/>
  <c r="BZ274" i="1"/>
  <c r="BY274" i="1"/>
  <c r="BX274" i="1"/>
  <c r="BW274" i="1"/>
  <c r="BV274" i="1"/>
  <c r="BB274" i="1"/>
  <c r="BC274" i="1"/>
  <c r="BB273" i="1"/>
  <c r="BC273" i="1"/>
  <c r="CT272" i="1"/>
  <c r="CS272" i="1"/>
  <c r="CR272" i="1"/>
  <c r="CQ272" i="1"/>
  <c r="CP272" i="1"/>
  <c r="CO272" i="1"/>
  <c r="CN272" i="1"/>
  <c r="CM272" i="1"/>
  <c r="CL272" i="1"/>
  <c r="CK272" i="1"/>
  <c r="CJ272" i="1"/>
  <c r="CI272" i="1"/>
  <c r="CH272" i="1"/>
  <c r="CG272" i="1"/>
  <c r="CF272" i="1"/>
  <c r="CE272" i="1"/>
  <c r="CD272" i="1"/>
  <c r="CC272" i="1"/>
  <c r="CB272" i="1"/>
  <c r="CA272" i="1"/>
  <c r="BZ272" i="1"/>
  <c r="BY272" i="1"/>
  <c r="BX272" i="1"/>
  <c r="BW272" i="1"/>
  <c r="BV272" i="1"/>
  <c r="BB272" i="1"/>
  <c r="BC272" i="1"/>
  <c r="BB251" i="1"/>
  <c r="BC251" i="1"/>
  <c r="CT250" i="1"/>
  <c r="CS250" i="1"/>
  <c r="CR250" i="1"/>
  <c r="CQ250" i="1"/>
  <c r="CP250" i="1"/>
  <c r="CO250" i="1"/>
  <c r="CN250" i="1"/>
  <c r="CM250" i="1"/>
  <c r="CL250" i="1"/>
  <c r="CK250" i="1"/>
  <c r="CJ250" i="1"/>
  <c r="CI250" i="1"/>
  <c r="CH250" i="1"/>
  <c r="CG250" i="1"/>
  <c r="CF250" i="1"/>
  <c r="CE250" i="1"/>
  <c r="CD250" i="1"/>
  <c r="CC250" i="1"/>
  <c r="CB250" i="1"/>
  <c r="CA250" i="1"/>
  <c r="BZ250" i="1"/>
  <c r="BY250" i="1"/>
  <c r="BX250" i="1"/>
  <c r="BW250" i="1"/>
  <c r="BV250" i="1"/>
  <c r="BB250" i="1"/>
  <c r="BC250" i="1"/>
  <c r="BB249" i="1"/>
  <c r="BC249" i="1"/>
  <c r="BB248" i="1"/>
  <c r="BC248" i="1"/>
  <c r="BB247" i="1"/>
  <c r="BC247" i="1"/>
  <c r="CT246" i="1"/>
  <c r="CS246" i="1"/>
  <c r="CR246" i="1"/>
  <c r="CQ246" i="1"/>
  <c r="CP246" i="1"/>
  <c r="CO246" i="1"/>
  <c r="CN246" i="1"/>
  <c r="CM246" i="1"/>
  <c r="CL246" i="1"/>
  <c r="CK246" i="1"/>
  <c r="CJ246" i="1"/>
  <c r="CI246" i="1"/>
  <c r="CH246" i="1"/>
  <c r="CG246" i="1"/>
  <c r="CF246" i="1"/>
  <c r="CE246" i="1"/>
  <c r="CD246" i="1"/>
  <c r="CC246" i="1"/>
  <c r="CB246" i="1"/>
  <c r="CA246" i="1"/>
  <c r="BZ246" i="1"/>
  <c r="BY246" i="1"/>
  <c r="BX246" i="1"/>
  <c r="BW246" i="1"/>
  <c r="BV246" i="1"/>
  <c r="BB246" i="1"/>
  <c r="BC246" i="1"/>
  <c r="BB245" i="1"/>
  <c r="BC245" i="1"/>
  <c r="BB244" i="1"/>
  <c r="BC244" i="1"/>
  <c r="CT243" i="1"/>
  <c r="CS243" i="1"/>
  <c r="CR243" i="1"/>
  <c r="CQ243" i="1"/>
  <c r="CP243" i="1"/>
  <c r="CO243" i="1"/>
  <c r="CN243" i="1"/>
  <c r="CM243" i="1"/>
  <c r="CL243" i="1"/>
  <c r="CK243" i="1"/>
  <c r="CJ243" i="1"/>
  <c r="CI243" i="1"/>
  <c r="CH243" i="1"/>
  <c r="CG243" i="1"/>
  <c r="CF243" i="1"/>
  <c r="CE243" i="1"/>
  <c r="CD243" i="1"/>
  <c r="CC243" i="1"/>
  <c r="CB243" i="1"/>
  <c r="CA243" i="1"/>
  <c r="BZ243" i="1"/>
  <c r="BY243" i="1"/>
  <c r="BX243" i="1"/>
  <c r="BW243" i="1"/>
  <c r="BV243" i="1"/>
  <c r="BB243" i="1"/>
  <c r="BC243" i="1"/>
  <c r="BB240" i="1"/>
  <c r="BC240" i="1"/>
  <c r="CT239" i="1"/>
  <c r="CS239" i="1"/>
  <c r="CR239" i="1"/>
  <c r="CQ239" i="1"/>
  <c r="CP239" i="1"/>
  <c r="CO239" i="1"/>
  <c r="CN239" i="1"/>
  <c r="CM239" i="1"/>
  <c r="CL239" i="1"/>
  <c r="CK239" i="1"/>
  <c r="CJ239" i="1"/>
  <c r="CI239" i="1"/>
  <c r="CH239" i="1"/>
  <c r="CG239" i="1"/>
  <c r="CF239" i="1"/>
  <c r="CE239" i="1"/>
  <c r="CD239" i="1"/>
  <c r="CC239" i="1"/>
  <c r="CB239" i="1"/>
  <c r="CA239" i="1"/>
  <c r="BZ239" i="1"/>
  <c r="BY239" i="1"/>
  <c r="BX239" i="1"/>
  <c r="BW239" i="1"/>
  <c r="BV239" i="1"/>
  <c r="BB239" i="1"/>
  <c r="BC239" i="1"/>
  <c r="BB238" i="1"/>
  <c r="BC238" i="1"/>
  <c r="BB237" i="1"/>
  <c r="BC237" i="1"/>
  <c r="CT236" i="1"/>
  <c r="CS236" i="1"/>
  <c r="CR236" i="1"/>
  <c r="CQ236" i="1"/>
  <c r="CP236" i="1"/>
  <c r="CO236" i="1"/>
  <c r="CN236" i="1"/>
  <c r="CM236" i="1"/>
  <c r="CL236" i="1"/>
  <c r="CK236" i="1"/>
  <c r="CJ236" i="1"/>
  <c r="CI236" i="1"/>
  <c r="CH236" i="1"/>
  <c r="CG236" i="1"/>
  <c r="CF236" i="1"/>
  <c r="CE236" i="1"/>
  <c r="CD236" i="1"/>
  <c r="CC236" i="1"/>
  <c r="CB236" i="1"/>
  <c r="CA236" i="1"/>
  <c r="BZ236" i="1"/>
  <c r="BY236" i="1"/>
  <c r="BX236" i="1"/>
  <c r="BW236" i="1"/>
  <c r="BV236" i="1"/>
  <c r="BB236" i="1"/>
  <c r="BC236" i="1"/>
  <c r="BB235" i="1"/>
  <c r="BC235" i="1"/>
  <c r="CT234" i="1"/>
  <c r="CS234" i="1"/>
  <c r="CR234" i="1"/>
  <c r="CQ234" i="1"/>
  <c r="CP234" i="1"/>
  <c r="CO234" i="1"/>
  <c r="CN234" i="1"/>
  <c r="CM234" i="1"/>
  <c r="CL234" i="1"/>
  <c r="CK234" i="1"/>
  <c r="CJ234" i="1"/>
  <c r="CI234" i="1"/>
  <c r="CH234" i="1"/>
  <c r="CG234" i="1"/>
  <c r="CF234" i="1"/>
  <c r="CE234" i="1"/>
  <c r="CD234" i="1"/>
  <c r="CC234" i="1"/>
  <c r="CB234" i="1"/>
  <c r="CA234" i="1"/>
  <c r="BZ234" i="1"/>
  <c r="BY234" i="1"/>
  <c r="BX234" i="1"/>
  <c r="BW234" i="1"/>
  <c r="BV234" i="1"/>
  <c r="BB234" i="1"/>
  <c r="BC234" i="1"/>
  <c r="BB230" i="1"/>
  <c r="BC230" i="1"/>
  <c r="CT229" i="1"/>
  <c r="CS229" i="1"/>
  <c r="CR229" i="1"/>
  <c r="CQ229" i="1"/>
  <c r="CP229" i="1"/>
  <c r="CO229" i="1"/>
  <c r="CN229" i="1"/>
  <c r="CM229" i="1"/>
  <c r="CL229" i="1"/>
  <c r="CK229" i="1"/>
  <c r="CJ229" i="1"/>
  <c r="CI229" i="1"/>
  <c r="CH229" i="1"/>
  <c r="CG229" i="1"/>
  <c r="CF229" i="1"/>
  <c r="CE229" i="1"/>
  <c r="CD229" i="1"/>
  <c r="CC229" i="1"/>
  <c r="CB229" i="1"/>
  <c r="CA229" i="1"/>
  <c r="BZ229" i="1"/>
  <c r="BY229" i="1"/>
  <c r="BX229" i="1"/>
  <c r="BW229" i="1"/>
  <c r="BV229" i="1"/>
  <c r="BC229" i="1"/>
  <c r="BC214" i="1"/>
  <c r="BC212" i="1"/>
  <c r="BC211" i="1"/>
  <c r="BC209" i="1"/>
  <c r="BC208" i="1"/>
  <c r="CT207" i="1"/>
  <c r="CS207" i="1"/>
  <c r="CR207" i="1"/>
  <c r="CQ207" i="1"/>
  <c r="CP207" i="1"/>
  <c r="CO207" i="1"/>
  <c r="CN207" i="1"/>
  <c r="CM207" i="1"/>
  <c r="CL207" i="1"/>
  <c r="CK207" i="1"/>
  <c r="CJ207" i="1"/>
  <c r="CI207" i="1"/>
  <c r="CH207" i="1"/>
  <c r="CG207" i="1"/>
  <c r="CF207" i="1"/>
  <c r="CE207" i="1"/>
  <c r="CD207" i="1"/>
  <c r="CC207" i="1"/>
  <c r="CB207" i="1"/>
  <c r="CA207" i="1"/>
  <c r="BZ207" i="1"/>
  <c r="BY207" i="1"/>
  <c r="BX207" i="1"/>
  <c r="BW207" i="1"/>
  <c r="BV207" i="1"/>
  <c r="BC207" i="1"/>
  <c r="BC204" i="1"/>
  <c r="CT203" i="1"/>
  <c r="CS203" i="1"/>
  <c r="CR203" i="1"/>
  <c r="CQ203" i="1"/>
  <c r="CP203" i="1"/>
  <c r="CO203" i="1"/>
  <c r="CN203" i="1"/>
  <c r="CM203" i="1"/>
  <c r="CL203" i="1"/>
  <c r="CK203" i="1"/>
  <c r="CJ203" i="1"/>
  <c r="CI203" i="1"/>
  <c r="CH203" i="1"/>
  <c r="CG203" i="1"/>
  <c r="CF203" i="1"/>
  <c r="CE203" i="1"/>
  <c r="CD203" i="1"/>
  <c r="CC203" i="1"/>
  <c r="CB203" i="1"/>
  <c r="CA203" i="1"/>
  <c r="BZ203" i="1"/>
  <c r="BY203" i="1"/>
  <c r="BX203" i="1"/>
  <c r="BW203" i="1"/>
  <c r="BV203" i="1"/>
  <c r="BC203" i="1"/>
  <c r="BC200" i="1"/>
  <c r="BC199" i="1"/>
  <c r="CT198" i="1"/>
  <c r="CS198" i="1"/>
  <c r="CR198" i="1"/>
  <c r="CQ198" i="1"/>
  <c r="CP198" i="1"/>
  <c r="CO198" i="1"/>
  <c r="CN198" i="1"/>
  <c r="CM198" i="1"/>
  <c r="CL198" i="1"/>
  <c r="CK198" i="1"/>
  <c r="CJ198" i="1"/>
  <c r="CI198" i="1"/>
  <c r="CH198" i="1"/>
  <c r="CG198" i="1"/>
  <c r="CF198" i="1"/>
  <c r="CE198" i="1"/>
  <c r="CD198" i="1"/>
  <c r="CC198" i="1"/>
  <c r="CB198" i="1"/>
  <c r="CA198" i="1"/>
  <c r="BZ198" i="1"/>
  <c r="BY198" i="1"/>
  <c r="BX198" i="1"/>
  <c r="BW198" i="1"/>
  <c r="BV198" i="1"/>
  <c r="BC198" i="1"/>
  <c r="BC196" i="1"/>
  <c r="CT195" i="1"/>
  <c r="CS195" i="1"/>
  <c r="CR195" i="1"/>
  <c r="CQ195" i="1"/>
  <c r="CP195" i="1"/>
  <c r="CO195" i="1"/>
  <c r="CN195" i="1"/>
  <c r="CM195" i="1"/>
  <c r="CL195" i="1"/>
  <c r="CK195" i="1"/>
  <c r="CJ195" i="1"/>
  <c r="CI195" i="1"/>
  <c r="CH195" i="1"/>
  <c r="CG195" i="1"/>
  <c r="CF195" i="1"/>
  <c r="CE195" i="1"/>
  <c r="CD195" i="1"/>
  <c r="CC195" i="1"/>
  <c r="CB195" i="1"/>
  <c r="CA195" i="1"/>
  <c r="BZ195" i="1"/>
  <c r="BY195" i="1"/>
  <c r="BX195" i="1"/>
  <c r="BW195" i="1"/>
  <c r="BV195" i="1"/>
  <c r="BC195" i="1"/>
  <c r="BC194" i="1"/>
  <c r="CT193" i="1"/>
  <c r="CS193" i="1"/>
  <c r="CR193" i="1"/>
  <c r="CQ193" i="1"/>
  <c r="CP193" i="1"/>
  <c r="CO193" i="1"/>
  <c r="CN193" i="1"/>
  <c r="CM193" i="1"/>
  <c r="CL193" i="1"/>
  <c r="CK193" i="1"/>
  <c r="CJ193" i="1"/>
  <c r="CI193" i="1"/>
  <c r="CH193" i="1"/>
  <c r="CG193" i="1"/>
  <c r="CF193" i="1"/>
  <c r="CE193" i="1"/>
  <c r="CD193" i="1"/>
  <c r="CC193" i="1"/>
  <c r="CB193" i="1"/>
  <c r="CA193" i="1"/>
  <c r="BZ193" i="1"/>
  <c r="BY193" i="1"/>
  <c r="BX193" i="1"/>
  <c r="BW193" i="1"/>
  <c r="BV193" i="1"/>
  <c r="BC193" i="1"/>
  <c r="BC191" i="1"/>
  <c r="CT190" i="1"/>
  <c r="CS190" i="1"/>
  <c r="CR190" i="1"/>
  <c r="CQ190" i="1"/>
  <c r="CP190" i="1"/>
  <c r="CO190" i="1"/>
  <c r="CN190" i="1"/>
  <c r="CM190" i="1"/>
  <c r="CL190" i="1"/>
  <c r="CK190" i="1"/>
  <c r="CJ190" i="1"/>
  <c r="CI190" i="1"/>
  <c r="CH190" i="1"/>
  <c r="CG190" i="1"/>
  <c r="CF190" i="1"/>
  <c r="CE190" i="1"/>
  <c r="CD190" i="1"/>
  <c r="CC190" i="1"/>
  <c r="CB190" i="1"/>
  <c r="CA190" i="1"/>
  <c r="BZ190" i="1"/>
  <c r="BY190" i="1"/>
  <c r="BX190" i="1"/>
  <c r="BW190" i="1"/>
  <c r="BV190" i="1"/>
  <c r="BC190" i="1"/>
  <c r="BC186" i="1"/>
  <c r="BC185" i="1"/>
  <c r="CT184" i="1"/>
  <c r="CS184" i="1"/>
  <c r="CR184" i="1"/>
  <c r="CQ184" i="1"/>
  <c r="CP184" i="1"/>
  <c r="CO184" i="1"/>
  <c r="CN184" i="1"/>
  <c r="CM184" i="1"/>
  <c r="CL184" i="1"/>
  <c r="CK184" i="1"/>
  <c r="CJ184" i="1"/>
  <c r="CI184" i="1"/>
  <c r="CH184" i="1"/>
  <c r="CG184" i="1"/>
  <c r="CF184" i="1"/>
  <c r="CE184" i="1"/>
  <c r="CD184" i="1"/>
  <c r="CC184" i="1"/>
  <c r="CB184" i="1"/>
  <c r="CA184" i="1"/>
  <c r="BZ184" i="1"/>
  <c r="BY184" i="1"/>
  <c r="BX184" i="1"/>
  <c r="BW184" i="1"/>
  <c r="BV184" i="1"/>
  <c r="BC184" i="1"/>
  <c r="BC178" i="1"/>
  <c r="BC177" i="1"/>
  <c r="BC176" i="1"/>
  <c r="CT175" i="1"/>
  <c r="CS175" i="1"/>
  <c r="CR175" i="1"/>
  <c r="CQ175" i="1"/>
  <c r="CP175" i="1"/>
  <c r="CO175" i="1"/>
  <c r="CN175" i="1"/>
  <c r="CM175" i="1"/>
  <c r="CL175" i="1"/>
  <c r="CK175" i="1"/>
  <c r="CJ175" i="1"/>
  <c r="CI175" i="1"/>
  <c r="CH175" i="1"/>
  <c r="CG175" i="1"/>
  <c r="CF175" i="1"/>
  <c r="CE175" i="1"/>
  <c r="CD175" i="1"/>
  <c r="CC175" i="1"/>
  <c r="CB175" i="1"/>
  <c r="CA175" i="1"/>
  <c r="BZ175" i="1"/>
  <c r="BY175" i="1"/>
  <c r="BX175" i="1"/>
  <c r="BW175" i="1"/>
  <c r="BV175" i="1"/>
  <c r="BC175" i="1"/>
  <c r="BC174" i="1"/>
  <c r="CT173" i="1"/>
  <c r="CS173" i="1"/>
  <c r="CR173" i="1"/>
  <c r="CQ173" i="1"/>
  <c r="CP173" i="1"/>
  <c r="CO173" i="1"/>
  <c r="CN173" i="1"/>
  <c r="CM173" i="1"/>
  <c r="CL173" i="1"/>
  <c r="CK173" i="1"/>
  <c r="CJ173" i="1"/>
  <c r="CI173" i="1"/>
  <c r="CH173" i="1"/>
  <c r="CG173" i="1"/>
  <c r="CF173" i="1"/>
  <c r="CE173" i="1"/>
  <c r="CD173" i="1"/>
  <c r="CC173" i="1"/>
  <c r="CB173" i="1"/>
  <c r="CA173" i="1"/>
  <c r="BZ173" i="1"/>
  <c r="BY173" i="1"/>
  <c r="BX173" i="1"/>
  <c r="BW173" i="1"/>
  <c r="BV173" i="1"/>
  <c r="BC173" i="1"/>
  <c r="BC169" i="1"/>
  <c r="CT168" i="1"/>
  <c r="CS168" i="1"/>
  <c r="CR168" i="1"/>
  <c r="CQ168" i="1"/>
  <c r="CP168" i="1"/>
  <c r="CO168" i="1"/>
  <c r="CN168" i="1"/>
  <c r="CM168" i="1"/>
  <c r="CL168" i="1"/>
  <c r="CK168" i="1"/>
  <c r="CJ168" i="1"/>
  <c r="CI168" i="1"/>
  <c r="CH168" i="1"/>
  <c r="CG168" i="1"/>
  <c r="CF168" i="1"/>
  <c r="CE168" i="1"/>
  <c r="CD168" i="1"/>
  <c r="CC168" i="1"/>
  <c r="CB168" i="1"/>
  <c r="CA168" i="1"/>
  <c r="BZ168" i="1"/>
  <c r="BY168" i="1"/>
  <c r="BX168" i="1"/>
  <c r="BW168" i="1"/>
  <c r="BV168" i="1"/>
  <c r="BC168" i="1"/>
  <c r="BC157" i="1"/>
  <c r="BC156" i="1"/>
  <c r="BC153" i="1"/>
  <c r="BC152" i="1"/>
  <c r="BC151" i="1"/>
  <c r="BC150" i="1"/>
  <c r="BC136" i="1"/>
  <c r="BC135" i="1"/>
  <c r="BC121" i="1"/>
  <c r="CT120" i="1"/>
  <c r="CS120" i="1"/>
  <c r="CR120" i="1"/>
  <c r="CQ120" i="1"/>
  <c r="CP120" i="1"/>
  <c r="CO120" i="1"/>
  <c r="CN120" i="1"/>
  <c r="CM120" i="1"/>
  <c r="CL120" i="1"/>
  <c r="CK120" i="1"/>
  <c r="CJ120" i="1"/>
  <c r="CI120" i="1"/>
  <c r="CH120" i="1"/>
  <c r="CG120" i="1"/>
  <c r="CF120" i="1"/>
  <c r="CE120" i="1"/>
  <c r="CD120" i="1"/>
  <c r="CC120" i="1"/>
  <c r="CB120" i="1"/>
  <c r="CA120" i="1"/>
  <c r="BZ120" i="1"/>
  <c r="BY120" i="1"/>
  <c r="BX120" i="1"/>
  <c r="BW120" i="1"/>
  <c r="BV120" i="1"/>
  <c r="BC120" i="1"/>
  <c r="BC119" i="1"/>
  <c r="BC118" i="1"/>
  <c r="BC113" i="1"/>
  <c r="BC112" i="1"/>
  <c r="BC111" i="1"/>
  <c r="BC110" i="1"/>
  <c r="BC109" i="1"/>
  <c r="BC108" i="1"/>
  <c r="BC107" i="1"/>
  <c r="BC106" i="1"/>
  <c r="BC105" i="1"/>
  <c r="BC104" i="1"/>
  <c r="BC103" i="1"/>
  <c r="BC102" i="1"/>
  <c r="BC101" i="1"/>
  <c r="BC93" i="1"/>
  <c r="BC92" i="1"/>
  <c r="BC91" i="1"/>
  <c r="BC90" i="1"/>
  <c r="BC89" i="1"/>
  <c r="BC88" i="1"/>
  <c r="BC87" i="1"/>
  <c r="BC86" i="1"/>
  <c r="BC85" i="1"/>
  <c r="BC84" i="1"/>
  <c r="BC83" i="1"/>
  <c r="BC82" i="1"/>
  <c r="BC81" i="1"/>
  <c r="BC80" i="1"/>
  <c r="BC79" i="1"/>
  <c r="BC78" i="1"/>
  <c r="BC77" i="1"/>
  <c r="BC76" i="1"/>
  <c r="BC75" i="1"/>
  <c r="BC69" i="1"/>
  <c r="BC68" i="1"/>
  <c r="BC67" i="1"/>
  <c r="BC66" i="1"/>
  <c r="BC65" i="1"/>
  <c r="BC64" i="1"/>
  <c r="BB35" i="1"/>
  <c r="BB34" i="1"/>
  <c r="BC34" i="1"/>
  <c r="BB33" i="1"/>
  <c r="BC33" i="1"/>
  <c r="BB32" i="1"/>
  <c r="BC32" i="1"/>
  <c r="BB31" i="1"/>
  <c r="BC31" i="1"/>
  <c r="BB30" i="1"/>
  <c r="BC30" i="1"/>
  <c r="BB29" i="1"/>
  <c r="BC29" i="1"/>
  <c r="BB28" i="1"/>
  <c r="BC28" i="1"/>
  <c r="BB27" i="1"/>
  <c r="BC27" i="1"/>
  <c r="BB26" i="1"/>
  <c r="BC26" i="1"/>
  <c r="BB25" i="1"/>
  <c r="BC25" i="1"/>
  <c r="BB24" i="1"/>
  <c r="BC24" i="1"/>
  <c r="BC10" i="1"/>
  <c r="CT9" i="1"/>
  <c r="CS9" i="1"/>
  <c r="CR9" i="1"/>
  <c r="CQ9" i="1"/>
  <c r="CP9" i="1"/>
  <c r="CO9" i="1"/>
  <c r="CN9" i="1"/>
  <c r="CM9" i="1"/>
  <c r="CL9" i="1"/>
  <c r="CK9" i="1"/>
  <c r="CJ9" i="1"/>
  <c r="CI9" i="1"/>
  <c r="CH9" i="1"/>
  <c r="CG9" i="1"/>
  <c r="CF9" i="1"/>
  <c r="CE9" i="1"/>
  <c r="CD9" i="1"/>
  <c r="CC9" i="1"/>
  <c r="CB9" i="1"/>
  <c r="CA9" i="1"/>
  <c r="BZ9" i="1"/>
  <c r="BY9" i="1"/>
  <c r="BX9" i="1"/>
  <c r="BW9" i="1"/>
  <c r="BV9" i="1"/>
  <c r="BB9" i="1"/>
  <c r="BC9" i="1"/>
  <c r="BB8" i="1"/>
  <c r="BC8" i="1"/>
  <c r="BB7" i="1"/>
  <c r="BC7" i="1"/>
  <c r="BC4" i="1"/>
  <c r="BB3" i="1"/>
  <c r="BC3" i="1"/>
  <c r="BB2" i="1"/>
  <c r="B270" i="6"/>
  <c r="F38" i="3"/>
  <c r="A38" i="3"/>
  <c r="G38" i="3"/>
  <c r="H38" i="3"/>
  <c r="F39" i="3"/>
  <c r="F40" i="3"/>
  <c r="F41" i="3"/>
  <c r="A39" i="3"/>
  <c r="H39" i="3"/>
  <c r="A40" i="3"/>
  <c r="H40" i="3"/>
  <c r="A41" i="3"/>
  <c r="H41" i="3"/>
  <c r="AI233" i="4"/>
  <c r="AI225" i="4"/>
  <c r="U225" i="4" a="1"/>
  <c r="U225" i="4"/>
  <c r="AI229" i="4"/>
  <c r="AI228" i="4"/>
  <c r="G39" i="3"/>
  <c r="G40" i="3"/>
  <c r="G41" i="3"/>
  <c r="T225" i="4" a="1"/>
  <c r="T225" i="4"/>
  <c r="T229" i="4" a="1"/>
  <c r="T229" i="4"/>
  <c r="T228" i="4" a="1"/>
  <c r="T228" i="4"/>
  <c r="B24" i="3"/>
  <c r="C24" i="3"/>
  <c r="E24" i="3"/>
  <c r="G25" i="2"/>
  <c r="K25" i="2"/>
  <c r="T25" i="2"/>
  <c r="AA25" i="2"/>
  <c r="AD25" i="2"/>
  <c r="AE25" i="2"/>
  <c r="AF25" i="2"/>
  <c r="AG25" i="2"/>
  <c r="AH25" i="2"/>
  <c r="AI25" i="2"/>
  <c r="AK25" i="2"/>
  <c r="AL25" i="2"/>
  <c r="R46" i="2"/>
  <c r="R333" i="4"/>
  <c r="R345" i="4"/>
  <c r="R343" i="4"/>
  <c r="R344" i="4"/>
  <c r="R329" i="4"/>
  <c r="R341" i="4"/>
  <c r="R318" i="4"/>
  <c r="R319" i="4"/>
  <c r="R335" i="4"/>
  <c r="R339" i="4"/>
  <c r="R337" i="4"/>
  <c r="R338" i="4"/>
  <c r="R316" i="4"/>
  <c r="R327" i="4"/>
  <c r="R317" i="4"/>
  <c r="R321" i="4"/>
  <c r="R331" i="4"/>
  <c r="R322" i="4"/>
  <c r="R50" i="2"/>
  <c r="R348" i="4"/>
  <c r="R326" i="4"/>
  <c r="R349" i="4"/>
  <c r="R361" i="4"/>
  <c r="R355" i="4"/>
  <c r="R358" i="4"/>
  <c r="R354" i="4"/>
  <c r="R360" i="4"/>
  <c r="R362" i="4"/>
  <c r="R320" i="4"/>
  <c r="R359" i="4"/>
  <c r="R357" i="4"/>
  <c r="R365" i="4"/>
  <c r="R356" i="4"/>
  <c r="R363" i="4"/>
  <c r="R364" i="4"/>
  <c r="R36" i="2"/>
  <c r="R164" i="4"/>
  <c r="R163" i="4"/>
  <c r="R323" i="4"/>
  <c r="R162" i="4"/>
  <c r="R342" i="4"/>
  <c r="R350" i="4"/>
  <c r="R336" i="4"/>
  <c r="R347" i="4"/>
  <c r="R330" i="4"/>
  <c r="R340" i="4"/>
  <c r="R328" i="4"/>
  <c r="R264" i="4"/>
  <c r="R352" i="4"/>
  <c r="R285" i="4"/>
  <c r="R263" i="4"/>
  <c r="R353" i="4"/>
  <c r="R324" i="4"/>
  <c r="R89" i="4"/>
  <c r="R37" i="2"/>
  <c r="R171" i="4"/>
  <c r="R370" i="4"/>
  <c r="R378" i="4"/>
  <c r="R332" i="4"/>
  <c r="R334" i="4"/>
  <c r="R134" i="4"/>
  <c r="R377" i="4"/>
  <c r="R372" i="4"/>
  <c r="R375" i="4"/>
  <c r="R381" i="4"/>
  <c r="R379" i="4"/>
  <c r="R371" i="4"/>
  <c r="R374" i="4"/>
  <c r="R373" i="4"/>
  <c r="R325" i="4"/>
  <c r="R376" i="4"/>
  <c r="R299" i="4"/>
  <c r="R310" i="4"/>
  <c r="R307" i="4"/>
  <c r="R300" i="4"/>
  <c r="R203" i="4"/>
  <c r="R311" i="4"/>
  <c r="R306" i="4"/>
  <c r="R309" i="4"/>
  <c r="R308" i="4"/>
  <c r="R301" i="4"/>
  <c r="R81" i="4"/>
  <c r="R305" i="4"/>
  <c r="R312" i="4"/>
  <c r="R313" i="4"/>
  <c r="R302" i="4"/>
  <c r="R304" i="4"/>
  <c r="R314" i="4"/>
  <c r="R179" i="4"/>
  <c r="R98" i="4"/>
  <c r="R80" i="4"/>
  <c r="R243" i="4"/>
  <c r="R298" i="4"/>
  <c r="R261" i="4"/>
  <c r="R37" i="4"/>
  <c r="R79" i="4"/>
  <c r="R230" i="4"/>
  <c r="R190" i="4"/>
  <c r="R196" i="4"/>
  <c r="R19" i="4"/>
  <c r="R144" i="4"/>
  <c r="R245" i="4"/>
  <c r="R13" i="4"/>
  <c r="R244" i="4"/>
  <c r="R210" i="4"/>
  <c r="R148" i="4"/>
  <c r="R209" i="4"/>
  <c r="R10" i="2"/>
  <c r="R30" i="4"/>
  <c r="R214" i="4"/>
  <c r="R31" i="4"/>
  <c r="R198" i="4"/>
  <c r="R219" i="4"/>
  <c r="R78" i="4"/>
  <c r="R103" i="4"/>
  <c r="R220" i="4"/>
  <c r="R294" i="4"/>
  <c r="R2" i="4"/>
  <c r="R45" i="4"/>
  <c r="R254" i="4"/>
  <c r="R58" i="4"/>
  <c r="R121" i="4"/>
  <c r="R135" i="4"/>
  <c r="R218" i="4"/>
  <c r="R229" i="4"/>
  <c r="R119" i="4"/>
  <c r="R295" i="4"/>
  <c r="R270" i="4"/>
  <c r="R14" i="4"/>
  <c r="R15" i="4"/>
  <c r="R93" i="4"/>
  <c r="R115" i="4"/>
  <c r="R132" i="4"/>
  <c r="R199" i="4"/>
  <c r="R46" i="4"/>
  <c r="R70" i="4"/>
  <c r="R202" i="4"/>
  <c r="R206" i="4"/>
  <c r="R226" i="4"/>
  <c r="R227" i="4"/>
  <c r="R288" i="4"/>
  <c r="R40" i="4"/>
  <c r="R72" i="4"/>
  <c r="R112" i="4"/>
  <c r="R173" i="4"/>
  <c r="R228" i="4"/>
  <c r="R233" i="4"/>
  <c r="R367" i="4"/>
  <c r="R207" i="4"/>
  <c r="R260" i="4"/>
  <c r="R278" i="4"/>
  <c r="R296" i="4"/>
  <c r="R221" i="4"/>
  <c r="R9" i="4"/>
  <c r="R3" i="4"/>
  <c r="R286" i="4"/>
  <c r="R60" i="4"/>
  <c r="R94" i="4"/>
  <c r="R26" i="2"/>
  <c r="R197" i="4"/>
  <c r="R205" i="4"/>
  <c r="R208" i="4"/>
  <c r="R216" i="4"/>
  <c r="R217" i="4"/>
  <c r="R273" i="4"/>
  <c r="R57" i="4"/>
  <c r="R124" i="4"/>
  <c r="R201" i="4"/>
  <c r="R204" i="4"/>
  <c r="R315" i="4"/>
  <c r="R26" i="4"/>
  <c r="R5" i="4"/>
  <c r="R50" i="4"/>
  <c r="R69" i="4"/>
  <c r="R153" i="4"/>
  <c r="R24" i="4"/>
  <c r="R25" i="4"/>
  <c r="R36" i="4"/>
  <c r="R42" i="4"/>
  <c r="R142" i="4"/>
  <c r="R290" i="4"/>
  <c r="R85" i="4"/>
  <c r="R211" i="4"/>
  <c r="R241" i="4"/>
  <c r="R139" i="4"/>
  <c r="R271" i="4"/>
  <c r="R366" i="4"/>
  <c r="R17" i="4"/>
  <c r="R111" i="4"/>
  <c r="R151" i="4"/>
  <c r="R280" i="4"/>
  <c r="R4" i="4"/>
  <c r="R52" i="4"/>
  <c r="R125" i="4"/>
  <c r="R130" i="4"/>
  <c r="R161" i="4"/>
  <c r="R239" i="4"/>
  <c r="R262" i="4"/>
  <c r="R272" i="4"/>
  <c r="R53" i="4"/>
  <c r="R192" i="4"/>
  <c r="R281" i="4"/>
  <c r="R283" i="4"/>
  <c r="R44" i="4"/>
  <c r="R64" i="4"/>
  <c r="R145" i="4"/>
  <c r="R279" i="4"/>
  <c r="R282" i="4"/>
  <c r="R10" i="4"/>
  <c r="R38" i="4"/>
  <c r="R48" i="4"/>
  <c r="R159" i="4"/>
  <c r="R168" i="4"/>
  <c r="R200" i="4"/>
  <c r="R213" i="4"/>
  <c r="R8" i="4"/>
  <c r="R55" i="4"/>
  <c r="R63" i="4"/>
  <c r="R68" i="4"/>
  <c r="R90" i="4"/>
  <c r="R104" i="4"/>
  <c r="R116" i="4"/>
  <c r="R223" i="4"/>
  <c r="R224" i="4"/>
  <c r="R232" i="4"/>
  <c r="R249" i="4"/>
  <c r="R49" i="4"/>
  <c r="R71" i="4"/>
  <c r="R74" i="4"/>
  <c r="R97" i="4"/>
  <c r="R225" i="4"/>
  <c r="R274" i="4"/>
  <c r="R289" i="4"/>
  <c r="R32" i="4"/>
  <c r="R235" i="4"/>
  <c r="R16" i="4"/>
  <c r="R27" i="4"/>
  <c r="R180" i="4"/>
  <c r="R222" i="4"/>
  <c r="R33" i="4"/>
  <c r="R51" i="4"/>
  <c r="R54" i="4"/>
  <c r="R59" i="4"/>
  <c r="R118" i="4"/>
  <c r="R215" i="4"/>
  <c r="R231" i="4"/>
  <c r="R234" i="4"/>
  <c r="R246" i="4"/>
  <c r="R75" i="4"/>
  <c r="R95" i="4"/>
  <c r="R105" i="4"/>
  <c r="R138" i="4"/>
  <c r="R247" i="4"/>
  <c r="R277" i="4"/>
  <c r="R43" i="4"/>
  <c r="R61" i="4"/>
  <c r="R76" i="4"/>
  <c r="R113" i="4"/>
  <c r="R123" i="4"/>
  <c r="R195" i="4"/>
  <c r="R238" i="4"/>
  <c r="R18" i="4"/>
  <c r="R41" i="4"/>
  <c r="R73" i="4"/>
  <c r="R157" i="4"/>
  <c r="R194" i="4"/>
  <c r="R131" i="4"/>
  <c r="R284" i="4"/>
  <c r="R28" i="4"/>
  <c r="R56" i="4"/>
  <c r="R107" i="4"/>
  <c r="R193" i="4"/>
  <c r="R155" i="4"/>
  <c r="R156" i="4"/>
  <c r="R191" i="4"/>
  <c r="R236" i="4"/>
  <c r="R29" i="4"/>
  <c r="R35" i="4"/>
  <c r="R86" i="4"/>
  <c r="R87" i="4"/>
  <c r="R88" i="4"/>
  <c r="R67" i="4"/>
  <c r="R91" i="4"/>
  <c r="R169" i="4"/>
  <c r="R237" i="4"/>
  <c r="R240" i="4"/>
  <c r="R291" i="4"/>
  <c r="R106" i="4"/>
  <c r="R109" i="4"/>
  <c r="R158" i="4"/>
  <c r="R11" i="4"/>
  <c r="R62" i="4"/>
  <c r="R256" i="4"/>
  <c r="R287" i="4"/>
  <c r="R12" i="4"/>
  <c r="R47" i="4"/>
  <c r="R92" i="4"/>
  <c r="R120" i="4"/>
  <c r="R150" i="4"/>
  <c r="R212" i="4"/>
  <c r="R242" i="4"/>
  <c r="R275" i="4"/>
  <c r="R22" i="4"/>
  <c r="R127" i="4"/>
  <c r="R82" i="4"/>
  <c r="R253" i="4"/>
  <c r="R255" i="4"/>
  <c r="R20" i="4"/>
  <c r="R84" i="4"/>
  <c r="R137" i="4"/>
  <c r="R7" i="4"/>
  <c r="R110" i="4"/>
  <c r="R136" i="4"/>
  <c r="R140" i="4"/>
  <c r="R149" i="4"/>
  <c r="R170" i="4"/>
  <c r="R172" i="4"/>
  <c r="R21" i="4"/>
  <c r="R23" i="4"/>
  <c r="R292" i="4"/>
  <c r="R108" i="4"/>
  <c r="R154" i="4"/>
  <c r="R39" i="4"/>
  <c r="R83" i="4"/>
  <c r="R160" i="4"/>
  <c r="R129" i="4"/>
  <c r="R133" i="4"/>
  <c r="R143" i="4"/>
  <c r="R6" i="4"/>
  <c r="R126" i="4"/>
  <c r="R146" i="4"/>
  <c r="Z367" i="4"/>
  <c r="Z368" i="4"/>
  <c r="Z369" i="4"/>
  <c r="U2" i="12"/>
  <c r="R276" i="4"/>
  <c r="R250" i="4"/>
  <c r="R96" i="4"/>
  <c r="R346" i="4"/>
  <c r="Q2" i="12"/>
  <c r="O2" i="12"/>
  <c r="N387" i="4"/>
  <c r="N408" i="4"/>
  <c r="M2" i="12"/>
  <c r="K2" i="12"/>
  <c r="J49" i="4"/>
  <c r="J174" i="4"/>
  <c r="J298" i="4"/>
  <c r="J245" i="4"/>
  <c r="J276" i="4"/>
  <c r="J48" i="4"/>
  <c r="J51" i="4"/>
  <c r="J52" i="4"/>
  <c r="J54" i="4"/>
  <c r="J55" i="4"/>
  <c r="J57" i="4"/>
  <c r="J58" i="4"/>
  <c r="J59" i="4"/>
  <c r="J60" i="4"/>
  <c r="J64" i="4"/>
  <c r="J68" i="4"/>
  <c r="J69" i="4"/>
  <c r="J70" i="4"/>
  <c r="J71" i="4"/>
  <c r="J73" i="4"/>
  <c r="J86" i="4"/>
  <c r="J87" i="4"/>
  <c r="J88" i="4"/>
  <c r="J112" i="4"/>
  <c r="J116" i="4"/>
  <c r="J130" i="4"/>
  <c r="J131" i="4"/>
  <c r="J172" i="4"/>
  <c r="J247" i="4"/>
  <c r="J291" i="4"/>
  <c r="J47" i="4"/>
  <c r="J53" i="4"/>
  <c r="J56" i="4"/>
  <c r="J72" i="4"/>
  <c r="J84" i="4"/>
  <c r="J292" i="4"/>
  <c r="J137" i="4"/>
  <c r="J26" i="2"/>
  <c r="J82" i="4"/>
  <c r="J125" i="4"/>
  <c r="J262" i="4"/>
  <c r="J83" i="4"/>
  <c r="J89" i="4"/>
  <c r="J97" i="4"/>
  <c r="J119" i="4"/>
  <c r="J136" i="4"/>
  <c r="J155" i="4"/>
  <c r="J156" i="4"/>
  <c r="J169" i="4"/>
  <c r="J171" i="4"/>
  <c r="J173" i="4"/>
  <c r="J212" i="4"/>
  <c r="J230" i="4"/>
  <c r="J231" i="4"/>
  <c r="J233" i="4"/>
  <c r="J239" i="4"/>
  <c r="J243" i="4"/>
  <c r="J255" i="4"/>
  <c r="J285" i="4"/>
  <c r="J62" i="4"/>
  <c r="J154" i="4"/>
  <c r="J237" i="4"/>
  <c r="J266" i="4"/>
  <c r="J41" i="4"/>
  <c r="J42" i="4"/>
  <c r="J99" i="4"/>
  <c r="J105" i="4"/>
  <c r="J110" i="4"/>
  <c r="J115" i="4"/>
  <c r="J120" i="4"/>
  <c r="J129" i="4"/>
  <c r="J168" i="4"/>
  <c r="J170" i="4"/>
  <c r="J235" i="4"/>
  <c r="J238" i="4"/>
  <c r="J244" i="4"/>
  <c r="J275" i="4"/>
  <c r="J45" i="4"/>
  <c r="J63" i="4"/>
  <c r="J101" i="4"/>
  <c r="J118" i="4"/>
  <c r="J151" i="4"/>
  <c r="J256" i="4"/>
  <c r="J43" i="4"/>
  <c r="J90" i="4"/>
  <c r="J234" i="4"/>
  <c r="J236" i="4"/>
  <c r="J241" i="4"/>
  <c r="J252" i="4"/>
  <c r="J274" i="4"/>
  <c r="J286" i="4"/>
  <c r="J44" i="4"/>
  <c r="J104" i="4"/>
  <c r="J113" i="4"/>
  <c r="J132" i="4"/>
  <c r="J147" i="4"/>
  <c r="J179" i="4"/>
  <c r="J200" i="4"/>
  <c r="J201" i="4"/>
  <c r="J216" i="4"/>
  <c r="J218" i="4"/>
  <c r="J219" i="4"/>
  <c r="J221" i="4"/>
  <c r="J267" i="4"/>
  <c r="J268" i="4"/>
  <c r="J270" i="4"/>
  <c r="J271" i="4"/>
  <c r="J273" i="4"/>
  <c r="J91" i="4"/>
  <c r="J193" i="4"/>
  <c r="J206" i="4"/>
  <c r="J222" i="4"/>
  <c r="J224" i="4"/>
  <c r="J226" i="4"/>
  <c r="J227" i="4"/>
  <c r="J264" i="4"/>
  <c r="J80" i="4"/>
  <c r="J134" i="4"/>
  <c r="J79" i="4"/>
  <c r="J92" i="4"/>
  <c r="J94" i="4"/>
  <c r="J190" i="4"/>
  <c r="J191" i="4"/>
  <c r="J192" i="4"/>
  <c r="J207" i="4"/>
  <c r="J250" i="4"/>
  <c r="J272" i="4"/>
  <c r="J22" i="4"/>
  <c r="J158" i="4"/>
  <c r="J194" i="4"/>
  <c r="J196" i="4"/>
  <c r="J199" i="4"/>
  <c r="J205" i="4"/>
  <c r="J297" i="4"/>
  <c r="J294" i="4"/>
  <c r="J295" i="4"/>
  <c r="J23" i="4"/>
  <c r="J121" i="4"/>
  <c r="J148" i="4"/>
  <c r="J165" i="4"/>
  <c r="J166" i="4"/>
  <c r="J167" i="4"/>
  <c r="J195" i="4"/>
  <c r="J213" i="4"/>
  <c r="J215" i="4"/>
  <c r="J254" i="4"/>
  <c r="J278" i="4"/>
  <c r="J280" i="4"/>
  <c r="J20" i="4"/>
  <c r="J46" i="4"/>
  <c r="J153" i="4"/>
  <c r="J180" i="4"/>
  <c r="J197" i="4"/>
  <c r="J202" i="4"/>
  <c r="J203" i="4"/>
  <c r="J265" i="4"/>
  <c r="J21" i="4"/>
  <c r="J296" i="4"/>
  <c r="J161" i="4"/>
  <c r="J260" i="4"/>
  <c r="J261" i="4"/>
  <c r="J269" i="4"/>
  <c r="J279" i="4"/>
  <c r="J111" i="4"/>
  <c r="J214" i="4"/>
  <c r="J277" i="4"/>
  <c r="J281" i="4"/>
  <c r="J282" i="4"/>
  <c r="J283" i="4"/>
  <c r="J109" i="4"/>
  <c r="J150" i="4"/>
  <c r="J204" i="4"/>
  <c r="J293" i="4"/>
  <c r="J198" i="4"/>
  <c r="J290" i="4"/>
  <c r="J16" i="4"/>
  <c r="J209" i="4"/>
  <c r="J78" i="4"/>
  <c r="J138" i="4"/>
  <c r="J144" i="4"/>
  <c r="J85" i="4"/>
  <c r="J6" i="4"/>
  <c r="J4" i="4"/>
  <c r="J232" i="4"/>
  <c r="J284" i="4"/>
  <c r="J288" i="4"/>
  <c r="J74" i="4"/>
  <c r="J142" i="4"/>
  <c r="J18" i="4"/>
  <c r="J229" i="4"/>
  <c r="J107" i="4"/>
  <c r="J289" i="4"/>
  <c r="J228" i="4"/>
  <c r="J17" i="4"/>
  <c r="J19" i="4"/>
  <c r="J35" i="4"/>
  <c r="J5" i="4"/>
  <c r="J13" i="4"/>
  <c r="J36" i="4"/>
  <c r="J211" i="4"/>
  <c r="J10" i="2"/>
  <c r="J7" i="4"/>
  <c r="J248" i="4"/>
  <c r="J37" i="4"/>
  <c r="J15" i="4"/>
  <c r="J2" i="4"/>
  <c r="J10" i="4"/>
  <c r="J50" i="4"/>
  <c r="J9" i="4"/>
  <c r="J14" i="4"/>
  <c r="J11" i="4"/>
  <c r="J102" i="4"/>
  <c r="J12" i="4"/>
  <c r="J93" i="4"/>
  <c r="J13" i="2"/>
  <c r="J160" i="4"/>
  <c r="J76" i="4"/>
  <c r="J8" i="4"/>
  <c r="J208" i="4"/>
  <c r="J159" i="4"/>
  <c r="J40" i="4"/>
  <c r="J28" i="4"/>
  <c r="J38" i="4"/>
  <c r="J75" i="4"/>
  <c r="J39" i="4"/>
  <c r="J29" i="4"/>
  <c r="J32" i="4"/>
  <c r="J95" i="4"/>
  <c r="J157" i="4"/>
  <c r="J33" i="4"/>
  <c r="J30" i="4"/>
  <c r="I2" i="12"/>
  <c r="H215" i="4"/>
  <c r="H214" i="4"/>
  <c r="G2" i="12"/>
  <c r="F61" i="4"/>
  <c r="F46" i="2"/>
  <c r="F25" i="4"/>
  <c r="F26" i="4"/>
  <c r="F27" i="4"/>
  <c r="F51" i="4"/>
  <c r="F52" i="4"/>
  <c r="F54" i="4"/>
  <c r="F55" i="4"/>
  <c r="F57" i="4"/>
  <c r="F58" i="4"/>
  <c r="F59" i="4"/>
  <c r="F60" i="4"/>
  <c r="F67" i="4"/>
  <c r="F68" i="4"/>
  <c r="F69" i="4"/>
  <c r="F70" i="4"/>
  <c r="F71" i="4"/>
  <c r="F73" i="4"/>
  <c r="F112" i="4"/>
  <c r="F172" i="4"/>
  <c r="F287" i="4"/>
  <c r="F291" i="4"/>
  <c r="F53" i="4"/>
  <c r="F56" i="4"/>
  <c r="F72" i="4"/>
  <c r="F292" i="4"/>
  <c r="F125" i="4"/>
  <c r="F262" i="4"/>
  <c r="F89" i="4"/>
  <c r="F169" i="4"/>
  <c r="F37" i="2"/>
  <c r="F171" i="4"/>
  <c r="F173" i="4"/>
  <c r="F230" i="4"/>
  <c r="F243" i="4"/>
  <c r="F285" i="4"/>
  <c r="F266" i="4"/>
  <c r="F41" i="4"/>
  <c r="F115" i="4"/>
  <c r="F122" i="4"/>
  <c r="F129" i="4"/>
  <c r="F168" i="4"/>
  <c r="F170" i="4"/>
  <c r="F12" i="2"/>
  <c r="F34" i="4"/>
  <c r="F45" i="4"/>
  <c r="F133" i="4"/>
  <c r="F236" i="4"/>
  <c r="F252" i="4"/>
  <c r="F274" i="4"/>
  <c r="F286" i="4"/>
  <c r="F44" i="4"/>
  <c r="F113" i="4"/>
  <c r="F179" i="4"/>
  <c r="F200" i="4"/>
  <c r="F201" i="4"/>
  <c r="F216" i="4"/>
  <c r="F217" i="4"/>
  <c r="F218" i="4"/>
  <c r="F219" i="4"/>
  <c r="F220" i="4"/>
  <c r="F221" i="4"/>
  <c r="F267" i="4"/>
  <c r="F268" i="4"/>
  <c r="F270" i="4"/>
  <c r="F271" i="4"/>
  <c r="F273" i="4"/>
  <c r="F91" i="4"/>
  <c r="F193" i="4"/>
  <c r="F206" i="4"/>
  <c r="F222" i="4"/>
  <c r="F223" i="4"/>
  <c r="F224" i="4"/>
  <c r="F226" i="4"/>
  <c r="F227" i="4"/>
  <c r="F263" i="4"/>
  <c r="F264" i="4"/>
  <c r="F80" i="4"/>
  <c r="F81" i="4"/>
  <c r="F134" i="4"/>
  <c r="F79" i="4"/>
  <c r="F92" i="4"/>
  <c r="F94" i="4"/>
  <c r="F190" i="4"/>
  <c r="F191" i="4"/>
  <c r="F192" i="4"/>
  <c r="F207" i="4"/>
  <c r="F272" i="4"/>
  <c r="F22" i="4"/>
  <c r="F158" i="4"/>
  <c r="F194" i="4"/>
  <c r="F196" i="4"/>
  <c r="F199" i="4"/>
  <c r="F205" i="4"/>
  <c r="F297" i="4"/>
  <c r="F294" i="4"/>
  <c r="F295" i="4"/>
  <c r="F23" i="4"/>
  <c r="F121" i="4"/>
  <c r="F148" i="4"/>
  <c r="F165" i="4"/>
  <c r="F166" i="4"/>
  <c r="F167" i="4"/>
  <c r="F177" i="4"/>
  <c r="F178" i="4"/>
  <c r="F195" i="4"/>
  <c r="F213" i="4"/>
  <c r="F215" i="4"/>
  <c r="F254" i="4"/>
  <c r="F7" i="2"/>
  <c r="F278" i="4"/>
  <c r="F280" i="4"/>
  <c r="F20" i="4"/>
  <c r="F46" i="4"/>
  <c r="F98" i="4"/>
  <c r="F128" i="4"/>
  <c r="F141" i="4"/>
  <c r="F153" i="4"/>
  <c r="F189" i="4"/>
  <c r="F197" i="4"/>
  <c r="F202" i="4"/>
  <c r="F176" i="4"/>
  <c r="F203" i="4"/>
  <c r="F265" i="4"/>
  <c r="F21" i="4"/>
  <c r="F296" i="4"/>
  <c r="F152" i="4"/>
  <c r="F161" i="4"/>
  <c r="F260" i="4"/>
  <c r="F261" i="4"/>
  <c r="F269" i="4"/>
  <c r="F279" i="4"/>
  <c r="F13" i="2"/>
  <c r="F114" i="4"/>
  <c r="F111" i="4"/>
  <c r="F214" i="4"/>
  <c r="F225" i="4"/>
  <c r="F277" i="4"/>
  <c r="F281" i="4"/>
  <c r="F282" i="4"/>
  <c r="F283" i="4"/>
  <c r="F123" i="4"/>
  <c r="F109" i="4"/>
  <c r="F139" i="4"/>
  <c r="F150" i="4"/>
  <c r="F293" i="4"/>
  <c r="F198" i="4"/>
  <c r="F290" i="4"/>
  <c r="F16" i="4"/>
  <c r="F209" i="4"/>
  <c r="F249" i="4"/>
  <c r="F126" i="4"/>
  <c r="F146" i="4"/>
  <c r="F78" i="4"/>
  <c r="F210" i="4"/>
  <c r="F138" i="4"/>
  <c r="F144" i="4"/>
  <c r="F6" i="4"/>
  <c r="F4" i="4"/>
  <c r="F232" i="4"/>
  <c r="F284" i="4"/>
  <c r="F288" i="4"/>
  <c r="F74" i="4"/>
  <c r="F18" i="4"/>
  <c r="F229" i="4"/>
  <c r="F107" i="4"/>
  <c r="F289" i="4"/>
  <c r="F3" i="4"/>
  <c r="F228" i="4"/>
  <c r="F17" i="4"/>
  <c r="F19" i="4"/>
  <c r="F35" i="4"/>
  <c r="F5" i="4"/>
  <c r="F13" i="4"/>
  <c r="F36" i="4"/>
  <c r="F10" i="2"/>
  <c r="F7" i="4"/>
  <c r="F248" i="4"/>
  <c r="F37" i="4"/>
  <c r="F149" i="4"/>
  <c r="F15" i="4"/>
  <c r="F2" i="4"/>
  <c r="F124" i="4"/>
  <c r="F10" i="4"/>
  <c r="F50" i="4"/>
  <c r="F9" i="4"/>
  <c r="F14" i="4"/>
  <c r="F127" i="4"/>
  <c r="F11" i="4"/>
  <c r="F12" i="4"/>
  <c r="F93" i="4"/>
  <c r="F145" i="4"/>
  <c r="F160" i="4"/>
  <c r="F76" i="4"/>
  <c r="F8" i="4"/>
  <c r="F208" i="4"/>
  <c r="F159" i="4"/>
  <c r="F40" i="4"/>
  <c r="F28" i="4"/>
  <c r="F38" i="4"/>
  <c r="F75" i="4"/>
  <c r="F39" i="4"/>
  <c r="F29" i="4"/>
  <c r="F32" i="4"/>
  <c r="F95" i="4"/>
  <c r="F50" i="2"/>
  <c r="F157" i="4"/>
  <c r="F33" i="4"/>
  <c r="F30" i="4"/>
  <c r="F31" i="4"/>
  <c r="F299" i="4"/>
  <c r="F300" i="4"/>
  <c r="F301" i="4"/>
  <c r="F302" i="4"/>
  <c r="F305" i="4"/>
  <c r="F306" i="4"/>
  <c r="F307" i="4"/>
  <c r="F308" i="4"/>
  <c r="F304" i="4"/>
  <c r="F309" i="4"/>
  <c r="F312" i="4"/>
  <c r="F313" i="4"/>
  <c r="F314" i="4"/>
  <c r="F310" i="4"/>
  <c r="F51" i="2"/>
  <c r="F311" i="4"/>
  <c r="F330" i="4"/>
  <c r="F345" i="4"/>
  <c r="F343" i="4"/>
  <c r="F344" i="4"/>
  <c r="F334" i="4"/>
  <c r="F346" i="4"/>
  <c r="F333" i="4"/>
  <c r="F341" i="4"/>
  <c r="F347" i="4"/>
  <c r="F328" i="4"/>
  <c r="F331" i="4"/>
  <c r="F336" i="4"/>
  <c r="F335" i="4"/>
  <c r="F320" i="4"/>
  <c r="F322" i="4"/>
  <c r="F323" i="4"/>
  <c r="F324" i="4"/>
  <c r="F325" i="4"/>
  <c r="F326" i="4"/>
  <c r="F327" i="4"/>
  <c r="F329" i="4"/>
  <c r="F337" i="4"/>
  <c r="F338" i="4"/>
  <c r="F339" i="4"/>
  <c r="F340" i="4"/>
  <c r="F342" i="4"/>
  <c r="F332" i="4"/>
  <c r="F321" i="4"/>
  <c r="F318" i="4"/>
  <c r="F319" i="4"/>
  <c r="F317" i="4"/>
  <c r="F315" i="4"/>
  <c r="F316" i="4"/>
  <c r="F354" i="4"/>
  <c r="F348" i="4"/>
  <c r="F352" i="4"/>
  <c r="F353" i="4"/>
  <c r="F355" i="4"/>
  <c r="F356" i="4"/>
  <c r="F357" i="4"/>
  <c r="F358" i="4"/>
  <c r="F359" i="4"/>
  <c r="F360" i="4"/>
  <c r="F361" i="4"/>
  <c r="F362" i="4"/>
  <c r="F363" i="4"/>
  <c r="F364" i="4"/>
  <c r="F365" i="4"/>
  <c r="F349" i="4"/>
  <c r="F350" i="4"/>
  <c r="F351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9" i="4"/>
  <c r="F378" i="4"/>
  <c r="F381" i="4"/>
  <c r="F390" i="4"/>
  <c r="F389" i="4"/>
  <c r="F387" i="4"/>
  <c r="F388" i="4"/>
  <c r="F391" i="4"/>
  <c r="F392" i="4"/>
  <c r="F393" i="4"/>
  <c r="F394" i="4"/>
  <c r="F395" i="4"/>
  <c r="F396" i="4"/>
  <c r="F397" i="4"/>
  <c r="F398" i="4"/>
  <c r="F399" i="4"/>
  <c r="F400" i="4"/>
  <c r="F402" i="4"/>
  <c r="F403" i="4"/>
  <c r="F404" i="4"/>
  <c r="F405" i="4"/>
  <c r="F406" i="4"/>
  <c r="F407" i="4"/>
  <c r="F408" i="4"/>
  <c r="F409" i="4"/>
  <c r="F410" i="4"/>
  <c r="F411" i="4"/>
  <c r="F401" i="4"/>
  <c r="E2" i="12"/>
  <c r="C2" i="12"/>
  <c r="E61" i="4"/>
  <c r="E46" i="2"/>
  <c r="E25" i="4"/>
  <c r="E26" i="4"/>
  <c r="E27" i="4"/>
  <c r="E51" i="4"/>
  <c r="E52" i="4"/>
  <c r="E54" i="4"/>
  <c r="E55" i="4"/>
  <c r="E57" i="4"/>
  <c r="E58" i="4"/>
  <c r="E59" i="4"/>
  <c r="E60" i="4"/>
  <c r="E67" i="4"/>
  <c r="E68" i="4"/>
  <c r="E69" i="4"/>
  <c r="E70" i="4"/>
  <c r="E71" i="4"/>
  <c r="E73" i="4"/>
  <c r="E112" i="4"/>
  <c r="E172" i="4"/>
  <c r="E287" i="4"/>
  <c r="E291" i="4"/>
  <c r="E53" i="4"/>
  <c r="E56" i="4"/>
  <c r="E72" i="4"/>
  <c r="E292" i="4"/>
  <c r="E125" i="4"/>
  <c r="E262" i="4"/>
  <c r="E89" i="4"/>
  <c r="E169" i="4"/>
  <c r="E37" i="2"/>
  <c r="E171" i="4"/>
  <c r="E173" i="4"/>
  <c r="E230" i="4"/>
  <c r="E243" i="4"/>
  <c r="E285" i="4"/>
  <c r="E266" i="4"/>
  <c r="E41" i="4"/>
  <c r="E115" i="4"/>
  <c r="E122" i="4"/>
  <c r="E129" i="4"/>
  <c r="E168" i="4"/>
  <c r="E170" i="4"/>
  <c r="E12" i="2"/>
  <c r="E34" i="4"/>
  <c r="E45" i="4"/>
  <c r="E133" i="4"/>
  <c r="E236" i="4"/>
  <c r="E252" i="4"/>
  <c r="E274" i="4"/>
  <c r="E286" i="4"/>
  <c r="E44" i="4"/>
  <c r="E113" i="4"/>
  <c r="E179" i="4"/>
  <c r="E200" i="4"/>
  <c r="E201" i="4"/>
  <c r="E216" i="4"/>
  <c r="E217" i="4"/>
  <c r="E218" i="4"/>
  <c r="E219" i="4"/>
  <c r="E220" i="4"/>
  <c r="E221" i="4"/>
  <c r="E267" i="4"/>
  <c r="E268" i="4"/>
  <c r="E270" i="4"/>
  <c r="E271" i="4"/>
  <c r="E273" i="4"/>
  <c r="E91" i="4"/>
  <c r="E193" i="4"/>
  <c r="E206" i="4"/>
  <c r="E222" i="4"/>
  <c r="E223" i="4"/>
  <c r="E224" i="4"/>
  <c r="E226" i="4"/>
  <c r="E227" i="4"/>
  <c r="E263" i="4"/>
  <c r="E264" i="4"/>
  <c r="E80" i="4"/>
  <c r="E81" i="4"/>
  <c r="E134" i="4"/>
  <c r="E79" i="4"/>
  <c r="E92" i="4"/>
  <c r="E94" i="4"/>
  <c r="E190" i="4"/>
  <c r="E191" i="4"/>
  <c r="E192" i="4"/>
  <c r="E207" i="4"/>
  <c r="E272" i="4"/>
  <c r="E22" i="4"/>
  <c r="E158" i="4"/>
  <c r="E194" i="4"/>
  <c r="E196" i="4"/>
  <c r="E199" i="4"/>
  <c r="E205" i="4"/>
  <c r="E297" i="4"/>
  <c r="E294" i="4"/>
  <c r="E295" i="4"/>
  <c r="E23" i="4"/>
  <c r="E121" i="4"/>
  <c r="E148" i="4"/>
  <c r="E165" i="4"/>
  <c r="E166" i="4"/>
  <c r="E167" i="4"/>
  <c r="E177" i="4"/>
  <c r="E178" i="4"/>
  <c r="E195" i="4"/>
  <c r="E213" i="4"/>
  <c r="E215" i="4"/>
  <c r="E254" i="4"/>
  <c r="E7" i="2"/>
  <c r="E278" i="4"/>
  <c r="E280" i="4"/>
  <c r="E20" i="4"/>
  <c r="E46" i="4"/>
  <c r="E98" i="4"/>
  <c r="E128" i="4"/>
  <c r="E141" i="4"/>
  <c r="E153" i="4"/>
  <c r="E189" i="4"/>
  <c r="E197" i="4"/>
  <c r="E202" i="4"/>
  <c r="E176" i="4"/>
  <c r="E203" i="4"/>
  <c r="E265" i="4"/>
  <c r="E21" i="4"/>
  <c r="E296" i="4"/>
  <c r="E152" i="4"/>
  <c r="E161" i="4"/>
  <c r="E260" i="4"/>
  <c r="E261" i="4"/>
  <c r="E269" i="4"/>
  <c r="E279" i="4"/>
  <c r="E13" i="2"/>
  <c r="E114" i="4"/>
  <c r="E111" i="4"/>
  <c r="E214" i="4"/>
  <c r="E225" i="4"/>
  <c r="E277" i="4"/>
  <c r="E281" i="4"/>
  <c r="E282" i="4"/>
  <c r="E283" i="4"/>
  <c r="E123" i="4"/>
  <c r="E109" i="4"/>
  <c r="E139" i="4"/>
  <c r="E150" i="4"/>
  <c r="E293" i="4"/>
  <c r="E198" i="4"/>
  <c r="E290" i="4"/>
  <c r="E16" i="4"/>
  <c r="E209" i="4"/>
  <c r="E249" i="4"/>
  <c r="E126" i="4"/>
  <c r="E146" i="4"/>
  <c r="E78" i="4"/>
  <c r="E210" i="4"/>
  <c r="E138" i="4"/>
  <c r="E144" i="4"/>
  <c r="E6" i="4"/>
  <c r="E4" i="4"/>
  <c r="E232" i="4"/>
  <c r="E284" i="4"/>
  <c r="E288" i="4"/>
  <c r="E74" i="4"/>
  <c r="E18" i="4"/>
  <c r="E229" i="4"/>
  <c r="E107" i="4"/>
  <c r="E289" i="4"/>
  <c r="E3" i="4"/>
  <c r="E228" i="4"/>
  <c r="E17" i="4"/>
  <c r="E19" i="4"/>
  <c r="E35" i="4"/>
  <c r="E5" i="4"/>
  <c r="E13" i="4"/>
  <c r="E36" i="4"/>
  <c r="E10" i="2"/>
  <c r="E7" i="4"/>
  <c r="E248" i="4"/>
  <c r="E37" i="4"/>
  <c r="E149" i="4"/>
  <c r="E15" i="4"/>
  <c r="E2" i="4"/>
  <c r="E124" i="4"/>
  <c r="E10" i="4"/>
  <c r="E50" i="4"/>
  <c r="E9" i="4"/>
  <c r="E14" i="4"/>
  <c r="E127" i="4"/>
  <c r="E11" i="4"/>
  <c r="E12" i="4"/>
  <c r="E93" i="4"/>
  <c r="E145" i="4"/>
  <c r="E160" i="4"/>
  <c r="E76" i="4"/>
  <c r="E8" i="4"/>
  <c r="E208" i="4"/>
  <c r="E159" i="4"/>
  <c r="E40" i="4"/>
  <c r="E28" i="4"/>
  <c r="E38" i="4"/>
  <c r="E75" i="4"/>
  <c r="E39" i="4"/>
  <c r="E29" i="4"/>
  <c r="E32" i="4"/>
  <c r="E95" i="4"/>
  <c r="E50" i="2"/>
  <c r="E157" i="4"/>
  <c r="E33" i="4"/>
  <c r="E30" i="4"/>
  <c r="E31" i="4"/>
  <c r="E299" i="4"/>
  <c r="E300" i="4"/>
  <c r="E301" i="4"/>
  <c r="E302" i="4"/>
  <c r="E305" i="4"/>
  <c r="E306" i="4"/>
  <c r="E307" i="4"/>
  <c r="E308" i="4"/>
  <c r="E304" i="4"/>
  <c r="E309" i="4"/>
  <c r="E312" i="4"/>
  <c r="E313" i="4"/>
  <c r="E314" i="4"/>
  <c r="E310" i="4"/>
  <c r="E51" i="2"/>
  <c r="E311" i="4"/>
  <c r="E330" i="4"/>
  <c r="E345" i="4"/>
  <c r="E343" i="4"/>
  <c r="E344" i="4"/>
  <c r="E334" i="4"/>
  <c r="E346" i="4"/>
  <c r="E333" i="4"/>
  <c r="E341" i="4"/>
  <c r="E347" i="4"/>
  <c r="E328" i="4"/>
  <c r="E331" i="4"/>
  <c r="E336" i="4"/>
  <c r="E335" i="4"/>
  <c r="E320" i="4"/>
  <c r="E322" i="4"/>
  <c r="E323" i="4"/>
  <c r="E324" i="4"/>
  <c r="E325" i="4"/>
  <c r="E326" i="4"/>
  <c r="E327" i="4"/>
  <c r="E329" i="4"/>
  <c r="E337" i="4"/>
  <c r="E338" i="4"/>
  <c r="E339" i="4"/>
  <c r="E340" i="4"/>
  <c r="E342" i="4"/>
  <c r="E332" i="4"/>
  <c r="E321" i="4"/>
  <c r="E318" i="4"/>
  <c r="E319" i="4"/>
  <c r="E317" i="4"/>
  <c r="E315" i="4"/>
  <c r="E316" i="4"/>
  <c r="E354" i="4"/>
  <c r="E348" i="4"/>
  <c r="E352" i="4"/>
  <c r="E353" i="4"/>
  <c r="E355" i="4"/>
  <c r="E356" i="4"/>
  <c r="E357" i="4"/>
  <c r="E358" i="4"/>
  <c r="E359" i="4"/>
  <c r="E360" i="4"/>
  <c r="E361" i="4"/>
  <c r="E362" i="4"/>
  <c r="E363" i="4"/>
  <c r="E364" i="4"/>
  <c r="E365" i="4"/>
  <c r="E349" i="4"/>
  <c r="E350" i="4"/>
  <c r="E351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9" i="4"/>
  <c r="E378" i="4"/>
  <c r="E381" i="4"/>
  <c r="E390" i="4"/>
  <c r="E389" i="4"/>
  <c r="E387" i="4"/>
  <c r="E388" i="4"/>
  <c r="E391" i="4"/>
  <c r="E392" i="4"/>
  <c r="E393" i="4"/>
  <c r="E394" i="4"/>
  <c r="E395" i="4"/>
  <c r="E396" i="4"/>
  <c r="E397" i="4"/>
  <c r="E398" i="4"/>
  <c r="E399" i="4"/>
  <c r="E400" i="4"/>
  <c r="E402" i="4"/>
  <c r="E403" i="4"/>
  <c r="E404" i="4"/>
  <c r="E405" i="4"/>
  <c r="E406" i="4"/>
  <c r="E407" i="4"/>
  <c r="E408" i="4"/>
  <c r="E409" i="4"/>
  <c r="E410" i="4"/>
  <c r="E411" i="4"/>
  <c r="E401" i="4"/>
  <c r="D2" i="12"/>
  <c r="F2" i="12"/>
  <c r="I49" i="4"/>
  <c r="I174" i="4"/>
  <c r="I298" i="4"/>
  <c r="I245" i="4"/>
  <c r="I276" i="4"/>
  <c r="I48" i="4"/>
  <c r="I51" i="4"/>
  <c r="I52" i="4"/>
  <c r="I54" i="4"/>
  <c r="I55" i="4"/>
  <c r="I57" i="4"/>
  <c r="I58" i="4"/>
  <c r="I59" i="4"/>
  <c r="I60" i="4"/>
  <c r="I64" i="4"/>
  <c r="I68" i="4"/>
  <c r="I69" i="4"/>
  <c r="I70" i="4"/>
  <c r="I71" i="4"/>
  <c r="I73" i="4"/>
  <c r="I86" i="4"/>
  <c r="I87" i="4"/>
  <c r="I88" i="4"/>
  <c r="I112" i="4"/>
  <c r="I116" i="4"/>
  <c r="I130" i="4"/>
  <c r="I131" i="4"/>
  <c r="I172" i="4"/>
  <c r="I247" i="4"/>
  <c r="I291" i="4"/>
  <c r="I47" i="4"/>
  <c r="I53" i="4"/>
  <c r="I56" i="4"/>
  <c r="I72" i="4"/>
  <c r="I84" i="4"/>
  <c r="I292" i="4"/>
  <c r="I137" i="4"/>
  <c r="I26" i="2"/>
  <c r="I82" i="4"/>
  <c r="I125" i="4"/>
  <c r="I262" i="4"/>
  <c r="I83" i="4"/>
  <c r="I97" i="4"/>
  <c r="I119" i="4"/>
  <c r="I136" i="4"/>
  <c r="I155" i="4"/>
  <c r="I156" i="4"/>
  <c r="I169" i="4"/>
  <c r="I173" i="4"/>
  <c r="I212" i="4"/>
  <c r="I230" i="4"/>
  <c r="I231" i="4"/>
  <c r="I233" i="4"/>
  <c r="I239" i="4"/>
  <c r="I243" i="4"/>
  <c r="I255" i="4"/>
  <c r="I62" i="4"/>
  <c r="I154" i="4"/>
  <c r="I237" i="4"/>
  <c r="I266" i="4"/>
  <c r="I41" i="4"/>
  <c r="I42" i="4"/>
  <c r="I99" i="4"/>
  <c r="I105" i="4"/>
  <c r="I110" i="4"/>
  <c r="I115" i="4"/>
  <c r="I120" i="4"/>
  <c r="I129" i="4"/>
  <c r="I168" i="4"/>
  <c r="I170" i="4"/>
  <c r="I235" i="4"/>
  <c r="I238" i="4"/>
  <c r="I244" i="4"/>
  <c r="I275" i="4"/>
  <c r="I45" i="4"/>
  <c r="I63" i="4"/>
  <c r="I101" i="4"/>
  <c r="I118" i="4"/>
  <c r="I151" i="4"/>
  <c r="I256" i="4"/>
  <c r="I43" i="4"/>
  <c r="I90" i="4"/>
  <c r="I234" i="4"/>
  <c r="I236" i="4"/>
  <c r="I241" i="4"/>
  <c r="I252" i="4"/>
  <c r="I274" i="4"/>
  <c r="I286" i="4"/>
  <c r="I44" i="4"/>
  <c r="I104" i="4"/>
  <c r="I113" i="4"/>
  <c r="I132" i="4"/>
  <c r="I147" i="4"/>
  <c r="I179" i="4"/>
  <c r="I200" i="4"/>
  <c r="I201" i="4"/>
  <c r="I216" i="4"/>
  <c r="I218" i="4"/>
  <c r="I219" i="4"/>
  <c r="I221" i="4"/>
  <c r="I267" i="4"/>
  <c r="I268" i="4"/>
  <c r="I270" i="4"/>
  <c r="I271" i="4"/>
  <c r="I273" i="4"/>
  <c r="I91" i="4"/>
  <c r="I193" i="4"/>
  <c r="I206" i="4"/>
  <c r="I222" i="4"/>
  <c r="I224" i="4"/>
  <c r="I226" i="4"/>
  <c r="I227" i="4"/>
  <c r="I264" i="4"/>
  <c r="I80" i="4"/>
  <c r="I134" i="4"/>
  <c r="I79" i="4"/>
  <c r="I92" i="4"/>
  <c r="I94" i="4"/>
  <c r="I190" i="4"/>
  <c r="I191" i="4"/>
  <c r="I192" i="4"/>
  <c r="I207" i="4"/>
  <c r="I272" i="4"/>
  <c r="I22" i="4"/>
  <c r="I158" i="4"/>
  <c r="I194" i="4"/>
  <c r="I196" i="4"/>
  <c r="I199" i="4"/>
  <c r="I205" i="4"/>
  <c r="I297" i="4"/>
  <c r="I294" i="4"/>
  <c r="I295" i="4"/>
  <c r="I23" i="4"/>
  <c r="I121" i="4"/>
  <c r="I148" i="4"/>
  <c r="I165" i="4"/>
  <c r="I166" i="4"/>
  <c r="I167" i="4"/>
  <c r="I195" i="4"/>
  <c r="I213" i="4"/>
  <c r="I215" i="4"/>
  <c r="I254" i="4"/>
  <c r="I278" i="4"/>
  <c r="I280" i="4"/>
  <c r="I20" i="4"/>
  <c r="I46" i="4"/>
  <c r="I153" i="4"/>
  <c r="I180" i="4"/>
  <c r="I197" i="4"/>
  <c r="I202" i="4"/>
  <c r="I203" i="4"/>
  <c r="I265" i="4"/>
  <c r="I21" i="4"/>
  <c r="I296" i="4"/>
  <c r="I161" i="4"/>
  <c r="I260" i="4"/>
  <c r="I261" i="4"/>
  <c r="I269" i="4"/>
  <c r="I279" i="4"/>
  <c r="I111" i="4"/>
  <c r="I214" i="4"/>
  <c r="I277" i="4"/>
  <c r="I281" i="4"/>
  <c r="I282" i="4"/>
  <c r="I283" i="4"/>
  <c r="I109" i="4"/>
  <c r="I150" i="4"/>
  <c r="I204" i="4"/>
  <c r="I293" i="4"/>
  <c r="I198" i="4"/>
  <c r="I290" i="4"/>
  <c r="I16" i="4"/>
  <c r="I209" i="4"/>
  <c r="I78" i="4"/>
  <c r="I138" i="4"/>
  <c r="I144" i="4"/>
  <c r="I85" i="4"/>
  <c r="I6" i="4"/>
  <c r="I4" i="4"/>
  <c r="I232" i="4"/>
  <c r="I284" i="4"/>
  <c r="I288" i="4"/>
  <c r="I74" i="4"/>
  <c r="I142" i="4"/>
  <c r="I18" i="4"/>
  <c r="I229" i="4"/>
  <c r="I107" i="4"/>
  <c r="I289" i="4"/>
  <c r="I228" i="4"/>
  <c r="I17" i="4"/>
  <c r="I19" i="4"/>
  <c r="I35" i="4"/>
  <c r="I5" i="4"/>
  <c r="I13" i="4"/>
  <c r="I36" i="4"/>
  <c r="I211" i="4"/>
  <c r="I10" i="2"/>
  <c r="I7" i="4"/>
  <c r="I248" i="4"/>
  <c r="I37" i="4"/>
  <c r="I15" i="4"/>
  <c r="I2" i="4"/>
  <c r="I10" i="4"/>
  <c r="I50" i="4"/>
  <c r="I9" i="4"/>
  <c r="I14" i="4"/>
  <c r="I11" i="4"/>
  <c r="I102" i="4"/>
  <c r="I12" i="4"/>
  <c r="I93" i="4"/>
  <c r="I13" i="2"/>
  <c r="I160" i="4"/>
  <c r="I76" i="4"/>
  <c r="I8" i="4"/>
  <c r="I208" i="4"/>
  <c r="I159" i="4"/>
  <c r="I40" i="4"/>
  <c r="I28" i="4"/>
  <c r="I38" i="4"/>
  <c r="I75" i="4"/>
  <c r="I39" i="4"/>
  <c r="I29" i="4"/>
  <c r="I32" i="4"/>
  <c r="I95" i="4"/>
  <c r="I157" i="4"/>
  <c r="I33" i="4"/>
  <c r="I30" i="4"/>
  <c r="H2" i="12"/>
  <c r="J2" i="12"/>
  <c r="M34" i="4"/>
  <c r="M177" i="4"/>
  <c r="M117" i="4"/>
  <c r="M128" i="4"/>
  <c r="M141" i="4"/>
  <c r="M189" i="4"/>
  <c r="M176" i="4"/>
  <c r="M66" i="4"/>
  <c r="M390" i="4"/>
  <c r="M389" i="4"/>
  <c r="M387" i="4"/>
  <c r="M388" i="4"/>
  <c r="M391" i="4"/>
  <c r="M392" i="4"/>
  <c r="M393" i="4"/>
  <c r="M394" i="4"/>
  <c r="M395" i="4"/>
  <c r="M396" i="4"/>
  <c r="M397" i="4"/>
  <c r="M398" i="4"/>
  <c r="M399" i="4"/>
  <c r="M400" i="4"/>
  <c r="M402" i="4"/>
  <c r="M403" i="4"/>
  <c r="M404" i="4"/>
  <c r="M405" i="4"/>
  <c r="M406" i="4"/>
  <c r="M407" i="4"/>
  <c r="M408" i="4"/>
  <c r="M409" i="4"/>
  <c r="M410" i="4"/>
  <c r="M411" i="4"/>
  <c r="M401" i="4"/>
  <c r="L2" i="12"/>
  <c r="N2" i="12"/>
  <c r="Q276" i="4"/>
  <c r="Q250" i="4"/>
  <c r="Q96" i="4"/>
  <c r="P2" i="12"/>
  <c r="R2" i="12"/>
  <c r="V2" i="12"/>
  <c r="Y347" i="4"/>
  <c r="Y369" i="4"/>
  <c r="B384" i="4"/>
  <c r="C384" i="4"/>
  <c r="B383" i="4"/>
  <c r="C383" i="4"/>
  <c r="B386" i="4"/>
  <c r="C386" i="4"/>
  <c r="C382" i="4"/>
  <c r="B2" i="12"/>
  <c r="AG3" i="6"/>
  <c r="AH3" i="6"/>
  <c r="AG4" i="6"/>
  <c r="AH4" i="6"/>
  <c r="AG5" i="6"/>
  <c r="AH5" i="6"/>
  <c r="AG6" i="6"/>
  <c r="AH6" i="6"/>
  <c r="AG21" i="6"/>
  <c r="AH21" i="6"/>
  <c r="AG22" i="6"/>
  <c r="AH22" i="6"/>
  <c r="AG23" i="6"/>
  <c r="AH23" i="6"/>
  <c r="AG47" i="6"/>
  <c r="AH47" i="6"/>
  <c r="AG7" i="6"/>
  <c r="AH7" i="6"/>
  <c r="AG48" i="6"/>
  <c r="AH48" i="6"/>
  <c r="AG8" i="6"/>
  <c r="AH8" i="6"/>
  <c r="AG27" i="6"/>
  <c r="AH27" i="6"/>
  <c r="AG28" i="6"/>
  <c r="AH28" i="6"/>
  <c r="AG29" i="6"/>
  <c r="AH29" i="6"/>
  <c r="AG30" i="6"/>
  <c r="AH30" i="6"/>
  <c r="AG86" i="6"/>
  <c r="AH86" i="6"/>
  <c r="AG87" i="6"/>
  <c r="AH87" i="6"/>
  <c r="AG64" i="6"/>
  <c r="AH64" i="6"/>
  <c r="AG88" i="6"/>
  <c r="AH88" i="6"/>
  <c r="AG37" i="6"/>
  <c r="AH37" i="6"/>
  <c r="AG40" i="6"/>
  <c r="AH40" i="6"/>
  <c r="AG41" i="6"/>
  <c r="AH41" i="6"/>
  <c r="AG42" i="6"/>
  <c r="AH42" i="6"/>
  <c r="AG45" i="6"/>
  <c r="AH45" i="6"/>
  <c r="AG43" i="6"/>
  <c r="AH43" i="6"/>
  <c r="AG282" i="6"/>
  <c r="AH282" i="6"/>
  <c r="AG9" i="6"/>
  <c r="AH9" i="6"/>
  <c r="AG49" i="6"/>
  <c r="AH49" i="6"/>
  <c r="AG50" i="6"/>
  <c r="AH50" i="6"/>
  <c r="AG10" i="6"/>
  <c r="AH10" i="6"/>
  <c r="AG114" i="6"/>
  <c r="AH114" i="6"/>
  <c r="AG11" i="6"/>
  <c r="AH11" i="6"/>
  <c r="AG51" i="6"/>
  <c r="AH51" i="6"/>
  <c r="AG52" i="6"/>
  <c r="AH52" i="6"/>
  <c r="AG62" i="6"/>
  <c r="AH62" i="6"/>
  <c r="AG53" i="6"/>
  <c r="AH53" i="6"/>
  <c r="AG65" i="6"/>
  <c r="AH65" i="6"/>
  <c r="AG66" i="6"/>
  <c r="AH66" i="6"/>
  <c r="AG67" i="6"/>
  <c r="AH67" i="6"/>
  <c r="AG68" i="6"/>
  <c r="AH68" i="6"/>
  <c r="AG69" i="6"/>
  <c r="AH69" i="6"/>
  <c r="AG206" i="6"/>
  <c r="AH206" i="6"/>
  <c r="AG159" i="6"/>
  <c r="AH159" i="6"/>
  <c r="AG70" i="6"/>
  <c r="AH70" i="6"/>
  <c r="AG106" i="6"/>
  <c r="AH106" i="6"/>
  <c r="AG207" i="6"/>
  <c r="AH207" i="6"/>
  <c r="AG89" i="6"/>
  <c r="AH89" i="6"/>
  <c r="AG90" i="6"/>
  <c r="AH90" i="6"/>
  <c r="AG85" i="6"/>
  <c r="AH85" i="6"/>
  <c r="AG91" i="6"/>
  <c r="AH91" i="6"/>
  <c r="AG92" i="6"/>
  <c r="AH92" i="6"/>
  <c r="AG93" i="6"/>
  <c r="AH93" i="6"/>
  <c r="AG94" i="6"/>
  <c r="AH94" i="6"/>
  <c r="AG95" i="6"/>
  <c r="AH95" i="6"/>
  <c r="AG96" i="6"/>
  <c r="AH96" i="6"/>
  <c r="AG103" i="6"/>
  <c r="AH103" i="6"/>
  <c r="AG97" i="6"/>
  <c r="AH97" i="6"/>
  <c r="AG232" i="6"/>
  <c r="AH232" i="6"/>
  <c r="AG233" i="6"/>
  <c r="AH233" i="6"/>
  <c r="AG71" i="6"/>
  <c r="AH71" i="6"/>
  <c r="AG104" i="6"/>
  <c r="AH104" i="6"/>
  <c r="AG105" i="6"/>
  <c r="AH105" i="6"/>
  <c r="AG98" i="6"/>
  <c r="AH98" i="6"/>
  <c r="AG99" i="6"/>
  <c r="AH99" i="6"/>
  <c r="AG100" i="6"/>
  <c r="AH100" i="6"/>
  <c r="AG107" i="6"/>
  <c r="AH107" i="6"/>
  <c r="AG108" i="6"/>
  <c r="AH108" i="6"/>
  <c r="AG109" i="6"/>
  <c r="AH109" i="6"/>
  <c r="AG101" i="6"/>
  <c r="AH101" i="6"/>
  <c r="AG54" i="6"/>
  <c r="AH54" i="6"/>
  <c r="AG115" i="6"/>
  <c r="AH115" i="6"/>
  <c r="AG116" i="6"/>
  <c r="AH116" i="6"/>
  <c r="AG117" i="6"/>
  <c r="AH117" i="6"/>
  <c r="AG55" i="6"/>
  <c r="AH55" i="6"/>
  <c r="AG123" i="6"/>
  <c r="AH123" i="6"/>
  <c r="AG124" i="6"/>
  <c r="AH124" i="6"/>
  <c r="AG125" i="6"/>
  <c r="AH125" i="6"/>
  <c r="AG129" i="6"/>
  <c r="AH129" i="6"/>
  <c r="AG130" i="6"/>
  <c r="AH130" i="6"/>
  <c r="AG271" i="6"/>
  <c r="AH271" i="6"/>
  <c r="AG160" i="6"/>
  <c r="AH160" i="6"/>
  <c r="AG110" i="6"/>
  <c r="AH110" i="6"/>
  <c r="AG111" i="6"/>
  <c r="AH111" i="6"/>
  <c r="AG112" i="6"/>
  <c r="AH112" i="6"/>
  <c r="AG31" i="6"/>
  <c r="AH31" i="6"/>
  <c r="AG165" i="6"/>
  <c r="AH165" i="6"/>
  <c r="AG166" i="6"/>
  <c r="AH166" i="6"/>
  <c r="AG167" i="6"/>
  <c r="AH167" i="6"/>
  <c r="AG208" i="6"/>
  <c r="AH208" i="6"/>
  <c r="AG141" i="6"/>
  <c r="AH141" i="6"/>
  <c r="AG168" i="6"/>
  <c r="AH168" i="6"/>
  <c r="AG56" i="6"/>
  <c r="AH56" i="6"/>
  <c r="AG283" i="6"/>
  <c r="AH283" i="6"/>
  <c r="AG234" i="6"/>
  <c r="AH234" i="6"/>
  <c r="AG196" i="6"/>
  <c r="AH196" i="6"/>
  <c r="AG142" i="6"/>
  <c r="AH142" i="6"/>
  <c r="AG175" i="6"/>
  <c r="AH175" i="6"/>
  <c r="AG176" i="6"/>
  <c r="AH176" i="6"/>
  <c r="AG131" i="6"/>
  <c r="AH131" i="6"/>
  <c r="AG12" i="6"/>
  <c r="AH12" i="6"/>
  <c r="AG296" i="6"/>
  <c r="AH296" i="6"/>
  <c r="AG197" i="6"/>
  <c r="AH197" i="6"/>
  <c r="AG209" i="6"/>
  <c r="AH209" i="6"/>
  <c r="AG143" i="6"/>
  <c r="AH143" i="6"/>
  <c r="AG210" i="6"/>
  <c r="AH210" i="6"/>
  <c r="AG132" i="6"/>
  <c r="AH132" i="6"/>
  <c r="AG13" i="6"/>
  <c r="AH13" i="6"/>
  <c r="AG46" i="6"/>
  <c r="AH46" i="6"/>
  <c r="AG260" i="6"/>
  <c r="AH260" i="6"/>
  <c r="AG24" i="6"/>
  <c r="AH24" i="6"/>
  <c r="AG235" i="6"/>
  <c r="AH235" i="6"/>
  <c r="AG198" i="6"/>
  <c r="AH198" i="6"/>
  <c r="AG72" i="6"/>
  <c r="AH72" i="6"/>
  <c r="AG261" i="6"/>
  <c r="AH261" i="6"/>
  <c r="AG38" i="6"/>
  <c r="AH38" i="6"/>
  <c r="AG73" i="6"/>
  <c r="AH73" i="6"/>
  <c r="AG74" i="6"/>
  <c r="AH74" i="6"/>
  <c r="AG284" i="6"/>
  <c r="AH284" i="6"/>
  <c r="AG75" i="6"/>
  <c r="AH75" i="6"/>
  <c r="AG236" i="6"/>
  <c r="AH236" i="6"/>
  <c r="AG237" i="6"/>
  <c r="AH237" i="6"/>
  <c r="AG211" i="6"/>
  <c r="AH211" i="6"/>
  <c r="AG272" i="6"/>
  <c r="AH272" i="6"/>
  <c r="AG212" i="6"/>
  <c r="AH212" i="6"/>
  <c r="AG133" i="6"/>
  <c r="AH133" i="6"/>
  <c r="AG76" i="6"/>
  <c r="AH76" i="6"/>
  <c r="AG213" i="6"/>
  <c r="AH213" i="6"/>
  <c r="AG25" i="6"/>
  <c r="AH25" i="6"/>
  <c r="AG135" i="6"/>
  <c r="AH135" i="6"/>
  <c r="AG238" i="6"/>
  <c r="AH238" i="6"/>
  <c r="AG161" i="6"/>
  <c r="AH161" i="6"/>
  <c r="AG77" i="6"/>
  <c r="AH77" i="6"/>
  <c r="AG262" i="6"/>
  <c r="AH262" i="6"/>
  <c r="AG273" i="6"/>
  <c r="AH273" i="6"/>
  <c r="AG126" i="6"/>
  <c r="AH126" i="6"/>
  <c r="AG144" i="6"/>
  <c r="AH144" i="6"/>
  <c r="AG239" i="6"/>
  <c r="AH239" i="6"/>
  <c r="AG274" i="6"/>
  <c r="AH274" i="6"/>
  <c r="AG57" i="6"/>
  <c r="AH57" i="6"/>
  <c r="AG214" i="6"/>
  <c r="AH214" i="6"/>
  <c r="AG275" i="6"/>
  <c r="AH275" i="6"/>
  <c r="AG285" i="6"/>
  <c r="AH285" i="6"/>
  <c r="AG118" i="6"/>
  <c r="AH118" i="6"/>
  <c r="AG119" i="6"/>
  <c r="AH119" i="6"/>
  <c r="AG14" i="6"/>
  <c r="AH14" i="6"/>
  <c r="AG120" i="6"/>
  <c r="AH120" i="6"/>
  <c r="AG199" i="6"/>
  <c r="AH199" i="6"/>
  <c r="AG153" i="6"/>
  <c r="AH153" i="6"/>
  <c r="AG215" i="6"/>
  <c r="AH215" i="6"/>
  <c r="AG200" i="6"/>
  <c r="AH200" i="6"/>
  <c r="AG26" i="6"/>
  <c r="AH26" i="6"/>
  <c r="AG263" i="6"/>
  <c r="AH263" i="6"/>
  <c r="AG121" i="6"/>
  <c r="AH121" i="6"/>
  <c r="AG127" i="6"/>
  <c r="AH127" i="6"/>
  <c r="AG240" i="6"/>
  <c r="AH240" i="6"/>
  <c r="AG241" i="6"/>
  <c r="AH241" i="6"/>
  <c r="AG242" i="6"/>
  <c r="AH242" i="6"/>
  <c r="AG134" i="6"/>
  <c r="AH134" i="6"/>
  <c r="AG58" i="6"/>
  <c r="AH58" i="6"/>
  <c r="AG39" i="6"/>
  <c r="AH39" i="6"/>
  <c r="AG44" i="6"/>
  <c r="AH44" i="6"/>
  <c r="AG177" i="6"/>
  <c r="AH177" i="6"/>
  <c r="AG78" i="6"/>
  <c r="AH78" i="6"/>
  <c r="AG32" i="6"/>
  <c r="AH32" i="6"/>
  <c r="AG190" i="6"/>
  <c r="AH190" i="6"/>
  <c r="AG136" i="6"/>
  <c r="AH136" i="6"/>
  <c r="AG137" i="6"/>
  <c r="AH137" i="6"/>
  <c r="AG138" i="6"/>
  <c r="AH138" i="6"/>
  <c r="AG243" i="6"/>
  <c r="AH243" i="6"/>
  <c r="AG244" i="6"/>
  <c r="AH244" i="6"/>
  <c r="AG245" i="6"/>
  <c r="AH245" i="6"/>
  <c r="AG33" i="6"/>
  <c r="AH33" i="6"/>
  <c r="AG79" i="6"/>
  <c r="AH79" i="6"/>
  <c r="AG113" i="6"/>
  <c r="AH113" i="6"/>
  <c r="AG246" i="6"/>
  <c r="AH246" i="6"/>
  <c r="AG247" i="6"/>
  <c r="AH247" i="6"/>
  <c r="AG286" i="6"/>
  <c r="AH286" i="6"/>
  <c r="AG287" i="6"/>
  <c r="AH287" i="6"/>
  <c r="AG34" i="6"/>
  <c r="AH34" i="6"/>
  <c r="AG178" i="6"/>
  <c r="AH178" i="6"/>
  <c r="AG154" i="6"/>
  <c r="AH154" i="6"/>
  <c r="AG248" i="6"/>
  <c r="AH248" i="6"/>
  <c r="AG276" i="6"/>
  <c r="AH276" i="6"/>
  <c r="AG249" i="6"/>
  <c r="AH249" i="6"/>
  <c r="AG80" i="6"/>
  <c r="AH80" i="6"/>
  <c r="AG250" i="6"/>
  <c r="AH250" i="6"/>
  <c r="AG81" i="6"/>
  <c r="AH81" i="6"/>
  <c r="AG264" i="6"/>
  <c r="AH264" i="6"/>
  <c r="AG162" i="6"/>
  <c r="AH162" i="6"/>
  <c r="AG288" i="6"/>
  <c r="AH288" i="6"/>
  <c r="AG145" i="6"/>
  <c r="AH145" i="6"/>
  <c r="AG59" i="6"/>
  <c r="AH59" i="6"/>
  <c r="AG216" i="6"/>
  <c r="AH216" i="6"/>
  <c r="AG217" i="6"/>
  <c r="AH217" i="6"/>
  <c r="AG218" i="6"/>
  <c r="AH218" i="6"/>
  <c r="AG201" i="6"/>
  <c r="AH201" i="6"/>
  <c r="AG219" i="6"/>
  <c r="AH219" i="6"/>
  <c r="AG128" i="6"/>
  <c r="AH128" i="6"/>
  <c r="AG146" i="6"/>
  <c r="AH146" i="6"/>
  <c r="AG147" i="6"/>
  <c r="AH147" i="6"/>
  <c r="AG179" i="6"/>
  <c r="AH179" i="6"/>
  <c r="AG155" i="6"/>
  <c r="AH155" i="6"/>
  <c r="AG220" i="6"/>
  <c r="AH220" i="6"/>
  <c r="AG202" i="6"/>
  <c r="AH202" i="6"/>
  <c r="AG221" i="6"/>
  <c r="AH221" i="6"/>
  <c r="AG222" i="6"/>
  <c r="AH222" i="6"/>
  <c r="AG203" i="6"/>
  <c r="AH203" i="6"/>
  <c r="AG223" i="6"/>
  <c r="AH223" i="6"/>
  <c r="AG224" i="6"/>
  <c r="AH224" i="6"/>
  <c r="AG225" i="6"/>
  <c r="AH225" i="6"/>
  <c r="AG148" i="6"/>
  <c r="AH148" i="6"/>
  <c r="AG149" i="6"/>
  <c r="AH149" i="6"/>
  <c r="AG150" i="6"/>
  <c r="AH150" i="6"/>
  <c r="AG82" i="6"/>
  <c r="AH82" i="6"/>
  <c r="AG186" i="6"/>
  <c r="AH186" i="6"/>
  <c r="AG187" i="6"/>
  <c r="AH187" i="6"/>
  <c r="AG188" i="6"/>
  <c r="AH188" i="6"/>
  <c r="AG152" i="6"/>
  <c r="AH152" i="6"/>
  <c r="AG156" i="6"/>
  <c r="AH156" i="6"/>
  <c r="AG163" i="6"/>
  <c r="AH163" i="6"/>
  <c r="AG169" i="6"/>
  <c r="AH169" i="6"/>
  <c r="AG170" i="6"/>
  <c r="AH170" i="6"/>
  <c r="AG180" i="6"/>
  <c r="AH180" i="6"/>
  <c r="AG191" i="6"/>
  <c r="AH191" i="6"/>
  <c r="AG189" i="6"/>
  <c r="AH189" i="6"/>
  <c r="AG192" i="6"/>
  <c r="AH192" i="6"/>
  <c r="AG195" i="6"/>
  <c r="AH195" i="6"/>
  <c r="AG193" i="6"/>
  <c r="AH193" i="6"/>
  <c r="AG194" i="6"/>
  <c r="AH194" i="6"/>
  <c r="AG204" i="6"/>
  <c r="AH204" i="6"/>
  <c r="AG226" i="6"/>
  <c r="AH226" i="6"/>
  <c r="AG164" i="6"/>
  <c r="AH164" i="6"/>
  <c r="AG251" i="6"/>
  <c r="AH251" i="6"/>
  <c r="AG205" i="6"/>
  <c r="AH205" i="6"/>
  <c r="AG252" i="6"/>
  <c r="AH252" i="6"/>
  <c r="AG253" i="6"/>
  <c r="AH253" i="6"/>
  <c r="AG254" i="6"/>
  <c r="AH254" i="6"/>
  <c r="AG255" i="6"/>
  <c r="AH255" i="6"/>
  <c r="AG277" i="6"/>
  <c r="AH277" i="6"/>
  <c r="AG256" i="6"/>
  <c r="AH256" i="6"/>
  <c r="AG257" i="6"/>
  <c r="AH257" i="6"/>
  <c r="AG265" i="6"/>
  <c r="AH265" i="6"/>
  <c r="AG266" i="6"/>
  <c r="AH266" i="6"/>
  <c r="AG267" i="6"/>
  <c r="AH267" i="6"/>
  <c r="AG278" i="6"/>
  <c r="AH278" i="6"/>
  <c r="AG279" i="6"/>
  <c r="AH279" i="6"/>
  <c r="AG280" i="6"/>
  <c r="AH280" i="6"/>
  <c r="AG281" i="6"/>
  <c r="AH281" i="6"/>
  <c r="AG227" i="6"/>
  <c r="AH227" i="6"/>
  <c r="AG157" i="6"/>
  <c r="AH157" i="6"/>
  <c r="AG35" i="6"/>
  <c r="AH35" i="6"/>
  <c r="AG151" i="6"/>
  <c r="AH151" i="6"/>
  <c r="AG289" i="6"/>
  <c r="AH289" i="6"/>
  <c r="AG268" i="6"/>
  <c r="AH268" i="6"/>
  <c r="AG269" i="6"/>
  <c r="AH269" i="6"/>
  <c r="AG122" i="6"/>
  <c r="AH122" i="6"/>
  <c r="AG228" i="6"/>
  <c r="AH228" i="6"/>
  <c r="AG229" i="6"/>
  <c r="AH229" i="6"/>
  <c r="AG230" i="6"/>
  <c r="AH230" i="6"/>
  <c r="AG258" i="6"/>
  <c r="AH258" i="6"/>
  <c r="AG270" i="6"/>
  <c r="AH270" i="6"/>
  <c r="AG231" i="6"/>
  <c r="AH231" i="6"/>
  <c r="AG83" i="6"/>
  <c r="AH83" i="6"/>
  <c r="AG84" i="6"/>
  <c r="AH84" i="6"/>
  <c r="AG63" i="6"/>
  <c r="AH63" i="6"/>
  <c r="AG60" i="6"/>
  <c r="AH60" i="6"/>
  <c r="AG290" i="6"/>
  <c r="AH290" i="6"/>
  <c r="AG291" i="6"/>
  <c r="AH291" i="6"/>
  <c r="AG292" i="6"/>
  <c r="AH292" i="6"/>
  <c r="AG293" i="6"/>
  <c r="AH293" i="6"/>
  <c r="AG294" i="6"/>
  <c r="AH294" i="6"/>
  <c r="AG171" i="6"/>
  <c r="AH171" i="6"/>
  <c r="AG172" i="6"/>
  <c r="AH172" i="6"/>
  <c r="AG181" i="6"/>
  <c r="AH181" i="6"/>
  <c r="AG158" i="6"/>
  <c r="AH158" i="6"/>
  <c r="AG173" i="6"/>
  <c r="AH173" i="6"/>
  <c r="AG259" i="6"/>
  <c r="AH259" i="6"/>
  <c r="AG295" i="6"/>
  <c r="AH295" i="6"/>
  <c r="AG61" i="6"/>
  <c r="AH61" i="6"/>
  <c r="AG15" i="6"/>
  <c r="AH15" i="6"/>
  <c r="AG16" i="6"/>
  <c r="AH16" i="6"/>
  <c r="AG17" i="6"/>
  <c r="AH17" i="6"/>
  <c r="AG18" i="6"/>
  <c r="AH18" i="6"/>
  <c r="AG19" i="6"/>
  <c r="AH19" i="6"/>
  <c r="AG20" i="6"/>
  <c r="AH20" i="6"/>
  <c r="AG182" i="6"/>
  <c r="AH182" i="6"/>
  <c r="AG36" i="6"/>
  <c r="AH36" i="6"/>
  <c r="AG183" i="6"/>
  <c r="AH183" i="6"/>
  <c r="AG297" i="6"/>
  <c r="AH297" i="6"/>
  <c r="AG174" i="6"/>
  <c r="AH174" i="6"/>
  <c r="AG184" i="6"/>
  <c r="AH184" i="6"/>
  <c r="AG185" i="6"/>
  <c r="AH185" i="6"/>
  <c r="AG102" i="6"/>
  <c r="AH102" i="6"/>
  <c r="AG299" i="6"/>
  <c r="AH299" i="6"/>
  <c r="AG300" i="6"/>
  <c r="AH300" i="6"/>
  <c r="AG301" i="6"/>
  <c r="AH301" i="6"/>
  <c r="AG302" i="6"/>
  <c r="AH302" i="6"/>
  <c r="AG303" i="6"/>
  <c r="AH303" i="6"/>
  <c r="AG304" i="6"/>
  <c r="AH304" i="6"/>
  <c r="AG305" i="6"/>
  <c r="AH305" i="6"/>
  <c r="AG306" i="6"/>
  <c r="AH306" i="6"/>
  <c r="AG307" i="6"/>
  <c r="AH307" i="6"/>
  <c r="AG308" i="6"/>
  <c r="AH308" i="6"/>
  <c r="AG309" i="6"/>
  <c r="AH309" i="6"/>
  <c r="AG310" i="6"/>
  <c r="AH310" i="6"/>
  <c r="AG311" i="6"/>
  <c r="AH311" i="6"/>
  <c r="AG312" i="6"/>
  <c r="AH312" i="6"/>
  <c r="AG313" i="6"/>
  <c r="AH313" i="6"/>
  <c r="AG315" i="6"/>
  <c r="AH315" i="6"/>
  <c r="AG316" i="6"/>
  <c r="AH316" i="6"/>
  <c r="AG317" i="6"/>
  <c r="AH317" i="6"/>
  <c r="AG318" i="6"/>
  <c r="AH318" i="6"/>
  <c r="AG319" i="6"/>
  <c r="AH319" i="6"/>
  <c r="AG320" i="6"/>
  <c r="AH320" i="6"/>
  <c r="AG321" i="6"/>
  <c r="AH321" i="6"/>
  <c r="AG322" i="6"/>
  <c r="AH322" i="6"/>
  <c r="AG323" i="6"/>
  <c r="AH323" i="6"/>
  <c r="AG324" i="6"/>
  <c r="AH324" i="6"/>
  <c r="AG325" i="6"/>
  <c r="AH325" i="6"/>
  <c r="AG326" i="6"/>
  <c r="AH326" i="6"/>
  <c r="AG327" i="6"/>
  <c r="AH327" i="6"/>
  <c r="AG328" i="6"/>
  <c r="AH328" i="6"/>
  <c r="AG329" i="6"/>
  <c r="AH329" i="6"/>
  <c r="AG330" i="6"/>
  <c r="AH330" i="6"/>
  <c r="AG331" i="6"/>
  <c r="AH331" i="6"/>
  <c r="AG332" i="6"/>
  <c r="AH332" i="6"/>
  <c r="AG333" i="6"/>
  <c r="AH333" i="6"/>
  <c r="AG334" i="6"/>
  <c r="AH334" i="6"/>
  <c r="AG335" i="6"/>
  <c r="AH335" i="6"/>
  <c r="AG336" i="6"/>
  <c r="AH336" i="6"/>
  <c r="AG337" i="6"/>
  <c r="AH337" i="6"/>
  <c r="AG338" i="6"/>
  <c r="AH338" i="6"/>
  <c r="AG339" i="6"/>
  <c r="AH339" i="6"/>
  <c r="AG340" i="6"/>
  <c r="AH340" i="6"/>
  <c r="AG341" i="6"/>
  <c r="AH341" i="6"/>
  <c r="AG346" i="6"/>
  <c r="AH346" i="6"/>
  <c r="AG342" i="6"/>
  <c r="AH342" i="6"/>
  <c r="AG343" i="6"/>
  <c r="AH343" i="6"/>
  <c r="AG347" i="6"/>
  <c r="AH347" i="6"/>
  <c r="AG344" i="6"/>
  <c r="AH344" i="6"/>
  <c r="AG345" i="6"/>
  <c r="AH345" i="6"/>
  <c r="AG361" i="6"/>
  <c r="AH361" i="6"/>
  <c r="AG348" i="6"/>
  <c r="AH348" i="6"/>
  <c r="AG362" i="6"/>
  <c r="AH362" i="6"/>
  <c r="AG349" i="6"/>
  <c r="AH349" i="6"/>
  <c r="AG350" i="6"/>
  <c r="AH350" i="6"/>
  <c r="AG351" i="6"/>
  <c r="AH351" i="6"/>
  <c r="AG352" i="6"/>
  <c r="AH352" i="6"/>
  <c r="AG353" i="6"/>
  <c r="AH353" i="6"/>
  <c r="AG354" i="6"/>
  <c r="AH354" i="6"/>
  <c r="AG355" i="6"/>
  <c r="AH355" i="6"/>
  <c r="AG356" i="6"/>
  <c r="AH356" i="6"/>
  <c r="AG363" i="6"/>
  <c r="AH363" i="6"/>
  <c r="AG364" i="6"/>
  <c r="AH364" i="6"/>
  <c r="AG365" i="6"/>
  <c r="AH365" i="6"/>
  <c r="AG366" i="6"/>
  <c r="AH366" i="6"/>
  <c r="AG367" i="6"/>
  <c r="AH367" i="6"/>
  <c r="AG368" i="6"/>
  <c r="AH368" i="6"/>
  <c r="AG369" i="6"/>
  <c r="AH369" i="6"/>
  <c r="AG357" i="6"/>
  <c r="AH357" i="6"/>
  <c r="AG358" i="6"/>
  <c r="AH358" i="6"/>
  <c r="AG359" i="6"/>
  <c r="AH359" i="6"/>
  <c r="AG360" i="6"/>
  <c r="AH360" i="6"/>
  <c r="AG370" i="6"/>
  <c r="AH370" i="6"/>
  <c r="AG371" i="6"/>
  <c r="AH371" i="6"/>
  <c r="AG372" i="6"/>
  <c r="AH372" i="6"/>
  <c r="AG373" i="6"/>
  <c r="AH373" i="6"/>
  <c r="AG374" i="6"/>
  <c r="AH374" i="6"/>
  <c r="AG375" i="6"/>
  <c r="AH375" i="6"/>
  <c r="AG376" i="6"/>
  <c r="AH376" i="6"/>
  <c r="AG377" i="6"/>
  <c r="AH377" i="6"/>
  <c r="AG378" i="6"/>
  <c r="AH378" i="6"/>
  <c r="AG379" i="6"/>
  <c r="AH379" i="6"/>
  <c r="AG380" i="6"/>
  <c r="AH380" i="6"/>
  <c r="AG383" i="6"/>
  <c r="AH383" i="6"/>
  <c r="AG386" i="6"/>
  <c r="AH386" i="6"/>
  <c r="AG382" i="6"/>
  <c r="AH382" i="6"/>
  <c r="AG385" i="6"/>
  <c r="AH385" i="6"/>
  <c r="AG384" i="6"/>
  <c r="AH384" i="6"/>
  <c r="AG410" i="6"/>
  <c r="AH410" i="6"/>
  <c r="AG388" i="6"/>
  <c r="AH388" i="6"/>
  <c r="AG409" i="6"/>
  <c r="AH409" i="6"/>
  <c r="AG408" i="6"/>
  <c r="AH408" i="6"/>
  <c r="AG391" i="6"/>
  <c r="AH391" i="6"/>
  <c r="AG392" i="6"/>
  <c r="AH392" i="6"/>
  <c r="AG393" i="6"/>
  <c r="AH393" i="6"/>
  <c r="AG394" i="6"/>
  <c r="AH394" i="6"/>
  <c r="AG395" i="6"/>
  <c r="AH395" i="6"/>
  <c r="AG390" i="6"/>
  <c r="AH390" i="6"/>
  <c r="AG406" i="6"/>
  <c r="AH406" i="6"/>
  <c r="AG396" i="6"/>
  <c r="AH396" i="6"/>
  <c r="AG397" i="6"/>
  <c r="AH397" i="6"/>
  <c r="AG398" i="6"/>
  <c r="AH398" i="6"/>
  <c r="AG399" i="6"/>
  <c r="AH399" i="6"/>
  <c r="AG400" i="6"/>
  <c r="AH400" i="6"/>
  <c r="AG401" i="6"/>
  <c r="AH401" i="6"/>
  <c r="AG387" i="6"/>
  <c r="AH387" i="6"/>
  <c r="AG407" i="6"/>
  <c r="AH407" i="6"/>
  <c r="AG402" i="6"/>
  <c r="AH402" i="6"/>
  <c r="AG389" i="6"/>
  <c r="AH389" i="6"/>
  <c r="AG411" i="6"/>
  <c r="AH411" i="6"/>
  <c r="AG403" i="6"/>
  <c r="AH403" i="6"/>
  <c r="AG404" i="6"/>
  <c r="AH404" i="6"/>
  <c r="AG405" i="6"/>
  <c r="AH405" i="6"/>
  <c r="AH2" i="6"/>
  <c r="AG2" i="6"/>
  <c r="AF3" i="6"/>
  <c r="AF4" i="6"/>
  <c r="AF5" i="6"/>
  <c r="AF6" i="6"/>
  <c r="AF21" i="6"/>
  <c r="AF22" i="6"/>
  <c r="AF23" i="6"/>
  <c r="AF47" i="6"/>
  <c r="AF7" i="6"/>
  <c r="AF48" i="6"/>
  <c r="AF8" i="6"/>
  <c r="AF27" i="6"/>
  <c r="AF28" i="6"/>
  <c r="AF29" i="6"/>
  <c r="AF30" i="6"/>
  <c r="AF86" i="6"/>
  <c r="AF87" i="6"/>
  <c r="AF64" i="6"/>
  <c r="AF88" i="6"/>
  <c r="AF37" i="6"/>
  <c r="AF40" i="6"/>
  <c r="AF41" i="6"/>
  <c r="AF42" i="6"/>
  <c r="AF45" i="6"/>
  <c r="AF43" i="6"/>
  <c r="AF282" i="6"/>
  <c r="AF9" i="6"/>
  <c r="AF49" i="6"/>
  <c r="AF50" i="6"/>
  <c r="AF10" i="6"/>
  <c r="AF114" i="6"/>
  <c r="AF11" i="6"/>
  <c r="AF51" i="6"/>
  <c r="AF52" i="6"/>
  <c r="AF62" i="6"/>
  <c r="AF53" i="6"/>
  <c r="AF65" i="6"/>
  <c r="AF66" i="6"/>
  <c r="AF67" i="6"/>
  <c r="AF68" i="6"/>
  <c r="AF69" i="6"/>
  <c r="AF206" i="6"/>
  <c r="AF159" i="6"/>
  <c r="AF70" i="6"/>
  <c r="AF106" i="6"/>
  <c r="AF207" i="6"/>
  <c r="AF89" i="6"/>
  <c r="AF90" i="6"/>
  <c r="AF85" i="6"/>
  <c r="AF91" i="6"/>
  <c r="AF92" i="6"/>
  <c r="AF93" i="6"/>
  <c r="AF94" i="6"/>
  <c r="AF95" i="6"/>
  <c r="AF96" i="6"/>
  <c r="AF103" i="6"/>
  <c r="AF97" i="6"/>
  <c r="AF232" i="6"/>
  <c r="AF233" i="6"/>
  <c r="AF71" i="6"/>
  <c r="AF104" i="6"/>
  <c r="AF105" i="6"/>
  <c r="AF98" i="6"/>
  <c r="AF99" i="6"/>
  <c r="AF100" i="6"/>
  <c r="AF107" i="6"/>
  <c r="AF108" i="6"/>
  <c r="AF109" i="6"/>
  <c r="AF101" i="6"/>
  <c r="AF54" i="6"/>
  <c r="AF115" i="6"/>
  <c r="AF116" i="6"/>
  <c r="AF117" i="6"/>
  <c r="AF55" i="6"/>
  <c r="AF123" i="6"/>
  <c r="AF124" i="6"/>
  <c r="AF125" i="6"/>
  <c r="AF129" i="6"/>
  <c r="AF130" i="6"/>
  <c r="AF271" i="6"/>
  <c r="AF160" i="6"/>
  <c r="AF110" i="6"/>
  <c r="AF111" i="6"/>
  <c r="AF112" i="6"/>
  <c r="AF31" i="6"/>
  <c r="AF165" i="6"/>
  <c r="AF166" i="6"/>
  <c r="AF167" i="6"/>
  <c r="AF208" i="6"/>
  <c r="AF141" i="6"/>
  <c r="AF168" i="6"/>
  <c r="AF56" i="6"/>
  <c r="AF283" i="6"/>
  <c r="AF234" i="6"/>
  <c r="AF196" i="6"/>
  <c r="AF142" i="6"/>
  <c r="AF175" i="6"/>
  <c r="AF176" i="6"/>
  <c r="AF131" i="6"/>
  <c r="AF12" i="6"/>
  <c r="AF296" i="6"/>
  <c r="AF197" i="6"/>
  <c r="AF209" i="6"/>
  <c r="AF143" i="6"/>
  <c r="AF210" i="6"/>
  <c r="AF132" i="6"/>
  <c r="AF13" i="6"/>
  <c r="AF46" i="6"/>
  <c r="AF260" i="6"/>
  <c r="AF24" i="6"/>
  <c r="AF235" i="6"/>
  <c r="AF198" i="6"/>
  <c r="AF72" i="6"/>
  <c r="AF261" i="6"/>
  <c r="AF38" i="6"/>
  <c r="AF73" i="6"/>
  <c r="AF74" i="6"/>
  <c r="AF284" i="6"/>
  <c r="AF75" i="6"/>
  <c r="AF236" i="6"/>
  <c r="AF237" i="6"/>
  <c r="AF211" i="6"/>
  <c r="AF272" i="6"/>
  <c r="AF212" i="6"/>
  <c r="AF133" i="6"/>
  <c r="AF76" i="6"/>
  <c r="AF213" i="6"/>
  <c r="AF25" i="6"/>
  <c r="AF135" i="6"/>
  <c r="AF238" i="6"/>
  <c r="AF161" i="6"/>
  <c r="AF77" i="6"/>
  <c r="AF262" i="6"/>
  <c r="AF273" i="6"/>
  <c r="AF126" i="6"/>
  <c r="AF144" i="6"/>
  <c r="AF239" i="6"/>
  <c r="AF274" i="6"/>
  <c r="AF57" i="6"/>
  <c r="AF214" i="6"/>
  <c r="AF275" i="6"/>
  <c r="AF285" i="6"/>
  <c r="AF118" i="6"/>
  <c r="AF119" i="6"/>
  <c r="AF14" i="6"/>
  <c r="AF120" i="6"/>
  <c r="AF199" i="6"/>
  <c r="AF153" i="6"/>
  <c r="AF215" i="6"/>
  <c r="AF200" i="6"/>
  <c r="AF26" i="6"/>
  <c r="AF263" i="6"/>
  <c r="AF121" i="6"/>
  <c r="AF127" i="6"/>
  <c r="AF240" i="6"/>
  <c r="AF241" i="6"/>
  <c r="AF242" i="6"/>
  <c r="AF134" i="6"/>
  <c r="AF58" i="6"/>
  <c r="AF39" i="6"/>
  <c r="AF44" i="6"/>
  <c r="AF177" i="6"/>
  <c r="AF78" i="6"/>
  <c r="AF32" i="6"/>
  <c r="AF190" i="6"/>
  <c r="AF136" i="6"/>
  <c r="AF137" i="6"/>
  <c r="AF138" i="6"/>
  <c r="AF243" i="6"/>
  <c r="AF244" i="6"/>
  <c r="AF245" i="6"/>
  <c r="AF33" i="6"/>
  <c r="AF79" i="6"/>
  <c r="AF113" i="6"/>
  <c r="AF246" i="6"/>
  <c r="AF247" i="6"/>
  <c r="AF286" i="6"/>
  <c r="AF287" i="6"/>
  <c r="AF34" i="6"/>
  <c r="AF178" i="6"/>
  <c r="AF154" i="6"/>
  <c r="AF248" i="6"/>
  <c r="AF276" i="6"/>
  <c r="AF249" i="6"/>
  <c r="AF80" i="6"/>
  <c r="AF250" i="6"/>
  <c r="AF81" i="6"/>
  <c r="AF264" i="6"/>
  <c r="AF162" i="6"/>
  <c r="AF288" i="6"/>
  <c r="AF145" i="6"/>
  <c r="AF59" i="6"/>
  <c r="AF216" i="6"/>
  <c r="AF217" i="6"/>
  <c r="AF218" i="6"/>
  <c r="AF201" i="6"/>
  <c r="AF219" i="6"/>
  <c r="AF128" i="6"/>
  <c r="AF146" i="6"/>
  <c r="AF147" i="6"/>
  <c r="AF179" i="6"/>
  <c r="AF155" i="6"/>
  <c r="AF220" i="6"/>
  <c r="AF202" i="6"/>
  <c r="AF221" i="6"/>
  <c r="AF222" i="6"/>
  <c r="AF203" i="6"/>
  <c r="AF223" i="6"/>
  <c r="AF224" i="6"/>
  <c r="AF225" i="6"/>
  <c r="AF148" i="6"/>
  <c r="AF149" i="6"/>
  <c r="AF150" i="6"/>
  <c r="AF82" i="6"/>
  <c r="AF186" i="6"/>
  <c r="AF187" i="6"/>
  <c r="AF188" i="6"/>
  <c r="AF152" i="6"/>
  <c r="AF156" i="6"/>
  <c r="AF163" i="6"/>
  <c r="AF169" i="6"/>
  <c r="AF170" i="6"/>
  <c r="AF180" i="6"/>
  <c r="AF191" i="6"/>
  <c r="AF189" i="6"/>
  <c r="AF192" i="6"/>
  <c r="AF195" i="6"/>
  <c r="AF193" i="6"/>
  <c r="AF194" i="6"/>
  <c r="AF204" i="6"/>
  <c r="AF226" i="6"/>
  <c r="AF164" i="6"/>
  <c r="AF251" i="6"/>
  <c r="AF205" i="6"/>
  <c r="AF252" i="6"/>
  <c r="AF253" i="6"/>
  <c r="AF254" i="6"/>
  <c r="AF255" i="6"/>
  <c r="AF277" i="6"/>
  <c r="AF256" i="6"/>
  <c r="AF257" i="6"/>
  <c r="AF265" i="6"/>
  <c r="AF266" i="6"/>
  <c r="AF267" i="6"/>
  <c r="AF278" i="6"/>
  <c r="AF279" i="6"/>
  <c r="AF280" i="6"/>
  <c r="AF281" i="6"/>
  <c r="AF227" i="6"/>
  <c r="AF157" i="6"/>
  <c r="AF35" i="6"/>
  <c r="AF151" i="6"/>
  <c r="AF289" i="6"/>
  <c r="AF268" i="6"/>
  <c r="AF269" i="6"/>
  <c r="AF122" i="6"/>
  <c r="AF228" i="6"/>
  <c r="AF229" i="6"/>
  <c r="AF230" i="6"/>
  <c r="AF258" i="6"/>
  <c r="AF270" i="6"/>
  <c r="AF231" i="6"/>
  <c r="AF83" i="6"/>
  <c r="AF84" i="6"/>
  <c r="AF63" i="6"/>
  <c r="AF60" i="6"/>
  <c r="AF290" i="6"/>
  <c r="AF291" i="6"/>
  <c r="AF292" i="6"/>
  <c r="AF293" i="6"/>
  <c r="AF294" i="6"/>
  <c r="AF171" i="6"/>
  <c r="AF172" i="6"/>
  <c r="AF181" i="6"/>
  <c r="AF158" i="6"/>
  <c r="AF173" i="6"/>
  <c r="AF259" i="6"/>
  <c r="AF295" i="6"/>
  <c r="AF61" i="6"/>
  <c r="AF15" i="6"/>
  <c r="AF16" i="6"/>
  <c r="AF17" i="6"/>
  <c r="AF18" i="6"/>
  <c r="AF19" i="6"/>
  <c r="AF20" i="6"/>
  <c r="AF182" i="6"/>
  <c r="AF36" i="6"/>
  <c r="AF183" i="6"/>
  <c r="AF297" i="6"/>
  <c r="AF174" i="6"/>
  <c r="AF184" i="6"/>
  <c r="AF185" i="6"/>
  <c r="AF102" i="6"/>
  <c r="AF299" i="6"/>
  <c r="AF300" i="6"/>
  <c r="AF301" i="6"/>
  <c r="AF302" i="6"/>
  <c r="AF303" i="6"/>
  <c r="AF304" i="6"/>
  <c r="AF305" i="6"/>
  <c r="AF306" i="6"/>
  <c r="AF307" i="6"/>
  <c r="AF308" i="6"/>
  <c r="AF309" i="6"/>
  <c r="AF310" i="6"/>
  <c r="AF311" i="6"/>
  <c r="AF312" i="6"/>
  <c r="AF313" i="6"/>
  <c r="AF315" i="6"/>
  <c r="AF316" i="6"/>
  <c r="AF317" i="6"/>
  <c r="AF318" i="6"/>
  <c r="AF319" i="6"/>
  <c r="AF320" i="6"/>
  <c r="AF321" i="6"/>
  <c r="AF322" i="6"/>
  <c r="AF323" i="6"/>
  <c r="AF324" i="6"/>
  <c r="AF325" i="6"/>
  <c r="AF326" i="6"/>
  <c r="AF327" i="6"/>
  <c r="AF328" i="6"/>
  <c r="AF329" i="6"/>
  <c r="AF330" i="6"/>
  <c r="AF331" i="6"/>
  <c r="AF332" i="6"/>
  <c r="AF333" i="6"/>
  <c r="AF334" i="6"/>
  <c r="AF335" i="6"/>
  <c r="AF336" i="6"/>
  <c r="AF337" i="6"/>
  <c r="AF338" i="6"/>
  <c r="AF339" i="6"/>
  <c r="AF340" i="6"/>
  <c r="AF341" i="6"/>
  <c r="AF346" i="6"/>
  <c r="AF342" i="6"/>
  <c r="AF343" i="6"/>
  <c r="AF347" i="6"/>
  <c r="AF344" i="6"/>
  <c r="AF345" i="6"/>
  <c r="AF361" i="6"/>
  <c r="AF348" i="6"/>
  <c r="AF362" i="6"/>
  <c r="AF349" i="6"/>
  <c r="AF350" i="6"/>
  <c r="AF351" i="6"/>
  <c r="AF352" i="6"/>
  <c r="AF353" i="6"/>
  <c r="AF354" i="6"/>
  <c r="AF355" i="6"/>
  <c r="AF356" i="6"/>
  <c r="AF363" i="6"/>
  <c r="AF364" i="6"/>
  <c r="AF365" i="6"/>
  <c r="AF366" i="6"/>
  <c r="AF367" i="6"/>
  <c r="AF368" i="6"/>
  <c r="AF369" i="6"/>
  <c r="AF357" i="6"/>
  <c r="AF358" i="6"/>
  <c r="AF359" i="6"/>
  <c r="AF360" i="6"/>
  <c r="AF370" i="6"/>
  <c r="AF371" i="6"/>
  <c r="AF372" i="6"/>
  <c r="AF373" i="6"/>
  <c r="AF374" i="6"/>
  <c r="AF375" i="6"/>
  <c r="AF376" i="6"/>
  <c r="AF377" i="6"/>
  <c r="AF378" i="6"/>
  <c r="AF379" i="6"/>
  <c r="AF380" i="6"/>
  <c r="AF383" i="6"/>
  <c r="AF386" i="6"/>
  <c r="AF382" i="6"/>
  <c r="AF385" i="6"/>
  <c r="AF384" i="6"/>
  <c r="AF410" i="6"/>
  <c r="AF388" i="6"/>
  <c r="AF409" i="6"/>
  <c r="AF408" i="6"/>
  <c r="AF391" i="6"/>
  <c r="AF392" i="6"/>
  <c r="AF393" i="6"/>
  <c r="AF394" i="6"/>
  <c r="AF395" i="6"/>
  <c r="AF390" i="6"/>
  <c r="AF406" i="6"/>
  <c r="AF396" i="6"/>
  <c r="AF397" i="6"/>
  <c r="AF398" i="6"/>
  <c r="AF399" i="6"/>
  <c r="AF400" i="6"/>
  <c r="AF401" i="6"/>
  <c r="AF387" i="6"/>
  <c r="AF407" i="6"/>
  <c r="AF402" i="6"/>
  <c r="AF389" i="6"/>
  <c r="AF411" i="6"/>
  <c r="AF403" i="6"/>
  <c r="AF404" i="6"/>
  <c r="AF405" i="6"/>
  <c r="AF2" i="6"/>
  <c r="AB3" i="6"/>
  <c r="AC3" i="6"/>
  <c r="AD3" i="6"/>
  <c r="AE3" i="6"/>
  <c r="AB4" i="6"/>
  <c r="AC4" i="6"/>
  <c r="AD4" i="6"/>
  <c r="AE4" i="6"/>
  <c r="AB5" i="6"/>
  <c r="AC5" i="6"/>
  <c r="AD5" i="6"/>
  <c r="AE5" i="6"/>
  <c r="AB6" i="6"/>
  <c r="AC6" i="6"/>
  <c r="AD6" i="6"/>
  <c r="AE6" i="6"/>
  <c r="AB21" i="6"/>
  <c r="AC21" i="6"/>
  <c r="AD21" i="6"/>
  <c r="AE21" i="6"/>
  <c r="AB22" i="6"/>
  <c r="AC22" i="6"/>
  <c r="AD22" i="6"/>
  <c r="AE22" i="6"/>
  <c r="AB23" i="6"/>
  <c r="AC23" i="6"/>
  <c r="AD23" i="6"/>
  <c r="AE23" i="6"/>
  <c r="AB47" i="6"/>
  <c r="AC47" i="6"/>
  <c r="AD47" i="6"/>
  <c r="AE47" i="6"/>
  <c r="AB7" i="6"/>
  <c r="AC7" i="6"/>
  <c r="AD7" i="6"/>
  <c r="AE7" i="6"/>
  <c r="AB48" i="6"/>
  <c r="AC48" i="6"/>
  <c r="AD48" i="6"/>
  <c r="AE48" i="6"/>
  <c r="AB8" i="6"/>
  <c r="AC8" i="6"/>
  <c r="AD8" i="6"/>
  <c r="AE8" i="6"/>
  <c r="AB27" i="6"/>
  <c r="AC27" i="6"/>
  <c r="AD27" i="6"/>
  <c r="AE27" i="6"/>
  <c r="AB28" i="6"/>
  <c r="AC28" i="6"/>
  <c r="AD28" i="6"/>
  <c r="AE28" i="6"/>
  <c r="AB29" i="6"/>
  <c r="AC29" i="6"/>
  <c r="AD29" i="6"/>
  <c r="AE29" i="6"/>
  <c r="AB30" i="6"/>
  <c r="AC30" i="6"/>
  <c r="AD30" i="6"/>
  <c r="AE30" i="6"/>
  <c r="AB86" i="6"/>
  <c r="AC86" i="6"/>
  <c r="AD86" i="6"/>
  <c r="AE86" i="6"/>
  <c r="AB87" i="6"/>
  <c r="AC87" i="6"/>
  <c r="AD87" i="6"/>
  <c r="AE87" i="6"/>
  <c r="AB64" i="6"/>
  <c r="AC64" i="6"/>
  <c r="AD64" i="6"/>
  <c r="AE64" i="6"/>
  <c r="AB88" i="6"/>
  <c r="AC88" i="6"/>
  <c r="AD88" i="6"/>
  <c r="AE88" i="6"/>
  <c r="AB37" i="6"/>
  <c r="AC37" i="6"/>
  <c r="AD37" i="6"/>
  <c r="AE37" i="6"/>
  <c r="AB40" i="6"/>
  <c r="AC40" i="6"/>
  <c r="AD40" i="6"/>
  <c r="AE40" i="6"/>
  <c r="AB41" i="6"/>
  <c r="AC41" i="6"/>
  <c r="AD41" i="6"/>
  <c r="AE41" i="6"/>
  <c r="AB42" i="6"/>
  <c r="AC42" i="6"/>
  <c r="AD42" i="6"/>
  <c r="AE42" i="6"/>
  <c r="AB45" i="6"/>
  <c r="AC45" i="6"/>
  <c r="AD45" i="6"/>
  <c r="AE45" i="6"/>
  <c r="AB43" i="6"/>
  <c r="AC43" i="6"/>
  <c r="AD43" i="6"/>
  <c r="AE43" i="6"/>
  <c r="AB282" i="6"/>
  <c r="AC282" i="6"/>
  <c r="AD282" i="6"/>
  <c r="AE282" i="6"/>
  <c r="AB9" i="6"/>
  <c r="AC9" i="6"/>
  <c r="AD9" i="6"/>
  <c r="AE9" i="6"/>
  <c r="AB49" i="6"/>
  <c r="AC49" i="6"/>
  <c r="AD49" i="6"/>
  <c r="AE49" i="6"/>
  <c r="AB50" i="6"/>
  <c r="AC50" i="6"/>
  <c r="AD50" i="6"/>
  <c r="AE50" i="6"/>
  <c r="AB10" i="6"/>
  <c r="AC10" i="6"/>
  <c r="AD10" i="6"/>
  <c r="AE10" i="6"/>
  <c r="AB114" i="6"/>
  <c r="AC114" i="6"/>
  <c r="AD114" i="6"/>
  <c r="AE114" i="6"/>
  <c r="AB11" i="6"/>
  <c r="AC11" i="6"/>
  <c r="AD11" i="6"/>
  <c r="AE11" i="6"/>
  <c r="AB51" i="6"/>
  <c r="AC51" i="6"/>
  <c r="AD51" i="6"/>
  <c r="AE51" i="6"/>
  <c r="AB52" i="6"/>
  <c r="AC52" i="6"/>
  <c r="AD52" i="6"/>
  <c r="AE52" i="6"/>
  <c r="AB62" i="6"/>
  <c r="AC62" i="6"/>
  <c r="AD62" i="6"/>
  <c r="AE62" i="6"/>
  <c r="AB53" i="6"/>
  <c r="AC53" i="6"/>
  <c r="AD53" i="6"/>
  <c r="AE53" i="6"/>
  <c r="AB65" i="6"/>
  <c r="AC65" i="6"/>
  <c r="AD65" i="6"/>
  <c r="AE65" i="6"/>
  <c r="AB66" i="6"/>
  <c r="AC66" i="6"/>
  <c r="AD66" i="6"/>
  <c r="AE66" i="6"/>
  <c r="AB67" i="6"/>
  <c r="AC67" i="6"/>
  <c r="AD67" i="6"/>
  <c r="AE67" i="6"/>
  <c r="AB68" i="6"/>
  <c r="AC68" i="6"/>
  <c r="AD68" i="6"/>
  <c r="AE68" i="6"/>
  <c r="AB69" i="6"/>
  <c r="AC69" i="6"/>
  <c r="AD69" i="6"/>
  <c r="AE69" i="6"/>
  <c r="AB206" i="6"/>
  <c r="AC206" i="6"/>
  <c r="AD206" i="6"/>
  <c r="AE206" i="6"/>
  <c r="AB159" i="6"/>
  <c r="AC159" i="6"/>
  <c r="AD159" i="6"/>
  <c r="AE159" i="6"/>
  <c r="AB70" i="6"/>
  <c r="AC70" i="6"/>
  <c r="AD70" i="6"/>
  <c r="AE70" i="6"/>
  <c r="AB106" i="6"/>
  <c r="AC106" i="6"/>
  <c r="AD106" i="6"/>
  <c r="AE106" i="6"/>
  <c r="AB207" i="6"/>
  <c r="AC207" i="6"/>
  <c r="AD207" i="6"/>
  <c r="AE207" i="6"/>
  <c r="AB89" i="6"/>
  <c r="AC89" i="6"/>
  <c r="AD89" i="6"/>
  <c r="AE89" i="6"/>
  <c r="AB90" i="6"/>
  <c r="AC90" i="6"/>
  <c r="AD90" i="6"/>
  <c r="AE90" i="6"/>
  <c r="AB85" i="6"/>
  <c r="AC85" i="6"/>
  <c r="AD85" i="6"/>
  <c r="AE85" i="6"/>
  <c r="AB91" i="6"/>
  <c r="AC91" i="6"/>
  <c r="AD91" i="6"/>
  <c r="AE91" i="6"/>
  <c r="AB92" i="6"/>
  <c r="AC92" i="6"/>
  <c r="AD92" i="6"/>
  <c r="AE92" i="6"/>
  <c r="AB93" i="6"/>
  <c r="AC93" i="6"/>
  <c r="AD93" i="6"/>
  <c r="AE93" i="6"/>
  <c r="AB94" i="6"/>
  <c r="AC94" i="6"/>
  <c r="AD94" i="6"/>
  <c r="AE94" i="6"/>
  <c r="AB95" i="6"/>
  <c r="AC95" i="6"/>
  <c r="AD95" i="6"/>
  <c r="AE95" i="6"/>
  <c r="AB96" i="6"/>
  <c r="AC96" i="6"/>
  <c r="AD96" i="6"/>
  <c r="AE96" i="6"/>
  <c r="AB103" i="6"/>
  <c r="AC103" i="6"/>
  <c r="AD103" i="6"/>
  <c r="AE103" i="6"/>
  <c r="AB97" i="6"/>
  <c r="AC97" i="6"/>
  <c r="AD97" i="6"/>
  <c r="AE97" i="6"/>
  <c r="AB232" i="6"/>
  <c r="AC232" i="6"/>
  <c r="AD232" i="6"/>
  <c r="AE232" i="6"/>
  <c r="AB233" i="6"/>
  <c r="AC233" i="6"/>
  <c r="AD233" i="6"/>
  <c r="AE233" i="6"/>
  <c r="AB71" i="6"/>
  <c r="AC71" i="6"/>
  <c r="AD71" i="6"/>
  <c r="AE71" i="6"/>
  <c r="AB104" i="6"/>
  <c r="AC104" i="6"/>
  <c r="AD104" i="6"/>
  <c r="AE104" i="6"/>
  <c r="AB105" i="6"/>
  <c r="AC105" i="6"/>
  <c r="AD105" i="6"/>
  <c r="AE105" i="6"/>
  <c r="AB98" i="6"/>
  <c r="AC98" i="6"/>
  <c r="AD98" i="6"/>
  <c r="AE98" i="6"/>
  <c r="AB99" i="6"/>
  <c r="AC99" i="6"/>
  <c r="AD99" i="6"/>
  <c r="AE99" i="6"/>
  <c r="AB100" i="6"/>
  <c r="AC100" i="6"/>
  <c r="AD100" i="6"/>
  <c r="AE100" i="6"/>
  <c r="AB107" i="6"/>
  <c r="AC107" i="6"/>
  <c r="AD107" i="6"/>
  <c r="AE107" i="6"/>
  <c r="AB108" i="6"/>
  <c r="AC108" i="6"/>
  <c r="AD108" i="6"/>
  <c r="AE108" i="6"/>
  <c r="AB109" i="6"/>
  <c r="AC109" i="6"/>
  <c r="AD109" i="6"/>
  <c r="AE109" i="6"/>
  <c r="AB101" i="6"/>
  <c r="AC101" i="6"/>
  <c r="AD101" i="6"/>
  <c r="AE101" i="6"/>
  <c r="AB54" i="6"/>
  <c r="AC54" i="6"/>
  <c r="AD54" i="6"/>
  <c r="AE54" i="6"/>
  <c r="AB115" i="6"/>
  <c r="AC115" i="6"/>
  <c r="AD115" i="6"/>
  <c r="AE115" i="6"/>
  <c r="AB116" i="6"/>
  <c r="AC116" i="6"/>
  <c r="AD116" i="6"/>
  <c r="AE116" i="6"/>
  <c r="AB117" i="6"/>
  <c r="AC117" i="6"/>
  <c r="AD117" i="6"/>
  <c r="AE117" i="6"/>
  <c r="AB55" i="6"/>
  <c r="AC55" i="6"/>
  <c r="AD55" i="6"/>
  <c r="AE55" i="6"/>
  <c r="AB123" i="6"/>
  <c r="AC123" i="6"/>
  <c r="AD123" i="6"/>
  <c r="AE123" i="6"/>
  <c r="AB124" i="6"/>
  <c r="AC124" i="6"/>
  <c r="AD124" i="6"/>
  <c r="AE124" i="6"/>
  <c r="AB125" i="6"/>
  <c r="AC125" i="6"/>
  <c r="AD125" i="6"/>
  <c r="AE125" i="6"/>
  <c r="AB129" i="6"/>
  <c r="AC129" i="6"/>
  <c r="AD129" i="6"/>
  <c r="AE129" i="6"/>
  <c r="AB130" i="6"/>
  <c r="AC130" i="6"/>
  <c r="AD130" i="6"/>
  <c r="AE130" i="6"/>
  <c r="AB271" i="6"/>
  <c r="AC271" i="6"/>
  <c r="AD271" i="6"/>
  <c r="AE271" i="6"/>
  <c r="AB160" i="6"/>
  <c r="AC160" i="6"/>
  <c r="AD160" i="6"/>
  <c r="AE160" i="6"/>
  <c r="AB110" i="6"/>
  <c r="AC110" i="6"/>
  <c r="AD110" i="6"/>
  <c r="AE110" i="6"/>
  <c r="AB111" i="6"/>
  <c r="AC111" i="6"/>
  <c r="AD111" i="6"/>
  <c r="AE111" i="6"/>
  <c r="AB112" i="6"/>
  <c r="AC112" i="6"/>
  <c r="AD112" i="6"/>
  <c r="AE112" i="6"/>
  <c r="AB31" i="6"/>
  <c r="AC31" i="6"/>
  <c r="AD31" i="6"/>
  <c r="AE31" i="6"/>
  <c r="AB165" i="6"/>
  <c r="AC165" i="6"/>
  <c r="AD165" i="6"/>
  <c r="AE165" i="6"/>
  <c r="AB166" i="6"/>
  <c r="AC166" i="6"/>
  <c r="AD166" i="6"/>
  <c r="AE166" i="6"/>
  <c r="AB167" i="6"/>
  <c r="AC167" i="6"/>
  <c r="AD167" i="6"/>
  <c r="AE167" i="6"/>
  <c r="AB208" i="6"/>
  <c r="AC208" i="6"/>
  <c r="AD208" i="6"/>
  <c r="AE208" i="6"/>
  <c r="AB141" i="6"/>
  <c r="AC141" i="6"/>
  <c r="AD141" i="6"/>
  <c r="AE141" i="6"/>
  <c r="AB168" i="6"/>
  <c r="AC168" i="6"/>
  <c r="AD168" i="6"/>
  <c r="AE168" i="6"/>
  <c r="AB56" i="6"/>
  <c r="AC56" i="6"/>
  <c r="AD56" i="6"/>
  <c r="AE56" i="6"/>
  <c r="AB283" i="6"/>
  <c r="AC283" i="6"/>
  <c r="AD283" i="6"/>
  <c r="AE283" i="6"/>
  <c r="AB234" i="6"/>
  <c r="AC234" i="6"/>
  <c r="AD234" i="6"/>
  <c r="AE234" i="6"/>
  <c r="AB196" i="6"/>
  <c r="AC196" i="6"/>
  <c r="AD196" i="6"/>
  <c r="AE196" i="6"/>
  <c r="AB142" i="6"/>
  <c r="AC142" i="6"/>
  <c r="AD142" i="6"/>
  <c r="AE142" i="6"/>
  <c r="AB175" i="6"/>
  <c r="AC175" i="6"/>
  <c r="AD175" i="6"/>
  <c r="AE175" i="6"/>
  <c r="AB176" i="6"/>
  <c r="AC176" i="6"/>
  <c r="AD176" i="6"/>
  <c r="AE176" i="6"/>
  <c r="AB131" i="6"/>
  <c r="AC131" i="6"/>
  <c r="AD131" i="6"/>
  <c r="AE131" i="6"/>
  <c r="AB12" i="6"/>
  <c r="AC12" i="6"/>
  <c r="AD12" i="6"/>
  <c r="AE12" i="6"/>
  <c r="AB296" i="6"/>
  <c r="AC296" i="6"/>
  <c r="AD296" i="6"/>
  <c r="AE296" i="6"/>
  <c r="AB197" i="6"/>
  <c r="AC197" i="6"/>
  <c r="AD197" i="6"/>
  <c r="AE197" i="6"/>
  <c r="AB209" i="6"/>
  <c r="AC209" i="6"/>
  <c r="AD209" i="6"/>
  <c r="AE209" i="6"/>
  <c r="AB143" i="6"/>
  <c r="AC143" i="6"/>
  <c r="AD143" i="6"/>
  <c r="AE143" i="6"/>
  <c r="AB210" i="6"/>
  <c r="AC210" i="6"/>
  <c r="AD210" i="6"/>
  <c r="AE210" i="6"/>
  <c r="AB132" i="6"/>
  <c r="AC132" i="6"/>
  <c r="AD132" i="6"/>
  <c r="AE132" i="6"/>
  <c r="AB13" i="6"/>
  <c r="AC13" i="6"/>
  <c r="AD13" i="6"/>
  <c r="AE13" i="6"/>
  <c r="AB46" i="6"/>
  <c r="AC46" i="6"/>
  <c r="AD46" i="6"/>
  <c r="AE46" i="6"/>
  <c r="AB260" i="6"/>
  <c r="AC260" i="6"/>
  <c r="AD260" i="6"/>
  <c r="AE260" i="6"/>
  <c r="AB24" i="6"/>
  <c r="AC24" i="6"/>
  <c r="AD24" i="6"/>
  <c r="AE24" i="6"/>
  <c r="AB235" i="6"/>
  <c r="AC235" i="6"/>
  <c r="AD235" i="6"/>
  <c r="AE235" i="6"/>
  <c r="AB198" i="6"/>
  <c r="AC198" i="6"/>
  <c r="AD198" i="6"/>
  <c r="AE198" i="6"/>
  <c r="AB72" i="6"/>
  <c r="AC72" i="6"/>
  <c r="AD72" i="6"/>
  <c r="AE72" i="6"/>
  <c r="AB261" i="6"/>
  <c r="AC261" i="6"/>
  <c r="AD261" i="6"/>
  <c r="AE261" i="6"/>
  <c r="AB38" i="6"/>
  <c r="AC38" i="6"/>
  <c r="AD38" i="6"/>
  <c r="AE38" i="6"/>
  <c r="AB73" i="6"/>
  <c r="AC73" i="6"/>
  <c r="AD73" i="6"/>
  <c r="AE73" i="6"/>
  <c r="AB74" i="6"/>
  <c r="AC74" i="6"/>
  <c r="AD74" i="6"/>
  <c r="AE74" i="6"/>
  <c r="AB284" i="6"/>
  <c r="AC284" i="6"/>
  <c r="AD284" i="6"/>
  <c r="AE284" i="6"/>
  <c r="AB75" i="6"/>
  <c r="AC75" i="6"/>
  <c r="AD75" i="6"/>
  <c r="AE75" i="6"/>
  <c r="AB236" i="6"/>
  <c r="AC236" i="6"/>
  <c r="AD236" i="6"/>
  <c r="AE236" i="6"/>
  <c r="AB237" i="6"/>
  <c r="AC237" i="6"/>
  <c r="AD237" i="6"/>
  <c r="AE237" i="6"/>
  <c r="AB211" i="6"/>
  <c r="AC211" i="6"/>
  <c r="AD211" i="6"/>
  <c r="AE211" i="6"/>
  <c r="AB272" i="6"/>
  <c r="AC272" i="6"/>
  <c r="AD272" i="6"/>
  <c r="AE272" i="6"/>
  <c r="AB212" i="6"/>
  <c r="AC212" i="6"/>
  <c r="AD212" i="6"/>
  <c r="AE212" i="6"/>
  <c r="AB133" i="6"/>
  <c r="AC133" i="6"/>
  <c r="AD133" i="6"/>
  <c r="AE133" i="6"/>
  <c r="AB76" i="6"/>
  <c r="AC76" i="6"/>
  <c r="AD76" i="6"/>
  <c r="AE76" i="6"/>
  <c r="AB213" i="6"/>
  <c r="AC213" i="6"/>
  <c r="AD213" i="6"/>
  <c r="AE213" i="6"/>
  <c r="AB25" i="6"/>
  <c r="AC25" i="6"/>
  <c r="AD25" i="6"/>
  <c r="AE25" i="6"/>
  <c r="AB135" i="6"/>
  <c r="AC135" i="6"/>
  <c r="AD135" i="6"/>
  <c r="AE135" i="6"/>
  <c r="AB238" i="6"/>
  <c r="AC238" i="6"/>
  <c r="AD238" i="6"/>
  <c r="AE238" i="6"/>
  <c r="AB161" i="6"/>
  <c r="AC161" i="6"/>
  <c r="AD161" i="6"/>
  <c r="AE161" i="6"/>
  <c r="AB77" i="6"/>
  <c r="AC77" i="6"/>
  <c r="AD77" i="6"/>
  <c r="AE77" i="6"/>
  <c r="AB262" i="6"/>
  <c r="AC262" i="6"/>
  <c r="AD262" i="6"/>
  <c r="AE262" i="6"/>
  <c r="AB273" i="6"/>
  <c r="AC273" i="6"/>
  <c r="AD273" i="6"/>
  <c r="AE273" i="6"/>
  <c r="AB126" i="6"/>
  <c r="AC126" i="6"/>
  <c r="AD126" i="6"/>
  <c r="AE126" i="6"/>
  <c r="AB144" i="6"/>
  <c r="AC144" i="6"/>
  <c r="AD144" i="6"/>
  <c r="AE144" i="6"/>
  <c r="AB239" i="6"/>
  <c r="AC239" i="6"/>
  <c r="AD239" i="6"/>
  <c r="AE239" i="6"/>
  <c r="AB274" i="6"/>
  <c r="AC274" i="6"/>
  <c r="AD274" i="6"/>
  <c r="AE274" i="6"/>
  <c r="AB57" i="6"/>
  <c r="AC57" i="6"/>
  <c r="AD57" i="6"/>
  <c r="AE57" i="6"/>
  <c r="AB214" i="6"/>
  <c r="AC214" i="6"/>
  <c r="AD214" i="6"/>
  <c r="AE214" i="6"/>
  <c r="AB275" i="6"/>
  <c r="AC275" i="6"/>
  <c r="AD275" i="6"/>
  <c r="AE275" i="6"/>
  <c r="AB285" i="6"/>
  <c r="AC285" i="6"/>
  <c r="AD285" i="6"/>
  <c r="AE285" i="6"/>
  <c r="AB118" i="6"/>
  <c r="AC118" i="6"/>
  <c r="AD118" i="6"/>
  <c r="AE118" i="6"/>
  <c r="AB119" i="6"/>
  <c r="AC119" i="6"/>
  <c r="AD119" i="6"/>
  <c r="AE119" i="6"/>
  <c r="AB14" i="6"/>
  <c r="AC14" i="6"/>
  <c r="AD14" i="6"/>
  <c r="AE14" i="6"/>
  <c r="AB120" i="6"/>
  <c r="AC120" i="6"/>
  <c r="AD120" i="6"/>
  <c r="AE120" i="6"/>
  <c r="AB199" i="6"/>
  <c r="AC199" i="6"/>
  <c r="AD199" i="6"/>
  <c r="AE199" i="6"/>
  <c r="AB153" i="6"/>
  <c r="AC153" i="6"/>
  <c r="AD153" i="6"/>
  <c r="AE153" i="6"/>
  <c r="AB215" i="6"/>
  <c r="AC215" i="6"/>
  <c r="AD215" i="6"/>
  <c r="AE215" i="6"/>
  <c r="AB200" i="6"/>
  <c r="AC200" i="6"/>
  <c r="AD200" i="6"/>
  <c r="AE200" i="6"/>
  <c r="AB26" i="6"/>
  <c r="AC26" i="6"/>
  <c r="AD26" i="6"/>
  <c r="AE26" i="6"/>
  <c r="AB263" i="6"/>
  <c r="AC263" i="6"/>
  <c r="AD263" i="6"/>
  <c r="AE263" i="6"/>
  <c r="AB121" i="6"/>
  <c r="AC121" i="6"/>
  <c r="AD121" i="6"/>
  <c r="AE121" i="6"/>
  <c r="AB127" i="6"/>
  <c r="AC127" i="6"/>
  <c r="AD127" i="6"/>
  <c r="AE127" i="6"/>
  <c r="AB240" i="6"/>
  <c r="AC240" i="6"/>
  <c r="AD240" i="6"/>
  <c r="AE240" i="6"/>
  <c r="AB241" i="6"/>
  <c r="AC241" i="6"/>
  <c r="AD241" i="6"/>
  <c r="AE241" i="6"/>
  <c r="AB242" i="6"/>
  <c r="AC242" i="6"/>
  <c r="AD242" i="6"/>
  <c r="AE242" i="6"/>
  <c r="AB134" i="6"/>
  <c r="AC134" i="6"/>
  <c r="AD134" i="6"/>
  <c r="AE134" i="6"/>
  <c r="AB58" i="6"/>
  <c r="AC58" i="6"/>
  <c r="AD58" i="6"/>
  <c r="AE58" i="6"/>
  <c r="AB39" i="6"/>
  <c r="AC39" i="6"/>
  <c r="AD39" i="6"/>
  <c r="AE39" i="6"/>
  <c r="AB44" i="6"/>
  <c r="AC44" i="6"/>
  <c r="AD44" i="6"/>
  <c r="AE44" i="6"/>
  <c r="AB177" i="6"/>
  <c r="AC177" i="6"/>
  <c r="AD177" i="6"/>
  <c r="AE177" i="6"/>
  <c r="AB78" i="6"/>
  <c r="AC78" i="6"/>
  <c r="AD78" i="6"/>
  <c r="AE78" i="6"/>
  <c r="AB32" i="6"/>
  <c r="AC32" i="6"/>
  <c r="AD32" i="6"/>
  <c r="AE32" i="6"/>
  <c r="AB190" i="6"/>
  <c r="AC190" i="6"/>
  <c r="AD190" i="6"/>
  <c r="AE190" i="6"/>
  <c r="AB136" i="6"/>
  <c r="AC136" i="6"/>
  <c r="AD136" i="6"/>
  <c r="AE136" i="6"/>
  <c r="AB137" i="6"/>
  <c r="AC137" i="6"/>
  <c r="AD137" i="6"/>
  <c r="AE137" i="6"/>
  <c r="AB138" i="6"/>
  <c r="AC138" i="6"/>
  <c r="AD138" i="6"/>
  <c r="AE138" i="6"/>
  <c r="AB243" i="6"/>
  <c r="AC243" i="6"/>
  <c r="AD243" i="6"/>
  <c r="AE243" i="6"/>
  <c r="AB244" i="6"/>
  <c r="AC244" i="6"/>
  <c r="AD244" i="6"/>
  <c r="AE244" i="6"/>
  <c r="AB245" i="6"/>
  <c r="AC245" i="6"/>
  <c r="AD245" i="6"/>
  <c r="AE245" i="6"/>
  <c r="AB33" i="6"/>
  <c r="AC33" i="6"/>
  <c r="AD33" i="6"/>
  <c r="AE33" i="6"/>
  <c r="AB79" i="6"/>
  <c r="AC79" i="6"/>
  <c r="AD79" i="6"/>
  <c r="AE79" i="6"/>
  <c r="AB113" i="6"/>
  <c r="AC113" i="6"/>
  <c r="AD113" i="6"/>
  <c r="AE113" i="6"/>
  <c r="AB246" i="6"/>
  <c r="AC246" i="6"/>
  <c r="AD246" i="6"/>
  <c r="AE246" i="6"/>
  <c r="AB247" i="6"/>
  <c r="AC247" i="6"/>
  <c r="AD247" i="6"/>
  <c r="AE247" i="6"/>
  <c r="AB286" i="6"/>
  <c r="AC286" i="6"/>
  <c r="AD286" i="6"/>
  <c r="AE286" i="6"/>
  <c r="AB287" i="6"/>
  <c r="AC287" i="6"/>
  <c r="AD287" i="6"/>
  <c r="AE287" i="6"/>
  <c r="AB34" i="6"/>
  <c r="AC34" i="6"/>
  <c r="AD34" i="6"/>
  <c r="AE34" i="6"/>
  <c r="AB178" i="6"/>
  <c r="AC178" i="6"/>
  <c r="AD178" i="6"/>
  <c r="AE178" i="6"/>
  <c r="AB154" i="6"/>
  <c r="AC154" i="6"/>
  <c r="AD154" i="6"/>
  <c r="AE154" i="6"/>
  <c r="AB248" i="6"/>
  <c r="AC248" i="6"/>
  <c r="AD248" i="6"/>
  <c r="AE248" i="6"/>
  <c r="AB276" i="6"/>
  <c r="AC276" i="6"/>
  <c r="AD276" i="6"/>
  <c r="AE276" i="6"/>
  <c r="AB249" i="6"/>
  <c r="AC249" i="6"/>
  <c r="AD249" i="6"/>
  <c r="AE249" i="6"/>
  <c r="AB80" i="6"/>
  <c r="AC80" i="6"/>
  <c r="AD80" i="6"/>
  <c r="AE80" i="6"/>
  <c r="AB250" i="6"/>
  <c r="AC250" i="6"/>
  <c r="AD250" i="6"/>
  <c r="AE250" i="6"/>
  <c r="AB81" i="6"/>
  <c r="AC81" i="6"/>
  <c r="AD81" i="6"/>
  <c r="AE81" i="6"/>
  <c r="AB264" i="6"/>
  <c r="AC264" i="6"/>
  <c r="AD264" i="6"/>
  <c r="AE264" i="6"/>
  <c r="AB162" i="6"/>
  <c r="AC162" i="6"/>
  <c r="AD162" i="6"/>
  <c r="AE162" i="6"/>
  <c r="AB288" i="6"/>
  <c r="AC288" i="6"/>
  <c r="AD288" i="6"/>
  <c r="AE288" i="6"/>
  <c r="AB145" i="6"/>
  <c r="AC145" i="6"/>
  <c r="AD145" i="6"/>
  <c r="AE145" i="6"/>
  <c r="AB59" i="6"/>
  <c r="AC59" i="6"/>
  <c r="AD59" i="6"/>
  <c r="AE59" i="6"/>
  <c r="AB216" i="6"/>
  <c r="AC216" i="6"/>
  <c r="AD216" i="6"/>
  <c r="AE216" i="6"/>
  <c r="AB217" i="6"/>
  <c r="AC217" i="6"/>
  <c r="AD217" i="6"/>
  <c r="AE217" i="6"/>
  <c r="AB218" i="6"/>
  <c r="AC218" i="6"/>
  <c r="AD218" i="6"/>
  <c r="AE218" i="6"/>
  <c r="AB201" i="6"/>
  <c r="AC201" i="6"/>
  <c r="AD201" i="6"/>
  <c r="AE201" i="6"/>
  <c r="AB219" i="6"/>
  <c r="AC219" i="6"/>
  <c r="AD219" i="6"/>
  <c r="AE219" i="6"/>
  <c r="AB128" i="6"/>
  <c r="AC128" i="6"/>
  <c r="AD128" i="6"/>
  <c r="AE128" i="6"/>
  <c r="AB146" i="6"/>
  <c r="AC146" i="6"/>
  <c r="AD146" i="6"/>
  <c r="AE146" i="6"/>
  <c r="AB147" i="6"/>
  <c r="AC147" i="6"/>
  <c r="AD147" i="6"/>
  <c r="AE147" i="6"/>
  <c r="AB179" i="6"/>
  <c r="AC179" i="6"/>
  <c r="AD179" i="6"/>
  <c r="AE179" i="6"/>
  <c r="AB155" i="6"/>
  <c r="AC155" i="6"/>
  <c r="AD155" i="6"/>
  <c r="AE155" i="6"/>
  <c r="AB220" i="6"/>
  <c r="AC220" i="6"/>
  <c r="AD220" i="6"/>
  <c r="AE220" i="6"/>
  <c r="AB202" i="6"/>
  <c r="AC202" i="6"/>
  <c r="AD202" i="6"/>
  <c r="AE202" i="6"/>
  <c r="AB221" i="6"/>
  <c r="AC221" i="6"/>
  <c r="AD221" i="6"/>
  <c r="AE221" i="6"/>
  <c r="AB222" i="6"/>
  <c r="AC222" i="6"/>
  <c r="AD222" i="6"/>
  <c r="AE222" i="6"/>
  <c r="AB203" i="6"/>
  <c r="AC203" i="6"/>
  <c r="AD203" i="6"/>
  <c r="AE203" i="6"/>
  <c r="AB223" i="6"/>
  <c r="AC223" i="6"/>
  <c r="AD223" i="6"/>
  <c r="AE223" i="6"/>
  <c r="AB224" i="6"/>
  <c r="AC224" i="6"/>
  <c r="AD224" i="6"/>
  <c r="AE224" i="6"/>
  <c r="AB225" i="6"/>
  <c r="AC225" i="6"/>
  <c r="AD225" i="6"/>
  <c r="AE225" i="6"/>
  <c r="AB148" i="6"/>
  <c r="AC148" i="6"/>
  <c r="AD148" i="6"/>
  <c r="AE148" i="6"/>
  <c r="AB149" i="6"/>
  <c r="AC149" i="6"/>
  <c r="AD149" i="6"/>
  <c r="AE149" i="6"/>
  <c r="AB150" i="6"/>
  <c r="AC150" i="6"/>
  <c r="AD150" i="6"/>
  <c r="AE150" i="6"/>
  <c r="AB82" i="6"/>
  <c r="AC82" i="6"/>
  <c r="AD82" i="6"/>
  <c r="AE82" i="6"/>
  <c r="AB186" i="6"/>
  <c r="AC186" i="6"/>
  <c r="AD186" i="6"/>
  <c r="AE186" i="6"/>
  <c r="AB187" i="6"/>
  <c r="AC187" i="6"/>
  <c r="AD187" i="6"/>
  <c r="AE187" i="6"/>
  <c r="AB188" i="6"/>
  <c r="AC188" i="6"/>
  <c r="AD188" i="6"/>
  <c r="AE188" i="6"/>
  <c r="AB152" i="6"/>
  <c r="AC152" i="6"/>
  <c r="AD152" i="6"/>
  <c r="AE152" i="6"/>
  <c r="AB156" i="6"/>
  <c r="AC156" i="6"/>
  <c r="AD156" i="6"/>
  <c r="AE156" i="6"/>
  <c r="AB163" i="6"/>
  <c r="AC163" i="6"/>
  <c r="AD163" i="6"/>
  <c r="AE163" i="6"/>
  <c r="AB169" i="6"/>
  <c r="AC169" i="6"/>
  <c r="AD169" i="6"/>
  <c r="AE169" i="6"/>
  <c r="AB170" i="6"/>
  <c r="AC170" i="6"/>
  <c r="AD170" i="6"/>
  <c r="AE170" i="6"/>
  <c r="AB180" i="6"/>
  <c r="AC180" i="6"/>
  <c r="AD180" i="6"/>
  <c r="AE180" i="6"/>
  <c r="AB191" i="6"/>
  <c r="AC191" i="6"/>
  <c r="AD191" i="6"/>
  <c r="AE191" i="6"/>
  <c r="AB189" i="6"/>
  <c r="AC189" i="6"/>
  <c r="AD189" i="6"/>
  <c r="AE189" i="6"/>
  <c r="AB192" i="6"/>
  <c r="AC192" i="6"/>
  <c r="AD192" i="6"/>
  <c r="AE192" i="6"/>
  <c r="AB195" i="6"/>
  <c r="AC195" i="6"/>
  <c r="AD195" i="6"/>
  <c r="AE195" i="6"/>
  <c r="AB193" i="6"/>
  <c r="AC193" i="6"/>
  <c r="AD193" i="6"/>
  <c r="AE193" i="6"/>
  <c r="AB194" i="6"/>
  <c r="AC194" i="6"/>
  <c r="AD194" i="6"/>
  <c r="AE194" i="6"/>
  <c r="AB204" i="6"/>
  <c r="AC204" i="6"/>
  <c r="AD204" i="6"/>
  <c r="AE204" i="6"/>
  <c r="AB226" i="6"/>
  <c r="AC226" i="6"/>
  <c r="AD226" i="6"/>
  <c r="AE226" i="6"/>
  <c r="AB164" i="6"/>
  <c r="AC164" i="6"/>
  <c r="AD164" i="6"/>
  <c r="AE164" i="6"/>
  <c r="AB251" i="6"/>
  <c r="AC251" i="6"/>
  <c r="AD251" i="6"/>
  <c r="AE251" i="6"/>
  <c r="AB205" i="6"/>
  <c r="AC205" i="6"/>
  <c r="AD205" i="6"/>
  <c r="AE205" i="6"/>
  <c r="AB252" i="6"/>
  <c r="AC252" i="6"/>
  <c r="AD252" i="6"/>
  <c r="AE252" i="6"/>
  <c r="AB253" i="6"/>
  <c r="AC253" i="6"/>
  <c r="AD253" i="6"/>
  <c r="AE253" i="6"/>
  <c r="AB254" i="6"/>
  <c r="AC254" i="6"/>
  <c r="AD254" i="6"/>
  <c r="AE254" i="6"/>
  <c r="AB255" i="6"/>
  <c r="AC255" i="6"/>
  <c r="AD255" i="6"/>
  <c r="AE255" i="6"/>
  <c r="AB277" i="6"/>
  <c r="AC277" i="6"/>
  <c r="AD277" i="6"/>
  <c r="AE277" i="6"/>
  <c r="AB256" i="6"/>
  <c r="AC256" i="6"/>
  <c r="AD256" i="6"/>
  <c r="AE256" i="6"/>
  <c r="AB257" i="6"/>
  <c r="AC257" i="6"/>
  <c r="AD257" i="6"/>
  <c r="AE257" i="6"/>
  <c r="AB265" i="6"/>
  <c r="AC265" i="6"/>
  <c r="AD265" i="6"/>
  <c r="AE265" i="6"/>
  <c r="AB266" i="6"/>
  <c r="AC266" i="6"/>
  <c r="AD266" i="6"/>
  <c r="AE266" i="6"/>
  <c r="AB267" i="6"/>
  <c r="AC267" i="6"/>
  <c r="AD267" i="6"/>
  <c r="AE267" i="6"/>
  <c r="AB278" i="6"/>
  <c r="AC278" i="6"/>
  <c r="AD278" i="6"/>
  <c r="AE278" i="6"/>
  <c r="AB279" i="6"/>
  <c r="AC279" i="6"/>
  <c r="AD279" i="6"/>
  <c r="AE279" i="6"/>
  <c r="AB280" i="6"/>
  <c r="AC280" i="6"/>
  <c r="AD280" i="6"/>
  <c r="AE280" i="6"/>
  <c r="AB281" i="6"/>
  <c r="AC281" i="6"/>
  <c r="AD281" i="6"/>
  <c r="AE281" i="6"/>
  <c r="AB227" i="6"/>
  <c r="AC227" i="6"/>
  <c r="AD227" i="6"/>
  <c r="AE227" i="6"/>
  <c r="AB157" i="6"/>
  <c r="AC157" i="6"/>
  <c r="AD157" i="6"/>
  <c r="AE157" i="6"/>
  <c r="AB35" i="6"/>
  <c r="AC35" i="6"/>
  <c r="AD35" i="6"/>
  <c r="AE35" i="6"/>
  <c r="AB151" i="6"/>
  <c r="AC151" i="6"/>
  <c r="AD151" i="6"/>
  <c r="AE151" i="6"/>
  <c r="AB289" i="6"/>
  <c r="AC289" i="6"/>
  <c r="AD289" i="6"/>
  <c r="AE289" i="6"/>
  <c r="AB268" i="6"/>
  <c r="AC268" i="6"/>
  <c r="AD268" i="6"/>
  <c r="AE268" i="6"/>
  <c r="AB269" i="6"/>
  <c r="AC269" i="6"/>
  <c r="AD269" i="6"/>
  <c r="AE269" i="6"/>
  <c r="AB122" i="6"/>
  <c r="AC122" i="6"/>
  <c r="AD122" i="6"/>
  <c r="AE122" i="6"/>
  <c r="AB228" i="6"/>
  <c r="AC228" i="6"/>
  <c r="AD228" i="6"/>
  <c r="AE228" i="6"/>
  <c r="AB229" i="6"/>
  <c r="AC229" i="6"/>
  <c r="AD229" i="6"/>
  <c r="AE229" i="6"/>
  <c r="AB230" i="6"/>
  <c r="AC230" i="6"/>
  <c r="AD230" i="6"/>
  <c r="AE230" i="6"/>
  <c r="AB258" i="6"/>
  <c r="AC258" i="6"/>
  <c r="AD258" i="6"/>
  <c r="AE258" i="6"/>
  <c r="AB270" i="6"/>
  <c r="AC270" i="6"/>
  <c r="AD270" i="6"/>
  <c r="AE270" i="6"/>
  <c r="AB231" i="6"/>
  <c r="AC231" i="6"/>
  <c r="AD231" i="6"/>
  <c r="AE231" i="6"/>
  <c r="AB83" i="6"/>
  <c r="AC83" i="6"/>
  <c r="AD83" i="6"/>
  <c r="AE83" i="6"/>
  <c r="AB84" i="6"/>
  <c r="AC84" i="6"/>
  <c r="AD84" i="6"/>
  <c r="AE84" i="6"/>
  <c r="AB63" i="6"/>
  <c r="AC63" i="6"/>
  <c r="AD63" i="6"/>
  <c r="AE63" i="6"/>
  <c r="AB60" i="6"/>
  <c r="AC60" i="6"/>
  <c r="AD60" i="6"/>
  <c r="AE60" i="6"/>
  <c r="AB290" i="6"/>
  <c r="AC290" i="6"/>
  <c r="AD290" i="6"/>
  <c r="AE290" i="6"/>
  <c r="AB291" i="6"/>
  <c r="AC291" i="6"/>
  <c r="AD291" i="6"/>
  <c r="AE291" i="6"/>
  <c r="AB292" i="6"/>
  <c r="AC292" i="6"/>
  <c r="AD292" i="6"/>
  <c r="AE292" i="6"/>
  <c r="AB293" i="6"/>
  <c r="AC293" i="6"/>
  <c r="AD293" i="6"/>
  <c r="AE293" i="6"/>
  <c r="AB294" i="6"/>
  <c r="AC294" i="6"/>
  <c r="AD294" i="6"/>
  <c r="AE294" i="6"/>
  <c r="AB171" i="6"/>
  <c r="AC171" i="6"/>
  <c r="AD171" i="6"/>
  <c r="AE171" i="6"/>
  <c r="AB172" i="6"/>
  <c r="AC172" i="6"/>
  <c r="AD172" i="6"/>
  <c r="AE172" i="6"/>
  <c r="AB181" i="6"/>
  <c r="AC181" i="6"/>
  <c r="AD181" i="6"/>
  <c r="AE181" i="6"/>
  <c r="AB158" i="6"/>
  <c r="AC158" i="6"/>
  <c r="AD158" i="6"/>
  <c r="AE158" i="6"/>
  <c r="AB173" i="6"/>
  <c r="AC173" i="6"/>
  <c r="AD173" i="6"/>
  <c r="AE173" i="6"/>
  <c r="AB259" i="6"/>
  <c r="AC259" i="6"/>
  <c r="AD259" i="6"/>
  <c r="AE259" i="6"/>
  <c r="AB295" i="6"/>
  <c r="AC295" i="6"/>
  <c r="AD295" i="6"/>
  <c r="AE295" i="6"/>
  <c r="AB61" i="6"/>
  <c r="AC61" i="6"/>
  <c r="AD61" i="6"/>
  <c r="AE61" i="6"/>
  <c r="AB15" i="6"/>
  <c r="AC15" i="6"/>
  <c r="AD15" i="6"/>
  <c r="AE15" i="6"/>
  <c r="AB16" i="6"/>
  <c r="AC16" i="6"/>
  <c r="AD16" i="6"/>
  <c r="AE16" i="6"/>
  <c r="AB17" i="6"/>
  <c r="AC17" i="6"/>
  <c r="AD17" i="6"/>
  <c r="AE17" i="6"/>
  <c r="AB18" i="6"/>
  <c r="AC18" i="6"/>
  <c r="AD18" i="6"/>
  <c r="AE18" i="6"/>
  <c r="AB19" i="6"/>
  <c r="AC19" i="6"/>
  <c r="AD19" i="6"/>
  <c r="AE19" i="6"/>
  <c r="AB20" i="6"/>
  <c r="AC20" i="6"/>
  <c r="AD20" i="6"/>
  <c r="AE20" i="6"/>
  <c r="AB182" i="6"/>
  <c r="AC182" i="6"/>
  <c r="AD182" i="6"/>
  <c r="AE182" i="6"/>
  <c r="AB36" i="6"/>
  <c r="AC36" i="6"/>
  <c r="AD36" i="6"/>
  <c r="AE36" i="6"/>
  <c r="AB183" i="6"/>
  <c r="AC183" i="6"/>
  <c r="AD183" i="6"/>
  <c r="AE183" i="6"/>
  <c r="AB297" i="6"/>
  <c r="AC297" i="6"/>
  <c r="AD297" i="6"/>
  <c r="AE297" i="6"/>
  <c r="AB174" i="6"/>
  <c r="AC174" i="6"/>
  <c r="AD174" i="6"/>
  <c r="AE174" i="6"/>
  <c r="AB184" i="6"/>
  <c r="AC184" i="6"/>
  <c r="AD184" i="6"/>
  <c r="AE184" i="6"/>
  <c r="AB185" i="6"/>
  <c r="AC185" i="6"/>
  <c r="AD185" i="6"/>
  <c r="AE185" i="6"/>
  <c r="AB102" i="6"/>
  <c r="AC102" i="6"/>
  <c r="AD102" i="6"/>
  <c r="AE102" i="6"/>
  <c r="AB299" i="6"/>
  <c r="AC299" i="6"/>
  <c r="AD299" i="6"/>
  <c r="AE299" i="6"/>
  <c r="AB300" i="6"/>
  <c r="AC300" i="6"/>
  <c r="AD300" i="6"/>
  <c r="AE300" i="6"/>
  <c r="AB301" i="6"/>
  <c r="AC301" i="6"/>
  <c r="AD301" i="6"/>
  <c r="AE301" i="6"/>
  <c r="AB302" i="6"/>
  <c r="AC302" i="6"/>
  <c r="AD302" i="6"/>
  <c r="AE302" i="6"/>
  <c r="AB303" i="6"/>
  <c r="AC303" i="6"/>
  <c r="AD303" i="6"/>
  <c r="AE303" i="6"/>
  <c r="AB304" i="6"/>
  <c r="AC304" i="6"/>
  <c r="AD304" i="6"/>
  <c r="AE304" i="6"/>
  <c r="AB305" i="6"/>
  <c r="AC305" i="6"/>
  <c r="AD305" i="6"/>
  <c r="AE305" i="6"/>
  <c r="AB306" i="6"/>
  <c r="AC306" i="6"/>
  <c r="AD306" i="6"/>
  <c r="AE306" i="6"/>
  <c r="AB307" i="6"/>
  <c r="AC307" i="6"/>
  <c r="AD307" i="6"/>
  <c r="AE307" i="6"/>
  <c r="AB308" i="6"/>
  <c r="AC308" i="6"/>
  <c r="AD308" i="6"/>
  <c r="AE308" i="6"/>
  <c r="AB309" i="6"/>
  <c r="AC309" i="6"/>
  <c r="AD309" i="6"/>
  <c r="AE309" i="6"/>
  <c r="AB310" i="6"/>
  <c r="AC310" i="6"/>
  <c r="AD310" i="6"/>
  <c r="AE310" i="6"/>
  <c r="AB311" i="6"/>
  <c r="AC311" i="6"/>
  <c r="AD311" i="6"/>
  <c r="AE311" i="6"/>
  <c r="AB312" i="6"/>
  <c r="AC312" i="6"/>
  <c r="AD312" i="6"/>
  <c r="AE312" i="6"/>
  <c r="AB313" i="6"/>
  <c r="AC313" i="6"/>
  <c r="AD313" i="6"/>
  <c r="AE313" i="6"/>
  <c r="AB315" i="6"/>
  <c r="AC315" i="6"/>
  <c r="AD315" i="6"/>
  <c r="AE315" i="6"/>
  <c r="AB316" i="6"/>
  <c r="AC316" i="6"/>
  <c r="AD316" i="6"/>
  <c r="AE316" i="6"/>
  <c r="AB317" i="6"/>
  <c r="AC317" i="6"/>
  <c r="AD317" i="6"/>
  <c r="AE317" i="6"/>
  <c r="AB318" i="6"/>
  <c r="AC318" i="6"/>
  <c r="AD318" i="6"/>
  <c r="AE318" i="6"/>
  <c r="AB319" i="6"/>
  <c r="AC319" i="6"/>
  <c r="AD319" i="6"/>
  <c r="AE319" i="6"/>
  <c r="AB320" i="6"/>
  <c r="AC320" i="6"/>
  <c r="AD320" i="6"/>
  <c r="AE320" i="6"/>
  <c r="AB321" i="6"/>
  <c r="AC321" i="6"/>
  <c r="AD321" i="6"/>
  <c r="AE321" i="6"/>
  <c r="AB322" i="6"/>
  <c r="AC322" i="6"/>
  <c r="AD322" i="6"/>
  <c r="AE322" i="6"/>
  <c r="AB323" i="6"/>
  <c r="AC323" i="6"/>
  <c r="AD323" i="6"/>
  <c r="AE323" i="6"/>
  <c r="AB324" i="6"/>
  <c r="AC324" i="6"/>
  <c r="AD324" i="6"/>
  <c r="AE324" i="6"/>
  <c r="AB325" i="6"/>
  <c r="AC325" i="6"/>
  <c r="AD325" i="6"/>
  <c r="AE325" i="6"/>
  <c r="AB326" i="6"/>
  <c r="AC326" i="6"/>
  <c r="AD326" i="6"/>
  <c r="AE326" i="6"/>
  <c r="AB327" i="6"/>
  <c r="AC327" i="6"/>
  <c r="AD327" i="6"/>
  <c r="AE327" i="6"/>
  <c r="AB328" i="6"/>
  <c r="AC328" i="6"/>
  <c r="AD328" i="6"/>
  <c r="AE328" i="6"/>
  <c r="AB329" i="6"/>
  <c r="AC329" i="6"/>
  <c r="AD329" i="6"/>
  <c r="AE329" i="6"/>
  <c r="AB330" i="6"/>
  <c r="AC330" i="6"/>
  <c r="AD330" i="6"/>
  <c r="AE330" i="6"/>
  <c r="AB331" i="6"/>
  <c r="AC331" i="6"/>
  <c r="AD331" i="6"/>
  <c r="AE331" i="6"/>
  <c r="AB332" i="6"/>
  <c r="AC332" i="6"/>
  <c r="AD332" i="6"/>
  <c r="AE332" i="6"/>
  <c r="AB333" i="6"/>
  <c r="AC333" i="6"/>
  <c r="AD333" i="6"/>
  <c r="AE333" i="6"/>
  <c r="AB334" i="6"/>
  <c r="AC334" i="6"/>
  <c r="AD334" i="6"/>
  <c r="AE334" i="6"/>
  <c r="AB335" i="6"/>
  <c r="AC335" i="6"/>
  <c r="AD335" i="6"/>
  <c r="AE335" i="6"/>
  <c r="AB336" i="6"/>
  <c r="AC336" i="6"/>
  <c r="AD336" i="6"/>
  <c r="AE336" i="6"/>
  <c r="AB337" i="6"/>
  <c r="AC337" i="6"/>
  <c r="AD337" i="6"/>
  <c r="AE337" i="6"/>
  <c r="AB338" i="6"/>
  <c r="AC338" i="6"/>
  <c r="AD338" i="6"/>
  <c r="AE338" i="6"/>
  <c r="AB339" i="6"/>
  <c r="AC339" i="6"/>
  <c r="AD339" i="6"/>
  <c r="AE339" i="6"/>
  <c r="AB340" i="6"/>
  <c r="AC340" i="6"/>
  <c r="AD340" i="6"/>
  <c r="AE340" i="6"/>
  <c r="AB341" i="6"/>
  <c r="AC341" i="6"/>
  <c r="AD341" i="6"/>
  <c r="AE341" i="6"/>
  <c r="AB346" i="6"/>
  <c r="AC346" i="6"/>
  <c r="AD346" i="6"/>
  <c r="AE346" i="6"/>
  <c r="AB342" i="6"/>
  <c r="AC342" i="6"/>
  <c r="AD342" i="6"/>
  <c r="AE342" i="6"/>
  <c r="AB343" i="6"/>
  <c r="AC343" i="6"/>
  <c r="AD343" i="6"/>
  <c r="AE343" i="6"/>
  <c r="AB347" i="6"/>
  <c r="AC347" i="6"/>
  <c r="AD347" i="6"/>
  <c r="AE347" i="6"/>
  <c r="AB344" i="6"/>
  <c r="AC344" i="6"/>
  <c r="AD344" i="6"/>
  <c r="AE344" i="6"/>
  <c r="AB345" i="6"/>
  <c r="AC345" i="6"/>
  <c r="AD345" i="6"/>
  <c r="AE345" i="6"/>
  <c r="AB361" i="6"/>
  <c r="AC361" i="6"/>
  <c r="AD361" i="6"/>
  <c r="AE361" i="6"/>
  <c r="AB348" i="6"/>
  <c r="AC348" i="6"/>
  <c r="AD348" i="6"/>
  <c r="AE348" i="6"/>
  <c r="AB362" i="6"/>
  <c r="AC362" i="6"/>
  <c r="AD362" i="6"/>
  <c r="AE362" i="6"/>
  <c r="AB349" i="6"/>
  <c r="AC349" i="6"/>
  <c r="AD349" i="6"/>
  <c r="AE349" i="6"/>
  <c r="AB350" i="6"/>
  <c r="AC350" i="6"/>
  <c r="AD350" i="6"/>
  <c r="AE350" i="6"/>
  <c r="AB351" i="6"/>
  <c r="AC351" i="6"/>
  <c r="AD351" i="6"/>
  <c r="AE351" i="6"/>
  <c r="AB352" i="6"/>
  <c r="AC352" i="6"/>
  <c r="AD352" i="6"/>
  <c r="AE352" i="6"/>
  <c r="AB353" i="6"/>
  <c r="AC353" i="6"/>
  <c r="AD353" i="6"/>
  <c r="AE353" i="6"/>
  <c r="AB354" i="6"/>
  <c r="AC354" i="6"/>
  <c r="AD354" i="6"/>
  <c r="AE354" i="6"/>
  <c r="AB355" i="6"/>
  <c r="AC355" i="6"/>
  <c r="AD355" i="6"/>
  <c r="AE355" i="6"/>
  <c r="AB356" i="6"/>
  <c r="AC356" i="6"/>
  <c r="AD356" i="6"/>
  <c r="AE356" i="6"/>
  <c r="AB363" i="6"/>
  <c r="AC363" i="6"/>
  <c r="AD363" i="6"/>
  <c r="AE363" i="6"/>
  <c r="AB364" i="6"/>
  <c r="AC364" i="6"/>
  <c r="AD364" i="6"/>
  <c r="AE364" i="6"/>
  <c r="AB365" i="6"/>
  <c r="AC365" i="6"/>
  <c r="AD365" i="6"/>
  <c r="AE365" i="6"/>
  <c r="AB366" i="6"/>
  <c r="AC366" i="6"/>
  <c r="AD366" i="6"/>
  <c r="AE366" i="6"/>
  <c r="AB367" i="6"/>
  <c r="AC367" i="6"/>
  <c r="AD367" i="6"/>
  <c r="AE367" i="6"/>
  <c r="AB368" i="6"/>
  <c r="AC368" i="6"/>
  <c r="AD368" i="6"/>
  <c r="AE368" i="6"/>
  <c r="AB369" i="6"/>
  <c r="AC369" i="6"/>
  <c r="AD369" i="6"/>
  <c r="AE369" i="6"/>
  <c r="AB357" i="6"/>
  <c r="AC357" i="6"/>
  <c r="AD357" i="6"/>
  <c r="AE357" i="6"/>
  <c r="AB358" i="6"/>
  <c r="AC358" i="6"/>
  <c r="AD358" i="6"/>
  <c r="AE358" i="6"/>
  <c r="AB359" i="6"/>
  <c r="AC359" i="6"/>
  <c r="AD359" i="6"/>
  <c r="AE359" i="6"/>
  <c r="AB360" i="6"/>
  <c r="AC360" i="6"/>
  <c r="AD360" i="6"/>
  <c r="AE360" i="6"/>
  <c r="AB370" i="6"/>
  <c r="AC370" i="6"/>
  <c r="AD370" i="6"/>
  <c r="AE370" i="6"/>
  <c r="AB371" i="6"/>
  <c r="AC371" i="6"/>
  <c r="AD371" i="6"/>
  <c r="AE371" i="6"/>
  <c r="AB372" i="6"/>
  <c r="AC372" i="6"/>
  <c r="AD372" i="6"/>
  <c r="AE372" i="6"/>
  <c r="AB373" i="6"/>
  <c r="AC373" i="6"/>
  <c r="AD373" i="6"/>
  <c r="AE373" i="6"/>
  <c r="AB374" i="6"/>
  <c r="AC374" i="6"/>
  <c r="AD374" i="6"/>
  <c r="AE374" i="6"/>
  <c r="AB375" i="6"/>
  <c r="AC375" i="6"/>
  <c r="AD375" i="6"/>
  <c r="AE375" i="6"/>
  <c r="AB376" i="6"/>
  <c r="AC376" i="6"/>
  <c r="AD376" i="6"/>
  <c r="AE376" i="6"/>
  <c r="AB377" i="6"/>
  <c r="AC377" i="6"/>
  <c r="AD377" i="6"/>
  <c r="AE377" i="6"/>
  <c r="AB378" i="6"/>
  <c r="AC378" i="6"/>
  <c r="AD378" i="6"/>
  <c r="AE378" i="6"/>
  <c r="AB379" i="6"/>
  <c r="AC379" i="6"/>
  <c r="AD379" i="6"/>
  <c r="AE379" i="6"/>
  <c r="AB380" i="6"/>
  <c r="AC380" i="6"/>
  <c r="AD380" i="6"/>
  <c r="AE380" i="6"/>
  <c r="AB383" i="6"/>
  <c r="AC383" i="6"/>
  <c r="AD383" i="6"/>
  <c r="AE383" i="6"/>
  <c r="AB386" i="6"/>
  <c r="AC386" i="6"/>
  <c r="AD386" i="6"/>
  <c r="AE386" i="6"/>
  <c r="AB382" i="6"/>
  <c r="AC382" i="6"/>
  <c r="AD382" i="6"/>
  <c r="AE382" i="6"/>
  <c r="AB385" i="6"/>
  <c r="AC385" i="6"/>
  <c r="AD385" i="6"/>
  <c r="AE385" i="6"/>
  <c r="AB384" i="6"/>
  <c r="AC384" i="6"/>
  <c r="AD384" i="6"/>
  <c r="AE384" i="6"/>
  <c r="AB410" i="6"/>
  <c r="AC410" i="6"/>
  <c r="AD410" i="6"/>
  <c r="AE410" i="6"/>
  <c r="AB388" i="6"/>
  <c r="AC388" i="6"/>
  <c r="AD388" i="6"/>
  <c r="AE388" i="6"/>
  <c r="AB409" i="6"/>
  <c r="AC409" i="6"/>
  <c r="AD409" i="6"/>
  <c r="AE409" i="6"/>
  <c r="AB408" i="6"/>
  <c r="AC408" i="6"/>
  <c r="AD408" i="6"/>
  <c r="AE408" i="6"/>
  <c r="AB391" i="6"/>
  <c r="AC391" i="6"/>
  <c r="AD391" i="6"/>
  <c r="AE391" i="6"/>
  <c r="AB392" i="6"/>
  <c r="AC392" i="6"/>
  <c r="AD392" i="6"/>
  <c r="AE392" i="6"/>
  <c r="AB393" i="6"/>
  <c r="AC393" i="6"/>
  <c r="AD393" i="6"/>
  <c r="AE393" i="6"/>
  <c r="AB394" i="6"/>
  <c r="AC394" i="6"/>
  <c r="AD394" i="6"/>
  <c r="AE394" i="6"/>
  <c r="AB395" i="6"/>
  <c r="AC395" i="6"/>
  <c r="AD395" i="6"/>
  <c r="AE395" i="6"/>
  <c r="AB390" i="6"/>
  <c r="AC390" i="6"/>
  <c r="AD390" i="6"/>
  <c r="AE390" i="6"/>
  <c r="AB406" i="6"/>
  <c r="AC406" i="6"/>
  <c r="AD406" i="6"/>
  <c r="AE406" i="6"/>
  <c r="AB396" i="6"/>
  <c r="AC396" i="6"/>
  <c r="AD396" i="6"/>
  <c r="AE396" i="6"/>
  <c r="AB397" i="6"/>
  <c r="AC397" i="6"/>
  <c r="AD397" i="6"/>
  <c r="AE397" i="6"/>
  <c r="AB398" i="6"/>
  <c r="AC398" i="6"/>
  <c r="AD398" i="6"/>
  <c r="AE398" i="6"/>
  <c r="AB399" i="6"/>
  <c r="AC399" i="6"/>
  <c r="AD399" i="6"/>
  <c r="AE399" i="6"/>
  <c r="AB400" i="6"/>
  <c r="AC400" i="6"/>
  <c r="AD400" i="6"/>
  <c r="AE400" i="6"/>
  <c r="AB401" i="6"/>
  <c r="AC401" i="6"/>
  <c r="AD401" i="6"/>
  <c r="AE401" i="6"/>
  <c r="AB387" i="6"/>
  <c r="AC387" i="6"/>
  <c r="AD387" i="6"/>
  <c r="AE387" i="6"/>
  <c r="AB407" i="6"/>
  <c r="AC407" i="6"/>
  <c r="AD407" i="6"/>
  <c r="AE407" i="6"/>
  <c r="AB402" i="6"/>
  <c r="AC402" i="6"/>
  <c r="AD402" i="6"/>
  <c r="AE402" i="6"/>
  <c r="AB389" i="6"/>
  <c r="AC389" i="6"/>
  <c r="AD389" i="6"/>
  <c r="AE389" i="6"/>
  <c r="AB411" i="6"/>
  <c r="AC411" i="6"/>
  <c r="AD411" i="6"/>
  <c r="AE411" i="6"/>
  <c r="AB403" i="6"/>
  <c r="AC403" i="6"/>
  <c r="AD403" i="6"/>
  <c r="AE403" i="6"/>
  <c r="AB404" i="6"/>
  <c r="AC404" i="6"/>
  <c r="AD404" i="6"/>
  <c r="AE404" i="6"/>
  <c r="AB405" i="6"/>
  <c r="AC405" i="6"/>
  <c r="AD405" i="6"/>
  <c r="AE405" i="6"/>
  <c r="AB2" i="6"/>
  <c r="AC2" i="6"/>
  <c r="AD2" i="6"/>
  <c r="AE2" i="6"/>
  <c r="Y2" i="6"/>
  <c r="X2" i="6"/>
  <c r="W2" i="6"/>
  <c r="V2" i="6"/>
  <c r="V3" i="6"/>
  <c r="W3" i="6"/>
  <c r="X3" i="6"/>
  <c r="Y3" i="6"/>
  <c r="V4" i="6"/>
  <c r="W4" i="6"/>
  <c r="X4" i="6"/>
  <c r="Y4" i="6"/>
  <c r="V5" i="6"/>
  <c r="W5" i="6"/>
  <c r="X5" i="6"/>
  <c r="Y5" i="6"/>
  <c r="V6" i="6"/>
  <c r="W6" i="6"/>
  <c r="X6" i="6"/>
  <c r="Y6" i="6"/>
  <c r="V21" i="6"/>
  <c r="W21" i="6"/>
  <c r="X21" i="6"/>
  <c r="Y21" i="6"/>
  <c r="V22" i="6"/>
  <c r="W22" i="6"/>
  <c r="X22" i="6"/>
  <c r="Y22" i="6"/>
  <c r="V23" i="6"/>
  <c r="W23" i="6"/>
  <c r="X23" i="6"/>
  <c r="Y23" i="6"/>
  <c r="V47" i="6"/>
  <c r="W47" i="6"/>
  <c r="X47" i="6"/>
  <c r="Y47" i="6"/>
  <c r="V7" i="6"/>
  <c r="W7" i="6"/>
  <c r="X7" i="6"/>
  <c r="Y7" i="6"/>
  <c r="V48" i="6"/>
  <c r="W48" i="6"/>
  <c r="X48" i="6"/>
  <c r="Y48" i="6"/>
  <c r="V8" i="6"/>
  <c r="W8" i="6"/>
  <c r="X8" i="6"/>
  <c r="Y8" i="6"/>
  <c r="V27" i="6"/>
  <c r="W27" i="6"/>
  <c r="X27" i="6"/>
  <c r="Y27" i="6"/>
  <c r="V28" i="6"/>
  <c r="W28" i="6"/>
  <c r="X28" i="6"/>
  <c r="Y28" i="6"/>
  <c r="V29" i="6"/>
  <c r="W29" i="6"/>
  <c r="X29" i="6"/>
  <c r="Y29" i="6"/>
  <c r="V30" i="6"/>
  <c r="W30" i="6"/>
  <c r="X30" i="6"/>
  <c r="Y30" i="6"/>
  <c r="V86" i="6"/>
  <c r="W86" i="6"/>
  <c r="X86" i="6"/>
  <c r="Y86" i="6"/>
  <c r="V87" i="6"/>
  <c r="W87" i="6"/>
  <c r="X87" i="6"/>
  <c r="Y87" i="6"/>
  <c r="V64" i="6"/>
  <c r="W64" i="6"/>
  <c r="X64" i="6"/>
  <c r="Y64" i="6"/>
  <c r="V88" i="6"/>
  <c r="W88" i="6"/>
  <c r="X88" i="6"/>
  <c r="Y88" i="6"/>
  <c r="V37" i="6"/>
  <c r="W37" i="6"/>
  <c r="X37" i="6"/>
  <c r="Y37" i="6"/>
  <c r="V40" i="6"/>
  <c r="W40" i="6"/>
  <c r="X40" i="6"/>
  <c r="Y40" i="6"/>
  <c r="V41" i="6"/>
  <c r="W41" i="6"/>
  <c r="X41" i="6"/>
  <c r="Y41" i="6"/>
  <c r="V42" i="6"/>
  <c r="W42" i="6"/>
  <c r="X42" i="6"/>
  <c r="Y42" i="6"/>
  <c r="V45" i="6"/>
  <c r="W45" i="6"/>
  <c r="X45" i="6"/>
  <c r="Y45" i="6"/>
  <c r="V43" i="6"/>
  <c r="W43" i="6"/>
  <c r="X43" i="6"/>
  <c r="Y43" i="6"/>
  <c r="V282" i="6"/>
  <c r="W282" i="6"/>
  <c r="X282" i="6"/>
  <c r="Y282" i="6"/>
  <c r="V9" i="6"/>
  <c r="W9" i="6"/>
  <c r="X9" i="6"/>
  <c r="Y9" i="6"/>
  <c r="V49" i="6"/>
  <c r="W49" i="6"/>
  <c r="X49" i="6"/>
  <c r="Y49" i="6"/>
  <c r="V50" i="6"/>
  <c r="W50" i="6"/>
  <c r="X50" i="6"/>
  <c r="Y50" i="6"/>
  <c r="V10" i="6"/>
  <c r="W10" i="6"/>
  <c r="X10" i="6"/>
  <c r="Y10" i="6"/>
  <c r="V114" i="6"/>
  <c r="W114" i="6"/>
  <c r="X114" i="6"/>
  <c r="Y114" i="6"/>
  <c r="V11" i="6"/>
  <c r="W11" i="6"/>
  <c r="X11" i="6"/>
  <c r="Y11" i="6"/>
  <c r="V51" i="6"/>
  <c r="W51" i="6"/>
  <c r="X51" i="6"/>
  <c r="Y51" i="6"/>
  <c r="V52" i="6"/>
  <c r="W52" i="6"/>
  <c r="X52" i="6"/>
  <c r="Y52" i="6"/>
  <c r="V62" i="6"/>
  <c r="W62" i="6"/>
  <c r="X62" i="6"/>
  <c r="Y62" i="6"/>
  <c r="V53" i="6"/>
  <c r="W53" i="6"/>
  <c r="X53" i="6"/>
  <c r="Y53" i="6"/>
  <c r="V65" i="6"/>
  <c r="W65" i="6"/>
  <c r="X65" i="6"/>
  <c r="Y65" i="6"/>
  <c r="V66" i="6"/>
  <c r="W66" i="6"/>
  <c r="X66" i="6"/>
  <c r="Y66" i="6"/>
  <c r="V67" i="6"/>
  <c r="W67" i="6"/>
  <c r="X67" i="6"/>
  <c r="Y67" i="6"/>
  <c r="V68" i="6"/>
  <c r="W68" i="6"/>
  <c r="X68" i="6"/>
  <c r="Y68" i="6"/>
  <c r="V69" i="6"/>
  <c r="W69" i="6"/>
  <c r="X69" i="6"/>
  <c r="Y69" i="6"/>
  <c r="V206" i="6"/>
  <c r="W206" i="6"/>
  <c r="X206" i="6"/>
  <c r="Y206" i="6"/>
  <c r="V159" i="6"/>
  <c r="W159" i="6"/>
  <c r="X159" i="6"/>
  <c r="Y159" i="6"/>
  <c r="V70" i="6"/>
  <c r="W70" i="6"/>
  <c r="X70" i="6"/>
  <c r="Y70" i="6"/>
  <c r="V106" i="6"/>
  <c r="W106" i="6"/>
  <c r="X106" i="6"/>
  <c r="Y106" i="6"/>
  <c r="V207" i="6"/>
  <c r="W207" i="6"/>
  <c r="X207" i="6"/>
  <c r="Y207" i="6"/>
  <c r="V89" i="6"/>
  <c r="W89" i="6"/>
  <c r="X89" i="6"/>
  <c r="Y89" i="6"/>
  <c r="V90" i="6"/>
  <c r="W90" i="6"/>
  <c r="X90" i="6"/>
  <c r="Y90" i="6"/>
  <c r="V85" i="6"/>
  <c r="W85" i="6"/>
  <c r="X85" i="6"/>
  <c r="Y85" i="6"/>
  <c r="V91" i="6"/>
  <c r="W91" i="6"/>
  <c r="X91" i="6"/>
  <c r="Y91" i="6"/>
  <c r="V92" i="6"/>
  <c r="W92" i="6"/>
  <c r="X92" i="6"/>
  <c r="Y92" i="6"/>
  <c r="V93" i="6"/>
  <c r="W93" i="6"/>
  <c r="X93" i="6"/>
  <c r="Y93" i="6"/>
  <c r="V94" i="6"/>
  <c r="W94" i="6"/>
  <c r="X94" i="6"/>
  <c r="Y94" i="6"/>
  <c r="V95" i="6"/>
  <c r="W95" i="6"/>
  <c r="X95" i="6"/>
  <c r="Y95" i="6"/>
  <c r="V96" i="6"/>
  <c r="W96" i="6"/>
  <c r="X96" i="6"/>
  <c r="Y96" i="6"/>
  <c r="V103" i="6"/>
  <c r="W103" i="6"/>
  <c r="X103" i="6"/>
  <c r="Y103" i="6"/>
  <c r="V97" i="6"/>
  <c r="W97" i="6"/>
  <c r="X97" i="6"/>
  <c r="Y97" i="6"/>
  <c r="V232" i="6"/>
  <c r="W232" i="6"/>
  <c r="X232" i="6"/>
  <c r="Y232" i="6"/>
  <c r="V233" i="6"/>
  <c r="W233" i="6"/>
  <c r="X233" i="6"/>
  <c r="Y233" i="6"/>
  <c r="V71" i="6"/>
  <c r="W71" i="6"/>
  <c r="X71" i="6"/>
  <c r="Y71" i="6"/>
  <c r="V104" i="6"/>
  <c r="W104" i="6"/>
  <c r="X104" i="6"/>
  <c r="Y104" i="6"/>
  <c r="V105" i="6"/>
  <c r="W105" i="6"/>
  <c r="X105" i="6"/>
  <c r="Y105" i="6"/>
  <c r="V98" i="6"/>
  <c r="W98" i="6"/>
  <c r="X98" i="6"/>
  <c r="Y98" i="6"/>
  <c r="V99" i="6"/>
  <c r="W99" i="6"/>
  <c r="X99" i="6"/>
  <c r="Y99" i="6"/>
  <c r="V100" i="6"/>
  <c r="W100" i="6"/>
  <c r="X100" i="6"/>
  <c r="Y100" i="6"/>
  <c r="V107" i="6"/>
  <c r="W107" i="6"/>
  <c r="X107" i="6"/>
  <c r="Y107" i="6"/>
  <c r="V108" i="6"/>
  <c r="W108" i="6"/>
  <c r="X108" i="6"/>
  <c r="Y108" i="6"/>
  <c r="V109" i="6"/>
  <c r="W109" i="6"/>
  <c r="X109" i="6"/>
  <c r="Y109" i="6"/>
  <c r="V101" i="6"/>
  <c r="W101" i="6"/>
  <c r="X101" i="6"/>
  <c r="Y101" i="6"/>
  <c r="V54" i="6"/>
  <c r="W54" i="6"/>
  <c r="X54" i="6"/>
  <c r="Y54" i="6"/>
  <c r="V115" i="6"/>
  <c r="W115" i="6"/>
  <c r="X115" i="6"/>
  <c r="Y115" i="6"/>
  <c r="V116" i="6"/>
  <c r="W116" i="6"/>
  <c r="X116" i="6"/>
  <c r="Y116" i="6"/>
  <c r="V117" i="6"/>
  <c r="W117" i="6"/>
  <c r="X117" i="6"/>
  <c r="Y117" i="6"/>
  <c r="V55" i="6"/>
  <c r="W55" i="6"/>
  <c r="X55" i="6"/>
  <c r="Y55" i="6"/>
  <c r="V123" i="6"/>
  <c r="W123" i="6"/>
  <c r="X123" i="6"/>
  <c r="Y123" i="6"/>
  <c r="V124" i="6"/>
  <c r="W124" i="6"/>
  <c r="X124" i="6"/>
  <c r="Y124" i="6"/>
  <c r="V125" i="6"/>
  <c r="W125" i="6"/>
  <c r="X125" i="6"/>
  <c r="Y125" i="6"/>
  <c r="V129" i="6"/>
  <c r="W129" i="6"/>
  <c r="X129" i="6"/>
  <c r="Y129" i="6"/>
  <c r="V130" i="6"/>
  <c r="W130" i="6"/>
  <c r="X130" i="6"/>
  <c r="Y130" i="6"/>
  <c r="V271" i="6"/>
  <c r="W271" i="6"/>
  <c r="X271" i="6"/>
  <c r="Y271" i="6"/>
  <c r="V160" i="6"/>
  <c r="W160" i="6"/>
  <c r="X160" i="6"/>
  <c r="Y160" i="6"/>
  <c r="V110" i="6"/>
  <c r="W110" i="6"/>
  <c r="X110" i="6"/>
  <c r="Y110" i="6"/>
  <c r="V111" i="6"/>
  <c r="W111" i="6"/>
  <c r="X111" i="6"/>
  <c r="Y111" i="6"/>
  <c r="V112" i="6"/>
  <c r="W112" i="6"/>
  <c r="X112" i="6"/>
  <c r="Y112" i="6"/>
  <c r="V31" i="6"/>
  <c r="W31" i="6"/>
  <c r="X31" i="6"/>
  <c r="Y31" i="6"/>
  <c r="V165" i="6"/>
  <c r="W165" i="6"/>
  <c r="X165" i="6"/>
  <c r="Y165" i="6"/>
  <c r="V166" i="6"/>
  <c r="W166" i="6"/>
  <c r="X166" i="6"/>
  <c r="Y166" i="6"/>
  <c r="V167" i="6"/>
  <c r="W167" i="6"/>
  <c r="X167" i="6"/>
  <c r="Y167" i="6"/>
  <c r="V208" i="6"/>
  <c r="W208" i="6"/>
  <c r="X208" i="6"/>
  <c r="Y208" i="6"/>
  <c r="V141" i="6"/>
  <c r="W141" i="6"/>
  <c r="X141" i="6"/>
  <c r="Y141" i="6"/>
  <c r="V168" i="6"/>
  <c r="W168" i="6"/>
  <c r="X168" i="6"/>
  <c r="Y168" i="6"/>
  <c r="V56" i="6"/>
  <c r="W56" i="6"/>
  <c r="X56" i="6"/>
  <c r="Y56" i="6"/>
  <c r="V283" i="6"/>
  <c r="W283" i="6"/>
  <c r="X283" i="6"/>
  <c r="Y283" i="6"/>
  <c r="V234" i="6"/>
  <c r="W234" i="6"/>
  <c r="X234" i="6"/>
  <c r="Y234" i="6"/>
  <c r="V196" i="6"/>
  <c r="W196" i="6"/>
  <c r="X196" i="6"/>
  <c r="Y196" i="6"/>
  <c r="V142" i="6"/>
  <c r="W142" i="6"/>
  <c r="X142" i="6"/>
  <c r="Y142" i="6"/>
  <c r="V175" i="6"/>
  <c r="W175" i="6"/>
  <c r="X175" i="6"/>
  <c r="Y175" i="6"/>
  <c r="V176" i="6"/>
  <c r="W176" i="6"/>
  <c r="X176" i="6"/>
  <c r="Y176" i="6"/>
  <c r="V131" i="6"/>
  <c r="W131" i="6"/>
  <c r="X131" i="6"/>
  <c r="Y131" i="6"/>
  <c r="V12" i="6"/>
  <c r="W12" i="6"/>
  <c r="X12" i="6"/>
  <c r="Y12" i="6"/>
  <c r="V296" i="6"/>
  <c r="W296" i="6"/>
  <c r="X296" i="6"/>
  <c r="Y296" i="6"/>
  <c r="V197" i="6"/>
  <c r="W197" i="6"/>
  <c r="X197" i="6"/>
  <c r="Y197" i="6"/>
  <c r="V209" i="6"/>
  <c r="W209" i="6"/>
  <c r="X209" i="6"/>
  <c r="Y209" i="6"/>
  <c r="V143" i="6"/>
  <c r="W143" i="6"/>
  <c r="X143" i="6"/>
  <c r="Y143" i="6"/>
  <c r="V210" i="6"/>
  <c r="W210" i="6"/>
  <c r="X210" i="6"/>
  <c r="Y210" i="6"/>
  <c r="V132" i="6"/>
  <c r="W132" i="6"/>
  <c r="X132" i="6"/>
  <c r="Y132" i="6"/>
  <c r="V13" i="6"/>
  <c r="W13" i="6"/>
  <c r="X13" i="6"/>
  <c r="Y13" i="6"/>
  <c r="V46" i="6"/>
  <c r="W46" i="6"/>
  <c r="X46" i="6"/>
  <c r="Y46" i="6"/>
  <c r="V260" i="6"/>
  <c r="W260" i="6"/>
  <c r="X260" i="6"/>
  <c r="Y260" i="6"/>
  <c r="V24" i="6"/>
  <c r="W24" i="6"/>
  <c r="X24" i="6"/>
  <c r="Y24" i="6"/>
  <c r="V235" i="6"/>
  <c r="W235" i="6"/>
  <c r="X235" i="6"/>
  <c r="Y235" i="6"/>
  <c r="V198" i="6"/>
  <c r="W198" i="6"/>
  <c r="X198" i="6"/>
  <c r="Y198" i="6"/>
  <c r="V72" i="6"/>
  <c r="W72" i="6"/>
  <c r="X72" i="6"/>
  <c r="Y72" i="6"/>
  <c r="V261" i="6"/>
  <c r="W261" i="6"/>
  <c r="X261" i="6"/>
  <c r="Y261" i="6"/>
  <c r="V38" i="6"/>
  <c r="W38" i="6"/>
  <c r="X38" i="6"/>
  <c r="Y38" i="6"/>
  <c r="V73" i="6"/>
  <c r="W73" i="6"/>
  <c r="X73" i="6"/>
  <c r="Y73" i="6"/>
  <c r="V74" i="6"/>
  <c r="W74" i="6"/>
  <c r="X74" i="6"/>
  <c r="Y74" i="6"/>
  <c r="V284" i="6"/>
  <c r="W284" i="6"/>
  <c r="X284" i="6"/>
  <c r="Y284" i="6"/>
  <c r="V75" i="6"/>
  <c r="W75" i="6"/>
  <c r="X75" i="6"/>
  <c r="Y75" i="6"/>
  <c r="V236" i="6"/>
  <c r="W236" i="6"/>
  <c r="X236" i="6"/>
  <c r="Y236" i="6"/>
  <c r="V237" i="6"/>
  <c r="W237" i="6"/>
  <c r="X237" i="6"/>
  <c r="Y237" i="6"/>
  <c r="V211" i="6"/>
  <c r="W211" i="6"/>
  <c r="X211" i="6"/>
  <c r="Y211" i="6"/>
  <c r="V272" i="6"/>
  <c r="W272" i="6"/>
  <c r="X272" i="6"/>
  <c r="Y272" i="6"/>
  <c r="V212" i="6"/>
  <c r="W212" i="6"/>
  <c r="X212" i="6"/>
  <c r="Y212" i="6"/>
  <c r="V133" i="6"/>
  <c r="W133" i="6"/>
  <c r="X133" i="6"/>
  <c r="Y133" i="6"/>
  <c r="V76" i="6"/>
  <c r="W76" i="6"/>
  <c r="X76" i="6"/>
  <c r="Y76" i="6"/>
  <c r="V213" i="6"/>
  <c r="W213" i="6"/>
  <c r="X213" i="6"/>
  <c r="Y213" i="6"/>
  <c r="V25" i="6"/>
  <c r="W25" i="6"/>
  <c r="X25" i="6"/>
  <c r="Y25" i="6"/>
  <c r="V135" i="6"/>
  <c r="W135" i="6"/>
  <c r="X135" i="6"/>
  <c r="Y135" i="6"/>
  <c r="V238" i="6"/>
  <c r="W238" i="6"/>
  <c r="X238" i="6"/>
  <c r="Y238" i="6"/>
  <c r="V161" i="6"/>
  <c r="W161" i="6"/>
  <c r="X161" i="6"/>
  <c r="Y161" i="6"/>
  <c r="V77" i="6"/>
  <c r="W77" i="6"/>
  <c r="X77" i="6"/>
  <c r="Y77" i="6"/>
  <c r="V262" i="6"/>
  <c r="W262" i="6"/>
  <c r="X262" i="6"/>
  <c r="Y262" i="6"/>
  <c r="V273" i="6"/>
  <c r="W273" i="6"/>
  <c r="X273" i="6"/>
  <c r="Y273" i="6"/>
  <c r="V126" i="6"/>
  <c r="W126" i="6"/>
  <c r="X126" i="6"/>
  <c r="Y126" i="6"/>
  <c r="V144" i="6"/>
  <c r="W144" i="6"/>
  <c r="X144" i="6"/>
  <c r="Y144" i="6"/>
  <c r="V239" i="6"/>
  <c r="W239" i="6"/>
  <c r="X239" i="6"/>
  <c r="Y239" i="6"/>
  <c r="V274" i="6"/>
  <c r="W274" i="6"/>
  <c r="X274" i="6"/>
  <c r="Y274" i="6"/>
  <c r="V57" i="6"/>
  <c r="W57" i="6"/>
  <c r="X57" i="6"/>
  <c r="Y57" i="6"/>
  <c r="V214" i="6"/>
  <c r="W214" i="6"/>
  <c r="X214" i="6"/>
  <c r="Y214" i="6"/>
  <c r="V275" i="6"/>
  <c r="W275" i="6"/>
  <c r="X275" i="6"/>
  <c r="Y275" i="6"/>
  <c r="V285" i="6"/>
  <c r="W285" i="6"/>
  <c r="X285" i="6"/>
  <c r="Y285" i="6"/>
  <c r="V118" i="6"/>
  <c r="W118" i="6"/>
  <c r="X118" i="6"/>
  <c r="Y118" i="6"/>
  <c r="V119" i="6"/>
  <c r="W119" i="6"/>
  <c r="X119" i="6"/>
  <c r="Y119" i="6"/>
  <c r="V14" i="6"/>
  <c r="W14" i="6"/>
  <c r="X14" i="6"/>
  <c r="Y14" i="6"/>
  <c r="V120" i="6"/>
  <c r="W120" i="6"/>
  <c r="X120" i="6"/>
  <c r="Y120" i="6"/>
  <c r="V199" i="6"/>
  <c r="W199" i="6"/>
  <c r="X199" i="6"/>
  <c r="Y199" i="6"/>
  <c r="V153" i="6"/>
  <c r="W153" i="6"/>
  <c r="X153" i="6"/>
  <c r="Y153" i="6"/>
  <c r="V215" i="6"/>
  <c r="W215" i="6"/>
  <c r="X215" i="6"/>
  <c r="Y215" i="6"/>
  <c r="V200" i="6"/>
  <c r="W200" i="6"/>
  <c r="X200" i="6"/>
  <c r="Y200" i="6"/>
  <c r="V26" i="6"/>
  <c r="W26" i="6"/>
  <c r="X26" i="6"/>
  <c r="Y26" i="6"/>
  <c r="V263" i="6"/>
  <c r="W263" i="6"/>
  <c r="X263" i="6"/>
  <c r="Y263" i="6"/>
  <c r="V121" i="6"/>
  <c r="W121" i="6"/>
  <c r="X121" i="6"/>
  <c r="Y121" i="6"/>
  <c r="V127" i="6"/>
  <c r="W127" i="6"/>
  <c r="X127" i="6"/>
  <c r="Y127" i="6"/>
  <c r="V240" i="6"/>
  <c r="W240" i="6"/>
  <c r="X240" i="6"/>
  <c r="Y240" i="6"/>
  <c r="V241" i="6"/>
  <c r="W241" i="6"/>
  <c r="X241" i="6"/>
  <c r="Y241" i="6"/>
  <c r="V242" i="6"/>
  <c r="W242" i="6"/>
  <c r="X242" i="6"/>
  <c r="Y242" i="6"/>
  <c r="V134" i="6"/>
  <c r="W134" i="6"/>
  <c r="X134" i="6"/>
  <c r="Y134" i="6"/>
  <c r="V58" i="6"/>
  <c r="W58" i="6"/>
  <c r="X58" i="6"/>
  <c r="Y58" i="6"/>
  <c r="V39" i="6"/>
  <c r="W39" i="6"/>
  <c r="X39" i="6"/>
  <c r="Y39" i="6"/>
  <c r="V44" i="6"/>
  <c r="W44" i="6"/>
  <c r="X44" i="6"/>
  <c r="Y44" i="6"/>
  <c r="V177" i="6"/>
  <c r="W177" i="6"/>
  <c r="X177" i="6"/>
  <c r="Y177" i="6"/>
  <c r="V78" i="6"/>
  <c r="W78" i="6"/>
  <c r="X78" i="6"/>
  <c r="Y78" i="6"/>
  <c r="V32" i="6"/>
  <c r="W32" i="6"/>
  <c r="X32" i="6"/>
  <c r="Y32" i="6"/>
  <c r="V190" i="6"/>
  <c r="W190" i="6"/>
  <c r="X190" i="6"/>
  <c r="Y190" i="6"/>
  <c r="V136" i="6"/>
  <c r="W136" i="6"/>
  <c r="X136" i="6"/>
  <c r="Y136" i="6"/>
  <c r="V137" i="6"/>
  <c r="W137" i="6"/>
  <c r="X137" i="6"/>
  <c r="Y137" i="6"/>
  <c r="V138" i="6"/>
  <c r="W138" i="6"/>
  <c r="X138" i="6"/>
  <c r="Y138" i="6"/>
  <c r="V243" i="6"/>
  <c r="W243" i="6"/>
  <c r="X243" i="6"/>
  <c r="Y243" i="6"/>
  <c r="V244" i="6"/>
  <c r="W244" i="6"/>
  <c r="X244" i="6"/>
  <c r="Y244" i="6"/>
  <c r="V245" i="6"/>
  <c r="W245" i="6"/>
  <c r="X245" i="6"/>
  <c r="Y245" i="6"/>
  <c r="V33" i="6"/>
  <c r="W33" i="6"/>
  <c r="X33" i="6"/>
  <c r="Y33" i="6"/>
  <c r="V79" i="6"/>
  <c r="W79" i="6"/>
  <c r="X79" i="6"/>
  <c r="Y79" i="6"/>
  <c r="V113" i="6"/>
  <c r="W113" i="6"/>
  <c r="X113" i="6"/>
  <c r="Y113" i="6"/>
  <c r="V246" i="6"/>
  <c r="W246" i="6"/>
  <c r="X246" i="6"/>
  <c r="Y246" i="6"/>
  <c r="V247" i="6"/>
  <c r="W247" i="6"/>
  <c r="X247" i="6"/>
  <c r="Y247" i="6"/>
  <c r="V286" i="6"/>
  <c r="W286" i="6"/>
  <c r="X286" i="6"/>
  <c r="Y286" i="6"/>
  <c r="V287" i="6"/>
  <c r="W287" i="6"/>
  <c r="X287" i="6"/>
  <c r="Y287" i="6"/>
  <c r="V34" i="6"/>
  <c r="W34" i="6"/>
  <c r="X34" i="6"/>
  <c r="Y34" i="6"/>
  <c r="V178" i="6"/>
  <c r="W178" i="6"/>
  <c r="X178" i="6"/>
  <c r="Y178" i="6"/>
  <c r="V154" i="6"/>
  <c r="W154" i="6"/>
  <c r="X154" i="6"/>
  <c r="Y154" i="6"/>
  <c r="V248" i="6"/>
  <c r="W248" i="6"/>
  <c r="X248" i="6"/>
  <c r="Y248" i="6"/>
  <c r="V276" i="6"/>
  <c r="W276" i="6"/>
  <c r="X276" i="6"/>
  <c r="Y276" i="6"/>
  <c r="V249" i="6"/>
  <c r="W249" i="6"/>
  <c r="X249" i="6"/>
  <c r="Y249" i="6"/>
  <c r="V80" i="6"/>
  <c r="W80" i="6"/>
  <c r="X80" i="6"/>
  <c r="Y80" i="6"/>
  <c r="V250" i="6"/>
  <c r="W250" i="6"/>
  <c r="X250" i="6"/>
  <c r="Y250" i="6"/>
  <c r="V81" i="6"/>
  <c r="W81" i="6"/>
  <c r="X81" i="6"/>
  <c r="Y81" i="6"/>
  <c r="V264" i="6"/>
  <c r="W264" i="6"/>
  <c r="X264" i="6"/>
  <c r="Y264" i="6"/>
  <c r="V162" i="6"/>
  <c r="W162" i="6"/>
  <c r="X162" i="6"/>
  <c r="Y162" i="6"/>
  <c r="V288" i="6"/>
  <c r="W288" i="6"/>
  <c r="X288" i="6"/>
  <c r="Y288" i="6"/>
  <c r="V145" i="6"/>
  <c r="W145" i="6"/>
  <c r="X145" i="6"/>
  <c r="Y145" i="6"/>
  <c r="V59" i="6"/>
  <c r="W59" i="6"/>
  <c r="X59" i="6"/>
  <c r="Y59" i="6"/>
  <c r="V216" i="6"/>
  <c r="W216" i="6"/>
  <c r="X216" i="6"/>
  <c r="Y216" i="6"/>
  <c r="V217" i="6"/>
  <c r="W217" i="6"/>
  <c r="X217" i="6"/>
  <c r="Y217" i="6"/>
  <c r="V218" i="6"/>
  <c r="W218" i="6"/>
  <c r="X218" i="6"/>
  <c r="Y218" i="6"/>
  <c r="V201" i="6"/>
  <c r="W201" i="6"/>
  <c r="X201" i="6"/>
  <c r="Y201" i="6"/>
  <c r="V219" i="6"/>
  <c r="W219" i="6"/>
  <c r="X219" i="6"/>
  <c r="Y219" i="6"/>
  <c r="V128" i="6"/>
  <c r="W128" i="6"/>
  <c r="X128" i="6"/>
  <c r="Y128" i="6"/>
  <c r="V146" i="6"/>
  <c r="W146" i="6"/>
  <c r="X146" i="6"/>
  <c r="Y146" i="6"/>
  <c r="V147" i="6"/>
  <c r="W147" i="6"/>
  <c r="X147" i="6"/>
  <c r="Y147" i="6"/>
  <c r="V179" i="6"/>
  <c r="W179" i="6"/>
  <c r="X179" i="6"/>
  <c r="Y179" i="6"/>
  <c r="V155" i="6"/>
  <c r="W155" i="6"/>
  <c r="X155" i="6"/>
  <c r="Y155" i="6"/>
  <c r="V220" i="6"/>
  <c r="W220" i="6"/>
  <c r="X220" i="6"/>
  <c r="Y220" i="6"/>
  <c r="V202" i="6"/>
  <c r="W202" i="6"/>
  <c r="X202" i="6"/>
  <c r="Y202" i="6"/>
  <c r="V221" i="6"/>
  <c r="W221" i="6"/>
  <c r="X221" i="6"/>
  <c r="Y221" i="6"/>
  <c r="V222" i="6"/>
  <c r="W222" i="6"/>
  <c r="X222" i="6"/>
  <c r="Y222" i="6"/>
  <c r="V203" i="6"/>
  <c r="W203" i="6"/>
  <c r="X203" i="6"/>
  <c r="Y203" i="6"/>
  <c r="V223" i="6"/>
  <c r="W223" i="6"/>
  <c r="X223" i="6"/>
  <c r="Y223" i="6"/>
  <c r="V224" i="6"/>
  <c r="W224" i="6"/>
  <c r="X224" i="6"/>
  <c r="Y224" i="6"/>
  <c r="V225" i="6"/>
  <c r="W225" i="6"/>
  <c r="X225" i="6"/>
  <c r="Y225" i="6"/>
  <c r="V148" i="6"/>
  <c r="W148" i="6"/>
  <c r="X148" i="6"/>
  <c r="Y148" i="6"/>
  <c r="V149" i="6"/>
  <c r="W149" i="6"/>
  <c r="X149" i="6"/>
  <c r="Y149" i="6"/>
  <c r="V150" i="6"/>
  <c r="W150" i="6"/>
  <c r="X150" i="6"/>
  <c r="Y150" i="6"/>
  <c r="V82" i="6"/>
  <c r="W82" i="6"/>
  <c r="X82" i="6"/>
  <c r="Y82" i="6"/>
  <c r="V186" i="6"/>
  <c r="W186" i="6"/>
  <c r="X186" i="6"/>
  <c r="Y186" i="6"/>
  <c r="V187" i="6"/>
  <c r="W187" i="6"/>
  <c r="X187" i="6"/>
  <c r="Y187" i="6"/>
  <c r="V188" i="6"/>
  <c r="W188" i="6"/>
  <c r="X188" i="6"/>
  <c r="Y188" i="6"/>
  <c r="V152" i="6"/>
  <c r="W152" i="6"/>
  <c r="X152" i="6"/>
  <c r="Y152" i="6"/>
  <c r="V156" i="6"/>
  <c r="W156" i="6"/>
  <c r="X156" i="6"/>
  <c r="Y156" i="6"/>
  <c r="V163" i="6"/>
  <c r="W163" i="6"/>
  <c r="X163" i="6"/>
  <c r="Y163" i="6"/>
  <c r="V169" i="6"/>
  <c r="W169" i="6"/>
  <c r="X169" i="6"/>
  <c r="Y169" i="6"/>
  <c r="V170" i="6"/>
  <c r="W170" i="6"/>
  <c r="X170" i="6"/>
  <c r="Y170" i="6"/>
  <c r="V180" i="6"/>
  <c r="W180" i="6"/>
  <c r="X180" i="6"/>
  <c r="Y180" i="6"/>
  <c r="V191" i="6"/>
  <c r="W191" i="6"/>
  <c r="X191" i="6"/>
  <c r="Y191" i="6"/>
  <c r="V189" i="6"/>
  <c r="W189" i="6"/>
  <c r="X189" i="6"/>
  <c r="Y189" i="6"/>
  <c r="V192" i="6"/>
  <c r="W192" i="6"/>
  <c r="X192" i="6"/>
  <c r="Y192" i="6"/>
  <c r="V195" i="6"/>
  <c r="W195" i="6"/>
  <c r="X195" i="6"/>
  <c r="Y195" i="6"/>
  <c r="V193" i="6"/>
  <c r="W193" i="6"/>
  <c r="X193" i="6"/>
  <c r="Y193" i="6"/>
  <c r="V194" i="6"/>
  <c r="W194" i="6"/>
  <c r="X194" i="6"/>
  <c r="Y194" i="6"/>
  <c r="V204" i="6"/>
  <c r="W204" i="6"/>
  <c r="X204" i="6"/>
  <c r="Y204" i="6"/>
  <c r="V226" i="6"/>
  <c r="W226" i="6"/>
  <c r="X226" i="6"/>
  <c r="Y226" i="6"/>
  <c r="V164" i="6"/>
  <c r="W164" i="6"/>
  <c r="X164" i="6"/>
  <c r="Y164" i="6"/>
  <c r="V251" i="6"/>
  <c r="W251" i="6"/>
  <c r="X251" i="6"/>
  <c r="Y251" i="6"/>
  <c r="V205" i="6"/>
  <c r="W205" i="6"/>
  <c r="X205" i="6"/>
  <c r="Y205" i="6"/>
  <c r="V252" i="6"/>
  <c r="W252" i="6"/>
  <c r="X252" i="6"/>
  <c r="Y252" i="6"/>
  <c r="V253" i="6"/>
  <c r="W253" i="6"/>
  <c r="X253" i="6"/>
  <c r="Y253" i="6"/>
  <c r="V254" i="6"/>
  <c r="W254" i="6"/>
  <c r="X254" i="6"/>
  <c r="Y254" i="6"/>
  <c r="V255" i="6"/>
  <c r="W255" i="6"/>
  <c r="X255" i="6"/>
  <c r="Y255" i="6"/>
  <c r="V277" i="6"/>
  <c r="W277" i="6"/>
  <c r="X277" i="6"/>
  <c r="Y277" i="6"/>
  <c r="V256" i="6"/>
  <c r="W256" i="6"/>
  <c r="X256" i="6"/>
  <c r="Y256" i="6"/>
  <c r="V257" i="6"/>
  <c r="W257" i="6"/>
  <c r="X257" i="6"/>
  <c r="Y257" i="6"/>
  <c r="V265" i="6"/>
  <c r="W265" i="6"/>
  <c r="X265" i="6"/>
  <c r="Y265" i="6"/>
  <c r="V266" i="6"/>
  <c r="W266" i="6"/>
  <c r="X266" i="6"/>
  <c r="Y266" i="6"/>
  <c r="V267" i="6"/>
  <c r="W267" i="6"/>
  <c r="X267" i="6"/>
  <c r="Y267" i="6"/>
  <c r="V278" i="6"/>
  <c r="W278" i="6"/>
  <c r="X278" i="6"/>
  <c r="Y278" i="6"/>
  <c r="V279" i="6"/>
  <c r="W279" i="6"/>
  <c r="X279" i="6"/>
  <c r="Y279" i="6"/>
  <c r="V280" i="6"/>
  <c r="W280" i="6"/>
  <c r="X280" i="6"/>
  <c r="Y280" i="6"/>
  <c r="V281" i="6"/>
  <c r="W281" i="6"/>
  <c r="X281" i="6"/>
  <c r="Y281" i="6"/>
  <c r="V227" i="6"/>
  <c r="W227" i="6"/>
  <c r="X227" i="6"/>
  <c r="Y227" i="6"/>
  <c r="V157" i="6"/>
  <c r="W157" i="6"/>
  <c r="X157" i="6"/>
  <c r="Y157" i="6"/>
  <c r="V35" i="6"/>
  <c r="W35" i="6"/>
  <c r="X35" i="6"/>
  <c r="Y35" i="6"/>
  <c r="V151" i="6"/>
  <c r="W151" i="6"/>
  <c r="X151" i="6"/>
  <c r="Y151" i="6"/>
  <c r="V289" i="6"/>
  <c r="W289" i="6"/>
  <c r="X289" i="6"/>
  <c r="Y289" i="6"/>
  <c r="V268" i="6"/>
  <c r="W268" i="6"/>
  <c r="X268" i="6"/>
  <c r="Y268" i="6"/>
  <c r="V269" i="6"/>
  <c r="W269" i="6"/>
  <c r="X269" i="6"/>
  <c r="Y269" i="6"/>
  <c r="V122" i="6"/>
  <c r="W122" i="6"/>
  <c r="X122" i="6"/>
  <c r="Y122" i="6"/>
  <c r="V228" i="6"/>
  <c r="W228" i="6"/>
  <c r="X228" i="6"/>
  <c r="Y228" i="6"/>
  <c r="V229" i="6"/>
  <c r="W229" i="6"/>
  <c r="X229" i="6"/>
  <c r="Y229" i="6"/>
  <c r="V230" i="6"/>
  <c r="W230" i="6"/>
  <c r="X230" i="6"/>
  <c r="Y230" i="6"/>
  <c r="V258" i="6"/>
  <c r="W258" i="6"/>
  <c r="X258" i="6"/>
  <c r="Y258" i="6"/>
  <c r="V270" i="6"/>
  <c r="W270" i="6"/>
  <c r="X270" i="6"/>
  <c r="Y270" i="6"/>
  <c r="V231" i="6"/>
  <c r="W231" i="6"/>
  <c r="X231" i="6"/>
  <c r="Y231" i="6"/>
  <c r="V83" i="6"/>
  <c r="W83" i="6"/>
  <c r="X83" i="6"/>
  <c r="Y83" i="6"/>
  <c r="V84" i="6"/>
  <c r="W84" i="6"/>
  <c r="X84" i="6"/>
  <c r="Y84" i="6"/>
  <c r="V63" i="6"/>
  <c r="W63" i="6"/>
  <c r="X63" i="6"/>
  <c r="Y63" i="6"/>
  <c r="V60" i="6"/>
  <c r="W60" i="6"/>
  <c r="X60" i="6"/>
  <c r="Y60" i="6"/>
  <c r="V290" i="6"/>
  <c r="W290" i="6"/>
  <c r="X290" i="6"/>
  <c r="Y290" i="6"/>
  <c r="V291" i="6"/>
  <c r="W291" i="6"/>
  <c r="X291" i="6"/>
  <c r="Y291" i="6"/>
  <c r="V292" i="6"/>
  <c r="W292" i="6"/>
  <c r="X292" i="6"/>
  <c r="Y292" i="6"/>
  <c r="V293" i="6"/>
  <c r="W293" i="6"/>
  <c r="X293" i="6"/>
  <c r="Y293" i="6"/>
  <c r="V294" i="6"/>
  <c r="W294" i="6"/>
  <c r="X294" i="6"/>
  <c r="Y294" i="6"/>
  <c r="V171" i="6"/>
  <c r="W171" i="6"/>
  <c r="X171" i="6"/>
  <c r="Y171" i="6"/>
  <c r="V172" i="6"/>
  <c r="W172" i="6"/>
  <c r="X172" i="6"/>
  <c r="Y172" i="6"/>
  <c r="V181" i="6"/>
  <c r="W181" i="6"/>
  <c r="X181" i="6"/>
  <c r="Y181" i="6"/>
  <c r="V158" i="6"/>
  <c r="W158" i="6"/>
  <c r="X158" i="6"/>
  <c r="Y158" i="6"/>
  <c r="V173" i="6"/>
  <c r="W173" i="6"/>
  <c r="X173" i="6"/>
  <c r="Y173" i="6"/>
  <c r="V259" i="6"/>
  <c r="W259" i="6"/>
  <c r="X259" i="6"/>
  <c r="Y259" i="6"/>
  <c r="V295" i="6"/>
  <c r="W295" i="6"/>
  <c r="X295" i="6"/>
  <c r="Y295" i="6"/>
  <c r="V61" i="6"/>
  <c r="W61" i="6"/>
  <c r="X61" i="6"/>
  <c r="Y61" i="6"/>
  <c r="V15" i="6"/>
  <c r="W15" i="6"/>
  <c r="X15" i="6"/>
  <c r="Y15" i="6"/>
  <c r="V16" i="6"/>
  <c r="W16" i="6"/>
  <c r="X16" i="6"/>
  <c r="Y16" i="6"/>
  <c r="V17" i="6"/>
  <c r="W17" i="6"/>
  <c r="X17" i="6"/>
  <c r="Y17" i="6"/>
  <c r="V18" i="6"/>
  <c r="W18" i="6"/>
  <c r="X18" i="6"/>
  <c r="Y18" i="6"/>
  <c r="V19" i="6"/>
  <c r="W19" i="6"/>
  <c r="X19" i="6"/>
  <c r="Y19" i="6"/>
  <c r="V20" i="6"/>
  <c r="W20" i="6"/>
  <c r="X20" i="6"/>
  <c r="Y20" i="6"/>
  <c r="V182" i="6"/>
  <c r="W182" i="6"/>
  <c r="X182" i="6"/>
  <c r="Y182" i="6"/>
  <c r="V36" i="6"/>
  <c r="W36" i="6"/>
  <c r="X36" i="6"/>
  <c r="Y36" i="6"/>
  <c r="V183" i="6"/>
  <c r="W183" i="6"/>
  <c r="X183" i="6"/>
  <c r="Y183" i="6"/>
  <c r="V297" i="6"/>
  <c r="W297" i="6"/>
  <c r="X297" i="6"/>
  <c r="Y297" i="6"/>
  <c r="V174" i="6"/>
  <c r="W174" i="6"/>
  <c r="X174" i="6"/>
  <c r="Y174" i="6"/>
  <c r="V184" i="6"/>
  <c r="W184" i="6"/>
  <c r="X184" i="6"/>
  <c r="Y184" i="6"/>
  <c r="V185" i="6"/>
  <c r="W185" i="6"/>
  <c r="X185" i="6"/>
  <c r="Y185" i="6"/>
  <c r="V102" i="6"/>
  <c r="W102" i="6"/>
  <c r="X102" i="6"/>
  <c r="Y102" i="6"/>
  <c r="V299" i="6"/>
  <c r="W299" i="6"/>
  <c r="X299" i="6"/>
  <c r="Y299" i="6"/>
  <c r="V300" i="6"/>
  <c r="W300" i="6"/>
  <c r="X300" i="6"/>
  <c r="Y300" i="6"/>
  <c r="V301" i="6"/>
  <c r="W301" i="6"/>
  <c r="X301" i="6"/>
  <c r="Y301" i="6"/>
  <c r="V302" i="6"/>
  <c r="W302" i="6"/>
  <c r="X302" i="6"/>
  <c r="Y302" i="6"/>
  <c r="V303" i="6"/>
  <c r="W303" i="6"/>
  <c r="X303" i="6"/>
  <c r="Y303" i="6"/>
  <c r="V304" i="6"/>
  <c r="W304" i="6"/>
  <c r="X304" i="6"/>
  <c r="Y304" i="6"/>
  <c r="V305" i="6"/>
  <c r="W305" i="6"/>
  <c r="X305" i="6"/>
  <c r="Y305" i="6"/>
  <c r="V306" i="6"/>
  <c r="W306" i="6"/>
  <c r="X306" i="6"/>
  <c r="Y306" i="6"/>
  <c r="V307" i="6"/>
  <c r="W307" i="6"/>
  <c r="X307" i="6"/>
  <c r="Y307" i="6"/>
  <c r="V308" i="6"/>
  <c r="W308" i="6"/>
  <c r="X308" i="6"/>
  <c r="Y308" i="6"/>
  <c r="V309" i="6"/>
  <c r="W309" i="6"/>
  <c r="X309" i="6"/>
  <c r="Y309" i="6"/>
  <c r="V310" i="6"/>
  <c r="W310" i="6"/>
  <c r="X310" i="6"/>
  <c r="Y310" i="6"/>
  <c r="V311" i="6"/>
  <c r="W311" i="6"/>
  <c r="X311" i="6"/>
  <c r="Y311" i="6"/>
  <c r="V312" i="6"/>
  <c r="W312" i="6"/>
  <c r="X312" i="6"/>
  <c r="Y312" i="6"/>
  <c r="V313" i="6"/>
  <c r="W313" i="6"/>
  <c r="X313" i="6"/>
  <c r="Y313" i="6"/>
  <c r="V315" i="6"/>
  <c r="W315" i="6"/>
  <c r="X315" i="6"/>
  <c r="Y315" i="6"/>
  <c r="V316" i="6"/>
  <c r="W316" i="6"/>
  <c r="X316" i="6"/>
  <c r="Y316" i="6"/>
  <c r="V317" i="6"/>
  <c r="W317" i="6"/>
  <c r="X317" i="6"/>
  <c r="Y317" i="6"/>
  <c r="V318" i="6"/>
  <c r="W318" i="6"/>
  <c r="X318" i="6"/>
  <c r="Y318" i="6"/>
  <c r="V319" i="6"/>
  <c r="W319" i="6"/>
  <c r="X319" i="6"/>
  <c r="Y319" i="6"/>
  <c r="V320" i="6"/>
  <c r="W320" i="6"/>
  <c r="X320" i="6"/>
  <c r="Y320" i="6"/>
  <c r="V321" i="6"/>
  <c r="W321" i="6"/>
  <c r="X321" i="6"/>
  <c r="Y321" i="6"/>
  <c r="V322" i="6"/>
  <c r="W322" i="6"/>
  <c r="X322" i="6"/>
  <c r="Y322" i="6"/>
  <c r="V323" i="6"/>
  <c r="W323" i="6"/>
  <c r="X323" i="6"/>
  <c r="Y323" i="6"/>
  <c r="V324" i="6"/>
  <c r="W324" i="6"/>
  <c r="X324" i="6"/>
  <c r="Y324" i="6"/>
  <c r="V325" i="6"/>
  <c r="W325" i="6"/>
  <c r="X325" i="6"/>
  <c r="Y325" i="6"/>
  <c r="V326" i="6"/>
  <c r="W326" i="6"/>
  <c r="X326" i="6"/>
  <c r="Y326" i="6"/>
  <c r="V327" i="6"/>
  <c r="W327" i="6"/>
  <c r="X327" i="6"/>
  <c r="Y327" i="6"/>
  <c r="V328" i="6"/>
  <c r="W328" i="6"/>
  <c r="X328" i="6"/>
  <c r="Y328" i="6"/>
  <c r="V329" i="6"/>
  <c r="W329" i="6"/>
  <c r="X329" i="6"/>
  <c r="Y329" i="6"/>
  <c r="V330" i="6"/>
  <c r="W330" i="6"/>
  <c r="X330" i="6"/>
  <c r="Y330" i="6"/>
  <c r="V331" i="6"/>
  <c r="W331" i="6"/>
  <c r="X331" i="6"/>
  <c r="Y331" i="6"/>
  <c r="V332" i="6"/>
  <c r="W332" i="6"/>
  <c r="X332" i="6"/>
  <c r="Y332" i="6"/>
  <c r="V333" i="6"/>
  <c r="W333" i="6"/>
  <c r="X333" i="6"/>
  <c r="Y333" i="6"/>
  <c r="V334" i="6"/>
  <c r="W334" i="6"/>
  <c r="X334" i="6"/>
  <c r="Y334" i="6"/>
  <c r="V335" i="6"/>
  <c r="W335" i="6"/>
  <c r="X335" i="6"/>
  <c r="Y335" i="6"/>
  <c r="V336" i="6"/>
  <c r="W336" i="6"/>
  <c r="X336" i="6"/>
  <c r="Y336" i="6"/>
  <c r="V337" i="6"/>
  <c r="W337" i="6"/>
  <c r="X337" i="6"/>
  <c r="Y337" i="6"/>
  <c r="V338" i="6"/>
  <c r="W338" i="6"/>
  <c r="X338" i="6"/>
  <c r="Y338" i="6"/>
  <c r="V339" i="6"/>
  <c r="W339" i="6"/>
  <c r="X339" i="6"/>
  <c r="Y339" i="6"/>
  <c r="V340" i="6"/>
  <c r="W340" i="6"/>
  <c r="X340" i="6"/>
  <c r="Y340" i="6"/>
  <c r="V341" i="6"/>
  <c r="W341" i="6"/>
  <c r="X341" i="6"/>
  <c r="Y341" i="6"/>
  <c r="V346" i="6"/>
  <c r="W346" i="6"/>
  <c r="X346" i="6"/>
  <c r="Y346" i="6"/>
  <c r="V342" i="6"/>
  <c r="W342" i="6"/>
  <c r="X342" i="6"/>
  <c r="Y342" i="6"/>
  <c r="V343" i="6"/>
  <c r="W343" i="6"/>
  <c r="X343" i="6"/>
  <c r="Y343" i="6"/>
  <c r="V347" i="6"/>
  <c r="W347" i="6"/>
  <c r="X347" i="6"/>
  <c r="Y347" i="6"/>
  <c r="V344" i="6"/>
  <c r="W344" i="6"/>
  <c r="X344" i="6"/>
  <c r="Y344" i="6"/>
  <c r="V345" i="6"/>
  <c r="W345" i="6"/>
  <c r="X345" i="6"/>
  <c r="Y345" i="6"/>
  <c r="V361" i="6"/>
  <c r="W361" i="6"/>
  <c r="X361" i="6"/>
  <c r="Y361" i="6"/>
  <c r="V348" i="6"/>
  <c r="W348" i="6"/>
  <c r="X348" i="6"/>
  <c r="Y348" i="6"/>
  <c r="V362" i="6"/>
  <c r="W362" i="6"/>
  <c r="X362" i="6"/>
  <c r="Y362" i="6"/>
  <c r="V349" i="6"/>
  <c r="W349" i="6"/>
  <c r="X349" i="6"/>
  <c r="Y349" i="6"/>
  <c r="V350" i="6"/>
  <c r="W350" i="6"/>
  <c r="X350" i="6"/>
  <c r="Y350" i="6"/>
  <c r="V351" i="6"/>
  <c r="W351" i="6"/>
  <c r="X351" i="6"/>
  <c r="Y351" i="6"/>
  <c r="V352" i="6"/>
  <c r="W352" i="6"/>
  <c r="X352" i="6"/>
  <c r="Y352" i="6"/>
  <c r="V353" i="6"/>
  <c r="W353" i="6"/>
  <c r="X353" i="6"/>
  <c r="Y353" i="6"/>
  <c r="V354" i="6"/>
  <c r="W354" i="6"/>
  <c r="X354" i="6"/>
  <c r="Y354" i="6"/>
  <c r="V355" i="6"/>
  <c r="W355" i="6"/>
  <c r="X355" i="6"/>
  <c r="Y355" i="6"/>
  <c r="V356" i="6"/>
  <c r="W356" i="6"/>
  <c r="X356" i="6"/>
  <c r="Y356" i="6"/>
  <c r="V363" i="6"/>
  <c r="W363" i="6"/>
  <c r="X363" i="6"/>
  <c r="Y363" i="6"/>
  <c r="V364" i="6"/>
  <c r="W364" i="6"/>
  <c r="X364" i="6"/>
  <c r="Y364" i="6"/>
  <c r="V365" i="6"/>
  <c r="W365" i="6"/>
  <c r="X365" i="6"/>
  <c r="Y365" i="6"/>
  <c r="V366" i="6"/>
  <c r="W366" i="6"/>
  <c r="X366" i="6"/>
  <c r="Y366" i="6"/>
  <c r="V367" i="6"/>
  <c r="W367" i="6"/>
  <c r="X367" i="6"/>
  <c r="Y367" i="6"/>
  <c r="V368" i="6"/>
  <c r="W368" i="6"/>
  <c r="X368" i="6"/>
  <c r="Y368" i="6"/>
  <c r="V369" i="6"/>
  <c r="W369" i="6"/>
  <c r="X369" i="6"/>
  <c r="Y369" i="6"/>
  <c r="V357" i="6"/>
  <c r="W357" i="6"/>
  <c r="X357" i="6"/>
  <c r="Y357" i="6"/>
  <c r="V358" i="6"/>
  <c r="W358" i="6"/>
  <c r="X358" i="6"/>
  <c r="Y358" i="6"/>
  <c r="V359" i="6"/>
  <c r="W359" i="6"/>
  <c r="X359" i="6"/>
  <c r="Y359" i="6"/>
  <c r="V360" i="6"/>
  <c r="W360" i="6"/>
  <c r="X360" i="6"/>
  <c r="Y360" i="6"/>
  <c r="V370" i="6"/>
  <c r="W370" i="6"/>
  <c r="X370" i="6"/>
  <c r="Y370" i="6"/>
  <c r="V371" i="6"/>
  <c r="W371" i="6"/>
  <c r="X371" i="6"/>
  <c r="Y371" i="6"/>
  <c r="V372" i="6"/>
  <c r="W372" i="6"/>
  <c r="X372" i="6"/>
  <c r="Y372" i="6"/>
  <c r="V373" i="6"/>
  <c r="W373" i="6"/>
  <c r="X373" i="6"/>
  <c r="Y373" i="6"/>
  <c r="V374" i="6"/>
  <c r="W374" i="6"/>
  <c r="X374" i="6"/>
  <c r="Y374" i="6"/>
  <c r="V375" i="6"/>
  <c r="W375" i="6"/>
  <c r="X375" i="6"/>
  <c r="Y375" i="6"/>
  <c r="V376" i="6"/>
  <c r="W376" i="6"/>
  <c r="X376" i="6"/>
  <c r="Y376" i="6"/>
  <c r="V377" i="6"/>
  <c r="W377" i="6"/>
  <c r="X377" i="6"/>
  <c r="Y377" i="6"/>
  <c r="V378" i="6"/>
  <c r="W378" i="6"/>
  <c r="X378" i="6"/>
  <c r="Y378" i="6"/>
  <c r="V379" i="6"/>
  <c r="W379" i="6"/>
  <c r="X379" i="6"/>
  <c r="Y379" i="6"/>
  <c r="V380" i="6"/>
  <c r="W380" i="6"/>
  <c r="X380" i="6"/>
  <c r="Y380" i="6"/>
  <c r="V383" i="6"/>
  <c r="W383" i="6"/>
  <c r="X383" i="6"/>
  <c r="Y383" i="6"/>
  <c r="V386" i="6"/>
  <c r="W386" i="6"/>
  <c r="X386" i="6"/>
  <c r="Y386" i="6"/>
  <c r="V382" i="6"/>
  <c r="W382" i="6"/>
  <c r="X382" i="6"/>
  <c r="Y382" i="6"/>
  <c r="V385" i="6"/>
  <c r="W385" i="6"/>
  <c r="X385" i="6"/>
  <c r="Y385" i="6"/>
  <c r="V384" i="6"/>
  <c r="W384" i="6"/>
  <c r="X384" i="6"/>
  <c r="Y384" i="6"/>
  <c r="V410" i="6"/>
  <c r="W410" i="6"/>
  <c r="X410" i="6"/>
  <c r="Y410" i="6"/>
  <c r="V388" i="6"/>
  <c r="W388" i="6"/>
  <c r="X388" i="6"/>
  <c r="Y388" i="6"/>
  <c r="V409" i="6"/>
  <c r="W409" i="6"/>
  <c r="X409" i="6"/>
  <c r="Y409" i="6"/>
  <c r="V408" i="6"/>
  <c r="W408" i="6"/>
  <c r="X408" i="6"/>
  <c r="Y408" i="6"/>
  <c r="V391" i="6"/>
  <c r="W391" i="6"/>
  <c r="X391" i="6"/>
  <c r="Y391" i="6"/>
  <c r="V392" i="6"/>
  <c r="W392" i="6"/>
  <c r="X392" i="6"/>
  <c r="Y392" i="6"/>
  <c r="V393" i="6"/>
  <c r="W393" i="6"/>
  <c r="X393" i="6"/>
  <c r="Y393" i="6"/>
  <c r="V394" i="6"/>
  <c r="W394" i="6"/>
  <c r="X394" i="6"/>
  <c r="Y394" i="6"/>
  <c r="V395" i="6"/>
  <c r="W395" i="6"/>
  <c r="X395" i="6"/>
  <c r="Y395" i="6"/>
  <c r="V390" i="6"/>
  <c r="W390" i="6"/>
  <c r="X390" i="6"/>
  <c r="Y390" i="6"/>
  <c r="V406" i="6"/>
  <c r="W406" i="6"/>
  <c r="X406" i="6"/>
  <c r="Y406" i="6"/>
  <c r="V396" i="6"/>
  <c r="W396" i="6"/>
  <c r="X396" i="6"/>
  <c r="Y396" i="6"/>
  <c r="V397" i="6"/>
  <c r="W397" i="6"/>
  <c r="X397" i="6"/>
  <c r="Y397" i="6"/>
  <c r="V398" i="6"/>
  <c r="W398" i="6"/>
  <c r="X398" i="6"/>
  <c r="Y398" i="6"/>
  <c r="V399" i="6"/>
  <c r="W399" i="6"/>
  <c r="X399" i="6"/>
  <c r="Y399" i="6"/>
  <c r="V400" i="6"/>
  <c r="W400" i="6"/>
  <c r="X400" i="6"/>
  <c r="Y400" i="6"/>
  <c r="V401" i="6"/>
  <c r="W401" i="6"/>
  <c r="X401" i="6"/>
  <c r="Y401" i="6"/>
  <c r="V387" i="6"/>
  <c r="W387" i="6"/>
  <c r="X387" i="6"/>
  <c r="Y387" i="6"/>
  <c r="V407" i="6"/>
  <c r="W407" i="6"/>
  <c r="X407" i="6"/>
  <c r="Y407" i="6"/>
  <c r="V402" i="6"/>
  <c r="W402" i="6"/>
  <c r="X402" i="6"/>
  <c r="Y402" i="6"/>
  <c r="V389" i="6"/>
  <c r="W389" i="6"/>
  <c r="X389" i="6"/>
  <c r="Y389" i="6"/>
  <c r="V411" i="6"/>
  <c r="W411" i="6"/>
  <c r="X411" i="6"/>
  <c r="Y411" i="6"/>
  <c r="V403" i="6"/>
  <c r="W403" i="6"/>
  <c r="X403" i="6"/>
  <c r="Y403" i="6"/>
  <c r="V404" i="6"/>
  <c r="W404" i="6"/>
  <c r="X404" i="6"/>
  <c r="Y404" i="6"/>
  <c r="V405" i="6"/>
  <c r="W405" i="6"/>
  <c r="X405" i="6"/>
  <c r="Y405" i="6"/>
  <c r="C408" i="6"/>
  <c r="C155" i="6"/>
  <c r="C116" i="6"/>
  <c r="C115" i="6"/>
  <c r="C389" i="6"/>
  <c r="C325" i="6"/>
  <c r="C391" i="6"/>
  <c r="C399" i="6"/>
  <c r="C401" i="6"/>
  <c r="C134" i="6"/>
  <c r="C117" i="6"/>
  <c r="C288" i="6"/>
  <c r="C6" i="6"/>
  <c r="C34" i="6"/>
  <c r="C7" i="6"/>
  <c r="C388" i="6"/>
  <c r="C407" i="6"/>
  <c r="C175" i="6"/>
  <c r="C387" i="6"/>
  <c r="C282" i="6"/>
  <c r="C179" i="6"/>
  <c r="C224" i="6"/>
  <c r="C335" i="6"/>
  <c r="C129" i="6"/>
  <c r="C5" i="6"/>
  <c r="C4" i="6"/>
  <c r="C3" i="6"/>
  <c r="C340" i="6"/>
  <c r="C396" i="6"/>
  <c r="C404" i="6"/>
  <c r="C2" i="6"/>
  <c r="C114" i="6"/>
  <c r="C286" i="6"/>
  <c r="C333" i="6"/>
  <c r="C10" i="6"/>
  <c r="C372" i="6"/>
  <c r="C377" i="6"/>
  <c r="C370" i="6"/>
  <c r="C359" i="6"/>
  <c r="C411" i="6"/>
  <c r="C30" i="6"/>
  <c r="C153" i="6"/>
  <c r="C406" i="6"/>
  <c r="C40" i="6"/>
  <c r="C45" i="6"/>
  <c r="C390" i="6"/>
  <c r="C11" i="6"/>
  <c r="C200" i="6"/>
  <c r="C255" i="6"/>
  <c r="C358" i="6"/>
  <c r="C27" i="6"/>
  <c r="C410" i="6"/>
  <c r="C392" i="6"/>
  <c r="C394" i="6"/>
  <c r="C397" i="6"/>
  <c r="C398" i="6"/>
  <c r="C400" i="6"/>
  <c r="C405" i="6"/>
  <c r="C275" i="6"/>
  <c r="C287" i="6"/>
  <c r="C402" i="6"/>
  <c r="C273" i="6"/>
  <c r="C331" i="6"/>
  <c r="C29" i="6"/>
  <c r="C403" i="6"/>
  <c r="C26" i="6"/>
  <c r="C77" i="6"/>
  <c r="C86" i="6"/>
  <c r="C44" i="6"/>
  <c r="C19" i="6"/>
  <c r="C154" i="6"/>
  <c r="C39" i="6"/>
  <c r="C17" i="6"/>
  <c r="C135" i="6"/>
  <c r="C284" i="6"/>
  <c r="C285" i="6"/>
  <c r="C24" i="6"/>
  <c r="C256" i="6"/>
  <c r="C303" i="6"/>
  <c r="C395" i="6"/>
  <c r="C61" i="6"/>
  <c r="C295" i="6"/>
  <c r="C16" i="6"/>
  <c r="C18" i="6"/>
  <c r="C251" i="6"/>
  <c r="C12" i="6"/>
  <c r="C367" i="6"/>
  <c r="C409" i="6"/>
  <c r="C260" i="6"/>
  <c r="C383" i="6"/>
  <c r="C230" i="6"/>
  <c r="C360" i="6"/>
  <c r="C80" i="6"/>
  <c r="C238" i="6"/>
  <c r="C227" i="6"/>
  <c r="C131" i="6"/>
  <c r="C15" i="6"/>
  <c r="C25" i="6"/>
  <c r="C43" i="6"/>
  <c r="C20" i="6"/>
  <c r="C322" i="6"/>
  <c r="C393" i="6"/>
  <c r="C259" i="6"/>
  <c r="C68" i="6"/>
  <c r="C266" i="6"/>
  <c r="C302" i="6"/>
  <c r="C311" i="6"/>
  <c r="C301" i="6"/>
  <c r="C329" i="6"/>
  <c r="C160" i="6"/>
  <c r="C161" i="6"/>
  <c r="C235" i="6"/>
  <c r="C276" i="6"/>
  <c r="C35" i="6"/>
  <c r="C233" i="6"/>
  <c r="C374" i="6"/>
  <c r="C323" i="6"/>
  <c r="C232" i="6"/>
  <c r="C37" i="6"/>
  <c r="C189" i="6"/>
  <c r="C192" i="6"/>
  <c r="C221" i="6"/>
  <c r="C193" i="6"/>
  <c r="C194" i="6"/>
  <c r="C236" i="6"/>
  <c r="C178" i="6"/>
  <c r="C66" i="6"/>
  <c r="C281" i="6"/>
  <c r="C213" i="6"/>
  <c r="C151" i="6"/>
  <c r="C97" i="6"/>
  <c r="C141" i="6"/>
  <c r="C289" i="6"/>
  <c r="C267" i="6"/>
  <c r="C237" i="6"/>
  <c r="C248" i="6"/>
  <c r="C246" i="6"/>
  <c r="C191" i="6"/>
  <c r="C99" i="6"/>
  <c r="C214" i="6"/>
  <c r="C64" i="6"/>
  <c r="C386" i="6"/>
  <c r="C346" i="6"/>
  <c r="C132" i="6"/>
  <c r="C265" i="6"/>
  <c r="C212" i="6"/>
  <c r="C102" i="6"/>
  <c r="C106" i="6"/>
  <c r="C165" i="6"/>
  <c r="C185" i="6"/>
  <c r="C263" i="6"/>
  <c r="C100" i="6"/>
  <c r="C258" i="6"/>
  <c r="C159" i="6"/>
  <c r="C88" i="6"/>
  <c r="C42" i="6"/>
  <c r="C41" i="6"/>
  <c r="C121" i="6"/>
  <c r="C57" i="6"/>
  <c r="C70" i="6"/>
  <c r="C305" i="6"/>
  <c r="C176" i="6"/>
  <c r="C110" i="6"/>
  <c r="C111" i="6"/>
  <c r="C81" i="6"/>
  <c r="C188" i="6"/>
  <c r="C74" i="6"/>
  <c r="C252" i="6"/>
  <c r="C384" i="6"/>
  <c r="C73" i="6"/>
  <c r="C14" i="6"/>
  <c r="C385" i="6"/>
  <c r="C38" i="6"/>
  <c r="C250" i="6"/>
  <c r="C162" i="6"/>
  <c r="C108" i="6"/>
  <c r="C109" i="6"/>
  <c r="C107" i="6"/>
  <c r="C163" i="6"/>
  <c r="C313" i="6"/>
  <c r="C324" i="6"/>
  <c r="C270" i="6"/>
  <c r="C112" i="6"/>
  <c r="C180" i="6"/>
  <c r="C229" i="6"/>
  <c r="C228" i="6"/>
  <c r="C279" i="6"/>
  <c r="C264" i="6"/>
  <c r="C76" i="6"/>
  <c r="C90" i="6"/>
  <c r="C249" i="6"/>
  <c r="C103" i="6"/>
  <c r="C95" i="6"/>
  <c r="C278" i="6"/>
  <c r="C245" i="6"/>
  <c r="C257" i="6"/>
  <c r="C150" i="6"/>
  <c r="C136" i="6"/>
  <c r="C152" i="6"/>
  <c r="C156" i="6"/>
  <c r="C101" i="6"/>
  <c r="C56" i="6"/>
  <c r="C89" i="6"/>
  <c r="C91" i="6"/>
  <c r="C223" i="6"/>
  <c r="C364" i="6"/>
  <c r="C130" i="6"/>
  <c r="C59" i="6"/>
  <c r="C65" i="6"/>
  <c r="C93" i="6"/>
  <c r="C261" i="6"/>
  <c r="C96" i="6"/>
  <c r="C71" i="6"/>
  <c r="C216" i="6"/>
  <c r="C148" i="6"/>
  <c r="C308" i="6"/>
  <c r="C328" i="6"/>
  <c r="C283" i="6"/>
  <c r="C137" i="6"/>
  <c r="C75" i="6"/>
  <c r="C92" i="6"/>
  <c r="C262" i="6"/>
  <c r="C149" i="6"/>
  <c r="C312" i="6"/>
  <c r="C363" i="6"/>
  <c r="C269" i="6"/>
  <c r="C172" i="6"/>
  <c r="C203" i="6"/>
  <c r="C69" i="6"/>
  <c r="C124" i="6"/>
  <c r="C145" i="6"/>
  <c r="C94" i="6"/>
  <c r="C208" i="6"/>
  <c r="C123" i="6"/>
  <c r="C371" i="6"/>
  <c r="C321" i="6"/>
  <c r="C254" i="6"/>
  <c r="C243" i="6"/>
  <c r="C207" i="6"/>
  <c r="C272" i="6"/>
  <c r="C31" i="6"/>
  <c r="C138" i="6"/>
  <c r="C297" i="6"/>
  <c r="C173" i="6"/>
  <c r="C105" i="6"/>
  <c r="C205" i="6"/>
  <c r="C304" i="6"/>
  <c r="C98" i="6"/>
  <c r="C170" i="6"/>
  <c r="C169" i="6"/>
  <c r="C379" i="6"/>
  <c r="C53" i="6"/>
  <c r="C127" i="6"/>
  <c r="C84" i="6"/>
  <c r="C375" i="6"/>
  <c r="C60" i="6"/>
  <c r="C277" i="6"/>
  <c r="C247" i="6"/>
  <c r="C300" i="6"/>
  <c r="C307" i="6"/>
  <c r="C320" i="6"/>
  <c r="C79" i="6"/>
  <c r="C291" i="6"/>
  <c r="C222" i="6"/>
  <c r="C126" i="6"/>
  <c r="C133" i="6"/>
  <c r="C125" i="6"/>
  <c r="C33" i="6"/>
  <c r="C128" i="6"/>
  <c r="C271" i="6"/>
  <c r="C274" i="6"/>
  <c r="C240" i="6"/>
  <c r="C204" i="6"/>
  <c r="C171" i="6"/>
  <c r="C164" i="6"/>
  <c r="C326" i="6"/>
  <c r="C369" i="6"/>
  <c r="C365" i="6"/>
  <c r="C368" i="6"/>
  <c r="C142" i="6"/>
  <c r="C241" i="6"/>
  <c r="C67" i="6"/>
  <c r="C85" i="6"/>
  <c r="C199" i="6"/>
  <c r="C206" i="6"/>
  <c r="C113" i="6"/>
  <c r="C174" i="6"/>
  <c r="C299" i="6"/>
  <c r="C58" i="6"/>
  <c r="C253" i="6"/>
  <c r="C290" i="6"/>
  <c r="C146" i="6"/>
  <c r="C234" i="6"/>
  <c r="C87" i="6"/>
  <c r="C336" i="6"/>
  <c r="C183" i="6"/>
  <c r="C244" i="6"/>
  <c r="C177" i="6"/>
  <c r="C104" i="6"/>
  <c r="C239" i="6"/>
  <c r="C47" i="6"/>
  <c r="C158" i="6"/>
  <c r="C63" i="6"/>
  <c r="C36" i="6"/>
  <c r="C330" i="6"/>
  <c r="C167" i="6"/>
  <c r="C82" i="6"/>
  <c r="C293" i="6"/>
  <c r="C32" i="6"/>
  <c r="C119" i="6"/>
  <c r="C182" i="6"/>
  <c r="C83" i="6"/>
  <c r="C215" i="6"/>
  <c r="C354" i="6"/>
  <c r="C292" i="6"/>
  <c r="C226" i="6"/>
  <c r="C72" i="6"/>
  <c r="C197" i="6"/>
  <c r="C184" i="6"/>
  <c r="C211" i="6"/>
  <c r="C357" i="6"/>
  <c r="C62" i="6"/>
  <c r="C202" i="6"/>
  <c r="C147" i="6"/>
  <c r="C378" i="6"/>
  <c r="C157" i="6"/>
  <c r="C355" i="6"/>
  <c r="C334" i="6"/>
  <c r="C23" i="6"/>
  <c r="C201" i="6"/>
  <c r="C294" i="6"/>
  <c r="C21" i="6"/>
  <c r="C242" i="6"/>
  <c r="C186" i="6"/>
  <c r="C122" i="6"/>
  <c r="C166" i="6"/>
  <c r="C382" i="6"/>
  <c r="C8" i="6"/>
  <c r="C231" i="6"/>
  <c r="C51" i="6"/>
  <c r="C220" i="6"/>
  <c r="C22" i="6"/>
  <c r="C348" i="6"/>
  <c r="C218" i="6"/>
  <c r="C344" i="6"/>
  <c r="C306" i="6"/>
  <c r="C181" i="6"/>
  <c r="C196" i="6"/>
  <c r="C144" i="6"/>
  <c r="C118" i="6"/>
  <c r="C352" i="6"/>
  <c r="C219" i="6"/>
  <c r="C28" i="6"/>
  <c r="C209" i="6"/>
  <c r="C54" i="6"/>
  <c r="C55" i="6"/>
  <c r="C48" i="6"/>
  <c r="C309" i="6"/>
  <c r="C310" i="6"/>
  <c r="C187" i="6"/>
  <c r="C195" i="6"/>
  <c r="C332" i="6"/>
  <c r="C353" i="6"/>
  <c r="C190" i="6"/>
  <c r="C9" i="6"/>
  <c r="C52" i="6"/>
  <c r="C78" i="6"/>
  <c r="C345" i="6"/>
  <c r="C268" i="6"/>
  <c r="C120" i="6"/>
  <c r="C373" i="6"/>
  <c r="C50" i="6"/>
  <c r="C49" i="6"/>
  <c r="C143" i="6"/>
  <c r="C362" i="6"/>
  <c r="C198" i="6"/>
  <c r="C13" i="6"/>
  <c r="C376" i="6"/>
  <c r="C361" i="6"/>
  <c r="C315" i="6"/>
  <c r="C380" i="6"/>
  <c r="C46" i="6"/>
  <c r="C316" i="6"/>
  <c r="C317" i="6"/>
  <c r="C342" i="6"/>
  <c r="C343" i="6"/>
  <c r="C210" i="6"/>
  <c r="C217" i="6"/>
  <c r="C339" i="6"/>
  <c r="C356" i="6"/>
  <c r="C296" i="6"/>
  <c r="C338" i="6"/>
  <c r="C319" i="6"/>
  <c r="C337" i="6"/>
  <c r="C318" i="6"/>
  <c r="C366" i="6"/>
  <c r="C341" i="6"/>
  <c r="C349" i="6"/>
  <c r="C347" i="6"/>
  <c r="C350" i="6"/>
  <c r="C351" i="6"/>
  <c r="C168" i="6"/>
  <c r="C280" i="6"/>
  <c r="C327" i="6"/>
  <c r="C225" i="6"/>
  <c r="B327" i="6"/>
  <c r="B280" i="6"/>
  <c r="B168" i="6"/>
  <c r="B351" i="6"/>
  <c r="B350" i="6"/>
  <c r="B347" i="6"/>
  <c r="B349" i="6"/>
  <c r="B341" i="6"/>
  <c r="B366" i="6"/>
  <c r="B318" i="6"/>
  <c r="B337" i="6"/>
  <c r="B319" i="6"/>
  <c r="B338" i="6"/>
  <c r="B296" i="6"/>
  <c r="B356" i="6"/>
  <c r="B339" i="6"/>
  <c r="B217" i="6"/>
  <c r="B210" i="6"/>
  <c r="B343" i="6"/>
  <c r="B342" i="6"/>
  <c r="B317" i="6"/>
  <c r="B316" i="6"/>
  <c r="B46" i="6"/>
  <c r="B380" i="6"/>
  <c r="B315" i="6"/>
  <c r="B361" i="6"/>
  <c r="B376" i="6"/>
  <c r="B13" i="6"/>
  <c r="B198" i="6"/>
  <c r="B362" i="6"/>
  <c r="B143" i="6"/>
  <c r="B49" i="6"/>
  <c r="B50" i="6"/>
  <c r="B373" i="6"/>
  <c r="B120" i="6"/>
  <c r="B268" i="6"/>
  <c r="B345" i="6"/>
  <c r="B78" i="6"/>
  <c r="B52" i="6"/>
  <c r="B9" i="6"/>
  <c r="B190" i="6"/>
  <c r="B353" i="6"/>
  <c r="B332" i="6"/>
  <c r="B195" i="6"/>
  <c r="B310" i="6"/>
  <c r="B309" i="6"/>
  <c r="B48" i="6"/>
  <c r="B55" i="6"/>
  <c r="B54" i="6"/>
  <c r="B209" i="6"/>
  <c r="B28" i="6"/>
  <c r="B219" i="6"/>
  <c r="B352" i="6"/>
  <c r="B118" i="6"/>
  <c r="B144" i="6"/>
  <c r="B196" i="6"/>
  <c r="B181" i="6"/>
  <c r="B306" i="6"/>
  <c r="B344" i="6"/>
  <c r="B218" i="6"/>
  <c r="B348" i="6"/>
  <c r="B22" i="6"/>
  <c r="B220" i="6"/>
  <c r="B51" i="6"/>
  <c r="B231" i="6"/>
  <c r="B8" i="6"/>
  <c r="B382" i="6"/>
  <c r="B166" i="6"/>
  <c r="B122" i="6"/>
  <c r="B186" i="6"/>
  <c r="B242" i="6"/>
  <c r="B21" i="6"/>
  <c r="B294" i="6"/>
  <c r="B201" i="6"/>
  <c r="B23" i="6"/>
  <c r="B334" i="6"/>
  <c r="B355" i="6"/>
  <c r="B157" i="6"/>
  <c r="B378" i="6"/>
  <c r="B147" i="6"/>
  <c r="B202" i="6"/>
  <c r="B62" i="6"/>
  <c r="B357" i="6"/>
  <c r="B211" i="6"/>
  <c r="B184" i="6"/>
  <c r="B197" i="6"/>
  <c r="B72" i="6"/>
  <c r="B226" i="6"/>
  <c r="B292" i="6"/>
  <c r="B354" i="6"/>
  <c r="B215" i="6"/>
  <c r="B83" i="6"/>
  <c r="B182" i="6"/>
  <c r="B119" i="6"/>
  <c r="B32" i="6"/>
  <c r="B293" i="6"/>
  <c r="B82" i="6"/>
  <c r="B167" i="6"/>
  <c r="B330" i="6"/>
  <c r="B36" i="6"/>
  <c r="B63" i="6"/>
  <c r="B158" i="6"/>
  <c r="B47" i="6"/>
  <c r="B239" i="6"/>
  <c r="B104" i="6"/>
  <c r="B177" i="6"/>
  <c r="B244" i="6"/>
  <c r="B183" i="6"/>
  <c r="B336" i="6"/>
  <c r="B87" i="6"/>
  <c r="B234" i="6"/>
  <c r="B146" i="6"/>
  <c r="B290" i="6"/>
  <c r="B253" i="6"/>
  <c r="B58" i="6"/>
  <c r="B299" i="6"/>
  <c r="B174" i="6"/>
  <c r="B113" i="6"/>
  <c r="B206" i="6"/>
  <c r="B199" i="6"/>
  <c r="B85" i="6"/>
  <c r="B67" i="6"/>
  <c r="B241" i="6"/>
  <c r="B142" i="6"/>
  <c r="B368" i="6"/>
  <c r="B365" i="6"/>
  <c r="B369" i="6"/>
  <c r="B326" i="6"/>
  <c r="B164" i="6"/>
  <c r="B171" i="6"/>
  <c r="B204" i="6"/>
  <c r="B240" i="6"/>
  <c r="B274" i="6"/>
  <c r="B271" i="6"/>
  <c r="B128" i="6"/>
  <c r="B33" i="6"/>
  <c r="B125" i="6"/>
  <c r="B133" i="6"/>
  <c r="B126" i="6"/>
  <c r="B222" i="6"/>
  <c r="B291" i="6"/>
  <c r="B79" i="6"/>
  <c r="B320" i="6"/>
  <c r="B307" i="6"/>
  <c r="B300" i="6"/>
  <c r="B247" i="6"/>
  <c r="B277" i="6"/>
  <c r="B60" i="6"/>
  <c r="B375" i="6"/>
  <c r="B84" i="6"/>
  <c r="B127" i="6"/>
  <c r="B53" i="6"/>
  <c r="B379" i="6"/>
  <c r="B169" i="6"/>
  <c r="B170" i="6"/>
  <c r="B98" i="6"/>
  <c r="B304" i="6"/>
  <c r="B205" i="6"/>
  <c r="B105" i="6"/>
  <c r="B173" i="6"/>
  <c r="B297" i="6"/>
  <c r="B138" i="6"/>
  <c r="B31" i="6"/>
  <c r="B272" i="6"/>
  <c r="B207" i="6"/>
  <c r="B243" i="6"/>
  <c r="B254" i="6"/>
  <c r="B321" i="6"/>
  <c r="B371" i="6"/>
  <c r="B123" i="6"/>
  <c r="B208" i="6"/>
  <c r="B94" i="6"/>
  <c r="B145" i="6"/>
  <c r="B124" i="6"/>
  <c r="B69" i="6"/>
  <c r="B203" i="6"/>
  <c r="B172" i="6"/>
  <c r="B269" i="6"/>
  <c r="B363" i="6"/>
  <c r="B312" i="6"/>
  <c r="B149" i="6"/>
  <c r="B262" i="6"/>
  <c r="B92" i="6"/>
  <c r="B75" i="6"/>
  <c r="B137" i="6"/>
  <c r="B283" i="6"/>
  <c r="B328" i="6"/>
  <c r="B308" i="6"/>
  <c r="B148" i="6"/>
  <c r="B216" i="6"/>
  <c r="B71" i="6"/>
  <c r="B96" i="6"/>
  <c r="B261" i="6"/>
  <c r="B93" i="6"/>
  <c r="B65" i="6"/>
  <c r="B59" i="6"/>
  <c r="B130" i="6"/>
  <c r="B364" i="6"/>
  <c r="B223" i="6"/>
  <c r="B91" i="6"/>
  <c r="B89" i="6"/>
  <c r="B56" i="6"/>
  <c r="B101" i="6"/>
  <c r="B156" i="6"/>
  <c r="B152" i="6"/>
  <c r="B136" i="6"/>
  <c r="B150" i="6"/>
  <c r="B257" i="6"/>
  <c r="B245" i="6"/>
  <c r="B278" i="6"/>
  <c r="B95" i="6"/>
  <c r="B103" i="6"/>
  <c r="B249" i="6"/>
  <c r="B90" i="6"/>
  <c r="B76" i="6"/>
  <c r="B264" i="6"/>
  <c r="B279" i="6"/>
  <c r="B228" i="6"/>
  <c r="B229" i="6"/>
  <c r="B180" i="6"/>
  <c r="B112" i="6"/>
  <c r="B324" i="6"/>
  <c r="B313" i="6"/>
  <c r="B163" i="6"/>
  <c r="B107" i="6"/>
  <c r="B109" i="6"/>
  <c r="B108" i="6"/>
  <c r="B162" i="6"/>
  <c r="B250" i="6"/>
  <c r="B38" i="6"/>
  <c r="B385" i="6"/>
  <c r="B14" i="6"/>
  <c r="B73" i="6"/>
  <c r="B384" i="6"/>
  <c r="B252" i="6"/>
  <c r="B74" i="6"/>
  <c r="B81" i="6"/>
  <c r="B111" i="6"/>
  <c r="B110" i="6"/>
  <c r="B176" i="6"/>
  <c r="B305" i="6"/>
  <c r="B70" i="6"/>
  <c r="B57" i="6"/>
  <c r="B121" i="6"/>
  <c r="B41" i="6"/>
  <c r="B42" i="6"/>
  <c r="B88" i="6"/>
  <c r="B159" i="6"/>
  <c r="B258" i="6"/>
  <c r="B100" i="6"/>
  <c r="B263" i="6"/>
  <c r="B185" i="6"/>
  <c r="B165" i="6"/>
  <c r="B106" i="6"/>
  <c r="B102" i="6"/>
  <c r="B212" i="6"/>
  <c r="B265" i="6"/>
  <c r="B132" i="6"/>
  <c r="B346" i="6"/>
  <c r="B386" i="6"/>
  <c r="B64" i="6"/>
  <c r="B214" i="6"/>
  <c r="B99" i="6"/>
  <c r="B191" i="6"/>
  <c r="B246" i="6"/>
  <c r="B248" i="6"/>
  <c r="B237" i="6"/>
  <c r="B267" i="6"/>
  <c r="B289" i="6"/>
  <c r="B141" i="6"/>
  <c r="B97" i="6"/>
  <c r="B151" i="6"/>
  <c r="B213" i="6"/>
  <c r="B281" i="6"/>
  <c r="B178" i="6"/>
  <c r="B236" i="6"/>
  <c r="B194" i="6"/>
  <c r="B193" i="6"/>
  <c r="B221" i="6"/>
  <c r="B192" i="6"/>
  <c r="B189" i="6"/>
  <c r="B37" i="6"/>
  <c r="B232" i="6"/>
  <c r="B323" i="6"/>
  <c r="B374" i="6"/>
  <c r="B233" i="6"/>
  <c r="B35" i="6"/>
  <c r="B276" i="6"/>
  <c r="B235" i="6"/>
  <c r="B161" i="6"/>
  <c r="B160" i="6"/>
  <c r="B329" i="6"/>
  <c r="B301" i="6"/>
  <c r="B311" i="6"/>
  <c r="B302" i="6"/>
  <c r="B266" i="6"/>
  <c r="B68" i="6"/>
  <c r="B259" i="6"/>
  <c r="B393" i="6"/>
  <c r="B322" i="6"/>
  <c r="B20" i="6"/>
  <c r="B43" i="6"/>
  <c r="B25" i="6"/>
  <c r="B15" i="6"/>
  <c r="B131" i="6"/>
  <c r="B227" i="6"/>
  <c r="B238" i="6"/>
  <c r="B80" i="6"/>
  <c r="B360" i="6"/>
  <c r="B230" i="6"/>
  <c r="B383" i="6"/>
  <c r="B260" i="6"/>
  <c r="B409" i="6"/>
  <c r="B367" i="6"/>
  <c r="B12" i="6"/>
  <c r="B251" i="6"/>
  <c r="B18" i="6"/>
  <c r="B16" i="6"/>
  <c r="B295" i="6"/>
  <c r="B61" i="6"/>
  <c r="B395" i="6"/>
  <c r="B303" i="6"/>
  <c r="B256" i="6"/>
  <c r="B24" i="6"/>
  <c r="B285" i="6"/>
  <c r="B284" i="6"/>
  <c r="B135" i="6"/>
  <c r="B17" i="6"/>
  <c r="B39" i="6"/>
  <c r="B154" i="6"/>
  <c r="B19" i="6"/>
  <c r="B44" i="6"/>
  <c r="B86" i="6"/>
  <c r="B77" i="6"/>
  <c r="B26" i="6"/>
  <c r="B403" i="6"/>
  <c r="B29" i="6"/>
  <c r="B331" i="6"/>
  <c r="B273" i="6"/>
  <c r="B402" i="6"/>
  <c r="B287" i="6"/>
  <c r="B275" i="6"/>
  <c r="B405" i="6"/>
  <c r="B400" i="6"/>
  <c r="B398" i="6"/>
  <c r="B397" i="6"/>
  <c r="B394" i="6"/>
  <c r="B392" i="6"/>
  <c r="B410" i="6"/>
  <c r="B27" i="6"/>
  <c r="B358" i="6"/>
  <c r="B255" i="6"/>
  <c r="B200" i="6"/>
  <c r="B11" i="6"/>
  <c r="B390" i="6"/>
  <c r="B45" i="6"/>
  <c r="B40" i="6"/>
  <c r="B406" i="6"/>
  <c r="B153" i="6"/>
  <c r="B30" i="6"/>
  <c r="B411" i="6"/>
  <c r="B359" i="6"/>
  <c r="B370" i="6"/>
  <c r="B377" i="6"/>
  <c r="B372" i="6"/>
  <c r="B10" i="6"/>
  <c r="B333" i="6"/>
  <c r="B286" i="6"/>
  <c r="B114" i="6"/>
  <c r="B2" i="6"/>
  <c r="B404" i="6"/>
  <c r="B396" i="6"/>
  <c r="B340" i="6"/>
  <c r="B3" i="6"/>
  <c r="B4" i="6"/>
  <c r="B5" i="6"/>
  <c r="B129" i="6"/>
  <c r="B335" i="6"/>
  <c r="B224" i="6"/>
  <c r="B179" i="6"/>
  <c r="B282" i="6"/>
  <c r="B387" i="6"/>
  <c r="B175" i="6"/>
  <c r="B407" i="6"/>
  <c r="B388" i="6"/>
  <c r="B7" i="6"/>
  <c r="B34" i="6"/>
  <c r="B6" i="6"/>
  <c r="B288" i="6"/>
  <c r="B117" i="6"/>
  <c r="B134" i="6"/>
  <c r="B401" i="6"/>
  <c r="B399" i="6"/>
  <c r="B391" i="6"/>
  <c r="B325" i="6"/>
  <c r="B389" i="6"/>
  <c r="B115" i="6"/>
  <c r="B116" i="6"/>
  <c r="B155" i="6"/>
  <c r="B408" i="6"/>
  <c r="B225" i="6"/>
  <c r="A3" i="8"/>
  <c r="AD3" i="8"/>
  <c r="AE3" i="8"/>
  <c r="AF3" i="8"/>
  <c r="AG3" i="8"/>
  <c r="AH3" i="8"/>
  <c r="AI3" i="8"/>
  <c r="AJ3" i="8"/>
  <c r="AK3" i="8"/>
  <c r="AL3" i="8"/>
  <c r="A4" i="8"/>
  <c r="AD4" i="8"/>
  <c r="AE4" i="8"/>
  <c r="AF4" i="8"/>
  <c r="AG4" i="8"/>
  <c r="AH4" i="8"/>
  <c r="AI4" i="8"/>
  <c r="AJ4" i="8"/>
  <c r="AK4" i="8"/>
  <c r="AL4" i="8"/>
  <c r="A5" i="8"/>
  <c r="AD5" i="8"/>
  <c r="AE5" i="8"/>
  <c r="AF5" i="8"/>
  <c r="AG5" i="8"/>
  <c r="AH5" i="8"/>
  <c r="AI5" i="8"/>
  <c r="AJ5" i="8"/>
  <c r="AK5" i="8"/>
  <c r="AL5" i="8"/>
  <c r="A6" i="8"/>
  <c r="AD6" i="8"/>
  <c r="AE6" i="8"/>
  <c r="AF6" i="8"/>
  <c r="AG6" i="8"/>
  <c r="AH6" i="8"/>
  <c r="AI6" i="8"/>
  <c r="AJ6" i="8"/>
  <c r="AK6" i="8"/>
  <c r="AL6" i="8"/>
  <c r="A7" i="8"/>
  <c r="AD7" i="8"/>
  <c r="AE7" i="8"/>
  <c r="AF7" i="8"/>
  <c r="AG7" i="8"/>
  <c r="AH7" i="8"/>
  <c r="AI7" i="8"/>
  <c r="AJ7" i="8"/>
  <c r="AK7" i="8"/>
  <c r="AL7" i="8"/>
  <c r="A8" i="8"/>
  <c r="AD8" i="8"/>
  <c r="AE8" i="8"/>
  <c r="AF8" i="8"/>
  <c r="AG8" i="8"/>
  <c r="AH8" i="8"/>
  <c r="AI8" i="8"/>
  <c r="AJ8" i="8"/>
  <c r="AK8" i="8"/>
  <c r="AL8" i="8"/>
  <c r="A9" i="8"/>
  <c r="AD9" i="8"/>
  <c r="AE9" i="8"/>
  <c r="AF9" i="8"/>
  <c r="AG9" i="8"/>
  <c r="AH9" i="8"/>
  <c r="AI9" i="8"/>
  <c r="AJ9" i="8"/>
  <c r="AK9" i="8"/>
  <c r="AL9" i="8"/>
  <c r="A10" i="8"/>
  <c r="AD10" i="8"/>
  <c r="AE10" i="8"/>
  <c r="AF10" i="8"/>
  <c r="AG10" i="8"/>
  <c r="AH10" i="8"/>
  <c r="AI10" i="8"/>
  <c r="AJ10" i="8"/>
  <c r="AK10" i="8"/>
  <c r="AL10" i="8"/>
  <c r="A11" i="8"/>
  <c r="AD11" i="8"/>
  <c r="AE11" i="8"/>
  <c r="AF11" i="8"/>
  <c r="AG11" i="8"/>
  <c r="AH11" i="8"/>
  <c r="AI11" i="8"/>
  <c r="AJ11" i="8"/>
  <c r="AK11" i="8"/>
  <c r="AL11" i="8"/>
  <c r="A12" i="8"/>
  <c r="AD12" i="8"/>
  <c r="AE12" i="8"/>
  <c r="AF12" i="8"/>
  <c r="AG12" i="8"/>
  <c r="AH12" i="8"/>
  <c r="AI12" i="8"/>
  <c r="AJ12" i="8"/>
  <c r="AK12" i="8"/>
  <c r="AL12" i="8"/>
  <c r="AM12" i="8"/>
  <c r="AN12" i="8"/>
  <c r="AO12" i="8"/>
  <c r="A13" i="8"/>
  <c r="AD13" i="8"/>
  <c r="AE13" i="8"/>
  <c r="AF13" i="8"/>
  <c r="AG13" i="8"/>
  <c r="AH13" i="8"/>
  <c r="AI13" i="8"/>
  <c r="AJ13" i="8"/>
  <c r="AK13" i="8"/>
  <c r="AL13" i="8"/>
  <c r="AM13" i="8"/>
  <c r="AN13" i="8"/>
  <c r="AO13" i="8"/>
  <c r="A14" i="8"/>
  <c r="AD14" i="8"/>
  <c r="AE14" i="8"/>
  <c r="AF14" i="8"/>
  <c r="AG14" i="8"/>
  <c r="AH14" i="8"/>
  <c r="AI14" i="8"/>
  <c r="AJ14" i="8"/>
  <c r="AK14" i="8"/>
  <c r="AL14" i="8"/>
  <c r="A15" i="8"/>
  <c r="AD15" i="8"/>
  <c r="AE15" i="8"/>
  <c r="AF15" i="8"/>
  <c r="AG15" i="8"/>
  <c r="AH15" i="8"/>
  <c r="AI15" i="8"/>
  <c r="AJ15" i="8"/>
  <c r="AK15" i="8"/>
  <c r="AL15" i="8"/>
  <c r="A16" i="8"/>
  <c r="AD16" i="8"/>
  <c r="AE16" i="8"/>
  <c r="AF16" i="8"/>
  <c r="AG16" i="8"/>
  <c r="AH16" i="8"/>
  <c r="AI16" i="8"/>
  <c r="AJ16" i="8"/>
  <c r="AK16" i="8"/>
  <c r="AL16" i="8"/>
  <c r="A17" i="8"/>
  <c r="AD17" i="8"/>
  <c r="AE17" i="8"/>
  <c r="AF17" i="8"/>
  <c r="AG17" i="8"/>
  <c r="AH17" i="8"/>
  <c r="AI17" i="8"/>
  <c r="AJ17" i="8"/>
  <c r="AK17" i="8"/>
  <c r="AL17" i="8"/>
  <c r="AM17" i="8"/>
  <c r="AN17" i="8"/>
  <c r="AO17" i="8"/>
  <c r="A18" i="8"/>
  <c r="AD18" i="8"/>
  <c r="AE18" i="8"/>
  <c r="AF18" i="8"/>
  <c r="AG18" i="8"/>
  <c r="AH18" i="8"/>
  <c r="AI18" i="8"/>
  <c r="AJ18" i="8"/>
  <c r="AK18" i="8"/>
  <c r="AL18" i="8"/>
  <c r="AM18" i="8"/>
  <c r="AN18" i="8"/>
  <c r="AO18" i="8"/>
  <c r="A19" i="8"/>
  <c r="AD19" i="8"/>
  <c r="AE19" i="8"/>
  <c r="AF19" i="8"/>
  <c r="AG19" i="8"/>
  <c r="AH19" i="8"/>
  <c r="AI19" i="8"/>
  <c r="AJ19" i="8"/>
  <c r="AK19" i="8"/>
  <c r="AL19" i="8"/>
  <c r="AM19" i="8"/>
  <c r="AN19" i="8"/>
  <c r="AO19" i="8"/>
  <c r="A20" i="8"/>
  <c r="AD20" i="8"/>
  <c r="AE20" i="8"/>
  <c r="AF20" i="8"/>
  <c r="AG20" i="8"/>
  <c r="AH20" i="8"/>
  <c r="AI20" i="8"/>
  <c r="AJ20" i="8"/>
  <c r="AK20" i="8"/>
  <c r="AL20" i="8"/>
  <c r="AM20" i="8"/>
  <c r="AN20" i="8"/>
  <c r="AO20" i="8"/>
  <c r="A21" i="8"/>
  <c r="AD21" i="8"/>
  <c r="AE21" i="8"/>
  <c r="AF21" i="8"/>
  <c r="AG21" i="8"/>
  <c r="AH21" i="8"/>
  <c r="AI21" i="8"/>
  <c r="AJ21" i="8"/>
  <c r="AK21" i="8"/>
  <c r="AL21" i="8"/>
  <c r="AM21" i="8"/>
  <c r="AN21" i="8"/>
  <c r="AO21" i="8"/>
  <c r="A22" i="8"/>
  <c r="AD22" i="8"/>
  <c r="AE22" i="8"/>
  <c r="AF22" i="8"/>
  <c r="AG22" i="8"/>
  <c r="AH22" i="8"/>
  <c r="AI22" i="8"/>
  <c r="AJ22" i="8"/>
  <c r="AK22" i="8"/>
  <c r="AL22" i="8"/>
  <c r="AM22" i="8"/>
  <c r="AN22" i="8"/>
  <c r="AO22" i="8"/>
  <c r="A23" i="8"/>
  <c r="AD23" i="8"/>
  <c r="AE23" i="8"/>
  <c r="AF23" i="8"/>
  <c r="AG23" i="8"/>
  <c r="AH23" i="8"/>
  <c r="AI23" i="8"/>
  <c r="AJ23" i="8"/>
  <c r="AK23" i="8"/>
  <c r="AL23" i="8"/>
  <c r="AM23" i="8"/>
  <c r="AN23" i="8"/>
  <c r="AO23" i="8"/>
  <c r="A24" i="8"/>
  <c r="AD24" i="8"/>
  <c r="AE24" i="8"/>
  <c r="AF24" i="8"/>
  <c r="AG24" i="8"/>
  <c r="AH24" i="8"/>
  <c r="AI24" i="8"/>
  <c r="AJ24" i="8"/>
  <c r="AK24" i="8"/>
  <c r="AL24" i="8"/>
  <c r="A25" i="8"/>
  <c r="AD25" i="8"/>
  <c r="AE25" i="8"/>
  <c r="AF25" i="8"/>
  <c r="AG25" i="8"/>
  <c r="AH25" i="8"/>
  <c r="AI25" i="8"/>
  <c r="AJ25" i="8"/>
  <c r="AK25" i="8"/>
  <c r="AL25" i="8"/>
  <c r="A26" i="8"/>
  <c r="AD26" i="8"/>
  <c r="AE26" i="8"/>
  <c r="AF26" i="8"/>
  <c r="AG26" i="8"/>
  <c r="AH26" i="8"/>
  <c r="AI26" i="8"/>
  <c r="AJ26" i="8"/>
  <c r="AK26" i="8"/>
  <c r="AL26" i="8"/>
  <c r="A27" i="8"/>
  <c r="AD27" i="8"/>
  <c r="AE27" i="8"/>
  <c r="AF27" i="8"/>
  <c r="AG27" i="8"/>
  <c r="AH27" i="8"/>
  <c r="AI27" i="8"/>
  <c r="AJ27" i="8"/>
  <c r="AK27" i="8"/>
  <c r="AL27" i="8"/>
  <c r="A28" i="8"/>
  <c r="AD28" i="8"/>
  <c r="AE28" i="8"/>
  <c r="AF28" i="8"/>
  <c r="AG28" i="8"/>
  <c r="AH28" i="8"/>
  <c r="AI28" i="8"/>
  <c r="AJ28" i="8"/>
  <c r="AK28" i="8"/>
  <c r="AL28" i="8"/>
  <c r="A29" i="8"/>
  <c r="AD29" i="8"/>
  <c r="AE29" i="8"/>
  <c r="AF29" i="8"/>
  <c r="AG29" i="8"/>
  <c r="AH29" i="8"/>
  <c r="AI29" i="8"/>
  <c r="AJ29" i="8"/>
  <c r="AK29" i="8"/>
  <c r="AL29" i="8"/>
  <c r="A30" i="8"/>
  <c r="AD30" i="8"/>
  <c r="AE30" i="8"/>
  <c r="AF30" i="8"/>
  <c r="AG30" i="8"/>
  <c r="AH30" i="8"/>
  <c r="AI30" i="8"/>
  <c r="AJ30" i="8"/>
  <c r="AK30" i="8"/>
  <c r="AL30" i="8"/>
  <c r="A31" i="8"/>
  <c r="AD31" i="8"/>
  <c r="AE31" i="8"/>
  <c r="AF31" i="8"/>
  <c r="AG31" i="8"/>
  <c r="AH31" i="8"/>
  <c r="AI31" i="8"/>
  <c r="AJ31" i="8"/>
  <c r="AK31" i="8"/>
  <c r="AL31" i="8"/>
  <c r="A32" i="8"/>
  <c r="AD32" i="8"/>
  <c r="AE32" i="8"/>
  <c r="AF32" i="8"/>
  <c r="AG32" i="8"/>
  <c r="AH32" i="8"/>
  <c r="AI32" i="8"/>
  <c r="AJ32" i="8"/>
  <c r="AK32" i="8"/>
  <c r="AL32" i="8"/>
  <c r="A33" i="8"/>
  <c r="AD33" i="8"/>
  <c r="AE33" i="8"/>
  <c r="AF33" i="8"/>
  <c r="AG33" i="8"/>
  <c r="AH33" i="8"/>
  <c r="AI33" i="8"/>
  <c r="AJ33" i="8"/>
  <c r="AK33" i="8"/>
  <c r="AL33" i="8"/>
  <c r="A34" i="8"/>
  <c r="AD34" i="8"/>
  <c r="AE34" i="8"/>
  <c r="AF34" i="8"/>
  <c r="AG34" i="8"/>
  <c r="AH34" i="8"/>
  <c r="AI34" i="8"/>
  <c r="AJ34" i="8"/>
  <c r="AK34" i="8"/>
  <c r="AL34" i="8"/>
  <c r="A35" i="8"/>
  <c r="AD35" i="8"/>
  <c r="AE35" i="8"/>
  <c r="AF35" i="8"/>
  <c r="AG35" i="8"/>
  <c r="AH35" i="8"/>
  <c r="AI35" i="8"/>
  <c r="AJ35" i="8"/>
  <c r="AK35" i="8"/>
  <c r="AL35" i="8"/>
  <c r="A36" i="8"/>
  <c r="AD36" i="8"/>
  <c r="AE36" i="8"/>
  <c r="AF36" i="8"/>
  <c r="AG36" i="8"/>
  <c r="AH36" i="8"/>
  <c r="AI36" i="8"/>
  <c r="AJ36" i="8"/>
  <c r="AK36" i="8"/>
  <c r="AL36" i="8"/>
  <c r="A37" i="8"/>
  <c r="AD37" i="8"/>
  <c r="AE37" i="8"/>
  <c r="AF37" i="8"/>
  <c r="AG37" i="8"/>
  <c r="AH37" i="8"/>
  <c r="AI37" i="8"/>
  <c r="AJ37" i="8"/>
  <c r="AK37" i="8"/>
  <c r="AL37" i="8"/>
  <c r="AM37" i="8"/>
  <c r="AN37" i="8"/>
  <c r="A38" i="8"/>
  <c r="AD38" i="8"/>
  <c r="AE38" i="8"/>
  <c r="AF38" i="8"/>
  <c r="AG38" i="8"/>
  <c r="AH38" i="8"/>
  <c r="AI38" i="8"/>
  <c r="AJ38" i="8"/>
  <c r="AK38" i="8"/>
  <c r="AL38" i="8"/>
  <c r="AM38" i="8"/>
  <c r="AN38" i="8"/>
  <c r="AO38" i="8"/>
  <c r="A39" i="8"/>
  <c r="AD39" i="8"/>
  <c r="AE39" i="8"/>
  <c r="AF39" i="8"/>
  <c r="AG39" i="8"/>
  <c r="AH39" i="8"/>
  <c r="AI39" i="8"/>
  <c r="AJ39" i="8"/>
  <c r="AK39" i="8"/>
  <c r="AL39" i="8"/>
  <c r="A40" i="8"/>
  <c r="AD40" i="8"/>
  <c r="AE40" i="8"/>
  <c r="AF40" i="8"/>
  <c r="AG40" i="8"/>
  <c r="AH40" i="8"/>
  <c r="AI40" i="8"/>
  <c r="AJ40" i="8"/>
  <c r="AK40" i="8"/>
  <c r="AL40" i="8"/>
  <c r="AM40" i="8"/>
  <c r="AN40" i="8"/>
  <c r="A41" i="8"/>
  <c r="AD41" i="8"/>
  <c r="AE41" i="8"/>
  <c r="AF41" i="8"/>
  <c r="AG41" i="8"/>
  <c r="AH41" i="8"/>
  <c r="AI41" i="8"/>
  <c r="AJ41" i="8"/>
  <c r="AK41" i="8"/>
  <c r="AL41" i="8"/>
  <c r="A42" i="8"/>
  <c r="AD42" i="8"/>
  <c r="AE42" i="8"/>
  <c r="AF42" i="8"/>
  <c r="AG42" i="8"/>
  <c r="AH42" i="8"/>
  <c r="AI42" i="8"/>
  <c r="AJ42" i="8"/>
  <c r="AK42" i="8"/>
  <c r="AL42" i="8"/>
  <c r="A43" i="8"/>
  <c r="AD43" i="8"/>
  <c r="AE43" i="8"/>
  <c r="AF43" i="8"/>
  <c r="AG43" i="8"/>
  <c r="AH43" i="8"/>
  <c r="AI43" i="8"/>
  <c r="AJ43" i="8"/>
  <c r="AK43" i="8"/>
  <c r="AL43" i="8"/>
  <c r="A44" i="8"/>
  <c r="AD44" i="8"/>
  <c r="AE44" i="8"/>
  <c r="AF44" i="8"/>
  <c r="AG44" i="8"/>
  <c r="AH44" i="8"/>
  <c r="AI44" i="8"/>
  <c r="AJ44" i="8"/>
  <c r="AK44" i="8"/>
  <c r="AL44" i="8"/>
  <c r="A45" i="8"/>
  <c r="AD45" i="8"/>
  <c r="AE45" i="8"/>
  <c r="AF45" i="8"/>
  <c r="AG45" i="8"/>
  <c r="AH45" i="8"/>
  <c r="AI45" i="8"/>
  <c r="AJ45" i="8"/>
  <c r="AK45" i="8"/>
  <c r="AL45" i="8"/>
  <c r="A46" i="8"/>
  <c r="AD46" i="8"/>
  <c r="AE46" i="8"/>
  <c r="AF46" i="8"/>
  <c r="AG46" i="8"/>
  <c r="AH46" i="8"/>
  <c r="AI46" i="8"/>
  <c r="AJ46" i="8"/>
  <c r="AK46" i="8"/>
  <c r="AL46" i="8"/>
  <c r="A47" i="8"/>
  <c r="AD47" i="8"/>
  <c r="AE47" i="8"/>
  <c r="AF47" i="8"/>
  <c r="AG47" i="8"/>
  <c r="AH47" i="8"/>
  <c r="AI47" i="8"/>
  <c r="AJ47" i="8"/>
  <c r="AK47" i="8"/>
  <c r="AL47" i="8"/>
  <c r="A48" i="8"/>
  <c r="AD48" i="8"/>
  <c r="AE48" i="8"/>
  <c r="AF48" i="8"/>
  <c r="AG48" i="8"/>
  <c r="AH48" i="8"/>
  <c r="AI48" i="8"/>
  <c r="AJ48" i="8"/>
  <c r="AK48" i="8"/>
  <c r="AL48" i="8"/>
  <c r="A49" i="8"/>
  <c r="AD49" i="8"/>
  <c r="AE49" i="8"/>
  <c r="AF49" i="8"/>
  <c r="AG49" i="8"/>
  <c r="AH49" i="8"/>
  <c r="AI49" i="8"/>
  <c r="AJ49" i="8"/>
  <c r="AK49" i="8"/>
  <c r="AL49" i="8"/>
  <c r="A50" i="8"/>
  <c r="AD50" i="8"/>
  <c r="AE50" i="8"/>
  <c r="AF50" i="8"/>
  <c r="AG50" i="8"/>
  <c r="AH50" i="8"/>
  <c r="AI50" i="8"/>
  <c r="AJ50" i="8"/>
  <c r="AK50" i="8"/>
  <c r="AL50" i="8"/>
  <c r="A51" i="8"/>
  <c r="AD51" i="8"/>
  <c r="AE51" i="8"/>
  <c r="AF51" i="8"/>
  <c r="AG51" i="8"/>
  <c r="AH51" i="8"/>
  <c r="AI51" i="8"/>
  <c r="AJ51" i="8"/>
  <c r="AK51" i="8"/>
  <c r="AL51" i="8"/>
  <c r="A52" i="8"/>
  <c r="AD52" i="8"/>
  <c r="AE52" i="8"/>
  <c r="AF52" i="8"/>
  <c r="AG52" i="8"/>
  <c r="AH52" i="8"/>
  <c r="AI52" i="8"/>
  <c r="AJ52" i="8"/>
  <c r="AK52" i="8"/>
  <c r="AL52" i="8"/>
  <c r="A53" i="8"/>
  <c r="AD53" i="8"/>
  <c r="AE53" i="8"/>
  <c r="AF53" i="8"/>
  <c r="AG53" i="8"/>
  <c r="AH53" i="8"/>
  <c r="AI53" i="8"/>
  <c r="AJ53" i="8"/>
  <c r="AK53" i="8"/>
  <c r="AL53" i="8"/>
  <c r="A54" i="8"/>
  <c r="AD54" i="8"/>
  <c r="AE54" i="8"/>
  <c r="AF54" i="8"/>
  <c r="AG54" i="8"/>
  <c r="AH54" i="8"/>
  <c r="AI54" i="8"/>
  <c r="AJ54" i="8"/>
  <c r="AK54" i="8"/>
  <c r="AL54" i="8"/>
  <c r="A55" i="8"/>
  <c r="AD55" i="8"/>
  <c r="AE55" i="8"/>
  <c r="AF55" i="8"/>
  <c r="AG55" i="8"/>
  <c r="AH55" i="8"/>
  <c r="AI55" i="8"/>
  <c r="AJ55" i="8"/>
  <c r="AK55" i="8"/>
  <c r="AL55" i="8"/>
  <c r="A56" i="8"/>
  <c r="AD56" i="8"/>
  <c r="AE56" i="8"/>
  <c r="AF56" i="8"/>
  <c r="AG56" i="8"/>
  <c r="AH56" i="8"/>
  <c r="AI56" i="8"/>
  <c r="AJ56" i="8"/>
  <c r="AK56" i="8"/>
  <c r="AL56" i="8"/>
  <c r="A57" i="8"/>
  <c r="AD57" i="8"/>
  <c r="AE57" i="8"/>
  <c r="AF57" i="8"/>
  <c r="AG57" i="8"/>
  <c r="AH57" i="8"/>
  <c r="AI57" i="8"/>
  <c r="AJ57" i="8"/>
  <c r="AK57" i="8"/>
  <c r="AL57" i="8"/>
  <c r="AM57" i="8"/>
  <c r="AN57" i="8"/>
  <c r="A58" i="8"/>
  <c r="AD58" i="8"/>
  <c r="AE58" i="8"/>
  <c r="AF58" i="8"/>
  <c r="AG58" i="8"/>
  <c r="AH58" i="8"/>
  <c r="AI58" i="8"/>
  <c r="AJ58" i="8"/>
  <c r="AK58" i="8"/>
  <c r="AL58" i="8"/>
  <c r="A59" i="8"/>
  <c r="AD59" i="8"/>
  <c r="AE59" i="8"/>
  <c r="AF59" i="8"/>
  <c r="AG59" i="8"/>
  <c r="AH59" i="8"/>
  <c r="AI59" i="8"/>
  <c r="AJ59" i="8"/>
  <c r="AK59" i="8"/>
  <c r="AL59" i="8"/>
  <c r="A60" i="8"/>
  <c r="AD60" i="8"/>
  <c r="AE60" i="8"/>
  <c r="AF60" i="8"/>
  <c r="AG60" i="8"/>
  <c r="AH60" i="8"/>
  <c r="AI60" i="8"/>
  <c r="AJ60" i="8"/>
  <c r="AK60" i="8"/>
  <c r="AL60" i="8"/>
  <c r="A61" i="8"/>
  <c r="AD61" i="8"/>
  <c r="AE61" i="8"/>
  <c r="AF61" i="8"/>
  <c r="AG61" i="8"/>
  <c r="AH61" i="8"/>
  <c r="AI61" i="8"/>
  <c r="AJ61" i="8"/>
  <c r="AK61" i="8"/>
  <c r="AL61" i="8"/>
  <c r="A62" i="8"/>
  <c r="AD62" i="8"/>
  <c r="AE62" i="8"/>
  <c r="AF62" i="8"/>
  <c r="AG62" i="8"/>
  <c r="AH62" i="8"/>
  <c r="AI62" i="8"/>
  <c r="AJ62" i="8"/>
  <c r="AK62" i="8"/>
  <c r="AL62" i="8"/>
  <c r="A63" i="8"/>
  <c r="AD63" i="8"/>
  <c r="AE63" i="8"/>
  <c r="AF63" i="8"/>
  <c r="AG63" i="8"/>
  <c r="AH63" i="8"/>
  <c r="AI63" i="8"/>
  <c r="AJ63" i="8"/>
  <c r="AK63" i="8"/>
  <c r="AL63" i="8"/>
  <c r="A64" i="8"/>
  <c r="AD64" i="8"/>
  <c r="AE64" i="8"/>
  <c r="AF64" i="8"/>
  <c r="AG64" i="8"/>
  <c r="AH64" i="8"/>
  <c r="AI64" i="8"/>
  <c r="AJ64" i="8"/>
  <c r="AK64" i="8"/>
  <c r="AL64" i="8"/>
  <c r="A65" i="8"/>
  <c r="AD65" i="8"/>
  <c r="AE65" i="8"/>
  <c r="AF65" i="8"/>
  <c r="AG65" i="8"/>
  <c r="AH65" i="8"/>
  <c r="AI65" i="8"/>
  <c r="AJ65" i="8"/>
  <c r="AK65" i="8"/>
  <c r="AL65" i="8"/>
  <c r="A66" i="8"/>
  <c r="AD66" i="8"/>
  <c r="AE66" i="8"/>
  <c r="AF66" i="8"/>
  <c r="AG66" i="8"/>
  <c r="AH66" i="8"/>
  <c r="AI66" i="8"/>
  <c r="AJ66" i="8"/>
  <c r="AK66" i="8"/>
  <c r="AL66" i="8"/>
  <c r="A67" i="8"/>
  <c r="AD67" i="8"/>
  <c r="AE67" i="8"/>
  <c r="AF67" i="8"/>
  <c r="AG67" i="8"/>
  <c r="AH67" i="8"/>
  <c r="AI67" i="8"/>
  <c r="AJ67" i="8"/>
  <c r="AK67" i="8"/>
  <c r="AL67" i="8"/>
  <c r="A68" i="8"/>
  <c r="AD68" i="8"/>
  <c r="AE68" i="8"/>
  <c r="AF68" i="8"/>
  <c r="AG68" i="8"/>
  <c r="AH68" i="8"/>
  <c r="AI68" i="8"/>
  <c r="AJ68" i="8"/>
  <c r="AK68" i="8"/>
  <c r="AL68" i="8"/>
  <c r="A69" i="8"/>
  <c r="AD69" i="8"/>
  <c r="AE69" i="8"/>
  <c r="AF69" i="8"/>
  <c r="AG69" i="8"/>
  <c r="AH69" i="8"/>
  <c r="AI69" i="8"/>
  <c r="AJ69" i="8"/>
  <c r="AK69" i="8"/>
  <c r="AL69" i="8"/>
  <c r="A70" i="8"/>
  <c r="AD70" i="8"/>
  <c r="AE70" i="8"/>
  <c r="AF70" i="8"/>
  <c r="AG70" i="8"/>
  <c r="AH70" i="8"/>
  <c r="AI70" i="8"/>
  <c r="AJ70" i="8"/>
  <c r="AK70" i="8"/>
  <c r="AL70" i="8"/>
  <c r="A71" i="8"/>
  <c r="AD71" i="8"/>
  <c r="AE71" i="8"/>
  <c r="AF71" i="8"/>
  <c r="AG71" i="8"/>
  <c r="AH71" i="8"/>
  <c r="AI71" i="8"/>
  <c r="AJ71" i="8"/>
  <c r="AK71" i="8"/>
  <c r="AL71" i="8"/>
  <c r="A72" i="8"/>
  <c r="AD72" i="8"/>
  <c r="AE72" i="8"/>
  <c r="AF72" i="8"/>
  <c r="AG72" i="8"/>
  <c r="AH72" i="8"/>
  <c r="AI72" i="8"/>
  <c r="AJ72" i="8"/>
  <c r="AK72" i="8"/>
  <c r="AL72" i="8"/>
  <c r="A73" i="8"/>
  <c r="AD73" i="8"/>
  <c r="AE73" i="8"/>
  <c r="AF73" i="8"/>
  <c r="AG73" i="8"/>
  <c r="AH73" i="8"/>
  <c r="AI73" i="8"/>
  <c r="AJ73" i="8"/>
  <c r="AK73" i="8"/>
  <c r="AL73" i="8"/>
  <c r="A74" i="8"/>
  <c r="AD74" i="8"/>
  <c r="AE74" i="8"/>
  <c r="AF74" i="8"/>
  <c r="AG74" i="8"/>
  <c r="AH74" i="8"/>
  <c r="AI74" i="8"/>
  <c r="AJ74" i="8"/>
  <c r="AK74" i="8"/>
  <c r="AL74" i="8"/>
  <c r="A75" i="8"/>
  <c r="AD75" i="8"/>
  <c r="AE75" i="8"/>
  <c r="AF75" i="8"/>
  <c r="AG75" i="8"/>
  <c r="AH75" i="8"/>
  <c r="AI75" i="8"/>
  <c r="AJ75" i="8"/>
  <c r="AK75" i="8"/>
  <c r="AL75" i="8"/>
  <c r="AM75" i="8"/>
  <c r="AN75" i="8"/>
  <c r="A76" i="8"/>
  <c r="AD76" i="8"/>
  <c r="AE76" i="8"/>
  <c r="AF76" i="8"/>
  <c r="AG76" i="8"/>
  <c r="AH76" i="8"/>
  <c r="AI76" i="8"/>
  <c r="AJ76" i="8"/>
  <c r="AK76" i="8"/>
  <c r="AL76" i="8"/>
  <c r="A77" i="8"/>
  <c r="AD77" i="8"/>
  <c r="AE77" i="8"/>
  <c r="AF77" i="8"/>
  <c r="AG77" i="8"/>
  <c r="AH77" i="8"/>
  <c r="AI77" i="8"/>
  <c r="AJ77" i="8"/>
  <c r="AK77" i="8"/>
  <c r="AL77" i="8"/>
  <c r="AM77" i="8"/>
  <c r="AN77" i="8"/>
  <c r="A78" i="8"/>
  <c r="AD78" i="8"/>
  <c r="AE78" i="8"/>
  <c r="AF78" i="8"/>
  <c r="AG78" i="8"/>
  <c r="AH78" i="8"/>
  <c r="AI78" i="8"/>
  <c r="AJ78" i="8"/>
  <c r="AK78" i="8"/>
  <c r="AL78" i="8"/>
  <c r="A79" i="8"/>
  <c r="AD79" i="8"/>
  <c r="AE79" i="8"/>
  <c r="AF79" i="8"/>
  <c r="AG79" i="8"/>
  <c r="AH79" i="8"/>
  <c r="AI79" i="8"/>
  <c r="AJ79" i="8"/>
  <c r="AK79" i="8"/>
  <c r="AL79" i="8"/>
  <c r="A80" i="8"/>
  <c r="AD80" i="8"/>
  <c r="AE80" i="8"/>
  <c r="AF80" i="8"/>
  <c r="AG80" i="8"/>
  <c r="AH80" i="8"/>
  <c r="AI80" i="8"/>
  <c r="AJ80" i="8"/>
  <c r="AK80" i="8"/>
  <c r="AL80" i="8"/>
  <c r="A81" i="8"/>
  <c r="AD81" i="8"/>
  <c r="AE81" i="8"/>
  <c r="AF81" i="8"/>
  <c r="AG81" i="8"/>
  <c r="AH81" i="8"/>
  <c r="AI81" i="8"/>
  <c r="AJ81" i="8"/>
  <c r="AK81" i="8"/>
  <c r="AL81" i="8"/>
  <c r="A82" i="8"/>
  <c r="AD82" i="8"/>
  <c r="AE82" i="8"/>
  <c r="AF82" i="8"/>
  <c r="AG82" i="8"/>
  <c r="AH82" i="8"/>
  <c r="AI82" i="8"/>
  <c r="AJ82" i="8"/>
  <c r="AK82" i="8"/>
  <c r="AL82" i="8"/>
  <c r="A83" i="8"/>
  <c r="AD83" i="8"/>
  <c r="AE83" i="8"/>
  <c r="AF83" i="8"/>
  <c r="AG83" i="8"/>
  <c r="AH83" i="8"/>
  <c r="AI83" i="8"/>
  <c r="AJ83" i="8"/>
  <c r="AK83" i="8"/>
  <c r="AL83" i="8"/>
  <c r="A84" i="8"/>
  <c r="AD84" i="8"/>
  <c r="AE84" i="8"/>
  <c r="AF84" i="8"/>
  <c r="AG84" i="8"/>
  <c r="AH84" i="8"/>
  <c r="AI84" i="8"/>
  <c r="AJ84" i="8"/>
  <c r="AK84" i="8"/>
  <c r="AL84" i="8"/>
  <c r="A85" i="8"/>
  <c r="AD85" i="8"/>
  <c r="AE85" i="8"/>
  <c r="AF85" i="8"/>
  <c r="AG85" i="8"/>
  <c r="AH85" i="8"/>
  <c r="AI85" i="8"/>
  <c r="AJ85" i="8"/>
  <c r="AK85" i="8"/>
  <c r="AL85" i="8"/>
  <c r="A86" i="8"/>
  <c r="AD86" i="8"/>
  <c r="AE86" i="8"/>
  <c r="AF86" i="8"/>
  <c r="AG86" i="8"/>
  <c r="AH86" i="8"/>
  <c r="AI86" i="8"/>
  <c r="AJ86" i="8"/>
  <c r="AK86" i="8"/>
  <c r="AL86" i="8"/>
  <c r="A87" i="8"/>
  <c r="AD87" i="8"/>
  <c r="AE87" i="8"/>
  <c r="AF87" i="8"/>
  <c r="AG87" i="8"/>
  <c r="AH87" i="8"/>
  <c r="AI87" i="8"/>
  <c r="AJ87" i="8"/>
  <c r="AK87" i="8"/>
  <c r="AL87" i="8"/>
  <c r="A88" i="8"/>
  <c r="AD88" i="8"/>
  <c r="AE88" i="8"/>
  <c r="AF88" i="8"/>
  <c r="AG88" i="8"/>
  <c r="AH88" i="8"/>
  <c r="AI88" i="8"/>
  <c r="AJ88" i="8"/>
  <c r="AK88" i="8"/>
  <c r="AL88" i="8"/>
  <c r="A89" i="8"/>
  <c r="AD89" i="8"/>
  <c r="AE89" i="8"/>
  <c r="AF89" i="8"/>
  <c r="AG89" i="8"/>
  <c r="AH89" i="8"/>
  <c r="AI89" i="8"/>
  <c r="AJ89" i="8"/>
  <c r="AK89" i="8"/>
  <c r="AL89" i="8"/>
  <c r="A90" i="8"/>
  <c r="AD90" i="8"/>
  <c r="AE90" i="8"/>
  <c r="AF90" i="8"/>
  <c r="AG90" i="8"/>
  <c r="AH90" i="8"/>
  <c r="AI90" i="8"/>
  <c r="AJ90" i="8"/>
  <c r="AK90" i="8"/>
  <c r="AL90" i="8"/>
  <c r="A91" i="8"/>
  <c r="AD91" i="8"/>
  <c r="AE91" i="8"/>
  <c r="AF91" i="8"/>
  <c r="AG91" i="8"/>
  <c r="AH91" i="8"/>
  <c r="AI91" i="8"/>
  <c r="AJ91" i="8"/>
  <c r="AK91" i="8"/>
  <c r="AL91" i="8"/>
  <c r="A92" i="8"/>
  <c r="AD92" i="8"/>
  <c r="AE92" i="8"/>
  <c r="AF92" i="8"/>
  <c r="AG92" i="8"/>
  <c r="AH92" i="8"/>
  <c r="AI92" i="8"/>
  <c r="AJ92" i="8"/>
  <c r="AK92" i="8"/>
  <c r="AL92" i="8"/>
  <c r="A93" i="8"/>
  <c r="AD93" i="8"/>
  <c r="AE93" i="8"/>
  <c r="AF93" i="8"/>
  <c r="AG93" i="8"/>
  <c r="AH93" i="8"/>
  <c r="AI93" i="8"/>
  <c r="AJ93" i="8"/>
  <c r="AK93" i="8"/>
  <c r="AL93" i="8"/>
  <c r="A94" i="8"/>
  <c r="AD94" i="8"/>
  <c r="AE94" i="8"/>
  <c r="AF94" i="8"/>
  <c r="AG94" i="8"/>
  <c r="AH94" i="8"/>
  <c r="AI94" i="8"/>
  <c r="AJ94" i="8"/>
  <c r="AK94" i="8"/>
  <c r="AL94" i="8"/>
  <c r="A95" i="8"/>
  <c r="AD95" i="8"/>
  <c r="AE95" i="8"/>
  <c r="AF95" i="8"/>
  <c r="AG95" i="8"/>
  <c r="AH95" i="8"/>
  <c r="AI95" i="8"/>
  <c r="AJ95" i="8"/>
  <c r="AK95" i="8"/>
  <c r="AL95" i="8"/>
  <c r="A96" i="8"/>
  <c r="AD96" i="8"/>
  <c r="AE96" i="8"/>
  <c r="AF96" i="8"/>
  <c r="AG96" i="8"/>
  <c r="AH96" i="8"/>
  <c r="AI96" i="8"/>
  <c r="AJ96" i="8"/>
  <c r="AK96" i="8"/>
  <c r="AL96" i="8"/>
  <c r="A97" i="8"/>
  <c r="AD97" i="8"/>
  <c r="AE97" i="8"/>
  <c r="AF97" i="8"/>
  <c r="AG97" i="8"/>
  <c r="AH97" i="8"/>
  <c r="AI97" i="8"/>
  <c r="AJ97" i="8"/>
  <c r="AK97" i="8"/>
  <c r="AL97" i="8"/>
  <c r="AO97" i="8"/>
  <c r="A98" i="8"/>
  <c r="AD98" i="8"/>
  <c r="AE98" i="8"/>
  <c r="AF98" i="8"/>
  <c r="AG98" i="8"/>
  <c r="AH98" i="8"/>
  <c r="AI98" i="8"/>
  <c r="AJ98" i="8"/>
  <c r="AK98" i="8"/>
  <c r="AL98" i="8"/>
  <c r="AO98" i="8"/>
  <c r="A99" i="8"/>
  <c r="AD99" i="8"/>
  <c r="AE99" i="8"/>
  <c r="AF99" i="8"/>
  <c r="AG99" i="8"/>
  <c r="AH99" i="8"/>
  <c r="AI99" i="8"/>
  <c r="AJ99" i="8"/>
  <c r="AK99" i="8"/>
  <c r="AL99" i="8"/>
  <c r="A100" i="8"/>
  <c r="AD100" i="8"/>
  <c r="AE100" i="8"/>
  <c r="AF100" i="8"/>
  <c r="AG100" i="8"/>
  <c r="AH100" i="8"/>
  <c r="AI100" i="8"/>
  <c r="AJ100" i="8"/>
  <c r="AK100" i="8"/>
  <c r="AL100" i="8"/>
  <c r="A101" i="8"/>
  <c r="AD101" i="8"/>
  <c r="AE101" i="8"/>
  <c r="AF101" i="8"/>
  <c r="AG101" i="8"/>
  <c r="AH101" i="8"/>
  <c r="AI101" i="8"/>
  <c r="AJ101" i="8"/>
  <c r="AK101" i="8"/>
  <c r="AL101" i="8"/>
  <c r="AM101" i="8"/>
  <c r="AN101" i="8"/>
  <c r="AO101" i="8"/>
  <c r="A102" i="8"/>
  <c r="AD102" i="8"/>
  <c r="AE102" i="8"/>
  <c r="AF102" i="8"/>
  <c r="AG102" i="8"/>
  <c r="AH102" i="8"/>
  <c r="AI102" i="8"/>
  <c r="AJ102" i="8"/>
  <c r="AK102" i="8"/>
  <c r="AL102" i="8"/>
  <c r="AM102" i="8"/>
  <c r="AN102" i="8"/>
  <c r="A103" i="8"/>
  <c r="AD103" i="8"/>
  <c r="AE103" i="8"/>
  <c r="AF103" i="8"/>
  <c r="AG103" i="8"/>
  <c r="AH103" i="8"/>
  <c r="AI103" i="8"/>
  <c r="AJ103" i="8"/>
  <c r="AK103" i="8"/>
  <c r="AL103" i="8"/>
  <c r="AM103" i="8"/>
  <c r="AN103" i="8"/>
  <c r="A104" i="8"/>
  <c r="AD104" i="8"/>
  <c r="AE104" i="8"/>
  <c r="AF104" i="8"/>
  <c r="AG104" i="8"/>
  <c r="AH104" i="8"/>
  <c r="AI104" i="8"/>
  <c r="AJ104" i="8"/>
  <c r="AK104" i="8"/>
  <c r="AL104" i="8"/>
  <c r="AM104" i="8"/>
  <c r="AN104" i="8"/>
  <c r="A105" i="8"/>
  <c r="AD105" i="8"/>
  <c r="AE105" i="8"/>
  <c r="AF105" i="8"/>
  <c r="AG105" i="8"/>
  <c r="AH105" i="8"/>
  <c r="AI105" i="8"/>
  <c r="AJ105" i="8"/>
  <c r="AK105" i="8"/>
  <c r="AL105" i="8"/>
  <c r="AM105" i="8"/>
  <c r="AN105" i="8"/>
  <c r="A106" i="8"/>
  <c r="AD106" i="8"/>
  <c r="AE106" i="8"/>
  <c r="AF106" i="8"/>
  <c r="AG106" i="8"/>
  <c r="AH106" i="8"/>
  <c r="AI106" i="8"/>
  <c r="AJ106" i="8"/>
  <c r="AK106" i="8"/>
  <c r="AL106" i="8"/>
  <c r="AM106" i="8"/>
  <c r="AN106" i="8"/>
  <c r="A107" i="8"/>
  <c r="AD107" i="8"/>
  <c r="AE107" i="8"/>
  <c r="AF107" i="8"/>
  <c r="AG107" i="8"/>
  <c r="AH107" i="8"/>
  <c r="AI107" i="8"/>
  <c r="AJ107" i="8"/>
  <c r="AK107" i="8"/>
  <c r="AL107" i="8"/>
  <c r="AM107" i="8"/>
  <c r="AN107" i="8"/>
  <c r="A108" i="8"/>
  <c r="AD108" i="8"/>
  <c r="AE108" i="8"/>
  <c r="AF108" i="8"/>
  <c r="AG108" i="8"/>
  <c r="AH108" i="8"/>
  <c r="AI108" i="8"/>
  <c r="AJ108" i="8"/>
  <c r="AK108" i="8"/>
  <c r="AL108" i="8"/>
  <c r="AM108" i="8"/>
  <c r="AN108" i="8"/>
  <c r="A109" i="8"/>
  <c r="AD109" i="8"/>
  <c r="AE109" i="8"/>
  <c r="AF109" i="8"/>
  <c r="AG109" i="8"/>
  <c r="AH109" i="8"/>
  <c r="AI109" i="8"/>
  <c r="AJ109" i="8"/>
  <c r="AK109" i="8"/>
  <c r="AL109" i="8"/>
  <c r="AM109" i="8"/>
  <c r="AN109" i="8"/>
  <c r="A110" i="8"/>
  <c r="AD110" i="8"/>
  <c r="AE110" i="8"/>
  <c r="AF110" i="8"/>
  <c r="AG110" i="8"/>
  <c r="AH110" i="8"/>
  <c r="AI110" i="8"/>
  <c r="AJ110" i="8"/>
  <c r="AK110" i="8"/>
  <c r="AL110" i="8"/>
  <c r="AM110" i="8"/>
  <c r="AN110" i="8"/>
  <c r="A111" i="8"/>
  <c r="AD111" i="8"/>
  <c r="AE111" i="8"/>
  <c r="AF111" i="8"/>
  <c r="AG111" i="8"/>
  <c r="AH111" i="8"/>
  <c r="AI111" i="8"/>
  <c r="AJ111" i="8"/>
  <c r="AK111" i="8"/>
  <c r="AL111" i="8"/>
  <c r="AM111" i="8"/>
  <c r="AN111" i="8"/>
  <c r="A112" i="8"/>
  <c r="AD112" i="8"/>
  <c r="AE112" i="8"/>
  <c r="AF112" i="8"/>
  <c r="AG112" i="8"/>
  <c r="AH112" i="8"/>
  <c r="AI112" i="8"/>
  <c r="AJ112" i="8"/>
  <c r="AK112" i="8"/>
  <c r="AL112" i="8"/>
  <c r="AM112" i="8"/>
  <c r="AN112" i="8"/>
  <c r="A113" i="8"/>
  <c r="AD113" i="8"/>
  <c r="AE113" i="8"/>
  <c r="AF113" i="8"/>
  <c r="AG113" i="8"/>
  <c r="AH113" i="8"/>
  <c r="AI113" i="8"/>
  <c r="AJ113" i="8"/>
  <c r="AK113" i="8"/>
  <c r="AL113" i="8"/>
  <c r="AM113" i="8"/>
  <c r="AN113" i="8"/>
  <c r="A114" i="8"/>
  <c r="AD114" i="8"/>
  <c r="AE114" i="8"/>
  <c r="AF114" i="8"/>
  <c r="AG114" i="8"/>
  <c r="AH114" i="8"/>
  <c r="AI114" i="8"/>
  <c r="AJ114" i="8"/>
  <c r="AK114" i="8"/>
  <c r="AL114" i="8"/>
  <c r="AM114" i="8"/>
  <c r="AN114" i="8"/>
  <c r="A115" i="8"/>
  <c r="AD115" i="8"/>
  <c r="AE115" i="8"/>
  <c r="AF115" i="8"/>
  <c r="AG115" i="8"/>
  <c r="AH115" i="8"/>
  <c r="AI115" i="8"/>
  <c r="AJ115" i="8"/>
  <c r="AK115" i="8"/>
  <c r="AL115" i="8"/>
  <c r="AM115" i="8"/>
  <c r="AN115" i="8"/>
  <c r="A116" i="8"/>
  <c r="AD116" i="8"/>
  <c r="AE116" i="8"/>
  <c r="AF116" i="8"/>
  <c r="AG116" i="8"/>
  <c r="AH116" i="8"/>
  <c r="AI116" i="8"/>
  <c r="AJ116" i="8"/>
  <c r="AK116" i="8"/>
  <c r="AL116" i="8"/>
  <c r="AM116" i="8"/>
  <c r="AN116" i="8"/>
  <c r="A117" i="8"/>
  <c r="AD117" i="8"/>
  <c r="AE117" i="8"/>
  <c r="AF117" i="8"/>
  <c r="AG117" i="8"/>
  <c r="AH117" i="8"/>
  <c r="AI117" i="8"/>
  <c r="AJ117" i="8"/>
  <c r="AK117" i="8"/>
  <c r="AL117" i="8"/>
  <c r="A118" i="8"/>
  <c r="AD118" i="8"/>
  <c r="AE118" i="8"/>
  <c r="AF118" i="8"/>
  <c r="AG118" i="8"/>
  <c r="AH118" i="8"/>
  <c r="AI118" i="8"/>
  <c r="AJ118" i="8"/>
  <c r="AK118" i="8"/>
  <c r="AL118" i="8"/>
  <c r="A119" i="8"/>
  <c r="AD119" i="8"/>
  <c r="AE119" i="8"/>
  <c r="AF119" i="8"/>
  <c r="AG119" i="8"/>
  <c r="AH119" i="8"/>
  <c r="AI119" i="8"/>
  <c r="AJ119" i="8"/>
  <c r="AK119" i="8"/>
  <c r="AL119" i="8"/>
  <c r="A120" i="8"/>
  <c r="AD120" i="8"/>
  <c r="AE120" i="8"/>
  <c r="AF120" i="8"/>
  <c r="AG120" i="8"/>
  <c r="AH120" i="8"/>
  <c r="AI120" i="8"/>
  <c r="AJ120" i="8"/>
  <c r="AK120" i="8"/>
  <c r="AL120" i="8"/>
  <c r="A121" i="8"/>
  <c r="AD121" i="8"/>
  <c r="AE121" i="8"/>
  <c r="AF121" i="8"/>
  <c r="AG121" i="8"/>
  <c r="AH121" i="8"/>
  <c r="AI121" i="8"/>
  <c r="AJ121" i="8"/>
  <c r="AK121" i="8"/>
  <c r="AL121" i="8"/>
  <c r="A122" i="8"/>
  <c r="AD122" i="8"/>
  <c r="AE122" i="8"/>
  <c r="AF122" i="8"/>
  <c r="AG122" i="8"/>
  <c r="AH122" i="8"/>
  <c r="AI122" i="8"/>
  <c r="AJ122" i="8"/>
  <c r="AK122" i="8"/>
  <c r="AL122" i="8"/>
  <c r="A123" i="8"/>
  <c r="AD123" i="8"/>
  <c r="AE123" i="8"/>
  <c r="AF123" i="8"/>
  <c r="AG123" i="8"/>
  <c r="AH123" i="8"/>
  <c r="AI123" i="8"/>
  <c r="AJ123" i="8"/>
  <c r="AK123" i="8"/>
  <c r="AL123" i="8"/>
  <c r="A124" i="8"/>
  <c r="AD124" i="8"/>
  <c r="AE124" i="8"/>
  <c r="AF124" i="8"/>
  <c r="AG124" i="8"/>
  <c r="AH124" i="8"/>
  <c r="AI124" i="8"/>
  <c r="AJ124" i="8"/>
  <c r="AK124" i="8"/>
  <c r="AL124" i="8"/>
  <c r="A125" i="8"/>
  <c r="AD125" i="8"/>
  <c r="AE125" i="8"/>
  <c r="AF125" i="8"/>
  <c r="AG125" i="8"/>
  <c r="AH125" i="8"/>
  <c r="AI125" i="8"/>
  <c r="AJ125" i="8"/>
  <c r="AK125" i="8"/>
  <c r="AL125" i="8"/>
  <c r="A126" i="8"/>
  <c r="AD126" i="8"/>
  <c r="AE126" i="8"/>
  <c r="AF126" i="8"/>
  <c r="AG126" i="8"/>
  <c r="AH126" i="8"/>
  <c r="AI126" i="8"/>
  <c r="AJ126" i="8"/>
  <c r="AK126" i="8"/>
  <c r="AL126" i="8"/>
  <c r="A127" i="8"/>
  <c r="AD127" i="8"/>
  <c r="AE127" i="8"/>
  <c r="AF127" i="8"/>
  <c r="AG127" i="8"/>
  <c r="AH127" i="8"/>
  <c r="AI127" i="8"/>
  <c r="AJ127" i="8"/>
  <c r="AK127" i="8"/>
  <c r="AL127" i="8"/>
  <c r="A128" i="8"/>
  <c r="AD128" i="8"/>
  <c r="AE128" i="8"/>
  <c r="AF128" i="8"/>
  <c r="AG128" i="8"/>
  <c r="AH128" i="8"/>
  <c r="AI128" i="8"/>
  <c r="AJ128" i="8"/>
  <c r="AK128" i="8"/>
  <c r="AL128" i="8"/>
  <c r="A129" i="8"/>
  <c r="AD129" i="8"/>
  <c r="AE129" i="8"/>
  <c r="AF129" i="8"/>
  <c r="AG129" i="8"/>
  <c r="AH129" i="8"/>
  <c r="AI129" i="8"/>
  <c r="AJ129" i="8"/>
  <c r="AK129" i="8"/>
  <c r="AL129" i="8"/>
  <c r="A130" i="8"/>
  <c r="AD130" i="8"/>
  <c r="AE130" i="8"/>
  <c r="AF130" i="8"/>
  <c r="AG130" i="8"/>
  <c r="AH130" i="8"/>
  <c r="AI130" i="8"/>
  <c r="AJ130" i="8"/>
  <c r="AK130" i="8"/>
  <c r="AL130" i="8"/>
  <c r="A131" i="8"/>
  <c r="AD131" i="8"/>
  <c r="AE131" i="8"/>
  <c r="AF131" i="8"/>
  <c r="AG131" i="8"/>
  <c r="AH131" i="8"/>
  <c r="AI131" i="8"/>
  <c r="AJ131" i="8"/>
  <c r="AK131" i="8"/>
  <c r="AL131" i="8"/>
  <c r="A132" i="8"/>
  <c r="AD132" i="8"/>
  <c r="AE132" i="8"/>
  <c r="AF132" i="8"/>
  <c r="AG132" i="8"/>
  <c r="AH132" i="8"/>
  <c r="AI132" i="8"/>
  <c r="AJ132" i="8"/>
  <c r="AK132" i="8"/>
  <c r="AL132" i="8"/>
  <c r="A133" i="8"/>
  <c r="AD133" i="8"/>
  <c r="AE133" i="8"/>
  <c r="AF133" i="8"/>
  <c r="AG133" i="8"/>
  <c r="AH133" i="8"/>
  <c r="AI133" i="8"/>
  <c r="AJ133" i="8"/>
  <c r="AK133" i="8"/>
  <c r="AL133" i="8"/>
  <c r="A134" i="8"/>
  <c r="AD134" i="8"/>
  <c r="AE134" i="8"/>
  <c r="AF134" i="8"/>
  <c r="AG134" i="8"/>
  <c r="AH134" i="8"/>
  <c r="AI134" i="8"/>
  <c r="AJ134" i="8"/>
  <c r="AK134" i="8"/>
  <c r="AL134" i="8"/>
  <c r="A135" i="8"/>
  <c r="AD135" i="8"/>
  <c r="AE135" i="8"/>
  <c r="AF135" i="8"/>
  <c r="AG135" i="8"/>
  <c r="AH135" i="8"/>
  <c r="AI135" i="8"/>
  <c r="AJ135" i="8"/>
  <c r="AK135" i="8"/>
  <c r="AL135" i="8"/>
  <c r="A136" i="8"/>
  <c r="AD136" i="8"/>
  <c r="AE136" i="8"/>
  <c r="AF136" i="8"/>
  <c r="AG136" i="8"/>
  <c r="AH136" i="8"/>
  <c r="AI136" i="8"/>
  <c r="AJ136" i="8"/>
  <c r="AK136" i="8"/>
  <c r="AL136" i="8"/>
  <c r="A137" i="8"/>
  <c r="AD137" i="8"/>
  <c r="AE137" i="8"/>
  <c r="AF137" i="8"/>
  <c r="AG137" i="8"/>
  <c r="AH137" i="8"/>
  <c r="AI137" i="8"/>
  <c r="AJ137" i="8"/>
  <c r="AK137" i="8"/>
  <c r="AL137" i="8"/>
  <c r="A138" i="8"/>
  <c r="AD138" i="8"/>
  <c r="AE138" i="8"/>
  <c r="AF138" i="8"/>
  <c r="AG138" i="8"/>
  <c r="AH138" i="8"/>
  <c r="AI138" i="8"/>
  <c r="AJ138" i="8"/>
  <c r="AK138" i="8"/>
  <c r="AL138" i="8"/>
  <c r="A139" i="8"/>
  <c r="AD139" i="8"/>
  <c r="AE139" i="8"/>
  <c r="AF139" i="8"/>
  <c r="AG139" i="8"/>
  <c r="AH139" i="8"/>
  <c r="AI139" i="8"/>
  <c r="AJ139" i="8"/>
  <c r="AK139" i="8"/>
  <c r="AL139" i="8"/>
  <c r="A140" i="8"/>
  <c r="AD140" i="8"/>
  <c r="AE140" i="8"/>
  <c r="AF140" i="8"/>
  <c r="AG140" i="8"/>
  <c r="AH140" i="8"/>
  <c r="AI140" i="8"/>
  <c r="AJ140" i="8"/>
  <c r="AK140" i="8"/>
  <c r="AL140" i="8"/>
  <c r="A141" i="8"/>
  <c r="AD141" i="8"/>
  <c r="AE141" i="8"/>
  <c r="AF141" i="8"/>
  <c r="AG141" i="8"/>
  <c r="AH141" i="8"/>
  <c r="AI141" i="8"/>
  <c r="AJ141" i="8"/>
  <c r="AK141" i="8"/>
  <c r="AL141" i="8"/>
  <c r="A142" i="8"/>
  <c r="AD142" i="8"/>
  <c r="AE142" i="8"/>
  <c r="AF142" i="8"/>
  <c r="AG142" i="8"/>
  <c r="AH142" i="8"/>
  <c r="AI142" i="8"/>
  <c r="AJ142" i="8"/>
  <c r="AK142" i="8"/>
  <c r="AL142" i="8"/>
  <c r="A143" i="8"/>
  <c r="AD143" i="8"/>
  <c r="AE143" i="8"/>
  <c r="AF143" i="8"/>
  <c r="AG143" i="8"/>
  <c r="AH143" i="8"/>
  <c r="AI143" i="8"/>
  <c r="AJ143" i="8"/>
  <c r="AK143" i="8"/>
  <c r="AL143" i="8"/>
  <c r="A144" i="8"/>
  <c r="AD144" i="8"/>
  <c r="AE144" i="8"/>
  <c r="AF144" i="8"/>
  <c r="AG144" i="8"/>
  <c r="AH144" i="8"/>
  <c r="AI144" i="8"/>
  <c r="AJ144" i="8"/>
  <c r="AK144" i="8"/>
  <c r="AL144" i="8"/>
  <c r="A145" i="8"/>
  <c r="AD145" i="8"/>
  <c r="AE145" i="8"/>
  <c r="AF145" i="8"/>
  <c r="AG145" i="8"/>
  <c r="AH145" i="8"/>
  <c r="AI145" i="8"/>
  <c r="AJ145" i="8"/>
  <c r="AK145" i="8"/>
  <c r="AL145" i="8"/>
  <c r="A146" i="8"/>
  <c r="AD146" i="8"/>
  <c r="AE146" i="8"/>
  <c r="AF146" i="8"/>
  <c r="AG146" i="8"/>
  <c r="AH146" i="8"/>
  <c r="AI146" i="8"/>
  <c r="AJ146" i="8"/>
  <c r="AK146" i="8"/>
  <c r="AL146" i="8"/>
  <c r="A147" i="8"/>
  <c r="AD147" i="8"/>
  <c r="AE147" i="8"/>
  <c r="AF147" i="8"/>
  <c r="AG147" i="8"/>
  <c r="AH147" i="8"/>
  <c r="AI147" i="8"/>
  <c r="AJ147" i="8"/>
  <c r="AK147" i="8"/>
  <c r="AL147" i="8"/>
  <c r="A148" i="8"/>
  <c r="AD148" i="8"/>
  <c r="AE148" i="8"/>
  <c r="AF148" i="8"/>
  <c r="AG148" i="8"/>
  <c r="AH148" i="8"/>
  <c r="AI148" i="8"/>
  <c r="AJ148" i="8"/>
  <c r="AK148" i="8"/>
  <c r="AL148" i="8"/>
  <c r="A149" i="8"/>
  <c r="AD149" i="8"/>
  <c r="AE149" i="8"/>
  <c r="AF149" i="8"/>
  <c r="AG149" i="8"/>
  <c r="AH149" i="8"/>
  <c r="AI149" i="8"/>
  <c r="AJ149" i="8"/>
  <c r="AK149" i="8"/>
  <c r="AL149" i="8"/>
  <c r="A150" i="8"/>
  <c r="AD150" i="8"/>
  <c r="AE150" i="8"/>
  <c r="AF150" i="8"/>
  <c r="AG150" i="8"/>
  <c r="AH150" i="8"/>
  <c r="AI150" i="8"/>
  <c r="AJ150" i="8"/>
  <c r="AK150" i="8"/>
  <c r="AL150" i="8"/>
  <c r="A151" i="8"/>
  <c r="AD151" i="8"/>
  <c r="AE151" i="8"/>
  <c r="AF151" i="8"/>
  <c r="AG151" i="8"/>
  <c r="AH151" i="8"/>
  <c r="AI151" i="8"/>
  <c r="AJ151" i="8"/>
  <c r="AK151" i="8"/>
  <c r="AL151" i="8"/>
  <c r="AM151" i="8"/>
  <c r="AN151" i="8"/>
  <c r="AO151" i="8"/>
  <c r="A152" i="8"/>
  <c r="AD152" i="8"/>
  <c r="AE152" i="8"/>
  <c r="AF152" i="8"/>
  <c r="AG152" i="8"/>
  <c r="AH152" i="8"/>
  <c r="AI152" i="8"/>
  <c r="AJ152" i="8"/>
  <c r="AK152" i="8"/>
  <c r="AL152" i="8"/>
  <c r="AM152" i="8"/>
  <c r="AN152" i="8"/>
  <c r="AO152" i="8"/>
  <c r="A153" i="8"/>
  <c r="AD153" i="8"/>
  <c r="AE153" i="8"/>
  <c r="AF153" i="8"/>
  <c r="AG153" i="8"/>
  <c r="AH153" i="8"/>
  <c r="AI153" i="8"/>
  <c r="AJ153" i="8"/>
  <c r="AK153" i="8"/>
  <c r="AL153" i="8"/>
  <c r="AM153" i="8"/>
  <c r="AN153" i="8"/>
  <c r="AO153" i="8"/>
  <c r="A154" i="8"/>
  <c r="AD154" i="8"/>
  <c r="AE154" i="8"/>
  <c r="AF154" i="8"/>
  <c r="AG154" i="8"/>
  <c r="AH154" i="8"/>
  <c r="AI154" i="8"/>
  <c r="AJ154" i="8"/>
  <c r="AK154" i="8"/>
  <c r="AL154" i="8"/>
  <c r="AM154" i="8"/>
  <c r="AN154" i="8"/>
  <c r="AO154" i="8"/>
  <c r="A155" i="8"/>
  <c r="AD155" i="8"/>
  <c r="AE155" i="8"/>
  <c r="AF155" i="8"/>
  <c r="AG155" i="8"/>
  <c r="AH155" i="8"/>
  <c r="AI155" i="8"/>
  <c r="AJ155" i="8"/>
  <c r="AK155" i="8"/>
  <c r="AL155" i="8"/>
  <c r="AM155" i="8"/>
  <c r="AN155" i="8"/>
  <c r="AO155" i="8"/>
  <c r="A156" i="8"/>
  <c r="AD156" i="8"/>
  <c r="AE156" i="8"/>
  <c r="AF156" i="8"/>
  <c r="AG156" i="8"/>
  <c r="AH156" i="8"/>
  <c r="AI156" i="8"/>
  <c r="AJ156" i="8"/>
  <c r="AK156" i="8"/>
  <c r="AL156" i="8"/>
  <c r="AM156" i="8"/>
  <c r="AN156" i="8"/>
  <c r="AO156" i="8"/>
  <c r="A157" i="8"/>
  <c r="AD157" i="8"/>
  <c r="AE157" i="8"/>
  <c r="AF157" i="8"/>
  <c r="AG157" i="8"/>
  <c r="AH157" i="8"/>
  <c r="AI157" i="8"/>
  <c r="AJ157" i="8"/>
  <c r="AK157" i="8"/>
  <c r="AL157" i="8"/>
  <c r="AM157" i="8"/>
  <c r="AN157" i="8"/>
  <c r="AO157" i="8"/>
  <c r="A158" i="8"/>
  <c r="AD158" i="8"/>
  <c r="AE158" i="8"/>
  <c r="AF158" i="8"/>
  <c r="AG158" i="8"/>
  <c r="AH158" i="8"/>
  <c r="AI158" i="8"/>
  <c r="AJ158" i="8"/>
  <c r="AK158" i="8"/>
  <c r="AL158" i="8"/>
  <c r="AM158" i="8"/>
  <c r="AN158" i="8"/>
  <c r="AO158" i="8"/>
  <c r="A159" i="8"/>
  <c r="AD159" i="8"/>
  <c r="AE159" i="8"/>
  <c r="AF159" i="8"/>
  <c r="AG159" i="8"/>
  <c r="AH159" i="8"/>
  <c r="AI159" i="8"/>
  <c r="AJ159" i="8"/>
  <c r="AK159" i="8"/>
  <c r="AL159" i="8"/>
  <c r="AM159" i="8"/>
  <c r="AN159" i="8"/>
  <c r="AO159" i="8"/>
  <c r="A160" i="8"/>
  <c r="AD160" i="8"/>
  <c r="AE160" i="8"/>
  <c r="AF160" i="8"/>
  <c r="AG160" i="8"/>
  <c r="AH160" i="8"/>
  <c r="AI160" i="8"/>
  <c r="AJ160" i="8"/>
  <c r="AK160" i="8"/>
  <c r="AL160" i="8"/>
  <c r="AM160" i="8"/>
  <c r="AN160" i="8"/>
  <c r="AO160" i="8"/>
  <c r="A161" i="8"/>
  <c r="AD161" i="8"/>
  <c r="AE161" i="8"/>
  <c r="AF161" i="8"/>
  <c r="AG161" i="8"/>
  <c r="AH161" i="8"/>
  <c r="AI161" i="8"/>
  <c r="AJ161" i="8"/>
  <c r="AK161" i="8"/>
  <c r="AL161" i="8"/>
  <c r="AM161" i="8"/>
  <c r="AN161" i="8"/>
  <c r="AO161" i="8"/>
  <c r="A162" i="8"/>
  <c r="AD162" i="8"/>
  <c r="AE162" i="8"/>
  <c r="AF162" i="8"/>
  <c r="AG162" i="8"/>
  <c r="AH162" i="8"/>
  <c r="AI162" i="8"/>
  <c r="AJ162" i="8"/>
  <c r="AK162" i="8"/>
  <c r="AL162" i="8"/>
  <c r="AM162" i="8"/>
  <c r="AN162" i="8"/>
  <c r="AO162" i="8"/>
  <c r="A163" i="8"/>
  <c r="AD163" i="8"/>
  <c r="AE163" i="8"/>
  <c r="AF163" i="8"/>
  <c r="AG163" i="8"/>
  <c r="AH163" i="8"/>
  <c r="AI163" i="8"/>
  <c r="AJ163" i="8"/>
  <c r="AK163" i="8"/>
  <c r="AL163" i="8"/>
  <c r="AM163" i="8"/>
  <c r="AN163" i="8"/>
  <c r="AO163" i="8"/>
  <c r="A164" i="8"/>
  <c r="AD164" i="8"/>
  <c r="AE164" i="8"/>
  <c r="AF164" i="8"/>
  <c r="AG164" i="8"/>
  <c r="AH164" i="8"/>
  <c r="AI164" i="8"/>
  <c r="AJ164" i="8"/>
  <c r="AK164" i="8"/>
  <c r="AL164" i="8"/>
  <c r="AM164" i="8"/>
  <c r="AN164" i="8"/>
  <c r="AO164" i="8"/>
  <c r="A165" i="8"/>
  <c r="AD165" i="8"/>
  <c r="AE165" i="8"/>
  <c r="AF165" i="8"/>
  <c r="AG165" i="8"/>
  <c r="AH165" i="8"/>
  <c r="AI165" i="8"/>
  <c r="AJ165" i="8"/>
  <c r="AK165" i="8"/>
  <c r="AL165" i="8"/>
  <c r="AM165" i="8"/>
  <c r="AN165" i="8"/>
  <c r="AO165" i="8"/>
  <c r="A166" i="8"/>
  <c r="AD166" i="8"/>
  <c r="AE166" i="8"/>
  <c r="AF166" i="8"/>
  <c r="AG166" i="8"/>
  <c r="AH166" i="8"/>
  <c r="AI166" i="8"/>
  <c r="AJ166" i="8"/>
  <c r="AK166" i="8"/>
  <c r="AL166" i="8"/>
  <c r="AM166" i="8"/>
  <c r="AN166" i="8"/>
  <c r="AO166" i="8"/>
  <c r="A167" i="8"/>
  <c r="AD167" i="8"/>
  <c r="AE167" i="8"/>
  <c r="AF167" i="8"/>
  <c r="AG167" i="8"/>
  <c r="AH167" i="8"/>
  <c r="AI167" i="8"/>
  <c r="AJ167" i="8"/>
  <c r="AK167" i="8"/>
  <c r="AL167" i="8"/>
  <c r="AM167" i="8"/>
  <c r="AN167" i="8"/>
  <c r="AO167" i="8"/>
  <c r="A168" i="8"/>
  <c r="AD168" i="8"/>
  <c r="AE168" i="8"/>
  <c r="AF168" i="8"/>
  <c r="AG168" i="8"/>
  <c r="AH168" i="8"/>
  <c r="AI168" i="8"/>
  <c r="AJ168" i="8"/>
  <c r="AK168" i="8"/>
  <c r="AL168" i="8"/>
  <c r="AM168" i="8"/>
  <c r="AN168" i="8"/>
  <c r="AO168" i="8"/>
  <c r="A169" i="8"/>
  <c r="AD169" i="8"/>
  <c r="AE169" i="8"/>
  <c r="AF169" i="8"/>
  <c r="AG169" i="8"/>
  <c r="AH169" i="8"/>
  <c r="AI169" i="8"/>
  <c r="AJ169" i="8"/>
  <c r="AK169" i="8"/>
  <c r="AL169" i="8"/>
  <c r="AM169" i="8"/>
  <c r="AN169" i="8"/>
  <c r="AO169" i="8"/>
  <c r="A170" i="8"/>
  <c r="AD170" i="8"/>
  <c r="AE170" i="8"/>
  <c r="AF170" i="8"/>
  <c r="AG170" i="8"/>
  <c r="AH170" i="8"/>
  <c r="AI170" i="8"/>
  <c r="AJ170" i="8"/>
  <c r="AK170" i="8"/>
  <c r="AL170" i="8"/>
  <c r="AM170" i="8"/>
  <c r="AN170" i="8"/>
  <c r="AO170" i="8"/>
  <c r="AD171" i="8"/>
  <c r="AE171" i="8"/>
  <c r="AF171" i="8"/>
  <c r="AG171" i="8"/>
  <c r="AH171" i="8"/>
  <c r="AI171" i="8"/>
  <c r="AJ171" i="8"/>
  <c r="AK171" i="8"/>
  <c r="AL171" i="8"/>
  <c r="AM171" i="8"/>
  <c r="AN171" i="8"/>
  <c r="AO171" i="8"/>
  <c r="A172" i="8"/>
  <c r="AD172" i="8"/>
  <c r="AE172" i="8"/>
  <c r="AF172" i="8"/>
  <c r="AG172" i="8"/>
  <c r="AH172" i="8"/>
  <c r="AI172" i="8"/>
  <c r="AJ172" i="8"/>
  <c r="AK172" i="8"/>
  <c r="AL172" i="8"/>
  <c r="AM172" i="8"/>
  <c r="AN172" i="8"/>
  <c r="AO172" i="8"/>
  <c r="A173" i="8"/>
  <c r="AD173" i="8"/>
  <c r="AE173" i="8"/>
  <c r="AF173" i="8"/>
  <c r="AG173" i="8"/>
  <c r="AH173" i="8"/>
  <c r="AI173" i="8"/>
  <c r="AJ173" i="8"/>
  <c r="AK173" i="8"/>
  <c r="AL173" i="8"/>
  <c r="AM173" i="8"/>
  <c r="AN173" i="8"/>
  <c r="AO173" i="8"/>
  <c r="A174" i="8"/>
  <c r="AD174" i="8"/>
  <c r="AE174" i="8"/>
  <c r="AF174" i="8"/>
  <c r="AG174" i="8"/>
  <c r="AH174" i="8"/>
  <c r="AI174" i="8"/>
  <c r="AJ174" i="8"/>
  <c r="AK174" i="8"/>
  <c r="AL174" i="8"/>
  <c r="AM174" i="8"/>
  <c r="AN174" i="8"/>
  <c r="AO174" i="8"/>
  <c r="A175" i="8"/>
  <c r="AD175" i="8"/>
  <c r="AE175" i="8"/>
  <c r="AF175" i="8"/>
  <c r="AG175" i="8"/>
  <c r="AH175" i="8"/>
  <c r="AI175" i="8"/>
  <c r="AJ175" i="8"/>
  <c r="AK175" i="8"/>
  <c r="AL175" i="8"/>
  <c r="AM175" i="8"/>
  <c r="AN175" i="8"/>
  <c r="AO175" i="8"/>
  <c r="A176" i="8"/>
  <c r="AD176" i="8"/>
  <c r="AE176" i="8"/>
  <c r="AF176" i="8"/>
  <c r="AG176" i="8"/>
  <c r="AH176" i="8"/>
  <c r="AI176" i="8"/>
  <c r="AJ176" i="8"/>
  <c r="AK176" i="8"/>
  <c r="AL176" i="8"/>
  <c r="AM176" i="8"/>
  <c r="AN176" i="8"/>
  <c r="AO176" i="8"/>
  <c r="A177" i="8"/>
  <c r="AD177" i="8"/>
  <c r="AE177" i="8"/>
  <c r="AF177" i="8"/>
  <c r="AG177" i="8"/>
  <c r="AH177" i="8"/>
  <c r="AI177" i="8"/>
  <c r="AJ177" i="8"/>
  <c r="AK177" i="8"/>
  <c r="AL177" i="8"/>
  <c r="AM177" i="8"/>
  <c r="AN177" i="8"/>
  <c r="AO177" i="8"/>
  <c r="A178" i="8"/>
  <c r="AD178" i="8"/>
  <c r="AE178" i="8"/>
  <c r="AF178" i="8"/>
  <c r="AG178" i="8"/>
  <c r="AH178" i="8"/>
  <c r="AI178" i="8"/>
  <c r="AJ178" i="8"/>
  <c r="AK178" i="8"/>
  <c r="AL178" i="8"/>
  <c r="AM178" i="8"/>
  <c r="AN178" i="8"/>
  <c r="AO178" i="8"/>
  <c r="A179" i="8"/>
  <c r="AD179" i="8"/>
  <c r="AE179" i="8"/>
  <c r="AF179" i="8"/>
  <c r="AG179" i="8"/>
  <c r="AH179" i="8"/>
  <c r="AI179" i="8"/>
  <c r="AJ179" i="8"/>
  <c r="AK179" i="8"/>
  <c r="AL179" i="8"/>
  <c r="AM179" i="8"/>
  <c r="AN179" i="8"/>
  <c r="AO179" i="8"/>
  <c r="A180" i="8"/>
  <c r="AD180" i="8"/>
  <c r="AE180" i="8"/>
  <c r="AF180" i="8"/>
  <c r="AG180" i="8"/>
  <c r="AH180" i="8"/>
  <c r="AI180" i="8"/>
  <c r="AJ180" i="8"/>
  <c r="AK180" i="8"/>
  <c r="AL180" i="8"/>
  <c r="AM180" i="8"/>
  <c r="AN180" i="8"/>
  <c r="AO180" i="8"/>
  <c r="A181" i="8"/>
  <c r="AD181" i="8"/>
  <c r="AE181" i="8"/>
  <c r="AF181" i="8"/>
  <c r="AG181" i="8"/>
  <c r="AH181" i="8"/>
  <c r="AI181" i="8"/>
  <c r="AJ181" i="8"/>
  <c r="AK181" i="8"/>
  <c r="AL181" i="8"/>
  <c r="AM181" i="8"/>
  <c r="AN181" i="8"/>
  <c r="AO181" i="8"/>
  <c r="A182" i="8"/>
  <c r="AD182" i="8"/>
  <c r="AE182" i="8"/>
  <c r="AF182" i="8"/>
  <c r="AG182" i="8"/>
  <c r="AH182" i="8"/>
  <c r="AI182" i="8"/>
  <c r="AJ182" i="8"/>
  <c r="AK182" i="8"/>
  <c r="AL182" i="8"/>
  <c r="AM182" i="8"/>
  <c r="AN182" i="8"/>
  <c r="AO182" i="8"/>
  <c r="A183" i="8"/>
  <c r="AD183" i="8"/>
  <c r="AE183" i="8"/>
  <c r="AF183" i="8"/>
  <c r="AG183" i="8"/>
  <c r="AH183" i="8"/>
  <c r="AI183" i="8"/>
  <c r="AJ183" i="8"/>
  <c r="AK183" i="8"/>
  <c r="AL183" i="8"/>
  <c r="AM183" i="8"/>
  <c r="AN183" i="8"/>
  <c r="AO183" i="8"/>
  <c r="A184" i="8"/>
  <c r="AD184" i="8"/>
  <c r="AE184" i="8"/>
  <c r="AF184" i="8"/>
  <c r="AG184" i="8"/>
  <c r="AH184" i="8"/>
  <c r="AI184" i="8"/>
  <c r="AJ184" i="8"/>
  <c r="AK184" i="8"/>
  <c r="AL184" i="8"/>
  <c r="AM184" i="8"/>
  <c r="AN184" i="8"/>
  <c r="AO184" i="8"/>
  <c r="A185" i="8"/>
  <c r="AD185" i="8"/>
  <c r="AE185" i="8"/>
  <c r="AF185" i="8"/>
  <c r="AG185" i="8"/>
  <c r="AH185" i="8"/>
  <c r="AI185" i="8"/>
  <c r="AJ185" i="8"/>
  <c r="AK185" i="8"/>
  <c r="AL185" i="8"/>
  <c r="AM185" i="8"/>
  <c r="AN185" i="8"/>
  <c r="AO185" i="8"/>
  <c r="A186" i="8"/>
  <c r="AD186" i="8"/>
  <c r="AE186" i="8"/>
  <c r="AF186" i="8"/>
  <c r="AG186" i="8"/>
  <c r="AH186" i="8"/>
  <c r="AI186" i="8"/>
  <c r="AJ186" i="8"/>
  <c r="AK186" i="8"/>
  <c r="AL186" i="8"/>
  <c r="A187" i="8"/>
  <c r="AD187" i="8"/>
  <c r="AE187" i="8"/>
  <c r="AF187" i="8"/>
  <c r="AG187" i="8"/>
  <c r="AH187" i="8"/>
  <c r="AI187" i="8"/>
  <c r="AJ187" i="8"/>
  <c r="AK187" i="8"/>
  <c r="AL187" i="8"/>
  <c r="A188" i="8"/>
  <c r="AD188" i="8"/>
  <c r="AE188" i="8"/>
  <c r="AF188" i="8"/>
  <c r="AG188" i="8"/>
  <c r="AH188" i="8"/>
  <c r="AI188" i="8"/>
  <c r="AJ188" i="8"/>
  <c r="AK188" i="8"/>
  <c r="AL188" i="8"/>
  <c r="A189" i="8"/>
  <c r="AD189" i="8"/>
  <c r="AE189" i="8"/>
  <c r="AF189" i="8"/>
  <c r="AG189" i="8"/>
  <c r="AH189" i="8"/>
  <c r="AI189" i="8"/>
  <c r="AJ189" i="8"/>
  <c r="AK189" i="8"/>
  <c r="AL189" i="8"/>
  <c r="A190" i="8"/>
  <c r="AD190" i="8"/>
  <c r="AE190" i="8"/>
  <c r="AF190" i="8"/>
  <c r="AG190" i="8"/>
  <c r="AH190" i="8"/>
  <c r="AI190" i="8"/>
  <c r="AJ190" i="8"/>
  <c r="AK190" i="8"/>
  <c r="AL190" i="8"/>
  <c r="A191" i="8"/>
  <c r="AD191" i="8"/>
  <c r="AE191" i="8"/>
  <c r="AF191" i="8"/>
  <c r="AG191" i="8"/>
  <c r="AH191" i="8"/>
  <c r="AI191" i="8"/>
  <c r="AJ191" i="8"/>
  <c r="AK191" i="8"/>
  <c r="AL191" i="8"/>
  <c r="A192" i="8"/>
  <c r="AD192" i="8"/>
  <c r="AE192" i="8"/>
  <c r="AF192" i="8"/>
  <c r="AG192" i="8"/>
  <c r="AH192" i="8"/>
  <c r="AI192" i="8"/>
  <c r="AJ192" i="8"/>
  <c r="AK192" i="8"/>
  <c r="AL192" i="8"/>
  <c r="A193" i="8"/>
  <c r="AD193" i="8"/>
  <c r="AE193" i="8"/>
  <c r="AF193" i="8"/>
  <c r="AG193" i="8"/>
  <c r="AH193" i="8"/>
  <c r="AI193" i="8"/>
  <c r="AJ193" i="8"/>
  <c r="AK193" i="8"/>
  <c r="AL193" i="8"/>
  <c r="A194" i="8"/>
  <c r="AD194" i="8"/>
  <c r="AE194" i="8"/>
  <c r="AF194" i="8"/>
  <c r="AG194" i="8"/>
  <c r="AH194" i="8"/>
  <c r="AI194" i="8"/>
  <c r="AJ194" i="8"/>
  <c r="AK194" i="8"/>
  <c r="AL194" i="8"/>
  <c r="A195" i="8"/>
  <c r="AD195" i="8"/>
  <c r="AE195" i="8"/>
  <c r="AF195" i="8"/>
  <c r="AG195" i="8"/>
  <c r="AH195" i="8"/>
  <c r="AI195" i="8"/>
  <c r="AJ195" i="8"/>
  <c r="AK195" i="8"/>
  <c r="AL195" i="8"/>
  <c r="A196" i="8"/>
  <c r="AD196" i="8"/>
  <c r="AE196" i="8"/>
  <c r="AF196" i="8"/>
  <c r="AG196" i="8"/>
  <c r="AH196" i="8"/>
  <c r="AI196" i="8"/>
  <c r="AJ196" i="8"/>
  <c r="AK196" i="8"/>
  <c r="AL196" i="8"/>
  <c r="A197" i="8"/>
  <c r="AD197" i="8"/>
  <c r="AE197" i="8"/>
  <c r="AF197" i="8"/>
  <c r="AG197" i="8"/>
  <c r="AH197" i="8"/>
  <c r="AI197" i="8"/>
  <c r="AJ197" i="8"/>
  <c r="AK197" i="8"/>
  <c r="AL197" i="8"/>
  <c r="A198" i="8"/>
  <c r="AD198" i="8"/>
  <c r="AE198" i="8"/>
  <c r="AF198" i="8"/>
  <c r="AG198" i="8"/>
  <c r="AH198" i="8"/>
  <c r="AI198" i="8"/>
  <c r="AJ198" i="8"/>
  <c r="AK198" i="8"/>
  <c r="AL198" i="8"/>
  <c r="A199" i="8"/>
  <c r="AD199" i="8"/>
  <c r="AE199" i="8"/>
  <c r="AF199" i="8"/>
  <c r="AG199" i="8"/>
  <c r="AH199" i="8"/>
  <c r="AI199" i="8"/>
  <c r="AJ199" i="8"/>
  <c r="AK199" i="8"/>
  <c r="AL199" i="8"/>
  <c r="A200" i="8"/>
  <c r="AD200" i="8"/>
  <c r="AE200" i="8"/>
  <c r="AF200" i="8"/>
  <c r="AG200" i="8"/>
  <c r="AH200" i="8"/>
  <c r="AI200" i="8"/>
  <c r="AJ200" i="8"/>
  <c r="AK200" i="8"/>
  <c r="AL200" i="8"/>
  <c r="A201" i="8"/>
  <c r="AD201" i="8"/>
  <c r="AE201" i="8"/>
  <c r="AF201" i="8"/>
  <c r="AG201" i="8"/>
  <c r="AH201" i="8"/>
  <c r="AI201" i="8"/>
  <c r="AJ201" i="8"/>
  <c r="AK201" i="8"/>
  <c r="AL201" i="8"/>
  <c r="A202" i="8"/>
  <c r="AD202" i="8"/>
  <c r="AE202" i="8"/>
  <c r="AF202" i="8"/>
  <c r="AG202" i="8"/>
  <c r="AH202" i="8"/>
  <c r="AI202" i="8"/>
  <c r="AJ202" i="8"/>
  <c r="AK202" i="8"/>
  <c r="AL202" i="8"/>
  <c r="A203" i="8"/>
  <c r="AD203" i="8"/>
  <c r="AE203" i="8"/>
  <c r="AF203" i="8"/>
  <c r="AG203" i="8"/>
  <c r="AH203" i="8"/>
  <c r="AI203" i="8"/>
  <c r="AJ203" i="8"/>
  <c r="AK203" i="8"/>
  <c r="AL203" i="8"/>
  <c r="A204" i="8"/>
  <c r="AD204" i="8"/>
  <c r="AE204" i="8"/>
  <c r="AF204" i="8"/>
  <c r="AG204" i="8"/>
  <c r="AH204" i="8"/>
  <c r="AI204" i="8"/>
  <c r="AJ204" i="8"/>
  <c r="AK204" i="8"/>
  <c r="AL204" i="8"/>
  <c r="A205" i="8"/>
  <c r="AD205" i="8"/>
  <c r="AE205" i="8"/>
  <c r="AF205" i="8"/>
  <c r="AG205" i="8"/>
  <c r="AH205" i="8"/>
  <c r="AI205" i="8"/>
  <c r="AJ205" i="8"/>
  <c r="AK205" i="8"/>
  <c r="AL205" i="8"/>
  <c r="A206" i="8"/>
  <c r="AD206" i="8"/>
  <c r="AE206" i="8"/>
  <c r="AF206" i="8"/>
  <c r="AG206" i="8"/>
  <c r="AH206" i="8"/>
  <c r="AI206" i="8"/>
  <c r="AJ206" i="8"/>
  <c r="AK206" i="8"/>
  <c r="AL206" i="8"/>
  <c r="A207" i="8"/>
  <c r="AD207" i="8"/>
  <c r="AE207" i="8"/>
  <c r="AF207" i="8"/>
  <c r="AG207" i="8"/>
  <c r="AH207" i="8"/>
  <c r="AI207" i="8"/>
  <c r="AJ207" i="8"/>
  <c r="AK207" i="8"/>
  <c r="AL207" i="8"/>
  <c r="A208" i="8"/>
  <c r="AD208" i="8"/>
  <c r="AE208" i="8"/>
  <c r="AF208" i="8"/>
  <c r="AG208" i="8"/>
  <c r="AH208" i="8"/>
  <c r="AI208" i="8"/>
  <c r="AJ208" i="8"/>
  <c r="AK208" i="8"/>
  <c r="AL208" i="8"/>
  <c r="AM208" i="8"/>
  <c r="AN208" i="8"/>
  <c r="AO208" i="8"/>
  <c r="A209" i="8"/>
  <c r="AD209" i="8"/>
  <c r="AE209" i="8"/>
  <c r="AF209" i="8"/>
  <c r="AG209" i="8"/>
  <c r="AH209" i="8"/>
  <c r="AI209" i="8"/>
  <c r="AJ209" i="8"/>
  <c r="AK209" i="8"/>
  <c r="AL209" i="8"/>
  <c r="AM209" i="8"/>
  <c r="AN209" i="8"/>
  <c r="AO209" i="8"/>
  <c r="A210" i="8"/>
  <c r="AD210" i="8"/>
  <c r="AE210" i="8"/>
  <c r="AF210" i="8"/>
  <c r="AG210" i="8"/>
  <c r="AH210" i="8"/>
  <c r="AI210" i="8"/>
  <c r="AJ210" i="8"/>
  <c r="AK210" i="8"/>
  <c r="AL210" i="8"/>
  <c r="AM210" i="8"/>
  <c r="AN210" i="8"/>
  <c r="AO210" i="8"/>
  <c r="A211" i="8"/>
  <c r="AD211" i="8"/>
  <c r="AE211" i="8"/>
  <c r="AF211" i="8"/>
  <c r="AG211" i="8"/>
  <c r="AH211" i="8"/>
  <c r="AI211" i="8"/>
  <c r="AJ211" i="8"/>
  <c r="AK211" i="8"/>
  <c r="AL211" i="8"/>
  <c r="AM211" i="8"/>
  <c r="AN211" i="8"/>
  <c r="AO211" i="8"/>
  <c r="A212" i="8"/>
  <c r="AD212" i="8"/>
  <c r="AE212" i="8"/>
  <c r="AF212" i="8"/>
  <c r="AG212" i="8"/>
  <c r="AH212" i="8"/>
  <c r="AI212" i="8"/>
  <c r="AJ212" i="8"/>
  <c r="AK212" i="8"/>
  <c r="AL212" i="8"/>
  <c r="AM212" i="8"/>
  <c r="AN212" i="8"/>
  <c r="AO212" i="8"/>
  <c r="A213" i="8"/>
  <c r="AD213" i="8"/>
  <c r="AE213" i="8"/>
  <c r="AF213" i="8"/>
  <c r="AG213" i="8"/>
  <c r="AH213" i="8"/>
  <c r="AI213" i="8"/>
  <c r="AJ213" i="8"/>
  <c r="AK213" i="8"/>
  <c r="AL213" i="8"/>
  <c r="AM213" i="8"/>
  <c r="AN213" i="8"/>
  <c r="AO213" i="8"/>
  <c r="A214" i="8"/>
  <c r="AD214" i="8"/>
  <c r="AE214" i="8"/>
  <c r="AF214" i="8"/>
  <c r="AG214" i="8"/>
  <c r="AH214" i="8"/>
  <c r="AI214" i="8"/>
  <c r="AJ214" i="8"/>
  <c r="AK214" i="8"/>
  <c r="AL214" i="8"/>
  <c r="AM214" i="8"/>
  <c r="AN214" i="8"/>
  <c r="AO214" i="8"/>
  <c r="A215" i="8"/>
  <c r="AD215" i="8"/>
  <c r="AE215" i="8"/>
  <c r="AF215" i="8"/>
  <c r="AG215" i="8"/>
  <c r="AH215" i="8"/>
  <c r="AI215" i="8"/>
  <c r="AJ215" i="8"/>
  <c r="AK215" i="8"/>
  <c r="AL215" i="8"/>
  <c r="AM215" i="8"/>
  <c r="AN215" i="8"/>
  <c r="AO215" i="8"/>
  <c r="A216" i="8"/>
  <c r="AD216" i="8"/>
  <c r="AE216" i="8"/>
  <c r="AF216" i="8"/>
  <c r="AG216" i="8"/>
  <c r="AH216" i="8"/>
  <c r="AI216" i="8"/>
  <c r="AJ216" i="8"/>
  <c r="AK216" i="8"/>
  <c r="AL216" i="8"/>
  <c r="AM216" i="8"/>
  <c r="AN216" i="8"/>
  <c r="AO216" i="8"/>
  <c r="A217" i="8"/>
  <c r="AD217" i="8"/>
  <c r="AE217" i="8"/>
  <c r="AF217" i="8"/>
  <c r="AG217" i="8"/>
  <c r="AH217" i="8"/>
  <c r="AI217" i="8"/>
  <c r="AJ217" i="8"/>
  <c r="AK217" i="8"/>
  <c r="AL217" i="8"/>
  <c r="AM217" i="8"/>
  <c r="AN217" i="8"/>
  <c r="AO217" i="8"/>
  <c r="A218" i="8"/>
  <c r="AD218" i="8"/>
  <c r="AE218" i="8"/>
  <c r="AF218" i="8"/>
  <c r="AG218" i="8"/>
  <c r="AH218" i="8"/>
  <c r="AI218" i="8"/>
  <c r="AJ218" i="8"/>
  <c r="AK218" i="8"/>
  <c r="AL218" i="8"/>
  <c r="AM218" i="8"/>
  <c r="AN218" i="8"/>
  <c r="AO218" i="8"/>
  <c r="A219" i="8"/>
  <c r="AD219" i="8"/>
  <c r="AE219" i="8"/>
  <c r="AF219" i="8"/>
  <c r="AG219" i="8"/>
  <c r="AH219" i="8"/>
  <c r="AI219" i="8"/>
  <c r="AJ219" i="8"/>
  <c r="AK219" i="8"/>
  <c r="AL219" i="8"/>
  <c r="AM219" i="8"/>
  <c r="AN219" i="8"/>
  <c r="AO219" i="8"/>
  <c r="A220" i="8"/>
  <c r="AD220" i="8"/>
  <c r="AE220" i="8"/>
  <c r="AF220" i="8"/>
  <c r="AG220" i="8"/>
  <c r="AH220" i="8"/>
  <c r="AI220" i="8"/>
  <c r="AJ220" i="8"/>
  <c r="AK220" i="8"/>
  <c r="AL220" i="8"/>
  <c r="AM220" i="8"/>
  <c r="AN220" i="8"/>
  <c r="AO220" i="8"/>
  <c r="A221" i="8"/>
  <c r="AD221" i="8"/>
  <c r="AE221" i="8"/>
  <c r="AF221" i="8"/>
  <c r="AG221" i="8"/>
  <c r="AH221" i="8"/>
  <c r="AI221" i="8"/>
  <c r="AJ221" i="8"/>
  <c r="AK221" i="8"/>
  <c r="AL221" i="8"/>
  <c r="AM221" i="8"/>
  <c r="AN221" i="8"/>
  <c r="AO221" i="8"/>
  <c r="A222" i="8"/>
  <c r="AD222" i="8"/>
  <c r="AE222" i="8"/>
  <c r="AF222" i="8"/>
  <c r="AG222" i="8"/>
  <c r="AH222" i="8"/>
  <c r="AI222" i="8"/>
  <c r="AJ222" i="8"/>
  <c r="AK222" i="8"/>
  <c r="AL222" i="8"/>
  <c r="AM222" i="8"/>
  <c r="AN222" i="8"/>
  <c r="AO222" i="8"/>
  <c r="A223" i="8"/>
  <c r="AD223" i="8"/>
  <c r="AE223" i="8"/>
  <c r="AF223" i="8"/>
  <c r="AG223" i="8"/>
  <c r="AH223" i="8"/>
  <c r="AI223" i="8"/>
  <c r="AJ223" i="8"/>
  <c r="AK223" i="8"/>
  <c r="AL223" i="8"/>
  <c r="AM223" i="8"/>
  <c r="AN223" i="8"/>
  <c r="AO223" i="8"/>
  <c r="A224" i="8"/>
  <c r="AD224" i="8"/>
  <c r="AE224" i="8"/>
  <c r="AF224" i="8"/>
  <c r="AG224" i="8"/>
  <c r="AH224" i="8"/>
  <c r="AI224" i="8"/>
  <c r="AJ224" i="8"/>
  <c r="AK224" i="8"/>
  <c r="AL224" i="8"/>
  <c r="AM224" i="8"/>
  <c r="AN224" i="8"/>
  <c r="AO224" i="8"/>
  <c r="A225" i="8"/>
  <c r="AD225" i="8"/>
  <c r="AE225" i="8"/>
  <c r="AF225" i="8"/>
  <c r="AG225" i="8"/>
  <c r="AH225" i="8"/>
  <c r="AI225" i="8"/>
  <c r="AJ225" i="8"/>
  <c r="AK225" i="8"/>
  <c r="AL225" i="8"/>
  <c r="AM225" i="8"/>
  <c r="AN225" i="8"/>
  <c r="AO225" i="8"/>
  <c r="A226" i="8"/>
  <c r="AD226" i="8"/>
  <c r="AE226" i="8"/>
  <c r="AF226" i="8"/>
  <c r="AG226" i="8"/>
  <c r="AH226" i="8"/>
  <c r="AI226" i="8"/>
  <c r="AJ226" i="8"/>
  <c r="AK226" i="8"/>
  <c r="AL226" i="8"/>
  <c r="AM226" i="8"/>
  <c r="AN226" i="8"/>
  <c r="AO226" i="8"/>
  <c r="A227" i="8"/>
  <c r="AD227" i="8"/>
  <c r="AE227" i="8"/>
  <c r="AF227" i="8"/>
  <c r="AG227" i="8"/>
  <c r="AH227" i="8"/>
  <c r="AI227" i="8"/>
  <c r="AJ227" i="8"/>
  <c r="AK227" i="8"/>
  <c r="AL227" i="8"/>
  <c r="AM227" i="8"/>
  <c r="AN227" i="8"/>
  <c r="AO227" i="8"/>
  <c r="A228" i="8"/>
  <c r="AD228" i="8"/>
  <c r="AE228" i="8"/>
  <c r="AF228" i="8"/>
  <c r="AG228" i="8"/>
  <c r="AH228" i="8"/>
  <c r="AI228" i="8"/>
  <c r="AJ228" i="8"/>
  <c r="AK228" i="8"/>
  <c r="AL228" i="8"/>
  <c r="AM228" i="8"/>
  <c r="AN228" i="8"/>
  <c r="AO228" i="8"/>
  <c r="A229" i="8"/>
  <c r="AD229" i="8"/>
  <c r="AE229" i="8"/>
  <c r="AF229" i="8"/>
  <c r="AG229" i="8"/>
  <c r="AH229" i="8"/>
  <c r="AI229" i="8"/>
  <c r="AJ229" i="8"/>
  <c r="AK229" i="8"/>
  <c r="AL229" i="8"/>
  <c r="AM229" i="8"/>
  <c r="AN229" i="8"/>
  <c r="AO229" i="8"/>
  <c r="A230" i="8"/>
  <c r="AD230" i="8"/>
  <c r="AE230" i="8"/>
  <c r="AF230" i="8"/>
  <c r="AG230" i="8"/>
  <c r="AH230" i="8"/>
  <c r="AI230" i="8"/>
  <c r="AJ230" i="8"/>
  <c r="AK230" i="8"/>
  <c r="AL230" i="8"/>
  <c r="AM230" i="8"/>
  <c r="AN230" i="8"/>
  <c r="AO230" i="8"/>
  <c r="A231" i="8"/>
  <c r="AD231" i="8"/>
  <c r="AE231" i="8"/>
  <c r="AF231" i="8"/>
  <c r="AG231" i="8"/>
  <c r="AH231" i="8"/>
  <c r="AI231" i="8"/>
  <c r="AJ231" i="8"/>
  <c r="AK231" i="8"/>
  <c r="AL231" i="8"/>
  <c r="AM231" i="8"/>
  <c r="AN231" i="8"/>
  <c r="AO231" i="8"/>
  <c r="A232" i="8"/>
  <c r="AD232" i="8"/>
  <c r="AE232" i="8"/>
  <c r="AF232" i="8"/>
  <c r="AG232" i="8"/>
  <c r="AH232" i="8"/>
  <c r="AI232" i="8"/>
  <c r="AJ232" i="8"/>
  <c r="AK232" i="8"/>
  <c r="AL232" i="8"/>
  <c r="AM232" i="8"/>
  <c r="AN232" i="8"/>
  <c r="AO232" i="8"/>
  <c r="A233" i="8"/>
  <c r="AD233" i="8"/>
  <c r="AE233" i="8"/>
  <c r="AF233" i="8"/>
  <c r="AG233" i="8"/>
  <c r="AH233" i="8"/>
  <c r="AI233" i="8"/>
  <c r="AJ233" i="8"/>
  <c r="AK233" i="8"/>
  <c r="AL233" i="8"/>
  <c r="AM233" i="8"/>
  <c r="AN233" i="8"/>
  <c r="AO233" i="8"/>
  <c r="A234" i="8"/>
  <c r="AD234" i="8"/>
  <c r="AE234" i="8"/>
  <c r="AF234" i="8"/>
  <c r="AG234" i="8"/>
  <c r="AH234" i="8"/>
  <c r="AI234" i="8"/>
  <c r="AJ234" i="8"/>
  <c r="AK234" i="8"/>
  <c r="AL234" i="8"/>
  <c r="AM234" i="8"/>
  <c r="AN234" i="8"/>
  <c r="AO234" i="8"/>
  <c r="A235" i="8"/>
  <c r="AD235" i="8"/>
  <c r="AE235" i="8"/>
  <c r="AF235" i="8"/>
  <c r="AG235" i="8"/>
  <c r="AH235" i="8"/>
  <c r="AI235" i="8"/>
  <c r="AJ235" i="8"/>
  <c r="AK235" i="8"/>
  <c r="AL235" i="8"/>
  <c r="AM235" i="8"/>
  <c r="AN235" i="8"/>
  <c r="AO235" i="8"/>
  <c r="A236" i="8"/>
  <c r="AD236" i="8"/>
  <c r="AE236" i="8"/>
  <c r="AF236" i="8"/>
  <c r="AG236" i="8"/>
  <c r="AH236" i="8"/>
  <c r="AI236" i="8"/>
  <c r="AJ236" i="8"/>
  <c r="AK236" i="8"/>
  <c r="AL236" i="8"/>
  <c r="AM236" i="8"/>
  <c r="AN236" i="8"/>
  <c r="AO236" i="8"/>
  <c r="A237" i="8"/>
  <c r="AD237" i="8"/>
  <c r="AE237" i="8"/>
  <c r="AF237" i="8"/>
  <c r="AG237" i="8"/>
  <c r="AH237" i="8"/>
  <c r="AI237" i="8"/>
  <c r="AJ237" i="8"/>
  <c r="AK237" i="8"/>
  <c r="AL237" i="8"/>
  <c r="A238" i="8"/>
  <c r="AD238" i="8"/>
  <c r="AE238" i="8"/>
  <c r="AF238" i="8"/>
  <c r="AG238" i="8"/>
  <c r="AH238" i="8"/>
  <c r="AI238" i="8"/>
  <c r="AJ238" i="8"/>
  <c r="AK238" i="8"/>
  <c r="AL238" i="8"/>
  <c r="A239" i="8"/>
  <c r="AD239" i="8"/>
  <c r="AE239" i="8"/>
  <c r="AF239" i="8"/>
  <c r="AG239" i="8"/>
  <c r="AH239" i="8"/>
  <c r="AI239" i="8"/>
  <c r="AJ239" i="8"/>
  <c r="AK239" i="8"/>
  <c r="AL239" i="8"/>
  <c r="A240" i="8"/>
  <c r="AD240" i="8"/>
  <c r="AE240" i="8"/>
  <c r="AF240" i="8"/>
  <c r="AG240" i="8"/>
  <c r="AH240" i="8"/>
  <c r="AI240" i="8"/>
  <c r="AJ240" i="8"/>
  <c r="AK240" i="8"/>
  <c r="AL240" i="8"/>
  <c r="A241" i="8"/>
  <c r="AD241" i="8"/>
  <c r="AE241" i="8"/>
  <c r="AF241" i="8"/>
  <c r="AG241" i="8"/>
  <c r="AH241" i="8"/>
  <c r="AI241" i="8"/>
  <c r="AJ241" i="8"/>
  <c r="AK241" i="8"/>
  <c r="AL241" i="8"/>
  <c r="A242" i="8"/>
  <c r="AD242" i="8"/>
  <c r="AE242" i="8"/>
  <c r="AF242" i="8"/>
  <c r="AG242" i="8"/>
  <c r="AH242" i="8"/>
  <c r="AI242" i="8"/>
  <c r="AJ242" i="8"/>
  <c r="AK242" i="8"/>
  <c r="AL242" i="8"/>
  <c r="A243" i="8"/>
  <c r="AD243" i="8"/>
  <c r="AE243" i="8"/>
  <c r="AF243" i="8"/>
  <c r="AG243" i="8"/>
  <c r="AH243" i="8"/>
  <c r="AI243" i="8"/>
  <c r="AJ243" i="8"/>
  <c r="AK243" i="8"/>
  <c r="AL243" i="8"/>
  <c r="A244" i="8"/>
  <c r="AD244" i="8"/>
  <c r="AE244" i="8"/>
  <c r="AF244" i="8"/>
  <c r="AG244" i="8"/>
  <c r="AH244" i="8"/>
  <c r="AI244" i="8"/>
  <c r="AJ244" i="8"/>
  <c r="AK244" i="8"/>
  <c r="AL244" i="8"/>
  <c r="A245" i="8"/>
  <c r="AD245" i="8"/>
  <c r="AE245" i="8"/>
  <c r="AF245" i="8"/>
  <c r="AG245" i="8"/>
  <c r="AH245" i="8"/>
  <c r="AI245" i="8"/>
  <c r="AJ245" i="8"/>
  <c r="AK245" i="8"/>
  <c r="AL245" i="8"/>
  <c r="A246" i="8"/>
  <c r="AD246" i="8"/>
  <c r="AE246" i="8"/>
  <c r="AF246" i="8"/>
  <c r="AG246" i="8"/>
  <c r="AH246" i="8"/>
  <c r="AI246" i="8"/>
  <c r="AJ246" i="8"/>
  <c r="AK246" i="8"/>
  <c r="AL246" i="8"/>
  <c r="A247" i="8"/>
  <c r="AD247" i="8"/>
  <c r="AE247" i="8"/>
  <c r="AF247" i="8"/>
  <c r="AG247" i="8"/>
  <c r="AH247" i="8"/>
  <c r="AI247" i="8"/>
  <c r="AJ247" i="8"/>
  <c r="AK247" i="8"/>
  <c r="AL247" i="8"/>
  <c r="A248" i="8"/>
  <c r="AD248" i="8"/>
  <c r="AE248" i="8"/>
  <c r="AF248" i="8"/>
  <c r="AG248" i="8"/>
  <c r="AH248" i="8"/>
  <c r="AI248" i="8"/>
  <c r="AJ248" i="8"/>
  <c r="AK248" i="8"/>
  <c r="AL248" i="8"/>
  <c r="A249" i="8"/>
  <c r="AD249" i="8"/>
  <c r="AE249" i="8"/>
  <c r="AF249" i="8"/>
  <c r="AG249" i="8"/>
  <c r="AH249" i="8"/>
  <c r="AI249" i="8"/>
  <c r="AJ249" i="8"/>
  <c r="AK249" i="8"/>
  <c r="AL249" i="8"/>
  <c r="A250" i="8"/>
  <c r="AD250" i="8"/>
  <c r="AE250" i="8"/>
  <c r="AF250" i="8"/>
  <c r="AG250" i="8"/>
  <c r="AH250" i="8"/>
  <c r="AI250" i="8"/>
  <c r="AJ250" i="8"/>
  <c r="AK250" i="8"/>
  <c r="AL250" i="8"/>
  <c r="A251" i="8"/>
  <c r="AD251" i="8"/>
  <c r="AE251" i="8"/>
  <c r="AF251" i="8"/>
  <c r="AG251" i="8"/>
  <c r="AH251" i="8"/>
  <c r="AI251" i="8"/>
  <c r="AJ251" i="8"/>
  <c r="AK251" i="8"/>
  <c r="AL251" i="8"/>
  <c r="A252" i="8"/>
  <c r="AD252" i="8"/>
  <c r="AE252" i="8"/>
  <c r="AF252" i="8"/>
  <c r="AG252" i="8"/>
  <c r="AH252" i="8"/>
  <c r="AI252" i="8"/>
  <c r="AJ252" i="8"/>
  <c r="AK252" i="8"/>
  <c r="AL252" i="8"/>
  <c r="A253" i="8"/>
  <c r="AD253" i="8"/>
  <c r="AE253" i="8"/>
  <c r="AF253" i="8"/>
  <c r="AG253" i="8"/>
  <c r="AH253" i="8"/>
  <c r="AI253" i="8"/>
  <c r="AJ253" i="8"/>
  <c r="AK253" i="8"/>
  <c r="AL253" i="8"/>
  <c r="A254" i="8"/>
  <c r="AD254" i="8"/>
  <c r="AE254" i="8"/>
  <c r="AF254" i="8"/>
  <c r="AG254" i="8"/>
  <c r="AH254" i="8"/>
  <c r="AI254" i="8"/>
  <c r="AJ254" i="8"/>
  <c r="AK254" i="8"/>
  <c r="AL254" i="8"/>
  <c r="A255" i="8"/>
  <c r="AD255" i="8"/>
  <c r="AE255" i="8"/>
  <c r="AF255" i="8"/>
  <c r="AG255" i="8"/>
  <c r="AH255" i="8"/>
  <c r="AI255" i="8"/>
  <c r="AJ255" i="8"/>
  <c r="AK255" i="8"/>
  <c r="AL255" i="8"/>
  <c r="A256" i="8"/>
  <c r="AD256" i="8"/>
  <c r="AE256" i="8"/>
  <c r="AF256" i="8"/>
  <c r="AG256" i="8"/>
  <c r="AH256" i="8"/>
  <c r="AI256" i="8"/>
  <c r="AJ256" i="8"/>
  <c r="AK256" i="8"/>
  <c r="AL256" i="8"/>
  <c r="A257" i="8"/>
  <c r="AD257" i="8"/>
  <c r="AE257" i="8"/>
  <c r="AF257" i="8"/>
  <c r="AG257" i="8"/>
  <c r="AH257" i="8"/>
  <c r="AI257" i="8"/>
  <c r="AJ257" i="8"/>
  <c r="AK257" i="8"/>
  <c r="AL257" i="8"/>
  <c r="A258" i="8"/>
  <c r="AD258" i="8"/>
  <c r="AE258" i="8"/>
  <c r="AF258" i="8"/>
  <c r="AG258" i="8"/>
  <c r="AH258" i="8"/>
  <c r="AI258" i="8"/>
  <c r="AJ258" i="8"/>
  <c r="AK258" i="8"/>
  <c r="AL258" i="8"/>
  <c r="A259" i="8"/>
  <c r="AD259" i="8"/>
  <c r="AE259" i="8"/>
  <c r="AF259" i="8"/>
  <c r="AG259" i="8"/>
  <c r="AH259" i="8"/>
  <c r="AI259" i="8"/>
  <c r="AJ259" i="8"/>
  <c r="AK259" i="8"/>
  <c r="AL259" i="8"/>
  <c r="A260" i="8"/>
  <c r="AD260" i="8"/>
  <c r="AE260" i="8"/>
  <c r="AF260" i="8"/>
  <c r="AG260" i="8"/>
  <c r="AH260" i="8"/>
  <c r="AI260" i="8"/>
  <c r="AJ260" i="8"/>
  <c r="AK260" i="8"/>
  <c r="AL260" i="8"/>
  <c r="A261" i="8"/>
  <c r="AD261" i="8"/>
  <c r="AE261" i="8"/>
  <c r="AF261" i="8"/>
  <c r="AG261" i="8"/>
  <c r="AH261" i="8"/>
  <c r="AI261" i="8"/>
  <c r="AJ261" i="8"/>
  <c r="AK261" i="8"/>
  <c r="AL261" i="8"/>
  <c r="A262" i="8"/>
  <c r="AD262" i="8"/>
  <c r="AE262" i="8"/>
  <c r="AF262" i="8"/>
  <c r="AG262" i="8"/>
  <c r="AH262" i="8"/>
  <c r="AI262" i="8"/>
  <c r="AJ262" i="8"/>
  <c r="AK262" i="8"/>
  <c r="AL262" i="8"/>
  <c r="A263" i="8"/>
  <c r="AD263" i="8"/>
  <c r="AE263" i="8"/>
  <c r="AF263" i="8"/>
  <c r="AG263" i="8"/>
  <c r="AH263" i="8"/>
  <c r="AI263" i="8"/>
  <c r="AJ263" i="8"/>
  <c r="AK263" i="8"/>
  <c r="AL263" i="8"/>
  <c r="A264" i="8"/>
  <c r="AD264" i="8"/>
  <c r="AE264" i="8"/>
  <c r="AF264" i="8"/>
  <c r="AG264" i="8"/>
  <c r="AH264" i="8"/>
  <c r="AI264" i="8"/>
  <c r="AJ264" i="8"/>
  <c r="AK264" i="8"/>
  <c r="AL264" i="8"/>
  <c r="A265" i="8"/>
  <c r="AD265" i="8"/>
  <c r="AE265" i="8"/>
  <c r="AF265" i="8"/>
  <c r="AG265" i="8"/>
  <c r="AH265" i="8"/>
  <c r="AI265" i="8"/>
  <c r="AJ265" i="8"/>
  <c r="AK265" i="8"/>
  <c r="AL265" i="8"/>
  <c r="A266" i="8"/>
  <c r="AD266" i="8"/>
  <c r="AE266" i="8"/>
  <c r="AF266" i="8"/>
  <c r="AG266" i="8"/>
  <c r="AH266" i="8"/>
  <c r="AI266" i="8"/>
  <c r="AJ266" i="8"/>
  <c r="AK266" i="8"/>
  <c r="AL266" i="8"/>
  <c r="A267" i="8"/>
  <c r="AD267" i="8"/>
  <c r="AE267" i="8"/>
  <c r="AF267" i="8"/>
  <c r="AG267" i="8"/>
  <c r="AH267" i="8"/>
  <c r="AI267" i="8"/>
  <c r="AJ267" i="8"/>
  <c r="AK267" i="8"/>
  <c r="AL267" i="8"/>
  <c r="A268" i="8"/>
  <c r="AD268" i="8"/>
  <c r="AE268" i="8"/>
  <c r="AF268" i="8"/>
  <c r="AG268" i="8"/>
  <c r="AH268" i="8"/>
  <c r="AI268" i="8"/>
  <c r="AJ268" i="8"/>
  <c r="AK268" i="8"/>
  <c r="AL268" i="8"/>
  <c r="AM268" i="8"/>
  <c r="AN268" i="8"/>
  <c r="A269" i="8"/>
  <c r="AD269" i="8"/>
  <c r="AE269" i="8"/>
  <c r="AF269" i="8"/>
  <c r="AG269" i="8"/>
  <c r="AH269" i="8"/>
  <c r="AI269" i="8"/>
  <c r="AJ269" i="8"/>
  <c r="AK269" i="8"/>
  <c r="AL269" i="8"/>
  <c r="A270" i="8"/>
  <c r="AD270" i="8"/>
  <c r="AE270" i="8"/>
  <c r="AF270" i="8"/>
  <c r="AG270" i="8"/>
  <c r="AH270" i="8"/>
  <c r="AI270" i="8"/>
  <c r="AJ270" i="8"/>
  <c r="AK270" i="8"/>
  <c r="AL270" i="8"/>
  <c r="A271" i="8"/>
  <c r="AD271" i="8"/>
  <c r="AE271" i="8"/>
  <c r="AF271" i="8"/>
  <c r="AG271" i="8"/>
  <c r="AH271" i="8"/>
  <c r="AI271" i="8"/>
  <c r="AJ271" i="8"/>
  <c r="AK271" i="8"/>
  <c r="AL271" i="8"/>
  <c r="A272" i="8"/>
  <c r="AD272" i="8"/>
  <c r="AE272" i="8"/>
  <c r="AF272" i="8"/>
  <c r="AG272" i="8"/>
  <c r="AH272" i="8"/>
  <c r="AI272" i="8"/>
  <c r="AJ272" i="8"/>
  <c r="AK272" i="8"/>
  <c r="AL272" i="8"/>
  <c r="A273" i="8"/>
  <c r="AD273" i="8"/>
  <c r="AE273" i="8"/>
  <c r="AF273" i="8"/>
  <c r="AG273" i="8"/>
  <c r="AH273" i="8"/>
  <c r="AI273" i="8"/>
  <c r="AJ273" i="8"/>
  <c r="AK273" i="8"/>
  <c r="AL273" i="8"/>
  <c r="A274" i="8"/>
  <c r="AD274" i="8"/>
  <c r="AE274" i="8"/>
  <c r="AF274" i="8"/>
  <c r="AG274" i="8"/>
  <c r="AH274" i="8"/>
  <c r="AI274" i="8"/>
  <c r="AJ274" i="8"/>
  <c r="AK274" i="8"/>
  <c r="AL274" i="8"/>
  <c r="A275" i="8"/>
  <c r="AD275" i="8"/>
  <c r="AE275" i="8"/>
  <c r="AF275" i="8"/>
  <c r="AG275" i="8"/>
  <c r="AH275" i="8"/>
  <c r="AI275" i="8"/>
  <c r="AJ275" i="8"/>
  <c r="AK275" i="8"/>
  <c r="AL275" i="8"/>
  <c r="A276" i="8"/>
  <c r="AD276" i="8"/>
  <c r="AE276" i="8"/>
  <c r="AF276" i="8"/>
  <c r="AG276" i="8"/>
  <c r="AH276" i="8"/>
  <c r="AI276" i="8"/>
  <c r="AJ276" i="8"/>
  <c r="AK276" i="8"/>
  <c r="AL276" i="8"/>
  <c r="A277" i="8"/>
  <c r="AD277" i="8"/>
  <c r="AE277" i="8"/>
  <c r="AF277" i="8"/>
  <c r="AG277" i="8"/>
  <c r="AH277" i="8"/>
  <c r="AI277" i="8"/>
  <c r="AJ277" i="8"/>
  <c r="AK277" i="8"/>
  <c r="AL277" i="8"/>
  <c r="A278" i="8"/>
  <c r="AD278" i="8"/>
  <c r="AE278" i="8"/>
  <c r="AF278" i="8"/>
  <c r="AG278" i="8"/>
  <c r="AH278" i="8"/>
  <c r="AI278" i="8"/>
  <c r="AJ278" i="8"/>
  <c r="AK278" i="8"/>
  <c r="AL278" i="8"/>
  <c r="A279" i="8"/>
  <c r="AD279" i="8"/>
  <c r="AE279" i="8"/>
  <c r="AF279" i="8"/>
  <c r="AG279" i="8"/>
  <c r="AH279" i="8"/>
  <c r="AI279" i="8"/>
  <c r="AJ279" i="8"/>
  <c r="AK279" i="8"/>
  <c r="AL279" i="8"/>
  <c r="A280" i="8"/>
  <c r="AD280" i="8"/>
  <c r="AE280" i="8"/>
  <c r="AF280" i="8"/>
  <c r="AG280" i="8"/>
  <c r="AH280" i="8"/>
  <c r="AI280" i="8"/>
  <c r="AJ280" i="8"/>
  <c r="AK280" i="8"/>
  <c r="AL280" i="8"/>
  <c r="A281" i="8"/>
  <c r="AD281" i="8"/>
  <c r="AE281" i="8"/>
  <c r="AF281" i="8"/>
  <c r="AG281" i="8"/>
  <c r="AH281" i="8"/>
  <c r="AI281" i="8"/>
  <c r="AJ281" i="8"/>
  <c r="AK281" i="8"/>
  <c r="AL281" i="8"/>
  <c r="A282" i="8"/>
  <c r="AD282" i="8"/>
  <c r="AE282" i="8"/>
  <c r="AF282" i="8"/>
  <c r="AG282" i="8"/>
  <c r="AH282" i="8"/>
  <c r="AI282" i="8"/>
  <c r="AJ282" i="8"/>
  <c r="AK282" i="8"/>
  <c r="AL282" i="8"/>
  <c r="A283" i="8"/>
  <c r="AD283" i="8"/>
  <c r="AE283" i="8"/>
  <c r="AF283" i="8"/>
  <c r="AG283" i="8"/>
  <c r="AH283" i="8"/>
  <c r="AI283" i="8"/>
  <c r="AJ283" i="8"/>
  <c r="AK283" i="8"/>
  <c r="AL283" i="8"/>
  <c r="A284" i="8"/>
  <c r="AD284" i="8"/>
  <c r="AE284" i="8"/>
  <c r="AF284" i="8"/>
  <c r="AG284" i="8"/>
  <c r="AH284" i="8"/>
  <c r="AI284" i="8"/>
  <c r="AJ284" i="8"/>
  <c r="AK284" i="8"/>
  <c r="AL284" i="8"/>
  <c r="A285" i="8"/>
  <c r="AD285" i="8"/>
  <c r="AE285" i="8"/>
  <c r="AF285" i="8"/>
  <c r="AG285" i="8"/>
  <c r="AH285" i="8"/>
  <c r="AI285" i="8"/>
  <c r="AJ285" i="8"/>
  <c r="AK285" i="8"/>
  <c r="AL285" i="8"/>
  <c r="A286" i="8"/>
  <c r="AD286" i="8"/>
  <c r="AE286" i="8"/>
  <c r="AF286" i="8"/>
  <c r="AG286" i="8"/>
  <c r="AH286" i="8"/>
  <c r="AI286" i="8"/>
  <c r="AJ286" i="8"/>
  <c r="AK286" i="8"/>
  <c r="AL286" i="8"/>
  <c r="A287" i="8"/>
  <c r="AD287" i="8"/>
  <c r="AE287" i="8"/>
  <c r="AF287" i="8"/>
  <c r="AG287" i="8"/>
  <c r="AH287" i="8"/>
  <c r="AI287" i="8"/>
  <c r="AJ287" i="8"/>
  <c r="AK287" i="8"/>
  <c r="AL287" i="8"/>
  <c r="AO287" i="8"/>
  <c r="A288" i="8"/>
  <c r="AD288" i="8"/>
  <c r="AE288" i="8"/>
  <c r="AF288" i="8"/>
  <c r="AG288" i="8"/>
  <c r="AH288" i="8"/>
  <c r="AI288" i="8"/>
  <c r="AJ288" i="8"/>
  <c r="AK288" i="8"/>
  <c r="AL288" i="8"/>
  <c r="A289" i="8"/>
  <c r="AD289" i="8"/>
  <c r="AE289" i="8"/>
  <c r="AF289" i="8"/>
  <c r="AG289" i="8"/>
  <c r="AH289" i="8"/>
  <c r="AI289" i="8"/>
  <c r="AJ289" i="8"/>
  <c r="AK289" i="8"/>
  <c r="AL289" i="8"/>
  <c r="A290" i="8"/>
  <c r="AD290" i="8"/>
  <c r="AE290" i="8"/>
  <c r="AF290" i="8"/>
  <c r="AG290" i="8"/>
  <c r="AH290" i="8"/>
  <c r="AI290" i="8"/>
  <c r="AJ290" i="8"/>
  <c r="AK290" i="8"/>
  <c r="AL290" i="8"/>
  <c r="A291" i="8"/>
  <c r="AD291" i="8"/>
  <c r="AE291" i="8"/>
  <c r="AF291" i="8"/>
  <c r="AG291" i="8"/>
  <c r="AH291" i="8"/>
  <c r="AI291" i="8"/>
  <c r="AJ291" i="8"/>
  <c r="AK291" i="8"/>
  <c r="AL291" i="8"/>
  <c r="A292" i="8"/>
  <c r="AD292" i="8"/>
  <c r="AE292" i="8"/>
  <c r="AF292" i="8"/>
  <c r="AG292" i="8"/>
  <c r="AH292" i="8"/>
  <c r="AI292" i="8"/>
  <c r="AJ292" i="8"/>
  <c r="AK292" i="8"/>
  <c r="AL292" i="8"/>
  <c r="AM292" i="8"/>
  <c r="AN292" i="8"/>
  <c r="A293" i="8"/>
  <c r="AD293" i="8"/>
  <c r="AE293" i="8"/>
  <c r="AF293" i="8"/>
  <c r="AG293" i="8"/>
  <c r="AH293" i="8"/>
  <c r="AI293" i="8"/>
  <c r="AJ293" i="8"/>
  <c r="AK293" i="8"/>
  <c r="AL293" i="8"/>
  <c r="A294" i="8"/>
  <c r="AD294" i="8"/>
  <c r="AE294" i="8"/>
  <c r="AF294" i="8"/>
  <c r="AG294" i="8"/>
  <c r="AH294" i="8"/>
  <c r="AI294" i="8"/>
  <c r="AJ294" i="8"/>
  <c r="AK294" i="8"/>
  <c r="AL294" i="8"/>
  <c r="A295" i="8"/>
  <c r="AD295" i="8"/>
  <c r="AE295" i="8"/>
  <c r="AF295" i="8"/>
  <c r="AG295" i="8"/>
  <c r="AH295" i="8"/>
  <c r="AI295" i="8"/>
  <c r="AJ295" i="8"/>
  <c r="AK295" i="8"/>
  <c r="AL295" i="8"/>
  <c r="A296" i="8"/>
  <c r="AD296" i="8"/>
  <c r="AE296" i="8"/>
  <c r="AF296" i="8"/>
  <c r="AG296" i="8"/>
  <c r="AH296" i="8"/>
  <c r="AI296" i="8"/>
  <c r="AJ296" i="8"/>
  <c r="AK296" i="8"/>
  <c r="AL296" i="8"/>
  <c r="A297" i="8"/>
  <c r="AD297" i="8"/>
  <c r="AE297" i="8"/>
  <c r="AF297" i="8"/>
  <c r="AG297" i="8"/>
  <c r="AH297" i="8"/>
  <c r="AI297" i="8"/>
  <c r="AJ297" i="8"/>
  <c r="AK297" i="8"/>
  <c r="AL297" i="8"/>
  <c r="A298" i="8"/>
  <c r="AD298" i="8"/>
  <c r="AE298" i="8"/>
  <c r="AF298" i="8"/>
  <c r="AG298" i="8"/>
  <c r="AH298" i="8"/>
  <c r="AI298" i="8"/>
  <c r="AJ298" i="8"/>
  <c r="AK298" i="8"/>
  <c r="AL298" i="8"/>
  <c r="A299" i="8"/>
  <c r="AD299" i="8"/>
  <c r="AE299" i="8"/>
  <c r="AF299" i="8"/>
  <c r="AG299" i="8"/>
  <c r="AH299" i="8"/>
  <c r="AI299" i="8"/>
  <c r="AJ299" i="8"/>
  <c r="AK299" i="8"/>
  <c r="AL299" i="8"/>
  <c r="A300" i="8"/>
  <c r="AD300" i="8"/>
  <c r="AE300" i="8"/>
  <c r="AF300" i="8"/>
  <c r="AG300" i="8"/>
  <c r="AH300" i="8"/>
  <c r="AI300" i="8"/>
  <c r="AJ300" i="8"/>
  <c r="AK300" i="8"/>
  <c r="AL300" i="8"/>
  <c r="A301" i="8"/>
  <c r="AD301" i="8"/>
  <c r="AE301" i="8"/>
  <c r="AF301" i="8"/>
  <c r="AG301" i="8"/>
  <c r="AH301" i="8"/>
  <c r="AI301" i="8"/>
  <c r="AJ301" i="8"/>
  <c r="AK301" i="8"/>
  <c r="AL301" i="8"/>
  <c r="A302" i="8"/>
  <c r="AD302" i="8"/>
  <c r="AE302" i="8"/>
  <c r="AF302" i="8"/>
  <c r="AG302" i="8"/>
  <c r="AH302" i="8"/>
  <c r="AI302" i="8"/>
  <c r="AJ302" i="8"/>
  <c r="AK302" i="8"/>
  <c r="AL302" i="8"/>
  <c r="A303" i="8"/>
  <c r="AD303" i="8"/>
  <c r="AE303" i="8"/>
  <c r="AF303" i="8"/>
  <c r="AG303" i="8"/>
  <c r="AH303" i="8"/>
  <c r="AI303" i="8"/>
  <c r="AJ303" i="8"/>
  <c r="AK303" i="8"/>
  <c r="AL303" i="8"/>
  <c r="A304" i="8"/>
  <c r="AD304" i="8"/>
  <c r="AE304" i="8"/>
  <c r="AF304" i="8"/>
  <c r="AG304" i="8"/>
  <c r="AH304" i="8"/>
  <c r="AI304" i="8"/>
  <c r="AJ304" i="8"/>
  <c r="AK304" i="8"/>
  <c r="AL304" i="8"/>
  <c r="A305" i="8"/>
  <c r="AD305" i="8"/>
  <c r="AE305" i="8"/>
  <c r="AF305" i="8"/>
  <c r="AG305" i="8"/>
  <c r="AH305" i="8"/>
  <c r="AI305" i="8"/>
  <c r="AJ305" i="8"/>
  <c r="AK305" i="8"/>
  <c r="AL305" i="8"/>
  <c r="A306" i="8"/>
  <c r="AD306" i="8"/>
  <c r="AE306" i="8"/>
  <c r="AF306" i="8"/>
  <c r="AG306" i="8"/>
  <c r="AH306" i="8"/>
  <c r="AI306" i="8"/>
  <c r="AJ306" i="8"/>
  <c r="AK306" i="8"/>
  <c r="AL306" i="8"/>
  <c r="A307" i="8"/>
  <c r="AD307" i="8"/>
  <c r="AE307" i="8"/>
  <c r="AF307" i="8"/>
  <c r="AG307" i="8"/>
  <c r="AH307" i="8"/>
  <c r="AI307" i="8"/>
  <c r="AJ307" i="8"/>
  <c r="AK307" i="8"/>
  <c r="AL307" i="8"/>
  <c r="A308" i="8"/>
  <c r="AD308" i="8"/>
  <c r="AE308" i="8"/>
  <c r="AF308" i="8"/>
  <c r="AG308" i="8"/>
  <c r="AH308" i="8"/>
  <c r="AI308" i="8"/>
  <c r="AJ308" i="8"/>
  <c r="AK308" i="8"/>
  <c r="AL308" i="8"/>
  <c r="A309" i="8"/>
  <c r="AD309" i="8"/>
  <c r="AE309" i="8"/>
  <c r="AF309" i="8"/>
  <c r="AG309" i="8"/>
  <c r="AH309" i="8"/>
  <c r="AI309" i="8"/>
  <c r="AJ309" i="8"/>
  <c r="AK309" i="8"/>
  <c r="AL309" i="8"/>
  <c r="AM309" i="8"/>
  <c r="AN309" i="8"/>
  <c r="A310" i="8"/>
  <c r="AD310" i="8"/>
  <c r="AE310" i="8"/>
  <c r="AF310" i="8"/>
  <c r="AG310" i="8"/>
  <c r="AH310" i="8"/>
  <c r="AI310" i="8"/>
  <c r="AJ310" i="8"/>
  <c r="AK310" i="8"/>
  <c r="AL310" i="8"/>
  <c r="A311" i="8"/>
  <c r="AD311" i="8"/>
  <c r="AE311" i="8"/>
  <c r="AF311" i="8"/>
  <c r="AG311" i="8"/>
  <c r="AH311" i="8"/>
  <c r="AI311" i="8"/>
  <c r="AJ311" i="8"/>
  <c r="AK311" i="8"/>
  <c r="AL311" i="8"/>
  <c r="A312" i="8"/>
  <c r="AD312" i="8"/>
  <c r="AE312" i="8"/>
  <c r="AF312" i="8"/>
  <c r="AG312" i="8"/>
  <c r="AH312" i="8"/>
  <c r="AI312" i="8"/>
  <c r="AJ312" i="8"/>
  <c r="AK312" i="8"/>
  <c r="AL312" i="8"/>
  <c r="AO312" i="8"/>
  <c r="A313" i="8"/>
  <c r="AD313" i="8"/>
  <c r="AE313" i="8"/>
  <c r="AF313" i="8"/>
  <c r="AG313" i="8"/>
  <c r="AH313" i="8"/>
  <c r="AI313" i="8"/>
  <c r="AJ313" i="8"/>
  <c r="AK313" i="8"/>
  <c r="AL313" i="8"/>
  <c r="A314" i="8"/>
  <c r="AD314" i="8"/>
  <c r="AE314" i="8"/>
  <c r="AF314" i="8"/>
  <c r="AG314" i="8"/>
  <c r="AH314" i="8"/>
  <c r="AI314" i="8"/>
  <c r="AJ314" i="8"/>
  <c r="AK314" i="8"/>
  <c r="AL314" i="8"/>
  <c r="A315" i="8"/>
  <c r="AD315" i="8"/>
  <c r="AE315" i="8"/>
  <c r="AF315" i="8"/>
  <c r="AG315" i="8"/>
  <c r="AH315" i="8"/>
  <c r="AI315" i="8"/>
  <c r="AJ315" i="8"/>
  <c r="AK315" i="8"/>
  <c r="AL315" i="8"/>
  <c r="A316" i="8"/>
  <c r="AD316" i="8"/>
  <c r="AE316" i="8"/>
  <c r="AF316" i="8"/>
  <c r="AG316" i="8"/>
  <c r="AH316" i="8"/>
  <c r="AI316" i="8"/>
  <c r="AJ316" i="8"/>
  <c r="AK316" i="8"/>
  <c r="AL316" i="8"/>
  <c r="AO316" i="8"/>
  <c r="A317" i="8"/>
  <c r="AD317" i="8"/>
  <c r="AE317" i="8"/>
  <c r="AF317" i="8"/>
  <c r="AG317" i="8"/>
  <c r="AH317" i="8"/>
  <c r="AI317" i="8"/>
  <c r="AJ317" i="8"/>
  <c r="AK317" i="8"/>
  <c r="AL317" i="8"/>
  <c r="A318" i="8"/>
  <c r="AD318" i="8"/>
  <c r="AE318" i="8"/>
  <c r="AF318" i="8"/>
  <c r="AG318" i="8"/>
  <c r="AH318" i="8"/>
  <c r="AI318" i="8"/>
  <c r="AJ318" i="8"/>
  <c r="AK318" i="8"/>
  <c r="AL318" i="8"/>
  <c r="A319" i="8"/>
  <c r="AD319" i="8"/>
  <c r="AE319" i="8"/>
  <c r="AF319" i="8"/>
  <c r="AG319" i="8"/>
  <c r="AH319" i="8"/>
  <c r="AI319" i="8"/>
  <c r="AJ319" i="8"/>
  <c r="AK319" i="8"/>
  <c r="AL319" i="8"/>
  <c r="A320" i="8"/>
  <c r="AD320" i="8"/>
  <c r="AE320" i="8"/>
  <c r="AF320" i="8"/>
  <c r="AG320" i="8"/>
  <c r="AH320" i="8"/>
  <c r="AI320" i="8"/>
  <c r="AJ320" i="8"/>
  <c r="AK320" i="8"/>
  <c r="AL320" i="8"/>
  <c r="A321" i="8"/>
  <c r="AD321" i="8"/>
  <c r="AE321" i="8"/>
  <c r="AF321" i="8"/>
  <c r="AG321" i="8"/>
  <c r="AH321" i="8"/>
  <c r="AI321" i="8"/>
  <c r="AJ321" i="8"/>
  <c r="AK321" i="8"/>
  <c r="AL321" i="8"/>
  <c r="A322" i="8"/>
  <c r="AD322" i="8"/>
  <c r="AE322" i="8"/>
  <c r="AF322" i="8"/>
  <c r="AG322" i="8"/>
  <c r="AH322" i="8"/>
  <c r="AI322" i="8"/>
  <c r="AJ322" i="8"/>
  <c r="AK322" i="8"/>
  <c r="AL322" i="8"/>
  <c r="A323" i="8"/>
  <c r="AD323" i="8"/>
  <c r="AE323" i="8"/>
  <c r="AF323" i="8"/>
  <c r="AG323" i="8"/>
  <c r="AH323" i="8"/>
  <c r="AI323" i="8"/>
  <c r="AJ323" i="8"/>
  <c r="AK323" i="8"/>
  <c r="AL323" i="8"/>
  <c r="A324" i="8"/>
  <c r="AD324" i="8"/>
  <c r="AE324" i="8"/>
  <c r="AF324" i="8"/>
  <c r="AG324" i="8"/>
  <c r="AH324" i="8"/>
  <c r="AI324" i="8"/>
  <c r="AJ324" i="8"/>
  <c r="AK324" i="8"/>
  <c r="AL324" i="8"/>
  <c r="A325" i="8"/>
  <c r="AD325" i="8"/>
  <c r="AE325" i="8"/>
  <c r="AF325" i="8"/>
  <c r="AG325" i="8"/>
  <c r="AH325" i="8"/>
  <c r="AI325" i="8"/>
  <c r="AJ325" i="8"/>
  <c r="AK325" i="8"/>
  <c r="AL325" i="8"/>
  <c r="A326" i="8"/>
  <c r="AD326" i="8"/>
  <c r="AE326" i="8"/>
  <c r="AF326" i="8"/>
  <c r="AG326" i="8"/>
  <c r="AH326" i="8"/>
  <c r="AI326" i="8"/>
  <c r="AJ326" i="8"/>
  <c r="AK326" i="8"/>
  <c r="AL326" i="8"/>
  <c r="A327" i="8"/>
  <c r="AD327" i="8"/>
  <c r="AE327" i="8"/>
  <c r="AF327" i="8"/>
  <c r="AG327" i="8"/>
  <c r="AH327" i="8"/>
  <c r="AI327" i="8"/>
  <c r="AJ327" i="8"/>
  <c r="AK327" i="8"/>
  <c r="AL327" i="8"/>
  <c r="A328" i="8"/>
  <c r="AD328" i="8"/>
  <c r="AE328" i="8"/>
  <c r="AF328" i="8"/>
  <c r="AG328" i="8"/>
  <c r="AH328" i="8"/>
  <c r="AI328" i="8"/>
  <c r="AJ328" i="8"/>
  <c r="AK328" i="8"/>
  <c r="AL328" i="8"/>
  <c r="A329" i="8"/>
  <c r="AD329" i="8"/>
  <c r="AE329" i="8"/>
  <c r="AF329" i="8"/>
  <c r="AG329" i="8"/>
  <c r="AH329" i="8"/>
  <c r="AI329" i="8"/>
  <c r="AJ329" i="8"/>
  <c r="AK329" i="8"/>
  <c r="AL329" i="8"/>
  <c r="A330" i="8"/>
  <c r="AD330" i="8"/>
  <c r="AE330" i="8"/>
  <c r="AF330" i="8"/>
  <c r="AG330" i="8"/>
  <c r="AH330" i="8"/>
  <c r="AI330" i="8"/>
  <c r="AJ330" i="8"/>
  <c r="AK330" i="8"/>
  <c r="AL330" i="8"/>
  <c r="A331" i="8"/>
  <c r="AD331" i="8"/>
  <c r="AE331" i="8"/>
  <c r="AF331" i="8"/>
  <c r="AG331" i="8"/>
  <c r="AH331" i="8"/>
  <c r="AI331" i="8"/>
  <c r="AJ331" i="8"/>
  <c r="AK331" i="8"/>
  <c r="AL331" i="8"/>
  <c r="A332" i="8"/>
  <c r="AD332" i="8"/>
  <c r="AE332" i="8"/>
  <c r="AF332" i="8"/>
  <c r="AG332" i="8"/>
  <c r="AH332" i="8"/>
  <c r="AI332" i="8"/>
  <c r="AJ332" i="8"/>
  <c r="AK332" i="8"/>
  <c r="AL332" i="8"/>
  <c r="A333" i="8"/>
  <c r="AD333" i="8"/>
  <c r="AE333" i="8"/>
  <c r="AF333" i="8"/>
  <c r="AG333" i="8"/>
  <c r="AH333" i="8"/>
  <c r="AI333" i="8"/>
  <c r="AJ333" i="8"/>
  <c r="AK333" i="8"/>
  <c r="AL333" i="8"/>
  <c r="A334" i="8"/>
  <c r="AD334" i="8"/>
  <c r="AE334" i="8"/>
  <c r="AF334" i="8"/>
  <c r="AG334" i="8"/>
  <c r="AH334" i="8"/>
  <c r="AI334" i="8"/>
  <c r="AJ334" i="8"/>
  <c r="AK334" i="8"/>
  <c r="AL334" i="8"/>
  <c r="A335" i="8"/>
  <c r="AD335" i="8"/>
  <c r="AE335" i="8"/>
  <c r="AF335" i="8"/>
  <c r="AG335" i="8"/>
  <c r="AH335" i="8"/>
  <c r="AI335" i="8"/>
  <c r="AJ335" i="8"/>
  <c r="AK335" i="8"/>
  <c r="AL335" i="8"/>
  <c r="A336" i="8"/>
  <c r="AD336" i="8"/>
  <c r="AE336" i="8"/>
  <c r="AF336" i="8"/>
  <c r="AG336" i="8"/>
  <c r="AH336" i="8"/>
  <c r="AI336" i="8"/>
  <c r="AJ336" i="8"/>
  <c r="AK336" i="8"/>
  <c r="AL336" i="8"/>
  <c r="A337" i="8"/>
  <c r="AD337" i="8"/>
  <c r="AE337" i="8"/>
  <c r="AF337" i="8"/>
  <c r="AG337" i="8"/>
  <c r="AH337" i="8"/>
  <c r="AI337" i="8"/>
  <c r="AJ337" i="8"/>
  <c r="AK337" i="8"/>
  <c r="AL337" i="8"/>
  <c r="A338" i="8"/>
  <c r="AD338" i="8"/>
  <c r="AE338" i="8"/>
  <c r="AF338" i="8"/>
  <c r="AG338" i="8"/>
  <c r="AH338" i="8"/>
  <c r="AI338" i="8"/>
  <c r="AJ338" i="8"/>
  <c r="AK338" i="8"/>
  <c r="AL338" i="8"/>
  <c r="AM338" i="8"/>
  <c r="AN338" i="8"/>
  <c r="A339" i="8"/>
  <c r="AD339" i="8"/>
  <c r="AE339" i="8"/>
  <c r="AF339" i="8"/>
  <c r="AG339" i="8"/>
  <c r="AH339" i="8"/>
  <c r="AI339" i="8"/>
  <c r="AJ339" i="8"/>
  <c r="AK339" i="8"/>
  <c r="AL339" i="8"/>
  <c r="A340" i="8"/>
  <c r="AD340" i="8"/>
  <c r="AE340" i="8"/>
  <c r="AF340" i="8"/>
  <c r="AG340" i="8"/>
  <c r="AH340" i="8"/>
  <c r="AI340" i="8"/>
  <c r="AJ340" i="8"/>
  <c r="AK340" i="8"/>
  <c r="AL340" i="8"/>
  <c r="A341" i="8"/>
  <c r="AD341" i="8"/>
  <c r="AE341" i="8"/>
  <c r="AF341" i="8"/>
  <c r="AG341" i="8"/>
  <c r="AH341" i="8"/>
  <c r="AI341" i="8"/>
  <c r="AJ341" i="8"/>
  <c r="AK341" i="8"/>
  <c r="AL341" i="8"/>
  <c r="A342" i="8"/>
  <c r="AD342" i="8"/>
  <c r="AE342" i="8"/>
  <c r="AF342" i="8"/>
  <c r="AG342" i="8"/>
  <c r="AH342" i="8"/>
  <c r="AI342" i="8"/>
  <c r="AJ342" i="8"/>
  <c r="AK342" i="8"/>
  <c r="AL342" i="8"/>
  <c r="A343" i="8"/>
  <c r="AD343" i="8"/>
  <c r="AE343" i="8"/>
  <c r="AF343" i="8"/>
  <c r="AG343" i="8"/>
  <c r="AH343" i="8"/>
  <c r="AI343" i="8"/>
  <c r="AJ343" i="8"/>
  <c r="AK343" i="8"/>
  <c r="AL343" i="8"/>
  <c r="A344" i="8"/>
  <c r="AD344" i="8"/>
  <c r="AE344" i="8"/>
  <c r="AF344" i="8"/>
  <c r="AG344" i="8"/>
  <c r="AH344" i="8"/>
  <c r="AI344" i="8"/>
  <c r="AJ344" i="8"/>
  <c r="AK344" i="8"/>
  <c r="AL344" i="8"/>
  <c r="A345" i="8"/>
  <c r="AD345" i="8"/>
  <c r="AE345" i="8"/>
  <c r="AF345" i="8"/>
  <c r="AG345" i="8"/>
  <c r="AH345" i="8"/>
  <c r="AI345" i="8"/>
  <c r="AJ345" i="8"/>
  <c r="AK345" i="8"/>
  <c r="AL345" i="8"/>
  <c r="A346" i="8"/>
  <c r="AD346" i="8"/>
  <c r="AE346" i="8"/>
  <c r="AF346" i="8"/>
  <c r="AG346" i="8"/>
  <c r="AH346" i="8"/>
  <c r="AI346" i="8"/>
  <c r="AJ346" i="8"/>
  <c r="AK346" i="8"/>
  <c r="AL346" i="8"/>
  <c r="A347" i="8"/>
  <c r="AD347" i="8"/>
  <c r="AE347" i="8"/>
  <c r="AF347" i="8"/>
  <c r="AG347" i="8"/>
  <c r="AH347" i="8"/>
  <c r="AI347" i="8"/>
  <c r="AJ347" i="8"/>
  <c r="AK347" i="8"/>
  <c r="AL347" i="8"/>
  <c r="A348" i="8"/>
  <c r="AD348" i="8"/>
  <c r="AE348" i="8"/>
  <c r="AF348" i="8"/>
  <c r="AG348" i="8"/>
  <c r="AH348" i="8"/>
  <c r="AI348" i="8"/>
  <c r="AJ348" i="8"/>
  <c r="AK348" i="8"/>
  <c r="AL348" i="8"/>
  <c r="A349" i="8"/>
  <c r="AD349" i="8"/>
  <c r="AE349" i="8"/>
  <c r="AF349" i="8"/>
  <c r="AG349" i="8"/>
  <c r="AH349" i="8"/>
  <c r="AI349" i="8"/>
  <c r="AJ349" i="8"/>
  <c r="AK349" i="8"/>
  <c r="AL349" i="8"/>
  <c r="A350" i="8"/>
  <c r="AD350" i="8"/>
  <c r="AE350" i="8"/>
  <c r="AF350" i="8"/>
  <c r="AG350" i="8"/>
  <c r="AH350" i="8"/>
  <c r="AI350" i="8"/>
  <c r="AJ350" i="8"/>
  <c r="AK350" i="8"/>
  <c r="AL350" i="8"/>
  <c r="A351" i="8"/>
  <c r="AD351" i="8"/>
  <c r="AE351" i="8"/>
  <c r="AF351" i="8"/>
  <c r="AG351" i="8"/>
  <c r="AH351" i="8"/>
  <c r="AI351" i="8"/>
  <c r="AJ351" i="8"/>
  <c r="AK351" i="8"/>
  <c r="AL351" i="8"/>
  <c r="A352" i="8"/>
  <c r="AD352" i="8"/>
  <c r="AE352" i="8"/>
  <c r="AF352" i="8"/>
  <c r="AG352" i="8"/>
  <c r="AH352" i="8"/>
  <c r="AI352" i="8"/>
  <c r="AJ352" i="8"/>
  <c r="AK352" i="8"/>
  <c r="AL352" i="8"/>
  <c r="A353" i="8"/>
  <c r="AD353" i="8"/>
  <c r="AE353" i="8"/>
  <c r="AF353" i="8"/>
  <c r="AG353" i="8"/>
  <c r="AH353" i="8"/>
  <c r="AI353" i="8"/>
  <c r="AJ353" i="8"/>
  <c r="AK353" i="8"/>
  <c r="AL353" i="8"/>
  <c r="A354" i="8"/>
  <c r="AD354" i="8"/>
  <c r="AE354" i="8"/>
  <c r="AF354" i="8"/>
  <c r="AG354" i="8"/>
  <c r="AH354" i="8"/>
  <c r="AI354" i="8"/>
  <c r="AJ354" i="8"/>
  <c r="AK354" i="8"/>
  <c r="AL354" i="8"/>
  <c r="A355" i="8"/>
  <c r="AD355" i="8"/>
  <c r="AE355" i="8"/>
  <c r="AF355" i="8"/>
  <c r="AG355" i="8"/>
  <c r="AH355" i="8"/>
  <c r="AI355" i="8"/>
  <c r="AJ355" i="8"/>
  <c r="AK355" i="8"/>
  <c r="AL355" i="8"/>
  <c r="A356" i="8"/>
  <c r="AD356" i="8"/>
  <c r="AE356" i="8"/>
  <c r="AF356" i="8"/>
  <c r="AG356" i="8"/>
  <c r="AH356" i="8"/>
  <c r="AI356" i="8"/>
  <c r="AJ356" i="8"/>
  <c r="AK356" i="8"/>
  <c r="AL356" i="8"/>
  <c r="A357" i="8"/>
  <c r="AD357" i="8"/>
  <c r="AE357" i="8"/>
  <c r="AF357" i="8"/>
  <c r="AG357" i="8"/>
  <c r="AH357" i="8"/>
  <c r="AI357" i="8"/>
  <c r="AJ357" i="8"/>
  <c r="AK357" i="8"/>
  <c r="AL357" i="8"/>
  <c r="A358" i="8"/>
  <c r="AD358" i="8"/>
  <c r="AE358" i="8"/>
  <c r="AF358" i="8"/>
  <c r="AG358" i="8"/>
  <c r="AH358" i="8"/>
  <c r="AI358" i="8"/>
  <c r="AJ358" i="8"/>
  <c r="AK358" i="8"/>
  <c r="AL358" i="8"/>
  <c r="A359" i="8"/>
  <c r="AD359" i="8"/>
  <c r="AE359" i="8"/>
  <c r="AF359" i="8"/>
  <c r="AG359" i="8"/>
  <c r="AH359" i="8"/>
  <c r="AI359" i="8"/>
  <c r="AJ359" i="8"/>
  <c r="AK359" i="8"/>
  <c r="AL359" i="8"/>
  <c r="A360" i="8"/>
  <c r="AD360" i="8"/>
  <c r="AE360" i="8"/>
  <c r="AF360" i="8"/>
  <c r="AG360" i="8"/>
  <c r="AH360" i="8"/>
  <c r="AI360" i="8"/>
  <c r="AJ360" i="8"/>
  <c r="AK360" i="8"/>
  <c r="AL360" i="8"/>
  <c r="A361" i="8"/>
  <c r="AD361" i="8"/>
  <c r="AE361" i="8"/>
  <c r="AF361" i="8"/>
  <c r="AG361" i="8"/>
  <c r="AH361" i="8"/>
  <c r="AI361" i="8"/>
  <c r="AJ361" i="8"/>
  <c r="AK361" i="8"/>
  <c r="AL361" i="8"/>
  <c r="A362" i="8"/>
  <c r="AD362" i="8"/>
  <c r="AE362" i="8"/>
  <c r="AF362" i="8"/>
  <c r="AG362" i="8"/>
  <c r="AH362" i="8"/>
  <c r="AI362" i="8"/>
  <c r="AJ362" i="8"/>
  <c r="AK362" i="8"/>
  <c r="AL362" i="8"/>
  <c r="AM362" i="8"/>
  <c r="AN362" i="8"/>
  <c r="AO362" i="8"/>
  <c r="A363" i="8"/>
  <c r="AD363" i="8"/>
  <c r="AE363" i="8"/>
  <c r="AF363" i="8"/>
  <c r="AG363" i="8"/>
  <c r="AH363" i="8"/>
  <c r="AI363" i="8"/>
  <c r="AJ363" i="8"/>
  <c r="AK363" i="8"/>
  <c r="AL363" i="8"/>
  <c r="A364" i="8"/>
  <c r="AD364" i="8"/>
  <c r="AE364" i="8"/>
  <c r="AF364" i="8"/>
  <c r="AG364" i="8"/>
  <c r="AH364" i="8"/>
  <c r="AI364" i="8"/>
  <c r="AJ364" i="8"/>
  <c r="AK364" i="8"/>
  <c r="AL364" i="8"/>
  <c r="A365" i="8"/>
  <c r="AD365" i="8"/>
  <c r="AE365" i="8"/>
  <c r="AF365" i="8"/>
  <c r="AG365" i="8"/>
  <c r="AH365" i="8"/>
  <c r="AI365" i="8"/>
  <c r="AJ365" i="8"/>
  <c r="AK365" i="8"/>
  <c r="AL365" i="8"/>
  <c r="A366" i="8"/>
  <c r="AD366" i="8"/>
  <c r="AE366" i="8"/>
  <c r="AF366" i="8"/>
  <c r="AG366" i="8"/>
  <c r="AH366" i="8"/>
  <c r="AI366" i="8"/>
  <c r="AJ366" i="8"/>
  <c r="AK366" i="8"/>
  <c r="AL366" i="8"/>
  <c r="A367" i="8"/>
  <c r="AD367" i="8"/>
  <c r="AE367" i="8"/>
  <c r="AF367" i="8"/>
  <c r="AG367" i="8"/>
  <c r="AH367" i="8"/>
  <c r="AI367" i="8"/>
  <c r="AJ367" i="8"/>
  <c r="AK367" i="8"/>
  <c r="AL367" i="8"/>
  <c r="A368" i="8"/>
  <c r="AD368" i="8"/>
  <c r="AE368" i="8"/>
  <c r="AF368" i="8"/>
  <c r="AG368" i="8"/>
  <c r="AH368" i="8"/>
  <c r="AI368" i="8"/>
  <c r="AJ368" i="8"/>
  <c r="AK368" i="8"/>
  <c r="AL368" i="8"/>
  <c r="A369" i="8"/>
  <c r="AD369" i="8"/>
  <c r="AE369" i="8"/>
  <c r="AF369" i="8"/>
  <c r="AG369" i="8"/>
  <c r="AH369" i="8"/>
  <c r="AI369" i="8"/>
  <c r="AJ369" i="8"/>
  <c r="AK369" i="8"/>
  <c r="AL369" i="8"/>
  <c r="A370" i="8"/>
  <c r="AD370" i="8"/>
  <c r="AE370" i="8"/>
  <c r="AF370" i="8"/>
  <c r="AG370" i="8"/>
  <c r="AH370" i="8"/>
  <c r="AI370" i="8"/>
  <c r="AJ370" i="8"/>
  <c r="AK370" i="8"/>
  <c r="AL370" i="8"/>
  <c r="A371" i="8"/>
  <c r="AD371" i="8"/>
  <c r="AE371" i="8"/>
  <c r="AF371" i="8"/>
  <c r="AG371" i="8"/>
  <c r="AH371" i="8"/>
  <c r="AI371" i="8"/>
  <c r="AJ371" i="8"/>
  <c r="AK371" i="8"/>
  <c r="AL371" i="8"/>
  <c r="A372" i="8"/>
  <c r="AD372" i="8"/>
  <c r="AE372" i="8"/>
  <c r="AF372" i="8"/>
  <c r="AG372" i="8"/>
  <c r="AH372" i="8"/>
  <c r="AI372" i="8"/>
  <c r="AJ372" i="8"/>
  <c r="AK372" i="8"/>
  <c r="AL372" i="8"/>
  <c r="A373" i="8"/>
  <c r="AD373" i="8"/>
  <c r="AE373" i="8"/>
  <c r="AF373" i="8"/>
  <c r="AG373" i="8"/>
  <c r="AH373" i="8"/>
  <c r="AI373" i="8"/>
  <c r="AJ373" i="8"/>
  <c r="AK373" i="8"/>
  <c r="AL373" i="8"/>
  <c r="AO373" i="8"/>
  <c r="A374" i="8"/>
  <c r="AD374" i="8"/>
  <c r="AE374" i="8"/>
  <c r="AF374" i="8"/>
  <c r="AG374" i="8"/>
  <c r="AH374" i="8"/>
  <c r="AI374" i="8"/>
  <c r="AJ374" i="8"/>
  <c r="AK374" i="8"/>
  <c r="AL374" i="8"/>
  <c r="A375" i="8"/>
  <c r="AD375" i="8"/>
  <c r="AE375" i="8"/>
  <c r="AF375" i="8"/>
  <c r="AG375" i="8"/>
  <c r="AH375" i="8"/>
  <c r="AI375" i="8"/>
  <c r="AJ375" i="8"/>
  <c r="AK375" i="8"/>
  <c r="AL375" i="8"/>
  <c r="A376" i="8"/>
  <c r="AD376" i="8"/>
  <c r="AE376" i="8"/>
  <c r="AF376" i="8"/>
  <c r="AG376" i="8"/>
  <c r="AH376" i="8"/>
  <c r="AI376" i="8"/>
  <c r="AJ376" i="8"/>
  <c r="AK376" i="8"/>
  <c r="AL376" i="8"/>
  <c r="A377" i="8"/>
  <c r="AD377" i="8"/>
  <c r="AE377" i="8"/>
  <c r="AF377" i="8"/>
  <c r="AG377" i="8"/>
  <c r="AH377" i="8"/>
  <c r="AI377" i="8"/>
  <c r="AJ377" i="8"/>
  <c r="AK377" i="8"/>
  <c r="AL377" i="8"/>
  <c r="A378" i="8"/>
  <c r="AD378" i="8"/>
  <c r="AE378" i="8"/>
  <c r="AF378" i="8"/>
  <c r="AG378" i="8"/>
  <c r="AH378" i="8"/>
  <c r="AI378" i="8"/>
  <c r="AJ378" i="8"/>
  <c r="AK378" i="8"/>
  <c r="AL378" i="8"/>
  <c r="A379" i="8"/>
  <c r="AD379" i="8"/>
  <c r="AE379" i="8"/>
  <c r="AF379" i="8"/>
  <c r="AG379" i="8"/>
  <c r="AH379" i="8"/>
  <c r="AI379" i="8"/>
  <c r="AJ379" i="8"/>
  <c r="AK379" i="8"/>
  <c r="AL379" i="8"/>
  <c r="A380" i="8"/>
  <c r="AD380" i="8"/>
  <c r="AE380" i="8"/>
  <c r="AF380" i="8"/>
  <c r="AG380" i="8"/>
  <c r="AH380" i="8"/>
  <c r="AI380" i="8"/>
  <c r="AJ380" i="8"/>
  <c r="AK380" i="8"/>
  <c r="AL380" i="8"/>
  <c r="A381" i="8"/>
  <c r="AD381" i="8"/>
  <c r="AE381" i="8"/>
  <c r="AF381" i="8"/>
  <c r="AG381" i="8"/>
  <c r="AH381" i="8"/>
  <c r="AI381" i="8"/>
  <c r="AJ381" i="8"/>
  <c r="AK381" i="8"/>
  <c r="AL381" i="8"/>
  <c r="A382" i="8"/>
  <c r="AD382" i="8"/>
  <c r="AE382" i="8"/>
  <c r="AF382" i="8"/>
  <c r="AG382" i="8"/>
  <c r="AH382" i="8"/>
  <c r="AI382" i="8"/>
  <c r="AJ382" i="8"/>
  <c r="AK382" i="8"/>
  <c r="AL382" i="8"/>
  <c r="A383" i="8"/>
  <c r="AD383" i="8"/>
  <c r="AE383" i="8"/>
  <c r="AF383" i="8"/>
  <c r="AG383" i="8"/>
  <c r="AH383" i="8"/>
  <c r="AI383" i="8"/>
  <c r="AJ383" i="8"/>
  <c r="AK383" i="8"/>
  <c r="AL383" i="8"/>
  <c r="A384" i="8"/>
  <c r="AD384" i="8"/>
  <c r="AE384" i="8"/>
  <c r="AF384" i="8"/>
  <c r="AG384" i="8"/>
  <c r="AH384" i="8"/>
  <c r="AI384" i="8"/>
  <c r="AJ384" i="8"/>
  <c r="AK384" i="8"/>
  <c r="AL384" i="8"/>
  <c r="A385" i="8"/>
  <c r="AD385" i="8"/>
  <c r="AE385" i="8"/>
  <c r="AF385" i="8"/>
  <c r="AG385" i="8"/>
  <c r="AH385" i="8"/>
  <c r="AI385" i="8"/>
  <c r="AJ385" i="8"/>
  <c r="AK385" i="8"/>
  <c r="AL385" i="8"/>
  <c r="A386" i="8"/>
  <c r="AD386" i="8"/>
  <c r="AE386" i="8"/>
  <c r="AF386" i="8"/>
  <c r="AG386" i="8"/>
  <c r="AH386" i="8"/>
  <c r="AI386" i="8"/>
  <c r="AJ386" i="8"/>
  <c r="AK386" i="8"/>
  <c r="AL386" i="8"/>
  <c r="A387" i="8"/>
  <c r="AD387" i="8"/>
  <c r="AE387" i="8"/>
  <c r="AF387" i="8"/>
  <c r="AG387" i="8"/>
  <c r="AH387" i="8"/>
  <c r="AI387" i="8"/>
  <c r="AJ387" i="8"/>
  <c r="AK387" i="8"/>
  <c r="AL387" i="8"/>
  <c r="A388" i="8"/>
  <c r="AD388" i="8"/>
  <c r="AE388" i="8"/>
  <c r="AF388" i="8"/>
  <c r="AG388" i="8"/>
  <c r="AH388" i="8"/>
  <c r="AI388" i="8"/>
  <c r="AJ388" i="8"/>
  <c r="AK388" i="8"/>
  <c r="AL388" i="8"/>
  <c r="A389" i="8"/>
  <c r="AD389" i="8"/>
  <c r="AE389" i="8"/>
  <c r="AF389" i="8"/>
  <c r="AG389" i="8"/>
  <c r="AH389" i="8"/>
  <c r="AI389" i="8"/>
  <c r="AJ389" i="8"/>
  <c r="AK389" i="8"/>
  <c r="AL389" i="8"/>
  <c r="A390" i="8"/>
  <c r="AD390" i="8"/>
  <c r="AE390" i="8"/>
  <c r="AF390" i="8"/>
  <c r="AG390" i="8"/>
  <c r="AH390" i="8"/>
  <c r="AI390" i="8"/>
  <c r="AJ390" i="8"/>
  <c r="AK390" i="8"/>
  <c r="AL390" i="8"/>
  <c r="A391" i="8"/>
  <c r="AD391" i="8"/>
  <c r="AE391" i="8"/>
  <c r="AF391" i="8"/>
  <c r="AG391" i="8"/>
  <c r="AH391" i="8"/>
  <c r="AI391" i="8"/>
  <c r="AJ391" i="8"/>
  <c r="AK391" i="8"/>
  <c r="AL391" i="8"/>
  <c r="A392" i="8"/>
  <c r="AD392" i="8"/>
  <c r="AE392" i="8"/>
  <c r="AF392" i="8"/>
  <c r="AG392" i="8"/>
  <c r="AH392" i="8"/>
  <c r="AI392" i="8"/>
  <c r="AJ392" i="8"/>
  <c r="AK392" i="8"/>
  <c r="AL392" i="8"/>
  <c r="A393" i="8"/>
  <c r="AD393" i="8"/>
  <c r="AE393" i="8"/>
  <c r="AF393" i="8"/>
  <c r="AG393" i="8"/>
  <c r="AH393" i="8"/>
  <c r="AI393" i="8"/>
  <c r="AJ393" i="8"/>
  <c r="AK393" i="8"/>
  <c r="AL393" i="8"/>
  <c r="A394" i="8"/>
  <c r="AD394" i="8"/>
  <c r="AE394" i="8"/>
  <c r="AF394" i="8"/>
  <c r="AG394" i="8"/>
  <c r="AH394" i="8"/>
  <c r="AI394" i="8"/>
  <c r="AJ394" i="8"/>
  <c r="AK394" i="8"/>
  <c r="AL394" i="8"/>
  <c r="AM394" i="8"/>
  <c r="AN394" i="8"/>
  <c r="AO394" i="8"/>
  <c r="A395" i="8"/>
  <c r="AD395" i="8"/>
  <c r="AE395" i="8"/>
  <c r="AF395" i="8"/>
  <c r="AG395" i="8"/>
  <c r="AH395" i="8"/>
  <c r="AI395" i="8"/>
  <c r="AJ395" i="8"/>
  <c r="AK395" i="8"/>
  <c r="AL395" i="8"/>
  <c r="AM395" i="8"/>
  <c r="AN395" i="8"/>
  <c r="AO395" i="8"/>
  <c r="A396" i="8"/>
  <c r="AD396" i="8"/>
  <c r="AE396" i="8"/>
  <c r="AF396" i="8"/>
  <c r="AG396" i="8"/>
  <c r="AH396" i="8"/>
  <c r="AI396" i="8"/>
  <c r="AJ396" i="8"/>
  <c r="AK396" i="8"/>
  <c r="AL396" i="8"/>
  <c r="AM396" i="8"/>
  <c r="AN396" i="8"/>
  <c r="AO396" i="8"/>
  <c r="A397" i="8"/>
  <c r="AD397" i="8"/>
  <c r="AE397" i="8"/>
  <c r="AF397" i="8"/>
  <c r="AG397" i="8"/>
  <c r="AH397" i="8"/>
  <c r="AI397" i="8"/>
  <c r="AJ397" i="8"/>
  <c r="AK397" i="8"/>
  <c r="AL397" i="8"/>
  <c r="AM397" i="8"/>
  <c r="AN397" i="8"/>
  <c r="AO397" i="8"/>
  <c r="A398" i="8"/>
  <c r="AD398" i="8"/>
  <c r="AE398" i="8"/>
  <c r="AF398" i="8"/>
  <c r="AG398" i="8"/>
  <c r="AH398" i="8"/>
  <c r="AI398" i="8"/>
  <c r="AJ398" i="8"/>
  <c r="AK398" i="8"/>
  <c r="AL398" i="8"/>
  <c r="AM398" i="8"/>
  <c r="AN398" i="8"/>
  <c r="AO398" i="8"/>
  <c r="A399" i="8"/>
  <c r="AD399" i="8"/>
  <c r="AE399" i="8"/>
  <c r="AF399" i="8"/>
  <c r="AG399" i="8"/>
  <c r="AH399" i="8"/>
  <c r="AI399" i="8"/>
  <c r="AJ399" i="8"/>
  <c r="AK399" i="8"/>
  <c r="AL399" i="8"/>
  <c r="AM399" i="8"/>
  <c r="AN399" i="8"/>
  <c r="AO399" i="8"/>
  <c r="A400" i="8"/>
  <c r="AD400" i="8"/>
  <c r="AE400" i="8"/>
  <c r="AF400" i="8"/>
  <c r="AG400" i="8"/>
  <c r="AH400" i="8"/>
  <c r="AI400" i="8"/>
  <c r="AJ400" i="8"/>
  <c r="AK400" i="8"/>
  <c r="AL400" i="8"/>
  <c r="AM400" i="8"/>
  <c r="AN400" i="8"/>
  <c r="AO400" i="8"/>
  <c r="A401" i="8"/>
  <c r="AD401" i="8"/>
  <c r="AE401" i="8"/>
  <c r="AF401" i="8"/>
  <c r="AG401" i="8"/>
  <c r="AH401" i="8"/>
  <c r="AI401" i="8"/>
  <c r="AJ401" i="8"/>
  <c r="AK401" i="8"/>
  <c r="AL401" i="8"/>
  <c r="AM401" i="8"/>
  <c r="AN401" i="8"/>
  <c r="AO401" i="8"/>
  <c r="A402" i="8"/>
  <c r="AD402" i="8"/>
  <c r="AE402" i="8"/>
  <c r="AF402" i="8"/>
  <c r="AG402" i="8"/>
  <c r="AH402" i="8"/>
  <c r="AI402" i="8"/>
  <c r="AJ402" i="8"/>
  <c r="AK402" i="8"/>
  <c r="AL402" i="8"/>
  <c r="AM402" i="8"/>
  <c r="AN402" i="8"/>
  <c r="AO402" i="8"/>
  <c r="A403" i="8"/>
  <c r="AD403" i="8"/>
  <c r="AE403" i="8"/>
  <c r="AF403" i="8"/>
  <c r="AG403" i="8"/>
  <c r="AH403" i="8"/>
  <c r="AI403" i="8"/>
  <c r="AJ403" i="8"/>
  <c r="AK403" i="8"/>
  <c r="AL403" i="8"/>
  <c r="AM403" i="8"/>
  <c r="AN403" i="8"/>
  <c r="AO403" i="8"/>
  <c r="A404" i="8"/>
  <c r="AD404" i="8"/>
  <c r="AE404" i="8"/>
  <c r="AF404" i="8"/>
  <c r="AG404" i="8"/>
  <c r="AH404" i="8"/>
  <c r="AI404" i="8"/>
  <c r="AJ404" i="8"/>
  <c r="AK404" i="8"/>
  <c r="AL404" i="8"/>
  <c r="A405" i="8"/>
  <c r="AD405" i="8"/>
  <c r="AE405" i="8"/>
  <c r="AF405" i="8"/>
  <c r="AG405" i="8"/>
  <c r="AH405" i="8"/>
  <c r="AI405" i="8"/>
  <c r="AJ405" i="8"/>
  <c r="AK405" i="8"/>
  <c r="AL405" i="8"/>
  <c r="AM405" i="8"/>
  <c r="AN405" i="8"/>
  <c r="A406" i="8"/>
  <c r="AD406" i="8"/>
  <c r="AE406" i="8"/>
  <c r="AF406" i="8"/>
  <c r="AG406" i="8"/>
  <c r="AH406" i="8"/>
  <c r="AI406" i="8"/>
  <c r="AJ406" i="8"/>
  <c r="AK406" i="8"/>
  <c r="AL406" i="8"/>
  <c r="A2" i="8"/>
  <c r="AL2" i="8"/>
  <c r="AK2" i="8"/>
  <c r="AJ2" i="8"/>
  <c r="AI2" i="8"/>
  <c r="AH2" i="8"/>
  <c r="AG2" i="8"/>
  <c r="AF2" i="8"/>
  <c r="AE2" i="8"/>
  <c r="AD2" i="8"/>
  <c r="AA42" i="2"/>
  <c r="R39" i="8"/>
  <c r="R40" i="8"/>
  <c r="S40" i="8"/>
  <c r="T40" i="8"/>
  <c r="U40" i="8"/>
  <c r="V40" i="8"/>
  <c r="W40" i="8"/>
  <c r="X40" i="8"/>
  <c r="Y40" i="8"/>
  <c r="Z40" i="8"/>
  <c r="AA40" i="8"/>
  <c r="AB40" i="8"/>
  <c r="AC40" i="8"/>
  <c r="R41" i="8"/>
  <c r="S41" i="8"/>
  <c r="T41" i="8"/>
  <c r="U41" i="8"/>
  <c r="V41" i="8"/>
  <c r="W41" i="8"/>
  <c r="X41" i="8"/>
  <c r="Y41" i="8"/>
  <c r="Z41" i="8"/>
  <c r="AA41" i="8"/>
  <c r="AB41" i="8"/>
  <c r="AC41" i="8"/>
  <c r="R2" i="8"/>
  <c r="S2" i="8"/>
  <c r="T2" i="8"/>
  <c r="U2" i="8"/>
  <c r="V2" i="8"/>
  <c r="W2" i="8"/>
  <c r="X2" i="8"/>
  <c r="Y2" i="8"/>
  <c r="Z2" i="8"/>
  <c r="AA2" i="8"/>
  <c r="AB2" i="8"/>
  <c r="AC2" i="8"/>
  <c r="R42" i="8"/>
  <c r="S42" i="8"/>
  <c r="T42" i="8"/>
  <c r="U42" i="8"/>
  <c r="V42" i="8"/>
  <c r="W42" i="8"/>
  <c r="X42" i="8"/>
  <c r="Y42" i="8"/>
  <c r="Z42" i="8"/>
  <c r="AA42" i="8"/>
  <c r="AB42" i="8"/>
  <c r="AC42" i="8"/>
  <c r="R43" i="8"/>
  <c r="S43" i="8"/>
  <c r="T43" i="8"/>
  <c r="U43" i="8"/>
  <c r="V43" i="8"/>
  <c r="W43" i="8"/>
  <c r="X43" i="8"/>
  <c r="Y43" i="8"/>
  <c r="Z43" i="8"/>
  <c r="AA43" i="8"/>
  <c r="AB43" i="8"/>
  <c r="AC43" i="8"/>
  <c r="R44" i="8"/>
  <c r="S44" i="8"/>
  <c r="T44" i="8"/>
  <c r="U44" i="8"/>
  <c r="V44" i="8"/>
  <c r="W44" i="8"/>
  <c r="X44" i="8"/>
  <c r="Y44" i="8"/>
  <c r="Z44" i="8"/>
  <c r="AA44" i="8"/>
  <c r="AB44" i="8"/>
  <c r="AC44" i="8"/>
  <c r="R45" i="8"/>
  <c r="S45" i="8"/>
  <c r="T45" i="8"/>
  <c r="U45" i="8"/>
  <c r="V45" i="8"/>
  <c r="W45" i="8"/>
  <c r="X45" i="8"/>
  <c r="Y45" i="8"/>
  <c r="Z45" i="8"/>
  <c r="AA45" i="8"/>
  <c r="AB45" i="8"/>
  <c r="AC45" i="8"/>
  <c r="R46" i="8"/>
  <c r="S46" i="8"/>
  <c r="T46" i="8"/>
  <c r="U46" i="8"/>
  <c r="V46" i="8"/>
  <c r="W46" i="8"/>
  <c r="X46" i="8"/>
  <c r="Y46" i="8"/>
  <c r="Z46" i="8"/>
  <c r="AA46" i="8"/>
  <c r="AB46" i="8"/>
  <c r="AC46" i="8"/>
  <c r="R47" i="8"/>
  <c r="S47" i="8"/>
  <c r="T47" i="8"/>
  <c r="U47" i="8"/>
  <c r="V47" i="8"/>
  <c r="W47" i="8"/>
  <c r="X47" i="8"/>
  <c r="Y47" i="8"/>
  <c r="Z47" i="8"/>
  <c r="AA47" i="8"/>
  <c r="AB47" i="8"/>
  <c r="AC47" i="8"/>
  <c r="R3" i="8"/>
  <c r="S3" i="8"/>
  <c r="T3" i="8"/>
  <c r="U3" i="8"/>
  <c r="V3" i="8"/>
  <c r="W3" i="8"/>
  <c r="X3" i="8"/>
  <c r="Y3" i="8"/>
  <c r="Z3" i="8"/>
  <c r="AA3" i="8"/>
  <c r="AB3" i="8"/>
  <c r="AC3" i="8"/>
  <c r="R48" i="8"/>
  <c r="S48" i="8"/>
  <c r="T48" i="8"/>
  <c r="U48" i="8"/>
  <c r="V48" i="8"/>
  <c r="W48" i="8"/>
  <c r="X48" i="8"/>
  <c r="Y48" i="8"/>
  <c r="Z48" i="8"/>
  <c r="AA48" i="8"/>
  <c r="AB48" i="8"/>
  <c r="AC48" i="8"/>
  <c r="R49" i="8"/>
  <c r="S49" i="8"/>
  <c r="T49" i="8"/>
  <c r="U49" i="8"/>
  <c r="V49" i="8"/>
  <c r="W49" i="8"/>
  <c r="X49" i="8"/>
  <c r="Y49" i="8"/>
  <c r="Z49" i="8"/>
  <c r="AA49" i="8"/>
  <c r="AB49" i="8"/>
  <c r="AC49" i="8"/>
  <c r="R50" i="8"/>
  <c r="S50" i="8"/>
  <c r="T50" i="8"/>
  <c r="U50" i="8"/>
  <c r="V50" i="8"/>
  <c r="W50" i="8"/>
  <c r="X50" i="8"/>
  <c r="Y50" i="8"/>
  <c r="Z50" i="8"/>
  <c r="AA50" i="8"/>
  <c r="AB50" i="8"/>
  <c r="AC50" i="8"/>
  <c r="R51" i="8"/>
  <c r="S51" i="8"/>
  <c r="T51" i="8"/>
  <c r="U51" i="8"/>
  <c r="V51" i="8"/>
  <c r="W51" i="8"/>
  <c r="X51" i="8"/>
  <c r="Y51" i="8"/>
  <c r="Z51" i="8"/>
  <c r="AA51" i="8"/>
  <c r="AB51" i="8"/>
  <c r="AC51" i="8"/>
  <c r="R52" i="8"/>
  <c r="S52" i="8"/>
  <c r="T52" i="8"/>
  <c r="U52" i="8"/>
  <c r="V52" i="8"/>
  <c r="W52" i="8"/>
  <c r="X52" i="8"/>
  <c r="Y52" i="8"/>
  <c r="Z52" i="8"/>
  <c r="AA52" i="8"/>
  <c r="AB52" i="8"/>
  <c r="AC52" i="8"/>
  <c r="R53" i="8"/>
  <c r="S53" i="8"/>
  <c r="T53" i="8"/>
  <c r="U53" i="8"/>
  <c r="V53" i="8"/>
  <c r="W53" i="8"/>
  <c r="X53" i="8"/>
  <c r="Y53" i="8"/>
  <c r="Z53" i="8"/>
  <c r="AA53" i="8"/>
  <c r="AB53" i="8"/>
  <c r="AC53" i="8"/>
  <c r="R54" i="8"/>
  <c r="S54" i="8"/>
  <c r="T54" i="8"/>
  <c r="U54" i="8"/>
  <c r="V54" i="8"/>
  <c r="W54" i="8"/>
  <c r="X54" i="8"/>
  <c r="Y54" i="8"/>
  <c r="Z54" i="8"/>
  <c r="AA54" i="8"/>
  <c r="AB54" i="8"/>
  <c r="AC54" i="8"/>
  <c r="R55" i="8"/>
  <c r="S55" i="8"/>
  <c r="T55" i="8"/>
  <c r="U55" i="8"/>
  <c r="V55" i="8"/>
  <c r="W55" i="8"/>
  <c r="X55" i="8"/>
  <c r="Y55" i="8"/>
  <c r="Z55" i="8"/>
  <c r="AA55" i="8"/>
  <c r="AB55" i="8"/>
  <c r="AC55" i="8"/>
  <c r="R56" i="8"/>
  <c r="S56" i="8"/>
  <c r="T56" i="8"/>
  <c r="U56" i="8"/>
  <c r="V56" i="8"/>
  <c r="W56" i="8"/>
  <c r="X56" i="8"/>
  <c r="Y56" i="8"/>
  <c r="Z56" i="8"/>
  <c r="AA56" i="8"/>
  <c r="AB56" i="8"/>
  <c r="AC56" i="8"/>
  <c r="R57" i="8"/>
  <c r="S57" i="8"/>
  <c r="T57" i="8"/>
  <c r="U57" i="8"/>
  <c r="V57" i="8"/>
  <c r="W57" i="8"/>
  <c r="X57" i="8"/>
  <c r="Y57" i="8"/>
  <c r="Z57" i="8"/>
  <c r="AA57" i="8"/>
  <c r="AB57" i="8"/>
  <c r="AC57" i="8"/>
  <c r="R58" i="8"/>
  <c r="S58" i="8"/>
  <c r="T58" i="8"/>
  <c r="U58" i="8"/>
  <c r="V58" i="8"/>
  <c r="W58" i="8"/>
  <c r="X58" i="8"/>
  <c r="Y58" i="8"/>
  <c r="Z58" i="8"/>
  <c r="AA58" i="8"/>
  <c r="AB58" i="8"/>
  <c r="AC58" i="8"/>
  <c r="R59" i="8"/>
  <c r="S59" i="8"/>
  <c r="T59" i="8"/>
  <c r="U59" i="8"/>
  <c r="V59" i="8"/>
  <c r="W59" i="8"/>
  <c r="X59" i="8"/>
  <c r="Y59" i="8"/>
  <c r="Z59" i="8"/>
  <c r="AA59" i="8"/>
  <c r="AB59" i="8"/>
  <c r="AC59" i="8"/>
  <c r="R60" i="8"/>
  <c r="S60" i="8"/>
  <c r="T60" i="8"/>
  <c r="U60" i="8"/>
  <c r="V60" i="8"/>
  <c r="W60" i="8"/>
  <c r="X60" i="8"/>
  <c r="Y60" i="8"/>
  <c r="Z60" i="8"/>
  <c r="AA60" i="8"/>
  <c r="AB60" i="8"/>
  <c r="AC60" i="8"/>
  <c r="R4" i="8"/>
  <c r="S4" i="8"/>
  <c r="T4" i="8"/>
  <c r="U4" i="8"/>
  <c r="V4" i="8"/>
  <c r="W4" i="8"/>
  <c r="X4" i="8"/>
  <c r="Y4" i="8"/>
  <c r="Z4" i="8"/>
  <c r="AA4" i="8"/>
  <c r="AB4" i="8"/>
  <c r="AC4" i="8"/>
  <c r="R61" i="8"/>
  <c r="S61" i="8"/>
  <c r="T61" i="8"/>
  <c r="U61" i="8"/>
  <c r="V61" i="8"/>
  <c r="W61" i="8"/>
  <c r="X61" i="8"/>
  <c r="Y61" i="8"/>
  <c r="Z61" i="8"/>
  <c r="AA61" i="8"/>
  <c r="AB61" i="8"/>
  <c r="AC61" i="8"/>
  <c r="R62" i="8"/>
  <c r="S62" i="8"/>
  <c r="T62" i="8"/>
  <c r="U62" i="8"/>
  <c r="V62" i="8"/>
  <c r="W62" i="8"/>
  <c r="X62" i="8"/>
  <c r="Y62" i="8"/>
  <c r="Z62" i="8"/>
  <c r="AA62" i="8"/>
  <c r="AB62" i="8"/>
  <c r="AC62" i="8"/>
  <c r="R5" i="8"/>
  <c r="S5" i="8"/>
  <c r="T5" i="8"/>
  <c r="U5" i="8"/>
  <c r="V5" i="8"/>
  <c r="W5" i="8"/>
  <c r="X5" i="8"/>
  <c r="Y5" i="8"/>
  <c r="Z5" i="8"/>
  <c r="AA5" i="8"/>
  <c r="AB5" i="8"/>
  <c r="AC5" i="8"/>
  <c r="R63" i="8"/>
  <c r="S63" i="8"/>
  <c r="T63" i="8"/>
  <c r="U63" i="8"/>
  <c r="V63" i="8"/>
  <c r="W63" i="8"/>
  <c r="X63" i="8"/>
  <c r="Y63" i="8"/>
  <c r="Z63" i="8"/>
  <c r="AA63" i="8"/>
  <c r="AB63" i="8"/>
  <c r="AC63" i="8"/>
  <c r="R64" i="8"/>
  <c r="S64" i="8"/>
  <c r="T64" i="8"/>
  <c r="U64" i="8"/>
  <c r="V64" i="8"/>
  <c r="W64" i="8"/>
  <c r="X64" i="8"/>
  <c r="Y64" i="8"/>
  <c r="Z64" i="8"/>
  <c r="AA64" i="8"/>
  <c r="AB64" i="8"/>
  <c r="AC64" i="8"/>
  <c r="R65" i="8"/>
  <c r="S65" i="8"/>
  <c r="T65" i="8"/>
  <c r="U65" i="8"/>
  <c r="V65" i="8"/>
  <c r="W65" i="8"/>
  <c r="X65" i="8"/>
  <c r="Y65" i="8"/>
  <c r="Z65" i="8"/>
  <c r="AA65" i="8"/>
  <c r="AB65" i="8"/>
  <c r="AC65" i="8"/>
  <c r="R66" i="8"/>
  <c r="S66" i="8"/>
  <c r="T66" i="8"/>
  <c r="U66" i="8"/>
  <c r="V66" i="8"/>
  <c r="W66" i="8"/>
  <c r="X66" i="8"/>
  <c r="Y66" i="8"/>
  <c r="Z66" i="8"/>
  <c r="AA66" i="8"/>
  <c r="AB66" i="8"/>
  <c r="AC66" i="8"/>
  <c r="R67" i="8"/>
  <c r="S67" i="8"/>
  <c r="T67" i="8"/>
  <c r="U67" i="8"/>
  <c r="V67" i="8"/>
  <c r="W67" i="8"/>
  <c r="X67" i="8"/>
  <c r="Y67" i="8"/>
  <c r="Z67" i="8"/>
  <c r="AA67" i="8"/>
  <c r="AB67" i="8"/>
  <c r="AC67" i="8"/>
  <c r="R68" i="8"/>
  <c r="S68" i="8"/>
  <c r="T68" i="8"/>
  <c r="U68" i="8"/>
  <c r="V68" i="8"/>
  <c r="W68" i="8"/>
  <c r="X68" i="8"/>
  <c r="Y68" i="8"/>
  <c r="Z68" i="8"/>
  <c r="AA68" i="8"/>
  <c r="AB68" i="8"/>
  <c r="AC68" i="8"/>
  <c r="R69" i="8"/>
  <c r="S69" i="8"/>
  <c r="T69" i="8"/>
  <c r="U69" i="8"/>
  <c r="V69" i="8"/>
  <c r="W69" i="8"/>
  <c r="X69" i="8"/>
  <c r="Y69" i="8"/>
  <c r="Z69" i="8"/>
  <c r="AA69" i="8"/>
  <c r="AB69" i="8"/>
  <c r="AC69" i="8"/>
  <c r="R70" i="8"/>
  <c r="S70" i="8"/>
  <c r="T70" i="8"/>
  <c r="U70" i="8"/>
  <c r="V70" i="8"/>
  <c r="W70" i="8"/>
  <c r="X70" i="8"/>
  <c r="Y70" i="8"/>
  <c r="Z70" i="8"/>
  <c r="AA70" i="8"/>
  <c r="AB70" i="8"/>
  <c r="AC70" i="8"/>
  <c r="R71" i="8"/>
  <c r="S71" i="8"/>
  <c r="T71" i="8"/>
  <c r="U71" i="8"/>
  <c r="V71" i="8"/>
  <c r="W71" i="8"/>
  <c r="X71" i="8"/>
  <c r="Y71" i="8"/>
  <c r="Z71" i="8"/>
  <c r="AA71" i="8"/>
  <c r="AB71" i="8"/>
  <c r="AC71" i="8"/>
  <c r="R72" i="8"/>
  <c r="S72" i="8"/>
  <c r="T72" i="8"/>
  <c r="U72" i="8"/>
  <c r="V72" i="8"/>
  <c r="W72" i="8"/>
  <c r="X72" i="8"/>
  <c r="Y72" i="8"/>
  <c r="Z72" i="8"/>
  <c r="AA72" i="8"/>
  <c r="AB72" i="8"/>
  <c r="AC72" i="8"/>
  <c r="R73" i="8"/>
  <c r="S73" i="8"/>
  <c r="T73" i="8"/>
  <c r="U73" i="8"/>
  <c r="V73" i="8"/>
  <c r="W73" i="8"/>
  <c r="X73" i="8"/>
  <c r="Y73" i="8"/>
  <c r="Z73" i="8"/>
  <c r="AA73" i="8"/>
  <c r="AB73" i="8"/>
  <c r="AC73" i="8"/>
  <c r="R74" i="8"/>
  <c r="S74" i="8"/>
  <c r="T74" i="8"/>
  <c r="U74" i="8"/>
  <c r="V74" i="8"/>
  <c r="W74" i="8"/>
  <c r="X74" i="8"/>
  <c r="Y74" i="8"/>
  <c r="Z74" i="8"/>
  <c r="AA74" i="8"/>
  <c r="AB74" i="8"/>
  <c r="AC74" i="8"/>
  <c r="R75" i="8"/>
  <c r="S75" i="8"/>
  <c r="T75" i="8"/>
  <c r="U75" i="8"/>
  <c r="V75" i="8"/>
  <c r="W75" i="8"/>
  <c r="X75" i="8"/>
  <c r="Y75" i="8"/>
  <c r="Z75" i="8"/>
  <c r="AA75" i="8"/>
  <c r="AB75" i="8"/>
  <c r="AC75" i="8"/>
  <c r="R76" i="8"/>
  <c r="S76" i="8"/>
  <c r="T76" i="8"/>
  <c r="U76" i="8"/>
  <c r="V76" i="8"/>
  <c r="W76" i="8"/>
  <c r="X76" i="8"/>
  <c r="Y76" i="8"/>
  <c r="Z76" i="8"/>
  <c r="AA76" i="8"/>
  <c r="AB76" i="8"/>
  <c r="AC76" i="8"/>
  <c r="R77" i="8"/>
  <c r="S77" i="8"/>
  <c r="T77" i="8"/>
  <c r="U77" i="8"/>
  <c r="V77" i="8"/>
  <c r="W77" i="8"/>
  <c r="X77" i="8"/>
  <c r="Y77" i="8"/>
  <c r="Z77" i="8"/>
  <c r="AA77" i="8"/>
  <c r="AB77" i="8"/>
  <c r="AC77" i="8"/>
  <c r="R78" i="8"/>
  <c r="S78" i="8"/>
  <c r="T78" i="8"/>
  <c r="U78" i="8"/>
  <c r="V78" i="8"/>
  <c r="W78" i="8"/>
  <c r="X78" i="8"/>
  <c r="Y78" i="8"/>
  <c r="Z78" i="8"/>
  <c r="AA78" i="8"/>
  <c r="AB78" i="8"/>
  <c r="AC78" i="8"/>
  <c r="R6" i="8"/>
  <c r="S6" i="8"/>
  <c r="T6" i="8"/>
  <c r="U6" i="8"/>
  <c r="V6" i="8"/>
  <c r="W6" i="8"/>
  <c r="X6" i="8"/>
  <c r="Y6" i="8"/>
  <c r="Z6" i="8"/>
  <c r="AA6" i="8"/>
  <c r="AB6" i="8"/>
  <c r="AC6" i="8"/>
  <c r="R7" i="8"/>
  <c r="S7" i="8"/>
  <c r="T7" i="8"/>
  <c r="U7" i="8"/>
  <c r="V7" i="8"/>
  <c r="W7" i="8"/>
  <c r="X7" i="8"/>
  <c r="Y7" i="8"/>
  <c r="Z7" i="8"/>
  <c r="AA7" i="8"/>
  <c r="AB7" i="8"/>
  <c r="AC7" i="8"/>
  <c r="R79" i="8"/>
  <c r="S79" i="8"/>
  <c r="T79" i="8"/>
  <c r="U79" i="8"/>
  <c r="V79" i="8"/>
  <c r="W79" i="8"/>
  <c r="X79" i="8"/>
  <c r="Y79" i="8"/>
  <c r="Z79" i="8"/>
  <c r="AA79" i="8"/>
  <c r="AB79" i="8"/>
  <c r="AC79" i="8"/>
  <c r="R80" i="8"/>
  <c r="S80" i="8"/>
  <c r="T80" i="8"/>
  <c r="U80" i="8"/>
  <c r="V80" i="8"/>
  <c r="W80" i="8"/>
  <c r="X80" i="8"/>
  <c r="Y80" i="8"/>
  <c r="Z80" i="8"/>
  <c r="AA80" i="8"/>
  <c r="AB80" i="8"/>
  <c r="AC80" i="8"/>
  <c r="R81" i="8"/>
  <c r="S81" i="8"/>
  <c r="T81" i="8"/>
  <c r="U81" i="8"/>
  <c r="V81" i="8"/>
  <c r="W81" i="8"/>
  <c r="X81" i="8"/>
  <c r="Y81" i="8"/>
  <c r="Z81" i="8"/>
  <c r="AA81" i="8"/>
  <c r="AB81" i="8"/>
  <c r="AC81" i="8"/>
  <c r="R82" i="8"/>
  <c r="S82" i="8"/>
  <c r="T82" i="8"/>
  <c r="U82" i="8"/>
  <c r="V82" i="8"/>
  <c r="W82" i="8"/>
  <c r="X82" i="8"/>
  <c r="Y82" i="8"/>
  <c r="Z82" i="8"/>
  <c r="AA82" i="8"/>
  <c r="AB82" i="8"/>
  <c r="AC82" i="8"/>
  <c r="R83" i="8"/>
  <c r="S83" i="8"/>
  <c r="T83" i="8"/>
  <c r="U83" i="8"/>
  <c r="V83" i="8"/>
  <c r="W83" i="8"/>
  <c r="X83" i="8"/>
  <c r="Y83" i="8"/>
  <c r="Z83" i="8"/>
  <c r="AA83" i="8"/>
  <c r="AB83" i="8"/>
  <c r="AC83" i="8"/>
  <c r="R84" i="8"/>
  <c r="S84" i="8"/>
  <c r="T84" i="8"/>
  <c r="U84" i="8"/>
  <c r="V84" i="8"/>
  <c r="W84" i="8"/>
  <c r="X84" i="8"/>
  <c r="Y84" i="8"/>
  <c r="Z84" i="8"/>
  <c r="AA84" i="8"/>
  <c r="AB84" i="8"/>
  <c r="AC84" i="8"/>
  <c r="R85" i="8"/>
  <c r="S85" i="8"/>
  <c r="T85" i="8"/>
  <c r="U85" i="8"/>
  <c r="V85" i="8"/>
  <c r="W85" i="8"/>
  <c r="X85" i="8"/>
  <c r="Y85" i="8"/>
  <c r="Z85" i="8"/>
  <c r="AA85" i="8"/>
  <c r="AB85" i="8"/>
  <c r="AC85" i="8"/>
  <c r="R86" i="8"/>
  <c r="S86" i="8"/>
  <c r="T86" i="8"/>
  <c r="U86" i="8"/>
  <c r="V86" i="8"/>
  <c r="W86" i="8"/>
  <c r="X86" i="8"/>
  <c r="Y86" i="8"/>
  <c r="Z86" i="8"/>
  <c r="AA86" i="8"/>
  <c r="AB86" i="8"/>
  <c r="AC86" i="8"/>
  <c r="R87" i="8"/>
  <c r="S87" i="8"/>
  <c r="T87" i="8"/>
  <c r="U87" i="8"/>
  <c r="V87" i="8"/>
  <c r="W87" i="8"/>
  <c r="X87" i="8"/>
  <c r="Y87" i="8"/>
  <c r="Z87" i="8"/>
  <c r="AA87" i="8"/>
  <c r="AB87" i="8"/>
  <c r="AC87" i="8"/>
  <c r="R88" i="8"/>
  <c r="S88" i="8"/>
  <c r="T88" i="8"/>
  <c r="U88" i="8"/>
  <c r="V88" i="8"/>
  <c r="W88" i="8"/>
  <c r="X88" i="8"/>
  <c r="Y88" i="8"/>
  <c r="Z88" i="8"/>
  <c r="AA88" i="8"/>
  <c r="AB88" i="8"/>
  <c r="AC88" i="8"/>
  <c r="R89" i="8"/>
  <c r="S89" i="8"/>
  <c r="T89" i="8"/>
  <c r="U89" i="8"/>
  <c r="V89" i="8"/>
  <c r="W89" i="8"/>
  <c r="X89" i="8"/>
  <c r="Y89" i="8"/>
  <c r="Z89" i="8"/>
  <c r="AA89" i="8"/>
  <c r="AB89" i="8"/>
  <c r="AC89" i="8"/>
  <c r="R90" i="8"/>
  <c r="S90" i="8"/>
  <c r="T90" i="8"/>
  <c r="U90" i="8"/>
  <c r="V90" i="8"/>
  <c r="W90" i="8"/>
  <c r="X90" i="8"/>
  <c r="Y90" i="8"/>
  <c r="Z90" i="8"/>
  <c r="AA90" i="8"/>
  <c r="AB90" i="8"/>
  <c r="AC90" i="8"/>
  <c r="R91" i="8"/>
  <c r="S91" i="8"/>
  <c r="T91" i="8"/>
  <c r="U91" i="8"/>
  <c r="V91" i="8"/>
  <c r="W91" i="8"/>
  <c r="X91" i="8"/>
  <c r="Y91" i="8"/>
  <c r="Z91" i="8"/>
  <c r="AA91" i="8"/>
  <c r="AB91" i="8"/>
  <c r="AC91" i="8"/>
  <c r="R92" i="8"/>
  <c r="S92" i="8"/>
  <c r="T92" i="8"/>
  <c r="U92" i="8"/>
  <c r="V92" i="8"/>
  <c r="W92" i="8"/>
  <c r="X92" i="8"/>
  <c r="Y92" i="8"/>
  <c r="Z92" i="8"/>
  <c r="AA92" i="8"/>
  <c r="AB92" i="8"/>
  <c r="AC92" i="8"/>
  <c r="R93" i="8"/>
  <c r="S93" i="8"/>
  <c r="T93" i="8"/>
  <c r="U93" i="8"/>
  <c r="V93" i="8"/>
  <c r="W93" i="8"/>
  <c r="X93" i="8"/>
  <c r="Y93" i="8"/>
  <c r="Z93" i="8"/>
  <c r="AA93" i="8"/>
  <c r="AB93" i="8"/>
  <c r="AC93" i="8"/>
  <c r="R94" i="8"/>
  <c r="S94" i="8"/>
  <c r="T94" i="8"/>
  <c r="U94" i="8"/>
  <c r="V94" i="8"/>
  <c r="W94" i="8"/>
  <c r="X94" i="8"/>
  <c r="Y94" i="8"/>
  <c r="Z94" i="8"/>
  <c r="AA94" i="8"/>
  <c r="AB94" i="8"/>
  <c r="AC94" i="8"/>
  <c r="R95" i="8"/>
  <c r="S95" i="8"/>
  <c r="T95" i="8"/>
  <c r="U95" i="8"/>
  <c r="V95" i="8"/>
  <c r="W95" i="8"/>
  <c r="X95" i="8"/>
  <c r="Y95" i="8"/>
  <c r="Z95" i="8"/>
  <c r="AA95" i="8"/>
  <c r="AB95" i="8"/>
  <c r="AC95" i="8"/>
  <c r="R96" i="8"/>
  <c r="S96" i="8"/>
  <c r="T96" i="8"/>
  <c r="U96" i="8"/>
  <c r="V96" i="8"/>
  <c r="W96" i="8"/>
  <c r="X96" i="8"/>
  <c r="Y96" i="8"/>
  <c r="Z96" i="8"/>
  <c r="AA96" i="8"/>
  <c r="AB96" i="8"/>
  <c r="AC96" i="8"/>
  <c r="R97" i="8"/>
  <c r="S97" i="8"/>
  <c r="T97" i="8"/>
  <c r="U97" i="8"/>
  <c r="V97" i="8"/>
  <c r="W97" i="8"/>
  <c r="X97" i="8"/>
  <c r="Y97" i="8"/>
  <c r="Z97" i="8"/>
  <c r="AA97" i="8"/>
  <c r="AB97" i="8"/>
  <c r="AC97" i="8"/>
  <c r="R98" i="8"/>
  <c r="S98" i="8"/>
  <c r="T98" i="8"/>
  <c r="U98" i="8"/>
  <c r="V98" i="8"/>
  <c r="W98" i="8"/>
  <c r="X98" i="8"/>
  <c r="Y98" i="8"/>
  <c r="Z98" i="8"/>
  <c r="AA98" i="8"/>
  <c r="AB98" i="8"/>
  <c r="AC98" i="8"/>
  <c r="R99" i="8"/>
  <c r="S99" i="8"/>
  <c r="T99" i="8"/>
  <c r="U99" i="8"/>
  <c r="V99" i="8"/>
  <c r="W99" i="8"/>
  <c r="X99" i="8"/>
  <c r="Y99" i="8"/>
  <c r="Z99" i="8"/>
  <c r="AA99" i="8"/>
  <c r="AB99" i="8"/>
  <c r="AC99" i="8"/>
  <c r="R100" i="8"/>
  <c r="S100" i="8"/>
  <c r="T100" i="8"/>
  <c r="U100" i="8"/>
  <c r="V100" i="8"/>
  <c r="W100" i="8"/>
  <c r="X100" i="8"/>
  <c r="Y100" i="8"/>
  <c r="Z100" i="8"/>
  <c r="AA100" i="8"/>
  <c r="AB100" i="8"/>
  <c r="AC100" i="8"/>
  <c r="R101" i="8"/>
  <c r="S101" i="8"/>
  <c r="T101" i="8"/>
  <c r="U101" i="8"/>
  <c r="V101" i="8"/>
  <c r="W101" i="8"/>
  <c r="X101" i="8"/>
  <c r="Y101" i="8"/>
  <c r="Z101" i="8"/>
  <c r="AA101" i="8"/>
  <c r="AB101" i="8"/>
  <c r="AC101" i="8"/>
  <c r="R102" i="8"/>
  <c r="S102" i="8"/>
  <c r="T102" i="8"/>
  <c r="U102" i="8"/>
  <c r="V102" i="8"/>
  <c r="W102" i="8"/>
  <c r="X102" i="8"/>
  <c r="Y102" i="8"/>
  <c r="Z102" i="8"/>
  <c r="AA102" i="8"/>
  <c r="AB102" i="8"/>
  <c r="AC102" i="8"/>
  <c r="R103" i="8"/>
  <c r="S103" i="8"/>
  <c r="T103" i="8"/>
  <c r="U103" i="8"/>
  <c r="V103" i="8"/>
  <c r="W103" i="8"/>
  <c r="X103" i="8"/>
  <c r="Y103" i="8"/>
  <c r="Z103" i="8"/>
  <c r="AA103" i="8"/>
  <c r="AB103" i="8"/>
  <c r="AC103" i="8"/>
  <c r="R104" i="8"/>
  <c r="S104" i="8"/>
  <c r="T104" i="8"/>
  <c r="U104" i="8"/>
  <c r="V104" i="8"/>
  <c r="W104" i="8"/>
  <c r="X104" i="8"/>
  <c r="Y104" i="8"/>
  <c r="Z104" i="8"/>
  <c r="AA104" i="8"/>
  <c r="AB104" i="8"/>
  <c r="AC104" i="8"/>
  <c r="R105" i="8"/>
  <c r="S105" i="8"/>
  <c r="T105" i="8"/>
  <c r="U105" i="8"/>
  <c r="V105" i="8"/>
  <c r="W105" i="8"/>
  <c r="X105" i="8"/>
  <c r="Y105" i="8"/>
  <c r="Z105" i="8"/>
  <c r="AA105" i="8"/>
  <c r="AB105" i="8"/>
  <c r="AC105" i="8"/>
  <c r="R106" i="8"/>
  <c r="S106" i="8"/>
  <c r="T106" i="8"/>
  <c r="U106" i="8"/>
  <c r="V106" i="8"/>
  <c r="W106" i="8"/>
  <c r="X106" i="8"/>
  <c r="Y106" i="8"/>
  <c r="Z106" i="8"/>
  <c r="AA106" i="8"/>
  <c r="AB106" i="8"/>
  <c r="AC106" i="8"/>
  <c r="R107" i="8"/>
  <c r="S107" i="8"/>
  <c r="T107" i="8"/>
  <c r="U107" i="8"/>
  <c r="V107" i="8"/>
  <c r="W107" i="8"/>
  <c r="X107" i="8"/>
  <c r="Y107" i="8"/>
  <c r="Z107" i="8"/>
  <c r="AA107" i="8"/>
  <c r="AB107" i="8"/>
  <c r="AC107" i="8"/>
  <c r="R108" i="8"/>
  <c r="S108" i="8"/>
  <c r="T108" i="8"/>
  <c r="U108" i="8"/>
  <c r="V108" i="8"/>
  <c r="W108" i="8"/>
  <c r="X108" i="8"/>
  <c r="Y108" i="8"/>
  <c r="Z108" i="8"/>
  <c r="AA108" i="8"/>
  <c r="AB108" i="8"/>
  <c r="AC108" i="8"/>
  <c r="R109" i="8"/>
  <c r="S109" i="8"/>
  <c r="T109" i="8"/>
  <c r="U109" i="8"/>
  <c r="V109" i="8"/>
  <c r="W109" i="8"/>
  <c r="X109" i="8"/>
  <c r="Y109" i="8"/>
  <c r="Z109" i="8"/>
  <c r="AA109" i="8"/>
  <c r="AB109" i="8"/>
  <c r="AC109" i="8"/>
  <c r="R110" i="8"/>
  <c r="S110" i="8"/>
  <c r="T110" i="8"/>
  <c r="U110" i="8"/>
  <c r="V110" i="8"/>
  <c r="W110" i="8"/>
  <c r="X110" i="8"/>
  <c r="Y110" i="8"/>
  <c r="Z110" i="8"/>
  <c r="AA110" i="8"/>
  <c r="AB110" i="8"/>
  <c r="AC110" i="8"/>
  <c r="R111" i="8"/>
  <c r="S111" i="8"/>
  <c r="T111" i="8"/>
  <c r="U111" i="8"/>
  <c r="V111" i="8"/>
  <c r="W111" i="8"/>
  <c r="X111" i="8"/>
  <c r="Y111" i="8"/>
  <c r="Z111" i="8"/>
  <c r="AA111" i="8"/>
  <c r="AB111" i="8"/>
  <c r="AC111" i="8"/>
  <c r="R112" i="8"/>
  <c r="S112" i="8"/>
  <c r="T112" i="8"/>
  <c r="U112" i="8"/>
  <c r="V112" i="8"/>
  <c r="W112" i="8"/>
  <c r="X112" i="8"/>
  <c r="Y112" i="8"/>
  <c r="Z112" i="8"/>
  <c r="AA112" i="8"/>
  <c r="AB112" i="8"/>
  <c r="AC112" i="8"/>
  <c r="R113" i="8"/>
  <c r="S113" i="8"/>
  <c r="T113" i="8"/>
  <c r="U113" i="8"/>
  <c r="V113" i="8"/>
  <c r="W113" i="8"/>
  <c r="X113" i="8"/>
  <c r="Y113" i="8"/>
  <c r="Z113" i="8"/>
  <c r="AA113" i="8"/>
  <c r="AB113" i="8"/>
  <c r="AC113" i="8"/>
  <c r="R114" i="8"/>
  <c r="S114" i="8"/>
  <c r="T114" i="8"/>
  <c r="U114" i="8"/>
  <c r="V114" i="8"/>
  <c r="W114" i="8"/>
  <c r="X114" i="8"/>
  <c r="Y114" i="8"/>
  <c r="Z114" i="8"/>
  <c r="AA114" i="8"/>
  <c r="AB114" i="8"/>
  <c r="AC114" i="8"/>
  <c r="R115" i="8"/>
  <c r="S115" i="8"/>
  <c r="T115" i="8"/>
  <c r="U115" i="8"/>
  <c r="V115" i="8"/>
  <c r="W115" i="8"/>
  <c r="X115" i="8"/>
  <c r="Y115" i="8"/>
  <c r="Z115" i="8"/>
  <c r="AA115" i="8"/>
  <c r="AB115" i="8"/>
  <c r="AC115" i="8"/>
  <c r="R116" i="8"/>
  <c r="S116" i="8"/>
  <c r="T116" i="8"/>
  <c r="U116" i="8"/>
  <c r="V116" i="8"/>
  <c r="W116" i="8"/>
  <c r="X116" i="8"/>
  <c r="Y116" i="8"/>
  <c r="Z116" i="8"/>
  <c r="AA116" i="8"/>
  <c r="AB116" i="8"/>
  <c r="AC116" i="8"/>
  <c r="R117" i="8"/>
  <c r="S117" i="8"/>
  <c r="T117" i="8"/>
  <c r="U117" i="8"/>
  <c r="V117" i="8"/>
  <c r="W117" i="8"/>
  <c r="X117" i="8"/>
  <c r="Y117" i="8"/>
  <c r="Z117" i="8"/>
  <c r="AA117" i="8"/>
  <c r="AB117" i="8"/>
  <c r="AC117" i="8"/>
  <c r="R118" i="8"/>
  <c r="S118" i="8"/>
  <c r="T118" i="8"/>
  <c r="U118" i="8"/>
  <c r="V118" i="8"/>
  <c r="W118" i="8"/>
  <c r="X118" i="8"/>
  <c r="Y118" i="8"/>
  <c r="Z118" i="8"/>
  <c r="AA118" i="8"/>
  <c r="AB118" i="8"/>
  <c r="AC118" i="8"/>
  <c r="R119" i="8"/>
  <c r="S119" i="8"/>
  <c r="T119" i="8"/>
  <c r="U119" i="8"/>
  <c r="V119" i="8"/>
  <c r="W119" i="8"/>
  <c r="X119" i="8"/>
  <c r="Y119" i="8"/>
  <c r="Z119" i="8"/>
  <c r="AA119" i="8"/>
  <c r="AB119" i="8"/>
  <c r="AC119" i="8"/>
  <c r="R120" i="8"/>
  <c r="S120" i="8"/>
  <c r="T120" i="8"/>
  <c r="U120" i="8"/>
  <c r="V120" i="8"/>
  <c r="W120" i="8"/>
  <c r="X120" i="8"/>
  <c r="Y120" i="8"/>
  <c r="Z120" i="8"/>
  <c r="AA120" i="8"/>
  <c r="AB120" i="8"/>
  <c r="AC120" i="8"/>
  <c r="R121" i="8"/>
  <c r="S121" i="8"/>
  <c r="T121" i="8"/>
  <c r="U121" i="8"/>
  <c r="V121" i="8"/>
  <c r="W121" i="8"/>
  <c r="X121" i="8"/>
  <c r="Y121" i="8"/>
  <c r="Z121" i="8"/>
  <c r="AA121" i="8"/>
  <c r="AB121" i="8"/>
  <c r="AC121" i="8"/>
  <c r="R122" i="8"/>
  <c r="S122" i="8"/>
  <c r="T122" i="8"/>
  <c r="U122" i="8"/>
  <c r="V122" i="8"/>
  <c r="W122" i="8"/>
  <c r="X122" i="8"/>
  <c r="Y122" i="8"/>
  <c r="Z122" i="8"/>
  <c r="AA122" i="8"/>
  <c r="AB122" i="8"/>
  <c r="AC122" i="8"/>
  <c r="R123" i="8"/>
  <c r="S123" i="8"/>
  <c r="T123" i="8"/>
  <c r="U123" i="8"/>
  <c r="V123" i="8"/>
  <c r="W123" i="8"/>
  <c r="X123" i="8"/>
  <c r="Y123" i="8"/>
  <c r="Z123" i="8"/>
  <c r="AA123" i="8"/>
  <c r="AB123" i="8"/>
  <c r="AC123" i="8"/>
  <c r="R124" i="8"/>
  <c r="S124" i="8"/>
  <c r="T124" i="8"/>
  <c r="U124" i="8"/>
  <c r="V124" i="8"/>
  <c r="W124" i="8"/>
  <c r="X124" i="8"/>
  <c r="Y124" i="8"/>
  <c r="Z124" i="8"/>
  <c r="AA124" i="8"/>
  <c r="AB124" i="8"/>
  <c r="AC124" i="8"/>
  <c r="R125" i="8"/>
  <c r="S125" i="8"/>
  <c r="T125" i="8"/>
  <c r="U125" i="8"/>
  <c r="V125" i="8"/>
  <c r="W125" i="8"/>
  <c r="X125" i="8"/>
  <c r="Y125" i="8"/>
  <c r="Z125" i="8"/>
  <c r="AA125" i="8"/>
  <c r="AB125" i="8"/>
  <c r="AC125" i="8"/>
  <c r="R126" i="8"/>
  <c r="S126" i="8"/>
  <c r="T126" i="8"/>
  <c r="U126" i="8"/>
  <c r="V126" i="8"/>
  <c r="W126" i="8"/>
  <c r="X126" i="8"/>
  <c r="Y126" i="8"/>
  <c r="Z126" i="8"/>
  <c r="AA126" i="8"/>
  <c r="AB126" i="8"/>
  <c r="AC126" i="8"/>
  <c r="R127" i="8"/>
  <c r="S127" i="8"/>
  <c r="T127" i="8"/>
  <c r="U127" i="8"/>
  <c r="V127" i="8"/>
  <c r="W127" i="8"/>
  <c r="X127" i="8"/>
  <c r="Y127" i="8"/>
  <c r="Z127" i="8"/>
  <c r="AA127" i="8"/>
  <c r="AB127" i="8"/>
  <c r="AC127" i="8"/>
  <c r="R128" i="8"/>
  <c r="S128" i="8"/>
  <c r="T128" i="8"/>
  <c r="U128" i="8"/>
  <c r="V128" i="8"/>
  <c r="W128" i="8"/>
  <c r="X128" i="8"/>
  <c r="Y128" i="8"/>
  <c r="Z128" i="8"/>
  <c r="AA128" i="8"/>
  <c r="AB128" i="8"/>
  <c r="AC128" i="8"/>
  <c r="R129" i="8"/>
  <c r="S129" i="8"/>
  <c r="T129" i="8"/>
  <c r="U129" i="8"/>
  <c r="V129" i="8"/>
  <c r="W129" i="8"/>
  <c r="X129" i="8"/>
  <c r="Y129" i="8"/>
  <c r="Z129" i="8"/>
  <c r="AA129" i="8"/>
  <c r="AB129" i="8"/>
  <c r="AC129" i="8"/>
  <c r="R130" i="8"/>
  <c r="S130" i="8"/>
  <c r="T130" i="8"/>
  <c r="U130" i="8"/>
  <c r="V130" i="8"/>
  <c r="W130" i="8"/>
  <c r="X130" i="8"/>
  <c r="Y130" i="8"/>
  <c r="Z130" i="8"/>
  <c r="AA130" i="8"/>
  <c r="AB130" i="8"/>
  <c r="AC130" i="8"/>
  <c r="R131" i="8"/>
  <c r="S131" i="8"/>
  <c r="T131" i="8"/>
  <c r="U131" i="8"/>
  <c r="V131" i="8"/>
  <c r="W131" i="8"/>
  <c r="X131" i="8"/>
  <c r="Y131" i="8"/>
  <c r="Z131" i="8"/>
  <c r="AA131" i="8"/>
  <c r="AB131" i="8"/>
  <c r="AC131" i="8"/>
  <c r="R132" i="8"/>
  <c r="S132" i="8"/>
  <c r="T132" i="8"/>
  <c r="U132" i="8"/>
  <c r="V132" i="8"/>
  <c r="W132" i="8"/>
  <c r="X132" i="8"/>
  <c r="Y132" i="8"/>
  <c r="Z132" i="8"/>
  <c r="AA132" i="8"/>
  <c r="AB132" i="8"/>
  <c r="AC132" i="8"/>
  <c r="R133" i="8"/>
  <c r="S133" i="8"/>
  <c r="T133" i="8"/>
  <c r="U133" i="8"/>
  <c r="V133" i="8"/>
  <c r="W133" i="8"/>
  <c r="X133" i="8"/>
  <c r="Y133" i="8"/>
  <c r="Z133" i="8"/>
  <c r="AA133" i="8"/>
  <c r="AB133" i="8"/>
  <c r="AC133" i="8"/>
  <c r="R134" i="8"/>
  <c r="S134" i="8"/>
  <c r="T134" i="8"/>
  <c r="U134" i="8"/>
  <c r="V134" i="8"/>
  <c r="W134" i="8"/>
  <c r="X134" i="8"/>
  <c r="Y134" i="8"/>
  <c r="Z134" i="8"/>
  <c r="AA134" i="8"/>
  <c r="AB134" i="8"/>
  <c r="AC134" i="8"/>
  <c r="R135" i="8"/>
  <c r="S135" i="8"/>
  <c r="T135" i="8"/>
  <c r="U135" i="8"/>
  <c r="V135" i="8"/>
  <c r="W135" i="8"/>
  <c r="X135" i="8"/>
  <c r="Y135" i="8"/>
  <c r="Z135" i="8"/>
  <c r="AA135" i="8"/>
  <c r="AB135" i="8"/>
  <c r="AC135" i="8"/>
  <c r="R136" i="8"/>
  <c r="S136" i="8"/>
  <c r="T136" i="8"/>
  <c r="U136" i="8"/>
  <c r="V136" i="8"/>
  <c r="W136" i="8"/>
  <c r="X136" i="8"/>
  <c r="Y136" i="8"/>
  <c r="Z136" i="8"/>
  <c r="AA136" i="8"/>
  <c r="AB136" i="8"/>
  <c r="AC136" i="8"/>
  <c r="R137" i="8"/>
  <c r="S137" i="8"/>
  <c r="T137" i="8"/>
  <c r="U137" i="8"/>
  <c r="V137" i="8"/>
  <c r="W137" i="8"/>
  <c r="X137" i="8"/>
  <c r="Y137" i="8"/>
  <c r="Z137" i="8"/>
  <c r="AA137" i="8"/>
  <c r="AB137" i="8"/>
  <c r="AC137" i="8"/>
  <c r="R138" i="8"/>
  <c r="S138" i="8"/>
  <c r="T138" i="8"/>
  <c r="U138" i="8"/>
  <c r="V138" i="8"/>
  <c r="W138" i="8"/>
  <c r="X138" i="8"/>
  <c r="Y138" i="8"/>
  <c r="Z138" i="8"/>
  <c r="AA138" i="8"/>
  <c r="AB138" i="8"/>
  <c r="AC138" i="8"/>
  <c r="R139" i="8"/>
  <c r="S139" i="8"/>
  <c r="T139" i="8"/>
  <c r="U139" i="8"/>
  <c r="V139" i="8"/>
  <c r="W139" i="8"/>
  <c r="X139" i="8"/>
  <c r="Y139" i="8"/>
  <c r="Z139" i="8"/>
  <c r="AA139" i="8"/>
  <c r="AB139" i="8"/>
  <c r="AC139" i="8"/>
  <c r="R140" i="8"/>
  <c r="S140" i="8"/>
  <c r="T140" i="8"/>
  <c r="U140" i="8"/>
  <c r="V140" i="8"/>
  <c r="W140" i="8"/>
  <c r="X140" i="8"/>
  <c r="Y140" i="8"/>
  <c r="Z140" i="8"/>
  <c r="AA140" i="8"/>
  <c r="AB140" i="8"/>
  <c r="AC140" i="8"/>
  <c r="R141" i="8"/>
  <c r="S141" i="8"/>
  <c r="T141" i="8"/>
  <c r="U141" i="8"/>
  <c r="V141" i="8"/>
  <c r="W141" i="8"/>
  <c r="X141" i="8"/>
  <c r="Y141" i="8"/>
  <c r="Z141" i="8"/>
  <c r="AA141" i="8"/>
  <c r="AB141" i="8"/>
  <c r="AC141" i="8"/>
  <c r="R8" i="8"/>
  <c r="S8" i="8"/>
  <c r="T8" i="8"/>
  <c r="U8" i="8"/>
  <c r="V8" i="8"/>
  <c r="W8" i="8"/>
  <c r="X8" i="8"/>
  <c r="Y8" i="8"/>
  <c r="Z8" i="8"/>
  <c r="AA8" i="8"/>
  <c r="AB8" i="8"/>
  <c r="AC8" i="8"/>
  <c r="R142" i="8"/>
  <c r="S142" i="8"/>
  <c r="T142" i="8"/>
  <c r="U142" i="8"/>
  <c r="V142" i="8"/>
  <c r="W142" i="8"/>
  <c r="X142" i="8"/>
  <c r="Y142" i="8"/>
  <c r="Z142" i="8"/>
  <c r="AA142" i="8"/>
  <c r="AB142" i="8"/>
  <c r="AC142" i="8"/>
  <c r="R143" i="8"/>
  <c r="S143" i="8"/>
  <c r="T143" i="8"/>
  <c r="U143" i="8"/>
  <c r="V143" i="8"/>
  <c r="W143" i="8"/>
  <c r="X143" i="8"/>
  <c r="Y143" i="8"/>
  <c r="Z143" i="8"/>
  <c r="AA143" i="8"/>
  <c r="AB143" i="8"/>
  <c r="AC143" i="8"/>
  <c r="R144" i="8"/>
  <c r="S144" i="8"/>
  <c r="T144" i="8"/>
  <c r="U144" i="8"/>
  <c r="V144" i="8"/>
  <c r="W144" i="8"/>
  <c r="X144" i="8"/>
  <c r="Y144" i="8"/>
  <c r="Z144" i="8"/>
  <c r="AA144" i="8"/>
  <c r="AB144" i="8"/>
  <c r="AC144" i="8"/>
  <c r="R145" i="8"/>
  <c r="S145" i="8"/>
  <c r="T145" i="8"/>
  <c r="U145" i="8"/>
  <c r="V145" i="8"/>
  <c r="W145" i="8"/>
  <c r="X145" i="8"/>
  <c r="Y145" i="8"/>
  <c r="Z145" i="8"/>
  <c r="AA145" i="8"/>
  <c r="AB145" i="8"/>
  <c r="AC145" i="8"/>
  <c r="R146" i="8"/>
  <c r="S146" i="8"/>
  <c r="T146" i="8"/>
  <c r="U146" i="8"/>
  <c r="V146" i="8"/>
  <c r="W146" i="8"/>
  <c r="X146" i="8"/>
  <c r="Y146" i="8"/>
  <c r="Z146" i="8"/>
  <c r="AA146" i="8"/>
  <c r="AB146" i="8"/>
  <c r="AC146" i="8"/>
  <c r="R147" i="8"/>
  <c r="S147" i="8"/>
  <c r="T147" i="8"/>
  <c r="U147" i="8"/>
  <c r="V147" i="8"/>
  <c r="W147" i="8"/>
  <c r="X147" i="8"/>
  <c r="Y147" i="8"/>
  <c r="Z147" i="8"/>
  <c r="AA147" i="8"/>
  <c r="AB147" i="8"/>
  <c r="AC147" i="8"/>
  <c r="R148" i="8"/>
  <c r="S148" i="8"/>
  <c r="T148" i="8"/>
  <c r="U148" i="8"/>
  <c r="V148" i="8"/>
  <c r="W148" i="8"/>
  <c r="X148" i="8"/>
  <c r="Y148" i="8"/>
  <c r="Z148" i="8"/>
  <c r="AA148" i="8"/>
  <c r="AB148" i="8"/>
  <c r="AC148" i="8"/>
  <c r="R149" i="8"/>
  <c r="S149" i="8"/>
  <c r="T149" i="8"/>
  <c r="U149" i="8"/>
  <c r="V149" i="8"/>
  <c r="W149" i="8"/>
  <c r="X149" i="8"/>
  <c r="Y149" i="8"/>
  <c r="Z149" i="8"/>
  <c r="AA149" i="8"/>
  <c r="AB149" i="8"/>
  <c r="AC149" i="8"/>
  <c r="R150" i="8"/>
  <c r="S150" i="8"/>
  <c r="T150" i="8"/>
  <c r="U150" i="8"/>
  <c r="V150" i="8"/>
  <c r="W150" i="8"/>
  <c r="X150" i="8"/>
  <c r="Y150" i="8"/>
  <c r="Z150" i="8"/>
  <c r="AA150" i="8"/>
  <c r="AB150" i="8"/>
  <c r="AC150" i="8"/>
  <c r="R9" i="8"/>
  <c r="S9" i="8"/>
  <c r="T9" i="8"/>
  <c r="U9" i="8"/>
  <c r="V9" i="8"/>
  <c r="W9" i="8"/>
  <c r="X9" i="8"/>
  <c r="Y9" i="8"/>
  <c r="Z9" i="8"/>
  <c r="AA9" i="8"/>
  <c r="AB9" i="8"/>
  <c r="AC9" i="8"/>
  <c r="R10" i="8"/>
  <c r="S10" i="8"/>
  <c r="T10" i="8"/>
  <c r="U10" i="8"/>
  <c r="V10" i="8"/>
  <c r="W10" i="8"/>
  <c r="X10" i="8"/>
  <c r="Y10" i="8"/>
  <c r="Z10" i="8"/>
  <c r="AA10" i="8"/>
  <c r="AB10" i="8"/>
  <c r="AC10" i="8"/>
  <c r="R11" i="8"/>
  <c r="S11" i="8"/>
  <c r="T11" i="8"/>
  <c r="U11" i="8"/>
  <c r="V11" i="8"/>
  <c r="W11" i="8"/>
  <c r="X11" i="8"/>
  <c r="Y11" i="8"/>
  <c r="Z11" i="8"/>
  <c r="AA11" i="8"/>
  <c r="AB11" i="8"/>
  <c r="AC11" i="8"/>
  <c r="R151" i="8"/>
  <c r="S151" i="8"/>
  <c r="T151" i="8"/>
  <c r="U151" i="8"/>
  <c r="V151" i="8"/>
  <c r="W151" i="8"/>
  <c r="X151" i="8"/>
  <c r="Y151" i="8"/>
  <c r="Z151" i="8"/>
  <c r="AA151" i="8"/>
  <c r="AB151" i="8"/>
  <c r="AC151" i="8"/>
  <c r="R152" i="8"/>
  <c r="S152" i="8"/>
  <c r="T152" i="8"/>
  <c r="U152" i="8"/>
  <c r="V152" i="8"/>
  <c r="W152" i="8"/>
  <c r="X152" i="8"/>
  <c r="Y152" i="8"/>
  <c r="Z152" i="8"/>
  <c r="AA152" i="8"/>
  <c r="AB152" i="8"/>
  <c r="AC152" i="8"/>
  <c r="R153" i="8"/>
  <c r="S153" i="8"/>
  <c r="T153" i="8"/>
  <c r="U153" i="8"/>
  <c r="V153" i="8"/>
  <c r="W153" i="8"/>
  <c r="X153" i="8"/>
  <c r="Y153" i="8"/>
  <c r="Z153" i="8"/>
  <c r="AA153" i="8"/>
  <c r="AB153" i="8"/>
  <c r="AC153" i="8"/>
  <c r="R154" i="8"/>
  <c r="S154" i="8"/>
  <c r="T154" i="8"/>
  <c r="U154" i="8"/>
  <c r="V154" i="8"/>
  <c r="W154" i="8"/>
  <c r="X154" i="8"/>
  <c r="Y154" i="8"/>
  <c r="Z154" i="8"/>
  <c r="AA154" i="8"/>
  <c r="AB154" i="8"/>
  <c r="AC154" i="8"/>
  <c r="R155" i="8"/>
  <c r="S155" i="8"/>
  <c r="T155" i="8"/>
  <c r="U155" i="8"/>
  <c r="V155" i="8"/>
  <c r="W155" i="8"/>
  <c r="X155" i="8"/>
  <c r="Y155" i="8"/>
  <c r="Z155" i="8"/>
  <c r="AA155" i="8"/>
  <c r="AB155" i="8"/>
  <c r="AC155" i="8"/>
  <c r="R156" i="8"/>
  <c r="S156" i="8"/>
  <c r="T156" i="8"/>
  <c r="U156" i="8"/>
  <c r="V156" i="8"/>
  <c r="W156" i="8"/>
  <c r="X156" i="8"/>
  <c r="Y156" i="8"/>
  <c r="Z156" i="8"/>
  <c r="AA156" i="8"/>
  <c r="AB156" i="8"/>
  <c r="AC156" i="8"/>
  <c r="R157" i="8"/>
  <c r="S157" i="8"/>
  <c r="T157" i="8"/>
  <c r="U157" i="8"/>
  <c r="V157" i="8"/>
  <c r="W157" i="8"/>
  <c r="X157" i="8"/>
  <c r="Y157" i="8"/>
  <c r="Z157" i="8"/>
  <c r="AA157" i="8"/>
  <c r="AB157" i="8"/>
  <c r="AC157" i="8"/>
  <c r="R158" i="8"/>
  <c r="S158" i="8"/>
  <c r="T158" i="8"/>
  <c r="U158" i="8"/>
  <c r="V158" i="8"/>
  <c r="W158" i="8"/>
  <c r="X158" i="8"/>
  <c r="Y158" i="8"/>
  <c r="Z158" i="8"/>
  <c r="AA158" i="8"/>
  <c r="AB158" i="8"/>
  <c r="AC158" i="8"/>
  <c r="R159" i="8"/>
  <c r="S159" i="8"/>
  <c r="T159" i="8"/>
  <c r="U159" i="8"/>
  <c r="V159" i="8"/>
  <c r="W159" i="8"/>
  <c r="X159" i="8"/>
  <c r="Y159" i="8"/>
  <c r="Z159" i="8"/>
  <c r="AA159" i="8"/>
  <c r="AB159" i="8"/>
  <c r="AC159" i="8"/>
  <c r="R160" i="8"/>
  <c r="S160" i="8"/>
  <c r="T160" i="8"/>
  <c r="U160" i="8"/>
  <c r="V160" i="8"/>
  <c r="W160" i="8"/>
  <c r="X160" i="8"/>
  <c r="Y160" i="8"/>
  <c r="Z160" i="8"/>
  <c r="AA160" i="8"/>
  <c r="AB160" i="8"/>
  <c r="AC160" i="8"/>
  <c r="R161" i="8"/>
  <c r="S161" i="8"/>
  <c r="T161" i="8"/>
  <c r="U161" i="8"/>
  <c r="V161" i="8"/>
  <c r="W161" i="8"/>
  <c r="X161" i="8"/>
  <c r="Y161" i="8"/>
  <c r="Z161" i="8"/>
  <c r="AA161" i="8"/>
  <c r="AB161" i="8"/>
  <c r="AC161" i="8"/>
  <c r="R162" i="8"/>
  <c r="S162" i="8"/>
  <c r="T162" i="8"/>
  <c r="U162" i="8"/>
  <c r="V162" i="8"/>
  <c r="W162" i="8"/>
  <c r="X162" i="8"/>
  <c r="Y162" i="8"/>
  <c r="Z162" i="8"/>
  <c r="AA162" i="8"/>
  <c r="AB162" i="8"/>
  <c r="AC162" i="8"/>
  <c r="R163" i="8"/>
  <c r="S163" i="8"/>
  <c r="T163" i="8"/>
  <c r="U163" i="8"/>
  <c r="V163" i="8"/>
  <c r="W163" i="8"/>
  <c r="X163" i="8"/>
  <c r="Y163" i="8"/>
  <c r="Z163" i="8"/>
  <c r="AA163" i="8"/>
  <c r="AB163" i="8"/>
  <c r="AC163" i="8"/>
  <c r="R164" i="8"/>
  <c r="S164" i="8"/>
  <c r="T164" i="8"/>
  <c r="U164" i="8"/>
  <c r="V164" i="8"/>
  <c r="W164" i="8"/>
  <c r="X164" i="8"/>
  <c r="Y164" i="8"/>
  <c r="Z164" i="8"/>
  <c r="AA164" i="8"/>
  <c r="AB164" i="8"/>
  <c r="AC164" i="8"/>
  <c r="R165" i="8"/>
  <c r="S165" i="8"/>
  <c r="T165" i="8"/>
  <c r="U165" i="8"/>
  <c r="V165" i="8"/>
  <c r="W165" i="8"/>
  <c r="X165" i="8"/>
  <c r="Y165" i="8"/>
  <c r="Z165" i="8"/>
  <c r="AA165" i="8"/>
  <c r="AB165" i="8"/>
  <c r="AC165" i="8"/>
  <c r="R166" i="8"/>
  <c r="S166" i="8"/>
  <c r="T166" i="8"/>
  <c r="U166" i="8"/>
  <c r="V166" i="8"/>
  <c r="W166" i="8"/>
  <c r="X166" i="8"/>
  <c r="Y166" i="8"/>
  <c r="Z166" i="8"/>
  <c r="AA166" i="8"/>
  <c r="AB166" i="8"/>
  <c r="AC166" i="8"/>
  <c r="R167" i="8"/>
  <c r="S167" i="8"/>
  <c r="T167" i="8"/>
  <c r="U167" i="8"/>
  <c r="V167" i="8"/>
  <c r="W167" i="8"/>
  <c r="X167" i="8"/>
  <c r="Y167" i="8"/>
  <c r="Z167" i="8"/>
  <c r="AA167" i="8"/>
  <c r="AB167" i="8"/>
  <c r="AC167" i="8"/>
  <c r="R168" i="8"/>
  <c r="S168" i="8"/>
  <c r="T168" i="8"/>
  <c r="U168" i="8"/>
  <c r="V168" i="8"/>
  <c r="W168" i="8"/>
  <c r="X168" i="8"/>
  <c r="Y168" i="8"/>
  <c r="Z168" i="8"/>
  <c r="AA168" i="8"/>
  <c r="AB168" i="8"/>
  <c r="AC168" i="8"/>
  <c r="R169" i="8"/>
  <c r="S169" i="8"/>
  <c r="T169" i="8"/>
  <c r="U169" i="8"/>
  <c r="V169" i="8"/>
  <c r="W169" i="8"/>
  <c r="X169" i="8"/>
  <c r="Y169" i="8"/>
  <c r="Z169" i="8"/>
  <c r="AA169" i="8"/>
  <c r="AB169" i="8"/>
  <c r="AC169" i="8"/>
  <c r="R170" i="8"/>
  <c r="S170" i="8"/>
  <c r="T170" i="8"/>
  <c r="U170" i="8"/>
  <c r="V170" i="8"/>
  <c r="W170" i="8"/>
  <c r="X170" i="8"/>
  <c r="Y170" i="8"/>
  <c r="Z170" i="8"/>
  <c r="AA170" i="8"/>
  <c r="AB170" i="8"/>
  <c r="AC170" i="8"/>
  <c r="R171" i="8"/>
  <c r="S171" i="8"/>
  <c r="T171" i="8"/>
  <c r="U171" i="8"/>
  <c r="V171" i="8"/>
  <c r="W171" i="8"/>
  <c r="X171" i="8"/>
  <c r="Y171" i="8"/>
  <c r="Z171" i="8"/>
  <c r="AA171" i="8"/>
  <c r="AB171" i="8"/>
  <c r="AC171" i="8"/>
  <c r="R172" i="8"/>
  <c r="S172" i="8"/>
  <c r="T172" i="8"/>
  <c r="U172" i="8"/>
  <c r="V172" i="8"/>
  <c r="W172" i="8"/>
  <c r="X172" i="8"/>
  <c r="Y172" i="8"/>
  <c r="Z172" i="8"/>
  <c r="AA172" i="8"/>
  <c r="AB172" i="8"/>
  <c r="AC172" i="8"/>
  <c r="R12" i="8"/>
  <c r="S12" i="8"/>
  <c r="T12" i="8"/>
  <c r="U12" i="8"/>
  <c r="V12" i="8"/>
  <c r="W12" i="8"/>
  <c r="X12" i="8"/>
  <c r="Y12" i="8"/>
  <c r="Z12" i="8"/>
  <c r="AA12" i="8"/>
  <c r="AB12" i="8"/>
  <c r="AC12" i="8"/>
  <c r="R173" i="8"/>
  <c r="S173" i="8"/>
  <c r="T173" i="8"/>
  <c r="U173" i="8"/>
  <c r="V173" i="8"/>
  <c r="W173" i="8"/>
  <c r="X173" i="8"/>
  <c r="Y173" i="8"/>
  <c r="Z173" i="8"/>
  <c r="AA173" i="8"/>
  <c r="AB173" i="8"/>
  <c r="AC173" i="8"/>
  <c r="R174" i="8"/>
  <c r="S174" i="8"/>
  <c r="T174" i="8"/>
  <c r="U174" i="8"/>
  <c r="V174" i="8"/>
  <c r="W174" i="8"/>
  <c r="X174" i="8"/>
  <c r="Y174" i="8"/>
  <c r="Z174" i="8"/>
  <c r="AA174" i="8"/>
  <c r="AB174" i="8"/>
  <c r="AC174" i="8"/>
  <c r="R175" i="8"/>
  <c r="S175" i="8"/>
  <c r="T175" i="8"/>
  <c r="U175" i="8"/>
  <c r="V175" i="8"/>
  <c r="W175" i="8"/>
  <c r="X175" i="8"/>
  <c r="Y175" i="8"/>
  <c r="Z175" i="8"/>
  <c r="AA175" i="8"/>
  <c r="AB175" i="8"/>
  <c r="AC175" i="8"/>
  <c r="R176" i="8"/>
  <c r="S176" i="8"/>
  <c r="T176" i="8"/>
  <c r="U176" i="8"/>
  <c r="V176" i="8"/>
  <c r="W176" i="8"/>
  <c r="X176" i="8"/>
  <c r="Y176" i="8"/>
  <c r="Z176" i="8"/>
  <c r="AA176" i="8"/>
  <c r="AB176" i="8"/>
  <c r="AC176" i="8"/>
  <c r="R177" i="8"/>
  <c r="S177" i="8"/>
  <c r="T177" i="8"/>
  <c r="U177" i="8"/>
  <c r="V177" i="8"/>
  <c r="W177" i="8"/>
  <c r="X177" i="8"/>
  <c r="Y177" i="8"/>
  <c r="Z177" i="8"/>
  <c r="AA177" i="8"/>
  <c r="AB177" i="8"/>
  <c r="AC177" i="8"/>
  <c r="R178" i="8"/>
  <c r="S178" i="8"/>
  <c r="T178" i="8"/>
  <c r="U178" i="8"/>
  <c r="V178" i="8"/>
  <c r="W178" i="8"/>
  <c r="X178" i="8"/>
  <c r="Y178" i="8"/>
  <c r="Z178" i="8"/>
  <c r="AA178" i="8"/>
  <c r="AB178" i="8"/>
  <c r="AC178" i="8"/>
  <c r="R179" i="8"/>
  <c r="S179" i="8"/>
  <c r="T179" i="8"/>
  <c r="U179" i="8"/>
  <c r="V179" i="8"/>
  <c r="W179" i="8"/>
  <c r="X179" i="8"/>
  <c r="Y179" i="8"/>
  <c r="Z179" i="8"/>
  <c r="AA179" i="8"/>
  <c r="AB179" i="8"/>
  <c r="AC179" i="8"/>
  <c r="R180" i="8"/>
  <c r="S180" i="8"/>
  <c r="T180" i="8"/>
  <c r="U180" i="8"/>
  <c r="V180" i="8"/>
  <c r="W180" i="8"/>
  <c r="X180" i="8"/>
  <c r="Y180" i="8"/>
  <c r="Z180" i="8"/>
  <c r="AA180" i="8"/>
  <c r="AB180" i="8"/>
  <c r="AC180" i="8"/>
  <c r="R181" i="8"/>
  <c r="S181" i="8"/>
  <c r="T181" i="8"/>
  <c r="U181" i="8"/>
  <c r="V181" i="8"/>
  <c r="W181" i="8"/>
  <c r="X181" i="8"/>
  <c r="Y181" i="8"/>
  <c r="Z181" i="8"/>
  <c r="AA181" i="8"/>
  <c r="AB181" i="8"/>
  <c r="AC181" i="8"/>
  <c r="R182" i="8"/>
  <c r="S182" i="8"/>
  <c r="T182" i="8"/>
  <c r="U182" i="8"/>
  <c r="V182" i="8"/>
  <c r="W182" i="8"/>
  <c r="X182" i="8"/>
  <c r="Y182" i="8"/>
  <c r="Z182" i="8"/>
  <c r="AA182" i="8"/>
  <c r="AB182" i="8"/>
  <c r="AC182" i="8"/>
  <c r="R13" i="8"/>
  <c r="S13" i="8"/>
  <c r="T13" i="8"/>
  <c r="U13" i="8"/>
  <c r="V13" i="8"/>
  <c r="W13" i="8"/>
  <c r="X13" i="8"/>
  <c r="Y13" i="8"/>
  <c r="Z13" i="8"/>
  <c r="AA13" i="8"/>
  <c r="AB13" i="8"/>
  <c r="AC13" i="8"/>
  <c r="R183" i="8"/>
  <c r="S183" i="8"/>
  <c r="T183" i="8"/>
  <c r="U183" i="8"/>
  <c r="V183" i="8"/>
  <c r="W183" i="8"/>
  <c r="X183" i="8"/>
  <c r="Y183" i="8"/>
  <c r="Z183" i="8"/>
  <c r="AA183" i="8"/>
  <c r="AB183" i="8"/>
  <c r="AC183" i="8"/>
  <c r="R184" i="8"/>
  <c r="S184" i="8"/>
  <c r="T184" i="8"/>
  <c r="U184" i="8"/>
  <c r="V184" i="8"/>
  <c r="W184" i="8"/>
  <c r="X184" i="8"/>
  <c r="Y184" i="8"/>
  <c r="Z184" i="8"/>
  <c r="AA184" i="8"/>
  <c r="AB184" i="8"/>
  <c r="AC184" i="8"/>
  <c r="R185" i="8"/>
  <c r="S185" i="8"/>
  <c r="T185" i="8"/>
  <c r="U185" i="8"/>
  <c r="V185" i="8"/>
  <c r="W185" i="8"/>
  <c r="X185" i="8"/>
  <c r="Y185" i="8"/>
  <c r="Z185" i="8"/>
  <c r="AA185" i="8"/>
  <c r="AB185" i="8"/>
  <c r="AC185" i="8"/>
  <c r="R186" i="8"/>
  <c r="S186" i="8"/>
  <c r="T186" i="8"/>
  <c r="U186" i="8"/>
  <c r="V186" i="8"/>
  <c r="W186" i="8"/>
  <c r="X186" i="8"/>
  <c r="Y186" i="8"/>
  <c r="Z186" i="8"/>
  <c r="AA186" i="8"/>
  <c r="AB186" i="8"/>
  <c r="AC186" i="8"/>
  <c r="R187" i="8"/>
  <c r="S187" i="8"/>
  <c r="T187" i="8"/>
  <c r="U187" i="8"/>
  <c r="V187" i="8"/>
  <c r="W187" i="8"/>
  <c r="X187" i="8"/>
  <c r="Y187" i="8"/>
  <c r="Z187" i="8"/>
  <c r="AA187" i="8"/>
  <c r="AB187" i="8"/>
  <c r="AC187" i="8"/>
  <c r="R188" i="8"/>
  <c r="S188" i="8"/>
  <c r="T188" i="8"/>
  <c r="U188" i="8"/>
  <c r="V188" i="8"/>
  <c r="W188" i="8"/>
  <c r="X188" i="8"/>
  <c r="Y188" i="8"/>
  <c r="Z188" i="8"/>
  <c r="AA188" i="8"/>
  <c r="AB188" i="8"/>
  <c r="AC188" i="8"/>
  <c r="R189" i="8"/>
  <c r="S189" i="8"/>
  <c r="T189" i="8"/>
  <c r="U189" i="8"/>
  <c r="V189" i="8"/>
  <c r="W189" i="8"/>
  <c r="X189" i="8"/>
  <c r="Y189" i="8"/>
  <c r="Z189" i="8"/>
  <c r="AA189" i="8"/>
  <c r="AB189" i="8"/>
  <c r="AC189" i="8"/>
  <c r="R190" i="8"/>
  <c r="S190" i="8"/>
  <c r="T190" i="8"/>
  <c r="U190" i="8"/>
  <c r="V190" i="8"/>
  <c r="W190" i="8"/>
  <c r="X190" i="8"/>
  <c r="Y190" i="8"/>
  <c r="Z190" i="8"/>
  <c r="AA190" i="8"/>
  <c r="AB190" i="8"/>
  <c r="AC190" i="8"/>
  <c r="R191" i="8"/>
  <c r="S191" i="8"/>
  <c r="T191" i="8"/>
  <c r="U191" i="8"/>
  <c r="V191" i="8"/>
  <c r="W191" i="8"/>
  <c r="X191" i="8"/>
  <c r="Y191" i="8"/>
  <c r="Z191" i="8"/>
  <c r="AA191" i="8"/>
  <c r="AB191" i="8"/>
  <c r="AC191" i="8"/>
  <c r="R192" i="8"/>
  <c r="S192" i="8"/>
  <c r="T192" i="8"/>
  <c r="U192" i="8"/>
  <c r="V192" i="8"/>
  <c r="W192" i="8"/>
  <c r="X192" i="8"/>
  <c r="Y192" i="8"/>
  <c r="Z192" i="8"/>
  <c r="AA192" i="8"/>
  <c r="AB192" i="8"/>
  <c r="AC192" i="8"/>
  <c r="R193" i="8"/>
  <c r="S193" i="8"/>
  <c r="T193" i="8"/>
  <c r="U193" i="8"/>
  <c r="V193" i="8"/>
  <c r="W193" i="8"/>
  <c r="X193" i="8"/>
  <c r="Y193" i="8"/>
  <c r="Z193" i="8"/>
  <c r="AA193" i="8"/>
  <c r="AB193" i="8"/>
  <c r="AC193" i="8"/>
  <c r="R194" i="8"/>
  <c r="S194" i="8"/>
  <c r="T194" i="8"/>
  <c r="U194" i="8"/>
  <c r="V194" i="8"/>
  <c r="W194" i="8"/>
  <c r="X194" i="8"/>
  <c r="Y194" i="8"/>
  <c r="Z194" i="8"/>
  <c r="AA194" i="8"/>
  <c r="AB194" i="8"/>
  <c r="AC194" i="8"/>
  <c r="R14" i="8"/>
  <c r="S14" i="8"/>
  <c r="T14" i="8"/>
  <c r="U14" i="8"/>
  <c r="V14" i="8"/>
  <c r="W14" i="8"/>
  <c r="X14" i="8"/>
  <c r="Y14" i="8"/>
  <c r="Z14" i="8"/>
  <c r="AA14" i="8"/>
  <c r="AB14" i="8"/>
  <c r="AC14" i="8"/>
  <c r="R195" i="8"/>
  <c r="S195" i="8"/>
  <c r="T195" i="8"/>
  <c r="U195" i="8"/>
  <c r="V195" i="8"/>
  <c r="W195" i="8"/>
  <c r="X195" i="8"/>
  <c r="Y195" i="8"/>
  <c r="Z195" i="8"/>
  <c r="AA195" i="8"/>
  <c r="AB195" i="8"/>
  <c r="AC195" i="8"/>
  <c r="R196" i="8"/>
  <c r="S196" i="8"/>
  <c r="T196" i="8"/>
  <c r="U196" i="8"/>
  <c r="V196" i="8"/>
  <c r="W196" i="8"/>
  <c r="X196" i="8"/>
  <c r="Y196" i="8"/>
  <c r="Z196" i="8"/>
  <c r="AA196" i="8"/>
  <c r="AB196" i="8"/>
  <c r="AC196" i="8"/>
  <c r="R197" i="8"/>
  <c r="S197" i="8"/>
  <c r="T197" i="8"/>
  <c r="U197" i="8"/>
  <c r="V197" i="8"/>
  <c r="W197" i="8"/>
  <c r="X197" i="8"/>
  <c r="Y197" i="8"/>
  <c r="Z197" i="8"/>
  <c r="AA197" i="8"/>
  <c r="AB197" i="8"/>
  <c r="AC197" i="8"/>
  <c r="R198" i="8"/>
  <c r="S198" i="8"/>
  <c r="T198" i="8"/>
  <c r="U198" i="8"/>
  <c r="V198" i="8"/>
  <c r="W198" i="8"/>
  <c r="X198" i="8"/>
  <c r="Y198" i="8"/>
  <c r="Z198" i="8"/>
  <c r="AA198" i="8"/>
  <c r="AB198" i="8"/>
  <c r="AC198" i="8"/>
  <c r="R199" i="8"/>
  <c r="S199" i="8"/>
  <c r="T199" i="8"/>
  <c r="U199" i="8"/>
  <c r="V199" i="8"/>
  <c r="W199" i="8"/>
  <c r="X199" i="8"/>
  <c r="Y199" i="8"/>
  <c r="Z199" i="8"/>
  <c r="AA199" i="8"/>
  <c r="AB199" i="8"/>
  <c r="AC199" i="8"/>
  <c r="R200" i="8"/>
  <c r="S200" i="8"/>
  <c r="T200" i="8"/>
  <c r="U200" i="8"/>
  <c r="V200" i="8"/>
  <c r="W200" i="8"/>
  <c r="X200" i="8"/>
  <c r="Y200" i="8"/>
  <c r="Z200" i="8"/>
  <c r="AA200" i="8"/>
  <c r="AB200" i="8"/>
  <c r="AC200" i="8"/>
  <c r="R201" i="8"/>
  <c r="S201" i="8"/>
  <c r="T201" i="8"/>
  <c r="U201" i="8"/>
  <c r="V201" i="8"/>
  <c r="W201" i="8"/>
  <c r="X201" i="8"/>
  <c r="Y201" i="8"/>
  <c r="Z201" i="8"/>
  <c r="AA201" i="8"/>
  <c r="AB201" i="8"/>
  <c r="AC201" i="8"/>
  <c r="R15" i="8"/>
  <c r="S15" i="8"/>
  <c r="T15" i="8"/>
  <c r="U15" i="8"/>
  <c r="V15" i="8"/>
  <c r="W15" i="8"/>
  <c r="X15" i="8"/>
  <c r="Y15" i="8"/>
  <c r="Z15" i="8"/>
  <c r="AA15" i="8"/>
  <c r="AB15" i="8"/>
  <c r="AC15" i="8"/>
  <c r="R202" i="8"/>
  <c r="S202" i="8"/>
  <c r="T202" i="8"/>
  <c r="U202" i="8"/>
  <c r="V202" i="8"/>
  <c r="W202" i="8"/>
  <c r="X202" i="8"/>
  <c r="Y202" i="8"/>
  <c r="Z202" i="8"/>
  <c r="AA202" i="8"/>
  <c r="AB202" i="8"/>
  <c r="AC202" i="8"/>
  <c r="R203" i="8"/>
  <c r="S203" i="8"/>
  <c r="T203" i="8"/>
  <c r="U203" i="8"/>
  <c r="V203" i="8"/>
  <c r="W203" i="8"/>
  <c r="X203" i="8"/>
  <c r="Y203" i="8"/>
  <c r="Z203" i="8"/>
  <c r="AA203" i="8"/>
  <c r="AB203" i="8"/>
  <c r="AC203" i="8"/>
  <c r="R16" i="8"/>
  <c r="S16" i="8"/>
  <c r="T16" i="8"/>
  <c r="U16" i="8"/>
  <c r="V16" i="8"/>
  <c r="W16" i="8"/>
  <c r="X16" i="8"/>
  <c r="Y16" i="8"/>
  <c r="Z16" i="8"/>
  <c r="AA16" i="8"/>
  <c r="AB16" i="8"/>
  <c r="AC16" i="8"/>
  <c r="R204" i="8"/>
  <c r="S204" i="8"/>
  <c r="T204" i="8"/>
  <c r="U204" i="8"/>
  <c r="V204" i="8"/>
  <c r="W204" i="8"/>
  <c r="X204" i="8"/>
  <c r="Y204" i="8"/>
  <c r="Z204" i="8"/>
  <c r="AA204" i="8"/>
  <c r="AB204" i="8"/>
  <c r="AC204" i="8"/>
  <c r="R205" i="8"/>
  <c r="S205" i="8"/>
  <c r="T205" i="8"/>
  <c r="U205" i="8"/>
  <c r="V205" i="8"/>
  <c r="W205" i="8"/>
  <c r="X205" i="8"/>
  <c r="Y205" i="8"/>
  <c r="Z205" i="8"/>
  <c r="AA205" i="8"/>
  <c r="AB205" i="8"/>
  <c r="AC205" i="8"/>
  <c r="R206" i="8"/>
  <c r="S206" i="8"/>
  <c r="T206" i="8"/>
  <c r="U206" i="8"/>
  <c r="V206" i="8"/>
  <c r="W206" i="8"/>
  <c r="X206" i="8"/>
  <c r="Y206" i="8"/>
  <c r="Z206" i="8"/>
  <c r="AA206" i="8"/>
  <c r="AB206" i="8"/>
  <c r="AC206" i="8"/>
  <c r="R207" i="8"/>
  <c r="S207" i="8"/>
  <c r="T207" i="8"/>
  <c r="U207" i="8"/>
  <c r="V207" i="8"/>
  <c r="W207" i="8"/>
  <c r="X207" i="8"/>
  <c r="Y207" i="8"/>
  <c r="Z207" i="8"/>
  <c r="AA207" i="8"/>
  <c r="AB207" i="8"/>
  <c r="AC207" i="8"/>
  <c r="R208" i="8"/>
  <c r="S208" i="8"/>
  <c r="T208" i="8"/>
  <c r="U208" i="8"/>
  <c r="V208" i="8"/>
  <c r="W208" i="8"/>
  <c r="X208" i="8"/>
  <c r="Y208" i="8"/>
  <c r="Z208" i="8"/>
  <c r="AA208" i="8"/>
  <c r="AB208" i="8"/>
  <c r="AC208" i="8"/>
  <c r="R209" i="8"/>
  <c r="S209" i="8"/>
  <c r="T209" i="8"/>
  <c r="U209" i="8"/>
  <c r="V209" i="8"/>
  <c r="W209" i="8"/>
  <c r="X209" i="8"/>
  <c r="Y209" i="8"/>
  <c r="Z209" i="8"/>
  <c r="AA209" i="8"/>
  <c r="AB209" i="8"/>
  <c r="AC209" i="8"/>
  <c r="R17" i="8"/>
  <c r="S17" i="8"/>
  <c r="T17" i="8"/>
  <c r="U17" i="8"/>
  <c r="V17" i="8"/>
  <c r="W17" i="8"/>
  <c r="X17" i="8"/>
  <c r="Y17" i="8"/>
  <c r="Z17" i="8"/>
  <c r="AA17" i="8"/>
  <c r="AB17" i="8"/>
  <c r="AC17" i="8"/>
  <c r="R210" i="8"/>
  <c r="S210" i="8"/>
  <c r="T210" i="8"/>
  <c r="U210" i="8"/>
  <c r="V210" i="8"/>
  <c r="W210" i="8"/>
  <c r="X210" i="8"/>
  <c r="Y210" i="8"/>
  <c r="Z210" i="8"/>
  <c r="AA210" i="8"/>
  <c r="AB210" i="8"/>
  <c r="AC210" i="8"/>
  <c r="R211" i="8"/>
  <c r="S211" i="8"/>
  <c r="T211" i="8"/>
  <c r="U211" i="8"/>
  <c r="V211" i="8"/>
  <c r="W211" i="8"/>
  <c r="X211" i="8"/>
  <c r="Y211" i="8"/>
  <c r="Z211" i="8"/>
  <c r="AA211" i="8"/>
  <c r="AB211" i="8"/>
  <c r="AC211" i="8"/>
  <c r="R212" i="8"/>
  <c r="S212" i="8"/>
  <c r="T212" i="8"/>
  <c r="U212" i="8"/>
  <c r="V212" i="8"/>
  <c r="W212" i="8"/>
  <c r="X212" i="8"/>
  <c r="Y212" i="8"/>
  <c r="Z212" i="8"/>
  <c r="AA212" i="8"/>
  <c r="AB212" i="8"/>
  <c r="AC212" i="8"/>
  <c r="R213" i="8"/>
  <c r="S213" i="8"/>
  <c r="T213" i="8"/>
  <c r="U213" i="8"/>
  <c r="V213" i="8"/>
  <c r="W213" i="8"/>
  <c r="X213" i="8"/>
  <c r="Y213" i="8"/>
  <c r="Z213" i="8"/>
  <c r="AA213" i="8"/>
  <c r="AB213" i="8"/>
  <c r="AC213" i="8"/>
  <c r="R214" i="8"/>
  <c r="S214" i="8"/>
  <c r="T214" i="8"/>
  <c r="U214" i="8"/>
  <c r="V214" i="8"/>
  <c r="W214" i="8"/>
  <c r="X214" i="8"/>
  <c r="Y214" i="8"/>
  <c r="Z214" i="8"/>
  <c r="AA214" i="8"/>
  <c r="AB214" i="8"/>
  <c r="AC214" i="8"/>
  <c r="R215" i="8"/>
  <c r="S215" i="8"/>
  <c r="T215" i="8"/>
  <c r="U215" i="8"/>
  <c r="V215" i="8"/>
  <c r="W215" i="8"/>
  <c r="X215" i="8"/>
  <c r="Y215" i="8"/>
  <c r="Z215" i="8"/>
  <c r="AA215" i="8"/>
  <c r="AB215" i="8"/>
  <c r="AC215" i="8"/>
  <c r="R216" i="8"/>
  <c r="S216" i="8"/>
  <c r="T216" i="8"/>
  <c r="U216" i="8"/>
  <c r="V216" i="8"/>
  <c r="W216" i="8"/>
  <c r="X216" i="8"/>
  <c r="Y216" i="8"/>
  <c r="Z216" i="8"/>
  <c r="AA216" i="8"/>
  <c r="AB216" i="8"/>
  <c r="AC216" i="8"/>
  <c r="R217" i="8"/>
  <c r="S217" i="8"/>
  <c r="T217" i="8"/>
  <c r="U217" i="8"/>
  <c r="V217" i="8"/>
  <c r="W217" i="8"/>
  <c r="X217" i="8"/>
  <c r="Y217" i="8"/>
  <c r="Z217" i="8"/>
  <c r="AA217" i="8"/>
  <c r="AB217" i="8"/>
  <c r="AC217" i="8"/>
  <c r="R218" i="8"/>
  <c r="S218" i="8"/>
  <c r="T218" i="8"/>
  <c r="U218" i="8"/>
  <c r="V218" i="8"/>
  <c r="W218" i="8"/>
  <c r="X218" i="8"/>
  <c r="Y218" i="8"/>
  <c r="Z218" i="8"/>
  <c r="AA218" i="8"/>
  <c r="AB218" i="8"/>
  <c r="AC218" i="8"/>
  <c r="R18" i="8"/>
  <c r="S18" i="8"/>
  <c r="T18" i="8"/>
  <c r="U18" i="8"/>
  <c r="V18" i="8"/>
  <c r="W18" i="8"/>
  <c r="X18" i="8"/>
  <c r="Y18" i="8"/>
  <c r="Z18" i="8"/>
  <c r="AA18" i="8"/>
  <c r="AB18" i="8"/>
  <c r="AC18" i="8"/>
  <c r="R219" i="8"/>
  <c r="S219" i="8"/>
  <c r="T219" i="8"/>
  <c r="U219" i="8"/>
  <c r="V219" i="8"/>
  <c r="W219" i="8"/>
  <c r="X219" i="8"/>
  <c r="Y219" i="8"/>
  <c r="Z219" i="8"/>
  <c r="AA219" i="8"/>
  <c r="AB219" i="8"/>
  <c r="AC219" i="8"/>
  <c r="R220" i="8"/>
  <c r="S220" i="8"/>
  <c r="T220" i="8"/>
  <c r="U220" i="8"/>
  <c r="V220" i="8"/>
  <c r="W220" i="8"/>
  <c r="X220" i="8"/>
  <c r="Y220" i="8"/>
  <c r="Z220" i="8"/>
  <c r="AA220" i="8"/>
  <c r="AB220" i="8"/>
  <c r="AC220" i="8"/>
  <c r="R19" i="8"/>
  <c r="S19" i="8"/>
  <c r="T19" i="8"/>
  <c r="U19" i="8"/>
  <c r="V19" i="8"/>
  <c r="W19" i="8"/>
  <c r="X19" i="8"/>
  <c r="Y19" i="8"/>
  <c r="Z19" i="8"/>
  <c r="AA19" i="8"/>
  <c r="AB19" i="8"/>
  <c r="AC19" i="8"/>
  <c r="R20" i="8"/>
  <c r="S20" i="8"/>
  <c r="T20" i="8"/>
  <c r="U20" i="8"/>
  <c r="V20" i="8"/>
  <c r="W20" i="8"/>
  <c r="X20" i="8"/>
  <c r="Y20" i="8"/>
  <c r="Z20" i="8"/>
  <c r="AA20" i="8"/>
  <c r="AB20" i="8"/>
  <c r="AC20" i="8"/>
  <c r="R21" i="8"/>
  <c r="S21" i="8"/>
  <c r="T21" i="8"/>
  <c r="U21" i="8"/>
  <c r="V21" i="8"/>
  <c r="W21" i="8"/>
  <c r="X21" i="8"/>
  <c r="Y21" i="8"/>
  <c r="Z21" i="8"/>
  <c r="AA21" i="8"/>
  <c r="AB21" i="8"/>
  <c r="AC21" i="8"/>
  <c r="R221" i="8"/>
  <c r="S221" i="8"/>
  <c r="T221" i="8"/>
  <c r="U221" i="8"/>
  <c r="V221" i="8"/>
  <c r="W221" i="8"/>
  <c r="X221" i="8"/>
  <c r="Y221" i="8"/>
  <c r="Z221" i="8"/>
  <c r="AA221" i="8"/>
  <c r="AB221" i="8"/>
  <c r="AC221" i="8"/>
  <c r="R222" i="8"/>
  <c r="S222" i="8"/>
  <c r="T222" i="8"/>
  <c r="U222" i="8"/>
  <c r="V222" i="8"/>
  <c r="W222" i="8"/>
  <c r="X222" i="8"/>
  <c r="Y222" i="8"/>
  <c r="Z222" i="8"/>
  <c r="AA222" i="8"/>
  <c r="AB222" i="8"/>
  <c r="AC222" i="8"/>
  <c r="R223" i="8"/>
  <c r="S223" i="8"/>
  <c r="T223" i="8"/>
  <c r="U223" i="8"/>
  <c r="V223" i="8"/>
  <c r="W223" i="8"/>
  <c r="X223" i="8"/>
  <c r="Y223" i="8"/>
  <c r="Z223" i="8"/>
  <c r="AA223" i="8"/>
  <c r="AB223" i="8"/>
  <c r="AC223" i="8"/>
  <c r="R224" i="8"/>
  <c r="S224" i="8"/>
  <c r="T224" i="8"/>
  <c r="U224" i="8"/>
  <c r="V224" i="8"/>
  <c r="W224" i="8"/>
  <c r="X224" i="8"/>
  <c r="Y224" i="8"/>
  <c r="Z224" i="8"/>
  <c r="AA224" i="8"/>
  <c r="AB224" i="8"/>
  <c r="AC224" i="8"/>
  <c r="R225" i="8"/>
  <c r="S225" i="8"/>
  <c r="T225" i="8"/>
  <c r="U225" i="8"/>
  <c r="V225" i="8"/>
  <c r="W225" i="8"/>
  <c r="X225" i="8"/>
  <c r="Y225" i="8"/>
  <c r="Z225" i="8"/>
  <c r="AA225" i="8"/>
  <c r="AB225" i="8"/>
  <c r="AC225" i="8"/>
  <c r="R226" i="8"/>
  <c r="S226" i="8"/>
  <c r="T226" i="8"/>
  <c r="U226" i="8"/>
  <c r="V226" i="8"/>
  <c r="W226" i="8"/>
  <c r="X226" i="8"/>
  <c r="Y226" i="8"/>
  <c r="Z226" i="8"/>
  <c r="AA226" i="8"/>
  <c r="AB226" i="8"/>
  <c r="AC226" i="8"/>
  <c r="R227" i="8"/>
  <c r="S227" i="8"/>
  <c r="T227" i="8"/>
  <c r="U227" i="8"/>
  <c r="V227" i="8"/>
  <c r="W227" i="8"/>
  <c r="X227" i="8"/>
  <c r="Y227" i="8"/>
  <c r="Z227" i="8"/>
  <c r="AA227" i="8"/>
  <c r="AB227" i="8"/>
  <c r="AC227" i="8"/>
  <c r="R228" i="8"/>
  <c r="S228" i="8"/>
  <c r="T228" i="8"/>
  <c r="U228" i="8"/>
  <c r="V228" i="8"/>
  <c r="W228" i="8"/>
  <c r="X228" i="8"/>
  <c r="Y228" i="8"/>
  <c r="Z228" i="8"/>
  <c r="AA228" i="8"/>
  <c r="AB228" i="8"/>
  <c r="AC228" i="8"/>
  <c r="R22" i="8"/>
  <c r="S22" i="8"/>
  <c r="T22" i="8"/>
  <c r="U22" i="8"/>
  <c r="V22" i="8"/>
  <c r="W22" i="8"/>
  <c r="X22" i="8"/>
  <c r="Y22" i="8"/>
  <c r="Z22" i="8"/>
  <c r="AA22" i="8"/>
  <c r="AB22" i="8"/>
  <c r="AC22" i="8"/>
  <c r="R23" i="8"/>
  <c r="S23" i="8"/>
  <c r="T23" i="8"/>
  <c r="U23" i="8"/>
  <c r="V23" i="8"/>
  <c r="W23" i="8"/>
  <c r="X23" i="8"/>
  <c r="Y23" i="8"/>
  <c r="Z23" i="8"/>
  <c r="AA23" i="8"/>
  <c r="AB23" i="8"/>
  <c r="AC23" i="8"/>
  <c r="R229" i="8"/>
  <c r="S229" i="8"/>
  <c r="T229" i="8"/>
  <c r="U229" i="8"/>
  <c r="V229" i="8"/>
  <c r="W229" i="8"/>
  <c r="X229" i="8"/>
  <c r="Y229" i="8"/>
  <c r="Z229" i="8"/>
  <c r="AA229" i="8"/>
  <c r="AB229" i="8"/>
  <c r="AC229" i="8"/>
  <c r="R230" i="8"/>
  <c r="S230" i="8"/>
  <c r="T230" i="8"/>
  <c r="U230" i="8"/>
  <c r="V230" i="8"/>
  <c r="W230" i="8"/>
  <c r="X230" i="8"/>
  <c r="Y230" i="8"/>
  <c r="Z230" i="8"/>
  <c r="AA230" i="8"/>
  <c r="AB230" i="8"/>
  <c r="AC230" i="8"/>
  <c r="R231" i="8"/>
  <c r="S231" i="8"/>
  <c r="T231" i="8"/>
  <c r="U231" i="8"/>
  <c r="V231" i="8"/>
  <c r="W231" i="8"/>
  <c r="X231" i="8"/>
  <c r="Y231" i="8"/>
  <c r="Z231" i="8"/>
  <c r="AA231" i="8"/>
  <c r="AB231" i="8"/>
  <c r="AC231" i="8"/>
  <c r="R232" i="8"/>
  <c r="S232" i="8"/>
  <c r="T232" i="8"/>
  <c r="U232" i="8"/>
  <c r="V232" i="8"/>
  <c r="W232" i="8"/>
  <c r="X232" i="8"/>
  <c r="Y232" i="8"/>
  <c r="Z232" i="8"/>
  <c r="AA232" i="8"/>
  <c r="AB232" i="8"/>
  <c r="AC232" i="8"/>
  <c r="R233" i="8"/>
  <c r="S233" i="8"/>
  <c r="T233" i="8"/>
  <c r="U233" i="8"/>
  <c r="V233" i="8"/>
  <c r="W233" i="8"/>
  <c r="X233" i="8"/>
  <c r="Y233" i="8"/>
  <c r="Z233" i="8"/>
  <c r="AA233" i="8"/>
  <c r="AB233" i="8"/>
  <c r="AC233" i="8"/>
  <c r="R234" i="8"/>
  <c r="S234" i="8"/>
  <c r="T234" i="8"/>
  <c r="U234" i="8"/>
  <c r="V234" i="8"/>
  <c r="W234" i="8"/>
  <c r="X234" i="8"/>
  <c r="Y234" i="8"/>
  <c r="Z234" i="8"/>
  <c r="AA234" i="8"/>
  <c r="AB234" i="8"/>
  <c r="AC234" i="8"/>
  <c r="R235" i="8"/>
  <c r="S235" i="8"/>
  <c r="T235" i="8"/>
  <c r="U235" i="8"/>
  <c r="V235" i="8"/>
  <c r="W235" i="8"/>
  <c r="X235" i="8"/>
  <c r="Y235" i="8"/>
  <c r="Z235" i="8"/>
  <c r="AA235" i="8"/>
  <c r="AB235" i="8"/>
  <c r="AC235" i="8"/>
  <c r="R236" i="8"/>
  <c r="S236" i="8"/>
  <c r="T236" i="8"/>
  <c r="U236" i="8"/>
  <c r="V236" i="8"/>
  <c r="W236" i="8"/>
  <c r="X236" i="8"/>
  <c r="Y236" i="8"/>
  <c r="Z236" i="8"/>
  <c r="AA236" i="8"/>
  <c r="AB236" i="8"/>
  <c r="AC236" i="8"/>
  <c r="R237" i="8"/>
  <c r="S237" i="8"/>
  <c r="T237" i="8"/>
  <c r="U237" i="8"/>
  <c r="V237" i="8"/>
  <c r="W237" i="8"/>
  <c r="X237" i="8"/>
  <c r="Y237" i="8"/>
  <c r="Z237" i="8"/>
  <c r="AA237" i="8"/>
  <c r="AB237" i="8"/>
  <c r="AC237" i="8"/>
  <c r="R238" i="8"/>
  <c r="S238" i="8"/>
  <c r="T238" i="8"/>
  <c r="U238" i="8"/>
  <c r="V238" i="8"/>
  <c r="W238" i="8"/>
  <c r="X238" i="8"/>
  <c r="Y238" i="8"/>
  <c r="Z238" i="8"/>
  <c r="AA238" i="8"/>
  <c r="AB238" i="8"/>
  <c r="AC238" i="8"/>
  <c r="R239" i="8"/>
  <c r="S239" i="8"/>
  <c r="T239" i="8"/>
  <c r="U239" i="8"/>
  <c r="V239" i="8"/>
  <c r="W239" i="8"/>
  <c r="X239" i="8"/>
  <c r="Y239" i="8"/>
  <c r="Z239" i="8"/>
  <c r="AA239" i="8"/>
  <c r="AB239" i="8"/>
  <c r="AC239" i="8"/>
  <c r="R240" i="8"/>
  <c r="S240" i="8"/>
  <c r="T240" i="8"/>
  <c r="U240" i="8"/>
  <c r="V240" i="8"/>
  <c r="W240" i="8"/>
  <c r="X240" i="8"/>
  <c r="Y240" i="8"/>
  <c r="Z240" i="8"/>
  <c r="AA240" i="8"/>
  <c r="AB240" i="8"/>
  <c r="AC240" i="8"/>
  <c r="R24" i="8"/>
  <c r="S24" i="8"/>
  <c r="T24" i="8"/>
  <c r="U24" i="8"/>
  <c r="V24" i="8"/>
  <c r="W24" i="8"/>
  <c r="X24" i="8"/>
  <c r="Y24" i="8"/>
  <c r="Z24" i="8"/>
  <c r="AA24" i="8"/>
  <c r="AB24" i="8"/>
  <c r="AC24" i="8"/>
  <c r="R241" i="8"/>
  <c r="S241" i="8"/>
  <c r="T241" i="8"/>
  <c r="U241" i="8"/>
  <c r="V241" i="8"/>
  <c r="W241" i="8"/>
  <c r="X241" i="8"/>
  <c r="Y241" i="8"/>
  <c r="Z241" i="8"/>
  <c r="AA241" i="8"/>
  <c r="AB241" i="8"/>
  <c r="AC241" i="8"/>
  <c r="R242" i="8"/>
  <c r="S242" i="8"/>
  <c r="T242" i="8"/>
  <c r="U242" i="8"/>
  <c r="V242" i="8"/>
  <c r="W242" i="8"/>
  <c r="X242" i="8"/>
  <c r="Y242" i="8"/>
  <c r="Z242" i="8"/>
  <c r="AA242" i="8"/>
  <c r="AB242" i="8"/>
  <c r="AC242" i="8"/>
  <c r="R243" i="8"/>
  <c r="S243" i="8"/>
  <c r="T243" i="8"/>
  <c r="U243" i="8"/>
  <c r="V243" i="8"/>
  <c r="W243" i="8"/>
  <c r="X243" i="8"/>
  <c r="Y243" i="8"/>
  <c r="Z243" i="8"/>
  <c r="AA243" i="8"/>
  <c r="AB243" i="8"/>
  <c r="AC243" i="8"/>
  <c r="R244" i="8"/>
  <c r="S244" i="8"/>
  <c r="T244" i="8"/>
  <c r="U244" i="8"/>
  <c r="V244" i="8"/>
  <c r="W244" i="8"/>
  <c r="X244" i="8"/>
  <c r="Y244" i="8"/>
  <c r="Z244" i="8"/>
  <c r="AA244" i="8"/>
  <c r="AB244" i="8"/>
  <c r="AC244" i="8"/>
  <c r="R245" i="8"/>
  <c r="S245" i="8"/>
  <c r="T245" i="8"/>
  <c r="U245" i="8"/>
  <c r="V245" i="8"/>
  <c r="W245" i="8"/>
  <c r="X245" i="8"/>
  <c r="Y245" i="8"/>
  <c r="Z245" i="8"/>
  <c r="AA245" i="8"/>
  <c r="AB245" i="8"/>
  <c r="AC245" i="8"/>
  <c r="R246" i="8"/>
  <c r="S246" i="8"/>
  <c r="T246" i="8"/>
  <c r="U246" i="8"/>
  <c r="V246" i="8"/>
  <c r="W246" i="8"/>
  <c r="X246" i="8"/>
  <c r="Y246" i="8"/>
  <c r="Z246" i="8"/>
  <c r="AA246" i="8"/>
  <c r="AB246" i="8"/>
  <c r="AC246" i="8"/>
  <c r="R247" i="8"/>
  <c r="S247" i="8"/>
  <c r="T247" i="8"/>
  <c r="U247" i="8"/>
  <c r="V247" i="8"/>
  <c r="W247" i="8"/>
  <c r="X247" i="8"/>
  <c r="Y247" i="8"/>
  <c r="Z247" i="8"/>
  <c r="AA247" i="8"/>
  <c r="AB247" i="8"/>
  <c r="AC247" i="8"/>
  <c r="R248" i="8"/>
  <c r="S248" i="8"/>
  <c r="T248" i="8"/>
  <c r="U248" i="8"/>
  <c r="V248" i="8"/>
  <c r="W248" i="8"/>
  <c r="X248" i="8"/>
  <c r="Y248" i="8"/>
  <c r="Z248" i="8"/>
  <c r="AA248" i="8"/>
  <c r="AB248" i="8"/>
  <c r="AC248" i="8"/>
  <c r="R249" i="8"/>
  <c r="S249" i="8"/>
  <c r="T249" i="8"/>
  <c r="U249" i="8"/>
  <c r="V249" i="8"/>
  <c r="W249" i="8"/>
  <c r="X249" i="8"/>
  <c r="Y249" i="8"/>
  <c r="Z249" i="8"/>
  <c r="AA249" i="8"/>
  <c r="AB249" i="8"/>
  <c r="AC249" i="8"/>
  <c r="R250" i="8"/>
  <c r="S250" i="8"/>
  <c r="T250" i="8"/>
  <c r="U250" i="8"/>
  <c r="V250" i="8"/>
  <c r="W250" i="8"/>
  <c r="X250" i="8"/>
  <c r="Y250" i="8"/>
  <c r="Z250" i="8"/>
  <c r="AA250" i="8"/>
  <c r="AB250" i="8"/>
  <c r="AC250" i="8"/>
  <c r="R251" i="8"/>
  <c r="S251" i="8"/>
  <c r="T251" i="8"/>
  <c r="U251" i="8"/>
  <c r="V251" i="8"/>
  <c r="W251" i="8"/>
  <c r="X251" i="8"/>
  <c r="Y251" i="8"/>
  <c r="Z251" i="8"/>
  <c r="AA251" i="8"/>
  <c r="AB251" i="8"/>
  <c r="AC251" i="8"/>
  <c r="R252" i="8"/>
  <c r="S252" i="8"/>
  <c r="T252" i="8"/>
  <c r="U252" i="8"/>
  <c r="V252" i="8"/>
  <c r="W252" i="8"/>
  <c r="X252" i="8"/>
  <c r="Y252" i="8"/>
  <c r="Z252" i="8"/>
  <c r="AA252" i="8"/>
  <c r="AB252" i="8"/>
  <c r="AC252" i="8"/>
  <c r="R253" i="8"/>
  <c r="S253" i="8"/>
  <c r="T253" i="8"/>
  <c r="U253" i="8"/>
  <c r="V253" i="8"/>
  <c r="W253" i="8"/>
  <c r="X253" i="8"/>
  <c r="Y253" i="8"/>
  <c r="Z253" i="8"/>
  <c r="AA253" i="8"/>
  <c r="AB253" i="8"/>
  <c r="AC253" i="8"/>
  <c r="R254" i="8"/>
  <c r="S254" i="8"/>
  <c r="T254" i="8"/>
  <c r="U254" i="8"/>
  <c r="V254" i="8"/>
  <c r="W254" i="8"/>
  <c r="X254" i="8"/>
  <c r="Y254" i="8"/>
  <c r="Z254" i="8"/>
  <c r="AA254" i="8"/>
  <c r="AB254" i="8"/>
  <c r="AC254" i="8"/>
  <c r="R255" i="8"/>
  <c r="S255" i="8"/>
  <c r="T255" i="8"/>
  <c r="U255" i="8"/>
  <c r="V255" i="8"/>
  <c r="W255" i="8"/>
  <c r="X255" i="8"/>
  <c r="Y255" i="8"/>
  <c r="Z255" i="8"/>
  <c r="AA255" i="8"/>
  <c r="AB255" i="8"/>
  <c r="AC255" i="8"/>
  <c r="R256" i="8"/>
  <c r="S256" i="8"/>
  <c r="T256" i="8"/>
  <c r="U256" i="8"/>
  <c r="V256" i="8"/>
  <c r="W256" i="8"/>
  <c r="X256" i="8"/>
  <c r="Y256" i="8"/>
  <c r="Z256" i="8"/>
  <c r="AA256" i="8"/>
  <c r="AB256" i="8"/>
  <c r="AC256" i="8"/>
  <c r="R257" i="8"/>
  <c r="S257" i="8"/>
  <c r="T257" i="8"/>
  <c r="U257" i="8"/>
  <c r="V257" i="8"/>
  <c r="W257" i="8"/>
  <c r="X257" i="8"/>
  <c r="Y257" i="8"/>
  <c r="Z257" i="8"/>
  <c r="AA257" i="8"/>
  <c r="AB257" i="8"/>
  <c r="AC257" i="8"/>
  <c r="R258" i="8"/>
  <c r="S258" i="8"/>
  <c r="T258" i="8"/>
  <c r="U258" i="8"/>
  <c r="V258" i="8"/>
  <c r="W258" i="8"/>
  <c r="X258" i="8"/>
  <c r="Y258" i="8"/>
  <c r="Z258" i="8"/>
  <c r="AA258" i="8"/>
  <c r="AB258" i="8"/>
  <c r="AC258" i="8"/>
  <c r="R25" i="8"/>
  <c r="S25" i="8"/>
  <c r="T25" i="8"/>
  <c r="U25" i="8"/>
  <c r="V25" i="8"/>
  <c r="W25" i="8"/>
  <c r="X25" i="8"/>
  <c r="Y25" i="8"/>
  <c r="Z25" i="8"/>
  <c r="AA25" i="8"/>
  <c r="AB25" i="8"/>
  <c r="AC25" i="8"/>
  <c r="R259" i="8"/>
  <c r="S259" i="8"/>
  <c r="T259" i="8"/>
  <c r="U259" i="8"/>
  <c r="V259" i="8"/>
  <c r="W259" i="8"/>
  <c r="X259" i="8"/>
  <c r="Y259" i="8"/>
  <c r="Z259" i="8"/>
  <c r="AA259" i="8"/>
  <c r="AB259" i="8"/>
  <c r="AC259" i="8"/>
  <c r="R260" i="8"/>
  <c r="S260" i="8"/>
  <c r="T260" i="8"/>
  <c r="U260" i="8"/>
  <c r="V260" i="8"/>
  <c r="W260" i="8"/>
  <c r="X260" i="8"/>
  <c r="Y260" i="8"/>
  <c r="Z260" i="8"/>
  <c r="AA260" i="8"/>
  <c r="AB260" i="8"/>
  <c r="AC260" i="8"/>
  <c r="R261" i="8"/>
  <c r="S261" i="8"/>
  <c r="T261" i="8"/>
  <c r="U261" i="8"/>
  <c r="V261" i="8"/>
  <c r="W261" i="8"/>
  <c r="X261" i="8"/>
  <c r="Y261" i="8"/>
  <c r="Z261" i="8"/>
  <c r="AA261" i="8"/>
  <c r="AB261" i="8"/>
  <c r="AC261" i="8"/>
  <c r="R262" i="8"/>
  <c r="S262" i="8"/>
  <c r="T262" i="8"/>
  <c r="U262" i="8"/>
  <c r="V262" i="8"/>
  <c r="W262" i="8"/>
  <c r="X262" i="8"/>
  <c r="Y262" i="8"/>
  <c r="Z262" i="8"/>
  <c r="AA262" i="8"/>
  <c r="AB262" i="8"/>
  <c r="AC262" i="8"/>
  <c r="R263" i="8"/>
  <c r="S263" i="8"/>
  <c r="T263" i="8"/>
  <c r="U263" i="8"/>
  <c r="V263" i="8"/>
  <c r="W263" i="8"/>
  <c r="X263" i="8"/>
  <c r="Y263" i="8"/>
  <c r="Z263" i="8"/>
  <c r="AA263" i="8"/>
  <c r="AB263" i="8"/>
  <c r="AC263" i="8"/>
  <c r="R26" i="8"/>
  <c r="S26" i="8"/>
  <c r="T26" i="8"/>
  <c r="U26" i="8"/>
  <c r="V26" i="8"/>
  <c r="W26" i="8"/>
  <c r="X26" i="8"/>
  <c r="Y26" i="8"/>
  <c r="Z26" i="8"/>
  <c r="AA26" i="8"/>
  <c r="AB26" i="8"/>
  <c r="AC26" i="8"/>
  <c r="R264" i="8"/>
  <c r="S264" i="8"/>
  <c r="T264" i="8"/>
  <c r="U264" i="8"/>
  <c r="V264" i="8"/>
  <c r="W264" i="8"/>
  <c r="X264" i="8"/>
  <c r="Y264" i="8"/>
  <c r="Z264" i="8"/>
  <c r="AA264" i="8"/>
  <c r="AB264" i="8"/>
  <c r="AC264" i="8"/>
  <c r="R265" i="8"/>
  <c r="S265" i="8"/>
  <c r="T265" i="8"/>
  <c r="U265" i="8"/>
  <c r="V265" i="8"/>
  <c r="W265" i="8"/>
  <c r="X265" i="8"/>
  <c r="Y265" i="8"/>
  <c r="Z265" i="8"/>
  <c r="AA265" i="8"/>
  <c r="AB265" i="8"/>
  <c r="AC265" i="8"/>
  <c r="R266" i="8"/>
  <c r="S266" i="8"/>
  <c r="T266" i="8"/>
  <c r="U266" i="8"/>
  <c r="V266" i="8"/>
  <c r="W266" i="8"/>
  <c r="X266" i="8"/>
  <c r="Y266" i="8"/>
  <c r="Z266" i="8"/>
  <c r="AA266" i="8"/>
  <c r="AB266" i="8"/>
  <c r="AC266" i="8"/>
  <c r="R267" i="8"/>
  <c r="S267" i="8"/>
  <c r="T267" i="8"/>
  <c r="U267" i="8"/>
  <c r="V267" i="8"/>
  <c r="W267" i="8"/>
  <c r="X267" i="8"/>
  <c r="Y267" i="8"/>
  <c r="Z267" i="8"/>
  <c r="AA267" i="8"/>
  <c r="AB267" i="8"/>
  <c r="AC267" i="8"/>
  <c r="R268" i="8"/>
  <c r="S268" i="8"/>
  <c r="T268" i="8"/>
  <c r="U268" i="8"/>
  <c r="V268" i="8"/>
  <c r="W268" i="8"/>
  <c r="X268" i="8"/>
  <c r="Y268" i="8"/>
  <c r="Z268" i="8"/>
  <c r="AA268" i="8"/>
  <c r="AB268" i="8"/>
  <c r="AC268" i="8"/>
  <c r="R269" i="8"/>
  <c r="S269" i="8"/>
  <c r="T269" i="8"/>
  <c r="U269" i="8"/>
  <c r="V269" i="8"/>
  <c r="W269" i="8"/>
  <c r="X269" i="8"/>
  <c r="Y269" i="8"/>
  <c r="Z269" i="8"/>
  <c r="AA269" i="8"/>
  <c r="AB269" i="8"/>
  <c r="AC269" i="8"/>
  <c r="R270" i="8"/>
  <c r="S270" i="8"/>
  <c r="T270" i="8"/>
  <c r="U270" i="8"/>
  <c r="V270" i="8"/>
  <c r="W270" i="8"/>
  <c r="X270" i="8"/>
  <c r="Y270" i="8"/>
  <c r="Z270" i="8"/>
  <c r="AA270" i="8"/>
  <c r="AB270" i="8"/>
  <c r="AC270" i="8"/>
  <c r="R271" i="8"/>
  <c r="S271" i="8"/>
  <c r="T271" i="8"/>
  <c r="U271" i="8"/>
  <c r="V271" i="8"/>
  <c r="W271" i="8"/>
  <c r="X271" i="8"/>
  <c r="Y271" i="8"/>
  <c r="Z271" i="8"/>
  <c r="AA271" i="8"/>
  <c r="AB271" i="8"/>
  <c r="AC271" i="8"/>
  <c r="R272" i="8"/>
  <c r="S272" i="8"/>
  <c r="T272" i="8"/>
  <c r="U272" i="8"/>
  <c r="V272" i="8"/>
  <c r="W272" i="8"/>
  <c r="X272" i="8"/>
  <c r="Y272" i="8"/>
  <c r="Z272" i="8"/>
  <c r="AA272" i="8"/>
  <c r="AB272" i="8"/>
  <c r="AC272" i="8"/>
  <c r="R273" i="8"/>
  <c r="S273" i="8"/>
  <c r="T273" i="8"/>
  <c r="U273" i="8"/>
  <c r="V273" i="8"/>
  <c r="W273" i="8"/>
  <c r="X273" i="8"/>
  <c r="Y273" i="8"/>
  <c r="Z273" i="8"/>
  <c r="AA273" i="8"/>
  <c r="AB273" i="8"/>
  <c r="AC273" i="8"/>
  <c r="R27" i="8"/>
  <c r="S27" i="8"/>
  <c r="T27" i="8"/>
  <c r="U27" i="8"/>
  <c r="V27" i="8"/>
  <c r="W27" i="8"/>
  <c r="X27" i="8"/>
  <c r="Y27" i="8"/>
  <c r="Z27" i="8"/>
  <c r="AA27" i="8"/>
  <c r="AB27" i="8"/>
  <c r="AC27" i="8"/>
  <c r="R274" i="8"/>
  <c r="S274" i="8"/>
  <c r="T274" i="8"/>
  <c r="U274" i="8"/>
  <c r="V274" i="8"/>
  <c r="W274" i="8"/>
  <c r="X274" i="8"/>
  <c r="Y274" i="8"/>
  <c r="Z274" i="8"/>
  <c r="AA274" i="8"/>
  <c r="AB274" i="8"/>
  <c r="AC274" i="8"/>
  <c r="R275" i="8"/>
  <c r="S275" i="8"/>
  <c r="T275" i="8"/>
  <c r="U275" i="8"/>
  <c r="V275" i="8"/>
  <c r="W275" i="8"/>
  <c r="X275" i="8"/>
  <c r="Y275" i="8"/>
  <c r="Z275" i="8"/>
  <c r="AA275" i="8"/>
  <c r="AB275" i="8"/>
  <c r="AC275" i="8"/>
  <c r="R276" i="8"/>
  <c r="S276" i="8"/>
  <c r="T276" i="8"/>
  <c r="U276" i="8"/>
  <c r="V276" i="8"/>
  <c r="W276" i="8"/>
  <c r="X276" i="8"/>
  <c r="Y276" i="8"/>
  <c r="Z276" i="8"/>
  <c r="AA276" i="8"/>
  <c r="AB276" i="8"/>
  <c r="AC276" i="8"/>
  <c r="R277" i="8"/>
  <c r="S277" i="8"/>
  <c r="T277" i="8"/>
  <c r="U277" i="8"/>
  <c r="V277" i="8"/>
  <c r="W277" i="8"/>
  <c r="X277" i="8"/>
  <c r="Y277" i="8"/>
  <c r="Z277" i="8"/>
  <c r="AA277" i="8"/>
  <c r="AB277" i="8"/>
  <c r="AC277" i="8"/>
  <c r="R278" i="8"/>
  <c r="S278" i="8"/>
  <c r="T278" i="8"/>
  <c r="U278" i="8"/>
  <c r="V278" i="8"/>
  <c r="W278" i="8"/>
  <c r="X278" i="8"/>
  <c r="Y278" i="8"/>
  <c r="Z278" i="8"/>
  <c r="AA278" i="8"/>
  <c r="AB278" i="8"/>
  <c r="AC278" i="8"/>
  <c r="R279" i="8"/>
  <c r="S279" i="8"/>
  <c r="T279" i="8"/>
  <c r="U279" i="8"/>
  <c r="V279" i="8"/>
  <c r="W279" i="8"/>
  <c r="X279" i="8"/>
  <c r="Y279" i="8"/>
  <c r="Z279" i="8"/>
  <c r="AA279" i="8"/>
  <c r="AB279" i="8"/>
  <c r="AC279" i="8"/>
  <c r="R280" i="8"/>
  <c r="S280" i="8"/>
  <c r="T280" i="8"/>
  <c r="U280" i="8"/>
  <c r="V280" i="8"/>
  <c r="W280" i="8"/>
  <c r="X280" i="8"/>
  <c r="Y280" i="8"/>
  <c r="Z280" i="8"/>
  <c r="AA280" i="8"/>
  <c r="AB280" i="8"/>
  <c r="AC280" i="8"/>
  <c r="R281" i="8"/>
  <c r="S281" i="8"/>
  <c r="T281" i="8"/>
  <c r="U281" i="8"/>
  <c r="V281" i="8"/>
  <c r="W281" i="8"/>
  <c r="X281" i="8"/>
  <c r="Y281" i="8"/>
  <c r="Z281" i="8"/>
  <c r="AA281" i="8"/>
  <c r="AB281" i="8"/>
  <c r="AC281" i="8"/>
  <c r="R282" i="8"/>
  <c r="S282" i="8"/>
  <c r="T282" i="8"/>
  <c r="U282" i="8"/>
  <c r="V282" i="8"/>
  <c r="W282" i="8"/>
  <c r="X282" i="8"/>
  <c r="Y282" i="8"/>
  <c r="Z282" i="8"/>
  <c r="AA282" i="8"/>
  <c r="AB282" i="8"/>
  <c r="AC282" i="8"/>
  <c r="R283" i="8"/>
  <c r="S283" i="8"/>
  <c r="T283" i="8"/>
  <c r="U283" i="8"/>
  <c r="V283" i="8"/>
  <c r="W283" i="8"/>
  <c r="X283" i="8"/>
  <c r="Y283" i="8"/>
  <c r="Z283" i="8"/>
  <c r="AA283" i="8"/>
  <c r="AB283" i="8"/>
  <c r="AC283" i="8"/>
  <c r="R284" i="8"/>
  <c r="S284" i="8"/>
  <c r="T284" i="8"/>
  <c r="U284" i="8"/>
  <c r="V284" i="8"/>
  <c r="W284" i="8"/>
  <c r="X284" i="8"/>
  <c r="Y284" i="8"/>
  <c r="Z284" i="8"/>
  <c r="AA284" i="8"/>
  <c r="AB284" i="8"/>
  <c r="AC284" i="8"/>
  <c r="R285" i="8"/>
  <c r="S285" i="8"/>
  <c r="T285" i="8"/>
  <c r="U285" i="8"/>
  <c r="V285" i="8"/>
  <c r="W285" i="8"/>
  <c r="X285" i="8"/>
  <c r="Y285" i="8"/>
  <c r="Z285" i="8"/>
  <c r="AA285" i="8"/>
  <c r="AB285" i="8"/>
  <c r="AC285" i="8"/>
  <c r="R286" i="8"/>
  <c r="S286" i="8"/>
  <c r="T286" i="8"/>
  <c r="U286" i="8"/>
  <c r="V286" i="8"/>
  <c r="W286" i="8"/>
  <c r="X286" i="8"/>
  <c r="Y286" i="8"/>
  <c r="Z286" i="8"/>
  <c r="AA286" i="8"/>
  <c r="AB286" i="8"/>
  <c r="AC286" i="8"/>
  <c r="R28" i="8"/>
  <c r="S28" i="8"/>
  <c r="T28" i="8"/>
  <c r="U28" i="8"/>
  <c r="V28" i="8"/>
  <c r="W28" i="8"/>
  <c r="X28" i="8"/>
  <c r="Y28" i="8"/>
  <c r="Z28" i="8"/>
  <c r="AA28" i="8"/>
  <c r="AB28" i="8"/>
  <c r="AC28" i="8"/>
  <c r="R287" i="8"/>
  <c r="S287" i="8"/>
  <c r="T287" i="8"/>
  <c r="U287" i="8"/>
  <c r="V287" i="8"/>
  <c r="W287" i="8"/>
  <c r="X287" i="8"/>
  <c r="Y287" i="8"/>
  <c r="Z287" i="8"/>
  <c r="AA287" i="8"/>
  <c r="AB287" i="8"/>
  <c r="AC287" i="8"/>
  <c r="R288" i="8"/>
  <c r="S288" i="8"/>
  <c r="T288" i="8"/>
  <c r="U288" i="8"/>
  <c r="V288" i="8"/>
  <c r="W288" i="8"/>
  <c r="X288" i="8"/>
  <c r="Y288" i="8"/>
  <c r="Z288" i="8"/>
  <c r="AA288" i="8"/>
  <c r="AB288" i="8"/>
  <c r="AC288" i="8"/>
  <c r="R289" i="8"/>
  <c r="S289" i="8"/>
  <c r="T289" i="8"/>
  <c r="U289" i="8"/>
  <c r="V289" i="8"/>
  <c r="W289" i="8"/>
  <c r="X289" i="8"/>
  <c r="Y289" i="8"/>
  <c r="Z289" i="8"/>
  <c r="AA289" i="8"/>
  <c r="AB289" i="8"/>
  <c r="AC289" i="8"/>
  <c r="R290" i="8"/>
  <c r="S290" i="8"/>
  <c r="T290" i="8"/>
  <c r="U290" i="8"/>
  <c r="V290" i="8"/>
  <c r="W290" i="8"/>
  <c r="X290" i="8"/>
  <c r="Y290" i="8"/>
  <c r="Z290" i="8"/>
  <c r="AA290" i="8"/>
  <c r="AB290" i="8"/>
  <c r="AC290" i="8"/>
  <c r="R291" i="8"/>
  <c r="S291" i="8"/>
  <c r="T291" i="8"/>
  <c r="U291" i="8"/>
  <c r="V291" i="8"/>
  <c r="W291" i="8"/>
  <c r="X291" i="8"/>
  <c r="Y291" i="8"/>
  <c r="Z291" i="8"/>
  <c r="AA291" i="8"/>
  <c r="AB291" i="8"/>
  <c r="AC291" i="8"/>
  <c r="R292" i="8"/>
  <c r="S292" i="8"/>
  <c r="T292" i="8"/>
  <c r="U292" i="8"/>
  <c r="V292" i="8"/>
  <c r="W292" i="8"/>
  <c r="X292" i="8"/>
  <c r="Y292" i="8"/>
  <c r="Z292" i="8"/>
  <c r="AA292" i="8"/>
  <c r="AB292" i="8"/>
  <c r="AC292" i="8"/>
  <c r="R293" i="8"/>
  <c r="S293" i="8"/>
  <c r="T293" i="8"/>
  <c r="U293" i="8"/>
  <c r="V293" i="8"/>
  <c r="W293" i="8"/>
  <c r="X293" i="8"/>
  <c r="Y293" i="8"/>
  <c r="Z293" i="8"/>
  <c r="AA293" i="8"/>
  <c r="AB293" i="8"/>
  <c r="AC293" i="8"/>
  <c r="R294" i="8"/>
  <c r="S294" i="8"/>
  <c r="T294" i="8"/>
  <c r="U294" i="8"/>
  <c r="V294" i="8"/>
  <c r="W294" i="8"/>
  <c r="X294" i="8"/>
  <c r="Y294" i="8"/>
  <c r="Z294" i="8"/>
  <c r="AA294" i="8"/>
  <c r="AB294" i="8"/>
  <c r="AC294" i="8"/>
  <c r="R295" i="8"/>
  <c r="S295" i="8"/>
  <c r="T295" i="8"/>
  <c r="U295" i="8"/>
  <c r="V295" i="8"/>
  <c r="W295" i="8"/>
  <c r="X295" i="8"/>
  <c r="Y295" i="8"/>
  <c r="Z295" i="8"/>
  <c r="AA295" i="8"/>
  <c r="AB295" i="8"/>
  <c r="AC295" i="8"/>
  <c r="R296" i="8"/>
  <c r="S296" i="8"/>
  <c r="T296" i="8"/>
  <c r="U296" i="8"/>
  <c r="V296" i="8"/>
  <c r="W296" i="8"/>
  <c r="X296" i="8"/>
  <c r="Y296" i="8"/>
  <c r="Z296" i="8"/>
  <c r="AA296" i="8"/>
  <c r="AB296" i="8"/>
  <c r="AC296" i="8"/>
  <c r="R297" i="8"/>
  <c r="S297" i="8"/>
  <c r="T297" i="8"/>
  <c r="U297" i="8"/>
  <c r="V297" i="8"/>
  <c r="W297" i="8"/>
  <c r="X297" i="8"/>
  <c r="Y297" i="8"/>
  <c r="Z297" i="8"/>
  <c r="AA297" i="8"/>
  <c r="AB297" i="8"/>
  <c r="AC297" i="8"/>
  <c r="R298" i="8"/>
  <c r="S298" i="8"/>
  <c r="T298" i="8"/>
  <c r="U298" i="8"/>
  <c r="V298" i="8"/>
  <c r="W298" i="8"/>
  <c r="X298" i="8"/>
  <c r="Y298" i="8"/>
  <c r="Z298" i="8"/>
  <c r="AA298" i="8"/>
  <c r="AB298" i="8"/>
  <c r="AC298" i="8"/>
  <c r="R299" i="8"/>
  <c r="S299" i="8"/>
  <c r="T299" i="8"/>
  <c r="U299" i="8"/>
  <c r="V299" i="8"/>
  <c r="W299" i="8"/>
  <c r="X299" i="8"/>
  <c r="Y299" i="8"/>
  <c r="Z299" i="8"/>
  <c r="AA299" i="8"/>
  <c r="AB299" i="8"/>
  <c r="AC299" i="8"/>
  <c r="R300" i="8"/>
  <c r="S300" i="8"/>
  <c r="T300" i="8"/>
  <c r="U300" i="8"/>
  <c r="V300" i="8"/>
  <c r="W300" i="8"/>
  <c r="X300" i="8"/>
  <c r="Y300" i="8"/>
  <c r="Z300" i="8"/>
  <c r="AA300" i="8"/>
  <c r="AB300" i="8"/>
  <c r="AC300" i="8"/>
  <c r="R301" i="8"/>
  <c r="S301" i="8"/>
  <c r="T301" i="8"/>
  <c r="U301" i="8"/>
  <c r="V301" i="8"/>
  <c r="W301" i="8"/>
  <c r="X301" i="8"/>
  <c r="Y301" i="8"/>
  <c r="Z301" i="8"/>
  <c r="AA301" i="8"/>
  <c r="AB301" i="8"/>
  <c r="AC301" i="8"/>
  <c r="R302" i="8"/>
  <c r="S302" i="8"/>
  <c r="T302" i="8"/>
  <c r="U302" i="8"/>
  <c r="V302" i="8"/>
  <c r="W302" i="8"/>
  <c r="X302" i="8"/>
  <c r="Y302" i="8"/>
  <c r="Z302" i="8"/>
  <c r="AA302" i="8"/>
  <c r="AB302" i="8"/>
  <c r="AC302" i="8"/>
  <c r="R29" i="8"/>
  <c r="S29" i="8"/>
  <c r="T29" i="8"/>
  <c r="U29" i="8"/>
  <c r="V29" i="8"/>
  <c r="W29" i="8"/>
  <c r="X29" i="8"/>
  <c r="Y29" i="8"/>
  <c r="Z29" i="8"/>
  <c r="AA29" i="8"/>
  <c r="AB29" i="8"/>
  <c r="AC29" i="8"/>
  <c r="R303" i="8"/>
  <c r="S303" i="8"/>
  <c r="T303" i="8"/>
  <c r="U303" i="8"/>
  <c r="V303" i="8"/>
  <c r="W303" i="8"/>
  <c r="X303" i="8"/>
  <c r="Y303" i="8"/>
  <c r="Z303" i="8"/>
  <c r="AA303" i="8"/>
  <c r="AB303" i="8"/>
  <c r="AC303" i="8"/>
  <c r="R304" i="8"/>
  <c r="S304" i="8"/>
  <c r="T304" i="8"/>
  <c r="U304" i="8"/>
  <c r="V304" i="8"/>
  <c r="W304" i="8"/>
  <c r="X304" i="8"/>
  <c r="Y304" i="8"/>
  <c r="Z304" i="8"/>
  <c r="AA304" i="8"/>
  <c r="AB304" i="8"/>
  <c r="AC304" i="8"/>
  <c r="R305" i="8"/>
  <c r="S305" i="8"/>
  <c r="T305" i="8"/>
  <c r="U305" i="8"/>
  <c r="V305" i="8"/>
  <c r="W305" i="8"/>
  <c r="X305" i="8"/>
  <c r="Y305" i="8"/>
  <c r="Z305" i="8"/>
  <c r="AA305" i="8"/>
  <c r="AB305" i="8"/>
  <c r="AC305" i="8"/>
  <c r="R306" i="8"/>
  <c r="S306" i="8"/>
  <c r="T306" i="8"/>
  <c r="U306" i="8"/>
  <c r="V306" i="8"/>
  <c r="W306" i="8"/>
  <c r="X306" i="8"/>
  <c r="Y306" i="8"/>
  <c r="Z306" i="8"/>
  <c r="AA306" i="8"/>
  <c r="AB306" i="8"/>
  <c r="AC306" i="8"/>
  <c r="R307" i="8"/>
  <c r="S307" i="8"/>
  <c r="T307" i="8"/>
  <c r="U307" i="8"/>
  <c r="V307" i="8"/>
  <c r="W307" i="8"/>
  <c r="X307" i="8"/>
  <c r="Y307" i="8"/>
  <c r="Z307" i="8"/>
  <c r="AA307" i="8"/>
  <c r="AB307" i="8"/>
  <c r="AC307" i="8"/>
  <c r="R308" i="8"/>
  <c r="S308" i="8"/>
  <c r="T308" i="8"/>
  <c r="U308" i="8"/>
  <c r="V308" i="8"/>
  <c r="W308" i="8"/>
  <c r="X308" i="8"/>
  <c r="Y308" i="8"/>
  <c r="Z308" i="8"/>
  <c r="AA308" i="8"/>
  <c r="AB308" i="8"/>
  <c r="AC308" i="8"/>
  <c r="R309" i="8"/>
  <c r="S309" i="8"/>
  <c r="T309" i="8"/>
  <c r="U309" i="8"/>
  <c r="V309" i="8"/>
  <c r="W309" i="8"/>
  <c r="X309" i="8"/>
  <c r="Y309" i="8"/>
  <c r="Z309" i="8"/>
  <c r="AA309" i="8"/>
  <c r="AB309" i="8"/>
  <c r="AC309" i="8"/>
  <c r="R310" i="8"/>
  <c r="S310" i="8"/>
  <c r="T310" i="8"/>
  <c r="U310" i="8"/>
  <c r="V310" i="8"/>
  <c r="W310" i="8"/>
  <c r="X310" i="8"/>
  <c r="Y310" i="8"/>
  <c r="Z310" i="8"/>
  <c r="AA310" i="8"/>
  <c r="AB310" i="8"/>
  <c r="AC310" i="8"/>
  <c r="R311" i="8"/>
  <c r="S311" i="8"/>
  <c r="T311" i="8"/>
  <c r="U311" i="8"/>
  <c r="V311" i="8"/>
  <c r="W311" i="8"/>
  <c r="X311" i="8"/>
  <c r="Y311" i="8"/>
  <c r="Z311" i="8"/>
  <c r="AA311" i="8"/>
  <c r="AB311" i="8"/>
  <c r="AC311" i="8"/>
  <c r="R312" i="8"/>
  <c r="S312" i="8"/>
  <c r="T312" i="8"/>
  <c r="U312" i="8"/>
  <c r="V312" i="8"/>
  <c r="W312" i="8"/>
  <c r="X312" i="8"/>
  <c r="Y312" i="8"/>
  <c r="Z312" i="8"/>
  <c r="AA312" i="8"/>
  <c r="AB312" i="8"/>
  <c r="AC312" i="8"/>
  <c r="R313" i="8"/>
  <c r="S313" i="8"/>
  <c r="T313" i="8"/>
  <c r="U313" i="8"/>
  <c r="V313" i="8"/>
  <c r="W313" i="8"/>
  <c r="X313" i="8"/>
  <c r="Y313" i="8"/>
  <c r="Z313" i="8"/>
  <c r="AA313" i="8"/>
  <c r="AB313" i="8"/>
  <c r="AC313" i="8"/>
  <c r="R314" i="8"/>
  <c r="S314" i="8"/>
  <c r="T314" i="8"/>
  <c r="U314" i="8"/>
  <c r="V314" i="8"/>
  <c r="W314" i="8"/>
  <c r="X314" i="8"/>
  <c r="Y314" i="8"/>
  <c r="Z314" i="8"/>
  <c r="AA314" i="8"/>
  <c r="AB314" i="8"/>
  <c r="AC314" i="8"/>
  <c r="R315" i="8"/>
  <c r="S315" i="8"/>
  <c r="T315" i="8"/>
  <c r="U315" i="8"/>
  <c r="V315" i="8"/>
  <c r="W315" i="8"/>
  <c r="X315" i="8"/>
  <c r="Y315" i="8"/>
  <c r="Z315" i="8"/>
  <c r="AA315" i="8"/>
  <c r="AB315" i="8"/>
  <c r="AC315" i="8"/>
  <c r="R316" i="8"/>
  <c r="S316" i="8"/>
  <c r="T316" i="8"/>
  <c r="U316" i="8"/>
  <c r="V316" i="8"/>
  <c r="W316" i="8"/>
  <c r="X316" i="8"/>
  <c r="Y316" i="8"/>
  <c r="Z316" i="8"/>
  <c r="AA316" i="8"/>
  <c r="AB316" i="8"/>
  <c r="AC316" i="8"/>
  <c r="R317" i="8"/>
  <c r="S317" i="8"/>
  <c r="T317" i="8"/>
  <c r="U317" i="8"/>
  <c r="V317" i="8"/>
  <c r="W317" i="8"/>
  <c r="X317" i="8"/>
  <c r="Y317" i="8"/>
  <c r="Z317" i="8"/>
  <c r="AA317" i="8"/>
  <c r="AB317" i="8"/>
  <c r="AC317" i="8"/>
  <c r="R318" i="8"/>
  <c r="S318" i="8"/>
  <c r="T318" i="8"/>
  <c r="U318" i="8"/>
  <c r="V318" i="8"/>
  <c r="W318" i="8"/>
  <c r="X318" i="8"/>
  <c r="Y318" i="8"/>
  <c r="Z318" i="8"/>
  <c r="AA318" i="8"/>
  <c r="AB318" i="8"/>
  <c r="AC318" i="8"/>
  <c r="R319" i="8"/>
  <c r="S319" i="8"/>
  <c r="T319" i="8"/>
  <c r="U319" i="8"/>
  <c r="V319" i="8"/>
  <c r="W319" i="8"/>
  <c r="X319" i="8"/>
  <c r="Y319" i="8"/>
  <c r="Z319" i="8"/>
  <c r="AA319" i="8"/>
  <c r="AB319" i="8"/>
  <c r="AC319" i="8"/>
  <c r="R320" i="8"/>
  <c r="S320" i="8"/>
  <c r="T320" i="8"/>
  <c r="U320" i="8"/>
  <c r="V320" i="8"/>
  <c r="W320" i="8"/>
  <c r="X320" i="8"/>
  <c r="Y320" i="8"/>
  <c r="Z320" i="8"/>
  <c r="AA320" i="8"/>
  <c r="AB320" i="8"/>
  <c r="AC320" i="8"/>
  <c r="R321" i="8"/>
  <c r="S321" i="8"/>
  <c r="T321" i="8"/>
  <c r="U321" i="8"/>
  <c r="V321" i="8"/>
  <c r="W321" i="8"/>
  <c r="X321" i="8"/>
  <c r="Y321" i="8"/>
  <c r="Z321" i="8"/>
  <c r="AA321" i="8"/>
  <c r="AB321" i="8"/>
  <c r="AC321" i="8"/>
  <c r="R322" i="8"/>
  <c r="S322" i="8"/>
  <c r="T322" i="8"/>
  <c r="U322" i="8"/>
  <c r="V322" i="8"/>
  <c r="W322" i="8"/>
  <c r="X322" i="8"/>
  <c r="Y322" i="8"/>
  <c r="Z322" i="8"/>
  <c r="AA322" i="8"/>
  <c r="AB322" i="8"/>
  <c r="AC322" i="8"/>
  <c r="R323" i="8"/>
  <c r="S323" i="8"/>
  <c r="T323" i="8"/>
  <c r="U323" i="8"/>
  <c r="V323" i="8"/>
  <c r="W323" i="8"/>
  <c r="X323" i="8"/>
  <c r="Y323" i="8"/>
  <c r="Z323" i="8"/>
  <c r="AA323" i="8"/>
  <c r="AB323" i="8"/>
  <c r="AC323" i="8"/>
  <c r="R324" i="8"/>
  <c r="S324" i="8"/>
  <c r="T324" i="8"/>
  <c r="U324" i="8"/>
  <c r="V324" i="8"/>
  <c r="W324" i="8"/>
  <c r="X324" i="8"/>
  <c r="Y324" i="8"/>
  <c r="Z324" i="8"/>
  <c r="AA324" i="8"/>
  <c r="AB324" i="8"/>
  <c r="AC324" i="8"/>
  <c r="R325" i="8"/>
  <c r="S325" i="8"/>
  <c r="T325" i="8"/>
  <c r="U325" i="8"/>
  <c r="V325" i="8"/>
  <c r="W325" i="8"/>
  <c r="X325" i="8"/>
  <c r="Y325" i="8"/>
  <c r="Z325" i="8"/>
  <c r="AA325" i="8"/>
  <c r="AB325" i="8"/>
  <c r="AC325" i="8"/>
  <c r="R326" i="8"/>
  <c r="S326" i="8"/>
  <c r="T326" i="8"/>
  <c r="U326" i="8"/>
  <c r="V326" i="8"/>
  <c r="W326" i="8"/>
  <c r="X326" i="8"/>
  <c r="Y326" i="8"/>
  <c r="Z326" i="8"/>
  <c r="AA326" i="8"/>
  <c r="AB326" i="8"/>
  <c r="AC326" i="8"/>
  <c r="R30" i="8"/>
  <c r="S30" i="8"/>
  <c r="T30" i="8"/>
  <c r="U30" i="8"/>
  <c r="V30" i="8"/>
  <c r="W30" i="8"/>
  <c r="X30" i="8"/>
  <c r="Y30" i="8"/>
  <c r="Z30" i="8"/>
  <c r="AA30" i="8"/>
  <c r="AB30" i="8"/>
  <c r="AC30" i="8"/>
  <c r="R327" i="8"/>
  <c r="S327" i="8"/>
  <c r="T327" i="8"/>
  <c r="U327" i="8"/>
  <c r="V327" i="8"/>
  <c r="W327" i="8"/>
  <c r="X327" i="8"/>
  <c r="Y327" i="8"/>
  <c r="Z327" i="8"/>
  <c r="AA327" i="8"/>
  <c r="AB327" i="8"/>
  <c r="AC327" i="8"/>
  <c r="R328" i="8"/>
  <c r="S328" i="8"/>
  <c r="T328" i="8"/>
  <c r="U328" i="8"/>
  <c r="V328" i="8"/>
  <c r="W328" i="8"/>
  <c r="X328" i="8"/>
  <c r="Y328" i="8"/>
  <c r="Z328" i="8"/>
  <c r="AA328" i="8"/>
  <c r="AB328" i="8"/>
  <c r="AC328" i="8"/>
  <c r="R329" i="8"/>
  <c r="S329" i="8"/>
  <c r="T329" i="8"/>
  <c r="U329" i="8"/>
  <c r="V329" i="8"/>
  <c r="W329" i="8"/>
  <c r="X329" i="8"/>
  <c r="Y329" i="8"/>
  <c r="Z329" i="8"/>
  <c r="AA329" i="8"/>
  <c r="AB329" i="8"/>
  <c r="AC329" i="8"/>
  <c r="R330" i="8"/>
  <c r="S330" i="8"/>
  <c r="T330" i="8"/>
  <c r="U330" i="8"/>
  <c r="V330" i="8"/>
  <c r="W330" i="8"/>
  <c r="X330" i="8"/>
  <c r="Y330" i="8"/>
  <c r="Z330" i="8"/>
  <c r="AA330" i="8"/>
  <c r="AB330" i="8"/>
  <c r="AC330" i="8"/>
  <c r="R331" i="8"/>
  <c r="S331" i="8"/>
  <c r="T331" i="8"/>
  <c r="U331" i="8"/>
  <c r="V331" i="8"/>
  <c r="W331" i="8"/>
  <c r="X331" i="8"/>
  <c r="Y331" i="8"/>
  <c r="Z331" i="8"/>
  <c r="AA331" i="8"/>
  <c r="AB331" i="8"/>
  <c r="AC331" i="8"/>
  <c r="R31" i="8"/>
  <c r="S31" i="8"/>
  <c r="T31" i="8"/>
  <c r="U31" i="8"/>
  <c r="V31" i="8"/>
  <c r="W31" i="8"/>
  <c r="X31" i="8"/>
  <c r="Y31" i="8"/>
  <c r="Z31" i="8"/>
  <c r="AA31" i="8"/>
  <c r="AB31" i="8"/>
  <c r="AC31" i="8"/>
  <c r="R332" i="8"/>
  <c r="S332" i="8"/>
  <c r="T332" i="8"/>
  <c r="U332" i="8"/>
  <c r="V332" i="8"/>
  <c r="W332" i="8"/>
  <c r="X332" i="8"/>
  <c r="Y332" i="8"/>
  <c r="Z332" i="8"/>
  <c r="AA332" i="8"/>
  <c r="AB332" i="8"/>
  <c r="AC332" i="8"/>
  <c r="R333" i="8"/>
  <c r="S333" i="8"/>
  <c r="T333" i="8"/>
  <c r="U333" i="8"/>
  <c r="V333" i="8"/>
  <c r="W333" i="8"/>
  <c r="X333" i="8"/>
  <c r="Y333" i="8"/>
  <c r="Z333" i="8"/>
  <c r="AA333" i="8"/>
  <c r="AB333" i="8"/>
  <c r="AC333" i="8"/>
  <c r="R334" i="8"/>
  <c r="S334" i="8"/>
  <c r="T334" i="8"/>
  <c r="U334" i="8"/>
  <c r="V334" i="8"/>
  <c r="W334" i="8"/>
  <c r="X334" i="8"/>
  <c r="Y334" i="8"/>
  <c r="Z334" i="8"/>
  <c r="AA334" i="8"/>
  <c r="AB334" i="8"/>
  <c r="AC334" i="8"/>
  <c r="R335" i="8"/>
  <c r="S335" i="8"/>
  <c r="T335" i="8"/>
  <c r="U335" i="8"/>
  <c r="V335" i="8"/>
  <c r="W335" i="8"/>
  <c r="X335" i="8"/>
  <c r="Y335" i="8"/>
  <c r="Z335" i="8"/>
  <c r="AA335" i="8"/>
  <c r="AB335" i="8"/>
  <c r="AC335" i="8"/>
  <c r="R336" i="8"/>
  <c r="S336" i="8"/>
  <c r="T336" i="8"/>
  <c r="U336" i="8"/>
  <c r="V336" i="8"/>
  <c r="W336" i="8"/>
  <c r="X336" i="8"/>
  <c r="Y336" i="8"/>
  <c r="Z336" i="8"/>
  <c r="AA336" i="8"/>
  <c r="AB336" i="8"/>
  <c r="AC336" i="8"/>
  <c r="R337" i="8"/>
  <c r="S337" i="8"/>
  <c r="T337" i="8"/>
  <c r="U337" i="8"/>
  <c r="V337" i="8"/>
  <c r="W337" i="8"/>
  <c r="X337" i="8"/>
  <c r="Y337" i="8"/>
  <c r="Z337" i="8"/>
  <c r="AA337" i="8"/>
  <c r="AB337" i="8"/>
  <c r="AC337" i="8"/>
  <c r="R338" i="8"/>
  <c r="S338" i="8"/>
  <c r="T338" i="8"/>
  <c r="U338" i="8"/>
  <c r="V338" i="8"/>
  <c r="W338" i="8"/>
  <c r="X338" i="8"/>
  <c r="Y338" i="8"/>
  <c r="Z338" i="8"/>
  <c r="AA338" i="8"/>
  <c r="AB338" i="8"/>
  <c r="AC338" i="8"/>
  <c r="R339" i="8"/>
  <c r="S339" i="8"/>
  <c r="T339" i="8"/>
  <c r="U339" i="8"/>
  <c r="V339" i="8"/>
  <c r="W339" i="8"/>
  <c r="X339" i="8"/>
  <c r="Y339" i="8"/>
  <c r="Z339" i="8"/>
  <c r="AA339" i="8"/>
  <c r="AB339" i="8"/>
  <c r="AC339" i="8"/>
  <c r="R340" i="8"/>
  <c r="S340" i="8"/>
  <c r="T340" i="8"/>
  <c r="U340" i="8"/>
  <c r="V340" i="8"/>
  <c r="W340" i="8"/>
  <c r="X340" i="8"/>
  <c r="Y340" i="8"/>
  <c r="Z340" i="8"/>
  <c r="AA340" i="8"/>
  <c r="AB340" i="8"/>
  <c r="AC340" i="8"/>
  <c r="R341" i="8"/>
  <c r="S341" i="8"/>
  <c r="T341" i="8"/>
  <c r="U341" i="8"/>
  <c r="V341" i="8"/>
  <c r="W341" i="8"/>
  <c r="X341" i="8"/>
  <c r="Y341" i="8"/>
  <c r="Z341" i="8"/>
  <c r="AA341" i="8"/>
  <c r="AB341" i="8"/>
  <c r="AC341" i="8"/>
  <c r="R342" i="8"/>
  <c r="S342" i="8"/>
  <c r="T342" i="8"/>
  <c r="U342" i="8"/>
  <c r="V342" i="8"/>
  <c r="W342" i="8"/>
  <c r="X342" i="8"/>
  <c r="Y342" i="8"/>
  <c r="Z342" i="8"/>
  <c r="AA342" i="8"/>
  <c r="AB342" i="8"/>
  <c r="AC342" i="8"/>
  <c r="R343" i="8"/>
  <c r="S343" i="8"/>
  <c r="T343" i="8"/>
  <c r="U343" i="8"/>
  <c r="V343" i="8"/>
  <c r="W343" i="8"/>
  <c r="X343" i="8"/>
  <c r="Y343" i="8"/>
  <c r="Z343" i="8"/>
  <c r="AA343" i="8"/>
  <c r="AB343" i="8"/>
  <c r="AC343" i="8"/>
  <c r="R344" i="8"/>
  <c r="S344" i="8"/>
  <c r="T344" i="8"/>
  <c r="U344" i="8"/>
  <c r="V344" i="8"/>
  <c r="W344" i="8"/>
  <c r="X344" i="8"/>
  <c r="Y344" i="8"/>
  <c r="Z344" i="8"/>
  <c r="AA344" i="8"/>
  <c r="AB344" i="8"/>
  <c r="AC344" i="8"/>
  <c r="R345" i="8"/>
  <c r="S345" i="8"/>
  <c r="T345" i="8"/>
  <c r="U345" i="8"/>
  <c r="V345" i="8"/>
  <c r="W345" i="8"/>
  <c r="X345" i="8"/>
  <c r="Y345" i="8"/>
  <c r="Z345" i="8"/>
  <c r="AA345" i="8"/>
  <c r="AB345" i="8"/>
  <c r="AC345" i="8"/>
  <c r="R346" i="8"/>
  <c r="S346" i="8"/>
  <c r="T346" i="8"/>
  <c r="U346" i="8"/>
  <c r="V346" i="8"/>
  <c r="W346" i="8"/>
  <c r="X346" i="8"/>
  <c r="Y346" i="8"/>
  <c r="Z346" i="8"/>
  <c r="AA346" i="8"/>
  <c r="AB346" i="8"/>
  <c r="AC346" i="8"/>
  <c r="R347" i="8"/>
  <c r="S347" i="8"/>
  <c r="T347" i="8"/>
  <c r="U347" i="8"/>
  <c r="V347" i="8"/>
  <c r="W347" i="8"/>
  <c r="X347" i="8"/>
  <c r="Y347" i="8"/>
  <c r="Z347" i="8"/>
  <c r="AA347" i="8"/>
  <c r="AB347" i="8"/>
  <c r="AC347" i="8"/>
  <c r="R348" i="8"/>
  <c r="S348" i="8"/>
  <c r="T348" i="8"/>
  <c r="U348" i="8"/>
  <c r="V348" i="8"/>
  <c r="W348" i="8"/>
  <c r="X348" i="8"/>
  <c r="Y348" i="8"/>
  <c r="Z348" i="8"/>
  <c r="AA348" i="8"/>
  <c r="AB348" i="8"/>
  <c r="AC348" i="8"/>
  <c r="R349" i="8"/>
  <c r="S349" i="8"/>
  <c r="T349" i="8"/>
  <c r="U349" i="8"/>
  <c r="V349" i="8"/>
  <c r="W349" i="8"/>
  <c r="X349" i="8"/>
  <c r="Y349" i="8"/>
  <c r="Z349" i="8"/>
  <c r="AA349" i="8"/>
  <c r="AB349" i="8"/>
  <c r="AC349" i="8"/>
  <c r="R350" i="8"/>
  <c r="S350" i="8"/>
  <c r="T350" i="8"/>
  <c r="U350" i="8"/>
  <c r="V350" i="8"/>
  <c r="W350" i="8"/>
  <c r="X350" i="8"/>
  <c r="Y350" i="8"/>
  <c r="Z350" i="8"/>
  <c r="AA350" i="8"/>
  <c r="AB350" i="8"/>
  <c r="AC350" i="8"/>
  <c r="R32" i="8"/>
  <c r="S32" i="8"/>
  <c r="T32" i="8"/>
  <c r="U32" i="8"/>
  <c r="V32" i="8"/>
  <c r="W32" i="8"/>
  <c r="X32" i="8"/>
  <c r="Y32" i="8"/>
  <c r="Z32" i="8"/>
  <c r="AA32" i="8"/>
  <c r="AB32" i="8"/>
  <c r="AC32" i="8"/>
  <c r="R351" i="8"/>
  <c r="S351" i="8"/>
  <c r="T351" i="8"/>
  <c r="U351" i="8"/>
  <c r="V351" i="8"/>
  <c r="W351" i="8"/>
  <c r="X351" i="8"/>
  <c r="Y351" i="8"/>
  <c r="Z351" i="8"/>
  <c r="AA351" i="8"/>
  <c r="AB351" i="8"/>
  <c r="AC351" i="8"/>
  <c r="R352" i="8"/>
  <c r="S352" i="8"/>
  <c r="T352" i="8"/>
  <c r="U352" i="8"/>
  <c r="V352" i="8"/>
  <c r="W352" i="8"/>
  <c r="X352" i="8"/>
  <c r="Y352" i="8"/>
  <c r="Z352" i="8"/>
  <c r="AA352" i="8"/>
  <c r="AB352" i="8"/>
  <c r="AC352" i="8"/>
  <c r="R353" i="8"/>
  <c r="S353" i="8"/>
  <c r="T353" i="8"/>
  <c r="U353" i="8"/>
  <c r="V353" i="8"/>
  <c r="W353" i="8"/>
  <c r="X353" i="8"/>
  <c r="Y353" i="8"/>
  <c r="Z353" i="8"/>
  <c r="AA353" i="8"/>
  <c r="AB353" i="8"/>
  <c r="AC353" i="8"/>
  <c r="R354" i="8"/>
  <c r="S354" i="8"/>
  <c r="T354" i="8"/>
  <c r="U354" i="8"/>
  <c r="V354" i="8"/>
  <c r="W354" i="8"/>
  <c r="X354" i="8"/>
  <c r="Y354" i="8"/>
  <c r="Z354" i="8"/>
  <c r="AA354" i="8"/>
  <c r="AB354" i="8"/>
  <c r="AC354" i="8"/>
  <c r="R355" i="8"/>
  <c r="S355" i="8"/>
  <c r="T355" i="8"/>
  <c r="U355" i="8"/>
  <c r="V355" i="8"/>
  <c r="W355" i="8"/>
  <c r="X355" i="8"/>
  <c r="Y355" i="8"/>
  <c r="Z355" i="8"/>
  <c r="AA355" i="8"/>
  <c r="AB355" i="8"/>
  <c r="AC355" i="8"/>
  <c r="R356" i="8"/>
  <c r="S356" i="8"/>
  <c r="T356" i="8"/>
  <c r="U356" i="8"/>
  <c r="V356" i="8"/>
  <c r="W356" i="8"/>
  <c r="X356" i="8"/>
  <c r="Y356" i="8"/>
  <c r="Z356" i="8"/>
  <c r="AA356" i="8"/>
  <c r="AB356" i="8"/>
  <c r="AC356" i="8"/>
  <c r="R357" i="8"/>
  <c r="S357" i="8"/>
  <c r="T357" i="8"/>
  <c r="U357" i="8"/>
  <c r="V357" i="8"/>
  <c r="W357" i="8"/>
  <c r="X357" i="8"/>
  <c r="Y357" i="8"/>
  <c r="Z357" i="8"/>
  <c r="AA357" i="8"/>
  <c r="AB357" i="8"/>
  <c r="AC357" i="8"/>
  <c r="R358" i="8"/>
  <c r="S358" i="8"/>
  <c r="T358" i="8"/>
  <c r="U358" i="8"/>
  <c r="V358" i="8"/>
  <c r="W358" i="8"/>
  <c r="X358" i="8"/>
  <c r="Y358" i="8"/>
  <c r="Z358" i="8"/>
  <c r="AA358" i="8"/>
  <c r="AB358" i="8"/>
  <c r="AC358" i="8"/>
  <c r="R359" i="8"/>
  <c r="S359" i="8"/>
  <c r="T359" i="8"/>
  <c r="U359" i="8"/>
  <c r="V359" i="8"/>
  <c r="W359" i="8"/>
  <c r="X359" i="8"/>
  <c r="Y359" i="8"/>
  <c r="Z359" i="8"/>
  <c r="AA359" i="8"/>
  <c r="AB359" i="8"/>
  <c r="AC359" i="8"/>
  <c r="R360" i="8"/>
  <c r="S360" i="8"/>
  <c r="T360" i="8"/>
  <c r="U360" i="8"/>
  <c r="V360" i="8"/>
  <c r="W360" i="8"/>
  <c r="X360" i="8"/>
  <c r="Y360" i="8"/>
  <c r="Z360" i="8"/>
  <c r="AA360" i="8"/>
  <c r="AB360" i="8"/>
  <c r="AC360" i="8"/>
  <c r="R33" i="8"/>
  <c r="S33" i="8"/>
  <c r="T33" i="8"/>
  <c r="U33" i="8"/>
  <c r="V33" i="8"/>
  <c r="W33" i="8"/>
  <c r="X33" i="8"/>
  <c r="Y33" i="8"/>
  <c r="Z33" i="8"/>
  <c r="AA33" i="8"/>
  <c r="AB33" i="8"/>
  <c r="AC33" i="8"/>
  <c r="R361" i="8"/>
  <c r="S361" i="8"/>
  <c r="T361" i="8"/>
  <c r="U361" i="8"/>
  <c r="V361" i="8"/>
  <c r="W361" i="8"/>
  <c r="X361" i="8"/>
  <c r="Y361" i="8"/>
  <c r="Z361" i="8"/>
  <c r="AA361" i="8"/>
  <c r="AB361" i="8"/>
  <c r="AC361" i="8"/>
  <c r="R362" i="8"/>
  <c r="S362" i="8"/>
  <c r="T362" i="8"/>
  <c r="U362" i="8"/>
  <c r="V362" i="8"/>
  <c r="W362" i="8"/>
  <c r="X362" i="8"/>
  <c r="Y362" i="8"/>
  <c r="Z362" i="8"/>
  <c r="AA362" i="8"/>
  <c r="AB362" i="8"/>
  <c r="AC362" i="8"/>
  <c r="R363" i="8"/>
  <c r="S363" i="8"/>
  <c r="T363" i="8"/>
  <c r="U363" i="8"/>
  <c r="V363" i="8"/>
  <c r="W363" i="8"/>
  <c r="X363" i="8"/>
  <c r="Y363" i="8"/>
  <c r="Z363" i="8"/>
  <c r="AA363" i="8"/>
  <c r="AB363" i="8"/>
  <c r="AC363" i="8"/>
  <c r="R364" i="8"/>
  <c r="S364" i="8"/>
  <c r="T364" i="8"/>
  <c r="U364" i="8"/>
  <c r="V364" i="8"/>
  <c r="W364" i="8"/>
  <c r="X364" i="8"/>
  <c r="Y364" i="8"/>
  <c r="Z364" i="8"/>
  <c r="AA364" i="8"/>
  <c r="AB364" i="8"/>
  <c r="AC364" i="8"/>
  <c r="R365" i="8"/>
  <c r="S365" i="8"/>
  <c r="T365" i="8"/>
  <c r="U365" i="8"/>
  <c r="V365" i="8"/>
  <c r="W365" i="8"/>
  <c r="X365" i="8"/>
  <c r="Y365" i="8"/>
  <c r="Z365" i="8"/>
  <c r="AA365" i="8"/>
  <c r="AB365" i="8"/>
  <c r="AC365" i="8"/>
  <c r="R366" i="8"/>
  <c r="S366" i="8"/>
  <c r="T366" i="8"/>
  <c r="U366" i="8"/>
  <c r="V366" i="8"/>
  <c r="W366" i="8"/>
  <c r="X366" i="8"/>
  <c r="Y366" i="8"/>
  <c r="Z366" i="8"/>
  <c r="AA366" i="8"/>
  <c r="AB366" i="8"/>
  <c r="AC366" i="8"/>
  <c r="R367" i="8"/>
  <c r="S367" i="8"/>
  <c r="T367" i="8"/>
  <c r="U367" i="8"/>
  <c r="V367" i="8"/>
  <c r="W367" i="8"/>
  <c r="X367" i="8"/>
  <c r="Y367" i="8"/>
  <c r="Z367" i="8"/>
  <c r="AA367" i="8"/>
  <c r="AB367" i="8"/>
  <c r="AC367" i="8"/>
  <c r="R34" i="8"/>
  <c r="S34" i="8"/>
  <c r="T34" i="8"/>
  <c r="U34" i="8"/>
  <c r="V34" i="8"/>
  <c r="W34" i="8"/>
  <c r="X34" i="8"/>
  <c r="Y34" i="8"/>
  <c r="Z34" i="8"/>
  <c r="AA34" i="8"/>
  <c r="AB34" i="8"/>
  <c r="AC34" i="8"/>
  <c r="R368" i="8"/>
  <c r="S368" i="8"/>
  <c r="T368" i="8"/>
  <c r="U368" i="8"/>
  <c r="V368" i="8"/>
  <c r="W368" i="8"/>
  <c r="X368" i="8"/>
  <c r="Y368" i="8"/>
  <c r="Z368" i="8"/>
  <c r="AA368" i="8"/>
  <c r="AB368" i="8"/>
  <c r="AC368" i="8"/>
  <c r="R369" i="8"/>
  <c r="S369" i="8"/>
  <c r="T369" i="8"/>
  <c r="U369" i="8"/>
  <c r="V369" i="8"/>
  <c r="W369" i="8"/>
  <c r="X369" i="8"/>
  <c r="Y369" i="8"/>
  <c r="Z369" i="8"/>
  <c r="AA369" i="8"/>
  <c r="AB369" i="8"/>
  <c r="AC369" i="8"/>
  <c r="R370" i="8"/>
  <c r="S370" i="8"/>
  <c r="T370" i="8"/>
  <c r="U370" i="8"/>
  <c r="V370" i="8"/>
  <c r="W370" i="8"/>
  <c r="X370" i="8"/>
  <c r="Y370" i="8"/>
  <c r="Z370" i="8"/>
  <c r="AA370" i="8"/>
  <c r="AB370" i="8"/>
  <c r="AC370" i="8"/>
  <c r="R35" i="8"/>
  <c r="S35" i="8"/>
  <c r="T35" i="8"/>
  <c r="U35" i="8"/>
  <c r="V35" i="8"/>
  <c r="W35" i="8"/>
  <c r="X35" i="8"/>
  <c r="Y35" i="8"/>
  <c r="Z35" i="8"/>
  <c r="AA35" i="8"/>
  <c r="AB35" i="8"/>
  <c r="AC35" i="8"/>
  <c r="R371" i="8"/>
  <c r="S371" i="8"/>
  <c r="T371" i="8"/>
  <c r="U371" i="8"/>
  <c r="V371" i="8"/>
  <c r="W371" i="8"/>
  <c r="X371" i="8"/>
  <c r="Y371" i="8"/>
  <c r="Z371" i="8"/>
  <c r="AA371" i="8"/>
  <c r="AB371" i="8"/>
  <c r="AC371" i="8"/>
  <c r="R372" i="8"/>
  <c r="S372" i="8"/>
  <c r="T372" i="8"/>
  <c r="U372" i="8"/>
  <c r="V372" i="8"/>
  <c r="W372" i="8"/>
  <c r="X372" i="8"/>
  <c r="Y372" i="8"/>
  <c r="Z372" i="8"/>
  <c r="AA372" i="8"/>
  <c r="AB372" i="8"/>
  <c r="AC372" i="8"/>
  <c r="R373" i="8"/>
  <c r="S373" i="8"/>
  <c r="T373" i="8"/>
  <c r="U373" i="8"/>
  <c r="V373" i="8"/>
  <c r="W373" i="8"/>
  <c r="X373" i="8"/>
  <c r="Y373" i="8"/>
  <c r="Z373" i="8"/>
  <c r="AA373" i="8"/>
  <c r="AB373" i="8"/>
  <c r="AC373" i="8"/>
  <c r="R374" i="8"/>
  <c r="S374" i="8"/>
  <c r="T374" i="8"/>
  <c r="U374" i="8"/>
  <c r="V374" i="8"/>
  <c r="W374" i="8"/>
  <c r="X374" i="8"/>
  <c r="Y374" i="8"/>
  <c r="Z374" i="8"/>
  <c r="AA374" i="8"/>
  <c r="AB374" i="8"/>
  <c r="AC374" i="8"/>
  <c r="R375" i="8"/>
  <c r="S375" i="8"/>
  <c r="T375" i="8"/>
  <c r="U375" i="8"/>
  <c r="V375" i="8"/>
  <c r="W375" i="8"/>
  <c r="X375" i="8"/>
  <c r="Y375" i="8"/>
  <c r="Z375" i="8"/>
  <c r="AA375" i="8"/>
  <c r="AB375" i="8"/>
  <c r="AC375" i="8"/>
  <c r="R376" i="8"/>
  <c r="S376" i="8"/>
  <c r="T376" i="8"/>
  <c r="U376" i="8"/>
  <c r="V376" i="8"/>
  <c r="W376" i="8"/>
  <c r="X376" i="8"/>
  <c r="Y376" i="8"/>
  <c r="Z376" i="8"/>
  <c r="AA376" i="8"/>
  <c r="AB376" i="8"/>
  <c r="AC376" i="8"/>
  <c r="R377" i="8"/>
  <c r="S377" i="8"/>
  <c r="T377" i="8"/>
  <c r="U377" i="8"/>
  <c r="V377" i="8"/>
  <c r="W377" i="8"/>
  <c r="X377" i="8"/>
  <c r="Y377" i="8"/>
  <c r="Z377" i="8"/>
  <c r="AA377" i="8"/>
  <c r="AB377" i="8"/>
  <c r="AC377" i="8"/>
  <c r="R378" i="8"/>
  <c r="S378" i="8"/>
  <c r="T378" i="8"/>
  <c r="U378" i="8"/>
  <c r="V378" i="8"/>
  <c r="W378" i="8"/>
  <c r="X378" i="8"/>
  <c r="Y378" i="8"/>
  <c r="Z378" i="8"/>
  <c r="AA378" i="8"/>
  <c r="AB378" i="8"/>
  <c r="AC378" i="8"/>
  <c r="R379" i="8"/>
  <c r="S379" i="8"/>
  <c r="T379" i="8"/>
  <c r="U379" i="8"/>
  <c r="V379" i="8"/>
  <c r="W379" i="8"/>
  <c r="X379" i="8"/>
  <c r="Y379" i="8"/>
  <c r="Z379" i="8"/>
  <c r="AA379" i="8"/>
  <c r="AB379" i="8"/>
  <c r="AC379" i="8"/>
  <c r="R380" i="8"/>
  <c r="S380" i="8"/>
  <c r="T380" i="8"/>
  <c r="U380" i="8"/>
  <c r="V380" i="8"/>
  <c r="W380" i="8"/>
  <c r="X380" i="8"/>
  <c r="Y380" i="8"/>
  <c r="Z380" i="8"/>
  <c r="AA380" i="8"/>
  <c r="AB380" i="8"/>
  <c r="AC380" i="8"/>
  <c r="R381" i="8"/>
  <c r="S381" i="8"/>
  <c r="T381" i="8"/>
  <c r="U381" i="8"/>
  <c r="V381" i="8"/>
  <c r="W381" i="8"/>
  <c r="X381" i="8"/>
  <c r="Y381" i="8"/>
  <c r="Z381" i="8"/>
  <c r="AA381" i="8"/>
  <c r="AB381" i="8"/>
  <c r="AC381" i="8"/>
  <c r="R382" i="8"/>
  <c r="S382" i="8"/>
  <c r="T382" i="8"/>
  <c r="U382" i="8"/>
  <c r="V382" i="8"/>
  <c r="W382" i="8"/>
  <c r="X382" i="8"/>
  <c r="Y382" i="8"/>
  <c r="Z382" i="8"/>
  <c r="AA382" i="8"/>
  <c r="AB382" i="8"/>
  <c r="AC382" i="8"/>
  <c r="R383" i="8"/>
  <c r="S383" i="8"/>
  <c r="T383" i="8"/>
  <c r="U383" i="8"/>
  <c r="V383" i="8"/>
  <c r="W383" i="8"/>
  <c r="X383" i="8"/>
  <c r="Y383" i="8"/>
  <c r="Z383" i="8"/>
  <c r="AA383" i="8"/>
  <c r="AB383" i="8"/>
  <c r="AC383" i="8"/>
  <c r="R384" i="8"/>
  <c r="S384" i="8"/>
  <c r="T384" i="8"/>
  <c r="U384" i="8"/>
  <c r="V384" i="8"/>
  <c r="W384" i="8"/>
  <c r="X384" i="8"/>
  <c r="Y384" i="8"/>
  <c r="Z384" i="8"/>
  <c r="AA384" i="8"/>
  <c r="AB384" i="8"/>
  <c r="AC384" i="8"/>
  <c r="R385" i="8"/>
  <c r="S385" i="8"/>
  <c r="T385" i="8"/>
  <c r="U385" i="8"/>
  <c r="V385" i="8"/>
  <c r="W385" i="8"/>
  <c r="X385" i="8"/>
  <c r="Y385" i="8"/>
  <c r="Z385" i="8"/>
  <c r="AA385" i="8"/>
  <c r="AB385" i="8"/>
  <c r="AC385" i="8"/>
  <c r="R36" i="8"/>
  <c r="S36" i="8"/>
  <c r="T36" i="8"/>
  <c r="U36" i="8"/>
  <c r="V36" i="8"/>
  <c r="W36" i="8"/>
  <c r="X36" i="8"/>
  <c r="Y36" i="8"/>
  <c r="Z36" i="8"/>
  <c r="AA36" i="8"/>
  <c r="AB36" i="8"/>
  <c r="AC36" i="8"/>
  <c r="R386" i="8"/>
  <c r="S386" i="8"/>
  <c r="T386" i="8"/>
  <c r="U386" i="8"/>
  <c r="V386" i="8"/>
  <c r="W386" i="8"/>
  <c r="X386" i="8"/>
  <c r="Y386" i="8"/>
  <c r="Z386" i="8"/>
  <c r="AA386" i="8"/>
  <c r="AB386" i="8"/>
  <c r="AC386" i="8"/>
  <c r="R387" i="8"/>
  <c r="S387" i="8"/>
  <c r="T387" i="8"/>
  <c r="U387" i="8"/>
  <c r="V387" i="8"/>
  <c r="W387" i="8"/>
  <c r="X387" i="8"/>
  <c r="Y387" i="8"/>
  <c r="Z387" i="8"/>
  <c r="AA387" i="8"/>
  <c r="AB387" i="8"/>
  <c r="AC387" i="8"/>
  <c r="R388" i="8"/>
  <c r="S388" i="8"/>
  <c r="T388" i="8"/>
  <c r="U388" i="8"/>
  <c r="V388" i="8"/>
  <c r="W388" i="8"/>
  <c r="X388" i="8"/>
  <c r="Y388" i="8"/>
  <c r="Z388" i="8"/>
  <c r="AA388" i="8"/>
  <c r="AB388" i="8"/>
  <c r="AC388" i="8"/>
  <c r="R389" i="8"/>
  <c r="S389" i="8"/>
  <c r="T389" i="8"/>
  <c r="U389" i="8"/>
  <c r="V389" i="8"/>
  <c r="W389" i="8"/>
  <c r="X389" i="8"/>
  <c r="Y389" i="8"/>
  <c r="Z389" i="8"/>
  <c r="AA389" i="8"/>
  <c r="AB389" i="8"/>
  <c r="AC389" i="8"/>
  <c r="R390" i="8"/>
  <c r="S390" i="8"/>
  <c r="T390" i="8"/>
  <c r="U390" i="8"/>
  <c r="V390" i="8"/>
  <c r="W390" i="8"/>
  <c r="X390" i="8"/>
  <c r="Y390" i="8"/>
  <c r="Z390" i="8"/>
  <c r="AA390" i="8"/>
  <c r="AB390" i="8"/>
  <c r="AC390" i="8"/>
  <c r="R391" i="8"/>
  <c r="S391" i="8"/>
  <c r="T391" i="8"/>
  <c r="U391" i="8"/>
  <c r="V391" i="8"/>
  <c r="W391" i="8"/>
  <c r="X391" i="8"/>
  <c r="Y391" i="8"/>
  <c r="Z391" i="8"/>
  <c r="AA391" i="8"/>
  <c r="AB391" i="8"/>
  <c r="AC391" i="8"/>
  <c r="R392" i="8"/>
  <c r="S392" i="8"/>
  <c r="T392" i="8"/>
  <c r="U392" i="8"/>
  <c r="V392" i="8"/>
  <c r="W392" i="8"/>
  <c r="X392" i="8"/>
  <c r="Y392" i="8"/>
  <c r="Z392" i="8"/>
  <c r="AA392" i="8"/>
  <c r="AB392" i="8"/>
  <c r="AC392" i="8"/>
  <c r="R393" i="8"/>
  <c r="S393" i="8"/>
  <c r="T393" i="8"/>
  <c r="U393" i="8"/>
  <c r="V393" i="8"/>
  <c r="W393" i="8"/>
  <c r="X393" i="8"/>
  <c r="Y393" i="8"/>
  <c r="Z393" i="8"/>
  <c r="AA393" i="8"/>
  <c r="AB393" i="8"/>
  <c r="AC393" i="8"/>
  <c r="R37" i="8"/>
  <c r="S37" i="8"/>
  <c r="T37" i="8"/>
  <c r="U37" i="8"/>
  <c r="V37" i="8"/>
  <c r="W37" i="8"/>
  <c r="X37" i="8"/>
  <c r="Y37" i="8"/>
  <c r="Z37" i="8"/>
  <c r="AA37" i="8"/>
  <c r="AB37" i="8"/>
  <c r="AC37" i="8"/>
  <c r="R394" i="8"/>
  <c r="S394" i="8"/>
  <c r="T394" i="8"/>
  <c r="U394" i="8"/>
  <c r="V394" i="8"/>
  <c r="W394" i="8"/>
  <c r="X394" i="8"/>
  <c r="Y394" i="8"/>
  <c r="Z394" i="8"/>
  <c r="AA394" i="8"/>
  <c r="AB394" i="8"/>
  <c r="AC394" i="8"/>
  <c r="R395" i="8"/>
  <c r="S395" i="8"/>
  <c r="T395" i="8"/>
  <c r="U395" i="8"/>
  <c r="V395" i="8"/>
  <c r="W395" i="8"/>
  <c r="X395" i="8"/>
  <c r="Y395" i="8"/>
  <c r="Z395" i="8"/>
  <c r="AA395" i="8"/>
  <c r="AB395" i="8"/>
  <c r="AC395" i="8"/>
  <c r="R396" i="8"/>
  <c r="S396" i="8"/>
  <c r="T396" i="8"/>
  <c r="U396" i="8"/>
  <c r="V396" i="8"/>
  <c r="W396" i="8"/>
  <c r="X396" i="8"/>
  <c r="Y396" i="8"/>
  <c r="Z396" i="8"/>
  <c r="AA396" i="8"/>
  <c r="AB396" i="8"/>
  <c r="AC396" i="8"/>
  <c r="R397" i="8"/>
  <c r="S397" i="8"/>
  <c r="T397" i="8"/>
  <c r="U397" i="8"/>
  <c r="V397" i="8"/>
  <c r="W397" i="8"/>
  <c r="X397" i="8"/>
  <c r="Y397" i="8"/>
  <c r="Z397" i="8"/>
  <c r="AA397" i="8"/>
  <c r="AB397" i="8"/>
  <c r="AC397" i="8"/>
  <c r="R398" i="8"/>
  <c r="S398" i="8"/>
  <c r="T398" i="8"/>
  <c r="U398" i="8"/>
  <c r="V398" i="8"/>
  <c r="W398" i="8"/>
  <c r="X398" i="8"/>
  <c r="Y398" i="8"/>
  <c r="Z398" i="8"/>
  <c r="AA398" i="8"/>
  <c r="AB398" i="8"/>
  <c r="AC398" i="8"/>
  <c r="R38" i="8"/>
  <c r="S38" i="8"/>
  <c r="T38" i="8"/>
  <c r="U38" i="8"/>
  <c r="V38" i="8"/>
  <c r="W38" i="8"/>
  <c r="X38" i="8"/>
  <c r="Y38" i="8"/>
  <c r="Z38" i="8"/>
  <c r="AA38" i="8"/>
  <c r="AB38" i="8"/>
  <c r="AC38" i="8"/>
  <c r="R399" i="8"/>
  <c r="S399" i="8"/>
  <c r="T399" i="8"/>
  <c r="U399" i="8"/>
  <c r="V399" i="8"/>
  <c r="W399" i="8"/>
  <c r="X399" i="8"/>
  <c r="Y399" i="8"/>
  <c r="Z399" i="8"/>
  <c r="AA399" i="8"/>
  <c r="AB399" i="8"/>
  <c r="AC399" i="8"/>
  <c r="R400" i="8"/>
  <c r="S400" i="8"/>
  <c r="T400" i="8"/>
  <c r="U400" i="8"/>
  <c r="V400" i="8"/>
  <c r="W400" i="8"/>
  <c r="X400" i="8"/>
  <c r="Y400" i="8"/>
  <c r="Z400" i="8"/>
  <c r="AA400" i="8"/>
  <c r="AB400" i="8"/>
  <c r="AC400" i="8"/>
  <c r="R401" i="8"/>
  <c r="S401" i="8"/>
  <c r="T401" i="8"/>
  <c r="U401" i="8"/>
  <c r="V401" i="8"/>
  <c r="W401" i="8"/>
  <c r="X401" i="8"/>
  <c r="Y401" i="8"/>
  <c r="Z401" i="8"/>
  <c r="AA401" i="8"/>
  <c r="AB401" i="8"/>
  <c r="AC401" i="8"/>
  <c r="R402" i="8"/>
  <c r="S402" i="8"/>
  <c r="T402" i="8"/>
  <c r="U402" i="8"/>
  <c r="V402" i="8"/>
  <c r="W402" i="8"/>
  <c r="X402" i="8"/>
  <c r="Y402" i="8"/>
  <c r="Z402" i="8"/>
  <c r="AA402" i="8"/>
  <c r="AB402" i="8"/>
  <c r="AC402" i="8"/>
  <c r="R403" i="8"/>
  <c r="S403" i="8"/>
  <c r="T403" i="8"/>
  <c r="U403" i="8"/>
  <c r="V403" i="8"/>
  <c r="W403" i="8"/>
  <c r="X403" i="8"/>
  <c r="Y403" i="8"/>
  <c r="Z403" i="8"/>
  <c r="AA403" i="8"/>
  <c r="AB403" i="8"/>
  <c r="AC403" i="8"/>
  <c r="R404" i="8"/>
  <c r="S404" i="8"/>
  <c r="T404" i="8"/>
  <c r="U404" i="8"/>
  <c r="V404" i="8"/>
  <c r="W404" i="8"/>
  <c r="X404" i="8"/>
  <c r="Y404" i="8"/>
  <c r="Z404" i="8"/>
  <c r="AA404" i="8"/>
  <c r="AB404" i="8"/>
  <c r="AC404" i="8"/>
  <c r="R405" i="8"/>
  <c r="S405" i="8"/>
  <c r="T405" i="8"/>
  <c r="U405" i="8"/>
  <c r="V405" i="8"/>
  <c r="W405" i="8"/>
  <c r="X405" i="8"/>
  <c r="Y405" i="8"/>
  <c r="Z405" i="8"/>
  <c r="AA405" i="8"/>
  <c r="AB405" i="8"/>
  <c r="AC405" i="8"/>
  <c r="R406" i="8"/>
  <c r="S406" i="8"/>
  <c r="T406" i="8"/>
  <c r="U406" i="8"/>
  <c r="V406" i="8"/>
  <c r="W406" i="8"/>
  <c r="X406" i="8"/>
  <c r="Y406" i="8"/>
  <c r="Z406" i="8"/>
  <c r="AA406" i="8"/>
  <c r="AB406" i="8"/>
  <c r="AC406" i="8"/>
  <c r="AC39" i="8"/>
  <c r="AB39" i="8"/>
  <c r="AA39" i="8"/>
  <c r="Z39" i="8"/>
  <c r="Y39" i="8"/>
  <c r="X39" i="8"/>
  <c r="W39" i="8"/>
  <c r="V39" i="8"/>
  <c r="U39" i="8"/>
  <c r="T39" i="8"/>
  <c r="S39" i="8"/>
  <c r="AP39" i="8"/>
  <c r="E39" i="8"/>
  <c r="F39" i="8"/>
  <c r="BA219" i="5"/>
  <c r="BA325" i="5"/>
  <c r="BA117" i="5"/>
  <c r="BA335" i="5"/>
  <c r="BA341" i="5"/>
  <c r="BA333" i="5"/>
  <c r="BA372" i="5"/>
  <c r="BA377" i="5"/>
  <c r="BA370" i="5"/>
  <c r="BA368" i="5"/>
  <c r="BA367" i="5"/>
  <c r="BA331" i="5"/>
  <c r="BA304" i="5"/>
  <c r="BA363" i="5"/>
  <c r="BA382" i="5"/>
  <c r="BA369" i="5"/>
  <c r="BA322" i="5"/>
  <c r="BA302" i="5"/>
  <c r="BA312" i="5"/>
  <c r="BA301" i="5"/>
  <c r="BA329" i="5"/>
  <c r="BA374" i="5"/>
  <c r="BA323" i="5"/>
  <c r="BA383" i="5"/>
  <c r="BA343" i="5"/>
  <c r="BA306" i="5"/>
  <c r="BA386" i="5"/>
  <c r="BA385" i="5"/>
  <c r="BA314" i="5"/>
  <c r="BA324" i="5"/>
  <c r="BA295" i="5"/>
  <c r="BA294" i="5"/>
  <c r="BA360" i="5"/>
  <c r="BA309" i="5"/>
  <c r="BA328" i="5"/>
  <c r="BA313" i="5"/>
  <c r="BA359" i="5"/>
  <c r="BA371" i="5"/>
  <c r="BA321" i="5"/>
  <c r="BA305" i="5"/>
  <c r="BA379" i="5"/>
  <c r="BA375" i="5"/>
  <c r="BA300" i="5"/>
  <c r="BA308" i="5"/>
  <c r="BA320" i="5"/>
  <c r="BA326" i="5"/>
  <c r="BA365" i="5"/>
  <c r="BA361" i="5"/>
  <c r="BA364" i="5"/>
  <c r="BA299" i="5"/>
  <c r="BA337" i="5"/>
  <c r="BA29" i="5"/>
  <c r="BA330" i="5"/>
  <c r="BA356" i="5"/>
  <c r="BA366" i="5"/>
  <c r="BA70" i="5"/>
  <c r="BA378" i="5"/>
  <c r="BA357" i="5"/>
  <c r="BA334" i="5"/>
  <c r="BA384" i="5"/>
  <c r="BA349" i="5"/>
  <c r="BA336" i="5"/>
  <c r="BA307" i="5"/>
  <c r="BA354" i="5"/>
  <c r="BA310" i="5"/>
  <c r="BA311" i="5"/>
  <c r="BA332" i="5"/>
  <c r="BA355" i="5"/>
  <c r="BA347" i="5"/>
  <c r="BA373" i="5"/>
  <c r="BA350" i="5"/>
  <c r="BA376" i="5"/>
  <c r="BA348" i="5"/>
  <c r="BA315" i="5"/>
  <c r="BA380" i="5"/>
  <c r="BA316" i="5"/>
  <c r="BA317" i="5"/>
  <c r="BA344" i="5"/>
  <c r="BA345" i="5"/>
  <c r="BA340" i="5"/>
  <c r="BA358" i="5"/>
  <c r="BA339" i="5"/>
  <c r="BA319" i="5"/>
  <c r="BA338" i="5"/>
  <c r="BA318" i="5"/>
  <c r="BA362" i="5"/>
  <c r="BA342" i="5"/>
  <c r="BA351" i="5"/>
  <c r="BA346" i="5"/>
  <c r="BA352" i="5"/>
  <c r="BA353" i="5"/>
  <c r="BA327" i="5"/>
  <c r="BA390" i="5"/>
  <c r="BF219" i="5"/>
  <c r="BF325" i="5"/>
  <c r="BF327" i="5"/>
  <c r="BF333" i="5"/>
  <c r="BF335" i="5"/>
  <c r="BF341" i="5"/>
  <c r="BF390" i="5"/>
  <c r="BF253" i="5"/>
  <c r="BF262" i="5"/>
  <c r="BF407" i="5"/>
  <c r="BF391" i="5"/>
  <c r="BF401" i="5"/>
  <c r="BF403" i="5"/>
  <c r="BF97" i="5"/>
  <c r="BF161" i="5"/>
  <c r="BF188" i="5"/>
  <c r="BF42" i="5"/>
  <c r="BF47" i="5"/>
  <c r="BF177" i="5"/>
  <c r="BF388" i="5"/>
  <c r="BF404" i="5"/>
  <c r="BF405" i="5"/>
  <c r="BF61" i="5"/>
  <c r="BF117" i="5"/>
  <c r="BF283" i="5"/>
  <c r="BF290" i="5"/>
  <c r="BF39" i="5"/>
  <c r="BF40" i="5"/>
  <c r="BF41" i="5"/>
  <c r="BF102" i="5"/>
  <c r="BF331" i="5"/>
  <c r="BF398" i="5"/>
  <c r="BF410" i="5"/>
  <c r="BF38" i="5"/>
  <c r="BF66" i="5"/>
  <c r="BF175" i="5"/>
  <c r="BF65" i="5"/>
  <c r="BF67" i="5"/>
  <c r="BF368" i="5"/>
  <c r="BF370" i="5"/>
  <c r="BF372" i="5"/>
  <c r="BF377" i="5"/>
  <c r="BF396" i="5"/>
  <c r="BF397" i="5"/>
  <c r="BF408" i="5"/>
  <c r="BF53" i="5"/>
  <c r="BF56" i="5"/>
  <c r="BF59" i="5"/>
  <c r="BF153" i="5"/>
  <c r="BF257" i="5"/>
  <c r="BF367" i="5"/>
  <c r="BF50" i="5"/>
  <c r="BF387" i="5"/>
  <c r="BF392" i="5"/>
  <c r="BF394" i="5"/>
  <c r="BF399" i="5"/>
  <c r="BF400" i="5"/>
  <c r="BF402" i="5"/>
  <c r="BF411" i="5"/>
  <c r="BF148" i="5"/>
  <c r="BF152" i="5"/>
  <c r="BF322" i="5"/>
  <c r="BF176" i="5"/>
  <c r="BF329" i="5"/>
  <c r="BF406" i="5"/>
  <c r="BF142" i="5"/>
  <c r="BF409" i="5"/>
  <c r="BF52" i="5"/>
  <c r="BF263" i="5"/>
  <c r="BF140" i="5"/>
  <c r="BF154" i="5"/>
  <c r="BF323" i="5"/>
  <c r="BF129" i="5"/>
  <c r="BF137" i="5"/>
  <c r="BF149" i="5"/>
  <c r="BF256" i="5"/>
  <c r="BF179" i="5"/>
  <c r="BF244" i="5"/>
  <c r="BF246" i="5"/>
  <c r="BF124" i="5"/>
  <c r="BF255" i="5"/>
  <c r="BF27" i="5"/>
  <c r="BF225" i="5"/>
  <c r="BF304" i="5"/>
  <c r="BF395" i="5"/>
  <c r="BF118" i="5"/>
  <c r="BF209" i="5"/>
  <c r="BF241" i="5"/>
  <c r="BF243" i="5"/>
  <c r="BF245" i="5"/>
  <c r="BF363" i="5"/>
  <c r="BF389" i="5"/>
  <c r="BF123" i="5"/>
  <c r="BF8" i="5"/>
  <c r="BF343" i="5"/>
  <c r="BF369" i="5"/>
  <c r="BF382" i="5"/>
  <c r="BF269" i="5"/>
  <c r="BF138" i="5"/>
  <c r="BF183" i="5"/>
  <c r="BF221" i="5"/>
  <c r="BF240" i="5"/>
  <c r="BF242" i="5"/>
  <c r="BF60" i="5"/>
  <c r="BF254" i="5"/>
  <c r="BF247" i="5"/>
  <c r="BF393" i="5"/>
  <c r="BF74" i="5"/>
  <c r="BF216" i="5"/>
  <c r="BF239" i="5"/>
  <c r="BF301" i="5"/>
  <c r="BF302" i="5"/>
  <c r="BF312" i="5"/>
  <c r="BF105" i="5"/>
  <c r="BF139" i="5"/>
  <c r="BF88" i="5"/>
  <c r="BF15" i="5"/>
  <c r="BF181" i="5"/>
  <c r="BF324" i="5"/>
  <c r="BF374" i="5"/>
  <c r="BF55" i="5"/>
  <c r="BF87" i="5"/>
  <c r="BF131" i="5"/>
  <c r="BF178" i="5"/>
  <c r="BF5" i="5"/>
  <c r="BF23" i="5"/>
  <c r="BF24" i="5"/>
  <c r="BF25" i="5"/>
  <c r="BF26" i="5"/>
  <c r="BF9" i="5"/>
  <c r="BF136" i="5"/>
  <c r="BF180" i="5"/>
  <c r="BF220" i="5"/>
  <c r="BF252" i="5"/>
  <c r="BF114" i="5"/>
  <c r="BF224" i="5"/>
  <c r="BF264" i="5"/>
  <c r="BF10" i="5"/>
  <c r="BF132" i="5"/>
  <c r="BF147" i="5"/>
  <c r="BF173" i="5"/>
  <c r="BF22" i="5"/>
  <c r="BF217" i="5"/>
  <c r="BF383" i="5"/>
  <c r="BF284" i="5"/>
  <c r="BE284" i="5"/>
  <c r="E117" i="7"/>
  <c r="E118" i="7"/>
  <c r="E119" i="7"/>
  <c r="E120" i="7"/>
  <c r="E121" i="7"/>
  <c r="E122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00" i="7"/>
  <c r="E101" i="7"/>
  <c r="E45" i="7"/>
  <c r="E46" i="7"/>
  <c r="E33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3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4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284" i="7"/>
  <c r="E285" i="7"/>
  <c r="E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331" i="7"/>
  <c r="E332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412" i="7"/>
  <c r="E413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34" i="7"/>
  <c r="E35" i="7"/>
  <c r="E36" i="7"/>
  <c r="E37" i="7"/>
  <c r="E38" i="7"/>
  <c r="E39" i="7"/>
  <c r="E40" i="7"/>
  <c r="E41" i="7"/>
  <c r="E42" i="7"/>
  <c r="E43" i="7"/>
  <c r="E27" i="7"/>
  <c r="E28" i="7"/>
  <c r="E29" i="7"/>
  <c r="E30" i="7"/>
  <c r="E31" i="7"/>
  <c r="E32" i="7"/>
  <c r="E116" i="7"/>
  <c r="AM291" i="5"/>
  <c r="T42" i="2"/>
  <c r="T22" i="2"/>
  <c r="K46" i="2"/>
  <c r="K42" i="2"/>
  <c r="K22" i="2"/>
  <c r="BE386" i="5"/>
  <c r="BE38" i="5"/>
  <c r="BE39" i="5"/>
  <c r="BE40" i="5"/>
  <c r="BE41" i="5"/>
  <c r="BE42" i="5"/>
  <c r="BE43" i="5"/>
  <c r="BE44" i="5"/>
  <c r="BE45" i="5"/>
  <c r="BE46" i="5"/>
  <c r="BE47" i="5"/>
  <c r="BE48" i="5"/>
  <c r="BE49" i="5"/>
  <c r="BE50" i="5"/>
  <c r="BE51" i="5"/>
  <c r="BE52" i="5"/>
  <c r="BE53" i="5"/>
  <c r="BE263" i="5"/>
  <c r="BE54" i="5"/>
  <c r="BE264" i="5"/>
  <c r="BE265" i="5"/>
  <c r="BE55" i="5"/>
  <c r="BE56" i="5"/>
  <c r="BE57" i="5"/>
  <c r="BE58" i="5"/>
  <c r="BE59" i="5"/>
  <c r="BE60" i="5"/>
  <c r="BE61" i="5"/>
  <c r="BE62" i="5"/>
  <c r="BE63" i="5"/>
  <c r="BE64" i="5"/>
  <c r="BE65" i="5"/>
  <c r="BE66" i="5"/>
  <c r="BE67" i="5"/>
  <c r="BE68" i="5"/>
  <c r="BE69" i="5"/>
  <c r="BE70" i="5"/>
  <c r="BE71" i="5"/>
  <c r="BE72" i="5"/>
  <c r="BE9" i="5"/>
  <c r="BE73" i="5"/>
  <c r="BE74" i="5"/>
  <c r="BE75" i="5"/>
  <c r="BE76" i="5"/>
  <c r="BE77" i="5"/>
  <c r="BE78" i="5"/>
  <c r="BE79" i="5"/>
  <c r="BE80" i="5"/>
  <c r="BE81" i="5"/>
  <c r="BE266" i="5"/>
  <c r="BE82" i="5"/>
  <c r="BE83" i="5"/>
  <c r="BE84" i="5"/>
  <c r="BE85" i="5"/>
  <c r="BE258" i="5"/>
  <c r="BE259" i="5"/>
  <c r="BE86" i="5"/>
  <c r="BE260" i="5"/>
  <c r="BE252" i="5"/>
  <c r="BE87" i="5"/>
  <c r="BE88" i="5"/>
  <c r="BE89" i="5"/>
  <c r="BE90" i="5"/>
  <c r="BE91" i="5"/>
  <c r="BE92" i="5"/>
  <c r="BE10" i="5"/>
  <c r="BE11" i="5"/>
  <c r="BE93" i="5"/>
  <c r="BE94" i="5"/>
  <c r="BE95" i="5"/>
  <c r="BE261" i="5"/>
  <c r="BE96" i="5"/>
  <c r="BE253" i="5"/>
  <c r="BE262" i="5"/>
  <c r="BE97" i="5"/>
  <c r="BE98" i="5"/>
  <c r="BE99" i="5"/>
  <c r="BE100" i="5"/>
  <c r="BE101" i="5"/>
  <c r="BE102" i="5"/>
  <c r="BE103" i="5"/>
  <c r="BE104" i="5"/>
  <c r="BE105" i="5"/>
  <c r="BE106" i="5"/>
  <c r="BE107" i="5"/>
  <c r="BE108" i="5"/>
  <c r="BE109" i="5"/>
  <c r="BE110" i="5"/>
  <c r="BE111" i="5"/>
  <c r="BE112" i="5"/>
  <c r="BE113" i="5"/>
  <c r="BE114" i="5"/>
  <c r="BE2" i="5"/>
  <c r="BE115" i="5"/>
  <c r="BE116" i="5"/>
  <c r="BE267" i="5"/>
  <c r="BE268" i="5"/>
  <c r="BE12" i="5"/>
  <c r="BE117" i="5"/>
  <c r="BE13" i="5"/>
  <c r="BE269" i="5"/>
  <c r="BE118" i="5"/>
  <c r="BE270" i="5"/>
  <c r="BE271" i="5"/>
  <c r="BE14" i="5"/>
  <c r="BE119" i="5"/>
  <c r="BE120" i="5"/>
  <c r="BE272" i="5"/>
  <c r="BE121" i="5"/>
  <c r="BE122" i="5"/>
  <c r="BE123" i="5"/>
  <c r="BE124" i="5"/>
  <c r="BE15" i="5"/>
  <c r="BE273" i="5"/>
  <c r="BE125" i="5"/>
  <c r="BE126" i="5"/>
  <c r="BE274" i="5"/>
  <c r="BE127" i="5"/>
  <c r="BE128" i="5"/>
  <c r="BE129" i="5"/>
  <c r="BE130" i="5"/>
  <c r="BE131" i="5"/>
  <c r="BE132" i="5"/>
  <c r="BE3" i="5"/>
  <c r="BE133" i="5"/>
  <c r="BE134" i="5"/>
  <c r="BE4" i="5"/>
  <c r="BE135" i="5"/>
  <c r="BE136" i="5"/>
  <c r="BE254" i="5"/>
  <c r="BE137" i="5"/>
  <c r="BE138" i="5"/>
  <c r="BE139" i="5"/>
  <c r="BE140" i="5"/>
  <c r="BE141" i="5"/>
  <c r="BE142" i="5"/>
  <c r="BE143" i="5"/>
  <c r="BE144" i="5"/>
  <c r="BE145" i="5"/>
  <c r="BE146" i="5"/>
  <c r="BE275" i="5"/>
  <c r="BE147" i="5"/>
  <c r="BE148" i="5"/>
  <c r="BE149" i="5"/>
  <c r="BE150" i="5"/>
  <c r="BE276" i="5"/>
  <c r="BE277" i="5"/>
  <c r="BE278" i="5"/>
  <c r="BE151" i="5"/>
  <c r="BE152" i="5"/>
  <c r="BE279" i="5"/>
  <c r="BE153" i="5"/>
  <c r="BE154" i="5"/>
  <c r="BE155" i="5"/>
  <c r="BE156" i="5"/>
  <c r="BE157" i="5"/>
  <c r="BE158" i="5"/>
  <c r="BE159" i="5"/>
  <c r="BE160" i="5"/>
  <c r="BE161" i="5"/>
  <c r="BE162" i="5"/>
  <c r="BE255" i="5"/>
  <c r="BE256" i="5"/>
  <c r="BE163" i="5"/>
  <c r="BE164" i="5"/>
  <c r="BE165" i="5"/>
  <c r="BE166" i="5"/>
  <c r="BE16" i="5"/>
  <c r="BE17" i="5"/>
  <c r="BE18" i="5"/>
  <c r="BE167" i="5"/>
  <c r="BE168" i="5"/>
  <c r="BE169" i="5"/>
  <c r="BE170" i="5"/>
  <c r="BE171" i="5"/>
  <c r="BE172" i="5"/>
  <c r="BE173" i="5"/>
  <c r="BE174" i="5"/>
  <c r="BE175" i="5"/>
  <c r="BE176" i="5"/>
  <c r="BE177" i="5"/>
  <c r="BE178" i="5"/>
  <c r="BE179" i="5"/>
  <c r="BE180" i="5"/>
  <c r="BE181" i="5"/>
  <c r="BE182" i="5"/>
  <c r="BE183" i="5"/>
  <c r="BE184" i="5"/>
  <c r="BE185" i="5"/>
  <c r="BE186" i="5"/>
  <c r="BE187" i="5"/>
  <c r="BE188" i="5"/>
  <c r="BE189" i="5"/>
  <c r="BE190" i="5"/>
  <c r="BE191" i="5"/>
  <c r="BE192" i="5"/>
  <c r="BE280" i="5"/>
  <c r="BE281" i="5"/>
  <c r="BE282" i="5"/>
  <c r="BE193" i="5"/>
  <c r="BE194" i="5"/>
  <c r="BE195" i="5"/>
  <c r="BE283" i="5"/>
  <c r="BE285" i="5"/>
  <c r="BE286" i="5"/>
  <c r="BE5" i="5"/>
  <c r="BE287" i="5"/>
  <c r="BE288" i="5"/>
  <c r="BE289" i="5"/>
  <c r="BE290" i="5"/>
  <c r="BE196" i="5"/>
  <c r="BE197" i="5"/>
  <c r="BE198" i="5"/>
  <c r="BE199" i="5"/>
  <c r="BE292" i="5"/>
  <c r="BE200" i="5"/>
  <c r="BE21" i="5"/>
  <c r="BE201" i="5"/>
  <c r="BE202" i="5"/>
  <c r="BE203" i="5"/>
  <c r="BE204" i="5"/>
  <c r="BE205" i="5"/>
  <c r="BE206" i="5"/>
  <c r="BE22" i="5"/>
  <c r="BE23" i="5"/>
  <c r="BE24" i="5"/>
  <c r="BE207" i="5"/>
  <c r="BE25" i="5"/>
  <c r="BE26" i="5"/>
  <c r="BE6" i="5"/>
  <c r="BE7" i="5"/>
  <c r="BE208" i="5"/>
  <c r="BE209" i="5"/>
  <c r="BE293" i="5"/>
  <c r="BE210" i="5"/>
  <c r="BE211" i="5"/>
  <c r="BE212" i="5"/>
  <c r="BE257" i="5"/>
  <c r="BE213" i="5"/>
  <c r="BE27" i="5"/>
  <c r="BE214" i="5"/>
  <c r="BE215" i="5"/>
  <c r="BE216" i="5"/>
  <c r="BE217" i="5"/>
  <c r="BE218" i="5"/>
  <c r="BE28" i="5"/>
  <c r="BE219" i="5"/>
  <c r="BE220" i="5"/>
  <c r="BE221" i="5"/>
  <c r="BE222" i="5"/>
  <c r="BE223" i="5"/>
  <c r="BE224" i="5"/>
  <c r="BE225" i="5"/>
  <c r="BE226" i="5"/>
  <c r="BE227" i="5"/>
  <c r="BE228" i="5"/>
  <c r="BE294" i="5"/>
  <c r="BE295" i="5"/>
  <c r="BE8" i="5"/>
  <c r="BE229" i="5"/>
  <c r="BE230" i="5"/>
  <c r="BE231" i="5"/>
  <c r="BE296" i="5"/>
  <c r="BE232" i="5"/>
  <c r="BE29" i="5"/>
  <c r="BE30" i="5"/>
  <c r="BE31" i="5"/>
  <c r="BE32" i="5"/>
  <c r="BE33" i="5"/>
  <c r="BE233" i="5"/>
  <c r="BE34" i="5"/>
  <c r="BE234" i="5"/>
  <c r="BE235" i="5"/>
  <c r="BE236" i="5"/>
  <c r="BE237" i="5"/>
  <c r="BE238" i="5"/>
  <c r="BE239" i="5"/>
  <c r="BE240" i="5"/>
  <c r="BE241" i="5"/>
  <c r="BE242" i="5"/>
  <c r="BE243" i="5"/>
  <c r="BE244" i="5"/>
  <c r="BE245" i="5"/>
  <c r="BE246" i="5"/>
  <c r="BE247" i="5"/>
  <c r="BE248" i="5"/>
  <c r="BE249" i="5"/>
  <c r="BE35" i="5"/>
  <c r="BE297" i="5"/>
  <c r="BE36" i="5"/>
  <c r="BE37" i="5"/>
  <c r="BE250" i="5"/>
  <c r="BE251" i="5"/>
  <c r="BE299" i="5"/>
  <c r="BE300" i="5"/>
  <c r="BE301" i="5"/>
  <c r="BE302" i="5"/>
  <c r="BE304" i="5"/>
  <c r="BE305" i="5"/>
  <c r="BE306" i="5"/>
  <c r="BE307" i="5"/>
  <c r="BE308" i="5"/>
  <c r="BE309" i="5"/>
  <c r="BE310" i="5"/>
  <c r="BE311" i="5"/>
  <c r="BE312" i="5"/>
  <c r="BE313" i="5"/>
  <c r="BE314" i="5"/>
  <c r="BE315" i="5"/>
  <c r="BE316" i="5"/>
  <c r="BE317" i="5"/>
  <c r="BE318" i="5"/>
  <c r="BE319" i="5"/>
  <c r="BE320" i="5"/>
  <c r="BE321" i="5"/>
  <c r="BE322" i="5"/>
  <c r="BE323" i="5"/>
  <c r="BE324" i="5"/>
  <c r="BE325" i="5"/>
  <c r="BE326" i="5"/>
  <c r="BE327" i="5"/>
  <c r="BE328" i="5"/>
  <c r="BE329" i="5"/>
  <c r="BE330" i="5"/>
  <c r="BE331" i="5"/>
  <c r="BE332" i="5"/>
  <c r="BE333" i="5"/>
  <c r="BE334" i="5"/>
  <c r="BE335" i="5"/>
  <c r="BE337" i="5"/>
  <c r="BE338" i="5"/>
  <c r="BE339" i="5"/>
  <c r="BE340" i="5"/>
  <c r="BE341" i="5"/>
  <c r="BE342" i="5"/>
  <c r="BE343" i="5"/>
  <c r="BE344" i="5"/>
  <c r="BE345" i="5"/>
  <c r="BE346" i="5"/>
  <c r="BE336" i="5"/>
  <c r="BE347" i="5"/>
  <c r="BE348" i="5"/>
  <c r="BE349" i="5"/>
  <c r="BE350" i="5"/>
  <c r="BE351" i="5"/>
  <c r="BE352" i="5"/>
  <c r="BE353" i="5"/>
  <c r="BE354" i="5"/>
  <c r="BE355" i="5"/>
  <c r="BE356" i="5"/>
  <c r="BE357" i="5"/>
  <c r="BE358" i="5"/>
  <c r="BE359" i="5"/>
  <c r="BE360" i="5"/>
  <c r="BE361" i="5"/>
  <c r="BE362" i="5"/>
  <c r="BE363" i="5"/>
  <c r="BE364" i="5"/>
  <c r="BE365" i="5"/>
  <c r="BE366" i="5"/>
  <c r="BE367" i="5"/>
  <c r="BE368" i="5"/>
  <c r="BE369" i="5"/>
  <c r="BE370" i="5"/>
  <c r="BE371" i="5"/>
  <c r="BE372" i="5"/>
  <c r="BE373" i="5"/>
  <c r="BE374" i="5"/>
  <c r="BE375" i="5"/>
  <c r="BE376" i="5"/>
  <c r="BE377" i="5"/>
  <c r="BE378" i="5"/>
  <c r="BE379" i="5"/>
  <c r="BE380" i="5"/>
  <c r="BE382" i="5"/>
  <c r="BE383" i="5"/>
  <c r="BE384" i="5"/>
  <c r="BE385" i="5"/>
  <c r="BE387" i="5"/>
  <c r="BE388" i="5"/>
  <c r="BE389" i="5"/>
  <c r="BE390" i="5"/>
  <c r="BE391" i="5"/>
  <c r="BE392" i="5"/>
  <c r="BE393" i="5"/>
  <c r="BE394" i="5"/>
  <c r="BE395" i="5"/>
  <c r="BE396" i="5"/>
  <c r="BE397" i="5"/>
  <c r="BE398" i="5"/>
  <c r="BE399" i="5"/>
  <c r="BE400" i="5"/>
  <c r="BE401" i="5"/>
  <c r="BE402" i="5"/>
  <c r="BE403" i="5"/>
  <c r="BE404" i="5"/>
  <c r="BE405" i="5"/>
  <c r="BE406" i="5"/>
  <c r="BE407" i="5"/>
  <c r="BE408" i="5"/>
  <c r="BE409" i="5"/>
  <c r="BE410" i="5"/>
  <c r="BE411" i="5"/>
  <c r="BE291" i="5"/>
  <c r="BC291" i="5"/>
  <c r="BC386" i="5"/>
  <c r="BC38" i="5"/>
  <c r="BC39" i="5"/>
  <c r="BC40" i="5"/>
  <c r="BC41" i="5"/>
  <c r="BC42" i="5"/>
  <c r="BC43" i="5"/>
  <c r="BC44" i="5"/>
  <c r="BC45" i="5"/>
  <c r="BC46" i="5"/>
  <c r="BC47" i="5"/>
  <c r="BC48" i="5"/>
  <c r="BC49" i="5"/>
  <c r="BC50" i="5"/>
  <c r="BC51" i="5"/>
  <c r="BC52" i="5"/>
  <c r="BC53" i="5"/>
  <c r="BC263" i="5"/>
  <c r="BC54" i="5"/>
  <c r="BC264" i="5"/>
  <c r="BC265" i="5"/>
  <c r="BC55" i="5"/>
  <c r="BC56" i="5"/>
  <c r="BC57" i="5"/>
  <c r="BC58" i="5"/>
  <c r="BC59" i="5"/>
  <c r="BC60" i="5"/>
  <c r="BC61" i="5"/>
  <c r="BC62" i="5"/>
  <c r="BC63" i="5"/>
  <c r="BC64" i="5"/>
  <c r="BC65" i="5"/>
  <c r="BC66" i="5"/>
  <c r="BC67" i="5"/>
  <c r="BC68" i="5"/>
  <c r="BC69" i="5"/>
  <c r="BC70" i="5"/>
  <c r="BC71" i="5"/>
  <c r="BC72" i="5"/>
  <c r="BC9" i="5"/>
  <c r="BC73" i="5"/>
  <c r="BC74" i="5"/>
  <c r="BC75" i="5"/>
  <c r="BC76" i="5"/>
  <c r="BC77" i="5"/>
  <c r="BC78" i="5"/>
  <c r="BC79" i="5"/>
  <c r="BC80" i="5"/>
  <c r="BC81" i="5"/>
  <c r="BC266" i="5"/>
  <c r="BC82" i="5"/>
  <c r="BC83" i="5"/>
  <c r="BC84" i="5"/>
  <c r="BC85" i="5"/>
  <c r="BC258" i="5"/>
  <c r="BC259" i="5"/>
  <c r="BC86" i="5"/>
  <c r="BC260" i="5"/>
  <c r="BC252" i="5"/>
  <c r="BC87" i="5"/>
  <c r="BC88" i="5"/>
  <c r="BC89" i="5"/>
  <c r="BC90" i="5"/>
  <c r="BC91" i="5"/>
  <c r="BC92" i="5"/>
  <c r="BC10" i="5"/>
  <c r="BC11" i="5"/>
  <c r="BC93" i="5"/>
  <c r="BC94" i="5"/>
  <c r="BC95" i="5"/>
  <c r="BC261" i="5"/>
  <c r="BC96" i="5"/>
  <c r="BC253" i="5"/>
  <c r="BC262" i="5"/>
  <c r="BC97" i="5"/>
  <c r="BC98" i="5"/>
  <c r="BC99" i="5"/>
  <c r="BC100" i="5"/>
  <c r="BC101" i="5"/>
  <c r="BC102" i="5"/>
  <c r="BC103" i="5"/>
  <c r="BC104" i="5"/>
  <c r="BC105" i="5"/>
  <c r="BC106" i="5"/>
  <c r="BC107" i="5"/>
  <c r="BC108" i="5"/>
  <c r="BC109" i="5"/>
  <c r="BC110" i="5"/>
  <c r="BC111" i="5"/>
  <c r="BC112" i="5"/>
  <c r="BC113" i="5"/>
  <c r="BC114" i="5"/>
  <c r="BC2" i="5"/>
  <c r="BC115" i="5"/>
  <c r="BC116" i="5"/>
  <c r="BC267" i="5"/>
  <c r="BC268" i="5"/>
  <c r="BC12" i="5"/>
  <c r="BC117" i="5"/>
  <c r="BC13" i="5"/>
  <c r="BC269" i="5"/>
  <c r="BC270" i="5"/>
  <c r="BC271" i="5"/>
  <c r="BC14" i="5"/>
  <c r="BC119" i="5"/>
  <c r="BC120" i="5"/>
  <c r="BC272" i="5"/>
  <c r="BC121" i="5"/>
  <c r="BC122" i="5"/>
  <c r="BC123" i="5"/>
  <c r="BC124" i="5"/>
  <c r="BC15" i="5"/>
  <c r="BC273" i="5"/>
  <c r="BC125" i="5"/>
  <c r="BC126" i="5"/>
  <c r="BC274" i="5"/>
  <c r="BC127" i="5"/>
  <c r="BC128" i="5"/>
  <c r="BC129" i="5"/>
  <c r="BC130" i="5"/>
  <c r="BC131" i="5"/>
  <c r="BC132" i="5"/>
  <c r="BC3" i="5"/>
  <c r="BC133" i="5"/>
  <c r="BC134" i="5"/>
  <c r="BC4" i="5"/>
  <c r="BC135" i="5"/>
  <c r="BC136" i="5"/>
  <c r="BC254" i="5"/>
  <c r="BC137" i="5"/>
  <c r="BC138" i="5"/>
  <c r="BC139" i="5"/>
  <c r="BC140" i="5"/>
  <c r="BC141" i="5"/>
  <c r="BC142" i="5"/>
  <c r="BC143" i="5"/>
  <c r="BC144" i="5"/>
  <c r="BC145" i="5"/>
  <c r="BC146" i="5"/>
  <c r="BC275" i="5"/>
  <c r="BC147" i="5"/>
  <c r="BC148" i="5"/>
  <c r="BC149" i="5"/>
  <c r="BC150" i="5"/>
  <c r="BC276" i="5"/>
  <c r="BC277" i="5"/>
  <c r="BC278" i="5"/>
  <c r="BC151" i="5"/>
  <c r="BC152" i="5"/>
  <c r="BC279" i="5"/>
  <c r="BC153" i="5"/>
  <c r="BC154" i="5"/>
  <c r="BC155" i="5"/>
  <c r="BC156" i="5"/>
  <c r="BC157" i="5"/>
  <c r="BC158" i="5"/>
  <c r="BC159" i="5"/>
  <c r="BC160" i="5"/>
  <c r="BC161" i="5"/>
  <c r="BC162" i="5"/>
  <c r="BC255" i="5"/>
  <c r="BC256" i="5"/>
  <c r="BC163" i="5"/>
  <c r="BC164" i="5"/>
  <c r="BC165" i="5"/>
  <c r="BC166" i="5"/>
  <c r="BC16" i="5"/>
  <c r="BC17" i="5"/>
  <c r="BC18" i="5"/>
  <c r="BC167" i="5"/>
  <c r="BC168" i="5"/>
  <c r="BC169" i="5"/>
  <c r="BC170" i="5"/>
  <c r="BC171" i="5"/>
  <c r="BC172" i="5"/>
  <c r="BC173" i="5"/>
  <c r="BC174" i="5"/>
  <c r="BC175" i="5"/>
  <c r="BC176" i="5"/>
  <c r="BC177" i="5"/>
  <c r="BC178" i="5"/>
  <c r="BC179" i="5"/>
  <c r="BC180" i="5"/>
  <c r="BC181" i="5"/>
  <c r="BC182" i="5"/>
  <c r="BC183" i="5"/>
  <c r="BC184" i="5"/>
  <c r="BC185" i="5"/>
  <c r="BC186" i="5"/>
  <c r="BC187" i="5"/>
  <c r="BC188" i="5"/>
  <c r="BC189" i="5"/>
  <c r="BC190" i="5"/>
  <c r="BC191" i="5"/>
  <c r="BC192" i="5"/>
  <c r="BC280" i="5"/>
  <c r="BC281" i="5"/>
  <c r="BC282" i="5"/>
  <c r="BC193" i="5"/>
  <c r="BC194" i="5"/>
  <c r="BC195" i="5"/>
  <c r="BC283" i="5"/>
  <c r="BC284" i="5"/>
  <c r="BC285" i="5"/>
  <c r="BC286" i="5"/>
  <c r="BC5" i="5"/>
  <c r="BC287" i="5"/>
  <c r="BC288" i="5"/>
  <c r="BC289" i="5"/>
  <c r="BC290" i="5"/>
  <c r="BC196" i="5"/>
  <c r="BC197" i="5"/>
  <c r="BC198" i="5"/>
  <c r="BC199" i="5"/>
  <c r="BC292" i="5"/>
  <c r="BC200" i="5"/>
  <c r="BC21" i="5"/>
  <c r="BC201" i="5"/>
  <c r="BC202" i="5"/>
  <c r="BC203" i="5"/>
  <c r="BC204" i="5"/>
  <c r="BC205" i="5"/>
  <c r="BC206" i="5"/>
  <c r="BC22" i="5"/>
  <c r="BC23" i="5"/>
  <c r="BC24" i="5"/>
  <c r="BC207" i="5"/>
  <c r="BC25" i="5"/>
  <c r="BC26" i="5"/>
  <c r="BC6" i="5"/>
  <c r="BC7" i="5"/>
  <c r="BC208" i="5"/>
  <c r="BC209" i="5"/>
  <c r="BC293" i="5"/>
  <c r="BC210" i="5"/>
  <c r="BC211" i="5"/>
  <c r="BC212" i="5"/>
  <c r="BC257" i="5"/>
  <c r="BC213" i="5"/>
  <c r="BC27" i="5"/>
  <c r="BC214" i="5"/>
  <c r="BC215" i="5"/>
  <c r="BC216" i="5"/>
  <c r="BC217" i="5"/>
  <c r="BC218" i="5"/>
  <c r="BC28" i="5"/>
  <c r="BC219" i="5"/>
  <c r="BC220" i="5"/>
  <c r="BC221" i="5"/>
  <c r="BC222" i="5"/>
  <c r="BC223" i="5"/>
  <c r="BC224" i="5"/>
  <c r="BC225" i="5"/>
  <c r="BC226" i="5"/>
  <c r="BC227" i="5"/>
  <c r="BC228" i="5"/>
  <c r="BC294" i="5"/>
  <c r="BC295" i="5"/>
  <c r="BC8" i="5"/>
  <c r="BC229" i="5"/>
  <c r="BC230" i="5"/>
  <c r="BC231" i="5"/>
  <c r="BC296" i="5"/>
  <c r="BC232" i="5"/>
  <c r="BC29" i="5"/>
  <c r="BC30" i="5"/>
  <c r="BC31" i="5"/>
  <c r="BC32" i="5"/>
  <c r="BC33" i="5"/>
  <c r="BC233" i="5"/>
  <c r="BC34" i="5"/>
  <c r="BC234" i="5"/>
  <c r="BC235" i="5"/>
  <c r="BC236" i="5"/>
  <c r="BC237" i="5"/>
  <c r="BC238" i="5"/>
  <c r="BC239" i="5"/>
  <c r="BC240" i="5"/>
  <c r="BC241" i="5"/>
  <c r="BC242" i="5"/>
  <c r="BC243" i="5"/>
  <c r="BC244" i="5"/>
  <c r="BC245" i="5"/>
  <c r="BC246" i="5"/>
  <c r="BC247" i="5"/>
  <c r="BC248" i="5"/>
  <c r="BC249" i="5"/>
  <c r="BC35" i="5"/>
  <c r="BC297" i="5"/>
  <c r="BC36" i="5"/>
  <c r="BC37" i="5"/>
  <c r="BC250" i="5"/>
  <c r="BC251" i="5"/>
  <c r="BC299" i="5"/>
  <c r="BC300" i="5"/>
  <c r="BC301" i="5"/>
  <c r="BC302" i="5"/>
  <c r="BC304" i="5"/>
  <c r="BC305" i="5"/>
  <c r="BC306" i="5"/>
  <c r="BC307" i="5"/>
  <c r="BC308" i="5"/>
  <c r="BC309" i="5"/>
  <c r="BC310" i="5"/>
  <c r="BC311" i="5"/>
  <c r="BC312" i="5"/>
  <c r="BC313" i="5"/>
  <c r="BC314" i="5"/>
  <c r="BC315" i="5"/>
  <c r="BC316" i="5"/>
  <c r="BC317" i="5"/>
  <c r="BC318" i="5"/>
  <c r="BC319" i="5"/>
  <c r="BC320" i="5"/>
  <c r="BC321" i="5"/>
  <c r="BC322" i="5"/>
  <c r="BC323" i="5"/>
  <c r="BC324" i="5"/>
  <c r="BC325" i="5"/>
  <c r="BC326" i="5"/>
  <c r="BC327" i="5"/>
  <c r="BC328" i="5"/>
  <c r="BC329" i="5"/>
  <c r="BC330" i="5"/>
  <c r="BC331" i="5"/>
  <c r="BC332" i="5"/>
  <c r="BC333" i="5"/>
  <c r="BC334" i="5"/>
  <c r="BC335" i="5"/>
  <c r="BC337" i="5"/>
  <c r="BC338" i="5"/>
  <c r="BC339" i="5"/>
  <c r="BC340" i="5"/>
  <c r="BC341" i="5"/>
  <c r="BC342" i="5"/>
  <c r="BC343" i="5"/>
  <c r="BC344" i="5"/>
  <c r="BC345" i="5"/>
  <c r="BC346" i="5"/>
  <c r="BC336" i="5"/>
  <c r="BC347" i="5"/>
  <c r="BC348" i="5"/>
  <c r="BC349" i="5"/>
  <c r="BC350" i="5"/>
  <c r="BC351" i="5"/>
  <c r="BC352" i="5"/>
  <c r="BC353" i="5"/>
  <c r="BC354" i="5"/>
  <c r="BC355" i="5"/>
  <c r="BC356" i="5"/>
  <c r="BC357" i="5"/>
  <c r="BC358" i="5"/>
  <c r="BC359" i="5"/>
  <c r="BC360" i="5"/>
  <c r="BC361" i="5"/>
  <c r="BC362" i="5"/>
  <c r="BC363" i="5"/>
  <c r="BC364" i="5"/>
  <c r="BC365" i="5"/>
  <c r="BC366" i="5"/>
  <c r="BC367" i="5"/>
  <c r="BC368" i="5"/>
  <c r="BC369" i="5"/>
  <c r="BC370" i="5"/>
  <c r="BC371" i="5"/>
  <c r="BC372" i="5"/>
  <c r="BC373" i="5"/>
  <c r="BC374" i="5"/>
  <c r="BC375" i="5"/>
  <c r="BC376" i="5"/>
  <c r="BC377" i="5"/>
  <c r="BC378" i="5"/>
  <c r="BC379" i="5"/>
  <c r="BC380" i="5"/>
  <c r="BC382" i="5"/>
  <c r="BC383" i="5"/>
  <c r="BC384" i="5"/>
  <c r="BC385" i="5"/>
  <c r="BC387" i="5"/>
  <c r="BC388" i="5"/>
  <c r="BC389" i="5"/>
  <c r="BC390" i="5"/>
  <c r="BC391" i="5"/>
  <c r="BC392" i="5"/>
  <c r="BC393" i="5"/>
  <c r="BC394" i="5"/>
  <c r="BC395" i="5"/>
  <c r="BC396" i="5"/>
  <c r="BC397" i="5"/>
  <c r="BC398" i="5"/>
  <c r="BC399" i="5"/>
  <c r="BC400" i="5"/>
  <c r="BC401" i="5"/>
  <c r="BC402" i="5"/>
  <c r="BC403" i="5"/>
  <c r="BC404" i="5"/>
  <c r="BC405" i="5"/>
  <c r="BC406" i="5"/>
  <c r="BC407" i="5"/>
  <c r="BC408" i="5"/>
  <c r="BC409" i="5"/>
  <c r="BC410" i="5"/>
  <c r="BC411" i="5"/>
  <c r="BB386" i="5"/>
  <c r="BB38" i="5"/>
  <c r="BB39" i="5"/>
  <c r="BB40" i="5"/>
  <c r="BB41" i="5"/>
  <c r="BB42" i="5"/>
  <c r="BB43" i="5"/>
  <c r="BB44" i="5"/>
  <c r="BB45" i="5"/>
  <c r="BB46" i="5"/>
  <c r="BB47" i="5"/>
  <c r="BB48" i="5"/>
  <c r="BB49" i="5"/>
  <c r="BB50" i="5"/>
  <c r="BB51" i="5"/>
  <c r="BB52" i="5"/>
  <c r="BB53" i="5"/>
  <c r="BB263" i="5"/>
  <c r="BB54" i="5"/>
  <c r="BB264" i="5"/>
  <c r="BB265" i="5"/>
  <c r="BB55" i="5"/>
  <c r="BB56" i="5"/>
  <c r="BB57" i="5"/>
  <c r="BB58" i="5"/>
  <c r="BB59" i="5"/>
  <c r="BB60" i="5"/>
  <c r="BB61" i="5"/>
  <c r="BB62" i="5"/>
  <c r="BB63" i="5"/>
  <c r="BB64" i="5"/>
  <c r="BB65" i="5"/>
  <c r="BB66" i="5"/>
  <c r="BB67" i="5"/>
  <c r="BB68" i="5"/>
  <c r="BB69" i="5"/>
  <c r="BB70" i="5"/>
  <c r="BB71" i="5"/>
  <c r="BB72" i="5"/>
  <c r="BB9" i="5"/>
  <c r="BB73" i="5"/>
  <c r="BB74" i="5"/>
  <c r="BB75" i="5"/>
  <c r="BB76" i="5"/>
  <c r="BB77" i="5"/>
  <c r="BB78" i="5"/>
  <c r="BB79" i="5"/>
  <c r="BB80" i="5"/>
  <c r="BB81" i="5"/>
  <c r="BB266" i="5"/>
  <c r="BB82" i="5"/>
  <c r="BB83" i="5"/>
  <c r="BB84" i="5"/>
  <c r="BB85" i="5"/>
  <c r="BB258" i="5"/>
  <c r="BB259" i="5"/>
  <c r="BB86" i="5"/>
  <c r="BB260" i="5"/>
  <c r="BB252" i="5"/>
  <c r="BB87" i="5"/>
  <c r="BB88" i="5"/>
  <c r="BB89" i="5"/>
  <c r="BB90" i="5"/>
  <c r="BB91" i="5"/>
  <c r="BB92" i="5"/>
  <c r="BB10" i="5"/>
  <c r="BB11" i="5"/>
  <c r="BB93" i="5"/>
  <c r="BB94" i="5"/>
  <c r="BB95" i="5"/>
  <c r="BB261" i="5"/>
  <c r="BB96" i="5"/>
  <c r="BB253" i="5"/>
  <c r="BB262" i="5"/>
  <c r="BB97" i="5"/>
  <c r="BB98" i="5"/>
  <c r="BB99" i="5"/>
  <c r="BB100" i="5"/>
  <c r="BB101" i="5"/>
  <c r="BB102" i="5"/>
  <c r="BB103" i="5"/>
  <c r="BB104" i="5"/>
  <c r="BB105" i="5"/>
  <c r="BB106" i="5"/>
  <c r="BB107" i="5"/>
  <c r="BB108" i="5"/>
  <c r="BB109" i="5"/>
  <c r="BB110" i="5"/>
  <c r="BB111" i="5"/>
  <c r="BB112" i="5"/>
  <c r="BB113" i="5"/>
  <c r="BB114" i="5"/>
  <c r="BB2" i="5"/>
  <c r="BB115" i="5"/>
  <c r="BB116" i="5"/>
  <c r="BB267" i="5"/>
  <c r="BB268" i="5"/>
  <c r="BB12" i="5"/>
  <c r="BB117" i="5"/>
  <c r="BB13" i="5"/>
  <c r="BB269" i="5"/>
  <c r="BB118" i="5"/>
  <c r="BB270" i="5"/>
  <c r="BB271" i="5"/>
  <c r="BB14" i="5"/>
  <c r="BB119" i="5"/>
  <c r="BB120" i="5"/>
  <c r="BB272" i="5"/>
  <c r="BB121" i="5"/>
  <c r="BB122" i="5"/>
  <c r="BB123" i="5"/>
  <c r="BB124" i="5"/>
  <c r="BB15" i="5"/>
  <c r="BB273" i="5"/>
  <c r="BB125" i="5"/>
  <c r="BB126" i="5"/>
  <c r="BB274" i="5"/>
  <c r="BB127" i="5"/>
  <c r="BB128" i="5"/>
  <c r="BB129" i="5"/>
  <c r="BB130" i="5"/>
  <c r="BB131" i="5"/>
  <c r="BB132" i="5"/>
  <c r="BB3" i="5"/>
  <c r="BB133" i="5"/>
  <c r="BB134" i="5"/>
  <c r="BB4" i="5"/>
  <c r="BB135" i="5"/>
  <c r="BB136" i="5"/>
  <c r="BB254" i="5"/>
  <c r="BB137" i="5"/>
  <c r="BB138" i="5"/>
  <c r="BB139" i="5"/>
  <c r="BB140" i="5"/>
  <c r="BB141" i="5"/>
  <c r="BB142" i="5"/>
  <c r="BB143" i="5"/>
  <c r="BB144" i="5"/>
  <c r="BB145" i="5"/>
  <c r="BB146" i="5"/>
  <c r="BB275" i="5"/>
  <c r="BB147" i="5"/>
  <c r="BB148" i="5"/>
  <c r="BB149" i="5"/>
  <c r="BB150" i="5"/>
  <c r="BB276" i="5"/>
  <c r="BB277" i="5"/>
  <c r="BB278" i="5"/>
  <c r="BB151" i="5"/>
  <c r="BB152" i="5"/>
  <c r="BB279" i="5"/>
  <c r="BB153" i="5"/>
  <c r="BB154" i="5"/>
  <c r="BB155" i="5"/>
  <c r="BB156" i="5"/>
  <c r="BB157" i="5"/>
  <c r="BB158" i="5"/>
  <c r="BB159" i="5"/>
  <c r="BB160" i="5"/>
  <c r="BB161" i="5"/>
  <c r="BB162" i="5"/>
  <c r="BB255" i="5"/>
  <c r="BB256" i="5"/>
  <c r="BB163" i="5"/>
  <c r="BB164" i="5"/>
  <c r="BB165" i="5"/>
  <c r="BB166" i="5"/>
  <c r="BB16" i="5"/>
  <c r="BB17" i="5"/>
  <c r="BB18" i="5"/>
  <c r="BB167" i="5"/>
  <c r="BB168" i="5"/>
  <c r="BB169" i="5"/>
  <c r="BB170" i="5"/>
  <c r="BB171" i="5"/>
  <c r="BB172" i="5"/>
  <c r="BB173" i="5"/>
  <c r="BB174" i="5"/>
  <c r="BB175" i="5"/>
  <c r="BB176" i="5"/>
  <c r="BB177" i="5"/>
  <c r="BB178" i="5"/>
  <c r="BB179" i="5"/>
  <c r="BB180" i="5"/>
  <c r="BB181" i="5"/>
  <c r="BB182" i="5"/>
  <c r="BB183" i="5"/>
  <c r="BB184" i="5"/>
  <c r="BB185" i="5"/>
  <c r="BB186" i="5"/>
  <c r="BB187" i="5"/>
  <c r="BB188" i="5"/>
  <c r="BB189" i="5"/>
  <c r="BB190" i="5"/>
  <c r="BB191" i="5"/>
  <c r="BB192" i="5"/>
  <c r="BB280" i="5"/>
  <c r="BB281" i="5"/>
  <c r="BB282" i="5"/>
  <c r="BB193" i="5"/>
  <c r="BB194" i="5"/>
  <c r="BB195" i="5"/>
  <c r="BB283" i="5"/>
  <c r="BB284" i="5"/>
  <c r="BB285" i="5"/>
  <c r="BB286" i="5"/>
  <c r="BB5" i="5"/>
  <c r="BB287" i="5"/>
  <c r="BB288" i="5"/>
  <c r="BB289" i="5"/>
  <c r="BB290" i="5"/>
  <c r="BB196" i="5"/>
  <c r="BB197" i="5"/>
  <c r="BB198" i="5"/>
  <c r="BB199" i="5"/>
  <c r="BB292" i="5"/>
  <c r="BB200" i="5"/>
  <c r="BB21" i="5"/>
  <c r="BB201" i="5"/>
  <c r="BB202" i="5"/>
  <c r="BB203" i="5"/>
  <c r="BB204" i="5"/>
  <c r="BB205" i="5"/>
  <c r="BB206" i="5"/>
  <c r="BB22" i="5"/>
  <c r="BB23" i="5"/>
  <c r="BB24" i="5"/>
  <c r="BB207" i="5"/>
  <c r="BB25" i="5"/>
  <c r="BB26" i="5"/>
  <c r="BB6" i="5"/>
  <c r="BB7" i="5"/>
  <c r="BB208" i="5"/>
  <c r="BB209" i="5"/>
  <c r="BB293" i="5"/>
  <c r="BB210" i="5"/>
  <c r="BB211" i="5"/>
  <c r="BB212" i="5"/>
  <c r="BB257" i="5"/>
  <c r="BB213" i="5"/>
  <c r="BB27" i="5"/>
  <c r="BB214" i="5"/>
  <c r="BB215" i="5"/>
  <c r="BB216" i="5"/>
  <c r="BB217" i="5"/>
  <c r="BB218" i="5"/>
  <c r="BB28" i="5"/>
  <c r="BB219" i="5"/>
  <c r="BB220" i="5"/>
  <c r="BB221" i="5"/>
  <c r="BB222" i="5"/>
  <c r="BB223" i="5"/>
  <c r="BB224" i="5"/>
  <c r="BB225" i="5"/>
  <c r="BB226" i="5"/>
  <c r="BB227" i="5"/>
  <c r="BB228" i="5"/>
  <c r="BB294" i="5"/>
  <c r="BB295" i="5"/>
  <c r="BB8" i="5"/>
  <c r="BB229" i="5"/>
  <c r="BB230" i="5"/>
  <c r="BB231" i="5"/>
  <c r="BB296" i="5"/>
  <c r="BB232" i="5"/>
  <c r="BB29" i="5"/>
  <c r="BB30" i="5"/>
  <c r="BB31" i="5"/>
  <c r="BB32" i="5"/>
  <c r="BB33" i="5"/>
  <c r="BB233" i="5"/>
  <c r="BB34" i="5"/>
  <c r="BB234" i="5"/>
  <c r="BB235" i="5"/>
  <c r="BB236" i="5"/>
  <c r="BB237" i="5"/>
  <c r="BB238" i="5"/>
  <c r="BB239" i="5"/>
  <c r="BB240" i="5"/>
  <c r="BB241" i="5"/>
  <c r="BB242" i="5"/>
  <c r="BB243" i="5"/>
  <c r="BB244" i="5"/>
  <c r="BB245" i="5"/>
  <c r="BB246" i="5"/>
  <c r="BB247" i="5"/>
  <c r="BB248" i="5"/>
  <c r="BB249" i="5"/>
  <c r="BB35" i="5"/>
  <c r="BB297" i="5"/>
  <c r="BB36" i="5"/>
  <c r="BB37" i="5"/>
  <c r="BB250" i="5"/>
  <c r="BB251" i="5"/>
  <c r="BB299" i="5"/>
  <c r="BB300" i="5"/>
  <c r="BB301" i="5"/>
  <c r="BB302" i="5"/>
  <c r="BB304" i="5"/>
  <c r="BB305" i="5"/>
  <c r="BB306" i="5"/>
  <c r="BB307" i="5"/>
  <c r="BB308" i="5"/>
  <c r="BB309" i="5"/>
  <c r="BB310" i="5"/>
  <c r="BB311" i="5"/>
  <c r="BB312" i="5"/>
  <c r="BB313" i="5"/>
  <c r="BB314" i="5"/>
  <c r="BB315" i="5"/>
  <c r="BB316" i="5"/>
  <c r="BB317" i="5"/>
  <c r="BB318" i="5"/>
  <c r="BB319" i="5"/>
  <c r="BB320" i="5"/>
  <c r="BB321" i="5"/>
  <c r="BB322" i="5"/>
  <c r="BB323" i="5"/>
  <c r="BB324" i="5"/>
  <c r="BB325" i="5"/>
  <c r="BB326" i="5"/>
  <c r="BB327" i="5"/>
  <c r="BB328" i="5"/>
  <c r="BB329" i="5"/>
  <c r="BB330" i="5"/>
  <c r="BB331" i="5"/>
  <c r="BB332" i="5"/>
  <c r="BB333" i="5"/>
  <c r="BB334" i="5"/>
  <c r="BB335" i="5"/>
  <c r="BB337" i="5"/>
  <c r="BB338" i="5"/>
  <c r="BB339" i="5"/>
  <c r="BB340" i="5"/>
  <c r="BB341" i="5"/>
  <c r="BB342" i="5"/>
  <c r="BB343" i="5"/>
  <c r="BB344" i="5"/>
  <c r="BB345" i="5"/>
  <c r="BB346" i="5"/>
  <c r="BB336" i="5"/>
  <c r="BB347" i="5"/>
  <c r="BB348" i="5"/>
  <c r="BB349" i="5"/>
  <c r="BB350" i="5"/>
  <c r="BB351" i="5"/>
  <c r="BB352" i="5"/>
  <c r="BB353" i="5"/>
  <c r="BB354" i="5"/>
  <c r="BB355" i="5"/>
  <c r="BB356" i="5"/>
  <c r="BB357" i="5"/>
  <c r="BB358" i="5"/>
  <c r="BB359" i="5"/>
  <c r="BB360" i="5"/>
  <c r="BB361" i="5"/>
  <c r="BB362" i="5"/>
  <c r="BB363" i="5"/>
  <c r="BB364" i="5"/>
  <c r="BB365" i="5"/>
  <c r="BB366" i="5"/>
  <c r="BB367" i="5"/>
  <c r="BB368" i="5"/>
  <c r="BB369" i="5"/>
  <c r="BB370" i="5"/>
  <c r="BB371" i="5"/>
  <c r="BB372" i="5"/>
  <c r="BB373" i="5"/>
  <c r="BB374" i="5"/>
  <c r="BB375" i="5"/>
  <c r="BB376" i="5"/>
  <c r="BB377" i="5"/>
  <c r="BB378" i="5"/>
  <c r="BB379" i="5"/>
  <c r="BB380" i="5"/>
  <c r="BB382" i="5"/>
  <c r="BB383" i="5"/>
  <c r="BB384" i="5"/>
  <c r="BB385" i="5"/>
  <c r="BB387" i="5"/>
  <c r="BB388" i="5"/>
  <c r="BB389" i="5"/>
  <c r="BB390" i="5"/>
  <c r="BB391" i="5"/>
  <c r="BB392" i="5"/>
  <c r="BB393" i="5"/>
  <c r="BB394" i="5"/>
  <c r="BB395" i="5"/>
  <c r="BB396" i="5"/>
  <c r="BB397" i="5"/>
  <c r="BB398" i="5"/>
  <c r="BB399" i="5"/>
  <c r="BB400" i="5"/>
  <c r="BB401" i="5"/>
  <c r="BB402" i="5"/>
  <c r="BB403" i="5"/>
  <c r="BB404" i="5"/>
  <c r="BB405" i="5"/>
  <c r="BB406" i="5"/>
  <c r="BB407" i="5"/>
  <c r="BB408" i="5"/>
  <c r="BB409" i="5"/>
  <c r="BB410" i="5"/>
  <c r="BB411" i="5"/>
  <c r="BB291" i="5"/>
  <c r="W46" i="2"/>
  <c r="H46" i="2"/>
  <c r="T32" i="2"/>
  <c r="T41" i="2"/>
  <c r="T43" i="2"/>
  <c r="T35" i="2"/>
  <c r="T34" i="2"/>
  <c r="T33" i="2"/>
  <c r="T26" i="2"/>
  <c r="T15" i="2"/>
  <c r="T8" i="2"/>
  <c r="T30" i="2"/>
  <c r="T7" i="2"/>
  <c r="T39" i="2"/>
  <c r="T40" i="2"/>
  <c r="T38" i="2"/>
  <c r="T36" i="2"/>
  <c r="T16" i="2"/>
  <c r="T28" i="2"/>
  <c r="T5" i="2"/>
  <c r="T10" i="2"/>
  <c r="T12" i="2"/>
  <c r="T11" i="2"/>
  <c r="T13" i="2"/>
  <c r="AI299" i="4"/>
  <c r="AI300" i="4"/>
  <c r="AI301" i="4"/>
  <c r="AI302" i="4"/>
  <c r="AI306" i="4"/>
  <c r="AI307" i="4"/>
  <c r="AI308" i="4"/>
  <c r="AI309" i="4"/>
  <c r="AI312" i="4"/>
  <c r="AI313" i="4"/>
  <c r="AI314" i="4"/>
  <c r="AI310" i="4"/>
  <c r="AI311" i="4"/>
  <c r="AI330" i="4"/>
  <c r="AI345" i="4"/>
  <c r="AI343" i="4"/>
  <c r="AI344" i="4"/>
  <c r="AI334" i="4"/>
  <c r="AI346" i="4"/>
  <c r="AI333" i="4"/>
  <c r="AI341" i="4"/>
  <c r="AI347" i="4"/>
  <c r="AI328" i="4"/>
  <c r="AI331" i="4"/>
  <c r="AI336" i="4"/>
  <c r="AI335" i="4"/>
  <c r="AI320" i="4"/>
  <c r="AI322" i="4"/>
  <c r="AI323" i="4"/>
  <c r="AI324" i="4"/>
  <c r="AI325" i="4"/>
  <c r="AI326" i="4"/>
  <c r="AI327" i="4"/>
  <c r="AI329" i="4"/>
  <c r="AI337" i="4"/>
  <c r="AI338" i="4"/>
  <c r="AI339" i="4"/>
  <c r="AI340" i="4"/>
  <c r="AI342" i="4"/>
  <c r="AI332" i="4"/>
  <c r="AI321" i="4"/>
  <c r="AI318" i="4"/>
  <c r="AI319" i="4"/>
  <c r="AI317" i="4"/>
  <c r="AI315" i="4"/>
  <c r="AI316" i="4"/>
  <c r="AI354" i="4"/>
  <c r="AI348" i="4"/>
  <c r="AI352" i="4"/>
  <c r="AI353" i="4"/>
  <c r="AI355" i="4"/>
  <c r="AI356" i="4"/>
  <c r="AI357" i="4"/>
  <c r="AI358" i="4"/>
  <c r="AI359" i="4"/>
  <c r="AI360" i="4"/>
  <c r="AI361" i="4"/>
  <c r="AI362" i="4"/>
  <c r="AI363" i="4"/>
  <c r="AI364" i="4"/>
  <c r="AI365" i="4"/>
  <c r="AI349" i="4"/>
  <c r="AI350" i="4"/>
  <c r="AI351" i="4"/>
  <c r="AI366" i="4"/>
  <c r="AI367" i="4"/>
  <c r="AI368" i="4"/>
  <c r="AI369" i="4"/>
  <c r="AI370" i="4"/>
  <c r="AI371" i="4"/>
  <c r="AI372" i="4"/>
  <c r="AI373" i="4"/>
  <c r="AI374" i="4"/>
  <c r="AI375" i="4"/>
  <c r="AI376" i="4"/>
  <c r="AI377" i="4"/>
  <c r="AI379" i="4"/>
  <c r="AI378" i="4"/>
  <c r="AI381" i="4"/>
  <c r="AI384" i="4"/>
  <c r="AI383" i="4"/>
  <c r="AI385" i="4"/>
  <c r="AI386" i="4"/>
  <c r="AI382" i="4"/>
  <c r="AI390" i="4"/>
  <c r="AI389" i="4"/>
  <c r="AI387" i="4"/>
  <c r="AI388" i="4"/>
  <c r="AI391" i="4"/>
  <c r="AI392" i="4"/>
  <c r="AI393" i="4"/>
  <c r="AI394" i="4"/>
  <c r="AI395" i="4"/>
  <c r="AI396" i="4"/>
  <c r="AI397" i="4"/>
  <c r="AI398" i="4"/>
  <c r="AI399" i="4"/>
  <c r="AI400" i="4"/>
  <c r="AI402" i="4"/>
  <c r="AI403" i="4"/>
  <c r="AI404" i="4"/>
  <c r="AI405" i="4"/>
  <c r="AI406" i="4"/>
  <c r="AI407" i="4"/>
  <c r="AI408" i="4"/>
  <c r="AI409" i="4"/>
  <c r="AI410" i="4"/>
  <c r="AI411" i="4"/>
  <c r="AI401" i="4"/>
  <c r="BF79" i="5"/>
  <c r="I41" i="3"/>
  <c r="E10" i="3"/>
  <c r="E11" i="3"/>
  <c r="E12" i="3"/>
  <c r="E13" i="3"/>
  <c r="E15" i="3"/>
  <c r="E16" i="3"/>
  <c r="E17" i="3"/>
  <c r="E18" i="3"/>
  <c r="E19" i="3"/>
  <c r="E20" i="3"/>
  <c r="E21" i="3"/>
  <c r="E22" i="3"/>
  <c r="E23" i="3"/>
  <c r="E25" i="3"/>
  <c r="E26" i="3"/>
  <c r="E27" i="3"/>
  <c r="E38" i="3"/>
  <c r="E28" i="3"/>
  <c r="E29" i="3"/>
  <c r="E39" i="3"/>
  <c r="E40" i="3"/>
  <c r="E41" i="3"/>
  <c r="E30" i="3"/>
  <c r="E31" i="3"/>
  <c r="E32" i="3"/>
  <c r="E33" i="3"/>
  <c r="E34" i="3"/>
  <c r="E35" i="3"/>
  <c r="E36" i="3"/>
  <c r="E37" i="3"/>
  <c r="E6" i="3"/>
  <c r="I34" i="3"/>
  <c r="I29" i="3"/>
  <c r="I20" i="3"/>
  <c r="I27" i="3"/>
  <c r="AM263" i="5"/>
  <c r="D40" i="8"/>
  <c r="D41" i="8"/>
  <c r="D2" i="8"/>
  <c r="D42" i="8"/>
  <c r="D43" i="8"/>
  <c r="D44" i="8"/>
  <c r="D45" i="8"/>
  <c r="D46" i="8"/>
  <c r="D47" i="8"/>
  <c r="D3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4" i="8"/>
  <c r="D61" i="8"/>
  <c r="D62" i="8"/>
  <c r="D5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6" i="8"/>
  <c r="D7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8" i="8"/>
  <c r="D142" i="8"/>
  <c r="D143" i="8"/>
  <c r="D144" i="8"/>
  <c r="D145" i="8"/>
  <c r="D146" i="8"/>
  <c r="D147" i="8"/>
  <c r="D148" i="8"/>
  <c r="D149" i="8"/>
  <c r="D150" i="8"/>
  <c r="D9" i="8"/>
  <c r="D10" i="8"/>
  <c r="D11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2" i="8"/>
  <c r="D173" i="8"/>
  <c r="D174" i="8"/>
  <c r="D175" i="8"/>
  <c r="D176" i="8"/>
  <c r="D177" i="8"/>
  <c r="D178" i="8"/>
  <c r="D179" i="8"/>
  <c r="D180" i="8"/>
  <c r="D181" i="8"/>
  <c r="D182" i="8"/>
  <c r="D13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4" i="8"/>
  <c r="D195" i="8"/>
  <c r="D196" i="8"/>
  <c r="D197" i="8"/>
  <c r="D198" i="8"/>
  <c r="D199" i="8"/>
  <c r="D200" i="8"/>
  <c r="D201" i="8"/>
  <c r="D15" i="8"/>
  <c r="D202" i="8"/>
  <c r="D203" i="8"/>
  <c r="D16" i="8"/>
  <c r="D204" i="8"/>
  <c r="D205" i="8"/>
  <c r="D206" i="8"/>
  <c r="D207" i="8"/>
  <c r="D208" i="8"/>
  <c r="D209" i="8"/>
  <c r="D17" i="8"/>
  <c r="D210" i="8"/>
  <c r="D211" i="8"/>
  <c r="D212" i="8"/>
  <c r="D213" i="8"/>
  <c r="D214" i="8"/>
  <c r="D215" i="8"/>
  <c r="D216" i="8"/>
  <c r="D217" i="8"/>
  <c r="D218" i="8"/>
  <c r="D18" i="8"/>
  <c r="D219" i="8"/>
  <c r="D220" i="8"/>
  <c r="D19" i="8"/>
  <c r="D20" i="8"/>
  <c r="D21" i="8"/>
  <c r="D221" i="8"/>
  <c r="D222" i="8"/>
  <c r="D223" i="8"/>
  <c r="D224" i="8"/>
  <c r="D225" i="8"/>
  <c r="D226" i="8"/>
  <c r="D227" i="8"/>
  <c r="D228" i="8"/>
  <c r="D22" i="8"/>
  <c r="D23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" i="8"/>
  <c r="D259" i="8"/>
  <c r="D260" i="8"/>
  <c r="D261" i="8"/>
  <c r="D262" i="8"/>
  <c r="D263" i="8"/>
  <c r="D26" i="8"/>
  <c r="D264" i="8"/>
  <c r="D265" i="8"/>
  <c r="D266" i="8"/>
  <c r="D267" i="8"/>
  <c r="D268" i="8"/>
  <c r="D269" i="8"/>
  <c r="D270" i="8"/>
  <c r="D271" i="8"/>
  <c r="D272" i="8"/>
  <c r="D273" i="8"/>
  <c r="D27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29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0" i="8"/>
  <c r="D327" i="8"/>
  <c r="D328" i="8"/>
  <c r="D329" i="8"/>
  <c r="D330" i="8"/>
  <c r="D331" i="8"/>
  <c r="D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2" i="8"/>
  <c r="D351" i="8"/>
  <c r="D352" i="8"/>
  <c r="D353" i="8"/>
  <c r="D354" i="8"/>
  <c r="D355" i="8"/>
  <c r="D356" i="8"/>
  <c r="D357" i="8"/>
  <c r="D358" i="8"/>
  <c r="D359" i="8"/>
  <c r="D360" i="8"/>
  <c r="D33" i="8"/>
  <c r="D361" i="8"/>
  <c r="D362" i="8"/>
  <c r="D363" i="8"/>
  <c r="D364" i="8"/>
  <c r="D365" i="8"/>
  <c r="D366" i="8"/>
  <c r="D367" i="8"/>
  <c r="D34" i="8"/>
  <c r="D368" i="8"/>
  <c r="D369" i="8"/>
  <c r="D370" i="8"/>
  <c r="D35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6" i="8"/>
  <c r="D386" i="8"/>
  <c r="D387" i="8"/>
  <c r="D388" i="8"/>
  <c r="D389" i="8"/>
  <c r="D390" i="8"/>
  <c r="D391" i="8"/>
  <c r="D392" i="8"/>
  <c r="D393" i="8"/>
  <c r="D37" i="8"/>
  <c r="D394" i="8"/>
  <c r="D395" i="8"/>
  <c r="D396" i="8"/>
  <c r="D397" i="8"/>
  <c r="D398" i="8"/>
  <c r="D38" i="8"/>
  <c r="D399" i="8"/>
  <c r="D400" i="8"/>
  <c r="D401" i="8"/>
  <c r="D402" i="8"/>
  <c r="D403" i="8"/>
  <c r="D404" i="8"/>
  <c r="D405" i="8"/>
  <c r="D406" i="8"/>
  <c r="D39" i="8"/>
  <c r="G24" i="2"/>
  <c r="K24" i="2"/>
  <c r="G33" i="2"/>
  <c r="G34" i="2"/>
  <c r="G43" i="2"/>
  <c r="K43" i="2"/>
  <c r="G32" i="2"/>
  <c r="G18" i="2"/>
  <c r="K18" i="2"/>
  <c r="G17" i="2"/>
  <c r="K17" i="2"/>
  <c r="T17" i="2"/>
  <c r="G16" i="2"/>
  <c r="G10" i="2"/>
  <c r="K10" i="2"/>
  <c r="G15" i="2"/>
  <c r="K15" i="2"/>
  <c r="G13" i="2"/>
  <c r="K13" i="2"/>
  <c r="G11" i="2"/>
  <c r="K11" i="2"/>
  <c r="G12" i="2"/>
  <c r="K12" i="2"/>
  <c r="G38" i="2"/>
  <c r="K38" i="2"/>
  <c r="G36" i="2"/>
  <c r="K36" i="2"/>
  <c r="G7" i="2"/>
  <c r="K7" i="2"/>
  <c r="G5" i="2"/>
  <c r="K5" i="2"/>
  <c r="G39" i="2"/>
  <c r="K39" i="2"/>
  <c r="G40" i="2"/>
  <c r="K40" i="2"/>
  <c r="G8" i="2"/>
  <c r="G27" i="2"/>
  <c r="G37" i="2"/>
  <c r="K37" i="2"/>
  <c r="T37" i="2"/>
  <c r="G42" i="2"/>
  <c r="G41" i="2"/>
  <c r="K41" i="2"/>
  <c r="G26" i="2"/>
  <c r="K26" i="2"/>
  <c r="G46" i="2"/>
  <c r="G47" i="2"/>
  <c r="K47" i="2"/>
  <c r="W47" i="2"/>
  <c r="G51" i="2"/>
  <c r="G50" i="2"/>
  <c r="G52" i="2"/>
  <c r="G23" i="2"/>
  <c r="G31" i="2"/>
  <c r="T31" i="2"/>
  <c r="G22" i="2"/>
  <c r="G35" i="2"/>
  <c r="G28" i="2"/>
  <c r="G29" i="2"/>
  <c r="AP165" i="5"/>
  <c r="AQ165" i="5"/>
  <c r="AR165" i="5"/>
  <c r="AS165" i="5"/>
  <c r="AT165" i="5"/>
  <c r="AU165" i="5"/>
  <c r="AV165" i="5"/>
  <c r="AW165" i="5"/>
  <c r="AP109" i="5"/>
  <c r="AR109" i="5"/>
  <c r="AT109" i="5"/>
  <c r="AU109" i="5"/>
  <c r="AV109" i="5"/>
  <c r="AW109" i="5"/>
  <c r="AP166" i="5"/>
  <c r="AQ166" i="5"/>
  <c r="AR166" i="5"/>
  <c r="AS166" i="5"/>
  <c r="AT166" i="5"/>
  <c r="AU166" i="5"/>
  <c r="AV166" i="5"/>
  <c r="AW166" i="5"/>
  <c r="AP170" i="5"/>
  <c r="AR170" i="5"/>
  <c r="AT170" i="5"/>
  <c r="AU170" i="5"/>
  <c r="AV170" i="5"/>
  <c r="AW170" i="5"/>
  <c r="AP249" i="5"/>
  <c r="AR249" i="5"/>
  <c r="AT249" i="5"/>
  <c r="AU249" i="5"/>
  <c r="AV249" i="5"/>
  <c r="AW249" i="5"/>
  <c r="AP173" i="5"/>
  <c r="AQ173" i="5"/>
  <c r="AR173" i="5"/>
  <c r="AS173" i="5"/>
  <c r="AT173" i="5"/>
  <c r="AU173" i="5"/>
  <c r="AV173" i="5"/>
  <c r="AW173" i="5"/>
  <c r="AP184" i="5"/>
  <c r="AQ184" i="5"/>
  <c r="AR184" i="5"/>
  <c r="AS184" i="5"/>
  <c r="AT184" i="5"/>
  <c r="AU184" i="5"/>
  <c r="AV184" i="5"/>
  <c r="AW184" i="5"/>
  <c r="AP186" i="5"/>
  <c r="AQ186" i="5"/>
  <c r="AR186" i="5"/>
  <c r="AS186" i="5"/>
  <c r="AT186" i="5"/>
  <c r="AU186" i="5"/>
  <c r="AV186" i="5"/>
  <c r="AW186" i="5"/>
  <c r="AP187" i="5"/>
  <c r="AQ187" i="5"/>
  <c r="AR187" i="5"/>
  <c r="AS187" i="5"/>
  <c r="AT187" i="5"/>
  <c r="AU187" i="5"/>
  <c r="AV187" i="5"/>
  <c r="AW187" i="5"/>
  <c r="AP139" i="5"/>
  <c r="AQ139" i="5"/>
  <c r="AR139" i="5"/>
  <c r="AT139" i="5"/>
  <c r="AU139" i="5"/>
  <c r="AV139" i="5"/>
  <c r="AW139" i="5"/>
  <c r="AP171" i="5"/>
  <c r="AR171" i="5"/>
  <c r="AT171" i="5"/>
  <c r="AU171" i="5"/>
  <c r="AV171" i="5"/>
  <c r="AW171" i="5"/>
  <c r="AP222" i="5"/>
  <c r="AQ222" i="5"/>
  <c r="AR222" i="5"/>
  <c r="AT222" i="5"/>
  <c r="AU222" i="5"/>
  <c r="AV222" i="5"/>
  <c r="AW222" i="5"/>
  <c r="AP77" i="5"/>
  <c r="AQ77" i="5"/>
  <c r="AR77" i="5"/>
  <c r="AT77" i="5"/>
  <c r="AU77" i="5"/>
  <c r="AV77" i="5"/>
  <c r="AW77" i="5"/>
  <c r="AP79" i="5"/>
  <c r="AQ79" i="5"/>
  <c r="AR79" i="5"/>
  <c r="AT79" i="5"/>
  <c r="AU79" i="5"/>
  <c r="AV79" i="5"/>
  <c r="AW79" i="5"/>
  <c r="AP117" i="5"/>
  <c r="AR117" i="5"/>
  <c r="AT117" i="5"/>
  <c r="AU117" i="5"/>
  <c r="AV117" i="5"/>
  <c r="AW117" i="5"/>
  <c r="AP240" i="5"/>
  <c r="AQ240" i="5"/>
  <c r="AR240" i="5"/>
  <c r="AT240" i="5"/>
  <c r="AU240" i="5"/>
  <c r="AV240" i="5"/>
  <c r="AW240" i="5"/>
  <c r="AP263" i="5"/>
  <c r="AQ263" i="5"/>
  <c r="AR263" i="5"/>
  <c r="AS263" i="5"/>
  <c r="AT263" i="5"/>
  <c r="AU263" i="5"/>
  <c r="AV263" i="5"/>
  <c r="AW263" i="5"/>
  <c r="AP227" i="5"/>
  <c r="AR227" i="5"/>
  <c r="AT227" i="5"/>
  <c r="AU227" i="5"/>
  <c r="AV227" i="5"/>
  <c r="AW227" i="5"/>
  <c r="AP183" i="5"/>
  <c r="AQ183" i="5"/>
  <c r="AR183" i="5"/>
  <c r="AS183" i="5"/>
  <c r="AT183" i="5"/>
  <c r="AU183" i="5"/>
  <c r="AV183" i="5"/>
  <c r="AW183" i="5"/>
  <c r="AP208" i="5"/>
  <c r="AR208" i="5"/>
  <c r="AT208" i="5"/>
  <c r="AU208" i="5"/>
  <c r="AV208" i="5"/>
  <c r="AW208" i="5"/>
  <c r="AP225" i="5"/>
  <c r="AQ225" i="5"/>
  <c r="AR225" i="5"/>
  <c r="AT225" i="5"/>
  <c r="AU225" i="5"/>
  <c r="AV225" i="5"/>
  <c r="AW225" i="5"/>
  <c r="AP52" i="5"/>
  <c r="AR52" i="5"/>
  <c r="AT52" i="5"/>
  <c r="AU52" i="5"/>
  <c r="AV52" i="5"/>
  <c r="AW52" i="5"/>
  <c r="AP119" i="5"/>
  <c r="AQ119" i="5"/>
  <c r="AR119" i="5"/>
  <c r="AT119" i="5"/>
  <c r="AU119" i="5"/>
  <c r="AV119" i="5"/>
  <c r="AW119" i="5"/>
  <c r="AP174" i="5"/>
  <c r="AQ174" i="5"/>
  <c r="AR174" i="5"/>
  <c r="AS174" i="5"/>
  <c r="AT174" i="5"/>
  <c r="AU174" i="5"/>
  <c r="AV174" i="5"/>
  <c r="AW174" i="5"/>
  <c r="AP181" i="5"/>
  <c r="AQ181" i="5"/>
  <c r="AR181" i="5"/>
  <c r="AS181" i="5"/>
  <c r="AT181" i="5"/>
  <c r="AU181" i="5"/>
  <c r="AV181" i="5"/>
  <c r="AW181" i="5"/>
  <c r="AP185" i="5"/>
  <c r="AQ185" i="5"/>
  <c r="AR185" i="5"/>
  <c r="AS185" i="5"/>
  <c r="AT185" i="5"/>
  <c r="AU185" i="5"/>
  <c r="AV185" i="5"/>
  <c r="AW185" i="5"/>
  <c r="AP219" i="5"/>
  <c r="AQ219" i="5"/>
  <c r="AR219" i="5"/>
  <c r="AT219" i="5"/>
  <c r="AU219" i="5"/>
  <c r="AV219" i="5"/>
  <c r="AW219" i="5"/>
  <c r="AP220" i="5"/>
  <c r="AQ220" i="5"/>
  <c r="AR220" i="5"/>
  <c r="AT220" i="5"/>
  <c r="AU220" i="5"/>
  <c r="AV220" i="5"/>
  <c r="AW220" i="5"/>
  <c r="AP53" i="5"/>
  <c r="AR53" i="5"/>
  <c r="AT53" i="5"/>
  <c r="AU53" i="5"/>
  <c r="AV53" i="5"/>
  <c r="AW53" i="5"/>
  <c r="AP264" i="5"/>
  <c r="AR264" i="5"/>
  <c r="AS264" i="5"/>
  <c r="AT264" i="5"/>
  <c r="AU264" i="5"/>
  <c r="AV264" i="5"/>
  <c r="AW264" i="5"/>
  <c r="AP78" i="5"/>
  <c r="AQ78" i="5"/>
  <c r="AR78" i="5"/>
  <c r="AT78" i="5"/>
  <c r="AU78" i="5"/>
  <c r="AV78" i="5"/>
  <c r="AW78" i="5"/>
  <c r="AP89" i="5"/>
  <c r="AQ89" i="5"/>
  <c r="AR89" i="5"/>
  <c r="AT89" i="5"/>
  <c r="AU89" i="5"/>
  <c r="AV89" i="5"/>
  <c r="AW89" i="5"/>
  <c r="AP12" i="5"/>
  <c r="AQ12" i="5"/>
  <c r="AR12" i="5"/>
  <c r="AS12" i="5"/>
  <c r="AT12" i="5"/>
  <c r="AU12" i="5"/>
  <c r="AV12" i="5"/>
  <c r="AW12" i="5"/>
  <c r="AP272" i="5"/>
  <c r="AQ272" i="5"/>
  <c r="AR272" i="5"/>
  <c r="AS272" i="5"/>
  <c r="AT272" i="5"/>
  <c r="AU272" i="5"/>
  <c r="AV272" i="5"/>
  <c r="AW272" i="5"/>
  <c r="AP125" i="5"/>
  <c r="AR125" i="5"/>
  <c r="AT125" i="5"/>
  <c r="AU125" i="5"/>
  <c r="AV125" i="5"/>
  <c r="AW125" i="5"/>
  <c r="AP128" i="5"/>
  <c r="AQ128" i="5"/>
  <c r="AR128" i="5"/>
  <c r="AT128" i="5"/>
  <c r="AU128" i="5"/>
  <c r="AV128" i="5"/>
  <c r="AW128" i="5"/>
  <c r="AP140" i="5"/>
  <c r="AQ140" i="5"/>
  <c r="AR140" i="5"/>
  <c r="AT140" i="5"/>
  <c r="AU140" i="5"/>
  <c r="AV140" i="5"/>
  <c r="AW140" i="5"/>
  <c r="AP177" i="5"/>
  <c r="AR177" i="5"/>
  <c r="AS177" i="5"/>
  <c r="AT177" i="5"/>
  <c r="AU177" i="5"/>
  <c r="AV177" i="5"/>
  <c r="AW177" i="5"/>
  <c r="AP182" i="5"/>
  <c r="AQ182" i="5"/>
  <c r="AR182" i="5"/>
  <c r="AS182" i="5"/>
  <c r="AT182" i="5"/>
  <c r="AU182" i="5"/>
  <c r="AV182" i="5"/>
  <c r="AW182" i="5"/>
  <c r="AP29" i="5"/>
  <c r="AR29" i="5"/>
  <c r="AS29" i="5"/>
  <c r="AT29" i="5"/>
  <c r="AU29" i="5"/>
  <c r="AV29" i="5"/>
  <c r="AW29" i="5"/>
  <c r="AZ29" i="5"/>
  <c r="AP30" i="5"/>
  <c r="AR30" i="5"/>
  <c r="AT30" i="5"/>
  <c r="AU30" i="5"/>
  <c r="AV30" i="5"/>
  <c r="AW30" i="5"/>
  <c r="AP32" i="5"/>
  <c r="AR32" i="5"/>
  <c r="AU32" i="5"/>
  <c r="AP50" i="5"/>
  <c r="AR50" i="5"/>
  <c r="AT50" i="5"/>
  <c r="AU50" i="5"/>
  <c r="AV50" i="5"/>
  <c r="AW50" i="5"/>
  <c r="AP252" i="5"/>
  <c r="AR252" i="5"/>
  <c r="AS252" i="5"/>
  <c r="AT252" i="5"/>
  <c r="AU252" i="5"/>
  <c r="AV252" i="5"/>
  <c r="AW252" i="5"/>
  <c r="AP104" i="5"/>
  <c r="AQ104" i="5"/>
  <c r="AR104" i="5"/>
  <c r="AT104" i="5"/>
  <c r="AU104" i="5"/>
  <c r="AV104" i="5"/>
  <c r="AW104" i="5"/>
  <c r="AP269" i="5"/>
  <c r="AQ269" i="5"/>
  <c r="AR269" i="5"/>
  <c r="AT269" i="5"/>
  <c r="AU269" i="5"/>
  <c r="AV269" i="5"/>
  <c r="AW269" i="5"/>
  <c r="AP123" i="5"/>
  <c r="AQ123" i="5"/>
  <c r="AR123" i="5"/>
  <c r="AS123" i="5"/>
  <c r="AT123" i="5"/>
  <c r="AU123" i="5"/>
  <c r="AV123" i="5"/>
  <c r="AW123" i="5"/>
  <c r="AP146" i="5"/>
  <c r="AQ146" i="5"/>
  <c r="AR146" i="5"/>
  <c r="AT146" i="5"/>
  <c r="AU146" i="5"/>
  <c r="AV146" i="5"/>
  <c r="AW146" i="5"/>
  <c r="AP180" i="5"/>
  <c r="AQ180" i="5"/>
  <c r="AR180" i="5"/>
  <c r="AS180" i="5"/>
  <c r="AT180" i="5"/>
  <c r="AU180" i="5"/>
  <c r="AV180" i="5"/>
  <c r="AW180" i="5"/>
  <c r="AP22" i="5"/>
  <c r="AR22" i="5"/>
  <c r="AT22" i="5"/>
  <c r="AU22" i="5"/>
  <c r="AV22" i="5"/>
  <c r="AW22" i="5"/>
  <c r="AP23" i="5"/>
  <c r="AR23" i="5"/>
  <c r="AS23" i="5"/>
  <c r="AT23" i="5"/>
  <c r="AU23" i="5"/>
  <c r="AV23" i="5"/>
  <c r="AW23" i="5"/>
  <c r="AP24" i="5"/>
  <c r="AR24" i="5"/>
  <c r="AT24" i="5"/>
  <c r="AU24" i="5"/>
  <c r="AV24" i="5"/>
  <c r="AW24" i="5"/>
  <c r="AP25" i="5"/>
  <c r="AR25" i="5"/>
  <c r="AT25" i="5"/>
  <c r="AU25" i="5"/>
  <c r="AV25" i="5"/>
  <c r="AW25" i="5"/>
  <c r="AP26" i="5"/>
  <c r="AR26" i="5"/>
  <c r="AT26" i="5"/>
  <c r="AU26" i="5"/>
  <c r="AV26" i="5"/>
  <c r="AW26" i="5"/>
  <c r="AP297" i="5"/>
  <c r="AR297" i="5"/>
  <c r="AS297" i="5"/>
  <c r="AT297" i="5"/>
  <c r="AU297" i="5"/>
  <c r="AV297" i="5"/>
  <c r="AW297" i="5"/>
  <c r="AP61" i="5"/>
  <c r="AR61" i="5"/>
  <c r="AS61" i="5"/>
  <c r="AU61" i="5"/>
  <c r="AP110" i="5"/>
  <c r="AQ110" i="5"/>
  <c r="AR110" i="5"/>
  <c r="AT110" i="5"/>
  <c r="AU110" i="5"/>
  <c r="AV110" i="5"/>
  <c r="AW110" i="5"/>
  <c r="AP14" i="5"/>
  <c r="AQ14" i="5"/>
  <c r="AR14" i="5"/>
  <c r="AT14" i="5"/>
  <c r="AU14" i="5"/>
  <c r="AV14" i="5"/>
  <c r="AW14" i="5"/>
  <c r="AP135" i="5"/>
  <c r="AR135" i="5"/>
  <c r="AT135" i="5"/>
  <c r="AU135" i="5"/>
  <c r="AV135" i="5"/>
  <c r="AW135" i="5"/>
  <c r="AP164" i="5"/>
  <c r="AQ164" i="5"/>
  <c r="AR164" i="5"/>
  <c r="AS164" i="5"/>
  <c r="AT164" i="5"/>
  <c r="AU164" i="5"/>
  <c r="AV164" i="5"/>
  <c r="AW164" i="5"/>
  <c r="AP232" i="5"/>
  <c r="AR232" i="5"/>
  <c r="AT232" i="5"/>
  <c r="AU232" i="5"/>
  <c r="AV232" i="5"/>
  <c r="AW232" i="5"/>
  <c r="AP238" i="5"/>
  <c r="AR238" i="5"/>
  <c r="AT238" i="5"/>
  <c r="AU238" i="5"/>
  <c r="AV238" i="5"/>
  <c r="AW238" i="5"/>
  <c r="AP35" i="5"/>
  <c r="AR35" i="5"/>
  <c r="AT35" i="5"/>
  <c r="AU35" i="5"/>
  <c r="AV35" i="5"/>
  <c r="AW35" i="5"/>
  <c r="AP51" i="5"/>
  <c r="AR51" i="5"/>
  <c r="AT51" i="5"/>
  <c r="AU51" i="5"/>
  <c r="AV51" i="5"/>
  <c r="AW51" i="5"/>
  <c r="AP54" i="5"/>
  <c r="AR54" i="5"/>
  <c r="AS54" i="5"/>
  <c r="AT54" i="5"/>
  <c r="AU54" i="5"/>
  <c r="AV54" i="5"/>
  <c r="AW54" i="5"/>
  <c r="AP265" i="5"/>
  <c r="AR265" i="5"/>
  <c r="AS265" i="5"/>
  <c r="AT265" i="5"/>
  <c r="AU265" i="5"/>
  <c r="AV265" i="5"/>
  <c r="AW265" i="5"/>
  <c r="AP81" i="5"/>
  <c r="AR81" i="5"/>
  <c r="AT81" i="5"/>
  <c r="AU81" i="5"/>
  <c r="AV81" i="5"/>
  <c r="AW81" i="5"/>
  <c r="AP266" i="5"/>
  <c r="AR266" i="5"/>
  <c r="AT266" i="5"/>
  <c r="AU266" i="5"/>
  <c r="AV266" i="5"/>
  <c r="AW266" i="5"/>
  <c r="AP83" i="5"/>
  <c r="AR83" i="5"/>
  <c r="AT83" i="5"/>
  <c r="AU83" i="5"/>
  <c r="AV83" i="5"/>
  <c r="AW83" i="5"/>
  <c r="AP84" i="5"/>
  <c r="AR84" i="5"/>
  <c r="AT84" i="5"/>
  <c r="AU84" i="5"/>
  <c r="AV84" i="5"/>
  <c r="AW84" i="5"/>
  <c r="AP258" i="5"/>
  <c r="AR258" i="5"/>
  <c r="AT258" i="5"/>
  <c r="AU258" i="5"/>
  <c r="AV258" i="5"/>
  <c r="AW258" i="5"/>
  <c r="AP259" i="5"/>
  <c r="AR259" i="5"/>
  <c r="AT259" i="5"/>
  <c r="AU259" i="5"/>
  <c r="AV259" i="5"/>
  <c r="AW259" i="5"/>
  <c r="AP86" i="5"/>
  <c r="AR86" i="5"/>
  <c r="AT86" i="5"/>
  <c r="AU86" i="5"/>
  <c r="AV86" i="5"/>
  <c r="AW86" i="5"/>
  <c r="AP260" i="5"/>
  <c r="AR260" i="5"/>
  <c r="AT260" i="5"/>
  <c r="AU260" i="5"/>
  <c r="AV260" i="5"/>
  <c r="AW260" i="5"/>
  <c r="AP92" i="5"/>
  <c r="AR92" i="5"/>
  <c r="AS92" i="5"/>
  <c r="AT92" i="5"/>
  <c r="AU92" i="5"/>
  <c r="AV92" i="5"/>
  <c r="AW92" i="5"/>
  <c r="AP10" i="5"/>
  <c r="AR10" i="5"/>
  <c r="AT10" i="5"/>
  <c r="AU10" i="5"/>
  <c r="AV10" i="5"/>
  <c r="AW10" i="5"/>
  <c r="AP11" i="5"/>
  <c r="AR11" i="5"/>
  <c r="AT11" i="5"/>
  <c r="AU11" i="5"/>
  <c r="AV11" i="5"/>
  <c r="AW11" i="5"/>
  <c r="AP93" i="5"/>
  <c r="AR93" i="5"/>
  <c r="AT93" i="5"/>
  <c r="AU93" i="5"/>
  <c r="AV93" i="5"/>
  <c r="AW93" i="5"/>
  <c r="AP94" i="5"/>
  <c r="AR94" i="5"/>
  <c r="AT94" i="5"/>
  <c r="AU94" i="5"/>
  <c r="AV94" i="5"/>
  <c r="AW94" i="5"/>
  <c r="AP261" i="5"/>
  <c r="AR261" i="5"/>
  <c r="AT261" i="5"/>
  <c r="AU261" i="5"/>
  <c r="AV261" i="5"/>
  <c r="AW261" i="5"/>
  <c r="AP102" i="5"/>
  <c r="AQ102" i="5"/>
  <c r="AR102" i="5"/>
  <c r="AT102" i="5"/>
  <c r="AU102" i="5"/>
  <c r="AV102" i="5"/>
  <c r="AW102" i="5"/>
  <c r="AP103" i="5"/>
  <c r="AQ103" i="5"/>
  <c r="AR103" i="5"/>
  <c r="AT103" i="5"/>
  <c r="AU103" i="5"/>
  <c r="AV103" i="5"/>
  <c r="AW103" i="5"/>
  <c r="AP106" i="5"/>
  <c r="AQ106" i="5"/>
  <c r="AR106" i="5"/>
  <c r="AT106" i="5"/>
  <c r="AU106" i="5"/>
  <c r="AV106" i="5"/>
  <c r="AW106" i="5"/>
  <c r="AP107" i="5"/>
  <c r="AQ107" i="5"/>
  <c r="AR107" i="5"/>
  <c r="AT107" i="5"/>
  <c r="AU107" i="5"/>
  <c r="AV107" i="5"/>
  <c r="AW107" i="5"/>
  <c r="AP108" i="5"/>
  <c r="AQ108" i="5"/>
  <c r="AR108" i="5"/>
  <c r="AT108" i="5"/>
  <c r="AU108" i="5"/>
  <c r="AV108" i="5"/>
  <c r="AW108" i="5"/>
  <c r="AP267" i="5"/>
  <c r="AQ267" i="5"/>
  <c r="AR267" i="5"/>
  <c r="AT267" i="5"/>
  <c r="AU267" i="5"/>
  <c r="AV267" i="5"/>
  <c r="AW267" i="5"/>
  <c r="AP131" i="5"/>
  <c r="AQ131" i="5"/>
  <c r="AR131" i="5"/>
  <c r="AT131" i="5"/>
  <c r="AU131" i="5"/>
  <c r="AV131" i="5"/>
  <c r="AW131" i="5"/>
  <c r="AP145" i="5"/>
  <c r="AQ145" i="5"/>
  <c r="AR145" i="5"/>
  <c r="AT145" i="5"/>
  <c r="AU145" i="5"/>
  <c r="AV145" i="5"/>
  <c r="AW145" i="5"/>
  <c r="AP155" i="5"/>
  <c r="AQ155" i="5"/>
  <c r="AR155" i="5"/>
  <c r="AT155" i="5"/>
  <c r="AU155" i="5"/>
  <c r="AV155" i="5"/>
  <c r="AW155" i="5"/>
  <c r="AP159" i="5"/>
  <c r="AQ159" i="5"/>
  <c r="AR159" i="5"/>
  <c r="AT159" i="5"/>
  <c r="AU159" i="5"/>
  <c r="AV159" i="5"/>
  <c r="AW159" i="5"/>
  <c r="AP160" i="5"/>
  <c r="AQ160" i="5"/>
  <c r="AR160" i="5"/>
  <c r="AT160" i="5"/>
  <c r="AU160" i="5"/>
  <c r="AV160" i="5"/>
  <c r="AW160" i="5"/>
  <c r="AP162" i="5"/>
  <c r="AR162" i="5"/>
  <c r="AT162" i="5"/>
  <c r="AU162" i="5"/>
  <c r="AV162" i="5"/>
  <c r="AW162" i="5"/>
  <c r="AP168" i="5"/>
  <c r="AR168" i="5"/>
  <c r="AT168" i="5"/>
  <c r="AU168" i="5"/>
  <c r="AV168" i="5"/>
  <c r="AW168" i="5"/>
  <c r="AP178" i="5"/>
  <c r="AR178" i="5"/>
  <c r="AT178" i="5"/>
  <c r="AU178" i="5"/>
  <c r="AV178" i="5"/>
  <c r="AW178" i="5"/>
  <c r="AP192" i="5"/>
  <c r="AR192" i="5"/>
  <c r="AT192" i="5"/>
  <c r="AU192" i="5"/>
  <c r="AV192" i="5"/>
  <c r="AW192" i="5"/>
  <c r="AP283" i="5"/>
  <c r="AR283" i="5"/>
  <c r="AT283" i="5"/>
  <c r="AU283" i="5"/>
  <c r="AV283" i="5"/>
  <c r="AW283" i="5"/>
  <c r="AP284" i="5"/>
  <c r="AR284" i="5"/>
  <c r="AT284" i="5"/>
  <c r="AU284" i="5"/>
  <c r="AV284" i="5"/>
  <c r="AW284" i="5"/>
  <c r="AP288" i="5"/>
  <c r="AR288" i="5"/>
  <c r="AT288" i="5"/>
  <c r="AU288" i="5"/>
  <c r="AV288" i="5"/>
  <c r="AW288" i="5"/>
  <c r="AP199" i="5"/>
  <c r="AQ199" i="5"/>
  <c r="AR199" i="5"/>
  <c r="AT199" i="5"/>
  <c r="AU199" i="5"/>
  <c r="AV199" i="5"/>
  <c r="AW199" i="5"/>
  <c r="AP201" i="5"/>
  <c r="AR201" i="5"/>
  <c r="AT201" i="5"/>
  <c r="AU201" i="5"/>
  <c r="AV201" i="5"/>
  <c r="AW201" i="5"/>
  <c r="AP202" i="5"/>
  <c r="AR202" i="5"/>
  <c r="AS202" i="5"/>
  <c r="AT202" i="5"/>
  <c r="AU202" i="5"/>
  <c r="AV202" i="5"/>
  <c r="AW202" i="5"/>
  <c r="AP203" i="5"/>
  <c r="AR203" i="5"/>
  <c r="AT203" i="5"/>
  <c r="AU203" i="5"/>
  <c r="AV203" i="5"/>
  <c r="AW203" i="5"/>
  <c r="AP204" i="5"/>
  <c r="AR204" i="5"/>
  <c r="AT204" i="5"/>
  <c r="AU204" i="5"/>
  <c r="AV204" i="5"/>
  <c r="AW204" i="5"/>
  <c r="AP205" i="5"/>
  <c r="AR205" i="5"/>
  <c r="AS205" i="5"/>
  <c r="AT205" i="5"/>
  <c r="AU205" i="5"/>
  <c r="AV205" i="5"/>
  <c r="AW205" i="5"/>
  <c r="AP206" i="5"/>
  <c r="AR206" i="5"/>
  <c r="AT206" i="5"/>
  <c r="AU206" i="5"/>
  <c r="AV206" i="5"/>
  <c r="AW206" i="5"/>
  <c r="AP209" i="5"/>
  <c r="AQ209" i="5"/>
  <c r="AR209" i="5"/>
  <c r="AT209" i="5"/>
  <c r="AU209" i="5"/>
  <c r="AV209" i="5"/>
  <c r="AW209" i="5"/>
  <c r="AP210" i="5"/>
  <c r="AQ210" i="5"/>
  <c r="AR210" i="5"/>
  <c r="AT210" i="5"/>
  <c r="AU210" i="5"/>
  <c r="AV210" i="5"/>
  <c r="AW210" i="5"/>
  <c r="AP214" i="5"/>
  <c r="AQ214" i="5"/>
  <c r="AR214" i="5"/>
  <c r="AT214" i="5"/>
  <c r="AU214" i="5"/>
  <c r="AV214" i="5"/>
  <c r="AW214" i="5"/>
  <c r="AP218" i="5"/>
  <c r="AR218" i="5"/>
  <c r="AT218" i="5"/>
  <c r="AU218" i="5"/>
  <c r="AV218" i="5"/>
  <c r="AW218" i="5"/>
  <c r="AP229" i="5"/>
  <c r="AQ229" i="5"/>
  <c r="AR229" i="5"/>
  <c r="AT229" i="5"/>
  <c r="AU229" i="5"/>
  <c r="AV229" i="5"/>
  <c r="AW229" i="5"/>
  <c r="AP230" i="5"/>
  <c r="AQ230" i="5"/>
  <c r="AR230" i="5"/>
  <c r="AT230" i="5"/>
  <c r="AU230" i="5"/>
  <c r="AV230" i="5"/>
  <c r="AW230" i="5"/>
  <c r="AP234" i="5"/>
  <c r="AR234" i="5"/>
  <c r="AT234" i="5"/>
  <c r="AU234" i="5"/>
  <c r="AV234" i="5"/>
  <c r="AW234" i="5"/>
  <c r="AP235" i="5"/>
  <c r="AR235" i="5"/>
  <c r="AT235" i="5"/>
  <c r="AU235" i="5"/>
  <c r="AV235" i="5"/>
  <c r="AW235" i="5"/>
  <c r="AP237" i="5"/>
  <c r="AR237" i="5"/>
  <c r="AT237" i="5"/>
  <c r="AU237" i="5"/>
  <c r="AV237" i="5"/>
  <c r="AW237" i="5"/>
  <c r="AP242" i="5"/>
  <c r="AR242" i="5"/>
  <c r="AT242" i="5"/>
  <c r="AU242" i="5"/>
  <c r="AV242" i="5"/>
  <c r="AW242" i="5"/>
  <c r="AP244" i="5"/>
  <c r="AR244" i="5"/>
  <c r="AT244" i="5"/>
  <c r="AU244" i="5"/>
  <c r="AV244" i="5"/>
  <c r="AW244" i="5"/>
  <c r="AP251" i="5"/>
  <c r="AR251" i="5"/>
  <c r="AT251" i="5"/>
  <c r="AU251" i="5"/>
  <c r="AV251" i="5"/>
  <c r="AW251" i="5"/>
  <c r="AP82" i="5"/>
  <c r="AR82" i="5"/>
  <c r="AT82" i="5"/>
  <c r="AU82" i="5"/>
  <c r="AV82" i="5"/>
  <c r="AW82" i="5"/>
  <c r="AP85" i="5"/>
  <c r="AR85" i="5"/>
  <c r="AT85" i="5"/>
  <c r="AU85" i="5"/>
  <c r="AV85" i="5"/>
  <c r="AW85" i="5"/>
  <c r="AP87" i="5"/>
  <c r="AQ87" i="5"/>
  <c r="AR87" i="5"/>
  <c r="AT87" i="5"/>
  <c r="AU87" i="5"/>
  <c r="AV87" i="5"/>
  <c r="AW87" i="5"/>
  <c r="AP95" i="5"/>
  <c r="AR95" i="5"/>
  <c r="AT95" i="5"/>
  <c r="AU95" i="5"/>
  <c r="AV95" i="5"/>
  <c r="AW95" i="5"/>
  <c r="AP101" i="5"/>
  <c r="AR101" i="5"/>
  <c r="AS101" i="5"/>
  <c r="AT101" i="5"/>
  <c r="AU101" i="5"/>
  <c r="AV101" i="5"/>
  <c r="AW101" i="5"/>
  <c r="AP111" i="5"/>
  <c r="AR111" i="5"/>
  <c r="AT111" i="5"/>
  <c r="AU111" i="5"/>
  <c r="AV111" i="5"/>
  <c r="AW111" i="5"/>
  <c r="AP143" i="5"/>
  <c r="AR143" i="5"/>
  <c r="AT143" i="5"/>
  <c r="AU143" i="5"/>
  <c r="AV143" i="5"/>
  <c r="AW143" i="5"/>
  <c r="AP158" i="5"/>
  <c r="AQ158" i="5"/>
  <c r="AR158" i="5"/>
  <c r="AT158" i="5"/>
  <c r="AU158" i="5"/>
  <c r="AV158" i="5"/>
  <c r="AW158" i="5"/>
  <c r="AP213" i="5"/>
  <c r="AQ213" i="5"/>
  <c r="AR213" i="5"/>
  <c r="AT213" i="5"/>
  <c r="AU213" i="5"/>
  <c r="AV213" i="5"/>
  <c r="AW213" i="5"/>
  <c r="AP215" i="5"/>
  <c r="AQ215" i="5"/>
  <c r="AR215" i="5"/>
  <c r="AS215" i="5"/>
  <c r="AT215" i="5"/>
  <c r="AU215" i="5"/>
  <c r="AV215" i="5"/>
  <c r="AW215" i="5"/>
  <c r="AP216" i="5"/>
  <c r="AQ216" i="5"/>
  <c r="AR216" i="5"/>
  <c r="AS216" i="5"/>
  <c r="AT216" i="5"/>
  <c r="AU216" i="5"/>
  <c r="AV216" i="5"/>
  <c r="AW216" i="5"/>
  <c r="AP217" i="5"/>
  <c r="AQ217" i="5"/>
  <c r="AR217" i="5"/>
  <c r="AS217" i="5"/>
  <c r="AT217" i="5"/>
  <c r="AU217" i="5"/>
  <c r="AV217" i="5"/>
  <c r="AW217" i="5"/>
  <c r="AP33" i="5"/>
  <c r="AR33" i="5"/>
  <c r="AU33" i="5"/>
  <c r="AP233" i="5"/>
  <c r="AR233" i="5"/>
  <c r="AU233" i="5"/>
  <c r="AP72" i="5"/>
  <c r="AR72" i="5"/>
  <c r="AT72" i="5"/>
  <c r="AU72" i="5"/>
  <c r="AV72" i="5"/>
  <c r="AW72" i="5"/>
  <c r="AP9" i="5"/>
  <c r="AQ9" i="5"/>
  <c r="AR9" i="5"/>
  <c r="AT9" i="5"/>
  <c r="AU9" i="5"/>
  <c r="AV9" i="5"/>
  <c r="AW9" i="5"/>
  <c r="AP100" i="5"/>
  <c r="AR100" i="5"/>
  <c r="AT100" i="5"/>
  <c r="AU100" i="5"/>
  <c r="AV100" i="5"/>
  <c r="AW100" i="5"/>
  <c r="AP114" i="5"/>
  <c r="AR114" i="5"/>
  <c r="AT114" i="5"/>
  <c r="AU114" i="5"/>
  <c r="AV114" i="5"/>
  <c r="AW114" i="5"/>
  <c r="AP15" i="5"/>
  <c r="AQ15" i="5"/>
  <c r="AR15" i="5"/>
  <c r="AT15" i="5"/>
  <c r="AU15" i="5"/>
  <c r="AV15" i="5"/>
  <c r="AW15" i="5"/>
  <c r="AP132" i="5"/>
  <c r="AQ132" i="5"/>
  <c r="AR132" i="5"/>
  <c r="AT132" i="5"/>
  <c r="AU132" i="5"/>
  <c r="AV132" i="5"/>
  <c r="AW132" i="5"/>
  <c r="AP133" i="5"/>
  <c r="AR133" i="5"/>
  <c r="AS133" i="5"/>
  <c r="AT133" i="5"/>
  <c r="AU133" i="5"/>
  <c r="AV133" i="5"/>
  <c r="AW133" i="5"/>
  <c r="AP138" i="5"/>
  <c r="AR138" i="5"/>
  <c r="AT138" i="5"/>
  <c r="AU138" i="5"/>
  <c r="AV138" i="5"/>
  <c r="AW138" i="5"/>
  <c r="AP141" i="5"/>
  <c r="AQ141" i="5"/>
  <c r="AR141" i="5"/>
  <c r="AT141" i="5"/>
  <c r="AU141" i="5"/>
  <c r="AV141" i="5"/>
  <c r="AW141" i="5"/>
  <c r="AP148" i="5"/>
  <c r="AQ148" i="5"/>
  <c r="AR148" i="5"/>
  <c r="AS148" i="5"/>
  <c r="AT148" i="5"/>
  <c r="AU148" i="5"/>
  <c r="AV148" i="5"/>
  <c r="AW148" i="5"/>
  <c r="AP152" i="5"/>
  <c r="AQ152" i="5"/>
  <c r="AR152" i="5"/>
  <c r="AT152" i="5"/>
  <c r="AU152" i="5"/>
  <c r="AV152" i="5"/>
  <c r="AW152" i="5"/>
  <c r="AP167" i="5"/>
  <c r="AR167" i="5"/>
  <c r="AT167" i="5"/>
  <c r="AU167" i="5"/>
  <c r="AV167" i="5"/>
  <c r="AW167" i="5"/>
  <c r="AP169" i="5"/>
  <c r="AR169" i="5"/>
  <c r="AT169" i="5"/>
  <c r="AU169" i="5"/>
  <c r="AV169" i="5"/>
  <c r="AW169" i="5"/>
  <c r="AP189" i="5"/>
  <c r="AR189" i="5"/>
  <c r="AT189" i="5"/>
  <c r="AU189" i="5"/>
  <c r="AV189" i="5"/>
  <c r="AW189" i="5"/>
  <c r="AP191" i="5"/>
  <c r="AR191" i="5"/>
  <c r="AT191" i="5"/>
  <c r="AU191" i="5"/>
  <c r="AV191" i="5"/>
  <c r="AW191" i="5"/>
  <c r="AP289" i="5"/>
  <c r="AR289" i="5"/>
  <c r="AT289" i="5"/>
  <c r="AU289" i="5"/>
  <c r="AV289" i="5"/>
  <c r="AW289" i="5"/>
  <c r="AP292" i="5"/>
  <c r="AR292" i="5"/>
  <c r="AT292" i="5"/>
  <c r="AU292" i="5"/>
  <c r="AV292" i="5"/>
  <c r="AW292" i="5"/>
  <c r="AP21" i="5"/>
  <c r="AR21" i="5"/>
  <c r="AT21" i="5"/>
  <c r="AU21" i="5"/>
  <c r="AV21" i="5"/>
  <c r="AW21" i="5"/>
  <c r="AP212" i="5"/>
  <c r="AQ212" i="5"/>
  <c r="AR212" i="5"/>
  <c r="AT212" i="5"/>
  <c r="AU212" i="5"/>
  <c r="AV212" i="5"/>
  <c r="AW212" i="5"/>
  <c r="AP27" i="5"/>
  <c r="AQ27" i="5"/>
  <c r="AR27" i="5"/>
  <c r="AT27" i="5"/>
  <c r="AU27" i="5"/>
  <c r="AV27" i="5"/>
  <c r="AW27" i="5"/>
  <c r="AP28" i="5"/>
  <c r="AR28" i="5"/>
  <c r="AT28" i="5"/>
  <c r="AU28" i="5"/>
  <c r="AV28" i="5"/>
  <c r="AW28" i="5"/>
  <c r="AP239" i="5"/>
  <c r="AQ239" i="5"/>
  <c r="AR239" i="5"/>
  <c r="AT239" i="5"/>
  <c r="AU239" i="5"/>
  <c r="AV239" i="5"/>
  <c r="AW239" i="5"/>
  <c r="AP75" i="5"/>
  <c r="AR75" i="5"/>
  <c r="AT75" i="5"/>
  <c r="AU75" i="5"/>
  <c r="AV75" i="5"/>
  <c r="AW75" i="5"/>
  <c r="AP88" i="5"/>
  <c r="AQ88" i="5"/>
  <c r="AR88" i="5"/>
  <c r="AT88" i="5"/>
  <c r="AU88" i="5"/>
  <c r="AV88" i="5"/>
  <c r="AW88" i="5"/>
  <c r="AP99" i="5"/>
  <c r="AR99" i="5"/>
  <c r="AT99" i="5"/>
  <c r="AU99" i="5"/>
  <c r="AV99" i="5"/>
  <c r="AW99" i="5"/>
  <c r="AP112" i="5"/>
  <c r="AR112" i="5"/>
  <c r="AT112" i="5"/>
  <c r="AU112" i="5"/>
  <c r="AV112" i="5"/>
  <c r="AW112" i="5"/>
  <c r="AP130" i="5"/>
  <c r="AQ130" i="5"/>
  <c r="AR130" i="5"/>
  <c r="AT130" i="5"/>
  <c r="AU130" i="5"/>
  <c r="AV130" i="5"/>
  <c r="AW130" i="5"/>
  <c r="AP142" i="5"/>
  <c r="AR142" i="5"/>
  <c r="AS142" i="5"/>
  <c r="AT142" i="5"/>
  <c r="AU142" i="5"/>
  <c r="AV142" i="5"/>
  <c r="AW142" i="5"/>
  <c r="AP156" i="5"/>
  <c r="AR156" i="5"/>
  <c r="AS156" i="5"/>
  <c r="AT156" i="5"/>
  <c r="AU156" i="5"/>
  <c r="AV156" i="5"/>
  <c r="AW156" i="5"/>
  <c r="AP172" i="5"/>
  <c r="AR172" i="5"/>
  <c r="AT172" i="5"/>
  <c r="AU172" i="5"/>
  <c r="AV172" i="5"/>
  <c r="AW172" i="5"/>
  <c r="AP190" i="5"/>
  <c r="AR190" i="5"/>
  <c r="AT190" i="5"/>
  <c r="AU190" i="5"/>
  <c r="AV190" i="5"/>
  <c r="AW190" i="5"/>
  <c r="AP280" i="5"/>
  <c r="AR280" i="5"/>
  <c r="AT280" i="5"/>
  <c r="AU280" i="5"/>
  <c r="AV280" i="5"/>
  <c r="AW280" i="5"/>
  <c r="AP282" i="5"/>
  <c r="AR282" i="5"/>
  <c r="AT282" i="5"/>
  <c r="AU282" i="5"/>
  <c r="AV282" i="5"/>
  <c r="AW282" i="5"/>
  <c r="AP195" i="5"/>
  <c r="AR195" i="5"/>
  <c r="AT195" i="5"/>
  <c r="AU195" i="5"/>
  <c r="AV195" i="5"/>
  <c r="AW195" i="5"/>
  <c r="AP287" i="5"/>
  <c r="AR287" i="5"/>
  <c r="AT287" i="5"/>
  <c r="AU287" i="5"/>
  <c r="AV287" i="5"/>
  <c r="AW287" i="5"/>
  <c r="AP291" i="5"/>
  <c r="AR291" i="5"/>
  <c r="AT291" i="5"/>
  <c r="AU291" i="5"/>
  <c r="AV291" i="5"/>
  <c r="AW291" i="5"/>
  <c r="AP294" i="5"/>
  <c r="AR294" i="5"/>
  <c r="AT294" i="5"/>
  <c r="AU294" i="5"/>
  <c r="AV294" i="5"/>
  <c r="AW294" i="5"/>
  <c r="AP295" i="5"/>
  <c r="AR295" i="5"/>
  <c r="AT295" i="5"/>
  <c r="AU295" i="5"/>
  <c r="AV295" i="5"/>
  <c r="AW295" i="5"/>
  <c r="AP236" i="5"/>
  <c r="AR236" i="5"/>
  <c r="AT236" i="5"/>
  <c r="AU236" i="5"/>
  <c r="AV236" i="5"/>
  <c r="AW236" i="5"/>
  <c r="AP73" i="5"/>
  <c r="AQ73" i="5"/>
  <c r="AR73" i="5"/>
  <c r="AT73" i="5"/>
  <c r="AU73" i="5"/>
  <c r="AV73" i="5"/>
  <c r="AW73" i="5"/>
  <c r="AP13" i="5"/>
  <c r="AQ13" i="5"/>
  <c r="AR13" i="5"/>
  <c r="AS13" i="5"/>
  <c r="AT13" i="5"/>
  <c r="AU13" i="5"/>
  <c r="AV13" i="5"/>
  <c r="AW13" i="5"/>
  <c r="AP3" i="5"/>
  <c r="AR3" i="5"/>
  <c r="AT3" i="5"/>
  <c r="AU3" i="5"/>
  <c r="AV3" i="5"/>
  <c r="AW3" i="5"/>
  <c r="AP279" i="5"/>
  <c r="AR279" i="5"/>
  <c r="AT279" i="5"/>
  <c r="AU279" i="5"/>
  <c r="AV279" i="5"/>
  <c r="AW279" i="5"/>
  <c r="AP16" i="5"/>
  <c r="AR16" i="5"/>
  <c r="AT16" i="5"/>
  <c r="AU16" i="5"/>
  <c r="AV16" i="5"/>
  <c r="AW16" i="5"/>
  <c r="AP17" i="5"/>
  <c r="AR17" i="5"/>
  <c r="AT17" i="5"/>
  <c r="AU17" i="5"/>
  <c r="AV17" i="5"/>
  <c r="AW17" i="5"/>
  <c r="AP18" i="5"/>
  <c r="AR18" i="5"/>
  <c r="AT18" i="5"/>
  <c r="AU18" i="5"/>
  <c r="AV18" i="5"/>
  <c r="AW18" i="5"/>
  <c r="AP281" i="5"/>
  <c r="AR281" i="5"/>
  <c r="AT281" i="5"/>
  <c r="AU281" i="5"/>
  <c r="AV281" i="5"/>
  <c r="AW281" i="5"/>
  <c r="AP211" i="5"/>
  <c r="AQ211" i="5"/>
  <c r="AR211" i="5"/>
  <c r="AT211" i="5"/>
  <c r="AU211" i="5"/>
  <c r="AV211" i="5"/>
  <c r="AW211" i="5"/>
  <c r="AP257" i="5"/>
  <c r="AR257" i="5"/>
  <c r="AT257" i="5"/>
  <c r="AU257" i="5"/>
  <c r="AV257" i="5"/>
  <c r="AW257" i="5"/>
  <c r="AP8" i="5"/>
  <c r="AR8" i="5"/>
  <c r="AT8" i="5"/>
  <c r="AU8" i="5"/>
  <c r="AV8" i="5"/>
  <c r="AW8" i="5"/>
  <c r="AP74" i="5"/>
  <c r="AR74" i="5"/>
  <c r="AT74" i="5"/>
  <c r="AU74" i="5"/>
  <c r="AV74" i="5"/>
  <c r="AW74" i="5"/>
  <c r="AP76" i="5"/>
  <c r="AR76" i="5"/>
  <c r="AT76" i="5"/>
  <c r="AU76" i="5"/>
  <c r="AV76" i="5"/>
  <c r="AW76" i="5"/>
  <c r="AP268" i="5"/>
  <c r="AR268" i="5"/>
  <c r="AS268" i="5"/>
  <c r="AT268" i="5"/>
  <c r="AU268" i="5"/>
  <c r="AV268" i="5"/>
  <c r="AW268" i="5"/>
  <c r="AP126" i="5"/>
  <c r="AR126" i="5"/>
  <c r="AT126" i="5"/>
  <c r="AU126" i="5"/>
  <c r="AV126" i="5"/>
  <c r="AW126" i="5"/>
  <c r="AP127" i="5"/>
  <c r="AR127" i="5"/>
  <c r="AT127" i="5"/>
  <c r="AU127" i="5"/>
  <c r="AV127" i="5"/>
  <c r="AW127" i="5"/>
  <c r="AP137" i="5"/>
  <c r="AR137" i="5"/>
  <c r="AT137" i="5"/>
  <c r="AU137" i="5"/>
  <c r="AV137" i="5"/>
  <c r="AW137" i="5"/>
  <c r="AP157" i="5"/>
  <c r="AR157" i="5"/>
  <c r="AT157" i="5"/>
  <c r="AU157" i="5"/>
  <c r="AV157" i="5"/>
  <c r="AW157" i="5"/>
  <c r="AP193" i="5"/>
  <c r="AR193" i="5"/>
  <c r="AT193" i="5"/>
  <c r="AU193" i="5"/>
  <c r="AV193" i="5"/>
  <c r="AW193" i="5"/>
  <c r="AP285" i="5"/>
  <c r="AR285" i="5"/>
  <c r="AT285" i="5"/>
  <c r="AU285" i="5"/>
  <c r="AV285" i="5"/>
  <c r="AW285" i="5"/>
  <c r="AP176" i="5"/>
  <c r="AR176" i="5"/>
  <c r="AS176" i="5"/>
  <c r="AU176" i="5"/>
  <c r="AP179" i="5"/>
  <c r="AQ179" i="5"/>
  <c r="AR179" i="5"/>
  <c r="AT179" i="5"/>
  <c r="AU179" i="5"/>
  <c r="AV179" i="5"/>
  <c r="AW179" i="5"/>
  <c r="AP286" i="5"/>
  <c r="AR286" i="5"/>
  <c r="AT286" i="5"/>
  <c r="AU286" i="5"/>
  <c r="AV286" i="5"/>
  <c r="AW286" i="5"/>
  <c r="AP243" i="5"/>
  <c r="AR243" i="5"/>
  <c r="AT243" i="5"/>
  <c r="AU243" i="5"/>
  <c r="AV243" i="5"/>
  <c r="AW243" i="5"/>
  <c r="AP91" i="5"/>
  <c r="AR91" i="5"/>
  <c r="AS91" i="5"/>
  <c r="AT91" i="5"/>
  <c r="AU91" i="5"/>
  <c r="AV91" i="5"/>
  <c r="AW91" i="5"/>
  <c r="AP129" i="5"/>
  <c r="AQ129" i="5"/>
  <c r="AR129" i="5"/>
  <c r="AU129" i="5"/>
  <c r="AP149" i="5"/>
  <c r="AR149" i="5"/>
  <c r="AU149" i="5"/>
  <c r="AP188" i="5"/>
  <c r="AR188" i="5"/>
  <c r="AS188" i="5"/>
  <c r="AU188" i="5"/>
  <c r="AP2" i="5"/>
  <c r="AR2" i="5"/>
  <c r="AT2" i="5"/>
  <c r="AU2" i="5"/>
  <c r="AV2" i="5"/>
  <c r="AW2" i="5"/>
  <c r="AP124" i="5"/>
  <c r="AR124" i="5"/>
  <c r="AT124" i="5"/>
  <c r="AU124" i="5"/>
  <c r="AV124" i="5"/>
  <c r="AW124" i="5"/>
  <c r="AP175" i="5"/>
  <c r="AR175" i="5"/>
  <c r="AS175" i="5"/>
  <c r="AU175" i="5"/>
  <c r="AP31" i="5"/>
  <c r="AR31" i="5"/>
  <c r="AU31" i="5"/>
  <c r="AP245" i="5"/>
  <c r="AR245" i="5"/>
  <c r="AT245" i="5"/>
  <c r="AU245" i="5"/>
  <c r="AV245" i="5"/>
  <c r="AW245" i="5"/>
  <c r="AP246" i="5"/>
  <c r="AR246" i="5"/>
  <c r="AT246" i="5"/>
  <c r="AU246" i="5"/>
  <c r="AV246" i="5"/>
  <c r="AW246" i="5"/>
  <c r="AP247" i="5"/>
  <c r="AR247" i="5"/>
  <c r="AT247" i="5"/>
  <c r="AU247" i="5"/>
  <c r="AV247" i="5"/>
  <c r="AW247" i="5"/>
  <c r="AP116" i="5"/>
  <c r="AQ116" i="5"/>
  <c r="AR116" i="5"/>
  <c r="AS116" i="5"/>
  <c r="AT116" i="5"/>
  <c r="AU116" i="5"/>
  <c r="AV116" i="5"/>
  <c r="AW116" i="5"/>
  <c r="AP154" i="5"/>
  <c r="AR154" i="5"/>
  <c r="AT154" i="5"/>
  <c r="AU154" i="5"/>
  <c r="AV154" i="5"/>
  <c r="AW154" i="5"/>
  <c r="AP241" i="5"/>
  <c r="AR241" i="5"/>
  <c r="AT241" i="5"/>
  <c r="AU241" i="5"/>
  <c r="AV241" i="5"/>
  <c r="AW241" i="5"/>
  <c r="AP200" i="5"/>
  <c r="AR200" i="5"/>
  <c r="AT200" i="5"/>
  <c r="AU200" i="5"/>
  <c r="AV200" i="5"/>
  <c r="AW200" i="5"/>
  <c r="AP207" i="5"/>
  <c r="AR207" i="5"/>
  <c r="AS207" i="5"/>
  <c r="AT207" i="5"/>
  <c r="AU207" i="5"/>
  <c r="AV207" i="5"/>
  <c r="AW207" i="5"/>
  <c r="AP231" i="5"/>
  <c r="AR231" i="5"/>
  <c r="AT231" i="5"/>
  <c r="AU231" i="5"/>
  <c r="AV231" i="5"/>
  <c r="AW231" i="5"/>
  <c r="AP274" i="5"/>
  <c r="AR274" i="5"/>
  <c r="AS274" i="5"/>
  <c r="AT274" i="5"/>
  <c r="AU274" i="5"/>
  <c r="AV274" i="5"/>
  <c r="AW274" i="5"/>
  <c r="AP163" i="5"/>
  <c r="AR163" i="5"/>
  <c r="AT163" i="5"/>
  <c r="AU163" i="5"/>
  <c r="AV163" i="5"/>
  <c r="AW163" i="5"/>
  <c r="AP228" i="5"/>
  <c r="AQ228" i="5"/>
  <c r="AR228" i="5"/>
  <c r="AS228" i="5"/>
  <c r="AT228" i="5"/>
  <c r="AU228" i="5"/>
  <c r="AV228" i="5"/>
  <c r="AW228" i="5"/>
  <c r="AP118" i="5"/>
  <c r="AR118" i="5"/>
  <c r="AT118" i="5"/>
  <c r="AU118" i="5"/>
  <c r="AV118" i="5"/>
  <c r="AW118" i="5"/>
  <c r="AP273" i="5"/>
  <c r="AR273" i="5"/>
  <c r="AT273" i="5"/>
  <c r="AU273" i="5"/>
  <c r="AV273" i="5"/>
  <c r="AW273" i="5"/>
  <c r="AP34" i="5"/>
  <c r="AR34" i="5"/>
  <c r="AU34" i="5"/>
  <c r="AP134" i="5"/>
  <c r="AR134" i="5"/>
  <c r="AS134" i="5"/>
  <c r="AT134" i="5"/>
  <c r="AU134" i="5"/>
  <c r="AV134" i="5"/>
  <c r="AW134" i="5"/>
  <c r="AP271" i="5"/>
  <c r="AQ271" i="5"/>
  <c r="AR271" i="5"/>
  <c r="AS271" i="5"/>
  <c r="AT271" i="5"/>
  <c r="AU271" i="5"/>
  <c r="AV271" i="5"/>
  <c r="AW271" i="5"/>
  <c r="AP136" i="5"/>
  <c r="AR136" i="5"/>
  <c r="AS136" i="5"/>
  <c r="AT136" i="5"/>
  <c r="AU136" i="5"/>
  <c r="AV136" i="5"/>
  <c r="AW136" i="5"/>
  <c r="AP147" i="5"/>
  <c r="AR147" i="5"/>
  <c r="AS147" i="5"/>
  <c r="AT147" i="5"/>
  <c r="AU147" i="5"/>
  <c r="AV147" i="5"/>
  <c r="AW147" i="5"/>
  <c r="AP276" i="5"/>
  <c r="AQ276" i="5"/>
  <c r="AR276" i="5"/>
  <c r="AS276" i="5"/>
  <c r="AT276" i="5"/>
  <c r="AU276" i="5"/>
  <c r="AV276" i="5"/>
  <c r="AW276" i="5"/>
  <c r="AP46" i="5"/>
  <c r="AR46" i="5"/>
  <c r="AT46" i="5"/>
  <c r="AU46" i="5"/>
  <c r="AV46" i="5"/>
  <c r="AW46" i="5"/>
  <c r="AP144" i="5"/>
  <c r="AQ144" i="5"/>
  <c r="AR144" i="5"/>
  <c r="AS144" i="5"/>
  <c r="AT144" i="5"/>
  <c r="AU144" i="5"/>
  <c r="AV144" i="5"/>
  <c r="AW144" i="5"/>
  <c r="AP5" i="5"/>
  <c r="AQ5" i="5"/>
  <c r="AR5" i="5"/>
  <c r="AT5" i="5"/>
  <c r="AU5" i="5"/>
  <c r="AV5" i="5"/>
  <c r="AW5" i="5"/>
  <c r="AP221" i="5"/>
  <c r="AQ221" i="5"/>
  <c r="AR221" i="5"/>
  <c r="AS221" i="5"/>
  <c r="AT221" i="5"/>
  <c r="AU221" i="5"/>
  <c r="AV221" i="5"/>
  <c r="AW221" i="5"/>
  <c r="AP296" i="5"/>
  <c r="AR296" i="5"/>
  <c r="AT296" i="5"/>
  <c r="AU296" i="5"/>
  <c r="AV296" i="5"/>
  <c r="AW296" i="5"/>
  <c r="AP277" i="5"/>
  <c r="AR277" i="5"/>
  <c r="AT277" i="5"/>
  <c r="AU277" i="5"/>
  <c r="AV277" i="5"/>
  <c r="AW277" i="5"/>
  <c r="AP194" i="5"/>
  <c r="AR194" i="5"/>
  <c r="AT194" i="5"/>
  <c r="AU194" i="5"/>
  <c r="AV194" i="5"/>
  <c r="AW194" i="5"/>
  <c r="AP196" i="5"/>
  <c r="AR196" i="5"/>
  <c r="AT196" i="5"/>
  <c r="AU196" i="5"/>
  <c r="AV196" i="5"/>
  <c r="AW196" i="5"/>
  <c r="AP224" i="5"/>
  <c r="AR224" i="5"/>
  <c r="AS224" i="5"/>
  <c r="AT224" i="5"/>
  <c r="AU224" i="5"/>
  <c r="AV224" i="5"/>
  <c r="AW224" i="5"/>
  <c r="AP250" i="5"/>
  <c r="AR250" i="5"/>
  <c r="AT250" i="5"/>
  <c r="AU250" i="5"/>
  <c r="AV250" i="5"/>
  <c r="AW250" i="5"/>
  <c r="AP98" i="5"/>
  <c r="AR98" i="5"/>
  <c r="AT98" i="5"/>
  <c r="AU98" i="5"/>
  <c r="AV98" i="5"/>
  <c r="AW98" i="5"/>
  <c r="AP120" i="5"/>
  <c r="AR120" i="5"/>
  <c r="AT120" i="5"/>
  <c r="AU120" i="5"/>
  <c r="AV120" i="5"/>
  <c r="AW120" i="5"/>
  <c r="AP90" i="5"/>
  <c r="AR90" i="5"/>
  <c r="AS90" i="5"/>
  <c r="AT90" i="5"/>
  <c r="AU90" i="5"/>
  <c r="AV90" i="5"/>
  <c r="AW90" i="5"/>
  <c r="AP275" i="5"/>
  <c r="AR275" i="5"/>
  <c r="AT275" i="5"/>
  <c r="AU275" i="5"/>
  <c r="AV275" i="5"/>
  <c r="AW275" i="5"/>
  <c r="AP151" i="5"/>
  <c r="AR151" i="5"/>
  <c r="AS151" i="5"/>
  <c r="AT151" i="5"/>
  <c r="AU151" i="5"/>
  <c r="AV151" i="5"/>
  <c r="AW151" i="5"/>
  <c r="AP70" i="5"/>
  <c r="AR70" i="5"/>
  <c r="AT70" i="5"/>
  <c r="AU70" i="5"/>
  <c r="AV70" i="5"/>
  <c r="AW70" i="5"/>
  <c r="AZ70" i="5"/>
  <c r="AP197" i="5"/>
  <c r="AR197" i="5"/>
  <c r="AS197" i="5"/>
  <c r="AT197" i="5"/>
  <c r="AU197" i="5"/>
  <c r="AV197" i="5"/>
  <c r="AW197" i="5"/>
  <c r="AP150" i="5"/>
  <c r="AQ150" i="5"/>
  <c r="AR150" i="5"/>
  <c r="AT150" i="5"/>
  <c r="AU150" i="5"/>
  <c r="AV150" i="5"/>
  <c r="AW150" i="5"/>
  <c r="AP105" i="5"/>
  <c r="AQ105" i="5"/>
  <c r="AR105" i="5"/>
  <c r="AT105" i="5"/>
  <c r="AU105" i="5"/>
  <c r="AV105" i="5"/>
  <c r="AW105" i="5"/>
  <c r="AP96" i="5"/>
  <c r="AR96" i="5"/>
  <c r="AT96" i="5"/>
  <c r="AU96" i="5"/>
  <c r="AV96" i="5"/>
  <c r="AW96" i="5"/>
  <c r="AP293" i="5"/>
  <c r="AR293" i="5"/>
  <c r="AT293" i="5"/>
  <c r="AU293" i="5"/>
  <c r="AV293" i="5"/>
  <c r="AW293" i="5"/>
  <c r="AP48" i="5"/>
  <c r="AR48" i="5"/>
  <c r="AT48" i="5"/>
  <c r="AU48" i="5"/>
  <c r="AV48" i="5"/>
  <c r="AW48" i="5"/>
  <c r="AP248" i="5"/>
  <c r="AR248" i="5"/>
  <c r="AT248" i="5"/>
  <c r="AU248" i="5"/>
  <c r="AV248" i="5"/>
  <c r="AW248" i="5"/>
  <c r="AP36" i="5"/>
  <c r="AR36" i="5"/>
  <c r="AT36" i="5"/>
  <c r="AU36" i="5"/>
  <c r="AV36" i="5"/>
  <c r="AW36" i="5"/>
  <c r="AP121" i="5"/>
  <c r="AR121" i="5"/>
  <c r="AT121" i="5"/>
  <c r="AU121" i="5"/>
  <c r="AV121" i="5"/>
  <c r="AW121" i="5"/>
  <c r="AP69" i="5"/>
  <c r="AR69" i="5"/>
  <c r="AS69" i="5"/>
  <c r="AT69" i="5"/>
  <c r="AU69" i="5"/>
  <c r="AV69" i="5"/>
  <c r="AW69" i="5"/>
  <c r="AP47" i="5"/>
  <c r="AR47" i="5"/>
  <c r="AT47" i="5"/>
  <c r="AU47" i="5"/>
  <c r="AV47" i="5"/>
  <c r="AW47" i="5"/>
  <c r="AP7" i="5"/>
  <c r="AR7" i="5"/>
  <c r="AT7" i="5"/>
  <c r="AU7" i="5"/>
  <c r="AV7" i="5"/>
  <c r="AW7" i="5"/>
  <c r="AP43" i="5"/>
  <c r="AR43" i="5"/>
  <c r="AT43" i="5"/>
  <c r="AU43" i="5"/>
  <c r="AV43" i="5"/>
  <c r="AW43" i="5"/>
  <c r="AP6" i="5"/>
  <c r="AR6" i="5"/>
  <c r="AT6" i="5"/>
  <c r="AU6" i="5"/>
  <c r="AV6" i="5"/>
  <c r="AW6" i="5"/>
  <c r="AP37" i="5"/>
  <c r="AR37" i="5"/>
  <c r="AT37" i="5"/>
  <c r="AU37" i="5"/>
  <c r="AV37" i="5"/>
  <c r="AW37" i="5"/>
  <c r="AP49" i="5"/>
  <c r="AR49" i="5"/>
  <c r="AT49" i="5"/>
  <c r="AU49" i="5"/>
  <c r="AV49" i="5"/>
  <c r="AW49" i="5"/>
  <c r="AP62" i="5"/>
  <c r="AR62" i="5"/>
  <c r="AT62" i="5"/>
  <c r="AU62" i="5"/>
  <c r="AV62" i="5"/>
  <c r="AW62" i="5"/>
  <c r="AP71" i="5"/>
  <c r="AR71" i="5"/>
  <c r="AT71" i="5"/>
  <c r="AU71" i="5"/>
  <c r="AV71" i="5"/>
  <c r="AW71" i="5"/>
  <c r="AP63" i="5"/>
  <c r="AR63" i="5"/>
  <c r="AT63" i="5"/>
  <c r="AU63" i="5"/>
  <c r="AV63" i="5"/>
  <c r="AW63" i="5"/>
  <c r="AP122" i="5"/>
  <c r="AR122" i="5"/>
  <c r="AT122" i="5"/>
  <c r="AU122" i="5"/>
  <c r="AV122" i="5"/>
  <c r="AW122" i="5"/>
  <c r="AP226" i="5"/>
  <c r="AQ226" i="5"/>
  <c r="AR226" i="5"/>
  <c r="AS226" i="5"/>
  <c r="AT226" i="5"/>
  <c r="AU226" i="5"/>
  <c r="AV226" i="5"/>
  <c r="AW226" i="5"/>
  <c r="AP45" i="5"/>
  <c r="AR45" i="5"/>
  <c r="AT45" i="5"/>
  <c r="AU45" i="5"/>
  <c r="AV45" i="5"/>
  <c r="AW45" i="5"/>
  <c r="AP64" i="5"/>
  <c r="AR64" i="5"/>
  <c r="AT64" i="5"/>
  <c r="AU64" i="5"/>
  <c r="AV64" i="5"/>
  <c r="AW64" i="5"/>
  <c r="AP198" i="5"/>
  <c r="AQ198" i="5"/>
  <c r="AR198" i="5"/>
  <c r="AT198" i="5"/>
  <c r="AU198" i="5"/>
  <c r="AV198" i="5"/>
  <c r="AW198" i="5"/>
  <c r="AP4" i="5"/>
  <c r="AR4" i="5"/>
  <c r="AS4" i="5"/>
  <c r="AT4" i="5"/>
  <c r="AU4" i="5"/>
  <c r="AV4" i="5"/>
  <c r="AW4" i="5"/>
  <c r="AP223" i="5"/>
  <c r="AR223" i="5"/>
  <c r="AT223" i="5"/>
  <c r="AU223" i="5"/>
  <c r="AV223" i="5"/>
  <c r="AW223" i="5"/>
  <c r="AP153" i="5"/>
  <c r="AR153" i="5"/>
  <c r="AS153" i="5"/>
  <c r="AT153" i="5"/>
  <c r="AU153" i="5"/>
  <c r="AV153" i="5"/>
  <c r="AW153" i="5"/>
  <c r="AP68" i="5"/>
  <c r="AR68" i="5"/>
  <c r="AT68" i="5"/>
  <c r="AU68" i="5"/>
  <c r="AV68" i="5"/>
  <c r="AW68" i="5"/>
  <c r="AP40" i="5"/>
  <c r="AR40" i="5"/>
  <c r="AT40" i="5"/>
  <c r="AU40" i="5"/>
  <c r="AV40" i="5"/>
  <c r="AW40" i="5"/>
  <c r="AP44" i="5"/>
  <c r="AR44" i="5"/>
  <c r="AT44" i="5"/>
  <c r="AU44" i="5"/>
  <c r="AV44" i="5"/>
  <c r="AW44" i="5"/>
  <c r="AP254" i="5"/>
  <c r="AR254" i="5"/>
  <c r="AS254" i="5"/>
  <c r="AT254" i="5"/>
  <c r="AU254" i="5"/>
  <c r="AV254" i="5"/>
  <c r="AW254" i="5"/>
  <c r="AP39" i="5"/>
  <c r="AR39" i="5"/>
  <c r="AT39" i="5"/>
  <c r="AU39" i="5"/>
  <c r="AV39" i="5"/>
  <c r="AW39" i="5"/>
  <c r="AP80" i="5"/>
  <c r="AR80" i="5"/>
  <c r="AT80" i="5"/>
  <c r="AU80" i="5"/>
  <c r="AV80" i="5"/>
  <c r="AW80" i="5"/>
  <c r="AP41" i="5"/>
  <c r="AR41" i="5"/>
  <c r="AT41" i="5"/>
  <c r="AU41" i="5"/>
  <c r="AV41" i="5"/>
  <c r="AW41" i="5"/>
  <c r="AP42" i="5"/>
  <c r="AR42" i="5"/>
  <c r="AT42" i="5"/>
  <c r="AU42" i="5"/>
  <c r="AV42" i="5"/>
  <c r="AW42" i="5"/>
  <c r="AP113" i="5"/>
  <c r="AR113" i="5"/>
  <c r="AT113" i="5"/>
  <c r="AU113" i="5"/>
  <c r="AV113" i="5"/>
  <c r="AW113" i="5"/>
  <c r="AP270" i="5"/>
  <c r="AQ270" i="5"/>
  <c r="AR270" i="5"/>
  <c r="AT270" i="5"/>
  <c r="AU270" i="5"/>
  <c r="AV270" i="5"/>
  <c r="AW270" i="5"/>
  <c r="AP256" i="5"/>
  <c r="AR256" i="5"/>
  <c r="AT256" i="5"/>
  <c r="AU256" i="5"/>
  <c r="AV256" i="5"/>
  <c r="AW256" i="5"/>
  <c r="AP278" i="5"/>
  <c r="AR278" i="5"/>
  <c r="AS278" i="5"/>
  <c r="AT278" i="5"/>
  <c r="AU278" i="5"/>
  <c r="AV278" i="5"/>
  <c r="AW278" i="5"/>
  <c r="AP262" i="5"/>
  <c r="AR262" i="5"/>
  <c r="AT262" i="5"/>
  <c r="AU262" i="5"/>
  <c r="AV262" i="5"/>
  <c r="AW262" i="5"/>
  <c r="AP38" i="5"/>
  <c r="AR38" i="5"/>
  <c r="AT38" i="5"/>
  <c r="AU38" i="5"/>
  <c r="AV38" i="5"/>
  <c r="AW38" i="5"/>
  <c r="AP255" i="5"/>
  <c r="AR255" i="5"/>
  <c r="AT255" i="5"/>
  <c r="AU255" i="5"/>
  <c r="AV255" i="5"/>
  <c r="AW255" i="5"/>
  <c r="AP290" i="5"/>
  <c r="AR290" i="5"/>
  <c r="AT290" i="5"/>
  <c r="AU290" i="5"/>
  <c r="AV290" i="5"/>
  <c r="AW290" i="5"/>
  <c r="AP67" i="5"/>
  <c r="AR67" i="5"/>
  <c r="AT67" i="5"/>
  <c r="AU67" i="5"/>
  <c r="AV67" i="5"/>
  <c r="AW67" i="5"/>
  <c r="AP55" i="5"/>
  <c r="AR55" i="5"/>
  <c r="AT55" i="5"/>
  <c r="AU55" i="5"/>
  <c r="AV55" i="5"/>
  <c r="AW55" i="5"/>
  <c r="AP65" i="5"/>
  <c r="AR65" i="5"/>
  <c r="AT65" i="5"/>
  <c r="AU65" i="5"/>
  <c r="AV65" i="5"/>
  <c r="AW65" i="5"/>
  <c r="AP253" i="5"/>
  <c r="AR253" i="5"/>
  <c r="AT253" i="5"/>
  <c r="AU253" i="5"/>
  <c r="AV253" i="5"/>
  <c r="AW253" i="5"/>
  <c r="AP66" i="5"/>
  <c r="AR66" i="5"/>
  <c r="AT66" i="5"/>
  <c r="AU66" i="5"/>
  <c r="AV66" i="5"/>
  <c r="AW66" i="5"/>
  <c r="AP56" i="5"/>
  <c r="AR56" i="5"/>
  <c r="AT56" i="5"/>
  <c r="AU56" i="5"/>
  <c r="AV56" i="5"/>
  <c r="AW56" i="5"/>
  <c r="AP97" i="5"/>
  <c r="AR97" i="5"/>
  <c r="AT97" i="5"/>
  <c r="AU97" i="5"/>
  <c r="AV97" i="5"/>
  <c r="AW97" i="5"/>
  <c r="AP59" i="5"/>
  <c r="AR59" i="5"/>
  <c r="AT59" i="5"/>
  <c r="AU59" i="5"/>
  <c r="AV59" i="5"/>
  <c r="AW59" i="5"/>
  <c r="AP115" i="5"/>
  <c r="AR115" i="5"/>
  <c r="AT115" i="5"/>
  <c r="AU115" i="5"/>
  <c r="AV115" i="5"/>
  <c r="AW115" i="5"/>
  <c r="AP161" i="5"/>
  <c r="AR161" i="5"/>
  <c r="AT161" i="5"/>
  <c r="AU161" i="5"/>
  <c r="AV161" i="5"/>
  <c r="AW161" i="5"/>
  <c r="AP60" i="5"/>
  <c r="AR60" i="5"/>
  <c r="AT60" i="5"/>
  <c r="AU60" i="5"/>
  <c r="AV60" i="5"/>
  <c r="AW60" i="5"/>
  <c r="AP57" i="5"/>
  <c r="AR57" i="5"/>
  <c r="AT57" i="5"/>
  <c r="AU57" i="5"/>
  <c r="AV57" i="5"/>
  <c r="AW57" i="5"/>
  <c r="AP58" i="5"/>
  <c r="AR58" i="5"/>
  <c r="AS58" i="5"/>
  <c r="AT58" i="5"/>
  <c r="AU58" i="5"/>
  <c r="AV58" i="5"/>
  <c r="AW58" i="5"/>
  <c r="AP299" i="5"/>
  <c r="AR299" i="5"/>
  <c r="AS299" i="5"/>
  <c r="AT299" i="5"/>
  <c r="AU299" i="5"/>
  <c r="AV299" i="5"/>
  <c r="AW299" i="5"/>
  <c r="AX299" i="5"/>
  <c r="AY299" i="5"/>
  <c r="AZ299" i="5"/>
  <c r="AP300" i="5"/>
  <c r="AR300" i="5"/>
  <c r="AS300" i="5"/>
  <c r="AT300" i="5"/>
  <c r="AU300" i="5"/>
  <c r="AV300" i="5"/>
  <c r="AW300" i="5"/>
  <c r="AX300" i="5"/>
  <c r="AY300" i="5"/>
  <c r="AZ300" i="5"/>
  <c r="AP301" i="5"/>
  <c r="AR301" i="5"/>
  <c r="AS301" i="5"/>
  <c r="AT301" i="5"/>
  <c r="AU301" i="5"/>
  <c r="AV301" i="5"/>
  <c r="AW301" i="5"/>
  <c r="AX301" i="5"/>
  <c r="AY301" i="5"/>
  <c r="AZ301" i="5"/>
  <c r="AP302" i="5"/>
  <c r="AR302" i="5"/>
  <c r="AS302" i="5"/>
  <c r="AT302" i="5"/>
  <c r="AU302" i="5"/>
  <c r="AV302" i="5"/>
  <c r="AW302" i="5"/>
  <c r="AX302" i="5"/>
  <c r="AY302" i="5"/>
  <c r="AZ302" i="5"/>
  <c r="AP305" i="5"/>
  <c r="AR305" i="5"/>
  <c r="AS305" i="5"/>
  <c r="AT305" i="5"/>
  <c r="AU305" i="5"/>
  <c r="AV305" i="5"/>
  <c r="AW305" i="5"/>
  <c r="AX305" i="5"/>
  <c r="AY305" i="5"/>
  <c r="AZ305" i="5"/>
  <c r="AP306" i="5"/>
  <c r="AR306" i="5"/>
  <c r="AS306" i="5"/>
  <c r="AT306" i="5"/>
  <c r="AU306" i="5"/>
  <c r="AV306" i="5"/>
  <c r="AW306" i="5"/>
  <c r="AX306" i="5"/>
  <c r="AY306" i="5"/>
  <c r="AZ306" i="5"/>
  <c r="AP307" i="5"/>
  <c r="AR307" i="5"/>
  <c r="AS307" i="5"/>
  <c r="AT307" i="5"/>
  <c r="AU307" i="5"/>
  <c r="AV307" i="5"/>
  <c r="AW307" i="5"/>
  <c r="AX307" i="5"/>
  <c r="AY307" i="5"/>
  <c r="AZ307" i="5"/>
  <c r="AP308" i="5"/>
  <c r="AR308" i="5"/>
  <c r="AS308" i="5"/>
  <c r="AT308" i="5"/>
  <c r="AU308" i="5"/>
  <c r="AV308" i="5"/>
  <c r="AW308" i="5"/>
  <c r="AX308" i="5"/>
  <c r="AY308" i="5"/>
  <c r="AZ308" i="5"/>
  <c r="AP304" i="5"/>
  <c r="AR304" i="5"/>
  <c r="AS304" i="5"/>
  <c r="AT304" i="5"/>
  <c r="AU304" i="5"/>
  <c r="AV304" i="5"/>
  <c r="AW304" i="5"/>
  <c r="AX304" i="5"/>
  <c r="AY304" i="5"/>
  <c r="AZ304" i="5"/>
  <c r="AP309" i="5"/>
  <c r="AR309" i="5"/>
  <c r="AS309" i="5"/>
  <c r="AT309" i="5"/>
  <c r="AU309" i="5"/>
  <c r="AV309" i="5"/>
  <c r="AW309" i="5"/>
  <c r="AX309" i="5"/>
  <c r="AY309" i="5"/>
  <c r="AZ309" i="5"/>
  <c r="AP312" i="5"/>
  <c r="AR312" i="5"/>
  <c r="AS312" i="5"/>
  <c r="AT312" i="5"/>
  <c r="AU312" i="5"/>
  <c r="AV312" i="5"/>
  <c r="AW312" i="5"/>
  <c r="AX312" i="5"/>
  <c r="AY312" i="5"/>
  <c r="AZ312" i="5"/>
  <c r="AP313" i="5"/>
  <c r="AR313" i="5"/>
  <c r="AS313" i="5"/>
  <c r="AT313" i="5"/>
  <c r="AU313" i="5"/>
  <c r="AV313" i="5"/>
  <c r="AW313" i="5"/>
  <c r="AX313" i="5"/>
  <c r="AY313" i="5"/>
  <c r="AZ313" i="5"/>
  <c r="AP314" i="5"/>
  <c r="AR314" i="5"/>
  <c r="AS314" i="5"/>
  <c r="AT314" i="5"/>
  <c r="AU314" i="5"/>
  <c r="AV314" i="5"/>
  <c r="AW314" i="5"/>
  <c r="AX314" i="5"/>
  <c r="AY314" i="5"/>
  <c r="AZ314" i="5"/>
  <c r="AP310" i="5"/>
  <c r="AR310" i="5"/>
  <c r="AS310" i="5"/>
  <c r="AT310" i="5"/>
  <c r="AU310" i="5"/>
  <c r="AV310" i="5"/>
  <c r="AW310" i="5"/>
  <c r="AX310" i="5"/>
  <c r="AY310" i="5"/>
  <c r="AZ310" i="5"/>
  <c r="AP311" i="5"/>
  <c r="AR311" i="5"/>
  <c r="AS311" i="5"/>
  <c r="AT311" i="5"/>
  <c r="AU311" i="5"/>
  <c r="AV311" i="5"/>
  <c r="AW311" i="5"/>
  <c r="AX311" i="5"/>
  <c r="AY311" i="5"/>
  <c r="AZ311" i="5"/>
  <c r="AP346" i="5"/>
  <c r="AR346" i="5"/>
  <c r="AS346" i="5"/>
  <c r="AT346" i="5"/>
  <c r="AU346" i="5"/>
  <c r="AV346" i="5"/>
  <c r="AW346" i="5"/>
  <c r="AX346" i="5"/>
  <c r="AY346" i="5"/>
  <c r="AZ346" i="5"/>
  <c r="AP331" i="5"/>
  <c r="AR331" i="5"/>
  <c r="AS331" i="5"/>
  <c r="AT331" i="5"/>
  <c r="AU331" i="5"/>
  <c r="AV331" i="5"/>
  <c r="AW331" i="5"/>
  <c r="AX331" i="5"/>
  <c r="AY331" i="5"/>
  <c r="AZ331" i="5"/>
  <c r="AP344" i="5"/>
  <c r="AR344" i="5"/>
  <c r="AS344" i="5"/>
  <c r="AT344" i="5"/>
  <c r="AU344" i="5"/>
  <c r="AV344" i="5"/>
  <c r="AW344" i="5"/>
  <c r="AX344" i="5"/>
  <c r="AY344" i="5"/>
  <c r="AZ344" i="5"/>
  <c r="AP345" i="5"/>
  <c r="AR345" i="5"/>
  <c r="AS345" i="5"/>
  <c r="AT345" i="5"/>
  <c r="AU345" i="5"/>
  <c r="AV345" i="5"/>
  <c r="AW345" i="5"/>
  <c r="AX345" i="5"/>
  <c r="AY345" i="5"/>
  <c r="AZ345" i="5"/>
  <c r="AP347" i="5"/>
  <c r="AR347" i="5"/>
  <c r="AS347" i="5"/>
  <c r="AT347" i="5"/>
  <c r="AU347" i="5"/>
  <c r="AV347" i="5"/>
  <c r="AW347" i="5"/>
  <c r="AX347" i="5"/>
  <c r="AY347" i="5"/>
  <c r="AZ347" i="5"/>
  <c r="AP334" i="5"/>
  <c r="AR334" i="5"/>
  <c r="AS334" i="5"/>
  <c r="AT334" i="5"/>
  <c r="AU334" i="5"/>
  <c r="AV334" i="5"/>
  <c r="AW334" i="5"/>
  <c r="AX334" i="5"/>
  <c r="AY334" i="5"/>
  <c r="AZ334" i="5"/>
  <c r="AP342" i="5"/>
  <c r="AR342" i="5"/>
  <c r="AS342" i="5"/>
  <c r="AT342" i="5"/>
  <c r="AU342" i="5"/>
  <c r="AV342" i="5"/>
  <c r="AW342" i="5"/>
  <c r="AX342" i="5"/>
  <c r="AY342" i="5"/>
  <c r="AZ342" i="5"/>
  <c r="AP327" i="5"/>
  <c r="AR327" i="5"/>
  <c r="AS327" i="5"/>
  <c r="AT327" i="5"/>
  <c r="AU327" i="5"/>
  <c r="AV327" i="5"/>
  <c r="AW327" i="5"/>
  <c r="AX327" i="5"/>
  <c r="AY327" i="5"/>
  <c r="AZ327" i="5"/>
  <c r="AP329" i="5"/>
  <c r="AR329" i="5"/>
  <c r="AS329" i="5"/>
  <c r="AT329" i="5"/>
  <c r="AU329" i="5"/>
  <c r="AV329" i="5"/>
  <c r="AW329" i="5"/>
  <c r="AX329" i="5"/>
  <c r="AY329" i="5"/>
  <c r="AZ329" i="5"/>
  <c r="AP332" i="5"/>
  <c r="AR332" i="5"/>
  <c r="AS332" i="5"/>
  <c r="AT332" i="5"/>
  <c r="AU332" i="5"/>
  <c r="AV332" i="5"/>
  <c r="AW332" i="5"/>
  <c r="AX332" i="5"/>
  <c r="AY332" i="5"/>
  <c r="AZ332" i="5"/>
  <c r="AP335" i="5"/>
  <c r="AR335" i="5"/>
  <c r="AS335" i="5"/>
  <c r="AT335" i="5"/>
  <c r="AU335" i="5"/>
  <c r="AV335" i="5"/>
  <c r="AW335" i="5"/>
  <c r="AX335" i="5"/>
  <c r="AY335" i="5"/>
  <c r="AZ335" i="5"/>
  <c r="AP337" i="5"/>
  <c r="AR337" i="5"/>
  <c r="AS337" i="5"/>
  <c r="AT337" i="5"/>
  <c r="AU337" i="5"/>
  <c r="AV337" i="5"/>
  <c r="AW337" i="5"/>
  <c r="AX337" i="5"/>
  <c r="AY337" i="5"/>
  <c r="AZ337" i="5"/>
  <c r="AP336" i="5"/>
  <c r="AR336" i="5"/>
  <c r="AS336" i="5"/>
  <c r="AT336" i="5"/>
  <c r="AU336" i="5"/>
  <c r="AV336" i="5"/>
  <c r="AW336" i="5"/>
  <c r="AX336" i="5"/>
  <c r="AY336" i="5"/>
  <c r="AZ336" i="5"/>
  <c r="AP320" i="5"/>
  <c r="AR320" i="5"/>
  <c r="AS320" i="5"/>
  <c r="AT320" i="5"/>
  <c r="AU320" i="5"/>
  <c r="AV320" i="5"/>
  <c r="AW320" i="5"/>
  <c r="AX320" i="5"/>
  <c r="AY320" i="5"/>
  <c r="AZ320" i="5"/>
  <c r="AP322" i="5"/>
  <c r="AR322" i="5"/>
  <c r="AS322" i="5"/>
  <c r="AT322" i="5"/>
  <c r="AU322" i="5"/>
  <c r="AV322" i="5"/>
  <c r="AW322" i="5"/>
  <c r="AX322" i="5"/>
  <c r="AY322" i="5"/>
  <c r="AZ322" i="5"/>
  <c r="AP323" i="5"/>
  <c r="AR323" i="5"/>
  <c r="AS323" i="5"/>
  <c r="AT323" i="5"/>
  <c r="AU323" i="5"/>
  <c r="AV323" i="5"/>
  <c r="AW323" i="5"/>
  <c r="AX323" i="5"/>
  <c r="AY323" i="5"/>
  <c r="AZ323" i="5"/>
  <c r="AP324" i="5"/>
  <c r="AR324" i="5"/>
  <c r="AS324" i="5"/>
  <c r="AT324" i="5"/>
  <c r="AU324" i="5"/>
  <c r="AV324" i="5"/>
  <c r="AW324" i="5"/>
  <c r="AX324" i="5"/>
  <c r="AY324" i="5"/>
  <c r="AZ324" i="5"/>
  <c r="AP325" i="5"/>
  <c r="AR325" i="5"/>
  <c r="AS325" i="5"/>
  <c r="AT325" i="5"/>
  <c r="AU325" i="5"/>
  <c r="AV325" i="5"/>
  <c r="AW325" i="5"/>
  <c r="AX325" i="5"/>
  <c r="AY325" i="5"/>
  <c r="AZ325" i="5"/>
  <c r="AP326" i="5"/>
  <c r="AR326" i="5"/>
  <c r="AS326" i="5"/>
  <c r="AT326" i="5"/>
  <c r="AU326" i="5"/>
  <c r="AV326" i="5"/>
  <c r="AW326" i="5"/>
  <c r="AX326" i="5"/>
  <c r="AY326" i="5"/>
  <c r="AZ326" i="5"/>
  <c r="AP328" i="5"/>
  <c r="AR328" i="5"/>
  <c r="AS328" i="5"/>
  <c r="AT328" i="5"/>
  <c r="AU328" i="5"/>
  <c r="AV328" i="5"/>
  <c r="AW328" i="5"/>
  <c r="AX328" i="5"/>
  <c r="AY328" i="5"/>
  <c r="AZ328" i="5"/>
  <c r="AP330" i="5"/>
  <c r="AR330" i="5"/>
  <c r="AS330" i="5"/>
  <c r="AT330" i="5"/>
  <c r="AU330" i="5"/>
  <c r="AV330" i="5"/>
  <c r="AW330" i="5"/>
  <c r="AX330" i="5"/>
  <c r="AY330" i="5"/>
  <c r="AZ330" i="5"/>
  <c r="AP338" i="5"/>
  <c r="AR338" i="5"/>
  <c r="AS338" i="5"/>
  <c r="AT338" i="5"/>
  <c r="AU338" i="5"/>
  <c r="AV338" i="5"/>
  <c r="AW338" i="5"/>
  <c r="AX338" i="5"/>
  <c r="AY338" i="5"/>
  <c r="AZ338" i="5"/>
  <c r="AP339" i="5"/>
  <c r="AR339" i="5"/>
  <c r="AS339" i="5"/>
  <c r="AT339" i="5"/>
  <c r="AU339" i="5"/>
  <c r="AV339" i="5"/>
  <c r="AW339" i="5"/>
  <c r="AX339" i="5"/>
  <c r="AY339" i="5"/>
  <c r="AZ339" i="5"/>
  <c r="AP340" i="5"/>
  <c r="AR340" i="5"/>
  <c r="AS340" i="5"/>
  <c r="AT340" i="5"/>
  <c r="AU340" i="5"/>
  <c r="AV340" i="5"/>
  <c r="AW340" i="5"/>
  <c r="AX340" i="5"/>
  <c r="AY340" i="5"/>
  <c r="AZ340" i="5"/>
  <c r="AP341" i="5"/>
  <c r="AR341" i="5"/>
  <c r="AS341" i="5"/>
  <c r="AT341" i="5"/>
  <c r="AU341" i="5"/>
  <c r="AV341" i="5"/>
  <c r="AW341" i="5"/>
  <c r="AX341" i="5"/>
  <c r="AY341" i="5"/>
  <c r="AZ341" i="5"/>
  <c r="AP333" i="5"/>
  <c r="AR333" i="5"/>
  <c r="AS333" i="5"/>
  <c r="AT333" i="5"/>
  <c r="AU333" i="5"/>
  <c r="AV333" i="5"/>
  <c r="AW333" i="5"/>
  <c r="AX333" i="5"/>
  <c r="AY333" i="5"/>
  <c r="AZ333" i="5"/>
  <c r="AP343" i="5"/>
  <c r="AR343" i="5"/>
  <c r="AS343" i="5"/>
  <c r="AT343" i="5"/>
  <c r="AU343" i="5"/>
  <c r="AV343" i="5"/>
  <c r="AW343" i="5"/>
  <c r="AX343" i="5"/>
  <c r="AY343" i="5"/>
  <c r="AZ343" i="5"/>
  <c r="AP321" i="5"/>
  <c r="AR321" i="5"/>
  <c r="AS321" i="5"/>
  <c r="AT321" i="5"/>
  <c r="AU321" i="5"/>
  <c r="AV321" i="5"/>
  <c r="AW321" i="5"/>
  <c r="AX321" i="5"/>
  <c r="AY321" i="5"/>
  <c r="AZ321" i="5"/>
  <c r="AP318" i="5"/>
  <c r="AR318" i="5"/>
  <c r="AS318" i="5"/>
  <c r="AT318" i="5"/>
  <c r="AU318" i="5"/>
  <c r="AV318" i="5"/>
  <c r="AW318" i="5"/>
  <c r="AX318" i="5"/>
  <c r="AY318" i="5"/>
  <c r="AZ318" i="5"/>
  <c r="AP319" i="5"/>
  <c r="AR319" i="5"/>
  <c r="AS319" i="5"/>
  <c r="AT319" i="5"/>
  <c r="AU319" i="5"/>
  <c r="AV319" i="5"/>
  <c r="AW319" i="5"/>
  <c r="AX319" i="5"/>
  <c r="AY319" i="5"/>
  <c r="AZ319" i="5"/>
  <c r="AP317" i="5"/>
  <c r="AR317" i="5"/>
  <c r="AS317" i="5"/>
  <c r="AT317" i="5"/>
  <c r="AU317" i="5"/>
  <c r="AV317" i="5"/>
  <c r="AW317" i="5"/>
  <c r="AX317" i="5"/>
  <c r="AY317" i="5"/>
  <c r="AZ317" i="5"/>
  <c r="AP315" i="5"/>
  <c r="AR315" i="5"/>
  <c r="AS315" i="5"/>
  <c r="AT315" i="5"/>
  <c r="AU315" i="5"/>
  <c r="AV315" i="5"/>
  <c r="AW315" i="5"/>
  <c r="AX315" i="5"/>
  <c r="AY315" i="5"/>
  <c r="AZ315" i="5"/>
  <c r="AP316" i="5"/>
  <c r="AR316" i="5"/>
  <c r="AS316" i="5"/>
  <c r="AT316" i="5"/>
  <c r="AU316" i="5"/>
  <c r="AV316" i="5"/>
  <c r="AW316" i="5"/>
  <c r="AX316" i="5"/>
  <c r="AY316" i="5"/>
  <c r="AZ316" i="5"/>
  <c r="AP357" i="5"/>
  <c r="AR357" i="5"/>
  <c r="AS357" i="5"/>
  <c r="AT357" i="5"/>
  <c r="AU357" i="5"/>
  <c r="AV357" i="5"/>
  <c r="AW357" i="5"/>
  <c r="AX357" i="5"/>
  <c r="AY357" i="5"/>
  <c r="AZ357" i="5"/>
  <c r="AP348" i="5"/>
  <c r="AR348" i="5"/>
  <c r="AS348" i="5"/>
  <c r="AT348" i="5"/>
  <c r="AU348" i="5"/>
  <c r="AV348" i="5"/>
  <c r="AW348" i="5"/>
  <c r="AX348" i="5"/>
  <c r="AY348" i="5"/>
  <c r="AZ348" i="5"/>
  <c r="AP352" i="5"/>
  <c r="AR352" i="5"/>
  <c r="AS352" i="5"/>
  <c r="AT352" i="5"/>
  <c r="AU352" i="5"/>
  <c r="AV352" i="5"/>
  <c r="AW352" i="5"/>
  <c r="AX352" i="5"/>
  <c r="AY352" i="5"/>
  <c r="AZ352" i="5"/>
  <c r="AP353" i="5"/>
  <c r="AR353" i="5"/>
  <c r="AS353" i="5"/>
  <c r="AT353" i="5"/>
  <c r="AU353" i="5"/>
  <c r="AV353" i="5"/>
  <c r="AW353" i="5"/>
  <c r="AX353" i="5"/>
  <c r="AY353" i="5"/>
  <c r="AZ353" i="5"/>
  <c r="AP358" i="5"/>
  <c r="AR358" i="5"/>
  <c r="AS358" i="5"/>
  <c r="AT358" i="5"/>
  <c r="AU358" i="5"/>
  <c r="AV358" i="5"/>
  <c r="AW358" i="5"/>
  <c r="AX358" i="5"/>
  <c r="AY358" i="5"/>
  <c r="AZ358" i="5"/>
  <c r="AP359" i="5"/>
  <c r="AR359" i="5"/>
  <c r="AS359" i="5"/>
  <c r="AT359" i="5"/>
  <c r="AU359" i="5"/>
  <c r="AV359" i="5"/>
  <c r="AW359" i="5"/>
  <c r="AX359" i="5"/>
  <c r="AY359" i="5"/>
  <c r="AZ359" i="5"/>
  <c r="AP360" i="5"/>
  <c r="AR360" i="5"/>
  <c r="AS360" i="5"/>
  <c r="AT360" i="5"/>
  <c r="AU360" i="5"/>
  <c r="AV360" i="5"/>
  <c r="AW360" i="5"/>
  <c r="AX360" i="5"/>
  <c r="AY360" i="5"/>
  <c r="AZ360" i="5"/>
  <c r="AP361" i="5"/>
  <c r="AR361" i="5"/>
  <c r="AS361" i="5"/>
  <c r="AT361" i="5"/>
  <c r="AU361" i="5"/>
  <c r="AV361" i="5"/>
  <c r="AW361" i="5"/>
  <c r="AX361" i="5"/>
  <c r="AY361" i="5"/>
  <c r="AZ361" i="5"/>
  <c r="AP362" i="5"/>
  <c r="AR362" i="5"/>
  <c r="AS362" i="5"/>
  <c r="AT362" i="5"/>
  <c r="AU362" i="5"/>
  <c r="AV362" i="5"/>
  <c r="AW362" i="5"/>
  <c r="AX362" i="5"/>
  <c r="AY362" i="5"/>
  <c r="AZ362" i="5"/>
  <c r="AP363" i="5"/>
  <c r="AR363" i="5"/>
  <c r="AS363" i="5"/>
  <c r="AT363" i="5"/>
  <c r="AU363" i="5"/>
  <c r="AV363" i="5"/>
  <c r="AW363" i="5"/>
  <c r="AX363" i="5"/>
  <c r="AY363" i="5"/>
  <c r="AZ363" i="5"/>
  <c r="AP364" i="5"/>
  <c r="AR364" i="5"/>
  <c r="AS364" i="5"/>
  <c r="AT364" i="5"/>
  <c r="AU364" i="5"/>
  <c r="AV364" i="5"/>
  <c r="AW364" i="5"/>
  <c r="AX364" i="5"/>
  <c r="AY364" i="5"/>
  <c r="AZ364" i="5"/>
  <c r="AP365" i="5"/>
  <c r="AR365" i="5"/>
  <c r="AS365" i="5"/>
  <c r="AT365" i="5"/>
  <c r="AU365" i="5"/>
  <c r="AV365" i="5"/>
  <c r="AW365" i="5"/>
  <c r="AX365" i="5"/>
  <c r="AY365" i="5"/>
  <c r="AZ365" i="5"/>
  <c r="AP367" i="5"/>
  <c r="AR367" i="5"/>
  <c r="AS367" i="5"/>
  <c r="AT367" i="5"/>
  <c r="AU367" i="5"/>
  <c r="AV367" i="5"/>
  <c r="AW367" i="5"/>
  <c r="AX367" i="5"/>
  <c r="AY367" i="5"/>
  <c r="AZ367" i="5"/>
  <c r="AP368" i="5"/>
  <c r="AR368" i="5"/>
  <c r="AS368" i="5"/>
  <c r="AT368" i="5"/>
  <c r="AU368" i="5"/>
  <c r="AV368" i="5"/>
  <c r="AW368" i="5"/>
  <c r="AX368" i="5"/>
  <c r="AY368" i="5"/>
  <c r="AZ368" i="5"/>
  <c r="AP369" i="5"/>
  <c r="AR369" i="5"/>
  <c r="AS369" i="5"/>
  <c r="AT369" i="5"/>
  <c r="AU369" i="5"/>
  <c r="AV369" i="5"/>
  <c r="AW369" i="5"/>
  <c r="AX369" i="5"/>
  <c r="AY369" i="5"/>
  <c r="AZ369" i="5"/>
  <c r="AP349" i="5"/>
  <c r="AR349" i="5"/>
  <c r="AS349" i="5"/>
  <c r="AT349" i="5"/>
  <c r="AU349" i="5"/>
  <c r="AV349" i="5"/>
  <c r="AW349" i="5"/>
  <c r="AX349" i="5"/>
  <c r="AY349" i="5"/>
  <c r="AZ349" i="5"/>
  <c r="AP350" i="5"/>
  <c r="AR350" i="5"/>
  <c r="AS350" i="5"/>
  <c r="AT350" i="5"/>
  <c r="AU350" i="5"/>
  <c r="AV350" i="5"/>
  <c r="AW350" i="5"/>
  <c r="AX350" i="5"/>
  <c r="AY350" i="5"/>
  <c r="AZ350" i="5"/>
  <c r="AP351" i="5"/>
  <c r="AR351" i="5"/>
  <c r="AS351" i="5"/>
  <c r="AT351" i="5"/>
  <c r="AU351" i="5"/>
  <c r="AV351" i="5"/>
  <c r="AW351" i="5"/>
  <c r="AX351" i="5"/>
  <c r="AY351" i="5"/>
  <c r="AZ351" i="5"/>
  <c r="AP354" i="5"/>
  <c r="AR354" i="5"/>
  <c r="AS354" i="5"/>
  <c r="AT354" i="5"/>
  <c r="AU354" i="5"/>
  <c r="AV354" i="5"/>
  <c r="AW354" i="5"/>
  <c r="AX354" i="5"/>
  <c r="AY354" i="5"/>
  <c r="AZ354" i="5"/>
  <c r="AP355" i="5"/>
  <c r="AR355" i="5"/>
  <c r="AS355" i="5"/>
  <c r="AT355" i="5"/>
  <c r="AU355" i="5"/>
  <c r="AV355" i="5"/>
  <c r="AW355" i="5"/>
  <c r="AX355" i="5"/>
  <c r="AY355" i="5"/>
  <c r="AZ355" i="5"/>
  <c r="AP356" i="5"/>
  <c r="AR356" i="5"/>
  <c r="AS356" i="5"/>
  <c r="AT356" i="5"/>
  <c r="AU356" i="5"/>
  <c r="AV356" i="5"/>
  <c r="AW356" i="5"/>
  <c r="AX356" i="5"/>
  <c r="AY356" i="5"/>
  <c r="AZ356" i="5"/>
  <c r="AP366" i="5"/>
  <c r="AR366" i="5"/>
  <c r="AS366" i="5"/>
  <c r="AT366" i="5"/>
  <c r="AU366" i="5"/>
  <c r="AV366" i="5"/>
  <c r="AW366" i="5"/>
  <c r="AX366" i="5"/>
  <c r="AY366" i="5"/>
  <c r="AZ366" i="5"/>
  <c r="AP370" i="5"/>
  <c r="AR370" i="5"/>
  <c r="AS370" i="5"/>
  <c r="AT370" i="5"/>
  <c r="AU370" i="5"/>
  <c r="AV370" i="5"/>
  <c r="AW370" i="5"/>
  <c r="AX370" i="5"/>
  <c r="AY370" i="5"/>
  <c r="AZ370" i="5"/>
  <c r="AP371" i="5"/>
  <c r="AR371" i="5"/>
  <c r="AS371" i="5"/>
  <c r="AT371" i="5"/>
  <c r="AU371" i="5"/>
  <c r="AV371" i="5"/>
  <c r="AW371" i="5"/>
  <c r="AX371" i="5"/>
  <c r="AY371" i="5"/>
  <c r="AZ371" i="5"/>
  <c r="AP372" i="5"/>
  <c r="AR372" i="5"/>
  <c r="AS372" i="5"/>
  <c r="AT372" i="5"/>
  <c r="AU372" i="5"/>
  <c r="AV372" i="5"/>
  <c r="AW372" i="5"/>
  <c r="AX372" i="5"/>
  <c r="AY372" i="5"/>
  <c r="AZ372" i="5"/>
  <c r="AP373" i="5"/>
  <c r="AR373" i="5"/>
  <c r="AS373" i="5"/>
  <c r="AT373" i="5"/>
  <c r="AU373" i="5"/>
  <c r="AV373" i="5"/>
  <c r="AW373" i="5"/>
  <c r="AX373" i="5"/>
  <c r="AY373" i="5"/>
  <c r="AZ373" i="5"/>
  <c r="AP374" i="5"/>
  <c r="AR374" i="5"/>
  <c r="AS374" i="5"/>
  <c r="AT374" i="5"/>
  <c r="AU374" i="5"/>
  <c r="AV374" i="5"/>
  <c r="AW374" i="5"/>
  <c r="AX374" i="5"/>
  <c r="AY374" i="5"/>
  <c r="AZ374" i="5"/>
  <c r="AP375" i="5"/>
  <c r="AR375" i="5"/>
  <c r="AS375" i="5"/>
  <c r="AT375" i="5"/>
  <c r="AU375" i="5"/>
  <c r="AV375" i="5"/>
  <c r="AW375" i="5"/>
  <c r="AX375" i="5"/>
  <c r="AY375" i="5"/>
  <c r="AZ375" i="5"/>
  <c r="AP376" i="5"/>
  <c r="AR376" i="5"/>
  <c r="AS376" i="5"/>
  <c r="AT376" i="5"/>
  <c r="AU376" i="5"/>
  <c r="AV376" i="5"/>
  <c r="AW376" i="5"/>
  <c r="AX376" i="5"/>
  <c r="AY376" i="5"/>
  <c r="AZ376" i="5"/>
  <c r="AP377" i="5"/>
  <c r="AR377" i="5"/>
  <c r="AS377" i="5"/>
  <c r="AT377" i="5"/>
  <c r="AU377" i="5"/>
  <c r="AV377" i="5"/>
  <c r="AW377" i="5"/>
  <c r="AX377" i="5"/>
  <c r="AY377" i="5"/>
  <c r="AZ377" i="5"/>
  <c r="AP379" i="5"/>
  <c r="AR379" i="5"/>
  <c r="AS379" i="5"/>
  <c r="AT379" i="5"/>
  <c r="AU379" i="5"/>
  <c r="AV379" i="5"/>
  <c r="AW379" i="5"/>
  <c r="AX379" i="5"/>
  <c r="AY379" i="5"/>
  <c r="AZ379" i="5"/>
  <c r="AP378" i="5"/>
  <c r="AR378" i="5"/>
  <c r="AS378" i="5"/>
  <c r="AT378" i="5"/>
  <c r="AU378" i="5"/>
  <c r="AV378" i="5"/>
  <c r="AW378" i="5"/>
  <c r="AX378" i="5"/>
  <c r="AY378" i="5"/>
  <c r="AZ378" i="5"/>
  <c r="AP380" i="5"/>
  <c r="AR380" i="5"/>
  <c r="AS380" i="5"/>
  <c r="AT380" i="5"/>
  <c r="AU380" i="5"/>
  <c r="AV380" i="5"/>
  <c r="AW380" i="5"/>
  <c r="AX380" i="5"/>
  <c r="AY380" i="5"/>
  <c r="AZ380" i="5"/>
  <c r="AP383" i="5"/>
  <c r="AQ383" i="5"/>
  <c r="AR383" i="5"/>
  <c r="AS383" i="5"/>
  <c r="AT383" i="5"/>
  <c r="AU383" i="5"/>
  <c r="AV383" i="5"/>
  <c r="AW383" i="5"/>
  <c r="AX383" i="5"/>
  <c r="AY383" i="5"/>
  <c r="AZ383" i="5"/>
  <c r="AP384" i="5"/>
  <c r="AQ384" i="5"/>
  <c r="AR384" i="5"/>
  <c r="AS384" i="5"/>
  <c r="AT384" i="5"/>
  <c r="AU384" i="5"/>
  <c r="AV384" i="5"/>
  <c r="AW384" i="5"/>
  <c r="AX384" i="5"/>
  <c r="AY384" i="5"/>
  <c r="AZ384" i="5"/>
  <c r="AP385" i="5"/>
  <c r="AQ385" i="5"/>
  <c r="AR385" i="5"/>
  <c r="AS385" i="5"/>
  <c r="AT385" i="5"/>
  <c r="AU385" i="5"/>
  <c r="AV385" i="5"/>
  <c r="AW385" i="5"/>
  <c r="AX385" i="5"/>
  <c r="AY385" i="5"/>
  <c r="AZ385" i="5"/>
  <c r="AP382" i="5"/>
  <c r="AQ382" i="5"/>
  <c r="AR382" i="5"/>
  <c r="AS382" i="5"/>
  <c r="AT382" i="5"/>
  <c r="AU382" i="5"/>
  <c r="AV382" i="5"/>
  <c r="AW382" i="5"/>
  <c r="AX382" i="5"/>
  <c r="AY382" i="5"/>
  <c r="AZ382" i="5"/>
  <c r="AP386" i="5"/>
  <c r="AQ386" i="5"/>
  <c r="AR386" i="5"/>
  <c r="AS386" i="5"/>
  <c r="AT386" i="5"/>
  <c r="AU386" i="5"/>
  <c r="AV386" i="5"/>
  <c r="AW386" i="5"/>
  <c r="AX386" i="5"/>
  <c r="AY386" i="5"/>
  <c r="AZ386" i="5"/>
  <c r="AR390" i="5"/>
  <c r="AS390" i="5"/>
  <c r="AT390" i="5"/>
  <c r="AU390" i="5"/>
  <c r="AV390" i="5"/>
  <c r="AW390" i="5"/>
  <c r="AX390" i="5"/>
  <c r="AY390" i="5"/>
  <c r="AR389" i="5"/>
  <c r="AS389" i="5"/>
  <c r="AT389" i="5"/>
  <c r="AU389" i="5"/>
  <c r="AV389" i="5"/>
  <c r="AW389" i="5"/>
  <c r="AX389" i="5"/>
  <c r="AY389" i="5"/>
  <c r="AR387" i="5"/>
  <c r="AS387" i="5"/>
  <c r="AT387" i="5"/>
  <c r="AU387" i="5"/>
  <c r="AV387" i="5"/>
  <c r="AW387" i="5"/>
  <c r="AX387" i="5"/>
  <c r="AY387" i="5"/>
  <c r="AR388" i="5"/>
  <c r="AS388" i="5"/>
  <c r="AT388" i="5"/>
  <c r="AU388" i="5"/>
  <c r="AV388" i="5"/>
  <c r="AW388" i="5"/>
  <c r="AX388" i="5"/>
  <c r="AY388" i="5"/>
  <c r="AR391" i="5"/>
  <c r="AS391" i="5"/>
  <c r="AT391" i="5"/>
  <c r="AU391" i="5"/>
  <c r="AV391" i="5"/>
  <c r="AW391" i="5"/>
  <c r="AX391" i="5"/>
  <c r="AY391" i="5"/>
  <c r="AR392" i="5"/>
  <c r="AS392" i="5"/>
  <c r="AT392" i="5"/>
  <c r="AU392" i="5"/>
  <c r="AV392" i="5"/>
  <c r="AW392" i="5"/>
  <c r="AX392" i="5"/>
  <c r="AY392" i="5"/>
  <c r="AR393" i="5"/>
  <c r="AS393" i="5"/>
  <c r="AT393" i="5"/>
  <c r="AU393" i="5"/>
  <c r="AV393" i="5"/>
  <c r="AW393" i="5"/>
  <c r="AX393" i="5"/>
  <c r="AY393" i="5"/>
  <c r="AR394" i="5"/>
  <c r="AS394" i="5"/>
  <c r="AT394" i="5"/>
  <c r="AU394" i="5"/>
  <c r="AV394" i="5"/>
  <c r="AW394" i="5"/>
  <c r="AX394" i="5"/>
  <c r="AY394" i="5"/>
  <c r="AR395" i="5"/>
  <c r="AS395" i="5"/>
  <c r="AT395" i="5"/>
  <c r="AU395" i="5"/>
  <c r="AV395" i="5"/>
  <c r="AW395" i="5"/>
  <c r="AX395" i="5"/>
  <c r="AY395" i="5"/>
  <c r="AR396" i="5"/>
  <c r="AS396" i="5"/>
  <c r="AT396" i="5"/>
  <c r="AU396" i="5"/>
  <c r="AV396" i="5"/>
  <c r="AW396" i="5"/>
  <c r="AX396" i="5"/>
  <c r="AY396" i="5"/>
  <c r="AR397" i="5"/>
  <c r="AS397" i="5"/>
  <c r="AT397" i="5"/>
  <c r="AU397" i="5"/>
  <c r="AV397" i="5"/>
  <c r="AW397" i="5"/>
  <c r="AX397" i="5"/>
  <c r="AY397" i="5"/>
  <c r="AR398" i="5"/>
  <c r="AS398" i="5"/>
  <c r="AT398" i="5"/>
  <c r="AU398" i="5"/>
  <c r="AV398" i="5"/>
  <c r="AW398" i="5"/>
  <c r="AX398" i="5"/>
  <c r="AY398" i="5"/>
  <c r="AR399" i="5"/>
  <c r="AS399" i="5"/>
  <c r="AT399" i="5"/>
  <c r="AU399" i="5"/>
  <c r="AV399" i="5"/>
  <c r="AW399" i="5"/>
  <c r="AX399" i="5"/>
  <c r="AY399" i="5"/>
  <c r="AR400" i="5"/>
  <c r="AS400" i="5"/>
  <c r="AT400" i="5"/>
  <c r="AU400" i="5"/>
  <c r="AV400" i="5"/>
  <c r="AW400" i="5"/>
  <c r="AX400" i="5"/>
  <c r="AY400" i="5"/>
  <c r="AR402" i="5"/>
  <c r="AS402" i="5"/>
  <c r="AT402" i="5"/>
  <c r="AU402" i="5"/>
  <c r="AV402" i="5"/>
  <c r="AW402" i="5"/>
  <c r="AX402" i="5"/>
  <c r="AY402" i="5"/>
  <c r="AR403" i="5"/>
  <c r="AS403" i="5"/>
  <c r="AT403" i="5"/>
  <c r="AU403" i="5"/>
  <c r="AV403" i="5"/>
  <c r="AW403" i="5"/>
  <c r="AX403" i="5"/>
  <c r="AY403" i="5"/>
  <c r="AR404" i="5"/>
  <c r="AS404" i="5"/>
  <c r="AT404" i="5"/>
  <c r="AU404" i="5"/>
  <c r="AV404" i="5"/>
  <c r="AW404" i="5"/>
  <c r="AX404" i="5"/>
  <c r="AY404" i="5"/>
  <c r="AR405" i="5"/>
  <c r="AS405" i="5"/>
  <c r="AT405" i="5"/>
  <c r="AU405" i="5"/>
  <c r="AV405" i="5"/>
  <c r="AW405" i="5"/>
  <c r="AX405" i="5"/>
  <c r="AY405" i="5"/>
  <c r="AR406" i="5"/>
  <c r="AS406" i="5"/>
  <c r="AT406" i="5"/>
  <c r="AU406" i="5"/>
  <c r="AV406" i="5"/>
  <c r="AW406" i="5"/>
  <c r="AX406" i="5"/>
  <c r="AY406" i="5"/>
  <c r="AR407" i="5"/>
  <c r="AS407" i="5"/>
  <c r="AT407" i="5"/>
  <c r="AU407" i="5"/>
  <c r="AV407" i="5"/>
  <c r="AW407" i="5"/>
  <c r="AX407" i="5"/>
  <c r="AY407" i="5"/>
  <c r="AR408" i="5"/>
  <c r="AS408" i="5"/>
  <c r="AT408" i="5"/>
  <c r="AU408" i="5"/>
  <c r="AV408" i="5"/>
  <c r="AW408" i="5"/>
  <c r="AX408" i="5"/>
  <c r="AY408" i="5"/>
  <c r="AR409" i="5"/>
  <c r="AS409" i="5"/>
  <c r="AT409" i="5"/>
  <c r="AU409" i="5"/>
  <c r="AV409" i="5"/>
  <c r="AW409" i="5"/>
  <c r="AX409" i="5"/>
  <c r="AY409" i="5"/>
  <c r="AR410" i="5"/>
  <c r="AS410" i="5"/>
  <c r="AT410" i="5"/>
  <c r="AU410" i="5"/>
  <c r="AV410" i="5"/>
  <c r="AW410" i="5"/>
  <c r="AX410" i="5"/>
  <c r="AY410" i="5"/>
  <c r="AR411" i="5"/>
  <c r="AS411" i="5"/>
  <c r="AT411" i="5"/>
  <c r="AU411" i="5"/>
  <c r="AV411" i="5"/>
  <c r="AW411" i="5"/>
  <c r="AX411" i="5"/>
  <c r="AY411" i="5"/>
  <c r="AR401" i="5"/>
  <c r="AS401" i="5"/>
  <c r="AT401" i="5"/>
  <c r="AU401" i="5"/>
  <c r="AV401" i="5"/>
  <c r="AW401" i="5"/>
  <c r="AX401" i="5"/>
  <c r="AY401" i="5"/>
  <c r="AL28" i="2"/>
  <c r="AL35" i="2"/>
  <c r="AL22" i="2"/>
  <c r="AL31" i="2"/>
  <c r="AL23" i="2"/>
  <c r="AL24" i="2"/>
  <c r="AL33" i="2"/>
  <c r="AL34" i="2"/>
  <c r="AL43" i="2"/>
  <c r="AL32" i="2"/>
  <c r="AL18" i="2"/>
  <c r="AL17" i="2"/>
  <c r="AL16" i="2"/>
  <c r="AL10" i="2"/>
  <c r="AL15" i="2"/>
  <c r="AL13" i="2"/>
  <c r="AL11" i="2"/>
  <c r="AL12" i="2"/>
  <c r="AL38" i="2"/>
  <c r="AL36" i="2"/>
  <c r="AL7" i="2"/>
  <c r="AL5" i="2"/>
  <c r="AL39" i="2"/>
  <c r="AL40" i="2"/>
  <c r="AL8" i="2"/>
  <c r="AL27" i="2"/>
  <c r="AL30" i="2"/>
  <c r="AL37" i="2"/>
  <c r="AL42" i="2"/>
  <c r="AL41" i="2"/>
  <c r="AL26" i="2"/>
  <c r="AL46" i="2"/>
  <c r="AL47" i="2"/>
  <c r="AL51" i="2"/>
  <c r="AL50" i="2"/>
  <c r="AL52" i="2"/>
  <c r="AK29" i="2"/>
  <c r="AD29" i="2"/>
  <c r="AD28" i="2"/>
  <c r="AD35" i="2"/>
  <c r="AD22" i="2"/>
  <c r="AD31" i="2"/>
  <c r="AD23" i="2"/>
  <c r="AD24" i="2"/>
  <c r="AD33" i="2"/>
  <c r="AD34" i="2"/>
  <c r="AD43" i="2"/>
  <c r="AD32" i="2"/>
  <c r="AD18" i="2"/>
  <c r="AD17" i="2"/>
  <c r="AD16" i="2"/>
  <c r="AD10" i="2"/>
  <c r="AD15" i="2"/>
  <c r="AD13" i="2"/>
  <c r="AD11" i="2"/>
  <c r="AD12" i="2"/>
  <c r="AD38" i="2"/>
  <c r="AD36" i="2"/>
  <c r="AD7" i="2"/>
  <c r="AD5" i="2"/>
  <c r="AD39" i="2"/>
  <c r="AD40" i="2"/>
  <c r="AD8" i="2"/>
  <c r="AD27" i="2"/>
  <c r="AD30" i="2"/>
  <c r="AD37" i="2"/>
  <c r="AD42" i="2"/>
  <c r="AD41" i="2"/>
  <c r="AD26" i="2"/>
  <c r="AD46" i="2"/>
  <c r="AD47" i="2"/>
  <c r="AD51" i="2"/>
  <c r="AD50" i="2"/>
  <c r="AD52" i="2"/>
  <c r="AE29" i="2"/>
  <c r="AC184" i="4"/>
  <c r="AC24" i="4"/>
  <c r="AC117" i="4"/>
  <c r="AC128" i="4"/>
  <c r="AC133" i="4"/>
  <c r="AC141" i="4"/>
  <c r="AC185" i="4"/>
  <c r="AC187" i="4"/>
  <c r="AC188" i="4"/>
  <c r="AC101" i="4"/>
  <c r="AC114" i="4"/>
  <c r="AC122" i="4"/>
  <c r="AC140" i="4"/>
  <c r="AC20" i="4"/>
  <c r="AC21" i="4"/>
  <c r="AC22" i="4"/>
  <c r="AC23" i="4"/>
  <c r="AC25" i="4"/>
  <c r="AC27" i="4"/>
  <c r="AC52" i="4"/>
  <c r="AC53" i="4"/>
  <c r="AC55" i="4"/>
  <c r="AC56" i="4"/>
  <c r="AC58" i="4"/>
  <c r="AC59" i="4"/>
  <c r="AC60" i="4"/>
  <c r="AC67" i="4"/>
  <c r="AC68" i="4"/>
  <c r="AC69" i="4"/>
  <c r="AC70" i="4"/>
  <c r="AC71" i="4"/>
  <c r="AC72" i="4"/>
  <c r="AC73" i="4"/>
  <c r="AC293" i="4"/>
  <c r="AC115" i="4"/>
  <c r="AC287" i="4"/>
  <c r="AC291" i="4"/>
  <c r="AC51" i="4"/>
  <c r="AC54" i="4"/>
  <c r="AC57" i="4"/>
  <c r="AC65" i="4"/>
  <c r="AC66" i="4"/>
  <c r="AC74" i="4"/>
  <c r="AC78" i="4"/>
  <c r="AC85" i="4"/>
  <c r="AC296" i="4"/>
  <c r="AC292" i="4"/>
  <c r="AC110" i="4"/>
  <c r="AC120" i="4"/>
  <c r="AC130" i="4"/>
  <c r="AC160" i="4"/>
  <c r="AC165" i="4"/>
  <c r="AC166" i="4"/>
  <c r="AC167" i="4"/>
  <c r="AC168" i="4"/>
  <c r="AC169" i="4"/>
  <c r="AC170" i="4"/>
  <c r="AC172" i="4"/>
  <c r="AC173" i="4"/>
  <c r="AC181" i="4"/>
  <c r="AC200" i="4"/>
  <c r="AC201" i="4"/>
  <c r="AC216" i="4"/>
  <c r="AC217" i="4"/>
  <c r="AC218" i="4"/>
  <c r="AC219" i="4"/>
  <c r="AC220" i="4"/>
  <c r="AC221" i="4"/>
  <c r="AC238" i="4"/>
  <c r="AC248" i="4"/>
  <c r="AC265" i="4"/>
  <c r="AC266" i="4"/>
  <c r="AC267" i="4"/>
  <c r="AC268" i="4"/>
  <c r="AC269" i="4"/>
  <c r="AC270" i="4"/>
  <c r="AC271" i="4"/>
  <c r="AC272" i="4"/>
  <c r="AC273" i="4"/>
  <c r="AC274" i="4"/>
  <c r="AC275" i="4"/>
  <c r="AC286" i="4"/>
  <c r="AC8" i="4"/>
  <c r="AC9" i="4"/>
  <c r="AC10" i="4"/>
  <c r="AC11" i="4"/>
  <c r="AC12" i="4"/>
  <c r="AC16" i="4"/>
  <c r="AC18" i="4"/>
  <c r="AC26" i="4"/>
  <c r="AC28" i="4"/>
  <c r="AC29" i="4"/>
  <c r="AC30" i="4"/>
  <c r="AC31" i="4"/>
  <c r="AC32" i="4"/>
  <c r="AC33" i="4"/>
  <c r="AC35" i="4"/>
  <c r="AC36" i="4"/>
  <c r="AC37" i="4"/>
  <c r="AC38" i="4"/>
  <c r="AC39" i="4"/>
  <c r="AC40" i="4"/>
  <c r="AC2" i="4"/>
  <c r="AC3" i="4"/>
  <c r="AC4" i="4"/>
  <c r="AC5" i="4"/>
  <c r="AC41" i="4"/>
  <c r="AC42" i="4"/>
  <c r="AC43" i="4"/>
  <c r="AC44" i="4"/>
  <c r="AC45" i="4"/>
  <c r="AC46" i="4"/>
  <c r="AC47" i="4"/>
  <c r="AC48" i="4"/>
  <c r="AC49" i="4"/>
  <c r="AC50" i="4"/>
  <c r="AC62" i="4"/>
  <c r="AC63" i="4"/>
  <c r="AC64" i="4"/>
  <c r="AC75" i="4"/>
  <c r="AC80" i="4"/>
  <c r="AC81" i="4"/>
  <c r="AC82" i="4"/>
  <c r="AC83" i="4"/>
  <c r="AC84" i="4"/>
  <c r="AC86" i="4"/>
  <c r="AC87" i="4"/>
  <c r="AC88" i="4"/>
  <c r="AC90" i="4"/>
  <c r="AC91" i="4"/>
  <c r="AC92" i="4"/>
  <c r="AC93" i="4"/>
  <c r="AC94" i="4"/>
  <c r="AC95" i="4"/>
  <c r="AC96" i="4"/>
  <c r="AC97" i="4"/>
  <c r="AC104" i="4"/>
  <c r="AC105" i="4"/>
  <c r="AC107" i="4"/>
  <c r="AC108" i="4"/>
  <c r="AC112" i="4"/>
  <c r="AC113" i="4"/>
  <c r="AC116" i="4"/>
  <c r="AC118" i="4"/>
  <c r="AC119" i="4"/>
  <c r="AC121" i="4"/>
  <c r="AC123" i="4"/>
  <c r="AC124" i="4"/>
  <c r="AC125" i="4"/>
  <c r="AC126" i="4"/>
  <c r="AC129" i="4"/>
  <c r="AC131" i="4"/>
  <c r="AC132" i="4"/>
  <c r="AC134" i="4"/>
  <c r="AC136" i="4"/>
  <c r="AC137" i="4"/>
  <c r="AC138" i="4"/>
  <c r="AC139" i="4"/>
  <c r="AC144" i="4"/>
  <c r="AC146" i="4"/>
  <c r="AC148" i="4"/>
  <c r="AC149" i="4"/>
  <c r="AC151" i="4"/>
  <c r="AC153" i="4"/>
  <c r="AC154" i="4"/>
  <c r="AC155" i="4"/>
  <c r="AC156" i="4"/>
  <c r="AC157" i="4"/>
  <c r="AC158" i="4"/>
  <c r="AC159" i="4"/>
  <c r="AC161" i="4"/>
  <c r="AC175" i="4"/>
  <c r="AC179" i="4"/>
  <c r="AC180" i="4"/>
  <c r="AC182" i="4"/>
  <c r="AC183" i="4"/>
  <c r="AC186" i="4"/>
  <c r="AC190" i="4"/>
  <c r="AC191" i="4"/>
  <c r="AC192" i="4"/>
  <c r="AC193" i="4"/>
  <c r="AC194" i="4"/>
  <c r="AC195" i="4"/>
  <c r="AC196" i="4"/>
  <c r="AC197" i="4"/>
  <c r="AC202" i="4"/>
  <c r="AC203" i="4"/>
  <c r="AC204" i="4"/>
  <c r="AC205" i="4"/>
  <c r="AC206" i="4"/>
  <c r="AC207" i="4"/>
  <c r="AC208" i="4"/>
  <c r="AC297" i="4"/>
  <c r="AC212" i="4"/>
  <c r="AC213" i="4"/>
  <c r="AC214" i="4"/>
  <c r="AC215" i="4"/>
  <c r="AC222" i="4"/>
  <c r="AC223" i="4"/>
  <c r="AC224" i="4"/>
  <c r="AC226" i="4"/>
  <c r="AC227" i="4"/>
  <c r="AC228" i="4"/>
  <c r="AC229" i="4"/>
  <c r="AC230" i="4"/>
  <c r="AC231" i="4"/>
  <c r="AC232" i="4"/>
  <c r="AC233" i="4"/>
  <c r="AC234" i="4"/>
  <c r="AC235" i="4"/>
  <c r="AC236" i="4"/>
  <c r="AC237" i="4"/>
  <c r="AC239" i="4"/>
  <c r="AC240" i="4"/>
  <c r="AC241" i="4"/>
  <c r="AC242" i="4"/>
  <c r="AC243" i="4"/>
  <c r="AC244" i="4"/>
  <c r="AC298" i="4"/>
  <c r="AC245" i="4"/>
  <c r="AC247" i="4"/>
  <c r="AC251" i="4"/>
  <c r="AC255" i="4"/>
  <c r="AC256" i="4"/>
  <c r="AC260" i="4"/>
  <c r="AC261" i="4"/>
  <c r="AC262" i="4"/>
  <c r="AC277" i="4"/>
  <c r="AC278" i="4"/>
  <c r="AC279" i="4"/>
  <c r="AC280" i="4"/>
  <c r="AC281" i="4"/>
  <c r="AC282" i="4"/>
  <c r="AC283" i="4"/>
  <c r="AC284" i="4"/>
  <c r="AC288" i="4"/>
  <c r="AC289" i="4"/>
  <c r="AC290" i="4"/>
  <c r="AC13" i="4"/>
  <c r="AC14" i="4"/>
  <c r="AC15" i="4"/>
  <c r="AC17" i="4"/>
  <c r="AC19" i="4"/>
  <c r="AC76" i="4"/>
  <c r="AC99" i="4"/>
  <c r="AC100" i="4"/>
  <c r="AC109" i="4"/>
  <c r="AC145" i="4"/>
  <c r="AC150" i="4"/>
  <c r="AC174" i="4"/>
  <c r="AC198" i="4"/>
  <c r="AC199" i="4"/>
  <c r="AC225" i="4"/>
  <c r="AC254" i="4"/>
  <c r="AC103" i="4"/>
  <c r="AC106" i="4"/>
  <c r="AC135" i="4"/>
  <c r="AC142" i="4"/>
  <c r="AC209" i="4"/>
  <c r="AC210" i="4"/>
  <c r="AC211" i="4"/>
  <c r="AC294" i="4"/>
  <c r="AC295" i="4"/>
  <c r="AC6" i="4"/>
  <c r="AC111" i="4"/>
  <c r="AC143" i="4"/>
  <c r="AC7" i="4"/>
  <c r="AC127" i="4"/>
  <c r="AC147" i="4"/>
  <c r="AC249" i="4"/>
  <c r="AC250" i="4"/>
  <c r="AC252" i="4"/>
  <c r="AC276" i="4"/>
  <c r="AC79" i="4"/>
  <c r="AC177" i="4"/>
  <c r="AC253" i="4"/>
  <c r="AC34" i="4"/>
  <c r="AC176" i="4"/>
  <c r="AC178" i="4"/>
  <c r="AC189" i="4"/>
  <c r="AC246" i="4"/>
  <c r="AC89" i="4"/>
  <c r="AC162" i="4"/>
  <c r="AC163" i="4"/>
  <c r="AC164" i="4"/>
  <c r="AC171" i="4"/>
  <c r="AC263" i="4"/>
  <c r="AC264" i="4"/>
  <c r="AC285" i="4"/>
  <c r="AC98" i="4"/>
  <c r="AC152" i="4"/>
  <c r="AC102" i="4"/>
  <c r="AC302" i="4"/>
  <c r="AC301" i="4"/>
  <c r="AC299" i="4"/>
  <c r="AC300" i="4"/>
  <c r="AC304" i="4"/>
  <c r="AC309" i="4"/>
  <c r="AC312" i="4"/>
  <c r="AC313" i="4"/>
  <c r="AC314" i="4"/>
  <c r="AC305" i="4"/>
  <c r="AC306" i="4"/>
  <c r="AC307" i="4"/>
  <c r="AC308" i="4"/>
  <c r="AC311" i="4"/>
  <c r="AC310" i="4"/>
  <c r="AC318" i="4"/>
  <c r="AC319" i="4"/>
  <c r="AC320" i="4"/>
  <c r="AC321" i="4"/>
  <c r="AC322" i="4"/>
  <c r="AC323" i="4"/>
  <c r="AC324" i="4"/>
  <c r="AC325" i="4"/>
  <c r="AC337" i="4"/>
  <c r="AC338" i="4"/>
  <c r="AC339" i="4"/>
  <c r="AC340" i="4"/>
  <c r="AC341" i="4"/>
  <c r="AC343" i="4"/>
  <c r="AC344" i="4"/>
  <c r="AC345" i="4"/>
  <c r="AC315" i="4"/>
  <c r="AC316" i="4"/>
  <c r="AC317" i="4"/>
  <c r="AC330" i="4"/>
  <c r="AC331" i="4"/>
  <c r="AC332" i="4"/>
  <c r="AC333" i="4"/>
  <c r="AC342" i="4"/>
  <c r="AC335" i="4"/>
  <c r="AC346" i="4"/>
  <c r="AC334" i="4"/>
  <c r="AC327" i="4"/>
  <c r="AC326" i="4"/>
  <c r="AC347" i="4"/>
  <c r="AC328" i="4"/>
  <c r="AC329" i="4"/>
  <c r="AC336" i="4"/>
  <c r="AC348" i="4"/>
  <c r="AC352" i="4"/>
  <c r="AC353" i="4"/>
  <c r="AC366" i="4"/>
  <c r="AC367" i="4"/>
  <c r="AC368" i="4"/>
  <c r="AC354" i="4"/>
  <c r="AC355" i="4"/>
  <c r="AC356" i="4"/>
  <c r="AC357" i="4"/>
  <c r="AC358" i="4"/>
  <c r="AC359" i="4"/>
  <c r="AC360" i="4"/>
  <c r="AC361" i="4"/>
  <c r="AC362" i="4"/>
  <c r="AC369" i="4"/>
  <c r="AC363" i="4"/>
  <c r="AC364" i="4"/>
  <c r="AC365" i="4"/>
  <c r="AC351" i="4"/>
  <c r="AC349" i="4"/>
  <c r="AC350" i="4"/>
  <c r="AC375" i="4"/>
  <c r="AC371" i="4"/>
  <c r="AC379" i="4"/>
  <c r="AC370" i="4"/>
  <c r="AC372" i="4"/>
  <c r="AC374" i="4"/>
  <c r="AC377" i="4"/>
  <c r="AC381" i="4"/>
  <c r="AC373" i="4"/>
  <c r="AC376" i="4"/>
  <c r="AC378" i="4"/>
  <c r="AC386" i="4"/>
  <c r="AC385" i="4"/>
  <c r="AC383" i="4"/>
  <c r="AC384" i="4"/>
  <c r="AC382" i="4"/>
  <c r="AC390" i="4"/>
  <c r="AC405" i="4"/>
  <c r="AC408" i="4"/>
  <c r="AC391" i="4"/>
  <c r="AC392" i="4"/>
  <c r="AC393" i="4"/>
  <c r="AC394" i="4"/>
  <c r="AC400" i="4"/>
  <c r="AC401" i="4"/>
  <c r="AC402" i="4"/>
  <c r="AC403" i="4"/>
  <c r="AC407" i="4"/>
  <c r="AC387" i="4"/>
  <c r="AC388" i="4"/>
  <c r="AC389" i="4"/>
  <c r="AC396" i="4"/>
  <c r="AC397" i="4"/>
  <c r="AC398" i="4"/>
  <c r="AC399" i="4"/>
  <c r="AC404" i="4"/>
  <c r="AC406" i="4"/>
  <c r="AC409" i="4"/>
  <c r="AC410" i="4"/>
  <c r="AC411" i="4"/>
  <c r="AC395" i="4"/>
  <c r="AC61" i="4"/>
  <c r="AD61" i="4"/>
  <c r="BD114" i="5"/>
  <c r="BD195" i="5"/>
  <c r="BD194" i="5"/>
  <c r="BD21" i="5"/>
  <c r="BD170" i="5"/>
  <c r="BD109" i="5"/>
  <c r="BD249" i="5"/>
  <c r="BD117" i="5"/>
  <c r="BD171" i="5"/>
  <c r="BD291" i="5"/>
  <c r="BD227" i="5"/>
  <c r="BD139" i="5"/>
  <c r="BD77" i="5"/>
  <c r="BD240" i="5"/>
  <c r="BD222" i="5"/>
  <c r="BD79" i="5"/>
  <c r="BD173" i="5"/>
  <c r="BD263" i="5"/>
  <c r="BD165" i="5"/>
  <c r="BD166" i="5"/>
  <c r="BD184" i="5"/>
  <c r="BD186" i="5"/>
  <c r="BD187" i="5"/>
  <c r="BD331" i="5"/>
  <c r="BD386" i="5"/>
  <c r="BD382" i="5"/>
  <c r="BD383" i="5"/>
  <c r="BD391" i="5"/>
  <c r="BD407" i="5"/>
  <c r="BD408" i="5"/>
  <c r="BD388" i="5"/>
  <c r="BD51" i="5"/>
  <c r="BD52" i="5"/>
  <c r="BD120" i="5"/>
  <c r="BD50" i="5"/>
  <c r="BD53" i="5"/>
  <c r="BD66" i="5"/>
  <c r="BD122" i="5"/>
  <c r="BD138" i="5"/>
  <c r="BD256" i="5"/>
  <c r="BD169" i="5"/>
  <c r="BD162" i="5"/>
  <c r="BD154" i="5"/>
  <c r="BD168" i="5"/>
  <c r="BD41" i="5"/>
  <c r="BD124" i="5"/>
  <c r="BD42" i="5"/>
  <c r="BD56" i="5"/>
  <c r="BD241" i="5"/>
  <c r="BD55" i="5"/>
  <c r="BD111" i="5"/>
  <c r="BD248" i="5"/>
  <c r="BD48" i="5"/>
  <c r="BD62" i="5"/>
  <c r="BD257" i="5"/>
  <c r="BD121" i="5"/>
  <c r="BD161" i="5"/>
  <c r="BD190" i="5"/>
  <c r="BD192" i="5"/>
  <c r="BD72" i="5"/>
  <c r="BD262" i="5"/>
  <c r="BD85" i="5"/>
  <c r="BD18" i="5"/>
  <c r="BD60" i="5"/>
  <c r="BD261" i="5"/>
  <c r="BD251" i="5"/>
  <c r="BD243" i="5"/>
  <c r="BD246" i="5"/>
  <c r="BD115" i="5"/>
  <c r="BD126" i="5"/>
  <c r="BD17" i="5"/>
  <c r="BD59" i="5"/>
  <c r="BD280" i="5"/>
  <c r="BD245" i="5"/>
  <c r="BD247" i="5"/>
  <c r="BD32" i="5"/>
  <c r="BD65" i="5"/>
  <c r="BD70" i="5"/>
  <c r="BD281" i="5"/>
  <c r="BD37" i="5"/>
  <c r="BD81" i="5"/>
  <c r="BD83" i="5"/>
  <c r="BD253" i="5"/>
  <c r="BD275" i="5"/>
  <c r="BD255" i="5"/>
  <c r="BD22" i="5"/>
  <c r="BD244" i="5"/>
  <c r="BD97" i="5"/>
  <c r="BD207" i="5"/>
  <c r="BD86" i="5"/>
  <c r="BD34" i="5"/>
  <c r="BD38" i="5"/>
  <c r="BD283" i="5"/>
  <c r="BD71" i="5"/>
  <c r="BD23" i="5"/>
  <c r="BD24" i="5"/>
  <c r="BD74" i="5"/>
  <c r="BD94" i="5"/>
  <c r="BD40" i="5"/>
  <c r="BD84" i="5"/>
  <c r="BD10" i="5"/>
  <c r="BD293" i="5"/>
  <c r="BD33" i="5"/>
  <c r="BD167" i="5"/>
  <c r="BD135" i="5"/>
  <c r="BD137" i="5"/>
  <c r="BD238" i="5"/>
  <c r="BD157" i="5"/>
  <c r="BD191" i="5"/>
  <c r="BD287" i="5"/>
  <c r="BD47" i="5"/>
  <c r="BD69" i="5"/>
  <c r="BD80" i="5"/>
  <c r="BD289" i="5"/>
  <c r="BD290" i="5"/>
  <c r="BD292" i="5"/>
  <c r="BD273" i="5"/>
  <c r="BD82" i="5"/>
  <c r="BD2" i="5"/>
  <c r="BD163" i="5"/>
  <c r="BD235" i="5"/>
  <c r="BD193" i="5"/>
  <c r="BD285" i="5"/>
  <c r="BD242" i="5"/>
  <c r="BD236" i="5"/>
  <c r="BD31" i="5"/>
  <c r="BD284" i="5"/>
  <c r="BD63" i="5"/>
  <c r="BD231" i="5"/>
  <c r="BD233" i="5"/>
  <c r="BD258" i="5"/>
  <c r="BD6" i="5"/>
  <c r="BD237" i="5"/>
  <c r="BD76" i="5"/>
  <c r="BD260" i="5"/>
  <c r="BD11" i="5"/>
  <c r="BD16" i="5"/>
  <c r="BD201" i="5"/>
  <c r="BD202" i="5"/>
  <c r="BD39" i="5"/>
  <c r="BD288" i="5"/>
  <c r="BD95" i="5"/>
  <c r="BD36" i="5"/>
  <c r="BD206" i="5"/>
  <c r="BD35" i="5"/>
  <c r="BD67" i="5"/>
  <c r="BD93" i="5"/>
  <c r="BD26" i="5"/>
  <c r="BD25" i="5"/>
  <c r="BD125" i="5"/>
  <c r="BD45" i="5"/>
  <c r="BD295" i="5"/>
  <c r="BD113" i="5"/>
  <c r="BD7" i="5"/>
  <c r="BD44" i="5"/>
  <c r="BD75" i="5"/>
  <c r="BD259" i="5"/>
  <c r="BD234" i="5"/>
  <c r="BD68" i="5"/>
  <c r="BD127" i="5"/>
  <c r="BD203" i="5"/>
  <c r="BD8" i="5"/>
  <c r="BD294" i="5"/>
  <c r="BD196" i="5"/>
  <c r="BD197" i="5"/>
  <c r="BD3" i="5"/>
  <c r="BD58" i="5"/>
  <c r="BD205" i="5"/>
  <c r="BD57" i="5"/>
  <c r="BD204" i="5"/>
  <c r="BD200" i="5"/>
  <c r="BD279" i="5"/>
  <c r="BD149" i="5"/>
  <c r="BD43" i="5"/>
  <c r="BD28" i="5"/>
  <c r="BD99" i="5"/>
  <c r="BD277" i="5"/>
  <c r="BD49" i="5"/>
  <c r="BD282" i="5"/>
  <c r="BD208" i="5"/>
  <c r="BD64" i="5"/>
  <c r="BD100" i="5"/>
  <c r="BD218" i="5"/>
  <c r="BD286" i="5"/>
  <c r="BD143" i="5"/>
  <c r="BD30" i="5"/>
  <c r="BD254" i="5"/>
  <c r="BD142" i="5"/>
  <c r="BD153" i="5"/>
  <c r="BD61" i="5"/>
  <c r="BD92" i="5"/>
  <c r="BD156" i="5"/>
  <c r="BD297" i="5"/>
  <c r="BD177" i="5"/>
  <c r="BD252" i="5"/>
  <c r="BD175" i="5"/>
  <c r="BD188" i="5"/>
  <c r="BD265" i="5"/>
  <c r="BD264" i="5"/>
  <c r="BD278" i="5"/>
  <c r="BD176" i="5"/>
  <c r="BD54" i="5"/>
  <c r="BD133" i="5"/>
  <c r="BD268" i="5"/>
  <c r="BD101" i="5"/>
  <c r="BD29" i="5"/>
  <c r="BD46" i="5"/>
  <c r="BD96" i="5"/>
  <c r="BD250" i="5"/>
  <c r="BD98" i="5"/>
  <c r="BD232" i="5"/>
  <c r="BD266" i="5"/>
  <c r="BD118" i="5"/>
  <c r="BD172" i="5"/>
  <c r="BD296" i="5"/>
  <c r="BD151" i="5"/>
  <c r="BD274" i="5"/>
  <c r="BD134" i="5"/>
  <c r="BD91" i="5"/>
  <c r="BD147" i="5"/>
  <c r="BD4" i="5"/>
  <c r="BD90" i="5"/>
  <c r="BD136" i="5"/>
  <c r="BD223" i="5"/>
  <c r="BD178" i="5"/>
  <c r="BD224" i="5"/>
  <c r="BD112" i="5"/>
  <c r="BD159" i="5"/>
  <c r="BD152" i="5"/>
  <c r="BD15" i="5"/>
  <c r="BD132" i="5"/>
  <c r="BD239" i="5"/>
  <c r="BD119" i="5"/>
  <c r="BD27" i="5"/>
  <c r="BD105" i="5"/>
  <c r="BD14" i="5"/>
  <c r="BD129" i="5"/>
  <c r="BD5" i="5"/>
  <c r="BD102" i="5"/>
  <c r="BD103" i="5"/>
  <c r="BD229" i="5"/>
  <c r="BD104" i="5"/>
  <c r="BD146" i="5"/>
  <c r="BD158" i="5"/>
  <c r="BD230" i="5"/>
  <c r="BD145" i="5"/>
  <c r="BD199" i="5"/>
  <c r="BD87" i="5"/>
  <c r="BD213" i="5"/>
  <c r="BD106" i="5"/>
  <c r="BD107" i="5"/>
  <c r="BD108" i="5"/>
  <c r="BD160" i="5"/>
  <c r="BD140" i="5"/>
  <c r="BD269" i="5"/>
  <c r="BD73" i="5"/>
  <c r="BD214" i="5"/>
  <c r="BD130" i="5"/>
  <c r="BD179" i="5"/>
  <c r="BD209" i="5"/>
  <c r="BD211" i="5"/>
  <c r="BD110" i="5"/>
  <c r="BD198" i="5"/>
  <c r="BD212" i="5"/>
  <c r="BD78" i="5"/>
  <c r="BD128" i="5"/>
  <c r="BD88" i="5"/>
  <c r="BD89" i="5"/>
  <c r="BD155" i="5"/>
  <c r="BD150" i="5"/>
  <c r="BD267" i="5"/>
  <c r="BD9" i="5"/>
  <c r="BD210" i="5"/>
  <c r="BD141" i="5"/>
  <c r="BD225" i="5"/>
  <c r="BD131" i="5"/>
  <c r="BD220" i="5"/>
  <c r="BD219" i="5"/>
  <c r="BD270" i="5"/>
  <c r="BD12" i="5"/>
  <c r="BD216" i="5"/>
  <c r="BD116" i="5"/>
  <c r="BD13" i="5"/>
  <c r="BD271" i="5"/>
  <c r="BD272" i="5"/>
  <c r="BD123" i="5"/>
  <c r="BD144" i="5"/>
  <c r="BD148" i="5"/>
  <c r="BD276" i="5"/>
  <c r="BD164" i="5"/>
  <c r="BD174" i="5"/>
  <c r="BD180" i="5"/>
  <c r="BD181" i="5"/>
  <c r="BD182" i="5"/>
  <c r="BD183" i="5"/>
  <c r="BD185" i="5"/>
  <c r="BD215" i="5"/>
  <c r="BD217" i="5"/>
  <c r="BD221" i="5"/>
  <c r="BD226" i="5"/>
  <c r="BD228" i="5"/>
  <c r="BD302" i="5"/>
  <c r="BD314" i="5"/>
  <c r="BD304" i="5"/>
  <c r="BD305" i="5"/>
  <c r="BD300" i="5"/>
  <c r="BD308" i="5"/>
  <c r="BD312" i="5"/>
  <c r="BD313" i="5"/>
  <c r="BD306" i="5"/>
  <c r="BD311" i="5"/>
  <c r="BD301" i="5"/>
  <c r="BD309" i="5"/>
  <c r="BD307" i="5"/>
  <c r="BD299" i="5"/>
  <c r="BD310" i="5"/>
  <c r="BD325" i="5"/>
  <c r="BD324" i="5"/>
  <c r="BD323" i="5"/>
  <c r="BD338" i="5"/>
  <c r="BD340" i="5"/>
  <c r="BD345" i="5"/>
  <c r="BD344" i="5"/>
  <c r="BD346" i="5"/>
  <c r="BD336" i="5"/>
  <c r="BD330" i="5"/>
  <c r="BD320" i="5"/>
  <c r="BD315" i="5"/>
  <c r="BD316" i="5"/>
  <c r="BD317" i="5"/>
  <c r="BD318" i="5"/>
  <c r="BD319" i="5"/>
  <c r="BD321" i="5"/>
  <c r="BD322" i="5"/>
  <c r="BD326" i="5"/>
  <c r="BD327" i="5"/>
  <c r="BD328" i="5"/>
  <c r="BD329" i="5"/>
  <c r="BD332" i="5"/>
  <c r="BD333" i="5"/>
  <c r="BD334" i="5"/>
  <c r="BD335" i="5"/>
  <c r="BD337" i="5"/>
  <c r="BD339" i="5"/>
  <c r="BD341" i="5"/>
  <c r="BD342" i="5"/>
  <c r="BD343" i="5"/>
  <c r="BD347" i="5"/>
  <c r="BD351" i="5"/>
  <c r="BD353" i="5"/>
  <c r="BD352" i="5"/>
  <c r="BD350" i="5"/>
  <c r="BD368" i="5"/>
  <c r="BD367" i="5"/>
  <c r="BD359" i="5"/>
  <c r="BD369" i="5"/>
  <c r="BD360" i="5"/>
  <c r="BD362" i="5"/>
  <c r="BD365" i="5"/>
  <c r="BD363" i="5"/>
  <c r="BD361" i="5"/>
  <c r="BD364" i="5"/>
  <c r="BD349" i="5"/>
  <c r="BD358" i="5"/>
  <c r="BD348" i="5"/>
  <c r="BD357" i="5"/>
  <c r="BD356" i="5"/>
  <c r="BD366" i="5"/>
  <c r="BD355" i="5"/>
  <c r="BD354" i="5"/>
  <c r="BD376" i="5"/>
  <c r="BD373" i="5"/>
  <c r="BD374" i="5"/>
  <c r="BD371" i="5"/>
  <c r="BD380" i="5"/>
  <c r="BD379" i="5"/>
  <c r="BD375" i="5"/>
  <c r="BD372" i="5"/>
  <c r="BD377" i="5"/>
  <c r="BD378" i="5"/>
  <c r="BD370" i="5"/>
  <c r="BD384" i="5"/>
  <c r="BD385" i="5"/>
  <c r="BD387" i="5"/>
  <c r="BD389" i="5"/>
  <c r="BD392" i="5"/>
  <c r="BD393" i="5"/>
  <c r="BD394" i="5"/>
  <c r="BD398" i="5"/>
  <c r="BD399" i="5"/>
  <c r="BD400" i="5"/>
  <c r="BD401" i="5"/>
  <c r="BD402" i="5"/>
  <c r="BD403" i="5"/>
  <c r="BD405" i="5"/>
  <c r="BD406" i="5"/>
  <c r="BD409" i="5"/>
  <c r="BD410" i="5"/>
  <c r="BD411" i="5"/>
  <c r="BD390" i="5"/>
  <c r="BD395" i="5"/>
  <c r="BD404" i="5"/>
  <c r="BD397" i="5"/>
  <c r="BD396" i="5"/>
  <c r="BD189" i="5"/>
  <c r="AI22" i="2"/>
  <c r="AI28" i="2"/>
  <c r="AI29" i="2"/>
  <c r="AI15" i="2"/>
  <c r="AI33" i="2"/>
  <c r="AI32" i="2"/>
  <c r="AI34" i="2"/>
  <c r="AI35" i="2"/>
  <c r="AI31" i="2"/>
  <c r="AI11" i="2"/>
  <c r="AI13" i="2"/>
  <c r="AI10" i="2"/>
  <c r="AI12" i="2"/>
  <c r="AI27" i="2"/>
  <c r="AI16" i="2"/>
  <c r="AI17" i="2"/>
  <c r="AI38" i="2"/>
  <c r="AI36" i="2"/>
  <c r="AI7" i="2"/>
  <c r="AI40" i="2"/>
  <c r="AI39" i="2"/>
  <c r="AI41" i="2"/>
  <c r="AI26" i="2"/>
  <c r="AI43" i="2"/>
  <c r="AI18" i="2"/>
  <c r="AI5" i="2"/>
  <c r="AI8" i="2"/>
  <c r="AI30" i="2"/>
  <c r="AI37" i="2"/>
  <c r="AI23" i="2"/>
  <c r="AI42" i="2"/>
  <c r="AI46" i="2"/>
  <c r="AI47" i="2"/>
  <c r="AI51" i="2"/>
  <c r="AI50" i="2"/>
  <c r="AI52" i="2"/>
  <c r="AI24" i="2"/>
  <c r="AH24" i="2"/>
  <c r="AK24" i="2"/>
  <c r="AK22" i="2"/>
  <c r="AK28" i="2"/>
  <c r="AK15" i="2"/>
  <c r="AK33" i="2"/>
  <c r="AK32" i="2"/>
  <c r="AK34" i="2"/>
  <c r="AK35" i="2"/>
  <c r="AK31" i="2"/>
  <c r="AK11" i="2"/>
  <c r="AK13" i="2"/>
  <c r="AK10" i="2"/>
  <c r="AK12" i="2"/>
  <c r="AK27" i="2"/>
  <c r="AK16" i="2"/>
  <c r="AK17" i="2"/>
  <c r="AK38" i="2"/>
  <c r="AK36" i="2"/>
  <c r="AK7" i="2"/>
  <c r="AK40" i="2"/>
  <c r="AK39" i="2"/>
  <c r="AK41" i="2"/>
  <c r="AK26" i="2"/>
  <c r="AK43" i="2"/>
  <c r="AK18" i="2"/>
  <c r="AK5" i="2"/>
  <c r="AK8" i="2"/>
  <c r="AK30" i="2"/>
  <c r="AK37" i="2"/>
  <c r="AK23" i="2"/>
  <c r="AK42" i="2"/>
  <c r="AK46" i="2"/>
  <c r="AK47" i="2"/>
  <c r="AK51" i="2"/>
  <c r="AK50" i="2"/>
  <c r="AK52" i="2"/>
  <c r="AG24" i="2"/>
  <c r="AG22" i="2"/>
  <c r="AG23" i="2"/>
  <c r="AG28" i="2"/>
  <c r="AG29" i="2"/>
  <c r="AG33" i="2"/>
  <c r="AG32" i="2"/>
  <c r="AG34" i="2"/>
  <c r="AG35" i="2"/>
  <c r="AG31" i="2"/>
  <c r="AG41" i="2"/>
  <c r="AG26" i="2"/>
  <c r="AG43" i="2"/>
  <c r="AG18" i="2"/>
  <c r="AG42" i="2"/>
  <c r="AG11" i="2"/>
  <c r="AG13" i="2"/>
  <c r="AG10" i="2"/>
  <c r="AG12" i="2"/>
  <c r="AG27" i="2"/>
  <c r="AG16" i="2"/>
  <c r="AG17" i="2"/>
  <c r="AG38" i="2"/>
  <c r="AG36" i="2"/>
  <c r="AG7" i="2"/>
  <c r="AG40" i="2"/>
  <c r="AG39" i="2"/>
  <c r="AG5" i="2"/>
  <c r="AG8" i="2"/>
  <c r="AG37" i="2"/>
  <c r="AG30" i="2"/>
  <c r="AG46" i="2"/>
  <c r="AG47" i="2"/>
  <c r="AG51" i="2"/>
  <c r="AG50" i="2"/>
  <c r="AG52" i="2"/>
  <c r="AG15" i="2"/>
  <c r="AF15" i="2"/>
  <c r="AF24" i="2"/>
  <c r="AF22" i="2"/>
  <c r="AF23" i="2"/>
  <c r="AF28" i="2"/>
  <c r="AF29" i="2"/>
  <c r="AF33" i="2"/>
  <c r="AF32" i="2"/>
  <c r="AF34" i="2"/>
  <c r="AF35" i="2"/>
  <c r="AF31" i="2"/>
  <c r="AF41" i="2"/>
  <c r="AF26" i="2"/>
  <c r="AF43" i="2"/>
  <c r="AF18" i="2"/>
  <c r="AF42" i="2"/>
  <c r="AF11" i="2"/>
  <c r="AF13" i="2"/>
  <c r="AF10" i="2"/>
  <c r="AF12" i="2"/>
  <c r="AF27" i="2"/>
  <c r="AF16" i="2"/>
  <c r="AF17" i="2"/>
  <c r="AF38" i="2"/>
  <c r="AF36" i="2"/>
  <c r="AF7" i="2"/>
  <c r="AF40" i="2"/>
  <c r="AF39" i="2"/>
  <c r="AF5" i="2"/>
  <c r="AF8" i="2"/>
  <c r="AF37" i="2"/>
  <c r="AF30" i="2"/>
  <c r="AF46" i="2"/>
  <c r="AF47" i="2"/>
  <c r="AF51" i="2"/>
  <c r="AF50" i="2"/>
  <c r="AF52" i="2"/>
  <c r="AE15" i="2"/>
  <c r="AD184" i="4"/>
  <c r="AD24" i="4"/>
  <c r="AD117" i="4"/>
  <c r="AD128" i="4"/>
  <c r="AD133" i="4"/>
  <c r="AD141" i="4"/>
  <c r="AD185" i="4"/>
  <c r="AD187" i="4"/>
  <c r="AD188" i="4"/>
  <c r="AD101" i="4"/>
  <c r="AD114" i="4"/>
  <c r="AD122" i="4"/>
  <c r="AD140" i="4"/>
  <c r="AD20" i="4"/>
  <c r="AD21" i="4"/>
  <c r="AD22" i="4"/>
  <c r="AD23" i="4"/>
  <c r="AD25" i="4"/>
  <c r="AD27" i="4"/>
  <c r="AD52" i="4"/>
  <c r="AD53" i="4"/>
  <c r="AD55" i="4"/>
  <c r="AD56" i="4"/>
  <c r="AD58" i="4"/>
  <c r="AD59" i="4"/>
  <c r="AD60" i="4"/>
  <c r="AD67" i="4"/>
  <c r="AD68" i="4"/>
  <c r="AD69" i="4"/>
  <c r="AD70" i="4"/>
  <c r="AD71" i="4"/>
  <c r="AD72" i="4"/>
  <c r="AD73" i="4"/>
  <c r="AD293" i="4"/>
  <c r="AD115" i="4"/>
  <c r="AD287" i="4"/>
  <c r="AD291" i="4"/>
  <c r="AD51" i="4"/>
  <c r="AD54" i="4"/>
  <c r="AD57" i="4"/>
  <c r="AD65" i="4"/>
  <c r="AD66" i="4"/>
  <c r="AD74" i="4"/>
  <c r="AD78" i="4"/>
  <c r="AD85" i="4"/>
  <c r="AD296" i="4"/>
  <c r="AD292" i="4"/>
  <c r="AD110" i="4"/>
  <c r="AD120" i="4"/>
  <c r="AD130" i="4"/>
  <c r="AD160" i="4"/>
  <c r="AD165" i="4"/>
  <c r="AD166" i="4"/>
  <c r="AD167" i="4"/>
  <c r="AD168" i="4"/>
  <c r="AD169" i="4"/>
  <c r="AD170" i="4"/>
  <c r="AD172" i="4"/>
  <c r="AD173" i="4"/>
  <c r="AD181" i="4"/>
  <c r="AD200" i="4"/>
  <c r="AD201" i="4"/>
  <c r="AD216" i="4"/>
  <c r="AD217" i="4"/>
  <c r="AD218" i="4"/>
  <c r="AD219" i="4"/>
  <c r="AD220" i="4"/>
  <c r="AD221" i="4"/>
  <c r="AD238" i="4"/>
  <c r="AD248" i="4"/>
  <c r="AD265" i="4"/>
  <c r="AD266" i="4"/>
  <c r="AD267" i="4"/>
  <c r="AD268" i="4"/>
  <c r="AD269" i="4"/>
  <c r="AD270" i="4"/>
  <c r="AD271" i="4"/>
  <c r="AD272" i="4"/>
  <c r="AD273" i="4"/>
  <c r="AD274" i="4"/>
  <c r="AD275" i="4"/>
  <c r="AD286" i="4"/>
  <c r="AD8" i="4"/>
  <c r="AD9" i="4"/>
  <c r="AD10" i="4"/>
  <c r="AD11" i="4"/>
  <c r="AD12" i="4"/>
  <c r="AD16" i="4"/>
  <c r="AD18" i="4"/>
  <c r="AD26" i="4"/>
  <c r="AD28" i="4"/>
  <c r="AD29" i="4"/>
  <c r="AD30" i="4"/>
  <c r="AD31" i="4"/>
  <c r="AD32" i="4"/>
  <c r="AD33" i="4"/>
  <c r="AD35" i="4"/>
  <c r="AD36" i="4"/>
  <c r="AD37" i="4"/>
  <c r="AD38" i="4"/>
  <c r="AD39" i="4"/>
  <c r="AD40" i="4"/>
  <c r="AD2" i="4"/>
  <c r="AD3" i="4"/>
  <c r="AD4" i="4"/>
  <c r="AD5" i="4"/>
  <c r="AD41" i="4"/>
  <c r="AD42" i="4"/>
  <c r="AD43" i="4"/>
  <c r="AD44" i="4"/>
  <c r="AD45" i="4"/>
  <c r="AD46" i="4"/>
  <c r="AD47" i="4"/>
  <c r="AD48" i="4"/>
  <c r="AD49" i="4"/>
  <c r="AD50" i="4"/>
  <c r="AD62" i="4"/>
  <c r="AD63" i="4"/>
  <c r="AD64" i="4"/>
  <c r="AD75" i="4"/>
  <c r="AD80" i="4"/>
  <c r="AD81" i="4"/>
  <c r="AD82" i="4"/>
  <c r="AD83" i="4"/>
  <c r="AD84" i="4"/>
  <c r="AD86" i="4"/>
  <c r="AD87" i="4"/>
  <c r="AD88" i="4"/>
  <c r="AD90" i="4"/>
  <c r="AD91" i="4"/>
  <c r="AD92" i="4"/>
  <c r="AD93" i="4"/>
  <c r="AD94" i="4"/>
  <c r="AD95" i="4"/>
  <c r="AD96" i="4"/>
  <c r="AD97" i="4"/>
  <c r="AD104" i="4"/>
  <c r="AD105" i="4"/>
  <c r="AD107" i="4"/>
  <c r="AD108" i="4"/>
  <c r="AD112" i="4"/>
  <c r="AD113" i="4"/>
  <c r="AD116" i="4"/>
  <c r="AD118" i="4"/>
  <c r="AD119" i="4"/>
  <c r="AD121" i="4"/>
  <c r="AD123" i="4"/>
  <c r="AD124" i="4"/>
  <c r="AD125" i="4"/>
  <c r="AD126" i="4"/>
  <c r="AD129" i="4"/>
  <c r="AD131" i="4"/>
  <c r="AD132" i="4"/>
  <c r="AD134" i="4"/>
  <c r="AD136" i="4"/>
  <c r="AD137" i="4"/>
  <c r="AD138" i="4"/>
  <c r="AD139" i="4"/>
  <c r="AD144" i="4"/>
  <c r="AD146" i="4"/>
  <c r="AD148" i="4"/>
  <c r="AD149" i="4"/>
  <c r="AD151" i="4"/>
  <c r="AD153" i="4"/>
  <c r="AD154" i="4"/>
  <c r="AD155" i="4"/>
  <c r="AD156" i="4"/>
  <c r="AD157" i="4"/>
  <c r="AD158" i="4"/>
  <c r="AD159" i="4"/>
  <c r="AD161" i="4"/>
  <c r="AD175" i="4"/>
  <c r="AD179" i="4"/>
  <c r="AD180" i="4"/>
  <c r="AD182" i="4"/>
  <c r="AD183" i="4"/>
  <c r="AD186" i="4"/>
  <c r="AD190" i="4"/>
  <c r="AD191" i="4"/>
  <c r="AD192" i="4"/>
  <c r="AD193" i="4"/>
  <c r="AD194" i="4"/>
  <c r="AD195" i="4"/>
  <c r="AD196" i="4"/>
  <c r="AD197" i="4"/>
  <c r="AD202" i="4"/>
  <c r="AD203" i="4"/>
  <c r="AD204" i="4"/>
  <c r="AD205" i="4"/>
  <c r="AD206" i="4"/>
  <c r="AD207" i="4"/>
  <c r="AD208" i="4"/>
  <c r="AD297" i="4"/>
  <c r="AD212" i="4"/>
  <c r="AD213" i="4"/>
  <c r="AD214" i="4"/>
  <c r="AD215" i="4"/>
  <c r="AD222" i="4"/>
  <c r="AD223" i="4"/>
  <c r="AD224" i="4"/>
  <c r="AD226" i="4"/>
  <c r="AD227" i="4"/>
  <c r="AD228" i="4"/>
  <c r="AD229" i="4"/>
  <c r="AD230" i="4"/>
  <c r="AD231" i="4"/>
  <c r="AD232" i="4"/>
  <c r="AD233" i="4"/>
  <c r="AD234" i="4"/>
  <c r="AD235" i="4"/>
  <c r="AD236" i="4"/>
  <c r="AD237" i="4"/>
  <c r="AD239" i="4"/>
  <c r="AD240" i="4"/>
  <c r="AD241" i="4"/>
  <c r="AD242" i="4"/>
  <c r="AD243" i="4"/>
  <c r="AD244" i="4"/>
  <c r="AD298" i="4"/>
  <c r="AD245" i="4"/>
  <c r="AD247" i="4"/>
  <c r="AD251" i="4"/>
  <c r="AD255" i="4"/>
  <c r="AD256" i="4"/>
  <c r="AD260" i="4"/>
  <c r="AD261" i="4"/>
  <c r="AD262" i="4"/>
  <c r="AD277" i="4"/>
  <c r="AD278" i="4"/>
  <c r="AD279" i="4"/>
  <c r="AD280" i="4"/>
  <c r="AD281" i="4"/>
  <c r="AD282" i="4"/>
  <c r="AD283" i="4"/>
  <c r="AD284" i="4"/>
  <c r="AD288" i="4"/>
  <c r="AD289" i="4"/>
  <c r="AD290" i="4"/>
  <c r="AD13" i="4"/>
  <c r="AD14" i="4"/>
  <c r="AD15" i="4"/>
  <c r="AD17" i="4"/>
  <c r="AD19" i="4"/>
  <c r="AD76" i="4"/>
  <c r="AD99" i="4"/>
  <c r="AD100" i="4"/>
  <c r="AD109" i="4"/>
  <c r="AD145" i="4"/>
  <c r="AD150" i="4"/>
  <c r="AD174" i="4"/>
  <c r="AD198" i="4"/>
  <c r="AD199" i="4"/>
  <c r="AD225" i="4"/>
  <c r="AD254" i="4"/>
  <c r="AD103" i="4"/>
  <c r="AD106" i="4"/>
  <c r="AD135" i="4"/>
  <c r="AD142" i="4"/>
  <c r="AD209" i="4"/>
  <c r="AD210" i="4"/>
  <c r="AD211" i="4"/>
  <c r="AD294" i="4"/>
  <c r="AD295" i="4"/>
  <c r="AD6" i="4"/>
  <c r="AD111" i="4"/>
  <c r="AD143" i="4"/>
  <c r="AD7" i="4"/>
  <c r="AD127" i="4"/>
  <c r="AD147" i="4"/>
  <c r="AD249" i="4"/>
  <c r="AD250" i="4"/>
  <c r="AD252" i="4"/>
  <c r="AD276" i="4"/>
  <c r="AD79" i="4"/>
  <c r="AD177" i="4"/>
  <c r="AD253" i="4"/>
  <c r="AD34" i="4"/>
  <c r="AD176" i="4"/>
  <c r="AD178" i="4"/>
  <c r="AD189" i="4"/>
  <c r="AD246" i="4"/>
  <c r="AD89" i="4"/>
  <c r="AD162" i="4"/>
  <c r="AD163" i="4"/>
  <c r="AD164" i="4"/>
  <c r="AD171" i="4"/>
  <c r="AD263" i="4"/>
  <c r="AD264" i="4"/>
  <c r="AD285" i="4"/>
  <c r="AD98" i="4"/>
  <c r="AD152" i="4"/>
  <c r="AD102" i="4"/>
  <c r="AD302" i="4"/>
  <c r="AD301" i="4"/>
  <c r="AD299" i="4"/>
  <c r="AD300" i="4"/>
  <c r="AD304" i="4"/>
  <c r="AD309" i="4"/>
  <c r="AD312" i="4"/>
  <c r="AD313" i="4"/>
  <c r="AD314" i="4"/>
  <c r="AD305" i="4"/>
  <c r="AD306" i="4"/>
  <c r="AD307" i="4"/>
  <c r="AD308" i="4"/>
  <c r="AD311" i="4"/>
  <c r="AD310" i="4"/>
  <c r="AD318" i="4"/>
  <c r="AD319" i="4"/>
  <c r="AD320" i="4"/>
  <c r="AD321" i="4"/>
  <c r="AD322" i="4"/>
  <c r="AD323" i="4"/>
  <c r="AD324" i="4"/>
  <c r="AD325" i="4"/>
  <c r="AD337" i="4"/>
  <c r="AD338" i="4"/>
  <c r="AD339" i="4"/>
  <c r="AD340" i="4"/>
  <c r="AD341" i="4"/>
  <c r="AD343" i="4"/>
  <c r="AD344" i="4"/>
  <c r="AD345" i="4"/>
  <c r="AD315" i="4"/>
  <c r="AD316" i="4"/>
  <c r="AD317" i="4"/>
  <c r="AD330" i="4"/>
  <c r="AD331" i="4"/>
  <c r="AD332" i="4"/>
  <c r="AD333" i="4"/>
  <c r="AD342" i="4"/>
  <c r="AD335" i="4"/>
  <c r="AD346" i="4"/>
  <c r="AD334" i="4"/>
  <c r="AD327" i="4"/>
  <c r="AD326" i="4"/>
  <c r="AD347" i="4"/>
  <c r="AD328" i="4"/>
  <c r="AD329" i="4"/>
  <c r="AD336" i="4"/>
  <c r="AD348" i="4"/>
  <c r="AD352" i="4"/>
  <c r="AD353" i="4"/>
  <c r="AD366" i="4"/>
  <c r="AD367" i="4"/>
  <c r="AD368" i="4"/>
  <c r="AD354" i="4"/>
  <c r="AD355" i="4"/>
  <c r="AD356" i="4"/>
  <c r="AD357" i="4"/>
  <c r="AD358" i="4"/>
  <c r="AD359" i="4"/>
  <c r="AD360" i="4"/>
  <c r="AD361" i="4"/>
  <c r="AD362" i="4"/>
  <c r="AD369" i="4"/>
  <c r="AD363" i="4"/>
  <c r="AD364" i="4"/>
  <c r="AD365" i="4"/>
  <c r="AD351" i="4"/>
  <c r="AD349" i="4"/>
  <c r="AD350" i="4"/>
  <c r="AD375" i="4"/>
  <c r="AD371" i="4"/>
  <c r="AD379" i="4"/>
  <c r="AD370" i="4"/>
  <c r="AD372" i="4"/>
  <c r="AD374" i="4"/>
  <c r="AD377" i="4"/>
  <c r="AD381" i="4"/>
  <c r="AD373" i="4"/>
  <c r="AD376" i="4"/>
  <c r="AD378" i="4"/>
  <c r="AD386" i="4"/>
  <c r="AD385" i="4"/>
  <c r="AD383" i="4"/>
  <c r="AD384" i="4"/>
  <c r="AD382" i="4"/>
  <c r="AD390" i="4"/>
  <c r="AD405" i="4"/>
  <c r="AD408" i="4"/>
  <c r="AD391" i="4"/>
  <c r="AD392" i="4"/>
  <c r="AD393" i="4"/>
  <c r="AD394" i="4"/>
  <c r="AD400" i="4"/>
  <c r="AD401" i="4"/>
  <c r="AD402" i="4"/>
  <c r="AD403" i="4"/>
  <c r="AD407" i="4"/>
  <c r="AD387" i="4"/>
  <c r="AD388" i="4"/>
  <c r="AD389" i="4"/>
  <c r="AD396" i="4"/>
  <c r="AD397" i="4"/>
  <c r="AD398" i="4"/>
  <c r="AD399" i="4"/>
  <c r="AD404" i="4"/>
  <c r="AD406" i="4"/>
  <c r="AD409" i="4"/>
  <c r="AD410" i="4"/>
  <c r="AD411" i="4"/>
  <c r="AD395" i="4"/>
  <c r="AE11" i="2"/>
  <c r="AE13" i="2"/>
  <c r="AE10" i="2"/>
  <c r="AE12" i="2"/>
  <c r="AE27" i="2"/>
  <c r="AE16" i="2"/>
  <c r="AE17" i="2"/>
  <c r="AE28" i="2"/>
  <c r="AE5" i="2"/>
  <c r="AE38" i="2"/>
  <c r="AE37" i="2"/>
  <c r="AE36" i="2"/>
  <c r="AE7" i="2"/>
  <c r="AE33" i="2"/>
  <c r="AE32" i="2"/>
  <c r="AE34" i="2"/>
  <c r="AE8" i="2"/>
  <c r="AE35" i="2"/>
  <c r="AE31" i="2"/>
  <c r="AE43" i="2"/>
  <c r="AE40" i="2"/>
  <c r="AE39" i="2"/>
  <c r="AE30" i="2"/>
  <c r="AE18" i="2"/>
  <c r="AE42" i="2"/>
  <c r="AE24" i="2"/>
  <c r="AE22" i="2"/>
  <c r="AE23" i="2"/>
  <c r="AE41" i="2"/>
  <c r="AE46" i="2"/>
  <c r="AE47" i="2"/>
  <c r="AE51" i="2"/>
  <c r="AE50" i="2"/>
  <c r="AE52" i="2"/>
  <c r="AE26" i="2"/>
  <c r="AH26" i="2"/>
  <c r="AE143" i="4"/>
  <c r="AE117" i="4"/>
  <c r="AE128" i="4"/>
  <c r="AE141" i="4"/>
  <c r="AE175" i="4"/>
  <c r="AE83" i="4"/>
  <c r="AE84" i="4"/>
  <c r="AE137" i="4"/>
  <c r="AE149" i="4"/>
  <c r="AE249" i="4"/>
  <c r="AE18" i="4"/>
  <c r="AE23" i="4"/>
  <c r="AE38" i="4"/>
  <c r="AE82" i="4"/>
  <c r="AE102" i="4"/>
  <c r="AE6" i="4"/>
  <c r="AE7" i="4"/>
  <c r="AE123" i="4"/>
  <c r="AE139" i="4"/>
  <c r="AE152" i="4"/>
  <c r="AE174" i="4"/>
  <c r="AE182" i="4"/>
  <c r="AE183" i="4"/>
  <c r="AE184" i="4"/>
  <c r="AE270" i="4"/>
  <c r="AE273" i="4"/>
  <c r="AE11" i="4"/>
  <c r="AE16" i="4"/>
  <c r="AE17" i="4"/>
  <c r="AE28" i="4"/>
  <c r="AE29" i="4"/>
  <c r="AE30" i="4"/>
  <c r="AE31" i="4"/>
  <c r="AE32" i="4"/>
  <c r="AE33" i="4"/>
  <c r="AE2" i="4"/>
  <c r="AE3" i="4"/>
  <c r="AE4" i="4"/>
  <c r="AE75" i="4"/>
  <c r="AE106" i="4"/>
  <c r="AE126" i="4"/>
  <c r="AE146" i="4"/>
  <c r="AE148" i="4"/>
  <c r="AE157" i="4"/>
  <c r="AE165" i="4"/>
  <c r="AE253" i="4"/>
  <c r="AE263" i="4"/>
  <c r="AE264" i="4"/>
  <c r="AE277" i="4"/>
  <c r="AE278" i="4"/>
  <c r="AE279" i="4"/>
  <c r="AE280" i="4"/>
  <c r="AE281" i="4"/>
  <c r="AE282" i="4"/>
  <c r="AE283" i="4"/>
  <c r="AE76" i="4"/>
  <c r="AE12" i="4"/>
  <c r="AE20" i="4"/>
  <c r="AE35" i="4"/>
  <c r="AE36" i="4"/>
  <c r="AE37" i="4"/>
  <c r="AE5" i="4"/>
  <c r="AE65" i="4"/>
  <c r="AE66" i="4"/>
  <c r="AE89" i="4"/>
  <c r="AE96" i="4"/>
  <c r="AE107" i="4"/>
  <c r="AE109" i="4"/>
  <c r="AE111" i="4"/>
  <c r="AE120" i="4"/>
  <c r="AE121" i="4"/>
  <c r="AE124" i="4"/>
  <c r="AE127" i="4"/>
  <c r="AE131" i="4"/>
  <c r="AE142" i="4"/>
  <c r="AE150" i="4"/>
  <c r="AE158" i="4"/>
  <c r="AE159" i="4"/>
  <c r="AE162" i="4"/>
  <c r="AE163" i="4"/>
  <c r="AE164" i="4"/>
  <c r="AE166" i="4"/>
  <c r="AE167" i="4"/>
  <c r="AE171" i="4"/>
  <c r="AE213" i="4"/>
  <c r="AE214" i="4"/>
  <c r="AE215" i="4"/>
  <c r="AE222" i="4"/>
  <c r="AE223" i="4"/>
  <c r="AE224" i="4"/>
  <c r="AE225" i="4"/>
  <c r="AE226" i="4"/>
  <c r="AE227" i="4"/>
  <c r="AE232" i="4"/>
  <c r="AE248" i="4"/>
  <c r="AE284" i="4"/>
  <c r="AE285" i="4"/>
  <c r="AE290" i="4"/>
  <c r="AE8" i="4"/>
  <c r="AE9" i="4"/>
  <c r="AE10" i="4"/>
  <c r="AE21" i="4"/>
  <c r="AE39" i="4"/>
  <c r="AE40" i="4"/>
  <c r="AE95" i="4"/>
  <c r="AE145" i="4"/>
  <c r="AE160" i="4"/>
  <c r="AE179" i="4"/>
  <c r="AE180" i="4"/>
  <c r="AE181" i="4"/>
  <c r="AE252" i="4"/>
  <c r="AE265" i="4"/>
  <c r="AE266" i="4"/>
  <c r="AE267" i="4"/>
  <c r="AE269" i="4"/>
  <c r="AE14" i="4"/>
  <c r="AE22" i="4"/>
  <c r="AE64" i="4"/>
  <c r="AE90" i="4"/>
  <c r="AE91" i="4"/>
  <c r="AE92" i="4"/>
  <c r="AE296" i="4"/>
  <c r="AE98" i="4"/>
  <c r="AE104" i="4"/>
  <c r="AE114" i="4"/>
  <c r="AE122" i="4"/>
  <c r="AE185" i="4"/>
  <c r="AE186" i="4"/>
  <c r="AE187" i="4"/>
  <c r="AE188" i="4"/>
  <c r="AE200" i="4"/>
  <c r="AE201" i="4"/>
  <c r="AE204" i="4"/>
  <c r="AE218" i="4"/>
  <c r="AE219" i="4"/>
  <c r="AE220" i="4"/>
  <c r="AE221" i="4"/>
  <c r="AE237" i="4"/>
  <c r="AE268" i="4"/>
  <c r="AE271" i="4"/>
  <c r="AE272" i="4"/>
  <c r="AE274" i="4"/>
  <c r="AE13" i="4"/>
  <c r="AE15" i="4"/>
  <c r="AE19" i="4"/>
  <c r="AE34" i="4"/>
  <c r="AE50" i="4"/>
  <c r="AE73" i="4"/>
  <c r="AE81" i="4"/>
  <c r="AE85" i="4"/>
  <c r="AE93" i="4"/>
  <c r="AE99" i="4"/>
  <c r="AE100" i="4"/>
  <c r="AE103" i="4"/>
  <c r="AE134" i="4"/>
  <c r="AE138" i="4"/>
  <c r="AE144" i="4"/>
  <c r="AE176" i="4"/>
  <c r="AE177" i="4"/>
  <c r="AE178" i="4"/>
  <c r="AE189" i="4"/>
  <c r="AE190" i="4"/>
  <c r="AE191" i="4"/>
  <c r="AE192" i="4"/>
  <c r="AE193" i="4"/>
  <c r="AE194" i="4"/>
  <c r="AE195" i="4"/>
  <c r="AE196" i="4"/>
  <c r="AE205" i="4"/>
  <c r="AE206" i="4"/>
  <c r="AE207" i="4"/>
  <c r="AE208" i="4"/>
  <c r="AE216" i="4"/>
  <c r="AE217" i="4"/>
  <c r="AE251" i="4"/>
  <c r="AE254" i="4"/>
  <c r="AE286" i="4"/>
  <c r="AE288" i="4"/>
  <c r="AE289" i="4"/>
  <c r="AE244" i="4"/>
  <c r="AE298" i="4"/>
  <c r="AE245" i="4"/>
  <c r="AE47" i="4"/>
  <c r="AE48" i="4"/>
  <c r="AE49" i="4"/>
  <c r="AE63" i="4"/>
  <c r="AE292" i="4"/>
  <c r="AE105" i="4"/>
  <c r="AE116" i="4"/>
  <c r="AE153" i="4"/>
  <c r="AE154" i="4"/>
  <c r="AE197" i="4"/>
  <c r="AE212" i="4"/>
  <c r="AE246" i="4"/>
  <c r="AE247" i="4"/>
  <c r="AE294" i="4"/>
  <c r="AE295" i="4"/>
  <c r="AE243" i="4"/>
  <c r="AE46" i="4"/>
  <c r="AE74" i="4"/>
  <c r="AE133" i="4"/>
  <c r="AE198" i="4"/>
  <c r="AE199" i="4"/>
  <c r="AE202" i="4"/>
  <c r="AE203" i="4"/>
  <c r="AE260" i="4"/>
  <c r="AE86" i="4"/>
  <c r="AE94" i="4"/>
  <c r="AE129" i="4"/>
  <c r="AE130" i="4"/>
  <c r="AE147" i="4"/>
  <c r="AE161" i="4"/>
  <c r="AE228" i="4"/>
  <c r="AE229" i="4"/>
  <c r="AE230" i="4"/>
  <c r="AE43" i="4"/>
  <c r="AE87" i="4"/>
  <c r="AE88" i="4"/>
  <c r="AE118" i="4"/>
  <c r="AE132" i="4"/>
  <c r="AE135" i="4"/>
  <c r="AE209" i="4"/>
  <c r="AE210" i="4"/>
  <c r="AE211" i="4"/>
  <c r="AE231" i="4"/>
  <c r="AE234" i="4"/>
  <c r="AE235" i="4"/>
  <c r="AE256" i="4"/>
  <c r="AE25" i="4"/>
  <c r="AE41" i="4"/>
  <c r="AE42" i="4"/>
  <c r="AE44" i="4"/>
  <c r="AE45" i="4"/>
  <c r="AE62" i="4"/>
  <c r="AE67" i="4"/>
  <c r="AE108" i="4"/>
  <c r="AE110" i="4"/>
  <c r="AE112" i="4"/>
  <c r="AE119" i="4"/>
  <c r="AE136" i="4"/>
  <c r="AE140" i="4"/>
  <c r="AE151" i="4"/>
  <c r="AE168" i="4"/>
  <c r="AE170" i="4"/>
  <c r="AE236" i="4"/>
  <c r="AE238" i="4"/>
  <c r="AE240" i="4"/>
  <c r="AE241" i="4"/>
  <c r="AE242" i="4"/>
  <c r="AE291" i="4"/>
  <c r="AE51" i="4"/>
  <c r="AE53" i="4"/>
  <c r="AE54" i="4"/>
  <c r="AE55" i="4"/>
  <c r="AE56" i="4"/>
  <c r="AE57" i="4"/>
  <c r="AE59" i="4"/>
  <c r="AE26" i="4"/>
  <c r="AE27" i="4"/>
  <c r="AE68" i="4"/>
  <c r="AE69" i="4"/>
  <c r="AE70" i="4"/>
  <c r="AE71" i="4"/>
  <c r="AE72" i="4"/>
  <c r="AE78" i="4"/>
  <c r="AE79" i="4"/>
  <c r="AE80" i="4"/>
  <c r="AE101" i="4"/>
  <c r="AE125" i="4"/>
  <c r="AE155" i="4"/>
  <c r="AE156" i="4"/>
  <c r="AE169" i="4"/>
  <c r="AE261" i="4"/>
  <c r="AE262" i="4"/>
  <c r="AE275" i="4"/>
  <c r="AE276" i="4"/>
  <c r="AE287" i="4"/>
  <c r="AE52" i="4"/>
  <c r="AE58" i="4"/>
  <c r="AE60" i="4"/>
  <c r="AE24" i="4"/>
  <c r="AE113" i="4"/>
  <c r="AE172" i="4"/>
  <c r="AE173" i="4"/>
  <c r="AE233" i="4"/>
  <c r="AE250" i="4"/>
  <c r="AE255" i="4"/>
  <c r="AE115" i="4"/>
  <c r="AE97" i="4"/>
  <c r="AE239" i="4"/>
  <c r="AE297" i="4"/>
  <c r="AE312" i="4"/>
  <c r="AE304" i="4"/>
  <c r="AE309" i="4"/>
  <c r="AE313" i="4"/>
  <c r="AE314" i="4"/>
  <c r="AE299" i="4"/>
  <c r="AE300" i="4"/>
  <c r="AE301" i="4"/>
  <c r="AE302" i="4"/>
  <c r="AE311" i="4"/>
  <c r="AE305" i="4"/>
  <c r="AE306" i="4"/>
  <c r="AE307" i="4"/>
  <c r="AE308" i="4"/>
  <c r="AE310" i="4"/>
  <c r="AE321" i="4"/>
  <c r="AE332" i="4"/>
  <c r="AE320" i="4"/>
  <c r="AE322" i="4"/>
  <c r="AE323" i="4"/>
  <c r="AE324" i="4"/>
  <c r="AE331" i="4"/>
  <c r="AE333" i="4"/>
  <c r="AE334" i="4"/>
  <c r="AE337" i="4"/>
  <c r="AE338" i="4"/>
  <c r="AE339" i="4"/>
  <c r="AE340" i="4"/>
  <c r="AE342" i="4"/>
  <c r="AE343" i="4"/>
  <c r="AE344" i="4"/>
  <c r="AE345" i="4"/>
  <c r="AE335" i="4"/>
  <c r="AE346" i="4"/>
  <c r="AE318" i="4"/>
  <c r="AE319" i="4"/>
  <c r="AE326" i="4"/>
  <c r="AE347" i="4"/>
  <c r="AE327" i="4"/>
  <c r="AE328" i="4"/>
  <c r="AE329" i="4"/>
  <c r="AE341" i="4"/>
  <c r="AE330" i="4"/>
  <c r="AE315" i="4"/>
  <c r="AE316" i="4"/>
  <c r="AE317" i="4"/>
  <c r="AE336" i="4"/>
  <c r="AE325" i="4"/>
  <c r="AE355" i="4"/>
  <c r="AE359" i="4"/>
  <c r="AE348" i="4"/>
  <c r="AE354" i="4"/>
  <c r="AE363" i="4"/>
  <c r="AE364" i="4"/>
  <c r="AE365" i="4"/>
  <c r="AE351" i="4"/>
  <c r="AE369" i="4"/>
  <c r="AE349" i="4"/>
  <c r="AE350" i="4"/>
  <c r="AE356" i="4"/>
  <c r="AE357" i="4"/>
  <c r="AE352" i="4"/>
  <c r="AE353" i="4"/>
  <c r="AE367" i="4"/>
  <c r="AE366" i="4"/>
  <c r="AE368" i="4"/>
  <c r="AE358" i="4"/>
  <c r="AE360" i="4"/>
  <c r="AE361" i="4"/>
  <c r="AE362" i="4"/>
  <c r="AE374" i="4"/>
  <c r="AE375" i="4"/>
  <c r="AE378" i="4"/>
  <c r="AE372" i="4"/>
  <c r="AE373" i="4"/>
  <c r="AE376" i="4"/>
  <c r="AE377" i="4"/>
  <c r="AE371" i="4"/>
  <c r="AE379" i="4"/>
  <c r="AE370" i="4"/>
  <c r="AE381" i="4"/>
  <c r="AE382" i="4"/>
  <c r="AE386" i="4"/>
  <c r="AE384" i="4"/>
  <c r="AE385" i="4"/>
  <c r="AE383" i="4"/>
  <c r="AE401" i="4"/>
  <c r="AE388" i="4"/>
  <c r="AE389" i="4"/>
  <c r="AE390" i="4"/>
  <c r="AE396" i="4"/>
  <c r="AE397" i="4"/>
  <c r="AE398" i="4"/>
  <c r="AE404" i="4"/>
  <c r="AE405" i="4"/>
  <c r="AE387" i="4"/>
  <c r="AE391" i="4"/>
  <c r="AE392" i="4"/>
  <c r="AE393" i="4"/>
  <c r="AE394" i="4"/>
  <c r="AE395" i="4"/>
  <c r="AE399" i="4"/>
  <c r="AE400" i="4"/>
  <c r="AE402" i="4"/>
  <c r="AE403" i="4"/>
  <c r="AE406" i="4"/>
  <c r="AE407" i="4"/>
  <c r="AE408" i="4"/>
  <c r="AE409" i="4"/>
  <c r="AE410" i="4"/>
  <c r="AE411" i="4"/>
  <c r="AE293" i="4"/>
  <c r="AH11" i="2"/>
  <c r="AH13" i="2"/>
  <c r="AH10" i="2"/>
  <c r="AH12" i="2"/>
  <c r="AH27" i="2"/>
  <c r="AH16" i="2"/>
  <c r="AH17" i="2"/>
  <c r="AH28" i="2"/>
  <c r="AH5" i="2"/>
  <c r="AH38" i="2"/>
  <c r="AH37" i="2"/>
  <c r="AH36" i="2"/>
  <c r="AH7" i="2"/>
  <c r="AH15" i="2"/>
  <c r="AH29" i="2"/>
  <c r="AH33" i="2"/>
  <c r="AH32" i="2"/>
  <c r="AH34" i="2"/>
  <c r="AH8" i="2"/>
  <c r="AH35" i="2"/>
  <c r="AH31" i="2"/>
  <c r="AH43" i="2"/>
  <c r="AH40" i="2"/>
  <c r="AH39" i="2"/>
  <c r="AH30" i="2"/>
  <c r="AH18" i="2"/>
  <c r="AH42" i="2"/>
  <c r="AH22" i="2"/>
  <c r="AH23" i="2"/>
  <c r="AH41" i="2"/>
  <c r="AH46" i="2"/>
  <c r="AH47" i="2"/>
  <c r="AH51" i="2"/>
  <c r="AH50" i="2"/>
  <c r="AH52" i="2"/>
  <c r="AG385" i="4"/>
  <c r="AG383" i="4"/>
  <c r="AG382" i="4"/>
  <c r="AG384" i="4"/>
  <c r="AG386" i="4"/>
  <c r="AG387" i="4"/>
  <c r="AG388" i="4"/>
  <c r="AG389" i="4"/>
  <c r="AG390" i="4"/>
  <c r="AG391" i="4"/>
  <c r="AG392" i="4"/>
  <c r="AG393" i="4"/>
  <c r="AG394" i="4"/>
  <c r="AG395" i="4"/>
  <c r="AG396" i="4"/>
  <c r="AG397" i="4"/>
  <c r="AG398" i="4"/>
  <c r="AG399" i="4"/>
  <c r="AG400" i="4"/>
  <c r="AG401" i="4"/>
  <c r="AG402" i="4"/>
  <c r="AG403" i="4"/>
  <c r="AG404" i="4"/>
  <c r="AG405" i="4"/>
  <c r="AG406" i="4"/>
  <c r="AG407" i="4"/>
  <c r="AG408" i="4"/>
  <c r="AG409" i="4"/>
  <c r="AG410" i="4"/>
  <c r="AG411" i="4"/>
  <c r="AJ299" i="4"/>
  <c r="AJ300" i="4"/>
  <c r="AJ301" i="4"/>
  <c r="AJ302" i="4"/>
  <c r="AJ304" i="4"/>
  <c r="AJ305" i="4"/>
  <c r="AJ306" i="4"/>
  <c r="AJ307" i="4"/>
  <c r="AJ308" i="4"/>
  <c r="AJ309" i="4"/>
  <c r="AJ310" i="4"/>
  <c r="AJ311" i="4"/>
  <c r="AJ312" i="4"/>
  <c r="AJ313" i="4"/>
  <c r="AJ314" i="4"/>
  <c r="AJ315" i="4"/>
  <c r="AJ316" i="4"/>
  <c r="AJ317" i="4"/>
  <c r="AJ318" i="4"/>
  <c r="AJ319" i="4"/>
  <c r="AJ320" i="4"/>
  <c r="AJ321" i="4"/>
  <c r="AJ322" i="4"/>
  <c r="AJ323" i="4"/>
  <c r="AJ324" i="4"/>
  <c r="AJ325" i="4"/>
  <c r="AJ326" i="4"/>
  <c r="AJ347" i="4"/>
  <c r="AJ327" i="4"/>
  <c r="AJ328" i="4"/>
  <c r="AJ329" i="4"/>
  <c r="AJ330" i="4"/>
  <c r="AJ331" i="4"/>
  <c r="AJ332" i="4"/>
  <c r="AJ333" i="4"/>
  <c r="AJ336" i="4"/>
  <c r="AJ337" i="4"/>
  <c r="AJ338" i="4"/>
  <c r="AJ339" i="4"/>
  <c r="AJ340" i="4"/>
  <c r="AJ341" i="4"/>
  <c r="AJ343" i="4"/>
  <c r="AJ344" i="4"/>
  <c r="AJ345" i="4"/>
  <c r="AJ335" i="4"/>
  <c r="AJ346" i="4"/>
  <c r="AJ334" i="4"/>
  <c r="AJ342" i="4"/>
  <c r="AJ348" i="4"/>
  <c r="AJ349" i="4"/>
  <c r="AJ350" i="4"/>
  <c r="AJ351" i="4"/>
  <c r="AJ352" i="4"/>
  <c r="AJ353" i="4"/>
  <c r="AJ366" i="4"/>
  <c r="AJ367" i="4"/>
  <c r="AJ368" i="4"/>
  <c r="AJ354" i="4"/>
  <c r="AJ355" i="4"/>
  <c r="AJ356" i="4"/>
  <c r="AJ357" i="4"/>
  <c r="AJ358" i="4"/>
  <c r="AJ359" i="4"/>
  <c r="AJ360" i="4"/>
  <c r="AJ361" i="4"/>
  <c r="AJ362" i="4"/>
  <c r="AJ369" i="4"/>
  <c r="AJ363" i="4"/>
  <c r="AJ364" i="4"/>
  <c r="AJ365" i="4"/>
  <c r="AJ370" i="4"/>
  <c r="AJ371" i="4"/>
  <c r="AJ372" i="4"/>
  <c r="AJ373" i="4"/>
  <c r="AJ374" i="4"/>
  <c r="AJ375" i="4"/>
  <c r="AJ376" i="4"/>
  <c r="AJ377" i="4"/>
  <c r="AJ378" i="4"/>
  <c r="AJ379" i="4"/>
  <c r="AJ381" i="4"/>
  <c r="AJ385" i="4"/>
  <c r="AJ383" i="4"/>
  <c r="AJ382" i="4"/>
  <c r="AJ384" i="4"/>
  <c r="AJ386" i="4"/>
  <c r="AJ387" i="4"/>
  <c r="AJ388" i="4"/>
  <c r="AJ389" i="4"/>
  <c r="AJ390" i="4"/>
  <c r="AJ391" i="4"/>
  <c r="AJ392" i="4"/>
  <c r="AJ393" i="4"/>
  <c r="AJ394" i="4"/>
  <c r="AJ395" i="4"/>
  <c r="AJ396" i="4"/>
  <c r="AJ397" i="4"/>
  <c r="AJ398" i="4"/>
  <c r="AJ399" i="4"/>
  <c r="AJ400" i="4"/>
  <c r="AJ401" i="4"/>
  <c r="AJ402" i="4"/>
  <c r="AJ403" i="4"/>
  <c r="AJ404" i="4"/>
  <c r="AJ405" i="4"/>
  <c r="AJ406" i="4"/>
  <c r="AJ407" i="4"/>
  <c r="AJ408" i="4"/>
  <c r="AJ409" i="4"/>
  <c r="AJ410" i="4"/>
  <c r="AJ411" i="4"/>
  <c r="AG16" i="4"/>
  <c r="AG36" i="4"/>
  <c r="AG37" i="4"/>
  <c r="AG2" i="4"/>
  <c r="AG3" i="4"/>
  <c r="AG4" i="4"/>
  <c r="AG5" i="4"/>
  <c r="AG74" i="4"/>
  <c r="AG78" i="4"/>
  <c r="AG96" i="4"/>
  <c r="AG138" i="4"/>
  <c r="AG158" i="4"/>
  <c r="AG263" i="4"/>
  <c r="AG264" i="4"/>
  <c r="AG277" i="4"/>
  <c r="AG28" i="4"/>
  <c r="AG29" i="4"/>
  <c r="AG32" i="4"/>
  <c r="AG157" i="4"/>
  <c r="AG107" i="4"/>
  <c r="AG124" i="4"/>
  <c r="AG6" i="4"/>
  <c r="AG106" i="4"/>
  <c r="AG65" i="4"/>
  <c r="AG66" i="4"/>
  <c r="AG114" i="4"/>
  <c r="AG128" i="4"/>
  <c r="AG165" i="4"/>
  <c r="AG166" i="4"/>
  <c r="AG167" i="4"/>
  <c r="AG30" i="4"/>
  <c r="AG31" i="4"/>
  <c r="AG33" i="4"/>
  <c r="AG159" i="4"/>
  <c r="AG160" i="4"/>
  <c r="AG76" i="4"/>
  <c r="AG39" i="4"/>
  <c r="AG40" i="4"/>
  <c r="AG75" i="4"/>
  <c r="AG126" i="4"/>
  <c r="AG142" i="4"/>
  <c r="AG143" i="4"/>
  <c r="AG144" i="4"/>
  <c r="AG152" i="4"/>
  <c r="AG215" i="4"/>
  <c r="AG222" i="4"/>
  <c r="AG224" i="4"/>
  <c r="AG225" i="4"/>
  <c r="AG226" i="4"/>
  <c r="AG227" i="4"/>
  <c r="AG213" i="4"/>
  <c r="AG214" i="4"/>
  <c r="AG223" i="4"/>
  <c r="AG8" i="4"/>
  <c r="AG9" i="4"/>
  <c r="AG10" i="4"/>
  <c r="AG11" i="4"/>
  <c r="AG12" i="4"/>
  <c r="AG17" i="4"/>
  <c r="AG18" i="4"/>
  <c r="AG19" i="4"/>
  <c r="AG35" i="4"/>
  <c r="AG38" i="4"/>
  <c r="AG293" i="4"/>
  <c r="AG7" i="4"/>
  <c r="AG252" i="4"/>
  <c r="AG278" i="4"/>
  <c r="AG279" i="4"/>
  <c r="AG280" i="4"/>
  <c r="AG281" i="4"/>
  <c r="AG282" i="4"/>
  <c r="AG283" i="4"/>
  <c r="AG117" i="4"/>
  <c r="AG141" i="4"/>
  <c r="AG265" i="4"/>
  <c r="AG266" i="4"/>
  <c r="AG267" i="4"/>
  <c r="AG268" i="4"/>
  <c r="AG269" i="4"/>
  <c r="AG34" i="4"/>
  <c r="AG176" i="4"/>
  <c r="AG177" i="4"/>
  <c r="AG189" i="4"/>
  <c r="AG20" i="4"/>
  <c r="AG21" i="4"/>
  <c r="AG22" i="4"/>
  <c r="AG23" i="4"/>
  <c r="AG89" i="4"/>
  <c r="AG163" i="4"/>
  <c r="AG171" i="4"/>
  <c r="AG178" i="4"/>
  <c r="AG250" i="4"/>
  <c r="AG285" i="4"/>
  <c r="AG13" i="4"/>
  <c r="AG14" i="4"/>
  <c r="AG15" i="4"/>
  <c r="AG109" i="4"/>
  <c r="AG127" i="4"/>
  <c r="AG150" i="4"/>
  <c r="AG164" i="4"/>
  <c r="AG91" i="4"/>
  <c r="AG92" i="4"/>
  <c r="AG292" i="4"/>
  <c r="AG101" i="4"/>
  <c r="AG161" i="4"/>
  <c r="AG179" i="4"/>
  <c r="AG200" i="4"/>
  <c r="AG221" i="4"/>
  <c r="AG272" i="4"/>
  <c r="AG274" i="4"/>
  <c r="AG284" i="4"/>
  <c r="AG286" i="4"/>
  <c r="AG290" i="4"/>
  <c r="AG79" i="4"/>
  <c r="AG80" i="4"/>
  <c r="AG85" i="4"/>
  <c r="AG90" i="4"/>
  <c r="AG99" i="4"/>
  <c r="AG130" i="4"/>
  <c r="AG172" i="4"/>
  <c r="AG174" i="4"/>
  <c r="AG185" i="4"/>
  <c r="AG187" i="4"/>
  <c r="AG188" i="4"/>
  <c r="AG191" i="4"/>
  <c r="AG218" i="4"/>
  <c r="AG230" i="4"/>
  <c r="AG47" i="4"/>
  <c r="AG296" i="4"/>
  <c r="AG219" i="4"/>
  <c r="AG220" i="4"/>
  <c r="AG270" i="4"/>
  <c r="AG271" i="4"/>
  <c r="AG288" i="4"/>
  <c r="AG289" i="4"/>
  <c r="AG180" i="4"/>
  <c r="AG201" i="4"/>
  <c r="AG216" i="4"/>
  <c r="AG217" i="4"/>
  <c r="AG247" i="4"/>
  <c r="AG248" i="4"/>
  <c r="AG273" i="4"/>
  <c r="AG83" i="4"/>
  <c r="AG84" i="4"/>
  <c r="AG113" i="4"/>
  <c r="AG122" i="4"/>
  <c r="AG133" i="4"/>
  <c r="AG137" i="4"/>
  <c r="AG140" i="4"/>
  <c r="AG168" i="4"/>
  <c r="AG169" i="4"/>
  <c r="AG170" i="4"/>
  <c r="AG182" i="4"/>
  <c r="AG237" i="4"/>
  <c r="AG243" i="4"/>
  <c r="AG244" i="4"/>
  <c r="AG298" i="4"/>
  <c r="AG245" i="4"/>
  <c r="AG46" i="4"/>
  <c r="AG50" i="4"/>
  <c r="AG81" i="4"/>
  <c r="AG93" i="4"/>
  <c r="AG98" i="4"/>
  <c r="AG103" i="4"/>
  <c r="AG111" i="4"/>
  <c r="AG121" i="4"/>
  <c r="AG123" i="4"/>
  <c r="AG134" i="4"/>
  <c r="AG139" i="4"/>
  <c r="AG146" i="4"/>
  <c r="AG148" i="4"/>
  <c r="AG149" i="4"/>
  <c r="AG153" i="4"/>
  <c r="AG192" i="4"/>
  <c r="AG193" i="4"/>
  <c r="AG194" i="4"/>
  <c r="AG195" i="4"/>
  <c r="AG196" i="4"/>
  <c r="AG197" i="4"/>
  <c r="AG202" i="4"/>
  <c r="AG203" i="4"/>
  <c r="AG204" i="4"/>
  <c r="AG205" i="4"/>
  <c r="AG206" i="4"/>
  <c r="AG207" i="4"/>
  <c r="AG208" i="4"/>
  <c r="AG297" i="4"/>
  <c r="AG228" i="4"/>
  <c r="AG229" i="4"/>
  <c r="AG232" i="4"/>
  <c r="AG294" i="4"/>
  <c r="AG295" i="4"/>
  <c r="AG254" i="4"/>
  <c r="AG260" i="4"/>
  <c r="AG94" i="4"/>
  <c r="AG104" i="4"/>
  <c r="AG105" i="4"/>
  <c r="AG135" i="4"/>
  <c r="AG190" i="4"/>
  <c r="AG198" i="4"/>
  <c r="AG199" i="4"/>
  <c r="AG209" i="4"/>
  <c r="AG210" i="4"/>
  <c r="AG211" i="4"/>
  <c r="AG246" i="4"/>
  <c r="AG249" i="4"/>
  <c r="AG115" i="4"/>
  <c r="AG108" i="4"/>
  <c r="AG132" i="4"/>
  <c r="AG147" i="4"/>
  <c r="AG151" i="4"/>
  <c r="AG240" i="4"/>
  <c r="AG241" i="4"/>
  <c r="AG242" i="4"/>
  <c r="AG251" i="4"/>
  <c r="AG256" i="4"/>
  <c r="AG276" i="4"/>
  <c r="AG24" i="4"/>
  <c r="AG25" i="4"/>
  <c r="AG27" i="4"/>
  <c r="AG51" i="4"/>
  <c r="AG52" i="4"/>
  <c r="AG53" i="4"/>
  <c r="AG54" i="4"/>
  <c r="AG55" i="4"/>
  <c r="AG56" i="4"/>
  <c r="AG57" i="4"/>
  <c r="AG58" i="4"/>
  <c r="AG59" i="4"/>
  <c r="AG60" i="4"/>
  <c r="AG61" i="4"/>
  <c r="AG67" i="4"/>
  <c r="AG68" i="4"/>
  <c r="AG69" i="4"/>
  <c r="AG73" i="4"/>
  <c r="AG95" i="4"/>
  <c r="AG100" i="4"/>
  <c r="AG291" i="4"/>
  <c r="AG26" i="4"/>
  <c r="AG41" i="4"/>
  <c r="AG42" i="4"/>
  <c r="AG43" i="4"/>
  <c r="AG44" i="4"/>
  <c r="AG45" i="4"/>
  <c r="AG48" i="4"/>
  <c r="AG64" i="4"/>
  <c r="AG112" i="4"/>
  <c r="AG116" i="4"/>
  <c r="AG118" i="4"/>
  <c r="AG125" i="4"/>
  <c r="AG131" i="4"/>
  <c r="AG162" i="4"/>
  <c r="AG181" i="4"/>
  <c r="AG184" i="4"/>
  <c r="AG186" i="4"/>
  <c r="AG212" i="4"/>
  <c r="AG261" i="4"/>
  <c r="AG262" i="4"/>
  <c r="AG49" i="4"/>
  <c r="AG70" i="4"/>
  <c r="AG71" i="4"/>
  <c r="AG72" i="4"/>
  <c r="AG86" i="4"/>
  <c r="AG87" i="4"/>
  <c r="AG88" i="4"/>
  <c r="AG173" i="4"/>
  <c r="AG102" i="4"/>
  <c r="AG145" i="4"/>
  <c r="AG287" i="4"/>
  <c r="AG62" i="4"/>
  <c r="AG63" i="4"/>
  <c r="AG97" i="4"/>
  <c r="AG110" i="4"/>
  <c r="AG119" i="4"/>
  <c r="AG120" i="4"/>
  <c r="AG129" i="4"/>
  <c r="AG136" i="4"/>
  <c r="AG154" i="4"/>
  <c r="AG155" i="4"/>
  <c r="AG156" i="4"/>
  <c r="AG175" i="4"/>
  <c r="AG183" i="4"/>
  <c r="AG231" i="4"/>
  <c r="AG233" i="4"/>
  <c r="AG234" i="4"/>
  <c r="AG235" i="4"/>
  <c r="AG236" i="4"/>
  <c r="AG238" i="4"/>
  <c r="AG239" i="4"/>
  <c r="AG253" i="4"/>
  <c r="AG255" i="4"/>
  <c r="AG275" i="4"/>
  <c r="AG299" i="4"/>
  <c r="AG300" i="4"/>
  <c r="AG301" i="4"/>
  <c r="AG302" i="4"/>
  <c r="AG304" i="4"/>
  <c r="AG305" i="4"/>
  <c r="AG306" i="4"/>
  <c r="AG307" i="4"/>
  <c r="AG308" i="4"/>
  <c r="AG309" i="4"/>
  <c r="AG310" i="4"/>
  <c r="AG311" i="4"/>
  <c r="AG312" i="4"/>
  <c r="AG313" i="4"/>
  <c r="AG314" i="4"/>
  <c r="AG315" i="4"/>
  <c r="AG316" i="4"/>
  <c r="AG317" i="4"/>
  <c r="AG318" i="4"/>
  <c r="AG319" i="4"/>
  <c r="AG320" i="4"/>
  <c r="AG321" i="4"/>
  <c r="AG322" i="4"/>
  <c r="AG323" i="4"/>
  <c r="AG324" i="4"/>
  <c r="AG325" i="4"/>
  <c r="AG326" i="4"/>
  <c r="AG347" i="4"/>
  <c r="AG327" i="4"/>
  <c r="AG328" i="4"/>
  <c r="AG329" i="4"/>
  <c r="AG330" i="4"/>
  <c r="AG331" i="4"/>
  <c r="AG332" i="4"/>
  <c r="AG333" i="4"/>
  <c r="AG336" i="4"/>
  <c r="AG337" i="4"/>
  <c r="AG338" i="4"/>
  <c r="AG339" i="4"/>
  <c r="AG340" i="4"/>
  <c r="AG341" i="4"/>
  <c r="AG343" i="4"/>
  <c r="AG344" i="4"/>
  <c r="AG345" i="4"/>
  <c r="AG335" i="4"/>
  <c r="AG346" i="4"/>
  <c r="AG334" i="4"/>
  <c r="AG342" i="4"/>
  <c r="AG348" i="4"/>
  <c r="AG349" i="4"/>
  <c r="AG350" i="4"/>
  <c r="AG351" i="4"/>
  <c r="AG352" i="4"/>
  <c r="AG353" i="4"/>
  <c r="AG366" i="4"/>
  <c r="AG367" i="4"/>
  <c r="AG368" i="4"/>
  <c r="AG354" i="4"/>
  <c r="AG355" i="4"/>
  <c r="AG356" i="4"/>
  <c r="AG357" i="4"/>
  <c r="AG358" i="4"/>
  <c r="AG359" i="4"/>
  <c r="AG360" i="4"/>
  <c r="AG361" i="4"/>
  <c r="AG362" i="4"/>
  <c r="AG369" i="4"/>
  <c r="AG363" i="4"/>
  <c r="AG364" i="4"/>
  <c r="AG365" i="4"/>
  <c r="AG370" i="4"/>
  <c r="AG371" i="4"/>
  <c r="AG372" i="4"/>
  <c r="AG373" i="4"/>
  <c r="AG374" i="4"/>
  <c r="AG375" i="4"/>
  <c r="AG376" i="4"/>
  <c r="AG377" i="4"/>
  <c r="AG378" i="4"/>
  <c r="AG379" i="4"/>
  <c r="AG381" i="4"/>
  <c r="AG82" i="4"/>
  <c r="B297" i="5"/>
  <c r="AM297" i="5"/>
  <c r="AQ297" i="5"/>
  <c r="B202" i="5"/>
  <c r="AM202" i="5"/>
  <c r="AQ202" i="5"/>
  <c r="B205" i="5"/>
  <c r="AM205" i="5"/>
  <c r="AQ205" i="5"/>
  <c r="B197" i="5"/>
  <c r="AM197" i="5"/>
  <c r="AQ197" i="5"/>
  <c r="B207" i="5"/>
  <c r="AM207" i="5"/>
  <c r="AQ207" i="5"/>
  <c r="B23" i="5"/>
  <c r="AM23" i="5"/>
  <c r="AQ23" i="5"/>
  <c r="B69" i="5"/>
  <c r="AM69" i="5"/>
  <c r="AQ69" i="5"/>
  <c r="AM47" i="2"/>
  <c r="AM46" i="2"/>
  <c r="AM51" i="2"/>
  <c r="AM50" i="2"/>
  <c r="AM52" i="2"/>
  <c r="AP68" i="2"/>
  <c r="AP67" i="2"/>
  <c r="AP69" i="2"/>
  <c r="AP74" i="2"/>
  <c r="AP71" i="2"/>
  <c r="AP70" i="2"/>
  <c r="AP72" i="2"/>
  <c r="AP73" i="2"/>
  <c r="AP75" i="2"/>
  <c r="AP77" i="2"/>
  <c r="AP76" i="2"/>
  <c r="AP78" i="2"/>
  <c r="AP79" i="2"/>
  <c r="AQ68" i="2"/>
  <c r="AQ67" i="2"/>
  <c r="AQ69" i="2"/>
  <c r="AQ74" i="2"/>
  <c r="AQ71" i="2"/>
  <c r="AQ70" i="2"/>
  <c r="AQ72" i="2"/>
  <c r="AQ73" i="2"/>
  <c r="AQ75" i="2"/>
  <c r="AQ77" i="2"/>
  <c r="AQ76" i="2"/>
  <c r="AQ78" i="2"/>
  <c r="AQ79" i="2"/>
  <c r="AR68" i="2"/>
  <c r="AR67" i="2"/>
  <c r="AR69" i="2"/>
  <c r="AR74" i="2"/>
  <c r="AR71" i="2"/>
  <c r="AR70" i="2"/>
  <c r="AR72" i="2"/>
  <c r="AR73" i="2"/>
  <c r="AR75" i="2"/>
  <c r="AR77" i="2"/>
  <c r="AR76" i="2"/>
  <c r="AR78" i="2"/>
  <c r="AR79" i="2"/>
  <c r="AS68" i="2"/>
  <c r="AS67" i="2"/>
  <c r="AS69" i="2"/>
  <c r="AS74" i="2"/>
  <c r="AS71" i="2"/>
  <c r="AS70" i="2"/>
  <c r="AS72" i="2"/>
  <c r="AS73" i="2"/>
  <c r="AS75" i="2"/>
  <c r="AS77" i="2"/>
  <c r="AS76" i="2"/>
  <c r="AS78" i="2"/>
  <c r="AS79" i="2"/>
  <c r="AT68" i="2"/>
  <c r="AT67" i="2"/>
  <c r="AT69" i="2"/>
  <c r="AT74" i="2"/>
  <c r="AT71" i="2"/>
  <c r="AT70" i="2"/>
  <c r="AT72" i="2"/>
  <c r="AT73" i="2"/>
  <c r="AT75" i="2"/>
  <c r="AT77" i="2"/>
  <c r="AT76" i="2"/>
  <c r="AT78" i="2"/>
  <c r="AT79" i="2"/>
  <c r="AU68" i="2"/>
  <c r="AU67" i="2"/>
  <c r="AU69" i="2"/>
  <c r="AU74" i="2"/>
  <c r="AU71" i="2"/>
  <c r="AU70" i="2"/>
  <c r="AU72" i="2"/>
  <c r="AU73" i="2"/>
  <c r="AU75" i="2"/>
  <c r="AU77" i="2"/>
  <c r="AU76" i="2"/>
  <c r="AU78" i="2"/>
  <c r="AU79" i="2"/>
  <c r="AV68" i="2"/>
  <c r="AV67" i="2"/>
  <c r="AV69" i="2"/>
  <c r="AV74" i="2"/>
  <c r="AV71" i="2"/>
  <c r="AV70" i="2"/>
  <c r="AV72" i="2"/>
  <c r="AV73" i="2"/>
  <c r="AV75" i="2"/>
  <c r="AV77" i="2"/>
  <c r="AV76" i="2"/>
  <c r="AV78" i="2"/>
  <c r="AV79" i="2"/>
  <c r="AW68" i="2"/>
  <c r="AW67" i="2"/>
  <c r="AW69" i="2"/>
  <c r="AW74" i="2"/>
  <c r="AW71" i="2"/>
  <c r="AW70" i="2"/>
  <c r="AW72" i="2"/>
  <c r="AW73" i="2"/>
  <c r="AW75" i="2"/>
  <c r="AW77" i="2"/>
  <c r="AW76" i="2"/>
  <c r="AW78" i="2"/>
  <c r="AW79" i="2"/>
  <c r="AX68" i="2"/>
  <c r="AX67" i="2"/>
  <c r="AX69" i="2"/>
  <c r="AX74" i="2"/>
  <c r="AX71" i="2"/>
  <c r="AX70" i="2"/>
  <c r="AX72" i="2"/>
  <c r="AX73" i="2"/>
  <c r="AX75" i="2"/>
  <c r="AX77" i="2"/>
  <c r="AX76" i="2"/>
  <c r="AX78" i="2"/>
  <c r="AX79" i="2"/>
  <c r="AY68" i="2"/>
  <c r="AY67" i="2"/>
  <c r="AY69" i="2"/>
  <c r="AY74" i="2"/>
  <c r="AY71" i="2"/>
  <c r="AY70" i="2"/>
  <c r="AY72" i="2"/>
  <c r="AY73" i="2"/>
  <c r="AY75" i="2"/>
  <c r="AY77" i="2"/>
  <c r="AY76" i="2"/>
  <c r="AY78" i="2"/>
  <c r="AY79" i="2"/>
  <c r="AZ68" i="2"/>
  <c r="AZ67" i="2"/>
  <c r="AZ69" i="2"/>
  <c r="AZ74" i="2"/>
  <c r="AZ71" i="2"/>
  <c r="AZ70" i="2"/>
  <c r="AZ72" i="2"/>
  <c r="AZ73" i="2"/>
  <c r="AZ75" i="2"/>
  <c r="AZ77" i="2"/>
  <c r="AZ76" i="2"/>
  <c r="AZ78" i="2"/>
  <c r="AZ79" i="2"/>
  <c r="BA68" i="2"/>
  <c r="BA67" i="2"/>
  <c r="BA69" i="2"/>
  <c r="BA74" i="2"/>
  <c r="BA71" i="2"/>
  <c r="BA70" i="2"/>
  <c r="BA72" i="2"/>
  <c r="BA73" i="2"/>
  <c r="BA75" i="2"/>
  <c r="BA77" i="2"/>
  <c r="BA76" i="2"/>
  <c r="BA78" i="2"/>
  <c r="BA79" i="2"/>
  <c r="BB68" i="2"/>
  <c r="BB67" i="2"/>
  <c r="BB69" i="2"/>
  <c r="BB74" i="2"/>
  <c r="BB71" i="2"/>
  <c r="BB70" i="2"/>
  <c r="BB72" i="2"/>
  <c r="BB73" i="2"/>
  <c r="BB75" i="2"/>
  <c r="BB77" i="2"/>
  <c r="BB76" i="2"/>
  <c r="BB78" i="2"/>
  <c r="BB79" i="2"/>
  <c r="BC68" i="2"/>
  <c r="BC67" i="2"/>
  <c r="BC69" i="2"/>
  <c r="BC74" i="2"/>
  <c r="BC71" i="2"/>
  <c r="BC70" i="2"/>
  <c r="BC72" i="2"/>
  <c r="BC73" i="2"/>
  <c r="BC75" i="2"/>
  <c r="BC77" i="2"/>
  <c r="BC76" i="2"/>
  <c r="BC78" i="2"/>
  <c r="BC79" i="2"/>
  <c r="BD68" i="2"/>
  <c r="BD67" i="2"/>
  <c r="BD69" i="2"/>
  <c r="BD74" i="2"/>
  <c r="BD71" i="2"/>
  <c r="BD70" i="2"/>
  <c r="BD72" i="2"/>
  <c r="BD73" i="2"/>
  <c r="BD75" i="2"/>
  <c r="BD77" i="2"/>
  <c r="BD76" i="2"/>
  <c r="BD78" i="2"/>
  <c r="BD79" i="2"/>
  <c r="BE74" i="2"/>
  <c r="BE71" i="2"/>
  <c r="BE70" i="2"/>
  <c r="BE72" i="2"/>
  <c r="BE73" i="2"/>
  <c r="BE75" i="2"/>
  <c r="BE77" i="2"/>
  <c r="BE76" i="2"/>
  <c r="BE78" i="2"/>
  <c r="BF74" i="2"/>
  <c r="BF71" i="2"/>
  <c r="BF70" i="2"/>
  <c r="BF72" i="2"/>
  <c r="BF73" i="2"/>
  <c r="BF75" i="2"/>
  <c r="BF77" i="2"/>
  <c r="BF76" i="2"/>
  <c r="BF78" i="2"/>
  <c r="U30" i="2"/>
  <c r="U41" i="2"/>
  <c r="BG74" i="2"/>
  <c r="U37" i="2"/>
  <c r="U5" i="2"/>
  <c r="U22" i="2"/>
  <c r="U25" i="2"/>
  <c r="U38" i="2"/>
  <c r="U43" i="2"/>
  <c r="BG71" i="2"/>
  <c r="BG70" i="2"/>
  <c r="BG72" i="2"/>
  <c r="BG73" i="2"/>
  <c r="BG75" i="2"/>
  <c r="BG77" i="2"/>
  <c r="BG76" i="2"/>
  <c r="BG78" i="2"/>
  <c r="V41" i="2"/>
  <c r="BH74" i="2"/>
  <c r="V37" i="2"/>
  <c r="V22" i="2"/>
  <c r="V25" i="2"/>
  <c r="V38" i="2"/>
  <c r="V43" i="2"/>
  <c r="BH71" i="2"/>
  <c r="BH70" i="2"/>
  <c r="BH72" i="2"/>
  <c r="BH73" i="2"/>
  <c r="BH75" i="2"/>
  <c r="BH77" i="2"/>
  <c r="BH76" i="2"/>
  <c r="BH78" i="2"/>
  <c r="W41" i="2"/>
  <c r="BI74" i="2"/>
  <c r="W37" i="2"/>
  <c r="W5" i="2"/>
  <c r="W22" i="2"/>
  <c r="W25" i="2"/>
  <c r="W38" i="2"/>
  <c r="W43" i="2"/>
  <c r="BI71" i="2"/>
  <c r="BI70" i="2"/>
  <c r="BI72" i="2"/>
  <c r="BI73" i="2"/>
  <c r="BI75" i="2"/>
  <c r="BI77" i="2"/>
  <c r="BI76" i="2"/>
  <c r="BI78" i="2"/>
  <c r="BJ74" i="2"/>
  <c r="BJ71" i="2"/>
  <c r="BJ70" i="2"/>
  <c r="BJ72" i="2"/>
  <c r="BJ73" i="2"/>
  <c r="BJ75" i="2"/>
  <c r="BJ77" i="2"/>
  <c r="BJ76" i="2"/>
  <c r="BJ78" i="2"/>
  <c r="BK74" i="2"/>
  <c r="BK71" i="2"/>
  <c r="BK70" i="2"/>
  <c r="BK72" i="2"/>
  <c r="BK73" i="2"/>
  <c r="BK75" i="2"/>
  <c r="BK77" i="2"/>
  <c r="BK76" i="2"/>
  <c r="BK78" i="2"/>
  <c r="BL74" i="2"/>
  <c r="BL71" i="2"/>
  <c r="BL70" i="2"/>
  <c r="BL72" i="2"/>
  <c r="BL73" i="2"/>
  <c r="BL75" i="2"/>
  <c r="BL77" i="2"/>
  <c r="BL76" i="2"/>
  <c r="BL78" i="2"/>
  <c r="AO68" i="2"/>
  <c r="AO67" i="2"/>
  <c r="AO69" i="2"/>
  <c r="AO74" i="2"/>
  <c r="AO71" i="2"/>
  <c r="AO70" i="2"/>
  <c r="AO72" i="2"/>
  <c r="AO73" i="2"/>
  <c r="AO75" i="2"/>
  <c r="AO77" i="2"/>
  <c r="AO76" i="2"/>
  <c r="AO78" i="2"/>
  <c r="AO79" i="2"/>
  <c r="B58" i="5"/>
  <c r="AM58" i="5"/>
  <c r="AQ58" i="5"/>
  <c r="B269" i="5"/>
  <c r="B293" i="5"/>
  <c r="B280" i="5"/>
  <c r="B2" i="5"/>
  <c r="B4" i="5"/>
  <c r="B29" i="5"/>
  <c r="B30" i="5"/>
  <c r="B32" i="5"/>
  <c r="B33" i="5"/>
  <c r="B31" i="5"/>
  <c r="B230" i="5"/>
  <c r="B12" i="5"/>
  <c r="B136" i="5"/>
  <c r="B66" i="5"/>
  <c r="B15" i="5"/>
  <c r="B27" i="5"/>
  <c r="B97" i="5"/>
  <c r="B10" i="5"/>
  <c r="B156" i="5"/>
  <c r="B150" i="5"/>
  <c r="B11" i="5"/>
  <c r="B67" i="5"/>
  <c r="B13" i="5"/>
  <c r="B229" i="5"/>
  <c r="B281" i="5"/>
  <c r="B37" i="5"/>
  <c r="B22" i="5"/>
  <c r="B24" i="5"/>
  <c r="B14" i="5"/>
  <c r="B287" i="5"/>
  <c r="B232" i="5"/>
  <c r="B289" i="5"/>
  <c r="B290" i="5"/>
  <c r="B285" i="5"/>
  <c r="B9" i="5"/>
  <c r="B273" i="5"/>
  <c r="B231" i="5"/>
  <c r="B6" i="5"/>
  <c r="B5" i="5"/>
  <c r="B35" i="5"/>
  <c r="B288" i="5"/>
  <c r="B36" i="5"/>
  <c r="B26" i="5"/>
  <c r="B25" i="5"/>
  <c r="B7" i="5"/>
  <c r="B295" i="5"/>
  <c r="B8" i="5"/>
  <c r="B294" i="5"/>
  <c r="B3" i="5"/>
  <c r="B279" i="5"/>
  <c r="B28" i="5"/>
  <c r="B282" i="5"/>
  <c r="B268" i="5"/>
  <c r="B286" i="5"/>
  <c r="B18" i="5"/>
  <c r="B17" i="5"/>
  <c r="B16" i="5"/>
  <c r="B183" i="5"/>
  <c r="B117" i="5"/>
  <c r="B158" i="5"/>
  <c r="B171" i="5"/>
  <c r="B228" i="5"/>
  <c r="B226" i="5"/>
  <c r="B153" i="5"/>
  <c r="B132" i="5"/>
  <c r="B184" i="5"/>
  <c r="B186" i="5"/>
  <c r="B187" i="5"/>
  <c r="B77" i="5"/>
  <c r="B96" i="5"/>
  <c r="B180" i="5"/>
  <c r="B140" i="5"/>
  <c r="B185" i="5"/>
  <c r="B222" i="5"/>
  <c r="B173" i="5"/>
  <c r="B240" i="5"/>
  <c r="B79" i="5"/>
  <c r="B227" i="5"/>
  <c r="B224" i="5"/>
  <c r="B223" i="5"/>
  <c r="B189" i="5"/>
  <c r="B88" i="5"/>
  <c r="B89" i="5"/>
  <c r="B98" i="5"/>
  <c r="B139" i="5"/>
  <c r="B155" i="5"/>
  <c r="B114" i="5"/>
  <c r="B182" i="5"/>
  <c r="B216" i="5"/>
  <c r="B195" i="5"/>
  <c r="B118" i="5"/>
  <c r="B141" i="5"/>
  <c r="B127" i="5"/>
  <c r="B194" i="5"/>
  <c r="B174" i="5"/>
  <c r="B170" i="5"/>
  <c r="B109" i="5"/>
  <c r="B249" i="5"/>
  <c r="B164" i="5"/>
  <c r="B165" i="5"/>
  <c r="B166" i="5"/>
  <c r="B270" i="5"/>
  <c r="B233" i="5"/>
  <c r="B91" i="5"/>
  <c r="B137" i="5"/>
  <c r="B90" i="5"/>
  <c r="B51" i="5"/>
  <c r="B52" i="5"/>
  <c r="B116" i="5"/>
  <c r="B102" i="5"/>
  <c r="B50" i="5"/>
  <c r="B103" i="5"/>
  <c r="B53" i="5"/>
  <c r="B120" i="5"/>
  <c r="B138" i="5"/>
  <c r="B123" i="5"/>
  <c r="B104" i="5"/>
  <c r="B146" i="5"/>
  <c r="B169" i="5"/>
  <c r="B142" i="5"/>
  <c r="B122" i="5"/>
  <c r="B145" i="5"/>
  <c r="B162" i="5"/>
  <c r="B154" i="5"/>
  <c r="B46" i="5"/>
  <c r="B199" i="5"/>
  <c r="B217" i="5"/>
  <c r="B168" i="5"/>
  <c r="B148" i="5"/>
  <c r="B41" i="5"/>
  <c r="B112" i="5"/>
  <c r="B239" i="5"/>
  <c r="B124" i="5"/>
  <c r="B56" i="5"/>
  <c r="B241" i="5"/>
  <c r="B87" i="5"/>
  <c r="B213" i="5"/>
  <c r="B181" i="5"/>
  <c r="B215" i="5"/>
  <c r="B55" i="5"/>
  <c r="B106" i="5"/>
  <c r="B107" i="5"/>
  <c r="B108" i="5"/>
  <c r="B111" i="5"/>
  <c r="B248" i="5"/>
  <c r="B48" i="5"/>
  <c r="B62" i="5"/>
  <c r="B121" i="5"/>
  <c r="B161" i="5"/>
  <c r="B190" i="5"/>
  <c r="B159" i="5"/>
  <c r="B160" i="5"/>
  <c r="B72" i="5"/>
  <c r="B85" i="5"/>
  <c r="B192" i="5"/>
  <c r="B73" i="5"/>
  <c r="B251" i="5"/>
  <c r="B92" i="5"/>
  <c r="B214" i="5"/>
  <c r="B60" i="5"/>
  <c r="B243" i="5"/>
  <c r="B246" i="5"/>
  <c r="B115" i="5"/>
  <c r="B119" i="5"/>
  <c r="B126" i="5"/>
  <c r="B245" i="5"/>
  <c r="B247" i="5"/>
  <c r="B59" i="5"/>
  <c r="B221" i="5"/>
  <c r="B65" i="5"/>
  <c r="B70" i="5"/>
  <c r="B130" i="5"/>
  <c r="B81" i="5"/>
  <c r="B83" i="5"/>
  <c r="B86" i="5"/>
  <c r="B179" i="5"/>
  <c r="B209" i="5"/>
  <c r="B211" i="5"/>
  <c r="B244" i="5"/>
  <c r="B253" i="5"/>
  <c r="B198" i="5"/>
  <c r="B144" i="5"/>
  <c r="B110" i="5"/>
  <c r="B212" i="5"/>
  <c r="B152" i="5"/>
  <c r="B38" i="5"/>
  <c r="B78" i="5"/>
  <c r="B94" i="5"/>
  <c r="B71" i="5"/>
  <c r="B74" i="5"/>
  <c r="B128" i="5"/>
  <c r="B84" i="5"/>
  <c r="B105" i="5"/>
  <c r="B167" i="5"/>
  <c r="B135" i="5"/>
  <c r="B238" i="5"/>
  <c r="B250" i="5"/>
  <c r="B82" i="5"/>
  <c r="B157" i="5"/>
  <c r="B191" i="5"/>
  <c r="B47" i="5"/>
  <c r="B177" i="5"/>
  <c r="B235" i="5"/>
  <c r="B163" i="5"/>
  <c r="B242" i="5"/>
  <c r="B236" i="5"/>
  <c r="B54" i="5"/>
  <c r="B63" i="5"/>
  <c r="B237" i="5"/>
  <c r="B201" i="5"/>
  <c r="B39" i="5"/>
  <c r="B95" i="5"/>
  <c r="B206" i="5"/>
  <c r="B133" i="5"/>
  <c r="B93" i="5"/>
  <c r="B210" i="5"/>
  <c r="B172" i="5"/>
  <c r="B125" i="5"/>
  <c r="B44" i="5"/>
  <c r="B225" i="5"/>
  <c r="B75" i="5"/>
  <c r="B234" i="5"/>
  <c r="B68" i="5"/>
  <c r="B203" i="5"/>
  <c r="B131" i="5"/>
  <c r="B57" i="5"/>
  <c r="B196" i="5"/>
  <c r="B204" i="5"/>
  <c r="B43" i="5"/>
  <c r="B220" i="5"/>
  <c r="B49" i="5"/>
  <c r="B99" i="5"/>
  <c r="B208" i="5"/>
  <c r="B219" i="5"/>
  <c r="B64" i="5"/>
  <c r="B100" i="5"/>
  <c r="B218" i="5"/>
  <c r="B178" i="5"/>
  <c r="B61" i="5"/>
  <c r="B129" i="5"/>
  <c r="B175" i="5"/>
  <c r="B188" i="5"/>
  <c r="B176" i="5"/>
  <c r="B149" i="5"/>
  <c r="B151" i="5"/>
  <c r="B256" i="5"/>
  <c r="B254" i="5"/>
  <c r="B42" i="5"/>
  <c r="B257" i="5"/>
  <c r="B134" i="5"/>
  <c r="B252" i="5"/>
  <c r="B262" i="5"/>
  <c r="B255" i="5"/>
  <c r="B40" i="5"/>
  <c r="B80" i="5"/>
  <c r="B147" i="5"/>
  <c r="B193" i="5"/>
  <c r="B76" i="5"/>
  <c r="B45" i="5"/>
  <c r="B113" i="5"/>
  <c r="B101" i="5"/>
  <c r="B143" i="5"/>
  <c r="B261" i="5"/>
  <c r="B258" i="5"/>
  <c r="B260" i="5"/>
  <c r="B259" i="5"/>
  <c r="B263" i="5"/>
  <c r="B291" i="5"/>
  <c r="B275" i="5"/>
  <c r="B296" i="5"/>
  <c r="B264" i="5"/>
  <c r="B266" i="5"/>
  <c r="B265" i="5"/>
  <c r="B277" i="5"/>
  <c r="B276" i="5"/>
  <c r="B272" i="5"/>
  <c r="B274" i="5"/>
  <c r="B284" i="5"/>
  <c r="B283" i="5"/>
  <c r="B292" i="5"/>
  <c r="B271" i="5"/>
  <c r="B267" i="5"/>
  <c r="B278" i="5"/>
  <c r="B299" i="5"/>
  <c r="B300" i="5"/>
  <c r="B301" i="5"/>
  <c r="B302" i="5"/>
  <c r="B304" i="5"/>
  <c r="B305" i="5"/>
  <c r="B306" i="5"/>
  <c r="B307" i="5"/>
  <c r="B308" i="5"/>
  <c r="B309" i="5"/>
  <c r="B310" i="5"/>
  <c r="B311" i="5"/>
  <c r="B312" i="5"/>
  <c r="B313" i="5"/>
  <c r="B314" i="5"/>
  <c r="B331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0" i="5"/>
  <c r="B332" i="5"/>
  <c r="B333" i="5"/>
  <c r="B334" i="5"/>
  <c r="B335" i="5"/>
  <c r="B337" i="5"/>
  <c r="B338" i="5"/>
  <c r="B339" i="5"/>
  <c r="B340" i="5"/>
  <c r="B341" i="5"/>
  <c r="B342" i="5"/>
  <c r="B343" i="5"/>
  <c r="B344" i="5"/>
  <c r="B345" i="5"/>
  <c r="B346" i="5"/>
  <c r="B336" i="5"/>
  <c r="B34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4" i="5"/>
  <c r="B370" i="5"/>
  <c r="B371" i="5"/>
  <c r="B372" i="5"/>
  <c r="B373" i="5"/>
  <c r="B375" i="5"/>
  <c r="B376" i="5"/>
  <c r="B377" i="5"/>
  <c r="B378" i="5"/>
  <c r="B379" i="5"/>
  <c r="B380" i="5"/>
  <c r="B382" i="5"/>
  <c r="B383" i="5"/>
  <c r="B386" i="5"/>
  <c r="B384" i="5"/>
  <c r="B385" i="5"/>
  <c r="B390" i="5"/>
  <c r="B405" i="5"/>
  <c r="B408" i="5"/>
  <c r="B387" i="5"/>
  <c r="B391" i="5"/>
  <c r="B392" i="5"/>
  <c r="B393" i="5"/>
  <c r="B394" i="5"/>
  <c r="B400" i="5"/>
  <c r="B401" i="5"/>
  <c r="B402" i="5"/>
  <c r="B403" i="5"/>
  <c r="B407" i="5"/>
  <c r="B388" i="5"/>
  <c r="B389" i="5"/>
  <c r="B398" i="5"/>
  <c r="B399" i="5"/>
  <c r="B406" i="5"/>
  <c r="B409" i="5"/>
  <c r="B410" i="5"/>
  <c r="B411" i="5"/>
  <c r="B395" i="5"/>
  <c r="B404" i="5"/>
  <c r="B397" i="5"/>
  <c r="B396" i="5"/>
  <c r="B34" i="5"/>
  <c r="AA9" i="4"/>
  <c r="AA10" i="4"/>
  <c r="AA16" i="4"/>
  <c r="AA11" i="4"/>
  <c r="AA12" i="4"/>
  <c r="AA13" i="4"/>
  <c r="AA17" i="4"/>
  <c r="AA14" i="4"/>
  <c r="AA15" i="4"/>
  <c r="AA18" i="4"/>
  <c r="AA19" i="4"/>
  <c r="AA20" i="4"/>
  <c r="AA21" i="4"/>
  <c r="AA22" i="4"/>
  <c r="AA23" i="4"/>
  <c r="AA24" i="4"/>
  <c r="AA25" i="4"/>
  <c r="AA26" i="4"/>
  <c r="AA27" i="4"/>
  <c r="AA28" i="4"/>
  <c r="AA29" i="4"/>
  <c r="AA30" i="4"/>
  <c r="AA31" i="4"/>
  <c r="AA32" i="4"/>
  <c r="AA33" i="4"/>
  <c r="AA34" i="4"/>
  <c r="AA35" i="4"/>
  <c r="AA36" i="4"/>
  <c r="AA37" i="4"/>
  <c r="AA38" i="4"/>
  <c r="AA39" i="4"/>
  <c r="AA40" i="4"/>
  <c r="AA2" i="4"/>
  <c r="AA3" i="4"/>
  <c r="AA4" i="4"/>
  <c r="AA5" i="4"/>
  <c r="AA41" i="4"/>
  <c r="AA42" i="4"/>
  <c r="AA43" i="4"/>
  <c r="AA44" i="4"/>
  <c r="AA45" i="4"/>
  <c r="AA46" i="4"/>
  <c r="AA47" i="4"/>
  <c r="AA48" i="4"/>
  <c r="AA49" i="4"/>
  <c r="AA50" i="4"/>
  <c r="AA51" i="4"/>
  <c r="AA52" i="4"/>
  <c r="AA53" i="4"/>
  <c r="AA54" i="4"/>
  <c r="AA55" i="4"/>
  <c r="AA56" i="4"/>
  <c r="AA57" i="4"/>
  <c r="AA58" i="4"/>
  <c r="AA59" i="4"/>
  <c r="AA60" i="4"/>
  <c r="AA61" i="4"/>
  <c r="AA62" i="4"/>
  <c r="AA63" i="4"/>
  <c r="AA64" i="4"/>
  <c r="AA65" i="4"/>
  <c r="AA66" i="4"/>
  <c r="AA67" i="4"/>
  <c r="AA68" i="4"/>
  <c r="AA69" i="4"/>
  <c r="AA70" i="4"/>
  <c r="AA71" i="4"/>
  <c r="AA72" i="4"/>
  <c r="AA73" i="4"/>
  <c r="AA74" i="4"/>
  <c r="AA75" i="4"/>
  <c r="AA76" i="4"/>
  <c r="AA78" i="4"/>
  <c r="AA79" i="4"/>
  <c r="AA80" i="4"/>
  <c r="AA81" i="4"/>
  <c r="AA82" i="4"/>
  <c r="AA83" i="4"/>
  <c r="AA84" i="4"/>
  <c r="AA85" i="4"/>
  <c r="AA86" i="4"/>
  <c r="AA87" i="4"/>
  <c r="AA88" i="4"/>
  <c r="AA89" i="4"/>
  <c r="AA90" i="4"/>
  <c r="AA91" i="4"/>
  <c r="AA92" i="4"/>
  <c r="AA93" i="4"/>
  <c r="AA94" i="4"/>
  <c r="AA296" i="4"/>
  <c r="AA95" i="4"/>
  <c r="AA96" i="4"/>
  <c r="AA97" i="4"/>
  <c r="AA98" i="4"/>
  <c r="AA99" i="4"/>
  <c r="AA292" i="4"/>
  <c r="AA100" i="4"/>
  <c r="AA101" i="4"/>
  <c r="AA293" i="4"/>
  <c r="AA102" i="4"/>
  <c r="AA103" i="4"/>
  <c r="AA104" i="4"/>
  <c r="AA105" i="4"/>
  <c r="AA6" i="4"/>
  <c r="AA107" i="4"/>
  <c r="AA7" i="4"/>
  <c r="AA106" i="4"/>
  <c r="AA108" i="4"/>
  <c r="AA109" i="4"/>
  <c r="AA110" i="4"/>
  <c r="AA111" i="4"/>
  <c r="AA112" i="4"/>
  <c r="AA113" i="4"/>
  <c r="AA114" i="4"/>
  <c r="AA115" i="4"/>
  <c r="AA116" i="4"/>
  <c r="AA117" i="4"/>
  <c r="AA118" i="4"/>
  <c r="AA119" i="4"/>
  <c r="AA120" i="4"/>
  <c r="AA121" i="4"/>
  <c r="AA122" i="4"/>
  <c r="AA123" i="4"/>
  <c r="AA124" i="4"/>
  <c r="AA125" i="4"/>
  <c r="AA126" i="4"/>
  <c r="AA127" i="4"/>
  <c r="AA128" i="4"/>
  <c r="AA129" i="4"/>
  <c r="AA130" i="4"/>
  <c r="AA131" i="4"/>
  <c r="AA132" i="4"/>
  <c r="AA133" i="4"/>
  <c r="AA134" i="4"/>
  <c r="AA135" i="4"/>
  <c r="AA136" i="4"/>
  <c r="AA137" i="4"/>
  <c r="AA138" i="4"/>
  <c r="AA139" i="4"/>
  <c r="AA140" i="4"/>
  <c r="AA141" i="4"/>
  <c r="AA142" i="4"/>
  <c r="AA143" i="4"/>
  <c r="AA144" i="4"/>
  <c r="AA145" i="4"/>
  <c r="AA146" i="4"/>
  <c r="AA147" i="4"/>
  <c r="AA148" i="4"/>
  <c r="AA149" i="4"/>
  <c r="AA150" i="4"/>
  <c r="AA151" i="4"/>
  <c r="AA152" i="4"/>
  <c r="AA153" i="4"/>
  <c r="AA154" i="4"/>
  <c r="AA155" i="4"/>
  <c r="AA156" i="4"/>
  <c r="AA157" i="4"/>
  <c r="AA158" i="4"/>
  <c r="AA159" i="4"/>
  <c r="AA160" i="4"/>
  <c r="AA161" i="4"/>
  <c r="AA162" i="4"/>
  <c r="AA163" i="4"/>
  <c r="AA164" i="4"/>
  <c r="AA165" i="4"/>
  <c r="AA166" i="4"/>
  <c r="AA167" i="4"/>
  <c r="AA168" i="4"/>
  <c r="AA169" i="4"/>
  <c r="AA170" i="4"/>
  <c r="AA171" i="4"/>
  <c r="AA172" i="4"/>
  <c r="AA173" i="4"/>
  <c r="AA174" i="4"/>
  <c r="AA175" i="4"/>
  <c r="AA176" i="4"/>
  <c r="AA177" i="4"/>
  <c r="AA178" i="4"/>
  <c r="AA179" i="4"/>
  <c r="AA180" i="4"/>
  <c r="AA181" i="4"/>
  <c r="AA182" i="4"/>
  <c r="AA183" i="4"/>
  <c r="AA184" i="4"/>
  <c r="AA185" i="4"/>
  <c r="AA186" i="4"/>
  <c r="AA187" i="4"/>
  <c r="AA188" i="4"/>
  <c r="AA189" i="4"/>
  <c r="AA190" i="4"/>
  <c r="AA191" i="4"/>
  <c r="AA192" i="4"/>
  <c r="AA193" i="4"/>
  <c r="AA194" i="4"/>
  <c r="AA195" i="4"/>
  <c r="AA196" i="4"/>
  <c r="AA197" i="4"/>
  <c r="AA198" i="4"/>
  <c r="AA199" i="4"/>
  <c r="AA200" i="4"/>
  <c r="AA201" i="4"/>
  <c r="AA202" i="4"/>
  <c r="AA203" i="4"/>
  <c r="AA204" i="4"/>
  <c r="AA205" i="4"/>
  <c r="AA206" i="4"/>
  <c r="AA207" i="4"/>
  <c r="AA208" i="4"/>
  <c r="AA297" i="4"/>
  <c r="AA209" i="4"/>
  <c r="AA210" i="4"/>
  <c r="AA211" i="4"/>
  <c r="AA212" i="4"/>
  <c r="AA213" i="4"/>
  <c r="AA214" i="4"/>
  <c r="AA215" i="4"/>
  <c r="AA216" i="4"/>
  <c r="AA217" i="4"/>
  <c r="AA218" i="4"/>
  <c r="AA219" i="4"/>
  <c r="AA220" i="4"/>
  <c r="AA221" i="4"/>
  <c r="AA222" i="4"/>
  <c r="AA223" i="4"/>
  <c r="AA224" i="4"/>
  <c r="AA225" i="4"/>
  <c r="AA226" i="4"/>
  <c r="AA227" i="4"/>
  <c r="AA228" i="4"/>
  <c r="AA229" i="4"/>
  <c r="AA230" i="4"/>
  <c r="AA231" i="4"/>
  <c r="AA232" i="4"/>
  <c r="AA233" i="4"/>
  <c r="AA234" i="4"/>
  <c r="AA235" i="4"/>
  <c r="AA236" i="4"/>
  <c r="AA237" i="4"/>
  <c r="AA242" i="4"/>
  <c r="AA243" i="4"/>
  <c r="AA244" i="4"/>
  <c r="AA298" i="4"/>
  <c r="AA245" i="4"/>
  <c r="AA246" i="4"/>
  <c r="AA247" i="4"/>
  <c r="AA248" i="4"/>
  <c r="AA249" i="4"/>
  <c r="AA238" i="4"/>
  <c r="AA250" i="4"/>
  <c r="AA251" i="4"/>
  <c r="AA252" i="4"/>
  <c r="AA253" i="4"/>
  <c r="AA294" i="4"/>
  <c r="AA295" i="4"/>
  <c r="AA254" i="4"/>
  <c r="AA263" i="4"/>
  <c r="AA256" i="4"/>
  <c r="AA260" i="4"/>
  <c r="AA261" i="4"/>
  <c r="AA262" i="4"/>
  <c r="AA239" i="4"/>
  <c r="AA264" i="4"/>
  <c r="AA265" i="4"/>
  <c r="AA266" i="4"/>
  <c r="AA267" i="4"/>
  <c r="AA268" i="4"/>
  <c r="AA269" i="4"/>
  <c r="AA270" i="4"/>
  <c r="AA271" i="4"/>
  <c r="AA272" i="4"/>
  <c r="AA273" i="4"/>
  <c r="AA240" i="4"/>
  <c r="AA241" i="4"/>
  <c r="AA274" i="4"/>
  <c r="AA275" i="4"/>
  <c r="AA276" i="4"/>
  <c r="AA277" i="4"/>
  <c r="AA255" i="4"/>
  <c r="AA278" i="4"/>
  <c r="AA279" i="4"/>
  <c r="AA280" i="4"/>
  <c r="AA281" i="4"/>
  <c r="AA282" i="4"/>
  <c r="AA283" i="4"/>
  <c r="AA284" i="4"/>
  <c r="AA285" i="4"/>
  <c r="AA286" i="4"/>
  <c r="AA287" i="4"/>
  <c r="AA288" i="4"/>
  <c r="AA289" i="4"/>
  <c r="AA290" i="4"/>
  <c r="AA291" i="4"/>
  <c r="AA299" i="4"/>
  <c r="AA300" i="4"/>
  <c r="AA301" i="4"/>
  <c r="AA302" i="4"/>
  <c r="AA304" i="4"/>
  <c r="AA305" i="4"/>
  <c r="AA306" i="4"/>
  <c r="AA307" i="4"/>
  <c r="AA308" i="4"/>
  <c r="AA309" i="4"/>
  <c r="AA310" i="4"/>
  <c r="AA311" i="4"/>
  <c r="AA312" i="4"/>
  <c r="AA313" i="4"/>
  <c r="AA314" i="4"/>
  <c r="AA315" i="4"/>
  <c r="AA316" i="4"/>
  <c r="AA317" i="4"/>
  <c r="AA318" i="4"/>
  <c r="AA319" i="4"/>
  <c r="AA320" i="4"/>
  <c r="AA321" i="4"/>
  <c r="AA322" i="4"/>
  <c r="AA323" i="4"/>
  <c r="AA324" i="4"/>
  <c r="AA325" i="4"/>
  <c r="AA326" i="4"/>
  <c r="AA347" i="4"/>
  <c r="AA327" i="4"/>
  <c r="AA328" i="4"/>
  <c r="AA329" i="4"/>
  <c r="AA330" i="4"/>
  <c r="AA331" i="4"/>
  <c r="AA332" i="4"/>
  <c r="AA333" i="4"/>
  <c r="AA334" i="4"/>
  <c r="AA336" i="4"/>
  <c r="AA337" i="4"/>
  <c r="AA338" i="4"/>
  <c r="AA339" i="4"/>
  <c r="AA340" i="4"/>
  <c r="AA341" i="4"/>
  <c r="AA342" i="4"/>
  <c r="AA343" i="4"/>
  <c r="AA344" i="4"/>
  <c r="AA345" i="4"/>
  <c r="AA335" i="4"/>
  <c r="AA346" i="4"/>
  <c r="AA348" i="4"/>
  <c r="AA349" i="4"/>
  <c r="AA369" i="4"/>
  <c r="AA350" i="4"/>
  <c r="AA351" i="4"/>
  <c r="AA352" i="4"/>
  <c r="AA353" i="4"/>
  <c r="AA366" i="4"/>
  <c r="AA367" i="4"/>
  <c r="AA368" i="4"/>
  <c r="AA354" i="4"/>
  <c r="AA355" i="4"/>
  <c r="AA356" i="4"/>
  <c r="AA357" i="4"/>
  <c r="AA358" i="4"/>
  <c r="AA359" i="4"/>
  <c r="AA360" i="4"/>
  <c r="AA361" i="4"/>
  <c r="AA363" i="4"/>
  <c r="AA364" i="4"/>
  <c r="AA362" i="4"/>
  <c r="AA365" i="4"/>
  <c r="AA370" i="4"/>
  <c r="AA371" i="4"/>
  <c r="AA372" i="4"/>
  <c r="AA373" i="4"/>
  <c r="AA374" i="4"/>
  <c r="AA375" i="4"/>
  <c r="AA376" i="4"/>
  <c r="AA377" i="4"/>
  <c r="AA378" i="4"/>
  <c r="AA379" i="4"/>
  <c r="AA381" i="4"/>
  <c r="AA382" i="4"/>
  <c r="AA384" i="4"/>
  <c r="AA383" i="4"/>
  <c r="AA385" i="4"/>
  <c r="AA386" i="4"/>
  <c r="AA387" i="4"/>
  <c r="AA388" i="4"/>
  <c r="AA389" i="4"/>
  <c r="AA390" i="4"/>
  <c r="AA391" i="4"/>
  <c r="AA392" i="4"/>
  <c r="AA393" i="4"/>
  <c r="AA394" i="4"/>
  <c r="AA395" i="4"/>
  <c r="AA396" i="4"/>
  <c r="AA397" i="4"/>
  <c r="AA398" i="4"/>
  <c r="AA399" i="4"/>
  <c r="AA400" i="4"/>
  <c r="AA401" i="4"/>
  <c r="AA402" i="4"/>
  <c r="AA403" i="4"/>
  <c r="AA404" i="4"/>
  <c r="AA405" i="4"/>
  <c r="AA406" i="4"/>
  <c r="AA407" i="4"/>
  <c r="AA408" i="4"/>
  <c r="AA409" i="4"/>
  <c r="AA410" i="4"/>
  <c r="AA411" i="4"/>
  <c r="AA8" i="4"/>
  <c r="AM118" i="5"/>
  <c r="C39" i="8"/>
  <c r="AR39" i="8"/>
  <c r="H39" i="8"/>
  <c r="AT39" i="8"/>
  <c r="J39" i="8"/>
  <c r="AV39" i="8"/>
  <c r="L39" i="8"/>
  <c r="AX39" i="8"/>
  <c r="N39" i="8"/>
  <c r="E40" i="8"/>
  <c r="AP40" i="8"/>
  <c r="F40" i="8"/>
  <c r="AR40" i="8"/>
  <c r="H40" i="8"/>
  <c r="AT40" i="8"/>
  <c r="J40" i="8"/>
  <c r="AV40" i="8"/>
  <c r="L40" i="8"/>
  <c r="AX40" i="8"/>
  <c r="N40" i="8"/>
  <c r="AY40" i="8"/>
  <c r="O40" i="8"/>
  <c r="AZ40" i="8"/>
  <c r="P40" i="8"/>
  <c r="E41" i="8"/>
  <c r="AP41" i="8"/>
  <c r="F41" i="8"/>
  <c r="AR41" i="8"/>
  <c r="H41" i="8"/>
  <c r="AT41" i="8"/>
  <c r="J41" i="8"/>
  <c r="AV41" i="8"/>
  <c r="L41" i="8"/>
  <c r="AX41" i="8"/>
  <c r="N41" i="8"/>
  <c r="E2" i="8"/>
  <c r="AP2" i="8"/>
  <c r="F2" i="8"/>
  <c r="AR2" i="8"/>
  <c r="H2" i="8"/>
  <c r="AT2" i="8"/>
  <c r="J2" i="8"/>
  <c r="AV2" i="8"/>
  <c r="L2" i="8"/>
  <c r="AX2" i="8"/>
  <c r="N2" i="8"/>
  <c r="E42" i="8"/>
  <c r="AP42" i="8"/>
  <c r="F42" i="8"/>
  <c r="AR42" i="8"/>
  <c r="H42" i="8"/>
  <c r="AT42" i="8"/>
  <c r="J42" i="8"/>
  <c r="AV42" i="8"/>
  <c r="L42" i="8"/>
  <c r="AX42" i="8"/>
  <c r="N42" i="8"/>
  <c r="E43" i="8"/>
  <c r="AP43" i="8"/>
  <c r="F43" i="8"/>
  <c r="AR43" i="8"/>
  <c r="H43" i="8"/>
  <c r="AT43" i="8"/>
  <c r="J43" i="8"/>
  <c r="AV43" i="8"/>
  <c r="L43" i="8"/>
  <c r="AX43" i="8"/>
  <c r="N43" i="8"/>
  <c r="E44" i="8"/>
  <c r="AP44" i="8"/>
  <c r="F44" i="8"/>
  <c r="AR44" i="8"/>
  <c r="H44" i="8"/>
  <c r="AT44" i="8"/>
  <c r="J44" i="8"/>
  <c r="AV44" i="8"/>
  <c r="L44" i="8"/>
  <c r="AX44" i="8"/>
  <c r="N44" i="8"/>
  <c r="E72" i="8"/>
  <c r="AP72" i="8"/>
  <c r="F72" i="8"/>
  <c r="AR72" i="8"/>
  <c r="H72" i="8"/>
  <c r="AT72" i="8"/>
  <c r="J72" i="8"/>
  <c r="AV72" i="8"/>
  <c r="L72" i="8"/>
  <c r="AX72" i="8"/>
  <c r="N72" i="8"/>
  <c r="E73" i="8"/>
  <c r="AP73" i="8"/>
  <c r="F73" i="8"/>
  <c r="AR73" i="8"/>
  <c r="H73" i="8"/>
  <c r="AT73" i="8"/>
  <c r="J73" i="8"/>
  <c r="AV73" i="8"/>
  <c r="L73" i="8"/>
  <c r="AX73" i="8"/>
  <c r="N73" i="8"/>
  <c r="E74" i="8"/>
  <c r="AP74" i="8"/>
  <c r="F74" i="8"/>
  <c r="AR74" i="8"/>
  <c r="H74" i="8"/>
  <c r="AT74" i="8"/>
  <c r="J74" i="8"/>
  <c r="AV74" i="8"/>
  <c r="L74" i="8"/>
  <c r="AX74" i="8"/>
  <c r="N74" i="8"/>
  <c r="E75" i="8"/>
  <c r="AP75" i="8"/>
  <c r="F75" i="8"/>
  <c r="AR75" i="8"/>
  <c r="H75" i="8"/>
  <c r="AT75" i="8"/>
  <c r="J75" i="8"/>
  <c r="AV75" i="8"/>
  <c r="L75" i="8"/>
  <c r="AX75" i="8"/>
  <c r="N75" i="8"/>
  <c r="AY75" i="8"/>
  <c r="O75" i="8"/>
  <c r="AZ75" i="8"/>
  <c r="P75" i="8"/>
  <c r="E76" i="8"/>
  <c r="AP76" i="8"/>
  <c r="F76" i="8"/>
  <c r="AR76" i="8"/>
  <c r="H76" i="8"/>
  <c r="AT76" i="8"/>
  <c r="J76" i="8"/>
  <c r="AV76" i="8"/>
  <c r="L76" i="8"/>
  <c r="AX76" i="8"/>
  <c r="N76" i="8"/>
  <c r="E77" i="8"/>
  <c r="AP77" i="8"/>
  <c r="F77" i="8"/>
  <c r="AR77" i="8"/>
  <c r="H77" i="8"/>
  <c r="AT77" i="8"/>
  <c r="J77" i="8"/>
  <c r="AV77" i="8"/>
  <c r="L77" i="8"/>
  <c r="AX77" i="8"/>
  <c r="N77" i="8"/>
  <c r="AY77" i="8"/>
  <c r="O77" i="8"/>
  <c r="AZ77" i="8"/>
  <c r="P77" i="8"/>
  <c r="E78" i="8"/>
  <c r="AP78" i="8"/>
  <c r="F78" i="8"/>
  <c r="AR78" i="8"/>
  <c r="H78" i="8"/>
  <c r="AT78" i="8"/>
  <c r="J78" i="8"/>
  <c r="AV78" i="8"/>
  <c r="L78" i="8"/>
  <c r="AX78" i="8"/>
  <c r="N78" i="8"/>
  <c r="E6" i="8"/>
  <c r="AP6" i="8"/>
  <c r="F6" i="8"/>
  <c r="AR6" i="8"/>
  <c r="H6" i="8"/>
  <c r="AT6" i="8"/>
  <c r="J6" i="8"/>
  <c r="AV6" i="8"/>
  <c r="L6" i="8"/>
  <c r="AX6" i="8"/>
  <c r="N6" i="8"/>
  <c r="E7" i="8"/>
  <c r="AP7" i="8"/>
  <c r="F7" i="8"/>
  <c r="AR7" i="8"/>
  <c r="H7" i="8"/>
  <c r="AT7" i="8"/>
  <c r="J7" i="8"/>
  <c r="AV7" i="8"/>
  <c r="L7" i="8"/>
  <c r="AX7" i="8"/>
  <c r="N7" i="8"/>
  <c r="E79" i="8"/>
  <c r="AP79" i="8"/>
  <c r="F79" i="8"/>
  <c r="AR79" i="8"/>
  <c r="H79" i="8"/>
  <c r="AT79" i="8"/>
  <c r="J79" i="8"/>
  <c r="AV79" i="8"/>
  <c r="L79" i="8"/>
  <c r="AX79" i="8"/>
  <c r="N79" i="8"/>
  <c r="E80" i="8"/>
  <c r="AP80" i="8"/>
  <c r="F80" i="8"/>
  <c r="AR80" i="8"/>
  <c r="H80" i="8"/>
  <c r="AT80" i="8"/>
  <c r="J80" i="8"/>
  <c r="AV80" i="8"/>
  <c r="L80" i="8"/>
  <c r="AX80" i="8"/>
  <c r="N80" i="8"/>
  <c r="E81" i="8"/>
  <c r="AP81" i="8"/>
  <c r="F81" i="8"/>
  <c r="AR81" i="8"/>
  <c r="H81" i="8"/>
  <c r="AT81" i="8"/>
  <c r="J81" i="8"/>
  <c r="AV81" i="8"/>
  <c r="L81" i="8"/>
  <c r="AX81" i="8"/>
  <c r="N81" i="8"/>
  <c r="E82" i="8"/>
  <c r="AP82" i="8"/>
  <c r="F82" i="8"/>
  <c r="AR82" i="8"/>
  <c r="H82" i="8"/>
  <c r="AT82" i="8"/>
  <c r="J82" i="8"/>
  <c r="AV82" i="8"/>
  <c r="L82" i="8"/>
  <c r="AX82" i="8"/>
  <c r="N82" i="8"/>
  <c r="E83" i="8"/>
  <c r="AP83" i="8"/>
  <c r="F83" i="8"/>
  <c r="AR83" i="8"/>
  <c r="H83" i="8"/>
  <c r="AT83" i="8"/>
  <c r="J83" i="8"/>
  <c r="AV83" i="8"/>
  <c r="L83" i="8"/>
  <c r="AX83" i="8"/>
  <c r="N83" i="8"/>
  <c r="E84" i="8"/>
  <c r="AP84" i="8"/>
  <c r="F84" i="8"/>
  <c r="AR84" i="8"/>
  <c r="H84" i="8"/>
  <c r="AT84" i="8"/>
  <c r="J84" i="8"/>
  <c r="AV84" i="8"/>
  <c r="L84" i="8"/>
  <c r="AX84" i="8"/>
  <c r="N84" i="8"/>
  <c r="E85" i="8"/>
  <c r="AP85" i="8"/>
  <c r="F85" i="8"/>
  <c r="AR85" i="8"/>
  <c r="H85" i="8"/>
  <c r="AT85" i="8"/>
  <c r="J85" i="8"/>
  <c r="AV85" i="8"/>
  <c r="L85" i="8"/>
  <c r="AX85" i="8"/>
  <c r="N85" i="8"/>
  <c r="E86" i="8"/>
  <c r="AP86" i="8"/>
  <c r="F86" i="8"/>
  <c r="AR86" i="8"/>
  <c r="H86" i="8"/>
  <c r="AT86" i="8"/>
  <c r="J86" i="8"/>
  <c r="AV86" i="8"/>
  <c r="L86" i="8"/>
  <c r="AX86" i="8"/>
  <c r="N86" i="8"/>
  <c r="E87" i="8"/>
  <c r="AP87" i="8"/>
  <c r="F87" i="8"/>
  <c r="AR87" i="8"/>
  <c r="H87" i="8"/>
  <c r="AT87" i="8"/>
  <c r="J87" i="8"/>
  <c r="AV87" i="8"/>
  <c r="L87" i="8"/>
  <c r="AX87" i="8"/>
  <c r="N87" i="8"/>
  <c r="E88" i="8"/>
  <c r="AP88" i="8"/>
  <c r="F88" i="8"/>
  <c r="AR88" i="8"/>
  <c r="H88" i="8"/>
  <c r="AT88" i="8"/>
  <c r="J88" i="8"/>
  <c r="AV88" i="8"/>
  <c r="L88" i="8"/>
  <c r="AX88" i="8"/>
  <c r="N88" i="8"/>
  <c r="E89" i="8"/>
  <c r="AP89" i="8"/>
  <c r="F89" i="8"/>
  <c r="AR89" i="8"/>
  <c r="H89" i="8"/>
  <c r="AT89" i="8"/>
  <c r="J89" i="8"/>
  <c r="AV89" i="8"/>
  <c r="L89" i="8"/>
  <c r="AX89" i="8"/>
  <c r="N89" i="8"/>
  <c r="E90" i="8"/>
  <c r="AP90" i="8"/>
  <c r="F90" i="8"/>
  <c r="AR90" i="8"/>
  <c r="H90" i="8"/>
  <c r="AT90" i="8"/>
  <c r="J90" i="8"/>
  <c r="AV90" i="8"/>
  <c r="L90" i="8"/>
  <c r="AX90" i="8"/>
  <c r="N90" i="8"/>
  <c r="E91" i="8"/>
  <c r="AP91" i="8"/>
  <c r="F91" i="8"/>
  <c r="AR91" i="8"/>
  <c r="H91" i="8"/>
  <c r="AT91" i="8"/>
  <c r="J91" i="8"/>
  <c r="AV91" i="8"/>
  <c r="L91" i="8"/>
  <c r="AX91" i="8"/>
  <c r="N91" i="8"/>
  <c r="E92" i="8"/>
  <c r="AP92" i="8"/>
  <c r="F92" i="8"/>
  <c r="AR92" i="8"/>
  <c r="H92" i="8"/>
  <c r="AT92" i="8"/>
  <c r="J92" i="8"/>
  <c r="AV92" i="8"/>
  <c r="L92" i="8"/>
  <c r="AX92" i="8"/>
  <c r="N92" i="8"/>
  <c r="E93" i="8"/>
  <c r="AP93" i="8"/>
  <c r="F93" i="8"/>
  <c r="AR93" i="8"/>
  <c r="H93" i="8"/>
  <c r="AT93" i="8"/>
  <c r="J93" i="8"/>
  <c r="AV93" i="8"/>
  <c r="L93" i="8"/>
  <c r="AX93" i="8"/>
  <c r="N93" i="8"/>
  <c r="E94" i="8"/>
  <c r="AP94" i="8"/>
  <c r="F94" i="8"/>
  <c r="AR94" i="8"/>
  <c r="H94" i="8"/>
  <c r="AT94" i="8"/>
  <c r="J94" i="8"/>
  <c r="AV94" i="8"/>
  <c r="L94" i="8"/>
  <c r="AX94" i="8"/>
  <c r="N94" i="8"/>
  <c r="E95" i="8"/>
  <c r="AP95" i="8"/>
  <c r="F95" i="8"/>
  <c r="AR95" i="8"/>
  <c r="H95" i="8"/>
  <c r="AT95" i="8"/>
  <c r="J95" i="8"/>
  <c r="AV95" i="8"/>
  <c r="L95" i="8"/>
  <c r="AX95" i="8"/>
  <c r="N95" i="8"/>
  <c r="E96" i="8"/>
  <c r="AP96" i="8"/>
  <c r="F96" i="8"/>
  <c r="AR96" i="8"/>
  <c r="H96" i="8"/>
  <c r="AT96" i="8"/>
  <c r="J96" i="8"/>
  <c r="AV96" i="8"/>
  <c r="L96" i="8"/>
  <c r="AX96" i="8"/>
  <c r="N96" i="8"/>
  <c r="E97" i="8"/>
  <c r="AP97" i="8"/>
  <c r="F97" i="8"/>
  <c r="AR97" i="8"/>
  <c r="H97" i="8"/>
  <c r="AT97" i="8"/>
  <c r="J97" i="8"/>
  <c r="AV97" i="8"/>
  <c r="L97" i="8"/>
  <c r="AX97" i="8"/>
  <c r="N97" i="8"/>
  <c r="BA97" i="8"/>
  <c r="Q97" i="8"/>
  <c r="E98" i="8"/>
  <c r="AP98" i="8"/>
  <c r="F98" i="8"/>
  <c r="AR98" i="8"/>
  <c r="H98" i="8"/>
  <c r="AT98" i="8"/>
  <c r="J98" i="8"/>
  <c r="AV98" i="8"/>
  <c r="L98" i="8"/>
  <c r="AX98" i="8"/>
  <c r="N98" i="8"/>
  <c r="BA98" i="8"/>
  <c r="Q98" i="8"/>
  <c r="E99" i="8"/>
  <c r="AP99" i="8"/>
  <c r="F99" i="8"/>
  <c r="AR99" i="8"/>
  <c r="H99" i="8"/>
  <c r="AT99" i="8"/>
  <c r="J99" i="8"/>
  <c r="AV99" i="8"/>
  <c r="L99" i="8"/>
  <c r="AX99" i="8"/>
  <c r="N99" i="8"/>
  <c r="E45" i="8"/>
  <c r="AP45" i="8"/>
  <c r="F45" i="8"/>
  <c r="AR45" i="8"/>
  <c r="H45" i="8"/>
  <c r="AT45" i="8"/>
  <c r="J45" i="8"/>
  <c r="AV45" i="8"/>
  <c r="L45" i="8"/>
  <c r="AX45" i="8"/>
  <c r="N45" i="8"/>
  <c r="E46" i="8"/>
  <c r="AP46" i="8"/>
  <c r="F46" i="8"/>
  <c r="AR46" i="8"/>
  <c r="H46" i="8"/>
  <c r="AT46" i="8"/>
  <c r="J46" i="8"/>
  <c r="AV46" i="8"/>
  <c r="L46" i="8"/>
  <c r="AX46" i="8"/>
  <c r="N46" i="8"/>
  <c r="E47" i="8"/>
  <c r="AP47" i="8"/>
  <c r="F47" i="8"/>
  <c r="AR47" i="8"/>
  <c r="H47" i="8"/>
  <c r="AT47" i="8"/>
  <c r="J47" i="8"/>
  <c r="AV47" i="8"/>
  <c r="L47" i="8"/>
  <c r="AX47" i="8"/>
  <c r="N47" i="8"/>
  <c r="E3" i="8"/>
  <c r="AP3" i="8"/>
  <c r="F3" i="8"/>
  <c r="AR3" i="8"/>
  <c r="H3" i="8"/>
  <c r="AT3" i="8"/>
  <c r="J3" i="8"/>
  <c r="AV3" i="8"/>
  <c r="L3" i="8"/>
  <c r="AX3" i="8"/>
  <c r="N3" i="8"/>
  <c r="E48" i="8"/>
  <c r="AP48" i="8"/>
  <c r="F48" i="8"/>
  <c r="AR48" i="8"/>
  <c r="H48" i="8"/>
  <c r="AT48" i="8"/>
  <c r="J48" i="8"/>
  <c r="AV48" i="8"/>
  <c r="L48" i="8"/>
  <c r="AX48" i="8"/>
  <c r="N48" i="8"/>
  <c r="E49" i="8"/>
  <c r="AP49" i="8"/>
  <c r="F49" i="8"/>
  <c r="AR49" i="8"/>
  <c r="H49" i="8"/>
  <c r="AT49" i="8"/>
  <c r="J49" i="8"/>
  <c r="AV49" i="8"/>
  <c r="L49" i="8"/>
  <c r="AX49" i="8"/>
  <c r="N49" i="8"/>
  <c r="E50" i="8"/>
  <c r="AP50" i="8"/>
  <c r="F50" i="8"/>
  <c r="AR50" i="8"/>
  <c r="H50" i="8"/>
  <c r="AT50" i="8"/>
  <c r="J50" i="8"/>
  <c r="AV50" i="8"/>
  <c r="L50" i="8"/>
  <c r="AX50" i="8"/>
  <c r="N50" i="8"/>
  <c r="E51" i="8"/>
  <c r="AP51" i="8"/>
  <c r="F51" i="8"/>
  <c r="AR51" i="8"/>
  <c r="H51" i="8"/>
  <c r="AT51" i="8"/>
  <c r="J51" i="8"/>
  <c r="AV51" i="8"/>
  <c r="L51" i="8"/>
  <c r="AX51" i="8"/>
  <c r="N51" i="8"/>
  <c r="E52" i="8"/>
  <c r="AP52" i="8"/>
  <c r="F52" i="8"/>
  <c r="AR52" i="8"/>
  <c r="H52" i="8"/>
  <c r="AT52" i="8"/>
  <c r="J52" i="8"/>
  <c r="AV52" i="8"/>
  <c r="L52" i="8"/>
  <c r="AX52" i="8"/>
  <c r="N52" i="8"/>
  <c r="E53" i="8"/>
  <c r="AP53" i="8"/>
  <c r="F53" i="8"/>
  <c r="AR53" i="8"/>
  <c r="H53" i="8"/>
  <c r="AT53" i="8"/>
  <c r="J53" i="8"/>
  <c r="AV53" i="8"/>
  <c r="L53" i="8"/>
  <c r="AX53" i="8"/>
  <c r="N53" i="8"/>
  <c r="E54" i="8"/>
  <c r="AP54" i="8"/>
  <c r="F54" i="8"/>
  <c r="AR54" i="8"/>
  <c r="H54" i="8"/>
  <c r="AT54" i="8"/>
  <c r="J54" i="8"/>
  <c r="AV54" i="8"/>
  <c r="L54" i="8"/>
  <c r="AX54" i="8"/>
  <c r="N54" i="8"/>
  <c r="E55" i="8"/>
  <c r="AP55" i="8"/>
  <c r="F55" i="8"/>
  <c r="AR55" i="8"/>
  <c r="H55" i="8"/>
  <c r="AT55" i="8"/>
  <c r="J55" i="8"/>
  <c r="AV55" i="8"/>
  <c r="L55" i="8"/>
  <c r="AX55" i="8"/>
  <c r="N55" i="8"/>
  <c r="E56" i="8"/>
  <c r="AP56" i="8"/>
  <c r="F56" i="8"/>
  <c r="AR56" i="8"/>
  <c r="H56" i="8"/>
  <c r="AT56" i="8"/>
  <c r="J56" i="8"/>
  <c r="AV56" i="8"/>
  <c r="L56" i="8"/>
  <c r="AX56" i="8"/>
  <c r="N56" i="8"/>
  <c r="E57" i="8"/>
  <c r="AP57" i="8"/>
  <c r="F57" i="8"/>
  <c r="AR57" i="8"/>
  <c r="H57" i="8"/>
  <c r="AT57" i="8"/>
  <c r="J57" i="8"/>
  <c r="AV57" i="8"/>
  <c r="L57" i="8"/>
  <c r="AX57" i="8"/>
  <c r="N57" i="8"/>
  <c r="AY57" i="8"/>
  <c r="O57" i="8"/>
  <c r="AZ57" i="8"/>
  <c r="P57" i="8"/>
  <c r="E58" i="8"/>
  <c r="AP58" i="8"/>
  <c r="F58" i="8"/>
  <c r="AR58" i="8"/>
  <c r="H58" i="8"/>
  <c r="AT58" i="8"/>
  <c r="J58" i="8"/>
  <c r="AV58" i="8"/>
  <c r="L58" i="8"/>
  <c r="AX58" i="8"/>
  <c r="N58" i="8"/>
  <c r="E59" i="8"/>
  <c r="AP59" i="8"/>
  <c r="F59" i="8"/>
  <c r="AR59" i="8"/>
  <c r="H59" i="8"/>
  <c r="AT59" i="8"/>
  <c r="J59" i="8"/>
  <c r="AV59" i="8"/>
  <c r="L59" i="8"/>
  <c r="AX59" i="8"/>
  <c r="N59" i="8"/>
  <c r="E60" i="8"/>
  <c r="AP60" i="8"/>
  <c r="F60" i="8"/>
  <c r="AR60" i="8"/>
  <c r="H60" i="8"/>
  <c r="AT60" i="8"/>
  <c r="J60" i="8"/>
  <c r="AV60" i="8"/>
  <c r="L60" i="8"/>
  <c r="AX60" i="8"/>
  <c r="N60" i="8"/>
  <c r="E4" i="8"/>
  <c r="AP4" i="8"/>
  <c r="F4" i="8"/>
  <c r="AR4" i="8"/>
  <c r="H4" i="8"/>
  <c r="AT4" i="8"/>
  <c r="J4" i="8"/>
  <c r="AV4" i="8"/>
  <c r="L4" i="8"/>
  <c r="AX4" i="8"/>
  <c r="N4" i="8"/>
  <c r="E61" i="8"/>
  <c r="AP61" i="8"/>
  <c r="F61" i="8"/>
  <c r="AR61" i="8"/>
  <c r="H61" i="8"/>
  <c r="AT61" i="8"/>
  <c r="J61" i="8"/>
  <c r="AV61" i="8"/>
  <c r="L61" i="8"/>
  <c r="AX61" i="8"/>
  <c r="N61" i="8"/>
  <c r="E62" i="8"/>
  <c r="AP62" i="8"/>
  <c r="F62" i="8"/>
  <c r="AR62" i="8"/>
  <c r="H62" i="8"/>
  <c r="AT62" i="8"/>
  <c r="J62" i="8"/>
  <c r="AV62" i="8"/>
  <c r="L62" i="8"/>
  <c r="AX62" i="8"/>
  <c r="N62" i="8"/>
  <c r="E5" i="8"/>
  <c r="AP5" i="8"/>
  <c r="F5" i="8"/>
  <c r="AR5" i="8"/>
  <c r="H5" i="8"/>
  <c r="AT5" i="8"/>
  <c r="J5" i="8"/>
  <c r="AV5" i="8"/>
  <c r="L5" i="8"/>
  <c r="AX5" i="8"/>
  <c r="N5" i="8"/>
  <c r="E63" i="8"/>
  <c r="AP63" i="8"/>
  <c r="F63" i="8"/>
  <c r="AR63" i="8"/>
  <c r="H63" i="8"/>
  <c r="AT63" i="8"/>
  <c r="J63" i="8"/>
  <c r="AV63" i="8"/>
  <c r="L63" i="8"/>
  <c r="AX63" i="8"/>
  <c r="N63" i="8"/>
  <c r="E64" i="8"/>
  <c r="AP64" i="8"/>
  <c r="F64" i="8"/>
  <c r="AR64" i="8"/>
  <c r="H64" i="8"/>
  <c r="AT64" i="8"/>
  <c r="J64" i="8"/>
  <c r="AV64" i="8"/>
  <c r="L64" i="8"/>
  <c r="AX64" i="8"/>
  <c r="N64" i="8"/>
  <c r="E65" i="8"/>
  <c r="AP65" i="8"/>
  <c r="F65" i="8"/>
  <c r="AR65" i="8"/>
  <c r="H65" i="8"/>
  <c r="AT65" i="8"/>
  <c r="J65" i="8"/>
  <c r="AV65" i="8"/>
  <c r="L65" i="8"/>
  <c r="AX65" i="8"/>
  <c r="N65" i="8"/>
  <c r="E66" i="8"/>
  <c r="AP66" i="8"/>
  <c r="F66" i="8"/>
  <c r="AR66" i="8"/>
  <c r="H66" i="8"/>
  <c r="AT66" i="8"/>
  <c r="J66" i="8"/>
  <c r="AV66" i="8"/>
  <c r="L66" i="8"/>
  <c r="AX66" i="8"/>
  <c r="N66" i="8"/>
  <c r="E67" i="8"/>
  <c r="AP67" i="8"/>
  <c r="F67" i="8"/>
  <c r="AR67" i="8"/>
  <c r="H67" i="8"/>
  <c r="AT67" i="8"/>
  <c r="J67" i="8"/>
  <c r="AV67" i="8"/>
  <c r="L67" i="8"/>
  <c r="AX67" i="8"/>
  <c r="N67" i="8"/>
  <c r="E68" i="8"/>
  <c r="AP68" i="8"/>
  <c r="F68" i="8"/>
  <c r="AR68" i="8"/>
  <c r="H68" i="8"/>
  <c r="AT68" i="8"/>
  <c r="J68" i="8"/>
  <c r="AV68" i="8"/>
  <c r="L68" i="8"/>
  <c r="AX68" i="8"/>
  <c r="N68" i="8"/>
  <c r="E69" i="8"/>
  <c r="AP69" i="8"/>
  <c r="F69" i="8"/>
  <c r="AR69" i="8"/>
  <c r="H69" i="8"/>
  <c r="AT69" i="8"/>
  <c r="J69" i="8"/>
  <c r="AV69" i="8"/>
  <c r="L69" i="8"/>
  <c r="AX69" i="8"/>
  <c r="N69" i="8"/>
  <c r="E70" i="8"/>
  <c r="AP70" i="8"/>
  <c r="F70" i="8"/>
  <c r="AR70" i="8"/>
  <c r="H70" i="8"/>
  <c r="AT70" i="8"/>
  <c r="J70" i="8"/>
  <c r="AV70" i="8"/>
  <c r="L70" i="8"/>
  <c r="AX70" i="8"/>
  <c r="N70" i="8"/>
  <c r="E71" i="8"/>
  <c r="AP71" i="8"/>
  <c r="F71" i="8"/>
  <c r="AR71" i="8"/>
  <c r="H71" i="8"/>
  <c r="AT71" i="8"/>
  <c r="J71" i="8"/>
  <c r="AV71" i="8"/>
  <c r="L71" i="8"/>
  <c r="AX71" i="8"/>
  <c r="N71" i="8"/>
  <c r="E100" i="8"/>
  <c r="AP100" i="8"/>
  <c r="F100" i="8"/>
  <c r="AR100" i="8"/>
  <c r="H100" i="8"/>
  <c r="AT100" i="8"/>
  <c r="J100" i="8"/>
  <c r="AV100" i="8"/>
  <c r="L100" i="8"/>
  <c r="AX100" i="8"/>
  <c r="N100" i="8"/>
  <c r="E101" i="8"/>
  <c r="AP101" i="8"/>
  <c r="F101" i="8"/>
  <c r="AR101" i="8"/>
  <c r="H101" i="8"/>
  <c r="AT101" i="8"/>
  <c r="J101" i="8"/>
  <c r="AV101" i="8"/>
  <c r="L101" i="8"/>
  <c r="AX101" i="8"/>
  <c r="N101" i="8"/>
  <c r="AY101" i="8"/>
  <c r="O101" i="8"/>
  <c r="AZ101" i="8"/>
  <c r="P101" i="8"/>
  <c r="BA101" i="8"/>
  <c r="Q101" i="8"/>
  <c r="B101" i="8"/>
  <c r="E102" i="8"/>
  <c r="AP102" i="8"/>
  <c r="F102" i="8"/>
  <c r="AR102" i="8"/>
  <c r="H102" i="8"/>
  <c r="AT102" i="8"/>
  <c r="J102" i="8"/>
  <c r="AV102" i="8"/>
  <c r="L102" i="8"/>
  <c r="AX102" i="8"/>
  <c r="N102" i="8"/>
  <c r="AY102" i="8"/>
  <c r="O102" i="8"/>
  <c r="AZ102" i="8"/>
  <c r="P102" i="8"/>
  <c r="E103" i="8"/>
  <c r="AP103" i="8"/>
  <c r="F103" i="8"/>
  <c r="AR103" i="8"/>
  <c r="H103" i="8"/>
  <c r="AT103" i="8"/>
  <c r="J103" i="8"/>
  <c r="AV103" i="8"/>
  <c r="L103" i="8"/>
  <c r="AX103" i="8"/>
  <c r="N103" i="8"/>
  <c r="AY103" i="8"/>
  <c r="O103" i="8"/>
  <c r="AZ103" i="8"/>
  <c r="P103" i="8"/>
  <c r="E104" i="8"/>
  <c r="AP104" i="8"/>
  <c r="F104" i="8"/>
  <c r="AR104" i="8"/>
  <c r="H104" i="8"/>
  <c r="AT104" i="8"/>
  <c r="J104" i="8"/>
  <c r="AV104" i="8"/>
  <c r="L104" i="8"/>
  <c r="AX104" i="8"/>
  <c r="N104" i="8"/>
  <c r="AY104" i="8"/>
  <c r="O104" i="8"/>
  <c r="AZ104" i="8"/>
  <c r="P104" i="8"/>
  <c r="E105" i="8"/>
  <c r="AP105" i="8"/>
  <c r="F105" i="8"/>
  <c r="AR105" i="8"/>
  <c r="H105" i="8"/>
  <c r="AT105" i="8"/>
  <c r="J105" i="8"/>
  <c r="AV105" i="8"/>
  <c r="L105" i="8"/>
  <c r="AX105" i="8"/>
  <c r="N105" i="8"/>
  <c r="AY105" i="8"/>
  <c r="O105" i="8"/>
  <c r="AZ105" i="8"/>
  <c r="P105" i="8"/>
  <c r="E106" i="8"/>
  <c r="AP106" i="8"/>
  <c r="F106" i="8"/>
  <c r="AR106" i="8"/>
  <c r="H106" i="8"/>
  <c r="AT106" i="8"/>
  <c r="J106" i="8"/>
  <c r="AV106" i="8"/>
  <c r="L106" i="8"/>
  <c r="AX106" i="8"/>
  <c r="N106" i="8"/>
  <c r="AY106" i="8"/>
  <c r="O106" i="8"/>
  <c r="AZ106" i="8"/>
  <c r="P106" i="8"/>
  <c r="E107" i="8"/>
  <c r="AP107" i="8"/>
  <c r="F107" i="8"/>
  <c r="AR107" i="8"/>
  <c r="H107" i="8"/>
  <c r="AT107" i="8"/>
  <c r="J107" i="8"/>
  <c r="AV107" i="8"/>
  <c r="L107" i="8"/>
  <c r="AX107" i="8"/>
  <c r="N107" i="8"/>
  <c r="AY107" i="8"/>
  <c r="O107" i="8"/>
  <c r="AZ107" i="8"/>
  <c r="P107" i="8"/>
  <c r="E108" i="8"/>
  <c r="AP108" i="8"/>
  <c r="F108" i="8"/>
  <c r="AR108" i="8"/>
  <c r="H108" i="8"/>
  <c r="AT108" i="8"/>
  <c r="J108" i="8"/>
  <c r="AV108" i="8"/>
  <c r="L108" i="8"/>
  <c r="AX108" i="8"/>
  <c r="N108" i="8"/>
  <c r="AY108" i="8"/>
  <c r="O108" i="8"/>
  <c r="AZ108" i="8"/>
  <c r="P108" i="8"/>
  <c r="E109" i="8"/>
  <c r="AP109" i="8"/>
  <c r="F109" i="8"/>
  <c r="AR109" i="8"/>
  <c r="H109" i="8"/>
  <c r="AT109" i="8"/>
  <c r="J109" i="8"/>
  <c r="AV109" i="8"/>
  <c r="L109" i="8"/>
  <c r="AX109" i="8"/>
  <c r="N109" i="8"/>
  <c r="AY109" i="8"/>
  <c r="O109" i="8"/>
  <c r="AZ109" i="8"/>
  <c r="P109" i="8"/>
  <c r="E110" i="8"/>
  <c r="AP110" i="8"/>
  <c r="F110" i="8"/>
  <c r="AR110" i="8"/>
  <c r="H110" i="8"/>
  <c r="AT110" i="8"/>
  <c r="J110" i="8"/>
  <c r="AV110" i="8"/>
  <c r="L110" i="8"/>
  <c r="AX110" i="8"/>
  <c r="N110" i="8"/>
  <c r="AY110" i="8"/>
  <c r="O110" i="8"/>
  <c r="AZ110" i="8"/>
  <c r="P110" i="8"/>
  <c r="E111" i="8"/>
  <c r="AP111" i="8"/>
  <c r="F111" i="8"/>
  <c r="AR111" i="8"/>
  <c r="H111" i="8"/>
  <c r="AT111" i="8"/>
  <c r="J111" i="8"/>
  <c r="AV111" i="8"/>
  <c r="L111" i="8"/>
  <c r="AX111" i="8"/>
  <c r="N111" i="8"/>
  <c r="AY111" i="8"/>
  <c r="O111" i="8"/>
  <c r="AZ111" i="8"/>
  <c r="P111" i="8"/>
  <c r="E112" i="8"/>
  <c r="AP112" i="8"/>
  <c r="F112" i="8"/>
  <c r="AR112" i="8"/>
  <c r="H112" i="8"/>
  <c r="AT112" i="8"/>
  <c r="J112" i="8"/>
  <c r="AV112" i="8"/>
  <c r="L112" i="8"/>
  <c r="AX112" i="8"/>
  <c r="N112" i="8"/>
  <c r="AY112" i="8"/>
  <c r="O112" i="8"/>
  <c r="AZ112" i="8"/>
  <c r="P112" i="8"/>
  <c r="E113" i="8"/>
  <c r="AP113" i="8"/>
  <c r="F113" i="8"/>
  <c r="AR113" i="8"/>
  <c r="H113" i="8"/>
  <c r="AT113" i="8"/>
  <c r="J113" i="8"/>
  <c r="AV113" i="8"/>
  <c r="L113" i="8"/>
  <c r="AX113" i="8"/>
  <c r="N113" i="8"/>
  <c r="AY113" i="8"/>
  <c r="O113" i="8"/>
  <c r="AZ113" i="8"/>
  <c r="P113" i="8"/>
  <c r="E114" i="8"/>
  <c r="AP114" i="8"/>
  <c r="F114" i="8"/>
  <c r="AR114" i="8"/>
  <c r="H114" i="8"/>
  <c r="AT114" i="8"/>
  <c r="J114" i="8"/>
  <c r="AV114" i="8"/>
  <c r="L114" i="8"/>
  <c r="AX114" i="8"/>
  <c r="N114" i="8"/>
  <c r="AY114" i="8"/>
  <c r="O114" i="8"/>
  <c r="AZ114" i="8"/>
  <c r="P114" i="8"/>
  <c r="E115" i="8"/>
  <c r="AP115" i="8"/>
  <c r="F115" i="8"/>
  <c r="AR115" i="8"/>
  <c r="H115" i="8"/>
  <c r="AT115" i="8"/>
  <c r="J115" i="8"/>
  <c r="AV115" i="8"/>
  <c r="L115" i="8"/>
  <c r="AX115" i="8"/>
  <c r="N115" i="8"/>
  <c r="AY115" i="8"/>
  <c r="O115" i="8"/>
  <c r="AZ115" i="8"/>
  <c r="P115" i="8"/>
  <c r="E116" i="8"/>
  <c r="AP116" i="8"/>
  <c r="F116" i="8"/>
  <c r="AR116" i="8"/>
  <c r="H116" i="8"/>
  <c r="AT116" i="8"/>
  <c r="J116" i="8"/>
  <c r="AV116" i="8"/>
  <c r="L116" i="8"/>
  <c r="AX116" i="8"/>
  <c r="N116" i="8"/>
  <c r="AY116" i="8"/>
  <c r="O116" i="8"/>
  <c r="AZ116" i="8"/>
  <c r="P116" i="8"/>
  <c r="E117" i="8"/>
  <c r="AP117" i="8"/>
  <c r="F117" i="8"/>
  <c r="AR117" i="8"/>
  <c r="H117" i="8"/>
  <c r="AT117" i="8"/>
  <c r="J117" i="8"/>
  <c r="AV117" i="8"/>
  <c r="L117" i="8"/>
  <c r="AX117" i="8"/>
  <c r="N117" i="8"/>
  <c r="E118" i="8"/>
  <c r="AP118" i="8"/>
  <c r="F118" i="8"/>
  <c r="AR118" i="8"/>
  <c r="H118" i="8"/>
  <c r="AT118" i="8"/>
  <c r="J118" i="8"/>
  <c r="AV118" i="8"/>
  <c r="L118" i="8"/>
  <c r="AX118" i="8"/>
  <c r="N118" i="8"/>
  <c r="E119" i="8"/>
  <c r="AP119" i="8"/>
  <c r="F119" i="8"/>
  <c r="AR119" i="8"/>
  <c r="H119" i="8"/>
  <c r="AT119" i="8"/>
  <c r="J119" i="8"/>
  <c r="AV119" i="8"/>
  <c r="L119" i="8"/>
  <c r="AX119" i="8"/>
  <c r="N119" i="8"/>
  <c r="E120" i="8"/>
  <c r="AP120" i="8"/>
  <c r="F120" i="8"/>
  <c r="AR120" i="8"/>
  <c r="H120" i="8"/>
  <c r="AT120" i="8"/>
  <c r="J120" i="8"/>
  <c r="AV120" i="8"/>
  <c r="L120" i="8"/>
  <c r="AX120" i="8"/>
  <c r="N120" i="8"/>
  <c r="E121" i="8"/>
  <c r="AP121" i="8"/>
  <c r="F121" i="8"/>
  <c r="AR121" i="8"/>
  <c r="H121" i="8"/>
  <c r="AT121" i="8"/>
  <c r="J121" i="8"/>
  <c r="AV121" i="8"/>
  <c r="L121" i="8"/>
  <c r="AX121" i="8"/>
  <c r="N121" i="8"/>
  <c r="E122" i="8"/>
  <c r="AP122" i="8"/>
  <c r="F122" i="8"/>
  <c r="AR122" i="8"/>
  <c r="H122" i="8"/>
  <c r="AT122" i="8"/>
  <c r="J122" i="8"/>
  <c r="AV122" i="8"/>
  <c r="L122" i="8"/>
  <c r="AX122" i="8"/>
  <c r="N122" i="8"/>
  <c r="E123" i="8"/>
  <c r="AP123" i="8"/>
  <c r="F123" i="8"/>
  <c r="AR123" i="8"/>
  <c r="H123" i="8"/>
  <c r="AT123" i="8"/>
  <c r="J123" i="8"/>
  <c r="AV123" i="8"/>
  <c r="L123" i="8"/>
  <c r="AX123" i="8"/>
  <c r="N123" i="8"/>
  <c r="E124" i="8"/>
  <c r="AP124" i="8"/>
  <c r="F124" i="8"/>
  <c r="AR124" i="8"/>
  <c r="H124" i="8"/>
  <c r="AT124" i="8"/>
  <c r="J124" i="8"/>
  <c r="AV124" i="8"/>
  <c r="L124" i="8"/>
  <c r="AX124" i="8"/>
  <c r="N124" i="8"/>
  <c r="E125" i="8"/>
  <c r="AP125" i="8"/>
  <c r="F125" i="8"/>
  <c r="AR125" i="8"/>
  <c r="H125" i="8"/>
  <c r="AT125" i="8"/>
  <c r="J125" i="8"/>
  <c r="AV125" i="8"/>
  <c r="L125" i="8"/>
  <c r="AX125" i="8"/>
  <c r="N125" i="8"/>
  <c r="E126" i="8"/>
  <c r="AP126" i="8"/>
  <c r="F126" i="8"/>
  <c r="AR126" i="8"/>
  <c r="H126" i="8"/>
  <c r="AT126" i="8"/>
  <c r="J126" i="8"/>
  <c r="AV126" i="8"/>
  <c r="L126" i="8"/>
  <c r="AX126" i="8"/>
  <c r="N126" i="8"/>
  <c r="E127" i="8"/>
  <c r="AP127" i="8"/>
  <c r="F127" i="8"/>
  <c r="AR127" i="8"/>
  <c r="H127" i="8"/>
  <c r="AT127" i="8"/>
  <c r="J127" i="8"/>
  <c r="AV127" i="8"/>
  <c r="L127" i="8"/>
  <c r="AX127" i="8"/>
  <c r="N127" i="8"/>
  <c r="E128" i="8"/>
  <c r="AP128" i="8"/>
  <c r="F128" i="8"/>
  <c r="AR128" i="8"/>
  <c r="H128" i="8"/>
  <c r="AT128" i="8"/>
  <c r="J128" i="8"/>
  <c r="AV128" i="8"/>
  <c r="L128" i="8"/>
  <c r="AX128" i="8"/>
  <c r="N128" i="8"/>
  <c r="E129" i="8"/>
  <c r="AP129" i="8"/>
  <c r="F129" i="8"/>
  <c r="AR129" i="8"/>
  <c r="H129" i="8"/>
  <c r="AT129" i="8"/>
  <c r="J129" i="8"/>
  <c r="AV129" i="8"/>
  <c r="L129" i="8"/>
  <c r="AX129" i="8"/>
  <c r="N129" i="8"/>
  <c r="E130" i="8"/>
  <c r="AP130" i="8"/>
  <c r="F130" i="8"/>
  <c r="AR130" i="8"/>
  <c r="H130" i="8"/>
  <c r="AT130" i="8"/>
  <c r="J130" i="8"/>
  <c r="AV130" i="8"/>
  <c r="L130" i="8"/>
  <c r="AX130" i="8"/>
  <c r="N130" i="8"/>
  <c r="E131" i="8"/>
  <c r="AP131" i="8"/>
  <c r="F131" i="8"/>
  <c r="AR131" i="8"/>
  <c r="H131" i="8"/>
  <c r="AT131" i="8"/>
  <c r="J131" i="8"/>
  <c r="AV131" i="8"/>
  <c r="L131" i="8"/>
  <c r="AX131" i="8"/>
  <c r="N131" i="8"/>
  <c r="E132" i="8"/>
  <c r="AP132" i="8"/>
  <c r="F132" i="8"/>
  <c r="AR132" i="8"/>
  <c r="H132" i="8"/>
  <c r="AT132" i="8"/>
  <c r="J132" i="8"/>
  <c r="AV132" i="8"/>
  <c r="L132" i="8"/>
  <c r="AX132" i="8"/>
  <c r="N132" i="8"/>
  <c r="E133" i="8"/>
  <c r="AP133" i="8"/>
  <c r="F133" i="8"/>
  <c r="AR133" i="8"/>
  <c r="H133" i="8"/>
  <c r="AT133" i="8"/>
  <c r="J133" i="8"/>
  <c r="AV133" i="8"/>
  <c r="L133" i="8"/>
  <c r="AX133" i="8"/>
  <c r="N133" i="8"/>
  <c r="E134" i="8"/>
  <c r="AP134" i="8"/>
  <c r="F134" i="8"/>
  <c r="AR134" i="8"/>
  <c r="H134" i="8"/>
  <c r="AT134" i="8"/>
  <c r="J134" i="8"/>
  <c r="AV134" i="8"/>
  <c r="L134" i="8"/>
  <c r="AX134" i="8"/>
  <c r="N134" i="8"/>
  <c r="E135" i="8"/>
  <c r="AP135" i="8"/>
  <c r="F135" i="8"/>
  <c r="AR135" i="8"/>
  <c r="H135" i="8"/>
  <c r="AT135" i="8"/>
  <c r="J135" i="8"/>
  <c r="AV135" i="8"/>
  <c r="L135" i="8"/>
  <c r="AX135" i="8"/>
  <c r="N135" i="8"/>
  <c r="E136" i="8"/>
  <c r="AP136" i="8"/>
  <c r="F136" i="8"/>
  <c r="AR136" i="8"/>
  <c r="H136" i="8"/>
  <c r="AT136" i="8"/>
  <c r="J136" i="8"/>
  <c r="AV136" i="8"/>
  <c r="L136" i="8"/>
  <c r="AX136" i="8"/>
  <c r="N136" i="8"/>
  <c r="E137" i="8"/>
  <c r="AP137" i="8"/>
  <c r="F137" i="8"/>
  <c r="AR137" i="8"/>
  <c r="H137" i="8"/>
  <c r="AT137" i="8"/>
  <c r="J137" i="8"/>
  <c r="AV137" i="8"/>
  <c r="L137" i="8"/>
  <c r="AX137" i="8"/>
  <c r="N137" i="8"/>
  <c r="E138" i="8"/>
  <c r="AP138" i="8"/>
  <c r="F138" i="8"/>
  <c r="AR138" i="8"/>
  <c r="H138" i="8"/>
  <c r="AT138" i="8"/>
  <c r="J138" i="8"/>
  <c r="AV138" i="8"/>
  <c r="L138" i="8"/>
  <c r="AX138" i="8"/>
  <c r="N138" i="8"/>
  <c r="E139" i="8"/>
  <c r="AP139" i="8"/>
  <c r="F139" i="8"/>
  <c r="AR139" i="8"/>
  <c r="H139" i="8"/>
  <c r="AT139" i="8"/>
  <c r="J139" i="8"/>
  <c r="AV139" i="8"/>
  <c r="L139" i="8"/>
  <c r="AX139" i="8"/>
  <c r="N139" i="8"/>
  <c r="E140" i="8"/>
  <c r="AP140" i="8"/>
  <c r="F140" i="8"/>
  <c r="AR140" i="8"/>
  <c r="H140" i="8"/>
  <c r="AT140" i="8"/>
  <c r="J140" i="8"/>
  <c r="AV140" i="8"/>
  <c r="L140" i="8"/>
  <c r="AX140" i="8"/>
  <c r="N140" i="8"/>
  <c r="E141" i="8"/>
  <c r="AP141" i="8"/>
  <c r="F141" i="8"/>
  <c r="AR141" i="8"/>
  <c r="H141" i="8"/>
  <c r="AT141" i="8"/>
  <c r="J141" i="8"/>
  <c r="AV141" i="8"/>
  <c r="L141" i="8"/>
  <c r="AX141" i="8"/>
  <c r="N141" i="8"/>
  <c r="E8" i="8"/>
  <c r="AP8" i="8"/>
  <c r="F8" i="8"/>
  <c r="AR8" i="8"/>
  <c r="H8" i="8"/>
  <c r="AT8" i="8"/>
  <c r="J8" i="8"/>
  <c r="AV8" i="8"/>
  <c r="L8" i="8"/>
  <c r="AX8" i="8"/>
  <c r="N8" i="8"/>
  <c r="E142" i="8"/>
  <c r="AP142" i="8"/>
  <c r="F142" i="8"/>
  <c r="AR142" i="8"/>
  <c r="H142" i="8"/>
  <c r="AT142" i="8"/>
  <c r="J142" i="8"/>
  <c r="AV142" i="8"/>
  <c r="L142" i="8"/>
  <c r="AX142" i="8"/>
  <c r="N142" i="8"/>
  <c r="E143" i="8"/>
  <c r="AP143" i="8"/>
  <c r="F143" i="8"/>
  <c r="AR143" i="8"/>
  <c r="H143" i="8"/>
  <c r="AT143" i="8"/>
  <c r="J143" i="8"/>
  <c r="AV143" i="8"/>
  <c r="L143" i="8"/>
  <c r="AX143" i="8"/>
  <c r="N143" i="8"/>
  <c r="E144" i="8"/>
  <c r="AP144" i="8"/>
  <c r="F144" i="8"/>
  <c r="AR144" i="8"/>
  <c r="H144" i="8"/>
  <c r="AT144" i="8"/>
  <c r="J144" i="8"/>
  <c r="AV144" i="8"/>
  <c r="L144" i="8"/>
  <c r="AX144" i="8"/>
  <c r="N144" i="8"/>
  <c r="E145" i="8"/>
  <c r="AP145" i="8"/>
  <c r="F145" i="8"/>
  <c r="AR145" i="8"/>
  <c r="H145" i="8"/>
  <c r="AT145" i="8"/>
  <c r="J145" i="8"/>
  <c r="AV145" i="8"/>
  <c r="L145" i="8"/>
  <c r="AX145" i="8"/>
  <c r="N145" i="8"/>
  <c r="E146" i="8"/>
  <c r="AP146" i="8"/>
  <c r="F146" i="8"/>
  <c r="AR146" i="8"/>
  <c r="H146" i="8"/>
  <c r="AT146" i="8"/>
  <c r="J146" i="8"/>
  <c r="AV146" i="8"/>
  <c r="L146" i="8"/>
  <c r="AX146" i="8"/>
  <c r="N146" i="8"/>
  <c r="E147" i="8"/>
  <c r="AP147" i="8"/>
  <c r="F147" i="8"/>
  <c r="AR147" i="8"/>
  <c r="H147" i="8"/>
  <c r="AT147" i="8"/>
  <c r="J147" i="8"/>
  <c r="AV147" i="8"/>
  <c r="L147" i="8"/>
  <c r="AX147" i="8"/>
  <c r="N147" i="8"/>
  <c r="E148" i="8"/>
  <c r="AP148" i="8"/>
  <c r="F148" i="8"/>
  <c r="AR148" i="8"/>
  <c r="H148" i="8"/>
  <c r="AT148" i="8"/>
  <c r="J148" i="8"/>
  <c r="AV148" i="8"/>
  <c r="L148" i="8"/>
  <c r="AX148" i="8"/>
  <c r="N148" i="8"/>
  <c r="E149" i="8"/>
  <c r="AP149" i="8"/>
  <c r="F149" i="8"/>
  <c r="AR149" i="8"/>
  <c r="H149" i="8"/>
  <c r="AT149" i="8"/>
  <c r="J149" i="8"/>
  <c r="AV149" i="8"/>
  <c r="L149" i="8"/>
  <c r="AX149" i="8"/>
  <c r="N149" i="8"/>
  <c r="E150" i="8"/>
  <c r="AP150" i="8"/>
  <c r="F150" i="8"/>
  <c r="AR150" i="8"/>
  <c r="H150" i="8"/>
  <c r="AT150" i="8"/>
  <c r="J150" i="8"/>
  <c r="AV150" i="8"/>
  <c r="L150" i="8"/>
  <c r="AX150" i="8"/>
  <c r="N150" i="8"/>
  <c r="E9" i="8"/>
  <c r="AP9" i="8"/>
  <c r="F9" i="8"/>
  <c r="AR9" i="8"/>
  <c r="H9" i="8"/>
  <c r="AT9" i="8"/>
  <c r="J9" i="8"/>
  <c r="AV9" i="8"/>
  <c r="L9" i="8"/>
  <c r="AX9" i="8"/>
  <c r="N9" i="8"/>
  <c r="E10" i="8"/>
  <c r="AP10" i="8"/>
  <c r="F10" i="8"/>
  <c r="AR10" i="8"/>
  <c r="H10" i="8"/>
  <c r="AT10" i="8"/>
  <c r="J10" i="8"/>
  <c r="AV10" i="8"/>
  <c r="L10" i="8"/>
  <c r="AX10" i="8"/>
  <c r="N10" i="8"/>
  <c r="E11" i="8"/>
  <c r="AP11" i="8"/>
  <c r="F11" i="8"/>
  <c r="AR11" i="8"/>
  <c r="H11" i="8"/>
  <c r="AT11" i="8"/>
  <c r="J11" i="8"/>
  <c r="AV11" i="8"/>
  <c r="L11" i="8"/>
  <c r="AX11" i="8"/>
  <c r="N11" i="8"/>
  <c r="E151" i="8"/>
  <c r="AP151" i="8"/>
  <c r="F151" i="8"/>
  <c r="AR151" i="8"/>
  <c r="H151" i="8"/>
  <c r="AT151" i="8"/>
  <c r="J151" i="8"/>
  <c r="AV151" i="8"/>
  <c r="L151" i="8"/>
  <c r="AX151" i="8"/>
  <c r="N151" i="8"/>
  <c r="AY151" i="8"/>
  <c r="O151" i="8"/>
  <c r="AZ151" i="8"/>
  <c r="P151" i="8"/>
  <c r="BA151" i="8"/>
  <c r="Q151" i="8"/>
  <c r="B151" i="8"/>
  <c r="E152" i="8"/>
  <c r="AP152" i="8"/>
  <c r="F152" i="8"/>
  <c r="AR152" i="8"/>
  <c r="H152" i="8"/>
  <c r="AT152" i="8"/>
  <c r="J152" i="8"/>
  <c r="AV152" i="8"/>
  <c r="L152" i="8"/>
  <c r="AX152" i="8"/>
  <c r="N152" i="8"/>
  <c r="AY152" i="8"/>
  <c r="O152" i="8"/>
  <c r="AZ152" i="8"/>
  <c r="P152" i="8"/>
  <c r="BA152" i="8"/>
  <c r="Q152" i="8"/>
  <c r="B152" i="8"/>
  <c r="E153" i="8"/>
  <c r="AP153" i="8"/>
  <c r="F153" i="8"/>
  <c r="AR153" i="8"/>
  <c r="H153" i="8"/>
  <c r="AT153" i="8"/>
  <c r="J153" i="8"/>
  <c r="AV153" i="8"/>
  <c r="L153" i="8"/>
  <c r="AX153" i="8"/>
  <c r="N153" i="8"/>
  <c r="AY153" i="8"/>
  <c r="O153" i="8"/>
  <c r="AZ153" i="8"/>
  <c r="P153" i="8"/>
  <c r="BA153" i="8"/>
  <c r="Q153" i="8"/>
  <c r="B153" i="8"/>
  <c r="E154" i="8"/>
  <c r="AP154" i="8"/>
  <c r="F154" i="8"/>
  <c r="AR154" i="8"/>
  <c r="H154" i="8"/>
  <c r="AT154" i="8"/>
  <c r="J154" i="8"/>
  <c r="AV154" i="8"/>
  <c r="L154" i="8"/>
  <c r="AX154" i="8"/>
  <c r="N154" i="8"/>
  <c r="AY154" i="8"/>
  <c r="O154" i="8"/>
  <c r="AZ154" i="8"/>
  <c r="P154" i="8"/>
  <c r="BA154" i="8"/>
  <c r="Q154" i="8"/>
  <c r="B154" i="8"/>
  <c r="E155" i="8"/>
  <c r="AP155" i="8"/>
  <c r="F155" i="8"/>
  <c r="AR155" i="8"/>
  <c r="H155" i="8"/>
  <c r="AT155" i="8"/>
  <c r="J155" i="8"/>
  <c r="AV155" i="8"/>
  <c r="L155" i="8"/>
  <c r="AX155" i="8"/>
  <c r="N155" i="8"/>
  <c r="AY155" i="8"/>
  <c r="O155" i="8"/>
  <c r="AZ155" i="8"/>
  <c r="P155" i="8"/>
  <c r="BA155" i="8"/>
  <c r="Q155" i="8"/>
  <c r="B155" i="8"/>
  <c r="E156" i="8"/>
  <c r="AP156" i="8"/>
  <c r="F156" i="8"/>
  <c r="AR156" i="8"/>
  <c r="H156" i="8"/>
  <c r="AT156" i="8"/>
  <c r="J156" i="8"/>
  <c r="AV156" i="8"/>
  <c r="L156" i="8"/>
  <c r="AX156" i="8"/>
  <c r="N156" i="8"/>
  <c r="AY156" i="8"/>
  <c r="O156" i="8"/>
  <c r="AZ156" i="8"/>
  <c r="P156" i="8"/>
  <c r="BA156" i="8"/>
  <c r="Q156" i="8"/>
  <c r="B156" i="8"/>
  <c r="E157" i="8"/>
  <c r="AP157" i="8"/>
  <c r="F157" i="8"/>
  <c r="AR157" i="8"/>
  <c r="H157" i="8"/>
  <c r="AT157" i="8"/>
  <c r="J157" i="8"/>
  <c r="AV157" i="8"/>
  <c r="L157" i="8"/>
  <c r="AX157" i="8"/>
  <c r="N157" i="8"/>
  <c r="AY157" i="8"/>
  <c r="O157" i="8"/>
  <c r="AZ157" i="8"/>
  <c r="P157" i="8"/>
  <c r="BA157" i="8"/>
  <c r="Q157" i="8"/>
  <c r="B157" i="8"/>
  <c r="E158" i="8"/>
  <c r="AP158" i="8"/>
  <c r="F158" i="8"/>
  <c r="AR158" i="8"/>
  <c r="H158" i="8"/>
  <c r="AT158" i="8"/>
  <c r="J158" i="8"/>
  <c r="AV158" i="8"/>
  <c r="L158" i="8"/>
  <c r="AX158" i="8"/>
  <c r="N158" i="8"/>
  <c r="AY158" i="8"/>
  <c r="O158" i="8"/>
  <c r="AZ158" i="8"/>
  <c r="P158" i="8"/>
  <c r="BA158" i="8"/>
  <c r="Q158" i="8"/>
  <c r="B158" i="8"/>
  <c r="E159" i="8"/>
  <c r="AP159" i="8"/>
  <c r="F159" i="8"/>
  <c r="AR159" i="8"/>
  <c r="H159" i="8"/>
  <c r="AT159" i="8"/>
  <c r="J159" i="8"/>
  <c r="AV159" i="8"/>
  <c r="L159" i="8"/>
  <c r="AX159" i="8"/>
  <c r="N159" i="8"/>
  <c r="AY159" i="8"/>
  <c r="O159" i="8"/>
  <c r="AZ159" i="8"/>
  <c r="P159" i="8"/>
  <c r="BA159" i="8"/>
  <c r="Q159" i="8"/>
  <c r="B159" i="8"/>
  <c r="E160" i="8"/>
  <c r="AP160" i="8"/>
  <c r="F160" i="8"/>
  <c r="AR160" i="8"/>
  <c r="H160" i="8"/>
  <c r="AT160" i="8"/>
  <c r="J160" i="8"/>
  <c r="AV160" i="8"/>
  <c r="L160" i="8"/>
  <c r="AX160" i="8"/>
  <c r="N160" i="8"/>
  <c r="AY160" i="8"/>
  <c r="O160" i="8"/>
  <c r="AZ160" i="8"/>
  <c r="P160" i="8"/>
  <c r="BA160" i="8"/>
  <c r="Q160" i="8"/>
  <c r="B160" i="8"/>
  <c r="E161" i="8"/>
  <c r="AP161" i="8"/>
  <c r="F161" i="8"/>
  <c r="AR161" i="8"/>
  <c r="H161" i="8"/>
  <c r="AT161" i="8"/>
  <c r="J161" i="8"/>
  <c r="AV161" i="8"/>
  <c r="L161" i="8"/>
  <c r="AX161" i="8"/>
  <c r="N161" i="8"/>
  <c r="AY161" i="8"/>
  <c r="O161" i="8"/>
  <c r="AZ161" i="8"/>
  <c r="P161" i="8"/>
  <c r="BA161" i="8"/>
  <c r="Q161" i="8"/>
  <c r="B161" i="8"/>
  <c r="E162" i="8"/>
  <c r="AP162" i="8"/>
  <c r="F162" i="8"/>
  <c r="AR162" i="8"/>
  <c r="H162" i="8"/>
  <c r="AT162" i="8"/>
  <c r="J162" i="8"/>
  <c r="AV162" i="8"/>
  <c r="L162" i="8"/>
  <c r="AX162" i="8"/>
  <c r="N162" i="8"/>
  <c r="AY162" i="8"/>
  <c r="O162" i="8"/>
  <c r="AZ162" i="8"/>
  <c r="P162" i="8"/>
  <c r="BA162" i="8"/>
  <c r="Q162" i="8"/>
  <c r="B162" i="8"/>
  <c r="E163" i="8"/>
  <c r="AP163" i="8"/>
  <c r="F163" i="8"/>
  <c r="AR163" i="8"/>
  <c r="H163" i="8"/>
  <c r="AT163" i="8"/>
  <c r="J163" i="8"/>
  <c r="AV163" i="8"/>
  <c r="L163" i="8"/>
  <c r="AX163" i="8"/>
  <c r="N163" i="8"/>
  <c r="AY163" i="8"/>
  <c r="O163" i="8"/>
  <c r="AZ163" i="8"/>
  <c r="P163" i="8"/>
  <c r="BA163" i="8"/>
  <c r="Q163" i="8"/>
  <c r="B163" i="8"/>
  <c r="E164" i="8"/>
  <c r="AP164" i="8"/>
  <c r="F164" i="8"/>
  <c r="AR164" i="8"/>
  <c r="H164" i="8"/>
  <c r="AT164" i="8"/>
  <c r="J164" i="8"/>
  <c r="AV164" i="8"/>
  <c r="L164" i="8"/>
  <c r="AX164" i="8"/>
  <c r="N164" i="8"/>
  <c r="AY164" i="8"/>
  <c r="O164" i="8"/>
  <c r="AZ164" i="8"/>
  <c r="P164" i="8"/>
  <c r="BA164" i="8"/>
  <c r="Q164" i="8"/>
  <c r="B164" i="8"/>
  <c r="E165" i="8"/>
  <c r="AP165" i="8"/>
  <c r="F165" i="8"/>
  <c r="AR165" i="8"/>
  <c r="H165" i="8"/>
  <c r="AT165" i="8"/>
  <c r="J165" i="8"/>
  <c r="AV165" i="8"/>
  <c r="L165" i="8"/>
  <c r="AX165" i="8"/>
  <c r="N165" i="8"/>
  <c r="AY165" i="8"/>
  <c r="O165" i="8"/>
  <c r="AZ165" i="8"/>
  <c r="P165" i="8"/>
  <c r="BA165" i="8"/>
  <c r="Q165" i="8"/>
  <c r="B165" i="8"/>
  <c r="E166" i="8"/>
  <c r="AP166" i="8"/>
  <c r="F166" i="8"/>
  <c r="AR166" i="8"/>
  <c r="H166" i="8"/>
  <c r="AT166" i="8"/>
  <c r="J166" i="8"/>
  <c r="AV166" i="8"/>
  <c r="L166" i="8"/>
  <c r="AX166" i="8"/>
  <c r="N166" i="8"/>
  <c r="AY166" i="8"/>
  <c r="O166" i="8"/>
  <c r="AZ166" i="8"/>
  <c r="P166" i="8"/>
  <c r="BA166" i="8"/>
  <c r="Q166" i="8"/>
  <c r="B166" i="8"/>
  <c r="E167" i="8"/>
  <c r="AP167" i="8"/>
  <c r="F167" i="8"/>
  <c r="AR167" i="8"/>
  <c r="H167" i="8"/>
  <c r="AT167" i="8"/>
  <c r="J167" i="8"/>
  <c r="AV167" i="8"/>
  <c r="L167" i="8"/>
  <c r="AX167" i="8"/>
  <c r="N167" i="8"/>
  <c r="AY167" i="8"/>
  <c r="O167" i="8"/>
  <c r="AZ167" i="8"/>
  <c r="P167" i="8"/>
  <c r="BA167" i="8"/>
  <c r="Q167" i="8"/>
  <c r="B167" i="8"/>
  <c r="E168" i="8"/>
  <c r="AP168" i="8"/>
  <c r="F168" i="8"/>
  <c r="AR168" i="8"/>
  <c r="H168" i="8"/>
  <c r="AT168" i="8"/>
  <c r="J168" i="8"/>
  <c r="AV168" i="8"/>
  <c r="L168" i="8"/>
  <c r="AX168" i="8"/>
  <c r="N168" i="8"/>
  <c r="AY168" i="8"/>
  <c r="O168" i="8"/>
  <c r="AZ168" i="8"/>
  <c r="P168" i="8"/>
  <c r="BA168" i="8"/>
  <c r="Q168" i="8"/>
  <c r="B168" i="8"/>
  <c r="E169" i="8"/>
  <c r="AP169" i="8"/>
  <c r="F169" i="8"/>
  <c r="AR169" i="8"/>
  <c r="H169" i="8"/>
  <c r="AT169" i="8"/>
  <c r="J169" i="8"/>
  <c r="AV169" i="8"/>
  <c r="L169" i="8"/>
  <c r="AX169" i="8"/>
  <c r="N169" i="8"/>
  <c r="AY169" i="8"/>
  <c r="O169" i="8"/>
  <c r="AZ169" i="8"/>
  <c r="P169" i="8"/>
  <c r="BA169" i="8"/>
  <c r="Q169" i="8"/>
  <c r="B169" i="8"/>
  <c r="E170" i="8"/>
  <c r="AP170" i="8"/>
  <c r="F170" i="8"/>
  <c r="AR170" i="8"/>
  <c r="H170" i="8"/>
  <c r="AT170" i="8"/>
  <c r="J170" i="8"/>
  <c r="AV170" i="8"/>
  <c r="L170" i="8"/>
  <c r="AX170" i="8"/>
  <c r="N170" i="8"/>
  <c r="AY170" i="8"/>
  <c r="O170" i="8"/>
  <c r="AZ170" i="8"/>
  <c r="P170" i="8"/>
  <c r="BA170" i="8"/>
  <c r="Q170" i="8"/>
  <c r="B170" i="8"/>
  <c r="E171" i="8"/>
  <c r="AP171" i="8"/>
  <c r="F171" i="8"/>
  <c r="AR171" i="8"/>
  <c r="H171" i="8"/>
  <c r="AT171" i="8"/>
  <c r="J171" i="8"/>
  <c r="AV171" i="8"/>
  <c r="L171" i="8"/>
  <c r="AX171" i="8"/>
  <c r="N171" i="8"/>
  <c r="AY171" i="8"/>
  <c r="O171" i="8"/>
  <c r="AZ171" i="8"/>
  <c r="P171" i="8"/>
  <c r="BA171" i="8"/>
  <c r="Q171" i="8"/>
  <c r="B171" i="8"/>
  <c r="E172" i="8"/>
  <c r="AP172" i="8"/>
  <c r="F172" i="8"/>
  <c r="AR172" i="8"/>
  <c r="H172" i="8"/>
  <c r="AT172" i="8"/>
  <c r="J172" i="8"/>
  <c r="AV172" i="8"/>
  <c r="L172" i="8"/>
  <c r="AX172" i="8"/>
  <c r="N172" i="8"/>
  <c r="AY172" i="8"/>
  <c r="O172" i="8"/>
  <c r="AZ172" i="8"/>
  <c r="P172" i="8"/>
  <c r="BA172" i="8"/>
  <c r="Q172" i="8"/>
  <c r="B172" i="8"/>
  <c r="E12" i="8"/>
  <c r="AP12" i="8"/>
  <c r="F12" i="8"/>
  <c r="AR12" i="8"/>
  <c r="H12" i="8"/>
  <c r="AT12" i="8"/>
  <c r="J12" i="8"/>
  <c r="AV12" i="8"/>
  <c r="L12" i="8"/>
  <c r="AX12" i="8"/>
  <c r="N12" i="8"/>
  <c r="AY12" i="8"/>
  <c r="O12" i="8"/>
  <c r="AZ12" i="8"/>
  <c r="P12" i="8"/>
  <c r="BA12" i="8"/>
  <c r="Q12" i="8"/>
  <c r="B12" i="8"/>
  <c r="E173" i="8"/>
  <c r="AP173" i="8"/>
  <c r="F173" i="8"/>
  <c r="AR173" i="8"/>
  <c r="H173" i="8"/>
  <c r="AT173" i="8"/>
  <c r="J173" i="8"/>
  <c r="AV173" i="8"/>
  <c r="L173" i="8"/>
  <c r="AX173" i="8"/>
  <c r="N173" i="8"/>
  <c r="AY173" i="8"/>
  <c r="O173" i="8"/>
  <c r="AZ173" i="8"/>
  <c r="P173" i="8"/>
  <c r="BA173" i="8"/>
  <c r="Q173" i="8"/>
  <c r="B173" i="8"/>
  <c r="E174" i="8"/>
  <c r="AP174" i="8"/>
  <c r="F174" i="8"/>
  <c r="AR174" i="8"/>
  <c r="H174" i="8"/>
  <c r="AT174" i="8"/>
  <c r="J174" i="8"/>
  <c r="AV174" i="8"/>
  <c r="L174" i="8"/>
  <c r="AX174" i="8"/>
  <c r="N174" i="8"/>
  <c r="AY174" i="8"/>
  <c r="O174" i="8"/>
  <c r="AZ174" i="8"/>
  <c r="P174" i="8"/>
  <c r="BA174" i="8"/>
  <c r="Q174" i="8"/>
  <c r="B174" i="8"/>
  <c r="E175" i="8"/>
  <c r="AP175" i="8"/>
  <c r="F175" i="8"/>
  <c r="AR175" i="8"/>
  <c r="H175" i="8"/>
  <c r="AT175" i="8"/>
  <c r="J175" i="8"/>
  <c r="AV175" i="8"/>
  <c r="L175" i="8"/>
  <c r="AX175" i="8"/>
  <c r="N175" i="8"/>
  <c r="AY175" i="8"/>
  <c r="O175" i="8"/>
  <c r="AZ175" i="8"/>
  <c r="P175" i="8"/>
  <c r="BA175" i="8"/>
  <c r="Q175" i="8"/>
  <c r="B175" i="8"/>
  <c r="E176" i="8"/>
  <c r="AP176" i="8"/>
  <c r="F176" i="8"/>
  <c r="AR176" i="8"/>
  <c r="H176" i="8"/>
  <c r="AT176" i="8"/>
  <c r="J176" i="8"/>
  <c r="AV176" i="8"/>
  <c r="L176" i="8"/>
  <c r="AX176" i="8"/>
  <c r="N176" i="8"/>
  <c r="AY176" i="8"/>
  <c r="O176" i="8"/>
  <c r="AZ176" i="8"/>
  <c r="P176" i="8"/>
  <c r="BA176" i="8"/>
  <c r="Q176" i="8"/>
  <c r="B176" i="8"/>
  <c r="E177" i="8"/>
  <c r="AP177" i="8"/>
  <c r="F177" i="8"/>
  <c r="AR177" i="8"/>
  <c r="H177" i="8"/>
  <c r="AT177" i="8"/>
  <c r="J177" i="8"/>
  <c r="AV177" i="8"/>
  <c r="L177" i="8"/>
  <c r="AX177" i="8"/>
  <c r="N177" i="8"/>
  <c r="AY177" i="8"/>
  <c r="O177" i="8"/>
  <c r="AZ177" i="8"/>
  <c r="P177" i="8"/>
  <c r="BA177" i="8"/>
  <c r="Q177" i="8"/>
  <c r="B177" i="8"/>
  <c r="E178" i="8"/>
  <c r="AP178" i="8"/>
  <c r="F178" i="8"/>
  <c r="AR178" i="8"/>
  <c r="H178" i="8"/>
  <c r="AT178" i="8"/>
  <c r="J178" i="8"/>
  <c r="AV178" i="8"/>
  <c r="L178" i="8"/>
  <c r="AX178" i="8"/>
  <c r="N178" i="8"/>
  <c r="AY178" i="8"/>
  <c r="O178" i="8"/>
  <c r="AZ178" i="8"/>
  <c r="P178" i="8"/>
  <c r="BA178" i="8"/>
  <c r="Q178" i="8"/>
  <c r="B178" i="8"/>
  <c r="E179" i="8"/>
  <c r="AP179" i="8"/>
  <c r="F179" i="8"/>
  <c r="AR179" i="8"/>
  <c r="H179" i="8"/>
  <c r="AT179" i="8"/>
  <c r="J179" i="8"/>
  <c r="AV179" i="8"/>
  <c r="L179" i="8"/>
  <c r="AX179" i="8"/>
  <c r="N179" i="8"/>
  <c r="AY179" i="8"/>
  <c r="O179" i="8"/>
  <c r="AZ179" i="8"/>
  <c r="P179" i="8"/>
  <c r="BA179" i="8"/>
  <c r="Q179" i="8"/>
  <c r="B179" i="8"/>
  <c r="E180" i="8"/>
  <c r="AP180" i="8"/>
  <c r="F180" i="8"/>
  <c r="AR180" i="8"/>
  <c r="H180" i="8"/>
  <c r="AT180" i="8"/>
  <c r="J180" i="8"/>
  <c r="AV180" i="8"/>
  <c r="L180" i="8"/>
  <c r="AX180" i="8"/>
  <c r="N180" i="8"/>
  <c r="AY180" i="8"/>
  <c r="O180" i="8"/>
  <c r="AZ180" i="8"/>
  <c r="P180" i="8"/>
  <c r="BA180" i="8"/>
  <c r="Q180" i="8"/>
  <c r="B180" i="8"/>
  <c r="E181" i="8"/>
  <c r="AP181" i="8"/>
  <c r="F181" i="8"/>
  <c r="AR181" i="8"/>
  <c r="H181" i="8"/>
  <c r="AT181" i="8"/>
  <c r="J181" i="8"/>
  <c r="AV181" i="8"/>
  <c r="L181" i="8"/>
  <c r="AX181" i="8"/>
  <c r="N181" i="8"/>
  <c r="AY181" i="8"/>
  <c r="O181" i="8"/>
  <c r="AZ181" i="8"/>
  <c r="P181" i="8"/>
  <c r="BA181" i="8"/>
  <c r="Q181" i="8"/>
  <c r="B181" i="8"/>
  <c r="E182" i="8"/>
  <c r="AP182" i="8"/>
  <c r="F182" i="8"/>
  <c r="AR182" i="8"/>
  <c r="H182" i="8"/>
  <c r="AT182" i="8"/>
  <c r="J182" i="8"/>
  <c r="AV182" i="8"/>
  <c r="L182" i="8"/>
  <c r="AX182" i="8"/>
  <c r="N182" i="8"/>
  <c r="AY182" i="8"/>
  <c r="O182" i="8"/>
  <c r="AZ182" i="8"/>
  <c r="P182" i="8"/>
  <c r="BA182" i="8"/>
  <c r="Q182" i="8"/>
  <c r="B182" i="8"/>
  <c r="E13" i="8"/>
  <c r="AP13" i="8"/>
  <c r="F13" i="8"/>
  <c r="AR13" i="8"/>
  <c r="H13" i="8"/>
  <c r="AT13" i="8"/>
  <c r="J13" i="8"/>
  <c r="AV13" i="8"/>
  <c r="L13" i="8"/>
  <c r="AX13" i="8"/>
  <c r="N13" i="8"/>
  <c r="AY13" i="8"/>
  <c r="O13" i="8"/>
  <c r="AZ13" i="8"/>
  <c r="P13" i="8"/>
  <c r="BA13" i="8"/>
  <c r="Q13" i="8"/>
  <c r="B13" i="8"/>
  <c r="E183" i="8"/>
  <c r="AP183" i="8"/>
  <c r="F183" i="8"/>
  <c r="AR183" i="8"/>
  <c r="H183" i="8"/>
  <c r="AT183" i="8"/>
  <c r="J183" i="8"/>
  <c r="AV183" i="8"/>
  <c r="L183" i="8"/>
  <c r="AX183" i="8"/>
  <c r="N183" i="8"/>
  <c r="AY183" i="8"/>
  <c r="O183" i="8"/>
  <c r="AZ183" i="8"/>
  <c r="P183" i="8"/>
  <c r="BA183" i="8"/>
  <c r="Q183" i="8"/>
  <c r="B183" i="8"/>
  <c r="E184" i="8"/>
  <c r="AP184" i="8"/>
  <c r="F184" i="8"/>
  <c r="AR184" i="8"/>
  <c r="H184" i="8"/>
  <c r="AT184" i="8"/>
  <c r="J184" i="8"/>
  <c r="AV184" i="8"/>
  <c r="L184" i="8"/>
  <c r="AX184" i="8"/>
  <c r="N184" i="8"/>
  <c r="AY184" i="8"/>
  <c r="O184" i="8"/>
  <c r="AZ184" i="8"/>
  <c r="P184" i="8"/>
  <c r="BA184" i="8"/>
  <c r="Q184" i="8"/>
  <c r="B184" i="8"/>
  <c r="E185" i="8"/>
  <c r="AP185" i="8"/>
  <c r="F185" i="8"/>
  <c r="AR185" i="8"/>
  <c r="H185" i="8"/>
  <c r="AT185" i="8"/>
  <c r="J185" i="8"/>
  <c r="AV185" i="8"/>
  <c r="L185" i="8"/>
  <c r="AX185" i="8"/>
  <c r="N185" i="8"/>
  <c r="AY185" i="8"/>
  <c r="O185" i="8"/>
  <c r="AZ185" i="8"/>
  <c r="P185" i="8"/>
  <c r="BA185" i="8"/>
  <c r="Q185" i="8"/>
  <c r="B185" i="8"/>
  <c r="E186" i="8"/>
  <c r="AP186" i="8"/>
  <c r="F186" i="8"/>
  <c r="AR186" i="8"/>
  <c r="H186" i="8"/>
  <c r="AT186" i="8"/>
  <c r="J186" i="8"/>
  <c r="AV186" i="8"/>
  <c r="L186" i="8"/>
  <c r="AX186" i="8"/>
  <c r="N186" i="8"/>
  <c r="E187" i="8"/>
  <c r="AP187" i="8"/>
  <c r="F187" i="8"/>
  <c r="AR187" i="8"/>
  <c r="H187" i="8"/>
  <c r="AT187" i="8"/>
  <c r="J187" i="8"/>
  <c r="AV187" i="8"/>
  <c r="L187" i="8"/>
  <c r="AX187" i="8"/>
  <c r="N187" i="8"/>
  <c r="E188" i="8"/>
  <c r="AP188" i="8"/>
  <c r="F188" i="8"/>
  <c r="AR188" i="8"/>
  <c r="H188" i="8"/>
  <c r="AT188" i="8"/>
  <c r="J188" i="8"/>
  <c r="AV188" i="8"/>
  <c r="L188" i="8"/>
  <c r="AX188" i="8"/>
  <c r="N188" i="8"/>
  <c r="E189" i="8"/>
  <c r="AP189" i="8"/>
  <c r="F189" i="8"/>
  <c r="AR189" i="8"/>
  <c r="H189" i="8"/>
  <c r="AT189" i="8"/>
  <c r="J189" i="8"/>
  <c r="AV189" i="8"/>
  <c r="L189" i="8"/>
  <c r="AX189" i="8"/>
  <c r="N189" i="8"/>
  <c r="E190" i="8"/>
  <c r="AP190" i="8"/>
  <c r="F190" i="8"/>
  <c r="AR190" i="8"/>
  <c r="H190" i="8"/>
  <c r="AT190" i="8"/>
  <c r="J190" i="8"/>
  <c r="AV190" i="8"/>
  <c r="L190" i="8"/>
  <c r="AX190" i="8"/>
  <c r="N190" i="8"/>
  <c r="E191" i="8"/>
  <c r="AP191" i="8"/>
  <c r="F191" i="8"/>
  <c r="AR191" i="8"/>
  <c r="H191" i="8"/>
  <c r="AT191" i="8"/>
  <c r="J191" i="8"/>
  <c r="AV191" i="8"/>
  <c r="L191" i="8"/>
  <c r="AX191" i="8"/>
  <c r="N191" i="8"/>
  <c r="E192" i="8"/>
  <c r="AP192" i="8"/>
  <c r="F192" i="8"/>
  <c r="AR192" i="8"/>
  <c r="H192" i="8"/>
  <c r="AT192" i="8"/>
  <c r="J192" i="8"/>
  <c r="AV192" i="8"/>
  <c r="L192" i="8"/>
  <c r="AX192" i="8"/>
  <c r="N192" i="8"/>
  <c r="E193" i="8"/>
  <c r="AP193" i="8"/>
  <c r="F193" i="8"/>
  <c r="AR193" i="8"/>
  <c r="H193" i="8"/>
  <c r="AT193" i="8"/>
  <c r="J193" i="8"/>
  <c r="AV193" i="8"/>
  <c r="L193" i="8"/>
  <c r="AX193" i="8"/>
  <c r="N193" i="8"/>
  <c r="E194" i="8"/>
  <c r="AP194" i="8"/>
  <c r="F194" i="8"/>
  <c r="AR194" i="8"/>
  <c r="H194" i="8"/>
  <c r="AT194" i="8"/>
  <c r="J194" i="8"/>
  <c r="AV194" i="8"/>
  <c r="L194" i="8"/>
  <c r="AX194" i="8"/>
  <c r="N194" i="8"/>
  <c r="E14" i="8"/>
  <c r="AP14" i="8"/>
  <c r="F14" i="8"/>
  <c r="AR14" i="8"/>
  <c r="H14" i="8"/>
  <c r="AT14" i="8"/>
  <c r="J14" i="8"/>
  <c r="AV14" i="8"/>
  <c r="L14" i="8"/>
  <c r="AX14" i="8"/>
  <c r="N14" i="8"/>
  <c r="E195" i="8"/>
  <c r="AP195" i="8"/>
  <c r="F195" i="8"/>
  <c r="AR195" i="8"/>
  <c r="H195" i="8"/>
  <c r="AT195" i="8"/>
  <c r="J195" i="8"/>
  <c r="AV195" i="8"/>
  <c r="L195" i="8"/>
  <c r="AX195" i="8"/>
  <c r="N195" i="8"/>
  <c r="E196" i="8"/>
  <c r="AP196" i="8"/>
  <c r="F196" i="8"/>
  <c r="AR196" i="8"/>
  <c r="H196" i="8"/>
  <c r="AT196" i="8"/>
  <c r="J196" i="8"/>
  <c r="AV196" i="8"/>
  <c r="L196" i="8"/>
  <c r="AX196" i="8"/>
  <c r="N196" i="8"/>
  <c r="E197" i="8"/>
  <c r="AP197" i="8"/>
  <c r="F197" i="8"/>
  <c r="AR197" i="8"/>
  <c r="H197" i="8"/>
  <c r="AT197" i="8"/>
  <c r="J197" i="8"/>
  <c r="AV197" i="8"/>
  <c r="L197" i="8"/>
  <c r="AX197" i="8"/>
  <c r="N197" i="8"/>
  <c r="E198" i="8"/>
  <c r="AP198" i="8"/>
  <c r="F198" i="8"/>
  <c r="AR198" i="8"/>
  <c r="H198" i="8"/>
  <c r="AT198" i="8"/>
  <c r="J198" i="8"/>
  <c r="AV198" i="8"/>
  <c r="L198" i="8"/>
  <c r="AX198" i="8"/>
  <c r="N198" i="8"/>
  <c r="E199" i="8"/>
  <c r="AP199" i="8"/>
  <c r="F199" i="8"/>
  <c r="AR199" i="8"/>
  <c r="H199" i="8"/>
  <c r="AT199" i="8"/>
  <c r="J199" i="8"/>
  <c r="AV199" i="8"/>
  <c r="L199" i="8"/>
  <c r="AX199" i="8"/>
  <c r="N199" i="8"/>
  <c r="E200" i="8"/>
  <c r="AP200" i="8"/>
  <c r="F200" i="8"/>
  <c r="AR200" i="8"/>
  <c r="H200" i="8"/>
  <c r="AT200" i="8"/>
  <c r="J200" i="8"/>
  <c r="AV200" i="8"/>
  <c r="L200" i="8"/>
  <c r="AX200" i="8"/>
  <c r="N200" i="8"/>
  <c r="E201" i="8"/>
  <c r="AP201" i="8"/>
  <c r="F201" i="8"/>
  <c r="AR201" i="8"/>
  <c r="H201" i="8"/>
  <c r="AT201" i="8"/>
  <c r="J201" i="8"/>
  <c r="AV201" i="8"/>
  <c r="L201" i="8"/>
  <c r="AX201" i="8"/>
  <c r="N201" i="8"/>
  <c r="E15" i="8"/>
  <c r="AP15" i="8"/>
  <c r="F15" i="8"/>
  <c r="AR15" i="8"/>
  <c r="H15" i="8"/>
  <c r="AT15" i="8"/>
  <c r="J15" i="8"/>
  <c r="AV15" i="8"/>
  <c r="L15" i="8"/>
  <c r="AX15" i="8"/>
  <c r="N15" i="8"/>
  <c r="E202" i="8"/>
  <c r="AP202" i="8"/>
  <c r="F202" i="8"/>
  <c r="AR202" i="8"/>
  <c r="H202" i="8"/>
  <c r="AT202" i="8"/>
  <c r="J202" i="8"/>
  <c r="AV202" i="8"/>
  <c r="L202" i="8"/>
  <c r="AX202" i="8"/>
  <c r="N202" i="8"/>
  <c r="E203" i="8"/>
  <c r="AP203" i="8"/>
  <c r="F203" i="8"/>
  <c r="AR203" i="8"/>
  <c r="H203" i="8"/>
  <c r="AT203" i="8"/>
  <c r="J203" i="8"/>
  <c r="AV203" i="8"/>
  <c r="L203" i="8"/>
  <c r="AX203" i="8"/>
  <c r="N203" i="8"/>
  <c r="E16" i="8"/>
  <c r="AP16" i="8"/>
  <c r="F16" i="8"/>
  <c r="AR16" i="8"/>
  <c r="H16" i="8"/>
  <c r="AT16" i="8"/>
  <c r="J16" i="8"/>
  <c r="AV16" i="8"/>
  <c r="L16" i="8"/>
  <c r="AX16" i="8"/>
  <c r="N16" i="8"/>
  <c r="E204" i="8"/>
  <c r="AP204" i="8"/>
  <c r="F204" i="8"/>
  <c r="AR204" i="8"/>
  <c r="H204" i="8"/>
  <c r="AT204" i="8"/>
  <c r="J204" i="8"/>
  <c r="AV204" i="8"/>
  <c r="L204" i="8"/>
  <c r="AX204" i="8"/>
  <c r="N204" i="8"/>
  <c r="E205" i="8"/>
  <c r="AP205" i="8"/>
  <c r="F205" i="8"/>
  <c r="AR205" i="8"/>
  <c r="H205" i="8"/>
  <c r="AT205" i="8"/>
  <c r="J205" i="8"/>
  <c r="AV205" i="8"/>
  <c r="L205" i="8"/>
  <c r="AX205" i="8"/>
  <c r="N205" i="8"/>
  <c r="E206" i="8"/>
  <c r="AP206" i="8"/>
  <c r="F206" i="8"/>
  <c r="AR206" i="8"/>
  <c r="H206" i="8"/>
  <c r="AT206" i="8"/>
  <c r="J206" i="8"/>
  <c r="AV206" i="8"/>
  <c r="L206" i="8"/>
  <c r="AX206" i="8"/>
  <c r="N206" i="8"/>
  <c r="E207" i="8"/>
  <c r="AP207" i="8"/>
  <c r="F207" i="8"/>
  <c r="AR207" i="8"/>
  <c r="H207" i="8"/>
  <c r="AT207" i="8"/>
  <c r="J207" i="8"/>
  <c r="AV207" i="8"/>
  <c r="L207" i="8"/>
  <c r="AX207" i="8"/>
  <c r="N207" i="8"/>
  <c r="E208" i="8"/>
  <c r="AP208" i="8"/>
  <c r="F208" i="8"/>
  <c r="AR208" i="8"/>
  <c r="H208" i="8"/>
  <c r="AT208" i="8"/>
  <c r="J208" i="8"/>
  <c r="AV208" i="8"/>
  <c r="L208" i="8"/>
  <c r="AX208" i="8"/>
  <c r="N208" i="8"/>
  <c r="AY208" i="8"/>
  <c r="O208" i="8"/>
  <c r="AZ208" i="8"/>
  <c r="P208" i="8"/>
  <c r="BA208" i="8"/>
  <c r="Q208" i="8"/>
  <c r="B208" i="8"/>
  <c r="E209" i="8"/>
  <c r="AP209" i="8"/>
  <c r="F209" i="8"/>
  <c r="AR209" i="8"/>
  <c r="H209" i="8"/>
  <c r="AT209" i="8"/>
  <c r="J209" i="8"/>
  <c r="AV209" i="8"/>
  <c r="L209" i="8"/>
  <c r="AX209" i="8"/>
  <c r="N209" i="8"/>
  <c r="AY209" i="8"/>
  <c r="O209" i="8"/>
  <c r="AZ209" i="8"/>
  <c r="P209" i="8"/>
  <c r="BA209" i="8"/>
  <c r="Q209" i="8"/>
  <c r="B209" i="8"/>
  <c r="E17" i="8"/>
  <c r="AP17" i="8"/>
  <c r="F17" i="8"/>
  <c r="AR17" i="8"/>
  <c r="H17" i="8"/>
  <c r="AT17" i="8"/>
  <c r="J17" i="8"/>
  <c r="AV17" i="8"/>
  <c r="L17" i="8"/>
  <c r="AX17" i="8"/>
  <c r="N17" i="8"/>
  <c r="AY17" i="8"/>
  <c r="O17" i="8"/>
  <c r="AZ17" i="8"/>
  <c r="P17" i="8"/>
  <c r="BA17" i="8"/>
  <c r="Q17" i="8"/>
  <c r="B17" i="8"/>
  <c r="E210" i="8"/>
  <c r="AP210" i="8"/>
  <c r="F210" i="8"/>
  <c r="AR210" i="8"/>
  <c r="H210" i="8"/>
  <c r="AT210" i="8"/>
  <c r="J210" i="8"/>
  <c r="AV210" i="8"/>
  <c r="L210" i="8"/>
  <c r="AX210" i="8"/>
  <c r="N210" i="8"/>
  <c r="AY210" i="8"/>
  <c r="O210" i="8"/>
  <c r="AZ210" i="8"/>
  <c r="P210" i="8"/>
  <c r="BA210" i="8"/>
  <c r="Q210" i="8"/>
  <c r="B210" i="8"/>
  <c r="E211" i="8"/>
  <c r="AP211" i="8"/>
  <c r="F211" i="8"/>
  <c r="AR211" i="8"/>
  <c r="H211" i="8"/>
  <c r="AT211" i="8"/>
  <c r="J211" i="8"/>
  <c r="AV211" i="8"/>
  <c r="L211" i="8"/>
  <c r="AX211" i="8"/>
  <c r="N211" i="8"/>
  <c r="AY211" i="8"/>
  <c r="O211" i="8"/>
  <c r="AZ211" i="8"/>
  <c r="P211" i="8"/>
  <c r="BA211" i="8"/>
  <c r="Q211" i="8"/>
  <c r="B211" i="8"/>
  <c r="E212" i="8"/>
  <c r="AP212" i="8"/>
  <c r="F212" i="8"/>
  <c r="AR212" i="8"/>
  <c r="H212" i="8"/>
  <c r="AT212" i="8"/>
  <c r="J212" i="8"/>
  <c r="AV212" i="8"/>
  <c r="L212" i="8"/>
  <c r="AX212" i="8"/>
  <c r="N212" i="8"/>
  <c r="AY212" i="8"/>
  <c r="O212" i="8"/>
  <c r="AZ212" i="8"/>
  <c r="P212" i="8"/>
  <c r="BA212" i="8"/>
  <c r="Q212" i="8"/>
  <c r="B212" i="8"/>
  <c r="E213" i="8"/>
  <c r="AP213" i="8"/>
  <c r="F213" i="8"/>
  <c r="AR213" i="8"/>
  <c r="H213" i="8"/>
  <c r="AT213" i="8"/>
  <c r="J213" i="8"/>
  <c r="AV213" i="8"/>
  <c r="L213" i="8"/>
  <c r="AX213" i="8"/>
  <c r="N213" i="8"/>
  <c r="AY213" i="8"/>
  <c r="O213" i="8"/>
  <c r="AZ213" i="8"/>
  <c r="P213" i="8"/>
  <c r="BA213" i="8"/>
  <c r="Q213" i="8"/>
  <c r="B213" i="8"/>
  <c r="E214" i="8"/>
  <c r="AP214" i="8"/>
  <c r="F214" i="8"/>
  <c r="AR214" i="8"/>
  <c r="H214" i="8"/>
  <c r="AT214" i="8"/>
  <c r="J214" i="8"/>
  <c r="AV214" i="8"/>
  <c r="L214" i="8"/>
  <c r="AX214" i="8"/>
  <c r="N214" i="8"/>
  <c r="AY214" i="8"/>
  <c r="O214" i="8"/>
  <c r="AZ214" i="8"/>
  <c r="P214" i="8"/>
  <c r="BA214" i="8"/>
  <c r="Q214" i="8"/>
  <c r="B214" i="8"/>
  <c r="E215" i="8"/>
  <c r="AP215" i="8"/>
  <c r="F215" i="8"/>
  <c r="AR215" i="8"/>
  <c r="H215" i="8"/>
  <c r="AT215" i="8"/>
  <c r="J215" i="8"/>
  <c r="AV215" i="8"/>
  <c r="L215" i="8"/>
  <c r="AX215" i="8"/>
  <c r="N215" i="8"/>
  <c r="AY215" i="8"/>
  <c r="O215" i="8"/>
  <c r="AZ215" i="8"/>
  <c r="P215" i="8"/>
  <c r="BA215" i="8"/>
  <c r="Q215" i="8"/>
  <c r="B215" i="8"/>
  <c r="E216" i="8"/>
  <c r="AP216" i="8"/>
  <c r="F216" i="8"/>
  <c r="AR216" i="8"/>
  <c r="H216" i="8"/>
  <c r="AT216" i="8"/>
  <c r="J216" i="8"/>
  <c r="AV216" i="8"/>
  <c r="L216" i="8"/>
  <c r="AX216" i="8"/>
  <c r="N216" i="8"/>
  <c r="AY216" i="8"/>
  <c r="O216" i="8"/>
  <c r="AZ216" i="8"/>
  <c r="P216" i="8"/>
  <c r="BA216" i="8"/>
  <c r="Q216" i="8"/>
  <c r="B216" i="8"/>
  <c r="E217" i="8"/>
  <c r="AP217" i="8"/>
  <c r="F217" i="8"/>
  <c r="AR217" i="8"/>
  <c r="H217" i="8"/>
  <c r="AT217" i="8"/>
  <c r="J217" i="8"/>
  <c r="AV217" i="8"/>
  <c r="L217" i="8"/>
  <c r="AX217" i="8"/>
  <c r="N217" i="8"/>
  <c r="AY217" i="8"/>
  <c r="O217" i="8"/>
  <c r="AZ217" i="8"/>
  <c r="P217" i="8"/>
  <c r="BA217" i="8"/>
  <c r="Q217" i="8"/>
  <c r="B217" i="8"/>
  <c r="E218" i="8"/>
  <c r="AP218" i="8"/>
  <c r="F218" i="8"/>
  <c r="AR218" i="8"/>
  <c r="H218" i="8"/>
  <c r="AT218" i="8"/>
  <c r="J218" i="8"/>
  <c r="AV218" i="8"/>
  <c r="L218" i="8"/>
  <c r="AX218" i="8"/>
  <c r="N218" i="8"/>
  <c r="AY218" i="8"/>
  <c r="O218" i="8"/>
  <c r="AZ218" i="8"/>
  <c r="P218" i="8"/>
  <c r="BA218" i="8"/>
  <c r="Q218" i="8"/>
  <c r="B218" i="8"/>
  <c r="E18" i="8"/>
  <c r="AP18" i="8"/>
  <c r="F18" i="8"/>
  <c r="AR18" i="8"/>
  <c r="H18" i="8"/>
  <c r="AT18" i="8"/>
  <c r="J18" i="8"/>
  <c r="AV18" i="8"/>
  <c r="L18" i="8"/>
  <c r="AX18" i="8"/>
  <c r="N18" i="8"/>
  <c r="AY18" i="8"/>
  <c r="O18" i="8"/>
  <c r="AZ18" i="8"/>
  <c r="P18" i="8"/>
  <c r="BA18" i="8"/>
  <c r="Q18" i="8"/>
  <c r="B18" i="8"/>
  <c r="E219" i="8"/>
  <c r="AP219" i="8"/>
  <c r="F219" i="8"/>
  <c r="AR219" i="8"/>
  <c r="H219" i="8"/>
  <c r="AT219" i="8"/>
  <c r="J219" i="8"/>
  <c r="AV219" i="8"/>
  <c r="L219" i="8"/>
  <c r="AX219" i="8"/>
  <c r="N219" i="8"/>
  <c r="AY219" i="8"/>
  <c r="O219" i="8"/>
  <c r="AZ219" i="8"/>
  <c r="P219" i="8"/>
  <c r="BA219" i="8"/>
  <c r="Q219" i="8"/>
  <c r="B219" i="8"/>
  <c r="E220" i="8"/>
  <c r="AP220" i="8"/>
  <c r="F220" i="8"/>
  <c r="AR220" i="8"/>
  <c r="H220" i="8"/>
  <c r="AT220" i="8"/>
  <c r="J220" i="8"/>
  <c r="AV220" i="8"/>
  <c r="L220" i="8"/>
  <c r="AX220" i="8"/>
  <c r="N220" i="8"/>
  <c r="AY220" i="8"/>
  <c r="O220" i="8"/>
  <c r="AZ220" i="8"/>
  <c r="P220" i="8"/>
  <c r="BA220" i="8"/>
  <c r="Q220" i="8"/>
  <c r="B220" i="8"/>
  <c r="E19" i="8"/>
  <c r="AP19" i="8"/>
  <c r="F19" i="8"/>
  <c r="AR19" i="8"/>
  <c r="H19" i="8"/>
  <c r="AT19" i="8"/>
  <c r="J19" i="8"/>
  <c r="AV19" i="8"/>
  <c r="L19" i="8"/>
  <c r="AX19" i="8"/>
  <c r="N19" i="8"/>
  <c r="AY19" i="8"/>
  <c r="O19" i="8"/>
  <c r="AZ19" i="8"/>
  <c r="P19" i="8"/>
  <c r="BA19" i="8"/>
  <c r="Q19" i="8"/>
  <c r="B19" i="8"/>
  <c r="E20" i="8"/>
  <c r="AP20" i="8"/>
  <c r="F20" i="8"/>
  <c r="AR20" i="8"/>
  <c r="H20" i="8"/>
  <c r="AT20" i="8"/>
  <c r="J20" i="8"/>
  <c r="AV20" i="8"/>
  <c r="L20" i="8"/>
  <c r="AX20" i="8"/>
  <c r="N20" i="8"/>
  <c r="AY20" i="8"/>
  <c r="O20" i="8"/>
  <c r="AZ20" i="8"/>
  <c r="P20" i="8"/>
  <c r="BA20" i="8"/>
  <c r="Q20" i="8"/>
  <c r="B20" i="8"/>
  <c r="E21" i="8"/>
  <c r="AP21" i="8"/>
  <c r="F21" i="8"/>
  <c r="AR21" i="8"/>
  <c r="H21" i="8"/>
  <c r="AT21" i="8"/>
  <c r="J21" i="8"/>
  <c r="AV21" i="8"/>
  <c r="L21" i="8"/>
  <c r="AX21" i="8"/>
  <c r="N21" i="8"/>
  <c r="AY21" i="8"/>
  <c r="O21" i="8"/>
  <c r="AZ21" i="8"/>
  <c r="P21" i="8"/>
  <c r="BA21" i="8"/>
  <c r="Q21" i="8"/>
  <c r="B21" i="8"/>
  <c r="E221" i="8"/>
  <c r="AP221" i="8"/>
  <c r="F221" i="8"/>
  <c r="AR221" i="8"/>
  <c r="H221" i="8"/>
  <c r="AT221" i="8"/>
  <c r="J221" i="8"/>
  <c r="AV221" i="8"/>
  <c r="L221" i="8"/>
  <c r="AX221" i="8"/>
  <c r="N221" i="8"/>
  <c r="AY221" i="8"/>
  <c r="O221" i="8"/>
  <c r="AZ221" i="8"/>
  <c r="P221" i="8"/>
  <c r="BA221" i="8"/>
  <c r="Q221" i="8"/>
  <c r="B221" i="8"/>
  <c r="E222" i="8"/>
  <c r="AP222" i="8"/>
  <c r="F222" i="8"/>
  <c r="AR222" i="8"/>
  <c r="H222" i="8"/>
  <c r="AT222" i="8"/>
  <c r="J222" i="8"/>
  <c r="AV222" i="8"/>
  <c r="L222" i="8"/>
  <c r="AX222" i="8"/>
  <c r="N222" i="8"/>
  <c r="AY222" i="8"/>
  <c r="O222" i="8"/>
  <c r="AZ222" i="8"/>
  <c r="P222" i="8"/>
  <c r="BA222" i="8"/>
  <c r="Q222" i="8"/>
  <c r="B222" i="8"/>
  <c r="E223" i="8"/>
  <c r="AP223" i="8"/>
  <c r="F223" i="8"/>
  <c r="AR223" i="8"/>
  <c r="H223" i="8"/>
  <c r="AT223" i="8"/>
  <c r="J223" i="8"/>
  <c r="AV223" i="8"/>
  <c r="L223" i="8"/>
  <c r="AX223" i="8"/>
  <c r="N223" i="8"/>
  <c r="AY223" i="8"/>
  <c r="O223" i="8"/>
  <c r="AZ223" i="8"/>
  <c r="P223" i="8"/>
  <c r="BA223" i="8"/>
  <c r="Q223" i="8"/>
  <c r="B223" i="8"/>
  <c r="E224" i="8"/>
  <c r="AP224" i="8"/>
  <c r="F224" i="8"/>
  <c r="AR224" i="8"/>
  <c r="H224" i="8"/>
  <c r="AT224" i="8"/>
  <c r="J224" i="8"/>
  <c r="AV224" i="8"/>
  <c r="L224" i="8"/>
  <c r="AX224" i="8"/>
  <c r="N224" i="8"/>
  <c r="AY224" i="8"/>
  <c r="O224" i="8"/>
  <c r="AZ224" i="8"/>
  <c r="P224" i="8"/>
  <c r="BA224" i="8"/>
  <c r="Q224" i="8"/>
  <c r="B224" i="8"/>
  <c r="E225" i="8"/>
  <c r="AP225" i="8"/>
  <c r="F225" i="8"/>
  <c r="AR225" i="8"/>
  <c r="H225" i="8"/>
  <c r="AT225" i="8"/>
  <c r="J225" i="8"/>
  <c r="AV225" i="8"/>
  <c r="L225" i="8"/>
  <c r="AX225" i="8"/>
  <c r="N225" i="8"/>
  <c r="AY225" i="8"/>
  <c r="O225" i="8"/>
  <c r="AZ225" i="8"/>
  <c r="P225" i="8"/>
  <c r="BA225" i="8"/>
  <c r="Q225" i="8"/>
  <c r="B225" i="8"/>
  <c r="E226" i="8"/>
  <c r="AP226" i="8"/>
  <c r="F226" i="8"/>
  <c r="AR226" i="8"/>
  <c r="H226" i="8"/>
  <c r="AT226" i="8"/>
  <c r="J226" i="8"/>
  <c r="AV226" i="8"/>
  <c r="L226" i="8"/>
  <c r="AX226" i="8"/>
  <c r="N226" i="8"/>
  <c r="AY226" i="8"/>
  <c r="O226" i="8"/>
  <c r="AZ226" i="8"/>
  <c r="P226" i="8"/>
  <c r="BA226" i="8"/>
  <c r="Q226" i="8"/>
  <c r="B226" i="8"/>
  <c r="E227" i="8"/>
  <c r="AP227" i="8"/>
  <c r="F227" i="8"/>
  <c r="AR227" i="8"/>
  <c r="H227" i="8"/>
  <c r="AT227" i="8"/>
  <c r="J227" i="8"/>
  <c r="AV227" i="8"/>
  <c r="L227" i="8"/>
  <c r="AX227" i="8"/>
  <c r="N227" i="8"/>
  <c r="AY227" i="8"/>
  <c r="O227" i="8"/>
  <c r="AZ227" i="8"/>
  <c r="P227" i="8"/>
  <c r="BA227" i="8"/>
  <c r="Q227" i="8"/>
  <c r="B227" i="8"/>
  <c r="E228" i="8"/>
  <c r="AP228" i="8"/>
  <c r="F228" i="8"/>
  <c r="AR228" i="8"/>
  <c r="H228" i="8"/>
  <c r="AT228" i="8"/>
  <c r="J228" i="8"/>
  <c r="AV228" i="8"/>
  <c r="L228" i="8"/>
  <c r="AX228" i="8"/>
  <c r="N228" i="8"/>
  <c r="AY228" i="8"/>
  <c r="O228" i="8"/>
  <c r="AZ228" i="8"/>
  <c r="P228" i="8"/>
  <c r="BA228" i="8"/>
  <c r="Q228" i="8"/>
  <c r="B228" i="8"/>
  <c r="E22" i="8"/>
  <c r="AP22" i="8"/>
  <c r="F22" i="8"/>
  <c r="AR22" i="8"/>
  <c r="H22" i="8"/>
  <c r="AT22" i="8"/>
  <c r="J22" i="8"/>
  <c r="AV22" i="8"/>
  <c r="L22" i="8"/>
  <c r="AX22" i="8"/>
  <c r="N22" i="8"/>
  <c r="AY22" i="8"/>
  <c r="O22" i="8"/>
  <c r="AZ22" i="8"/>
  <c r="P22" i="8"/>
  <c r="BA22" i="8"/>
  <c r="Q22" i="8"/>
  <c r="B22" i="8"/>
  <c r="E23" i="8"/>
  <c r="AP23" i="8"/>
  <c r="F23" i="8"/>
  <c r="AR23" i="8"/>
  <c r="H23" i="8"/>
  <c r="AT23" i="8"/>
  <c r="J23" i="8"/>
  <c r="AV23" i="8"/>
  <c r="L23" i="8"/>
  <c r="AX23" i="8"/>
  <c r="N23" i="8"/>
  <c r="AY23" i="8"/>
  <c r="O23" i="8"/>
  <c r="AZ23" i="8"/>
  <c r="P23" i="8"/>
  <c r="BA23" i="8"/>
  <c r="Q23" i="8"/>
  <c r="B23" i="8"/>
  <c r="E229" i="8"/>
  <c r="AP229" i="8"/>
  <c r="F229" i="8"/>
  <c r="AR229" i="8"/>
  <c r="H229" i="8"/>
  <c r="AT229" i="8"/>
  <c r="J229" i="8"/>
  <c r="AV229" i="8"/>
  <c r="L229" i="8"/>
  <c r="AX229" i="8"/>
  <c r="N229" i="8"/>
  <c r="AY229" i="8"/>
  <c r="O229" i="8"/>
  <c r="AZ229" i="8"/>
  <c r="P229" i="8"/>
  <c r="BA229" i="8"/>
  <c r="Q229" i="8"/>
  <c r="B229" i="8"/>
  <c r="E230" i="8"/>
  <c r="AP230" i="8"/>
  <c r="F230" i="8"/>
  <c r="AR230" i="8"/>
  <c r="H230" i="8"/>
  <c r="AT230" i="8"/>
  <c r="J230" i="8"/>
  <c r="AV230" i="8"/>
  <c r="L230" i="8"/>
  <c r="AX230" i="8"/>
  <c r="N230" i="8"/>
  <c r="AY230" i="8"/>
  <c r="O230" i="8"/>
  <c r="AZ230" i="8"/>
  <c r="P230" i="8"/>
  <c r="BA230" i="8"/>
  <c r="Q230" i="8"/>
  <c r="B230" i="8"/>
  <c r="E231" i="8"/>
  <c r="AP231" i="8"/>
  <c r="F231" i="8"/>
  <c r="AR231" i="8"/>
  <c r="H231" i="8"/>
  <c r="AT231" i="8"/>
  <c r="J231" i="8"/>
  <c r="AV231" i="8"/>
  <c r="L231" i="8"/>
  <c r="AX231" i="8"/>
  <c r="N231" i="8"/>
  <c r="AY231" i="8"/>
  <c r="O231" i="8"/>
  <c r="AZ231" i="8"/>
  <c r="P231" i="8"/>
  <c r="BA231" i="8"/>
  <c r="Q231" i="8"/>
  <c r="B231" i="8"/>
  <c r="E232" i="8"/>
  <c r="AP232" i="8"/>
  <c r="F232" i="8"/>
  <c r="AR232" i="8"/>
  <c r="H232" i="8"/>
  <c r="AT232" i="8"/>
  <c r="J232" i="8"/>
  <c r="AV232" i="8"/>
  <c r="L232" i="8"/>
  <c r="AX232" i="8"/>
  <c r="N232" i="8"/>
  <c r="AY232" i="8"/>
  <c r="O232" i="8"/>
  <c r="AZ232" i="8"/>
  <c r="P232" i="8"/>
  <c r="BA232" i="8"/>
  <c r="Q232" i="8"/>
  <c r="B232" i="8"/>
  <c r="E233" i="8"/>
  <c r="AP233" i="8"/>
  <c r="F233" i="8"/>
  <c r="AR233" i="8"/>
  <c r="H233" i="8"/>
  <c r="AT233" i="8"/>
  <c r="J233" i="8"/>
  <c r="AV233" i="8"/>
  <c r="L233" i="8"/>
  <c r="AX233" i="8"/>
  <c r="N233" i="8"/>
  <c r="AY233" i="8"/>
  <c r="O233" i="8"/>
  <c r="AZ233" i="8"/>
  <c r="P233" i="8"/>
  <c r="BA233" i="8"/>
  <c r="Q233" i="8"/>
  <c r="B233" i="8"/>
  <c r="E234" i="8"/>
  <c r="AP234" i="8"/>
  <c r="F234" i="8"/>
  <c r="AR234" i="8"/>
  <c r="H234" i="8"/>
  <c r="AT234" i="8"/>
  <c r="J234" i="8"/>
  <c r="AV234" i="8"/>
  <c r="L234" i="8"/>
  <c r="AX234" i="8"/>
  <c r="N234" i="8"/>
  <c r="AY234" i="8"/>
  <c r="O234" i="8"/>
  <c r="AZ234" i="8"/>
  <c r="P234" i="8"/>
  <c r="BA234" i="8"/>
  <c r="Q234" i="8"/>
  <c r="B234" i="8"/>
  <c r="E235" i="8"/>
  <c r="AP235" i="8"/>
  <c r="F235" i="8"/>
  <c r="AR235" i="8"/>
  <c r="H235" i="8"/>
  <c r="AT235" i="8"/>
  <c r="J235" i="8"/>
  <c r="AV235" i="8"/>
  <c r="L235" i="8"/>
  <c r="AX235" i="8"/>
  <c r="N235" i="8"/>
  <c r="AY235" i="8"/>
  <c r="O235" i="8"/>
  <c r="AZ235" i="8"/>
  <c r="P235" i="8"/>
  <c r="BA235" i="8"/>
  <c r="Q235" i="8"/>
  <c r="B235" i="8"/>
  <c r="E236" i="8"/>
  <c r="AP236" i="8"/>
  <c r="F236" i="8"/>
  <c r="AR236" i="8"/>
  <c r="H236" i="8"/>
  <c r="AT236" i="8"/>
  <c r="J236" i="8"/>
  <c r="AV236" i="8"/>
  <c r="L236" i="8"/>
  <c r="AX236" i="8"/>
  <c r="N236" i="8"/>
  <c r="AY236" i="8"/>
  <c r="O236" i="8"/>
  <c r="AZ236" i="8"/>
  <c r="P236" i="8"/>
  <c r="BA236" i="8"/>
  <c r="Q236" i="8"/>
  <c r="B236" i="8"/>
  <c r="E237" i="8"/>
  <c r="AP237" i="8"/>
  <c r="F237" i="8"/>
  <c r="AR237" i="8"/>
  <c r="H237" i="8"/>
  <c r="AT237" i="8"/>
  <c r="J237" i="8"/>
  <c r="AV237" i="8"/>
  <c r="L237" i="8"/>
  <c r="AX237" i="8"/>
  <c r="N237" i="8"/>
  <c r="E238" i="8"/>
  <c r="AP238" i="8"/>
  <c r="F238" i="8"/>
  <c r="AR238" i="8"/>
  <c r="H238" i="8"/>
  <c r="AT238" i="8"/>
  <c r="J238" i="8"/>
  <c r="AV238" i="8"/>
  <c r="L238" i="8"/>
  <c r="AX238" i="8"/>
  <c r="N238" i="8"/>
  <c r="E239" i="8"/>
  <c r="AP239" i="8"/>
  <c r="F239" i="8"/>
  <c r="AR239" i="8"/>
  <c r="H239" i="8"/>
  <c r="AT239" i="8"/>
  <c r="J239" i="8"/>
  <c r="AV239" i="8"/>
  <c r="L239" i="8"/>
  <c r="AX239" i="8"/>
  <c r="N239" i="8"/>
  <c r="E240" i="8"/>
  <c r="AP240" i="8"/>
  <c r="F240" i="8"/>
  <c r="AR240" i="8"/>
  <c r="H240" i="8"/>
  <c r="AT240" i="8"/>
  <c r="J240" i="8"/>
  <c r="AV240" i="8"/>
  <c r="L240" i="8"/>
  <c r="AX240" i="8"/>
  <c r="N240" i="8"/>
  <c r="E24" i="8"/>
  <c r="AP24" i="8"/>
  <c r="F24" i="8"/>
  <c r="AR24" i="8"/>
  <c r="H24" i="8"/>
  <c r="AT24" i="8"/>
  <c r="J24" i="8"/>
  <c r="AV24" i="8"/>
  <c r="L24" i="8"/>
  <c r="AX24" i="8"/>
  <c r="N24" i="8"/>
  <c r="E241" i="8"/>
  <c r="AP241" i="8"/>
  <c r="F241" i="8"/>
  <c r="AR241" i="8"/>
  <c r="H241" i="8"/>
  <c r="AT241" i="8"/>
  <c r="J241" i="8"/>
  <c r="AV241" i="8"/>
  <c r="L241" i="8"/>
  <c r="AX241" i="8"/>
  <c r="N241" i="8"/>
  <c r="E242" i="8"/>
  <c r="AP242" i="8"/>
  <c r="F242" i="8"/>
  <c r="AR242" i="8"/>
  <c r="H242" i="8"/>
  <c r="AT242" i="8"/>
  <c r="J242" i="8"/>
  <c r="AV242" i="8"/>
  <c r="L242" i="8"/>
  <c r="AX242" i="8"/>
  <c r="N242" i="8"/>
  <c r="E243" i="8"/>
  <c r="AP243" i="8"/>
  <c r="F243" i="8"/>
  <c r="AR243" i="8"/>
  <c r="H243" i="8"/>
  <c r="AT243" i="8"/>
  <c r="J243" i="8"/>
  <c r="AV243" i="8"/>
  <c r="L243" i="8"/>
  <c r="AX243" i="8"/>
  <c r="N243" i="8"/>
  <c r="E244" i="8"/>
  <c r="AP244" i="8"/>
  <c r="F244" i="8"/>
  <c r="AR244" i="8"/>
  <c r="H244" i="8"/>
  <c r="AT244" i="8"/>
  <c r="J244" i="8"/>
  <c r="AV244" i="8"/>
  <c r="L244" i="8"/>
  <c r="AX244" i="8"/>
  <c r="N244" i="8"/>
  <c r="E245" i="8"/>
  <c r="AP245" i="8"/>
  <c r="F245" i="8"/>
  <c r="AR245" i="8"/>
  <c r="H245" i="8"/>
  <c r="AT245" i="8"/>
  <c r="J245" i="8"/>
  <c r="AV245" i="8"/>
  <c r="L245" i="8"/>
  <c r="AX245" i="8"/>
  <c r="N245" i="8"/>
  <c r="E246" i="8"/>
  <c r="AP246" i="8"/>
  <c r="F246" i="8"/>
  <c r="AR246" i="8"/>
  <c r="H246" i="8"/>
  <c r="AT246" i="8"/>
  <c r="J246" i="8"/>
  <c r="AV246" i="8"/>
  <c r="L246" i="8"/>
  <c r="AX246" i="8"/>
  <c r="N246" i="8"/>
  <c r="E247" i="8"/>
  <c r="AP247" i="8"/>
  <c r="F247" i="8"/>
  <c r="AR247" i="8"/>
  <c r="H247" i="8"/>
  <c r="AT247" i="8"/>
  <c r="J247" i="8"/>
  <c r="AV247" i="8"/>
  <c r="L247" i="8"/>
  <c r="AX247" i="8"/>
  <c r="N247" i="8"/>
  <c r="E248" i="8"/>
  <c r="AP248" i="8"/>
  <c r="F248" i="8"/>
  <c r="AR248" i="8"/>
  <c r="H248" i="8"/>
  <c r="AT248" i="8"/>
  <c r="J248" i="8"/>
  <c r="AV248" i="8"/>
  <c r="L248" i="8"/>
  <c r="AX248" i="8"/>
  <c r="N248" i="8"/>
  <c r="E249" i="8"/>
  <c r="AP249" i="8"/>
  <c r="F249" i="8"/>
  <c r="AR249" i="8"/>
  <c r="H249" i="8"/>
  <c r="AT249" i="8"/>
  <c r="J249" i="8"/>
  <c r="AV249" i="8"/>
  <c r="L249" i="8"/>
  <c r="AX249" i="8"/>
  <c r="N249" i="8"/>
  <c r="E250" i="8"/>
  <c r="AP250" i="8"/>
  <c r="F250" i="8"/>
  <c r="AR250" i="8"/>
  <c r="H250" i="8"/>
  <c r="AT250" i="8"/>
  <c r="J250" i="8"/>
  <c r="AV250" i="8"/>
  <c r="L250" i="8"/>
  <c r="AX250" i="8"/>
  <c r="N250" i="8"/>
  <c r="E251" i="8"/>
  <c r="AP251" i="8"/>
  <c r="F251" i="8"/>
  <c r="AR251" i="8"/>
  <c r="H251" i="8"/>
  <c r="AT251" i="8"/>
  <c r="J251" i="8"/>
  <c r="AV251" i="8"/>
  <c r="L251" i="8"/>
  <c r="AX251" i="8"/>
  <c r="N251" i="8"/>
  <c r="E252" i="8"/>
  <c r="AP252" i="8"/>
  <c r="F252" i="8"/>
  <c r="AR252" i="8"/>
  <c r="H252" i="8"/>
  <c r="AT252" i="8"/>
  <c r="J252" i="8"/>
  <c r="AV252" i="8"/>
  <c r="L252" i="8"/>
  <c r="AX252" i="8"/>
  <c r="N252" i="8"/>
  <c r="E253" i="8"/>
  <c r="AP253" i="8"/>
  <c r="F253" i="8"/>
  <c r="AR253" i="8"/>
  <c r="H253" i="8"/>
  <c r="AT253" i="8"/>
  <c r="J253" i="8"/>
  <c r="AV253" i="8"/>
  <c r="L253" i="8"/>
  <c r="AX253" i="8"/>
  <c r="N253" i="8"/>
  <c r="E254" i="8"/>
  <c r="AP254" i="8"/>
  <c r="F254" i="8"/>
  <c r="AR254" i="8"/>
  <c r="H254" i="8"/>
  <c r="AT254" i="8"/>
  <c r="J254" i="8"/>
  <c r="AV254" i="8"/>
  <c r="L254" i="8"/>
  <c r="AX254" i="8"/>
  <c r="N254" i="8"/>
  <c r="E255" i="8"/>
  <c r="AP255" i="8"/>
  <c r="F255" i="8"/>
  <c r="AR255" i="8"/>
  <c r="H255" i="8"/>
  <c r="AT255" i="8"/>
  <c r="J255" i="8"/>
  <c r="AV255" i="8"/>
  <c r="L255" i="8"/>
  <c r="AX255" i="8"/>
  <c r="N255" i="8"/>
  <c r="E256" i="8"/>
  <c r="AP256" i="8"/>
  <c r="F256" i="8"/>
  <c r="AR256" i="8"/>
  <c r="H256" i="8"/>
  <c r="AT256" i="8"/>
  <c r="J256" i="8"/>
  <c r="AV256" i="8"/>
  <c r="L256" i="8"/>
  <c r="AX256" i="8"/>
  <c r="N256" i="8"/>
  <c r="E257" i="8"/>
  <c r="AP257" i="8"/>
  <c r="F257" i="8"/>
  <c r="AR257" i="8"/>
  <c r="H257" i="8"/>
  <c r="AT257" i="8"/>
  <c r="J257" i="8"/>
  <c r="AV257" i="8"/>
  <c r="L257" i="8"/>
  <c r="AX257" i="8"/>
  <c r="N257" i="8"/>
  <c r="E258" i="8"/>
  <c r="AP258" i="8"/>
  <c r="F258" i="8"/>
  <c r="AR258" i="8"/>
  <c r="H258" i="8"/>
  <c r="AT258" i="8"/>
  <c r="J258" i="8"/>
  <c r="AV258" i="8"/>
  <c r="L258" i="8"/>
  <c r="AX258" i="8"/>
  <c r="N258" i="8"/>
  <c r="E25" i="8"/>
  <c r="AP25" i="8"/>
  <c r="F25" i="8"/>
  <c r="AR25" i="8"/>
  <c r="H25" i="8"/>
  <c r="AT25" i="8"/>
  <c r="J25" i="8"/>
  <c r="AV25" i="8"/>
  <c r="L25" i="8"/>
  <c r="AX25" i="8"/>
  <c r="N25" i="8"/>
  <c r="E259" i="8"/>
  <c r="AP259" i="8"/>
  <c r="F259" i="8"/>
  <c r="AR259" i="8"/>
  <c r="H259" i="8"/>
  <c r="AT259" i="8"/>
  <c r="J259" i="8"/>
  <c r="AV259" i="8"/>
  <c r="L259" i="8"/>
  <c r="AX259" i="8"/>
  <c r="N259" i="8"/>
  <c r="E260" i="8"/>
  <c r="AP260" i="8"/>
  <c r="F260" i="8"/>
  <c r="AR260" i="8"/>
  <c r="H260" i="8"/>
  <c r="AT260" i="8"/>
  <c r="J260" i="8"/>
  <c r="AV260" i="8"/>
  <c r="L260" i="8"/>
  <c r="AX260" i="8"/>
  <c r="N260" i="8"/>
  <c r="E261" i="8"/>
  <c r="AP261" i="8"/>
  <c r="F261" i="8"/>
  <c r="AR261" i="8"/>
  <c r="H261" i="8"/>
  <c r="AT261" i="8"/>
  <c r="J261" i="8"/>
  <c r="AV261" i="8"/>
  <c r="L261" i="8"/>
  <c r="AX261" i="8"/>
  <c r="N261" i="8"/>
  <c r="E262" i="8"/>
  <c r="AP262" i="8"/>
  <c r="F262" i="8"/>
  <c r="AR262" i="8"/>
  <c r="H262" i="8"/>
  <c r="AT262" i="8"/>
  <c r="J262" i="8"/>
  <c r="AV262" i="8"/>
  <c r="L262" i="8"/>
  <c r="AX262" i="8"/>
  <c r="N262" i="8"/>
  <c r="E263" i="8"/>
  <c r="AP263" i="8"/>
  <c r="F263" i="8"/>
  <c r="AR263" i="8"/>
  <c r="H263" i="8"/>
  <c r="AT263" i="8"/>
  <c r="J263" i="8"/>
  <c r="AV263" i="8"/>
  <c r="L263" i="8"/>
  <c r="AX263" i="8"/>
  <c r="N263" i="8"/>
  <c r="E26" i="8"/>
  <c r="AP26" i="8"/>
  <c r="F26" i="8"/>
  <c r="AR26" i="8"/>
  <c r="H26" i="8"/>
  <c r="AT26" i="8"/>
  <c r="J26" i="8"/>
  <c r="AV26" i="8"/>
  <c r="L26" i="8"/>
  <c r="AX26" i="8"/>
  <c r="N26" i="8"/>
  <c r="E264" i="8"/>
  <c r="AP264" i="8"/>
  <c r="F264" i="8"/>
  <c r="AR264" i="8"/>
  <c r="H264" i="8"/>
  <c r="AT264" i="8"/>
  <c r="J264" i="8"/>
  <c r="AV264" i="8"/>
  <c r="L264" i="8"/>
  <c r="AX264" i="8"/>
  <c r="N264" i="8"/>
  <c r="E265" i="8"/>
  <c r="AP265" i="8"/>
  <c r="F265" i="8"/>
  <c r="AR265" i="8"/>
  <c r="H265" i="8"/>
  <c r="AT265" i="8"/>
  <c r="J265" i="8"/>
  <c r="AV265" i="8"/>
  <c r="L265" i="8"/>
  <c r="AX265" i="8"/>
  <c r="N265" i="8"/>
  <c r="E266" i="8"/>
  <c r="AP266" i="8"/>
  <c r="F266" i="8"/>
  <c r="AR266" i="8"/>
  <c r="H266" i="8"/>
  <c r="AT266" i="8"/>
  <c r="J266" i="8"/>
  <c r="AV266" i="8"/>
  <c r="L266" i="8"/>
  <c r="AX266" i="8"/>
  <c r="N266" i="8"/>
  <c r="E267" i="8"/>
  <c r="AP267" i="8"/>
  <c r="F267" i="8"/>
  <c r="AR267" i="8"/>
  <c r="H267" i="8"/>
  <c r="AT267" i="8"/>
  <c r="J267" i="8"/>
  <c r="AV267" i="8"/>
  <c r="L267" i="8"/>
  <c r="AX267" i="8"/>
  <c r="N267" i="8"/>
  <c r="E268" i="8"/>
  <c r="AP268" i="8"/>
  <c r="F268" i="8"/>
  <c r="AR268" i="8"/>
  <c r="H268" i="8"/>
  <c r="AT268" i="8"/>
  <c r="J268" i="8"/>
  <c r="AV268" i="8"/>
  <c r="L268" i="8"/>
  <c r="AX268" i="8"/>
  <c r="N268" i="8"/>
  <c r="AY268" i="8"/>
  <c r="O268" i="8"/>
  <c r="AZ268" i="8"/>
  <c r="P268" i="8"/>
  <c r="E269" i="8"/>
  <c r="AP269" i="8"/>
  <c r="F269" i="8"/>
  <c r="AR269" i="8"/>
  <c r="H269" i="8"/>
  <c r="AT269" i="8"/>
  <c r="J269" i="8"/>
  <c r="AV269" i="8"/>
  <c r="L269" i="8"/>
  <c r="AX269" i="8"/>
  <c r="N269" i="8"/>
  <c r="E270" i="8"/>
  <c r="AP270" i="8"/>
  <c r="F270" i="8"/>
  <c r="AR270" i="8"/>
  <c r="H270" i="8"/>
  <c r="AT270" i="8"/>
  <c r="J270" i="8"/>
  <c r="AV270" i="8"/>
  <c r="L270" i="8"/>
  <c r="AX270" i="8"/>
  <c r="N270" i="8"/>
  <c r="E271" i="8"/>
  <c r="AP271" i="8"/>
  <c r="F271" i="8"/>
  <c r="AR271" i="8"/>
  <c r="H271" i="8"/>
  <c r="AT271" i="8"/>
  <c r="J271" i="8"/>
  <c r="AV271" i="8"/>
  <c r="L271" i="8"/>
  <c r="AX271" i="8"/>
  <c r="N271" i="8"/>
  <c r="E272" i="8"/>
  <c r="AP272" i="8"/>
  <c r="F272" i="8"/>
  <c r="AR272" i="8"/>
  <c r="H272" i="8"/>
  <c r="AT272" i="8"/>
  <c r="J272" i="8"/>
  <c r="AV272" i="8"/>
  <c r="L272" i="8"/>
  <c r="AX272" i="8"/>
  <c r="N272" i="8"/>
  <c r="E273" i="8"/>
  <c r="AP273" i="8"/>
  <c r="F273" i="8"/>
  <c r="AR273" i="8"/>
  <c r="H273" i="8"/>
  <c r="AT273" i="8"/>
  <c r="J273" i="8"/>
  <c r="AV273" i="8"/>
  <c r="L273" i="8"/>
  <c r="AX273" i="8"/>
  <c r="N273" i="8"/>
  <c r="E27" i="8"/>
  <c r="AP27" i="8"/>
  <c r="F27" i="8"/>
  <c r="AR27" i="8"/>
  <c r="H27" i="8"/>
  <c r="AT27" i="8"/>
  <c r="J27" i="8"/>
  <c r="AV27" i="8"/>
  <c r="L27" i="8"/>
  <c r="AX27" i="8"/>
  <c r="N27" i="8"/>
  <c r="E274" i="8"/>
  <c r="AP274" i="8"/>
  <c r="F274" i="8"/>
  <c r="AR274" i="8"/>
  <c r="H274" i="8"/>
  <c r="AT274" i="8"/>
  <c r="J274" i="8"/>
  <c r="AV274" i="8"/>
  <c r="L274" i="8"/>
  <c r="AX274" i="8"/>
  <c r="N274" i="8"/>
  <c r="E275" i="8"/>
  <c r="AP275" i="8"/>
  <c r="F275" i="8"/>
  <c r="AR275" i="8"/>
  <c r="H275" i="8"/>
  <c r="AT275" i="8"/>
  <c r="J275" i="8"/>
  <c r="AV275" i="8"/>
  <c r="L275" i="8"/>
  <c r="AX275" i="8"/>
  <c r="N275" i="8"/>
  <c r="E276" i="8"/>
  <c r="AP276" i="8"/>
  <c r="F276" i="8"/>
  <c r="AR276" i="8"/>
  <c r="H276" i="8"/>
  <c r="AT276" i="8"/>
  <c r="J276" i="8"/>
  <c r="AV276" i="8"/>
  <c r="L276" i="8"/>
  <c r="AX276" i="8"/>
  <c r="N276" i="8"/>
  <c r="E277" i="8"/>
  <c r="AP277" i="8"/>
  <c r="F277" i="8"/>
  <c r="AR277" i="8"/>
  <c r="H277" i="8"/>
  <c r="AT277" i="8"/>
  <c r="J277" i="8"/>
  <c r="AV277" i="8"/>
  <c r="L277" i="8"/>
  <c r="AX277" i="8"/>
  <c r="N277" i="8"/>
  <c r="E278" i="8"/>
  <c r="AP278" i="8"/>
  <c r="F278" i="8"/>
  <c r="AR278" i="8"/>
  <c r="H278" i="8"/>
  <c r="AT278" i="8"/>
  <c r="J278" i="8"/>
  <c r="AV278" i="8"/>
  <c r="L278" i="8"/>
  <c r="AX278" i="8"/>
  <c r="N278" i="8"/>
  <c r="E279" i="8"/>
  <c r="AP279" i="8"/>
  <c r="F279" i="8"/>
  <c r="AR279" i="8"/>
  <c r="H279" i="8"/>
  <c r="AT279" i="8"/>
  <c r="J279" i="8"/>
  <c r="AV279" i="8"/>
  <c r="L279" i="8"/>
  <c r="AX279" i="8"/>
  <c r="N279" i="8"/>
  <c r="E280" i="8"/>
  <c r="AP280" i="8"/>
  <c r="F280" i="8"/>
  <c r="AR280" i="8"/>
  <c r="H280" i="8"/>
  <c r="AT280" i="8"/>
  <c r="J280" i="8"/>
  <c r="AV280" i="8"/>
  <c r="L280" i="8"/>
  <c r="AX280" i="8"/>
  <c r="N280" i="8"/>
  <c r="E281" i="8"/>
  <c r="AP281" i="8"/>
  <c r="F281" i="8"/>
  <c r="AR281" i="8"/>
  <c r="H281" i="8"/>
  <c r="AT281" i="8"/>
  <c r="J281" i="8"/>
  <c r="AV281" i="8"/>
  <c r="L281" i="8"/>
  <c r="AX281" i="8"/>
  <c r="N281" i="8"/>
  <c r="E282" i="8"/>
  <c r="AP282" i="8"/>
  <c r="F282" i="8"/>
  <c r="AR282" i="8"/>
  <c r="H282" i="8"/>
  <c r="AT282" i="8"/>
  <c r="J282" i="8"/>
  <c r="AV282" i="8"/>
  <c r="L282" i="8"/>
  <c r="AX282" i="8"/>
  <c r="N282" i="8"/>
  <c r="E283" i="8"/>
  <c r="AP283" i="8"/>
  <c r="F283" i="8"/>
  <c r="AR283" i="8"/>
  <c r="H283" i="8"/>
  <c r="AT283" i="8"/>
  <c r="J283" i="8"/>
  <c r="AV283" i="8"/>
  <c r="L283" i="8"/>
  <c r="AX283" i="8"/>
  <c r="N283" i="8"/>
  <c r="E284" i="8"/>
  <c r="AP284" i="8"/>
  <c r="F284" i="8"/>
  <c r="AR284" i="8"/>
  <c r="H284" i="8"/>
  <c r="AT284" i="8"/>
  <c r="J284" i="8"/>
  <c r="AV284" i="8"/>
  <c r="L284" i="8"/>
  <c r="AX284" i="8"/>
  <c r="N284" i="8"/>
  <c r="E285" i="8"/>
  <c r="AP285" i="8"/>
  <c r="F285" i="8"/>
  <c r="AR285" i="8"/>
  <c r="H285" i="8"/>
  <c r="AT285" i="8"/>
  <c r="J285" i="8"/>
  <c r="AV285" i="8"/>
  <c r="L285" i="8"/>
  <c r="AX285" i="8"/>
  <c r="N285" i="8"/>
  <c r="E286" i="8"/>
  <c r="AP286" i="8"/>
  <c r="F286" i="8"/>
  <c r="AR286" i="8"/>
  <c r="H286" i="8"/>
  <c r="AT286" i="8"/>
  <c r="J286" i="8"/>
  <c r="AV286" i="8"/>
  <c r="L286" i="8"/>
  <c r="AX286" i="8"/>
  <c r="N286" i="8"/>
  <c r="E28" i="8"/>
  <c r="AP28" i="8"/>
  <c r="F28" i="8"/>
  <c r="AR28" i="8"/>
  <c r="H28" i="8"/>
  <c r="AT28" i="8"/>
  <c r="J28" i="8"/>
  <c r="AV28" i="8"/>
  <c r="L28" i="8"/>
  <c r="AX28" i="8"/>
  <c r="N28" i="8"/>
  <c r="E287" i="8"/>
  <c r="AP287" i="8"/>
  <c r="F287" i="8"/>
  <c r="AR287" i="8"/>
  <c r="H287" i="8"/>
  <c r="AT287" i="8"/>
  <c r="J287" i="8"/>
  <c r="AV287" i="8"/>
  <c r="L287" i="8"/>
  <c r="AX287" i="8"/>
  <c r="N287" i="8"/>
  <c r="BA287" i="8"/>
  <c r="Q287" i="8"/>
  <c r="E288" i="8"/>
  <c r="AP288" i="8"/>
  <c r="F288" i="8"/>
  <c r="AR288" i="8"/>
  <c r="H288" i="8"/>
  <c r="AT288" i="8"/>
  <c r="J288" i="8"/>
  <c r="AV288" i="8"/>
  <c r="L288" i="8"/>
  <c r="AX288" i="8"/>
  <c r="N288" i="8"/>
  <c r="E289" i="8"/>
  <c r="AP289" i="8"/>
  <c r="F289" i="8"/>
  <c r="AR289" i="8"/>
  <c r="H289" i="8"/>
  <c r="AT289" i="8"/>
  <c r="J289" i="8"/>
  <c r="AV289" i="8"/>
  <c r="L289" i="8"/>
  <c r="AX289" i="8"/>
  <c r="N289" i="8"/>
  <c r="E290" i="8"/>
  <c r="AP290" i="8"/>
  <c r="F290" i="8"/>
  <c r="AR290" i="8"/>
  <c r="H290" i="8"/>
  <c r="AT290" i="8"/>
  <c r="J290" i="8"/>
  <c r="AV290" i="8"/>
  <c r="L290" i="8"/>
  <c r="AX290" i="8"/>
  <c r="N290" i="8"/>
  <c r="E291" i="8"/>
  <c r="AP291" i="8"/>
  <c r="F291" i="8"/>
  <c r="AR291" i="8"/>
  <c r="H291" i="8"/>
  <c r="AT291" i="8"/>
  <c r="J291" i="8"/>
  <c r="AV291" i="8"/>
  <c r="L291" i="8"/>
  <c r="AX291" i="8"/>
  <c r="N291" i="8"/>
  <c r="E292" i="8"/>
  <c r="AP292" i="8"/>
  <c r="F292" i="8"/>
  <c r="AR292" i="8"/>
  <c r="H292" i="8"/>
  <c r="AT292" i="8"/>
  <c r="J292" i="8"/>
  <c r="AV292" i="8"/>
  <c r="L292" i="8"/>
  <c r="AX292" i="8"/>
  <c r="N292" i="8"/>
  <c r="AY292" i="8"/>
  <c r="O292" i="8"/>
  <c r="AZ292" i="8"/>
  <c r="P292" i="8"/>
  <c r="E293" i="8"/>
  <c r="AP293" i="8"/>
  <c r="F293" i="8"/>
  <c r="AR293" i="8"/>
  <c r="H293" i="8"/>
  <c r="AT293" i="8"/>
  <c r="J293" i="8"/>
  <c r="AV293" i="8"/>
  <c r="L293" i="8"/>
  <c r="AX293" i="8"/>
  <c r="N293" i="8"/>
  <c r="E294" i="8"/>
  <c r="AP294" i="8"/>
  <c r="F294" i="8"/>
  <c r="AR294" i="8"/>
  <c r="H294" i="8"/>
  <c r="AT294" i="8"/>
  <c r="J294" i="8"/>
  <c r="AV294" i="8"/>
  <c r="L294" i="8"/>
  <c r="AX294" i="8"/>
  <c r="N294" i="8"/>
  <c r="E295" i="8"/>
  <c r="AP295" i="8"/>
  <c r="F295" i="8"/>
  <c r="AR295" i="8"/>
  <c r="H295" i="8"/>
  <c r="AT295" i="8"/>
  <c r="J295" i="8"/>
  <c r="AV295" i="8"/>
  <c r="L295" i="8"/>
  <c r="AX295" i="8"/>
  <c r="N295" i="8"/>
  <c r="E296" i="8"/>
  <c r="AP296" i="8"/>
  <c r="F296" i="8"/>
  <c r="AR296" i="8"/>
  <c r="H296" i="8"/>
  <c r="AT296" i="8"/>
  <c r="J296" i="8"/>
  <c r="AV296" i="8"/>
  <c r="L296" i="8"/>
  <c r="AX296" i="8"/>
  <c r="N296" i="8"/>
  <c r="E297" i="8"/>
  <c r="AP297" i="8"/>
  <c r="F297" i="8"/>
  <c r="AR297" i="8"/>
  <c r="H297" i="8"/>
  <c r="AT297" i="8"/>
  <c r="J297" i="8"/>
  <c r="AV297" i="8"/>
  <c r="L297" i="8"/>
  <c r="AX297" i="8"/>
  <c r="N297" i="8"/>
  <c r="E298" i="8"/>
  <c r="AP298" i="8"/>
  <c r="F298" i="8"/>
  <c r="AR298" i="8"/>
  <c r="H298" i="8"/>
  <c r="AT298" i="8"/>
  <c r="J298" i="8"/>
  <c r="AV298" i="8"/>
  <c r="L298" i="8"/>
  <c r="AX298" i="8"/>
  <c r="N298" i="8"/>
  <c r="E299" i="8"/>
  <c r="AP299" i="8"/>
  <c r="F299" i="8"/>
  <c r="AR299" i="8"/>
  <c r="H299" i="8"/>
  <c r="AT299" i="8"/>
  <c r="J299" i="8"/>
  <c r="AV299" i="8"/>
  <c r="L299" i="8"/>
  <c r="AX299" i="8"/>
  <c r="N299" i="8"/>
  <c r="E300" i="8"/>
  <c r="AP300" i="8"/>
  <c r="F300" i="8"/>
  <c r="AR300" i="8"/>
  <c r="H300" i="8"/>
  <c r="AT300" i="8"/>
  <c r="J300" i="8"/>
  <c r="AV300" i="8"/>
  <c r="L300" i="8"/>
  <c r="AX300" i="8"/>
  <c r="N300" i="8"/>
  <c r="E301" i="8"/>
  <c r="AP301" i="8"/>
  <c r="F301" i="8"/>
  <c r="AR301" i="8"/>
  <c r="H301" i="8"/>
  <c r="AT301" i="8"/>
  <c r="J301" i="8"/>
  <c r="AV301" i="8"/>
  <c r="L301" i="8"/>
  <c r="AX301" i="8"/>
  <c r="N301" i="8"/>
  <c r="E302" i="8"/>
  <c r="AP302" i="8"/>
  <c r="F302" i="8"/>
  <c r="AR302" i="8"/>
  <c r="H302" i="8"/>
  <c r="AT302" i="8"/>
  <c r="J302" i="8"/>
  <c r="AV302" i="8"/>
  <c r="L302" i="8"/>
  <c r="AX302" i="8"/>
  <c r="N302" i="8"/>
  <c r="E29" i="8"/>
  <c r="AP29" i="8"/>
  <c r="F29" i="8"/>
  <c r="AR29" i="8"/>
  <c r="H29" i="8"/>
  <c r="AT29" i="8"/>
  <c r="J29" i="8"/>
  <c r="AV29" i="8"/>
  <c r="L29" i="8"/>
  <c r="AX29" i="8"/>
  <c r="N29" i="8"/>
  <c r="E303" i="8"/>
  <c r="AP303" i="8"/>
  <c r="F303" i="8"/>
  <c r="AR303" i="8"/>
  <c r="H303" i="8"/>
  <c r="AT303" i="8"/>
  <c r="J303" i="8"/>
  <c r="AV303" i="8"/>
  <c r="L303" i="8"/>
  <c r="AX303" i="8"/>
  <c r="N303" i="8"/>
  <c r="E304" i="8"/>
  <c r="AP304" i="8"/>
  <c r="F304" i="8"/>
  <c r="AR304" i="8"/>
  <c r="H304" i="8"/>
  <c r="AT304" i="8"/>
  <c r="J304" i="8"/>
  <c r="AV304" i="8"/>
  <c r="L304" i="8"/>
  <c r="AX304" i="8"/>
  <c r="N304" i="8"/>
  <c r="E305" i="8"/>
  <c r="AP305" i="8"/>
  <c r="F305" i="8"/>
  <c r="AR305" i="8"/>
  <c r="H305" i="8"/>
  <c r="AT305" i="8"/>
  <c r="J305" i="8"/>
  <c r="AV305" i="8"/>
  <c r="L305" i="8"/>
  <c r="AX305" i="8"/>
  <c r="N305" i="8"/>
  <c r="E306" i="8"/>
  <c r="AP306" i="8"/>
  <c r="F306" i="8"/>
  <c r="AR306" i="8"/>
  <c r="H306" i="8"/>
  <c r="AT306" i="8"/>
  <c r="J306" i="8"/>
  <c r="AV306" i="8"/>
  <c r="L306" i="8"/>
  <c r="AX306" i="8"/>
  <c r="N306" i="8"/>
  <c r="E307" i="8"/>
  <c r="AP307" i="8"/>
  <c r="F307" i="8"/>
  <c r="AR307" i="8"/>
  <c r="H307" i="8"/>
  <c r="AT307" i="8"/>
  <c r="J307" i="8"/>
  <c r="AV307" i="8"/>
  <c r="L307" i="8"/>
  <c r="AX307" i="8"/>
  <c r="N307" i="8"/>
  <c r="E308" i="8"/>
  <c r="AP308" i="8"/>
  <c r="F308" i="8"/>
  <c r="AR308" i="8"/>
  <c r="H308" i="8"/>
  <c r="AT308" i="8"/>
  <c r="J308" i="8"/>
  <c r="AV308" i="8"/>
  <c r="L308" i="8"/>
  <c r="AX308" i="8"/>
  <c r="N308" i="8"/>
  <c r="E309" i="8"/>
  <c r="AP309" i="8"/>
  <c r="F309" i="8"/>
  <c r="AR309" i="8"/>
  <c r="H309" i="8"/>
  <c r="AT309" i="8"/>
  <c r="J309" i="8"/>
  <c r="AV309" i="8"/>
  <c r="L309" i="8"/>
  <c r="AX309" i="8"/>
  <c r="N309" i="8"/>
  <c r="AY309" i="8"/>
  <c r="O309" i="8"/>
  <c r="AZ309" i="8"/>
  <c r="P309" i="8"/>
  <c r="E310" i="8"/>
  <c r="AP310" i="8"/>
  <c r="F310" i="8"/>
  <c r="AR310" i="8"/>
  <c r="H310" i="8"/>
  <c r="AT310" i="8"/>
  <c r="J310" i="8"/>
  <c r="AV310" i="8"/>
  <c r="L310" i="8"/>
  <c r="AX310" i="8"/>
  <c r="N310" i="8"/>
  <c r="E311" i="8"/>
  <c r="AP311" i="8"/>
  <c r="F311" i="8"/>
  <c r="AR311" i="8"/>
  <c r="H311" i="8"/>
  <c r="AT311" i="8"/>
  <c r="J311" i="8"/>
  <c r="AV311" i="8"/>
  <c r="L311" i="8"/>
  <c r="AX311" i="8"/>
  <c r="N311" i="8"/>
  <c r="E312" i="8"/>
  <c r="AP312" i="8"/>
  <c r="F312" i="8"/>
  <c r="AR312" i="8"/>
  <c r="H312" i="8"/>
  <c r="AT312" i="8"/>
  <c r="J312" i="8"/>
  <c r="AV312" i="8"/>
  <c r="L312" i="8"/>
  <c r="AX312" i="8"/>
  <c r="N312" i="8"/>
  <c r="BA312" i="8"/>
  <c r="Q312" i="8"/>
  <c r="E313" i="8"/>
  <c r="AP313" i="8"/>
  <c r="F313" i="8"/>
  <c r="AR313" i="8"/>
  <c r="H313" i="8"/>
  <c r="AT313" i="8"/>
  <c r="J313" i="8"/>
  <c r="AV313" i="8"/>
  <c r="L313" i="8"/>
  <c r="AX313" i="8"/>
  <c r="N313" i="8"/>
  <c r="E314" i="8"/>
  <c r="AP314" i="8"/>
  <c r="F314" i="8"/>
  <c r="AR314" i="8"/>
  <c r="H314" i="8"/>
  <c r="AT314" i="8"/>
  <c r="J314" i="8"/>
  <c r="AV314" i="8"/>
  <c r="L314" i="8"/>
  <c r="AX314" i="8"/>
  <c r="N314" i="8"/>
  <c r="E315" i="8"/>
  <c r="AP315" i="8"/>
  <c r="F315" i="8"/>
  <c r="AR315" i="8"/>
  <c r="H315" i="8"/>
  <c r="AT315" i="8"/>
  <c r="J315" i="8"/>
  <c r="AV315" i="8"/>
  <c r="L315" i="8"/>
  <c r="AX315" i="8"/>
  <c r="N315" i="8"/>
  <c r="E316" i="8"/>
  <c r="AP316" i="8"/>
  <c r="F316" i="8"/>
  <c r="AR316" i="8"/>
  <c r="H316" i="8"/>
  <c r="AT316" i="8"/>
  <c r="J316" i="8"/>
  <c r="AV316" i="8"/>
  <c r="L316" i="8"/>
  <c r="AX316" i="8"/>
  <c r="N316" i="8"/>
  <c r="BA316" i="8"/>
  <c r="Q316" i="8"/>
  <c r="E317" i="8"/>
  <c r="AP317" i="8"/>
  <c r="F317" i="8"/>
  <c r="AR317" i="8"/>
  <c r="H317" i="8"/>
  <c r="AT317" i="8"/>
  <c r="J317" i="8"/>
  <c r="AV317" i="8"/>
  <c r="L317" i="8"/>
  <c r="AX317" i="8"/>
  <c r="N317" i="8"/>
  <c r="E318" i="8"/>
  <c r="AP318" i="8"/>
  <c r="F318" i="8"/>
  <c r="AR318" i="8"/>
  <c r="H318" i="8"/>
  <c r="AT318" i="8"/>
  <c r="J318" i="8"/>
  <c r="AV318" i="8"/>
  <c r="L318" i="8"/>
  <c r="AX318" i="8"/>
  <c r="N318" i="8"/>
  <c r="E319" i="8"/>
  <c r="AP319" i="8"/>
  <c r="F319" i="8"/>
  <c r="AR319" i="8"/>
  <c r="H319" i="8"/>
  <c r="AT319" i="8"/>
  <c r="J319" i="8"/>
  <c r="AV319" i="8"/>
  <c r="L319" i="8"/>
  <c r="AX319" i="8"/>
  <c r="N319" i="8"/>
  <c r="E320" i="8"/>
  <c r="AP320" i="8"/>
  <c r="F320" i="8"/>
  <c r="AR320" i="8"/>
  <c r="H320" i="8"/>
  <c r="AT320" i="8"/>
  <c r="J320" i="8"/>
  <c r="AV320" i="8"/>
  <c r="L320" i="8"/>
  <c r="AX320" i="8"/>
  <c r="N320" i="8"/>
  <c r="E321" i="8"/>
  <c r="AP321" i="8"/>
  <c r="F321" i="8"/>
  <c r="AR321" i="8"/>
  <c r="H321" i="8"/>
  <c r="AT321" i="8"/>
  <c r="J321" i="8"/>
  <c r="AV321" i="8"/>
  <c r="L321" i="8"/>
  <c r="AX321" i="8"/>
  <c r="N321" i="8"/>
  <c r="E322" i="8"/>
  <c r="AP322" i="8"/>
  <c r="F322" i="8"/>
  <c r="AR322" i="8"/>
  <c r="H322" i="8"/>
  <c r="AT322" i="8"/>
  <c r="J322" i="8"/>
  <c r="AV322" i="8"/>
  <c r="L322" i="8"/>
  <c r="AX322" i="8"/>
  <c r="N322" i="8"/>
  <c r="E323" i="8"/>
  <c r="AP323" i="8"/>
  <c r="F323" i="8"/>
  <c r="AR323" i="8"/>
  <c r="H323" i="8"/>
  <c r="AT323" i="8"/>
  <c r="J323" i="8"/>
  <c r="AV323" i="8"/>
  <c r="L323" i="8"/>
  <c r="AX323" i="8"/>
  <c r="N323" i="8"/>
  <c r="E324" i="8"/>
  <c r="AP324" i="8"/>
  <c r="F324" i="8"/>
  <c r="AR324" i="8"/>
  <c r="H324" i="8"/>
  <c r="AT324" i="8"/>
  <c r="J324" i="8"/>
  <c r="AV324" i="8"/>
  <c r="L324" i="8"/>
  <c r="AX324" i="8"/>
  <c r="N324" i="8"/>
  <c r="E325" i="8"/>
  <c r="AP325" i="8"/>
  <c r="F325" i="8"/>
  <c r="AR325" i="8"/>
  <c r="H325" i="8"/>
  <c r="AT325" i="8"/>
  <c r="J325" i="8"/>
  <c r="AV325" i="8"/>
  <c r="L325" i="8"/>
  <c r="AX325" i="8"/>
  <c r="N325" i="8"/>
  <c r="E326" i="8"/>
  <c r="AP326" i="8"/>
  <c r="F326" i="8"/>
  <c r="AR326" i="8"/>
  <c r="H326" i="8"/>
  <c r="AT326" i="8"/>
  <c r="J326" i="8"/>
  <c r="AV326" i="8"/>
  <c r="L326" i="8"/>
  <c r="AX326" i="8"/>
  <c r="N326" i="8"/>
  <c r="E30" i="8"/>
  <c r="AP30" i="8"/>
  <c r="F30" i="8"/>
  <c r="AR30" i="8"/>
  <c r="H30" i="8"/>
  <c r="AT30" i="8"/>
  <c r="J30" i="8"/>
  <c r="AV30" i="8"/>
  <c r="L30" i="8"/>
  <c r="AX30" i="8"/>
  <c r="N30" i="8"/>
  <c r="E327" i="8"/>
  <c r="AP327" i="8"/>
  <c r="F327" i="8"/>
  <c r="AR327" i="8"/>
  <c r="H327" i="8"/>
  <c r="AT327" i="8"/>
  <c r="J327" i="8"/>
  <c r="AV327" i="8"/>
  <c r="L327" i="8"/>
  <c r="AX327" i="8"/>
  <c r="N327" i="8"/>
  <c r="E328" i="8"/>
  <c r="AP328" i="8"/>
  <c r="F328" i="8"/>
  <c r="AR328" i="8"/>
  <c r="H328" i="8"/>
  <c r="AT328" i="8"/>
  <c r="J328" i="8"/>
  <c r="AV328" i="8"/>
  <c r="L328" i="8"/>
  <c r="AX328" i="8"/>
  <c r="N328" i="8"/>
  <c r="E329" i="8"/>
  <c r="AP329" i="8"/>
  <c r="F329" i="8"/>
  <c r="AR329" i="8"/>
  <c r="H329" i="8"/>
  <c r="AT329" i="8"/>
  <c r="J329" i="8"/>
  <c r="AV329" i="8"/>
  <c r="L329" i="8"/>
  <c r="AX329" i="8"/>
  <c r="N329" i="8"/>
  <c r="E330" i="8"/>
  <c r="AP330" i="8"/>
  <c r="F330" i="8"/>
  <c r="AR330" i="8"/>
  <c r="H330" i="8"/>
  <c r="AT330" i="8"/>
  <c r="J330" i="8"/>
  <c r="AV330" i="8"/>
  <c r="L330" i="8"/>
  <c r="AX330" i="8"/>
  <c r="N330" i="8"/>
  <c r="E331" i="8"/>
  <c r="AP331" i="8"/>
  <c r="F331" i="8"/>
  <c r="AR331" i="8"/>
  <c r="H331" i="8"/>
  <c r="AT331" i="8"/>
  <c r="J331" i="8"/>
  <c r="AV331" i="8"/>
  <c r="L331" i="8"/>
  <c r="AX331" i="8"/>
  <c r="N331" i="8"/>
  <c r="E31" i="8"/>
  <c r="AP31" i="8"/>
  <c r="F31" i="8"/>
  <c r="AR31" i="8"/>
  <c r="H31" i="8"/>
  <c r="AT31" i="8"/>
  <c r="J31" i="8"/>
  <c r="AV31" i="8"/>
  <c r="L31" i="8"/>
  <c r="AX31" i="8"/>
  <c r="N31" i="8"/>
  <c r="E332" i="8"/>
  <c r="AP332" i="8"/>
  <c r="F332" i="8"/>
  <c r="AR332" i="8"/>
  <c r="H332" i="8"/>
  <c r="AT332" i="8"/>
  <c r="J332" i="8"/>
  <c r="AV332" i="8"/>
  <c r="L332" i="8"/>
  <c r="AX332" i="8"/>
  <c r="N332" i="8"/>
  <c r="E333" i="8"/>
  <c r="AP333" i="8"/>
  <c r="F333" i="8"/>
  <c r="AR333" i="8"/>
  <c r="H333" i="8"/>
  <c r="AT333" i="8"/>
  <c r="J333" i="8"/>
  <c r="AV333" i="8"/>
  <c r="L333" i="8"/>
  <c r="AX333" i="8"/>
  <c r="N333" i="8"/>
  <c r="E334" i="8"/>
  <c r="AP334" i="8"/>
  <c r="F334" i="8"/>
  <c r="AR334" i="8"/>
  <c r="H334" i="8"/>
  <c r="AT334" i="8"/>
  <c r="J334" i="8"/>
  <c r="AV334" i="8"/>
  <c r="L334" i="8"/>
  <c r="AX334" i="8"/>
  <c r="N334" i="8"/>
  <c r="E335" i="8"/>
  <c r="AP335" i="8"/>
  <c r="F335" i="8"/>
  <c r="AR335" i="8"/>
  <c r="H335" i="8"/>
  <c r="AT335" i="8"/>
  <c r="J335" i="8"/>
  <c r="AV335" i="8"/>
  <c r="L335" i="8"/>
  <c r="AX335" i="8"/>
  <c r="N335" i="8"/>
  <c r="E336" i="8"/>
  <c r="AP336" i="8"/>
  <c r="F336" i="8"/>
  <c r="AR336" i="8"/>
  <c r="H336" i="8"/>
  <c r="AT336" i="8"/>
  <c r="J336" i="8"/>
  <c r="AV336" i="8"/>
  <c r="L336" i="8"/>
  <c r="AX336" i="8"/>
  <c r="N336" i="8"/>
  <c r="E337" i="8"/>
  <c r="AP337" i="8"/>
  <c r="F337" i="8"/>
  <c r="AR337" i="8"/>
  <c r="H337" i="8"/>
  <c r="AT337" i="8"/>
  <c r="J337" i="8"/>
  <c r="AV337" i="8"/>
  <c r="L337" i="8"/>
  <c r="AX337" i="8"/>
  <c r="N337" i="8"/>
  <c r="E338" i="8"/>
  <c r="AP338" i="8"/>
  <c r="F338" i="8"/>
  <c r="AR338" i="8"/>
  <c r="H338" i="8"/>
  <c r="AT338" i="8"/>
  <c r="J338" i="8"/>
  <c r="AV338" i="8"/>
  <c r="L338" i="8"/>
  <c r="AX338" i="8"/>
  <c r="N338" i="8"/>
  <c r="AY338" i="8"/>
  <c r="O338" i="8"/>
  <c r="AZ338" i="8"/>
  <c r="P338" i="8"/>
  <c r="E339" i="8"/>
  <c r="AP339" i="8"/>
  <c r="F339" i="8"/>
  <c r="AR339" i="8"/>
  <c r="H339" i="8"/>
  <c r="AT339" i="8"/>
  <c r="J339" i="8"/>
  <c r="AV339" i="8"/>
  <c r="L339" i="8"/>
  <c r="AX339" i="8"/>
  <c r="N339" i="8"/>
  <c r="E340" i="8"/>
  <c r="AP340" i="8"/>
  <c r="F340" i="8"/>
  <c r="AR340" i="8"/>
  <c r="H340" i="8"/>
  <c r="AT340" i="8"/>
  <c r="J340" i="8"/>
  <c r="AV340" i="8"/>
  <c r="L340" i="8"/>
  <c r="AX340" i="8"/>
  <c r="N340" i="8"/>
  <c r="E341" i="8"/>
  <c r="AP341" i="8"/>
  <c r="F341" i="8"/>
  <c r="AR341" i="8"/>
  <c r="H341" i="8"/>
  <c r="AT341" i="8"/>
  <c r="J341" i="8"/>
  <c r="AV341" i="8"/>
  <c r="L341" i="8"/>
  <c r="AX341" i="8"/>
  <c r="N341" i="8"/>
  <c r="E342" i="8"/>
  <c r="AP342" i="8"/>
  <c r="F342" i="8"/>
  <c r="AR342" i="8"/>
  <c r="H342" i="8"/>
  <c r="AT342" i="8"/>
  <c r="J342" i="8"/>
  <c r="AV342" i="8"/>
  <c r="L342" i="8"/>
  <c r="AX342" i="8"/>
  <c r="N342" i="8"/>
  <c r="E343" i="8"/>
  <c r="AP343" i="8"/>
  <c r="F343" i="8"/>
  <c r="AR343" i="8"/>
  <c r="H343" i="8"/>
  <c r="AT343" i="8"/>
  <c r="J343" i="8"/>
  <c r="AV343" i="8"/>
  <c r="L343" i="8"/>
  <c r="AX343" i="8"/>
  <c r="N343" i="8"/>
  <c r="E344" i="8"/>
  <c r="AP344" i="8"/>
  <c r="F344" i="8"/>
  <c r="AR344" i="8"/>
  <c r="H344" i="8"/>
  <c r="AT344" i="8"/>
  <c r="J344" i="8"/>
  <c r="AV344" i="8"/>
  <c r="L344" i="8"/>
  <c r="AX344" i="8"/>
  <c r="N344" i="8"/>
  <c r="E345" i="8"/>
  <c r="AP345" i="8"/>
  <c r="F345" i="8"/>
  <c r="AR345" i="8"/>
  <c r="H345" i="8"/>
  <c r="AT345" i="8"/>
  <c r="J345" i="8"/>
  <c r="AV345" i="8"/>
  <c r="L345" i="8"/>
  <c r="AX345" i="8"/>
  <c r="N345" i="8"/>
  <c r="E346" i="8"/>
  <c r="AP346" i="8"/>
  <c r="F346" i="8"/>
  <c r="AR346" i="8"/>
  <c r="H346" i="8"/>
  <c r="AT346" i="8"/>
  <c r="J346" i="8"/>
  <c r="AV346" i="8"/>
  <c r="L346" i="8"/>
  <c r="AX346" i="8"/>
  <c r="N346" i="8"/>
  <c r="E347" i="8"/>
  <c r="AP347" i="8"/>
  <c r="F347" i="8"/>
  <c r="AR347" i="8"/>
  <c r="H347" i="8"/>
  <c r="AT347" i="8"/>
  <c r="J347" i="8"/>
  <c r="AV347" i="8"/>
  <c r="L347" i="8"/>
  <c r="AX347" i="8"/>
  <c r="N347" i="8"/>
  <c r="E348" i="8"/>
  <c r="AP348" i="8"/>
  <c r="F348" i="8"/>
  <c r="AR348" i="8"/>
  <c r="H348" i="8"/>
  <c r="AT348" i="8"/>
  <c r="J348" i="8"/>
  <c r="AV348" i="8"/>
  <c r="L348" i="8"/>
  <c r="AX348" i="8"/>
  <c r="N348" i="8"/>
  <c r="E349" i="8"/>
  <c r="AP349" i="8"/>
  <c r="F349" i="8"/>
  <c r="AR349" i="8"/>
  <c r="H349" i="8"/>
  <c r="AT349" i="8"/>
  <c r="J349" i="8"/>
  <c r="AV349" i="8"/>
  <c r="L349" i="8"/>
  <c r="AX349" i="8"/>
  <c r="N349" i="8"/>
  <c r="E350" i="8"/>
  <c r="AP350" i="8"/>
  <c r="F350" i="8"/>
  <c r="AR350" i="8"/>
  <c r="H350" i="8"/>
  <c r="AT350" i="8"/>
  <c r="J350" i="8"/>
  <c r="AV350" i="8"/>
  <c r="L350" i="8"/>
  <c r="AX350" i="8"/>
  <c r="N350" i="8"/>
  <c r="E32" i="8"/>
  <c r="AP32" i="8"/>
  <c r="F32" i="8"/>
  <c r="AR32" i="8"/>
  <c r="H32" i="8"/>
  <c r="AT32" i="8"/>
  <c r="J32" i="8"/>
  <c r="AV32" i="8"/>
  <c r="L32" i="8"/>
  <c r="AX32" i="8"/>
  <c r="N32" i="8"/>
  <c r="E351" i="8"/>
  <c r="AP351" i="8"/>
  <c r="F351" i="8"/>
  <c r="AR351" i="8"/>
  <c r="H351" i="8"/>
  <c r="AT351" i="8"/>
  <c r="J351" i="8"/>
  <c r="AV351" i="8"/>
  <c r="L351" i="8"/>
  <c r="AX351" i="8"/>
  <c r="N351" i="8"/>
  <c r="E352" i="8"/>
  <c r="AP352" i="8"/>
  <c r="F352" i="8"/>
  <c r="AR352" i="8"/>
  <c r="H352" i="8"/>
  <c r="AT352" i="8"/>
  <c r="J352" i="8"/>
  <c r="AV352" i="8"/>
  <c r="L352" i="8"/>
  <c r="AX352" i="8"/>
  <c r="N352" i="8"/>
  <c r="E353" i="8"/>
  <c r="AP353" i="8"/>
  <c r="F353" i="8"/>
  <c r="AR353" i="8"/>
  <c r="H353" i="8"/>
  <c r="AT353" i="8"/>
  <c r="J353" i="8"/>
  <c r="AV353" i="8"/>
  <c r="L353" i="8"/>
  <c r="AX353" i="8"/>
  <c r="N353" i="8"/>
  <c r="E354" i="8"/>
  <c r="AP354" i="8"/>
  <c r="F354" i="8"/>
  <c r="AR354" i="8"/>
  <c r="H354" i="8"/>
  <c r="AT354" i="8"/>
  <c r="J354" i="8"/>
  <c r="AV354" i="8"/>
  <c r="L354" i="8"/>
  <c r="AX354" i="8"/>
  <c r="N354" i="8"/>
  <c r="E355" i="8"/>
  <c r="AP355" i="8"/>
  <c r="F355" i="8"/>
  <c r="AR355" i="8"/>
  <c r="H355" i="8"/>
  <c r="AT355" i="8"/>
  <c r="J355" i="8"/>
  <c r="AV355" i="8"/>
  <c r="L355" i="8"/>
  <c r="AX355" i="8"/>
  <c r="N355" i="8"/>
  <c r="E356" i="8"/>
  <c r="AP356" i="8"/>
  <c r="F356" i="8"/>
  <c r="AR356" i="8"/>
  <c r="H356" i="8"/>
  <c r="AT356" i="8"/>
  <c r="J356" i="8"/>
  <c r="AV356" i="8"/>
  <c r="L356" i="8"/>
  <c r="AX356" i="8"/>
  <c r="N356" i="8"/>
  <c r="E357" i="8"/>
  <c r="AP357" i="8"/>
  <c r="F357" i="8"/>
  <c r="AR357" i="8"/>
  <c r="H357" i="8"/>
  <c r="AT357" i="8"/>
  <c r="J357" i="8"/>
  <c r="AV357" i="8"/>
  <c r="L357" i="8"/>
  <c r="AX357" i="8"/>
  <c r="N357" i="8"/>
  <c r="E358" i="8"/>
  <c r="AP358" i="8"/>
  <c r="F358" i="8"/>
  <c r="AR358" i="8"/>
  <c r="H358" i="8"/>
  <c r="AT358" i="8"/>
  <c r="J358" i="8"/>
  <c r="AV358" i="8"/>
  <c r="L358" i="8"/>
  <c r="AX358" i="8"/>
  <c r="N358" i="8"/>
  <c r="E359" i="8"/>
  <c r="AP359" i="8"/>
  <c r="F359" i="8"/>
  <c r="AR359" i="8"/>
  <c r="H359" i="8"/>
  <c r="AT359" i="8"/>
  <c r="J359" i="8"/>
  <c r="AV359" i="8"/>
  <c r="L359" i="8"/>
  <c r="AX359" i="8"/>
  <c r="N359" i="8"/>
  <c r="E360" i="8"/>
  <c r="AP360" i="8"/>
  <c r="F360" i="8"/>
  <c r="AR360" i="8"/>
  <c r="H360" i="8"/>
  <c r="AT360" i="8"/>
  <c r="J360" i="8"/>
  <c r="AV360" i="8"/>
  <c r="L360" i="8"/>
  <c r="AX360" i="8"/>
  <c r="N360" i="8"/>
  <c r="E33" i="8"/>
  <c r="AP33" i="8"/>
  <c r="F33" i="8"/>
  <c r="AR33" i="8"/>
  <c r="H33" i="8"/>
  <c r="AT33" i="8"/>
  <c r="J33" i="8"/>
  <c r="AV33" i="8"/>
  <c r="L33" i="8"/>
  <c r="AX33" i="8"/>
  <c r="N33" i="8"/>
  <c r="E361" i="8"/>
  <c r="AP361" i="8"/>
  <c r="F361" i="8"/>
  <c r="AR361" i="8"/>
  <c r="H361" i="8"/>
  <c r="AT361" i="8"/>
  <c r="J361" i="8"/>
  <c r="AV361" i="8"/>
  <c r="L361" i="8"/>
  <c r="AX361" i="8"/>
  <c r="N361" i="8"/>
  <c r="E362" i="8"/>
  <c r="AP362" i="8"/>
  <c r="F362" i="8"/>
  <c r="AR362" i="8"/>
  <c r="H362" i="8"/>
  <c r="AT362" i="8"/>
  <c r="J362" i="8"/>
  <c r="AV362" i="8"/>
  <c r="L362" i="8"/>
  <c r="AX362" i="8"/>
  <c r="N362" i="8"/>
  <c r="AY362" i="8"/>
  <c r="O362" i="8"/>
  <c r="AZ362" i="8"/>
  <c r="P362" i="8"/>
  <c r="BA362" i="8"/>
  <c r="Q362" i="8"/>
  <c r="B362" i="8"/>
  <c r="E363" i="8"/>
  <c r="AP363" i="8"/>
  <c r="F363" i="8"/>
  <c r="AR363" i="8"/>
  <c r="H363" i="8"/>
  <c r="AT363" i="8"/>
  <c r="J363" i="8"/>
  <c r="AV363" i="8"/>
  <c r="L363" i="8"/>
  <c r="AX363" i="8"/>
  <c r="N363" i="8"/>
  <c r="E364" i="8"/>
  <c r="AP364" i="8"/>
  <c r="F364" i="8"/>
  <c r="AR364" i="8"/>
  <c r="H364" i="8"/>
  <c r="AT364" i="8"/>
  <c r="J364" i="8"/>
  <c r="AV364" i="8"/>
  <c r="L364" i="8"/>
  <c r="AX364" i="8"/>
  <c r="N364" i="8"/>
  <c r="E365" i="8"/>
  <c r="AP365" i="8"/>
  <c r="F365" i="8"/>
  <c r="AR365" i="8"/>
  <c r="H365" i="8"/>
  <c r="AT365" i="8"/>
  <c r="J365" i="8"/>
  <c r="AV365" i="8"/>
  <c r="L365" i="8"/>
  <c r="AX365" i="8"/>
  <c r="N365" i="8"/>
  <c r="E366" i="8"/>
  <c r="AP366" i="8"/>
  <c r="F366" i="8"/>
  <c r="AR366" i="8"/>
  <c r="H366" i="8"/>
  <c r="AT366" i="8"/>
  <c r="J366" i="8"/>
  <c r="AV366" i="8"/>
  <c r="L366" i="8"/>
  <c r="AX366" i="8"/>
  <c r="N366" i="8"/>
  <c r="E367" i="8"/>
  <c r="AP367" i="8"/>
  <c r="F367" i="8"/>
  <c r="AR367" i="8"/>
  <c r="H367" i="8"/>
  <c r="AT367" i="8"/>
  <c r="J367" i="8"/>
  <c r="AV367" i="8"/>
  <c r="L367" i="8"/>
  <c r="AX367" i="8"/>
  <c r="N367" i="8"/>
  <c r="E34" i="8"/>
  <c r="AP34" i="8"/>
  <c r="F34" i="8"/>
  <c r="AR34" i="8"/>
  <c r="H34" i="8"/>
  <c r="AT34" i="8"/>
  <c r="J34" i="8"/>
  <c r="AV34" i="8"/>
  <c r="L34" i="8"/>
  <c r="AX34" i="8"/>
  <c r="N34" i="8"/>
  <c r="E368" i="8"/>
  <c r="AP368" i="8"/>
  <c r="F368" i="8"/>
  <c r="AR368" i="8"/>
  <c r="H368" i="8"/>
  <c r="AT368" i="8"/>
  <c r="J368" i="8"/>
  <c r="AV368" i="8"/>
  <c r="L368" i="8"/>
  <c r="AX368" i="8"/>
  <c r="N368" i="8"/>
  <c r="E369" i="8"/>
  <c r="AP369" i="8"/>
  <c r="F369" i="8"/>
  <c r="AR369" i="8"/>
  <c r="H369" i="8"/>
  <c r="AT369" i="8"/>
  <c r="J369" i="8"/>
  <c r="AV369" i="8"/>
  <c r="L369" i="8"/>
  <c r="AX369" i="8"/>
  <c r="N369" i="8"/>
  <c r="E370" i="8"/>
  <c r="AP370" i="8"/>
  <c r="F370" i="8"/>
  <c r="AR370" i="8"/>
  <c r="H370" i="8"/>
  <c r="AT370" i="8"/>
  <c r="J370" i="8"/>
  <c r="AV370" i="8"/>
  <c r="L370" i="8"/>
  <c r="AX370" i="8"/>
  <c r="N370" i="8"/>
  <c r="E35" i="8"/>
  <c r="AP35" i="8"/>
  <c r="F35" i="8"/>
  <c r="AR35" i="8"/>
  <c r="H35" i="8"/>
  <c r="AT35" i="8"/>
  <c r="J35" i="8"/>
  <c r="AV35" i="8"/>
  <c r="L35" i="8"/>
  <c r="AX35" i="8"/>
  <c r="N35" i="8"/>
  <c r="E371" i="8"/>
  <c r="AP371" i="8"/>
  <c r="F371" i="8"/>
  <c r="AR371" i="8"/>
  <c r="H371" i="8"/>
  <c r="AT371" i="8"/>
  <c r="J371" i="8"/>
  <c r="AV371" i="8"/>
  <c r="L371" i="8"/>
  <c r="AX371" i="8"/>
  <c r="N371" i="8"/>
  <c r="E372" i="8"/>
  <c r="AP372" i="8"/>
  <c r="F372" i="8"/>
  <c r="AR372" i="8"/>
  <c r="H372" i="8"/>
  <c r="AT372" i="8"/>
  <c r="J372" i="8"/>
  <c r="AV372" i="8"/>
  <c r="L372" i="8"/>
  <c r="AX372" i="8"/>
  <c r="N372" i="8"/>
  <c r="E373" i="8"/>
  <c r="AP373" i="8"/>
  <c r="F373" i="8"/>
  <c r="AR373" i="8"/>
  <c r="H373" i="8"/>
  <c r="AT373" i="8"/>
  <c r="J373" i="8"/>
  <c r="AV373" i="8"/>
  <c r="L373" i="8"/>
  <c r="AX373" i="8"/>
  <c r="N373" i="8"/>
  <c r="BA373" i="8"/>
  <c r="Q373" i="8"/>
  <c r="E374" i="8"/>
  <c r="AP374" i="8"/>
  <c r="F374" i="8"/>
  <c r="AR374" i="8"/>
  <c r="H374" i="8"/>
  <c r="AT374" i="8"/>
  <c r="J374" i="8"/>
  <c r="AV374" i="8"/>
  <c r="L374" i="8"/>
  <c r="AX374" i="8"/>
  <c r="N374" i="8"/>
  <c r="E375" i="8"/>
  <c r="AP375" i="8"/>
  <c r="F375" i="8"/>
  <c r="AR375" i="8"/>
  <c r="H375" i="8"/>
  <c r="AT375" i="8"/>
  <c r="J375" i="8"/>
  <c r="AV375" i="8"/>
  <c r="L375" i="8"/>
  <c r="AX375" i="8"/>
  <c r="N375" i="8"/>
  <c r="E376" i="8"/>
  <c r="AP376" i="8"/>
  <c r="F376" i="8"/>
  <c r="AR376" i="8"/>
  <c r="H376" i="8"/>
  <c r="AT376" i="8"/>
  <c r="J376" i="8"/>
  <c r="AV376" i="8"/>
  <c r="L376" i="8"/>
  <c r="AX376" i="8"/>
  <c r="N376" i="8"/>
  <c r="E377" i="8"/>
  <c r="AP377" i="8"/>
  <c r="F377" i="8"/>
  <c r="AR377" i="8"/>
  <c r="H377" i="8"/>
  <c r="AT377" i="8"/>
  <c r="J377" i="8"/>
  <c r="AV377" i="8"/>
  <c r="L377" i="8"/>
  <c r="AX377" i="8"/>
  <c r="N377" i="8"/>
  <c r="E378" i="8"/>
  <c r="AP378" i="8"/>
  <c r="F378" i="8"/>
  <c r="AR378" i="8"/>
  <c r="H378" i="8"/>
  <c r="AT378" i="8"/>
  <c r="J378" i="8"/>
  <c r="AV378" i="8"/>
  <c r="L378" i="8"/>
  <c r="AX378" i="8"/>
  <c r="N378" i="8"/>
  <c r="E379" i="8"/>
  <c r="AP379" i="8"/>
  <c r="F379" i="8"/>
  <c r="AR379" i="8"/>
  <c r="H379" i="8"/>
  <c r="AT379" i="8"/>
  <c r="J379" i="8"/>
  <c r="AV379" i="8"/>
  <c r="L379" i="8"/>
  <c r="AX379" i="8"/>
  <c r="N379" i="8"/>
  <c r="E380" i="8"/>
  <c r="AP380" i="8"/>
  <c r="F380" i="8"/>
  <c r="AR380" i="8"/>
  <c r="H380" i="8"/>
  <c r="AT380" i="8"/>
  <c r="J380" i="8"/>
  <c r="AV380" i="8"/>
  <c r="L380" i="8"/>
  <c r="AX380" i="8"/>
  <c r="N380" i="8"/>
  <c r="E381" i="8"/>
  <c r="AP381" i="8"/>
  <c r="F381" i="8"/>
  <c r="AR381" i="8"/>
  <c r="H381" i="8"/>
  <c r="AT381" i="8"/>
  <c r="J381" i="8"/>
  <c r="AV381" i="8"/>
  <c r="L381" i="8"/>
  <c r="AX381" i="8"/>
  <c r="N381" i="8"/>
  <c r="E382" i="8"/>
  <c r="AP382" i="8"/>
  <c r="F382" i="8"/>
  <c r="AR382" i="8"/>
  <c r="H382" i="8"/>
  <c r="AT382" i="8"/>
  <c r="J382" i="8"/>
  <c r="AV382" i="8"/>
  <c r="L382" i="8"/>
  <c r="AX382" i="8"/>
  <c r="N382" i="8"/>
  <c r="E383" i="8"/>
  <c r="AP383" i="8"/>
  <c r="F383" i="8"/>
  <c r="AR383" i="8"/>
  <c r="H383" i="8"/>
  <c r="AT383" i="8"/>
  <c r="J383" i="8"/>
  <c r="AV383" i="8"/>
  <c r="L383" i="8"/>
  <c r="AX383" i="8"/>
  <c r="N383" i="8"/>
  <c r="E384" i="8"/>
  <c r="AP384" i="8"/>
  <c r="F384" i="8"/>
  <c r="AR384" i="8"/>
  <c r="H384" i="8"/>
  <c r="AT384" i="8"/>
  <c r="J384" i="8"/>
  <c r="AV384" i="8"/>
  <c r="L384" i="8"/>
  <c r="AX384" i="8"/>
  <c r="N384" i="8"/>
  <c r="E385" i="8"/>
  <c r="AP385" i="8"/>
  <c r="F385" i="8"/>
  <c r="AR385" i="8"/>
  <c r="H385" i="8"/>
  <c r="AT385" i="8"/>
  <c r="J385" i="8"/>
  <c r="AV385" i="8"/>
  <c r="L385" i="8"/>
  <c r="AX385" i="8"/>
  <c r="N385" i="8"/>
  <c r="E36" i="8"/>
  <c r="AP36" i="8"/>
  <c r="F36" i="8"/>
  <c r="AR36" i="8"/>
  <c r="H36" i="8"/>
  <c r="AT36" i="8"/>
  <c r="J36" i="8"/>
  <c r="AV36" i="8"/>
  <c r="L36" i="8"/>
  <c r="AX36" i="8"/>
  <c r="N36" i="8"/>
  <c r="E386" i="8"/>
  <c r="AP386" i="8"/>
  <c r="F386" i="8"/>
  <c r="AR386" i="8"/>
  <c r="H386" i="8"/>
  <c r="AT386" i="8"/>
  <c r="J386" i="8"/>
  <c r="AV386" i="8"/>
  <c r="L386" i="8"/>
  <c r="AX386" i="8"/>
  <c r="N386" i="8"/>
  <c r="E387" i="8"/>
  <c r="AP387" i="8"/>
  <c r="F387" i="8"/>
  <c r="AR387" i="8"/>
  <c r="H387" i="8"/>
  <c r="AT387" i="8"/>
  <c r="J387" i="8"/>
  <c r="AV387" i="8"/>
  <c r="L387" i="8"/>
  <c r="AX387" i="8"/>
  <c r="N387" i="8"/>
  <c r="E388" i="8"/>
  <c r="AP388" i="8"/>
  <c r="F388" i="8"/>
  <c r="AR388" i="8"/>
  <c r="H388" i="8"/>
  <c r="AT388" i="8"/>
  <c r="J388" i="8"/>
  <c r="AV388" i="8"/>
  <c r="L388" i="8"/>
  <c r="AX388" i="8"/>
  <c r="N388" i="8"/>
  <c r="E389" i="8"/>
  <c r="AP389" i="8"/>
  <c r="F389" i="8"/>
  <c r="AR389" i="8"/>
  <c r="H389" i="8"/>
  <c r="AT389" i="8"/>
  <c r="J389" i="8"/>
  <c r="AV389" i="8"/>
  <c r="L389" i="8"/>
  <c r="AX389" i="8"/>
  <c r="N389" i="8"/>
  <c r="E390" i="8"/>
  <c r="AP390" i="8"/>
  <c r="F390" i="8"/>
  <c r="AR390" i="8"/>
  <c r="H390" i="8"/>
  <c r="AT390" i="8"/>
  <c r="J390" i="8"/>
  <c r="AV390" i="8"/>
  <c r="L390" i="8"/>
  <c r="AX390" i="8"/>
  <c r="N390" i="8"/>
  <c r="E391" i="8"/>
  <c r="AP391" i="8"/>
  <c r="F391" i="8"/>
  <c r="AR391" i="8"/>
  <c r="H391" i="8"/>
  <c r="AT391" i="8"/>
  <c r="J391" i="8"/>
  <c r="AV391" i="8"/>
  <c r="L391" i="8"/>
  <c r="AX391" i="8"/>
  <c r="N391" i="8"/>
  <c r="E392" i="8"/>
  <c r="AP392" i="8"/>
  <c r="F392" i="8"/>
  <c r="AR392" i="8"/>
  <c r="H392" i="8"/>
  <c r="AT392" i="8"/>
  <c r="J392" i="8"/>
  <c r="AV392" i="8"/>
  <c r="L392" i="8"/>
  <c r="AX392" i="8"/>
  <c r="N392" i="8"/>
  <c r="E393" i="8"/>
  <c r="AP393" i="8"/>
  <c r="F393" i="8"/>
  <c r="AR393" i="8"/>
  <c r="H393" i="8"/>
  <c r="AT393" i="8"/>
  <c r="J393" i="8"/>
  <c r="AV393" i="8"/>
  <c r="L393" i="8"/>
  <c r="AX393" i="8"/>
  <c r="N393" i="8"/>
  <c r="E37" i="8"/>
  <c r="AP37" i="8"/>
  <c r="F37" i="8"/>
  <c r="AR37" i="8"/>
  <c r="H37" i="8"/>
  <c r="AT37" i="8"/>
  <c r="J37" i="8"/>
  <c r="AV37" i="8"/>
  <c r="L37" i="8"/>
  <c r="AX37" i="8"/>
  <c r="N37" i="8"/>
  <c r="AY37" i="8"/>
  <c r="O37" i="8"/>
  <c r="AZ37" i="8"/>
  <c r="P37" i="8"/>
  <c r="E394" i="8"/>
  <c r="AP394" i="8"/>
  <c r="F394" i="8"/>
  <c r="AR394" i="8"/>
  <c r="H394" i="8"/>
  <c r="AT394" i="8"/>
  <c r="J394" i="8"/>
  <c r="AV394" i="8"/>
  <c r="L394" i="8"/>
  <c r="AX394" i="8"/>
  <c r="N394" i="8"/>
  <c r="AY394" i="8"/>
  <c r="O394" i="8"/>
  <c r="AZ394" i="8"/>
  <c r="P394" i="8"/>
  <c r="BA394" i="8"/>
  <c r="Q394" i="8"/>
  <c r="B394" i="8"/>
  <c r="E395" i="8"/>
  <c r="AP395" i="8"/>
  <c r="F395" i="8"/>
  <c r="AR395" i="8"/>
  <c r="H395" i="8"/>
  <c r="AT395" i="8"/>
  <c r="J395" i="8"/>
  <c r="AV395" i="8"/>
  <c r="L395" i="8"/>
  <c r="AX395" i="8"/>
  <c r="N395" i="8"/>
  <c r="AY395" i="8"/>
  <c r="O395" i="8"/>
  <c r="AZ395" i="8"/>
  <c r="P395" i="8"/>
  <c r="BA395" i="8"/>
  <c r="Q395" i="8"/>
  <c r="B395" i="8"/>
  <c r="E396" i="8"/>
  <c r="AP396" i="8"/>
  <c r="F396" i="8"/>
  <c r="AR396" i="8"/>
  <c r="H396" i="8"/>
  <c r="AT396" i="8"/>
  <c r="J396" i="8"/>
  <c r="AV396" i="8"/>
  <c r="L396" i="8"/>
  <c r="AX396" i="8"/>
  <c r="N396" i="8"/>
  <c r="AY396" i="8"/>
  <c r="O396" i="8"/>
  <c r="AZ396" i="8"/>
  <c r="P396" i="8"/>
  <c r="BA396" i="8"/>
  <c r="Q396" i="8"/>
  <c r="B396" i="8"/>
  <c r="E397" i="8"/>
  <c r="AP397" i="8"/>
  <c r="F397" i="8"/>
  <c r="AR397" i="8"/>
  <c r="H397" i="8"/>
  <c r="AT397" i="8"/>
  <c r="J397" i="8"/>
  <c r="AV397" i="8"/>
  <c r="L397" i="8"/>
  <c r="AX397" i="8"/>
  <c r="N397" i="8"/>
  <c r="AY397" i="8"/>
  <c r="O397" i="8"/>
  <c r="AZ397" i="8"/>
  <c r="P397" i="8"/>
  <c r="BA397" i="8"/>
  <c r="Q397" i="8"/>
  <c r="B397" i="8"/>
  <c r="E398" i="8"/>
  <c r="AP398" i="8"/>
  <c r="F398" i="8"/>
  <c r="AR398" i="8"/>
  <c r="H398" i="8"/>
  <c r="AT398" i="8"/>
  <c r="J398" i="8"/>
  <c r="AV398" i="8"/>
  <c r="L398" i="8"/>
  <c r="AX398" i="8"/>
  <c r="N398" i="8"/>
  <c r="AY398" i="8"/>
  <c r="O398" i="8"/>
  <c r="AZ398" i="8"/>
  <c r="P398" i="8"/>
  <c r="BA398" i="8"/>
  <c r="Q398" i="8"/>
  <c r="B398" i="8"/>
  <c r="E38" i="8"/>
  <c r="AP38" i="8"/>
  <c r="F38" i="8"/>
  <c r="AR38" i="8"/>
  <c r="H38" i="8"/>
  <c r="AT38" i="8"/>
  <c r="J38" i="8"/>
  <c r="AV38" i="8"/>
  <c r="L38" i="8"/>
  <c r="AX38" i="8"/>
  <c r="N38" i="8"/>
  <c r="AY38" i="8"/>
  <c r="O38" i="8"/>
  <c r="AZ38" i="8"/>
  <c r="P38" i="8"/>
  <c r="BA38" i="8"/>
  <c r="Q38" i="8"/>
  <c r="B38" i="8"/>
  <c r="E399" i="8"/>
  <c r="AP399" i="8"/>
  <c r="F399" i="8"/>
  <c r="AR399" i="8"/>
  <c r="H399" i="8"/>
  <c r="AT399" i="8"/>
  <c r="J399" i="8"/>
  <c r="AV399" i="8"/>
  <c r="L399" i="8"/>
  <c r="AX399" i="8"/>
  <c r="N399" i="8"/>
  <c r="AY399" i="8"/>
  <c r="O399" i="8"/>
  <c r="AZ399" i="8"/>
  <c r="P399" i="8"/>
  <c r="BA399" i="8"/>
  <c r="Q399" i="8"/>
  <c r="B399" i="8"/>
  <c r="E400" i="8"/>
  <c r="AP400" i="8"/>
  <c r="F400" i="8"/>
  <c r="AR400" i="8"/>
  <c r="H400" i="8"/>
  <c r="AT400" i="8"/>
  <c r="J400" i="8"/>
  <c r="AV400" i="8"/>
  <c r="L400" i="8"/>
  <c r="AX400" i="8"/>
  <c r="N400" i="8"/>
  <c r="AY400" i="8"/>
  <c r="O400" i="8"/>
  <c r="AZ400" i="8"/>
  <c r="P400" i="8"/>
  <c r="BA400" i="8"/>
  <c r="Q400" i="8"/>
  <c r="B400" i="8"/>
  <c r="E401" i="8"/>
  <c r="AP401" i="8"/>
  <c r="F401" i="8"/>
  <c r="AR401" i="8"/>
  <c r="H401" i="8"/>
  <c r="AT401" i="8"/>
  <c r="J401" i="8"/>
  <c r="AV401" i="8"/>
  <c r="L401" i="8"/>
  <c r="AX401" i="8"/>
  <c r="N401" i="8"/>
  <c r="AY401" i="8"/>
  <c r="O401" i="8"/>
  <c r="AZ401" i="8"/>
  <c r="P401" i="8"/>
  <c r="BA401" i="8"/>
  <c r="Q401" i="8"/>
  <c r="B401" i="8"/>
  <c r="E402" i="8"/>
  <c r="AP402" i="8"/>
  <c r="F402" i="8"/>
  <c r="AR402" i="8"/>
  <c r="H402" i="8"/>
  <c r="AT402" i="8"/>
  <c r="J402" i="8"/>
  <c r="AV402" i="8"/>
  <c r="L402" i="8"/>
  <c r="AX402" i="8"/>
  <c r="N402" i="8"/>
  <c r="AY402" i="8"/>
  <c r="O402" i="8"/>
  <c r="AZ402" i="8"/>
  <c r="P402" i="8"/>
  <c r="BA402" i="8"/>
  <c r="Q402" i="8"/>
  <c r="B402" i="8"/>
  <c r="E403" i="8"/>
  <c r="AP403" i="8"/>
  <c r="F403" i="8"/>
  <c r="AR403" i="8"/>
  <c r="H403" i="8"/>
  <c r="AT403" i="8"/>
  <c r="J403" i="8"/>
  <c r="AV403" i="8"/>
  <c r="L403" i="8"/>
  <c r="AX403" i="8"/>
  <c r="N403" i="8"/>
  <c r="AY403" i="8"/>
  <c r="O403" i="8"/>
  <c r="AZ403" i="8"/>
  <c r="P403" i="8"/>
  <c r="BA403" i="8"/>
  <c r="Q403" i="8"/>
  <c r="B403" i="8"/>
  <c r="E404" i="8"/>
  <c r="AP404" i="8"/>
  <c r="F404" i="8"/>
  <c r="AR404" i="8"/>
  <c r="H404" i="8"/>
  <c r="AT404" i="8"/>
  <c r="J404" i="8"/>
  <c r="AV404" i="8"/>
  <c r="L404" i="8"/>
  <c r="AX404" i="8"/>
  <c r="N404" i="8"/>
  <c r="E405" i="8"/>
  <c r="AP405" i="8"/>
  <c r="F405" i="8"/>
  <c r="AR405" i="8"/>
  <c r="H405" i="8"/>
  <c r="AT405" i="8"/>
  <c r="J405" i="8"/>
  <c r="AV405" i="8"/>
  <c r="L405" i="8"/>
  <c r="AX405" i="8"/>
  <c r="N405" i="8"/>
  <c r="AY405" i="8"/>
  <c r="O405" i="8"/>
  <c r="AZ405" i="8"/>
  <c r="P405" i="8"/>
  <c r="E406" i="8"/>
  <c r="AP406" i="8"/>
  <c r="F406" i="8"/>
  <c r="AR406" i="8"/>
  <c r="H406" i="8"/>
  <c r="AT406" i="8"/>
  <c r="J406" i="8"/>
  <c r="AV406" i="8"/>
  <c r="L406" i="8"/>
  <c r="AX406" i="8"/>
  <c r="N406" i="8"/>
  <c r="AQ45" i="8"/>
  <c r="G45" i="8"/>
  <c r="AQ46" i="8"/>
  <c r="G46" i="8"/>
  <c r="AQ47" i="8"/>
  <c r="G47" i="8"/>
  <c r="AQ3" i="8"/>
  <c r="G3" i="8"/>
  <c r="AQ48" i="8"/>
  <c r="G48" i="8"/>
  <c r="AQ39" i="8"/>
  <c r="G39" i="8"/>
  <c r="AQ49" i="8"/>
  <c r="G49" i="8"/>
  <c r="AQ50" i="8"/>
  <c r="G50" i="8"/>
  <c r="AQ51" i="8"/>
  <c r="G51" i="8"/>
  <c r="AQ52" i="8"/>
  <c r="G52" i="8"/>
  <c r="AQ40" i="8"/>
  <c r="G40" i="8"/>
  <c r="AQ53" i="8"/>
  <c r="G53" i="8"/>
  <c r="AQ54" i="8"/>
  <c r="G54" i="8"/>
  <c r="AQ55" i="8"/>
  <c r="G55" i="8"/>
  <c r="AQ56" i="8"/>
  <c r="G56" i="8"/>
  <c r="AQ57" i="8"/>
  <c r="G57" i="8"/>
  <c r="AQ58" i="8"/>
  <c r="G58" i="8"/>
  <c r="AQ41" i="8"/>
  <c r="G41" i="8"/>
  <c r="AQ59" i="8"/>
  <c r="G59" i="8"/>
  <c r="AQ60" i="8"/>
  <c r="G60" i="8"/>
  <c r="AQ4" i="8"/>
  <c r="G4" i="8"/>
  <c r="AQ61" i="8"/>
  <c r="G61" i="8"/>
  <c r="AQ62" i="8"/>
  <c r="G62" i="8"/>
  <c r="AQ5" i="8"/>
  <c r="G5" i="8"/>
  <c r="AQ2" i="8"/>
  <c r="G2" i="8"/>
  <c r="AQ42" i="8"/>
  <c r="G42" i="8"/>
  <c r="AQ63" i="8"/>
  <c r="G63" i="8"/>
  <c r="AQ43" i="8"/>
  <c r="G43" i="8"/>
  <c r="AQ44" i="8"/>
  <c r="G44" i="8"/>
  <c r="AQ64" i="8"/>
  <c r="G64" i="8"/>
  <c r="AQ65" i="8"/>
  <c r="G65" i="8"/>
  <c r="AQ66" i="8"/>
  <c r="G66" i="8"/>
  <c r="AQ67" i="8"/>
  <c r="G67" i="8"/>
  <c r="AQ68" i="8"/>
  <c r="G68" i="8"/>
  <c r="AQ69" i="8"/>
  <c r="G69" i="8"/>
  <c r="AQ70" i="8"/>
  <c r="G70" i="8"/>
  <c r="AQ71" i="8"/>
  <c r="G71" i="8"/>
  <c r="AQ100" i="8"/>
  <c r="G100" i="8"/>
  <c r="AQ72" i="8"/>
  <c r="G72" i="8"/>
  <c r="AQ73" i="8"/>
  <c r="G73" i="8"/>
  <c r="AQ101" i="8"/>
  <c r="G101" i="8"/>
  <c r="AQ74" i="8"/>
  <c r="G74" i="8"/>
  <c r="AQ102" i="8"/>
  <c r="G102" i="8"/>
  <c r="AQ103" i="8"/>
  <c r="G103" i="8"/>
  <c r="AQ104" i="8"/>
  <c r="G104" i="8"/>
  <c r="AQ105" i="8"/>
  <c r="G105" i="8"/>
  <c r="AQ106" i="8"/>
  <c r="G106" i="8"/>
  <c r="AQ107" i="8"/>
  <c r="G107" i="8"/>
  <c r="AQ108" i="8"/>
  <c r="G108" i="8"/>
  <c r="AQ109" i="8"/>
  <c r="G109" i="8"/>
  <c r="AQ110" i="8"/>
  <c r="G110" i="8"/>
  <c r="AQ111" i="8"/>
  <c r="G111" i="8"/>
  <c r="AQ112" i="8"/>
  <c r="G112" i="8"/>
  <c r="AQ113" i="8"/>
  <c r="G113" i="8"/>
  <c r="AQ114" i="8"/>
  <c r="G114" i="8"/>
  <c r="AQ115" i="8"/>
  <c r="G115" i="8"/>
  <c r="AQ75" i="8"/>
  <c r="G75" i="8"/>
  <c r="AQ116" i="8"/>
  <c r="G116" i="8"/>
  <c r="AQ117" i="8"/>
  <c r="G117" i="8"/>
  <c r="AQ118" i="8"/>
  <c r="G118" i="8"/>
  <c r="AQ119" i="8"/>
  <c r="G119" i="8"/>
  <c r="AQ120" i="8"/>
  <c r="G120" i="8"/>
  <c r="AQ121" i="8"/>
  <c r="G121" i="8"/>
  <c r="AQ122" i="8"/>
  <c r="G122" i="8"/>
  <c r="AQ123" i="8"/>
  <c r="G123" i="8"/>
  <c r="AQ124" i="8"/>
  <c r="G124" i="8"/>
  <c r="AQ125" i="8"/>
  <c r="G125" i="8"/>
  <c r="AQ126" i="8"/>
  <c r="G126" i="8"/>
  <c r="AQ127" i="8"/>
  <c r="G127" i="8"/>
  <c r="AQ128" i="8"/>
  <c r="G128" i="8"/>
  <c r="AQ129" i="8"/>
  <c r="G129" i="8"/>
  <c r="AQ76" i="8"/>
  <c r="G76" i="8"/>
  <c r="AQ130" i="8"/>
  <c r="G130" i="8"/>
  <c r="AQ131" i="8"/>
  <c r="G131" i="8"/>
  <c r="AQ132" i="8"/>
  <c r="G132" i="8"/>
  <c r="AQ133" i="8"/>
  <c r="G133" i="8"/>
  <c r="AQ77" i="8"/>
  <c r="G77" i="8"/>
  <c r="AQ134" i="8"/>
  <c r="G134" i="8"/>
  <c r="AQ135" i="8"/>
  <c r="G135" i="8"/>
  <c r="AQ136" i="8"/>
  <c r="G136" i="8"/>
  <c r="AQ137" i="8"/>
  <c r="G137" i="8"/>
  <c r="AQ138" i="8"/>
  <c r="G138" i="8"/>
  <c r="AQ78" i="8"/>
  <c r="G78" i="8"/>
  <c r="AQ139" i="8"/>
  <c r="G139" i="8"/>
  <c r="AQ140" i="8"/>
  <c r="G140" i="8"/>
  <c r="AQ141" i="8"/>
  <c r="G141" i="8"/>
  <c r="AQ8" i="8"/>
  <c r="G8" i="8"/>
  <c r="AQ142" i="8"/>
  <c r="G142" i="8"/>
  <c r="AQ143" i="8"/>
  <c r="G143" i="8"/>
  <c r="AQ144" i="8"/>
  <c r="G144" i="8"/>
  <c r="AQ145" i="8"/>
  <c r="G145" i="8"/>
  <c r="AQ146" i="8"/>
  <c r="G146" i="8"/>
  <c r="AQ147" i="8"/>
  <c r="G147" i="8"/>
  <c r="AQ148" i="8"/>
  <c r="G148" i="8"/>
  <c r="AQ149" i="8"/>
  <c r="G149" i="8"/>
  <c r="AQ150" i="8"/>
  <c r="G150" i="8"/>
  <c r="AQ9" i="8"/>
  <c r="G9" i="8"/>
  <c r="AQ10" i="8"/>
  <c r="G10" i="8"/>
  <c r="AQ11" i="8"/>
  <c r="G11" i="8"/>
  <c r="AQ151" i="8"/>
  <c r="G151" i="8"/>
  <c r="AQ152" i="8"/>
  <c r="G152" i="8"/>
  <c r="AQ153" i="8"/>
  <c r="G153" i="8"/>
  <c r="AQ154" i="8"/>
  <c r="G154" i="8"/>
  <c r="AQ155" i="8"/>
  <c r="G155" i="8"/>
  <c r="AQ156" i="8"/>
  <c r="G156" i="8"/>
  <c r="AQ157" i="8"/>
  <c r="G157" i="8"/>
  <c r="AQ158" i="8"/>
  <c r="G158" i="8"/>
  <c r="AQ159" i="8"/>
  <c r="G159" i="8"/>
  <c r="AQ160" i="8"/>
  <c r="G160" i="8"/>
  <c r="AQ161" i="8"/>
  <c r="G161" i="8"/>
  <c r="AQ162" i="8"/>
  <c r="G162" i="8"/>
  <c r="AQ163" i="8"/>
  <c r="G163" i="8"/>
  <c r="AQ164" i="8"/>
  <c r="G164" i="8"/>
  <c r="AQ165" i="8"/>
  <c r="G165" i="8"/>
  <c r="AQ166" i="8"/>
  <c r="G166" i="8"/>
  <c r="AQ167" i="8"/>
  <c r="G167" i="8"/>
  <c r="AQ168" i="8"/>
  <c r="G168" i="8"/>
  <c r="AQ169" i="8"/>
  <c r="G169" i="8"/>
  <c r="AQ170" i="8"/>
  <c r="G170" i="8"/>
  <c r="AQ171" i="8"/>
  <c r="G171" i="8"/>
  <c r="AQ172" i="8"/>
  <c r="G172" i="8"/>
  <c r="AQ12" i="8"/>
  <c r="G12" i="8"/>
  <c r="AQ173" i="8"/>
  <c r="G173" i="8"/>
  <c r="AQ174" i="8"/>
  <c r="G174" i="8"/>
  <c r="AQ175" i="8"/>
  <c r="G175" i="8"/>
  <c r="AQ176" i="8"/>
  <c r="G176" i="8"/>
  <c r="AQ177" i="8"/>
  <c r="G177" i="8"/>
  <c r="AQ178" i="8"/>
  <c r="G178" i="8"/>
  <c r="AQ179" i="8"/>
  <c r="G179" i="8"/>
  <c r="AQ180" i="8"/>
  <c r="G180" i="8"/>
  <c r="AQ181" i="8"/>
  <c r="G181" i="8"/>
  <c r="AQ182" i="8"/>
  <c r="G182" i="8"/>
  <c r="AQ13" i="8"/>
  <c r="G13" i="8"/>
  <c r="AQ183" i="8"/>
  <c r="G183" i="8"/>
  <c r="AQ184" i="8"/>
  <c r="G184" i="8"/>
  <c r="AQ185" i="8"/>
  <c r="G185" i="8"/>
  <c r="AQ186" i="8"/>
  <c r="G186" i="8"/>
  <c r="AQ187" i="8"/>
  <c r="G187" i="8"/>
  <c r="AQ188" i="8"/>
  <c r="G188" i="8"/>
  <c r="AQ189" i="8"/>
  <c r="G189" i="8"/>
  <c r="AQ190" i="8"/>
  <c r="G190" i="8"/>
  <c r="AQ191" i="8"/>
  <c r="G191" i="8"/>
  <c r="AQ192" i="8"/>
  <c r="G192" i="8"/>
  <c r="AQ193" i="8"/>
  <c r="G193" i="8"/>
  <c r="AQ194" i="8"/>
  <c r="G194" i="8"/>
  <c r="AQ14" i="8"/>
  <c r="G14" i="8"/>
  <c r="AQ195" i="8"/>
  <c r="G195" i="8"/>
  <c r="AQ196" i="8"/>
  <c r="G196" i="8"/>
  <c r="AQ197" i="8"/>
  <c r="G197" i="8"/>
  <c r="AQ198" i="8"/>
  <c r="G198" i="8"/>
  <c r="AQ199" i="8"/>
  <c r="G199" i="8"/>
  <c r="AQ200" i="8"/>
  <c r="G200" i="8"/>
  <c r="AQ201" i="8"/>
  <c r="G201" i="8"/>
  <c r="AQ15" i="8"/>
  <c r="G15" i="8"/>
  <c r="AQ202" i="8"/>
  <c r="G202" i="8"/>
  <c r="AQ203" i="8"/>
  <c r="G203" i="8"/>
  <c r="AQ16" i="8"/>
  <c r="G16" i="8"/>
  <c r="AQ204" i="8"/>
  <c r="G204" i="8"/>
  <c r="AQ205" i="8"/>
  <c r="G205" i="8"/>
  <c r="AQ206" i="8"/>
  <c r="G206" i="8"/>
  <c r="AQ207" i="8"/>
  <c r="G207" i="8"/>
  <c r="AQ6" i="8"/>
  <c r="G6" i="8"/>
  <c r="AQ208" i="8"/>
  <c r="G208" i="8"/>
  <c r="AQ209" i="8"/>
  <c r="G209" i="8"/>
  <c r="AQ17" i="8"/>
  <c r="G17" i="8"/>
  <c r="AQ210" i="8"/>
  <c r="G210" i="8"/>
  <c r="AQ211" i="8"/>
  <c r="G211" i="8"/>
  <c r="AQ212" i="8"/>
  <c r="G212" i="8"/>
  <c r="AQ213" i="8"/>
  <c r="G213" i="8"/>
  <c r="AQ7" i="8"/>
  <c r="G7" i="8"/>
  <c r="AQ214" i="8"/>
  <c r="G214" i="8"/>
  <c r="AQ215" i="8"/>
  <c r="G215" i="8"/>
  <c r="AQ216" i="8"/>
  <c r="G216" i="8"/>
  <c r="AQ217" i="8"/>
  <c r="G217" i="8"/>
  <c r="AQ218" i="8"/>
  <c r="G218" i="8"/>
  <c r="AQ18" i="8"/>
  <c r="G18" i="8"/>
  <c r="AQ219" i="8"/>
  <c r="G219" i="8"/>
  <c r="AQ220" i="8"/>
  <c r="G220" i="8"/>
  <c r="AQ19" i="8"/>
  <c r="G19" i="8"/>
  <c r="AQ20" i="8"/>
  <c r="G20" i="8"/>
  <c r="AQ21" i="8"/>
  <c r="G21" i="8"/>
  <c r="AQ221" i="8"/>
  <c r="G221" i="8"/>
  <c r="AQ222" i="8"/>
  <c r="G222" i="8"/>
  <c r="AQ223" i="8"/>
  <c r="G223" i="8"/>
  <c r="AQ224" i="8"/>
  <c r="G224" i="8"/>
  <c r="AQ225" i="8"/>
  <c r="G225" i="8"/>
  <c r="AQ226" i="8"/>
  <c r="G226" i="8"/>
  <c r="AQ227" i="8"/>
  <c r="G227" i="8"/>
  <c r="AQ228" i="8"/>
  <c r="G228" i="8"/>
  <c r="AQ22" i="8"/>
  <c r="G22" i="8"/>
  <c r="AQ23" i="8"/>
  <c r="G23" i="8"/>
  <c r="AQ229" i="8"/>
  <c r="G229" i="8"/>
  <c r="AQ230" i="8"/>
  <c r="G230" i="8"/>
  <c r="AQ231" i="8"/>
  <c r="G231" i="8"/>
  <c r="AQ232" i="8"/>
  <c r="G232" i="8"/>
  <c r="AQ233" i="8"/>
  <c r="G233" i="8"/>
  <c r="AQ234" i="8"/>
  <c r="G234" i="8"/>
  <c r="AQ235" i="8"/>
  <c r="G235" i="8"/>
  <c r="AQ236" i="8"/>
  <c r="G236" i="8"/>
  <c r="AQ237" i="8"/>
  <c r="G237" i="8"/>
  <c r="AQ238" i="8"/>
  <c r="G238" i="8"/>
  <c r="AQ239" i="8"/>
  <c r="G239" i="8"/>
  <c r="AQ240" i="8"/>
  <c r="G240" i="8"/>
  <c r="AQ24" i="8"/>
  <c r="G24" i="8"/>
  <c r="AQ241" i="8"/>
  <c r="G241" i="8"/>
  <c r="AQ242" i="8"/>
  <c r="G242" i="8"/>
  <c r="AQ243" i="8"/>
  <c r="G243" i="8"/>
  <c r="AQ244" i="8"/>
  <c r="G244" i="8"/>
  <c r="AQ245" i="8"/>
  <c r="G245" i="8"/>
  <c r="AQ246" i="8"/>
  <c r="G246" i="8"/>
  <c r="AQ247" i="8"/>
  <c r="G247" i="8"/>
  <c r="AQ248" i="8"/>
  <c r="G248" i="8"/>
  <c r="AQ249" i="8"/>
  <c r="G249" i="8"/>
  <c r="AQ250" i="8"/>
  <c r="G250" i="8"/>
  <c r="AQ79" i="8"/>
  <c r="G79" i="8"/>
  <c r="AQ251" i="8"/>
  <c r="G251" i="8"/>
  <c r="AQ252" i="8"/>
  <c r="G252" i="8"/>
  <c r="AQ253" i="8"/>
  <c r="G253" i="8"/>
  <c r="AQ254" i="8"/>
  <c r="G254" i="8"/>
  <c r="AQ255" i="8"/>
  <c r="G255" i="8"/>
  <c r="AQ80" i="8"/>
  <c r="G80" i="8"/>
  <c r="AQ81" i="8"/>
  <c r="G81" i="8"/>
  <c r="AQ82" i="8"/>
  <c r="G82" i="8"/>
  <c r="AQ256" i="8"/>
  <c r="G256" i="8"/>
  <c r="AQ83" i="8"/>
  <c r="G83" i="8"/>
  <c r="AQ84" i="8"/>
  <c r="G84" i="8"/>
  <c r="AQ257" i="8"/>
  <c r="G257" i="8"/>
  <c r="AQ85" i="8"/>
  <c r="G85" i="8"/>
  <c r="AQ86" i="8"/>
  <c r="G86" i="8"/>
  <c r="AQ87" i="8"/>
  <c r="G87" i="8"/>
  <c r="AQ258" i="8"/>
  <c r="G258" i="8"/>
  <c r="AQ25" i="8"/>
  <c r="G25" i="8"/>
  <c r="AQ88" i="8"/>
  <c r="G88" i="8"/>
  <c r="AQ89" i="8"/>
  <c r="G89" i="8"/>
  <c r="AQ259" i="8"/>
  <c r="G259" i="8"/>
  <c r="AQ260" i="8"/>
  <c r="G260" i="8"/>
  <c r="AQ261" i="8"/>
  <c r="G261" i="8"/>
  <c r="AQ90" i="8"/>
  <c r="G90" i="8"/>
  <c r="AQ262" i="8"/>
  <c r="G262" i="8"/>
  <c r="AQ263" i="8"/>
  <c r="G263" i="8"/>
  <c r="AQ26" i="8"/>
  <c r="G26" i="8"/>
  <c r="AQ264" i="8"/>
  <c r="G264" i="8"/>
  <c r="AQ265" i="8"/>
  <c r="G265" i="8"/>
  <c r="AQ266" i="8"/>
  <c r="G266" i="8"/>
  <c r="AQ91" i="8"/>
  <c r="G91" i="8"/>
  <c r="AQ267" i="8"/>
  <c r="G267" i="8"/>
  <c r="AQ268" i="8"/>
  <c r="G268" i="8"/>
  <c r="AQ92" i="8"/>
  <c r="G92" i="8"/>
  <c r="AQ269" i="8"/>
  <c r="G269" i="8"/>
  <c r="AQ270" i="8"/>
  <c r="G270" i="8"/>
  <c r="AQ271" i="8"/>
  <c r="G271" i="8"/>
  <c r="AQ272" i="8"/>
  <c r="G272" i="8"/>
  <c r="AQ273" i="8"/>
  <c r="G273" i="8"/>
  <c r="AQ27" i="8"/>
  <c r="G27" i="8"/>
  <c r="AQ274" i="8"/>
  <c r="G274" i="8"/>
  <c r="AQ275" i="8"/>
  <c r="G275" i="8"/>
  <c r="AQ276" i="8"/>
  <c r="G276" i="8"/>
  <c r="AQ277" i="8"/>
  <c r="G277" i="8"/>
  <c r="AQ278" i="8"/>
  <c r="G278" i="8"/>
  <c r="AQ279" i="8"/>
  <c r="G279" i="8"/>
  <c r="AQ280" i="8"/>
  <c r="G280" i="8"/>
  <c r="AQ281" i="8"/>
  <c r="G281" i="8"/>
  <c r="AQ282" i="8"/>
  <c r="G282" i="8"/>
  <c r="AQ283" i="8"/>
  <c r="G283" i="8"/>
  <c r="AQ284" i="8"/>
  <c r="G284" i="8"/>
  <c r="AQ285" i="8"/>
  <c r="G285" i="8"/>
  <c r="AQ286" i="8"/>
  <c r="G286" i="8"/>
  <c r="AQ28" i="8"/>
  <c r="G28" i="8"/>
  <c r="AQ287" i="8"/>
  <c r="G287" i="8"/>
  <c r="AQ288" i="8"/>
  <c r="G288" i="8"/>
  <c r="AQ93" i="8"/>
  <c r="G93" i="8"/>
  <c r="AQ289" i="8"/>
  <c r="G289" i="8"/>
  <c r="AQ290" i="8"/>
  <c r="G290" i="8"/>
  <c r="AQ291" i="8"/>
  <c r="G291" i="8"/>
  <c r="AQ292" i="8"/>
  <c r="G292" i="8"/>
  <c r="AQ293" i="8"/>
  <c r="G293" i="8"/>
  <c r="AQ294" i="8"/>
  <c r="G294" i="8"/>
  <c r="AQ295" i="8"/>
  <c r="G295" i="8"/>
  <c r="AQ296" i="8"/>
  <c r="G296" i="8"/>
  <c r="AQ297" i="8"/>
  <c r="G297" i="8"/>
  <c r="AQ298" i="8"/>
  <c r="G298" i="8"/>
  <c r="AQ299" i="8"/>
  <c r="G299" i="8"/>
  <c r="AQ300" i="8"/>
  <c r="G300" i="8"/>
  <c r="AQ301" i="8"/>
  <c r="G301" i="8"/>
  <c r="AQ302" i="8"/>
  <c r="G302" i="8"/>
  <c r="AQ29" i="8"/>
  <c r="G29" i="8"/>
  <c r="AQ303" i="8"/>
  <c r="G303" i="8"/>
  <c r="AQ304" i="8"/>
  <c r="G304" i="8"/>
  <c r="AQ305" i="8"/>
  <c r="G305" i="8"/>
  <c r="AQ306" i="8"/>
  <c r="G306" i="8"/>
  <c r="AQ307" i="8"/>
  <c r="G307" i="8"/>
  <c r="AQ94" i="8"/>
  <c r="G94" i="8"/>
  <c r="AQ308" i="8"/>
  <c r="G308" i="8"/>
  <c r="AQ309" i="8"/>
  <c r="G309" i="8"/>
  <c r="AQ310" i="8"/>
  <c r="G310" i="8"/>
  <c r="AQ311" i="8"/>
  <c r="G311" i="8"/>
  <c r="AQ312" i="8"/>
  <c r="G312" i="8"/>
  <c r="AQ313" i="8"/>
  <c r="G313" i="8"/>
  <c r="AQ95" i="8"/>
  <c r="G95" i="8"/>
  <c r="AQ314" i="8"/>
  <c r="G314" i="8"/>
  <c r="AQ315" i="8"/>
  <c r="G315" i="8"/>
  <c r="AQ316" i="8"/>
  <c r="G316" i="8"/>
  <c r="AQ317" i="8"/>
  <c r="G317" i="8"/>
  <c r="AQ318" i="8"/>
  <c r="G318" i="8"/>
  <c r="AQ96" i="8"/>
  <c r="G96" i="8"/>
  <c r="AQ319" i="8"/>
  <c r="G319" i="8"/>
  <c r="AQ320" i="8"/>
  <c r="G320" i="8"/>
  <c r="AQ321" i="8"/>
  <c r="G321" i="8"/>
  <c r="AQ322" i="8"/>
  <c r="G322" i="8"/>
  <c r="AQ323" i="8"/>
  <c r="G323" i="8"/>
  <c r="AQ324" i="8"/>
  <c r="G324" i="8"/>
  <c r="AQ325" i="8"/>
  <c r="G325" i="8"/>
  <c r="AQ326" i="8"/>
  <c r="G326" i="8"/>
  <c r="AQ30" i="8"/>
  <c r="G30" i="8"/>
  <c r="AQ327" i="8"/>
  <c r="G327" i="8"/>
  <c r="AQ328" i="8"/>
  <c r="G328" i="8"/>
  <c r="AQ329" i="8"/>
  <c r="G329" i="8"/>
  <c r="AQ330" i="8"/>
  <c r="G330" i="8"/>
  <c r="AQ331" i="8"/>
  <c r="G331" i="8"/>
  <c r="AQ31" i="8"/>
  <c r="G31" i="8"/>
  <c r="AQ332" i="8"/>
  <c r="G332" i="8"/>
  <c r="AQ333" i="8"/>
  <c r="G333" i="8"/>
  <c r="AQ334" i="8"/>
  <c r="G334" i="8"/>
  <c r="AQ335" i="8"/>
  <c r="G335" i="8"/>
  <c r="AQ336" i="8"/>
  <c r="G336" i="8"/>
  <c r="AQ337" i="8"/>
  <c r="G337" i="8"/>
  <c r="AQ338" i="8"/>
  <c r="G338" i="8"/>
  <c r="AQ339" i="8"/>
  <c r="G339" i="8"/>
  <c r="AQ340" i="8"/>
  <c r="G340" i="8"/>
  <c r="AQ341" i="8"/>
  <c r="G341" i="8"/>
  <c r="AQ342" i="8"/>
  <c r="G342" i="8"/>
  <c r="AQ343" i="8"/>
  <c r="G343" i="8"/>
  <c r="AQ344" i="8"/>
  <c r="G344" i="8"/>
  <c r="AQ345" i="8"/>
  <c r="G345" i="8"/>
  <c r="AQ346" i="8"/>
  <c r="G346" i="8"/>
  <c r="AQ347" i="8"/>
  <c r="G347" i="8"/>
  <c r="AQ348" i="8"/>
  <c r="G348" i="8"/>
  <c r="AQ349" i="8"/>
  <c r="G349" i="8"/>
  <c r="AQ350" i="8"/>
  <c r="G350" i="8"/>
  <c r="AQ32" i="8"/>
  <c r="G32" i="8"/>
  <c r="AQ351" i="8"/>
  <c r="G351" i="8"/>
  <c r="AQ352" i="8"/>
  <c r="G352" i="8"/>
  <c r="AQ353" i="8"/>
  <c r="G353" i="8"/>
  <c r="AQ354" i="8"/>
  <c r="G354" i="8"/>
  <c r="AQ355" i="8"/>
  <c r="G355" i="8"/>
  <c r="AQ356" i="8"/>
  <c r="G356" i="8"/>
  <c r="AQ357" i="8"/>
  <c r="G357" i="8"/>
  <c r="AQ358" i="8"/>
  <c r="G358" i="8"/>
  <c r="AQ359" i="8"/>
  <c r="G359" i="8"/>
  <c r="AQ360" i="8"/>
  <c r="G360" i="8"/>
  <c r="AQ33" i="8"/>
  <c r="G33" i="8"/>
  <c r="AQ361" i="8"/>
  <c r="G361" i="8"/>
  <c r="AQ362" i="8"/>
  <c r="G362" i="8"/>
  <c r="AQ97" i="8"/>
  <c r="G97" i="8"/>
  <c r="AQ363" i="8"/>
  <c r="G363" i="8"/>
  <c r="AQ364" i="8"/>
  <c r="G364" i="8"/>
  <c r="AQ365" i="8"/>
  <c r="G365" i="8"/>
  <c r="AQ98" i="8"/>
  <c r="G98" i="8"/>
  <c r="AQ366" i="8"/>
  <c r="G366" i="8"/>
  <c r="AQ367" i="8"/>
  <c r="G367" i="8"/>
  <c r="AQ34" i="8"/>
  <c r="G34" i="8"/>
  <c r="AQ368" i="8"/>
  <c r="G368" i="8"/>
  <c r="AQ369" i="8"/>
  <c r="G369" i="8"/>
  <c r="AQ370" i="8"/>
  <c r="G370" i="8"/>
  <c r="AQ35" i="8"/>
  <c r="G35" i="8"/>
  <c r="AQ371" i="8"/>
  <c r="G371" i="8"/>
  <c r="AQ372" i="8"/>
  <c r="G372" i="8"/>
  <c r="AQ373" i="8"/>
  <c r="G373" i="8"/>
  <c r="AQ374" i="8"/>
  <c r="G374" i="8"/>
  <c r="AQ375" i="8"/>
  <c r="G375" i="8"/>
  <c r="AQ376" i="8"/>
  <c r="G376" i="8"/>
  <c r="AQ377" i="8"/>
  <c r="G377" i="8"/>
  <c r="AQ378" i="8"/>
  <c r="G378" i="8"/>
  <c r="AQ379" i="8"/>
  <c r="G379" i="8"/>
  <c r="AQ380" i="8"/>
  <c r="G380" i="8"/>
  <c r="AQ99" i="8"/>
  <c r="G99" i="8"/>
  <c r="AQ381" i="8"/>
  <c r="G381" i="8"/>
  <c r="AQ382" i="8"/>
  <c r="G382" i="8"/>
  <c r="AQ383" i="8"/>
  <c r="G383" i="8"/>
  <c r="AQ384" i="8"/>
  <c r="G384" i="8"/>
  <c r="AQ385" i="8"/>
  <c r="G385" i="8"/>
  <c r="AQ36" i="8"/>
  <c r="G36" i="8"/>
  <c r="AQ386" i="8"/>
  <c r="G386" i="8"/>
  <c r="AQ387" i="8"/>
  <c r="G387" i="8"/>
  <c r="AQ388" i="8"/>
  <c r="G388" i="8"/>
  <c r="AQ389" i="8"/>
  <c r="G389" i="8"/>
  <c r="AQ390" i="8"/>
  <c r="G390" i="8"/>
  <c r="AQ391" i="8"/>
  <c r="G391" i="8"/>
  <c r="AQ392" i="8"/>
  <c r="G392" i="8"/>
  <c r="AQ393" i="8"/>
  <c r="G393" i="8"/>
  <c r="AQ37" i="8"/>
  <c r="G37" i="8"/>
  <c r="AQ394" i="8"/>
  <c r="G394" i="8"/>
  <c r="AQ395" i="8"/>
  <c r="G395" i="8"/>
  <c r="AQ396" i="8"/>
  <c r="G396" i="8"/>
  <c r="AQ397" i="8"/>
  <c r="G397" i="8"/>
  <c r="AQ398" i="8"/>
  <c r="G398" i="8"/>
  <c r="AQ38" i="8"/>
  <c r="G38" i="8"/>
  <c r="AQ399" i="8"/>
  <c r="G399" i="8"/>
  <c r="AQ400" i="8"/>
  <c r="G400" i="8"/>
  <c r="AQ401" i="8"/>
  <c r="G401" i="8"/>
  <c r="AQ402" i="8"/>
  <c r="G402" i="8"/>
  <c r="AQ403" i="8"/>
  <c r="G403" i="8"/>
  <c r="AQ404" i="8"/>
  <c r="G404" i="8"/>
  <c r="AQ405" i="8"/>
  <c r="G405" i="8"/>
  <c r="AQ406" i="8"/>
  <c r="G406" i="8"/>
  <c r="AS45" i="8"/>
  <c r="I45" i="8"/>
  <c r="AS46" i="8"/>
  <c r="I46" i="8"/>
  <c r="AS47" i="8"/>
  <c r="I47" i="8"/>
  <c r="AS3" i="8"/>
  <c r="I3" i="8"/>
  <c r="AS48" i="8"/>
  <c r="I48" i="8"/>
  <c r="AS39" i="8"/>
  <c r="I39" i="8"/>
  <c r="AS49" i="8"/>
  <c r="I49" i="8"/>
  <c r="AS50" i="8"/>
  <c r="I50" i="8"/>
  <c r="AS51" i="8"/>
  <c r="I51" i="8"/>
  <c r="AS52" i="8"/>
  <c r="I52" i="8"/>
  <c r="AS40" i="8"/>
  <c r="I40" i="8"/>
  <c r="AS53" i="8"/>
  <c r="I53" i="8"/>
  <c r="AS54" i="8"/>
  <c r="I54" i="8"/>
  <c r="AS55" i="8"/>
  <c r="I55" i="8"/>
  <c r="AS56" i="8"/>
  <c r="I56" i="8"/>
  <c r="AS57" i="8"/>
  <c r="I57" i="8"/>
  <c r="AS58" i="8"/>
  <c r="I58" i="8"/>
  <c r="AS41" i="8"/>
  <c r="I41" i="8"/>
  <c r="AS59" i="8"/>
  <c r="I59" i="8"/>
  <c r="AS60" i="8"/>
  <c r="I60" i="8"/>
  <c r="AS4" i="8"/>
  <c r="I4" i="8"/>
  <c r="AS61" i="8"/>
  <c r="I61" i="8"/>
  <c r="AS62" i="8"/>
  <c r="I62" i="8"/>
  <c r="AS5" i="8"/>
  <c r="I5" i="8"/>
  <c r="AS2" i="8"/>
  <c r="I2" i="8"/>
  <c r="AS42" i="8"/>
  <c r="I42" i="8"/>
  <c r="AS63" i="8"/>
  <c r="I63" i="8"/>
  <c r="AS43" i="8"/>
  <c r="I43" i="8"/>
  <c r="AS44" i="8"/>
  <c r="I44" i="8"/>
  <c r="AS64" i="8"/>
  <c r="I64" i="8"/>
  <c r="AS65" i="8"/>
  <c r="I65" i="8"/>
  <c r="AS66" i="8"/>
  <c r="I66" i="8"/>
  <c r="AS67" i="8"/>
  <c r="I67" i="8"/>
  <c r="AS68" i="8"/>
  <c r="I68" i="8"/>
  <c r="AS69" i="8"/>
  <c r="I69" i="8"/>
  <c r="AS70" i="8"/>
  <c r="I70" i="8"/>
  <c r="AS71" i="8"/>
  <c r="I71" i="8"/>
  <c r="AS100" i="8"/>
  <c r="I100" i="8"/>
  <c r="AS72" i="8"/>
  <c r="I72" i="8"/>
  <c r="AS73" i="8"/>
  <c r="I73" i="8"/>
  <c r="AS101" i="8"/>
  <c r="I101" i="8"/>
  <c r="AS74" i="8"/>
  <c r="I74" i="8"/>
  <c r="AS102" i="8"/>
  <c r="I102" i="8"/>
  <c r="AS103" i="8"/>
  <c r="I103" i="8"/>
  <c r="AS104" i="8"/>
  <c r="I104" i="8"/>
  <c r="AS105" i="8"/>
  <c r="I105" i="8"/>
  <c r="AS106" i="8"/>
  <c r="I106" i="8"/>
  <c r="AS107" i="8"/>
  <c r="I107" i="8"/>
  <c r="AS108" i="8"/>
  <c r="I108" i="8"/>
  <c r="AS109" i="8"/>
  <c r="I109" i="8"/>
  <c r="AS110" i="8"/>
  <c r="I110" i="8"/>
  <c r="AS111" i="8"/>
  <c r="I111" i="8"/>
  <c r="AS112" i="8"/>
  <c r="I112" i="8"/>
  <c r="AS113" i="8"/>
  <c r="I113" i="8"/>
  <c r="AS114" i="8"/>
  <c r="I114" i="8"/>
  <c r="AS115" i="8"/>
  <c r="I115" i="8"/>
  <c r="AS75" i="8"/>
  <c r="I75" i="8"/>
  <c r="AS116" i="8"/>
  <c r="I116" i="8"/>
  <c r="AS117" i="8"/>
  <c r="I117" i="8"/>
  <c r="AS118" i="8"/>
  <c r="I118" i="8"/>
  <c r="AS119" i="8"/>
  <c r="I119" i="8"/>
  <c r="AS120" i="8"/>
  <c r="I120" i="8"/>
  <c r="AS121" i="8"/>
  <c r="I121" i="8"/>
  <c r="AS122" i="8"/>
  <c r="I122" i="8"/>
  <c r="AS123" i="8"/>
  <c r="I123" i="8"/>
  <c r="AS124" i="8"/>
  <c r="I124" i="8"/>
  <c r="AS125" i="8"/>
  <c r="I125" i="8"/>
  <c r="AS126" i="8"/>
  <c r="I126" i="8"/>
  <c r="AS127" i="8"/>
  <c r="I127" i="8"/>
  <c r="AS128" i="8"/>
  <c r="I128" i="8"/>
  <c r="AS129" i="8"/>
  <c r="I129" i="8"/>
  <c r="AS76" i="8"/>
  <c r="I76" i="8"/>
  <c r="AS130" i="8"/>
  <c r="I130" i="8"/>
  <c r="AS131" i="8"/>
  <c r="I131" i="8"/>
  <c r="AS132" i="8"/>
  <c r="I132" i="8"/>
  <c r="AS133" i="8"/>
  <c r="I133" i="8"/>
  <c r="AS77" i="8"/>
  <c r="I77" i="8"/>
  <c r="AS134" i="8"/>
  <c r="I134" i="8"/>
  <c r="AS135" i="8"/>
  <c r="I135" i="8"/>
  <c r="AS136" i="8"/>
  <c r="I136" i="8"/>
  <c r="AS137" i="8"/>
  <c r="I137" i="8"/>
  <c r="AS138" i="8"/>
  <c r="I138" i="8"/>
  <c r="AS78" i="8"/>
  <c r="I78" i="8"/>
  <c r="AS139" i="8"/>
  <c r="I139" i="8"/>
  <c r="AS140" i="8"/>
  <c r="I140" i="8"/>
  <c r="AS141" i="8"/>
  <c r="I141" i="8"/>
  <c r="AS8" i="8"/>
  <c r="I8" i="8"/>
  <c r="AS142" i="8"/>
  <c r="I142" i="8"/>
  <c r="AS143" i="8"/>
  <c r="I143" i="8"/>
  <c r="AS144" i="8"/>
  <c r="I144" i="8"/>
  <c r="AS145" i="8"/>
  <c r="I145" i="8"/>
  <c r="AS146" i="8"/>
  <c r="I146" i="8"/>
  <c r="AS147" i="8"/>
  <c r="I147" i="8"/>
  <c r="AS148" i="8"/>
  <c r="I148" i="8"/>
  <c r="AS149" i="8"/>
  <c r="I149" i="8"/>
  <c r="AS150" i="8"/>
  <c r="I150" i="8"/>
  <c r="AS9" i="8"/>
  <c r="I9" i="8"/>
  <c r="AS10" i="8"/>
  <c r="I10" i="8"/>
  <c r="AS11" i="8"/>
  <c r="I11" i="8"/>
  <c r="AS151" i="8"/>
  <c r="I151" i="8"/>
  <c r="AS152" i="8"/>
  <c r="I152" i="8"/>
  <c r="AS153" i="8"/>
  <c r="I153" i="8"/>
  <c r="AS154" i="8"/>
  <c r="I154" i="8"/>
  <c r="AS155" i="8"/>
  <c r="I155" i="8"/>
  <c r="AS156" i="8"/>
  <c r="I156" i="8"/>
  <c r="AS157" i="8"/>
  <c r="I157" i="8"/>
  <c r="AS158" i="8"/>
  <c r="I158" i="8"/>
  <c r="AS159" i="8"/>
  <c r="I159" i="8"/>
  <c r="AS160" i="8"/>
  <c r="I160" i="8"/>
  <c r="AS161" i="8"/>
  <c r="I161" i="8"/>
  <c r="AS162" i="8"/>
  <c r="I162" i="8"/>
  <c r="AS163" i="8"/>
  <c r="I163" i="8"/>
  <c r="AS164" i="8"/>
  <c r="I164" i="8"/>
  <c r="AS165" i="8"/>
  <c r="I165" i="8"/>
  <c r="AS166" i="8"/>
  <c r="I166" i="8"/>
  <c r="AS167" i="8"/>
  <c r="I167" i="8"/>
  <c r="AS168" i="8"/>
  <c r="I168" i="8"/>
  <c r="AS169" i="8"/>
  <c r="I169" i="8"/>
  <c r="AS170" i="8"/>
  <c r="I170" i="8"/>
  <c r="AS171" i="8"/>
  <c r="I171" i="8"/>
  <c r="AS172" i="8"/>
  <c r="I172" i="8"/>
  <c r="AS12" i="8"/>
  <c r="I12" i="8"/>
  <c r="AS173" i="8"/>
  <c r="I173" i="8"/>
  <c r="AS174" i="8"/>
  <c r="I174" i="8"/>
  <c r="AS175" i="8"/>
  <c r="I175" i="8"/>
  <c r="AS176" i="8"/>
  <c r="I176" i="8"/>
  <c r="AS177" i="8"/>
  <c r="I177" i="8"/>
  <c r="AS178" i="8"/>
  <c r="I178" i="8"/>
  <c r="AS179" i="8"/>
  <c r="I179" i="8"/>
  <c r="AS180" i="8"/>
  <c r="I180" i="8"/>
  <c r="AS181" i="8"/>
  <c r="I181" i="8"/>
  <c r="AS182" i="8"/>
  <c r="I182" i="8"/>
  <c r="AS13" i="8"/>
  <c r="I13" i="8"/>
  <c r="AS183" i="8"/>
  <c r="I183" i="8"/>
  <c r="AS184" i="8"/>
  <c r="I184" i="8"/>
  <c r="AS185" i="8"/>
  <c r="I185" i="8"/>
  <c r="AS186" i="8"/>
  <c r="I186" i="8"/>
  <c r="AS187" i="8"/>
  <c r="I187" i="8"/>
  <c r="AS188" i="8"/>
  <c r="I188" i="8"/>
  <c r="AS189" i="8"/>
  <c r="I189" i="8"/>
  <c r="AS190" i="8"/>
  <c r="I190" i="8"/>
  <c r="AS191" i="8"/>
  <c r="I191" i="8"/>
  <c r="AS192" i="8"/>
  <c r="I192" i="8"/>
  <c r="AS193" i="8"/>
  <c r="I193" i="8"/>
  <c r="AS194" i="8"/>
  <c r="I194" i="8"/>
  <c r="AS14" i="8"/>
  <c r="I14" i="8"/>
  <c r="AS195" i="8"/>
  <c r="I195" i="8"/>
  <c r="AS196" i="8"/>
  <c r="I196" i="8"/>
  <c r="AS197" i="8"/>
  <c r="I197" i="8"/>
  <c r="AS198" i="8"/>
  <c r="I198" i="8"/>
  <c r="AS199" i="8"/>
  <c r="I199" i="8"/>
  <c r="AS200" i="8"/>
  <c r="I200" i="8"/>
  <c r="AS201" i="8"/>
  <c r="I201" i="8"/>
  <c r="AS15" i="8"/>
  <c r="I15" i="8"/>
  <c r="AS202" i="8"/>
  <c r="I202" i="8"/>
  <c r="AS203" i="8"/>
  <c r="I203" i="8"/>
  <c r="AS16" i="8"/>
  <c r="I16" i="8"/>
  <c r="AS204" i="8"/>
  <c r="I204" i="8"/>
  <c r="AS205" i="8"/>
  <c r="I205" i="8"/>
  <c r="AS206" i="8"/>
  <c r="I206" i="8"/>
  <c r="AS207" i="8"/>
  <c r="I207" i="8"/>
  <c r="AS6" i="8"/>
  <c r="I6" i="8"/>
  <c r="AS208" i="8"/>
  <c r="I208" i="8"/>
  <c r="AS209" i="8"/>
  <c r="I209" i="8"/>
  <c r="AS17" i="8"/>
  <c r="I17" i="8"/>
  <c r="AS210" i="8"/>
  <c r="I210" i="8"/>
  <c r="AS211" i="8"/>
  <c r="I211" i="8"/>
  <c r="AS212" i="8"/>
  <c r="I212" i="8"/>
  <c r="AS213" i="8"/>
  <c r="I213" i="8"/>
  <c r="AS7" i="8"/>
  <c r="I7" i="8"/>
  <c r="AS214" i="8"/>
  <c r="I214" i="8"/>
  <c r="AS215" i="8"/>
  <c r="I215" i="8"/>
  <c r="AS216" i="8"/>
  <c r="I216" i="8"/>
  <c r="AS217" i="8"/>
  <c r="I217" i="8"/>
  <c r="AS218" i="8"/>
  <c r="I218" i="8"/>
  <c r="AS18" i="8"/>
  <c r="I18" i="8"/>
  <c r="AS219" i="8"/>
  <c r="I219" i="8"/>
  <c r="AS220" i="8"/>
  <c r="I220" i="8"/>
  <c r="AS19" i="8"/>
  <c r="I19" i="8"/>
  <c r="AS20" i="8"/>
  <c r="I20" i="8"/>
  <c r="AS21" i="8"/>
  <c r="I21" i="8"/>
  <c r="AS221" i="8"/>
  <c r="I221" i="8"/>
  <c r="AS222" i="8"/>
  <c r="I222" i="8"/>
  <c r="AS223" i="8"/>
  <c r="I223" i="8"/>
  <c r="AS224" i="8"/>
  <c r="I224" i="8"/>
  <c r="AS225" i="8"/>
  <c r="I225" i="8"/>
  <c r="AS226" i="8"/>
  <c r="I226" i="8"/>
  <c r="AS227" i="8"/>
  <c r="I227" i="8"/>
  <c r="AS228" i="8"/>
  <c r="I228" i="8"/>
  <c r="AS22" i="8"/>
  <c r="I22" i="8"/>
  <c r="AS23" i="8"/>
  <c r="I23" i="8"/>
  <c r="AS229" i="8"/>
  <c r="I229" i="8"/>
  <c r="AS230" i="8"/>
  <c r="I230" i="8"/>
  <c r="AS231" i="8"/>
  <c r="I231" i="8"/>
  <c r="AS232" i="8"/>
  <c r="I232" i="8"/>
  <c r="AS233" i="8"/>
  <c r="I233" i="8"/>
  <c r="AS234" i="8"/>
  <c r="I234" i="8"/>
  <c r="AS235" i="8"/>
  <c r="I235" i="8"/>
  <c r="AS236" i="8"/>
  <c r="I236" i="8"/>
  <c r="AS237" i="8"/>
  <c r="I237" i="8"/>
  <c r="AS238" i="8"/>
  <c r="I238" i="8"/>
  <c r="AS239" i="8"/>
  <c r="I239" i="8"/>
  <c r="AS240" i="8"/>
  <c r="I240" i="8"/>
  <c r="AS24" i="8"/>
  <c r="I24" i="8"/>
  <c r="AS241" i="8"/>
  <c r="I241" i="8"/>
  <c r="AS242" i="8"/>
  <c r="I242" i="8"/>
  <c r="AS243" i="8"/>
  <c r="I243" i="8"/>
  <c r="AS244" i="8"/>
  <c r="I244" i="8"/>
  <c r="AS245" i="8"/>
  <c r="I245" i="8"/>
  <c r="AS246" i="8"/>
  <c r="I246" i="8"/>
  <c r="AS247" i="8"/>
  <c r="I247" i="8"/>
  <c r="AS248" i="8"/>
  <c r="I248" i="8"/>
  <c r="AS249" i="8"/>
  <c r="I249" i="8"/>
  <c r="AS250" i="8"/>
  <c r="I250" i="8"/>
  <c r="AS79" i="8"/>
  <c r="I79" i="8"/>
  <c r="AS251" i="8"/>
  <c r="I251" i="8"/>
  <c r="AS252" i="8"/>
  <c r="I252" i="8"/>
  <c r="AS253" i="8"/>
  <c r="I253" i="8"/>
  <c r="AS254" i="8"/>
  <c r="I254" i="8"/>
  <c r="AS255" i="8"/>
  <c r="I255" i="8"/>
  <c r="AS80" i="8"/>
  <c r="I80" i="8"/>
  <c r="AS81" i="8"/>
  <c r="I81" i="8"/>
  <c r="AS82" i="8"/>
  <c r="I82" i="8"/>
  <c r="AS256" i="8"/>
  <c r="I256" i="8"/>
  <c r="AS83" i="8"/>
  <c r="I83" i="8"/>
  <c r="AS84" i="8"/>
  <c r="I84" i="8"/>
  <c r="AS257" i="8"/>
  <c r="I257" i="8"/>
  <c r="AS85" i="8"/>
  <c r="I85" i="8"/>
  <c r="AS86" i="8"/>
  <c r="I86" i="8"/>
  <c r="AS87" i="8"/>
  <c r="I87" i="8"/>
  <c r="AS258" i="8"/>
  <c r="I258" i="8"/>
  <c r="AS25" i="8"/>
  <c r="I25" i="8"/>
  <c r="AS88" i="8"/>
  <c r="I88" i="8"/>
  <c r="AS89" i="8"/>
  <c r="I89" i="8"/>
  <c r="AS259" i="8"/>
  <c r="I259" i="8"/>
  <c r="AS260" i="8"/>
  <c r="I260" i="8"/>
  <c r="AS261" i="8"/>
  <c r="I261" i="8"/>
  <c r="AS90" i="8"/>
  <c r="I90" i="8"/>
  <c r="AS262" i="8"/>
  <c r="I262" i="8"/>
  <c r="AS263" i="8"/>
  <c r="I263" i="8"/>
  <c r="AS26" i="8"/>
  <c r="I26" i="8"/>
  <c r="AS264" i="8"/>
  <c r="I264" i="8"/>
  <c r="AS265" i="8"/>
  <c r="I265" i="8"/>
  <c r="AS266" i="8"/>
  <c r="I266" i="8"/>
  <c r="AS91" i="8"/>
  <c r="I91" i="8"/>
  <c r="AS267" i="8"/>
  <c r="I267" i="8"/>
  <c r="AS268" i="8"/>
  <c r="I268" i="8"/>
  <c r="AS92" i="8"/>
  <c r="I92" i="8"/>
  <c r="AS269" i="8"/>
  <c r="I269" i="8"/>
  <c r="AS270" i="8"/>
  <c r="I270" i="8"/>
  <c r="AS271" i="8"/>
  <c r="I271" i="8"/>
  <c r="AS272" i="8"/>
  <c r="I272" i="8"/>
  <c r="AS273" i="8"/>
  <c r="I273" i="8"/>
  <c r="AS27" i="8"/>
  <c r="I27" i="8"/>
  <c r="AS274" i="8"/>
  <c r="I274" i="8"/>
  <c r="AS275" i="8"/>
  <c r="I275" i="8"/>
  <c r="AS276" i="8"/>
  <c r="I276" i="8"/>
  <c r="AS277" i="8"/>
  <c r="I277" i="8"/>
  <c r="AS278" i="8"/>
  <c r="I278" i="8"/>
  <c r="AS279" i="8"/>
  <c r="I279" i="8"/>
  <c r="AS280" i="8"/>
  <c r="I280" i="8"/>
  <c r="AS281" i="8"/>
  <c r="I281" i="8"/>
  <c r="AS282" i="8"/>
  <c r="I282" i="8"/>
  <c r="AS283" i="8"/>
  <c r="I283" i="8"/>
  <c r="AS284" i="8"/>
  <c r="I284" i="8"/>
  <c r="AS285" i="8"/>
  <c r="I285" i="8"/>
  <c r="AS286" i="8"/>
  <c r="I286" i="8"/>
  <c r="AS28" i="8"/>
  <c r="I28" i="8"/>
  <c r="AS287" i="8"/>
  <c r="I287" i="8"/>
  <c r="AS288" i="8"/>
  <c r="I288" i="8"/>
  <c r="AS93" i="8"/>
  <c r="I93" i="8"/>
  <c r="AS289" i="8"/>
  <c r="I289" i="8"/>
  <c r="AS290" i="8"/>
  <c r="I290" i="8"/>
  <c r="AS291" i="8"/>
  <c r="I291" i="8"/>
  <c r="AS292" i="8"/>
  <c r="I292" i="8"/>
  <c r="AS293" i="8"/>
  <c r="I293" i="8"/>
  <c r="AS294" i="8"/>
  <c r="I294" i="8"/>
  <c r="AS295" i="8"/>
  <c r="I295" i="8"/>
  <c r="AS296" i="8"/>
  <c r="I296" i="8"/>
  <c r="AS297" i="8"/>
  <c r="I297" i="8"/>
  <c r="AS298" i="8"/>
  <c r="I298" i="8"/>
  <c r="AS299" i="8"/>
  <c r="I299" i="8"/>
  <c r="AS300" i="8"/>
  <c r="I300" i="8"/>
  <c r="AS301" i="8"/>
  <c r="I301" i="8"/>
  <c r="AS302" i="8"/>
  <c r="I302" i="8"/>
  <c r="AS29" i="8"/>
  <c r="I29" i="8"/>
  <c r="AS303" i="8"/>
  <c r="I303" i="8"/>
  <c r="AS304" i="8"/>
  <c r="I304" i="8"/>
  <c r="AS305" i="8"/>
  <c r="I305" i="8"/>
  <c r="AS306" i="8"/>
  <c r="I306" i="8"/>
  <c r="AS307" i="8"/>
  <c r="I307" i="8"/>
  <c r="AS94" i="8"/>
  <c r="I94" i="8"/>
  <c r="AS308" i="8"/>
  <c r="I308" i="8"/>
  <c r="AS309" i="8"/>
  <c r="I309" i="8"/>
  <c r="AS310" i="8"/>
  <c r="I310" i="8"/>
  <c r="AS311" i="8"/>
  <c r="I311" i="8"/>
  <c r="AS312" i="8"/>
  <c r="I312" i="8"/>
  <c r="AS313" i="8"/>
  <c r="I313" i="8"/>
  <c r="AS95" i="8"/>
  <c r="I95" i="8"/>
  <c r="AS314" i="8"/>
  <c r="I314" i="8"/>
  <c r="AS315" i="8"/>
  <c r="I315" i="8"/>
  <c r="AS316" i="8"/>
  <c r="I316" i="8"/>
  <c r="AS317" i="8"/>
  <c r="I317" i="8"/>
  <c r="AS318" i="8"/>
  <c r="I318" i="8"/>
  <c r="AS96" i="8"/>
  <c r="I96" i="8"/>
  <c r="AS319" i="8"/>
  <c r="I319" i="8"/>
  <c r="AS320" i="8"/>
  <c r="I320" i="8"/>
  <c r="AS321" i="8"/>
  <c r="I321" i="8"/>
  <c r="AS322" i="8"/>
  <c r="I322" i="8"/>
  <c r="AS323" i="8"/>
  <c r="I323" i="8"/>
  <c r="AS324" i="8"/>
  <c r="I324" i="8"/>
  <c r="AS325" i="8"/>
  <c r="I325" i="8"/>
  <c r="AS326" i="8"/>
  <c r="I326" i="8"/>
  <c r="AS30" i="8"/>
  <c r="I30" i="8"/>
  <c r="AS327" i="8"/>
  <c r="I327" i="8"/>
  <c r="AS328" i="8"/>
  <c r="I328" i="8"/>
  <c r="AS329" i="8"/>
  <c r="I329" i="8"/>
  <c r="AS330" i="8"/>
  <c r="I330" i="8"/>
  <c r="AS331" i="8"/>
  <c r="I331" i="8"/>
  <c r="AS31" i="8"/>
  <c r="I31" i="8"/>
  <c r="AS332" i="8"/>
  <c r="I332" i="8"/>
  <c r="AS333" i="8"/>
  <c r="I333" i="8"/>
  <c r="AS334" i="8"/>
  <c r="I334" i="8"/>
  <c r="AS335" i="8"/>
  <c r="I335" i="8"/>
  <c r="AS336" i="8"/>
  <c r="I336" i="8"/>
  <c r="AS337" i="8"/>
  <c r="I337" i="8"/>
  <c r="AS338" i="8"/>
  <c r="I338" i="8"/>
  <c r="AS339" i="8"/>
  <c r="I339" i="8"/>
  <c r="AS340" i="8"/>
  <c r="I340" i="8"/>
  <c r="AS341" i="8"/>
  <c r="I341" i="8"/>
  <c r="AS342" i="8"/>
  <c r="I342" i="8"/>
  <c r="AS343" i="8"/>
  <c r="I343" i="8"/>
  <c r="AS344" i="8"/>
  <c r="I344" i="8"/>
  <c r="AS345" i="8"/>
  <c r="I345" i="8"/>
  <c r="AS346" i="8"/>
  <c r="I346" i="8"/>
  <c r="AS347" i="8"/>
  <c r="I347" i="8"/>
  <c r="AS348" i="8"/>
  <c r="I348" i="8"/>
  <c r="AS349" i="8"/>
  <c r="I349" i="8"/>
  <c r="AS350" i="8"/>
  <c r="I350" i="8"/>
  <c r="AS32" i="8"/>
  <c r="I32" i="8"/>
  <c r="AS351" i="8"/>
  <c r="I351" i="8"/>
  <c r="AS352" i="8"/>
  <c r="I352" i="8"/>
  <c r="AS353" i="8"/>
  <c r="I353" i="8"/>
  <c r="AS354" i="8"/>
  <c r="I354" i="8"/>
  <c r="AS355" i="8"/>
  <c r="I355" i="8"/>
  <c r="AS356" i="8"/>
  <c r="I356" i="8"/>
  <c r="AS357" i="8"/>
  <c r="I357" i="8"/>
  <c r="AS358" i="8"/>
  <c r="I358" i="8"/>
  <c r="AS359" i="8"/>
  <c r="I359" i="8"/>
  <c r="AS360" i="8"/>
  <c r="I360" i="8"/>
  <c r="AS33" i="8"/>
  <c r="I33" i="8"/>
  <c r="AS361" i="8"/>
  <c r="I361" i="8"/>
  <c r="AS362" i="8"/>
  <c r="I362" i="8"/>
  <c r="AS97" i="8"/>
  <c r="I97" i="8"/>
  <c r="AS363" i="8"/>
  <c r="I363" i="8"/>
  <c r="AS364" i="8"/>
  <c r="I364" i="8"/>
  <c r="AS365" i="8"/>
  <c r="I365" i="8"/>
  <c r="AS98" i="8"/>
  <c r="I98" i="8"/>
  <c r="AS366" i="8"/>
  <c r="I366" i="8"/>
  <c r="AS367" i="8"/>
  <c r="I367" i="8"/>
  <c r="AS34" i="8"/>
  <c r="I34" i="8"/>
  <c r="AS368" i="8"/>
  <c r="I368" i="8"/>
  <c r="AS369" i="8"/>
  <c r="I369" i="8"/>
  <c r="AS370" i="8"/>
  <c r="I370" i="8"/>
  <c r="AS35" i="8"/>
  <c r="I35" i="8"/>
  <c r="AS371" i="8"/>
  <c r="I371" i="8"/>
  <c r="AS372" i="8"/>
  <c r="I372" i="8"/>
  <c r="AS373" i="8"/>
  <c r="I373" i="8"/>
  <c r="AS374" i="8"/>
  <c r="I374" i="8"/>
  <c r="AS375" i="8"/>
  <c r="I375" i="8"/>
  <c r="AS376" i="8"/>
  <c r="I376" i="8"/>
  <c r="AS377" i="8"/>
  <c r="I377" i="8"/>
  <c r="AS378" i="8"/>
  <c r="I378" i="8"/>
  <c r="AS379" i="8"/>
  <c r="I379" i="8"/>
  <c r="AS380" i="8"/>
  <c r="I380" i="8"/>
  <c r="AS99" i="8"/>
  <c r="I99" i="8"/>
  <c r="AS381" i="8"/>
  <c r="I381" i="8"/>
  <c r="AS382" i="8"/>
  <c r="I382" i="8"/>
  <c r="AS383" i="8"/>
  <c r="I383" i="8"/>
  <c r="AS384" i="8"/>
  <c r="I384" i="8"/>
  <c r="AS385" i="8"/>
  <c r="I385" i="8"/>
  <c r="AS36" i="8"/>
  <c r="I36" i="8"/>
  <c r="AS386" i="8"/>
  <c r="I386" i="8"/>
  <c r="AS387" i="8"/>
  <c r="I387" i="8"/>
  <c r="AS388" i="8"/>
  <c r="I388" i="8"/>
  <c r="AS389" i="8"/>
  <c r="I389" i="8"/>
  <c r="AS390" i="8"/>
  <c r="I390" i="8"/>
  <c r="AS391" i="8"/>
  <c r="I391" i="8"/>
  <c r="AS392" i="8"/>
  <c r="I392" i="8"/>
  <c r="AS393" i="8"/>
  <c r="I393" i="8"/>
  <c r="AS37" i="8"/>
  <c r="I37" i="8"/>
  <c r="AS394" i="8"/>
  <c r="I394" i="8"/>
  <c r="AS395" i="8"/>
  <c r="I395" i="8"/>
  <c r="AS396" i="8"/>
  <c r="I396" i="8"/>
  <c r="AS397" i="8"/>
  <c r="I397" i="8"/>
  <c r="AS398" i="8"/>
  <c r="I398" i="8"/>
  <c r="AS38" i="8"/>
  <c r="I38" i="8"/>
  <c r="AS399" i="8"/>
  <c r="I399" i="8"/>
  <c r="AS400" i="8"/>
  <c r="I400" i="8"/>
  <c r="AS401" i="8"/>
  <c r="I401" i="8"/>
  <c r="AS402" i="8"/>
  <c r="I402" i="8"/>
  <c r="AS403" i="8"/>
  <c r="I403" i="8"/>
  <c r="AS404" i="8"/>
  <c r="I404" i="8"/>
  <c r="AS405" i="8"/>
  <c r="I405" i="8"/>
  <c r="AS406" i="8"/>
  <c r="I406" i="8"/>
  <c r="AU45" i="8"/>
  <c r="K45" i="8"/>
  <c r="AU46" i="8"/>
  <c r="K46" i="8"/>
  <c r="AU47" i="8"/>
  <c r="K47" i="8"/>
  <c r="AU3" i="8"/>
  <c r="K3" i="8"/>
  <c r="AU48" i="8"/>
  <c r="K48" i="8"/>
  <c r="AU39" i="8"/>
  <c r="K39" i="8"/>
  <c r="AU49" i="8"/>
  <c r="K49" i="8"/>
  <c r="AU50" i="8"/>
  <c r="K50" i="8"/>
  <c r="AU51" i="8"/>
  <c r="K51" i="8"/>
  <c r="AU52" i="8"/>
  <c r="K52" i="8"/>
  <c r="AU40" i="8"/>
  <c r="K40" i="8"/>
  <c r="AU53" i="8"/>
  <c r="K53" i="8"/>
  <c r="AU54" i="8"/>
  <c r="K54" i="8"/>
  <c r="AU55" i="8"/>
  <c r="K55" i="8"/>
  <c r="AU56" i="8"/>
  <c r="K56" i="8"/>
  <c r="AU57" i="8"/>
  <c r="K57" i="8"/>
  <c r="AU58" i="8"/>
  <c r="K58" i="8"/>
  <c r="AU41" i="8"/>
  <c r="K41" i="8"/>
  <c r="AU59" i="8"/>
  <c r="K59" i="8"/>
  <c r="AU60" i="8"/>
  <c r="K60" i="8"/>
  <c r="AU4" i="8"/>
  <c r="K4" i="8"/>
  <c r="AU61" i="8"/>
  <c r="K61" i="8"/>
  <c r="AU62" i="8"/>
  <c r="K62" i="8"/>
  <c r="AU5" i="8"/>
  <c r="K5" i="8"/>
  <c r="AU2" i="8"/>
  <c r="K2" i="8"/>
  <c r="AU42" i="8"/>
  <c r="K42" i="8"/>
  <c r="AU63" i="8"/>
  <c r="K63" i="8"/>
  <c r="AU43" i="8"/>
  <c r="K43" i="8"/>
  <c r="AU44" i="8"/>
  <c r="K44" i="8"/>
  <c r="AU64" i="8"/>
  <c r="K64" i="8"/>
  <c r="AU65" i="8"/>
  <c r="K65" i="8"/>
  <c r="AU66" i="8"/>
  <c r="K66" i="8"/>
  <c r="AU67" i="8"/>
  <c r="K67" i="8"/>
  <c r="AU68" i="8"/>
  <c r="K68" i="8"/>
  <c r="AU69" i="8"/>
  <c r="K69" i="8"/>
  <c r="AU70" i="8"/>
  <c r="K70" i="8"/>
  <c r="AU71" i="8"/>
  <c r="K71" i="8"/>
  <c r="AU100" i="8"/>
  <c r="K100" i="8"/>
  <c r="AU72" i="8"/>
  <c r="K72" i="8"/>
  <c r="AU73" i="8"/>
  <c r="K73" i="8"/>
  <c r="AU101" i="8"/>
  <c r="K101" i="8"/>
  <c r="AU74" i="8"/>
  <c r="K74" i="8"/>
  <c r="AU102" i="8"/>
  <c r="K102" i="8"/>
  <c r="AU103" i="8"/>
  <c r="K103" i="8"/>
  <c r="AU104" i="8"/>
  <c r="K104" i="8"/>
  <c r="AU105" i="8"/>
  <c r="K105" i="8"/>
  <c r="AU106" i="8"/>
  <c r="K106" i="8"/>
  <c r="AU107" i="8"/>
  <c r="K107" i="8"/>
  <c r="AU108" i="8"/>
  <c r="K108" i="8"/>
  <c r="AU109" i="8"/>
  <c r="K109" i="8"/>
  <c r="AU110" i="8"/>
  <c r="K110" i="8"/>
  <c r="AU111" i="8"/>
  <c r="K111" i="8"/>
  <c r="AU112" i="8"/>
  <c r="K112" i="8"/>
  <c r="AU113" i="8"/>
  <c r="K113" i="8"/>
  <c r="AU114" i="8"/>
  <c r="K114" i="8"/>
  <c r="AU115" i="8"/>
  <c r="K115" i="8"/>
  <c r="AU75" i="8"/>
  <c r="K75" i="8"/>
  <c r="AU116" i="8"/>
  <c r="K116" i="8"/>
  <c r="AU117" i="8"/>
  <c r="K117" i="8"/>
  <c r="AU118" i="8"/>
  <c r="K118" i="8"/>
  <c r="AU119" i="8"/>
  <c r="K119" i="8"/>
  <c r="AU120" i="8"/>
  <c r="K120" i="8"/>
  <c r="AU121" i="8"/>
  <c r="K121" i="8"/>
  <c r="AU122" i="8"/>
  <c r="K122" i="8"/>
  <c r="AU123" i="8"/>
  <c r="K123" i="8"/>
  <c r="AU124" i="8"/>
  <c r="K124" i="8"/>
  <c r="AU125" i="8"/>
  <c r="K125" i="8"/>
  <c r="AU126" i="8"/>
  <c r="K126" i="8"/>
  <c r="AU127" i="8"/>
  <c r="K127" i="8"/>
  <c r="AU128" i="8"/>
  <c r="K128" i="8"/>
  <c r="AU129" i="8"/>
  <c r="K129" i="8"/>
  <c r="AU76" i="8"/>
  <c r="K76" i="8"/>
  <c r="AU130" i="8"/>
  <c r="K130" i="8"/>
  <c r="AU131" i="8"/>
  <c r="K131" i="8"/>
  <c r="AU132" i="8"/>
  <c r="K132" i="8"/>
  <c r="AU133" i="8"/>
  <c r="K133" i="8"/>
  <c r="AU77" i="8"/>
  <c r="K77" i="8"/>
  <c r="AU134" i="8"/>
  <c r="K134" i="8"/>
  <c r="AU135" i="8"/>
  <c r="K135" i="8"/>
  <c r="AU136" i="8"/>
  <c r="K136" i="8"/>
  <c r="AU137" i="8"/>
  <c r="K137" i="8"/>
  <c r="AU138" i="8"/>
  <c r="K138" i="8"/>
  <c r="AU78" i="8"/>
  <c r="K78" i="8"/>
  <c r="AU139" i="8"/>
  <c r="K139" i="8"/>
  <c r="AU140" i="8"/>
  <c r="K140" i="8"/>
  <c r="AU141" i="8"/>
  <c r="K141" i="8"/>
  <c r="AU8" i="8"/>
  <c r="K8" i="8"/>
  <c r="AU142" i="8"/>
  <c r="K142" i="8"/>
  <c r="AU143" i="8"/>
  <c r="K143" i="8"/>
  <c r="AU144" i="8"/>
  <c r="K144" i="8"/>
  <c r="AU145" i="8"/>
  <c r="K145" i="8"/>
  <c r="AU146" i="8"/>
  <c r="K146" i="8"/>
  <c r="AU147" i="8"/>
  <c r="K147" i="8"/>
  <c r="AU148" i="8"/>
  <c r="K148" i="8"/>
  <c r="AU149" i="8"/>
  <c r="K149" i="8"/>
  <c r="AU150" i="8"/>
  <c r="K150" i="8"/>
  <c r="AU9" i="8"/>
  <c r="K9" i="8"/>
  <c r="AU10" i="8"/>
  <c r="K10" i="8"/>
  <c r="AU11" i="8"/>
  <c r="K11" i="8"/>
  <c r="AU151" i="8"/>
  <c r="K151" i="8"/>
  <c r="AU152" i="8"/>
  <c r="K152" i="8"/>
  <c r="AU153" i="8"/>
  <c r="K153" i="8"/>
  <c r="AU154" i="8"/>
  <c r="K154" i="8"/>
  <c r="AU155" i="8"/>
  <c r="K155" i="8"/>
  <c r="AU156" i="8"/>
  <c r="K156" i="8"/>
  <c r="AU157" i="8"/>
  <c r="K157" i="8"/>
  <c r="AU158" i="8"/>
  <c r="K158" i="8"/>
  <c r="AU159" i="8"/>
  <c r="K159" i="8"/>
  <c r="AU160" i="8"/>
  <c r="K160" i="8"/>
  <c r="AU161" i="8"/>
  <c r="K161" i="8"/>
  <c r="AU162" i="8"/>
  <c r="K162" i="8"/>
  <c r="AU163" i="8"/>
  <c r="K163" i="8"/>
  <c r="AU164" i="8"/>
  <c r="K164" i="8"/>
  <c r="AU165" i="8"/>
  <c r="K165" i="8"/>
  <c r="AU166" i="8"/>
  <c r="K166" i="8"/>
  <c r="AU167" i="8"/>
  <c r="K167" i="8"/>
  <c r="AU168" i="8"/>
  <c r="K168" i="8"/>
  <c r="AU169" i="8"/>
  <c r="K169" i="8"/>
  <c r="AU170" i="8"/>
  <c r="K170" i="8"/>
  <c r="AU171" i="8"/>
  <c r="K171" i="8"/>
  <c r="AU172" i="8"/>
  <c r="K172" i="8"/>
  <c r="AU12" i="8"/>
  <c r="K12" i="8"/>
  <c r="AU173" i="8"/>
  <c r="K173" i="8"/>
  <c r="AU174" i="8"/>
  <c r="K174" i="8"/>
  <c r="AU175" i="8"/>
  <c r="K175" i="8"/>
  <c r="AU176" i="8"/>
  <c r="K176" i="8"/>
  <c r="AU177" i="8"/>
  <c r="K177" i="8"/>
  <c r="AU178" i="8"/>
  <c r="K178" i="8"/>
  <c r="AU179" i="8"/>
  <c r="K179" i="8"/>
  <c r="AU180" i="8"/>
  <c r="K180" i="8"/>
  <c r="AU181" i="8"/>
  <c r="K181" i="8"/>
  <c r="AU182" i="8"/>
  <c r="K182" i="8"/>
  <c r="AU13" i="8"/>
  <c r="K13" i="8"/>
  <c r="AU183" i="8"/>
  <c r="K183" i="8"/>
  <c r="AU184" i="8"/>
  <c r="K184" i="8"/>
  <c r="AU185" i="8"/>
  <c r="K185" i="8"/>
  <c r="AU186" i="8"/>
  <c r="K186" i="8"/>
  <c r="AU187" i="8"/>
  <c r="K187" i="8"/>
  <c r="AU188" i="8"/>
  <c r="K188" i="8"/>
  <c r="AU189" i="8"/>
  <c r="K189" i="8"/>
  <c r="AU190" i="8"/>
  <c r="K190" i="8"/>
  <c r="AU191" i="8"/>
  <c r="K191" i="8"/>
  <c r="AU192" i="8"/>
  <c r="K192" i="8"/>
  <c r="AU193" i="8"/>
  <c r="K193" i="8"/>
  <c r="AU194" i="8"/>
  <c r="K194" i="8"/>
  <c r="AU14" i="8"/>
  <c r="K14" i="8"/>
  <c r="AU195" i="8"/>
  <c r="K195" i="8"/>
  <c r="AU196" i="8"/>
  <c r="K196" i="8"/>
  <c r="AU197" i="8"/>
  <c r="K197" i="8"/>
  <c r="AU198" i="8"/>
  <c r="K198" i="8"/>
  <c r="AU199" i="8"/>
  <c r="K199" i="8"/>
  <c r="AU200" i="8"/>
  <c r="K200" i="8"/>
  <c r="AU201" i="8"/>
  <c r="K201" i="8"/>
  <c r="AU15" i="8"/>
  <c r="K15" i="8"/>
  <c r="AU202" i="8"/>
  <c r="K202" i="8"/>
  <c r="AU203" i="8"/>
  <c r="K203" i="8"/>
  <c r="AU16" i="8"/>
  <c r="K16" i="8"/>
  <c r="AU204" i="8"/>
  <c r="K204" i="8"/>
  <c r="AU205" i="8"/>
  <c r="K205" i="8"/>
  <c r="AU206" i="8"/>
  <c r="K206" i="8"/>
  <c r="AU207" i="8"/>
  <c r="K207" i="8"/>
  <c r="AU6" i="8"/>
  <c r="K6" i="8"/>
  <c r="AU208" i="8"/>
  <c r="K208" i="8"/>
  <c r="AU209" i="8"/>
  <c r="K209" i="8"/>
  <c r="AU17" i="8"/>
  <c r="K17" i="8"/>
  <c r="AU210" i="8"/>
  <c r="K210" i="8"/>
  <c r="AU211" i="8"/>
  <c r="K211" i="8"/>
  <c r="AU212" i="8"/>
  <c r="K212" i="8"/>
  <c r="AU213" i="8"/>
  <c r="K213" i="8"/>
  <c r="AU7" i="8"/>
  <c r="K7" i="8"/>
  <c r="AU214" i="8"/>
  <c r="K214" i="8"/>
  <c r="AU215" i="8"/>
  <c r="K215" i="8"/>
  <c r="AU216" i="8"/>
  <c r="K216" i="8"/>
  <c r="AU217" i="8"/>
  <c r="K217" i="8"/>
  <c r="AU218" i="8"/>
  <c r="K218" i="8"/>
  <c r="AU18" i="8"/>
  <c r="K18" i="8"/>
  <c r="AU219" i="8"/>
  <c r="K219" i="8"/>
  <c r="AU220" i="8"/>
  <c r="K220" i="8"/>
  <c r="AU19" i="8"/>
  <c r="K19" i="8"/>
  <c r="AU20" i="8"/>
  <c r="K20" i="8"/>
  <c r="AU21" i="8"/>
  <c r="K21" i="8"/>
  <c r="AU221" i="8"/>
  <c r="K221" i="8"/>
  <c r="AU222" i="8"/>
  <c r="K222" i="8"/>
  <c r="AU223" i="8"/>
  <c r="K223" i="8"/>
  <c r="AU224" i="8"/>
  <c r="K224" i="8"/>
  <c r="AU225" i="8"/>
  <c r="K225" i="8"/>
  <c r="AU226" i="8"/>
  <c r="K226" i="8"/>
  <c r="AU227" i="8"/>
  <c r="K227" i="8"/>
  <c r="AU228" i="8"/>
  <c r="K228" i="8"/>
  <c r="AU22" i="8"/>
  <c r="K22" i="8"/>
  <c r="AU23" i="8"/>
  <c r="K23" i="8"/>
  <c r="AU229" i="8"/>
  <c r="K229" i="8"/>
  <c r="AU230" i="8"/>
  <c r="K230" i="8"/>
  <c r="AU231" i="8"/>
  <c r="K231" i="8"/>
  <c r="AU232" i="8"/>
  <c r="K232" i="8"/>
  <c r="AU233" i="8"/>
  <c r="K233" i="8"/>
  <c r="AU234" i="8"/>
  <c r="K234" i="8"/>
  <c r="AU235" i="8"/>
  <c r="K235" i="8"/>
  <c r="AU236" i="8"/>
  <c r="K236" i="8"/>
  <c r="AU237" i="8"/>
  <c r="K237" i="8"/>
  <c r="AU238" i="8"/>
  <c r="K238" i="8"/>
  <c r="AU239" i="8"/>
  <c r="K239" i="8"/>
  <c r="AU240" i="8"/>
  <c r="K240" i="8"/>
  <c r="AU24" i="8"/>
  <c r="K24" i="8"/>
  <c r="AU241" i="8"/>
  <c r="K241" i="8"/>
  <c r="AU242" i="8"/>
  <c r="K242" i="8"/>
  <c r="AU243" i="8"/>
  <c r="K243" i="8"/>
  <c r="AU244" i="8"/>
  <c r="K244" i="8"/>
  <c r="AU245" i="8"/>
  <c r="K245" i="8"/>
  <c r="AU246" i="8"/>
  <c r="K246" i="8"/>
  <c r="AU247" i="8"/>
  <c r="K247" i="8"/>
  <c r="AU248" i="8"/>
  <c r="K248" i="8"/>
  <c r="AU249" i="8"/>
  <c r="K249" i="8"/>
  <c r="AU250" i="8"/>
  <c r="K250" i="8"/>
  <c r="AU79" i="8"/>
  <c r="K79" i="8"/>
  <c r="AU251" i="8"/>
  <c r="K251" i="8"/>
  <c r="AU252" i="8"/>
  <c r="K252" i="8"/>
  <c r="AU253" i="8"/>
  <c r="K253" i="8"/>
  <c r="AU254" i="8"/>
  <c r="K254" i="8"/>
  <c r="AU255" i="8"/>
  <c r="K255" i="8"/>
  <c r="AU80" i="8"/>
  <c r="K80" i="8"/>
  <c r="AU81" i="8"/>
  <c r="K81" i="8"/>
  <c r="AU82" i="8"/>
  <c r="K82" i="8"/>
  <c r="AU256" i="8"/>
  <c r="K256" i="8"/>
  <c r="AU83" i="8"/>
  <c r="K83" i="8"/>
  <c r="AU84" i="8"/>
  <c r="K84" i="8"/>
  <c r="AU257" i="8"/>
  <c r="K257" i="8"/>
  <c r="AU85" i="8"/>
  <c r="K85" i="8"/>
  <c r="AU86" i="8"/>
  <c r="K86" i="8"/>
  <c r="AU87" i="8"/>
  <c r="K87" i="8"/>
  <c r="AU258" i="8"/>
  <c r="K258" i="8"/>
  <c r="AU25" i="8"/>
  <c r="K25" i="8"/>
  <c r="AU88" i="8"/>
  <c r="K88" i="8"/>
  <c r="AU89" i="8"/>
  <c r="K89" i="8"/>
  <c r="AU259" i="8"/>
  <c r="K259" i="8"/>
  <c r="AU260" i="8"/>
  <c r="K260" i="8"/>
  <c r="AU261" i="8"/>
  <c r="K261" i="8"/>
  <c r="AU90" i="8"/>
  <c r="K90" i="8"/>
  <c r="AU262" i="8"/>
  <c r="K262" i="8"/>
  <c r="AU263" i="8"/>
  <c r="K263" i="8"/>
  <c r="AU26" i="8"/>
  <c r="K26" i="8"/>
  <c r="AU264" i="8"/>
  <c r="K264" i="8"/>
  <c r="AU265" i="8"/>
  <c r="K265" i="8"/>
  <c r="AU266" i="8"/>
  <c r="K266" i="8"/>
  <c r="AU91" i="8"/>
  <c r="K91" i="8"/>
  <c r="AU267" i="8"/>
  <c r="K267" i="8"/>
  <c r="AU268" i="8"/>
  <c r="K268" i="8"/>
  <c r="AU92" i="8"/>
  <c r="K92" i="8"/>
  <c r="AU269" i="8"/>
  <c r="K269" i="8"/>
  <c r="AU270" i="8"/>
  <c r="K270" i="8"/>
  <c r="AU271" i="8"/>
  <c r="K271" i="8"/>
  <c r="AU272" i="8"/>
  <c r="K272" i="8"/>
  <c r="AU273" i="8"/>
  <c r="K273" i="8"/>
  <c r="AU27" i="8"/>
  <c r="K27" i="8"/>
  <c r="AU274" i="8"/>
  <c r="K274" i="8"/>
  <c r="AU275" i="8"/>
  <c r="K275" i="8"/>
  <c r="AU276" i="8"/>
  <c r="K276" i="8"/>
  <c r="AU277" i="8"/>
  <c r="K277" i="8"/>
  <c r="AU278" i="8"/>
  <c r="K278" i="8"/>
  <c r="AU279" i="8"/>
  <c r="K279" i="8"/>
  <c r="AU280" i="8"/>
  <c r="K280" i="8"/>
  <c r="AU281" i="8"/>
  <c r="K281" i="8"/>
  <c r="AU282" i="8"/>
  <c r="K282" i="8"/>
  <c r="AU283" i="8"/>
  <c r="K283" i="8"/>
  <c r="AU284" i="8"/>
  <c r="K284" i="8"/>
  <c r="AU285" i="8"/>
  <c r="K285" i="8"/>
  <c r="AU286" i="8"/>
  <c r="K286" i="8"/>
  <c r="AU28" i="8"/>
  <c r="K28" i="8"/>
  <c r="AU287" i="8"/>
  <c r="K287" i="8"/>
  <c r="AU288" i="8"/>
  <c r="K288" i="8"/>
  <c r="AU93" i="8"/>
  <c r="K93" i="8"/>
  <c r="AU289" i="8"/>
  <c r="K289" i="8"/>
  <c r="AU290" i="8"/>
  <c r="K290" i="8"/>
  <c r="AU291" i="8"/>
  <c r="K291" i="8"/>
  <c r="AU292" i="8"/>
  <c r="K292" i="8"/>
  <c r="AU293" i="8"/>
  <c r="K293" i="8"/>
  <c r="AU294" i="8"/>
  <c r="K294" i="8"/>
  <c r="AU295" i="8"/>
  <c r="K295" i="8"/>
  <c r="AU296" i="8"/>
  <c r="K296" i="8"/>
  <c r="AU297" i="8"/>
  <c r="K297" i="8"/>
  <c r="AU298" i="8"/>
  <c r="K298" i="8"/>
  <c r="AU299" i="8"/>
  <c r="K299" i="8"/>
  <c r="AU300" i="8"/>
  <c r="K300" i="8"/>
  <c r="AU301" i="8"/>
  <c r="K301" i="8"/>
  <c r="AU302" i="8"/>
  <c r="K302" i="8"/>
  <c r="AU29" i="8"/>
  <c r="K29" i="8"/>
  <c r="AU303" i="8"/>
  <c r="K303" i="8"/>
  <c r="AU304" i="8"/>
  <c r="K304" i="8"/>
  <c r="AU305" i="8"/>
  <c r="K305" i="8"/>
  <c r="AU306" i="8"/>
  <c r="K306" i="8"/>
  <c r="AU307" i="8"/>
  <c r="K307" i="8"/>
  <c r="AU94" i="8"/>
  <c r="K94" i="8"/>
  <c r="AU308" i="8"/>
  <c r="K308" i="8"/>
  <c r="AU309" i="8"/>
  <c r="K309" i="8"/>
  <c r="AU310" i="8"/>
  <c r="K310" i="8"/>
  <c r="AU311" i="8"/>
  <c r="K311" i="8"/>
  <c r="AU312" i="8"/>
  <c r="K312" i="8"/>
  <c r="AU313" i="8"/>
  <c r="K313" i="8"/>
  <c r="AU95" i="8"/>
  <c r="K95" i="8"/>
  <c r="AU314" i="8"/>
  <c r="K314" i="8"/>
  <c r="AU315" i="8"/>
  <c r="K315" i="8"/>
  <c r="AU316" i="8"/>
  <c r="K316" i="8"/>
  <c r="AU317" i="8"/>
  <c r="K317" i="8"/>
  <c r="AU318" i="8"/>
  <c r="K318" i="8"/>
  <c r="AU96" i="8"/>
  <c r="K96" i="8"/>
  <c r="AU319" i="8"/>
  <c r="K319" i="8"/>
  <c r="AU320" i="8"/>
  <c r="K320" i="8"/>
  <c r="AU321" i="8"/>
  <c r="K321" i="8"/>
  <c r="AU322" i="8"/>
  <c r="K322" i="8"/>
  <c r="AU323" i="8"/>
  <c r="K323" i="8"/>
  <c r="AU324" i="8"/>
  <c r="K324" i="8"/>
  <c r="AU325" i="8"/>
  <c r="K325" i="8"/>
  <c r="AU326" i="8"/>
  <c r="K326" i="8"/>
  <c r="AU30" i="8"/>
  <c r="K30" i="8"/>
  <c r="AU327" i="8"/>
  <c r="K327" i="8"/>
  <c r="AU328" i="8"/>
  <c r="K328" i="8"/>
  <c r="AU329" i="8"/>
  <c r="K329" i="8"/>
  <c r="AU330" i="8"/>
  <c r="K330" i="8"/>
  <c r="AU331" i="8"/>
  <c r="K331" i="8"/>
  <c r="AU31" i="8"/>
  <c r="K31" i="8"/>
  <c r="AU332" i="8"/>
  <c r="K332" i="8"/>
  <c r="AU333" i="8"/>
  <c r="K333" i="8"/>
  <c r="AU334" i="8"/>
  <c r="K334" i="8"/>
  <c r="AU335" i="8"/>
  <c r="K335" i="8"/>
  <c r="AU336" i="8"/>
  <c r="K336" i="8"/>
  <c r="AU337" i="8"/>
  <c r="K337" i="8"/>
  <c r="AU338" i="8"/>
  <c r="K338" i="8"/>
  <c r="AU339" i="8"/>
  <c r="K339" i="8"/>
  <c r="AU340" i="8"/>
  <c r="K340" i="8"/>
  <c r="AU341" i="8"/>
  <c r="K341" i="8"/>
  <c r="AU342" i="8"/>
  <c r="K342" i="8"/>
  <c r="AU343" i="8"/>
  <c r="K343" i="8"/>
  <c r="AU344" i="8"/>
  <c r="K344" i="8"/>
  <c r="AU345" i="8"/>
  <c r="K345" i="8"/>
  <c r="AU346" i="8"/>
  <c r="K346" i="8"/>
  <c r="AU347" i="8"/>
  <c r="K347" i="8"/>
  <c r="AU348" i="8"/>
  <c r="K348" i="8"/>
  <c r="AU349" i="8"/>
  <c r="K349" i="8"/>
  <c r="AU350" i="8"/>
  <c r="K350" i="8"/>
  <c r="AU32" i="8"/>
  <c r="K32" i="8"/>
  <c r="AU351" i="8"/>
  <c r="K351" i="8"/>
  <c r="AU352" i="8"/>
  <c r="K352" i="8"/>
  <c r="AU353" i="8"/>
  <c r="K353" i="8"/>
  <c r="AU354" i="8"/>
  <c r="K354" i="8"/>
  <c r="AU355" i="8"/>
  <c r="K355" i="8"/>
  <c r="AU356" i="8"/>
  <c r="K356" i="8"/>
  <c r="AU357" i="8"/>
  <c r="K357" i="8"/>
  <c r="AU358" i="8"/>
  <c r="K358" i="8"/>
  <c r="AU359" i="8"/>
  <c r="K359" i="8"/>
  <c r="AU360" i="8"/>
  <c r="K360" i="8"/>
  <c r="AU33" i="8"/>
  <c r="K33" i="8"/>
  <c r="AU361" i="8"/>
  <c r="K361" i="8"/>
  <c r="AU362" i="8"/>
  <c r="K362" i="8"/>
  <c r="AU97" i="8"/>
  <c r="K97" i="8"/>
  <c r="AU363" i="8"/>
  <c r="K363" i="8"/>
  <c r="AU364" i="8"/>
  <c r="K364" i="8"/>
  <c r="AU365" i="8"/>
  <c r="K365" i="8"/>
  <c r="AU98" i="8"/>
  <c r="K98" i="8"/>
  <c r="AU366" i="8"/>
  <c r="K366" i="8"/>
  <c r="AU367" i="8"/>
  <c r="K367" i="8"/>
  <c r="AU34" i="8"/>
  <c r="K34" i="8"/>
  <c r="AU368" i="8"/>
  <c r="K368" i="8"/>
  <c r="AU369" i="8"/>
  <c r="K369" i="8"/>
  <c r="AU370" i="8"/>
  <c r="K370" i="8"/>
  <c r="AU35" i="8"/>
  <c r="K35" i="8"/>
  <c r="AU371" i="8"/>
  <c r="K371" i="8"/>
  <c r="AU372" i="8"/>
  <c r="K372" i="8"/>
  <c r="AU373" i="8"/>
  <c r="K373" i="8"/>
  <c r="AU374" i="8"/>
  <c r="K374" i="8"/>
  <c r="AU375" i="8"/>
  <c r="K375" i="8"/>
  <c r="AU376" i="8"/>
  <c r="K376" i="8"/>
  <c r="AU377" i="8"/>
  <c r="K377" i="8"/>
  <c r="AU378" i="8"/>
  <c r="K378" i="8"/>
  <c r="AU379" i="8"/>
  <c r="K379" i="8"/>
  <c r="AU380" i="8"/>
  <c r="K380" i="8"/>
  <c r="AU99" i="8"/>
  <c r="K99" i="8"/>
  <c r="AU381" i="8"/>
  <c r="K381" i="8"/>
  <c r="AU382" i="8"/>
  <c r="K382" i="8"/>
  <c r="AU383" i="8"/>
  <c r="K383" i="8"/>
  <c r="AU384" i="8"/>
  <c r="K384" i="8"/>
  <c r="AU385" i="8"/>
  <c r="K385" i="8"/>
  <c r="AU36" i="8"/>
  <c r="K36" i="8"/>
  <c r="AU386" i="8"/>
  <c r="K386" i="8"/>
  <c r="AU387" i="8"/>
  <c r="K387" i="8"/>
  <c r="AU388" i="8"/>
  <c r="K388" i="8"/>
  <c r="AU389" i="8"/>
  <c r="K389" i="8"/>
  <c r="AU390" i="8"/>
  <c r="K390" i="8"/>
  <c r="AU391" i="8"/>
  <c r="K391" i="8"/>
  <c r="AU392" i="8"/>
  <c r="K392" i="8"/>
  <c r="AU393" i="8"/>
  <c r="K393" i="8"/>
  <c r="AU37" i="8"/>
  <c r="K37" i="8"/>
  <c r="AU394" i="8"/>
  <c r="K394" i="8"/>
  <c r="AU395" i="8"/>
  <c r="K395" i="8"/>
  <c r="AU396" i="8"/>
  <c r="K396" i="8"/>
  <c r="AU397" i="8"/>
  <c r="K397" i="8"/>
  <c r="AU398" i="8"/>
  <c r="K398" i="8"/>
  <c r="AU38" i="8"/>
  <c r="K38" i="8"/>
  <c r="AU399" i="8"/>
  <c r="K399" i="8"/>
  <c r="AU400" i="8"/>
  <c r="K400" i="8"/>
  <c r="AU401" i="8"/>
  <c r="K401" i="8"/>
  <c r="AU402" i="8"/>
  <c r="K402" i="8"/>
  <c r="AU403" i="8"/>
  <c r="K403" i="8"/>
  <c r="AU404" i="8"/>
  <c r="K404" i="8"/>
  <c r="AU405" i="8"/>
  <c r="K405" i="8"/>
  <c r="AU406" i="8"/>
  <c r="K406" i="8"/>
  <c r="AW45" i="8"/>
  <c r="M45" i="8"/>
  <c r="AW46" i="8"/>
  <c r="M46" i="8"/>
  <c r="AW47" i="8"/>
  <c r="M47" i="8"/>
  <c r="AW3" i="8"/>
  <c r="M3" i="8"/>
  <c r="AW48" i="8"/>
  <c r="M48" i="8"/>
  <c r="AW39" i="8"/>
  <c r="M39" i="8"/>
  <c r="AW49" i="8"/>
  <c r="M49" i="8"/>
  <c r="AW50" i="8"/>
  <c r="M50" i="8"/>
  <c r="AW51" i="8"/>
  <c r="M51" i="8"/>
  <c r="AW52" i="8"/>
  <c r="M52" i="8"/>
  <c r="AW40" i="8"/>
  <c r="M40" i="8"/>
  <c r="AW53" i="8"/>
  <c r="M53" i="8"/>
  <c r="AW54" i="8"/>
  <c r="M54" i="8"/>
  <c r="AW55" i="8"/>
  <c r="M55" i="8"/>
  <c r="AW56" i="8"/>
  <c r="M56" i="8"/>
  <c r="AW57" i="8"/>
  <c r="M57" i="8"/>
  <c r="AW58" i="8"/>
  <c r="M58" i="8"/>
  <c r="AW41" i="8"/>
  <c r="M41" i="8"/>
  <c r="AW59" i="8"/>
  <c r="M59" i="8"/>
  <c r="AW60" i="8"/>
  <c r="M60" i="8"/>
  <c r="AW4" i="8"/>
  <c r="M4" i="8"/>
  <c r="AW61" i="8"/>
  <c r="M61" i="8"/>
  <c r="AW62" i="8"/>
  <c r="M62" i="8"/>
  <c r="AW5" i="8"/>
  <c r="M5" i="8"/>
  <c r="AW2" i="8"/>
  <c r="M2" i="8"/>
  <c r="AW42" i="8"/>
  <c r="M42" i="8"/>
  <c r="AW63" i="8"/>
  <c r="M63" i="8"/>
  <c r="AW43" i="8"/>
  <c r="M43" i="8"/>
  <c r="AW44" i="8"/>
  <c r="M44" i="8"/>
  <c r="AW64" i="8"/>
  <c r="M64" i="8"/>
  <c r="AW65" i="8"/>
  <c r="M65" i="8"/>
  <c r="AW66" i="8"/>
  <c r="M66" i="8"/>
  <c r="AW67" i="8"/>
  <c r="M67" i="8"/>
  <c r="AW68" i="8"/>
  <c r="M68" i="8"/>
  <c r="AW69" i="8"/>
  <c r="M69" i="8"/>
  <c r="AW70" i="8"/>
  <c r="M70" i="8"/>
  <c r="AW71" i="8"/>
  <c r="M71" i="8"/>
  <c r="AW100" i="8"/>
  <c r="M100" i="8"/>
  <c r="AW72" i="8"/>
  <c r="M72" i="8"/>
  <c r="AW73" i="8"/>
  <c r="M73" i="8"/>
  <c r="AW101" i="8"/>
  <c r="M101" i="8"/>
  <c r="AW74" i="8"/>
  <c r="M74" i="8"/>
  <c r="AW102" i="8"/>
  <c r="M102" i="8"/>
  <c r="AW103" i="8"/>
  <c r="M103" i="8"/>
  <c r="AW104" i="8"/>
  <c r="M104" i="8"/>
  <c r="AW105" i="8"/>
  <c r="M105" i="8"/>
  <c r="AW106" i="8"/>
  <c r="M106" i="8"/>
  <c r="AW107" i="8"/>
  <c r="M107" i="8"/>
  <c r="AW108" i="8"/>
  <c r="M108" i="8"/>
  <c r="AW109" i="8"/>
  <c r="M109" i="8"/>
  <c r="AW110" i="8"/>
  <c r="M110" i="8"/>
  <c r="AW111" i="8"/>
  <c r="M111" i="8"/>
  <c r="AW112" i="8"/>
  <c r="M112" i="8"/>
  <c r="AW113" i="8"/>
  <c r="M113" i="8"/>
  <c r="AW114" i="8"/>
  <c r="M114" i="8"/>
  <c r="AW115" i="8"/>
  <c r="M115" i="8"/>
  <c r="AW75" i="8"/>
  <c r="M75" i="8"/>
  <c r="AW116" i="8"/>
  <c r="M116" i="8"/>
  <c r="AW117" i="8"/>
  <c r="M117" i="8"/>
  <c r="AW118" i="8"/>
  <c r="M118" i="8"/>
  <c r="AW119" i="8"/>
  <c r="M119" i="8"/>
  <c r="AW120" i="8"/>
  <c r="M120" i="8"/>
  <c r="AW121" i="8"/>
  <c r="M121" i="8"/>
  <c r="AW122" i="8"/>
  <c r="M122" i="8"/>
  <c r="AW123" i="8"/>
  <c r="M123" i="8"/>
  <c r="AW124" i="8"/>
  <c r="M124" i="8"/>
  <c r="AW125" i="8"/>
  <c r="M125" i="8"/>
  <c r="AW126" i="8"/>
  <c r="M126" i="8"/>
  <c r="AW127" i="8"/>
  <c r="M127" i="8"/>
  <c r="AW128" i="8"/>
  <c r="M128" i="8"/>
  <c r="AW129" i="8"/>
  <c r="M129" i="8"/>
  <c r="AW76" i="8"/>
  <c r="M76" i="8"/>
  <c r="AW130" i="8"/>
  <c r="M130" i="8"/>
  <c r="AW131" i="8"/>
  <c r="M131" i="8"/>
  <c r="AW132" i="8"/>
  <c r="M132" i="8"/>
  <c r="AW133" i="8"/>
  <c r="M133" i="8"/>
  <c r="AW77" i="8"/>
  <c r="M77" i="8"/>
  <c r="AW134" i="8"/>
  <c r="M134" i="8"/>
  <c r="AW135" i="8"/>
  <c r="M135" i="8"/>
  <c r="AW136" i="8"/>
  <c r="M136" i="8"/>
  <c r="AW137" i="8"/>
  <c r="M137" i="8"/>
  <c r="AW138" i="8"/>
  <c r="M138" i="8"/>
  <c r="AW78" i="8"/>
  <c r="M78" i="8"/>
  <c r="AW139" i="8"/>
  <c r="M139" i="8"/>
  <c r="AW140" i="8"/>
  <c r="M140" i="8"/>
  <c r="AW141" i="8"/>
  <c r="M141" i="8"/>
  <c r="AW8" i="8"/>
  <c r="M8" i="8"/>
  <c r="AW142" i="8"/>
  <c r="M142" i="8"/>
  <c r="AW143" i="8"/>
  <c r="M143" i="8"/>
  <c r="AW144" i="8"/>
  <c r="M144" i="8"/>
  <c r="AW145" i="8"/>
  <c r="M145" i="8"/>
  <c r="AW146" i="8"/>
  <c r="M146" i="8"/>
  <c r="AW147" i="8"/>
  <c r="M147" i="8"/>
  <c r="AW148" i="8"/>
  <c r="M148" i="8"/>
  <c r="AW149" i="8"/>
  <c r="M149" i="8"/>
  <c r="AW150" i="8"/>
  <c r="M150" i="8"/>
  <c r="AW9" i="8"/>
  <c r="M9" i="8"/>
  <c r="AW10" i="8"/>
  <c r="M10" i="8"/>
  <c r="AW11" i="8"/>
  <c r="M11" i="8"/>
  <c r="AW151" i="8"/>
  <c r="M151" i="8"/>
  <c r="AW152" i="8"/>
  <c r="M152" i="8"/>
  <c r="AW153" i="8"/>
  <c r="M153" i="8"/>
  <c r="AW154" i="8"/>
  <c r="M154" i="8"/>
  <c r="AW155" i="8"/>
  <c r="M155" i="8"/>
  <c r="AW156" i="8"/>
  <c r="M156" i="8"/>
  <c r="AW157" i="8"/>
  <c r="M157" i="8"/>
  <c r="AW158" i="8"/>
  <c r="M158" i="8"/>
  <c r="AW159" i="8"/>
  <c r="M159" i="8"/>
  <c r="AW160" i="8"/>
  <c r="M160" i="8"/>
  <c r="AW161" i="8"/>
  <c r="M161" i="8"/>
  <c r="AW162" i="8"/>
  <c r="M162" i="8"/>
  <c r="AW163" i="8"/>
  <c r="M163" i="8"/>
  <c r="AW164" i="8"/>
  <c r="M164" i="8"/>
  <c r="AW165" i="8"/>
  <c r="M165" i="8"/>
  <c r="AW166" i="8"/>
  <c r="M166" i="8"/>
  <c r="AW167" i="8"/>
  <c r="M167" i="8"/>
  <c r="AW168" i="8"/>
  <c r="M168" i="8"/>
  <c r="AW169" i="8"/>
  <c r="M169" i="8"/>
  <c r="AW170" i="8"/>
  <c r="M170" i="8"/>
  <c r="AW171" i="8"/>
  <c r="M171" i="8"/>
  <c r="AW172" i="8"/>
  <c r="M172" i="8"/>
  <c r="AW12" i="8"/>
  <c r="M12" i="8"/>
  <c r="AW173" i="8"/>
  <c r="M173" i="8"/>
  <c r="AW174" i="8"/>
  <c r="M174" i="8"/>
  <c r="AW175" i="8"/>
  <c r="M175" i="8"/>
  <c r="AW176" i="8"/>
  <c r="M176" i="8"/>
  <c r="AW177" i="8"/>
  <c r="M177" i="8"/>
  <c r="AW178" i="8"/>
  <c r="M178" i="8"/>
  <c r="AW179" i="8"/>
  <c r="M179" i="8"/>
  <c r="AW180" i="8"/>
  <c r="M180" i="8"/>
  <c r="AW181" i="8"/>
  <c r="M181" i="8"/>
  <c r="AW182" i="8"/>
  <c r="M182" i="8"/>
  <c r="AW13" i="8"/>
  <c r="M13" i="8"/>
  <c r="AW183" i="8"/>
  <c r="M183" i="8"/>
  <c r="AW184" i="8"/>
  <c r="M184" i="8"/>
  <c r="AW185" i="8"/>
  <c r="M185" i="8"/>
  <c r="AW186" i="8"/>
  <c r="M186" i="8"/>
  <c r="AW187" i="8"/>
  <c r="M187" i="8"/>
  <c r="AW188" i="8"/>
  <c r="M188" i="8"/>
  <c r="AW189" i="8"/>
  <c r="M189" i="8"/>
  <c r="AW190" i="8"/>
  <c r="M190" i="8"/>
  <c r="AW191" i="8"/>
  <c r="M191" i="8"/>
  <c r="AW192" i="8"/>
  <c r="M192" i="8"/>
  <c r="AW193" i="8"/>
  <c r="M193" i="8"/>
  <c r="AW194" i="8"/>
  <c r="M194" i="8"/>
  <c r="AW14" i="8"/>
  <c r="M14" i="8"/>
  <c r="AW195" i="8"/>
  <c r="M195" i="8"/>
  <c r="AW196" i="8"/>
  <c r="M196" i="8"/>
  <c r="AW197" i="8"/>
  <c r="M197" i="8"/>
  <c r="AW198" i="8"/>
  <c r="M198" i="8"/>
  <c r="AW199" i="8"/>
  <c r="M199" i="8"/>
  <c r="AW200" i="8"/>
  <c r="M200" i="8"/>
  <c r="AW201" i="8"/>
  <c r="M201" i="8"/>
  <c r="AW15" i="8"/>
  <c r="M15" i="8"/>
  <c r="AW202" i="8"/>
  <c r="M202" i="8"/>
  <c r="AW203" i="8"/>
  <c r="M203" i="8"/>
  <c r="AW16" i="8"/>
  <c r="M16" i="8"/>
  <c r="AW204" i="8"/>
  <c r="M204" i="8"/>
  <c r="AW205" i="8"/>
  <c r="M205" i="8"/>
  <c r="AW206" i="8"/>
  <c r="M206" i="8"/>
  <c r="AW207" i="8"/>
  <c r="M207" i="8"/>
  <c r="AW6" i="8"/>
  <c r="M6" i="8"/>
  <c r="AW208" i="8"/>
  <c r="M208" i="8"/>
  <c r="AW209" i="8"/>
  <c r="M209" i="8"/>
  <c r="AW17" i="8"/>
  <c r="M17" i="8"/>
  <c r="AW210" i="8"/>
  <c r="M210" i="8"/>
  <c r="AW211" i="8"/>
  <c r="M211" i="8"/>
  <c r="AW212" i="8"/>
  <c r="M212" i="8"/>
  <c r="AW213" i="8"/>
  <c r="M213" i="8"/>
  <c r="AW7" i="8"/>
  <c r="M7" i="8"/>
  <c r="AW214" i="8"/>
  <c r="M214" i="8"/>
  <c r="AW215" i="8"/>
  <c r="M215" i="8"/>
  <c r="AW216" i="8"/>
  <c r="M216" i="8"/>
  <c r="AW217" i="8"/>
  <c r="M217" i="8"/>
  <c r="AW218" i="8"/>
  <c r="M218" i="8"/>
  <c r="AW18" i="8"/>
  <c r="M18" i="8"/>
  <c r="AW219" i="8"/>
  <c r="M219" i="8"/>
  <c r="AW220" i="8"/>
  <c r="M220" i="8"/>
  <c r="AW19" i="8"/>
  <c r="M19" i="8"/>
  <c r="AW20" i="8"/>
  <c r="M20" i="8"/>
  <c r="AW21" i="8"/>
  <c r="M21" i="8"/>
  <c r="AW221" i="8"/>
  <c r="M221" i="8"/>
  <c r="AW222" i="8"/>
  <c r="M222" i="8"/>
  <c r="AW223" i="8"/>
  <c r="M223" i="8"/>
  <c r="AW224" i="8"/>
  <c r="M224" i="8"/>
  <c r="AW225" i="8"/>
  <c r="M225" i="8"/>
  <c r="AW226" i="8"/>
  <c r="M226" i="8"/>
  <c r="AW227" i="8"/>
  <c r="M227" i="8"/>
  <c r="AW228" i="8"/>
  <c r="M228" i="8"/>
  <c r="AW22" i="8"/>
  <c r="M22" i="8"/>
  <c r="AW23" i="8"/>
  <c r="M23" i="8"/>
  <c r="AW229" i="8"/>
  <c r="M229" i="8"/>
  <c r="AW230" i="8"/>
  <c r="M230" i="8"/>
  <c r="AW231" i="8"/>
  <c r="M231" i="8"/>
  <c r="AW232" i="8"/>
  <c r="M232" i="8"/>
  <c r="AW233" i="8"/>
  <c r="M233" i="8"/>
  <c r="AW234" i="8"/>
  <c r="M234" i="8"/>
  <c r="AW235" i="8"/>
  <c r="M235" i="8"/>
  <c r="AW236" i="8"/>
  <c r="M236" i="8"/>
  <c r="AW237" i="8"/>
  <c r="M237" i="8"/>
  <c r="AW238" i="8"/>
  <c r="M238" i="8"/>
  <c r="AW239" i="8"/>
  <c r="M239" i="8"/>
  <c r="AW240" i="8"/>
  <c r="M240" i="8"/>
  <c r="AW24" i="8"/>
  <c r="M24" i="8"/>
  <c r="AW241" i="8"/>
  <c r="M241" i="8"/>
  <c r="AW242" i="8"/>
  <c r="M242" i="8"/>
  <c r="AW243" i="8"/>
  <c r="M243" i="8"/>
  <c r="AW244" i="8"/>
  <c r="M244" i="8"/>
  <c r="AW245" i="8"/>
  <c r="M245" i="8"/>
  <c r="AW246" i="8"/>
  <c r="M246" i="8"/>
  <c r="AW247" i="8"/>
  <c r="M247" i="8"/>
  <c r="AW248" i="8"/>
  <c r="M248" i="8"/>
  <c r="AW249" i="8"/>
  <c r="M249" i="8"/>
  <c r="AW250" i="8"/>
  <c r="M250" i="8"/>
  <c r="AW79" i="8"/>
  <c r="M79" i="8"/>
  <c r="AW251" i="8"/>
  <c r="M251" i="8"/>
  <c r="AW252" i="8"/>
  <c r="M252" i="8"/>
  <c r="AW253" i="8"/>
  <c r="M253" i="8"/>
  <c r="AW254" i="8"/>
  <c r="M254" i="8"/>
  <c r="AW255" i="8"/>
  <c r="M255" i="8"/>
  <c r="AW80" i="8"/>
  <c r="M80" i="8"/>
  <c r="AW81" i="8"/>
  <c r="M81" i="8"/>
  <c r="AW82" i="8"/>
  <c r="M82" i="8"/>
  <c r="AW256" i="8"/>
  <c r="M256" i="8"/>
  <c r="AW83" i="8"/>
  <c r="M83" i="8"/>
  <c r="AW84" i="8"/>
  <c r="M84" i="8"/>
  <c r="AW257" i="8"/>
  <c r="M257" i="8"/>
  <c r="AW85" i="8"/>
  <c r="M85" i="8"/>
  <c r="AW86" i="8"/>
  <c r="M86" i="8"/>
  <c r="AW87" i="8"/>
  <c r="M87" i="8"/>
  <c r="AW258" i="8"/>
  <c r="M258" i="8"/>
  <c r="AW25" i="8"/>
  <c r="M25" i="8"/>
  <c r="AW88" i="8"/>
  <c r="M88" i="8"/>
  <c r="AW89" i="8"/>
  <c r="M89" i="8"/>
  <c r="AW259" i="8"/>
  <c r="M259" i="8"/>
  <c r="AW260" i="8"/>
  <c r="M260" i="8"/>
  <c r="AW261" i="8"/>
  <c r="M261" i="8"/>
  <c r="AW90" i="8"/>
  <c r="M90" i="8"/>
  <c r="AW262" i="8"/>
  <c r="M262" i="8"/>
  <c r="AW263" i="8"/>
  <c r="M263" i="8"/>
  <c r="AW26" i="8"/>
  <c r="M26" i="8"/>
  <c r="AW264" i="8"/>
  <c r="M264" i="8"/>
  <c r="AW265" i="8"/>
  <c r="M265" i="8"/>
  <c r="AW266" i="8"/>
  <c r="M266" i="8"/>
  <c r="AW91" i="8"/>
  <c r="M91" i="8"/>
  <c r="AW267" i="8"/>
  <c r="M267" i="8"/>
  <c r="AW268" i="8"/>
  <c r="M268" i="8"/>
  <c r="AW92" i="8"/>
  <c r="M92" i="8"/>
  <c r="AW269" i="8"/>
  <c r="M269" i="8"/>
  <c r="AW270" i="8"/>
  <c r="M270" i="8"/>
  <c r="AW271" i="8"/>
  <c r="M271" i="8"/>
  <c r="AW272" i="8"/>
  <c r="M272" i="8"/>
  <c r="AW273" i="8"/>
  <c r="M273" i="8"/>
  <c r="AW27" i="8"/>
  <c r="M27" i="8"/>
  <c r="AW274" i="8"/>
  <c r="M274" i="8"/>
  <c r="AW275" i="8"/>
  <c r="M275" i="8"/>
  <c r="AW276" i="8"/>
  <c r="M276" i="8"/>
  <c r="AW277" i="8"/>
  <c r="M277" i="8"/>
  <c r="AW278" i="8"/>
  <c r="M278" i="8"/>
  <c r="AW279" i="8"/>
  <c r="M279" i="8"/>
  <c r="AW280" i="8"/>
  <c r="M280" i="8"/>
  <c r="AW281" i="8"/>
  <c r="M281" i="8"/>
  <c r="AW282" i="8"/>
  <c r="M282" i="8"/>
  <c r="AW283" i="8"/>
  <c r="M283" i="8"/>
  <c r="AW284" i="8"/>
  <c r="M284" i="8"/>
  <c r="AW285" i="8"/>
  <c r="M285" i="8"/>
  <c r="AW286" i="8"/>
  <c r="M286" i="8"/>
  <c r="AW28" i="8"/>
  <c r="M28" i="8"/>
  <c r="AW287" i="8"/>
  <c r="M287" i="8"/>
  <c r="AW288" i="8"/>
  <c r="M288" i="8"/>
  <c r="AW93" i="8"/>
  <c r="M93" i="8"/>
  <c r="AW289" i="8"/>
  <c r="M289" i="8"/>
  <c r="AW290" i="8"/>
  <c r="M290" i="8"/>
  <c r="AW291" i="8"/>
  <c r="M291" i="8"/>
  <c r="AW292" i="8"/>
  <c r="M292" i="8"/>
  <c r="AW293" i="8"/>
  <c r="M293" i="8"/>
  <c r="AW294" i="8"/>
  <c r="M294" i="8"/>
  <c r="AW295" i="8"/>
  <c r="M295" i="8"/>
  <c r="AW296" i="8"/>
  <c r="M296" i="8"/>
  <c r="AW297" i="8"/>
  <c r="M297" i="8"/>
  <c r="AW298" i="8"/>
  <c r="M298" i="8"/>
  <c r="AW299" i="8"/>
  <c r="M299" i="8"/>
  <c r="AW300" i="8"/>
  <c r="M300" i="8"/>
  <c r="AW301" i="8"/>
  <c r="M301" i="8"/>
  <c r="AW302" i="8"/>
  <c r="M302" i="8"/>
  <c r="AW29" i="8"/>
  <c r="M29" i="8"/>
  <c r="AW303" i="8"/>
  <c r="M303" i="8"/>
  <c r="AW304" i="8"/>
  <c r="M304" i="8"/>
  <c r="AW305" i="8"/>
  <c r="M305" i="8"/>
  <c r="AW306" i="8"/>
  <c r="M306" i="8"/>
  <c r="AW307" i="8"/>
  <c r="M307" i="8"/>
  <c r="AW94" i="8"/>
  <c r="M94" i="8"/>
  <c r="AW308" i="8"/>
  <c r="M308" i="8"/>
  <c r="AW309" i="8"/>
  <c r="M309" i="8"/>
  <c r="AW310" i="8"/>
  <c r="M310" i="8"/>
  <c r="AW311" i="8"/>
  <c r="M311" i="8"/>
  <c r="AW312" i="8"/>
  <c r="M312" i="8"/>
  <c r="AW313" i="8"/>
  <c r="M313" i="8"/>
  <c r="AW95" i="8"/>
  <c r="M95" i="8"/>
  <c r="AW314" i="8"/>
  <c r="M314" i="8"/>
  <c r="AW315" i="8"/>
  <c r="M315" i="8"/>
  <c r="AW316" i="8"/>
  <c r="M316" i="8"/>
  <c r="AW317" i="8"/>
  <c r="M317" i="8"/>
  <c r="AW318" i="8"/>
  <c r="M318" i="8"/>
  <c r="AW96" i="8"/>
  <c r="M96" i="8"/>
  <c r="AW319" i="8"/>
  <c r="M319" i="8"/>
  <c r="AW320" i="8"/>
  <c r="M320" i="8"/>
  <c r="AW321" i="8"/>
  <c r="M321" i="8"/>
  <c r="AW322" i="8"/>
  <c r="M322" i="8"/>
  <c r="AW323" i="8"/>
  <c r="M323" i="8"/>
  <c r="AW324" i="8"/>
  <c r="M324" i="8"/>
  <c r="AW325" i="8"/>
  <c r="M325" i="8"/>
  <c r="AW326" i="8"/>
  <c r="M326" i="8"/>
  <c r="AW30" i="8"/>
  <c r="M30" i="8"/>
  <c r="AW327" i="8"/>
  <c r="M327" i="8"/>
  <c r="AW328" i="8"/>
  <c r="M328" i="8"/>
  <c r="AW329" i="8"/>
  <c r="M329" i="8"/>
  <c r="AW330" i="8"/>
  <c r="M330" i="8"/>
  <c r="AW331" i="8"/>
  <c r="M331" i="8"/>
  <c r="AW31" i="8"/>
  <c r="M31" i="8"/>
  <c r="AW332" i="8"/>
  <c r="M332" i="8"/>
  <c r="AW333" i="8"/>
  <c r="M333" i="8"/>
  <c r="AW334" i="8"/>
  <c r="M334" i="8"/>
  <c r="AW335" i="8"/>
  <c r="M335" i="8"/>
  <c r="AW336" i="8"/>
  <c r="M336" i="8"/>
  <c r="AW337" i="8"/>
  <c r="M337" i="8"/>
  <c r="AW338" i="8"/>
  <c r="M338" i="8"/>
  <c r="AW339" i="8"/>
  <c r="M339" i="8"/>
  <c r="AW340" i="8"/>
  <c r="M340" i="8"/>
  <c r="AW341" i="8"/>
  <c r="M341" i="8"/>
  <c r="AW342" i="8"/>
  <c r="M342" i="8"/>
  <c r="AW343" i="8"/>
  <c r="M343" i="8"/>
  <c r="AW344" i="8"/>
  <c r="M344" i="8"/>
  <c r="AW345" i="8"/>
  <c r="M345" i="8"/>
  <c r="AW346" i="8"/>
  <c r="M346" i="8"/>
  <c r="AW347" i="8"/>
  <c r="M347" i="8"/>
  <c r="AW348" i="8"/>
  <c r="M348" i="8"/>
  <c r="AW349" i="8"/>
  <c r="M349" i="8"/>
  <c r="AW350" i="8"/>
  <c r="M350" i="8"/>
  <c r="AW32" i="8"/>
  <c r="M32" i="8"/>
  <c r="AW351" i="8"/>
  <c r="M351" i="8"/>
  <c r="AW352" i="8"/>
  <c r="M352" i="8"/>
  <c r="AW353" i="8"/>
  <c r="M353" i="8"/>
  <c r="AW354" i="8"/>
  <c r="M354" i="8"/>
  <c r="AW355" i="8"/>
  <c r="M355" i="8"/>
  <c r="AW356" i="8"/>
  <c r="M356" i="8"/>
  <c r="AW357" i="8"/>
  <c r="M357" i="8"/>
  <c r="AW358" i="8"/>
  <c r="M358" i="8"/>
  <c r="AW359" i="8"/>
  <c r="M359" i="8"/>
  <c r="AW360" i="8"/>
  <c r="M360" i="8"/>
  <c r="AW33" i="8"/>
  <c r="M33" i="8"/>
  <c r="AW361" i="8"/>
  <c r="M361" i="8"/>
  <c r="AW362" i="8"/>
  <c r="M362" i="8"/>
  <c r="AW97" i="8"/>
  <c r="M97" i="8"/>
  <c r="AW363" i="8"/>
  <c r="M363" i="8"/>
  <c r="AW364" i="8"/>
  <c r="M364" i="8"/>
  <c r="AW365" i="8"/>
  <c r="M365" i="8"/>
  <c r="AW98" i="8"/>
  <c r="M98" i="8"/>
  <c r="AW366" i="8"/>
  <c r="M366" i="8"/>
  <c r="AW367" i="8"/>
  <c r="M367" i="8"/>
  <c r="AW34" i="8"/>
  <c r="M34" i="8"/>
  <c r="AW368" i="8"/>
  <c r="M368" i="8"/>
  <c r="AW369" i="8"/>
  <c r="M369" i="8"/>
  <c r="AW370" i="8"/>
  <c r="M370" i="8"/>
  <c r="AW35" i="8"/>
  <c r="M35" i="8"/>
  <c r="AW371" i="8"/>
  <c r="M371" i="8"/>
  <c r="AW372" i="8"/>
  <c r="M372" i="8"/>
  <c r="AW373" i="8"/>
  <c r="M373" i="8"/>
  <c r="AW374" i="8"/>
  <c r="M374" i="8"/>
  <c r="AW375" i="8"/>
  <c r="M375" i="8"/>
  <c r="AW376" i="8"/>
  <c r="M376" i="8"/>
  <c r="AW377" i="8"/>
  <c r="M377" i="8"/>
  <c r="AW378" i="8"/>
  <c r="M378" i="8"/>
  <c r="AW379" i="8"/>
  <c r="M379" i="8"/>
  <c r="AW380" i="8"/>
  <c r="M380" i="8"/>
  <c r="AW99" i="8"/>
  <c r="M99" i="8"/>
  <c r="AW381" i="8"/>
  <c r="M381" i="8"/>
  <c r="AW382" i="8"/>
  <c r="M382" i="8"/>
  <c r="AW383" i="8"/>
  <c r="M383" i="8"/>
  <c r="AW384" i="8"/>
  <c r="M384" i="8"/>
  <c r="AW385" i="8"/>
  <c r="M385" i="8"/>
  <c r="AW36" i="8"/>
  <c r="M36" i="8"/>
  <c r="AW386" i="8"/>
  <c r="M386" i="8"/>
  <c r="AW387" i="8"/>
  <c r="M387" i="8"/>
  <c r="AW388" i="8"/>
  <c r="M388" i="8"/>
  <c r="AW389" i="8"/>
  <c r="M389" i="8"/>
  <c r="AW390" i="8"/>
  <c r="M390" i="8"/>
  <c r="AW391" i="8"/>
  <c r="M391" i="8"/>
  <c r="AW392" i="8"/>
  <c r="M392" i="8"/>
  <c r="AW393" i="8"/>
  <c r="M393" i="8"/>
  <c r="AW37" i="8"/>
  <c r="M37" i="8"/>
  <c r="AW394" i="8"/>
  <c r="M394" i="8"/>
  <c r="AW395" i="8"/>
  <c r="M395" i="8"/>
  <c r="AW396" i="8"/>
  <c r="M396" i="8"/>
  <c r="AW397" i="8"/>
  <c r="M397" i="8"/>
  <c r="AW398" i="8"/>
  <c r="M398" i="8"/>
  <c r="AW38" i="8"/>
  <c r="M38" i="8"/>
  <c r="AW399" i="8"/>
  <c r="M399" i="8"/>
  <c r="AW400" i="8"/>
  <c r="M400" i="8"/>
  <c r="AW401" i="8"/>
  <c r="M401" i="8"/>
  <c r="AW402" i="8"/>
  <c r="M402" i="8"/>
  <c r="AW403" i="8"/>
  <c r="M403" i="8"/>
  <c r="AW404" i="8"/>
  <c r="M404" i="8"/>
  <c r="AW405" i="8"/>
  <c r="M405" i="8"/>
  <c r="AW406" i="8"/>
  <c r="M406" i="8"/>
  <c r="C46" i="8"/>
  <c r="C47" i="8"/>
  <c r="C3" i="8"/>
  <c r="C48" i="8"/>
  <c r="C49" i="8"/>
  <c r="C50" i="8"/>
  <c r="C100" i="8"/>
  <c r="C51" i="8"/>
  <c r="C72" i="8"/>
  <c r="C73" i="8"/>
  <c r="C101" i="8"/>
  <c r="C74" i="8"/>
  <c r="C52" i="8"/>
  <c r="C102" i="8"/>
  <c r="C103" i="8"/>
  <c r="C104" i="8"/>
  <c r="C105" i="8"/>
  <c r="C106" i="8"/>
  <c r="C107" i="8"/>
  <c r="C40" i="8"/>
  <c r="C108" i="8"/>
  <c r="C109" i="8"/>
  <c r="C110" i="8"/>
  <c r="C111" i="8"/>
  <c r="C112" i="8"/>
  <c r="C113" i="8"/>
  <c r="C53" i="8"/>
  <c r="C54" i="8"/>
  <c r="C114" i="8"/>
  <c r="C55" i="8"/>
  <c r="C115" i="8"/>
  <c r="C75" i="8"/>
  <c r="C116" i="8"/>
  <c r="C117" i="8"/>
  <c r="C118" i="8"/>
  <c r="C119" i="8"/>
  <c r="C120" i="8"/>
  <c r="C121" i="8"/>
  <c r="C122" i="8"/>
  <c r="C56" i="8"/>
  <c r="C123" i="8"/>
  <c r="C57" i="8"/>
  <c r="C124" i="8"/>
  <c r="C125" i="8"/>
  <c r="C126" i="8"/>
  <c r="C127" i="8"/>
  <c r="C128" i="8"/>
  <c r="C129" i="8"/>
  <c r="C76" i="8"/>
  <c r="C130" i="8"/>
  <c r="C131" i="8"/>
  <c r="C132" i="8"/>
  <c r="C133" i="8"/>
  <c r="C77" i="8"/>
  <c r="C134" i="8"/>
  <c r="C135" i="8"/>
  <c r="C58" i="8"/>
  <c r="C136" i="8"/>
  <c r="C137" i="8"/>
  <c r="C138" i="8"/>
  <c r="C78" i="8"/>
  <c r="C139" i="8"/>
  <c r="C140" i="8"/>
  <c r="C141" i="8"/>
  <c r="C8" i="8"/>
  <c r="C142" i="8"/>
  <c r="C143" i="8"/>
  <c r="C144" i="8"/>
  <c r="C145" i="8"/>
  <c r="C146" i="8"/>
  <c r="C147" i="8"/>
  <c r="C41" i="8"/>
  <c r="C148" i="8"/>
  <c r="C149" i="8"/>
  <c r="C150" i="8"/>
  <c r="C9" i="8"/>
  <c r="C59" i="8"/>
  <c r="C10" i="8"/>
  <c r="C11" i="8"/>
  <c r="C151" i="8"/>
  <c r="C152" i="8"/>
  <c r="C153" i="8"/>
  <c r="C60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2" i="8"/>
  <c r="C12" i="8"/>
  <c r="C173" i="8"/>
  <c r="C174" i="8"/>
  <c r="C175" i="8"/>
  <c r="C176" i="8"/>
  <c r="C177" i="8"/>
  <c r="C178" i="8"/>
  <c r="C179" i="8"/>
  <c r="C180" i="8"/>
  <c r="C181" i="8"/>
  <c r="C182" i="8"/>
  <c r="C13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4" i="8"/>
  <c r="C195" i="8"/>
  <c r="C196" i="8"/>
  <c r="C197" i="8"/>
  <c r="C198" i="8"/>
  <c r="C199" i="8"/>
  <c r="C200" i="8"/>
  <c r="C201" i="8"/>
  <c r="C15" i="8"/>
  <c r="C202" i="8"/>
  <c r="C203" i="8"/>
  <c r="C16" i="8"/>
  <c r="C204" i="8"/>
  <c r="C205" i="8"/>
  <c r="C206" i="8"/>
  <c r="C207" i="8"/>
  <c r="C6" i="8"/>
  <c r="C208" i="8"/>
  <c r="C209" i="8"/>
  <c r="C17" i="8"/>
  <c r="C210" i="8"/>
  <c r="C211" i="8"/>
  <c r="C212" i="8"/>
  <c r="C213" i="8"/>
  <c r="C7" i="8"/>
  <c r="C214" i="8"/>
  <c r="C215" i="8"/>
  <c r="C216" i="8"/>
  <c r="C217" i="8"/>
  <c r="C218" i="8"/>
  <c r="C18" i="8"/>
  <c r="C219" i="8"/>
  <c r="C220" i="8"/>
  <c r="C19" i="8"/>
  <c r="C20" i="8"/>
  <c r="C21" i="8"/>
  <c r="C221" i="8"/>
  <c r="C4" i="8"/>
  <c r="C222" i="8"/>
  <c r="C223" i="8"/>
  <c r="C224" i="8"/>
  <c r="C225" i="8"/>
  <c r="C226" i="8"/>
  <c r="C227" i="8"/>
  <c r="C228" i="8"/>
  <c r="C61" i="8"/>
  <c r="C22" i="8"/>
  <c r="C23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" i="8"/>
  <c r="C241" i="8"/>
  <c r="C242" i="8"/>
  <c r="C243" i="8"/>
  <c r="C244" i="8"/>
  <c r="C245" i="8"/>
  <c r="C246" i="8"/>
  <c r="C247" i="8"/>
  <c r="C248" i="8"/>
  <c r="C249" i="8"/>
  <c r="C250" i="8"/>
  <c r="C79" i="8"/>
  <c r="C251" i="8"/>
  <c r="C252" i="8"/>
  <c r="C253" i="8"/>
  <c r="C254" i="8"/>
  <c r="C255" i="8"/>
  <c r="C80" i="8"/>
  <c r="C81" i="8"/>
  <c r="C82" i="8"/>
  <c r="C256" i="8"/>
  <c r="C83" i="8"/>
  <c r="C84" i="8"/>
  <c r="C257" i="8"/>
  <c r="C85" i="8"/>
  <c r="C86" i="8"/>
  <c r="C87" i="8"/>
  <c r="C258" i="8"/>
  <c r="C25" i="8"/>
  <c r="C88" i="8"/>
  <c r="C89" i="8"/>
  <c r="C259" i="8"/>
  <c r="C260" i="8"/>
  <c r="C261" i="8"/>
  <c r="C90" i="8"/>
  <c r="C262" i="8"/>
  <c r="C62" i="8"/>
  <c r="C5" i="8"/>
  <c r="C263" i="8"/>
  <c r="C2" i="8"/>
  <c r="C26" i="8"/>
  <c r="C42" i="8"/>
  <c r="C264" i="8"/>
  <c r="C265" i="8"/>
  <c r="C63" i="8"/>
  <c r="C43" i="8"/>
  <c r="C266" i="8"/>
  <c r="C91" i="8"/>
  <c r="C267" i="8"/>
  <c r="C44" i="8"/>
  <c r="C268" i="8"/>
  <c r="C92" i="8"/>
  <c r="C269" i="8"/>
  <c r="C270" i="8"/>
  <c r="C271" i="8"/>
  <c r="C272" i="8"/>
  <c r="C64" i="8"/>
  <c r="C273" i="8"/>
  <c r="C27" i="8"/>
  <c r="C65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" i="8"/>
  <c r="C287" i="8"/>
  <c r="C288" i="8"/>
  <c r="C93" i="8"/>
  <c r="C289" i="8"/>
  <c r="C290" i="8"/>
  <c r="C291" i="8"/>
  <c r="C292" i="8"/>
  <c r="C66" i="8"/>
  <c r="C293" i="8"/>
  <c r="C294" i="8"/>
  <c r="C295" i="8"/>
  <c r="C296" i="8"/>
  <c r="C297" i="8"/>
  <c r="C298" i="8"/>
  <c r="C299" i="8"/>
  <c r="C300" i="8"/>
  <c r="C301" i="8"/>
  <c r="C302" i="8"/>
  <c r="C29" i="8"/>
  <c r="C303" i="8"/>
  <c r="C304" i="8"/>
  <c r="C305" i="8"/>
  <c r="C306" i="8"/>
  <c r="C307" i="8"/>
  <c r="C94" i="8"/>
  <c r="C308" i="8"/>
  <c r="C309" i="8"/>
  <c r="C310" i="8"/>
  <c r="C311" i="8"/>
  <c r="C312" i="8"/>
  <c r="C313" i="8"/>
  <c r="C95" i="8"/>
  <c r="C314" i="8"/>
  <c r="C315" i="8"/>
  <c r="C316" i="8"/>
  <c r="C67" i="8"/>
  <c r="C317" i="8"/>
  <c r="C318" i="8"/>
  <c r="C96" i="8"/>
  <c r="C319" i="8"/>
  <c r="C320" i="8"/>
  <c r="C68" i="8"/>
  <c r="C321" i="8"/>
  <c r="C322" i="8"/>
  <c r="C323" i="8"/>
  <c r="C324" i="8"/>
  <c r="C325" i="8"/>
  <c r="C326" i="8"/>
  <c r="C30" i="8"/>
  <c r="C327" i="8"/>
  <c r="C328" i="8"/>
  <c r="C329" i="8"/>
  <c r="C330" i="8"/>
  <c r="C331" i="8"/>
  <c r="C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2" i="8"/>
  <c r="C351" i="8"/>
  <c r="C352" i="8"/>
  <c r="C353" i="8"/>
  <c r="C354" i="8"/>
  <c r="C355" i="8"/>
  <c r="C356" i="8"/>
  <c r="C357" i="8"/>
  <c r="C358" i="8"/>
  <c r="C359" i="8"/>
  <c r="C360" i="8"/>
  <c r="C33" i="8"/>
  <c r="C361" i="8"/>
  <c r="C362" i="8"/>
  <c r="C97" i="8"/>
  <c r="C363" i="8"/>
  <c r="C364" i="8"/>
  <c r="C69" i="8"/>
  <c r="C365" i="8"/>
  <c r="C98" i="8"/>
  <c r="C366" i="8"/>
  <c r="C70" i="8"/>
  <c r="C367" i="8"/>
  <c r="C34" i="8"/>
  <c r="C368" i="8"/>
  <c r="C369" i="8"/>
  <c r="C370" i="8"/>
  <c r="C35" i="8"/>
  <c r="C371" i="8"/>
  <c r="C372" i="8"/>
  <c r="C373" i="8"/>
  <c r="C374" i="8"/>
  <c r="C375" i="8"/>
  <c r="C376" i="8"/>
  <c r="C377" i="8"/>
  <c r="C378" i="8"/>
  <c r="C379" i="8"/>
  <c r="C380" i="8"/>
  <c r="C99" i="8"/>
  <c r="C71" i="8"/>
  <c r="C381" i="8"/>
  <c r="C382" i="8"/>
  <c r="C383" i="8"/>
  <c r="C384" i="8"/>
  <c r="C385" i="8"/>
  <c r="C36" i="8"/>
  <c r="C386" i="8"/>
  <c r="C387" i="8"/>
  <c r="C388" i="8"/>
  <c r="C389" i="8"/>
  <c r="C390" i="8"/>
  <c r="C391" i="8"/>
  <c r="C392" i="8"/>
  <c r="C393" i="8"/>
  <c r="C37" i="8"/>
  <c r="C394" i="8"/>
  <c r="C395" i="8"/>
  <c r="C396" i="8"/>
  <c r="C397" i="8"/>
  <c r="C398" i="8"/>
  <c r="C38" i="8"/>
  <c r="C399" i="8"/>
  <c r="C400" i="8"/>
  <c r="C401" i="8"/>
  <c r="C402" i="8"/>
  <c r="C403" i="8"/>
  <c r="C404" i="8"/>
  <c r="C405" i="8"/>
  <c r="C406" i="8"/>
  <c r="C45" i="8"/>
  <c r="B6" i="3"/>
  <c r="B10" i="3"/>
  <c r="B11" i="3"/>
  <c r="B12" i="3"/>
  <c r="B13" i="3"/>
  <c r="B15" i="3"/>
  <c r="B16" i="3"/>
  <c r="B17" i="3"/>
  <c r="B18" i="3"/>
  <c r="B19" i="3"/>
  <c r="B20" i="3"/>
  <c r="B21" i="3"/>
  <c r="B22" i="3"/>
  <c r="B23" i="3"/>
  <c r="B25" i="3"/>
  <c r="B26" i="3"/>
  <c r="B27" i="3"/>
  <c r="B38" i="3"/>
  <c r="B28" i="3"/>
  <c r="B29" i="3"/>
  <c r="B39" i="3"/>
  <c r="B40" i="3"/>
  <c r="B41" i="3"/>
  <c r="B30" i="3"/>
  <c r="B31" i="3"/>
  <c r="B32" i="3"/>
  <c r="B33" i="3"/>
  <c r="B34" i="3"/>
  <c r="B35" i="3"/>
  <c r="B36" i="3"/>
  <c r="B37" i="3"/>
  <c r="C6" i="3"/>
  <c r="C10" i="3"/>
  <c r="C11" i="3"/>
  <c r="C12" i="3"/>
  <c r="C13" i="3"/>
  <c r="C15" i="3"/>
  <c r="C16" i="3"/>
  <c r="C17" i="3"/>
  <c r="C18" i="3"/>
  <c r="C19" i="3"/>
  <c r="C20" i="3"/>
  <c r="C21" i="3"/>
  <c r="C22" i="3"/>
  <c r="C23" i="3"/>
  <c r="C25" i="3"/>
  <c r="C26" i="3"/>
  <c r="C27" i="3"/>
  <c r="C38" i="3"/>
  <c r="C28" i="3"/>
  <c r="C29" i="3"/>
  <c r="C39" i="3"/>
  <c r="C40" i="3"/>
  <c r="C41" i="3"/>
  <c r="C30" i="3"/>
  <c r="C31" i="3"/>
  <c r="C32" i="3"/>
  <c r="C33" i="3"/>
  <c r="C34" i="3"/>
  <c r="C35" i="3"/>
  <c r="C36" i="3"/>
  <c r="C37" i="3"/>
  <c r="C117" i="7"/>
  <c r="C118" i="7"/>
  <c r="C119" i="7"/>
  <c r="C120" i="7"/>
  <c r="C121" i="7"/>
  <c r="C122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00" i="7"/>
  <c r="C101" i="7"/>
  <c r="C45" i="7"/>
  <c r="C46" i="7"/>
  <c r="C33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3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4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34" i="7"/>
  <c r="C35" i="7"/>
  <c r="C36" i="7"/>
  <c r="C37" i="7"/>
  <c r="C38" i="7"/>
  <c r="C39" i="7"/>
  <c r="C40" i="7"/>
  <c r="C41" i="7"/>
  <c r="C42" i="7"/>
  <c r="C43" i="7"/>
  <c r="C27" i="7"/>
  <c r="C28" i="7"/>
  <c r="C29" i="7"/>
  <c r="C30" i="7"/>
  <c r="C31" i="7"/>
  <c r="C32" i="7"/>
  <c r="C116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00" i="7"/>
  <c r="D101" i="7"/>
  <c r="D45" i="7"/>
  <c r="D46" i="7"/>
  <c r="D33" i="7"/>
  <c r="D119" i="7"/>
  <c r="D116" i="7"/>
  <c r="D120" i="7"/>
  <c r="D117" i="7"/>
  <c r="D118" i="7"/>
  <c r="D122" i="7"/>
  <c r="D121" i="7"/>
  <c r="D126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3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4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331" i="7"/>
  <c r="D332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412" i="7"/>
  <c r="D413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34" i="7"/>
  <c r="D35" i="7"/>
  <c r="D36" i="7"/>
  <c r="D37" i="7"/>
  <c r="D38" i="7"/>
  <c r="D39" i="7"/>
  <c r="D40" i="7"/>
  <c r="D41" i="7"/>
  <c r="D42" i="7"/>
  <c r="D43" i="7"/>
  <c r="D27" i="7"/>
  <c r="D28" i="7"/>
  <c r="D29" i="7"/>
  <c r="D30" i="7"/>
  <c r="D31" i="7"/>
  <c r="D32" i="7"/>
  <c r="D127" i="7"/>
  <c r="AA36" i="2"/>
  <c r="AM54" i="5"/>
  <c r="AM61" i="5"/>
  <c r="AM65" i="5"/>
  <c r="AM66" i="5"/>
  <c r="AM67" i="5"/>
  <c r="AM320" i="5"/>
  <c r="AM321" i="5"/>
  <c r="AM331" i="5"/>
  <c r="AM333" i="5"/>
  <c r="AM335" i="5"/>
  <c r="AM341" i="5"/>
  <c r="AM79" i="5"/>
  <c r="AM344" i="5"/>
  <c r="AM345" i="5"/>
  <c r="AM346" i="5"/>
  <c r="AM88" i="5"/>
  <c r="AM89" i="5"/>
  <c r="AM10" i="5"/>
  <c r="AM11" i="5"/>
  <c r="AM96" i="5"/>
  <c r="AM97" i="5"/>
  <c r="AM98" i="5"/>
  <c r="AM103" i="5"/>
  <c r="AM109" i="5"/>
  <c r="AM374" i="5"/>
  <c r="AM382" i="5"/>
  <c r="AM112" i="5"/>
  <c r="AM2" i="5"/>
  <c r="AM383" i="5"/>
  <c r="AM12" i="5"/>
  <c r="AM117" i="5"/>
  <c r="AM13" i="5"/>
  <c r="AM269" i="5"/>
  <c r="AM14" i="5"/>
  <c r="AM351" i="5"/>
  <c r="AM352" i="5"/>
  <c r="AM272" i="5"/>
  <c r="AM15" i="5"/>
  <c r="AM274" i="5"/>
  <c r="AM354" i="5"/>
  <c r="AM127" i="5"/>
  <c r="AM129" i="5"/>
  <c r="AM130" i="5"/>
  <c r="AM132" i="5"/>
  <c r="AM133" i="5"/>
  <c r="AM4" i="5"/>
  <c r="AM136" i="5"/>
  <c r="AM254" i="5"/>
  <c r="AM137" i="5"/>
  <c r="AM139" i="5"/>
  <c r="AM140" i="5"/>
  <c r="AM275" i="5"/>
  <c r="AM149" i="5"/>
  <c r="AM150" i="5"/>
  <c r="AM276" i="5"/>
  <c r="AM277" i="5"/>
  <c r="AM278" i="5"/>
  <c r="AM151" i="5"/>
  <c r="AM153" i="5"/>
  <c r="AM158" i="5"/>
  <c r="AM164" i="5"/>
  <c r="AM165" i="5"/>
  <c r="AM166" i="5"/>
  <c r="AM170" i="5"/>
  <c r="AM173" i="5"/>
  <c r="AM174" i="5"/>
  <c r="AM180" i="5"/>
  <c r="AM181" i="5"/>
  <c r="AM182" i="5"/>
  <c r="AM183" i="5"/>
  <c r="AM184" i="5"/>
  <c r="AM185" i="5"/>
  <c r="AM186" i="5"/>
  <c r="AM187" i="5"/>
  <c r="AM194" i="5"/>
  <c r="AM195" i="5"/>
  <c r="AM196" i="5"/>
  <c r="AM198" i="5"/>
  <c r="AM293" i="5"/>
  <c r="AM27" i="5"/>
  <c r="AM223" i="5"/>
  <c r="AM227" i="5"/>
  <c r="AM228" i="5"/>
  <c r="AM389" i="5"/>
  <c r="AM390" i="5"/>
  <c r="AM391" i="5"/>
  <c r="AM392" i="5"/>
  <c r="AM393" i="5"/>
  <c r="AM394" i="5"/>
  <c r="AM395" i="5"/>
  <c r="AM397" i="5"/>
  <c r="AM398" i="5"/>
  <c r="AM399" i="5"/>
  <c r="AM400" i="5"/>
  <c r="AM401" i="5"/>
  <c r="AM402" i="5"/>
  <c r="AM403" i="5"/>
  <c r="AM404" i="5"/>
  <c r="AM240" i="5"/>
  <c r="AM406" i="5"/>
  <c r="AM407" i="5"/>
  <c r="AM409" i="5"/>
  <c r="AM410" i="5"/>
  <c r="AM411" i="5"/>
  <c r="AM249" i="5"/>
  <c r="AM36" i="5"/>
  <c r="AM37" i="5"/>
  <c r="AM250" i="5"/>
  <c r="AM38" i="5"/>
  <c r="AM39" i="5"/>
  <c r="AM40" i="5"/>
  <c r="AM41" i="5"/>
  <c r="AM42" i="5"/>
  <c r="AM43" i="5"/>
  <c r="AM44" i="5"/>
  <c r="AM45" i="5"/>
  <c r="AM46" i="5"/>
  <c r="AM47" i="5"/>
  <c r="AM48" i="5"/>
  <c r="AM49" i="5"/>
  <c r="AM50" i="5"/>
  <c r="AM51" i="5"/>
  <c r="AM52" i="5"/>
  <c r="AM53" i="5"/>
  <c r="AM264" i="5"/>
  <c r="AM265" i="5"/>
  <c r="AM55" i="5"/>
  <c r="AM56" i="5"/>
  <c r="AM57" i="5"/>
  <c r="AM59" i="5"/>
  <c r="AM60" i="5"/>
  <c r="AM62" i="5"/>
  <c r="AM63" i="5"/>
  <c r="AM64" i="5"/>
  <c r="AM68" i="5"/>
  <c r="AM70" i="5"/>
  <c r="AM71" i="5"/>
  <c r="AM315" i="5"/>
  <c r="AM316" i="5"/>
  <c r="AM317" i="5"/>
  <c r="AM318" i="5"/>
  <c r="AM319" i="5"/>
  <c r="AM322" i="5"/>
  <c r="AM323" i="5"/>
  <c r="AM324" i="5"/>
  <c r="AM325" i="5"/>
  <c r="AM326" i="5"/>
  <c r="AM327" i="5"/>
  <c r="AM328" i="5"/>
  <c r="AM329" i="5"/>
  <c r="AM330" i="5"/>
  <c r="AM332" i="5"/>
  <c r="AM334" i="5"/>
  <c r="AM337" i="5"/>
  <c r="AM338" i="5"/>
  <c r="AM339" i="5"/>
  <c r="AM340" i="5"/>
  <c r="AM72" i="5"/>
  <c r="AM9" i="5"/>
  <c r="AM73" i="5"/>
  <c r="AM342" i="5"/>
  <c r="AM74" i="5"/>
  <c r="AM75" i="5"/>
  <c r="AM76" i="5"/>
  <c r="AM77" i="5"/>
  <c r="AM78" i="5"/>
  <c r="AM299" i="5"/>
  <c r="AM300" i="5"/>
  <c r="AM348" i="5"/>
  <c r="AM80" i="5"/>
  <c r="AM81" i="5"/>
  <c r="AM266" i="5"/>
  <c r="AM82" i="5"/>
  <c r="AM83" i="5"/>
  <c r="AM84" i="5"/>
  <c r="AM85" i="5"/>
  <c r="AM258" i="5"/>
  <c r="AM259" i="5"/>
  <c r="AM86" i="5"/>
  <c r="AM260" i="5"/>
  <c r="AM252" i="5"/>
  <c r="AM343" i="5"/>
  <c r="AM87" i="5"/>
  <c r="AM90" i="5"/>
  <c r="AM91" i="5"/>
  <c r="AM301" i="5"/>
  <c r="AM302" i="5"/>
  <c r="AM92" i="5"/>
  <c r="AM93" i="5"/>
  <c r="AM94" i="5"/>
  <c r="AM95" i="5"/>
  <c r="AM261" i="5"/>
  <c r="AM253" i="5"/>
  <c r="AM262" i="5"/>
  <c r="AM99" i="5"/>
  <c r="AM100" i="5"/>
  <c r="AM101" i="5"/>
  <c r="AM102" i="5"/>
  <c r="AM104" i="5"/>
  <c r="AM105" i="5"/>
  <c r="AM106" i="5"/>
  <c r="AM107" i="5"/>
  <c r="AM108" i="5"/>
  <c r="AM370" i="5"/>
  <c r="AM371" i="5"/>
  <c r="AM372" i="5"/>
  <c r="AM373" i="5"/>
  <c r="AM375" i="5"/>
  <c r="AM376" i="5"/>
  <c r="AM377" i="5"/>
  <c r="AM378" i="5"/>
  <c r="AM379" i="5"/>
  <c r="AM349" i="5"/>
  <c r="AM350" i="5"/>
  <c r="AM110" i="5"/>
  <c r="AM111" i="5"/>
  <c r="AM113" i="5"/>
  <c r="AM304" i="5"/>
  <c r="AM114" i="5"/>
  <c r="AM305" i="5"/>
  <c r="AM306" i="5"/>
  <c r="AM307" i="5"/>
  <c r="AM308" i="5"/>
  <c r="AM115" i="5"/>
  <c r="AM116" i="5"/>
  <c r="AM336" i="5"/>
  <c r="AM267" i="5"/>
  <c r="AM268" i="5"/>
  <c r="AM384" i="5"/>
  <c r="AM270" i="5"/>
  <c r="AM271" i="5"/>
  <c r="AM119" i="5"/>
  <c r="AM120" i="5"/>
  <c r="AM385" i="5"/>
  <c r="AM121" i="5"/>
  <c r="AM122" i="5"/>
  <c r="AM123" i="5"/>
  <c r="AM124" i="5"/>
  <c r="AM273" i="5"/>
  <c r="AM353" i="5"/>
  <c r="AM125" i="5"/>
  <c r="AM126" i="5"/>
  <c r="AM355" i="5"/>
  <c r="AM356" i="5"/>
  <c r="AM357" i="5"/>
  <c r="AM128" i="5"/>
  <c r="AM131" i="5"/>
  <c r="AM3" i="5"/>
  <c r="AM134" i="5"/>
  <c r="AM135" i="5"/>
  <c r="AM138" i="5"/>
  <c r="AM141" i="5"/>
  <c r="AM142" i="5"/>
  <c r="AM143" i="5"/>
  <c r="AM144" i="5"/>
  <c r="AM145" i="5"/>
  <c r="AM146" i="5"/>
  <c r="AM147" i="5"/>
  <c r="AM148" i="5"/>
  <c r="AM152" i="5"/>
  <c r="AM279" i="5"/>
  <c r="AM154" i="5"/>
  <c r="AM155" i="5"/>
  <c r="AM156" i="5"/>
  <c r="AM347" i="5"/>
  <c r="AM358" i="5"/>
  <c r="AM359" i="5"/>
  <c r="AM360" i="5"/>
  <c r="AM361" i="5"/>
  <c r="AM362" i="5"/>
  <c r="AM363" i="5"/>
  <c r="AM364" i="5"/>
  <c r="AM365" i="5"/>
  <c r="AM157" i="5"/>
  <c r="AM159" i="5"/>
  <c r="AM160" i="5"/>
  <c r="AM161" i="5"/>
  <c r="AM162" i="5"/>
  <c r="AM255" i="5"/>
  <c r="AM256" i="5"/>
  <c r="AM163" i="5"/>
  <c r="AM16" i="5"/>
  <c r="AM17" i="5"/>
  <c r="AM18" i="5"/>
  <c r="AM167" i="5"/>
  <c r="AM168" i="5"/>
  <c r="AM169" i="5"/>
  <c r="AM171" i="5"/>
  <c r="AM172" i="5"/>
  <c r="AM175" i="5"/>
  <c r="AM176" i="5"/>
  <c r="AM177" i="5"/>
  <c r="AM178" i="5"/>
  <c r="AM179" i="5"/>
  <c r="AM188" i="5"/>
  <c r="AM189" i="5"/>
  <c r="AM190" i="5"/>
  <c r="AM191" i="5"/>
  <c r="AM192" i="5"/>
  <c r="AM280" i="5"/>
  <c r="AM281" i="5"/>
  <c r="AM282" i="5"/>
  <c r="AM193" i="5"/>
  <c r="AM283" i="5"/>
  <c r="AM284" i="5"/>
  <c r="AM285" i="5"/>
  <c r="AM286" i="5"/>
  <c r="AM5" i="5"/>
  <c r="AM287" i="5"/>
  <c r="AM288" i="5"/>
  <c r="AM289" i="5"/>
  <c r="AM290" i="5"/>
  <c r="AM199" i="5"/>
  <c r="AM292" i="5"/>
  <c r="AM200" i="5"/>
  <c r="AM21" i="5"/>
  <c r="AM201" i="5"/>
  <c r="AM203" i="5"/>
  <c r="AM204" i="5"/>
  <c r="AM206" i="5"/>
  <c r="AM22" i="5"/>
  <c r="AM24" i="5"/>
  <c r="AM25" i="5"/>
  <c r="AM26" i="5"/>
  <c r="AM6" i="5"/>
  <c r="AM7" i="5"/>
  <c r="AM208" i="5"/>
  <c r="AM209" i="5"/>
  <c r="AM210" i="5"/>
  <c r="AM211" i="5"/>
  <c r="AM212" i="5"/>
  <c r="AM257" i="5"/>
  <c r="AM213" i="5"/>
  <c r="AM214" i="5"/>
  <c r="AM215" i="5"/>
  <c r="AM216" i="5"/>
  <c r="AM217" i="5"/>
  <c r="AM309" i="5"/>
  <c r="AM218" i="5"/>
  <c r="AM28" i="5"/>
  <c r="AM219" i="5"/>
  <c r="AM220" i="5"/>
  <c r="AM221" i="5"/>
  <c r="AM222" i="5"/>
  <c r="AM224" i="5"/>
  <c r="AM225" i="5"/>
  <c r="AM226" i="5"/>
  <c r="AM294" i="5"/>
  <c r="AM295" i="5"/>
  <c r="AM8" i="5"/>
  <c r="AM229" i="5"/>
  <c r="AM230" i="5"/>
  <c r="AM310" i="5"/>
  <c r="AM311" i="5"/>
  <c r="AM231" i="5"/>
  <c r="AM366" i="5"/>
  <c r="AM296" i="5"/>
  <c r="AM232" i="5"/>
  <c r="AM29" i="5"/>
  <c r="AM30" i="5"/>
  <c r="AM31" i="5"/>
  <c r="AM32" i="5"/>
  <c r="AM33" i="5"/>
  <c r="AM233" i="5"/>
  <c r="AM34" i="5"/>
  <c r="AM312" i="5"/>
  <c r="AM380" i="5"/>
  <c r="AM234" i="5"/>
  <c r="AM235" i="5"/>
  <c r="AM236" i="5"/>
  <c r="AM237" i="5"/>
  <c r="AM238" i="5"/>
  <c r="AM239" i="5"/>
  <c r="AM387" i="5"/>
  <c r="AM388" i="5"/>
  <c r="AM396" i="5"/>
  <c r="AM405" i="5"/>
  <c r="AM408" i="5"/>
  <c r="AM241" i="5"/>
  <c r="AM242" i="5"/>
  <c r="AM243" i="5"/>
  <c r="AM244" i="5"/>
  <c r="AM245" i="5"/>
  <c r="AM246" i="5"/>
  <c r="AM247" i="5"/>
  <c r="AM386" i="5"/>
  <c r="AM248" i="5"/>
  <c r="AM367" i="5"/>
  <c r="AM368" i="5"/>
  <c r="AM369" i="5"/>
  <c r="AM35" i="5"/>
  <c r="AM313" i="5"/>
  <c r="AM314" i="5"/>
  <c r="AM251" i="5"/>
  <c r="AA11" i="2"/>
  <c r="AA13" i="2"/>
  <c r="AA12" i="2"/>
  <c r="AA10" i="2"/>
  <c r="AA26" i="2"/>
  <c r="AA31" i="2"/>
  <c r="AA32" i="2"/>
  <c r="AA22" i="2"/>
  <c r="AA5" i="2"/>
  <c r="AA47" i="2"/>
  <c r="AA51" i="2"/>
  <c r="AA50" i="2"/>
  <c r="AA27" i="2"/>
  <c r="AA28" i="2"/>
  <c r="AA30" i="2"/>
  <c r="AA35" i="2"/>
  <c r="AA34" i="2"/>
  <c r="AA33" i="2"/>
  <c r="AA7" i="2"/>
  <c r="AA38" i="2"/>
  <c r="AA37" i="2"/>
  <c r="AA40" i="2"/>
  <c r="AA39" i="2"/>
  <c r="AA41" i="2"/>
  <c r="AA43" i="2"/>
  <c r="AA17" i="2"/>
  <c r="AA16" i="2"/>
  <c r="AA29" i="2"/>
  <c r="AA52" i="2"/>
  <c r="AA23" i="2"/>
  <c r="AA8" i="2"/>
  <c r="AA15" i="2"/>
  <c r="AA18" i="2"/>
  <c r="AA24" i="2"/>
  <c r="AA46" i="2"/>
  <c r="B2" i="11"/>
  <c r="B13" i="11"/>
  <c r="S2" i="11"/>
  <c r="B4" i="11"/>
  <c r="B8" i="11"/>
  <c r="B9" i="11"/>
  <c r="B20" i="11"/>
  <c r="V20" i="11"/>
  <c r="B10" i="11"/>
  <c r="V10" i="11"/>
  <c r="B11" i="11"/>
  <c r="V11" i="11"/>
  <c r="B21" i="11"/>
  <c r="V21" i="11"/>
  <c r="B22" i="11"/>
  <c r="V22" i="11"/>
  <c r="B23" i="11"/>
  <c r="V23" i="11"/>
  <c r="B24" i="11"/>
  <c r="V24" i="11"/>
  <c r="B12" i="11"/>
  <c r="V12" i="11"/>
  <c r="B25" i="11"/>
  <c r="B26" i="11"/>
  <c r="V26" i="11"/>
  <c r="B3" i="11"/>
  <c r="B5" i="11"/>
  <c r="B15" i="11"/>
  <c r="B19" i="11"/>
  <c r="B6" i="11"/>
  <c r="B16" i="11"/>
  <c r="B17" i="11"/>
  <c r="V17" i="11"/>
  <c r="B18" i="11"/>
  <c r="V18" i="11"/>
  <c r="B7" i="11"/>
  <c r="S19" i="11"/>
  <c r="S6" i="11"/>
  <c r="S16" i="11"/>
  <c r="S17" i="11"/>
  <c r="S18" i="11"/>
  <c r="S7" i="11"/>
  <c r="S8" i="11"/>
  <c r="S9" i="11"/>
  <c r="S20" i="11"/>
  <c r="S10" i="11"/>
  <c r="S11" i="11"/>
  <c r="S21" i="11"/>
  <c r="S22" i="11"/>
  <c r="S23" i="11"/>
  <c r="S24" i="11"/>
  <c r="S12" i="11"/>
  <c r="S25" i="11"/>
  <c r="S26" i="11"/>
  <c r="S3" i="11"/>
  <c r="S4" i="11"/>
  <c r="S5" i="11"/>
  <c r="S15" i="11"/>
  <c r="S13" i="11"/>
  <c r="U5" i="11"/>
  <c r="U15" i="11"/>
  <c r="U19" i="11"/>
  <c r="U6" i="11"/>
  <c r="J17" i="11"/>
  <c r="J18" i="11"/>
  <c r="J20" i="11"/>
  <c r="J10" i="11"/>
  <c r="J11" i="11"/>
  <c r="J21" i="11"/>
  <c r="J22" i="11"/>
  <c r="J23" i="11"/>
  <c r="J24" i="11"/>
  <c r="J12" i="11"/>
  <c r="J26" i="11"/>
  <c r="W17" i="11"/>
  <c r="W18" i="11"/>
  <c r="W20" i="11"/>
  <c r="W10" i="11"/>
  <c r="W11" i="11"/>
  <c r="W21" i="11"/>
  <c r="W22" i="11"/>
  <c r="W23" i="11"/>
  <c r="W24" i="11"/>
  <c r="W12" i="11"/>
  <c r="W26" i="11"/>
  <c r="U3" i="11"/>
  <c r="U4" i="11"/>
  <c r="U13" i="11"/>
  <c r="U16" i="11"/>
  <c r="U17" i="11"/>
  <c r="U18" i="11"/>
  <c r="U7" i="11"/>
  <c r="U8" i="11"/>
  <c r="U9" i="11"/>
  <c r="U20" i="11"/>
  <c r="U10" i="11"/>
  <c r="U11" i="11"/>
  <c r="U21" i="11"/>
  <c r="U22" i="11"/>
  <c r="U23" i="11"/>
  <c r="U24" i="11"/>
  <c r="U12" i="11"/>
  <c r="U25" i="11"/>
  <c r="U26" i="11"/>
  <c r="R13" i="11"/>
  <c r="R15" i="11"/>
  <c r="R6" i="11"/>
  <c r="R16" i="11"/>
  <c r="R17" i="11"/>
  <c r="R18" i="11"/>
  <c r="R7" i="11"/>
  <c r="R8" i="11"/>
  <c r="R9" i="11"/>
  <c r="R20" i="11"/>
  <c r="R10" i="11"/>
  <c r="R11" i="11"/>
  <c r="R21" i="11"/>
  <c r="R22" i="11"/>
  <c r="R23" i="11"/>
  <c r="R24" i="11"/>
  <c r="R12" i="11"/>
  <c r="R25" i="11"/>
  <c r="R26" i="11"/>
  <c r="R3" i="11"/>
  <c r="R4" i="11"/>
  <c r="R5" i="11"/>
  <c r="R2" i="11"/>
  <c r="U2" i="11"/>
  <c r="K15" i="11"/>
  <c r="L15" i="11"/>
  <c r="M15" i="11"/>
  <c r="K16" i="11"/>
  <c r="L16" i="11"/>
  <c r="M16" i="11"/>
  <c r="K3" i="11"/>
  <c r="K4" i="11"/>
  <c r="K5" i="11"/>
  <c r="K6" i="11"/>
  <c r="K2" i="11"/>
  <c r="L6" i="11"/>
  <c r="L5" i="11"/>
  <c r="L4" i="11"/>
  <c r="L3" i="11"/>
  <c r="L2" i="11"/>
  <c r="M3" i="11"/>
  <c r="M4" i="11"/>
  <c r="M5" i="11"/>
  <c r="M6" i="11"/>
  <c r="K17" i="11"/>
  <c r="M17" i="11"/>
  <c r="K18" i="11"/>
  <c r="M18" i="11"/>
  <c r="K7" i="11"/>
  <c r="M7" i="11"/>
  <c r="K8" i="11"/>
  <c r="M8" i="11"/>
  <c r="K9" i="11"/>
  <c r="M9" i="11"/>
  <c r="K20" i="11"/>
  <c r="M20" i="11"/>
  <c r="K10" i="11"/>
  <c r="M10" i="11"/>
  <c r="K11" i="11"/>
  <c r="M11" i="11"/>
  <c r="K21" i="11"/>
  <c r="M21" i="11"/>
  <c r="K22" i="11"/>
  <c r="M22" i="11"/>
  <c r="K23" i="11"/>
  <c r="M23" i="11"/>
  <c r="K24" i="11"/>
  <c r="M24" i="11"/>
  <c r="K12" i="11"/>
  <c r="M12" i="11"/>
  <c r="K25" i="11"/>
  <c r="M25" i="11"/>
  <c r="K26" i="11"/>
  <c r="M26" i="11"/>
  <c r="M2" i="11"/>
  <c r="AS89" i="5"/>
  <c r="AQ403" i="5"/>
  <c r="AP403" i="5"/>
  <c r="AQ402" i="5"/>
  <c r="AP402" i="5"/>
  <c r="AQ387" i="5"/>
  <c r="AP387" i="5"/>
  <c r="AQ388" i="5"/>
  <c r="AP388" i="5"/>
  <c r="AQ380" i="5"/>
  <c r="AQ379" i="5"/>
  <c r="AQ378" i="5"/>
  <c r="AQ377" i="5"/>
  <c r="AQ376" i="5"/>
  <c r="AQ375" i="5"/>
  <c r="AQ373" i="5"/>
  <c r="AQ372" i="5"/>
  <c r="AQ371" i="5"/>
  <c r="AQ370" i="5"/>
  <c r="AQ365" i="5"/>
  <c r="AQ364" i="5"/>
  <c r="AQ363" i="5"/>
  <c r="AQ362" i="5"/>
  <c r="AQ361" i="5"/>
  <c r="AQ360" i="5"/>
  <c r="AQ359" i="5"/>
  <c r="AQ350" i="5"/>
  <c r="AQ348" i="5"/>
  <c r="AQ369" i="5"/>
  <c r="AQ368" i="5"/>
  <c r="AQ367" i="5"/>
  <c r="AQ366" i="5"/>
  <c r="AQ358" i="5"/>
  <c r="AQ357" i="5"/>
  <c r="AQ356" i="5"/>
  <c r="AQ355" i="5"/>
  <c r="AQ354" i="5"/>
  <c r="AQ353" i="5"/>
  <c r="AQ352" i="5"/>
  <c r="AQ351" i="5"/>
  <c r="AQ349" i="5"/>
  <c r="AQ347" i="5"/>
  <c r="AQ336" i="5"/>
  <c r="AQ346" i="5"/>
  <c r="AQ345" i="5"/>
  <c r="AQ344" i="5"/>
  <c r="AQ343" i="5"/>
  <c r="AQ342" i="5"/>
  <c r="AQ341" i="5"/>
  <c r="AQ340" i="5"/>
  <c r="AQ339" i="5"/>
  <c r="AQ338" i="5"/>
  <c r="AQ337" i="5"/>
  <c r="AQ335" i="5"/>
  <c r="AQ334" i="5"/>
  <c r="AQ333" i="5"/>
  <c r="AQ332" i="5"/>
  <c r="AQ330" i="5"/>
  <c r="AQ329" i="5"/>
  <c r="AQ328" i="5"/>
  <c r="AQ327" i="5"/>
  <c r="AQ326" i="5"/>
  <c r="AQ325" i="5"/>
  <c r="AQ324" i="5"/>
  <c r="AQ323" i="5"/>
  <c r="AQ322" i="5"/>
  <c r="AQ321" i="5"/>
  <c r="AQ320" i="5"/>
  <c r="AQ319" i="5"/>
  <c r="AQ318" i="5"/>
  <c r="AQ317" i="5"/>
  <c r="AQ316" i="5"/>
  <c r="AQ315" i="5"/>
  <c r="AQ314" i="5"/>
  <c r="AQ313" i="5"/>
  <c r="AQ312" i="5"/>
  <c r="AQ311" i="5"/>
  <c r="AQ310" i="5"/>
  <c r="AQ309" i="5"/>
  <c r="AQ308" i="5"/>
  <c r="AQ307" i="5"/>
  <c r="AQ306" i="5"/>
  <c r="AQ305" i="5"/>
  <c r="AQ304" i="5"/>
  <c r="AQ302" i="5"/>
  <c r="AQ301" i="5"/>
  <c r="AQ300" i="5"/>
  <c r="AQ299" i="5"/>
  <c r="AS34" i="5"/>
  <c r="AQ34" i="5"/>
  <c r="AS233" i="5"/>
  <c r="AQ233" i="5"/>
  <c r="AS33" i="5"/>
  <c r="AQ33" i="5"/>
  <c r="AS32" i="5"/>
  <c r="AQ32" i="5"/>
  <c r="AS31" i="5"/>
  <c r="AQ31" i="5"/>
  <c r="AQ175" i="5"/>
  <c r="AQ90" i="5"/>
  <c r="AS220" i="5"/>
  <c r="AS219" i="5"/>
  <c r="AS28" i="5"/>
  <c r="AQ28" i="5"/>
  <c r="AS218" i="5"/>
  <c r="AQ218" i="5"/>
  <c r="AS213" i="5"/>
  <c r="AS169" i="5"/>
  <c r="AQ169" i="5"/>
  <c r="AS168" i="5"/>
  <c r="AQ168" i="5"/>
  <c r="AQ133" i="5"/>
  <c r="AS126" i="5"/>
  <c r="AQ126" i="5"/>
  <c r="AS104" i="5"/>
  <c r="AS103" i="5"/>
  <c r="AS155" i="5"/>
  <c r="AS141" i="5"/>
  <c r="AS239" i="5"/>
  <c r="AS230" i="5"/>
  <c r="AS229" i="5"/>
  <c r="AS214" i="5"/>
  <c r="AS257" i="5"/>
  <c r="AQ257" i="5"/>
  <c r="AS212" i="5"/>
  <c r="AS211" i="5"/>
  <c r="AS210" i="5"/>
  <c r="AS209" i="5"/>
  <c r="AS208" i="5"/>
  <c r="AQ208" i="5"/>
  <c r="AS160" i="5"/>
  <c r="AS159" i="5"/>
  <c r="AS145" i="5"/>
  <c r="AQ142" i="5"/>
  <c r="AS138" i="5"/>
  <c r="AQ138" i="5"/>
  <c r="AS131" i="5"/>
  <c r="AS267" i="5"/>
  <c r="AS87" i="5"/>
  <c r="AS248" i="5"/>
  <c r="AQ248" i="5"/>
  <c r="AS231" i="5"/>
  <c r="AQ231" i="5"/>
  <c r="AS8" i="5"/>
  <c r="AQ8" i="5"/>
  <c r="AS295" i="5"/>
  <c r="AQ295" i="5"/>
  <c r="AS294" i="5"/>
  <c r="AQ294" i="5"/>
  <c r="AS7" i="5"/>
  <c r="AQ7" i="5"/>
  <c r="AS290" i="5"/>
  <c r="AQ290" i="5"/>
  <c r="AS289" i="5"/>
  <c r="AQ289" i="5"/>
  <c r="AS288" i="5"/>
  <c r="AQ288" i="5"/>
  <c r="AS287" i="5"/>
  <c r="AQ287" i="5"/>
  <c r="AS5" i="5"/>
  <c r="AS286" i="5"/>
  <c r="AQ286" i="5"/>
  <c r="AS285" i="5"/>
  <c r="AQ285" i="5"/>
  <c r="AS193" i="5"/>
  <c r="AQ193" i="5"/>
  <c r="AS282" i="5"/>
  <c r="AQ282" i="5"/>
  <c r="AS281" i="5"/>
  <c r="AQ281" i="5"/>
  <c r="AS280" i="5"/>
  <c r="AQ280" i="5"/>
  <c r="AS192" i="5"/>
  <c r="AQ192" i="5"/>
  <c r="AS157" i="5"/>
  <c r="AQ157" i="5"/>
  <c r="AS279" i="5"/>
  <c r="AQ279" i="5"/>
  <c r="AQ147" i="5"/>
  <c r="AS143" i="5"/>
  <c r="AQ143" i="5"/>
  <c r="AQ134" i="5"/>
  <c r="AS3" i="5"/>
  <c r="AQ3" i="5"/>
  <c r="AS273" i="5"/>
  <c r="AQ273" i="5"/>
  <c r="AQ268" i="5"/>
  <c r="AS2" i="5"/>
  <c r="AQ2" i="5"/>
  <c r="AS113" i="5"/>
  <c r="AQ113" i="5"/>
  <c r="AS111" i="5"/>
  <c r="AQ111" i="5"/>
  <c r="AS110" i="5"/>
  <c r="AS105" i="5"/>
  <c r="AQ101" i="5"/>
  <c r="AS100" i="5"/>
  <c r="AQ100" i="5"/>
  <c r="AS99" i="5"/>
  <c r="AQ99" i="5"/>
  <c r="AS80" i="5"/>
  <c r="AQ80" i="5"/>
  <c r="AS76" i="5"/>
  <c r="AQ76" i="5"/>
  <c r="AS6" i="5"/>
  <c r="AQ6" i="5"/>
  <c r="AS200" i="5"/>
  <c r="AQ200" i="5"/>
  <c r="AS24" i="5"/>
  <c r="AQ24" i="5"/>
  <c r="AS26" i="5"/>
  <c r="AQ26" i="5"/>
  <c r="AS25" i="5"/>
  <c r="AQ25" i="5"/>
  <c r="AS22" i="5"/>
  <c r="AQ22" i="5"/>
  <c r="AS292" i="5"/>
  <c r="AQ292" i="5"/>
  <c r="AS37" i="5"/>
  <c r="AQ37" i="5"/>
  <c r="AS35" i="5"/>
  <c r="AQ35" i="5"/>
  <c r="AS237" i="5"/>
  <c r="AQ237" i="5"/>
  <c r="AS206" i="5"/>
  <c r="AQ206" i="5"/>
  <c r="AS178" i="5"/>
  <c r="AQ178" i="5"/>
  <c r="AS163" i="5"/>
  <c r="AQ163" i="5"/>
  <c r="AS36" i="5"/>
  <c r="AQ36" i="5"/>
  <c r="AS238" i="5"/>
  <c r="AQ238" i="5"/>
  <c r="AS236" i="5"/>
  <c r="AQ236" i="5"/>
  <c r="AS235" i="5"/>
  <c r="AQ235" i="5"/>
  <c r="AS234" i="5"/>
  <c r="AQ234" i="5"/>
  <c r="AS204" i="5"/>
  <c r="AQ204" i="5"/>
  <c r="AS284" i="5"/>
  <c r="AQ284" i="5"/>
  <c r="AS283" i="5"/>
  <c r="AQ283" i="5"/>
  <c r="AS203" i="5"/>
  <c r="AQ203" i="5"/>
  <c r="AS179" i="5"/>
  <c r="AS201" i="5"/>
  <c r="AQ201" i="5"/>
  <c r="AS198" i="5"/>
  <c r="AS196" i="5"/>
  <c r="AQ196" i="5"/>
  <c r="AS18" i="5"/>
  <c r="AQ18" i="5"/>
  <c r="AS17" i="5"/>
  <c r="AQ17" i="5"/>
  <c r="AS16" i="5"/>
  <c r="AQ16" i="5"/>
  <c r="AS256" i="5"/>
  <c r="AQ256" i="5"/>
  <c r="AS161" i="5"/>
  <c r="AQ161" i="5"/>
  <c r="AS146" i="5"/>
  <c r="AS102" i="5"/>
  <c r="AS262" i="5"/>
  <c r="AQ262" i="5"/>
  <c r="AS253" i="5"/>
  <c r="AQ253" i="5"/>
  <c r="AS172" i="5"/>
  <c r="AQ172" i="5"/>
  <c r="AS119" i="5"/>
  <c r="AS108" i="5"/>
  <c r="AS107" i="5"/>
  <c r="AS106" i="5"/>
  <c r="AS95" i="5"/>
  <c r="AQ95" i="5"/>
  <c r="AS94" i="5"/>
  <c r="AQ94" i="5"/>
  <c r="AS93" i="5"/>
  <c r="AQ93" i="5"/>
  <c r="AS260" i="5"/>
  <c r="AQ260" i="5"/>
  <c r="AS259" i="5"/>
  <c r="AQ259" i="5"/>
  <c r="AS266" i="5"/>
  <c r="AQ266" i="5"/>
  <c r="AQ265" i="5"/>
  <c r="AS251" i="5"/>
  <c r="AQ251" i="5"/>
  <c r="AS261" i="5"/>
  <c r="AQ261" i="5"/>
  <c r="AQ92" i="5"/>
  <c r="AQ252" i="5"/>
  <c r="AS86" i="5"/>
  <c r="AQ86" i="5"/>
  <c r="AS258" i="5"/>
  <c r="AQ258" i="5"/>
  <c r="AS85" i="5"/>
  <c r="AQ85" i="5"/>
  <c r="AS84" i="5"/>
  <c r="AQ84" i="5"/>
  <c r="AS83" i="5"/>
  <c r="AQ83" i="5"/>
  <c r="AS82" i="5"/>
  <c r="AQ82" i="5"/>
  <c r="AS81" i="5"/>
  <c r="AQ81" i="5"/>
  <c r="AS232" i="5"/>
  <c r="AQ232" i="5"/>
  <c r="AS296" i="5"/>
  <c r="AQ296" i="5"/>
  <c r="AS222" i="5"/>
  <c r="AS199" i="5"/>
  <c r="AS171" i="5"/>
  <c r="AQ171" i="5"/>
  <c r="AS167" i="5"/>
  <c r="AQ167" i="5"/>
  <c r="AS152" i="5"/>
  <c r="AS135" i="5"/>
  <c r="AQ135" i="5"/>
  <c r="AS128" i="5"/>
  <c r="AS125" i="5"/>
  <c r="AQ125" i="5"/>
  <c r="AS78" i="5"/>
  <c r="AS75" i="5"/>
  <c r="AQ75" i="5"/>
  <c r="AS74" i="5"/>
  <c r="AQ74" i="5"/>
  <c r="AS73" i="5"/>
  <c r="AS9" i="5"/>
  <c r="AS72" i="5"/>
  <c r="AQ72" i="5"/>
  <c r="AQ264" i="5"/>
  <c r="AS243" i="5"/>
  <c r="AQ243" i="5"/>
  <c r="AQ29" i="5"/>
  <c r="AS115" i="5"/>
  <c r="AQ115" i="5"/>
  <c r="AS70" i="5"/>
  <c r="AQ70" i="5"/>
  <c r="AS241" i="5"/>
  <c r="AQ241" i="5"/>
  <c r="AQ224" i="5"/>
  <c r="AS270" i="5"/>
  <c r="AQ91" i="5"/>
  <c r="AS71" i="5"/>
  <c r="AQ71" i="5"/>
  <c r="AS68" i="5"/>
  <c r="AQ68" i="5"/>
  <c r="AS64" i="5"/>
  <c r="AQ64" i="5"/>
  <c r="AS48" i="5"/>
  <c r="AQ48" i="5"/>
  <c r="AS46" i="5"/>
  <c r="AQ46" i="5"/>
  <c r="AS122" i="5"/>
  <c r="AQ122" i="5"/>
  <c r="AS59" i="5"/>
  <c r="AQ59" i="5"/>
  <c r="AS57" i="5"/>
  <c r="AQ57" i="5"/>
  <c r="AS56" i="5"/>
  <c r="AQ56" i="5"/>
  <c r="AS255" i="5"/>
  <c r="AQ255" i="5"/>
  <c r="AS60" i="5"/>
  <c r="AQ60" i="5"/>
  <c r="AS55" i="5"/>
  <c r="AQ55" i="5"/>
  <c r="AS225" i="5"/>
  <c r="AQ177" i="5"/>
  <c r="AQ176" i="5"/>
  <c r="AS53" i="5"/>
  <c r="AQ53" i="5"/>
  <c r="AS52" i="5"/>
  <c r="AQ52" i="5"/>
  <c r="AS51" i="5"/>
  <c r="AQ51" i="5"/>
  <c r="AS50" i="5"/>
  <c r="AQ50" i="5"/>
  <c r="AS154" i="5"/>
  <c r="AQ154" i="5"/>
  <c r="AS45" i="5"/>
  <c r="AQ45" i="5"/>
  <c r="AS44" i="5"/>
  <c r="AQ44" i="5"/>
  <c r="AS43" i="5"/>
  <c r="AQ43" i="5"/>
  <c r="AS247" i="5"/>
  <c r="AQ247" i="5"/>
  <c r="AS246" i="5"/>
  <c r="AQ246" i="5"/>
  <c r="AS245" i="5"/>
  <c r="AQ245" i="5"/>
  <c r="AS242" i="5"/>
  <c r="AQ242" i="5"/>
  <c r="AS227" i="5"/>
  <c r="AQ227" i="5"/>
  <c r="AQ188" i="5"/>
  <c r="AQ156" i="5"/>
  <c r="AS121" i="5"/>
  <c r="AQ121" i="5"/>
  <c r="AS120" i="5"/>
  <c r="AQ120" i="5"/>
  <c r="AS63" i="5"/>
  <c r="AQ63" i="5"/>
  <c r="AS62" i="5"/>
  <c r="AQ62" i="5"/>
  <c r="AS49" i="5"/>
  <c r="AQ49" i="5"/>
  <c r="AS47" i="5"/>
  <c r="AQ47" i="5"/>
  <c r="AS42" i="5"/>
  <c r="AQ42" i="5"/>
  <c r="AS41" i="5"/>
  <c r="AQ41" i="5"/>
  <c r="AS40" i="5"/>
  <c r="AQ40" i="5"/>
  <c r="AS39" i="5"/>
  <c r="AQ39" i="5"/>
  <c r="AS38" i="5"/>
  <c r="AQ38" i="5"/>
  <c r="AQ391" i="5"/>
  <c r="AP391" i="5"/>
  <c r="AQ411" i="5"/>
  <c r="AP411" i="5"/>
  <c r="AQ406" i="5"/>
  <c r="AP406" i="5"/>
  <c r="AQ405" i="5"/>
  <c r="AP405" i="5"/>
  <c r="AQ404" i="5"/>
  <c r="AP404" i="5"/>
  <c r="AQ401" i="5"/>
  <c r="AP401" i="5"/>
  <c r="AQ400" i="5"/>
  <c r="AP400" i="5"/>
  <c r="AQ398" i="5"/>
  <c r="AP398" i="5"/>
  <c r="AQ397" i="5"/>
  <c r="AP397" i="5"/>
  <c r="AQ396" i="5"/>
  <c r="AP396" i="5"/>
  <c r="AQ394" i="5"/>
  <c r="AP394" i="5"/>
  <c r="AQ393" i="5"/>
  <c r="AP393" i="5"/>
  <c r="AQ390" i="5"/>
  <c r="AP390" i="5"/>
  <c r="AQ395" i="5"/>
  <c r="AP395" i="5"/>
  <c r="AQ389" i="5"/>
  <c r="AP389" i="5"/>
  <c r="AQ410" i="5"/>
  <c r="AP410" i="5"/>
  <c r="AQ409" i="5"/>
  <c r="AP409" i="5"/>
  <c r="AQ408" i="5"/>
  <c r="AP408" i="5"/>
  <c r="AQ407" i="5"/>
  <c r="AP407" i="5"/>
  <c r="AQ399" i="5"/>
  <c r="AP399" i="5"/>
  <c r="AQ392" i="5"/>
  <c r="AP392" i="5"/>
  <c r="AQ374" i="5"/>
  <c r="AQ331" i="5"/>
  <c r="AS149" i="5"/>
  <c r="AQ149" i="5"/>
  <c r="AS129" i="5"/>
  <c r="AS27" i="5"/>
  <c r="AS15" i="5"/>
  <c r="AS250" i="5"/>
  <c r="AQ250" i="5"/>
  <c r="AS291" i="5"/>
  <c r="AQ291" i="5"/>
  <c r="AS293" i="5"/>
  <c r="AQ293" i="5"/>
  <c r="AS21" i="5"/>
  <c r="AQ21" i="5"/>
  <c r="AS14" i="5"/>
  <c r="AS117" i="5"/>
  <c r="AQ117" i="5"/>
  <c r="AS139" i="5"/>
  <c r="AS77" i="5"/>
  <c r="AS195" i="5"/>
  <c r="AQ195" i="5"/>
  <c r="AS194" i="5"/>
  <c r="AQ194" i="5"/>
  <c r="AS189" i="5"/>
  <c r="AQ189" i="5"/>
  <c r="AS114" i="5"/>
  <c r="AQ114" i="5"/>
  <c r="AS137" i="5"/>
  <c r="AQ137" i="5"/>
  <c r="AQ4" i="5"/>
  <c r="AQ153" i="5"/>
  <c r="AQ151" i="5"/>
  <c r="AQ278" i="5"/>
  <c r="AS150" i="5"/>
  <c r="AQ136" i="5"/>
  <c r="AS124" i="5"/>
  <c r="AQ124" i="5"/>
  <c r="AS97" i="5"/>
  <c r="AQ97" i="5"/>
  <c r="AS67" i="5"/>
  <c r="AQ67" i="5"/>
  <c r="AS66" i="5"/>
  <c r="AQ66" i="5"/>
  <c r="AS65" i="5"/>
  <c r="AQ65" i="5"/>
  <c r="AS11" i="5"/>
  <c r="AQ11" i="5"/>
  <c r="AS10" i="5"/>
  <c r="AQ10" i="5"/>
  <c r="AS79" i="5"/>
  <c r="AQ54" i="5"/>
  <c r="AS130" i="5"/>
  <c r="AS127" i="5"/>
  <c r="AQ127" i="5"/>
  <c r="AS269" i="5"/>
  <c r="AS275" i="5"/>
  <c r="AQ275" i="5"/>
  <c r="AQ274" i="5"/>
  <c r="AS244" i="5"/>
  <c r="AQ244" i="5"/>
  <c r="AS30" i="5"/>
  <c r="AQ30" i="5"/>
  <c r="AS191" i="5"/>
  <c r="AQ191" i="5"/>
  <c r="AS190" i="5"/>
  <c r="AQ190" i="5"/>
  <c r="AS162" i="5"/>
  <c r="AQ162" i="5"/>
  <c r="AS277" i="5"/>
  <c r="AQ277" i="5"/>
  <c r="AS98" i="5"/>
  <c r="AQ98" i="5"/>
  <c r="AS96" i="5"/>
  <c r="AQ96" i="5"/>
  <c r="AS249" i="5"/>
  <c r="AQ249" i="5"/>
  <c r="AS240" i="5"/>
  <c r="AS223" i="5"/>
  <c r="AQ223" i="5"/>
  <c r="AS170" i="5"/>
  <c r="AQ170" i="5"/>
  <c r="AS109" i="5"/>
  <c r="AQ109" i="5"/>
  <c r="AQ61" i="5"/>
  <c r="AQ254" i="5"/>
  <c r="AS118" i="5"/>
  <c r="AQ118" i="5"/>
  <c r="AS158" i="5"/>
  <c r="AS132" i="5"/>
  <c r="AS88" i="5"/>
  <c r="AS140" i="5"/>
  <c r="AS112" i="5"/>
  <c r="AQ112" i="5"/>
  <c r="AT32" i="5"/>
  <c r="AV32" i="5"/>
  <c r="AT61" i="5"/>
  <c r="AV61" i="5"/>
  <c r="AT33" i="5"/>
  <c r="AV33" i="5"/>
  <c r="AT233" i="5"/>
  <c r="AV233" i="5"/>
  <c r="AT176" i="5"/>
  <c r="AV176" i="5"/>
  <c r="AT129" i="5"/>
  <c r="AV129" i="5"/>
  <c r="AT149" i="5"/>
  <c r="AV149" i="5"/>
  <c r="AT188" i="5"/>
  <c r="AV188" i="5"/>
  <c r="AT175" i="5"/>
  <c r="AV175" i="5"/>
  <c r="AT31" i="5"/>
  <c r="AV31" i="5"/>
  <c r="AT34" i="5"/>
  <c r="AV34" i="5"/>
  <c r="AL29" i="2"/>
  <c r="BE67" i="2"/>
  <c r="BE68" i="2"/>
  <c r="BE69" i="2"/>
  <c r="BE79" i="2"/>
  <c r="BF67" i="2"/>
  <c r="BF68" i="2"/>
  <c r="BF69" i="2"/>
  <c r="BF79" i="2"/>
  <c r="AW34" i="5"/>
  <c r="AW31" i="5"/>
  <c r="AW175" i="5"/>
  <c r="AW188" i="5"/>
  <c r="AW149" i="5"/>
  <c r="AW129" i="5"/>
  <c r="AW176" i="5"/>
  <c r="AW233" i="5"/>
  <c r="AW33" i="5"/>
  <c r="AW61" i="5"/>
  <c r="AW32" i="5"/>
  <c r="AX32" i="5"/>
  <c r="AX61" i="5"/>
  <c r="AX33" i="5"/>
  <c r="AX233" i="5"/>
  <c r="AX176" i="5"/>
  <c r="AX129" i="5"/>
  <c r="AX149" i="5"/>
  <c r="AX188" i="5"/>
  <c r="AX175" i="5"/>
  <c r="AX31" i="5"/>
  <c r="AX34" i="5"/>
  <c r="AZ34" i="5"/>
  <c r="AZ31" i="5"/>
  <c r="AZ175" i="5"/>
  <c r="AZ188" i="5"/>
  <c r="AZ149" i="5"/>
  <c r="AZ129" i="5"/>
  <c r="AZ176" i="5"/>
  <c r="AZ233" i="5"/>
  <c r="AZ33" i="5"/>
  <c r="AZ61" i="5"/>
  <c r="AZ32" i="5"/>
  <c r="J2" i="11"/>
  <c r="N2" i="11"/>
  <c r="J6" i="11"/>
  <c r="N6" i="11"/>
  <c r="J5" i="11"/>
  <c r="N5" i="11"/>
  <c r="J4" i="11"/>
  <c r="N4" i="11"/>
  <c r="J3" i="11"/>
  <c r="N3" i="11"/>
  <c r="J16" i="11"/>
  <c r="N16" i="11"/>
  <c r="J15" i="11"/>
  <c r="N15" i="11"/>
  <c r="W2" i="11"/>
  <c r="W25" i="11"/>
  <c r="W9" i="11"/>
  <c r="W8" i="11"/>
  <c r="W7" i="11"/>
  <c r="W16" i="11"/>
  <c r="W6" i="11"/>
  <c r="W15" i="11"/>
  <c r="W5" i="11"/>
  <c r="W4" i="11"/>
  <c r="W3" i="11"/>
  <c r="W13" i="11"/>
  <c r="J25" i="11"/>
  <c r="J9" i="11"/>
  <c r="J8" i="11"/>
  <c r="J7" i="11"/>
  <c r="J19" i="11"/>
  <c r="J13" i="11"/>
  <c r="V7" i="11"/>
  <c r="V16" i="11"/>
  <c r="V6" i="11"/>
  <c r="V19" i="11"/>
  <c r="V15" i="11"/>
  <c r="V5" i="11"/>
  <c r="V4" i="11"/>
  <c r="V3" i="11"/>
  <c r="V25" i="11"/>
  <c r="V9" i="11"/>
  <c r="V8" i="11"/>
  <c r="V2" i="11"/>
  <c r="V13" i="11"/>
  <c r="AM406" i="8"/>
  <c r="AY406" i="8"/>
  <c r="O406" i="8"/>
  <c r="AN406" i="8"/>
  <c r="AZ406" i="8"/>
  <c r="P406" i="8"/>
  <c r="AO406" i="8"/>
  <c r="BA406" i="8"/>
  <c r="Q406" i="8"/>
  <c r="B406" i="8"/>
  <c r="AO405" i="8"/>
  <c r="BA405" i="8"/>
  <c r="Q405" i="8"/>
  <c r="B405" i="8"/>
  <c r="AM404" i="8"/>
  <c r="AY404" i="8"/>
  <c r="O404" i="8"/>
  <c r="AN404" i="8"/>
  <c r="AZ404" i="8"/>
  <c r="P404" i="8"/>
  <c r="AO404" i="8"/>
  <c r="BA404" i="8"/>
  <c r="Q404" i="8"/>
  <c r="B404" i="8"/>
  <c r="AO37" i="8"/>
  <c r="BA37" i="8"/>
  <c r="Q37" i="8"/>
  <c r="B37" i="8"/>
  <c r="AM393" i="8"/>
  <c r="AY393" i="8"/>
  <c r="O393" i="8"/>
  <c r="AN393" i="8"/>
  <c r="AZ393" i="8"/>
  <c r="P393" i="8"/>
  <c r="AO393" i="8"/>
  <c r="BA393" i="8"/>
  <c r="Q393" i="8"/>
  <c r="B393" i="8"/>
  <c r="AM392" i="8"/>
  <c r="AY392" i="8"/>
  <c r="O392" i="8"/>
  <c r="AN392" i="8"/>
  <c r="AZ392" i="8"/>
  <c r="P392" i="8"/>
  <c r="AO392" i="8"/>
  <c r="BA392" i="8"/>
  <c r="Q392" i="8"/>
  <c r="B392" i="8"/>
  <c r="AM391" i="8"/>
  <c r="AY391" i="8"/>
  <c r="O391" i="8"/>
  <c r="AN391" i="8"/>
  <c r="AZ391" i="8"/>
  <c r="P391" i="8"/>
  <c r="AO391" i="8"/>
  <c r="BA391" i="8"/>
  <c r="Q391" i="8"/>
  <c r="B391" i="8"/>
  <c r="AM390" i="8"/>
  <c r="AY390" i="8"/>
  <c r="O390" i="8"/>
  <c r="AN390" i="8"/>
  <c r="AZ390" i="8"/>
  <c r="P390" i="8"/>
  <c r="AO390" i="8"/>
  <c r="BA390" i="8"/>
  <c r="Q390" i="8"/>
  <c r="B390" i="8"/>
  <c r="AM389" i="8"/>
  <c r="AY389" i="8"/>
  <c r="O389" i="8"/>
  <c r="AN389" i="8"/>
  <c r="AZ389" i="8"/>
  <c r="P389" i="8"/>
  <c r="AO389" i="8"/>
  <c r="BA389" i="8"/>
  <c r="Q389" i="8"/>
  <c r="B389" i="8"/>
  <c r="AM388" i="8"/>
  <c r="AY388" i="8"/>
  <c r="O388" i="8"/>
  <c r="AN388" i="8"/>
  <c r="AZ388" i="8"/>
  <c r="P388" i="8"/>
  <c r="AO388" i="8"/>
  <c r="BA388" i="8"/>
  <c r="Q388" i="8"/>
  <c r="B388" i="8"/>
  <c r="AM387" i="8"/>
  <c r="AY387" i="8"/>
  <c r="O387" i="8"/>
  <c r="AN387" i="8"/>
  <c r="AZ387" i="8"/>
  <c r="P387" i="8"/>
  <c r="AO387" i="8"/>
  <c r="BA387" i="8"/>
  <c r="Q387" i="8"/>
  <c r="B387" i="8"/>
  <c r="AM386" i="8"/>
  <c r="AY386" i="8"/>
  <c r="O386" i="8"/>
  <c r="AN386" i="8"/>
  <c r="AZ386" i="8"/>
  <c r="P386" i="8"/>
  <c r="AO386" i="8"/>
  <c r="BA386" i="8"/>
  <c r="Q386" i="8"/>
  <c r="B386" i="8"/>
  <c r="AM36" i="8"/>
  <c r="AY36" i="8"/>
  <c r="O36" i="8"/>
  <c r="AN36" i="8"/>
  <c r="AZ36" i="8"/>
  <c r="P36" i="8"/>
  <c r="AO36" i="8"/>
  <c r="BA36" i="8"/>
  <c r="Q36" i="8"/>
  <c r="B36" i="8"/>
  <c r="AM385" i="8"/>
  <c r="AY385" i="8"/>
  <c r="O385" i="8"/>
  <c r="AN385" i="8"/>
  <c r="AZ385" i="8"/>
  <c r="P385" i="8"/>
  <c r="AO385" i="8"/>
  <c r="BA385" i="8"/>
  <c r="Q385" i="8"/>
  <c r="B385" i="8"/>
  <c r="AM384" i="8"/>
  <c r="AY384" i="8"/>
  <c r="O384" i="8"/>
  <c r="AN384" i="8"/>
  <c r="AZ384" i="8"/>
  <c r="P384" i="8"/>
  <c r="AO384" i="8"/>
  <c r="BA384" i="8"/>
  <c r="Q384" i="8"/>
  <c r="B384" i="8"/>
  <c r="AM383" i="8"/>
  <c r="AY383" i="8"/>
  <c r="O383" i="8"/>
  <c r="AN383" i="8"/>
  <c r="AZ383" i="8"/>
  <c r="P383" i="8"/>
  <c r="AO383" i="8"/>
  <c r="BA383" i="8"/>
  <c r="Q383" i="8"/>
  <c r="B383" i="8"/>
  <c r="AM382" i="8"/>
  <c r="AY382" i="8"/>
  <c r="O382" i="8"/>
  <c r="AN382" i="8"/>
  <c r="AZ382" i="8"/>
  <c r="P382" i="8"/>
  <c r="AO382" i="8"/>
  <c r="BA382" i="8"/>
  <c r="Q382" i="8"/>
  <c r="B382" i="8"/>
  <c r="AM381" i="8"/>
  <c r="AY381" i="8"/>
  <c r="O381" i="8"/>
  <c r="AN381" i="8"/>
  <c r="AZ381" i="8"/>
  <c r="P381" i="8"/>
  <c r="AO381" i="8"/>
  <c r="BA381" i="8"/>
  <c r="Q381" i="8"/>
  <c r="B381" i="8"/>
  <c r="AM380" i="8"/>
  <c r="AY380" i="8"/>
  <c r="O380" i="8"/>
  <c r="AN380" i="8"/>
  <c r="AZ380" i="8"/>
  <c r="P380" i="8"/>
  <c r="AO380" i="8"/>
  <c r="BA380" i="8"/>
  <c r="Q380" i="8"/>
  <c r="B380" i="8"/>
  <c r="AM379" i="8"/>
  <c r="AY379" i="8"/>
  <c r="O379" i="8"/>
  <c r="AN379" i="8"/>
  <c r="AZ379" i="8"/>
  <c r="P379" i="8"/>
  <c r="AO379" i="8"/>
  <c r="BA379" i="8"/>
  <c r="Q379" i="8"/>
  <c r="B379" i="8"/>
  <c r="AM378" i="8"/>
  <c r="AY378" i="8"/>
  <c r="O378" i="8"/>
  <c r="AN378" i="8"/>
  <c r="AZ378" i="8"/>
  <c r="P378" i="8"/>
  <c r="AO378" i="8"/>
  <c r="BA378" i="8"/>
  <c r="Q378" i="8"/>
  <c r="B378" i="8"/>
  <c r="AM377" i="8"/>
  <c r="AY377" i="8"/>
  <c r="O377" i="8"/>
  <c r="AN377" i="8"/>
  <c r="AZ377" i="8"/>
  <c r="P377" i="8"/>
  <c r="AO377" i="8"/>
  <c r="BA377" i="8"/>
  <c r="Q377" i="8"/>
  <c r="B377" i="8"/>
  <c r="AM376" i="8"/>
  <c r="AY376" i="8"/>
  <c r="O376" i="8"/>
  <c r="AN376" i="8"/>
  <c r="AZ376" i="8"/>
  <c r="P376" i="8"/>
  <c r="AO376" i="8"/>
  <c r="BA376" i="8"/>
  <c r="Q376" i="8"/>
  <c r="B376" i="8"/>
  <c r="AM375" i="8"/>
  <c r="AY375" i="8"/>
  <c r="O375" i="8"/>
  <c r="AN375" i="8"/>
  <c r="AZ375" i="8"/>
  <c r="P375" i="8"/>
  <c r="AO375" i="8"/>
  <c r="BA375" i="8"/>
  <c r="Q375" i="8"/>
  <c r="B375" i="8"/>
  <c r="AM374" i="8"/>
  <c r="AY374" i="8"/>
  <c r="O374" i="8"/>
  <c r="AN374" i="8"/>
  <c r="AZ374" i="8"/>
  <c r="P374" i="8"/>
  <c r="AO374" i="8"/>
  <c r="BA374" i="8"/>
  <c r="Q374" i="8"/>
  <c r="B374" i="8"/>
  <c r="AM373" i="8"/>
  <c r="AY373" i="8"/>
  <c r="O373" i="8"/>
  <c r="AN373" i="8"/>
  <c r="AZ373" i="8"/>
  <c r="P373" i="8"/>
  <c r="B373" i="8"/>
  <c r="AM372" i="8"/>
  <c r="AY372" i="8"/>
  <c r="O372" i="8"/>
  <c r="AN372" i="8"/>
  <c r="AZ372" i="8"/>
  <c r="P372" i="8"/>
  <c r="AO372" i="8"/>
  <c r="BA372" i="8"/>
  <c r="Q372" i="8"/>
  <c r="B372" i="8"/>
  <c r="AM371" i="8"/>
  <c r="AY371" i="8"/>
  <c r="O371" i="8"/>
  <c r="AN371" i="8"/>
  <c r="AZ371" i="8"/>
  <c r="P371" i="8"/>
  <c r="AO371" i="8"/>
  <c r="BA371" i="8"/>
  <c r="Q371" i="8"/>
  <c r="B371" i="8"/>
  <c r="AM35" i="8"/>
  <c r="AY35" i="8"/>
  <c r="O35" i="8"/>
  <c r="AN35" i="8"/>
  <c r="AZ35" i="8"/>
  <c r="P35" i="8"/>
  <c r="AO35" i="8"/>
  <c r="BA35" i="8"/>
  <c r="Q35" i="8"/>
  <c r="B35" i="8"/>
  <c r="AM370" i="8"/>
  <c r="AY370" i="8"/>
  <c r="O370" i="8"/>
  <c r="AN370" i="8"/>
  <c r="AZ370" i="8"/>
  <c r="P370" i="8"/>
  <c r="AO370" i="8"/>
  <c r="BA370" i="8"/>
  <c r="Q370" i="8"/>
  <c r="B370" i="8"/>
  <c r="AM369" i="8"/>
  <c r="AY369" i="8"/>
  <c r="O369" i="8"/>
  <c r="AN369" i="8"/>
  <c r="AZ369" i="8"/>
  <c r="P369" i="8"/>
  <c r="AO369" i="8"/>
  <c r="BA369" i="8"/>
  <c r="Q369" i="8"/>
  <c r="B369" i="8"/>
  <c r="AM368" i="8"/>
  <c r="AY368" i="8"/>
  <c r="O368" i="8"/>
  <c r="AN368" i="8"/>
  <c r="AZ368" i="8"/>
  <c r="P368" i="8"/>
  <c r="AO368" i="8"/>
  <c r="BA368" i="8"/>
  <c r="Q368" i="8"/>
  <c r="B368" i="8"/>
  <c r="AM34" i="8"/>
  <c r="AY34" i="8"/>
  <c r="O34" i="8"/>
  <c r="AN34" i="8"/>
  <c r="AZ34" i="8"/>
  <c r="P34" i="8"/>
  <c r="AO34" i="8"/>
  <c r="BA34" i="8"/>
  <c r="Q34" i="8"/>
  <c r="B34" i="8"/>
  <c r="AM367" i="8"/>
  <c r="AY367" i="8"/>
  <c r="O367" i="8"/>
  <c r="AN367" i="8"/>
  <c r="AZ367" i="8"/>
  <c r="P367" i="8"/>
  <c r="AO367" i="8"/>
  <c r="BA367" i="8"/>
  <c r="Q367" i="8"/>
  <c r="B367" i="8"/>
  <c r="AM366" i="8"/>
  <c r="AY366" i="8"/>
  <c r="O366" i="8"/>
  <c r="AN366" i="8"/>
  <c r="AZ366" i="8"/>
  <c r="P366" i="8"/>
  <c r="AO366" i="8"/>
  <c r="BA366" i="8"/>
  <c r="Q366" i="8"/>
  <c r="B366" i="8"/>
  <c r="AM365" i="8"/>
  <c r="AY365" i="8"/>
  <c r="O365" i="8"/>
  <c r="AN365" i="8"/>
  <c r="AZ365" i="8"/>
  <c r="P365" i="8"/>
  <c r="AO365" i="8"/>
  <c r="BA365" i="8"/>
  <c r="Q365" i="8"/>
  <c r="B365" i="8"/>
  <c r="AM364" i="8"/>
  <c r="AY364" i="8"/>
  <c r="O364" i="8"/>
  <c r="AN364" i="8"/>
  <c r="AZ364" i="8"/>
  <c r="P364" i="8"/>
  <c r="AO364" i="8"/>
  <c r="BA364" i="8"/>
  <c r="Q364" i="8"/>
  <c r="B364" i="8"/>
  <c r="AM363" i="8"/>
  <c r="AY363" i="8"/>
  <c r="O363" i="8"/>
  <c r="AN363" i="8"/>
  <c r="AZ363" i="8"/>
  <c r="P363" i="8"/>
  <c r="AO363" i="8"/>
  <c r="BA363" i="8"/>
  <c r="Q363" i="8"/>
  <c r="B363" i="8"/>
  <c r="AM361" i="8"/>
  <c r="AY361" i="8"/>
  <c r="O361" i="8"/>
  <c r="AN361" i="8"/>
  <c r="AZ361" i="8"/>
  <c r="P361" i="8"/>
  <c r="AO361" i="8"/>
  <c r="BA361" i="8"/>
  <c r="Q361" i="8"/>
  <c r="B361" i="8"/>
  <c r="AM33" i="8"/>
  <c r="AY33" i="8"/>
  <c r="O33" i="8"/>
  <c r="AN33" i="8"/>
  <c r="AZ33" i="8"/>
  <c r="P33" i="8"/>
  <c r="AO33" i="8"/>
  <c r="BA33" i="8"/>
  <c r="Q33" i="8"/>
  <c r="B33" i="8"/>
  <c r="AM360" i="8"/>
  <c r="AY360" i="8"/>
  <c r="O360" i="8"/>
  <c r="AN360" i="8"/>
  <c r="AZ360" i="8"/>
  <c r="P360" i="8"/>
  <c r="AO360" i="8"/>
  <c r="BA360" i="8"/>
  <c r="Q360" i="8"/>
  <c r="B360" i="8"/>
  <c r="AM359" i="8"/>
  <c r="AY359" i="8"/>
  <c r="O359" i="8"/>
  <c r="AN359" i="8"/>
  <c r="AZ359" i="8"/>
  <c r="P359" i="8"/>
  <c r="AO359" i="8"/>
  <c r="BA359" i="8"/>
  <c r="Q359" i="8"/>
  <c r="B359" i="8"/>
  <c r="AM358" i="8"/>
  <c r="AY358" i="8"/>
  <c r="O358" i="8"/>
  <c r="AN358" i="8"/>
  <c r="AZ358" i="8"/>
  <c r="P358" i="8"/>
  <c r="AO358" i="8"/>
  <c r="BA358" i="8"/>
  <c r="Q358" i="8"/>
  <c r="B358" i="8"/>
  <c r="AM357" i="8"/>
  <c r="AY357" i="8"/>
  <c r="O357" i="8"/>
  <c r="AN357" i="8"/>
  <c r="AZ357" i="8"/>
  <c r="P357" i="8"/>
  <c r="AO357" i="8"/>
  <c r="BA357" i="8"/>
  <c r="Q357" i="8"/>
  <c r="B357" i="8"/>
  <c r="AM356" i="8"/>
  <c r="AY356" i="8"/>
  <c r="O356" i="8"/>
  <c r="AN356" i="8"/>
  <c r="AZ356" i="8"/>
  <c r="P356" i="8"/>
  <c r="AO356" i="8"/>
  <c r="BA356" i="8"/>
  <c r="Q356" i="8"/>
  <c r="B356" i="8"/>
  <c r="AM355" i="8"/>
  <c r="AY355" i="8"/>
  <c r="O355" i="8"/>
  <c r="AN355" i="8"/>
  <c r="AZ355" i="8"/>
  <c r="P355" i="8"/>
  <c r="AO355" i="8"/>
  <c r="BA355" i="8"/>
  <c r="Q355" i="8"/>
  <c r="B355" i="8"/>
  <c r="AM354" i="8"/>
  <c r="AY354" i="8"/>
  <c r="O354" i="8"/>
  <c r="AN354" i="8"/>
  <c r="AZ354" i="8"/>
  <c r="P354" i="8"/>
  <c r="AO354" i="8"/>
  <c r="BA354" i="8"/>
  <c r="Q354" i="8"/>
  <c r="B354" i="8"/>
  <c r="AM353" i="8"/>
  <c r="AY353" i="8"/>
  <c r="O353" i="8"/>
  <c r="AN353" i="8"/>
  <c r="AZ353" i="8"/>
  <c r="P353" i="8"/>
  <c r="AO353" i="8"/>
  <c r="BA353" i="8"/>
  <c r="Q353" i="8"/>
  <c r="B353" i="8"/>
  <c r="AM352" i="8"/>
  <c r="AY352" i="8"/>
  <c r="O352" i="8"/>
  <c r="AN352" i="8"/>
  <c r="AZ352" i="8"/>
  <c r="P352" i="8"/>
  <c r="AO352" i="8"/>
  <c r="BA352" i="8"/>
  <c r="Q352" i="8"/>
  <c r="B352" i="8"/>
  <c r="AM351" i="8"/>
  <c r="AY351" i="8"/>
  <c r="O351" i="8"/>
  <c r="AN351" i="8"/>
  <c r="AZ351" i="8"/>
  <c r="P351" i="8"/>
  <c r="AO351" i="8"/>
  <c r="BA351" i="8"/>
  <c r="Q351" i="8"/>
  <c r="B351" i="8"/>
  <c r="AM32" i="8"/>
  <c r="AY32" i="8"/>
  <c r="O32" i="8"/>
  <c r="AN32" i="8"/>
  <c r="AZ32" i="8"/>
  <c r="P32" i="8"/>
  <c r="AO32" i="8"/>
  <c r="BA32" i="8"/>
  <c r="Q32" i="8"/>
  <c r="B32" i="8"/>
  <c r="AM350" i="8"/>
  <c r="AY350" i="8"/>
  <c r="O350" i="8"/>
  <c r="AN350" i="8"/>
  <c r="AZ350" i="8"/>
  <c r="P350" i="8"/>
  <c r="AO350" i="8"/>
  <c r="BA350" i="8"/>
  <c r="Q350" i="8"/>
  <c r="B350" i="8"/>
  <c r="AM349" i="8"/>
  <c r="AY349" i="8"/>
  <c r="O349" i="8"/>
  <c r="AN349" i="8"/>
  <c r="AZ349" i="8"/>
  <c r="P349" i="8"/>
  <c r="AO349" i="8"/>
  <c r="BA349" i="8"/>
  <c r="Q349" i="8"/>
  <c r="B349" i="8"/>
  <c r="AM348" i="8"/>
  <c r="AY348" i="8"/>
  <c r="O348" i="8"/>
  <c r="AN348" i="8"/>
  <c r="AZ348" i="8"/>
  <c r="P348" i="8"/>
  <c r="AO348" i="8"/>
  <c r="BA348" i="8"/>
  <c r="Q348" i="8"/>
  <c r="B348" i="8"/>
  <c r="AM347" i="8"/>
  <c r="AY347" i="8"/>
  <c r="O347" i="8"/>
  <c r="AN347" i="8"/>
  <c r="AZ347" i="8"/>
  <c r="P347" i="8"/>
  <c r="AO347" i="8"/>
  <c r="BA347" i="8"/>
  <c r="Q347" i="8"/>
  <c r="B347" i="8"/>
  <c r="AM346" i="8"/>
  <c r="AY346" i="8"/>
  <c r="O346" i="8"/>
  <c r="AN346" i="8"/>
  <c r="AZ346" i="8"/>
  <c r="P346" i="8"/>
  <c r="AO346" i="8"/>
  <c r="BA346" i="8"/>
  <c r="Q346" i="8"/>
  <c r="B346" i="8"/>
  <c r="AM345" i="8"/>
  <c r="AY345" i="8"/>
  <c r="O345" i="8"/>
  <c r="AN345" i="8"/>
  <c r="AZ345" i="8"/>
  <c r="P345" i="8"/>
  <c r="AO345" i="8"/>
  <c r="BA345" i="8"/>
  <c r="Q345" i="8"/>
  <c r="B345" i="8"/>
  <c r="AM344" i="8"/>
  <c r="AY344" i="8"/>
  <c r="O344" i="8"/>
  <c r="AN344" i="8"/>
  <c r="AZ344" i="8"/>
  <c r="P344" i="8"/>
  <c r="AO344" i="8"/>
  <c r="BA344" i="8"/>
  <c r="Q344" i="8"/>
  <c r="B344" i="8"/>
  <c r="AM343" i="8"/>
  <c r="AY343" i="8"/>
  <c r="O343" i="8"/>
  <c r="AN343" i="8"/>
  <c r="AZ343" i="8"/>
  <c r="P343" i="8"/>
  <c r="AO343" i="8"/>
  <c r="BA343" i="8"/>
  <c r="Q343" i="8"/>
  <c r="B343" i="8"/>
  <c r="AM342" i="8"/>
  <c r="AY342" i="8"/>
  <c r="O342" i="8"/>
  <c r="AN342" i="8"/>
  <c r="AZ342" i="8"/>
  <c r="P342" i="8"/>
  <c r="AO342" i="8"/>
  <c r="BA342" i="8"/>
  <c r="Q342" i="8"/>
  <c r="B342" i="8"/>
  <c r="AM341" i="8"/>
  <c r="AY341" i="8"/>
  <c r="O341" i="8"/>
  <c r="AN341" i="8"/>
  <c r="AZ341" i="8"/>
  <c r="P341" i="8"/>
  <c r="AO341" i="8"/>
  <c r="BA341" i="8"/>
  <c r="Q341" i="8"/>
  <c r="B341" i="8"/>
  <c r="AM340" i="8"/>
  <c r="AY340" i="8"/>
  <c r="O340" i="8"/>
  <c r="AN340" i="8"/>
  <c r="AZ340" i="8"/>
  <c r="P340" i="8"/>
  <c r="AO340" i="8"/>
  <c r="BA340" i="8"/>
  <c r="Q340" i="8"/>
  <c r="B340" i="8"/>
  <c r="AM339" i="8"/>
  <c r="AY339" i="8"/>
  <c r="O339" i="8"/>
  <c r="AN339" i="8"/>
  <c r="AZ339" i="8"/>
  <c r="P339" i="8"/>
  <c r="AO339" i="8"/>
  <c r="BA339" i="8"/>
  <c r="Q339" i="8"/>
  <c r="B339" i="8"/>
  <c r="AO338" i="8"/>
  <c r="BA338" i="8"/>
  <c r="Q338" i="8"/>
  <c r="B338" i="8"/>
  <c r="AM337" i="8"/>
  <c r="AY337" i="8"/>
  <c r="O337" i="8"/>
  <c r="AN337" i="8"/>
  <c r="AZ337" i="8"/>
  <c r="P337" i="8"/>
  <c r="AO337" i="8"/>
  <c r="BA337" i="8"/>
  <c r="Q337" i="8"/>
  <c r="B337" i="8"/>
  <c r="AM336" i="8"/>
  <c r="AY336" i="8"/>
  <c r="O336" i="8"/>
  <c r="AN336" i="8"/>
  <c r="AZ336" i="8"/>
  <c r="P336" i="8"/>
  <c r="AO336" i="8"/>
  <c r="BA336" i="8"/>
  <c r="Q336" i="8"/>
  <c r="B336" i="8"/>
  <c r="AM335" i="8"/>
  <c r="AY335" i="8"/>
  <c r="O335" i="8"/>
  <c r="AN335" i="8"/>
  <c r="AZ335" i="8"/>
  <c r="P335" i="8"/>
  <c r="AO335" i="8"/>
  <c r="BA335" i="8"/>
  <c r="Q335" i="8"/>
  <c r="B335" i="8"/>
  <c r="AM334" i="8"/>
  <c r="AY334" i="8"/>
  <c r="O334" i="8"/>
  <c r="AN334" i="8"/>
  <c r="AZ334" i="8"/>
  <c r="P334" i="8"/>
  <c r="AO334" i="8"/>
  <c r="BA334" i="8"/>
  <c r="Q334" i="8"/>
  <c r="B334" i="8"/>
  <c r="AM333" i="8"/>
  <c r="AY333" i="8"/>
  <c r="O333" i="8"/>
  <c r="AN333" i="8"/>
  <c r="AZ333" i="8"/>
  <c r="P333" i="8"/>
  <c r="AO333" i="8"/>
  <c r="BA333" i="8"/>
  <c r="Q333" i="8"/>
  <c r="B333" i="8"/>
  <c r="AM332" i="8"/>
  <c r="AY332" i="8"/>
  <c r="O332" i="8"/>
  <c r="AN332" i="8"/>
  <c r="AZ332" i="8"/>
  <c r="P332" i="8"/>
  <c r="AO332" i="8"/>
  <c r="BA332" i="8"/>
  <c r="Q332" i="8"/>
  <c r="B332" i="8"/>
  <c r="AM31" i="8"/>
  <c r="AY31" i="8"/>
  <c r="O31" i="8"/>
  <c r="AN31" i="8"/>
  <c r="AZ31" i="8"/>
  <c r="P31" i="8"/>
  <c r="AO31" i="8"/>
  <c r="BA31" i="8"/>
  <c r="Q31" i="8"/>
  <c r="B31" i="8"/>
  <c r="AM331" i="8"/>
  <c r="AY331" i="8"/>
  <c r="O331" i="8"/>
  <c r="AN331" i="8"/>
  <c r="AZ331" i="8"/>
  <c r="P331" i="8"/>
  <c r="AO331" i="8"/>
  <c r="BA331" i="8"/>
  <c r="Q331" i="8"/>
  <c r="B331" i="8"/>
  <c r="AM330" i="8"/>
  <c r="AY330" i="8"/>
  <c r="O330" i="8"/>
  <c r="AN330" i="8"/>
  <c r="AZ330" i="8"/>
  <c r="P330" i="8"/>
  <c r="AO330" i="8"/>
  <c r="BA330" i="8"/>
  <c r="Q330" i="8"/>
  <c r="B330" i="8"/>
  <c r="AM329" i="8"/>
  <c r="AY329" i="8"/>
  <c r="O329" i="8"/>
  <c r="AN329" i="8"/>
  <c r="AZ329" i="8"/>
  <c r="P329" i="8"/>
  <c r="AO329" i="8"/>
  <c r="BA329" i="8"/>
  <c r="Q329" i="8"/>
  <c r="B329" i="8"/>
  <c r="AM328" i="8"/>
  <c r="AY328" i="8"/>
  <c r="O328" i="8"/>
  <c r="AN328" i="8"/>
  <c r="AZ328" i="8"/>
  <c r="P328" i="8"/>
  <c r="AO328" i="8"/>
  <c r="BA328" i="8"/>
  <c r="Q328" i="8"/>
  <c r="B328" i="8"/>
  <c r="AM327" i="8"/>
  <c r="AY327" i="8"/>
  <c r="O327" i="8"/>
  <c r="AN327" i="8"/>
  <c r="AZ327" i="8"/>
  <c r="P327" i="8"/>
  <c r="AO327" i="8"/>
  <c r="BA327" i="8"/>
  <c r="Q327" i="8"/>
  <c r="B327" i="8"/>
  <c r="AM30" i="8"/>
  <c r="AY30" i="8"/>
  <c r="O30" i="8"/>
  <c r="AN30" i="8"/>
  <c r="AZ30" i="8"/>
  <c r="P30" i="8"/>
  <c r="AO30" i="8"/>
  <c r="BA30" i="8"/>
  <c r="Q30" i="8"/>
  <c r="B30" i="8"/>
  <c r="AM326" i="8"/>
  <c r="AY326" i="8"/>
  <c r="O326" i="8"/>
  <c r="AN326" i="8"/>
  <c r="AZ326" i="8"/>
  <c r="P326" i="8"/>
  <c r="AO326" i="8"/>
  <c r="BA326" i="8"/>
  <c r="Q326" i="8"/>
  <c r="B326" i="8"/>
  <c r="AM325" i="8"/>
  <c r="AY325" i="8"/>
  <c r="O325" i="8"/>
  <c r="AN325" i="8"/>
  <c r="AZ325" i="8"/>
  <c r="P325" i="8"/>
  <c r="AO325" i="8"/>
  <c r="BA325" i="8"/>
  <c r="Q325" i="8"/>
  <c r="B325" i="8"/>
  <c r="AM324" i="8"/>
  <c r="AY324" i="8"/>
  <c r="O324" i="8"/>
  <c r="AN324" i="8"/>
  <c r="AZ324" i="8"/>
  <c r="P324" i="8"/>
  <c r="AO324" i="8"/>
  <c r="BA324" i="8"/>
  <c r="Q324" i="8"/>
  <c r="B324" i="8"/>
  <c r="AM323" i="8"/>
  <c r="AY323" i="8"/>
  <c r="O323" i="8"/>
  <c r="AN323" i="8"/>
  <c r="AZ323" i="8"/>
  <c r="P323" i="8"/>
  <c r="AO323" i="8"/>
  <c r="BA323" i="8"/>
  <c r="Q323" i="8"/>
  <c r="B323" i="8"/>
  <c r="AM322" i="8"/>
  <c r="AY322" i="8"/>
  <c r="O322" i="8"/>
  <c r="AN322" i="8"/>
  <c r="AZ322" i="8"/>
  <c r="P322" i="8"/>
  <c r="AO322" i="8"/>
  <c r="BA322" i="8"/>
  <c r="Q322" i="8"/>
  <c r="B322" i="8"/>
  <c r="AM321" i="8"/>
  <c r="AY321" i="8"/>
  <c r="O321" i="8"/>
  <c r="AN321" i="8"/>
  <c r="AZ321" i="8"/>
  <c r="P321" i="8"/>
  <c r="AO321" i="8"/>
  <c r="BA321" i="8"/>
  <c r="Q321" i="8"/>
  <c r="B321" i="8"/>
  <c r="AM320" i="8"/>
  <c r="AY320" i="8"/>
  <c r="O320" i="8"/>
  <c r="AN320" i="8"/>
  <c r="AZ320" i="8"/>
  <c r="P320" i="8"/>
  <c r="AO320" i="8"/>
  <c r="BA320" i="8"/>
  <c r="Q320" i="8"/>
  <c r="B320" i="8"/>
  <c r="AM319" i="8"/>
  <c r="AY319" i="8"/>
  <c r="O319" i="8"/>
  <c r="AN319" i="8"/>
  <c r="AZ319" i="8"/>
  <c r="P319" i="8"/>
  <c r="AO319" i="8"/>
  <c r="BA319" i="8"/>
  <c r="Q319" i="8"/>
  <c r="B319" i="8"/>
  <c r="AM318" i="8"/>
  <c r="AY318" i="8"/>
  <c r="O318" i="8"/>
  <c r="AN318" i="8"/>
  <c r="AZ318" i="8"/>
  <c r="P318" i="8"/>
  <c r="AO318" i="8"/>
  <c r="BA318" i="8"/>
  <c r="Q318" i="8"/>
  <c r="B318" i="8"/>
  <c r="AM317" i="8"/>
  <c r="AY317" i="8"/>
  <c r="O317" i="8"/>
  <c r="AN317" i="8"/>
  <c r="AZ317" i="8"/>
  <c r="P317" i="8"/>
  <c r="AO317" i="8"/>
  <c r="BA317" i="8"/>
  <c r="Q317" i="8"/>
  <c r="B317" i="8"/>
  <c r="AM316" i="8"/>
  <c r="AY316" i="8"/>
  <c r="O316" i="8"/>
  <c r="AN316" i="8"/>
  <c r="AZ316" i="8"/>
  <c r="P316" i="8"/>
  <c r="B316" i="8"/>
  <c r="AM315" i="8"/>
  <c r="AY315" i="8"/>
  <c r="O315" i="8"/>
  <c r="AN315" i="8"/>
  <c r="AZ315" i="8"/>
  <c r="P315" i="8"/>
  <c r="AO315" i="8"/>
  <c r="BA315" i="8"/>
  <c r="Q315" i="8"/>
  <c r="B315" i="8"/>
  <c r="AM314" i="8"/>
  <c r="AY314" i="8"/>
  <c r="O314" i="8"/>
  <c r="AN314" i="8"/>
  <c r="AZ314" i="8"/>
  <c r="P314" i="8"/>
  <c r="AO314" i="8"/>
  <c r="BA314" i="8"/>
  <c r="Q314" i="8"/>
  <c r="B314" i="8"/>
  <c r="AM313" i="8"/>
  <c r="AY313" i="8"/>
  <c r="O313" i="8"/>
  <c r="AN313" i="8"/>
  <c r="AZ313" i="8"/>
  <c r="P313" i="8"/>
  <c r="AO313" i="8"/>
  <c r="BA313" i="8"/>
  <c r="Q313" i="8"/>
  <c r="B313" i="8"/>
  <c r="AM312" i="8"/>
  <c r="AY312" i="8"/>
  <c r="O312" i="8"/>
  <c r="AN312" i="8"/>
  <c r="AZ312" i="8"/>
  <c r="P312" i="8"/>
  <c r="B312" i="8"/>
  <c r="AM311" i="8"/>
  <c r="AY311" i="8"/>
  <c r="O311" i="8"/>
  <c r="AN311" i="8"/>
  <c r="AZ311" i="8"/>
  <c r="P311" i="8"/>
  <c r="AO311" i="8"/>
  <c r="BA311" i="8"/>
  <c r="Q311" i="8"/>
  <c r="B311" i="8"/>
  <c r="AM310" i="8"/>
  <c r="AY310" i="8"/>
  <c r="O310" i="8"/>
  <c r="AN310" i="8"/>
  <c r="AZ310" i="8"/>
  <c r="P310" i="8"/>
  <c r="AO310" i="8"/>
  <c r="BA310" i="8"/>
  <c r="Q310" i="8"/>
  <c r="B310" i="8"/>
  <c r="AO309" i="8"/>
  <c r="BA309" i="8"/>
  <c r="Q309" i="8"/>
  <c r="B309" i="8"/>
  <c r="AM308" i="8"/>
  <c r="AY308" i="8"/>
  <c r="O308" i="8"/>
  <c r="AN308" i="8"/>
  <c r="AZ308" i="8"/>
  <c r="P308" i="8"/>
  <c r="AO308" i="8"/>
  <c r="BA308" i="8"/>
  <c r="Q308" i="8"/>
  <c r="B308" i="8"/>
  <c r="AM307" i="8"/>
  <c r="AY307" i="8"/>
  <c r="O307" i="8"/>
  <c r="AN307" i="8"/>
  <c r="AZ307" i="8"/>
  <c r="P307" i="8"/>
  <c r="AO307" i="8"/>
  <c r="BA307" i="8"/>
  <c r="Q307" i="8"/>
  <c r="B307" i="8"/>
  <c r="AM306" i="8"/>
  <c r="AY306" i="8"/>
  <c r="O306" i="8"/>
  <c r="AN306" i="8"/>
  <c r="AZ306" i="8"/>
  <c r="P306" i="8"/>
  <c r="AO306" i="8"/>
  <c r="BA306" i="8"/>
  <c r="Q306" i="8"/>
  <c r="B306" i="8"/>
  <c r="AM305" i="8"/>
  <c r="AY305" i="8"/>
  <c r="O305" i="8"/>
  <c r="AN305" i="8"/>
  <c r="AZ305" i="8"/>
  <c r="P305" i="8"/>
  <c r="AO305" i="8"/>
  <c r="BA305" i="8"/>
  <c r="Q305" i="8"/>
  <c r="B305" i="8"/>
  <c r="AM304" i="8"/>
  <c r="AY304" i="8"/>
  <c r="O304" i="8"/>
  <c r="AN304" i="8"/>
  <c r="AZ304" i="8"/>
  <c r="P304" i="8"/>
  <c r="AO304" i="8"/>
  <c r="BA304" i="8"/>
  <c r="Q304" i="8"/>
  <c r="B304" i="8"/>
  <c r="AM303" i="8"/>
  <c r="AY303" i="8"/>
  <c r="O303" i="8"/>
  <c r="AN303" i="8"/>
  <c r="AZ303" i="8"/>
  <c r="P303" i="8"/>
  <c r="AO303" i="8"/>
  <c r="BA303" i="8"/>
  <c r="Q303" i="8"/>
  <c r="B303" i="8"/>
  <c r="AM29" i="8"/>
  <c r="AY29" i="8"/>
  <c r="O29" i="8"/>
  <c r="AN29" i="8"/>
  <c r="AZ29" i="8"/>
  <c r="P29" i="8"/>
  <c r="AO29" i="8"/>
  <c r="BA29" i="8"/>
  <c r="Q29" i="8"/>
  <c r="B29" i="8"/>
  <c r="AM302" i="8"/>
  <c r="AY302" i="8"/>
  <c r="O302" i="8"/>
  <c r="AN302" i="8"/>
  <c r="AZ302" i="8"/>
  <c r="P302" i="8"/>
  <c r="AO302" i="8"/>
  <c r="BA302" i="8"/>
  <c r="Q302" i="8"/>
  <c r="B302" i="8"/>
  <c r="AM301" i="8"/>
  <c r="AY301" i="8"/>
  <c r="O301" i="8"/>
  <c r="AN301" i="8"/>
  <c r="AZ301" i="8"/>
  <c r="P301" i="8"/>
  <c r="AO301" i="8"/>
  <c r="BA301" i="8"/>
  <c r="Q301" i="8"/>
  <c r="B301" i="8"/>
  <c r="AM300" i="8"/>
  <c r="AY300" i="8"/>
  <c r="O300" i="8"/>
  <c r="AN300" i="8"/>
  <c r="AZ300" i="8"/>
  <c r="P300" i="8"/>
  <c r="AO300" i="8"/>
  <c r="BA300" i="8"/>
  <c r="Q300" i="8"/>
  <c r="B300" i="8"/>
  <c r="AM299" i="8"/>
  <c r="AY299" i="8"/>
  <c r="O299" i="8"/>
  <c r="AN299" i="8"/>
  <c r="AZ299" i="8"/>
  <c r="P299" i="8"/>
  <c r="AO299" i="8"/>
  <c r="BA299" i="8"/>
  <c r="Q299" i="8"/>
  <c r="B299" i="8"/>
  <c r="AM298" i="8"/>
  <c r="AY298" i="8"/>
  <c r="O298" i="8"/>
  <c r="AN298" i="8"/>
  <c r="AZ298" i="8"/>
  <c r="P298" i="8"/>
  <c r="AO298" i="8"/>
  <c r="BA298" i="8"/>
  <c r="Q298" i="8"/>
  <c r="B298" i="8"/>
  <c r="AM297" i="8"/>
  <c r="AY297" i="8"/>
  <c r="O297" i="8"/>
  <c r="AN297" i="8"/>
  <c r="AZ297" i="8"/>
  <c r="P297" i="8"/>
  <c r="AO297" i="8"/>
  <c r="BA297" i="8"/>
  <c r="Q297" i="8"/>
  <c r="B297" i="8"/>
  <c r="AM296" i="8"/>
  <c r="AY296" i="8"/>
  <c r="O296" i="8"/>
  <c r="AN296" i="8"/>
  <c r="AZ296" i="8"/>
  <c r="P296" i="8"/>
  <c r="AO296" i="8"/>
  <c r="BA296" i="8"/>
  <c r="Q296" i="8"/>
  <c r="B296" i="8"/>
  <c r="AM295" i="8"/>
  <c r="AY295" i="8"/>
  <c r="O295" i="8"/>
  <c r="AN295" i="8"/>
  <c r="AZ295" i="8"/>
  <c r="P295" i="8"/>
  <c r="AO295" i="8"/>
  <c r="BA295" i="8"/>
  <c r="Q295" i="8"/>
  <c r="B295" i="8"/>
  <c r="AM294" i="8"/>
  <c r="AY294" i="8"/>
  <c r="O294" i="8"/>
  <c r="AN294" i="8"/>
  <c r="AZ294" i="8"/>
  <c r="P294" i="8"/>
  <c r="AO294" i="8"/>
  <c r="BA294" i="8"/>
  <c r="Q294" i="8"/>
  <c r="B294" i="8"/>
  <c r="AM293" i="8"/>
  <c r="AY293" i="8"/>
  <c r="O293" i="8"/>
  <c r="AN293" i="8"/>
  <c r="AZ293" i="8"/>
  <c r="P293" i="8"/>
  <c r="AO293" i="8"/>
  <c r="BA293" i="8"/>
  <c r="Q293" i="8"/>
  <c r="B293" i="8"/>
  <c r="AO292" i="8"/>
  <c r="BA292" i="8"/>
  <c r="Q292" i="8"/>
  <c r="B292" i="8"/>
  <c r="AM291" i="8"/>
  <c r="AY291" i="8"/>
  <c r="O291" i="8"/>
  <c r="AN291" i="8"/>
  <c r="AZ291" i="8"/>
  <c r="P291" i="8"/>
  <c r="AO291" i="8"/>
  <c r="BA291" i="8"/>
  <c r="Q291" i="8"/>
  <c r="B291" i="8"/>
  <c r="AM290" i="8"/>
  <c r="AY290" i="8"/>
  <c r="O290" i="8"/>
  <c r="AN290" i="8"/>
  <c r="AZ290" i="8"/>
  <c r="P290" i="8"/>
  <c r="AO290" i="8"/>
  <c r="BA290" i="8"/>
  <c r="Q290" i="8"/>
  <c r="B290" i="8"/>
  <c r="AM289" i="8"/>
  <c r="AY289" i="8"/>
  <c r="O289" i="8"/>
  <c r="AN289" i="8"/>
  <c r="AZ289" i="8"/>
  <c r="P289" i="8"/>
  <c r="AO289" i="8"/>
  <c r="BA289" i="8"/>
  <c r="Q289" i="8"/>
  <c r="B289" i="8"/>
  <c r="AM288" i="8"/>
  <c r="AY288" i="8"/>
  <c r="O288" i="8"/>
  <c r="AN288" i="8"/>
  <c r="AZ288" i="8"/>
  <c r="P288" i="8"/>
  <c r="AO288" i="8"/>
  <c r="BA288" i="8"/>
  <c r="Q288" i="8"/>
  <c r="B288" i="8"/>
  <c r="AM287" i="8"/>
  <c r="AY287" i="8"/>
  <c r="O287" i="8"/>
  <c r="AN287" i="8"/>
  <c r="AZ287" i="8"/>
  <c r="P287" i="8"/>
  <c r="B287" i="8"/>
  <c r="AM28" i="8"/>
  <c r="AY28" i="8"/>
  <c r="O28" i="8"/>
  <c r="AN28" i="8"/>
  <c r="AZ28" i="8"/>
  <c r="P28" i="8"/>
  <c r="AO28" i="8"/>
  <c r="BA28" i="8"/>
  <c r="Q28" i="8"/>
  <c r="B28" i="8"/>
  <c r="AM286" i="8"/>
  <c r="AY286" i="8"/>
  <c r="O286" i="8"/>
  <c r="AN286" i="8"/>
  <c r="AZ286" i="8"/>
  <c r="P286" i="8"/>
  <c r="AO286" i="8"/>
  <c r="BA286" i="8"/>
  <c r="Q286" i="8"/>
  <c r="B286" i="8"/>
  <c r="AM285" i="8"/>
  <c r="AY285" i="8"/>
  <c r="O285" i="8"/>
  <c r="AN285" i="8"/>
  <c r="AZ285" i="8"/>
  <c r="P285" i="8"/>
  <c r="AO285" i="8"/>
  <c r="BA285" i="8"/>
  <c r="Q285" i="8"/>
  <c r="B285" i="8"/>
  <c r="AM284" i="8"/>
  <c r="AY284" i="8"/>
  <c r="O284" i="8"/>
  <c r="AN284" i="8"/>
  <c r="AZ284" i="8"/>
  <c r="P284" i="8"/>
  <c r="AO284" i="8"/>
  <c r="BA284" i="8"/>
  <c r="Q284" i="8"/>
  <c r="B284" i="8"/>
  <c r="AM283" i="8"/>
  <c r="AY283" i="8"/>
  <c r="O283" i="8"/>
  <c r="AN283" i="8"/>
  <c r="AZ283" i="8"/>
  <c r="P283" i="8"/>
  <c r="AO283" i="8"/>
  <c r="BA283" i="8"/>
  <c r="Q283" i="8"/>
  <c r="B283" i="8"/>
  <c r="AM282" i="8"/>
  <c r="AY282" i="8"/>
  <c r="O282" i="8"/>
  <c r="AN282" i="8"/>
  <c r="AZ282" i="8"/>
  <c r="P282" i="8"/>
  <c r="AO282" i="8"/>
  <c r="BA282" i="8"/>
  <c r="Q282" i="8"/>
  <c r="B282" i="8"/>
  <c r="AM281" i="8"/>
  <c r="AY281" i="8"/>
  <c r="O281" i="8"/>
  <c r="AN281" i="8"/>
  <c r="AZ281" i="8"/>
  <c r="P281" i="8"/>
  <c r="AO281" i="8"/>
  <c r="BA281" i="8"/>
  <c r="Q281" i="8"/>
  <c r="B281" i="8"/>
  <c r="AM280" i="8"/>
  <c r="AY280" i="8"/>
  <c r="O280" i="8"/>
  <c r="AN280" i="8"/>
  <c r="AZ280" i="8"/>
  <c r="P280" i="8"/>
  <c r="AO280" i="8"/>
  <c r="BA280" i="8"/>
  <c r="Q280" i="8"/>
  <c r="B280" i="8"/>
  <c r="AM279" i="8"/>
  <c r="AY279" i="8"/>
  <c r="O279" i="8"/>
  <c r="AN279" i="8"/>
  <c r="AZ279" i="8"/>
  <c r="P279" i="8"/>
  <c r="AO279" i="8"/>
  <c r="BA279" i="8"/>
  <c r="Q279" i="8"/>
  <c r="B279" i="8"/>
  <c r="AM278" i="8"/>
  <c r="AY278" i="8"/>
  <c r="O278" i="8"/>
  <c r="AN278" i="8"/>
  <c r="AZ278" i="8"/>
  <c r="P278" i="8"/>
  <c r="AO278" i="8"/>
  <c r="BA278" i="8"/>
  <c r="Q278" i="8"/>
  <c r="B278" i="8"/>
  <c r="AM277" i="8"/>
  <c r="AY277" i="8"/>
  <c r="O277" i="8"/>
  <c r="AN277" i="8"/>
  <c r="AZ277" i="8"/>
  <c r="P277" i="8"/>
  <c r="AO277" i="8"/>
  <c r="BA277" i="8"/>
  <c r="Q277" i="8"/>
  <c r="B277" i="8"/>
  <c r="AM276" i="8"/>
  <c r="AY276" i="8"/>
  <c r="O276" i="8"/>
  <c r="AN276" i="8"/>
  <c r="AZ276" i="8"/>
  <c r="P276" i="8"/>
  <c r="AO276" i="8"/>
  <c r="BA276" i="8"/>
  <c r="Q276" i="8"/>
  <c r="B276" i="8"/>
  <c r="AM275" i="8"/>
  <c r="AY275" i="8"/>
  <c r="O275" i="8"/>
  <c r="AN275" i="8"/>
  <c r="AZ275" i="8"/>
  <c r="P275" i="8"/>
  <c r="AO275" i="8"/>
  <c r="BA275" i="8"/>
  <c r="Q275" i="8"/>
  <c r="B275" i="8"/>
  <c r="AM274" i="8"/>
  <c r="AY274" i="8"/>
  <c r="O274" i="8"/>
  <c r="AN274" i="8"/>
  <c r="AZ274" i="8"/>
  <c r="P274" i="8"/>
  <c r="AO274" i="8"/>
  <c r="BA274" i="8"/>
  <c r="Q274" i="8"/>
  <c r="B274" i="8"/>
  <c r="AM27" i="8"/>
  <c r="AY27" i="8"/>
  <c r="O27" i="8"/>
  <c r="AN27" i="8"/>
  <c r="AZ27" i="8"/>
  <c r="P27" i="8"/>
  <c r="AO27" i="8"/>
  <c r="BA27" i="8"/>
  <c r="Q27" i="8"/>
  <c r="B27" i="8"/>
  <c r="AM273" i="8"/>
  <c r="AY273" i="8"/>
  <c r="O273" i="8"/>
  <c r="AN273" i="8"/>
  <c r="AZ273" i="8"/>
  <c r="P273" i="8"/>
  <c r="AO273" i="8"/>
  <c r="BA273" i="8"/>
  <c r="Q273" i="8"/>
  <c r="B273" i="8"/>
  <c r="AM272" i="8"/>
  <c r="AY272" i="8"/>
  <c r="O272" i="8"/>
  <c r="AN272" i="8"/>
  <c r="AZ272" i="8"/>
  <c r="P272" i="8"/>
  <c r="AO272" i="8"/>
  <c r="BA272" i="8"/>
  <c r="Q272" i="8"/>
  <c r="B272" i="8"/>
  <c r="AM271" i="8"/>
  <c r="AY271" i="8"/>
  <c r="O271" i="8"/>
  <c r="AN271" i="8"/>
  <c r="AZ271" i="8"/>
  <c r="P271" i="8"/>
  <c r="AO271" i="8"/>
  <c r="BA271" i="8"/>
  <c r="Q271" i="8"/>
  <c r="B271" i="8"/>
  <c r="AM270" i="8"/>
  <c r="AY270" i="8"/>
  <c r="O270" i="8"/>
  <c r="AN270" i="8"/>
  <c r="AZ270" i="8"/>
  <c r="P270" i="8"/>
  <c r="AO270" i="8"/>
  <c r="BA270" i="8"/>
  <c r="Q270" i="8"/>
  <c r="B270" i="8"/>
  <c r="AM269" i="8"/>
  <c r="AY269" i="8"/>
  <c r="O269" i="8"/>
  <c r="AN269" i="8"/>
  <c r="AZ269" i="8"/>
  <c r="P269" i="8"/>
  <c r="AO269" i="8"/>
  <c r="BA269" i="8"/>
  <c r="Q269" i="8"/>
  <c r="B269" i="8"/>
  <c r="AO268" i="8"/>
  <c r="BA268" i="8"/>
  <c r="Q268" i="8"/>
  <c r="B268" i="8"/>
  <c r="AM267" i="8"/>
  <c r="AY267" i="8"/>
  <c r="O267" i="8"/>
  <c r="AN267" i="8"/>
  <c r="AZ267" i="8"/>
  <c r="P267" i="8"/>
  <c r="AO267" i="8"/>
  <c r="BA267" i="8"/>
  <c r="Q267" i="8"/>
  <c r="B267" i="8"/>
  <c r="AM266" i="8"/>
  <c r="AY266" i="8"/>
  <c r="O266" i="8"/>
  <c r="AN266" i="8"/>
  <c r="AZ266" i="8"/>
  <c r="P266" i="8"/>
  <c r="AO266" i="8"/>
  <c r="BA266" i="8"/>
  <c r="Q266" i="8"/>
  <c r="B266" i="8"/>
  <c r="AM265" i="8"/>
  <c r="AY265" i="8"/>
  <c r="O265" i="8"/>
  <c r="AN265" i="8"/>
  <c r="AZ265" i="8"/>
  <c r="P265" i="8"/>
  <c r="AO265" i="8"/>
  <c r="BA265" i="8"/>
  <c r="Q265" i="8"/>
  <c r="B265" i="8"/>
  <c r="AM264" i="8"/>
  <c r="AY264" i="8"/>
  <c r="O264" i="8"/>
  <c r="AN264" i="8"/>
  <c r="AZ264" i="8"/>
  <c r="P264" i="8"/>
  <c r="AO264" i="8"/>
  <c r="BA264" i="8"/>
  <c r="Q264" i="8"/>
  <c r="B264" i="8"/>
  <c r="AM26" i="8"/>
  <c r="AY26" i="8"/>
  <c r="O26" i="8"/>
  <c r="AN26" i="8"/>
  <c r="AZ26" i="8"/>
  <c r="P26" i="8"/>
  <c r="AO26" i="8"/>
  <c r="BA26" i="8"/>
  <c r="Q26" i="8"/>
  <c r="B26" i="8"/>
  <c r="AM263" i="8"/>
  <c r="AY263" i="8"/>
  <c r="O263" i="8"/>
  <c r="AN263" i="8"/>
  <c r="AZ263" i="8"/>
  <c r="P263" i="8"/>
  <c r="AO263" i="8"/>
  <c r="BA263" i="8"/>
  <c r="Q263" i="8"/>
  <c r="B263" i="8"/>
  <c r="AM262" i="8"/>
  <c r="AY262" i="8"/>
  <c r="O262" i="8"/>
  <c r="AN262" i="8"/>
  <c r="AZ262" i="8"/>
  <c r="P262" i="8"/>
  <c r="AO262" i="8"/>
  <c r="BA262" i="8"/>
  <c r="Q262" i="8"/>
  <c r="B262" i="8"/>
  <c r="AM261" i="8"/>
  <c r="AY261" i="8"/>
  <c r="O261" i="8"/>
  <c r="AN261" i="8"/>
  <c r="AZ261" i="8"/>
  <c r="P261" i="8"/>
  <c r="AO261" i="8"/>
  <c r="BA261" i="8"/>
  <c r="Q261" i="8"/>
  <c r="B261" i="8"/>
  <c r="AM260" i="8"/>
  <c r="AY260" i="8"/>
  <c r="O260" i="8"/>
  <c r="AN260" i="8"/>
  <c r="AZ260" i="8"/>
  <c r="P260" i="8"/>
  <c r="AO260" i="8"/>
  <c r="BA260" i="8"/>
  <c r="Q260" i="8"/>
  <c r="B260" i="8"/>
  <c r="AM259" i="8"/>
  <c r="AY259" i="8"/>
  <c r="O259" i="8"/>
  <c r="AN259" i="8"/>
  <c r="AZ259" i="8"/>
  <c r="P259" i="8"/>
  <c r="AO259" i="8"/>
  <c r="BA259" i="8"/>
  <c r="Q259" i="8"/>
  <c r="B259" i="8"/>
  <c r="AM25" i="8"/>
  <c r="AY25" i="8"/>
  <c r="O25" i="8"/>
  <c r="AN25" i="8"/>
  <c r="AZ25" i="8"/>
  <c r="P25" i="8"/>
  <c r="AO25" i="8"/>
  <c r="BA25" i="8"/>
  <c r="Q25" i="8"/>
  <c r="B25" i="8"/>
  <c r="AM258" i="8"/>
  <c r="AY258" i="8"/>
  <c r="O258" i="8"/>
  <c r="AN258" i="8"/>
  <c r="AZ258" i="8"/>
  <c r="P258" i="8"/>
  <c r="AO258" i="8"/>
  <c r="BA258" i="8"/>
  <c r="Q258" i="8"/>
  <c r="B258" i="8"/>
  <c r="AM257" i="8"/>
  <c r="AY257" i="8"/>
  <c r="O257" i="8"/>
  <c r="AN257" i="8"/>
  <c r="AZ257" i="8"/>
  <c r="P257" i="8"/>
  <c r="AO257" i="8"/>
  <c r="BA257" i="8"/>
  <c r="Q257" i="8"/>
  <c r="B257" i="8"/>
  <c r="AM256" i="8"/>
  <c r="AY256" i="8"/>
  <c r="O256" i="8"/>
  <c r="AN256" i="8"/>
  <c r="AZ256" i="8"/>
  <c r="P256" i="8"/>
  <c r="AO256" i="8"/>
  <c r="BA256" i="8"/>
  <c r="Q256" i="8"/>
  <c r="B256" i="8"/>
  <c r="AM255" i="8"/>
  <c r="AY255" i="8"/>
  <c r="O255" i="8"/>
  <c r="AN255" i="8"/>
  <c r="AZ255" i="8"/>
  <c r="P255" i="8"/>
  <c r="AO255" i="8"/>
  <c r="BA255" i="8"/>
  <c r="Q255" i="8"/>
  <c r="B255" i="8"/>
  <c r="AM254" i="8"/>
  <c r="AY254" i="8"/>
  <c r="O254" i="8"/>
  <c r="AN254" i="8"/>
  <c r="AZ254" i="8"/>
  <c r="P254" i="8"/>
  <c r="AO254" i="8"/>
  <c r="BA254" i="8"/>
  <c r="Q254" i="8"/>
  <c r="B254" i="8"/>
  <c r="AM253" i="8"/>
  <c r="AY253" i="8"/>
  <c r="O253" i="8"/>
  <c r="AN253" i="8"/>
  <c r="AZ253" i="8"/>
  <c r="P253" i="8"/>
  <c r="AO253" i="8"/>
  <c r="BA253" i="8"/>
  <c r="Q253" i="8"/>
  <c r="B253" i="8"/>
  <c r="AM252" i="8"/>
  <c r="AY252" i="8"/>
  <c r="O252" i="8"/>
  <c r="AN252" i="8"/>
  <c r="AZ252" i="8"/>
  <c r="P252" i="8"/>
  <c r="AO252" i="8"/>
  <c r="BA252" i="8"/>
  <c r="Q252" i="8"/>
  <c r="B252" i="8"/>
  <c r="AM251" i="8"/>
  <c r="AY251" i="8"/>
  <c r="O251" i="8"/>
  <c r="AN251" i="8"/>
  <c r="AZ251" i="8"/>
  <c r="P251" i="8"/>
  <c r="AO251" i="8"/>
  <c r="BA251" i="8"/>
  <c r="Q251" i="8"/>
  <c r="B251" i="8"/>
  <c r="AM250" i="8"/>
  <c r="AY250" i="8"/>
  <c r="O250" i="8"/>
  <c r="AN250" i="8"/>
  <c r="AZ250" i="8"/>
  <c r="P250" i="8"/>
  <c r="AO250" i="8"/>
  <c r="BA250" i="8"/>
  <c r="Q250" i="8"/>
  <c r="B250" i="8"/>
  <c r="AM249" i="8"/>
  <c r="AY249" i="8"/>
  <c r="O249" i="8"/>
  <c r="AN249" i="8"/>
  <c r="AZ249" i="8"/>
  <c r="P249" i="8"/>
  <c r="AO249" i="8"/>
  <c r="BA249" i="8"/>
  <c r="Q249" i="8"/>
  <c r="B249" i="8"/>
  <c r="AM248" i="8"/>
  <c r="AY248" i="8"/>
  <c r="O248" i="8"/>
  <c r="AN248" i="8"/>
  <c r="AZ248" i="8"/>
  <c r="P248" i="8"/>
  <c r="AO248" i="8"/>
  <c r="BA248" i="8"/>
  <c r="Q248" i="8"/>
  <c r="B248" i="8"/>
  <c r="AM247" i="8"/>
  <c r="AY247" i="8"/>
  <c r="O247" i="8"/>
  <c r="AN247" i="8"/>
  <c r="AZ247" i="8"/>
  <c r="P247" i="8"/>
  <c r="AO247" i="8"/>
  <c r="BA247" i="8"/>
  <c r="Q247" i="8"/>
  <c r="B247" i="8"/>
  <c r="AM246" i="8"/>
  <c r="AY246" i="8"/>
  <c r="O246" i="8"/>
  <c r="AN246" i="8"/>
  <c r="AZ246" i="8"/>
  <c r="P246" i="8"/>
  <c r="AO246" i="8"/>
  <c r="BA246" i="8"/>
  <c r="Q246" i="8"/>
  <c r="B246" i="8"/>
  <c r="AM245" i="8"/>
  <c r="AY245" i="8"/>
  <c r="O245" i="8"/>
  <c r="AN245" i="8"/>
  <c r="AZ245" i="8"/>
  <c r="P245" i="8"/>
  <c r="AO245" i="8"/>
  <c r="BA245" i="8"/>
  <c r="Q245" i="8"/>
  <c r="B245" i="8"/>
  <c r="AM244" i="8"/>
  <c r="AY244" i="8"/>
  <c r="O244" i="8"/>
  <c r="AN244" i="8"/>
  <c r="AZ244" i="8"/>
  <c r="P244" i="8"/>
  <c r="AO244" i="8"/>
  <c r="BA244" i="8"/>
  <c r="Q244" i="8"/>
  <c r="B244" i="8"/>
  <c r="AM243" i="8"/>
  <c r="AY243" i="8"/>
  <c r="O243" i="8"/>
  <c r="AN243" i="8"/>
  <c r="AZ243" i="8"/>
  <c r="P243" i="8"/>
  <c r="AO243" i="8"/>
  <c r="BA243" i="8"/>
  <c r="Q243" i="8"/>
  <c r="B243" i="8"/>
  <c r="AM242" i="8"/>
  <c r="AY242" i="8"/>
  <c r="O242" i="8"/>
  <c r="AN242" i="8"/>
  <c r="AZ242" i="8"/>
  <c r="P242" i="8"/>
  <c r="AO242" i="8"/>
  <c r="BA242" i="8"/>
  <c r="Q242" i="8"/>
  <c r="B242" i="8"/>
  <c r="AM241" i="8"/>
  <c r="AY241" i="8"/>
  <c r="O241" i="8"/>
  <c r="AN241" i="8"/>
  <c r="AZ241" i="8"/>
  <c r="P241" i="8"/>
  <c r="AO241" i="8"/>
  <c r="BA241" i="8"/>
  <c r="Q241" i="8"/>
  <c r="B241" i="8"/>
  <c r="AM24" i="8"/>
  <c r="AY24" i="8"/>
  <c r="O24" i="8"/>
  <c r="AN24" i="8"/>
  <c r="AZ24" i="8"/>
  <c r="P24" i="8"/>
  <c r="AO24" i="8"/>
  <c r="BA24" i="8"/>
  <c r="Q24" i="8"/>
  <c r="B24" i="8"/>
  <c r="AM240" i="8"/>
  <c r="AY240" i="8"/>
  <c r="O240" i="8"/>
  <c r="AN240" i="8"/>
  <c r="AZ240" i="8"/>
  <c r="P240" i="8"/>
  <c r="AO240" i="8"/>
  <c r="BA240" i="8"/>
  <c r="Q240" i="8"/>
  <c r="B240" i="8"/>
  <c r="AM239" i="8"/>
  <c r="AY239" i="8"/>
  <c r="O239" i="8"/>
  <c r="AN239" i="8"/>
  <c r="AZ239" i="8"/>
  <c r="P239" i="8"/>
  <c r="AO239" i="8"/>
  <c r="BA239" i="8"/>
  <c r="Q239" i="8"/>
  <c r="B239" i="8"/>
  <c r="AM238" i="8"/>
  <c r="AY238" i="8"/>
  <c r="O238" i="8"/>
  <c r="AN238" i="8"/>
  <c r="AZ238" i="8"/>
  <c r="P238" i="8"/>
  <c r="AO238" i="8"/>
  <c r="BA238" i="8"/>
  <c r="Q238" i="8"/>
  <c r="B238" i="8"/>
  <c r="AM237" i="8"/>
  <c r="AY237" i="8"/>
  <c r="O237" i="8"/>
  <c r="AN237" i="8"/>
  <c r="AZ237" i="8"/>
  <c r="P237" i="8"/>
  <c r="AO237" i="8"/>
  <c r="BA237" i="8"/>
  <c r="Q237" i="8"/>
  <c r="B237" i="8"/>
  <c r="AM207" i="8"/>
  <c r="AY207" i="8"/>
  <c r="O207" i="8"/>
  <c r="AN207" i="8"/>
  <c r="AZ207" i="8"/>
  <c r="P207" i="8"/>
  <c r="AO207" i="8"/>
  <c r="BA207" i="8"/>
  <c r="Q207" i="8"/>
  <c r="B207" i="8"/>
  <c r="AM206" i="8"/>
  <c r="AY206" i="8"/>
  <c r="O206" i="8"/>
  <c r="AN206" i="8"/>
  <c r="AZ206" i="8"/>
  <c r="P206" i="8"/>
  <c r="AO206" i="8"/>
  <c r="BA206" i="8"/>
  <c r="Q206" i="8"/>
  <c r="B206" i="8"/>
  <c r="AM205" i="8"/>
  <c r="AY205" i="8"/>
  <c r="O205" i="8"/>
  <c r="AN205" i="8"/>
  <c r="AZ205" i="8"/>
  <c r="P205" i="8"/>
  <c r="AO205" i="8"/>
  <c r="BA205" i="8"/>
  <c r="Q205" i="8"/>
  <c r="B205" i="8"/>
  <c r="AM204" i="8"/>
  <c r="AY204" i="8"/>
  <c r="O204" i="8"/>
  <c r="AN204" i="8"/>
  <c r="AZ204" i="8"/>
  <c r="P204" i="8"/>
  <c r="AO204" i="8"/>
  <c r="BA204" i="8"/>
  <c r="Q204" i="8"/>
  <c r="B204" i="8"/>
  <c r="AM16" i="8"/>
  <c r="AY16" i="8"/>
  <c r="O16" i="8"/>
  <c r="AN16" i="8"/>
  <c r="AZ16" i="8"/>
  <c r="P16" i="8"/>
  <c r="AO16" i="8"/>
  <c r="BA16" i="8"/>
  <c r="Q16" i="8"/>
  <c r="B16" i="8"/>
  <c r="AM203" i="8"/>
  <c r="AY203" i="8"/>
  <c r="O203" i="8"/>
  <c r="AN203" i="8"/>
  <c r="AZ203" i="8"/>
  <c r="P203" i="8"/>
  <c r="AO203" i="8"/>
  <c r="BA203" i="8"/>
  <c r="Q203" i="8"/>
  <c r="B203" i="8"/>
  <c r="AM202" i="8"/>
  <c r="AY202" i="8"/>
  <c r="O202" i="8"/>
  <c r="AN202" i="8"/>
  <c r="AZ202" i="8"/>
  <c r="P202" i="8"/>
  <c r="AO202" i="8"/>
  <c r="BA202" i="8"/>
  <c r="Q202" i="8"/>
  <c r="B202" i="8"/>
  <c r="AM15" i="8"/>
  <c r="AY15" i="8"/>
  <c r="O15" i="8"/>
  <c r="AN15" i="8"/>
  <c r="AZ15" i="8"/>
  <c r="P15" i="8"/>
  <c r="AO15" i="8"/>
  <c r="BA15" i="8"/>
  <c r="Q15" i="8"/>
  <c r="B15" i="8"/>
  <c r="AM201" i="8"/>
  <c r="AY201" i="8"/>
  <c r="O201" i="8"/>
  <c r="AN201" i="8"/>
  <c r="AZ201" i="8"/>
  <c r="P201" i="8"/>
  <c r="AO201" i="8"/>
  <c r="BA201" i="8"/>
  <c r="Q201" i="8"/>
  <c r="B201" i="8"/>
  <c r="AM200" i="8"/>
  <c r="AY200" i="8"/>
  <c r="O200" i="8"/>
  <c r="AN200" i="8"/>
  <c r="AZ200" i="8"/>
  <c r="P200" i="8"/>
  <c r="AO200" i="8"/>
  <c r="BA200" i="8"/>
  <c r="Q200" i="8"/>
  <c r="B200" i="8"/>
  <c r="AM199" i="8"/>
  <c r="AY199" i="8"/>
  <c r="O199" i="8"/>
  <c r="AN199" i="8"/>
  <c r="AZ199" i="8"/>
  <c r="P199" i="8"/>
  <c r="AO199" i="8"/>
  <c r="BA199" i="8"/>
  <c r="Q199" i="8"/>
  <c r="B199" i="8"/>
  <c r="AM198" i="8"/>
  <c r="AY198" i="8"/>
  <c r="O198" i="8"/>
  <c r="AN198" i="8"/>
  <c r="AZ198" i="8"/>
  <c r="P198" i="8"/>
  <c r="AO198" i="8"/>
  <c r="BA198" i="8"/>
  <c r="Q198" i="8"/>
  <c r="B198" i="8"/>
  <c r="AM197" i="8"/>
  <c r="AY197" i="8"/>
  <c r="O197" i="8"/>
  <c r="AN197" i="8"/>
  <c r="AZ197" i="8"/>
  <c r="P197" i="8"/>
  <c r="AO197" i="8"/>
  <c r="BA197" i="8"/>
  <c r="Q197" i="8"/>
  <c r="B197" i="8"/>
  <c r="AM196" i="8"/>
  <c r="AY196" i="8"/>
  <c r="O196" i="8"/>
  <c r="AN196" i="8"/>
  <c r="AZ196" i="8"/>
  <c r="P196" i="8"/>
  <c r="AO196" i="8"/>
  <c r="BA196" i="8"/>
  <c r="Q196" i="8"/>
  <c r="B196" i="8"/>
  <c r="AM195" i="8"/>
  <c r="AY195" i="8"/>
  <c r="O195" i="8"/>
  <c r="AN195" i="8"/>
  <c r="AZ195" i="8"/>
  <c r="P195" i="8"/>
  <c r="AO195" i="8"/>
  <c r="BA195" i="8"/>
  <c r="Q195" i="8"/>
  <c r="B195" i="8"/>
  <c r="AM14" i="8"/>
  <c r="AY14" i="8"/>
  <c r="O14" i="8"/>
  <c r="AN14" i="8"/>
  <c r="AZ14" i="8"/>
  <c r="P14" i="8"/>
  <c r="AO14" i="8"/>
  <c r="BA14" i="8"/>
  <c r="Q14" i="8"/>
  <c r="B14" i="8"/>
  <c r="AM194" i="8"/>
  <c r="AY194" i="8"/>
  <c r="O194" i="8"/>
  <c r="AN194" i="8"/>
  <c r="AZ194" i="8"/>
  <c r="P194" i="8"/>
  <c r="AO194" i="8"/>
  <c r="BA194" i="8"/>
  <c r="Q194" i="8"/>
  <c r="B194" i="8"/>
  <c r="AM193" i="8"/>
  <c r="AY193" i="8"/>
  <c r="O193" i="8"/>
  <c r="AN193" i="8"/>
  <c r="AZ193" i="8"/>
  <c r="P193" i="8"/>
  <c r="AO193" i="8"/>
  <c r="BA193" i="8"/>
  <c r="Q193" i="8"/>
  <c r="B193" i="8"/>
  <c r="AM192" i="8"/>
  <c r="AY192" i="8"/>
  <c r="O192" i="8"/>
  <c r="AN192" i="8"/>
  <c r="AZ192" i="8"/>
  <c r="P192" i="8"/>
  <c r="AO192" i="8"/>
  <c r="BA192" i="8"/>
  <c r="Q192" i="8"/>
  <c r="B192" i="8"/>
  <c r="AM191" i="8"/>
  <c r="AY191" i="8"/>
  <c r="O191" i="8"/>
  <c r="AN191" i="8"/>
  <c r="AZ191" i="8"/>
  <c r="P191" i="8"/>
  <c r="AO191" i="8"/>
  <c r="BA191" i="8"/>
  <c r="Q191" i="8"/>
  <c r="B191" i="8"/>
  <c r="AM190" i="8"/>
  <c r="AY190" i="8"/>
  <c r="O190" i="8"/>
  <c r="AN190" i="8"/>
  <c r="AZ190" i="8"/>
  <c r="P190" i="8"/>
  <c r="AO190" i="8"/>
  <c r="BA190" i="8"/>
  <c r="Q190" i="8"/>
  <c r="B190" i="8"/>
  <c r="AM189" i="8"/>
  <c r="AY189" i="8"/>
  <c r="O189" i="8"/>
  <c r="AN189" i="8"/>
  <c r="AZ189" i="8"/>
  <c r="P189" i="8"/>
  <c r="AO189" i="8"/>
  <c r="BA189" i="8"/>
  <c r="Q189" i="8"/>
  <c r="B189" i="8"/>
  <c r="AM188" i="8"/>
  <c r="AY188" i="8"/>
  <c r="O188" i="8"/>
  <c r="AN188" i="8"/>
  <c r="AZ188" i="8"/>
  <c r="P188" i="8"/>
  <c r="AO188" i="8"/>
  <c r="BA188" i="8"/>
  <c r="Q188" i="8"/>
  <c r="B188" i="8"/>
  <c r="AM187" i="8"/>
  <c r="AY187" i="8"/>
  <c r="O187" i="8"/>
  <c r="AN187" i="8"/>
  <c r="AZ187" i="8"/>
  <c r="P187" i="8"/>
  <c r="AO187" i="8"/>
  <c r="BA187" i="8"/>
  <c r="Q187" i="8"/>
  <c r="B187" i="8"/>
  <c r="AM186" i="8"/>
  <c r="AY186" i="8"/>
  <c r="O186" i="8"/>
  <c r="AN186" i="8"/>
  <c r="AZ186" i="8"/>
  <c r="P186" i="8"/>
  <c r="AO186" i="8"/>
  <c r="BA186" i="8"/>
  <c r="Q186" i="8"/>
  <c r="B186" i="8"/>
  <c r="AM11" i="8"/>
  <c r="AY11" i="8"/>
  <c r="O11" i="8"/>
  <c r="AN11" i="8"/>
  <c r="AZ11" i="8"/>
  <c r="P11" i="8"/>
  <c r="AO11" i="8"/>
  <c r="BA11" i="8"/>
  <c r="Q11" i="8"/>
  <c r="B11" i="8"/>
  <c r="AM10" i="8"/>
  <c r="AY10" i="8"/>
  <c r="O10" i="8"/>
  <c r="AN10" i="8"/>
  <c r="AZ10" i="8"/>
  <c r="P10" i="8"/>
  <c r="AO10" i="8"/>
  <c r="BA10" i="8"/>
  <c r="Q10" i="8"/>
  <c r="B10" i="8"/>
  <c r="AM9" i="8"/>
  <c r="AY9" i="8"/>
  <c r="O9" i="8"/>
  <c r="AN9" i="8"/>
  <c r="AZ9" i="8"/>
  <c r="P9" i="8"/>
  <c r="AO9" i="8"/>
  <c r="BA9" i="8"/>
  <c r="Q9" i="8"/>
  <c r="B9" i="8"/>
  <c r="AM150" i="8"/>
  <c r="AY150" i="8"/>
  <c r="O150" i="8"/>
  <c r="AN150" i="8"/>
  <c r="AZ150" i="8"/>
  <c r="P150" i="8"/>
  <c r="AO150" i="8"/>
  <c r="BA150" i="8"/>
  <c r="Q150" i="8"/>
  <c r="B150" i="8"/>
  <c r="AM149" i="8"/>
  <c r="AY149" i="8"/>
  <c r="O149" i="8"/>
  <c r="AN149" i="8"/>
  <c r="AZ149" i="8"/>
  <c r="P149" i="8"/>
  <c r="AO149" i="8"/>
  <c r="BA149" i="8"/>
  <c r="Q149" i="8"/>
  <c r="B149" i="8"/>
  <c r="AM148" i="8"/>
  <c r="AY148" i="8"/>
  <c r="O148" i="8"/>
  <c r="AN148" i="8"/>
  <c r="AZ148" i="8"/>
  <c r="P148" i="8"/>
  <c r="AO148" i="8"/>
  <c r="BA148" i="8"/>
  <c r="Q148" i="8"/>
  <c r="B148" i="8"/>
  <c r="AM147" i="8"/>
  <c r="AY147" i="8"/>
  <c r="O147" i="8"/>
  <c r="AN147" i="8"/>
  <c r="AZ147" i="8"/>
  <c r="P147" i="8"/>
  <c r="AO147" i="8"/>
  <c r="BA147" i="8"/>
  <c r="Q147" i="8"/>
  <c r="B147" i="8"/>
  <c r="AM146" i="8"/>
  <c r="AY146" i="8"/>
  <c r="O146" i="8"/>
  <c r="AN146" i="8"/>
  <c r="AZ146" i="8"/>
  <c r="P146" i="8"/>
  <c r="AO146" i="8"/>
  <c r="BA146" i="8"/>
  <c r="Q146" i="8"/>
  <c r="B146" i="8"/>
  <c r="AM145" i="8"/>
  <c r="AY145" i="8"/>
  <c r="O145" i="8"/>
  <c r="AN145" i="8"/>
  <c r="AZ145" i="8"/>
  <c r="P145" i="8"/>
  <c r="AO145" i="8"/>
  <c r="BA145" i="8"/>
  <c r="Q145" i="8"/>
  <c r="B145" i="8"/>
  <c r="AM144" i="8"/>
  <c r="AY144" i="8"/>
  <c r="O144" i="8"/>
  <c r="AN144" i="8"/>
  <c r="AZ144" i="8"/>
  <c r="P144" i="8"/>
  <c r="AO144" i="8"/>
  <c r="BA144" i="8"/>
  <c r="Q144" i="8"/>
  <c r="B144" i="8"/>
  <c r="AM143" i="8"/>
  <c r="AY143" i="8"/>
  <c r="O143" i="8"/>
  <c r="AN143" i="8"/>
  <c r="AZ143" i="8"/>
  <c r="P143" i="8"/>
  <c r="AO143" i="8"/>
  <c r="BA143" i="8"/>
  <c r="Q143" i="8"/>
  <c r="B143" i="8"/>
  <c r="AM142" i="8"/>
  <c r="AY142" i="8"/>
  <c r="O142" i="8"/>
  <c r="AN142" i="8"/>
  <c r="AZ142" i="8"/>
  <c r="P142" i="8"/>
  <c r="AO142" i="8"/>
  <c r="BA142" i="8"/>
  <c r="Q142" i="8"/>
  <c r="B142" i="8"/>
  <c r="AM8" i="8"/>
  <c r="AY8" i="8"/>
  <c r="O8" i="8"/>
  <c r="AN8" i="8"/>
  <c r="AZ8" i="8"/>
  <c r="P8" i="8"/>
  <c r="AO8" i="8"/>
  <c r="BA8" i="8"/>
  <c r="Q8" i="8"/>
  <c r="B8" i="8"/>
  <c r="AM141" i="8"/>
  <c r="AY141" i="8"/>
  <c r="O141" i="8"/>
  <c r="AN141" i="8"/>
  <c r="AZ141" i="8"/>
  <c r="P141" i="8"/>
  <c r="AO141" i="8"/>
  <c r="BA141" i="8"/>
  <c r="Q141" i="8"/>
  <c r="B141" i="8"/>
  <c r="AM140" i="8"/>
  <c r="AY140" i="8"/>
  <c r="O140" i="8"/>
  <c r="AN140" i="8"/>
  <c r="AZ140" i="8"/>
  <c r="P140" i="8"/>
  <c r="AO140" i="8"/>
  <c r="BA140" i="8"/>
  <c r="Q140" i="8"/>
  <c r="B140" i="8"/>
  <c r="AM139" i="8"/>
  <c r="AY139" i="8"/>
  <c r="O139" i="8"/>
  <c r="AN139" i="8"/>
  <c r="AZ139" i="8"/>
  <c r="P139" i="8"/>
  <c r="AO139" i="8"/>
  <c r="BA139" i="8"/>
  <c r="Q139" i="8"/>
  <c r="B139" i="8"/>
  <c r="AM138" i="8"/>
  <c r="AY138" i="8"/>
  <c r="O138" i="8"/>
  <c r="AN138" i="8"/>
  <c r="AZ138" i="8"/>
  <c r="P138" i="8"/>
  <c r="AO138" i="8"/>
  <c r="BA138" i="8"/>
  <c r="Q138" i="8"/>
  <c r="B138" i="8"/>
  <c r="AM137" i="8"/>
  <c r="AY137" i="8"/>
  <c r="O137" i="8"/>
  <c r="AN137" i="8"/>
  <c r="AZ137" i="8"/>
  <c r="P137" i="8"/>
  <c r="AO137" i="8"/>
  <c r="BA137" i="8"/>
  <c r="Q137" i="8"/>
  <c r="B137" i="8"/>
  <c r="AM136" i="8"/>
  <c r="AY136" i="8"/>
  <c r="O136" i="8"/>
  <c r="AN136" i="8"/>
  <c r="AZ136" i="8"/>
  <c r="P136" i="8"/>
  <c r="AO136" i="8"/>
  <c r="BA136" i="8"/>
  <c r="Q136" i="8"/>
  <c r="B136" i="8"/>
  <c r="AM135" i="8"/>
  <c r="AY135" i="8"/>
  <c r="O135" i="8"/>
  <c r="AN135" i="8"/>
  <c r="AZ135" i="8"/>
  <c r="P135" i="8"/>
  <c r="AO135" i="8"/>
  <c r="BA135" i="8"/>
  <c r="Q135" i="8"/>
  <c r="B135" i="8"/>
  <c r="AM134" i="8"/>
  <c r="AY134" i="8"/>
  <c r="O134" i="8"/>
  <c r="AN134" i="8"/>
  <c r="AZ134" i="8"/>
  <c r="P134" i="8"/>
  <c r="AO134" i="8"/>
  <c r="BA134" i="8"/>
  <c r="Q134" i="8"/>
  <c r="B134" i="8"/>
  <c r="AM133" i="8"/>
  <c r="AY133" i="8"/>
  <c r="O133" i="8"/>
  <c r="AN133" i="8"/>
  <c r="AZ133" i="8"/>
  <c r="P133" i="8"/>
  <c r="AO133" i="8"/>
  <c r="BA133" i="8"/>
  <c r="Q133" i="8"/>
  <c r="B133" i="8"/>
  <c r="AM132" i="8"/>
  <c r="AY132" i="8"/>
  <c r="O132" i="8"/>
  <c r="AN132" i="8"/>
  <c r="AZ132" i="8"/>
  <c r="P132" i="8"/>
  <c r="AO132" i="8"/>
  <c r="BA132" i="8"/>
  <c r="Q132" i="8"/>
  <c r="B132" i="8"/>
  <c r="AM131" i="8"/>
  <c r="AY131" i="8"/>
  <c r="O131" i="8"/>
  <c r="AN131" i="8"/>
  <c r="AZ131" i="8"/>
  <c r="P131" i="8"/>
  <c r="AO131" i="8"/>
  <c r="BA131" i="8"/>
  <c r="Q131" i="8"/>
  <c r="B131" i="8"/>
  <c r="AM130" i="8"/>
  <c r="AY130" i="8"/>
  <c r="O130" i="8"/>
  <c r="AN130" i="8"/>
  <c r="AZ130" i="8"/>
  <c r="P130" i="8"/>
  <c r="AO130" i="8"/>
  <c r="BA130" i="8"/>
  <c r="Q130" i="8"/>
  <c r="B130" i="8"/>
  <c r="AM129" i="8"/>
  <c r="AY129" i="8"/>
  <c r="O129" i="8"/>
  <c r="AN129" i="8"/>
  <c r="AZ129" i="8"/>
  <c r="P129" i="8"/>
  <c r="AO129" i="8"/>
  <c r="BA129" i="8"/>
  <c r="Q129" i="8"/>
  <c r="B129" i="8"/>
  <c r="AM128" i="8"/>
  <c r="AY128" i="8"/>
  <c r="O128" i="8"/>
  <c r="AN128" i="8"/>
  <c r="AZ128" i="8"/>
  <c r="P128" i="8"/>
  <c r="AO128" i="8"/>
  <c r="BA128" i="8"/>
  <c r="Q128" i="8"/>
  <c r="B128" i="8"/>
  <c r="AM127" i="8"/>
  <c r="AY127" i="8"/>
  <c r="O127" i="8"/>
  <c r="AN127" i="8"/>
  <c r="AZ127" i="8"/>
  <c r="P127" i="8"/>
  <c r="AO127" i="8"/>
  <c r="BA127" i="8"/>
  <c r="Q127" i="8"/>
  <c r="B127" i="8"/>
  <c r="AM126" i="8"/>
  <c r="AY126" i="8"/>
  <c r="O126" i="8"/>
  <c r="AN126" i="8"/>
  <c r="AZ126" i="8"/>
  <c r="P126" i="8"/>
  <c r="AO126" i="8"/>
  <c r="BA126" i="8"/>
  <c r="Q126" i="8"/>
  <c r="B126" i="8"/>
  <c r="AM125" i="8"/>
  <c r="AY125" i="8"/>
  <c r="O125" i="8"/>
  <c r="AN125" i="8"/>
  <c r="AZ125" i="8"/>
  <c r="P125" i="8"/>
  <c r="AO125" i="8"/>
  <c r="BA125" i="8"/>
  <c r="Q125" i="8"/>
  <c r="B125" i="8"/>
  <c r="AM124" i="8"/>
  <c r="AY124" i="8"/>
  <c r="O124" i="8"/>
  <c r="AN124" i="8"/>
  <c r="AZ124" i="8"/>
  <c r="P124" i="8"/>
  <c r="AO124" i="8"/>
  <c r="BA124" i="8"/>
  <c r="Q124" i="8"/>
  <c r="B124" i="8"/>
  <c r="AM123" i="8"/>
  <c r="AY123" i="8"/>
  <c r="O123" i="8"/>
  <c r="AN123" i="8"/>
  <c r="AZ123" i="8"/>
  <c r="P123" i="8"/>
  <c r="AO123" i="8"/>
  <c r="BA123" i="8"/>
  <c r="Q123" i="8"/>
  <c r="B123" i="8"/>
  <c r="AM122" i="8"/>
  <c r="AY122" i="8"/>
  <c r="O122" i="8"/>
  <c r="AN122" i="8"/>
  <c r="AZ122" i="8"/>
  <c r="P122" i="8"/>
  <c r="AO122" i="8"/>
  <c r="BA122" i="8"/>
  <c r="Q122" i="8"/>
  <c r="B122" i="8"/>
  <c r="AM121" i="8"/>
  <c r="AY121" i="8"/>
  <c r="O121" i="8"/>
  <c r="AN121" i="8"/>
  <c r="AZ121" i="8"/>
  <c r="P121" i="8"/>
  <c r="AO121" i="8"/>
  <c r="BA121" i="8"/>
  <c r="Q121" i="8"/>
  <c r="B121" i="8"/>
  <c r="AM120" i="8"/>
  <c r="AY120" i="8"/>
  <c r="O120" i="8"/>
  <c r="AN120" i="8"/>
  <c r="AZ120" i="8"/>
  <c r="P120" i="8"/>
  <c r="AO120" i="8"/>
  <c r="BA120" i="8"/>
  <c r="Q120" i="8"/>
  <c r="B120" i="8"/>
  <c r="AM119" i="8"/>
  <c r="AY119" i="8"/>
  <c r="O119" i="8"/>
  <c r="AN119" i="8"/>
  <c r="AZ119" i="8"/>
  <c r="P119" i="8"/>
  <c r="AO119" i="8"/>
  <c r="BA119" i="8"/>
  <c r="Q119" i="8"/>
  <c r="B119" i="8"/>
  <c r="AM118" i="8"/>
  <c r="AY118" i="8"/>
  <c r="O118" i="8"/>
  <c r="AN118" i="8"/>
  <c r="AZ118" i="8"/>
  <c r="P118" i="8"/>
  <c r="AO118" i="8"/>
  <c r="BA118" i="8"/>
  <c r="Q118" i="8"/>
  <c r="B118" i="8"/>
  <c r="AM117" i="8"/>
  <c r="AY117" i="8"/>
  <c r="O117" i="8"/>
  <c r="AN117" i="8"/>
  <c r="AZ117" i="8"/>
  <c r="P117" i="8"/>
  <c r="AO117" i="8"/>
  <c r="BA117" i="8"/>
  <c r="Q117" i="8"/>
  <c r="B117" i="8"/>
  <c r="AO116" i="8"/>
  <c r="BA116" i="8"/>
  <c r="Q116" i="8"/>
  <c r="B116" i="8"/>
  <c r="AO115" i="8"/>
  <c r="BA115" i="8"/>
  <c r="Q115" i="8"/>
  <c r="B115" i="8"/>
  <c r="AO114" i="8"/>
  <c r="BA114" i="8"/>
  <c r="Q114" i="8"/>
  <c r="B114" i="8"/>
  <c r="AO113" i="8"/>
  <c r="BA113" i="8"/>
  <c r="Q113" i="8"/>
  <c r="B113" i="8"/>
  <c r="AO112" i="8"/>
  <c r="BA112" i="8"/>
  <c r="Q112" i="8"/>
  <c r="B112" i="8"/>
  <c r="AO111" i="8"/>
  <c r="BA111" i="8"/>
  <c r="Q111" i="8"/>
  <c r="B111" i="8"/>
  <c r="AO110" i="8"/>
  <c r="BA110" i="8"/>
  <c r="Q110" i="8"/>
  <c r="B110" i="8"/>
  <c r="AO109" i="8"/>
  <c r="BA109" i="8"/>
  <c r="Q109" i="8"/>
  <c r="B109" i="8"/>
  <c r="AO108" i="8"/>
  <c r="BA108" i="8"/>
  <c r="Q108" i="8"/>
  <c r="B108" i="8"/>
  <c r="AO107" i="8"/>
  <c r="BA107" i="8"/>
  <c r="Q107" i="8"/>
  <c r="B107" i="8"/>
  <c r="AO106" i="8"/>
  <c r="BA106" i="8"/>
  <c r="Q106" i="8"/>
  <c r="B106" i="8"/>
  <c r="AO105" i="8"/>
  <c r="BA105" i="8"/>
  <c r="Q105" i="8"/>
  <c r="B105" i="8"/>
  <c r="AO104" i="8"/>
  <c r="BA104" i="8"/>
  <c r="Q104" i="8"/>
  <c r="B104" i="8"/>
  <c r="AO103" i="8"/>
  <c r="BA103" i="8"/>
  <c r="Q103" i="8"/>
  <c r="B103" i="8"/>
  <c r="AO102" i="8"/>
  <c r="BA102" i="8"/>
  <c r="Q102" i="8"/>
  <c r="B102" i="8"/>
  <c r="AM100" i="8"/>
  <c r="AY100" i="8"/>
  <c r="O100" i="8"/>
  <c r="AN100" i="8"/>
  <c r="AZ100" i="8"/>
  <c r="P100" i="8"/>
  <c r="AO100" i="8"/>
  <c r="BA100" i="8"/>
  <c r="Q100" i="8"/>
  <c r="B100" i="8"/>
  <c r="AM71" i="8"/>
  <c r="AY71" i="8"/>
  <c r="O71" i="8"/>
  <c r="AN71" i="8"/>
  <c r="AZ71" i="8"/>
  <c r="P71" i="8"/>
  <c r="AO71" i="8"/>
  <c r="BA71" i="8"/>
  <c r="Q71" i="8"/>
  <c r="B71" i="8"/>
  <c r="AM70" i="8"/>
  <c r="AY70" i="8"/>
  <c r="O70" i="8"/>
  <c r="AN70" i="8"/>
  <c r="AZ70" i="8"/>
  <c r="P70" i="8"/>
  <c r="AO70" i="8"/>
  <c r="BA70" i="8"/>
  <c r="Q70" i="8"/>
  <c r="B70" i="8"/>
  <c r="AM69" i="8"/>
  <c r="AY69" i="8"/>
  <c r="O69" i="8"/>
  <c r="AN69" i="8"/>
  <c r="AZ69" i="8"/>
  <c r="P69" i="8"/>
  <c r="AO69" i="8"/>
  <c r="BA69" i="8"/>
  <c r="Q69" i="8"/>
  <c r="B69" i="8"/>
  <c r="AM68" i="8"/>
  <c r="AY68" i="8"/>
  <c r="O68" i="8"/>
  <c r="AN68" i="8"/>
  <c r="AZ68" i="8"/>
  <c r="P68" i="8"/>
  <c r="AO68" i="8"/>
  <c r="BA68" i="8"/>
  <c r="Q68" i="8"/>
  <c r="B68" i="8"/>
  <c r="AM67" i="8"/>
  <c r="AY67" i="8"/>
  <c r="O67" i="8"/>
  <c r="AN67" i="8"/>
  <c r="AZ67" i="8"/>
  <c r="P67" i="8"/>
  <c r="AO67" i="8"/>
  <c r="BA67" i="8"/>
  <c r="Q67" i="8"/>
  <c r="B67" i="8"/>
  <c r="AM66" i="8"/>
  <c r="AY66" i="8"/>
  <c r="O66" i="8"/>
  <c r="AN66" i="8"/>
  <c r="AZ66" i="8"/>
  <c r="P66" i="8"/>
  <c r="AO66" i="8"/>
  <c r="BA66" i="8"/>
  <c r="Q66" i="8"/>
  <c r="B66" i="8"/>
  <c r="AM65" i="8"/>
  <c r="AY65" i="8"/>
  <c r="O65" i="8"/>
  <c r="AN65" i="8"/>
  <c r="AZ65" i="8"/>
  <c r="P65" i="8"/>
  <c r="AO65" i="8"/>
  <c r="BA65" i="8"/>
  <c r="Q65" i="8"/>
  <c r="B65" i="8"/>
  <c r="AM64" i="8"/>
  <c r="AY64" i="8"/>
  <c r="O64" i="8"/>
  <c r="AN64" i="8"/>
  <c r="AZ64" i="8"/>
  <c r="P64" i="8"/>
  <c r="AO64" i="8"/>
  <c r="BA64" i="8"/>
  <c r="Q64" i="8"/>
  <c r="B64" i="8"/>
  <c r="AM63" i="8"/>
  <c r="AY63" i="8"/>
  <c r="O63" i="8"/>
  <c r="AN63" i="8"/>
  <c r="AZ63" i="8"/>
  <c r="P63" i="8"/>
  <c r="AO63" i="8"/>
  <c r="BA63" i="8"/>
  <c r="Q63" i="8"/>
  <c r="B63" i="8"/>
  <c r="AM5" i="8"/>
  <c r="AY5" i="8"/>
  <c r="O5" i="8"/>
  <c r="AN5" i="8"/>
  <c r="AZ5" i="8"/>
  <c r="P5" i="8"/>
  <c r="AO5" i="8"/>
  <c r="BA5" i="8"/>
  <c r="Q5" i="8"/>
  <c r="B5" i="8"/>
  <c r="AM62" i="8"/>
  <c r="AY62" i="8"/>
  <c r="O62" i="8"/>
  <c r="AN62" i="8"/>
  <c r="AZ62" i="8"/>
  <c r="P62" i="8"/>
  <c r="AO62" i="8"/>
  <c r="BA62" i="8"/>
  <c r="Q62" i="8"/>
  <c r="B62" i="8"/>
  <c r="AM61" i="8"/>
  <c r="AY61" i="8"/>
  <c r="O61" i="8"/>
  <c r="AN61" i="8"/>
  <c r="AZ61" i="8"/>
  <c r="P61" i="8"/>
  <c r="AO61" i="8"/>
  <c r="BA61" i="8"/>
  <c r="Q61" i="8"/>
  <c r="B61" i="8"/>
  <c r="AM4" i="8"/>
  <c r="AY4" i="8"/>
  <c r="O4" i="8"/>
  <c r="AN4" i="8"/>
  <c r="AZ4" i="8"/>
  <c r="P4" i="8"/>
  <c r="AO4" i="8"/>
  <c r="BA4" i="8"/>
  <c r="Q4" i="8"/>
  <c r="B4" i="8"/>
  <c r="AM60" i="8"/>
  <c r="AY60" i="8"/>
  <c r="O60" i="8"/>
  <c r="AN60" i="8"/>
  <c r="AZ60" i="8"/>
  <c r="P60" i="8"/>
  <c r="AO60" i="8"/>
  <c r="BA60" i="8"/>
  <c r="Q60" i="8"/>
  <c r="B60" i="8"/>
  <c r="AM59" i="8"/>
  <c r="AY59" i="8"/>
  <c r="O59" i="8"/>
  <c r="AN59" i="8"/>
  <c r="AZ59" i="8"/>
  <c r="P59" i="8"/>
  <c r="AO59" i="8"/>
  <c r="BA59" i="8"/>
  <c r="Q59" i="8"/>
  <c r="B59" i="8"/>
  <c r="AM58" i="8"/>
  <c r="AY58" i="8"/>
  <c r="O58" i="8"/>
  <c r="AN58" i="8"/>
  <c r="AZ58" i="8"/>
  <c r="P58" i="8"/>
  <c r="AO58" i="8"/>
  <c r="BA58" i="8"/>
  <c r="Q58" i="8"/>
  <c r="B58" i="8"/>
  <c r="AO57" i="8"/>
  <c r="BA57" i="8"/>
  <c r="Q57" i="8"/>
  <c r="B57" i="8"/>
  <c r="AM56" i="8"/>
  <c r="AY56" i="8"/>
  <c r="O56" i="8"/>
  <c r="AN56" i="8"/>
  <c r="AZ56" i="8"/>
  <c r="P56" i="8"/>
  <c r="AO56" i="8"/>
  <c r="BA56" i="8"/>
  <c r="Q56" i="8"/>
  <c r="B56" i="8"/>
  <c r="AM55" i="8"/>
  <c r="AY55" i="8"/>
  <c r="O55" i="8"/>
  <c r="AN55" i="8"/>
  <c r="AZ55" i="8"/>
  <c r="P55" i="8"/>
  <c r="AO55" i="8"/>
  <c r="BA55" i="8"/>
  <c r="Q55" i="8"/>
  <c r="B55" i="8"/>
  <c r="AM54" i="8"/>
  <c r="AY54" i="8"/>
  <c r="O54" i="8"/>
  <c r="AN54" i="8"/>
  <c r="AZ54" i="8"/>
  <c r="P54" i="8"/>
  <c r="AO54" i="8"/>
  <c r="BA54" i="8"/>
  <c r="Q54" i="8"/>
  <c r="B54" i="8"/>
  <c r="AM53" i="8"/>
  <c r="AY53" i="8"/>
  <c r="O53" i="8"/>
  <c r="AN53" i="8"/>
  <c r="AZ53" i="8"/>
  <c r="P53" i="8"/>
  <c r="AO53" i="8"/>
  <c r="BA53" i="8"/>
  <c r="Q53" i="8"/>
  <c r="B53" i="8"/>
  <c r="AM52" i="8"/>
  <c r="AY52" i="8"/>
  <c r="O52" i="8"/>
  <c r="AN52" i="8"/>
  <c r="AZ52" i="8"/>
  <c r="P52" i="8"/>
  <c r="AO52" i="8"/>
  <c r="BA52" i="8"/>
  <c r="Q52" i="8"/>
  <c r="B52" i="8"/>
  <c r="AM51" i="8"/>
  <c r="AY51" i="8"/>
  <c r="O51" i="8"/>
  <c r="AN51" i="8"/>
  <c r="AZ51" i="8"/>
  <c r="P51" i="8"/>
  <c r="AO51" i="8"/>
  <c r="BA51" i="8"/>
  <c r="Q51" i="8"/>
  <c r="B51" i="8"/>
  <c r="AM50" i="8"/>
  <c r="AY50" i="8"/>
  <c r="O50" i="8"/>
  <c r="AN50" i="8"/>
  <c r="AZ50" i="8"/>
  <c r="P50" i="8"/>
  <c r="AO50" i="8"/>
  <c r="BA50" i="8"/>
  <c r="Q50" i="8"/>
  <c r="B50" i="8"/>
  <c r="AM49" i="8"/>
  <c r="AY49" i="8"/>
  <c r="O49" i="8"/>
  <c r="AN49" i="8"/>
  <c r="AZ49" i="8"/>
  <c r="P49" i="8"/>
  <c r="AO49" i="8"/>
  <c r="BA49" i="8"/>
  <c r="Q49" i="8"/>
  <c r="B49" i="8"/>
  <c r="AM48" i="8"/>
  <c r="AY48" i="8"/>
  <c r="O48" i="8"/>
  <c r="AN48" i="8"/>
  <c r="AZ48" i="8"/>
  <c r="P48" i="8"/>
  <c r="AO48" i="8"/>
  <c r="BA48" i="8"/>
  <c r="Q48" i="8"/>
  <c r="B48" i="8"/>
  <c r="AM3" i="8"/>
  <c r="AY3" i="8"/>
  <c r="O3" i="8"/>
  <c r="AN3" i="8"/>
  <c r="AZ3" i="8"/>
  <c r="P3" i="8"/>
  <c r="AO3" i="8"/>
  <c r="BA3" i="8"/>
  <c r="Q3" i="8"/>
  <c r="B3" i="8"/>
  <c r="AM47" i="8"/>
  <c r="AY47" i="8"/>
  <c r="O47" i="8"/>
  <c r="AN47" i="8"/>
  <c r="AZ47" i="8"/>
  <c r="P47" i="8"/>
  <c r="AO47" i="8"/>
  <c r="BA47" i="8"/>
  <c r="Q47" i="8"/>
  <c r="B47" i="8"/>
  <c r="AM46" i="8"/>
  <c r="AY46" i="8"/>
  <c r="O46" i="8"/>
  <c r="AN46" i="8"/>
  <c r="AZ46" i="8"/>
  <c r="P46" i="8"/>
  <c r="AO46" i="8"/>
  <c r="BA46" i="8"/>
  <c r="Q46" i="8"/>
  <c r="B46" i="8"/>
  <c r="AM45" i="8"/>
  <c r="AY45" i="8"/>
  <c r="O45" i="8"/>
  <c r="AN45" i="8"/>
  <c r="AZ45" i="8"/>
  <c r="P45" i="8"/>
  <c r="AO45" i="8"/>
  <c r="BA45" i="8"/>
  <c r="Q45" i="8"/>
  <c r="B45" i="8"/>
  <c r="AM99" i="8"/>
  <c r="AY99" i="8"/>
  <c r="O99" i="8"/>
  <c r="AN99" i="8"/>
  <c r="AZ99" i="8"/>
  <c r="P99" i="8"/>
  <c r="AO99" i="8"/>
  <c r="BA99" i="8"/>
  <c r="Q99" i="8"/>
  <c r="B99" i="8"/>
  <c r="AM98" i="8"/>
  <c r="AY98" i="8"/>
  <c r="O98" i="8"/>
  <c r="AN98" i="8"/>
  <c r="AZ98" i="8"/>
  <c r="P98" i="8"/>
  <c r="B98" i="8"/>
  <c r="AM97" i="8"/>
  <c r="AY97" i="8"/>
  <c r="O97" i="8"/>
  <c r="AN97" i="8"/>
  <c r="AZ97" i="8"/>
  <c r="P97" i="8"/>
  <c r="B97" i="8"/>
  <c r="AM96" i="8"/>
  <c r="AY96" i="8"/>
  <c r="O96" i="8"/>
  <c r="AN96" i="8"/>
  <c r="AZ96" i="8"/>
  <c r="P96" i="8"/>
  <c r="AO96" i="8"/>
  <c r="BA96" i="8"/>
  <c r="Q96" i="8"/>
  <c r="B96" i="8"/>
  <c r="AM95" i="8"/>
  <c r="AY95" i="8"/>
  <c r="O95" i="8"/>
  <c r="AN95" i="8"/>
  <c r="AZ95" i="8"/>
  <c r="P95" i="8"/>
  <c r="AO95" i="8"/>
  <c r="BA95" i="8"/>
  <c r="Q95" i="8"/>
  <c r="B95" i="8"/>
  <c r="AM94" i="8"/>
  <c r="AY94" i="8"/>
  <c r="O94" i="8"/>
  <c r="AN94" i="8"/>
  <c r="AZ94" i="8"/>
  <c r="P94" i="8"/>
  <c r="AO94" i="8"/>
  <c r="BA94" i="8"/>
  <c r="Q94" i="8"/>
  <c r="B94" i="8"/>
  <c r="AM93" i="8"/>
  <c r="AY93" i="8"/>
  <c r="O93" i="8"/>
  <c r="AN93" i="8"/>
  <c r="AZ93" i="8"/>
  <c r="P93" i="8"/>
  <c r="AO93" i="8"/>
  <c r="BA93" i="8"/>
  <c r="Q93" i="8"/>
  <c r="B93" i="8"/>
  <c r="AM92" i="8"/>
  <c r="AY92" i="8"/>
  <c r="O92" i="8"/>
  <c r="AN92" i="8"/>
  <c r="AZ92" i="8"/>
  <c r="P92" i="8"/>
  <c r="AO92" i="8"/>
  <c r="BA92" i="8"/>
  <c r="Q92" i="8"/>
  <c r="B92" i="8"/>
  <c r="AM91" i="8"/>
  <c r="AY91" i="8"/>
  <c r="O91" i="8"/>
  <c r="AN91" i="8"/>
  <c r="AZ91" i="8"/>
  <c r="P91" i="8"/>
  <c r="AO91" i="8"/>
  <c r="BA91" i="8"/>
  <c r="Q91" i="8"/>
  <c r="B91" i="8"/>
  <c r="AM90" i="8"/>
  <c r="AY90" i="8"/>
  <c r="O90" i="8"/>
  <c r="AN90" i="8"/>
  <c r="AZ90" i="8"/>
  <c r="P90" i="8"/>
  <c r="AO90" i="8"/>
  <c r="BA90" i="8"/>
  <c r="Q90" i="8"/>
  <c r="B90" i="8"/>
  <c r="AM89" i="8"/>
  <c r="AY89" i="8"/>
  <c r="O89" i="8"/>
  <c r="AN89" i="8"/>
  <c r="AZ89" i="8"/>
  <c r="P89" i="8"/>
  <c r="AO89" i="8"/>
  <c r="BA89" i="8"/>
  <c r="Q89" i="8"/>
  <c r="B89" i="8"/>
  <c r="AM88" i="8"/>
  <c r="AY88" i="8"/>
  <c r="O88" i="8"/>
  <c r="AN88" i="8"/>
  <c r="AZ88" i="8"/>
  <c r="P88" i="8"/>
  <c r="AO88" i="8"/>
  <c r="BA88" i="8"/>
  <c r="Q88" i="8"/>
  <c r="B88" i="8"/>
  <c r="AM87" i="8"/>
  <c r="AY87" i="8"/>
  <c r="O87" i="8"/>
  <c r="AN87" i="8"/>
  <c r="AZ87" i="8"/>
  <c r="P87" i="8"/>
  <c r="AO87" i="8"/>
  <c r="BA87" i="8"/>
  <c r="Q87" i="8"/>
  <c r="B87" i="8"/>
  <c r="AM86" i="8"/>
  <c r="AY86" i="8"/>
  <c r="O86" i="8"/>
  <c r="AN86" i="8"/>
  <c r="AZ86" i="8"/>
  <c r="P86" i="8"/>
  <c r="AO86" i="8"/>
  <c r="BA86" i="8"/>
  <c r="Q86" i="8"/>
  <c r="B86" i="8"/>
  <c r="AM85" i="8"/>
  <c r="AY85" i="8"/>
  <c r="O85" i="8"/>
  <c r="AN85" i="8"/>
  <c r="AZ85" i="8"/>
  <c r="P85" i="8"/>
  <c r="AO85" i="8"/>
  <c r="BA85" i="8"/>
  <c r="Q85" i="8"/>
  <c r="B85" i="8"/>
  <c r="AM84" i="8"/>
  <c r="AY84" i="8"/>
  <c r="O84" i="8"/>
  <c r="AN84" i="8"/>
  <c r="AZ84" i="8"/>
  <c r="P84" i="8"/>
  <c r="AO84" i="8"/>
  <c r="BA84" i="8"/>
  <c r="Q84" i="8"/>
  <c r="B84" i="8"/>
  <c r="AM83" i="8"/>
  <c r="AY83" i="8"/>
  <c r="O83" i="8"/>
  <c r="AN83" i="8"/>
  <c r="AZ83" i="8"/>
  <c r="P83" i="8"/>
  <c r="AO83" i="8"/>
  <c r="BA83" i="8"/>
  <c r="Q83" i="8"/>
  <c r="B83" i="8"/>
  <c r="AM82" i="8"/>
  <c r="AY82" i="8"/>
  <c r="O82" i="8"/>
  <c r="AN82" i="8"/>
  <c r="AZ82" i="8"/>
  <c r="P82" i="8"/>
  <c r="AO82" i="8"/>
  <c r="BA82" i="8"/>
  <c r="Q82" i="8"/>
  <c r="B82" i="8"/>
  <c r="AM81" i="8"/>
  <c r="AY81" i="8"/>
  <c r="O81" i="8"/>
  <c r="AN81" i="8"/>
  <c r="AZ81" i="8"/>
  <c r="P81" i="8"/>
  <c r="AO81" i="8"/>
  <c r="BA81" i="8"/>
  <c r="Q81" i="8"/>
  <c r="B81" i="8"/>
  <c r="AM80" i="8"/>
  <c r="AY80" i="8"/>
  <c r="O80" i="8"/>
  <c r="AN80" i="8"/>
  <c r="AZ80" i="8"/>
  <c r="P80" i="8"/>
  <c r="AO80" i="8"/>
  <c r="BA80" i="8"/>
  <c r="Q80" i="8"/>
  <c r="B80" i="8"/>
  <c r="AM79" i="8"/>
  <c r="AY79" i="8"/>
  <c r="O79" i="8"/>
  <c r="AN79" i="8"/>
  <c r="AZ79" i="8"/>
  <c r="P79" i="8"/>
  <c r="AO79" i="8"/>
  <c r="BA79" i="8"/>
  <c r="Q79" i="8"/>
  <c r="B79" i="8"/>
  <c r="AM7" i="8"/>
  <c r="AY7" i="8"/>
  <c r="O7" i="8"/>
  <c r="AN7" i="8"/>
  <c r="AZ7" i="8"/>
  <c r="P7" i="8"/>
  <c r="AO7" i="8"/>
  <c r="BA7" i="8"/>
  <c r="Q7" i="8"/>
  <c r="B7" i="8"/>
  <c r="AM6" i="8"/>
  <c r="AY6" i="8"/>
  <c r="O6" i="8"/>
  <c r="AN6" i="8"/>
  <c r="AZ6" i="8"/>
  <c r="P6" i="8"/>
  <c r="AO6" i="8"/>
  <c r="BA6" i="8"/>
  <c r="Q6" i="8"/>
  <c r="B6" i="8"/>
  <c r="AM78" i="8"/>
  <c r="AY78" i="8"/>
  <c r="O78" i="8"/>
  <c r="AN78" i="8"/>
  <c r="AZ78" i="8"/>
  <c r="P78" i="8"/>
  <c r="AO78" i="8"/>
  <c r="BA78" i="8"/>
  <c r="Q78" i="8"/>
  <c r="B78" i="8"/>
  <c r="AO77" i="8"/>
  <c r="BA77" i="8"/>
  <c r="Q77" i="8"/>
  <c r="B77" i="8"/>
  <c r="AM76" i="8"/>
  <c r="AY76" i="8"/>
  <c r="O76" i="8"/>
  <c r="AN76" i="8"/>
  <c r="AZ76" i="8"/>
  <c r="P76" i="8"/>
  <c r="AO76" i="8"/>
  <c r="BA76" i="8"/>
  <c r="Q76" i="8"/>
  <c r="B76" i="8"/>
  <c r="AO75" i="8"/>
  <c r="BA75" i="8"/>
  <c r="Q75" i="8"/>
  <c r="B75" i="8"/>
  <c r="AM74" i="8"/>
  <c r="AY74" i="8"/>
  <c r="O74" i="8"/>
  <c r="AN74" i="8"/>
  <c r="AZ74" i="8"/>
  <c r="P74" i="8"/>
  <c r="AO74" i="8"/>
  <c r="BA74" i="8"/>
  <c r="Q74" i="8"/>
  <c r="B74" i="8"/>
  <c r="AM73" i="8"/>
  <c r="AY73" i="8"/>
  <c r="O73" i="8"/>
  <c r="AN73" i="8"/>
  <c r="AZ73" i="8"/>
  <c r="P73" i="8"/>
  <c r="AO73" i="8"/>
  <c r="BA73" i="8"/>
  <c r="Q73" i="8"/>
  <c r="B73" i="8"/>
  <c r="AM72" i="8"/>
  <c r="AY72" i="8"/>
  <c r="O72" i="8"/>
  <c r="AN72" i="8"/>
  <c r="AZ72" i="8"/>
  <c r="P72" i="8"/>
  <c r="AO72" i="8"/>
  <c r="BA72" i="8"/>
  <c r="Q72" i="8"/>
  <c r="B72" i="8"/>
  <c r="AM44" i="8"/>
  <c r="AY44" i="8"/>
  <c r="O44" i="8"/>
  <c r="AN44" i="8"/>
  <c r="AZ44" i="8"/>
  <c r="P44" i="8"/>
  <c r="AO44" i="8"/>
  <c r="BA44" i="8"/>
  <c r="Q44" i="8"/>
  <c r="B44" i="8"/>
  <c r="AM43" i="8"/>
  <c r="AY43" i="8"/>
  <c r="O43" i="8"/>
  <c r="AN43" i="8"/>
  <c r="AZ43" i="8"/>
  <c r="P43" i="8"/>
  <c r="AO43" i="8"/>
  <c r="BA43" i="8"/>
  <c r="Q43" i="8"/>
  <c r="B43" i="8"/>
  <c r="AM42" i="8"/>
  <c r="AY42" i="8"/>
  <c r="O42" i="8"/>
  <c r="AN42" i="8"/>
  <c r="AZ42" i="8"/>
  <c r="P42" i="8"/>
  <c r="AO42" i="8"/>
  <c r="BA42" i="8"/>
  <c r="Q42" i="8"/>
  <c r="B42" i="8"/>
  <c r="AM2" i="8"/>
  <c r="AY2" i="8"/>
  <c r="O2" i="8"/>
  <c r="AN2" i="8"/>
  <c r="AZ2" i="8"/>
  <c r="P2" i="8"/>
  <c r="AO2" i="8"/>
  <c r="BA2" i="8"/>
  <c r="Q2" i="8"/>
  <c r="B2" i="8"/>
  <c r="AM41" i="8"/>
  <c r="AY41" i="8"/>
  <c r="O41" i="8"/>
  <c r="AN41" i="8"/>
  <c r="AZ41" i="8"/>
  <c r="P41" i="8"/>
  <c r="AO41" i="8"/>
  <c r="BA41" i="8"/>
  <c r="Q41" i="8"/>
  <c r="B41" i="8"/>
  <c r="AO40" i="8"/>
  <c r="BA40" i="8"/>
  <c r="Q40" i="8"/>
  <c r="B40" i="8"/>
  <c r="AM39" i="8"/>
  <c r="AY39" i="8"/>
  <c r="O39" i="8"/>
  <c r="AN39" i="8"/>
  <c r="AZ39" i="8"/>
  <c r="P39" i="8"/>
  <c r="AO39" i="8"/>
  <c r="BA39" i="8"/>
  <c r="Q39" i="8"/>
  <c r="B39" i="8"/>
  <c r="BL67" i="2"/>
  <c r="BL68" i="2"/>
  <c r="BL69" i="2"/>
  <c r="BL79" i="2"/>
  <c r="BK67" i="2"/>
  <c r="BK68" i="2"/>
  <c r="BK69" i="2"/>
  <c r="BK79" i="2"/>
  <c r="BJ67" i="2"/>
  <c r="BJ68" i="2"/>
  <c r="BJ69" i="2"/>
  <c r="BJ79" i="2"/>
  <c r="W42" i="2"/>
  <c r="W12" i="2"/>
  <c r="W7" i="2"/>
  <c r="W39" i="2"/>
  <c r="W40" i="2"/>
  <c r="W8" i="2"/>
  <c r="W28" i="2"/>
  <c r="W24" i="2"/>
  <c r="W33" i="2"/>
  <c r="W34" i="2"/>
  <c r="W32" i="2"/>
  <c r="W17" i="2"/>
  <c r="W16" i="2"/>
  <c r="W10" i="2"/>
  <c r="W13" i="2"/>
  <c r="W11" i="2"/>
  <c r="W36" i="2"/>
  <c r="W35" i="2"/>
  <c r="W31" i="2"/>
  <c r="W18" i="2"/>
  <c r="W26" i="2"/>
  <c r="W15" i="2"/>
  <c r="BI67" i="2"/>
  <c r="BI68" i="2"/>
  <c r="BI69" i="2"/>
  <c r="BI79" i="2"/>
  <c r="V42" i="2"/>
  <c r="V12" i="2"/>
  <c r="V28" i="2"/>
  <c r="V33" i="2"/>
  <c r="V34" i="2"/>
  <c r="V17" i="2"/>
  <c r="V10" i="2"/>
  <c r="V13" i="2"/>
  <c r="V11" i="2"/>
  <c r="V36" i="2"/>
  <c r="V35" i="2"/>
  <c r="V31" i="2"/>
  <c r="V26" i="2"/>
  <c r="BH67" i="2"/>
  <c r="BH68" i="2"/>
  <c r="BH69" i="2"/>
  <c r="BH79" i="2"/>
  <c r="U42" i="2"/>
  <c r="U12" i="2"/>
  <c r="U7" i="2"/>
  <c r="U39" i="2"/>
  <c r="U40" i="2"/>
  <c r="U8" i="2"/>
  <c r="U28" i="2"/>
  <c r="U33" i="2"/>
  <c r="U34" i="2"/>
  <c r="U32" i="2"/>
  <c r="U17" i="2"/>
  <c r="U16" i="2"/>
  <c r="U10" i="2"/>
  <c r="U13" i="2"/>
  <c r="U11" i="2"/>
  <c r="U36" i="2"/>
  <c r="U35" i="2"/>
  <c r="U31" i="2"/>
  <c r="U26" i="2"/>
  <c r="U15" i="2"/>
  <c r="BG67" i="2"/>
  <c r="BG68" i="2"/>
  <c r="BG69" i="2"/>
  <c r="BG79" i="2"/>
  <c r="AM29" i="2"/>
  <c r="AM28" i="2"/>
  <c r="AM17" i="2"/>
  <c r="AM12" i="2"/>
  <c r="AM10" i="2"/>
  <c r="AM13" i="2"/>
  <c r="AM11" i="2"/>
  <c r="AM8" i="2"/>
  <c r="AM27" i="2"/>
  <c r="AM7" i="2"/>
  <c r="AM16" i="2"/>
  <c r="AM5" i="2"/>
  <c r="AM36" i="2"/>
  <c r="AM38" i="2"/>
  <c r="AM18" i="2"/>
  <c r="AM15" i="2"/>
  <c r="AM23" i="2"/>
  <c r="AM37" i="2"/>
  <c r="AM30" i="2"/>
  <c r="AM43" i="2"/>
  <c r="AM41" i="2"/>
  <c r="AM22" i="2"/>
  <c r="AM39" i="2"/>
  <c r="AM40" i="2"/>
  <c r="AM34" i="2"/>
  <c r="AM31" i="2"/>
  <c r="AM24" i="2"/>
  <c r="AM32" i="2"/>
  <c r="AM33" i="2"/>
  <c r="AM35" i="2"/>
  <c r="AM42" i="2"/>
  <c r="AJ82" i="4"/>
  <c r="AJ275" i="4"/>
  <c r="AJ255" i="4"/>
  <c r="AJ253" i="4"/>
  <c r="AJ239" i="4"/>
  <c r="AJ238" i="4"/>
  <c r="AJ236" i="4"/>
  <c r="AJ235" i="4"/>
  <c r="AJ234" i="4"/>
  <c r="AJ233" i="4"/>
  <c r="AJ231" i="4"/>
  <c r="AJ183" i="4"/>
  <c r="AJ175" i="4"/>
  <c r="AJ156" i="4"/>
  <c r="AJ155" i="4"/>
  <c r="AJ154" i="4"/>
  <c r="AJ136" i="4"/>
  <c r="AJ129" i="4"/>
  <c r="AJ120" i="4"/>
  <c r="AJ119" i="4"/>
  <c r="AJ110" i="4"/>
  <c r="AJ97" i="4"/>
  <c r="AJ63" i="4"/>
  <c r="AJ62" i="4"/>
  <c r="AJ287" i="4"/>
  <c r="AJ145" i="4"/>
  <c r="AJ102" i="4"/>
  <c r="AJ173" i="4"/>
  <c r="AJ88" i="4"/>
  <c r="AJ87" i="4"/>
  <c r="AJ86" i="4"/>
  <c r="AJ72" i="4"/>
  <c r="AJ71" i="4"/>
  <c r="AJ70" i="4"/>
  <c r="AJ49" i="4"/>
  <c r="AJ262" i="4"/>
  <c r="AJ261" i="4"/>
  <c r="AJ212" i="4"/>
  <c r="AJ186" i="4"/>
  <c r="AJ184" i="4"/>
  <c r="AJ181" i="4"/>
  <c r="AJ162" i="4"/>
  <c r="AJ131" i="4"/>
  <c r="AJ125" i="4"/>
  <c r="AJ118" i="4"/>
  <c r="AJ116" i="4"/>
  <c r="AJ112" i="4"/>
  <c r="AJ64" i="4"/>
  <c r="AJ48" i="4"/>
  <c r="AJ45" i="4"/>
  <c r="AJ44" i="4"/>
  <c r="AJ43" i="4"/>
  <c r="AJ42" i="4"/>
  <c r="AJ41" i="4"/>
  <c r="AJ26" i="4"/>
  <c r="AJ291" i="4"/>
  <c r="AJ100" i="4"/>
  <c r="AJ95" i="4"/>
  <c r="AJ73" i="4"/>
  <c r="AJ69" i="4"/>
  <c r="AJ68" i="4"/>
  <c r="AJ67" i="4"/>
  <c r="AJ61" i="4"/>
  <c r="AJ60" i="4"/>
  <c r="AJ59" i="4"/>
  <c r="AJ58" i="4"/>
  <c r="AJ57" i="4"/>
  <c r="AJ56" i="4"/>
  <c r="AJ55" i="4"/>
  <c r="AJ54" i="4"/>
  <c r="AJ53" i="4"/>
  <c r="AJ52" i="4"/>
  <c r="AJ51" i="4"/>
  <c r="AJ27" i="4"/>
  <c r="AJ25" i="4"/>
  <c r="AJ24" i="4"/>
  <c r="AJ276" i="4"/>
  <c r="AJ256" i="4"/>
  <c r="AJ251" i="4"/>
  <c r="AJ242" i="4"/>
  <c r="AJ241" i="4"/>
  <c r="AJ240" i="4"/>
  <c r="AJ151" i="4"/>
  <c r="AJ147" i="4"/>
  <c r="AJ132" i="4"/>
  <c r="AJ108" i="4"/>
  <c r="AJ115" i="4"/>
  <c r="AJ249" i="4"/>
  <c r="AJ246" i="4"/>
  <c r="AJ211" i="4"/>
  <c r="AJ210" i="4"/>
  <c r="AJ209" i="4"/>
  <c r="AJ199" i="4"/>
  <c r="AJ198" i="4"/>
  <c r="AJ190" i="4"/>
  <c r="AJ135" i="4"/>
  <c r="AJ105" i="4"/>
  <c r="AJ104" i="4"/>
  <c r="AJ94" i="4"/>
  <c r="AJ260" i="4"/>
  <c r="AJ254" i="4"/>
  <c r="AJ295" i="4"/>
  <c r="AJ294" i="4"/>
  <c r="AJ232" i="4"/>
  <c r="AJ229" i="4"/>
  <c r="AJ228" i="4"/>
  <c r="AJ297" i="4"/>
  <c r="AJ208" i="4"/>
  <c r="AJ207" i="4"/>
  <c r="AJ206" i="4"/>
  <c r="AJ205" i="4"/>
  <c r="AJ204" i="4"/>
  <c r="AJ203" i="4"/>
  <c r="AJ202" i="4"/>
  <c r="AJ197" i="4"/>
  <c r="AJ196" i="4"/>
  <c r="AJ195" i="4"/>
  <c r="AJ194" i="4"/>
  <c r="AJ193" i="4"/>
  <c r="AJ192" i="4"/>
  <c r="AJ153" i="4"/>
  <c r="AJ149" i="4"/>
  <c r="AJ148" i="4"/>
  <c r="AJ146" i="4"/>
  <c r="AJ139" i="4"/>
  <c r="AJ134" i="4"/>
  <c r="AJ123" i="4"/>
  <c r="AJ121" i="4"/>
  <c r="AJ111" i="4"/>
  <c r="AJ103" i="4"/>
  <c r="AJ98" i="4"/>
  <c r="AJ93" i="4"/>
  <c r="AJ81" i="4"/>
  <c r="AJ50" i="4"/>
  <c r="AJ46" i="4"/>
  <c r="AJ245" i="4"/>
  <c r="AJ298" i="4"/>
  <c r="AJ244" i="4"/>
  <c r="AJ243" i="4"/>
  <c r="AJ237" i="4"/>
  <c r="AJ182" i="4"/>
  <c r="AJ170" i="4"/>
  <c r="AJ169" i="4"/>
  <c r="AJ168" i="4"/>
  <c r="AJ140" i="4"/>
  <c r="AJ137" i="4"/>
  <c r="AJ133" i="4"/>
  <c r="AJ122" i="4"/>
  <c r="AJ113" i="4"/>
  <c r="AJ84" i="4"/>
  <c r="AJ83" i="4"/>
  <c r="AJ273" i="4"/>
  <c r="AJ248" i="4"/>
  <c r="AJ247" i="4"/>
  <c r="AJ217" i="4"/>
  <c r="AJ216" i="4"/>
  <c r="AJ201" i="4"/>
  <c r="AJ180" i="4"/>
  <c r="AJ289" i="4"/>
  <c r="AJ288" i="4"/>
  <c r="AJ271" i="4"/>
  <c r="AJ270" i="4"/>
  <c r="AJ220" i="4"/>
  <c r="AJ219" i="4"/>
  <c r="AJ296" i="4"/>
  <c r="AJ47" i="4"/>
  <c r="AJ230" i="4"/>
  <c r="AJ218" i="4"/>
  <c r="AJ191" i="4"/>
  <c r="AJ188" i="4"/>
  <c r="AJ187" i="4"/>
  <c r="AJ185" i="4"/>
  <c r="AJ174" i="4"/>
  <c r="AJ172" i="4"/>
  <c r="AJ130" i="4"/>
  <c r="AJ99" i="4"/>
  <c r="AJ90" i="4"/>
  <c r="AJ85" i="4"/>
  <c r="AJ80" i="4"/>
  <c r="AJ79" i="4"/>
  <c r="AJ290" i="4"/>
  <c r="AJ286" i="4"/>
  <c r="AJ284" i="4"/>
  <c r="AJ274" i="4"/>
  <c r="AJ272" i="4"/>
  <c r="AJ221" i="4"/>
  <c r="AJ200" i="4"/>
  <c r="AJ179" i="4"/>
  <c r="AJ161" i="4"/>
  <c r="AJ101" i="4"/>
  <c r="AJ292" i="4"/>
  <c r="AJ92" i="4"/>
  <c r="AJ91" i="4"/>
  <c r="AJ164" i="4"/>
  <c r="AJ150" i="4"/>
  <c r="AJ127" i="4"/>
  <c r="AJ109" i="4"/>
  <c r="AJ15" i="4"/>
  <c r="AJ14" i="4"/>
  <c r="AJ13" i="4"/>
  <c r="AJ285" i="4"/>
  <c r="AJ250" i="4"/>
  <c r="AJ178" i="4"/>
  <c r="AJ171" i="4"/>
  <c r="AJ163" i="4"/>
  <c r="AJ89" i="4"/>
  <c r="AJ23" i="4"/>
  <c r="AJ22" i="4"/>
  <c r="AJ21" i="4"/>
  <c r="AJ20" i="4"/>
  <c r="AJ189" i="4"/>
  <c r="AJ177" i="4"/>
  <c r="AJ176" i="4"/>
  <c r="AJ34" i="4"/>
  <c r="AJ269" i="4"/>
  <c r="AJ268" i="4"/>
  <c r="AJ267" i="4"/>
  <c r="AJ266" i="4"/>
  <c r="AJ265" i="4"/>
  <c r="AJ141" i="4"/>
  <c r="AJ117" i="4"/>
  <c r="AJ283" i="4"/>
  <c r="AJ282" i="4"/>
  <c r="AJ281" i="4"/>
  <c r="AJ280" i="4"/>
  <c r="AJ279" i="4"/>
  <c r="AJ278" i="4"/>
  <c r="AJ252" i="4"/>
  <c r="AJ7" i="4"/>
  <c r="AJ293" i="4"/>
  <c r="AJ38" i="4"/>
  <c r="AJ35" i="4"/>
  <c r="AJ19" i="4"/>
  <c r="AJ18" i="4"/>
  <c r="AJ17" i="4"/>
  <c r="AJ12" i="4"/>
  <c r="AJ11" i="4"/>
  <c r="AJ10" i="4"/>
  <c r="AJ9" i="4"/>
  <c r="AJ223" i="4"/>
  <c r="AJ214" i="4"/>
  <c r="AJ213" i="4"/>
  <c r="AJ227" i="4"/>
  <c r="AJ226" i="4"/>
  <c r="AJ225" i="4"/>
  <c r="AJ224" i="4"/>
  <c r="AJ222" i="4"/>
  <c r="AJ215" i="4"/>
  <c r="AJ152" i="4"/>
  <c r="AJ144" i="4"/>
  <c r="AJ143" i="4"/>
  <c r="AJ142" i="4"/>
  <c r="AJ126" i="4"/>
  <c r="AJ75" i="4"/>
  <c r="AJ40" i="4"/>
  <c r="AJ39" i="4"/>
  <c r="AJ76" i="4"/>
  <c r="AJ160" i="4"/>
  <c r="AJ159" i="4"/>
  <c r="AJ33" i="4"/>
  <c r="AJ31" i="4"/>
  <c r="AJ30" i="4"/>
  <c r="AJ167" i="4"/>
  <c r="AJ166" i="4"/>
  <c r="AJ165" i="4"/>
  <c r="AJ128" i="4"/>
  <c r="AJ114" i="4"/>
  <c r="AJ66" i="4"/>
  <c r="AJ65" i="4"/>
  <c r="AJ106" i="4"/>
  <c r="AJ6" i="4"/>
  <c r="AJ124" i="4"/>
  <c r="AJ107" i="4"/>
  <c r="AJ157" i="4"/>
  <c r="AJ32" i="4"/>
  <c r="AJ29" i="4"/>
  <c r="AJ28" i="4"/>
  <c r="AJ277" i="4"/>
  <c r="AJ264" i="4"/>
  <c r="AJ263" i="4"/>
  <c r="AJ158" i="4"/>
  <c r="AJ138" i="4"/>
  <c r="AJ96" i="4"/>
  <c r="AJ78" i="4"/>
  <c r="AJ74" i="4"/>
  <c r="AJ5" i="4"/>
  <c r="AJ4" i="4"/>
  <c r="AJ3" i="4"/>
  <c r="AJ2" i="4"/>
  <c r="AJ37" i="4"/>
  <c r="AJ36" i="4"/>
  <c r="AJ16" i="4"/>
  <c r="AM26" i="2"/>
  <c r="AZ401" i="5"/>
  <c r="AZ411" i="5"/>
  <c r="AZ410" i="5"/>
  <c r="AZ409" i="5"/>
  <c r="AZ408" i="5"/>
  <c r="AZ407" i="5"/>
  <c r="AZ406" i="5"/>
  <c r="AZ405" i="5"/>
  <c r="AZ404" i="5"/>
  <c r="AZ403" i="5"/>
  <c r="AZ402" i="5"/>
  <c r="AZ400" i="5"/>
  <c r="AZ399" i="5"/>
  <c r="AZ398" i="5"/>
  <c r="AZ397" i="5"/>
  <c r="AZ396" i="5"/>
  <c r="AZ395" i="5"/>
  <c r="AZ394" i="5"/>
  <c r="AZ393" i="5"/>
  <c r="AZ392" i="5"/>
  <c r="AZ391" i="5"/>
  <c r="AZ388" i="5"/>
  <c r="AZ387" i="5"/>
  <c r="AZ389" i="5"/>
  <c r="AZ390" i="5"/>
  <c r="AZ58" i="5"/>
  <c r="AY58" i="5"/>
  <c r="AX58" i="5"/>
  <c r="AZ57" i="5"/>
  <c r="AY57" i="5"/>
  <c r="AX57" i="5"/>
  <c r="AZ60" i="5"/>
  <c r="AY60" i="5"/>
  <c r="AX60" i="5"/>
  <c r="AZ161" i="5"/>
  <c r="AY161" i="5"/>
  <c r="AX161" i="5"/>
  <c r="AZ115" i="5"/>
  <c r="AY115" i="5"/>
  <c r="AX115" i="5"/>
  <c r="AZ59" i="5"/>
  <c r="AY59" i="5"/>
  <c r="AX59" i="5"/>
  <c r="AZ97" i="5"/>
  <c r="AY97" i="5"/>
  <c r="AX97" i="5"/>
  <c r="AZ56" i="5"/>
  <c r="AY56" i="5"/>
  <c r="AX56" i="5"/>
  <c r="AZ66" i="5"/>
  <c r="AY66" i="5"/>
  <c r="AX66" i="5"/>
  <c r="AZ253" i="5"/>
  <c r="AY253" i="5"/>
  <c r="AX253" i="5"/>
  <c r="AZ65" i="5"/>
  <c r="AY65" i="5"/>
  <c r="AX65" i="5"/>
  <c r="AZ55" i="5"/>
  <c r="AY55" i="5"/>
  <c r="AX55" i="5"/>
  <c r="AZ67" i="5"/>
  <c r="AY67" i="5"/>
  <c r="AX67" i="5"/>
  <c r="AZ290" i="5"/>
  <c r="AY290" i="5"/>
  <c r="AX290" i="5"/>
  <c r="AZ255" i="5"/>
  <c r="AY255" i="5"/>
  <c r="AX255" i="5"/>
  <c r="AZ38" i="5"/>
  <c r="AY38" i="5"/>
  <c r="AX38" i="5"/>
  <c r="AZ262" i="5"/>
  <c r="AY262" i="5"/>
  <c r="AX262" i="5"/>
  <c r="AZ278" i="5"/>
  <c r="AY278" i="5"/>
  <c r="AX278" i="5"/>
  <c r="AZ256" i="5"/>
  <c r="AY256" i="5"/>
  <c r="AX256" i="5"/>
  <c r="AZ270" i="5"/>
  <c r="AY270" i="5"/>
  <c r="AX270" i="5"/>
  <c r="AZ113" i="5"/>
  <c r="AY113" i="5"/>
  <c r="AX113" i="5"/>
  <c r="AZ42" i="5"/>
  <c r="AY42" i="5"/>
  <c r="AX42" i="5"/>
  <c r="AZ41" i="5"/>
  <c r="AY41" i="5"/>
  <c r="AX41" i="5"/>
  <c r="AZ80" i="5"/>
  <c r="AY80" i="5"/>
  <c r="AX80" i="5"/>
  <c r="AZ39" i="5"/>
  <c r="AY39" i="5"/>
  <c r="AX39" i="5"/>
  <c r="AZ254" i="5"/>
  <c r="AY254" i="5"/>
  <c r="AX254" i="5"/>
  <c r="AZ44" i="5"/>
  <c r="AY44" i="5"/>
  <c r="AX44" i="5"/>
  <c r="AZ40" i="5"/>
  <c r="AY40" i="5"/>
  <c r="AX40" i="5"/>
  <c r="AZ68" i="5"/>
  <c r="AY68" i="5"/>
  <c r="AX68" i="5"/>
  <c r="AZ153" i="5"/>
  <c r="AY153" i="5"/>
  <c r="AX153" i="5"/>
  <c r="AZ223" i="5"/>
  <c r="AY223" i="5"/>
  <c r="AX223" i="5"/>
  <c r="AZ4" i="5"/>
  <c r="AY4" i="5"/>
  <c r="AX4" i="5"/>
  <c r="AZ198" i="5"/>
  <c r="AY198" i="5"/>
  <c r="AX198" i="5"/>
  <c r="AZ64" i="5"/>
  <c r="AY64" i="5"/>
  <c r="AX64" i="5"/>
  <c r="AZ45" i="5"/>
  <c r="AY45" i="5"/>
  <c r="AX45" i="5"/>
  <c r="AZ226" i="5"/>
  <c r="AY226" i="5"/>
  <c r="AX226" i="5"/>
  <c r="AZ122" i="5"/>
  <c r="AY122" i="5"/>
  <c r="AX122" i="5"/>
  <c r="AZ63" i="5"/>
  <c r="AY63" i="5"/>
  <c r="AX63" i="5"/>
  <c r="AZ71" i="5"/>
  <c r="AY71" i="5"/>
  <c r="AX71" i="5"/>
  <c r="AZ62" i="5"/>
  <c r="AY62" i="5"/>
  <c r="AX62" i="5"/>
  <c r="AZ49" i="5"/>
  <c r="AY49" i="5"/>
  <c r="AX49" i="5"/>
  <c r="AZ37" i="5"/>
  <c r="AY37" i="5"/>
  <c r="AX37" i="5"/>
  <c r="AZ6" i="5"/>
  <c r="AY6" i="5"/>
  <c r="AX6" i="5"/>
  <c r="AZ43" i="5"/>
  <c r="AY43" i="5"/>
  <c r="AX43" i="5"/>
  <c r="AZ7" i="5"/>
  <c r="AY7" i="5"/>
  <c r="AX7" i="5"/>
  <c r="AZ47" i="5"/>
  <c r="AY47" i="5"/>
  <c r="AX47" i="5"/>
  <c r="AZ69" i="5"/>
  <c r="AY69" i="5"/>
  <c r="AX69" i="5"/>
  <c r="AZ121" i="5"/>
  <c r="AY121" i="5"/>
  <c r="AX121" i="5"/>
  <c r="AZ36" i="5"/>
  <c r="AY36" i="5"/>
  <c r="AX36" i="5"/>
  <c r="AZ248" i="5"/>
  <c r="AY248" i="5"/>
  <c r="AX248" i="5"/>
  <c r="AZ48" i="5"/>
  <c r="AY48" i="5"/>
  <c r="AX48" i="5"/>
  <c r="AZ293" i="5"/>
  <c r="AY293" i="5"/>
  <c r="AX293" i="5"/>
  <c r="AZ96" i="5"/>
  <c r="AY96" i="5"/>
  <c r="AX96" i="5"/>
  <c r="AZ105" i="5"/>
  <c r="AY105" i="5"/>
  <c r="AX105" i="5"/>
  <c r="AZ150" i="5"/>
  <c r="AY150" i="5"/>
  <c r="AX150" i="5"/>
  <c r="AZ197" i="5"/>
  <c r="AY197" i="5"/>
  <c r="AX197" i="5"/>
  <c r="AY70" i="5"/>
  <c r="AX70" i="5"/>
  <c r="AZ151" i="5"/>
  <c r="AY151" i="5"/>
  <c r="AX151" i="5"/>
  <c r="AZ275" i="5"/>
  <c r="AY275" i="5"/>
  <c r="AX275" i="5"/>
  <c r="AZ90" i="5"/>
  <c r="AY90" i="5"/>
  <c r="AX90" i="5"/>
  <c r="AZ120" i="5"/>
  <c r="AY120" i="5"/>
  <c r="AX120" i="5"/>
  <c r="AZ98" i="5"/>
  <c r="AY98" i="5"/>
  <c r="AX98" i="5"/>
  <c r="AZ250" i="5"/>
  <c r="AY250" i="5"/>
  <c r="AX250" i="5"/>
  <c r="AZ224" i="5"/>
  <c r="AY224" i="5"/>
  <c r="AX224" i="5"/>
  <c r="AZ196" i="5"/>
  <c r="AY196" i="5"/>
  <c r="AX196" i="5"/>
  <c r="AZ194" i="5"/>
  <c r="AY194" i="5"/>
  <c r="AX194" i="5"/>
  <c r="AZ277" i="5"/>
  <c r="AY277" i="5"/>
  <c r="AX277" i="5"/>
  <c r="AZ296" i="5"/>
  <c r="AY296" i="5"/>
  <c r="AX296" i="5"/>
  <c r="AZ221" i="5"/>
  <c r="AY221" i="5"/>
  <c r="AX221" i="5"/>
  <c r="AZ5" i="5"/>
  <c r="AY5" i="5"/>
  <c r="AX5" i="5"/>
  <c r="AZ144" i="5"/>
  <c r="AY144" i="5"/>
  <c r="AX144" i="5"/>
  <c r="AZ46" i="5"/>
  <c r="AY46" i="5"/>
  <c r="AX46" i="5"/>
  <c r="AZ276" i="5"/>
  <c r="AY276" i="5"/>
  <c r="AX276" i="5"/>
  <c r="AZ147" i="5"/>
  <c r="AY147" i="5"/>
  <c r="AX147" i="5"/>
  <c r="AZ136" i="5"/>
  <c r="AY136" i="5"/>
  <c r="AX136" i="5"/>
  <c r="AZ271" i="5"/>
  <c r="AY271" i="5"/>
  <c r="AX271" i="5"/>
  <c r="AZ134" i="5"/>
  <c r="AY134" i="5"/>
  <c r="AX134" i="5"/>
  <c r="AY34" i="5"/>
  <c r="AZ273" i="5"/>
  <c r="AY273" i="5"/>
  <c r="AX273" i="5"/>
  <c r="AZ118" i="5"/>
  <c r="AY118" i="5"/>
  <c r="AX118" i="5"/>
  <c r="AZ228" i="5"/>
  <c r="AY228" i="5"/>
  <c r="AX228" i="5"/>
  <c r="AZ163" i="5"/>
  <c r="AY163" i="5"/>
  <c r="AX163" i="5"/>
  <c r="AZ274" i="5"/>
  <c r="AY274" i="5"/>
  <c r="AX274" i="5"/>
  <c r="AZ231" i="5"/>
  <c r="AY231" i="5"/>
  <c r="AX231" i="5"/>
  <c r="AZ207" i="5"/>
  <c r="AY207" i="5"/>
  <c r="AX207" i="5"/>
  <c r="AZ200" i="5"/>
  <c r="AY200" i="5"/>
  <c r="AX200" i="5"/>
  <c r="AZ241" i="5"/>
  <c r="AY241" i="5"/>
  <c r="AX241" i="5"/>
  <c r="AZ154" i="5"/>
  <c r="AY154" i="5"/>
  <c r="AX154" i="5"/>
  <c r="AZ116" i="5"/>
  <c r="AY116" i="5"/>
  <c r="AX116" i="5"/>
  <c r="AZ247" i="5"/>
  <c r="AY247" i="5"/>
  <c r="AX247" i="5"/>
  <c r="AZ246" i="5"/>
  <c r="AY246" i="5"/>
  <c r="AX246" i="5"/>
  <c r="AZ245" i="5"/>
  <c r="AY245" i="5"/>
  <c r="AX245" i="5"/>
  <c r="AY31" i="5"/>
  <c r="AY175" i="5"/>
  <c r="AZ124" i="5"/>
  <c r="AY124" i="5"/>
  <c r="AX124" i="5"/>
  <c r="AZ2" i="5"/>
  <c r="AY2" i="5"/>
  <c r="AX2" i="5"/>
  <c r="AY188" i="5"/>
  <c r="AY149" i="5"/>
  <c r="AY129" i="5"/>
  <c r="AZ91" i="5"/>
  <c r="AY91" i="5"/>
  <c r="AX91" i="5"/>
  <c r="AZ243" i="5"/>
  <c r="AY243" i="5"/>
  <c r="AX243" i="5"/>
  <c r="AZ286" i="5"/>
  <c r="AY286" i="5"/>
  <c r="AX286" i="5"/>
  <c r="AZ179" i="5"/>
  <c r="AY179" i="5"/>
  <c r="AX179" i="5"/>
  <c r="AY176" i="5"/>
  <c r="AZ285" i="5"/>
  <c r="AY285" i="5"/>
  <c r="AX285" i="5"/>
  <c r="AZ193" i="5"/>
  <c r="AY193" i="5"/>
  <c r="AX193" i="5"/>
  <c r="AZ157" i="5"/>
  <c r="AY157" i="5"/>
  <c r="AX157" i="5"/>
  <c r="AZ137" i="5"/>
  <c r="AY137" i="5"/>
  <c r="AX137" i="5"/>
  <c r="AZ127" i="5"/>
  <c r="AY127" i="5"/>
  <c r="AX127" i="5"/>
  <c r="AZ126" i="5"/>
  <c r="AY126" i="5"/>
  <c r="AX126" i="5"/>
  <c r="AZ268" i="5"/>
  <c r="AY268" i="5"/>
  <c r="AX268" i="5"/>
  <c r="AZ76" i="5"/>
  <c r="AY76" i="5"/>
  <c r="AX76" i="5"/>
  <c r="AZ74" i="5"/>
  <c r="AY74" i="5"/>
  <c r="AX74" i="5"/>
  <c r="AZ8" i="5"/>
  <c r="AY8" i="5"/>
  <c r="AX8" i="5"/>
  <c r="AZ257" i="5"/>
  <c r="AY257" i="5"/>
  <c r="AX257" i="5"/>
  <c r="AZ211" i="5"/>
  <c r="AY211" i="5"/>
  <c r="AX211" i="5"/>
  <c r="AZ281" i="5"/>
  <c r="AY281" i="5"/>
  <c r="AX281" i="5"/>
  <c r="AZ18" i="5"/>
  <c r="AY18" i="5"/>
  <c r="AX18" i="5"/>
  <c r="AZ17" i="5"/>
  <c r="AY17" i="5"/>
  <c r="AX17" i="5"/>
  <c r="AZ16" i="5"/>
  <c r="AY16" i="5"/>
  <c r="AX16" i="5"/>
  <c r="AZ279" i="5"/>
  <c r="AY279" i="5"/>
  <c r="AX279" i="5"/>
  <c r="AZ3" i="5"/>
  <c r="AY3" i="5"/>
  <c r="AX3" i="5"/>
  <c r="AZ13" i="5"/>
  <c r="AY13" i="5"/>
  <c r="AX13" i="5"/>
  <c r="AZ73" i="5"/>
  <c r="AY73" i="5"/>
  <c r="AX73" i="5"/>
  <c r="AZ236" i="5"/>
  <c r="AY236" i="5"/>
  <c r="AX236" i="5"/>
  <c r="AZ295" i="5"/>
  <c r="AY295" i="5"/>
  <c r="AX295" i="5"/>
  <c r="AZ294" i="5"/>
  <c r="AY294" i="5"/>
  <c r="AX294" i="5"/>
  <c r="AZ291" i="5"/>
  <c r="AY291" i="5"/>
  <c r="AX291" i="5"/>
  <c r="AZ287" i="5"/>
  <c r="AY287" i="5"/>
  <c r="AX287" i="5"/>
  <c r="AZ195" i="5"/>
  <c r="AY195" i="5"/>
  <c r="AX195" i="5"/>
  <c r="AZ282" i="5"/>
  <c r="AY282" i="5"/>
  <c r="AX282" i="5"/>
  <c r="AZ280" i="5"/>
  <c r="AY280" i="5"/>
  <c r="AX280" i="5"/>
  <c r="AZ190" i="5"/>
  <c r="AY190" i="5"/>
  <c r="AX190" i="5"/>
  <c r="AZ172" i="5"/>
  <c r="AY172" i="5"/>
  <c r="AX172" i="5"/>
  <c r="AZ156" i="5"/>
  <c r="AY156" i="5"/>
  <c r="AX156" i="5"/>
  <c r="AZ142" i="5"/>
  <c r="AY142" i="5"/>
  <c r="AX142" i="5"/>
  <c r="AZ130" i="5"/>
  <c r="AY130" i="5"/>
  <c r="AX130" i="5"/>
  <c r="AZ112" i="5"/>
  <c r="AY112" i="5"/>
  <c r="AX112" i="5"/>
  <c r="AZ99" i="5"/>
  <c r="AY99" i="5"/>
  <c r="AX99" i="5"/>
  <c r="AZ88" i="5"/>
  <c r="AY88" i="5"/>
  <c r="AX88" i="5"/>
  <c r="AZ75" i="5"/>
  <c r="AY75" i="5"/>
  <c r="AX75" i="5"/>
  <c r="AZ239" i="5"/>
  <c r="AY239" i="5"/>
  <c r="AX239" i="5"/>
  <c r="AZ28" i="5"/>
  <c r="AY28" i="5"/>
  <c r="AX28" i="5"/>
  <c r="AZ27" i="5"/>
  <c r="AY27" i="5"/>
  <c r="AX27" i="5"/>
  <c r="AZ212" i="5"/>
  <c r="AY212" i="5"/>
  <c r="AX212" i="5"/>
  <c r="AZ21" i="5"/>
  <c r="AY21" i="5"/>
  <c r="AX21" i="5"/>
  <c r="AZ292" i="5"/>
  <c r="AY292" i="5"/>
  <c r="AX292" i="5"/>
  <c r="AZ289" i="5"/>
  <c r="AY289" i="5"/>
  <c r="AX289" i="5"/>
  <c r="AZ191" i="5"/>
  <c r="AY191" i="5"/>
  <c r="AX191" i="5"/>
  <c r="AZ189" i="5"/>
  <c r="AY189" i="5"/>
  <c r="AX189" i="5"/>
  <c r="AZ169" i="5"/>
  <c r="AY169" i="5"/>
  <c r="AX169" i="5"/>
  <c r="AZ167" i="5"/>
  <c r="AY167" i="5"/>
  <c r="AX167" i="5"/>
  <c r="AZ152" i="5"/>
  <c r="AY152" i="5"/>
  <c r="AX152" i="5"/>
  <c r="AZ148" i="5"/>
  <c r="AY148" i="5"/>
  <c r="AX148" i="5"/>
  <c r="AZ141" i="5"/>
  <c r="AY141" i="5"/>
  <c r="AX141" i="5"/>
  <c r="AZ138" i="5"/>
  <c r="AY138" i="5"/>
  <c r="AX138" i="5"/>
  <c r="AZ133" i="5"/>
  <c r="AY133" i="5"/>
  <c r="AX133" i="5"/>
  <c r="AZ132" i="5"/>
  <c r="AY132" i="5"/>
  <c r="AX132" i="5"/>
  <c r="AZ15" i="5"/>
  <c r="AY15" i="5"/>
  <c r="AX15" i="5"/>
  <c r="AZ114" i="5"/>
  <c r="AY114" i="5"/>
  <c r="AX114" i="5"/>
  <c r="AZ100" i="5"/>
  <c r="AY100" i="5"/>
  <c r="AX100" i="5"/>
  <c r="AZ9" i="5"/>
  <c r="AY9" i="5"/>
  <c r="AX9" i="5"/>
  <c r="AZ72" i="5"/>
  <c r="AY72" i="5"/>
  <c r="AX72" i="5"/>
  <c r="AY233" i="5"/>
  <c r="AY33" i="5"/>
  <c r="AZ217" i="5"/>
  <c r="AY217" i="5"/>
  <c r="AX217" i="5"/>
  <c r="AZ216" i="5"/>
  <c r="AY216" i="5"/>
  <c r="AX216" i="5"/>
  <c r="AZ215" i="5"/>
  <c r="AY215" i="5"/>
  <c r="AX215" i="5"/>
  <c r="AZ213" i="5"/>
  <c r="AY213" i="5"/>
  <c r="AX213" i="5"/>
  <c r="AZ158" i="5"/>
  <c r="AY158" i="5"/>
  <c r="AX158" i="5"/>
  <c r="AZ143" i="5"/>
  <c r="AY143" i="5"/>
  <c r="AX143" i="5"/>
  <c r="AZ111" i="5"/>
  <c r="AY111" i="5"/>
  <c r="AX111" i="5"/>
  <c r="AZ101" i="5"/>
  <c r="AY101" i="5"/>
  <c r="AX101" i="5"/>
  <c r="AZ95" i="5"/>
  <c r="AY95" i="5"/>
  <c r="AX95" i="5"/>
  <c r="AZ87" i="5"/>
  <c r="AY87" i="5"/>
  <c r="AX87" i="5"/>
  <c r="AZ85" i="5"/>
  <c r="AY85" i="5"/>
  <c r="AX85" i="5"/>
  <c r="AZ82" i="5"/>
  <c r="AY82" i="5"/>
  <c r="AX82" i="5"/>
  <c r="AZ251" i="5"/>
  <c r="AY251" i="5"/>
  <c r="AX251" i="5"/>
  <c r="AZ244" i="5"/>
  <c r="AY244" i="5"/>
  <c r="AX244" i="5"/>
  <c r="AZ242" i="5"/>
  <c r="AY242" i="5"/>
  <c r="AX242" i="5"/>
  <c r="AZ237" i="5"/>
  <c r="AY237" i="5"/>
  <c r="AX237" i="5"/>
  <c r="AZ235" i="5"/>
  <c r="AY235" i="5"/>
  <c r="AX235" i="5"/>
  <c r="AZ234" i="5"/>
  <c r="AY234" i="5"/>
  <c r="AX234" i="5"/>
  <c r="AZ230" i="5"/>
  <c r="AY230" i="5"/>
  <c r="AX230" i="5"/>
  <c r="AZ229" i="5"/>
  <c r="AY229" i="5"/>
  <c r="AX229" i="5"/>
  <c r="AZ218" i="5"/>
  <c r="AY218" i="5"/>
  <c r="AX218" i="5"/>
  <c r="AZ214" i="5"/>
  <c r="AY214" i="5"/>
  <c r="AX214" i="5"/>
  <c r="AZ210" i="5"/>
  <c r="AY210" i="5"/>
  <c r="AX210" i="5"/>
  <c r="AZ209" i="5"/>
  <c r="AY209" i="5"/>
  <c r="AX209" i="5"/>
  <c r="AZ206" i="5"/>
  <c r="AY206" i="5"/>
  <c r="AX206" i="5"/>
  <c r="AZ205" i="5"/>
  <c r="AY205" i="5"/>
  <c r="AX205" i="5"/>
  <c r="AZ204" i="5"/>
  <c r="AY204" i="5"/>
  <c r="AX204" i="5"/>
  <c r="AZ203" i="5"/>
  <c r="AY203" i="5"/>
  <c r="AX203" i="5"/>
  <c r="AZ202" i="5"/>
  <c r="AY202" i="5"/>
  <c r="AX202" i="5"/>
  <c r="AZ201" i="5"/>
  <c r="AY201" i="5"/>
  <c r="AX201" i="5"/>
  <c r="AZ199" i="5"/>
  <c r="AY199" i="5"/>
  <c r="AX199" i="5"/>
  <c r="AZ288" i="5"/>
  <c r="AY288" i="5"/>
  <c r="AX288" i="5"/>
  <c r="AZ284" i="5"/>
  <c r="AY284" i="5"/>
  <c r="AX284" i="5"/>
  <c r="AZ283" i="5"/>
  <c r="AY283" i="5"/>
  <c r="AX283" i="5"/>
  <c r="AZ192" i="5"/>
  <c r="AY192" i="5"/>
  <c r="AX192" i="5"/>
  <c r="AZ178" i="5"/>
  <c r="AY178" i="5"/>
  <c r="AX178" i="5"/>
  <c r="AZ168" i="5"/>
  <c r="AY168" i="5"/>
  <c r="AX168" i="5"/>
  <c r="AZ162" i="5"/>
  <c r="AY162" i="5"/>
  <c r="AX162" i="5"/>
  <c r="AZ160" i="5"/>
  <c r="AY160" i="5"/>
  <c r="AX160" i="5"/>
  <c r="AZ159" i="5"/>
  <c r="AY159" i="5"/>
  <c r="AX159" i="5"/>
  <c r="AZ155" i="5"/>
  <c r="AY155" i="5"/>
  <c r="AX155" i="5"/>
  <c r="AZ145" i="5"/>
  <c r="AY145" i="5"/>
  <c r="AX145" i="5"/>
  <c r="AZ131" i="5"/>
  <c r="AY131" i="5"/>
  <c r="AX131" i="5"/>
  <c r="AZ267" i="5"/>
  <c r="AY267" i="5"/>
  <c r="AX267" i="5"/>
  <c r="AZ108" i="5"/>
  <c r="AY108" i="5"/>
  <c r="AX108" i="5"/>
  <c r="AZ107" i="5"/>
  <c r="AY107" i="5"/>
  <c r="AX107" i="5"/>
  <c r="AZ106" i="5"/>
  <c r="AY106" i="5"/>
  <c r="AX106" i="5"/>
  <c r="AZ103" i="5"/>
  <c r="AY103" i="5"/>
  <c r="AX103" i="5"/>
  <c r="AZ102" i="5"/>
  <c r="AY102" i="5"/>
  <c r="AX102" i="5"/>
  <c r="AZ261" i="5"/>
  <c r="AY261" i="5"/>
  <c r="AX261" i="5"/>
  <c r="AZ94" i="5"/>
  <c r="AY94" i="5"/>
  <c r="AX94" i="5"/>
  <c r="AZ93" i="5"/>
  <c r="AY93" i="5"/>
  <c r="AX93" i="5"/>
  <c r="AZ11" i="5"/>
  <c r="AY11" i="5"/>
  <c r="AX11" i="5"/>
  <c r="AZ10" i="5"/>
  <c r="AY10" i="5"/>
  <c r="AX10" i="5"/>
  <c r="AZ92" i="5"/>
  <c r="AY92" i="5"/>
  <c r="AX92" i="5"/>
  <c r="AZ260" i="5"/>
  <c r="AY260" i="5"/>
  <c r="AX260" i="5"/>
  <c r="AZ86" i="5"/>
  <c r="AY86" i="5"/>
  <c r="AX86" i="5"/>
  <c r="AZ259" i="5"/>
  <c r="AY259" i="5"/>
  <c r="AX259" i="5"/>
  <c r="AZ258" i="5"/>
  <c r="AY258" i="5"/>
  <c r="AX258" i="5"/>
  <c r="AZ84" i="5"/>
  <c r="AY84" i="5"/>
  <c r="AX84" i="5"/>
  <c r="AZ83" i="5"/>
  <c r="AY83" i="5"/>
  <c r="AX83" i="5"/>
  <c r="AZ266" i="5"/>
  <c r="AY266" i="5"/>
  <c r="AX266" i="5"/>
  <c r="AZ81" i="5"/>
  <c r="AY81" i="5"/>
  <c r="AX81" i="5"/>
  <c r="AZ265" i="5"/>
  <c r="AY265" i="5"/>
  <c r="AX265" i="5"/>
  <c r="AZ54" i="5"/>
  <c r="AY54" i="5"/>
  <c r="AX54" i="5"/>
  <c r="AZ51" i="5"/>
  <c r="AY51" i="5"/>
  <c r="AX51" i="5"/>
  <c r="AZ35" i="5"/>
  <c r="AY35" i="5"/>
  <c r="AX35" i="5"/>
  <c r="AZ238" i="5"/>
  <c r="AY238" i="5"/>
  <c r="AX238" i="5"/>
  <c r="AZ232" i="5"/>
  <c r="AY232" i="5"/>
  <c r="AX232" i="5"/>
  <c r="AZ164" i="5"/>
  <c r="AY164" i="5"/>
  <c r="AX164" i="5"/>
  <c r="AZ135" i="5"/>
  <c r="AY135" i="5"/>
  <c r="AX135" i="5"/>
  <c r="AZ14" i="5"/>
  <c r="AY14" i="5"/>
  <c r="AX14" i="5"/>
  <c r="AZ110" i="5"/>
  <c r="AY110" i="5"/>
  <c r="AX110" i="5"/>
  <c r="AY61" i="5"/>
  <c r="AZ297" i="5"/>
  <c r="AY297" i="5"/>
  <c r="AX297" i="5"/>
  <c r="AZ26" i="5"/>
  <c r="AY26" i="5"/>
  <c r="AX26" i="5"/>
  <c r="AZ25" i="5"/>
  <c r="AY25" i="5"/>
  <c r="AX25" i="5"/>
  <c r="AZ24" i="5"/>
  <c r="AY24" i="5"/>
  <c r="AX24" i="5"/>
  <c r="AZ23" i="5"/>
  <c r="AY23" i="5"/>
  <c r="AX23" i="5"/>
  <c r="AZ22" i="5"/>
  <c r="AY22" i="5"/>
  <c r="AX22" i="5"/>
  <c r="AZ180" i="5"/>
  <c r="AY180" i="5"/>
  <c r="AX180" i="5"/>
  <c r="AZ146" i="5"/>
  <c r="AY146" i="5"/>
  <c r="AX146" i="5"/>
  <c r="AZ123" i="5"/>
  <c r="AY123" i="5"/>
  <c r="AX123" i="5"/>
  <c r="AZ269" i="5"/>
  <c r="AY269" i="5"/>
  <c r="AX269" i="5"/>
  <c r="AZ104" i="5"/>
  <c r="AY104" i="5"/>
  <c r="AX104" i="5"/>
  <c r="AZ252" i="5"/>
  <c r="AY252" i="5"/>
  <c r="AX252" i="5"/>
  <c r="AZ50" i="5"/>
  <c r="AY50" i="5"/>
  <c r="AX50" i="5"/>
  <c r="AY32" i="5"/>
  <c r="AZ30" i="5"/>
  <c r="AY30" i="5"/>
  <c r="AX30" i="5"/>
  <c r="AY29" i="5"/>
  <c r="AX29" i="5"/>
  <c r="AZ182" i="5"/>
  <c r="AY182" i="5"/>
  <c r="AX182" i="5"/>
  <c r="AZ177" i="5"/>
  <c r="AY177" i="5"/>
  <c r="AX177" i="5"/>
  <c r="AZ140" i="5"/>
  <c r="AY140" i="5"/>
  <c r="AX140" i="5"/>
  <c r="AZ128" i="5"/>
  <c r="AY128" i="5"/>
  <c r="AX128" i="5"/>
  <c r="AZ125" i="5"/>
  <c r="AY125" i="5"/>
  <c r="AX125" i="5"/>
  <c r="AZ272" i="5"/>
  <c r="AY272" i="5"/>
  <c r="AX272" i="5"/>
  <c r="AZ12" i="5"/>
  <c r="AY12" i="5"/>
  <c r="AX12" i="5"/>
  <c r="AZ89" i="5"/>
  <c r="AY89" i="5"/>
  <c r="AX89" i="5"/>
  <c r="AZ78" i="5"/>
  <c r="AY78" i="5"/>
  <c r="AX78" i="5"/>
  <c r="AZ264" i="5"/>
  <c r="AY264" i="5"/>
  <c r="AX264" i="5"/>
  <c r="AZ53" i="5"/>
  <c r="AY53" i="5"/>
  <c r="AX53" i="5"/>
  <c r="AZ220" i="5"/>
  <c r="AY220" i="5"/>
  <c r="AX220" i="5"/>
  <c r="AZ219" i="5"/>
  <c r="AY219" i="5"/>
  <c r="AX219" i="5"/>
  <c r="AZ185" i="5"/>
  <c r="AY185" i="5"/>
  <c r="AX185" i="5"/>
  <c r="AZ181" i="5"/>
  <c r="AY181" i="5"/>
  <c r="AX181" i="5"/>
  <c r="AZ174" i="5"/>
  <c r="AY174" i="5"/>
  <c r="AX174" i="5"/>
  <c r="AZ119" i="5"/>
  <c r="AY119" i="5"/>
  <c r="AX119" i="5"/>
  <c r="AZ52" i="5"/>
  <c r="AY52" i="5"/>
  <c r="AX52" i="5"/>
  <c r="AZ225" i="5"/>
  <c r="AY225" i="5"/>
  <c r="AX225" i="5"/>
  <c r="AZ208" i="5"/>
  <c r="AY208" i="5"/>
  <c r="AX208" i="5"/>
  <c r="AZ183" i="5"/>
  <c r="AY183" i="5"/>
  <c r="AX183" i="5"/>
  <c r="AZ227" i="5"/>
  <c r="AY227" i="5"/>
  <c r="AX227" i="5"/>
  <c r="AZ263" i="5"/>
  <c r="AY263" i="5"/>
  <c r="AX263" i="5"/>
  <c r="AZ240" i="5"/>
  <c r="AY240" i="5"/>
  <c r="AX240" i="5"/>
  <c r="AZ117" i="5"/>
  <c r="AY117" i="5"/>
  <c r="AX117" i="5"/>
  <c r="AZ79" i="5"/>
  <c r="AY79" i="5"/>
  <c r="AX79" i="5"/>
  <c r="AZ77" i="5"/>
  <c r="AY77" i="5"/>
  <c r="AX77" i="5"/>
  <c r="AZ222" i="5"/>
  <c r="AY222" i="5"/>
  <c r="AX222" i="5"/>
  <c r="AZ171" i="5"/>
  <c r="AY171" i="5"/>
  <c r="AX171" i="5"/>
  <c r="AZ139" i="5"/>
  <c r="AY139" i="5"/>
  <c r="AX139" i="5"/>
  <c r="AZ187" i="5"/>
  <c r="AY187" i="5"/>
  <c r="AX187" i="5"/>
  <c r="AZ186" i="5"/>
  <c r="AY186" i="5"/>
  <c r="AX186" i="5"/>
  <c r="AZ184" i="5"/>
  <c r="AY184" i="5"/>
  <c r="AX184" i="5"/>
  <c r="AZ173" i="5"/>
  <c r="AY173" i="5"/>
  <c r="AX173" i="5"/>
  <c r="AZ249" i="5"/>
  <c r="AY249" i="5"/>
  <c r="AX249" i="5"/>
  <c r="AZ170" i="5"/>
  <c r="AY170" i="5"/>
  <c r="AX170" i="5"/>
  <c r="AZ166" i="5"/>
  <c r="AY166" i="5"/>
  <c r="AX166" i="5"/>
  <c r="AZ109" i="5"/>
  <c r="AY109" i="5"/>
  <c r="AX109" i="5"/>
  <c r="AZ165" i="5"/>
  <c r="AY165" i="5"/>
  <c r="AX165" i="5"/>
  <c r="AJ8" i="4"/>
  <c r="J27" i="3"/>
  <c r="J20" i="3"/>
  <c r="J34" i="3"/>
  <c r="J41" i="3"/>
  <c r="BA2" i="5"/>
  <c r="BA291" i="5"/>
  <c r="BA270" i="5"/>
  <c r="BA192" i="5"/>
  <c r="BA120" i="5"/>
  <c r="BA122" i="5"/>
  <c r="BA121" i="5"/>
  <c r="BA273" i="5"/>
  <c r="BA119" i="5"/>
  <c r="BA63" i="5"/>
  <c r="BA64" i="5"/>
  <c r="BA278" i="5"/>
  <c r="BA226" i="5"/>
  <c r="BA164" i="5"/>
  <c r="BA166" i="5"/>
  <c r="BA69" i="5"/>
  <c r="BA62" i="5"/>
  <c r="BA207" i="5"/>
  <c r="BA200" i="5"/>
  <c r="BA48" i="5"/>
  <c r="BA98" i="5"/>
  <c r="BA96" i="5"/>
  <c r="BA14" i="5"/>
  <c r="BA51" i="5"/>
  <c r="BA282" i="5"/>
  <c r="BA150" i="5"/>
  <c r="BA144" i="5"/>
  <c r="BA268" i="5"/>
  <c r="BA236" i="5"/>
  <c r="BA280" i="5"/>
  <c r="BA44" i="5"/>
  <c r="BA285" i="5"/>
  <c r="BA68" i="5"/>
  <c r="BA231" i="5"/>
  <c r="BA49" i="5"/>
  <c r="BA111" i="5"/>
  <c r="BA228" i="5"/>
  <c r="BA292" i="5"/>
  <c r="BA160" i="5"/>
  <c r="BA43" i="5"/>
  <c r="BA34" i="5"/>
  <c r="BA281" i="5"/>
  <c r="BA45" i="5"/>
  <c r="BA222" i="5"/>
  <c r="BA195" i="5"/>
  <c r="BA286" i="5"/>
  <c r="BA3" i="5"/>
  <c r="BA37" i="5"/>
  <c r="BA271" i="5"/>
  <c r="BA125" i="5"/>
  <c r="BA7" i="5"/>
  <c r="BA33" i="5"/>
  <c r="BA279" i="5"/>
  <c r="BA296" i="5"/>
  <c r="BA248" i="5"/>
  <c r="BA276" i="5"/>
  <c r="BA165" i="5"/>
  <c r="BA233" i="5"/>
  <c r="BA199" i="5"/>
  <c r="BA112" i="5"/>
  <c r="BA249" i="5"/>
  <c r="BA237" i="5"/>
  <c r="BA46" i="5"/>
  <c r="BA145" i="5"/>
  <c r="BA90" i="5"/>
  <c r="BA163" i="5"/>
  <c r="BA35" i="5"/>
  <c r="BA168" i="5"/>
  <c r="BA54" i="5"/>
  <c r="BA267" i="5"/>
  <c r="BA194" i="5"/>
  <c r="BA31" i="5"/>
  <c r="BA211" i="5"/>
  <c r="BA162" i="5"/>
  <c r="BA36" i="5"/>
  <c r="BA172" i="5"/>
  <c r="BA76" i="5"/>
  <c r="BA151" i="5"/>
  <c r="BA82" i="5"/>
  <c r="BA73" i="5"/>
  <c r="BA159" i="5"/>
  <c r="BA208" i="5"/>
  <c r="BA234" i="5"/>
  <c r="BA6" i="5"/>
  <c r="BA12" i="5"/>
  <c r="BA158" i="5"/>
  <c r="BA146" i="5"/>
  <c r="BA104" i="5"/>
  <c r="BA193" i="5"/>
  <c r="BA171" i="5"/>
  <c r="BA170" i="5"/>
  <c r="BA101" i="5"/>
  <c r="BA4" i="5"/>
  <c r="BA143" i="5"/>
  <c r="BA287" i="5"/>
  <c r="BA32" i="5"/>
  <c r="BA174" i="5"/>
  <c r="BA213" i="5"/>
  <c r="BA30" i="5"/>
  <c r="BA232" i="5"/>
  <c r="BA157" i="5"/>
  <c r="BA71" i="5"/>
  <c r="BA204" i="5"/>
  <c r="BA205" i="5"/>
  <c r="BA92" i="5"/>
  <c r="BA293" i="5"/>
  <c r="BA91" i="5"/>
  <c r="BA238" i="5"/>
  <c r="BA297" i="5"/>
  <c r="BA18" i="5"/>
  <c r="BA109" i="5"/>
  <c r="BA133" i="5"/>
  <c r="BA80" i="5"/>
  <c r="BA212" i="5"/>
  <c r="BA99" i="5"/>
  <c r="BA113" i="5"/>
  <c r="BA258" i="5"/>
  <c r="BA189" i="5"/>
  <c r="BA75" i="5"/>
  <c r="BA288" i="5"/>
  <c r="BA235" i="5"/>
  <c r="BA167" i="5"/>
  <c r="BA100" i="5"/>
  <c r="BA197" i="5"/>
  <c r="BA141" i="5"/>
  <c r="BA84" i="5"/>
  <c r="BA130" i="5"/>
  <c r="BA17" i="5"/>
  <c r="BA227" i="5"/>
  <c r="BA116" i="5"/>
  <c r="BA196" i="5"/>
  <c r="BA191" i="5"/>
  <c r="BA89" i="5"/>
  <c r="BA86" i="5"/>
  <c r="BA85" i="5"/>
  <c r="BA72" i="5"/>
  <c r="BA190" i="5"/>
  <c r="BA103" i="5"/>
  <c r="BA289" i="5"/>
  <c r="BA83" i="5"/>
  <c r="BA81" i="5"/>
  <c r="BA115" i="5"/>
  <c r="BA261" i="5"/>
  <c r="BA202" i="5"/>
  <c r="BA201" i="5"/>
  <c r="BA16" i="5"/>
  <c r="BA198" i="5"/>
  <c r="BA214" i="5"/>
  <c r="BA218" i="5"/>
  <c r="BA259" i="5"/>
  <c r="BA260" i="5"/>
  <c r="BA182" i="5"/>
  <c r="BA266" i="5"/>
  <c r="BA135" i="5"/>
  <c r="BA28" i="5"/>
  <c r="BA127" i="5"/>
  <c r="BA206" i="5"/>
  <c r="BA126" i="5"/>
  <c r="BA108" i="5"/>
  <c r="BA230" i="5"/>
  <c r="BA169" i="5"/>
  <c r="BA203" i="5"/>
  <c r="BA93" i="5"/>
  <c r="BA95" i="5"/>
  <c r="BA94" i="5"/>
  <c r="BA223" i="5"/>
  <c r="BA187" i="5"/>
  <c r="BA186" i="5"/>
  <c r="BA184" i="5"/>
  <c r="BA274" i="5"/>
  <c r="BA210" i="5"/>
  <c r="BA128" i="5"/>
  <c r="BA185" i="5"/>
  <c r="BA107" i="5"/>
  <c r="BA106" i="5"/>
  <c r="BA13" i="5"/>
  <c r="BA277" i="5"/>
  <c r="BA78" i="5"/>
  <c r="BA21" i="5"/>
  <c r="BA275" i="5"/>
  <c r="BA156" i="5"/>
  <c r="BA57" i="5"/>
  <c r="BA58" i="5"/>
  <c r="BA265" i="5"/>
  <c r="BA77" i="5"/>
  <c r="BA229" i="5"/>
  <c r="BA11" i="5"/>
  <c r="BA155" i="5"/>
  <c r="BA250" i="5"/>
  <c r="BA110" i="5"/>
  <c r="BA79" i="5"/>
  <c r="BA251" i="5"/>
  <c r="BA134" i="5"/>
  <c r="BA215" i="5"/>
  <c r="BA272" i="5"/>
  <c r="BA264" i="5"/>
  <c r="BA147" i="5"/>
  <c r="BA10" i="5"/>
  <c r="BA22" i="5"/>
  <c r="BA173" i="5"/>
  <c r="BA132" i="5"/>
  <c r="BA217" i="5"/>
  <c r="BA114" i="5"/>
  <c r="BA252" i="5"/>
  <c r="BA224" i="5"/>
  <c r="BA220" i="5"/>
  <c r="BA9" i="5"/>
  <c r="BA180" i="5"/>
  <c r="BA136" i="5"/>
  <c r="BA178" i="5"/>
  <c r="BA131" i="5"/>
  <c r="BA26" i="5"/>
  <c r="BA25" i="5"/>
  <c r="BA5" i="5"/>
  <c r="BA24" i="5"/>
  <c r="BA23" i="5"/>
  <c r="BA55" i="5"/>
  <c r="BA87" i="5"/>
  <c r="BA88" i="5"/>
  <c r="BA181" i="5"/>
  <c r="BA15" i="5"/>
  <c r="BA139" i="5"/>
  <c r="BA105" i="5"/>
  <c r="BA216" i="5"/>
  <c r="BA74" i="5"/>
  <c r="BA239" i="5"/>
  <c r="BA393" i="5"/>
  <c r="BA247" i="5"/>
  <c r="BA60" i="5"/>
  <c r="BA254" i="5"/>
  <c r="BA242" i="5"/>
  <c r="BA269" i="5"/>
  <c r="BA240" i="5"/>
  <c r="BA221" i="5"/>
  <c r="BA138" i="5"/>
  <c r="BA183" i="5"/>
  <c r="BA8" i="5"/>
  <c r="BA123" i="5"/>
  <c r="BA389" i="5"/>
  <c r="BA118" i="5"/>
  <c r="BA209" i="5"/>
  <c r="BA245" i="5"/>
  <c r="BA243" i="5"/>
  <c r="BA241" i="5"/>
  <c r="BA395" i="5"/>
  <c r="BA225" i="5"/>
  <c r="BA27" i="5"/>
  <c r="BA255" i="5"/>
  <c r="BA124" i="5"/>
  <c r="BA149" i="5"/>
  <c r="BA129" i="5"/>
  <c r="BA137" i="5"/>
  <c r="BA244" i="5"/>
  <c r="BA179" i="5"/>
  <c r="BA246" i="5"/>
  <c r="BA256" i="5"/>
  <c r="BA263" i="5"/>
  <c r="BA140" i="5"/>
  <c r="BA154" i="5"/>
  <c r="BA409" i="5"/>
  <c r="BA52" i="5"/>
  <c r="BA142" i="5"/>
  <c r="BA406" i="5"/>
  <c r="BA176" i="5"/>
  <c r="BA148" i="5"/>
  <c r="BA152" i="5"/>
  <c r="BA411" i="5"/>
  <c r="BA402" i="5"/>
  <c r="BA400" i="5"/>
  <c r="BA399" i="5"/>
  <c r="BA394" i="5"/>
  <c r="BA392" i="5"/>
  <c r="BA387" i="5"/>
  <c r="BA50" i="5"/>
  <c r="BA257" i="5"/>
  <c r="BA153" i="5"/>
  <c r="BA396" i="5"/>
  <c r="BA59" i="5"/>
  <c r="BA56" i="5"/>
  <c r="BA397" i="5"/>
  <c r="BA53" i="5"/>
  <c r="BA408" i="5"/>
  <c r="BA67" i="5"/>
  <c r="BA65" i="5"/>
  <c r="BA175" i="5"/>
  <c r="BA66" i="5"/>
  <c r="BA38" i="5"/>
  <c r="BA410" i="5"/>
  <c r="BA398" i="5"/>
  <c r="BA39" i="5"/>
  <c r="BA40" i="5"/>
  <c r="BA41" i="5"/>
  <c r="BA102" i="5"/>
  <c r="BA290" i="5"/>
  <c r="BA283" i="5"/>
  <c r="BA61" i="5"/>
  <c r="BA404" i="5"/>
  <c r="BA405" i="5"/>
  <c r="BA388" i="5"/>
  <c r="BA47" i="5"/>
  <c r="BA177" i="5"/>
  <c r="BA42" i="5"/>
  <c r="BA188" i="5"/>
  <c r="BA97" i="5"/>
  <c r="BA161" i="5"/>
  <c r="BA403" i="5"/>
  <c r="BA401" i="5"/>
  <c r="BA391" i="5"/>
  <c r="BA407" i="5"/>
  <c r="BA253" i="5"/>
  <c r="BA262" i="5"/>
  <c r="BA284" i="5"/>
  <c r="Y298" i="4"/>
  <c r="Y292" i="4"/>
  <c r="Y294" i="4"/>
  <c r="Y295" i="4"/>
  <c r="X2" i="12"/>
  <c r="S2" i="12"/>
  <c r="T2" i="12"/>
  <c r="X263" i="4"/>
  <c r="X264" i="4"/>
  <c r="X96" i="4"/>
  <c r="X277" i="4"/>
  <c r="X293" i="4"/>
  <c r="X138" i="4"/>
  <c r="X4" i="4"/>
  <c r="X74" i="4"/>
  <c r="X5" i="4"/>
  <c r="X36" i="4"/>
  <c r="X2" i="4"/>
  <c r="W2" i="12"/>
  <c r="Z298" i="4"/>
  <c r="Z292" i="4"/>
  <c r="Z294" i="4"/>
  <c r="Z295" i="4"/>
  <c r="Y2" i="12"/>
  <c r="AM25" i="2"/>
</calcChain>
</file>

<file path=xl/connections.xml><?xml version="1.0" encoding="utf-8"?>
<connections xmlns="http://schemas.openxmlformats.org/spreadsheetml/2006/main">
  <connection id="1" name="GPCRdb_alignment" type="6" refreshedVersion="0" background="1" saveData="1">
    <textPr fileType="mac" sourceFile="/Users/David/Downloads/GPCRdb_alignment.csv" decimal="," thousands="." tab="0" comma="1">
      <textFields count="2">
        <textField/>
        <textField/>
      </textFields>
    </textPr>
  </connection>
  <connection id="2" name="human_GPCR_fasta.fas" type="6" refreshedVersion="0" background="1" saveData="1">
    <textPr fileType="mac" sourceFile="/Users/David/Dropbox (GloriamGroup)/Projects/GPCRDB/GPCRdb_Proj_Seq_Alignments/1.Annotation_of_structures--Kasper/Future_Format_Planning/human_GPCR_fasta.fas.txt" decimal="," thousands=".">
      <textFields count="2">
        <textField/>
        <textField/>
      </textFields>
    </textPr>
  </connection>
  <connection id="3" name="xtal_templates1" type="6" refreshedVersion="0" background="1" saveData="1">
    <textPr fileType="mac" codePage="10000" sourceFile="/Users/ntv489/protwis_vagrant/shared/data/protwis/gpcr/structure_data/annotation/xtal_templates.csv" decimal="," thousands="." comma="1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<sst xmlns="http://schemas.openxmlformats.org/spreadsheetml/2006/main" count="14062" uniqueCount="1568">
  <si>
    <t>LigType</t>
  </si>
  <si>
    <t>A</t>
  </si>
  <si>
    <t>Aminergic</t>
  </si>
  <si>
    <t>TM1</t>
  </si>
  <si>
    <t>TM2</t>
  </si>
  <si>
    <t>2x551</t>
  </si>
  <si>
    <t>TM3</t>
  </si>
  <si>
    <t>TM4</t>
  </si>
  <si>
    <t>TM5</t>
  </si>
  <si>
    <t>5x461</t>
  </si>
  <si>
    <t>TM6</t>
  </si>
  <si>
    <t>TM7</t>
  </si>
  <si>
    <t>7x44</t>
  </si>
  <si>
    <t>1x411</t>
  </si>
  <si>
    <t>4x58</t>
  </si>
  <si>
    <t>Adenosine</t>
  </si>
  <si>
    <t>Gs</t>
  </si>
  <si>
    <t>Peptide</t>
  </si>
  <si>
    <t>4x57</t>
  </si>
  <si>
    <t>Lipid</t>
  </si>
  <si>
    <t>4x56</t>
  </si>
  <si>
    <t>23x501</t>
  </si>
  <si>
    <t>Other</t>
  </si>
  <si>
    <t>-</t>
  </si>
  <si>
    <t>GalphaCT</t>
  </si>
  <si>
    <t>4x491</t>
  </si>
  <si>
    <t>4x52</t>
  </si>
  <si>
    <t>C</t>
  </si>
  <si>
    <t>F</t>
  </si>
  <si>
    <t>Protein</t>
  </si>
  <si>
    <t>PDB</t>
  </si>
  <si>
    <t>UniProt</t>
  </si>
  <si>
    <t>glr_human</t>
  </si>
  <si>
    <t>smo_human</t>
  </si>
  <si>
    <t>5ht1b_human</t>
  </si>
  <si>
    <t>5ht2b_human</t>
  </si>
  <si>
    <t>AA2AR_human</t>
  </si>
  <si>
    <t>ADRB2_human</t>
  </si>
  <si>
    <t>crfr1_human</t>
  </si>
  <si>
    <t>ACM2_human</t>
  </si>
  <si>
    <t>grm1_human</t>
  </si>
  <si>
    <t>grm5_human</t>
  </si>
  <si>
    <t>US28_hcmva</t>
  </si>
  <si>
    <t>OPSD_bovin</t>
  </si>
  <si>
    <t>OPRM_mouse</t>
  </si>
  <si>
    <t>OPRD_mouse</t>
  </si>
  <si>
    <t>NTR1_rat</t>
  </si>
  <si>
    <t>ADRB1_melga</t>
  </si>
  <si>
    <t>ACM3_rat</t>
  </si>
  <si>
    <t>5EE7</t>
  </si>
  <si>
    <t>4GRV</t>
  </si>
  <si>
    <t>4L6R</t>
  </si>
  <si>
    <t>4PHU</t>
  </si>
  <si>
    <t>1U19</t>
  </si>
  <si>
    <t>3DQB</t>
  </si>
  <si>
    <t>4ZWJ</t>
  </si>
  <si>
    <t>4QIN</t>
  </si>
  <si>
    <t>4OO9</t>
  </si>
  <si>
    <t>5CGC</t>
  </si>
  <si>
    <t>5CGD</t>
  </si>
  <si>
    <t>4IAR</t>
  </si>
  <si>
    <t>5DSG</t>
  </si>
  <si>
    <t>5CXV</t>
  </si>
  <si>
    <t>3ODU</t>
  </si>
  <si>
    <t>4EJ4</t>
  </si>
  <si>
    <t>4DKL</t>
  </si>
  <si>
    <t>3P0G</t>
  </si>
  <si>
    <t>4EA3</t>
  </si>
  <si>
    <t>4MQS</t>
  </si>
  <si>
    <t>4YAY</t>
  </si>
  <si>
    <t>4IB4</t>
  </si>
  <si>
    <t>4U15</t>
  </si>
  <si>
    <t>3PBL</t>
  </si>
  <si>
    <t>3RZE</t>
  </si>
  <si>
    <t>4MBS</t>
  </si>
  <si>
    <t>2RH1</t>
  </si>
  <si>
    <t>3D4S</t>
  </si>
  <si>
    <t>4LDE</t>
  </si>
  <si>
    <t>4QKX</t>
  </si>
  <si>
    <t>3UON</t>
  </si>
  <si>
    <t>2YDV</t>
  </si>
  <si>
    <t>4EIY</t>
  </si>
  <si>
    <t>4BVN</t>
  </si>
  <si>
    <t>3REY</t>
  </si>
  <si>
    <t>5C1M</t>
  </si>
  <si>
    <t>3SN6</t>
  </si>
  <si>
    <t>4JKV</t>
  </si>
  <si>
    <t>4N6H</t>
  </si>
  <si>
    <t>4DJH</t>
  </si>
  <si>
    <t>4Z35</t>
  </si>
  <si>
    <t>4ZJ8</t>
  </si>
  <si>
    <t>4ZJC</t>
  </si>
  <si>
    <t>4S0V</t>
  </si>
  <si>
    <t>3VW7</t>
  </si>
  <si>
    <t>3V2Y</t>
  </si>
  <si>
    <t>4K5Y</t>
  </si>
  <si>
    <t>4OR2</t>
  </si>
  <si>
    <t>2Z73</t>
  </si>
  <si>
    <t>OPSD_todpa</t>
  </si>
  <si>
    <t>Cl</t>
  </si>
  <si>
    <t>_wt</t>
  </si>
  <si>
    <t>GPCR</t>
  </si>
  <si>
    <t>adrb3_human</t>
  </si>
  <si>
    <t>lpar1_human</t>
  </si>
  <si>
    <t>s1pr1_human</t>
  </si>
  <si>
    <t>casr_human</t>
  </si>
  <si>
    <t>gabr1_human</t>
  </si>
  <si>
    <t>gabr2_human</t>
  </si>
  <si>
    <t>gp156_human</t>
  </si>
  <si>
    <t>gp158_human</t>
  </si>
  <si>
    <t>gp179_human</t>
  </si>
  <si>
    <t>gpc5b_human</t>
  </si>
  <si>
    <t>gpc5c_human</t>
  </si>
  <si>
    <t>gpc5d_human</t>
  </si>
  <si>
    <t>gpc6a_human</t>
  </si>
  <si>
    <t>grm2_human</t>
  </si>
  <si>
    <t>grm3_human</t>
  </si>
  <si>
    <t>grm4_human</t>
  </si>
  <si>
    <t>grm6_human</t>
  </si>
  <si>
    <t>grm7_human</t>
  </si>
  <si>
    <t>grm8_human</t>
  </si>
  <si>
    <t>rai3_human</t>
  </si>
  <si>
    <t>ts1r1_human</t>
  </si>
  <si>
    <t>ts1r2_human</t>
  </si>
  <si>
    <t>ts1r3_human</t>
  </si>
  <si>
    <t>adrb1_human</t>
  </si>
  <si>
    <t>adrb2_human</t>
  </si>
  <si>
    <t>ntr1_human</t>
  </si>
  <si>
    <t>5ht1a_human</t>
  </si>
  <si>
    <t>5ht1d_human</t>
  </si>
  <si>
    <t>5ht1e_human</t>
  </si>
  <si>
    <t>5ht1f_human</t>
  </si>
  <si>
    <t>5ht2a_human</t>
  </si>
  <si>
    <t>5ht2c_human</t>
  </si>
  <si>
    <t>5ht4r_human</t>
  </si>
  <si>
    <t>5ht5a_human</t>
  </si>
  <si>
    <t>5ht6r_human</t>
  </si>
  <si>
    <t>5ht7r_human</t>
  </si>
  <si>
    <t>aa1r_human</t>
  </si>
  <si>
    <t>aa2ar_human</t>
  </si>
  <si>
    <t>aa2br_human</t>
  </si>
  <si>
    <t>aa3r_human</t>
  </si>
  <si>
    <t>ackr1_human</t>
  </si>
  <si>
    <t>ackr2_human</t>
  </si>
  <si>
    <t>ackr3_human</t>
  </si>
  <si>
    <t>ackr4_human</t>
  </si>
  <si>
    <t>acm1_human</t>
  </si>
  <si>
    <t>acm2_human</t>
  </si>
  <si>
    <t>acm3_human</t>
  </si>
  <si>
    <t>acm4_human</t>
  </si>
  <si>
    <t>acm5_human</t>
  </si>
  <si>
    <t>acthr_human</t>
  </si>
  <si>
    <t>ada1a_human</t>
  </si>
  <si>
    <t>ada1b_human</t>
  </si>
  <si>
    <t>ada1d_human</t>
  </si>
  <si>
    <t>ada2a_human</t>
  </si>
  <si>
    <t>ada2b_human</t>
  </si>
  <si>
    <t>ada2c_human</t>
  </si>
  <si>
    <t>agtr1_human</t>
  </si>
  <si>
    <t>agtr2_human</t>
  </si>
  <si>
    <t>apj_human</t>
  </si>
  <si>
    <t>bkrb1_human</t>
  </si>
  <si>
    <t>bkrb2_human</t>
  </si>
  <si>
    <t>brs3_human</t>
  </si>
  <si>
    <t>c3ar_human</t>
  </si>
  <si>
    <t>c5ar1_human</t>
  </si>
  <si>
    <t>c5ar2_human</t>
  </si>
  <si>
    <t>cckar_human</t>
  </si>
  <si>
    <t>ccr1_human</t>
  </si>
  <si>
    <t>ccr10_human</t>
  </si>
  <si>
    <t>ccr2_human</t>
  </si>
  <si>
    <t>ccr3_human</t>
  </si>
  <si>
    <t>ccr4_human</t>
  </si>
  <si>
    <t>ccr5_human</t>
  </si>
  <si>
    <t>ccr6_human</t>
  </si>
  <si>
    <t>ccr7_human</t>
  </si>
  <si>
    <t>ccr8_human</t>
  </si>
  <si>
    <t>ccr9_human</t>
  </si>
  <si>
    <t>ccrl2_human</t>
  </si>
  <si>
    <t>cltr1_human</t>
  </si>
  <si>
    <t>cltr2_human</t>
  </si>
  <si>
    <t>cml1_human</t>
  </si>
  <si>
    <t>cnr1_human</t>
  </si>
  <si>
    <t>cnr2_human</t>
  </si>
  <si>
    <t>cx3c1_human</t>
  </si>
  <si>
    <t>cxcr1_human</t>
  </si>
  <si>
    <t>cxcr2_human</t>
  </si>
  <si>
    <t>cxcr3_human</t>
  </si>
  <si>
    <t>cxcr5_human</t>
  </si>
  <si>
    <t>cxcr6_human</t>
  </si>
  <si>
    <t>drd1_human</t>
  </si>
  <si>
    <t>drd2_human</t>
  </si>
  <si>
    <t>drd3_human</t>
  </si>
  <si>
    <t>drd4_human</t>
  </si>
  <si>
    <t>drd5_human</t>
  </si>
  <si>
    <t>ednra_human</t>
  </si>
  <si>
    <t>ednrb_human</t>
  </si>
  <si>
    <t>etbr2_human</t>
  </si>
  <si>
    <t>ffar2_human</t>
  </si>
  <si>
    <t>ffar3_human</t>
  </si>
  <si>
    <t>ffar4_human</t>
  </si>
  <si>
    <t>fpr1_human</t>
  </si>
  <si>
    <t>fpr2_human</t>
  </si>
  <si>
    <t>fpr3_human</t>
  </si>
  <si>
    <t>fshr_human</t>
  </si>
  <si>
    <t>galr1_human</t>
  </si>
  <si>
    <t>galr2_human</t>
  </si>
  <si>
    <t>galr3_human</t>
  </si>
  <si>
    <t>gasr_human</t>
  </si>
  <si>
    <t>ghsr_human</t>
  </si>
  <si>
    <t>gnrhr_human</t>
  </si>
  <si>
    <t>gnrr2_human</t>
  </si>
  <si>
    <t>gp101_human</t>
  </si>
  <si>
    <t>gp119_human</t>
  </si>
  <si>
    <t>gp132_human</t>
  </si>
  <si>
    <t>gp135_human</t>
  </si>
  <si>
    <t>gp139_human</t>
  </si>
  <si>
    <t>gp141_human</t>
  </si>
  <si>
    <t>gp142_human</t>
  </si>
  <si>
    <t>gp146_human</t>
  </si>
  <si>
    <t>gp148_human</t>
  </si>
  <si>
    <t>gp149_human</t>
  </si>
  <si>
    <t>gp150_human</t>
  </si>
  <si>
    <t>gp151_human</t>
  </si>
  <si>
    <t>gp152_human</t>
  </si>
  <si>
    <t>gp153_human</t>
  </si>
  <si>
    <t>gp160_human</t>
  </si>
  <si>
    <t>gp161_human</t>
  </si>
  <si>
    <t>gp162_human</t>
  </si>
  <si>
    <t>gp171_human</t>
  </si>
  <si>
    <t>gp173_human</t>
  </si>
  <si>
    <t>gp174_human</t>
  </si>
  <si>
    <t>gp176_human</t>
  </si>
  <si>
    <t>gp182_human</t>
  </si>
  <si>
    <t>gp183_human</t>
  </si>
  <si>
    <t>gpbar_human</t>
  </si>
  <si>
    <t>gper1_human</t>
  </si>
  <si>
    <t>gpr1_human</t>
  </si>
  <si>
    <t>gpr12_human</t>
  </si>
  <si>
    <t>gpr15_human</t>
  </si>
  <si>
    <t>gpr17_human</t>
  </si>
  <si>
    <t>gpr18_human</t>
  </si>
  <si>
    <t>gpr19_human</t>
  </si>
  <si>
    <t>gpr20_human</t>
  </si>
  <si>
    <t>gpr21_human</t>
  </si>
  <si>
    <t>gpr22_human</t>
  </si>
  <si>
    <t>gpr25_human</t>
  </si>
  <si>
    <t>gpr26_human</t>
  </si>
  <si>
    <t>gpr27_human</t>
  </si>
  <si>
    <t>gpr3_human</t>
  </si>
  <si>
    <t>gpr31_human</t>
  </si>
  <si>
    <t>gpr32_human</t>
  </si>
  <si>
    <t>gpr33_human</t>
  </si>
  <si>
    <t>gpr34_human</t>
  </si>
  <si>
    <t>gpr35_human</t>
  </si>
  <si>
    <t>gpr37_human</t>
  </si>
  <si>
    <t>gpr39_human</t>
  </si>
  <si>
    <t>gpr4_human</t>
  </si>
  <si>
    <t>gpr42_human</t>
  </si>
  <si>
    <t>gpr45_human</t>
  </si>
  <si>
    <t>gpr52_human</t>
  </si>
  <si>
    <t>gpr55_human</t>
  </si>
  <si>
    <t>gpr6_human</t>
  </si>
  <si>
    <t>gpr61_human</t>
  </si>
  <si>
    <t>gpr62_human</t>
  </si>
  <si>
    <t>gpr63_human</t>
  </si>
  <si>
    <t>gpr75_human</t>
  </si>
  <si>
    <t>gpr78_human</t>
  </si>
  <si>
    <t>gpr82_human</t>
  </si>
  <si>
    <t>gpr83_human</t>
  </si>
  <si>
    <t>gpr84_human</t>
  </si>
  <si>
    <t>gpr85_human</t>
  </si>
  <si>
    <t>gpr87_human</t>
  </si>
  <si>
    <t>gpr88_human</t>
  </si>
  <si>
    <t>grpr_human</t>
  </si>
  <si>
    <t>hcar1_human</t>
  </si>
  <si>
    <t>hcar2_human</t>
  </si>
  <si>
    <t>hcar3_human</t>
  </si>
  <si>
    <t>hrh1_human</t>
  </si>
  <si>
    <t>hrh2_human</t>
  </si>
  <si>
    <t>hrh3_human</t>
  </si>
  <si>
    <t>hrh4_human</t>
  </si>
  <si>
    <t>kissr_human</t>
  </si>
  <si>
    <t>lgr4_human</t>
  </si>
  <si>
    <t>lgr5_human</t>
  </si>
  <si>
    <t>lgr6_human</t>
  </si>
  <si>
    <t>lpar2_human</t>
  </si>
  <si>
    <t>lpar3_human</t>
  </si>
  <si>
    <t>lpar4_human</t>
  </si>
  <si>
    <t>lpar5_human</t>
  </si>
  <si>
    <t>lpar6_human</t>
  </si>
  <si>
    <t>lshr_human</t>
  </si>
  <si>
    <t>lt4r1_human</t>
  </si>
  <si>
    <t>lt4r2_human</t>
  </si>
  <si>
    <t>mas_human</t>
  </si>
  <si>
    <t>mas1l_human</t>
  </si>
  <si>
    <t>mc3r_human</t>
  </si>
  <si>
    <t>mc4r_human</t>
  </si>
  <si>
    <t>mc5r_human</t>
  </si>
  <si>
    <t>mchr1_human</t>
  </si>
  <si>
    <t>mchr2_human</t>
  </si>
  <si>
    <t>mrgrd_human</t>
  </si>
  <si>
    <t>mrgre_human</t>
  </si>
  <si>
    <t>mrgrf_human</t>
  </si>
  <si>
    <t>mrgrg_human</t>
  </si>
  <si>
    <t>mrgx1_human</t>
  </si>
  <si>
    <t>mrgx2_human</t>
  </si>
  <si>
    <t>mrgx3_human</t>
  </si>
  <si>
    <t>mrgx4_human</t>
  </si>
  <si>
    <t>mshr_human</t>
  </si>
  <si>
    <t>mtlr_human</t>
  </si>
  <si>
    <t>mtr1a_human</t>
  </si>
  <si>
    <t>mtr1b_human</t>
  </si>
  <si>
    <t>mtr1l_human</t>
  </si>
  <si>
    <t>nk1r_human</t>
  </si>
  <si>
    <t>nk2r_human</t>
  </si>
  <si>
    <t>nk3r_human</t>
  </si>
  <si>
    <t>nmbr_human</t>
  </si>
  <si>
    <t>nmur1_human</t>
  </si>
  <si>
    <t>nmur2_human</t>
  </si>
  <si>
    <t>npbw1_human</t>
  </si>
  <si>
    <t>npbw2_human</t>
  </si>
  <si>
    <t>npff1_human</t>
  </si>
  <si>
    <t>npff2_human</t>
  </si>
  <si>
    <t>npsr1_human</t>
  </si>
  <si>
    <t>npy1r_human</t>
  </si>
  <si>
    <t>npy2r_human</t>
  </si>
  <si>
    <t>npy4r_human</t>
  </si>
  <si>
    <t>npy5r_human</t>
  </si>
  <si>
    <t>npy6r_human</t>
  </si>
  <si>
    <t>ntr2_human</t>
  </si>
  <si>
    <t>ogr1_human</t>
  </si>
  <si>
    <t>opn3_human</t>
  </si>
  <si>
    <t>opn4_human</t>
  </si>
  <si>
    <t>opn5_human</t>
  </si>
  <si>
    <t>oprd_human</t>
  </si>
  <si>
    <t>oprk_human</t>
  </si>
  <si>
    <t>oprm_human</t>
  </si>
  <si>
    <t>opsb_human</t>
  </si>
  <si>
    <t>opsd_human</t>
  </si>
  <si>
    <t>opsg_human</t>
  </si>
  <si>
    <t>opsr_human</t>
  </si>
  <si>
    <t>oxer1_human</t>
  </si>
  <si>
    <t>oxgr1_human</t>
  </si>
  <si>
    <t>oxyr_human</t>
  </si>
  <si>
    <t>p2ry1_human</t>
  </si>
  <si>
    <t>p2ry2_human</t>
  </si>
  <si>
    <t>p2ry4_human</t>
  </si>
  <si>
    <t>p2ry6_human</t>
  </si>
  <si>
    <t>p2ry8_human</t>
  </si>
  <si>
    <t>p2y10_human</t>
  </si>
  <si>
    <t>p2y11_human</t>
  </si>
  <si>
    <t>p2y12_human</t>
  </si>
  <si>
    <t>p2y13_human</t>
  </si>
  <si>
    <t>p2y14_human</t>
  </si>
  <si>
    <t>par1_human</t>
  </si>
  <si>
    <t>par2_human</t>
  </si>
  <si>
    <t>par3_human</t>
  </si>
  <si>
    <t>par4_human</t>
  </si>
  <si>
    <t>pd2r_human</t>
  </si>
  <si>
    <t>pd2r2_human</t>
  </si>
  <si>
    <t>pe2r1_human</t>
  </si>
  <si>
    <t>pe2r2_human</t>
  </si>
  <si>
    <t>pe2r3_human</t>
  </si>
  <si>
    <t>pe2r4_human</t>
  </si>
  <si>
    <t>pf2r_human</t>
  </si>
  <si>
    <t>pi2r_human</t>
  </si>
  <si>
    <t>pkr1_human</t>
  </si>
  <si>
    <t>pkr2_human</t>
  </si>
  <si>
    <t>prlhr_human</t>
  </si>
  <si>
    <t>psyr_human</t>
  </si>
  <si>
    <t>ptafr_human</t>
  </si>
  <si>
    <t>qrfpr_human</t>
  </si>
  <si>
    <t>rl3r1_human</t>
  </si>
  <si>
    <t>rl3r2_human</t>
  </si>
  <si>
    <t>rxfp1_human</t>
  </si>
  <si>
    <t>rxfp2_human</t>
  </si>
  <si>
    <t>s1pr2_human</t>
  </si>
  <si>
    <t>s1pr3_human</t>
  </si>
  <si>
    <t>s1pr4_human</t>
  </si>
  <si>
    <t>s1pr5_human</t>
  </si>
  <si>
    <t>ssr1_human</t>
  </si>
  <si>
    <t>ssr2_human</t>
  </si>
  <si>
    <t>ssr3_human</t>
  </si>
  <si>
    <t>ssr4_human</t>
  </si>
  <si>
    <t>ssr5_human</t>
  </si>
  <si>
    <t>sucr1_human</t>
  </si>
  <si>
    <t>taar1_human</t>
  </si>
  <si>
    <t>taar2_human</t>
  </si>
  <si>
    <t>taar3_human</t>
  </si>
  <si>
    <t>taar5_human</t>
  </si>
  <si>
    <t>taar6_human</t>
  </si>
  <si>
    <t>taar8_human</t>
  </si>
  <si>
    <t>taar9_human</t>
  </si>
  <si>
    <t>trfr_human</t>
  </si>
  <si>
    <t>tshr_human</t>
  </si>
  <si>
    <t>ur2r_human</t>
  </si>
  <si>
    <t>v1ar_human</t>
  </si>
  <si>
    <t>v1br_human</t>
  </si>
  <si>
    <t>v2r_human</t>
  </si>
  <si>
    <t>xcr1_human</t>
  </si>
  <si>
    <t>calcr_human</t>
  </si>
  <si>
    <t>calrl_human</t>
  </si>
  <si>
    <t>crfr2_human</t>
  </si>
  <si>
    <t>ghrhr_human</t>
  </si>
  <si>
    <t>gipr_human</t>
  </si>
  <si>
    <t>glp1r_human</t>
  </si>
  <si>
    <t>glp2r_human</t>
  </si>
  <si>
    <t>pacr_human</t>
  </si>
  <si>
    <t>pth1r_human</t>
  </si>
  <si>
    <t>pth2r_human</t>
  </si>
  <si>
    <t>sctr_human</t>
  </si>
  <si>
    <t>vipr1_human</t>
  </si>
  <si>
    <t>vipr2_human</t>
  </si>
  <si>
    <t>bai1_human</t>
  </si>
  <si>
    <t>bai2_human</t>
  </si>
  <si>
    <t>bai3_human</t>
  </si>
  <si>
    <t>cd97_human</t>
  </si>
  <si>
    <t>celr1_human</t>
  </si>
  <si>
    <t>celr2_human</t>
  </si>
  <si>
    <t>celr3_human</t>
  </si>
  <si>
    <t>eltd1_human</t>
  </si>
  <si>
    <t>emr1_human</t>
  </si>
  <si>
    <t>emr2_human</t>
  </si>
  <si>
    <t>emr3_human</t>
  </si>
  <si>
    <t>emr4_human</t>
  </si>
  <si>
    <t>gp110_human</t>
  </si>
  <si>
    <t>gp111_human</t>
  </si>
  <si>
    <t>gp112_human</t>
  </si>
  <si>
    <t>gp113_human</t>
  </si>
  <si>
    <t>gp114_human</t>
  </si>
  <si>
    <t>gp115_human</t>
  </si>
  <si>
    <t>gp116_human</t>
  </si>
  <si>
    <t>gp123_human</t>
  </si>
  <si>
    <t>gp124_human</t>
  </si>
  <si>
    <t>gp125_human</t>
  </si>
  <si>
    <t>gp128_human</t>
  </si>
  <si>
    <t>gp133_human</t>
  </si>
  <si>
    <t>gp144_human</t>
  </si>
  <si>
    <t>gpr56_human</t>
  </si>
  <si>
    <t>gpr64_human</t>
  </si>
  <si>
    <t>gpr97_human</t>
  </si>
  <si>
    <t>gpr98_human</t>
  </si>
  <si>
    <t>lphn1_human</t>
  </si>
  <si>
    <t>lphn2_human</t>
  </si>
  <si>
    <t>lphn3_human</t>
  </si>
  <si>
    <t>fzd1_human</t>
  </si>
  <si>
    <t>fzd10_human</t>
  </si>
  <si>
    <t>fzd2_human</t>
  </si>
  <si>
    <t>fzd3_human</t>
  </si>
  <si>
    <t>fzd4_human</t>
  </si>
  <si>
    <t>fzd5_human</t>
  </si>
  <si>
    <t>fzd6_human</t>
  </si>
  <si>
    <t>fzd7_human</t>
  </si>
  <si>
    <t>fzd8_human</t>
  </si>
  <si>
    <t>fzd9_human</t>
  </si>
  <si>
    <t>t2r10_human</t>
  </si>
  <si>
    <t>t2r13_human</t>
  </si>
  <si>
    <t>t2r14_human</t>
  </si>
  <si>
    <t>t2r16_human</t>
  </si>
  <si>
    <t>t2r19_human</t>
  </si>
  <si>
    <t>t2r20_human</t>
  </si>
  <si>
    <t>t2r30_human</t>
  </si>
  <si>
    <t>t2r31_human</t>
  </si>
  <si>
    <t>t2r38_human</t>
  </si>
  <si>
    <t>t2r39_human</t>
  </si>
  <si>
    <t>t2r40_human</t>
  </si>
  <si>
    <t>t2r41_human</t>
  </si>
  <si>
    <t>t2r42_human</t>
  </si>
  <si>
    <t>t2r43_human</t>
  </si>
  <si>
    <t>t2r46_human</t>
  </si>
  <si>
    <t>t2r50_human</t>
  </si>
  <si>
    <t>t2r60_human</t>
  </si>
  <si>
    <t>ta2r_human</t>
  </si>
  <si>
    <t>ta2r1_human</t>
  </si>
  <si>
    <t>ta2r3_human</t>
  </si>
  <si>
    <t>ta2r4_human</t>
  </si>
  <si>
    <t>ta2r5_human</t>
  </si>
  <si>
    <t>ta2r7_human</t>
  </si>
  <si>
    <t>ta2r8_human</t>
  </si>
  <si>
    <t>ta2r9_human</t>
  </si>
  <si>
    <t>g137a_human</t>
  </si>
  <si>
    <t>gp107_human</t>
  </si>
  <si>
    <t>o51e1_human</t>
  </si>
  <si>
    <t>tpra1_human</t>
  </si>
  <si>
    <t>gp143_human</t>
  </si>
  <si>
    <t>gp157_human</t>
  </si>
  <si>
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</si>
  <si>
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</si>
  <si>
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</si>
  <si>
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</si>
  <si>
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</si>
  <si>
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</si>
  <si>
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</si>
  <si>
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</si>
  <si>
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</si>
  <si>
    <t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t>
  </si>
  <si>
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</si>
  <si>
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</si>
  <si>
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</si>
  <si>
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</si>
  <si>
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</si>
  <si>
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</si>
  <si>
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</si>
  <si>
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</si>
  <si>
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</si>
  <si>
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</si>
  <si>
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</si>
  <si>
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</si>
  <si>
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</si>
  <si>
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</si>
  <si>
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</si>
  <si>
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</si>
  <si>
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</si>
  <si>
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</si>
  <si>
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</si>
  <si>
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</si>
  <si>
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</si>
  <si>
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</si>
  <si>
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</si>
  <si>
    <t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t>
  </si>
  <si>
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t>
  </si>
  <si>
    <t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t>
  </si>
  <si>
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</si>
  <si>
    <t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t>
  </si>
  <si>
    <t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t>
  </si>
  <si>
    <t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t>
  </si>
  <si>
    <t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t>
  </si>
  <si>
    <t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t>
  </si>
  <si>
    <t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t>
  </si>
  <si>
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</si>
  <si>
    <t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t>
  </si>
  <si>
    <t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t>
  </si>
  <si>
    <t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t>
  </si>
  <si>
    <t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t>
  </si>
  <si>
    <t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t>
  </si>
  <si>
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t>
  </si>
  <si>
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t>
  </si>
  <si>
    <t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t>
  </si>
  <si>
    <t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t>
  </si>
  <si>
    <t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t>
  </si>
  <si>
    <t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t>
  </si>
  <si>
    <t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t>
  </si>
  <si>
    <t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t>
  </si>
  <si>
    <t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t>
  </si>
  <si>
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</si>
  <si>
    <t>MSAGNGTPWDATWNITVQWLAVDIACRTLMFLKLMATYSAAFLPVVIGLDRQAAVLNPLGSRSGVRKLLGAAWGLSFLLAFPQLFLFHTVHCAGPVPFTQCVTKGSFKAQWQETTYNLFTFCCLFLLPLTAMAICYSRIVLSVSRPQTRKGSHAPAGEFALPRSFDNCPRVRLRALRLALLILLTFILCWTPYYLLGMWYWFSPTMLTEVPPSLSHILFLLGLLNAPLDPLLYGAFTLGCRRGHQELSIDSSKEGSGRMLQEEIHAFRQLEVQKTVTSRRAGETKGISITSI</t>
  </si>
  <si>
    <t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t>
  </si>
  <si>
    <t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t>
  </si>
  <si>
    <t>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</t>
  </si>
  <si>
    <t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t>
  </si>
  <si>
    <t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t>
  </si>
  <si>
    <t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t>
  </si>
  <si>
    <t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t>
  </si>
  <si>
    <t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t>
  </si>
  <si>
    <t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t>
  </si>
  <si>
    <t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t>
  </si>
  <si>
    <t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t>
  </si>
  <si>
    <t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t>
  </si>
  <si>
    <t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t>
  </si>
  <si>
    <t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t>
  </si>
  <si>
    <t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t>
  </si>
  <si>
    <t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t>
  </si>
  <si>
    <t>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</t>
  </si>
  <si>
    <t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t>
  </si>
  <si>
    <t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t>
  </si>
  <si>
    <t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t>
  </si>
  <si>
    <t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t>
  </si>
  <si>
    <t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t>
  </si>
  <si>
    <t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t>
  </si>
  <si>
    <t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t>
  </si>
  <si>
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</si>
  <si>
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</si>
  <si>
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</si>
  <si>
    <t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t>
  </si>
  <si>
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t>
  </si>
  <si>
    <t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t>
  </si>
  <si>
    <t>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</t>
  </si>
  <si>
    <t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t>
  </si>
  <si>
    <t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t>
  </si>
  <si>
    <t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t>
  </si>
  <si>
    <t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t>
  </si>
  <si>
    <t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t>
  </si>
  <si>
    <t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t>
  </si>
  <si>
    <t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t>
  </si>
  <si>
    <t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t>
  </si>
  <si>
    <t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t>
  </si>
  <si>
    <t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t>
  </si>
  <si>
    <t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t>
  </si>
  <si>
    <t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t>
  </si>
  <si>
    <t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t>
  </si>
  <si>
    <t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t>
  </si>
  <si>
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t>
  </si>
  <si>
    <t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t>
  </si>
  <si>
    <t>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</t>
  </si>
  <si>
    <t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t>
  </si>
  <si>
    <t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t>
  </si>
  <si>
    <t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t>
  </si>
  <si>
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t>
  </si>
  <si>
    <t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t>
  </si>
  <si>
    <t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t>
  </si>
  <si>
    <t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t>
  </si>
  <si>
    <t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t>
  </si>
  <si>
    <t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t>
  </si>
  <si>
    <t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t>
  </si>
  <si>
    <t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t>
  </si>
  <si>
    <t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t>
  </si>
  <si>
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t>
  </si>
  <si>
    <t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t>
  </si>
  <si>
    <t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t>
  </si>
  <si>
    <t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t>
  </si>
  <si>
    <t>MITFLPIIFSILVVVTFVIGNFANGFIALVNSTEWVKRQKISFADQIVTALAVSRVGLLWVLLLNWYSTVLNPAFCSVELRTTAYNIWAVTGHFSNWPATSLSIFYLLKIANFSNLIFLRLKRRVKSVILVVLLGPLLFLACHLFVVNMNQIVWTKEYEGNMTWKIKLRRAMYLSDTTVTMLANLVPFTVTLISFLLLVCSLCKHLKKMQLHGKGSQDPSTKVHIKVLQTVISFFLLRAIYFVSVIISVWSFKNLENKPVFMFCQAIGFSCSSAHPFILIWGNKKLKQTYLSVLWQMRY</t>
  </si>
  <si>
    <t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t>
  </si>
  <si>
    <t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t>
  </si>
  <si>
    <t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t>
  </si>
  <si>
    <t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t>
  </si>
  <si>
    <t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t>
  </si>
  <si>
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</si>
  <si>
    <t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t>
  </si>
  <si>
    <t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t>
  </si>
  <si>
    <t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t>
  </si>
  <si>
    <t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t>
  </si>
  <si>
    <t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t>
  </si>
  <si>
    <t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t>
  </si>
  <si>
    <t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t>
  </si>
  <si>
    <t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t>
  </si>
  <si>
    <t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t>
  </si>
  <si>
    <t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t>
  </si>
  <si>
    <t>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</t>
  </si>
  <si>
    <t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t>
  </si>
  <si>
    <t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t>
  </si>
  <si>
    <t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t>
  </si>
  <si>
    <t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t>
  </si>
  <si>
    <t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t>
  </si>
  <si>
    <t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t>
  </si>
  <si>
    <t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t>
  </si>
  <si>
    <t>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</t>
  </si>
  <si>
    <t>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</t>
  </si>
  <si>
    <t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t>
  </si>
  <si>
    <t>MAPSHRASQVGFCPTPERPLWRLPPTCRPRR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</t>
  </si>
  <si>
    <t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t>
  </si>
  <si>
    <t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t>
  </si>
  <si>
    <t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t>
  </si>
  <si>
    <t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t>
  </si>
  <si>
    <t>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</t>
  </si>
  <si>
    <t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</t>
  </si>
  <si>
    <t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t>
  </si>
  <si>
    <t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t>
  </si>
  <si>
    <t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t>
  </si>
  <si>
    <t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t>
  </si>
  <si>
    <t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</t>
  </si>
  <si>
    <t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t>
  </si>
  <si>
    <t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t>
  </si>
  <si>
    <t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t>
  </si>
  <si>
    <t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t>
  </si>
  <si>
    <t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t>
  </si>
  <si>
    <t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t>
  </si>
  <si>
    <t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t>
  </si>
  <si>
    <t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</t>
  </si>
  <si>
    <t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t>
  </si>
  <si>
    <t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t>
  </si>
  <si>
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t>
  </si>
  <si>
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t>
  </si>
  <si>
    <t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t>
  </si>
  <si>
    <t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t>
  </si>
  <si>
    <t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t>
  </si>
  <si>
    <t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t>
  </si>
  <si>
    <t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t>
  </si>
  <si>
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t>
  </si>
  <si>
    <t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t>
  </si>
  <si>
    <t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t>
  </si>
  <si>
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</si>
  <si>
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</si>
  <si>
    <t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t>
  </si>
  <si>
    <t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t>
  </si>
  <si>
    <t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t>
  </si>
  <si>
    <t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t>
  </si>
  <si>
    <t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t>
  </si>
  <si>
    <t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t>
  </si>
  <si>
    <t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t>
  </si>
  <si>
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t>
  </si>
  <si>
    <t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t>
  </si>
  <si>
    <t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t>
  </si>
  <si>
    <t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t>
  </si>
  <si>
    <t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t>
  </si>
  <si>
    <t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t>
  </si>
  <si>
    <t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t>
  </si>
  <si>
    <t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t>
  </si>
  <si>
    <t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t>
  </si>
  <si>
    <t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t>
  </si>
  <si>
    <t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t>
  </si>
  <si>
    <t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t>
  </si>
  <si>
    <t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t>
  </si>
  <si>
    <t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t>
  </si>
  <si>
    <t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t>
  </si>
  <si>
    <t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t>
  </si>
  <si>
    <t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t>
  </si>
  <si>
    <t>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</t>
  </si>
  <si>
    <t>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</t>
  </si>
  <si>
    <t>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</t>
  </si>
  <si>
    <t>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</t>
  </si>
  <si>
    <t>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</t>
  </si>
  <si>
    <t>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</t>
  </si>
  <si>
    <t>MPSAIEAIYIILIAGELTIGIWGNGFIVLVNCIDWLKRRDISLIDIILISLAISRICLLCVISLDGFFMLLFPGTYGNSVLVSIVNVVWTFANNSSLWFTSCLSIFYLLKIANISHPFFFWLKLKINKVMLAILLGSFLISLIISVPKNDDMWYHLFKVSHEENITWKFKVSKIPGTFKQLTLNLGVMVPFILCLISFFLLLFSLVRHTKQIRLHATGFRDPSTEAHMRAIKAVIIFLLLLIVYYPVFLVMTSSALIPQGKLVLMIGDIVTVIFPSSHSFILIMGNSKLREAFLKMLRFVKCFLRRRKPFVP</t>
  </si>
  <si>
    <t>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</t>
  </si>
  <si>
    <t>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</t>
  </si>
  <si>
    <t>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</t>
  </si>
  <si>
    <t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</t>
  </si>
  <si>
    <t>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</t>
  </si>
  <si>
    <t>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</t>
  </si>
  <si>
    <t>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</t>
  </si>
  <si>
    <t>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</t>
  </si>
  <si>
    <t>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</t>
  </si>
  <si>
    <t>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</t>
  </si>
  <si>
    <t>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</t>
  </si>
  <si>
    <t>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</t>
  </si>
  <si>
    <t>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</t>
  </si>
  <si>
    <t>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</t>
  </si>
  <si>
    <t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t>
  </si>
  <si>
    <t>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</t>
  </si>
  <si>
    <t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t>
  </si>
  <si>
    <t>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</t>
  </si>
  <si>
    <t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t>
  </si>
  <si>
    <t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t>
  </si>
  <si>
    <t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t>
  </si>
  <si>
    <t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t>
  </si>
  <si>
    <t>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</t>
  </si>
  <si>
    <t>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</t>
  </si>
  <si>
    <t>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</t>
  </si>
  <si>
    <t>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</t>
  </si>
  <si>
    <t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t>
  </si>
  <si>
    <t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t>
  </si>
  <si>
    <t>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</t>
  </si>
  <si>
    <t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t>
  </si>
  <si>
    <t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t>
  </si>
  <si>
    <t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t>
  </si>
  <si>
    <t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t>
  </si>
  <si>
    <t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t>
  </si>
  <si>
    <t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t>
  </si>
  <si>
    <t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t>
  </si>
  <si>
    <t>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</t>
  </si>
  <si>
    <t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t>
  </si>
  <si>
    <t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t>
  </si>
  <si>
    <t>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</t>
  </si>
  <si>
    <t>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</t>
  </si>
  <si>
    <t>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</t>
  </si>
  <si>
    <t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t>
  </si>
  <si>
    <t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t>
  </si>
  <si>
    <t>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</t>
  </si>
  <si>
    <t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t>
  </si>
  <si>
    <t>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</t>
  </si>
  <si>
    <t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t>
  </si>
  <si>
    <t>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</t>
  </si>
  <si>
    <t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t>
  </si>
  <si>
    <t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t>
  </si>
  <si>
    <t>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</t>
  </si>
  <si>
    <t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t>
  </si>
  <si>
    <t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t>
  </si>
  <si>
    <t>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</t>
  </si>
  <si>
    <t>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</t>
  </si>
  <si>
    <t>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</t>
  </si>
  <si>
    <t>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</t>
  </si>
  <si>
    <t>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</t>
  </si>
  <si>
    <t>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</t>
  </si>
  <si>
    <t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t>
  </si>
  <si>
    <t>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</t>
  </si>
  <si>
    <t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t>
  </si>
  <si>
    <t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t>
  </si>
  <si>
    <t>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</t>
  </si>
  <si>
    <t>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</t>
  </si>
  <si>
    <t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t>
  </si>
  <si>
    <t>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</t>
  </si>
  <si>
    <t>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</t>
  </si>
  <si>
    <t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t>
  </si>
  <si>
    <t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t>
  </si>
  <si>
    <t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t>
  </si>
  <si>
    <t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t>
  </si>
  <si>
    <t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t>
  </si>
  <si>
    <t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t>
  </si>
  <si>
    <t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t>
  </si>
  <si>
    <t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t>
  </si>
  <si>
    <t>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</t>
  </si>
  <si>
    <t>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</t>
  </si>
  <si>
    <t>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</t>
  </si>
  <si>
    <t>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</t>
  </si>
  <si>
    <t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t>
  </si>
  <si>
    <t>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</t>
  </si>
  <si>
    <t>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</t>
  </si>
  <si>
    <t>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</t>
  </si>
  <si>
    <t>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</t>
  </si>
  <si>
    <t>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</t>
  </si>
  <si>
    <t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t>
  </si>
  <si>
    <t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t>
  </si>
  <si>
    <t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t>
  </si>
  <si>
    <t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t>
  </si>
  <si>
    <t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t>
  </si>
  <si>
    <t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t>
  </si>
  <si>
    <t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t>
  </si>
  <si>
    <t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t>
  </si>
  <si>
    <t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t>
  </si>
  <si>
    <t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t>
  </si>
  <si>
    <t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t>
  </si>
  <si>
    <t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t>
  </si>
  <si>
    <t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t>
  </si>
  <si>
    <t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t>
  </si>
  <si>
    <t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t>
  </si>
  <si>
    <t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t>
  </si>
  <si>
    <t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t>
  </si>
  <si>
    <t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t>
  </si>
  <si>
    <t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t>
  </si>
  <si>
    <t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t>
  </si>
  <si>
    <t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t>
  </si>
  <si>
    <t>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</t>
  </si>
  <si>
    <t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t>
  </si>
  <si>
    <t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t>
  </si>
  <si>
    <t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t>
  </si>
  <si>
    <t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t>
  </si>
  <si>
    <t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t>
  </si>
  <si>
    <t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t>
  </si>
  <si>
    <t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t>
  </si>
  <si>
    <t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t>
  </si>
  <si>
    <t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</t>
  </si>
  <si>
    <t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t>
  </si>
  <si>
    <t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t>
  </si>
  <si>
    <t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t>
  </si>
  <si>
    <t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t>
  </si>
  <si>
    <t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t>
  </si>
  <si>
    <t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t>
  </si>
  <si>
    <t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t>
  </si>
  <si>
    <t>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</t>
  </si>
  <si>
    <t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t>
  </si>
  <si>
    <t>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</t>
  </si>
  <si>
    <t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t>
  </si>
  <si>
    <t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t>
  </si>
  <si>
    <t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t>
  </si>
  <si>
    <t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t>
  </si>
  <si>
    <t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t>
  </si>
  <si>
    <t>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</t>
  </si>
  <si>
    <t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t>
  </si>
  <si>
    <t>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</t>
  </si>
  <si>
    <t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t>
  </si>
  <si>
    <t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t>
  </si>
  <si>
    <t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t>
  </si>
  <si>
    <t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t>
  </si>
  <si>
    <t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t>
  </si>
  <si>
    <t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t>
  </si>
  <si>
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t>
  </si>
  <si>
    <t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t>
  </si>
  <si>
    <t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t>
  </si>
  <si>
    <t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t>
  </si>
  <si>
    <t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t>
  </si>
  <si>
    <t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t>
  </si>
  <si>
    <t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t>
  </si>
  <si>
    <t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t>
  </si>
  <si>
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t>
  </si>
  <si>
    <t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t>
  </si>
  <si>
    <t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t>
  </si>
  <si>
    <t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t>
  </si>
  <si>
    <t>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</t>
  </si>
  <si>
    <t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t>
  </si>
  <si>
    <t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</t>
  </si>
  <si>
    <t>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</t>
  </si>
  <si>
    <t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</t>
  </si>
  <si>
    <t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t>
  </si>
  <si>
    <t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t>
  </si>
  <si>
    <t>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</t>
  </si>
  <si>
    <t>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</t>
  </si>
  <si>
    <t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t>
  </si>
  <si>
    <t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t>
  </si>
  <si>
    <t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t>
  </si>
  <si>
    <t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t>
  </si>
  <si>
    <t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t>
  </si>
  <si>
    <t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t>
  </si>
  <si>
    <t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t>
  </si>
  <si>
    <t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t>
  </si>
  <si>
    <t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t>
  </si>
  <si>
    <t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t>
  </si>
  <si>
    <t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t>
  </si>
  <si>
    <t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t>
  </si>
  <si>
    <t>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</t>
  </si>
  <si>
    <t>MVDPNGNESSATYFILIGLPGLEEAQFWLAFPLCSLYLIAVLGNLTIIYIVRTEHSLHEPMYIFLCMLSGIDILISTSSMPKMLAIFWFNSTTIQFDACLLQMFAIHSLSGMESTVLLAMAFDRYVAICHPLRHATVLTLPRVTKIGVAAVVRGAALMAPLPVFIKQLPFCRSNILSHSYCLHQDVMKLACDDIRVNVVYGLIVIISAIGLDSLLISFSYLLILKTVLGLTREAQAKAFGTCVSHVCAVFIFYVPFIGLSMVHRFSKRRDSPLPVILANIYLLVPPVLNPIVYGVKTKEIRQRILRLFHVATHASEP</t>
  </si>
  <si>
    <t>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</t>
  </si>
  <si>
    <t>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t>
  </si>
  <si>
    <t>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</t>
  </si>
  <si>
    <t>AGRA1_HUMAN</t>
  </si>
  <si>
    <t>AGRA2_HUMAN</t>
  </si>
  <si>
    <t>AGRA3_HUMAN</t>
  </si>
  <si>
    <t>AGRB2_HUMAN</t>
  </si>
  <si>
    <t>AGRB3_HUMAN</t>
  </si>
  <si>
    <t>AGRD1_HUMAN</t>
  </si>
  <si>
    <t>AGRD2_HUMAN</t>
  </si>
  <si>
    <t>AGRE1_HUMAN</t>
  </si>
  <si>
    <t>AGRE2_HUMAN</t>
  </si>
  <si>
    <t>AGRE3_HUMAN</t>
  </si>
  <si>
    <t>AGRE4_HUMAN</t>
  </si>
  <si>
    <t>AGRF1_HUMAN</t>
  </si>
  <si>
    <t>AGRF2_HUMAN</t>
  </si>
  <si>
    <t>AGRF3_HUMAN</t>
  </si>
  <si>
    <t>AGRF4_HUMAN</t>
  </si>
  <si>
    <t>AGRF5_HUMAN</t>
  </si>
  <si>
    <t>AGRG1_HUMAN</t>
  </si>
  <si>
    <t>AGRG2_HUMAN</t>
  </si>
  <si>
    <t>AGRG3_HUMAN</t>
  </si>
  <si>
    <t>AGRG4_HUMAN</t>
  </si>
  <si>
    <t>AGRG5_HUMAN</t>
  </si>
  <si>
    <t>AGRG7_HUMAN</t>
  </si>
  <si>
    <t>AGRL1_HUMAN</t>
  </si>
  <si>
    <t>AGRL2_HUMAN</t>
  </si>
  <si>
    <t>AGRL3_HUMAN</t>
  </si>
  <si>
    <t>AGRL4_HUMAN</t>
  </si>
  <si>
    <t>acm3_rat</t>
  </si>
  <si>
    <t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t>
  </si>
  <si>
    <t>adrb1_melga</t>
  </si>
  <si>
    <t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t>
  </si>
  <si>
    <t>ntr1_rat</t>
  </si>
  <si>
    <t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t>
  </si>
  <si>
    <t>oprd_mouse</t>
  </si>
  <si>
    <t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t>
  </si>
  <si>
    <t>oprm_mouse</t>
  </si>
  <si>
    <t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t>
  </si>
  <si>
    <t>opsd_bovin</t>
  </si>
  <si>
    <t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t>
  </si>
  <si>
    <t>opsd_todpa</t>
  </si>
  <si>
    <t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t>
  </si>
  <si>
    <t>us28_hcmva</t>
  </si>
  <si>
    <t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t>
  </si>
  <si>
    <t>us28_human</t>
  </si>
  <si>
    <t>vipr_human</t>
  </si>
  <si>
    <t>tr114_human</t>
  </si>
  <si>
    <t>tr106_human</t>
  </si>
  <si>
    <t>t2r45_human</t>
  </si>
  <si>
    <t>O</t>
  </si>
  <si>
    <t>Class</t>
  </si>
  <si>
    <t>Chemokine</t>
  </si>
  <si>
    <t>Opioid</t>
  </si>
  <si>
    <t>Ligandtype</t>
  </si>
  <si>
    <t>Receptorfamily</t>
  </si>
  <si>
    <t>5-Hydroxytryptamine</t>
  </si>
  <si>
    <t>Nucleotide</t>
  </si>
  <si>
    <t>Acetylcholine(muscarinic)</t>
  </si>
  <si>
    <t>Melanocortin</t>
  </si>
  <si>
    <t>Adrenoceptors</t>
  </si>
  <si>
    <t>Angiotensin</t>
  </si>
  <si>
    <t>Apelin</t>
  </si>
  <si>
    <t>B2</t>
  </si>
  <si>
    <t>Orphan</t>
  </si>
  <si>
    <t>Adhesionclassorphans</t>
  </si>
  <si>
    <t>Bradykinin</t>
  </si>
  <si>
    <t>Bombesin</t>
  </si>
  <si>
    <t>Complementpeptide</t>
  </si>
  <si>
    <t>B1</t>
  </si>
  <si>
    <t>Calcitonin</t>
  </si>
  <si>
    <t>Ion</t>
  </si>
  <si>
    <t>Calcium-sensing</t>
  </si>
  <si>
    <t>Cholecystokinin</t>
  </si>
  <si>
    <t>Leukotriene</t>
  </si>
  <si>
    <t>Chemerinreceptor</t>
  </si>
  <si>
    <t>Cannabinoid</t>
  </si>
  <si>
    <t>Corticotropin-releasingfact</t>
  </si>
  <si>
    <t>Dopamine</t>
  </si>
  <si>
    <t>Endothelin</t>
  </si>
  <si>
    <t>ClassAorphans</t>
  </si>
  <si>
    <t>Freefattyacid</t>
  </si>
  <si>
    <t>Formylpeptide</t>
  </si>
  <si>
    <t>Glycoproteinhormone</t>
  </si>
  <si>
    <t>Frizzled</t>
  </si>
  <si>
    <t>OtherGPCRorphans</t>
  </si>
  <si>
    <t>Aminoacid</t>
  </si>
  <si>
    <t>GABA&lt;sub&gt;B&lt;/sub&gt;</t>
  </si>
  <si>
    <t>Galanin</t>
  </si>
  <si>
    <t>Glucagonreceptorfamily</t>
  </si>
  <si>
    <t>Ghrelin</t>
  </si>
  <si>
    <t>Gonadotrophin-releasinghorm</t>
  </si>
  <si>
    <t>GPR18</t>
  </si>
  <si>
    <t>ClassCOrphans</t>
  </si>
  <si>
    <t>Steroid</t>
  </si>
  <si>
    <t>Bileacid</t>
  </si>
  <si>
    <t>Estrogen(Gprotein-coupled)</t>
  </si>
  <si>
    <t>Metabotropicglutamate</t>
  </si>
  <si>
    <t>Alicarboxylicacid</t>
  </si>
  <si>
    <t>Hydroxycarboxylicacid</t>
  </si>
  <si>
    <t>Histamine</t>
  </si>
  <si>
    <t>Kisspeptin</t>
  </si>
  <si>
    <t>Lysophospholipid(LPA)</t>
  </si>
  <si>
    <t>Melanin-concentratinghormon</t>
  </si>
  <si>
    <t>Motilin</t>
  </si>
  <si>
    <t>Melatonin</t>
  </si>
  <si>
    <t>Tachykinin</t>
  </si>
  <si>
    <t>NeuromedinU</t>
  </si>
  <si>
    <t>NeuropeptideW/neuropeptide</t>
  </si>
  <si>
    <t>NeuropeptideFF/neuropeptide</t>
  </si>
  <si>
    <t>NeuropeptideS</t>
  </si>
  <si>
    <t>NeuropeptideY</t>
  </si>
  <si>
    <t>Neurotensin</t>
  </si>
  <si>
    <t>Sensory</t>
  </si>
  <si>
    <t>Opsins</t>
  </si>
  <si>
    <t>Orexin</t>
  </si>
  <si>
    <t>Oxoglutarate</t>
  </si>
  <si>
    <t>Vasopressinandoxytocin</t>
  </si>
  <si>
    <t>P2Y</t>
  </si>
  <si>
    <t>VIPandPACAP</t>
  </si>
  <si>
    <t>Proteinase-activated</t>
  </si>
  <si>
    <t>Prostanoid</t>
  </si>
  <si>
    <t>Prokineticin</t>
  </si>
  <si>
    <t>Prolactin-releasingpeptide</t>
  </si>
  <si>
    <t>Platelet-activatingfactor</t>
  </si>
  <si>
    <t>Parathyroidhormone</t>
  </si>
  <si>
    <t>PeptideP518</t>
  </si>
  <si>
    <t>Relaxinfamilypeptide</t>
  </si>
  <si>
    <t>Lysophospholipid(S1P)</t>
  </si>
  <si>
    <t>Somatostatin</t>
  </si>
  <si>
    <t>Succinate</t>
  </si>
  <si>
    <t>Taste2</t>
  </si>
  <si>
    <t>Traceamine</t>
  </si>
  <si>
    <t>Thyrotropin-releasinghormon</t>
  </si>
  <si>
    <t>Taste1</t>
  </si>
  <si>
    <t>Urotensin</t>
  </si>
  <si>
    <t>Unclassified</t>
  </si>
  <si>
    <t>V</t>
  </si>
  <si>
    <t>S</t>
  </si>
  <si>
    <t>Q</t>
  </si>
  <si>
    <t>AA</t>
  </si>
  <si>
    <t>E</t>
  </si>
  <si>
    <t>2Y00</t>
  </si>
  <si>
    <t>2Y02</t>
  </si>
  <si>
    <t>2Y03</t>
  </si>
  <si>
    <t>2Y04</t>
  </si>
  <si>
    <t>2YCW</t>
  </si>
  <si>
    <t>2YCZ</t>
  </si>
  <si>
    <t>2YDO</t>
  </si>
  <si>
    <t>3NY9</t>
  </si>
  <si>
    <t>CXCR4_human</t>
  </si>
  <si>
    <t>3OE0</t>
  </si>
  <si>
    <t>3PQR</t>
  </si>
  <si>
    <t>3QAK</t>
  </si>
  <si>
    <t>3RFM</t>
  </si>
  <si>
    <t>3UZA</t>
  </si>
  <si>
    <t>3UZC</t>
  </si>
  <si>
    <t>3ZPQ</t>
  </si>
  <si>
    <t>3ZPR</t>
  </si>
  <si>
    <t>4AMI</t>
  </si>
  <si>
    <t>4AMJ</t>
  </si>
  <si>
    <t>4GPO</t>
  </si>
  <si>
    <t>4IAQ</t>
  </si>
  <si>
    <t>4J4Q</t>
  </si>
  <si>
    <t>4LDL</t>
  </si>
  <si>
    <t>4LDO</t>
  </si>
  <si>
    <t>4MQT</t>
  </si>
  <si>
    <t>4N4W</t>
  </si>
  <si>
    <t>4NTJ</t>
  </si>
  <si>
    <t>4O9R</t>
  </si>
  <si>
    <t>4PY0</t>
  </si>
  <si>
    <t>4QIM</t>
  </si>
  <si>
    <t>4RWS</t>
  </si>
  <si>
    <t>4U16</t>
  </si>
  <si>
    <t>4UHR</t>
  </si>
  <si>
    <t>4XNW</t>
  </si>
  <si>
    <t>4Z34</t>
  </si>
  <si>
    <t>4Z36</t>
  </si>
  <si>
    <t>5A8E</t>
  </si>
  <si>
    <t>4Z9G</t>
  </si>
  <si>
    <t>1b</t>
  </si>
  <si>
    <t>1e</t>
  </si>
  <si>
    <t>2b</t>
  </si>
  <si>
    <t>2e</t>
  </si>
  <si>
    <t>3b</t>
  </si>
  <si>
    <t>3e</t>
  </si>
  <si>
    <t>4b</t>
  </si>
  <si>
    <t>4e</t>
  </si>
  <si>
    <t>5b</t>
  </si>
  <si>
    <t>5e</t>
  </si>
  <si>
    <t>6b</t>
  </si>
  <si>
    <t>6e</t>
  </si>
  <si>
    <t>7b</t>
  </si>
  <si>
    <t>7e</t>
  </si>
  <si>
    <t>8b</t>
  </si>
  <si>
    <t>8e</t>
  </si>
  <si>
    <t>Key</t>
  </si>
  <si>
    <t>i1b</t>
  </si>
  <si>
    <t>i1e</t>
  </si>
  <si>
    <t>e1b</t>
  </si>
  <si>
    <t>e1e</t>
  </si>
  <si>
    <t>1x</t>
  </si>
  <si>
    <t>i1x</t>
  </si>
  <si>
    <t>2x</t>
  </si>
  <si>
    <t>e1x</t>
  </si>
  <si>
    <t>3x</t>
  </si>
  <si>
    <t>4x</t>
  </si>
  <si>
    <t>5x</t>
  </si>
  <si>
    <t>6x</t>
  </si>
  <si>
    <t>7x</t>
  </si>
  <si>
    <t>8x</t>
  </si>
  <si>
    <t>i2x</t>
  </si>
  <si>
    <t>i2b</t>
  </si>
  <si>
    <t>i2e</t>
  </si>
  <si>
    <t>e2x</t>
  </si>
  <si>
    <t>e2b</t>
  </si>
  <si>
    <t>e2e</t>
  </si>
  <si>
    <t>OPRM_human</t>
  </si>
  <si>
    <t>AuxProt</t>
  </si>
  <si>
    <t>Repr</t>
  </si>
  <si>
    <t>Active</t>
  </si>
  <si>
    <t>(mut)</t>
  </si>
  <si>
    <t>5ePro</t>
  </si>
  <si>
    <t>3VG9</t>
  </si>
  <si>
    <t>inactive</t>
  </si>
  <si>
    <t>active</t>
  </si>
  <si>
    <t>4GBR</t>
  </si>
  <si>
    <t>Note</t>
  </si>
  <si>
    <t>4GBR has a longer TM5 and less ICL3-deletion than other inactive structure. With a complete ICL3, TM5 might be as long (5x76) in active and inactive states.</t>
  </si>
  <si>
    <t>Note long</t>
  </si>
  <si>
    <t>Inactive structures can have as long TM5 as the active state, if ICL3 is complete.</t>
  </si>
  <si>
    <t>nanobody</t>
  </si>
  <si>
    <t>Active state, but short TM5 and ICL3 (large deletion)</t>
  </si>
  <si>
    <t xml:space="preserve">4MQS </t>
  </si>
  <si>
    <t>repr</t>
  </si>
  <si>
    <t>Template</t>
  </si>
  <si>
    <t>long</t>
  </si>
  <si>
    <t>medium</t>
  </si>
  <si>
    <t>Short in construct, long in wt</t>
  </si>
  <si>
    <t>most</t>
  </si>
  <si>
    <t>3C9M</t>
  </si>
  <si>
    <t>2J4Y and 3C9M have a longer TM5 than other inactive structure, all have full ICL3s, and it is as long as in the active structure 3DQB.</t>
  </si>
  <si>
    <t>Wt ICL3 is so short that TM5 cannot be elongated, despite that this is an active state structure</t>
  </si>
  <si>
    <t>4XT1</t>
  </si>
  <si>
    <t>template</t>
  </si>
  <si>
    <t>5eGPCRdb</t>
  </si>
  <si>
    <t>5eBW</t>
  </si>
  <si>
    <t>short in wt</t>
  </si>
  <si>
    <t>KeyPDB</t>
  </si>
  <si>
    <t>5ePro_</t>
  </si>
  <si>
    <t>2J4Y</t>
  </si>
  <si>
    <t>6bBW</t>
  </si>
  <si>
    <t>6bGPCRdb</t>
  </si>
  <si>
    <t>6bPro</t>
  </si>
  <si>
    <t>ICL Length Xtal</t>
  </si>
  <si>
    <t>ILC3 Length Wt</t>
  </si>
  <si>
    <t>Diff</t>
  </si>
  <si>
    <t>5x50-6x50</t>
  </si>
  <si>
    <t>#H_AAs</t>
  </si>
  <si>
    <t>SQS</t>
  </si>
  <si>
    <t>QQES</t>
  </si>
  <si>
    <t>SGS</t>
  </si>
  <si>
    <t>complete</t>
  </si>
  <si>
    <t>partial_coordinates</t>
  </si>
  <si>
    <t>deletetion</t>
  </si>
  <si>
    <t>ICL3 (all have no fusions)</t>
  </si>
  <si>
    <t>no, is small outlier</t>
  </si>
  <si>
    <t>no, TM6 too short, use ADRB1_melga instead</t>
  </si>
  <si>
    <t>FFAR1_human</t>
  </si>
  <si>
    <t>no US28 is better, as it does not have too long TM6</t>
  </si>
  <si>
    <t>no, too short helices</t>
  </si>
  <si>
    <t>4XNV</t>
  </si>
  <si>
    <t>4PXZ</t>
  </si>
  <si>
    <t>OPRX_human</t>
  </si>
  <si>
    <t>OX1R_human</t>
  </si>
  <si>
    <t>OX2R_human</t>
  </si>
  <si>
    <t>Sequence</t>
  </si>
  <si>
    <t>Query</t>
  </si>
  <si>
    <t>T</t>
  </si>
  <si>
    <t>4YAY_dist</t>
  </si>
  <si>
    <t>4K5Y_dist</t>
  </si>
  <si>
    <t>4Z9G_dist</t>
  </si>
  <si>
    <t>Longer TM7 is due to Y392A mutation</t>
  </si>
  <si>
    <t>H8 start is same as in class A, if shifting TM7 alignmnent to match the 2 Pro residues</t>
  </si>
  <si>
    <t>4IB4_dist</t>
  </si>
  <si>
    <t>TM7 is 1 pos longer</t>
  </si>
  <si>
    <t>Valid</t>
  </si>
  <si>
    <t>#Res</t>
  </si>
  <si>
    <t>TM4 is too long, it is ICL2 helix in 4XNW</t>
  </si>
  <si>
    <t>TM4 and ICL3 are short</t>
  </si>
  <si>
    <t>3b starts early</t>
  </si>
  <si>
    <t>cxcr4_human</t>
  </si>
  <si>
    <t>ffar1_human</t>
  </si>
  <si>
    <t>oprx_human</t>
  </si>
  <si>
    <t>ox1r_human</t>
  </si>
  <si>
    <t>ox2r_human</t>
  </si>
  <si>
    <t>agra1_human</t>
  </si>
  <si>
    <t>agra2_human</t>
  </si>
  <si>
    <t>agra3_human</t>
  </si>
  <si>
    <t>agrb2_human</t>
  </si>
  <si>
    <t>agrb3_human</t>
  </si>
  <si>
    <t>agrd1_human</t>
  </si>
  <si>
    <t>agrd2_human</t>
  </si>
  <si>
    <t>agre1_human</t>
  </si>
  <si>
    <t>agre2_human</t>
  </si>
  <si>
    <t>agre3_human</t>
  </si>
  <si>
    <t>agre4_human</t>
  </si>
  <si>
    <t>agrf1_human</t>
  </si>
  <si>
    <t>agrf2_human</t>
  </si>
  <si>
    <t>agrf3_human</t>
  </si>
  <si>
    <t>agrf4_human</t>
  </si>
  <si>
    <t>agrf5_human</t>
  </si>
  <si>
    <t>agrg1_human</t>
  </si>
  <si>
    <t>agrg2_human</t>
  </si>
  <si>
    <t>agrg3_human</t>
  </si>
  <si>
    <t>agrg4_human</t>
  </si>
  <si>
    <t>agrg5_human</t>
  </si>
  <si>
    <t>agrg7_human</t>
  </si>
  <si>
    <t>agrl1_human</t>
  </si>
  <si>
    <t>agrl2_human</t>
  </si>
  <si>
    <t>agrl3_human</t>
  </si>
  <si>
    <t>agrl4_human</t>
  </si>
  <si>
    <t>Val #</t>
  </si>
  <si>
    <t>Xtal Templ</t>
  </si>
  <si>
    <t>Species</t>
  </si>
  <si>
    <t>Rec Fam</t>
  </si>
  <si>
    <t>XtalTempl</t>
  </si>
  <si>
    <t>TM8</t>
  </si>
  <si>
    <t>icl1</t>
  </si>
  <si>
    <t>icl2</t>
  </si>
  <si>
    <t>ecl1</t>
  </si>
  <si>
    <t>ecl2</t>
  </si>
  <si>
    <t>1len</t>
  </si>
  <si>
    <t>i1len</t>
  </si>
  <si>
    <t>2len</t>
  </si>
  <si>
    <t>e1len</t>
  </si>
  <si>
    <t>3len</t>
  </si>
  <si>
    <t>i2len</t>
  </si>
  <si>
    <t>4len</t>
  </si>
  <si>
    <t>e2len</t>
  </si>
  <si>
    <t>5len</t>
  </si>
  <si>
    <t>6len</t>
  </si>
  <si>
    <t>7len</t>
  </si>
  <si>
    <t>8len</t>
  </si>
  <si>
    <t>Wt</t>
  </si>
  <si>
    <t>Seq4BLAST</t>
  </si>
  <si>
    <t>Xtalised</t>
  </si>
  <si>
    <t>Cl Query</t>
  </si>
  <si>
    <t>1e-i1b</t>
  </si>
  <si>
    <t>i1e-2b</t>
  </si>
  <si>
    <t>2e-e1b</t>
  </si>
  <si>
    <t>e1e-3b</t>
  </si>
  <si>
    <t>3e-i2b</t>
  </si>
  <si>
    <t>i2e-4b</t>
  </si>
  <si>
    <t>4e-e2b</t>
  </si>
  <si>
    <t>e2e-5b</t>
  </si>
  <si>
    <t>5e-6b</t>
  </si>
  <si>
    <t>6e-7b</t>
  </si>
  <si>
    <t>7e-8b</t>
  </si>
  <si>
    <t>6x7x</t>
  </si>
  <si>
    <t>1x2x</t>
  </si>
  <si>
    <t>2x3x</t>
  </si>
  <si>
    <t>5x6x</t>
  </si>
  <si>
    <t>5ht1b_human__wt</t>
  </si>
  <si>
    <t>5ht2b_human__wt</t>
  </si>
  <si>
    <t>aa2ar_human__wt</t>
  </si>
  <si>
    <t>acm1_human__wt</t>
  </si>
  <si>
    <t>acm2_human__wt</t>
  </si>
  <si>
    <t>acm3_rat__wt</t>
  </si>
  <si>
    <t>acm4_human__wt</t>
  </si>
  <si>
    <t>adrb1_melga__wt</t>
  </si>
  <si>
    <t>adrb2_human__wt</t>
  </si>
  <si>
    <t>agtr1_human__wt</t>
  </si>
  <si>
    <t>ccr5_human__wt</t>
  </si>
  <si>
    <t>crfr1_human__wt</t>
  </si>
  <si>
    <t>cxcr4_human__wt</t>
  </si>
  <si>
    <t>drd3_human__wt</t>
  </si>
  <si>
    <t>ffar1_human__wt</t>
  </si>
  <si>
    <t>glr_human__wt</t>
  </si>
  <si>
    <t>grm1_human__wt</t>
  </si>
  <si>
    <t>grm5_human__wt</t>
  </si>
  <si>
    <t>hrh1_human__wt</t>
  </si>
  <si>
    <t>lpar1_human__wt</t>
  </si>
  <si>
    <t>ntr1_rat__wt</t>
  </si>
  <si>
    <t>oprd_human__wt</t>
  </si>
  <si>
    <t>oprd_mouse__wt</t>
  </si>
  <si>
    <t>oprk_human__wt</t>
  </si>
  <si>
    <t>oprm_mouse__wt</t>
  </si>
  <si>
    <t>oprx_human__wt</t>
  </si>
  <si>
    <t>opsd_bovin__wt</t>
  </si>
  <si>
    <t>opsd_human__wt</t>
  </si>
  <si>
    <t>opsd_todpa__wt</t>
  </si>
  <si>
    <t>ox1r_human__wt</t>
  </si>
  <si>
    <t>ox2r_human__wt</t>
  </si>
  <si>
    <t>p2ry1_human__wt</t>
  </si>
  <si>
    <t>p2y12_human__wt</t>
  </si>
  <si>
    <t>par1_human__wt</t>
  </si>
  <si>
    <t>s1pr1_human__wt</t>
  </si>
  <si>
    <t>smo_human__wt</t>
  </si>
  <si>
    <t>us28_hcmva__wt</t>
  </si>
  <si>
    <t>i2x4x</t>
  </si>
  <si>
    <t>4L6R_dist</t>
  </si>
  <si>
    <t>Could be 64, if including terminal bulge</t>
  </si>
  <si>
    <t>Could be one pos higher</t>
  </si>
  <si>
    <t>e2x5x</t>
  </si>
  <si>
    <t>GG</t>
  </si>
  <si>
    <t>B</t>
  </si>
  <si>
    <t>2xe1x</t>
  </si>
  <si>
    <t>2e-e1x</t>
  </si>
  <si>
    <t>e1e3b</t>
  </si>
  <si>
    <t>2e3b</t>
  </si>
  <si>
    <t>i1x2x</t>
  </si>
  <si>
    <t>a</t>
  </si>
  <si>
    <t>i1e2b</t>
  </si>
  <si>
    <t>1ei1b</t>
  </si>
  <si>
    <t>3ei2b</t>
  </si>
  <si>
    <t>Act</t>
  </si>
  <si>
    <t>5G53</t>
  </si>
  <si>
    <t>5e6b</t>
  </si>
  <si>
    <t>Set to P</t>
  </si>
  <si>
    <t>Set to G</t>
  </si>
  <si>
    <t>Note 5e</t>
  </si>
  <si>
    <t>Note 6b</t>
  </si>
  <si>
    <t>Set to S240</t>
  </si>
  <si>
    <t>Set to T236</t>
  </si>
  <si>
    <t>Extended due to hydrophobic residues</t>
  </si>
  <si>
    <t>Set to S</t>
  </si>
  <si>
    <t>Is long</t>
  </si>
  <si>
    <t>Manual (David)</t>
  </si>
  <si>
    <t>Manual</t>
  </si>
  <si>
    <t>8e-End</t>
  </si>
  <si>
    <t>Ps</t>
  </si>
  <si>
    <t>No H8</t>
  </si>
  <si>
    <t>4NC3</t>
  </si>
  <si>
    <t>2.50</t>
  </si>
  <si>
    <t>2.56</t>
  </si>
  <si>
    <t>2.57</t>
  </si>
  <si>
    <t>2.58</t>
  </si>
  <si>
    <t>2.59</t>
  </si>
  <si>
    <t>4.56</t>
  </si>
  <si>
    <t>4.57</t>
  </si>
  <si>
    <t>4.58</t>
  </si>
  <si>
    <t>4.59</t>
  </si>
  <si>
    <t>4.60</t>
  </si>
  <si>
    <t>5x411</t>
  </si>
  <si>
    <t>5.46</t>
  </si>
  <si>
    <t>5.50</t>
  </si>
  <si>
    <t>6x461</t>
  </si>
  <si>
    <t>5x421</t>
  </si>
  <si>
    <t>7x521</t>
  </si>
  <si>
    <t>Max</t>
  </si>
  <si>
    <t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t>
  </si>
  <si>
    <t>5GLI</t>
  </si>
  <si>
    <t>5GLH</t>
  </si>
  <si>
    <t>ednrb_human__wt</t>
  </si>
  <si>
    <t>NonX</t>
  </si>
  <si>
    <t>NOT USED AS TEMPLATES!</t>
  </si>
  <si>
    <t>4BUO</t>
  </si>
  <si>
    <t>3NY8</t>
  </si>
  <si>
    <t>3NYA</t>
  </si>
  <si>
    <t>3PDS</t>
  </si>
  <si>
    <t>4ZUD</t>
  </si>
  <si>
    <t>1GZM</t>
  </si>
  <si>
    <t>4RWD</t>
  </si>
  <si>
    <t>5K2A</t>
  </si>
  <si>
    <t>5K2B</t>
  </si>
  <si>
    <t>5K2C</t>
  </si>
  <si>
    <t>5K2D</t>
  </si>
  <si>
    <t>5D6L</t>
  </si>
  <si>
    <t>5JQH</t>
  </si>
  <si>
    <t>5IU4</t>
  </si>
  <si>
    <t>5IU7</t>
  </si>
  <si>
    <t>5IU8</t>
  </si>
  <si>
    <t>5IUA</t>
  </si>
  <si>
    <t>5IUB</t>
  </si>
  <si>
    <t>4XEE</t>
  </si>
  <si>
    <t>4XES</t>
  </si>
  <si>
    <t>5L7D</t>
  </si>
  <si>
    <t>5L7I</t>
  </si>
  <si>
    <t>5F8U</t>
  </si>
  <si>
    <t>5DHG</t>
  </si>
  <si>
    <t>5DHH</t>
  </si>
  <si>
    <t>5DYS</t>
  </si>
  <si>
    <t>5EN0</t>
  </si>
  <si>
    <t>5TGZ</t>
  </si>
  <si>
    <t>PDB validation says chain B is better, but A is more complete</t>
  </si>
  <si>
    <t>Chain A is longer than B at H8</t>
  </si>
  <si>
    <t>Chain B is longer than A</t>
  </si>
  <si>
    <t>cnr1_human__wt</t>
  </si>
  <si>
    <t>2x581</t>
  </si>
  <si>
    <t>5U09</t>
  </si>
  <si>
    <t>5LWE</t>
  </si>
  <si>
    <t>5x431</t>
  </si>
  <si>
    <t>ccr9_human__wt</t>
  </si>
  <si>
    <t>Validation (correct class of template)</t>
  </si>
  <si>
    <t>2X72</t>
  </si>
  <si>
    <t>4A4M</t>
  </si>
  <si>
    <t>4XT3</t>
  </si>
  <si>
    <t>NA</t>
  </si>
  <si>
    <t>State</t>
  </si>
  <si>
    <t>Inact</t>
  </si>
  <si>
    <t>Repr_Act</t>
  </si>
  <si>
    <t>Repr_Inact</t>
  </si>
  <si>
    <t>?</t>
  </si>
  <si>
    <t>5T1A</t>
  </si>
  <si>
    <t>ccr2_human__wt</t>
  </si>
  <si>
    <t>RF</t>
  </si>
  <si>
    <t>Chain</t>
  </si>
  <si>
    <t>PrefChain</t>
  </si>
  <si>
    <t>2.60</t>
  </si>
  <si>
    <t>5LWE_dist</t>
  </si>
  <si>
    <t>5T04</t>
  </si>
  <si>
    <t>5TVN</t>
  </si>
  <si>
    <t>5UIG</t>
  </si>
  <si>
    <t>Manual (Gaspar)</t>
  </si>
  <si>
    <t>5UEN</t>
  </si>
  <si>
    <t>aa1r_human__wt</t>
  </si>
  <si>
    <t>4x5x</t>
  </si>
  <si>
    <t>5UNF</t>
  </si>
  <si>
    <t>agtr2_human__wt</t>
  </si>
  <si>
    <t>5UNG</t>
  </si>
  <si>
    <t>5UNH</t>
  </si>
  <si>
    <t>5NDD</t>
  </si>
  <si>
    <t>5NDZ</t>
  </si>
  <si>
    <t>par2_human__wt</t>
  </si>
  <si>
    <t>5NJ6</t>
  </si>
  <si>
    <t>5TE3</t>
  </si>
  <si>
    <t>5TE5</t>
  </si>
  <si>
    <t>5UZ7</t>
  </si>
  <si>
    <t>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t>
  </si>
  <si>
    <t>calcr_human__wt</t>
  </si>
  <si>
    <t>David templates</t>
  </si>
  <si>
    <t>Cl Template</t>
  </si>
  <si>
    <t>Cl David Template</t>
  </si>
  <si>
    <t>5VEX</t>
  </si>
  <si>
    <t>5VEW</t>
  </si>
  <si>
    <t>glp1r_human__wt</t>
  </si>
  <si>
    <t>Class B</t>
  </si>
  <si>
    <t>5XEZ</t>
  </si>
  <si>
    <t>5XF1</t>
  </si>
  <si>
    <t>5UVI</t>
  </si>
  <si>
    <t>5JTB</t>
  </si>
  <si>
    <t>agrg6_human</t>
  </si>
  <si>
    <t>5VBL</t>
  </si>
  <si>
    <t>apj_human__wt</t>
  </si>
  <si>
    <t>5TZR</t>
  </si>
  <si>
    <t>5TZY</t>
  </si>
  <si>
    <t>5NX2</t>
  </si>
  <si>
    <t>MAGAPSPLRLALLLLGAVGRAGPRPQGATVSLSETVQKWREYRRQCQHFLTEAPPLATGLFCNRTFDDYACWPDGAPGSFVNVSCPWYLPWASNVLQGHVYRFCTTEGHWLHKDNSSLPWRDLSECEESRRGEKSSPEEQLLSLYIIYTVGYALSFSALVIASAILLGFRHLHCTRNYIHLNLFASFILRALSVFIKDAALKWMYSTAAQQHQWDGLLSYQDSLGCRLVFLLMQYCVAANYYWLLVEGAYLYTLLAFAVFSEQRIFKLYLSIGWGVPLLFVIPWGIVKYLYEDEGCWTRNSNMNYWLIIRLPILFAIGVNFLIFIRVICIVVSKLKANLMCKTDIKCRLAKSTLTLIPLLGTHEVIFAFVMDEHARGTLRFVKLFTELSFTSFQGLMVAILYCFVNNEVQMEFRKSWERWRLEHLRVQRDSSMKPLKCPTSSLSSGATGGSSVYAATSQACS</t>
  </si>
  <si>
    <t>g1sgd4_rabit</t>
  </si>
  <si>
    <t>g1sgd4_rabit__wt</t>
  </si>
  <si>
    <t>5VAI</t>
  </si>
  <si>
    <t>R</t>
  </si>
  <si>
    <t>5UIW</t>
  </si>
  <si>
    <t>5XR8</t>
  </si>
  <si>
    <t>5XRA</t>
  </si>
  <si>
    <t>Resolution</t>
  </si>
  <si>
    <t>5TUD</t>
  </si>
  <si>
    <t>Inter</t>
  </si>
  <si>
    <t>Repr_Inter</t>
  </si>
  <si>
    <t>5N2R</t>
  </si>
  <si>
    <t>5N2S</t>
  </si>
  <si>
    <t>5W0P</t>
  </si>
  <si>
    <t>D</t>
  </si>
  <si>
    <t>5DGY</t>
  </si>
  <si>
    <t>5MZJ</t>
  </si>
  <si>
    <t>5MZP</t>
  </si>
  <si>
    <t>5X7D</t>
  </si>
  <si>
    <t>5X93</t>
  </si>
  <si>
    <t>5XPR</t>
  </si>
  <si>
    <t>q08bg4_danre</t>
  </si>
  <si>
    <t>MYNTSLEMEMLNVSNVTHCPKNDNFKYPLYSMVFSIVFMVGLITNVAAMYIFMCSLKLRNETTTYMMNLVVSDLLFVLTLPLRVFYFVQQNWPFGSLLCKLSVSLFYTNMYGSILFLTCISVDRFLAIVYPFRSRGLRTKRNAKIVCAAVWVLVLSGSLPTGFMLNSTNKLENNSISCFENFSSKEWKSHLSKVVIFIETVGFLIPLMLNVVCSAMVLQTLRRPNTVSRGGKLNKKKILRMIIVHLFIFCFCFIPYNVNLVFYSLVRTNTLKGCAAESVVRTIYPIALCIAVSNCCFDPIVYYFTSETIQNSIKRKTQTGHSIDVKFSEALQSETSSTLQFSLRSIKNKMFHNESHV</t>
  </si>
  <si>
    <t>5XSZ</t>
  </si>
  <si>
    <t>q08bg4_danre__wt</t>
  </si>
  <si>
    <t>5NM2</t>
  </si>
  <si>
    <t>5WIU</t>
  </si>
  <si>
    <t>drd4_human__wt</t>
  </si>
  <si>
    <t>5WIV</t>
  </si>
  <si>
    <t>5WQC</t>
  </si>
  <si>
    <t>5WS3</t>
  </si>
  <si>
    <t>5VRA</t>
  </si>
  <si>
    <t>5WKT</t>
  </si>
  <si>
    <t>q9wtk1_cavpo</t>
  </si>
  <si>
    <t>5X33</t>
  </si>
  <si>
    <t>MDRNTTTRAASPSGSNTFIPLLAMILLSVSMVVGLPGNTFVVWSILKRMRKRSVTALMVLNLALADLAVLLTAPFFLHFLTWHTWSFKLAGCRLCHYICGVSMYASVLLITAMSLDRSLAVASPFLSQKVRTKTAARWLLVGIWGASFLLATPVLAFRKVVKLTNETDLCLAVYPSDRHKAFHLLFEAFTGFVVPFLIVVASYADISRRLRVRRFHRRRRTGRLVVIIILAFAAFWLPYHVVDLVEGSRVLAGTLDQSKQQLRNARKVCIALAFLSSSVNPLLYACAGGGLLRSAGVGFVAKLLEATGSEAFSTRRGGTLAQTVKGIPMAPEPGASGSLDGLKQSESD</t>
  </si>
  <si>
    <t>q9wtk1_cavpo__wt</t>
  </si>
  <si>
    <t>5OLG</t>
  </si>
  <si>
    <t>5OLH</t>
  </si>
  <si>
    <t>5OLO</t>
  </si>
  <si>
    <t>5OLV</t>
  </si>
  <si>
    <t>5OLZ</t>
  </si>
  <si>
    <t>5OM1</t>
  </si>
  <si>
    <t>5OM4</t>
  </si>
  <si>
    <t>6AQF</t>
  </si>
  <si>
    <t>5YQZ</t>
  </si>
  <si>
    <t>6B73</t>
  </si>
  <si>
    <t>drd2_human__wt</t>
  </si>
  <si>
    <t>6BQG</t>
  </si>
  <si>
    <t>6BQH</t>
  </si>
  <si>
    <t>5V54</t>
  </si>
  <si>
    <t>5ht2c_human__wt</t>
  </si>
  <si>
    <t>1x36</t>
  </si>
  <si>
    <t>5WF5</t>
  </si>
  <si>
    <t>Intermediate</t>
  </si>
  <si>
    <t>5WF6</t>
  </si>
  <si>
    <t>6B3J</t>
  </si>
  <si>
    <t>6FFH</t>
  </si>
  <si>
    <t>6FFI</t>
  </si>
  <si>
    <t>6CM4</t>
  </si>
  <si>
    <t>5V56</t>
  </si>
  <si>
    <t>5V57</t>
  </si>
  <si>
    <t>5O9H</t>
  </si>
  <si>
    <t>c5ar1_human__wt</t>
  </si>
  <si>
    <t>7x8x</t>
  </si>
  <si>
    <t>6FK6</t>
  </si>
  <si>
    <t>6FK7</t>
  </si>
  <si>
    <t>6FK8</t>
  </si>
  <si>
    <t>6FK9</t>
  </si>
  <si>
    <t>6FKA</t>
  </si>
  <si>
    <t>6FKB</t>
  </si>
  <si>
    <t>6FKC</t>
  </si>
  <si>
    <t>6FKD</t>
  </si>
  <si>
    <t>5ZBQ</t>
  </si>
  <si>
    <t>5ZBH</t>
  </si>
  <si>
    <t>npy1r_human__wt</t>
  </si>
  <si>
    <t>5KW2</t>
  </si>
  <si>
    <t>6GDG</t>
  </si>
  <si>
    <t>Xtal</t>
  </si>
  <si>
    <t>6D32</t>
  </si>
  <si>
    <t>q98sw5_xenla</t>
  </si>
  <si>
    <t>q98sw5_xenla__wt</t>
  </si>
  <si>
    <t>MSSMVPWICWIGGFGFLLFICTSGGVQINETFYMDKCKKTTTCEPLKYNICLGSVLPYALTSTVLAEDSSSQDEVHDKLSLWSGLRNAPRCWDAIRPLLCAVYMPKCEGGKVELPSQGLCQTTRVPCAIVARERGWPDFLKCTTDYFPEGCPNEVQNIKFNSSGQCEAPLVRTDNPKSWYEDVEGCGIQCQNPLFTNKEHREMHIYIAIFSSVTIFCTFFTLATFLADWKNSNRYPAVILFYVNACFFVGSIGWLAQFMDGARDEIVCRGDGTMRLGEPTSNETLSCVIIFIIVYYSMMSGVIWFVMLTYAWHTSFKALGTTHQPLSGKTSYFHLITWSIPFVLTVAILAVAQVDGDSVSGICFVGYKNYHYRAGFVLAPIGLVLIGGGYFLIRGVMTLFSIKSNHPGLLSEKAASKINETMLRLGIFGFLAFGFVLITFGCHFYDFFNQAEWERSFREYVLCEANVTIAEQTNKPIPECYIKNRPSLLVEKINLFAMFGTGISMSTWVWTKATIIIWKRAWCRILGRSDDEPKRIKKSKMIAKAFSKRKELLNNPEKELSFSLHSVSHEGPVAGLNFDMNEPSADMSSAWAQHVTKMVARRGAILPQDVSVTPVATPVPPEERDQWFIEGDIPQGMVKKMSKKKKRRKKKEIQPLEAKTVKEHFHSRANTAVPRLPKLPLKTGLVTRSKPQEVDETLPGSYREFRRLPNIQEKLYPVEGVNNNLGYTRYPQSNMISHPFAADKMPLTDESRVAYVPVPKHDGVFQYSSANSYSNPMDLTSYRGRTQPRWTENPPMHSRANLMDAELMDTDSDF</t>
  </si>
  <si>
    <t>6D35</t>
  </si>
  <si>
    <t>6C1Q</t>
  </si>
  <si>
    <t>6C1R</t>
  </si>
  <si>
    <t>6DDE</t>
  </si>
  <si>
    <t>6DDF</t>
  </si>
  <si>
    <t>6CMO</t>
  </si>
  <si>
    <t>6D9H</t>
  </si>
  <si>
    <t>6G79</t>
  </si>
  <si>
    <t>5ZKP</t>
  </si>
  <si>
    <t>ptafr_human__wt</t>
  </si>
  <si>
    <t>5ZKQ</t>
  </si>
  <si>
    <t>q80km9_hcmv</t>
  </si>
  <si>
    <t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GSPSRRETSSDTLSDEVCRVSQIIP</t>
  </si>
  <si>
    <t>5WB1</t>
  </si>
  <si>
    <t>5WB2</t>
  </si>
  <si>
    <t>q80km9_hcmv__wt</t>
  </si>
  <si>
    <t>5XJM</t>
  </si>
  <si>
    <t>6DRX</t>
  </si>
  <si>
    <t>6DRY</t>
  </si>
  <si>
    <t>6DRZ</t>
  </si>
  <si>
    <t>6DS0</t>
  </si>
  <si>
    <t>6E3Y</t>
  </si>
  <si>
    <t>calrl_human__wt</t>
  </si>
  <si>
    <t>6D26</t>
  </si>
  <si>
    <t>pd2r2_human__wt</t>
  </si>
  <si>
    <t>6FUF</t>
  </si>
  <si>
    <t>6H7J</t>
  </si>
  <si>
    <t>6H7K</t>
  </si>
  <si>
    <t>6H7L</t>
  </si>
  <si>
    <t>6H7M</t>
  </si>
  <si>
    <t>6H7N</t>
  </si>
  <si>
    <t>6H7O</t>
  </si>
  <si>
    <t>6AKX</t>
  </si>
  <si>
    <t>6AKY</t>
  </si>
  <si>
    <t>6MXT</t>
  </si>
  <si>
    <t>6FJ3</t>
  </si>
  <si>
    <t>pth1r_human__wt</t>
  </si>
  <si>
    <t>6IGL</t>
  </si>
  <si>
    <t>6IGK</t>
  </si>
  <si>
    <t>5ZKC</t>
  </si>
  <si>
    <t>5ZKB</t>
  </si>
  <si>
    <t>5ZK8</t>
  </si>
  <si>
    <t>5ZK3</t>
  </si>
  <si>
    <t>5YC8</t>
  </si>
  <si>
    <t>6E59</t>
  </si>
  <si>
    <t>nk1r_human__wt</t>
  </si>
  <si>
    <t>5YWY</t>
  </si>
  <si>
    <t>pe2r4_human__wt</t>
  </si>
  <si>
    <t>5YHL</t>
  </si>
  <si>
    <t>6M9T</t>
  </si>
  <si>
    <t>6AK3</t>
  </si>
  <si>
    <t>6MET</t>
  </si>
  <si>
    <t>6MEO</t>
  </si>
  <si>
    <t>pe2r3_human__wt</t>
  </si>
  <si>
    <t>6D27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</si>
</sst>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6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1"/>
      <name val="Cambria"/>
      <family val="1"/>
    </font>
    <font>
      <sz val="8"/>
      <name val="Calibri"/>
      <family val="2"/>
      <scheme val="minor"/>
    </font>
    <font>
      <sz val="12"/>
      <color rgb="FF00B050"/>
      <name val="Calibri"/>
      <family val="2"/>
      <scheme val="minor"/>
    </font>
    <font>
      <b/>
      <sz val="12"/>
      <color rgb="FF00B050"/>
      <name val="Calibri"/>
      <family val="2"/>
      <scheme val="minor"/>
    </font>
    <font>
      <sz val="12"/>
      <color rgb="FF808080"/>
      <name val="Calibri"/>
      <family val="2"/>
    </font>
    <font>
      <b/>
      <sz val="12"/>
      <color rgb="FF000000"/>
      <name val="Calibri"/>
      <family val="2"/>
      <charset val="1"/>
    </font>
    <font>
      <b/>
      <sz val="12"/>
      <color rgb="FF808080"/>
      <name val="Calibri"/>
      <family val="2"/>
      <charset val="1"/>
    </font>
    <font>
      <sz val="12"/>
      <color rgb="FF00B050"/>
      <name val="Calibri"/>
      <family val="2"/>
      <charset val="1"/>
    </font>
    <font>
      <sz val="10"/>
      <color rgb="FF000000"/>
      <name val="Arial Unicode MS"/>
      <family val="2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0000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double">
        <color auto="1"/>
      </bottom>
      <diagonal/>
    </border>
    <border>
      <left style="thin">
        <color auto="1"/>
      </left>
      <right/>
      <top/>
      <bottom style="double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hair">
        <color auto="1"/>
      </left>
      <right/>
      <top/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</borders>
  <cellStyleXfs count="81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36">
    <xf numFmtId="0" fontId="0" fillId="0" borderId="0" xfId="0"/>
    <xf numFmtId="0" fontId="0" fillId="0" borderId="0" xfId="0" applyFill="1"/>
    <xf numFmtId="0" fontId="0" fillId="0" borderId="0" xfId="0" applyFont="1" applyFill="1" applyBorder="1"/>
    <xf numFmtId="0" fontId="0" fillId="0" borderId="0" xfId="0" applyFont="1" applyFill="1"/>
    <xf numFmtId="0" fontId="0" fillId="0" borderId="0" xfId="0" applyFill="1" applyBorder="1"/>
    <xf numFmtId="0" fontId="0" fillId="0" borderId="1" xfId="0" applyFill="1" applyBorder="1"/>
    <xf numFmtId="0" fontId="4" fillId="0" borderId="0" xfId="0" applyFont="1" applyFill="1"/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0" fillId="2" borderId="0" xfId="0" applyFont="1" applyFill="1"/>
    <xf numFmtId="0" fontId="1" fillId="0" borderId="0" xfId="0" applyFont="1" applyFill="1"/>
    <xf numFmtId="0" fontId="0" fillId="2" borderId="0" xfId="0" applyFill="1" applyBorder="1"/>
    <xf numFmtId="0" fontId="0" fillId="2" borderId="0" xfId="0" applyFill="1"/>
    <xf numFmtId="0" fontId="0" fillId="2" borderId="1" xfId="0" applyFill="1" applyBorder="1"/>
    <xf numFmtId="0" fontId="5" fillId="0" borderId="0" xfId="0" applyFont="1" applyFill="1"/>
    <xf numFmtId="0" fontId="0" fillId="0" borderId="0" xfId="0" applyFont="1" applyFill="1" applyAlignment="1">
      <alignment horizontal="center"/>
    </xf>
    <xf numFmtId="0" fontId="0" fillId="0" borderId="1" xfId="0" applyFont="1" applyFill="1" applyBorder="1"/>
    <xf numFmtId="0" fontId="1" fillId="0" borderId="2" xfId="0" applyFont="1" applyFill="1" applyBorder="1" applyAlignment="1">
      <alignment horizontal="center"/>
    </xf>
    <xf numFmtId="0" fontId="5" fillId="0" borderId="0" xfId="0" applyFont="1" applyFill="1" applyBorder="1"/>
    <xf numFmtId="0" fontId="1" fillId="0" borderId="2" xfId="0" applyFont="1" applyFill="1" applyBorder="1" applyAlignment="1">
      <alignment horizontal="left"/>
    </xf>
    <xf numFmtId="0" fontId="1" fillId="0" borderId="0" xfId="0" applyFont="1" applyFill="1" applyBorder="1"/>
    <xf numFmtId="0" fontId="1" fillId="0" borderId="0" xfId="0" applyFont="1"/>
    <xf numFmtId="1" fontId="1" fillId="0" borderId="2" xfId="0" applyNumberFormat="1" applyFont="1" applyFill="1" applyBorder="1" applyAlignment="1">
      <alignment horizontal="center"/>
    </xf>
    <xf numFmtId="1" fontId="0" fillId="0" borderId="0" xfId="0" applyNumberFormat="1" applyFont="1" applyFill="1"/>
    <xf numFmtId="0" fontId="1" fillId="0" borderId="0" xfId="0" applyFont="1" applyAlignment="1">
      <alignment horizontal="center"/>
    </xf>
    <xf numFmtId="0" fontId="0" fillId="0" borderId="0" xfId="0" applyFill="1" applyAlignment="1">
      <alignment horizontal="left"/>
    </xf>
    <xf numFmtId="0" fontId="1" fillId="0" borderId="1" xfId="0" applyFon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0" fillId="0" borderId="1" xfId="0" applyBorder="1"/>
    <xf numFmtId="0" fontId="1" fillId="0" borderId="0" xfId="0" applyFont="1" applyFill="1" applyBorder="1" applyAlignment="1">
      <alignment horizontal="center"/>
    </xf>
    <xf numFmtId="0" fontId="1" fillId="0" borderId="1" xfId="0" applyFont="1" applyBorder="1"/>
    <xf numFmtId="0" fontId="1" fillId="0" borderId="5" xfId="0" applyFont="1" applyFill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1" fontId="0" fillId="0" borderId="1" xfId="0" applyNumberFormat="1" applyFont="1" applyFill="1" applyBorder="1"/>
    <xf numFmtId="0" fontId="1" fillId="0" borderId="0" xfId="0" applyFont="1" applyFill="1" applyAlignment="1">
      <alignment horizontal="left"/>
    </xf>
    <xf numFmtId="0" fontId="0" fillId="2" borderId="1" xfId="0" applyFill="1" applyBorder="1" applyAlignment="1">
      <alignment horizontal="center"/>
    </xf>
    <xf numFmtId="0" fontId="0" fillId="0" borderId="0" xfId="0" applyFont="1" applyFill="1" applyBorder="1" applyAlignment="1">
      <alignment horizontal="right"/>
    </xf>
    <xf numFmtId="0" fontId="1" fillId="0" borderId="0" xfId="0" applyFont="1" applyFill="1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2" borderId="0" xfId="0" applyFont="1" applyFill="1" applyBorder="1"/>
    <xf numFmtId="0" fontId="8" fillId="0" borderId="0" xfId="0" applyFont="1" applyFill="1" applyAlignment="1">
      <alignment horizontal="center"/>
    </xf>
    <xf numFmtId="0" fontId="0" fillId="0" borderId="7" xfId="0" applyFill="1" applyBorder="1"/>
    <xf numFmtId="0" fontId="0" fillId="0" borderId="8" xfId="0" applyFill="1" applyBorder="1"/>
    <xf numFmtId="0" fontId="0" fillId="0" borderId="8" xfId="0" applyFill="1" applyBorder="1" applyAlignment="1">
      <alignment horizontal="center"/>
    </xf>
    <xf numFmtId="0" fontId="0" fillId="0" borderId="5" xfId="0" applyFill="1" applyBorder="1"/>
    <xf numFmtId="0" fontId="0" fillId="0" borderId="6" xfId="0" applyFill="1" applyBorder="1"/>
    <xf numFmtId="0" fontId="0" fillId="0" borderId="6" xfId="0" applyFill="1" applyBorder="1" applyAlignment="1">
      <alignment horizontal="center"/>
    </xf>
    <xf numFmtId="0" fontId="0" fillId="3" borderId="0" xfId="0" applyFont="1" applyFill="1"/>
    <xf numFmtId="0" fontId="0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2" borderId="0" xfId="0" applyFont="1" applyFill="1" applyBorder="1" applyAlignment="1">
      <alignment horizontal="center"/>
    </xf>
    <xf numFmtId="0" fontId="7" fillId="0" borderId="0" xfId="0" applyFont="1" applyFill="1" applyBorder="1"/>
    <xf numFmtId="0" fontId="8" fillId="0" borderId="0" xfId="0" applyFont="1" applyFill="1" applyBorder="1"/>
    <xf numFmtId="0" fontId="1" fillId="0" borderId="0" xfId="0" applyFont="1" applyFill="1" applyBorder="1" applyAlignment="1">
      <alignment horizontal="left"/>
    </xf>
    <xf numFmtId="0" fontId="8" fillId="0" borderId="0" xfId="0" applyFont="1" applyFill="1" applyBorder="1" applyAlignment="1">
      <alignment horizontal="center"/>
    </xf>
    <xf numFmtId="1" fontId="0" fillId="0" borderId="0" xfId="0" applyNumberFormat="1" applyFont="1" applyFill="1" applyBorder="1"/>
    <xf numFmtId="0" fontId="9" fillId="0" borderId="0" xfId="0" applyFont="1" applyFill="1" applyBorder="1"/>
    <xf numFmtId="0" fontId="0" fillId="2" borderId="1" xfId="0" applyFont="1" applyFill="1" applyBorder="1" applyAlignment="1">
      <alignment horizontal="center"/>
    </xf>
    <xf numFmtId="0" fontId="0" fillId="0" borderId="7" xfId="0" applyFont="1" applyFill="1" applyBorder="1"/>
    <xf numFmtId="0" fontId="0" fillId="0" borderId="7" xfId="0" applyBorder="1"/>
    <xf numFmtId="0" fontId="10" fillId="0" borderId="0" xfId="0" applyFont="1" applyFill="1" applyAlignment="1">
      <alignment horizontal="center"/>
    </xf>
    <xf numFmtId="1" fontId="10" fillId="0" borderId="0" xfId="0" applyNumberFormat="1" applyFont="1" applyFill="1" applyAlignment="1">
      <alignment horizontal="center"/>
    </xf>
    <xf numFmtId="0" fontId="10" fillId="0" borderId="4" xfId="0" applyFont="1" applyFill="1" applyBorder="1" applyAlignment="1">
      <alignment horizontal="center"/>
    </xf>
    <xf numFmtId="0" fontId="10" fillId="0" borderId="1" xfId="0" applyFont="1" applyFill="1" applyBorder="1" applyAlignment="1">
      <alignment horizontal="center"/>
    </xf>
    <xf numFmtId="0" fontId="11" fillId="0" borderId="1" xfId="0" applyFont="1" applyFill="1" applyBorder="1" applyAlignment="1">
      <alignment horizontal="center"/>
    </xf>
    <xf numFmtId="1" fontId="11" fillId="0" borderId="0" xfId="0" applyNumberFormat="1" applyFont="1" applyFill="1" applyBorder="1" applyAlignment="1">
      <alignment horizontal="center"/>
    </xf>
    <xf numFmtId="0" fontId="11" fillId="0" borderId="0" xfId="0" applyFont="1" applyFill="1" applyBorder="1" applyAlignment="1">
      <alignment horizontal="center"/>
    </xf>
    <xf numFmtId="0" fontId="11" fillId="0" borderId="0" xfId="0" applyFont="1" applyFill="1" applyAlignment="1">
      <alignment horizontal="center"/>
    </xf>
    <xf numFmtId="1" fontId="11" fillId="0" borderId="0" xfId="0" applyNumberFormat="1" applyFont="1" applyFill="1" applyAlignment="1">
      <alignment horizontal="center"/>
    </xf>
    <xf numFmtId="0" fontId="9" fillId="0" borderId="1" xfId="0" applyFont="1" applyFill="1" applyBorder="1"/>
    <xf numFmtId="1" fontId="9" fillId="0" borderId="0" xfId="0" applyNumberFormat="1" applyFont="1" applyFill="1"/>
    <xf numFmtId="0" fontId="9" fillId="0" borderId="0" xfId="0" applyFont="1" applyFill="1"/>
    <xf numFmtId="0" fontId="12" fillId="0" borderId="0" xfId="0" applyFont="1" applyFill="1"/>
    <xf numFmtId="0" fontId="0" fillId="0" borderId="9" xfId="0" applyFont="1" applyFill="1" applyBorder="1"/>
    <xf numFmtId="0" fontId="9" fillId="0" borderId="9" xfId="0" applyFont="1" applyFill="1" applyBorder="1"/>
    <xf numFmtId="0" fontId="10" fillId="0" borderId="0" xfId="0" applyFont="1" applyFill="1" applyBorder="1" applyAlignment="1">
      <alignment horizontal="center" wrapText="1"/>
    </xf>
    <xf numFmtId="0" fontId="0" fillId="0" borderId="4" xfId="0" applyFont="1" applyFill="1" applyBorder="1" applyAlignment="1">
      <alignment horizontal="center"/>
    </xf>
    <xf numFmtId="0" fontId="0" fillId="0" borderId="10" xfId="0" applyFont="1" applyFill="1" applyBorder="1" applyAlignment="1">
      <alignment horizontal="center"/>
    </xf>
    <xf numFmtId="0" fontId="4" fillId="0" borderId="7" xfId="0" applyFont="1" applyFill="1" applyBorder="1"/>
    <xf numFmtId="0" fontId="0" fillId="0" borderId="11" xfId="0" applyFill="1" applyBorder="1"/>
    <xf numFmtId="0" fontId="0" fillId="0" borderId="12" xfId="0" applyFont="1" applyFill="1" applyBorder="1"/>
    <xf numFmtId="0" fontId="0" fillId="0" borderId="13" xfId="0" applyFont="1" applyFill="1" applyBorder="1"/>
    <xf numFmtId="0" fontId="1" fillId="0" borderId="3" xfId="0" applyFont="1" applyFill="1" applyBorder="1" applyAlignment="1">
      <alignment horizontal="left"/>
    </xf>
    <xf numFmtId="0" fontId="5" fillId="0" borderId="1" xfId="0" applyFont="1" applyFill="1" applyBorder="1"/>
    <xf numFmtId="0" fontId="1" fillId="0" borderId="5" xfId="0" applyFont="1" applyFill="1" applyBorder="1" applyAlignment="1">
      <alignment horizontal="left"/>
    </xf>
    <xf numFmtId="0" fontId="1" fillId="4" borderId="0" xfId="0" applyFont="1" applyFill="1" applyAlignment="1">
      <alignment horizontal="center"/>
    </xf>
    <xf numFmtId="0" fontId="0" fillId="4" borderId="0" xfId="0" applyFill="1"/>
    <xf numFmtId="0" fontId="0" fillId="4" borderId="0" xfId="0" applyFill="1" applyBorder="1"/>
    <xf numFmtId="0" fontId="0" fillId="4" borderId="7" xfId="0" applyFill="1" applyBorder="1"/>
    <xf numFmtId="0" fontId="0" fillId="4" borderId="5" xfId="0" applyFill="1" applyBorder="1"/>
    <xf numFmtId="1" fontId="0" fillId="0" borderId="9" xfId="0" applyNumberFormat="1" applyFont="1" applyFill="1" applyBorder="1"/>
    <xf numFmtId="0" fontId="0" fillId="0" borderId="9" xfId="0" applyFill="1" applyBorder="1" applyAlignment="1">
      <alignment horizontal="center"/>
    </xf>
    <xf numFmtId="0" fontId="0" fillId="0" borderId="9" xfId="0" applyFont="1" applyFill="1" applyBorder="1" applyAlignment="1">
      <alignment horizontal="center"/>
    </xf>
    <xf numFmtId="0" fontId="0" fillId="0" borderId="1" xfId="0" applyFont="1" applyFill="1" applyBorder="1" applyAlignment="1">
      <alignment horizontal="left"/>
    </xf>
    <xf numFmtId="0" fontId="10" fillId="0" borderId="1" xfId="0" applyFont="1" applyFill="1" applyBorder="1" applyAlignment="1">
      <alignment horizontal="left"/>
    </xf>
    <xf numFmtId="0" fontId="0" fillId="0" borderId="0" xfId="0" applyFont="1" applyFill="1" applyBorder="1" applyAlignment="1">
      <alignment horizontal="left"/>
    </xf>
    <xf numFmtId="0" fontId="0" fillId="0" borderId="0" xfId="0" applyFill="1" applyBorder="1" applyAlignment="1">
      <alignment horizontal="left"/>
    </xf>
    <xf numFmtId="0" fontId="0" fillId="2" borderId="1" xfId="0" applyFont="1" applyFill="1" applyBorder="1" applyAlignment="1">
      <alignment horizontal="left"/>
    </xf>
    <xf numFmtId="0" fontId="1" fillId="2" borderId="0" xfId="0" applyFont="1" applyFill="1" applyAlignment="1">
      <alignment horizontal="center"/>
    </xf>
    <xf numFmtId="0" fontId="0" fillId="4" borderId="0" xfId="0" applyFont="1" applyFill="1"/>
    <xf numFmtId="0" fontId="0" fillId="2" borderId="7" xfId="0" applyFill="1" applyBorder="1"/>
    <xf numFmtId="0" fontId="0" fillId="2" borderId="5" xfId="0" applyFill="1" applyBorder="1"/>
    <xf numFmtId="49" fontId="1" fillId="0" borderId="0" xfId="0" applyNumberFormat="1" applyFont="1" applyFill="1" applyBorder="1" applyAlignment="1">
      <alignment horizontal="center"/>
    </xf>
    <xf numFmtId="0" fontId="10" fillId="2" borderId="0" xfId="0" applyFont="1" applyFill="1" applyAlignment="1">
      <alignment horizontal="center"/>
    </xf>
    <xf numFmtId="0" fontId="0" fillId="5" borderId="0" xfId="0" applyFont="1" applyFill="1"/>
    <xf numFmtId="0" fontId="0" fillId="5" borderId="0" xfId="0" applyFont="1" applyFill="1" applyBorder="1"/>
    <xf numFmtId="0" fontId="7" fillId="5" borderId="0" xfId="0" applyFont="1" applyFill="1" applyBorder="1"/>
    <xf numFmtId="0" fontId="0" fillId="5" borderId="0" xfId="0" applyFill="1"/>
    <xf numFmtId="1" fontId="0" fillId="2" borderId="0" xfId="0" applyNumberFormat="1" applyFont="1" applyFill="1"/>
    <xf numFmtId="0" fontId="0" fillId="2" borderId="4" xfId="0" applyFont="1" applyFill="1" applyBorder="1" applyAlignment="1">
      <alignment horizontal="center"/>
    </xf>
    <xf numFmtId="0" fontId="9" fillId="2" borderId="1" xfId="0" applyFont="1" applyFill="1" applyBorder="1"/>
    <xf numFmtId="0" fontId="9" fillId="2" borderId="0" xfId="0" applyFont="1" applyFill="1" applyBorder="1"/>
    <xf numFmtId="1" fontId="9" fillId="2" borderId="0" xfId="0" applyNumberFormat="1" applyFont="1" applyFill="1"/>
    <xf numFmtId="0" fontId="9" fillId="2" borderId="0" xfId="0" applyFont="1" applyFill="1"/>
    <xf numFmtId="0" fontId="0" fillId="5" borderId="0" xfId="0" applyFill="1" applyBorder="1"/>
    <xf numFmtId="0" fontId="0" fillId="5" borderId="7" xfId="0" applyFill="1" applyBorder="1"/>
    <xf numFmtId="0" fontId="0" fillId="5" borderId="5" xfId="0" applyFill="1" applyBorder="1"/>
    <xf numFmtId="2" fontId="10" fillId="0" borderId="0" xfId="0" applyNumberFormat="1" applyFont="1" applyFill="1" applyAlignment="1">
      <alignment horizontal="center"/>
    </xf>
    <xf numFmtId="2" fontId="0" fillId="0" borderId="0" xfId="0" applyNumberFormat="1" applyFont="1" applyFill="1"/>
    <xf numFmtId="2" fontId="0" fillId="2" borderId="0" xfId="0" applyNumberFormat="1" applyFont="1" applyFill="1"/>
    <xf numFmtId="0" fontId="13" fillId="0" borderId="0" xfId="0" applyFont="1"/>
    <xf numFmtId="0" fontId="14" fillId="0" borderId="0" xfId="0" applyFont="1"/>
    <xf numFmtId="0" fontId="14" fillId="0" borderId="0" xfId="0" applyFont="1" applyFill="1"/>
    <xf numFmtId="0" fontId="0" fillId="2" borderId="10" xfId="0" applyFont="1" applyFill="1" applyBorder="1" applyAlignment="1">
      <alignment horizontal="center"/>
    </xf>
    <xf numFmtId="0" fontId="0" fillId="2" borderId="9" xfId="0" applyFill="1" applyBorder="1" applyAlignment="1">
      <alignment horizontal="center"/>
    </xf>
    <xf numFmtId="0" fontId="0" fillId="2" borderId="9" xfId="0" applyFont="1" applyFill="1" applyBorder="1"/>
    <xf numFmtId="0" fontId="9" fillId="2" borderId="9" xfId="0" applyFont="1" applyFill="1" applyBorder="1"/>
    <xf numFmtId="0" fontId="15" fillId="0" borderId="0" xfId="0" applyFont="1" applyFill="1"/>
    <xf numFmtId="0" fontId="15" fillId="5" borderId="0" xfId="0" applyFont="1" applyFill="1"/>
    <xf numFmtId="0" fontId="0" fillId="2" borderId="1" xfId="0" applyFont="1" applyFill="1" applyBorder="1"/>
    <xf numFmtId="0" fontId="14" fillId="2" borderId="0" xfId="0" applyFont="1" applyFill="1"/>
    <xf numFmtId="0" fontId="4" fillId="2" borderId="0" xfId="0" applyFont="1" applyFill="1"/>
    <xf numFmtId="1" fontId="0" fillId="2" borderId="0" xfId="0" applyNumberFormat="1" applyFont="1" applyFill="1" applyBorder="1"/>
    <xf numFmtId="11" fontId="0" fillId="2" borderId="0" xfId="0" applyNumberFormat="1" applyFont="1" applyFill="1"/>
    <xf numFmtId="49" fontId="0" fillId="2" borderId="0" xfId="0" applyNumberFormat="1" applyFont="1" applyFill="1"/>
  </cellXfs>
  <cellStyles count="817">
    <cellStyle name="Followed Hyperlink" xfId="464" builtinId="9" hidden="1"/>
    <cellStyle name="Followed Hyperlink" xfId="480" builtinId="9" hidden="1"/>
    <cellStyle name="Followed Hyperlink" xfId="496" builtinId="9" hidden="1"/>
    <cellStyle name="Followed Hyperlink" xfId="512" builtinId="9" hidden="1"/>
    <cellStyle name="Followed Hyperlink" xfId="528" builtinId="9" hidden="1"/>
    <cellStyle name="Followed Hyperlink" xfId="544" builtinId="9" hidden="1"/>
    <cellStyle name="Followed Hyperlink" xfId="560" builtinId="9" hidden="1"/>
    <cellStyle name="Followed Hyperlink" xfId="576" builtinId="9" hidden="1"/>
    <cellStyle name="Followed Hyperlink" xfId="592" builtinId="9" hidden="1"/>
    <cellStyle name="Followed Hyperlink" xfId="608" builtinId="9" hidden="1"/>
    <cellStyle name="Followed Hyperlink" xfId="624" builtinId="9" hidden="1"/>
    <cellStyle name="Followed Hyperlink" xfId="640" builtinId="9" hidden="1"/>
    <cellStyle name="Followed Hyperlink" xfId="656" builtinId="9" hidden="1"/>
    <cellStyle name="Followed Hyperlink" xfId="672" builtinId="9" hidden="1"/>
    <cellStyle name="Followed Hyperlink" xfId="688" builtinId="9" hidden="1"/>
    <cellStyle name="Followed Hyperlink" xfId="704" builtinId="9" hidden="1"/>
    <cellStyle name="Followed Hyperlink" xfId="720" builtinId="9" hidden="1"/>
    <cellStyle name="Followed Hyperlink" xfId="736" builtinId="9" hidden="1"/>
    <cellStyle name="Followed Hyperlink" xfId="752" builtinId="9" hidden="1"/>
    <cellStyle name="Followed Hyperlink" xfId="768" builtinId="9" hidden="1"/>
    <cellStyle name="Followed Hyperlink" xfId="758" builtinId="9" hidden="1"/>
    <cellStyle name="Followed Hyperlink" xfId="742" builtinId="9" hidden="1"/>
    <cellStyle name="Followed Hyperlink" xfId="726" builtinId="9" hidden="1"/>
    <cellStyle name="Followed Hyperlink" xfId="710" builtinId="9" hidden="1"/>
    <cellStyle name="Followed Hyperlink" xfId="694" builtinId="9" hidden="1"/>
    <cellStyle name="Followed Hyperlink" xfId="678" builtinId="9" hidden="1"/>
    <cellStyle name="Followed Hyperlink" xfId="662" builtinId="9" hidden="1"/>
    <cellStyle name="Followed Hyperlink" xfId="646" builtinId="9" hidden="1"/>
    <cellStyle name="Followed Hyperlink" xfId="630" builtinId="9" hidden="1"/>
    <cellStyle name="Followed Hyperlink" xfId="614" builtinId="9" hidden="1"/>
    <cellStyle name="Followed Hyperlink" xfId="598" builtinId="9" hidden="1"/>
    <cellStyle name="Followed Hyperlink" xfId="582" builtinId="9" hidden="1"/>
    <cellStyle name="Followed Hyperlink" xfId="566" builtinId="9" hidden="1"/>
    <cellStyle name="Followed Hyperlink" xfId="550" builtinId="9" hidden="1"/>
    <cellStyle name="Followed Hyperlink" xfId="534" builtinId="9" hidden="1"/>
    <cellStyle name="Followed Hyperlink" xfId="518" builtinId="9" hidden="1"/>
    <cellStyle name="Followed Hyperlink" xfId="502" builtinId="9" hidden="1"/>
    <cellStyle name="Followed Hyperlink" xfId="486" builtinId="9" hidden="1"/>
    <cellStyle name="Followed Hyperlink" xfId="470" builtinId="9" hidden="1"/>
    <cellStyle name="Followed Hyperlink" xfId="454" builtinId="9" hidden="1"/>
    <cellStyle name="Followed Hyperlink" xfId="438" builtinId="9" hidden="1"/>
    <cellStyle name="Followed Hyperlink" xfId="422" builtinId="9" hidden="1"/>
    <cellStyle name="Followed Hyperlink" xfId="406" builtinId="9" hidden="1"/>
    <cellStyle name="Followed Hyperlink" xfId="390" builtinId="9" hidden="1"/>
    <cellStyle name="Followed Hyperlink" xfId="374" builtinId="9" hidden="1"/>
    <cellStyle name="Followed Hyperlink" xfId="358" builtinId="9" hidden="1"/>
    <cellStyle name="Followed Hyperlink" xfId="342" builtinId="9" hidden="1"/>
    <cellStyle name="Followed Hyperlink" xfId="326" builtinId="9" hidden="1"/>
    <cellStyle name="Followed Hyperlink" xfId="310" builtinId="9" hidden="1"/>
    <cellStyle name="Followed Hyperlink" xfId="294" builtinId="9" hidden="1"/>
    <cellStyle name="Followed Hyperlink" xfId="278" builtinId="9" hidden="1"/>
    <cellStyle name="Followed Hyperlink" xfId="262" builtinId="9" hidden="1"/>
    <cellStyle name="Followed Hyperlink" xfId="246" builtinId="9" hidden="1"/>
    <cellStyle name="Followed Hyperlink" xfId="230" builtinId="9" hidden="1"/>
    <cellStyle name="Followed Hyperlink" xfId="214" builtinId="9" hidden="1"/>
    <cellStyle name="Followed Hyperlink" xfId="198" builtinId="9" hidden="1"/>
    <cellStyle name="Followed Hyperlink" xfId="182" builtinId="9" hidden="1"/>
    <cellStyle name="Followed Hyperlink" xfId="166" builtinId="9" hidden="1"/>
    <cellStyle name="Followed Hyperlink" xfId="150" builtinId="9" hidden="1"/>
    <cellStyle name="Followed Hyperlink" xfId="134" builtinId="9" hidden="1"/>
    <cellStyle name="Followed Hyperlink" xfId="118" builtinId="9" hidden="1"/>
    <cellStyle name="Followed Hyperlink" xfId="102" builtinId="9" hidden="1"/>
    <cellStyle name="Followed Hyperlink" xfId="86" builtinId="9" hidden="1"/>
    <cellStyle name="Followed Hyperlink" xfId="70" builtinId="9" hidden="1"/>
    <cellStyle name="Followed Hyperlink" xfId="28" builtinId="9" hidden="1"/>
    <cellStyle name="Followed Hyperlink" xfId="40" builtinId="9" hidden="1"/>
    <cellStyle name="Followed Hyperlink" xfId="50" builtinId="9" hidden="1"/>
    <cellStyle name="Followed Hyperlink" xfId="60" builtinId="9" hidden="1"/>
    <cellStyle name="Followed Hyperlink" xfId="46" builtinId="9" hidden="1"/>
    <cellStyle name="Followed Hyperlink" xfId="10" builtinId="9" hidden="1"/>
    <cellStyle name="Followed Hyperlink" xfId="20" builtinId="9" hidden="1"/>
    <cellStyle name="Followed Hyperlink" xfId="4" builtinId="9" hidden="1"/>
    <cellStyle name="Followed Hyperlink" xfId="8" builtinId="9" hidden="1"/>
    <cellStyle name="Followed Hyperlink" xfId="18" builtinId="9" hidden="1"/>
    <cellStyle name="Followed Hyperlink" xfId="22" builtinId="9" hidden="1"/>
    <cellStyle name="Followed Hyperlink" xfId="54" builtinId="9" hidden="1"/>
    <cellStyle name="Followed Hyperlink" xfId="58" builtinId="9" hidden="1"/>
    <cellStyle name="Followed Hyperlink" xfId="48" builtinId="9" hidden="1"/>
    <cellStyle name="Followed Hyperlink" xfId="36" builtinId="9" hidden="1"/>
    <cellStyle name="Followed Hyperlink" xfId="26" builtinId="9" hidden="1"/>
    <cellStyle name="Followed Hyperlink" xfId="74" builtinId="9" hidden="1"/>
    <cellStyle name="Followed Hyperlink" xfId="90" builtinId="9" hidden="1"/>
    <cellStyle name="Followed Hyperlink" xfId="106" builtinId="9" hidden="1"/>
    <cellStyle name="Followed Hyperlink" xfId="122" builtinId="9" hidden="1"/>
    <cellStyle name="Followed Hyperlink" xfId="138" builtinId="9" hidden="1"/>
    <cellStyle name="Followed Hyperlink" xfId="154" builtinId="9" hidden="1"/>
    <cellStyle name="Followed Hyperlink" xfId="170" builtinId="9" hidden="1"/>
    <cellStyle name="Followed Hyperlink" xfId="186" builtinId="9" hidden="1"/>
    <cellStyle name="Followed Hyperlink" xfId="202" builtinId="9" hidden="1"/>
    <cellStyle name="Followed Hyperlink" xfId="218" builtinId="9" hidden="1"/>
    <cellStyle name="Followed Hyperlink" xfId="234" builtinId="9" hidden="1"/>
    <cellStyle name="Followed Hyperlink" xfId="250" builtinId="9" hidden="1"/>
    <cellStyle name="Followed Hyperlink" xfId="266" builtinId="9" hidden="1"/>
    <cellStyle name="Followed Hyperlink" xfId="282" builtinId="9" hidden="1"/>
    <cellStyle name="Followed Hyperlink" xfId="298" builtinId="9" hidden="1"/>
    <cellStyle name="Followed Hyperlink" xfId="314" builtinId="9" hidden="1"/>
    <cellStyle name="Followed Hyperlink" xfId="330" builtinId="9" hidden="1"/>
    <cellStyle name="Followed Hyperlink" xfId="346" builtinId="9" hidden="1"/>
    <cellStyle name="Followed Hyperlink" xfId="362" builtinId="9" hidden="1"/>
    <cellStyle name="Followed Hyperlink" xfId="378" builtinId="9" hidden="1"/>
    <cellStyle name="Followed Hyperlink" xfId="394" builtinId="9" hidden="1"/>
    <cellStyle name="Followed Hyperlink" xfId="410" builtinId="9" hidden="1"/>
    <cellStyle name="Followed Hyperlink" xfId="426" builtinId="9" hidden="1"/>
    <cellStyle name="Followed Hyperlink" xfId="442" builtinId="9" hidden="1"/>
    <cellStyle name="Followed Hyperlink" xfId="458" builtinId="9" hidden="1"/>
    <cellStyle name="Followed Hyperlink" xfId="474" builtinId="9" hidden="1"/>
    <cellStyle name="Followed Hyperlink" xfId="490" builtinId="9" hidden="1"/>
    <cellStyle name="Followed Hyperlink" xfId="506" builtinId="9" hidden="1"/>
    <cellStyle name="Followed Hyperlink" xfId="522" builtinId="9" hidden="1"/>
    <cellStyle name="Followed Hyperlink" xfId="538" builtinId="9" hidden="1"/>
    <cellStyle name="Followed Hyperlink" xfId="554" builtinId="9" hidden="1"/>
    <cellStyle name="Followed Hyperlink" xfId="570" builtinId="9" hidden="1"/>
    <cellStyle name="Followed Hyperlink" xfId="586" builtinId="9" hidden="1"/>
    <cellStyle name="Followed Hyperlink" xfId="602" builtinId="9" hidden="1"/>
    <cellStyle name="Followed Hyperlink" xfId="618" builtinId="9" hidden="1"/>
    <cellStyle name="Followed Hyperlink" xfId="634" builtinId="9" hidden="1"/>
    <cellStyle name="Followed Hyperlink" xfId="650" builtinId="9" hidden="1"/>
    <cellStyle name="Followed Hyperlink" xfId="666" builtinId="9" hidden="1"/>
    <cellStyle name="Followed Hyperlink" xfId="682" builtinId="9" hidden="1"/>
    <cellStyle name="Followed Hyperlink" xfId="698" builtinId="9" hidden="1"/>
    <cellStyle name="Followed Hyperlink" xfId="714" builtinId="9" hidden="1"/>
    <cellStyle name="Followed Hyperlink" xfId="730" builtinId="9" hidden="1"/>
    <cellStyle name="Followed Hyperlink" xfId="746" builtinId="9" hidden="1"/>
    <cellStyle name="Followed Hyperlink" xfId="762" builtinId="9" hidden="1"/>
    <cellStyle name="Followed Hyperlink" xfId="764" builtinId="9" hidden="1"/>
    <cellStyle name="Followed Hyperlink" xfId="748" builtinId="9" hidden="1"/>
    <cellStyle name="Followed Hyperlink" xfId="732" builtinId="9" hidden="1"/>
    <cellStyle name="Followed Hyperlink" xfId="716" builtinId="9" hidden="1"/>
    <cellStyle name="Followed Hyperlink" xfId="700" builtinId="9" hidden="1"/>
    <cellStyle name="Followed Hyperlink" xfId="684" builtinId="9" hidden="1"/>
    <cellStyle name="Followed Hyperlink" xfId="668" builtinId="9" hidden="1"/>
    <cellStyle name="Followed Hyperlink" xfId="652" builtinId="9" hidden="1"/>
    <cellStyle name="Followed Hyperlink" xfId="636" builtinId="9" hidden="1"/>
    <cellStyle name="Followed Hyperlink" xfId="620" builtinId="9" hidden="1"/>
    <cellStyle name="Followed Hyperlink" xfId="604" builtinId="9" hidden="1"/>
    <cellStyle name="Followed Hyperlink" xfId="588" builtinId="9" hidden="1"/>
    <cellStyle name="Followed Hyperlink" xfId="572" builtinId="9" hidden="1"/>
    <cellStyle name="Followed Hyperlink" xfId="556" builtinId="9" hidden="1"/>
    <cellStyle name="Followed Hyperlink" xfId="540" builtinId="9" hidden="1"/>
    <cellStyle name="Followed Hyperlink" xfId="524" builtinId="9" hidden="1"/>
    <cellStyle name="Followed Hyperlink" xfId="508" builtinId="9" hidden="1"/>
    <cellStyle name="Followed Hyperlink" xfId="492" builtinId="9" hidden="1"/>
    <cellStyle name="Followed Hyperlink" xfId="476" builtinId="9" hidden="1"/>
    <cellStyle name="Followed Hyperlink" xfId="460" builtinId="9" hidden="1"/>
    <cellStyle name="Followed Hyperlink" xfId="444" builtinId="9" hidden="1"/>
    <cellStyle name="Followed Hyperlink" xfId="428" builtinId="9" hidden="1"/>
    <cellStyle name="Followed Hyperlink" xfId="412" builtinId="9" hidden="1"/>
    <cellStyle name="Followed Hyperlink" xfId="396" builtinId="9" hidden="1"/>
    <cellStyle name="Followed Hyperlink" xfId="380" builtinId="9" hidden="1"/>
    <cellStyle name="Followed Hyperlink" xfId="364" builtinId="9" hidden="1"/>
    <cellStyle name="Followed Hyperlink" xfId="348" builtinId="9" hidden="1"/>
    <cellStyle name="Followed Hyperlink" xfId="332" builtinId="9" hidden="1"/>
    <cellStyle name="Followed Hyperlink" xfId="316" builtinId="9" hidden="1"/>
    <cellStyle name="Followed Hyperlink" xfId="300" builtinId="9" hidden="1"/>
    <cellStyle name="Followed Hyperlink" xfId="284" builtinId="9" hidden="1"/>
    <cellStyle name="Followed Hyperlink" xfId="268" builtinId="9" hidden="1"/>
    <cellStyle name="Followed Hyperlink" xfId="252" builtinId="9" hidden="1"/>
    <cellStyle name="Followed Hyperlink" xfId="236" builtinId="9" hidden="1"/>
    <cellStyle name="Followed Hyperlink" xfId="220" builtinId="9" hidden="1"/>
    <cellStyle name="Followed Hyperlink" xfId="204" builtinId="9" hidden="1"/>
    <cellStyle name="Followed Hyperlink" xfId="112" builtinId="9" hidden="1"/>
    <cellStyle name="Followed Hyperlink" xfId="120" builtinId="9" hidden="1"/>
    <cellStyle name="Followed Hyperlink" xfId="132" builtinId="9" hidden="1"/>
    <cellStyle name="Followed Hyperlink" xfId="144" builtinId="9" hidden="1"/>
    <cellStyle name="Followed Hyperlink" xfId="152" builtinId="9" hidden="1"/>
    <cellStyle name="Followed Hyperlink" xfId="164" builtinId="9" hidden="1"/>
    <cellStyle name="Followed Hyperlink" xfId="176" builtinId="9" hidden="1"/>
    <cellStyle name="Followed Hyperlink" xfId="184" builtinId="9" hidden="1"/>
    <cellStyle name="Followed Hyperlink" xfId="188" builtinId="9" hidden="1"/>
    <cellStyle name="Followed Hyperlink" xfId="156" builtinId="9" hidden="1"/>
    <cellStyle name="Followed Hyperlink" xfId="124" builtinId="9" hidden="1"/>
    <cellStyle name="Followed Hyperlink" xfId="84" builtinId="9" hidden="1"/>
    <cellStyle name="Followed Hyperlink" xfId="96" builtinId="9" hidden="1"/>
    <cellStyle name="Followed Hyperlink" xfId="104" builtinId="9" hidden="1"/>
    <cellStyle name="Followed Hyperlink" xfId="76" builtinId="9" hidden="1"/>
    <cellStyle name="Followed Hyperlink" xfId="72" builtinId="9" hidden="1"/>
    <cellStyle name="Followed Hyperlink" xfId="68" builtinId="9" hidden="1"/>
    <cellStyle name="Followed Hyperlink" xfId="80" builtinId="9" hidden="1"/>
    <cellStyle name="Followed Hyperlink" xfId="92" builtinId="9" hidden="1"/>
    <cellStyle name="Followed Hyperlink" xfId="100" builtinId="9" hidden="1"/>
    <cellStyle name="Followed Hyperlink" xfId="88" builtinId="9" hidden="1"/>
    <cellStyle name="Followed Hyperlink" xfId="108" builtinId="9" hidden="1"/>
    <cellStyle name="Followed Hyperlink" xfId="140" builtinId="9" hidden="1"/>
    <cellStyle name="Followed Hyperlink" xfId="172" builtinId="9" hidden="1"/>
    <cellStyle name="Followed Hyperlink" xfId="192" builtinId="9" hidden="1"/>
    <cellStyle name="Followed Hyperlink" xfId="180" builtinId="9" hidden="1"/>
    <cellStyle name="Followed Hyperlink" xfId="168" builtinId="9" hidden="1"/>
    <cellStyle name="Followed Hyperlink" xfId="160" builtinId="9" hidden="1"/>
    <cellStyle name="Followed Hyperlink" xfId="148" builtinId="9" hidden="1"/>
    <cellStyle name="Followed Hyperlink" xfId="136" builtinId="9" hidden="1"/>
    <cellStyle name="Followed Hyperlink" xfId="128" builtinId="9" hidden="1"/>
    <cellStyle name="Followed Hyperlink" xfId="116" builtinId="9" hidden="1"/>
    <cellStyle name="Followed Hyperlink" xfId="196" builtinId="9" hidden="1"/>
    <cellStyle name="Followed Hyperlink" xfId="212" builtinId="9" hidden="1"/>
    <cellStyle name="Followed Hyperlink" xfId="228" builtinId="9" hidden="1"/>
    <cellStyle name="Followed Hyperlink" xfId="244" builtinId="9" hidden="1"/>
    <cellStyle name="Followed Hyperlink" xfId="260" builtinId="9" hidden="1"/>
    <cellStyle name="Followed Hyperlink" xfId="276" builtinId="9" hidden="1"/>
    <cellStyle name="Followed Hyperlink" xfId="292" builtinId="9" hidden="1"/>
    <cellStyle name="Followed Hyperlink" xfId="308" builtinId="9" hidden="1"/>
    <cellStyle name="Followed Hyperlink" xfId="324" builtinId="9" hidden="1"/>
    <cellStyle name="Followed Hyperlink" xfId="340" builtinId="9" hidden="1"/>
    <cellStyle name="Followed Hyperlink" xfId="356" builtinId="9" hidden="1"/>
    <cellStyle name="Followed Hyperlink" xfId="372" builtinId="9" hidden="1"/>
    <cellStyle name="Followed Hyperlink" xfId="388" builtinId="9" hidden="1"/>
    <cellStyle name="Followed Hyperlink" xfId="404" builtinId="9" hidden="1"/>
    <cellStyle name="Followed Hyperlink" xfId="420" builtinId="9" hidden="1"/>
    <cellStyle name="Followed Hyperlink" xfId="436" builtinId="9" hidden="1"/>
    <cellStyle name="Followed Hyperlink" xfId="452" builtinId="9" hidden="1"/>
    <cellStyle name="Followed Hyperlink" xfId="468" builtinId="9" hidden="1"/>
    <cellStyle name="Followed Hyperlink" xfId="484" builtinId="9" hidden="1"/>
    <cellStyle name="Followed Hyperlink" xfId="500" builtinId="9" hidden="1"/>
    <cellStyle name="Followed Hyperlink" xfId="516" builtinId="9" hidden="1"/>
    <cellStyle name="Followed Hyperlink" xfId="532" builtinId="9" hidden="1"/>
    <cellStyle name="Followed Hyperlink" xfId="548" builtinId="9" hidden="1"/>
    <cellStyle name="Followed Hyperlink" xfId="564" builtinId="9" hidden="1"/>
    <cellStyle name="Followed Hyperlink" xfId="580" builtinId="9" hidden="1"/>
    <cellStyle name="Followed Hyperlink" xfId="596" builtinId="9" hidden="1"/>
    <cellStyle name="Followed Hyperlink" xfId="612" builtinId="9" hidden="1"/>
    <cellStyle name="Followed Hyperlink" xfId="628" builtinId="9" hidden="1"/>
    <cellStyle name="Followed Hyperlink" xfId="644" builtinId="9" hidden="1"/>
    <cellStyle name="Followed Hyperlink" xfId="660" builtinId="9" hidden="1"/>
    <cellStyle name="Followed Hyperlink" xfId="676" builtinId="9" hidden="1"/>
    <cellStyle name="Followed Hyperlink" xfId="692" builtinId="9" hidden="1"/>
    <cellStyle name="Followed Hyperlink" xfId="708" builtinId="9" hidden="1"/>
    <cellStyle name="Followed Hyperlink" xfId="724" builtinId="9" hidden="1"/>
    <cellStyle name="Followed Hyperlink" xfId="740" builtinId="9" hidden="1"/>
    <cellStyle name="Followed Hyperlink" xfId="756" builtinId="9" hidden="1"/>
    <cellStyle name="Followed Hyperlink" xfId="770" builtinId="9" hidden="1"/>
    <cellStyle name="Followed Hyperlink" xfId="754" builtinId="9" hidden="1"/>
    <cellStyle name="Followed Hyperlink" xfId="738" builtinId="9" hidden="1"/>
    <cellStyle name="Followed Hyperlink" xfId="722" builtinId="9" hidden="1"/>
    <cellStyle name="Followed Hyperlink" xfId="706" builtinId="9" hidden="1"/>
    <cellStyle name="Followed Hyperlink" xfId="690" builtinId="9" hidden="1"/>
    <cellStyle name="Followed Hyperlink" xfId="674" builtinId="9" hidden="1"/>
    <cellStyle name="Followed Hyperlink" xfId="658" builtinId="9" hidden="1"/>
    <cellStyle name="Followed Hyperlink" xfId="642" builtinId="9" hidden="1"/>
    <cellStyle name="Followed Hyperlink" xfId="626" builtinId="9" hidden="1"/>
    <cellStyle name="Followed Hyperlink" xfId="610" builtinId="9" hidden="1"/>
    <cellStyle name="Followed Hyperlink" xfId="594" builtinId="9" hidden="1"/>
    <cellStyle name="Followed Hyperlink" xfId="578" builtinId="9" hidden="1"/>
    <cellStyle name="Followed Hyperlink" xfId="562" builtinId="9" hidden="1"/>
    <cellStyle name="Followed Hyperlink" xfId="546" builtinId="9" hidden="1"/>
    <cellStyle name="Followed Hyperlink" xfId="530" builtinId="9" hidden="1"/>
    <cellStyle name="Followed Hyperlink" xfId="514" builtinId="9" hidden="1"/>
    <cellStyle name="Followed Hyperlink" xfId="498" builtinId="9" hidden="1"/>
    <cellStyle name="Followed Hyperlink" xfId="482" builtinId="9" hidden="1"/>
    <cellStyle name="Followed Hyperlink" xfId="466" builtinId="9" hidden="1"/>
    <cellStyle name="Followed Hyperlink" xfId="450" builtinId="9" hidden="1"/>
    <cellStyle name="Followed Hyperlink" xfId="434" builtinId="9" hidden="1"/>
    <cellStyle name="Followed Hyperlink" xfId="418" builtinId="9" hidden="1"/>
    <cellStyle name="Followed Hyperlink" xfId="402" builtinId="9" hidden="1"/>
    <cellStyle name="Followed Hyperlink" xfId="386" builtinId="9" hidden="1"/>
    <cellStyle name="Followed Hyperlink" xfId="370" builtinId="9" hidden="1"/>
    <cellStyle name="Followed Hyperlink" xfId="354" builtinId="9" hidden="1"/>
    <cellStyle name="Followed Hyperlink" xfId="338" builtinId="9" hidden="1"/>
    <cellStyle name="Followed Hyperlink" xfId="322" builtinId="9" hidden="1"/>
    <cellStyle name="Followed Hyperlink" xfId="306" builtinId="9" hidden="1"/>
    <cellStyle name="Followed Hyperlink" xfId="290" builtinId="9" hidden="1"/>
    <cellStyle name="Followed Hyperlink" xfId="274" builtinId="9" hidden="1"/>
    <cellStyle name="Followed Hyperlink" xfId="258" builtinId="9" hidden="1"/>
    <cellStyle name="Followed Hyperlink" xfId="242" builtinId="9" hidden="1"/>
    <cellStyle name="Followed Hyperlink" xfId="226" builtinId="9" hidden="1"/>
    <cellStyle name="Followed Hyperlink" xfId="210" builtinId="9" hidden="1"/>
    <cellStyle name="Followed Hyperlink" xfId="194" builtinId="9" hidden="1"/>
    <cellStyle name="Followed Hyperlink" xfId="178" builtinId="9" hidden="1"/>
    <cellStyle name="Followed Hyperlink" xfId="162" builtinId="9" hidden="1"/>
    <cellStyle name="Followed Hyperlink" xfId="146" builtinId="9" hidden="1"/>
    <cellStyle name="Followed Hyperlink" xfId="130" builtinId="9" hidden="1"/>
    <cellStyle name="Followed Hyperlink" xfId="114" builtinId="9" hidden="1"/>
    <cellStyle name="Followed Hyperlink" xfId="98" builtinId="9" hidden="1"/>
    <cellStyle name="Followed Hyperlink" xfId="82" builtinId="9" hidden="1"/>
    <cellStyle name="Followed Hyperlink" xfId="66" builtinId="9" hidden="1"/>
    <cellStyle name="Followed Hyperlink" xfId="32" builtinId="9" hidden="1"/>
    <cellStyle name="Followed Hyperlink" xfId="42" builtinId="9" hidden="1"/>
    <cellStyle name="Followed Hyperlink" xfId="52" builtinId="9" hidden="1"/>
    <cellStyle name="Followed Hyperlink" xfId="64" builtinId="9" hidden="1"/>
    <cellStyle name="Followed Hyperlink" xfId="38" builtinId="9" hidden="1"/>
    <cellStyle name="Followed Hyperlink" xfId="12" builtinId="9" hidden="1"/>
    <cellStyle name="Followed Hyperlink" xfId="14" builtinId="9" hidden="1"/>
    <cellStyle name="Followed Hyperlink" xfId="2" builtinId="9" hidden="1"/>
    <cellStyle name="Followed Hyperlink" xfId="6" builtinId="9" hidden="1"/>
    <cellStyle name="Followed Hyperlink" xfId="16" builtinId="9" hidden="1"/>
    <cellStyle name="Followed Hyperlink" xfId="30" builtinId="9" hidden="1"/>
    <cellStyle name="Followed Hyperlink" xfId="62" builtinId="9" hidden="1"/>
    <cellStyle name="Followed Hyperlink" xfId="56" builtinId="9" hidden="1"/>
    <cellStyle name="Followed Hyperlink" xfId="44" builtinId="9" hidden="1"/>
    <cellStyle name="Followed Hyperlink" xfId="34" builtinId="9" hidden="1"/>
    <cellStyle name="Followed Hyperlink" xfId="24" builtinId="9" hidden="1"/>
    <cellStyle name="Followed Hyperlink" xfId="78" builtinId="9" hidden="1"/>
    <cellStyle name="Followed Hyperlink" xfId="94" builtinId="9" hidden="1"/>
    <cellStyle name="Followed Hyperlink" xfId="110" builtinId="9" hidden="1"/>
    <cellStyle name="Followed Hyperlink" xfId="126" builtinId="9" hidden="1"/>
    <cellStyle name="Followed Hyperlink" xfId="142" builtinId="9" hidden="1"/>
    <cellStyle name="Followed Hyperlink" xfId="158" builtinId="9" hidden="1"/>
    <cellStyle name="Followed Hyperlink" xfId="174" builtinId="9" hidden="1"/>
    <cellStyle name="Followed Hyperlink" xfId="190" builtinId="9" hidden="1"/>
    <cellStyle name="Followed Hyperlink" xfId="206" builtinId="9" hidden="1"/>
    <cellStyle name="Followed Hyperlink" xfId="222" builtinId="9" hidden="1"/>
    <cellStyle name="Followed Hyperlink" xfId="238" builtinId="9" hidden="1"/>
    <cellStyle name="Followed Hyperlink" xfId="254" builtinId="9" hidden="1"/>
    <cellStyle name="Followed Hyperlink" xfId="270" builtinId="9" hidden="1"/>
    <cellStyle name="Followed Hyperlink" xfId="286" builtinId="9" hidden="1"/>
    <cellStyle name="Followed Hyperlink" xfId="302" builtinId="9" hidden="1"/>
    <cellStyle name="Followed Hyperlink" xfId="318" builtinId="9" hidden="1"/>
    <cellStyle name="Followed Hyperlink" xfId="334" builtinId="9" hidden="1"/>
    <cellStyle name="Followed Hyperlink" xfId="350" builtinId="9" hidden="1"/>
    <cellStyle name="Followed Hyperlink" xfId="366" builtinId="9" hidden="1"/>
    <cellStyle name="Followed Hyperlink" xfId="382" builtinId="9" hidden="1"/>
    <cellStyle name="Followed Hyperlink" xfId="398" builtinId="9" hidden="1"/>
    <cellStyle name="Followed Hyperlink" xfId="414" builtinId="9" hidden="1"/>
    <cellStyle name="Followed Hyperlink" xfId="430" builtinId="9" hidden="1"/>
    <cellStyle name="Followed Hyperlink" xfId="446" builtinId="9" hidden="1"/>
    <cellStyle name="Followed Hyperlink" xfId="462" builtinId="9" hidden="1"/>
    <cellStyle name="Followed Hyperlink" xfId="478" builtinId="9" hidden="1"/>
    <cellStyle name="Followed Hyperlink" xfId="494" builtinId="9" hidden="1"/>
    <cellStyle name="Followed Hyperlink" xfId="510" builtinId="9" hidden="1"/>
    <cellStyle name="Followed Hyperlink" xfId="526" builtinId="9" hidden="1"/>
    <cellStyle name="Followed Hyperlink" xfId="542" builtinId="9" hidden="1"/>
    <cellStyle name="Followed Hyperlink" xfId="558" builtinId="9" hidden="1"/>
    <cellStyle name="Followed Hyperlink" xfId="574" builtinId="9" hidden="1"/>
    <cellStyle name="Followed Hyperlink" xfId="590" builtinId="9" hidden="1"/>
    <cellStyle name="Followed Hyperlink" xfId="606" builtinId="9" hidden="1"/>
    <cellStyle name="Followed Hyperlink" xfId="622" builtinId="9" hidden="1"/>
    <cellStyle name="Followed Hyperlink" xfId="638" builtinId="9" hidden="1"/>
    <cellStyle name="Followed Hyperlink" xfId="654" builtinId="9" hidden="1"/>
    <cellStyle name="Followed Hyperlink" xfId="670" builtinId="9" hidden="1"/>
    <cellStyle name="Followed Hyperlink" xfId="686" builtinId="9" hidden="1"/>
    <cellStyle name="Followed Hyperlink" xfId="702" builtinId="9" hidden="1"/>
    <cellStyle name="Followed Hyperlink" xfId="718" builtinId="9" hidden="1"/>
    <cellStyle name="Followed Hyperlink" xfId="734" builtinId="9" hidden="1"/>
    <cellStyle name="Followed Hyperlink" xfId="750" builtinId="9" hidden="1"/>
    <cellStyle name="Followed Hyperlink" xfId="766" builtinId="9" hidden="1"/>
    <cellStyle name="Followed Hyperlink" xfId="760" builtinId="9" hidden="1"/>
    <cellStyle name="Followed Hyperlink" xfId="744" builtinId="9" hidden="1"/>
    <cellStyle name="Followed Hyperlink" xfId="728" builtinId="9" hidden="1"/>
    <cellStyle name="Followed Hyperlink" xfId="712" builtinId="9" hidden="1"/>
    <cellStyle name="Followed Hyperlink" xfId="696" builtinId="9" hidden="1"/>
    <cellStyle name="Followed Hyperlink" xfId="680" builtinId="9" hidden="1"/>
    <cellStyle name="Followed Hyperlink" xfId="664" builtinId="9" hidden="1"/>
    <cellStyle name="Followed Hyperlink" xfId="648" builtinId="9" hidden="1"/>
    <cellStyle name="Followed Hyperlink" xfId="632" builtinId="9" hidden="1"/>
    <cellStyle name="Followed Hyperlink" xfId="616" builtinId="9" hidden="1"/>
    <cellStyle name="Followed Hyperlink" xfId="600" builtinId="9" hidden="1"/>
    <cellStyle name="Followed Hyperlink" xfId="584" builtinId="9" hidden="1"/>
    <cellStyle name="Followed Hyperlink" xfId="568" builtinId="9" hidden="1"/>
    <cellStyle name="Followed Hyperlink" xfId="552" builtinId="9" hidden="1"/>
    <cellStyle name="Followed Hyperlink" xfId="536" builtinId="9" hidden="1"/>
    <cellStyle name="Followed Hyperlink" xfId="520" builtinId="9" hidden="1"/>
    <cellStyle name="Followed Hyperlink" xfId="504" builtinId="9" hidden="1"/>
    <cellStyle name="Followed Hyperlink" xfId="488" builtinId="9" hidden="1"/>
    <cellStyle name="Followed Hyperlink" xfId="472" builtinId="9" hidden="1"/>
    <cellStyle name="Followed Hyperlink" xfId="456" builtinId="9" hidden="1"/>
    <cellStyle name="Followed Hyperlink" xfId="288" builtinId="9" hidden="1"/>
    <cellStyle name="Followed Hyperlink" xfId="296" builtinId="9" hidden="1"/>
    <cellStyle name="Followed Hyperlink" xfId="304" builtinId="9" hidden="1"/>
    <cellStyle name="Followed Hyperlink" xfId="320" builtinId="9" hidden="1"/>
    <cellStyle name="Followed Hyperlink" xfId="328" builtinId="9" hidden="1"/>
    <cellStyle name="Followed Hyperlink" xfId="336" builtinId="9" hidden="1"/>
    <cellStyle name="Followed Hyperlink" xfId="352" builtinId="9" hidden="1"/>
    <cellStyle name="Followed Hyperlink" xfId="360" builtinId="9" hidden="1"/>
    <cellStyle name="Followed Hyperlink" xfId="368" builtinId="9" hidden="1"/>
    <cellStyle name="Followed Hyperlink" xfId="384" builtinId="9" hidden="1"/>
    <cellStyle name="Followed Hyperlink" xfId="392" builtinId="9" hidden="1"/>
    <cellStyle name="Followed Hyperlink" xfId="400" builtinId="9" hidden="1"/>
    <cellStyle name="Followed Hyperlink" xfId="416" builtinId="9" hidden="1"/>
    <cellStyle name="Followed Hyperlink" xfId="424" builtinId="9" hidden="1"/>
    <cellStyle name="Followed Hyperlink" xfId="432" builtinId="9" hidden="1"/>
    <cellStyle name="Followed Hyperlink" xfId="448" builtinId="9" hidden="1"/>
    <cellStyle name="Followed Hyperlink" xfId="440" builtinId="9" hidden="1"/>
    <cellStyle name="Followed Hyperlink" xfId="408" builtinId="9" hidden="1"/>
    <cellStyle name="Followed Hyperlink" xfId="376" builtinId="9" hidden="1"/>
    <cellStyle name="Followed Hyperlink" xfId="344" builtinId="9" hidden="1"/>
    <cellStyle name="Followed Hyperlink" xfId="312" builtinId="9" hidden="1"/>
    <cellStyle name="Followed Hyperlink" xfId="280" builtinId="9" hidden="1"/>
    <cellStyle name="Followed Hyperlink" xfId="232" builtinId="9" hidden="1"/>
    <cellStyle name="Followed Hyperlink" xfId="240" builtinId="9" hidden="1"/>
    <cellStyle name="Followed Hyperlink" xfId="256" builtinId="9" hidden="1"/>
    <cellStyle name="Followed Hyperlink" xfId="264" builtinId="9" hidden="1"/>
    <cellStyle name="Followed Hyperlink" xfId="272" builtinId="9" hidden="1"/>
    <cellStyle name="Followed Hyperlink" xfId="248" builtinId="9" hidden="1"/>
    <cellStyle name="Followed Hyperlink" xfId="216" builtinId="9" hidden="1"/>
    <cellStyle name="Followed Hyperlink" xfId="224" builtinId="9" hidden="1"/>
    <cellStyle name="Followed Hyperlink" xfId="208" builtinId="9" hidden="1"/>
    <cellStyle name="Followed Hyperlink" xfId="20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Hyperlink" xfId="65" builtinId="8" hidden="1"/>
    <cellStyle name="Hyperlink" xfId="67" builtinId="8" hidden="1"/>
    <cellStyle name="Hyperlink" xfId="73" builtinId="8" hidden="1"/>
    <cellStyle name="Hyperlink" xfId="75" builtinId="8" hidden="1"/>
    <cellStyle name="Hyperlink" xfId="81" builtinId="8" hidden="1"/>
    <cellStyle name="Hyperlink" xfId="85" builtinId="8" hidden="1"/>
    <cellStyle name="Hyperlink" xfId="89" builtinId="8" hidden="1"/>
    <cellStyle name="Hyperlink" xfId="91" builtinId="8" hidden="1"/>
    <cellStyle name="Hyperlink" xfId="97" builtinId="8" hidden="1"/>
    <cellStyle name="Hyperlink" xfId="99" builtinId="8" hidden="1"/>
    <cellStyle name="Hyperlink" xfId="101" builtinId="8" hidden="1"/>
    <cellStyle name="Hyperlink" xfId="107" builtinId="8" hidden="1"/>
    <cellStyle name="Hyperlink" xfId="109" builtinId="8" hidden="1"/>
    <cellStyle name="Hyperlink" xfId="115" builtinId="8" hidden="1"/>
    <cellStyle name="Hyperlink" xfId="119" builtinId="8" hidden="1"/>
    <cellStyle name="Hyperlink" xfId="79" builtinId="8" hidden="1"/>
    <cellStyle name="Hyperlink" xfId="27" builtinId="8" hidden="1"/>
    <cellStyle name="Hyperlink" xfId="33" builtinId="8" hidden="1"/>
    <cellStyle name="Hyperlink" xfId="35" builtinId="8" hidden="1"/>
    <cellStyle name="Hyperlink" xfId="37" builtinId="8" hidden="1"/>
    <cellStyle name="Hyperlink" xfId="43" builtinId="8" hidden="1"/>
    <cellStyle name="Hyperlink" xfId="45" builtinId="8" hidden="1"/>
    <cellStyle name="Hyperlink" xfId="51" builtinId="8" hidden="1"/>
    <cellStyle name="Hyperlink" xfId="55" builtinId="8" hidden="1"/>
    <cellStyle name="Hyperlink" xfId="13" builtinId="8" hidden="1"/>
    <cellStyle name="Hyperlink" xfId="15" builtinId="8" hidden="1"/>
    <cellStyle name="Hyperlink" xfId="21" builtinId="8" hidden="1"/>
    <cellStyle name="Hyperlink" xfId="23" builtinId="8" hidden="1"/>
    <cellStyle name="Hyperlink" xfId="25" builtinId="8" hidden="1"/>
    <cellStyle name="Hyperlink" xfId="11" builtinId="8" hidden="1"/>
    <cellStyle name="Hyperlink" xfId="3" builtinId="8" hidden="1"/>
    <cellStyle name="Hyperlink" xfId="1" builtinId="8" hidden="1"/>
    <cellStyle name="Hyperlink" xfId="7" builtinId="8" hidden="1"/>
    <cellStyle name="Hyperlink" xfId="19" builtinId="8" hidden="1"/>
    <cellStyle name="Hyperlink" xfId="47" builtinId="8" hidden="1"/>
    <cellStyle name="Hyperlink" xfId="39" builtinId="8" hidden="1"/>
    <cellStyle name="Hyperlink" xfId="31" builtinId="8" hidden="1"/>
    <cellStyle name="Hyperlink" xfId="111" builtinId="8" hidden="1"/>
    <cellStyle name="Hyperlink" xfId="103" builtinId="8" hidden="1"/>
    <cellStyle name="Hyperlink" xfId="95" builtinId="8" hidden="1"/>
    <cellStyle name="Hyperlink" xfId="87" builtinId="8" hidden="1"/>
    <cellStyle name="Hyperlink" xfId="69" builtinId="8" hidden="1"/>
    <cellStyle name="Hyperlink" xfId="61" builtinId="8" hidden="1"/>
    <cellStyle name="Hyperlink" xfId="143" builtinId="8" hidden="1"/>
    <cellStyle name="Hyperlink" xfId="271" builtinId="8" hidden="1"/>
    <cellStyle name="Hyperlink" xfId="275" builtinId="8" hidden="1"/>
    <cellStyle name="Hyperlink" xfId="265" builtinId="8" hidden="1"/>
    <cellStyle name="Hyperlink" xfId="247" builtinId="8" hidden="1"/>
    <cellStyle name="Hyperlink" xfId="237" builtinId="8" hidden="1"/>
    <cellStyle name="Hyperlink" xfId="229" builtinId="8" hidden="1"/>
    <cellStyle name="Hyperlink" xfId="211" builtinId="8" hidden="1"/>
    <cellStyle name="Hyperlink" xfId="201" builtinId="8" hidden="1"/>
    <cellStyle name="Hyperlink" xfId="193" builtinId="8" hidden="1"/>
    <cellStyle name="Hyperlink" xfId="173" builtinId="8" hidden="1"/>
    <cellStyle name="Hyperlink" xfId="165" builtinId="8" hidden="1"/>
    <cellStyle name="Hyperlink" xfId="155" builtinId="8" hidden="1"/>
    <cellStyle name="Hyperlink" xfId="137" builtinId="8" hidden="1"/>
    <cellStyle name="Hyperlink" xfId="129" builtinId="8" hidden="1"/>
    <cellStyle name="Hyperlink" xfId="287" builtinId="8" hidden="1"/>
    <cellStyle name="Hyperlink" xfId="351" builtinId="8" hidden="1"/>
    <cellStyle name="Hyperlink" xfId="383" builtinId="8" hidden="1"/>
    <cellStyle name="Hyperlink" xfId="415" builtinId="8" hidden="1"/>
    <cellStyle name="Hyperlink" xfId="479" builtinId="8" hidden="1"/>
    <cellStyle name="Hyperlink" xfId="511" builtinId="8" hidden="1"/>
    <cellStyle name="Hyperlink" xfId="543" builtinId="8" hidden="1"/>
    <cellStyle name="Hyperlink" xfId="607" builtinId="8" hidden="1"/>
    <cellStyle name="Hyperlink" xfId="639" builtinId="8" hidden="1"/>
    <cellStyle name="Hyperlink" xfId="671" builtinId="8" hidden="1"/>
    <cellStyle name="Hyperlink" xfId="735" builtinId="8" hidden="1"/>
    <cellStyle name="Hyperlink" xfId="767" builtinId="8" hidden="1"/>
    <cellStyle name="Hyperlink" xfId="761" builtinId="8" hidden="1"/>
    <cellStyle name="Hyperlink" xfId="739" builtinId="8" hidden="1"/>
    <cellStyle name="Hyperlink" xfId="729" builtinId="8" hidden="1"/>
    <cellStyle name="Hyperlink" xfId="717" builtinId="8" hidden="1"/>
    <cellStyle name="Hyperlink" xfId="697" builtinId="8" hidden="1"/>
    <cellStyle name="Hyperlink" xfId="685" builtinId="8" hidden="1"/>
    <cellStyle name="Hyperlink" xfId="675" builtinId="8" hidden="1"/>
    <cellStyle name="Hyperlink" xfId="443" builtinId="8" hidden="1"/>
    <cellStyle name="Hyperlink" xfId="445" builtinId="8" hidden="1"/>
    <cellStyle name="Hyperlink" xfId="449" builtinId="8" hidden="1"/>
    <cellStyle name="Hyperlink" xfId="457" builtinId="8" hidden="1"/>
    <cellStyle name="Hyperlink" xfId="459" builtinId="8" hidden="1"/>
    <cellStyle name="Hyperlink" xfId="461" builtinId="8" hidden="1"/>
    <cellStyle name="Hyperlink" xfId="467" builtinId="8" hidden="1"/>
    <cellStyle name="Hyperlink" xfId="469" builtinId="8" hidden="1"/>
    <cellStyle name="Hyperlink" xfId="475" builtinId="8" hidden="1"/>
    <cellStyle name="Hyperlink" xfId="481" builtinId="8" hidden="1"/>
    <cellStyle name="Hyperlink" xfId="483" builtinId="8" hidden="1"/>
    <cellStyle name="Hyperlink" xfId="485" builtinId="8" hidden="1"/>
    <cellStyle name="Hyperlink" xfId="491" builtinId="8" hidden="1"/>
    <cellStyle name="Hyperlink" xfId="497" builtinId="8" hidden="1"/>
    <cellStyle name="Hyperlink" xfId="499" builtinId="8" hidden="1"/>
    <cellStyle name="Hyperlink" xfId="505" builtinId="8" hidden="1"/>
    <cellStyle name="Hyperlink" xfId="507" builtinId="8" hidden="1"/>
    <cellStyle name="Hyperlink" xfId="509" builtinId="8" hidden="1"/>
    <cellStyle name="Hyperlink" xfId="517" builtinId="8" hidden="1"/>
    <cellStyle name="Hyperlink" xfId="521" builtinId="8" hidden="1"/>
    <cellStyle name="Hyperlink" xfId="523" builtinId="8" hidden="1"/>
    <cellStyle name="Hyperlink" xfId="529" builtinId="8" hidden="1"/>
    <cellStyle name="Hyperlink" xfId="531" builtinId="8" hidden="1"/>
    <cellStyle name="Hyperlink" xfId="533" builtinId="8" hidden="1"/>
    <cellStyle name="Hyperlink" xfId="541" builtinId="8" hidden="1"/>
    <cellStyle name="Hyperlink" xfId="545" builtinId="8" hidden="1"/>
    <cellStyle name="Hyperlink" xfId="547" builtinId="8" hidden="1"/>
    <cellStyle name="Hyperlink" xfId="553" builtinId="8" hidden="1"/>
    <cellStyle name="Hyperlink" xfId="555" builtinId="8" hidden="1"/>
    <cellStyle name="Hyperlink" xfId="561" builtinId="8" hidden="1"/>
    <cellStyle name="Hyperlink" xfId="565" builtinId="8" hidden="1"/>
    <cellStyle name="Hyperlink" xfId="569" builtinId="8" hidden="1"/>
    <cellStyle name="Hyperlink" xfId="571" builtinId="8" hidden="1"/>
    <cellStyle name="Hyperlink" xfId="577" builtinId="8" hidden="1"/>
    <cellStyle name="Hyperlink" xfId="581" builtinId="8" hidden="1"/>
    <cellStyle name="Hyperlink" xfId="585" builtinId="8" hidden="1"/>
    <cellStyle name="Hyperlink" xfId="589" builtinId="8" hidden="1"/>
    <cellStyle name="Hyperlink" xfId="593" builtinId="8" hidden="1"/>
    <cellStyle name="Hyperlink" xfId="595" builtinId="8" hidden="1"/>
    <cellStyle name="Hyperlink" xfId="603" builtinId="8" hidden="1"/>
    <cellStyle name="Hyperlink" xfId="605" builtinId="8" hidden="1"/>
    <cellStyle name="Hyperlink" xfId="609" builtinId="8" hidden="1"/>
    <cellStyle name="Hyperlink" xfId="613" builtinId="8" hidden="1"/>
    <cellStyle name="Hyperlink" xfId="617" builtinId="8" hidden="1"/>
    <cellStyle name="Hyperlink" xfId="619" builtinId="8" hidden="1"/>
    <cellStyle name="Hyperlink" xfId="627" builtinId="8" hidden="1"/>
    <cellStyle name="Hyperlink" xfId="629" builtinId="8" hidden="1"/>
    <cellStyle name="Hyperlink" xfId="633" builtinId="8" hidden="1"/>
    <cellStyle name="Hyperlink" xfId="637" builtinId="8" hidden="1"/>
    <cellStyle name="Hyperlink" xfId="641" builtinId="8" hidden="1"/>
    <cellStyle name="Hyperlink" xfId="645" builtinId="8" hidden="1"/>
    <cellStyle name="Hyperlink" xfId="651" builtinId="8" hidden="1"/>
    <cellStyle name="Hyperlink" xfId="653" builtinId="8" hidden="1"/>
    <cellStyle name="Hyperlink" xfId="657" builtinId="8" hidden="1"/>
    <cellStyle name="Hyperlink" xfId="621" builtinId="8" hidden="1"/>
    <cellStyle name="Hyperlink" xfId="601" builtinId="8" hidden="1"/>
    <cellStyle name="Hyperlink" xfId="579" builtinId="8" hidden="1"/>
    <cellStyle name="Hyperlink" xfId="537" builtinId="8" hidden="1"/>
    <cellStyle name="Hyperlink" xfId="515" builtinId="8" hidden="1"/>
    <cellStyle name="Hyperlink" xfId="493" builtinId="8" hidden="1"/>
    <cellStyle name="Hyperlink" xfId="451" builtinId="8" hidden="1"/>
    <cellStyle name="Hyperlink" xfId="357" builtinId="8" hidden="1"/>
    <cellStyle name="Hyperlink" xfId="361" builtinId="8" hidden="1"/>
    <cellStyle name="Hyperlink" xfId="365" builtinId="8" hidden="1"/>
    <cellStyle name="Hyperlink" xfId="369" builtinId="8" hidden="1"/>
    <cellStyle name="Hyperlink" xfId="371" builtinId="8" hidden="1"/>
    <cellStyle name="Hyperlink" xfId="377" builtinId="8" hidden="1"/>
    <cellStyle name="Hyperlink" xfId="379" builtinId="8" hidden="1"/>
    <cellStyle name="Hyperlink" xfId="381" builtinId="8" hidden="1"/>
    <cellStyle name="Hyperlink" xfId="389" builtinId="8" hidden="1"/>
    <cellStyle name="Hyperlink" xfId="393" builtinId="8" hidden="1"/>
    <cellStyle name="Hyperlink" xfId="395" builtinId="8" hidden="1"/>
    <cellStyle name="Hyperlink" xfId="401" builtinId="8" hidden="1"/>
    <cellStyle name="Hyperlink" xfId="403" builtinId="8" hidden="1"/>
    <cellStyle name="Hyperlink" xfId="405" builtinId="8" hidden="1"/>
    <cellStyle name="Hyperlink" xfId="411" builtinId="8" hidden="1"/>
    <cellStyle name="Hyperlink" xfId="413" builtinId="8" hidden="1"/>
    <cellStyle name="Hyperlink" xfId="417" builtinId="8" hidden="1"/>
    <cellStyle name="Hyperlink" xfId="421" builtinId="8" hidden="1"/>
    <cellStyle name="Hyperlink" xfId="425" builtinId="8" hidden="1"/>
    <cellStyle name="Hyperlink" xfId="427" builtinId="8" hidden="1"/>
    <cellStyle name="Hyperlink" xfId="435" builtinId="8" hidden="1"/>
    <cellStyle name="Hyperlink" xfId="437" builtinId="8" hidden="1"/>
    <cellStyle name="Hyperlink" xfId="441" builtinId="8" hidden="1"/>
    <cellStyle name="Hyperlink" xfId="387" builtinId="8" hidden="1"/>
    <cellStyle name="Hyperlink" xfId="317" builtinId="8" hidden="1"/>
    <cellStyle name="Hyperlink" xfId="321" builtinId="8" hidden="1"/>
    <cellStyle name="Hyperlink" xfId="325" builtinId="8" hidden="1"/>
    <cellStyle name="Hyperlink" xfId="329" builtinId="8" hidden="1"/>
    <cellStyle name="Hyperlink" xfId="331" builtinId="8" hidden="1"/>
    <cellStyle name="Hyperlink" xfId="337" builtinId="8" hidden="1"/>
    <cellStyle name="Hyperlink" xfId="339" builtinId="8" hidden="1"/>
    <cellStyle name="Hyperlink" xfId="341" builtinId="8" hidden="1"/>
    <cellStyle name="Hyperlink" xfId="349" builtinId="8" hidden="1"/>
    <cellStyle name="Hyperlink" xfId="353" builtinId="8" hidden="1"/>
    <cellStyle name="Hyperlink" xfId="355" builtinId="8" hidden="1"/>
    <cellStyle name="Hyperlink" xfId="299" builtinId="8" hidden="1"/>
    <cellStyle name="Hyperlink" xfId="301" builtinId="8" hidden="1"/>
    <cellStyle name="Hyperlink" xfId="305" builtinId="8" hidden="1"/>
    <cellStyle name="Hyperlink" xfId="309" builtinId="8" hidden="1"/>
    <cellStyle name="Hyperlink" xfId="313" builtinId="8" hidden="1"/>
    <cellStyle name="Hyperlink" xfId="315" builtinId="8" hidden="1"/>
    <cellStyle name="Hyperlink" xfId="293" builtinId="8" hidden="1"/>
    <cellStyle name="Hyperlink" xfId="297" builtinId="8" hidden="1"/>
    <cellStyle name="Hyperlink" xfId="285" builtinId="8" hidden="1"/>
    <cellStyle name="Hyperlink" xfId="283" builtinId="8" hidden="1"/>
    <cellStyle name="Hyperlink" xfId="289" builtinId="8" hidden="1"/>
    <cellStyle name="Hyperlink" xfId="291" builtinId="8" hidden="1"/>
    <cellStyle name="Hyperlink" xfId="307" builtinId="8" hidden="1"/>
    <cellStyle name="Hyperlink" xfId="345" builtinId="8" hidden="1"/>
    <cellStyle name="Hyperlink" xfId="347" builtinId="8" hidden="1"/>
    <cellStyle name="Hyperlink" xfId="333" builtinId="8" hidden="1"/>
    <cellStyle name="Hyperlink" xfId="323" builtinId="8" hidden="1"/>
    <cellStyle name="Hyperlink" xfId="429" builtinId="8" hidden="1"/>
    <cellStyle name="Hyperlink" xfId="433" builtinId="8" hidden="1"/>
    <cellStyle name="Hyperlink" xfId="419" builtinId="8" hidden="1"/>
    <cellStyle name="Hyperlink" xfId="409" builtinId="8" hidden="1"/>
    <cellStyle name="Hyperlink" xfId="397" builtinId="8" hidden="1"/>
    <cellStyle name="Hyperlink" xfId="385" builtinId="8" hidden="1"/>
    <cellStyle name="Hyperlink" xfId="373" builtinId="8" hidden="1"/>
    <cellStyle name="Hyperlink" xfId="363" builtinId="8" hidden="1"/>
    <cellStyle name="Hyperlink" xfId="473" builtinId="8" hidden="1"/>
    <cellStyle name="Hyperlink" xfId="557" builtinId="8" hidden="1"/>
    <cellStyle name="Hyperlink" xfId="643" builtinId="8" hidden="1"/>
    <cellStyle name="Hyperlink" xfId="649" builtinId="8" hidden="1"/>
    <cellStyle name="Hyperlink" xfId="635" builtinId="8" hidden="1"/>
    <cellStyle name="Hyperlink" xfId="625" builtinId="8" hidden="1"/>
    <cellStyle name="Hyperlink" xfId="611" builtinId="8" hidden="1"/>
    <cellStyle name="Hyperlink" xfId="597" builtinId="8" hidden="1"/>
    <cellStyle name="Hyperlink" xfId="587" builtinId="8" hidden="1"/>
    <cellStyle name="Hyperlink" xfId="573" builtinId="8" hidden="1"/>
    <cellStyle name="Hyperlink" xfId="563" builtinId="8" hidden="1"/>
    <cellStyle name="Hyperlink" xfId="549" builtinId="8" hidden="1"/>
    <cellStyle name="Hyperlink" xfId="539" builtinId="8" hidden="1"/>
    <cellStyle name="Hyperlink" xfId="525" builtinId="8" hidden="1"/>
    <cellStyle name="Hyperlink" xfId="513" builtinId="8" hidden="1"/>
    <cellStyle name="Hyperlink" xfId="501" builtinId="8" hidden="1"/>
    <cellStyle name="Hyperlink" xfId="489" builtinId="8" hidden="1"/>
    <cellStyle name="Hyperlink" xfId="477" builtinId="8" hidden="1"/>
    <cellStyle name="Hyperlink" xfId="465" builtinId="8" hidden="1"/>
    <cellStyle name="Hyperlink" xfId="453" builtinId="8" hidden="1"/>
    <cellStyle name="Hyperlink" xfId="665" builtinId="8" hidden="1"/>
    <cellStyle name="Hyperlink" xfId="707" builtinId="8" hidden="1"/>
    <cellStyle name="Hyperlink" xfId="749" builtinId="8" hidden="1"/>
    <cellStyle name="Hyperlink" xfId="703" builtinId="8" hidden="1"/>
    <cellStyle name="Hyperlink" xfId="575" builtinId="8" hidden="1"/>
    <cellStyle name="Hyperlink" xfId="447" builtinId="8" hidden="1"/>
    <cellStyle name="Hyperlink" xfId="319" builtinId="8" hidden="1"/>
    <cellStyle name="Hyperlink" xfId="147" builtinId="8" hidden="1"/>
    <cellStyle name="Hyperlink" xfId="183" builtinId="8" hidden="1"/>
    <cellStyle name="Hyperlink" xfId="219" builtinId="8" hidden="1"/>
    <cellStyle name="Hyperlink" xfId="257" builtinId="8" hidden="1"/>
    <cellStyle name="Hyperlink" xfId="207" builtinId="8" hidden="1"/>
    <cellStyle name="Hyperlink" xfId="77" builtinId="8" hidden="1"/>
    <cellStyle name="Hyperlink" xfId="113" builtinId="8" hidden="1"/>
    <cellStyle name="Hyperlink" xfId="49" builtinId="8" hidden="1"/>
    <cellStyle name="Hyperlink" xfId="5" builtinId="8" hidden="1"/>
    <cellStyle name="Hyperlink" xfId="9" builtinId="8" hidden="1"/>
    <cellStyle name="Hyperlink" xfId="17" builtinId="8" hidden="1"/>
    <cellStyle name="Hyperlink" xfId="53" builtinId="8" hidden="1"/>
    <cellStyle name="Hyperlink" xfId="41" builtinId="8" hidden="1"/>
    <cellStyle name="Hyperlink" xfId="29" builtinId="8" hidden="1"/>
    <cellStyle name="Hyperlink" xfId="117" builtinId="8" hidden="1"/>
    <cellStyle name="Hyperlink" xfId="105" builtinId="8" hidden="1"/>
    <cellStyle name="Hyperlink" xfId="93" builtinId="8" hidden="1"/>
    <cellStyle name="Hyperlink" xfId="83" builtinId="8" hidden="1"/>
    <cellStyle name="Hyperlink" xfId="71" builtinId="8" hidden="1"/>
    <cellStyle name="Hyperlink" xfId="463" builtinId="8" hidden="1"/>
    <cellStyle name="Hyperlink" xfId="455" builtinId="8" hidden="1"/>
    <cellStyle name="Hyperlink" xfId="439" builtinId="8" hidden="1"/>
    <cellStyle name="Hyperlink" xfId="423" builtinId="8" hidden="1"/>
    <cellStyle name="Hyperlink" xfId="407" builtinId="8" hidden="1"/>
    <cellStyle name="Hyperlink" xfId="399" builtinId="8" hidden="1"/>
    <cellStyle name="Hyperlink" xfId="391" builtinId="8" hidden="1"/>
    <cellStyle name="Hyperlink" xfId="375" builtinId="8" hidden="1"/>
    <cellStyle name="Hyperlink" xfId="367" builtinId="8" hidden="1"/>
    <cellStyle name="Hyperlink" xfId="359" builtinId="8" hidden="1"/>
    <cellStyle name="Hyperlink" xfId="335" builtinId="8" hidden="1"/>
    <cellStyle name="Hyperlink" xfId="327" builtinId="8" hidden="1"/>
    <cellStyle name="Hyperlink" xfId="311" builtinId="8" hidden="1"/>
    <cellStyle name="Hyperlink" xfId="303" builtinId="8" hidden="1"/>
    <cellStyle name="Hyperlink" xfId="295" builtinId="8" hidden="1"/>
    <cellStyle name="Hyperlink" xfId="121" builtinId="8" hidden="1"/>
    <cellStyle name="Hyperlink" xfId="123" builtinId="8" hidden="1"/>
    <cellStyle name="Hyperlink" xfId="131" builtinId="8" hidden="1"/>
    <cellStyle name="Hyperlink" xfId="133" builtinId="8" hidden="1"/>
    <cellStyle name="Hyperlink" xfId="135" builtinId="8" hidden="1"/>
    <cellStyle name="Hyperlink" xfId="139" builtinId="8" hidden="1"/>
    <cellStyle name="Hyperlink" xfId="141" builtinId="8" hidden="1"/>
    <cellStyle name="Hyperlink" xfId="145" builtinId="8" hidden="1"/>
    <cellStyle name="Hyperlink" xfId="149" builtinId="8" hidden="1"/>
    <cellStyle name="Hyperlink" xfId="153" builtinId="8" hidden="1"/>
    <cellStyle name="Hyperlink" xfId="157" builtinId="8" hidden="1"/>
    <cellStyle name="Hyperlink" xfId="161" builtinId="8" hidden="1"/>
    <cellStyle name="Hyperlink" xfId="163" builtinId="8" hidden="1"/>
    <cellStyle name="Hyperlink" xfId="167" builtinId="8" hidden="1"/>
    <cellStyle name="Hyperlink" xfId="169" builtinId="8" hidden="1"/>
    <cellStyle name="Hyperlink" xfId="171" builtinId="8" hidden="1"/>
    <cellStyle name="Hyperlink" xfId="179" builtinId="8" hidden="1"/>
    <cellStyle name="Hyperlink" xfId="181" builtinId="8" hidden="1"/>
    <cellStyle name="Hyperlink" xfId="185" builtinId="8" hidden="1"/>
    <cellStyle name="Hyperlink" xfId="187" builtinId="8" hidden="1"/>
    <cellStyle name="Hyperlink" xfId="189" builtinId="8" hidden="1"/>
    <cellStyle name="Hyperlink" xfId="195" builtinId="8" hidden="1"/>
    <cellStyle name="Hyperlink" xfId="197" builtinId="8" hidden="1"/>
    <cellStyle name="Hyperlink" xfId="203" builtinId="8" hidden="1"/>
    <cellStyle name="Hyperlink" xfId="205" builtinId="8" hidden="1"/>
    <cellStyle name="Hyperlink" xfId="209" builtinId="8" hidden="1"/>
    <cellStyle name="Hyperlink" xfId="213" builtinId="8" hidden="1"/>
    <cellStyle name="Hyperlink" xfId="215" builtinId="8" hidden="1"/>
    <cellStyle name="Hyperlink" xfId="217" builtinId="8" hidden="1"/>
    <cellStyle name="Hyperlink" xfId="221" builtinId="8" hidden="1"/>
    <cellStyle name="Hyperlink" xfId="227" builtinId="8" hidden="1"/>
    <cellStyle name="Hyperlink" xfId="231" builtinId="8" hidden="1"/>
    <cellStyle name="Hyperlink" xfId="233" builtinId="8" hidden="1"/>
    <cellStyle name="Hyperlink" xfId="235" builtinId="8" hidden="1"/>
    <cellStyle name="Hyperlink" xfId="241" builtinId="8" hidden="1"/>
    <cellStyle name="Hyperlink" xfId="243" builtinId="8" hidden="1"/>
    <cellStyle name="Hyperlink" xfId="245" builtinId="8" hidden="1"/>
    <cellStyle name="Hyperlink" xfId="251" builtinId="8" hidden="1"/>
    <cellStyle name="Hyperlink" xfId="253" builtinId="8" hidden="1"/>
    <cellStyle name="Hyperlink" xfId="259" builtinId="8" hidden="1"/>
    <cellStyle name="Hyperlink" xfId="261" builtinId="8" hidden="1"/>
    <cellStyle name="Hyperlink" xfId="263" builtinId="8" hidden="1"/>
    <cellStyle name="Hyperlink" xfId="267" builtinId="8" hidden="1"/>
    <cellStyle name="Hyperlink" xfId="269" builtinId="8" hidden="1"/>
    <cellStyle name="Hyperlink" xfId="277" builtinId="8" hidden="1"/>
    <cellStyle name="Hyperlink" xfId="279" builtinId="8" hidden="1"/>
    <cellStyle name="Hyperlink" xfId="281" builtinId="8" hidden="1"/>
    <cellStyle name="Hyperlink" xfId="255" builtinId="8" hidden="1"/>
    <cellStyle name="Hyperlink" xfId="239" builtinId="8" hidden="1"/>
    <cellStyle name="Hyperlink" xfId="223" builtinId="8" hidden="1"/>
    <cellStyle name="Hyperlink" xfId="191" builtinId="8" hidden="1"/>
    <cellStyle name="Hyperlink" xfId="159" builtinId="8" hidden="1"/>
    <cellStyle name="Hyperlink" xfId="127" builtinId="8" hidden="1"/>
    <cellStyle name="Hyperlink" xfId="57" builtinId="8" hidden="1"/>
    <cellStyle name="Hyperlink" xfId="59" builtinId="8" hidden="1"/>
    <cellStyle name="Hyperlink" xfId="63" builtinId="8" hidden="1"/>
    <cellStyle name="Hyperlink" xfId="175" builtinId="8" hidden="1"/>
    <cellStyle name="Hyperlink" xfId="273" builtinId="8" hidden="1"/>
    <cellStyle name="Hyperlink" xfId="249" builtinId="8" hidden="1"/>
    <cellStyle name="Hyperlink" xfId="225" builtinId="8" hidden="1"/>
    <cellStyle name="Hyperlink" xfId="199" builtinId="8" hidden="1"/>
    <cellStyle name="Hyperlink" xfId="177" builtinId="8" hidden="1"/>
    <cellStyle name="Hyperlink" xfId="151" builtinId="8" hidden="1"/>
    <cellStyle name="Hyperlink" xfId="125" builtinId="8" hidden="1"/>
    <cellStyle name="Hyperlink" xfId="343" builtinId="8" hidden="1"/>
    <cellStyle name="Hyperlink" xfId="431" builtinId="8" hidden="1"/>
    <cellStyle name="Hyperlink" xfId="757" builtinId="8" hidden="1"/>
    <cellStyle name="Hyperlink" xfId="763" builtinId="8" hidden="1"/>
    <cellStyle name="Hyperlink" xfId="765" builtinId="8" hidden="1"/>
    <cellStyle name="Hyperlink" xfId="769" builtinId="8" hidden="1"/>
    <cellStyle name="Hyperlink" xfId="759" builtinId="8" hidden="1"/>
    <cellStyle name="Hyperlink" xfId="751" builtinId="8" hidden="1"/>
    <cellStyle name="Hyperlink" xfId="743" builtinId="8" hidden="1"/>
    <cellStyle name="Hyperlink" xfId="727" builtinId="8" hidden="1"/>
    <cellStyle name="Hyperlink" xfId="719" builtinId="8" hidden="1"/>
    <cellStyle name="Hyperlink" xfId="711" builtinId="8" hidden="1"/>
    <cellStyle name="Hyperlink" xfId="695" builtinId="8" hidden="1"/>
    <cellStyle name="Hyperlink" xfId="679" builtinId="8" hidden="1"/>
    <cellStyle name="Hyperlink" xfId="663" builtinId="8" hidden="1"/>
    <cellStyle name="Hyperlink" xfId="655" builtinId="8" hidden="1"/>
    <cellStyle name="Hyperlink" xfId="647" builtinId="8" hidden="1"/>
    <cellStyle name="Hyperlink" xfId="631" builtinId="8" hidden="1"/>
    <cellStyle name="Hyperlink" xfId="623" builtinId="8" hidden="1"/>
    <cellStyle name="Hyperlink" xfId="615" builtinId="8" hidden="1"/>
    <cellStyle name="Hyperlink" xfId="599" builtinId="8" hidden="1"/>
    <cellStyle name="Hyperlink" xfId="591" builtinId="8" hidden="1"/>
    <cellStyle name="Hyperlink" xfId="583" builtinId="8" hidden="1"/>
    <cellStyle name="Hyperlink" xfId="567" builtinId="8" hidden="1"/>
    <cellStyle name="Hyperlink" xfId="559" builtinId="8" hidden="1"/>
    <cellStyle name="Hyperlink" xfId="551" builtinId="8" hidden="1"/>
    <cellStyle name="Hyperlink" xfId="535" builtinId="8" hidden="1"/>
    <cellStyle name="Hyperlink" xfId="527" builtinId="8" hidden="1"/>
    <cellStyle name="Hyperlink" xfId="503" builtinId="8" hidden="1"/>
    <cellStyle name="Hyperlink" xfId="495" builtinId="8" hidden="1"/>
    <cellStyle name="Hyperlink" xfId="487" builtinId="8" hidden="1"/>
    <cellStyle name="Hyperlink" xfId="471" builtinId="8" hidden="1"/>
    <cellStyle name="Hyperlink" xfId="519" builtinId="8" hidden="1"/>
    <cellStyle name="Hyperlink" xfId="687" builtinId="8" hidden="1"/>
    <cellStyle name="Hyperlink" xfId="705" builtinId="8" hidden="1"/>
    <cellStyle name="Hyperlink" xfId="709" builtinId="8" hidden="1"/>
    <cellStyle name="Hyperlink" xfId="713" builtinId="8" hidden="1"/>
    <cellStyle name="Hyperlink" xfId="715" builtinId="8" hidden="1"/>
    <cellStyle name="Hyperlink" xfId="721" builtinId="8" hidden="1"/>
    <cellStyle name="Hyperlink" xfId="723" builtinId="8" hidden="1"/>
    <cellStyle name="Hyperlink" xfId="725" builtinId="8" hidden="1"/>
    <cellStyle name="Hyperlink" xfId="731" builtinId="8" hidden="1"/>
    <cellStyle name="Hyperlink" xfId="733" builtinId="8" hidden="1"/>
    <cellStyle name="Hyperlink" xfId="737" builtinId="8" hidden="1"/>
    <cellStyle name="Hyperlink" xfId="745" builtinId="8" hidden="1"/>
    <cellStyle name="Hyperlink" xfId="747" builtinId="8" hidden="1"/>
    <cellStyle name="Hyperlink" xfId="753" builtinId="8" hidden="1"/>
    <cellStyle name="Hyperlink" xfId="755" builtinId="8" hidden="1"/>
    <cellStyle name="Hyperlink" xfId="741" builtinId="8" hidden="1"/>
    <cellStyle name="Hyperlink" xfId="681" builtinId="8" hidden="1"/>
    <cellStyle name="Hyperlink" xfId="683" builtinId="8" hidden="1"/>
    <cellStyle name="Hyperlink" xfId="689" builtinId="8" hidden="1"/>
    <cellStyle name="Hyperlink" xfId="691" builtinId="8" hidden="1"/>
    <cellStyle name="Hyperlink" xfId="693" builtinId="8" hidden="1"/>
    <cellStyle name="Hyperlink" xfId="699" builtinId="8" hidden="1"/>
    <cellStyle name="Hyperlink" xfId="701" builtinId="8" hidden="1"/>
    <cellStyle name="Hyperlink" xfId="669" builtinId="8" hidden="1"/>
    <cellStyle name="Hyperlink" xfId="673" builtinId="8" hidden="1"/>
    <cellStyle name="Hyperlink" xfId="677" builtinId="8" hidden="1"/>
    <cellStyle name="Hyperlink" xfId="661" builtinId="8" hidden="1"/>
    <cellStyle name="Hyperlink" xfId="667" builtinId="8" hidden="1"/>
    <cellStyle name="Hyperlink" xfId="65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Normal" xfId="0" builtinId="0"/>
  </cellStyles>
  <dxfs count="71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7030A0"/>
      </font>
      <fill>
        <patternFill patternType="none">
          <bgColor auto="1"/>
        </patternFill>
      </fill>
    </dxf>
    <dxf>
      <font>
        <color rgb="FF00B050"/>
      </font>
      <fill>
        <patternFill patternType="none">
          <bgColor auto="1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theme="1"/>
      </font>
      <fill>
        <patternFill patternType="none">
          <bgColor auto="1"/>
        </patternFill>
      </fill>
    </dxf>
    <dxf>
      <font>
        <color theme="1"/>
      </font>
      <fill>
        <patternFill>
          <bgColor theme="9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1"/>
      </font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z val="12"/>
        <color rgb="FF006100"/>
        <name val="Calibri"/>
      </font>
      <fill>
        <patternFill>
          <bgColor rgb="FFC6EFCE"/>
        </patternFill>
      </fill>
    </dxf>
    <dxf>
      <font>
        <sz val="12"/>
        <color rgb="FF9C6500"/>
        <name val="Calibri"/>
      </font>
      <fill>
        <patternFill>
          <bgColor rgb="FFFFEB9C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006100"/>
        <name val="Calibri"/>
      </font>
      <fill>
        <patternFill>
          <bgColor rgb="FFC6EFCE"/>
        </patternFill>
      </fill>
    </dxf>
    <dxf>
      <font>
        <sz val="12"/>
        <color rgb="FF9C6500"/>
        <name val="Calibri"/>
      </font>
      <fill>
        <patternFill>
          <bgColor rgb="FFFFEB9C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connections" Target="connections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5e (red)</a:t>
            </a:r>
            <a:r>
              <a:rPr lang="en-US" baseline="0"/>
              <a:t> and 6b (green) vs Length 5x50-6x50 (ICL3 length approximation)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542950729414576"/>
          <c:y val="0.015495584352692"/>
          <c:w val="0.937382013432145"/>
          <c:h val="0.74139779034366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ICL3_classA!$F$6:$F$37</c:f>
              <c:numCache>
                <c:formatCode>General</c:formatCode>
                <c:ptCount val="32"/>
                <c:pt idx="0">
                  <c:v>43.0</c:v>
                </c:pt>
                <c:pt idx="1">
                  <c:v>43.0</c:v>
                </c:pt>
                <c:pt idx="2">
                  <c:v>43.0</c:v>
                </c:pt>
                <c:pt idx="3">
                  <c:v>43.0</c:v>
                </c:pt>
                <c:pt idx="4">
                  <c:v>44.0</c:v>
                </c:pt>
                <c:pt idx="5">
                  <c:v>45.0</c:v>
                </c:pt>
                <c:pt idx="6">
                  <c:v>46.0</c:v>
                </c:pt>
                <c:pt idx="7">
                  <c:v>46.0</c:v>
                </c:pt>
                <c:pt idx="8">
                  <c:v>48.0</c:v>
                </c:pt>
                <c:pt idx="9">
                  <c:v>48.0</c:v>
                </c:pt>
                <c:pt idx="10">
                  <c:v>50.0</c:v>
                </c:pt>
                <c:pt idx="11">
                  <c:v>51.0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52.0</c:v>
                </c:pt>
                <c:pt idx="17">
                  <c:v>52.0</c:v>
                </c:pt>
                <c:pt idx="18">
                  <c:v>53.0</c:v>
                </c:pt>
                <c:pt idx="19">
                  <c:v>56.0</c:v>
                </c:pt>
                <c:pt idx="20">
                  <c:v>58.0</c:v>
                </c:pt>
                <c:pt idx="21">
                  <c:v>59.0</c:v>
                </c:pt>
                <c:pt idx="22">
                  <c:v>74.0</c:v>
                </c:pt>
                <c:pt idx="23">
                  <c:v>77.0</c:v>
                </c:pt>
                <c:pt idx="24">
                  <c:v>109.0</c:v>
                </c:pt>
                <c:pt idx="25">
                  <c:v>110.0</c:v>
                </c:pt>
                <c:pt idx="26">
                  <c:v>144.0</c:v>
                </c:pt>
                <c:pt idx="27">
                  <c:v>180.0</c:v>
                </c:pt>
                <c:pt idx="28">
                  <c:v>204.0</c:v>
                </c:pt>
                <c:pt idx="29">
                  <c:v>208.0</c:v>
                </c:pt>
                <c:pt idx="30">
                  <c:v>228.0</c:v>
                </c:pt>
                <c:pt idx="31">
                  <c:v>263.0</c:v>
                </c:pt>
              </c:numCache>
            </c:numRef>
          </c:cat>
          <c:val>
            <c:numRef>
              <c:f>ICL3_classA!$G$6:$G$37</c:f>
              <c:numCache>
                <c:formatCode>General</c:formatCode>
                <c:ptCount val="32"/>
                <c:pt idx="0">
                  <c:v>68.0</c:v>
                </c:pt>
                <c:pt idx="1">
                  <c:v>68.0</c:v>
                </c:pt>
                <c:pt idx="2">
                  <c:v>68.0</c:v>
                </c:pt>
                <c:pt idx="3">
                  <c:v>68.0</c:v>
                </c:pt>
                <c:pt idx="4">
                  <c:v>68.0</c:v>
                </c:pt>
                <c:pt idx="5">
                  <c:v>67.0</c:v>
                </c:pt>
                <c:pt idx="6">
                  <c:v>67.0</c:v>
                </c:pt>
                <c:pt idx="7">
                  <c:v>68.0</c:v>
                </c:pt>
                <c:pt idx="8">
                  <c:v>68.0</c:v>
                </c:pt>
                <c:pt idx="9">
                  <c:v>68.0</c:v>
                </c:pt>
                <c:pt idx="10">
                  <c:v>72.0</c:v>
                </c:pt>
                <c:pt idx="11">
                  <c:v>68.0</c:v>
                </c:pt>
                <c:pt idx="12">
                  <c:v>68.0</c:v>
                </c:pt>
                <c:pt idx="13">
                  <c:v>68.0</c:v>
                </c:pt>
                <c:pt idx="14">
                  <c:v>68.0</c:v>
                </c:pt>
                <c:pt idx="15">
                  <c:v>68.0</c:v>
                </c:pt>
                <c:pt idx="16">
                  <c:v>72.0</c:v>
                </c:pt>
                <c:pt idx="17">
                  <c:v>72.0</c:v>
                </c:pt>
                <c:pt idx="18">
                  <c:v>72.0</c:v>
                </c:pt>
                <c:pt idx="19">
                  <c:v>73.0</c:v>
                </c:pt>
                <c:pt idx="20">
                  <c:v>73.0</c:v>
                </c:pt>
                <c:pt idx="21">
                  <c:v>74.0</c:v>
                </c:pt>
                <c:pt idx="22">
                  <c:v>76.0</c:v>
                </c:pt>
                <c:pt idx="23">
                  <c:v>76.0</c:v>
                </c:pt>
                <c:pt idx="24">
                  <c:v>74.0</c:v>
                </c:pt>
                <c:pt idx="25">
                  <c:v>76.0</c:v>
                </c:pt>
                <c:pt idx="26">
                  <c:v>76.0</c:v>
                </c:pt>
                <c:pt idx="27">
                  <c:v>75.0</c:v>
                </c:pt>
                <c:pt idx="28">
                  <c:v>75.0</c:v>
                </c:pt>
                <c:pt idx="29">
                  <c:v>75.0</c:v>
                </c:pt>
                <c:pt idx="30">
                  <c:v>76.0</c:v>
                </c:pt>
                <c:pt idx="31">
                  <c:v>75.0</c:v>
                </c:pt>
              </c:numCache>
            </c:numRef>
          </c:val>
          <c:smooth val="0"/>
        </c:ser>
        <c:ser>
          <c:idx val="3"/>
          <c:order val="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ICL3_classA!$F$6:$F$37</c:f>
              <c:numCache>
                <c:formatCode>General</c:formatCode>
                <c:ptCount val="32"/>
                <c:pt idx="0">
                  <c:v>43.0</c:v>
                </c:pt>
                <c:pt idx="1">
                  <c:v>43.0</c:v>
                </c:pt>
                <c:pt idx="2">
                  <c:v>43.0</c:v>
                </c:pt>
                <c:pt idx="3">
                  <c:v>43.0</c:v>
                </c:pt>
                <c:pt idx="4">
                  <c:v>44.0</c:v>
                </c:pt>
                <c:pt idx="5">
                  <c:v>45.0</c:v>
                </c:pt>
                <c:pt idx="6">
                  <c:v>46.0</c:v>
                </c:pt>
                <c:pt idx="7">
                  <c:v>46.0</c:v>
                </c:pt>
                <c:pt idx="8">
                  <c:v>48.0</c:v>
                </c:pt>
                <c:pt idx="9">
                  <c:v>48.0</c:v>
                </c:pt>
                <c:pt idx="10">
                  <c:v>50.0</c:v>
                </c:pt>
                <c:pt idx="11">
                  <c:v>51.0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52.0</c:v>
                </c:pt>
                <c:pt idx="17">
                  <c:v>52.0</c:v>
                </c:pt>
                <c:pt idx="18">
                  <c:v>53.0</c:v>
                </c:pt>
                <c:pt idx="19">
                  <c:v>56.0</c:v>
                </c:pt>
                <c:pt idx="20">
                  <c:v>58.0</c:v>
                </c:pt>
                <c:pt idx="21">
                  <c:v>59.0</c:v>
                </c:pt>
                <c:pt idx="22">
                  <c:v>74.0</c:v>
                </c:pt>
                <c:pt idx="23">
                  <c:v>77.0</c:v>
                </c:pt>
                <c:pt idx="24">
                  <c:v>109.0</c:v>
                </c:pt>
                <c:pt idx="25">
                  <c:v>110.0</c:v>
                </c:pt>
                <c:pt idx="26">
                  <c:v>144.0</c:v>
                </c:pt>
                <c:pt idx="27">
                  <c:v>180.0</c:v>
                </c:pt>
                <c:pt idx="28">
                  <c:v>204.0</c:v>
                </c:pt>
                <c:pt idx="29">
                  <c:v>208.0</c:v>
                </c:pt>
                <c:pt idx="30">
                  <c:v>228.0</c:v>
                </c:pt>
                <c:pt idx="31">
                  <c:v>263.0</c:v>
                </c:pt>
              </c:numCache>
            </c:numRef>
          </c:cat>
          <c:val>
            <c:numRef>
              <c:f>ICL3_classA!$H$6:$H$37</c:f>
              <c:numCache>
                <c:formatCode>General</c:formatCode>
                <c:ptCount val="32"/>
                <c:pt idx="0">
                  <c:v>30.0</c:v>
                </c:pt>
                <c:pt idx="1">
                  <c:v>31.0</c:v>
                </c:pt>
                <c:pt idx="2">
                  <c:v>28.0</c:v>
                </c:pt>
                <c:pt idx="3">
                  <c:v>29.0</c:v>
                </c:pt>
                <c:pt idx="4">
                  <c:v>28.0</c:v>
                </c:pt>
                <c:pt idx="5">
                  <c:v>28.0</c:v>
                </c:pt>
                <c:pt idx="6">
                  <c:v>26.0</c:v>
                </c:pt>
                <c:pt idx="7">
                  <c:v>28.0</c:v>
                </c:pt>
                <c:pt idx="8">
                  <c:v>24.0</c:v>
                </c:pt>
                <c:pt idx="9">
                  <c:v>28.0</c:v>
                </c:pt>
                <c:pt idx="10">
                  <c:v>29.0</c:v>
                </c:pt>
                <c:pt idx="11">
                  <c:v>23.0</c:v>
                </c:pt>
                <c:pt idx="12">
                  <c:v>23.0</c:v>
                </c:pt>
                <c:pt idx="13">
                  <c:v>23.0</c:v>
                </c:pt>
                <c:pt idx="14">
                  <c:v>23.0</c:v>
                </c:pt>
                <c:pt idx="15">
                  <c:v>23.0</c:v>
                </c:pt>
                <c:pt idx="16">
                  <c:v>24.0</c:v>
                </c:pt>
                <c:pt idx="17">
                  <c:v>24.0</c:v>
                </c:pt>
                <c:pt idx="18">
                  <c:v>24.0</c:v>
                </c:pt>
                <c:pt idx="19">
                  <c:v>22.0</c:v>
                </c:pt>
                <c:pt idx="20">
                  <c:v>24.0</c:v>
                </c:pt>
                <c:pt idx="21">
                  <c:v>21.0</c:v>
                </c:pt>
                <c:pt idx="22">
                  <c:v>24.0</c:v>
                </c:pt>
                <c:pt idx="23">
                  <c:v>24.0</c:v>
                </c:pt>
                <c:pt idx="24">
                  <c:v>24.0</c:v>
                </c:pt>
                <c:pt idx="25">
                  <c:v>24.0</c:v>
                </c:pt>
                <c:pt idx="26">
                  <c:v>24.0</c:v>
                </c:pt>
                <c:pt idx="27">
                  <c:v>24.0</c:v>
                </c:pt>
                <c:pt idx="28">
                  <c:v>24.0</c:v>
                </c:pt>
                <c:pt idx="29">
                  <c:v>24.0</c:v>
                </c:pt>
                <c:pt idx="30">
                  <c:v>24.0</c:v>
                </c:pt>
                <c:pt idx="31">
                  <c:v>24.0</c:v>
                </c:pt>
              </c:numCache>
            </c:numRef>
          </c:val>
          <c:smooth val="0"/>
        </c:ser>
        <c:ser>
          <c:idx val="1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ICL3_classA!$F$6:$F$37</c:f>
              <c:numCache>
                <c:formatCode>General</c:formatCode>
                <c:ptCount val="32"/>
                <c:pt idx="0">
                  <c:v>43.0</c:v>
                </c:pt>
                <c:pt idx="1">
                  <c:v>43.0</c:v>
                </c:pt>
                <c:pt idx="2">
                  <c:v>43.0</c:v>
                </c:pt>
                <c:pt idx="3">
                  <c:v>43.0</c:v>
                </c:pt>
                <c:pt idx="4">
                  <c:v>44.0</c:v>
                </c:pt>
                <c:pt idx="5">
                  <c:v>45.0</c:v>
                </c:pt>
                <c:pt idx="6">
                  <c:v>46.0</c:v>
                </c:pt>
                <c:pt idx="7">
                  <c:v>46.0</c:v>
                </c:pt>
                <c:pt idx="8">
                  <c:v>48.0</c:v>
                </c:pt>
                <c:pt idx="9">
                  <c:v>48.0</c:v>
                </c:pt>
                <c:pt idx="10">
                  <c:v>50.0</c:v>
                </c:pt>
                <c:pt idx="11">
                  <c:v>51.0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52.0</c:v>
                </c:pt>
                <c:pt idx="17">
                  <c:v>52.0</c:v>
                </c:pt>
                <c:pt idx="18">
                  <c:v>53.0</c:v>
                </c:pt>
                <c:pt idx="19">
                  <c:v>56.0</c:v>
                </c:pt>
                <c:pt idx="20">
                  <c:v>58.0</c:v>
                </c:pt>
                <c:pt idx="21">
                  <c:v>59.0</c:v>
                </c:pt>
                <c:pt idx="22">
                  <c:v>74.0</c:v>
                </c:pt>
                <c:pt idx="23">
                  <c:v>77.0</c:v>
                </c:pt>
                <c:pt idx="24">
                  <c:v>109.0</c:v>
                </c:pt>
                <c:pt idx="25">
                  <c:v>110.0</c:v>
                </c:pt>
                <c:pt idx="26">
                  <c:v>144.0</c:v>
                </c:pt>
                <c:pt idx="27">
                  <c:v>180.0</c:v>
                </c:pt>
                <c:pt idx="28">
                  <c:v>204.0</c:v>
                </c:pt>
                <c:pt idx="29">
                  <c:v>208.0</c:v>
                </c:pt>
                <c:pt idx="30">
                  <c:v>228.0</c:v>
                </c:pt>
                <c:pt idx="31">
                  <c:v>263.0</c:v>
                </c:pt>
              </c:numCache>
            </c:numRef>
          </c:cat>
          <c:val>
            <c:numRef>
              <c:f>ICL3_classA!$G$6:$G$37</c:f>
              <c:numCache>
                <c:formatCode>General</c:formatCode>
                <c:ptCount val="32"/>
                <c:pt idx="0">
                  <c:v>68.0</c:v>
                </c:pt>
                <c:pt idx="1">
                  <c:v>68.0</c:v>
                </c:pt>
                <c:pt idx="2">
                  <c:v>68.0</c:v>
                </c:pt>
                <c:pt idx="3">
                  <c:v>68.0</c:v>
                </c:pt>
                <c:pt idx="4">
                  <c:v>68.0</c:v>
                </c:pt>
                <c:pt idx="5">
                  <c:v>67.0</c:v>
                </c:pt>
                <c:pt idx="6">
                  <c:v>67.0</c:v>
                </c:pt>
                <c:pt idx="7">
                  <c:v>68.0</c:v>
                </c:pt>
                <c:pt idx="8">
                  <c:v>68.0</c:v>
                </c:pt>
                <c:pt idx="9">
                  <c:v>68.0</c:v>
                </c:pt>
                <c:pt idx="10">
                  <c:v>72.0</c:v>
                </c:pt>
                <c:pt idx="11">
                  <c:v>68.0</c:v>
                </c:pt>
                <c:pt idx="12">
                  <c:v>68.0</c:v>
                </c:pt>
                <c:pt idx="13">
                  <c:v>68.0</c:v>
                </c:pt>
                <c:pt idx="14">
                  <c:v>68.0</c:v>
                </c:pt>
                <c:pt idx="15">
                  <c:v>68.0</c:v>
                </c:pt>
                <c:pt idx="16">
                  <c:v>72.0</c:v>
                </c:pt>
                <c:pt idx="17">
                  <c:v>72.0</c:v>
                </c:pt>
                <c:pt idx="18">
                  <c:v>72.0</c:v>
                </c:pt>
                <c:pt idx="19">
                  <c:v>73.0</c:v>
                </c:pt>
                <c:pt idx="20">
                  <c:v>73.0</c:v>
                </c:pt>
                <c:pt idx="21">
                  <c:v>74.0</c:v>
                </c:pt>
                <c:pt idx="22">
                  <c:v>76.0</c:v>
                </c:pt>
                <c:pt idx="23">
                  <c:v>76.0</c:v>
                </c:pt>
                <c:pt idx="24">
                  <c:v>74.0</c:v>
                </c:pt>
                <c:pt idx="25">
                  <c:v>76.0</c:v>
                </c:pt>
                <c:pt idx="26">
                  <c:v>76.0</c:v>
                </c:pt>
                <c:pt idx="27">
                  <c:v>75.0</c:v>
                </c:pt>
                <c:pt idx="28">
                  <c:v>75.0</c:v>
                </c:pt>
                <c:pt idx="29">
                  <c:v>75.0</c:v>
                </c:pt>
                <c:pt idx="30">
                  <c:v>76.0</c:v>
                </c:pt>
                <c:pt idx="31">
                  <c:v>75.0</c:v>
                </c:pt>
              </c:numCache>
            </c:numRef>
          </c:val>
          <c:smooth val="0"/>
        </c:ser>
        <c:ser>
          <c:idx val="2"/>
          <c:order val="3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ICL3_classA!$F$6:$F$37</c:f>
              <c:numCache>
                <c:formatCode>General</c:formatCode>
                <c:ptCount val="32"/>
                <c:pt idx="0">
                  <c:v>43.0</c:v>
                </c:pt>
                <c:pt idx="1">
                  <c:v>43.0</c:v>
                </c:pt>
                <c:pt idx="2">
                  <c:v>43.0</c:v>
                </c:pt>
                <c:pt idx="3">
                  <c:v>43.0</c:v>
                </c:pt>
                <c:pt idx="4">
                  <c:v>44.0</c:v>
                </c:pt>
                <c:pt idx="5">
                  <c:v>45.0</c:v>
                </c:pt>
                <c:pt idx="6">
                  <c:v>46.0</c:v>
                </c:pt>
                <c:pt idx="7">
                  <c:v>46.0</c:v>
                </c:pt>
                <c:pt idx="8">
                  <c:v>48.0</c:v>
                </c:pt>
                <c:pt idx="9">
                  <c:v>48.0</c:v>
                </c:pt>
                <c:pt idx="10">
                  <c:v>50.0</c:v>
                </c:pt>
                <c:pt idx="11">
                  <c:v>51.0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52.0</c:v>
                </c:pt>
                <c:pt idx="17">
                  <c:v>52.0</c:v>
                </c:pt>
                <c:pt idx="18">
                  <c:v>53.0</c:v>
                </c:pt>
                <c:pt idx="19">
                  <c:v>56.0</c:v>
                </c:pt>
                <c:pt idx="20">
                  <c:v>58.0</c:v>
                </c:pt>
                <c:pt idx="21">
                  <c:v>59.0</c:v>
                </c:pt>
                <c:pt idx="22">
                  <c:v>74.0</c:v>
                </c:pt>
                <c:pt idx="23">
                  <c:v>77.0</c:v>
                </c:pt>
                <c:pt idx="24">
                  <c:v>109.0</c:v>
                </c:pt>
                <c:pt idx="25">
                  <c:v>110.0</c:v>
                </c:pt>
                <c:pt idx="26">
                  <c:v>144.0</c:v>
                </c:pt>
                <c:pt idx="27">
                  <c:v>180.0</c:v>
                </c:pt>
                <c:pt idx="28">
                  <c:v>204.0</c:v>
                </c:pt>
                <c:pt idx="29">
                  <c:v>208.0</c:v>
                </c:pt>
                <c:pt idx="30">
                  <c:v>228.0</c:v>
                </c:pt>
                <c:pt idx="31">
                  <c:v>263.0</c:v>
                </c:pt>
              </c:numCache>
            </c:numRef>
          </c:cat>
          <c:val>
            <c:numRef>
              <c:f>ICL3_classA!$H$6:$H$37</c:f>
              <c:numCache>
                <c:formatCode>General</c:formatCode>
                <c:ptCount val="32"/>
                <c:pt idx="0">
                  <c:v>30.0</c:v>
                </c:pt>
                <c:pt idx="1">
                  <c:v>31.0</c:v>
                </c:pt>
                <c:pt idx="2">
                  <c:v>28.0</c:v>
                </c:pt>
                <c:pt idx="3">
                  <c:v>29.0</c:v>
                </c:pt>
                <c:pt idx="4">
                  <c:v>28.0</c:v>
                </c:pt>
                <c:pt idx="5">
                  <c:v>28.0</c:v>
                </c:pt>
                <c:pt idx="6">
                  <c:v>26.0</c:v>
                </c:pt>
                <c:pt idx="7">
                  <c:v>28.0</c:v>
                </c:pt>
                <c:pt idx="8">
                  <c:v>24.0</c:v>
                </c:pt>
                <c:pt idx="9">
                  <c:v>28.0</c:v>
                </c:pt>
                <c:pt idx="10">
                  <c:v>29.0</c:v>
                </c:pt>
                <c:pt idx="11">
                  <c:v>23.0</c:v>
                </c:pt>
                <c:pt idx="12">
                  <c:v>23.0</c:v>
                </c:pt>
                <c:pt idx="13">
                  <c:v>23.0</c:v>
                </c:pt>
                <c:pt idx="14">
                  <c:v>23.0</c:v>
                </c:pt>
                <c:pt idx="15">
                  <c:v>23.0</c:v>
                </c:pt>
                <c:pt idx="16">
                  <c:v>24.0</c:v>
                </c:pt>
                <c:pt idx="17">
                  <c:v>24.0</c:v>
                </c:pt>
                <c:pt idx="18">
                  <c:v>24.0</c:v>
                </c:pt>
                <c:pt idx="19">
                  <c:v>22.0</c:v>
                </c:pt>
                <c:pt idx="20">
                  <c:v>24.0</c:v>
                </c:pt>
                <c:pt idx="21">
                  <c:v>21.0</c:v>
                </c:pt>
                <c:pt idx="22">
                  <c:v>24.0</c:v>
                </c:pt>
                <c:pt idx="23">
                  <c:v>24.0</c:v>
                </c:pt>
                <c:pt idx="24">
                  <c:v>24.0</c:v>
                </c:pt>
                <c:pt idx="25">
                  <c:v>24.0</c:v>
                </c:pt>
                <c:pt idx="26">
                  <c:v>24.0</c:v>
                </c:pt>
                <c:pt idx="27">
                  <c:v>24.0</c:v>
                </c:pt>
                <c:pt idx="28">
                  <c:v>24.0</c:v>
                </c:pt>
                <c:pt idx="29">
                  <c:v>24.0</c:v>
                </c:pt>
                <c:pt idx="30">
                  <c:v>24.0</c:v>
                </c:pt>
                <c:pt idx="31">
                  <c:v>24.0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85052688"/>
        <c:axId val="-1685050816"/>
      </c:lineChart>
      <c:catAx>
        <c:axId val="-1685052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685050816"/>
        <c:crosses val="autoZero"/>
        <c:auto val="1"/>
        <c:lblAlgn val="ctr"/>
        <c:lblOffset val="100"/>
        <c:noMultiLvlLbl val="0"/>
      </c:catAx>
      <c:valAx>
        <c:axId val="-1685050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685052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5e (red)</a:t>
            </a:r>
            <a:r>
              <a:rPr lang="en-US" baseline="0"/>
              <a:t> and 6b (green) vs Length 5x50-6x50 (ICL3 length approximation)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51062353997517"/>
          <c:y val="0.0272407578440925"/>
          <c:w val="0.937382013432145"/>
          <c:h val="0.74139779034366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ICL3_classB!$F$6:$F$8</c:f>
              <c:numCache>
                <c:formatCode>General</c:formatCode>
                <c:ptCount val="3"/>
                <c:pt idx="0">
                  <c:v>50.0</c:v>
                </c:pt>
                <c:pt idx="1">
                  <c:v>50.0</c:v>
                </c:pt>
                <c:pt idx="2">
                  <c:v>50.0</c:v>
                </c:pt>
              </c:numCache>
            </c:numRef>
          </c:cat>
          <c:val>
            <c:numRef>
              <c:f>ICL3_classB!$G$6:$G$8</c:f>
              <c:numCache>
                <c:formatCode>General</c:formatCode>
                <c:ptCount val="3"/>
                <c:pt idx="0">
                  <c:v>71.0</c:v>
                </c:pt>
                <c:pt idx="1">
                  <c:v>71.0</c:v>
                </c:pt>
                <c:pt idx="2">
                  <c:v>71.0</c:v>
                </c:pt>
              </c:numCache>
            </c:numRef>
          </c:val>
          <c:smooth val="0"/>
        </c:ser>
        <c:ser>
          <c:idx val="3"/>
          <c:order val="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ICL3_classB!$F$6:$F$8</c:f>
              <c:numCache>
                <c:formatCode>General</c:formatCode>
                <c:ptCount val="3"/>
                <c:pt idx="0">
                  <c:v>50.0</c:v>
                </c:pt>
                <c:pt idx="1">
                  <c:v>50.0</c:v>
                </c:pt>
                <c:pt idx="2">
                  <c:v>50.0</c:v>
                </c:pt>
              </c:numCache>
            </c:numRef>
          </c:cat>
          <c:val>
            <c:numRef>
              <c:f>ICL3_classB!$H$6:$H$8</c:f>
              <c:numCache>
                <c:formatCode>General</c:formatCode>
                <c:ptCount val="3"/>
                <c:pt idx="0">
                  <c:v>28.0</c:v>
                </c:pt>
                <c:pt idx="1">
                  <c:v>28.0</c:v>
                </c:pt>
                <c:pt idx="2">
                  <c:v>30.0</c:v>
                </c:pt>
              </c:numCache>
            </c:numRef>
          </c:val>
          <c:smooth val="0"/>
        </c:ser>
        <c:ser>
          <c:idx val="1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ICL3_classB!$F$6:$F$8</c:f>
              <c:numCache>
                <c:formatCode>General</c:formatCode>
                <c:ptCount val="3"/>
                <c:pt idx="0">
                  <c:v>50.0</c:v>
                </c:pt>
                <c:pt idx="1">
                  <c:v>50.0</c:v>
                </c:pt>
                <c:pt idx="2">
                  <c:v>50.0</c:v>
                </c:pt>
              </c:numCache>
            </c:numRef>
          </c:cat>
          <c:val>
            <c:numRef>
              <c:f>ICL3_classB!$G$6:$G$8</c:f>
              <c:numCache>
                <c:formatCode>General</c:formatCode>
                <c:ptCount val="3"/>
                <c:pt idx="0">
                  <c:v>71.0</c:v>
                </c:pt>
                <c:pt idx="1">
                  <c:v>71.0</c:v>
                </c:pt>
                <c:pt idx="2">
                  <c:v>71.0</c:v>
                </c:pt>
              </c:numCache>
            </c:numRef>
          </c:val>
          <c:smooth val="0"/>
        </c:ser>
        <c:ser>
          <c:idx val="2"/>
          <c:order val="3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ICL3_classB!$F$6:$F$8</c:f>
              <c:numCache>
                <c:formatCode>General</c:formatCode>
                <c:ptCount val="3"/>
                <c:pt idx="0">
                  <c:v>50.0</c:v>
                </c:pt>
                <c:pt idx="1">
                  <c:v>50.0</c:v>
                </c:pt>
                <c:pt idx="2">
                  <c:v>50.0</c:v>
                </c:pt>
              </c:numCache>
            </c:numRef>
          </c:cat>
          <c:val>
            <c:numRef>
              <c:f>ICL3_classB!$H$6:$H$8</c:f>
              <c:numCache>
                <c:formatCode>General</c:formatCode>
                <c:ptCount val="3"/>
                <c:pt idx="0">
                  <c:v>28.0</c:v>
                </c:pt>
                <c:pt idx="1">
                  <c:v>28.0</c:v>
                </c:pt>
                <c:pt idx="2">
                  <c:v>30.0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790346336"/>
        <c:axId val="-1790343776"/>
      </c:lineChart>
      <c:catAx>
        <c:axId val="-1790346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90343776"/>
        <c:crosses val="autoZero"/>
        <c:auto val="1"/>
        <c:lblAlgn val="ctr"/>
        <c:lblOffset val="100"/>
        <c:noMultiLvlLbl val="0"/>
      </c:catAx>
      <c:valAx>
        <c:axId val="-1790343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90346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5e (red)</a:t>
            </a:r>
            <a:r>
              <a:rPr lang="en-US" baseline="0"/>
              <a:t> and 6b (green) vs Length 5x50-6x50 (ICL3 length approximation)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542950729414576"/>
          <c:y val="0.015495584352692"/>
          <c:w val="0.937382013432145"/>
          <c:h val="0.74139779034366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ICL3_classF!$F$6:$F$6</c:f>
              <c:numCache>
                <c:formatCode>General</c:formatCode>
                <c:ptCount val="1"/>
                <c:pt idx="0">
                  <c:v>57.0</c:v>
                </c:pt>
              </c:numCache>
            </c:numRef>
          </c:cat>
          <c:val>
            <c:numRef>
              <c:f>ICL3_classF!$G$6:$G$6</c:f>
              <c:numCache>
                <c:formatCode>General</c:formatCode>
                <c:ptCount val="1"/>
                <c:pt idx="0">
                  <c:v>72.0</c:v>
                </c:pt>
              </c:numCache>
            </c:numRef>
          </c:val>
          <c:smooth val="0"/>
        </c:ser>
        <c:ser>
          <c:idx val="3"/>
          <c:order val="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ICL3_classF!$F$6:$F$6</c:f>
              <c:numCache>
                <c:formatCode>General</c:formatCode>
                <c:ptCount val="1"/>
                <c:pt idx="0">
                  <c:v>57.0</c:v>
                </c:pt>
              </c:numCache>
            </c:numRef>
          </c:cat>
          <c:val>
            <c:numRef>
              <c:f>ICL3_classF!$H$6:$H$6</c:f>
              <c:numCache>
                <c:formatCode>General</c:formatCode>
                <c:ptCount val="1"/>
                <c:pt idx="0">
                  <c:v>24.0</c:v>
                </c:pt>
              </c:numCache>
            </c:numRef>
          </c:val>
          <c:smooth val="0"/>
        </c:ser>
        <c:ser>
          <c:idx val="1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ICL3_classF!$F$6:$F$6</c:f>
              <c:numCache>
                <c:formatCode>General</c:formatCode>
                <c:ptCount val="1"/>
                <c:pt idx="0">
                  <c:v>57.0</c:v>
                </c:pt>
              </c:numCache>
            </c:numRef>
          </c:cat>
          <c:val>
            <c:numRef>
              <c:f>ICL3_classF!$G$6:$G$6</c:f>
              <c:numCache>
                <c:formatCode>General</c:formatCode>
                <c:ptCount val="1"/>
                <c:pt idx="0">
                  <c:v>72.0</c:v>
                </c:pt>
              </c:numCache>
            </c:numRef>
          </c:val>
          <c:smooth val="0"/>
        </c:ser>
        <c:ser>
          <c:idx val="2"/>
          <c:order val="3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ICL3_classF!$F$6:$F$6</c:f>
              <c:numCache>
                <c:formatCode>General</c:formatCode>
                <c:ptCount val="1"/>
                <c:pt idx="0">
                  <c:v>57.0</c:v>
                </c:pt>
              </c:numCache>
            </c:numRef>
          </c:cat>
          <c:val>
            <c:numRef>
              <c:f>ICL3_classF!$H$6:$H$6</c:f>
              <c:numCache>
                <c:formatCode>General</c:formatCode>
                <c:ptCount val="1"/>
                <c:pt idx="0">
                  <c:v>24.0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790566224"/>
        <c:axId val="-1790564080"/>
      </c:lineChart>
      <c:catAx>
        <c:axId val="-1790566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90564080"/>
        <c:crosses val="autoZero"/>
        <c:auto val="1"/>
        <c:lblAlgn val="ctr"/>
        <c:lblOffset val="100"/>
        <c:noMultiLvlLbl val="0"/>
      </c:catAx>
      <c:valAx>
        <c:axId val="-1790564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90566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104863</xdr:colOff>
      <xdr:row>16</xdr:row>
      <xdr:rowOff>69227</xdr:rowOff>
    </xdr:from>
    <xdr:to>
      <xdr:col>24</xdr:col>
      <xdr:colOff>274744</xdr:colOff>
      <xdr:row>35</xdr:row>
      <xdr:rowOff>30582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138580</xdr:colOff>
      <xdr:row>1</xdr:row>
      <xdr:rowOff>13032</xdr:rowOff>
    </xdr:from>
    <xdr:to>
      <xdr:col>24</xdr:col>
      <xdr:colOff>308461</xdr:colOff>
      <xdr:row>8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104863</xdr:colOff>
      <xdr:row>5</xdr:row>
      <xdr:rowOff>0</xdr:rowOff>
    </xdr:from>
    <xdr:to>
      <xdr:col>24</xdr:col>
      <xdr:colOff>274744</xdr:colOff>
      <xdr:row>6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GPCRdb_alignment" connectionId="1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human_GPCR_fasta.fas" connectionId="2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xtal_templates_1" connectionId="3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Relationship Id="rId2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Relationship Id="rId2" Type="http://schemas.openxmlformats.org/officeDocument/2006/relationships/queryTable" Target="../queryTables/queryTable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MP399"/>
  <sheetViews>
    <sheetView tabSelected="1" zoomScale="110" zoomScaleNormal="110" zoomScalePageLayoutView="110" workbookViewId="0">
      <pane xSplit="3" ySplit="1" topLeftCell="D244" activePane="bottomRight" state="frozenSplit"/>
      <selection pane="topRight" activeCell="D1" sqref="D1"/>
      <selection pane="bottomLeft" activeCell="A2" sqref="A2"/>
      <selection pane="bottomRight" activeCell="D258" sqref="D258"/>
    </sheetView>
  </sheetViews>
  <sheetFormatPr baseColWidth="10" defaultColWidth="8.83203125" defaultRowHeight="16" x14ac:dyDescent="0.2"/>
  <cols>
    <col min="1" max="1" width="19.1640625" style="3" customWidth="1"/>
    <col min="2" max="2" width="12.83203125" style="3" bestFit="1" customWidth="1"/>
    <col min="3" max="3" width="9.33203125" style="3" bestFit="1" customWidth="1"/>
    <col min="4" max="4" width="2.83203125" style="3" bestFit="1" customWidth="1"/>
    <col min="5" max="5" width="4.33203125" style="3" bestFit="1" customWidth="1"/>
    <col min="6" max="6" width="2.5" style="3" bestFit="1" customWidth="1"/>
    <col min="7" max="7" width="5.33203125" style="3" bestFit="1" customWidth="1"/>
    <col min="8" max="8" width="2.83203125" style="3" bestFit="1" customWidth="1"/>
    <col min="9" max="9" width="4.1640625" style="3" bestFit="1" customWidth="1"/>
    <col min="10" max="10" width="2.5" style="3" bestFit="1" customWidth="1"/>
    <col min="11" max="11" width="4.1640625" style="3" bestFit="1" customWidth="1"/>
    <col min="12" max="12" width="2.5" style="3" bestFit="1" customWidth="1"/>
    <col min="13" max="13" width="4.33203125" style="3" bestFit="1" customWidth="1"/>
    <col min="14" max="14" width="2.83203125" style="3" bestFit="1" customWidth="1"/>
    <col min="15" max="15" width="4.33203125" style="3" bestFit="1" customWidth="1"/>
    <col min="16" max="16" width="2.83203125" style="3" bestFit="1" customWidth="1"/>
    <col min="17" max="17" width="4.33203125" style="3" customWidth="1"/>
    <col min="18" max="18" width="2.83203125" style="3" bestFit="1" customWidth="1"/>
    <col min="19" max="19" width="4.33203125" style="3" bestFit="1" customWidth="1"/>
    <col min="20" max="20" width="2.5" style="3" bestFit="1" customWidth="1"/>
    <col min="21" max="21" width="4.33203125" style="3" bestFit="1" customWidth="1"/>
    <col min="22" max="22" width="2.83203125" style="3" bestFit="1" customWidth="1"/>
    <col min="23" max="23" width="4.33203125" style="3" bestFit="1" customWidth="1"/>
    <col min="24" max="24" width="2.83203125" style="3" bestFit="1" customWidth="1"/>
    <col min="25" max="25" width="4.33203125" style="3" bestFit="1" customWidth="1"/>
    <col min="26" max="26" width="2.83203125" style="3" bestFit="1" customWidth="1"/>
    <col min="27" max="27" width="4.33203125" style="3" bestFit="1" customWidth="1"/>
    <col min="28" max="28" width="2.83203125" style="3" bestFit="1" customWidth="1"/>
    <col min="29" max="29" width="4.33203125" style="9" bestFit="1" customWidth="1"/>
    <col min="30" max="30" width="2.83203125" style="3" bestFit="1" customWidth="1"/>
    <col min="31" max="31" width="4.33203125" style="3" bestFit="1" customWidth="1"/>
    <col min="32" max="32" width="2.1640625" style="3" bestFit="1" customWidth="1"/>
    <col min="33" max="33" width="4.33203125" style="3" bestFit="1" customWidth="1"/>
    <col min="34" max="34" width="2.33203125" style="3" bestFit="1" customWidth="1"/>
    <col min="35" max="35" width="4.33203125" style="3" bestFit="1" customWidth="1"/>
    <col min="36" max="36" width="2.83203125" style="3" bestFit="1" customWidth="1"/>
    <col min="37" max="37" width="4.33203125" style="3" bestFit="1" customWidth="1"/>
    <col min="38" max="38" width="2.83203125" style="3" bestFit="1" customWidth="1"/>
    <col min="39" max="39" width="4.33203125" style="3" bestFit="1" customWidth="1"/>
    <col min="40" max="40" width="2.83203125" style="3" bestFit="1" customWidth="1"/>
    <col min="41" max="41" width="4.33203125" style="3" bestFit="1" customWidth="1"/>
    <col min="42" max="42" width="2.5" style="3" bestFit="1" customWidth="1"/>
    <col min="43" max="43" width="4.33203125" style="3" bestFit="1" customWidth="1"/>
    <col min="44" max="44" width="2.83203125" style="3" bestFit="1" customWidth="1"/>
    <col min="45" max="45" width="4.33203125" style="3" customWidth="1"/>
    <col min="46" max="46" width="2.83203125" style="3" bestFit="1" customWidth="1"/>
    <col min="47" max="47" width="4.33203125" style="3" bestFit="1" customWidth="1"/>
    <col min="48" max="48" width="2.33203125" style="3" bestFit="1" customWidth="1"/>
    <col min="49" max="49" width="4.33203125" style="3" bestFit="1" customWidth="1"/>
    <col min="50" max="50" width="2.83203125" style="3" bestFit="1" customWidth="1"/>
    <col min="51" max="51" width="4.33203125" style="3" bestFit="1" customWidth="1"/>
    <col min="52" max="52" width="3.1640625" style="78" bestFit="1" customWidth="1"/>
    <col min="53" max="53" width="3.1640625" style="93" customWidth="1"/>
    <col min="54" max="54" width="6.6640625" style="74" customWidth="1"/>
    <col min="55" max="55" width="5" style="3" bestFit="1" customWidth="1"/>
    <col min="56" max="56" width="8.1640625" style="74" bestFit="1" customWidth="1"/>
    <col min="57" max="57" width="5.6640625" style="3" customWidth="1"/>
    <col min="58" max="58" width="5.6640625" style="119" customWidth="1"/>
    <col min="59" max="60" width="5.6640625" style="49" customWidth="1"/>
    <col min="61" max="61" width="8.5" style="3" customWidth="1"/>
    <col min="62" max="62" width="3.1640625" style="75" bestFit="1" customWidth="1"/>
    <col min="63" max="63" width="3.6640625" style="57" bestFit="1" customWidth="1"/>
    <col min="64" max="64" width="3.1640625" style="57" bestFit="1" customWidth="1"/>
    <col min="65" max="65" width="4.1640625" style="57" bestFit="1" customWidth="1"/>
    <col min="66" max="66" width="3.1640625" style="57" bestFit="1" customWidth="1"/>
    <col min="67" max="67" width="3.6640625" style="57" bestFit="1" customWidth="1"/>
    <col min="68" max="68" width="3.1640625" style="57" bestFit="1" customWidth="1"/>
    <col min="69" max="69" width="4.1640625" style="57" bestFit="1" customWidth="1"/>
    <col min="70" max="72" width="3.1640625" style="57" bestFit="1" customWidth="1"/>
    <col min="73" max="73" width="3.1640625" style="72" bestFit="1" customWidth="1"/>
    <col min="74" max="74" width="4.1640625" style="75" bestFit="1" customWidth="1"/>
    <col min="75" max="85" width="4.1640625" style="72" bestFit="1" customWidth="1"/>
    <col min="86" max="86" width="4.1640625" style="75" bestFit="1" customWidth="1"/>
    <col min="87" max="97" width="4.1640625" style="72" bestFit="1" customWidth="1"/>
    <col min="98" max="98" width="8.1640625" style="3" bestFit="1" customWidth="1"/>
    <col min="99" max="1029" width="8.83203125" style="3"/>
    <col min="1030" max="16384" width="8.83203125" style="1"/>
  </cols>
  <sheetData>
    <row r="1" spans="1:1029" s="61" customFormat="1" ht="16" customHeight="1" x14ac:dyDescent="0.2">
      <c r="A1" s="61" t="s">
        <v>1077</v>
      </c>
      <c r="B1" s="61" t="s">
        <v>31</v>
      </c>
      <c r="C1" s="61" t="s">
        <v>30</v>
      </c>
      <c r="E1" s="61" t="s">
        <v>1061</v>
      </c>
      <c r="G1" s="61" t="s">
        <v>1062</v>
      </c>
      <c r="I1" s="62" t="s">
        <v>1078</v>
      </c>
      <c r="K1" s="62" t="s">
        <v>1079</v>
      </c>
      <c r="M1" s="61" t="s">
        <v>1063</v>
      </c>
      <c r="O1" s="61" t="s">
        <v>1064</v>
      </c>
      <c r="Q1" s="61" t="s">
        <v>1080</v>
      </c>
      <c r="S1" s="61" t="s">
        <v>1081</v>
      </c>
      <c r="U1" s="61" t="s">
        <v>1065</v>
      </c>
      <c r="W1" s="61" t="s">
        <v>1066</v>
      </c>
      <c r="Y1" s="61" t="s">
        <v>1093</v>
      </c>
      <c r="AA1" s="61" t="s">
        <v>1094</v>
      </c>
      <c r="AC1" s="104" t="s">
        <v>1067</v>
      </c>
      <c r="AE1" s="61" t="s">
        <v>1068</v>
      </c>
      <c r="AG1" s="61" t="s">
        <v>1096</v>
      </c>
      <c r="AI1" s="61" t="s">
        <v>1097</v>
      </c>
      <c r="AK1" s="61" t="s">
        <v>1069</v>
      </c>
      <c r="AM1" s="61" t="s">
        <v>1070</v>
      </c>
      <c r="AO1" s="61" t="s">
        <v>1071</v>
      </c>
      <c r="AQ1" s="61" t="s">
        <v>1072</v>
      </c>
      <c r="AS1" s="61" t="s">
        <v>1073</v>
      </c>
      <c r="AU1" s="61" t="s">
        <v>1074</v>
      </c>
      <c r="AW1" s="61" t="s">
        <v>1075</v>
      </c>
      <c r="AY1" s="61" t="s">
        <v>1076</v>
      </c>
      <c r="AZ1" s="63" t="s">
        <v>99</v>
      </c>
      <c r="BA1" s="64" t="s">
        <v>1387</v>
      </c>
      <c r="BB1" s="64" t="s">
        <v>1203</v>
      </c>
      <c r="BC1" s="61" t="s">
        <v>1168</v>
      </c>
      <c r="BD1" s="64" t="s">
        <v>1100</v>
      </c>
      <c r="BE1" s="61" t="s">
        <v>1380</v>
      </c>
      <c r="BF1" s="118" t="s">
        <v>1437</v>
      </c>
      <c r="BG1" s="76" t="s">
        <v>1388</v>
      </c>
      <c r="BH1" s="76" t="s">
        <v>1389</v>
      </c>
      <c r="BI1" s="61" t="s">
        <v>1108</v>
      </c>
      <c r="BJ1" s="65" t="s">
        <v>1061</v>
      </c>
      <c r="BK1" s="66" t="s">
        <v>1078</v>
      </c>
      <c r="BL1" s="67" t="s">
        <v>1063</v>
      </c>
      <c r="BM1" s="67" t="s">
        <v>1080</v>
      </c>
      <c r="BN1" s="67" t="s">
        <v>1065</v>
      </c>
      <c r="BO1" s="67" t="s">
        <v>1093</v>
      </c>
      <c r="BP1" s="67" t="s">
        <v>1067</v>
      </c>
      <c r="BQ1" s="67" t="s">
        <v>1096</v>
      </c>
      <c r="BR1" s="67" t="s">
        <v>1069</v>
      </c>
      <c r="BS1" s="67" t="s">
        <v>1071</v>
      </c>
      <c r="BT1" s="67" t="s">
        <v>1073</v>
      </c>
      <c r="BU1" s="68" t="s">
        <v>1075</v>
      </c>
      <c r="BV1" s="65" t="s">
        <v>1061</v>
      </c>
      <c r="BW1" s="69" t="s">
        <v>1078</v>
      </c>
      <c r="BX1" s="68" t="s">
        <v>1063</v>
      </c>
      <c r="BY1" s="68" t="s">
        <v>1080</v>
      </c>
      <c r="BZ1" s="68" t="s">
        <v>1065</v>
      </c>
      <c r="CA1" s="68" t="s">
        <v>1093</v>
      </c>
      <c r="CB1" s="68" t="s">
        <v>1067</v>
      </c>
      <c r="CC1" s="68" t="s">
        <v>1096</v>
      </c>
      <c r="CD1" s="68" t="s">
        <v>1069</v>
      </c>
      <c r="CE1" s="68" t="s">
        <v>1071</v>
      </c>
      <c r="CF1" s="68" t="s">
        <v>1073</v>
      </c>
      <c r="CG1" s="68" t="s">
        <v>1075</v>
      </c>
      <c r="CH1" s="65" t="s">
        <v>1062</v>
      </c>
      <c r="CI1" s="69" t="s">
        <v>1079</v>
      </c>
      <c r="CJ1" s="68" t="s">
        <v>1064</v>
      </c>
      <c r="CK1" s="68" t="s">
        <v>1081</v>
      </c>
      <c r="CL1" s="68" t="s">
        <v>1066</v>
      </c>
      <c r="CM1" s="68" t="s">
        <v>1094</v>
      </c>
      <c r="CN1" s="68" t="s">
        <v>1068</v>
      </c>
      <c r="CO1" s="68" t="s">
        <v>1097</v>
      </c>
      <c r="CP1" s="68" t="s">
        <v>1070</v>
      </c>
      <c r="CQ1" s="68" t="s">
        <v>1072</v>
      </c>
      <c r="CR1" s="68" t="s">
        <v>1074</v>
      </c>
      <c r="CS1" s="68" t="s">
        <v>1076</v>
      </c>
      <c r="CT1" s="61" t="s">
        <v>1294</v>
      </c>
    </row>
    <row r="2" spans="1:1029" x14ac:dyDescent="0.2">
      <c r="A2" s="3" t="str">
        <f t="shared" ref="A2:A66" si="0">CONCATENATE(B2,"_",C2)</f>
        <v>5ht1b_human__wt</v>
      </c>
      <c r="B2" s="3" t="s">
        <v>34</v>
      </c>
      <c r="C2" s="3" t="s">
        <v>100</v>
      </c>
      <c r="D2" s="3" t="str">
        <f>IFERROR(MID(VLOOKUP($B2,Seqs!$A:$B,2,0),E2,1),"")</f>
        <v>S</v>
      </c>
      <c r="E2" s="105">
        <v>45</v>
      </c>
      <c r="F2" s="3" t="str">
        <f>IFERROR(MID(VLOOKUP($B2,Seqs!$A:$B,2,0),G2,1),"")</f>
        <v>T</v>
      </c>
      <c r="G2" s="3">
        <v>77</v>
      </c>
      <c r="H2" s="3" t="str">
        <f>IFERROR(MID(VLOOKUP($B2,Seqs!$A:$B,2,0),I2,1),"")</f>
        <v>R</v>
      </c>
      <c r="I2" s="23">
        <v>78</v>
      </c>
      <c r="J2" s="3" t="str">
        <f>IFERROR(MID(VLOOKUP($B2,Seqs!$A:$B,2,0),K2,1),"")</f>
        <v>H</v>
      </c>
      <c r="K2" s="23">
        <v>81</v>
      </c>
      <c r="L2" s="3" t="str">
        <f>IFERROR(MID(VLOOKUP($B2,Seqs!$A:$B,2,0),M2,1),"")</f>
        <v>T</v>
      </c>
      <c r="M2" s="3">
        <v>82</v>
      </c>
      <c r="N2" s="3" t="str">
        <f>IFERROR(MID(VLOOKUP($B2,Seqs!$A:$B,2,0),O2,1),"")</f>
        <v>G</v>
      </c>
      <c r="O2" s="3">
        <v>113</v>
      </c>
      <c r="P2" s="3" t="str">
        <f>IFERROR(MID(VLOOKUP($B2,Seqs!$A:$B,2,0),Q2,1),"")</f>
        <v>R</v>
      </c>
      <c r="Q2" s="3">
        <v>114</v>
      </c>
      <c r="R2" s="3" t="str">
        <f>IFERROR(MID(VLOOKUP($B2,Seqs!$A:$B,2,0),S2,1),"")</f>
        <v>L</v>
      </c>
      <c r="S2" s="3">
        <v>117</v>
      </c>
      <c r="T2" s="3" t="str">
        <f>IFERROR(MID(VLOOKUP($B2,Seqs!$A:$B,2,0),U2,1),"")</f>
        <v>G</v>
      </c>
      <c r="U2" s="3">
        <v>118</v>
      </c>
      <c r="V2" s="3" t="str">
        <f>IFERROR(MID(VLOOKUP($B2,Seqs!$A:$B,2,0),W2,1),"")</f>
        <v>D</v>
      </c>
      <c r="W2" s="3">
        <v>153</v>
      </c>
      <c r="X2" s="3" t="str">
        <f>IFERROR(MID(VLOOKUP($B2,Seqs!$A:$B,2,0),Y2,1),"")</f>
        <v>A</v>
      </c>
      <c r="Y2" s="3">
        <v>154</v>
      </c>
      <c r="Z2" s="3" t="str">
        <f>IFERROR(MID(VLOOKUP($B2,Seqs!$A:$B,2,0),AA2,1),"")</f>
        <v>R</v>
      </c>
      <c r="AA2" s="3">
        <v>161</v>
      </c>
      <c r="AB2" s="3" t="str">
        <f>IFERROR(MID(VLOOKUP($B2,Seqs!$A:$B,2,0),AC2,1),"")</f>
        <v>T</v>
      </c>
      <c r="AC2" s="9">
        <v>162</v>
      </c>
      <c r="AD2" s="3" t="str">
        <f>IFERROR(MID(VLOOKUP($B2,Seqs!$A:$B,2,0),AE2,1),"")</f>
        <v>W</v>
      </c>
      <c r="AE2" s="3">
        <v>187</v>
      </c>
      <c r="AF2" s="3" t="str">
        <f>IFERROR(MID(VLOOKUP($B2,Seqs!$A:$B,2,0),AG2,1),"")</f>
        <v>C</v>
      </c>
      <c r="AG2" s="3">
        <v>199</v>
      </c>
      <c r="AH2" s="3" t="str">
        <f>IFERROR(MID(VLOOKUP($B2,Seqs!$A:$B,2,0),AI2,1),"")</f>
        <v>V</v>
      </c>
      <c r="AI2" s="3">
        <v>201</v>
      </c>
      <c r="AJ2" s="3" t="str">
        <f>IFERROR(MID(VLOOKUP($B2,Seqs!$A:$B,2,0),AK2,1),"")</f>
        <v>H</v>
      </c>
      <c r="AK2" s="3">
        <v>205</v>
      </c>
      <c r="AL2" s="3" t="str">
        <f>IFERROR(MID(VLOOKUP($B2,Seqs!$A:$B,2,0),AM2,1),"")</f>
        <v>P</v>
      </c>
      <c r="AM2" s="3">
        <v>244</v>
      </c>
      <c r="AN2" s="3" t="str">
        <f>IFERROR(MID(VLOOKUP($B2,Seqs!$A:$B,2,0),AO2,1),"")</f>
        <v>K</v>
      </c>
      <c r="AO2" s="3">
        <v>303</v>
      </c>
      <c r="AP2" s="3" t="str">
        <f>IFERROR(MID(VLOOKUP($B2,Seqs!$A:$B,2,0),AQ2,1),"")</f>
        <v>I</v>
      </c>
      <c r="AQ2" s="3">
        <v>339</v>
      </c>
      <c r="AR2" s="3" t="str">
        <f>IFERROR(MID(VLOOKUP($B2,Seqs!$A:$B,2,0),AS2,1),"")</f>
        <v>H</v>
      </c>
      <c r="AS2" s="3">
        <v>347</v>
      </c>
      <c r="AT2" s="3" t="str">
        <f>IFERROR(MID(VLOOKUP($B2,Seqs!$A:$B,2,0),AU2,1),"")</f>
        <v>S</v>
      </c>
      <c r="AU2" s="3">
        <v>372</v>
      </c>
      <c r="AV2" s="3" t="str">
        <f>IFERROR(MID(VLOOKUP($B2,Seqs!$A:$B,2,0),AW2,1),"")</f>
        <v>N</v>
      </c>
      <c r="AW2" s="3">
        <v>373</v>
      </c>
      <c r="AX2" s="3" t="str">
        <f>IFERROR(MID(VLOOKUP($B2,Seqs!$A:$B,2,0),AY2,1),"")</f>
        <v>I</v>
      </c>
      <c r="AY2" s="3">
        <v>384</v>
      </c>
      <c r="AZ2" s="77" t="str">
        <f>VLOOKUP(B2,Classification!A:D,2,0)</f>
        <v>A</v>
      </c>
      <c r="BA2" s="94" t="str">
        <f>VLOOKUP(B2,Classification!A:D,4,0)</f>
        <v>5-Hydroxytryptamine</v>
      </c>
      <c r="BB2" s="27" t="b">
        <f t="shared" ref="BB2:BB66" si="1">AND(E2&lt;G2,OR(G2&lt;I2,I2="-"),OR(I2&lt;K2,I2="-"),OR(K2&lt;M2,K2="-"),M2&lt;O2,OR(O2&lt;Q2,Q2="-"),OR(Q2&lt;S2,Q2="-"),OR(S2&lt;U2,S2="-"),U2&lt;W2,OR(W2&lt;Y2,Y2="-"),OR(Y2&lt;AA2,Y2="-"),OR(AA2&lt;AC2,AA2="-"),AC2&lt;AE2,OR(AE2&lt;AG2,AG2="-"),OR(AG2&lt;AI2,AG2="-"),OR(AI2&lt;AK2,AI2="-"),AK2&lt;AM2,AM2&lt;AO2,AO2&lt;AQ2,AQ2&lt;AS2,AS2&lt;AU2,OR(AU2&lt;AW2,AW2="-"),OR(AW2&lt;AY2,AW2="-"))</f>
        <v>1</v>
      </c>
      <c r="BC2" s="23">
        <f t="shared" ref="BC2:BC10" si="2">_xlfn.AGGREGATE(9,6,CH2:CS2)-_xlfn.AGGREGATE(9,6,BV2:CG2)+12</f>
        <v>261</v>
      </c>
      <c r="BD2" s="34" t="s">
        <v>1379</v>
      </c>
      <c r="BE2" s="3" t="s">
        <v>23</v>
      </c>
      <c r="BF2" s="119" t="s">
        <v>23</v>
      </c>
      <c r="BG2" s="49" t="s">
        <v>1379</v>
      </c>
      <c r="BH2" s="49" t="s">
        <v>1384</v>
      </c>
      <c r="BI2" s="1"/>
      <c r="BJ2" s="70" t="s">
        <v>1293</v>
      </c>
      <c r="BK2" s="57" t="s">
        <v>1293</v>
      </c>
      <c r="BL2" s="57" t="s">
        <v>1293</v>
      </c>
      <c r="BM2" s="57" t="s">
        <v>1293</v>
      </c>
      <c r="BN2" s="57" t="s">
        <v>1293</v>
      </c>
      <c r="BO2" s="57" t="s">
        <v>1293</v>
      </c>
      <c r="BP2" s="57" t="s">
        <v>1293</v>
      </c>
      <c r="BQ2" s="57" t="s">
        <v>1293</v>
      </c>
      <c r="BR2" s="57" t="s">
        <v>1293</v>
      </c>
      <c r="BS2" s="57" t="s">
        <v>1293</v>
      </c>
      <c r="BT2" s="57" t="s">
        <v>1293</v>
      </c>
      <c r="BU2" s="57" t="s">
        <v>1293</v>
      </c>
      <c r="BV2" s="70">
        <f t="shared" ref="BV2:BV34" si="3">E2</f>
        <v>45</v>
      </c>
      <c r="BW2" s="71">
        <f t="shared" ref="BW2:BW34" si="4">I2</f>
        <v>78</v>
      </c>
      <c r="BX2" s="72">
        <f t="shared" ref="BX2:BX34" si="5">M2</f>
        <v>82</v>
      </c>
      <c r="BY2" s="71">
        <f t="shared" ref="BY2:BY34" si="6">Q2</f>
        <v>114</v>
      </c>
      <c r="BZ2" s="72">
        <f t="shared" ref="BZ2:BZ34" si="7">U2</f>
        <v>118</v>
      </c>
      <c r="CA2" s="71">
        <f t="shared" ref="CA2:CA34" si="8">Y2</f>
        <v>154</v>
      </c>
      <c r="CB2" s="72">
        <f t="shared" ref="CB2:CB34" si="9">AC2</f>
        <v>162</v>
      </c>
      <c r="CC2" s="71">
        <f t="shared" ref="CC2:CC34" si="10">AG2</f>
        <v>199</v>
      </c>
      <c r="CD2" s="72">
        <f t="shared" ref="CD2:CD34" si="11">AK2</f>
        <v>205</v>
      </c>
      <c r="CE2" s="71">
        <f t="shared" ref="CE2:CE34" si="12">AO2</f>
        <v>303</v>
      </c>
      <c r="CF2" s="72">
        <f t="shared" ref="CF2:CF34" si="13">AS2</f>
        <v>347</v>
      </c>
      <c r="CG2" s="71">
        <f t="shared" ref="CG2:CG34" si="14">AW2</f>
        <v>373</v>
      </c>
      <c r="CH2" s="70">
        <f t="shared" ref="CH2:CH34" si="15">G2</f>
        <v>77</v>
      </c>
      <c r="CI2" s="71">
        <f t="shared" ref="CI2:CI34" si="16">K2</f>
        <v>81</v>
      </c>
      <c r="CJ2" s="72">
        <f t="shared" ref="CJ2:CJ34" si="17">O2</f>
        <v>113</v>
      </c>
      <c r="CK2" s="72">
        <f t="shared" ref="CK2:CK34" si="18">S2</f>
        <v>117</v>
      </c>
      <c r="CL2" s="72">
        <f t="shared" ref="CL2:CL34" si="19">W2</f>
        <v>153</v>
      </c>
      <c r="CM2" s="72">
        <f t="shared" ref="CM2:CM34" si="20">AA2</f>
        <v>161</v>
      </c>
      <c r="CN2" s="72">
        <f t="shared" ref="CN2:CN34" si="21">AE2</f>
        <v>187</v>
      </c>
      <c r="CO2" s="72">
        <f t="shared" ref="CO2:CO34" si="22">AI2</f>
        <v>201</v>
      </c>
      <c r="CP2" s="72">
        <f t="shared" ref="CP2:CP34" si="23">AM2</f>
        <v>244</v>
      </c>
      <c r="CQ2" s="72">
        <f t="shared" ref="CQ2:CQ34" si="24">AQ2</f>
        <v>339</v>
      </c>
      <c r="CR2" s="72">
        <f t="shared" ref="CR2:CR34" si="25">AU2</f>
        <v>372</v>
      </c>
      <c r="CS2" s="72">
        <f t="shared" ref="CS2:CS34" si="26">AY2</f>
        <v>384</v>
      </c>
      <c r="CT2" s="23">
        <f t="shared" ref="CT2:CT34" si="27">M2-K2</f>
        <v>1</v>
      </c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/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  <c r="AMK2" s="1"/>
      <c r="AML2" s="1"/>
      <c r="AMM2" s="1"/>
      <c r="AMN2" s="1"/>
      <c r="AMO2" s="1"/>
    </row>
    <row r="3" spans="1:1029" x14ac:dyDescent="0.2">
      <c r="A3" s="3" t="str">
        <f t="shared" si="0"/>
        <v>5ht1b_human_4IAQ</v>
      </c>
      <c r="B3" s="3" t="s">
        <v>34</v>
      </c>
      <c r="C3" s="3" t="s">
        <v>1043</v>
      </c>
      <c r="D3" s="3" t="str">
        <f>IFERROR(MID(VLOOKUP($B3,Seqs!$A:$B,2,0),E3,1),"")</f>
        <v>S</v>
      </c>
      <c r="E3" s="3">
        <v>45</v>
      </c>
      <c r="F3" s="3" t="str">
        <f>IFERROR(MID(VLOOKUP($B3,Seqs!$A:$B,2,0),G3,1),"")</f>
        <v>T</v>
      </c>
      <c r="G3" s="3">
        <v>77</v>
      </c>
      <c r="H3" s="3" t="str">
        <f>IFERROR(MID(VLOOKUP($B3,Seqs!$A:$B,2,0),I3,1),"")</f>
        <v>R</v>
      </c>
      <c r="I3" s="23">
        <v>78</v>
      </c>
      <c r="J3" s="3" t="str">
        <f>IFERROR(MID(VLOOKUP($B3,Seqs!$A:$B,2,0),K3,1),"")</f>
        <v>H</v>
      </c>
      <c r="K3" s="23">
        <v>81</v>
      </c>
      <c r="L3" s="3" t="str">
        <f>IFERROR(MID(VLOOKUP($B3,Seqs!$A:$B,2,0),M3,1),"")</f>
        <v>T</v>
      </c>
      <c r="M3" s="3">
        <v>82</v>
      </c>
      <c r="N3" s="3" t="str">
        <f>IFERROR(MID(VLOOKUP($B3,Seqs!$A:$B,2,0),O3,1),"")</f>
        <v>G</v>
      </c>
      <c r="O3" s="3">
        <v>113</v>
      </c>
      <c r="P3" s="3" t="str">
        <f>IFERROR(MID(VLOOKUP($B3,Seqs!$A:$B,2,0),Q3,1),"")</f>
        <v>R</v>
      </c>
      <c r="Q3" s="3">
        <v>114</v>
      </c>
      <c r="R3" s="3" t="str">
        <f>IFERROR(MID(VLOOKUP($B3,Seqs!$A:$B,2,0),S3,1),"")</f>
        <v>L</v>
      </c>
      <c r="S3" s="3">
        <v>117</v>
      </c>
      <c r="T3" s="3" t="str">
        <f>IFERROR(MID(VLOOKUP($B3,Seqs!$A:$B,2,0),U3,1),"")</f>
        <v>G</v>
      </c>
      <c r="U3" s="3">
        <v>118</v>
      </c>
      <c r="V3" s="3" t="str">
        <f>IFERROR(MID(VLOOKUP($B3,Seqs!$A:$B,2,0),W3,1),"")</f>
        <v>D</v>
      </c>
      <c r="W3" s="3">
        <v>153</v>
      </c>
      <c r="X3" s="3" t="str">
        <f>IFERROR(MID(VLOOKUP($B3,Seqs!$A:$B,2,0),Y3,1),"")</f>
        <v>A</v>
      </c>
      <c r="Y3" s="3">
        <v>154</v>
      </c>
      <c r="Z3" s="3" t="str">
        <f>IFERROR(MID(VLOOKUP($B3,Seqs!$A:$B,2,0),AA3,1),"")</f>
        <v>R</v>
      </c>
      <c r="AA3" s="3">
        <v>161</v>
      </c>
      <c r="AB3" s="3" t="str">
        <f>IFERROR(MID(VLOOKUP($B3,Seqs!$A:$B,2,0),AC3,1),"")</f>
        <v>T</v>
      </c>
      <c r="AC3" s="9">
        <v>162</v>
      </c>
      <c r="AD3" s="3" t="str">
        <f>IFERROR(MID(VLOOKUP($B3,Seqs!$A:$B,2,0),AE3,1),"")</f>
        <v>P</v>
      </c>
      <c r="AE3" s="3">
        <v>184</v>
      </c>
      <c r="AF3" s="3" t="str">
        <f>IFERROR(MID(VLOOKUP($B3,Seqs!$A:$B,2,0),AG3,1),"")</f>
        <v>C</v>
      </c>
      <c r="AG3" s="3">
        <v>199</v>
      </c>
      <c r="AH3" s="3" t="str">
        <f>IFERROR(MID(VLOOKUP($B3,Seqs!$A:$B,2,0),AI3,1),"")</f>
        <v>V</v>
      </c>
      <c r="AI3" s="3">
        <v>201</v>
      </c>
      <c r="AJ3" s="3" t="str">
        <f>IFERROR(MID(VLOOKUP($B3,Seqs!$A:$B,2,0),AK3,1),"")</f>
        <v>H</v>
      </c>
      <c r="AK3" s="3">
        <v>205</v>
      </c>
      <c r="AL3" s="3" t="str">
        <f>IFERROR(MID(VLOOKUP($B3,Seqs!$A:$B,2,0),AM3,1),"")</f>
        <v>R</v>
      </c>
      <c r="AM3" s="3">
        <v>238</v>
      </c>
      <c r="AN3" s="3" t="str">
        <f>IFERROR(MID(VLOOKUP($B3,Seqs!$A:$B,2,0),AO3,1),"")</f>
        <v>L</v>
      </c>
      <c r="AO3" s="3">
        <v>304</v>
      </c>
      <c r="AP3" s="3" t="str">
        <f>IFERROR(MID(VLOOKUP($B3,Seqs!$A:$B,2,0),AQ3,1),"")</f>
        <v>I</v>
      </c>
      <c r="AQ3" s="3">
        <v>339</v>
      </c>
      <c r="AR3" s="3" t="str">
        <f>IFERROR(MID(VLOOKUP($B3,Seqs!$A:$B,2,0),AS3,1),"")</f>
        <v>H</v>
      </c>
      <c r="AS3" s="3">
        <v>347</v>
      </c>
      <c r="AT3" s="3" t="str">
        <f>IFERROR(MID(VLOOKUP($B3,Seqs!$A:$B,2,0),AU3,1),"")</f>
        <v>S</v>
      </c>
      <c r="AU3" s="3">
        <v>372</v>
      </c>
      <c r="AV3" s="3" t="str">
        <f>IFERROR(MID(VLOOKUP($B3,Seqs!$A:$B,2,0),AW3,1),"")</f>
        <v>N</v>
      </c>
      <c r="AW3" s="3">
        <v>373</v>
      </c>
      <c r="AX3" s="3" t="str">
        <f>IFERROR(MID(VLOOKUP($B3,Seqs!$A:$B,2,0),AY3,1),"")</f>
        <v>I</v>
      </c>
      <c r="AY3" s="3">
        <v>384</v>
      </c>
      <c r="AZ3" s="77" t="str">
        <f>VLOOKUP(B3,Classification!A:D,2,0)</f>
        <v>A</v>
      </c>
      <c r="BA3" s="94" t="str">
        <f>VLOOKUP(B3,Classification!A:D,4,0)</f>
        <v>5-Hydroxytryptamine</v>
      </c>
      <c r="BB3" s="27" t="b">
        <f t="shared" si="1"/>
        <v>1</v>
      </c>
      <c r="BC3" s="23">
        <f t="shared" si="2"/>
        <v>251</v>
      </c>
      <c r="BD3" s="16" t="s">
        <v>1440</v>
      </c>
      <c r="BE3" s="3" t="s">
        <v>1439</v>
      </c>
      <c r="BF3" s="119">
        <v>2.8</v>
      </c>
      <c r="BG3" s="49" t="s">
        <v>1384</v>
      </c>
      <c r="BH3" s="49" t="s">
        <v>1384</v>
      </c>
      <c r="BI3" s="1"/>
      <c r="BJ3" s="70" t="s">
        <v>1293</v>
      </c>
      <c r="BK3" s="57" t="s">
        <v>1293</v>
      </c>
      <c r="BL3" s="57" t="s">
        <v>1293</v>
      </c>
      <c r="BM3" s="57" t="s">
        <v>1293</v>
      </c>
      <c r="BN3" s="57" t="s">
        <v>1293</v>
      </c>
      <c r="BO3" s="57" t="s">
        <v>1293</v>
      </c>
      <c r="BP3" s="57" t="s">
        <v>1293</v>
      </c>
      <c r="BQ3" s="57" t="s">
        <v>1293</v>
      </c>
      <c r="BR3" s="57" t="s">
        <v>1293</v>
      </c>
      <c r="BS3" s="57" t="s">
        <v>1293</v>
      </c>
      <c r="BT3" s="57" t="s">
        <v>1293</v>
      </c>
      <c r="BU3" s="57" t="s">
        <v>1293</v>
      </c>
      <c r="BV3" s="70">
        <f t="shared" si="3"/>
        <v>45</v>
      </c>
      <c r="BW3" s="71">
        <f t="shared" si="4"/>
        <v>78</v>
      </c>
      <c r="BX3" s="72">
        <f t="shared" si="5"/>
        <v>82</v>
      </c>
      <c r="BY3" s="71">
        <f t="shared" si="6"/>
        <v>114</v>
      </c>
      <c r="BZ3" s="72">
        <f t="shared" si="7"/>
        <v>118</v>
      </c>
      <c r="CA3" s="71">
        <f t="shared" si="8"/>
        <v>154</v>
      </c>
      <c r="CB3" s="72">
        <f t="shared" si="9"/>
        <v>162</v>
      </c>
      <c r="CC3" s="71">
        <f t="shared" si="10"/>
        <v>199</v>
      </c>
      <c r="CD3" s="72">
        <f t="shared" si="11"/>
        <v>205</v>
      </c>
      <c r="CE3" s="71">
        <f t="shared" si="12"/>
        <v>304</v>
      </c>
      <c r="CF3" s="72">
        <f t="shared" si="13"/>
        <v>347</v>
      </c>
      <c r="CG3" s="71">
        <f t="shared" si="14"/>
        <v>373</v>
      </c>
      <c r="CH3" s="70">
        <f t="shared" si="15"/>
        <v>77</v>
      </c>
      <c r="CI3" s="71">
        <f t="shared" si="16"/>
        <v>81</v>
      </c>
      <c r="CJ3" s="72">
        <f t="shared" si="17"/>
        <v>113</v>
      </c>
      <c r="CK3" s="72">
        <f t="shared" si="18"/>
        <v>117</v>
      </c>
      <c r="CL3" s="72">
        <f t="shared" si="19"/>
        <v>153</v>
      </c>
      <c r="CM3" s="72">
        <f t="shared" si="20"/>
        <v>161</v>
      </c>
      <c r="CN3" s="72">
        <f t="shared" si="21"/>
        <v>184</v>
      </c>
      <c r="CO3" s="72">
        <f t="shared" si="22"/>
        <v>201</v>
      </c>
      <c r="CP3" s="72">
        <f t="shared" si="23"/>
        <v>238</v>
      </c>
      <c r="CQ3" s="72">
        <f t="shared" si="24"/>
        <v>339</v>
      </c>
      <c r="CR3" s="72">
        <f t="shared" si="25"/>
        <v>372</v>
      </c>
      <c r="CS3" s="72">
        <f t="shared" si="26"/>
        <v>384</v>
      </c>
      <c r="CT3" s="23">
        <f t="shared" si="27"/>
        <v>1</v>
      </c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/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/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  <c r="AMK3" s="1"/>
      <c r="AML3" s="1"/>
      <c r="AMM3" s="1"/>
      <c r="AMN3" s="1"/>
      <c r="AMO3" s="1"/>
    </row>
    <row r="4" spans="1:1029" x14ac:dyDescent="0.2">
      <c r="A4" s="3" t="str">
        <f t="shared" si="0"/>
        <v>5ht1b_human_4IAR</v>
      </c>
      <c r="B4" s="3" t="s">
        <v>34</v>
      </c>
      <c r="C4" s="3" t="s">
        <v>60</v>
      </c>
      <c r="D4" s="3" t="str">
        <f>IFERROR(MID(VLOOKUP($B4,Seqs!$A:$B,2,0),E4,1),"")</f>
        <v>S</v>
      </c>
      <c r="E4" s="3">
        <v>45</v>
      </c>
      <c r="F4" s="3" t="str">
        <f>IFERROR(MID(VLOOKUP($B4,Seqs!$A:$B,2,0),G4,1),"")</f>
        <v>T</v>
      </c>
      <c r="G4" s="3">
        <v>77</v>
      </c>
      <c r="H4" s="3" t="str">
        <f>IFERROR(MID(VLOOKUP($B4,Seqs!$A:$B,2,0),I4,1),"")</f>
        <v>R</v>
      </c>
      <c r="I4" s="23">
        <v>78</v>
      </c>
      <c r="J4" s="3" t="str">
        <f>IFERROR(MID(VLOOKUP($B4,Seqs!$A:$B,2,0),K4,1),"")</f>
        <v>H</v>
      </c>
      <c r="K4" s="23">
        <v>81</v>
      </c>
      <c r="L4" s="3" t="str">
        <f>IFERROR(MID(VLOOKUP($B4,Seqs!$A:$B,2,0),M4,1),"")</f>
        <v>T</v>
      </c>
      <c r="M4" s="3">
        <v>82</v>
      </c>
      <c r="N4" s="3" t="str">
        <f>IFERROR(MID(VLOOKUP($B4,Seqs!$A:$B,2,0),O4,1),"")</f>
        <v>G</v>
      </c>
      <c r="O4" s="3">
        <v>113</v>
      </c>
      <c r="P4" s="3" t="str">
        <f>IFERROR(MID(VLOOKUP($B4,Seqs!$A:$B,2,0),Q4,1),"")</f>
        <v>R</v>
      </c>
      <c r="Q4" s="3">
        <v>114</v>
      </c>
      <c r="R4" s="3" t="str">
        <f>IFERROR(MID(VLOOKUP($B4,Seqs!$A:$B,2,0),S4,1),"")</f>
        <v>L</v>
      </c>
      <c r="S4" s="3">
        <v>117</v>
      </c>
      <c r="T4" s="3" t="str">
        <f>IFERROR(MID(VLOOKUP($B4,Seqs!$A:$B,2,0),U4,1),"")</f>
        <v>G</v>
      </c>
      <c r="U4" s="3">
        <v>118</v>
      </c>
      <c r="V4" s="3" t="str">
        <f>IFERROR(MID(VLOOKUP($B4,Seqs!$A:$B,2,0),W4,1),"")</f>
        <v>D</v>
      </c>
      <c r="W4" s="3">
        <v>153</v>
      </c>
      <c r="X4" s="3" t="str">
        <f>IFERROR(MID(VLOOKUP($B4,Seqs!$A:$B,2,0),Y4,1),"")</f>
        <v>A</v>
      </c>
      <c r="Y4" s="3">
        <v>154</v>
      </c>
      <c r="Z4" s="3" t="str">
        <f>IFERROR(MID(VLOOKUP($B4,Seqs!$A:$B,2,0),AA4,1),"")</f>
        <v>R</v>
      </c>
      <c r="AA4" s="3">
        <v>161</v>
      </c>
      <c r="AB4" s="3" t="str">
        <f>IFERROR(MID(VLOOKUP($B4,Seqs!$A:$B,2,0),AC4,1),"")</f>
        <v>T</v>
      </c>
      <c r="AC4" s="9">
        <v>162</v>
      </c>
      <c r="AD4" s="3" t="str">
        <f>IFERROR(MID(VLOOKUP($B4,Seqs!$A:$B,2,0),AE4,1),"")</f>
        <v>P</v>
      </c>
      <c r="AE4" s="3">
        <v>184</v>
      </c>
      <c r="AF4" s="3" t="str">
        <f>IFERROR(MID(VLOOKUP($B4,Seqs!$A:$B,2,0),AG4,1),"")</f>
        <v>C</v>
      </c>
      <c r="AG4" s="3">
        <v>199</v>
      </c>
      <c r="AH4" s="3" t="str">
        <f>IFERROR(MID(VLOOKUP($B4,Seqs!$A:$B,2,0),AI4,1),"")</f>
        <v>V</v>
      </c>
      <c r="AI4" s="3">
        <v>201</v>
      </c>
      <c r="AJ4" s="3" t="str">
        <f>IFERROR(MID(VLOOKUP($B4,Seqs!$A:$B,2,0),AK4,1),"")</f>
        <v>H</v>
      </c>
      <c r="AK4" s="3">
        <v>205</v>
      </c>
      <c r="AL4" s="3" t="str">
        <f>IFERROR(MID(VLOOKUP($B4,Seqs!$A:$B,2,0),AM4,1),"")</f>
        <v>I</v>
      </c>
      <c r="AM4" s="3">
        <v>239</v>
      </c>
      <c r="AN4" s="3" t="str">
        <f>IFERROR(MID(VLOOKUP($B4,Seqs!$A:$B,2,0),AO4,1),"")</f>
        <v>R</v>
      </c>
      <c r="AO4" s="3">
        <v>310</v>
      </c>
      <c r="AP4" s="3" t="str">
        <f>IFERROR(MID(VLOOKUP($B4,Seqs!$A:$B,2,0),AQ4,1),"")</f>
        <v>I</v>
      </c>
      <c r="AQ4" s="3">
        <v>339</v>
      </c>
      <c r="AR4" s="3" t="str">
        <f>IFERROR(MID(VLOOKUP($B4,Seqs!$A:$B,2,0),AS4,1),"")</f>
        <v>H</v>
      </c>
      <c r="AS4" s="3">
        <v>347</v>
      </c>
      <c r="AT4" s="3" t="str">
        <f>IFERROR(MID(VLOOKUP($B4,Seqs!$A:$B,2,0),AU4,1),"")</f>
        <v>M</v>
      </c>
      <c r="AU4" s="3">
        <v>371</v>
      </c>
      <c r="AV4" s="3" t="str">
        <f>IFERROR(MID(VLOOKUP($B4,Seqs!$A:$B,2,0),AW4,1),"")</f>
        <v>N</v>
      </c>
      <c r="AW4" s="3">
        <v>373</v>
      </c>
      <c r="AX4" s="3" t="str">
        <f>IFERROR(MID(VLOOKUP($B4,Seqs!$A:$B,2,0),AY4,1),"")</f>
        <v>I</v>
      </c>
      <c r="AY4" s="3">
        <v>384</v>
      </c>
      <c r="AZ4" s="77" t="str">
        <f>VLOOKUP(B4,Classification!A:D,2,0)</f>
        <v>A</v>
      </c>
      <c r="BA4" s="94" t="str">
        <f>VLOOKUP(B4,Classification!A:D,4,0)</f>
        <v>5-Hydroxytryptamine</v>
      </c>
      <c r="BB4" s="27" t="b">
        <f t="shared" si="1"/>
        <v>1</v>
      </c>
      <c r="BC4" s="23">
        <f t="shared" si="2"/>
        <v>245</v>
      </c>
      <c r="BD4" s="4" t="s">
        <v>23</v>
      </c>
      <c r="BE4" s="3" t="s">
        <v>1439</v>
      </c>
      <c r="BF4" s="119">
        <v>2.7</v>
      </c>
      <c r="BG4" s="49" t="s">
        <v>1384</v>
      </c>
      <c r="BH4" s="49" t="s">
        <v>1384</v>
      </c>
      <c r="BI4" s="1"/>
      <c r="BJ4" s="70" t="s">
        <v>1293</v>
      </c>
      <c r="BK4" s="57" t="s">
        <v>1293</v>
      </c>
      <c r="BL4" s="57" t="s">
        <v>1293</v>
      </c>
      <c r="BM4" s="57" t="s">
        <v>1293</v>
      </c>
      <c r="BN4" s="57" t="s">
        <v>1293</v>
      </c>
      <c r="BO4" s="57" t="s">
        <v>1293</v>
      </c>
      <c r="BP4" s="57" t="s">
        <v>1293</v>
      </c>
      <c r="BQ4" s="57" t="s">
        <v>1293</v>
      </c>
      <c r="BR4" s="57" t="s">
        <v>1293</v>
      </c>
      <c r="BS4" s="57" t="s">
        <v>1293</v>
      </c>
      <c r="BT4" s="57" t="s">
        <v>1293</v>
      </c>
      <c r="BU4" s="57" t="s">
        <v>1293</v>
      </c>
      <c r="BV4" s="70">
        <f t="shared" si="3"/>
        <v>45</v>
      </c>
      <c r="BW4" s="71">
        <f t="shared" si="4"/>
        <v>78</v>
      </c>
      <c r="BX4" s="72">
        <f t="shared" si="5"/>
        <v>82</v>
      </c>
      <c r="BY4" s="71">
        <f t="shared" si="6"/>
        <v>114</v>
      </c>
      <c r="BZ4" s="72">
        <f t="shared" si="7"/>
        <v>118</v>
      </c>
      <c r="CA4" s="71">
        <f t="shared" si="8"/>
        <v>154</v>
      </c>
      <c r="CB4" s="72">
        <f t="shared" si="9"/>
        <v>162</v>
      </c>
      <c r="CC4" s="71">
        <f t="shared" si="10"/>
        <v>199</v>
      </c>
      <c r="CD4" s="72">
        <f t="shared" si="11"/>
        <v>205</v>
      </c>
      <c r="CE4" s="71">
        <f t="shared" si="12"/>
        <v>310</v>
      </c>
      <c r="CF4" s="72">
        <f t="shared" si="13"/>
        <v>347</v>
      </c>
      <c r="CG4" s="71">
        <f t="shared" si="14"/>
        <v>373</v>
      </c>
      <c r="CH4" s="70">
        <f t="shared" si="15"/>
        <v>77</v>
      </c>
      <c r="CI4" s="71">
        <f t="shared" si="16"/>
        <v>81</v>
      </c>
      <c r="CJ4" s="72">
        <f t="shared" si="17"/>
        <v>113</v>
      </c>
      <c r="CK4" s="72">
        <f t="shared" si="18"/>
        <v>117</v>
      </c>
      <c r="CL4" s="72">
        <f t="shared" si="19"/>
        <v>153</v>
      </c>
      <c r="CM4" s="72">
        <f t="shared" si="20"/>
        <v>161</v>
      </c>
      <c r="CN4" s="72">
        <f t="shared" si="21"/>
        <v>184</v>
      </c>
      <c r="CO4" s="72">
        <f t="shared" si="22"/>
        <v>201</v>
      </c>
      <c r="CP4" s="72">
        <f t="shared" si="23"/>
        <v>239</v>
      </c>
      <c r="CQ4" s="72">
        <f t="shared" si="24"/>
        <v>339</v>
      </c>
      <c r="CR4" s="72">
        <f t="shared" si="25"/>
        <v>371</v>
      </c>
      <c r="CS4" s="72">
        <f t="shared" si="26"/>
        <v>384</v>
      </c>
      <c r="CT4" s="23">
        <f t="shared" si="27"/>
        <v>1</v>
      </c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/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/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/>
      <c r="AIJ4" s="1"/>
      <c r="AIK4" s="1"/>
      <c r="AIL4" s="1"/>
      <c r="AIM4" s="1"/>
      <c r="AIN4" s="1"/>
      <c r="AIO4" s="1"/>
      <c r="AIP4" s="1"/>
      <c r="AIQ4" s="1"/>
      <c r="AIR4" s="1"/>
      <c r="AIS4" s="1"/>
      <c r="AIT4" s="1"/>
      <c r="AIU4" s="1"/>
      <c r="AIV4" s="1"/>
      <c r="AIW4" s="1"/>
      <c r="AIX4" s="1"/>
      <c r="AIY4" s="1"/>
      <c r="AIZ4" s="1"/>
      <c r="AJA4" s="1"/>
      <c r="AJB4" s="1"/>
      <c r="AJC4" s="1"/>
      <c r="AJD4" s="1"/>
      <c r="AJE4" s="1"/>
      <c r="AJF4" s="1"/>
      <c r="AJG4" s="1"/>
      <c r="AJH4" s="1"/>
      <c r="AJI4" s="1"/>
      <c r="AJJ4" s="1"/>
      <c r="AJK4" s="1"/>
      <c r="AJL4" s="1"/>
      <c r="AJM4" s="1"/>
      <c r="AJN4" s="1"/>
      <c r="AJO4" s="1"/>
      <c r="AJP4" s="1"/>
      <c r="AJQ4" s="1"/>
      <c r="AJR4" s="1"/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/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  <c r="AMK4" s="1"/>
      <c r="AML4" s="1"/>
      <c r="AMM4" s="1"/>
      <c r="AMN4" s="1"/>
      <c r="AMO4" s="1"/>
    </row>
    <row r="5" spans="1:1029" s="12" customFormat="1" x14ac:dyDescent="0.2">
      <c r="A5" s="9" t="str">
        <f>CONCATENATE(B5,"_",C5)</f>
        <v>5ht1b_human_5V54</v>
      </c>
      <c r="B5" s="9" t="s">
        <v>34</v>
      </c>
      <c r="C5" s="9" t="s">
        <v>1480</v>
      </c>
      <c r="D5" s="9" t="str">
        <f>IFERROR(MID(VLOOKUP($B5,Seqs!$A:$B,2,0),E5,1),"")</f>
        <v>S</v>
      </c>
      <c r="E5" s="9">
        <v>45</v>
      </c>
      <c r="F5" s="9" t="str">
        <f>IFERROR(MID(VLOOKUP($B5,Seqs!$A:$B,2,0),G5,1),"")</f>
        <v>T</v>
      </c>
      <c r="G5" s="9">
        <v>77</v>
      </c>
      <c r="H5" s="9" t="str">
        <f>IFERROR(MID(VLOOKUP($B5,Seqs!$A:$B,2,0),I5,1),"")</f>
        <v>R</v>
      </c>
      <c r="I5" s="109">
        <v>78</v>
      </c>
      <c r="J5" s="9" t="str">
        <f>IFERROR(MID(VLOOKUP($B5,Seqs!$A:$B,2,0),K5,1),"")</f>
        <v>H</v>
      </c>
      <c r="K5" s="109">
        <v>81</v>
      </c>
      <c r="L5" s="9" t="str">
        <f>IFERROR(MID(VLOOKUP($B5,Seqs!$A:$B,2,0),M5,1),"")</f>
        <v>T</v>
      </c>
      <c r="M5" s="9">
        <v>82</v>
      </c>
      <c r="N5" s="9" t="str">
        <f>IFERROR(MID(VLOOKUP($B5,Seqs!$A:$B,2,0),O5,1),"")</f>
        <v>G</v>
      </c>
      <c r="O5" s="9">
        <v>113</v>
      </c>
      <c r="P5" s="9" t="str">
        <f>IFERROR(MID(VLOOKUP($B5,Seqs!$A:$B,2,0),Q5,1),"")</f>
        <v>R</v>
      </c>
      <c r="Q5" s="9">
        <v>114</v>
      </c>
      <c r="R5" s="9" t="str">
        <f>IFERROR(MID(VLOOKUP($B5,Seqs!$A:$B,2,0),S5,1),"")</f>
        <v>L</v>
      </c>
      <c r="S5" s="9">
        <v>117</v>
      </c>
      <c r="T5" s="9" t="str">
        <f>IFERROR(MID(VLOOKUP($B5,Seqs!$A:$B,2,0),U5,1),"")</f>
        <v>G</v>
      </c>
      <c r="U5" s="9">
        <v>118</v>
      </c>
      <c r="V5" s="9" t="str">
        <f>IFERROR(MID(VLOOKUP($B5,Seqs!$A:$B,2,0),W5,1),"")</f>
        <v>T</v>
      </c>
      <c r="W5" s="9">
        <v>152</v>
      </c>
      <c r="X5" s="9" t="str">
        <f>IFERROR(MID(VLOOKUP($B5,Seqs!$A:$B,2,0),Y5,1),"")</f>
        <v>A</v>
      </c>
      <c r="Y5" s="9">
        <v>154</v>
      </c>
      <c r="Z5" s="9" t="str">
        <f>IFERROR(MID(VLOOKUP($B5,Seqs!$A:$B,2,0),AA5,1),"")</f>
        <v>R</v>
      </c>
      <c r="AA5" s="9">
        <v>161</v>
      </c>
      <c r="AB5" s="9" t="str">
        <f>IFERROR(MID(VLOOKUP($B5,Seqs!$A:$B,2,0),AC5,1),"")</f>
        <v>T</v>
      </c>
      <c r="AC5" s="9">
        <v>162</v>
      </c>
      <c r="AD5" s="9" t="str">
        <f>IFERROR(MID(VLOOKUP($B5,Seqs!$A:$B,2,0),AE5,1),"")</f>
        <v>P</v>
      </c>
      <c r="AE5" s="9">
        <v>184</v>
      </c>
      <c r="AF5" s="9" t="str">
        <f>IFERROR(MID(VLOOKUP($B5,Seqs!$A:$B,2,0),AG5,1),"")</f>
        <v>C</v>
      </c>
      <c r="AG5" s="9">
        <v>199</v>
      </c>
      <c r="AH5" s="9" t="str">
        <f>IFERROR(MID(VLOOKUP($B5,Seqs!$A:$B,2,0),AI5,1),"")</f>
        <v>V</v>
      </c>
      <c r="AI5" s="9">
        <v>201</v>
      </c>
      <c r="AJ5" s="9" t="str">
        <f>IFERROR(MID(VLOOKUP($B5,Seqs!$A:$B,2,0),AK5,1),"")</f>
        <v>H</v>
      </c>
      <c r="AK5" s="9">
        <v>205</v>
      </c>
      <c r="AL5" s="9" t="str">
        <f>IFERROR(MID(VLOOKUP($B5,Seqs!$A:$B,2,0),AM5,1),"")</f>
        <v>I</v>
      </c>
      <c r="AM5" s="9">
        <v>239</v>
      </c>
      <c r="AN5" s="9" t="str">
        <f>IFERROR(MID(VLOOKUP($B5,Seqs!$A:$B,2,0),AO5,1),"")</f>
        <v>R</v>
      </c>
      <c r="AO5" s="9">
        <v>308</v>
      </c>
      <c r="AP5" s="9" t="str">
        <f>IFERROR(MID(VLOOKUP($B5,Seqs!$A:$B,2,0),AQ5,1),"")</f>
        <v>M</v>
      </c>
      <c r="AQ5" s="9">
        <v>337</v>
      </c>
      <c r="AR5" s="9" t="str">
        <f>IFERROR(MID(VLOOKUP($B5,Seqs!$A:$B,2,0),AS5,1),"")</f>
        <v>F</v>
      </c>
      <c r="AS5" s="9">
        <v>346</v>
      </c>
      <c r="AT5" s="9" t="str">
        <f>IFERROR(MID(VLOOKUP($B5,Seqs!$A:$B,2,0),AU5,1),"")</f>
        <v>S</v>
      </c>
      <c r="AU5" s="9">
        <v>372</v>
      </c>
      <c r="AV5" s="9" t="str">
        <f>IFERROR(MID(VLOOKUP($B5,Seqs!$A:$B,2,0),AW5,1),"")</f>
        <v>N</v>
      </c>
      <c r="AW5" s="9">
        <v>373</v>
      </c>
      <c r="AX5" s="9" t="str">
        <f>IFERROR(MID(VLOOKUP($B5,Seqs!$A:$B,2,0),AY5,1),"")</f>
        <v>I</v>
      </c>
      <c r="AY5" s="9">
        <v>384</v>
      </c>
      <c r="AZ5" s="110" t="str">
        <f>VLOOKUP(B5,Classification!A:D,2,0)</f>
        <v>A</v>
      </c>
      <c r="BA5" s="98" t="str">
        <f>VLOOKUP(B5,Classification!A:D,4,0)</f>
        <v>5-Hydroxytryptamine</v>
      </c>
      <c r="BB5" s="36" t="b">
        <f>AND(E5&lt;G5,OR(G5&lt;I5,I5="-"),OR(I5&lt;K5,I5="-"),OR(K5&lt;M5,K5="-"),M5&lt;O5,OR(O5&lt;Q5,Q5="-"),OR(Q5&lt;S5,Q5="-"),OR(S5&lt;U5,S5="-"),U5&lt;W5,OR(W5&lt;Y5,Y5="-"),OR(Y5&lt;AA5,Y5="-"),OR(AA5&lt;AC5,AA5="-"),AC5&lt;AE5,OR(AE5&lt;AG5,AG5="-"),OR(AG5&lt;AI5,AG5="-"),OR(AI5&lt;AK5,AI5="-"),AK5&lt;AM5,AM5&lt;AO5,AO5&lt;AQ5,AQ5&lt;AS5,AS5&lt;AU5,OR(AU5&lt;AW5,AW5="-"),OR(AW5&lt;AY5,AW5="-"))</f>
        <v>1</v>
      </c>
      <c r="BC5" s="109">
        <f>_xlfn.AGGREGATE(9,6,CH5:CS5)-_xlfn.AGGREGATE(9,6,BV5:CG5)+12</f>
        <v>246</v>
      </c>
      <c r="BD5" s="11" t="s">
        <v>23</v>
      </c>
      <c r="BE5" s="9" t="s">
        <v>1439</v>
      </c>
      <c r="BF5" s="120">
        <v>3.7</v>
      </c>
      <c r="BG5" s="51" t="s">
        <v>1384</v>
      </c>
      <c r="BH5" s="51" t="s">
        <v>1384</v>
      </c>
      <c r="BJ5" s="111" t="s">
        <v>1293</v>
      </c>
      <c r="BK5" s="112" t="s">
        <v>1293</v>
      </c>
      <c r="BL5" s="112" t="s">
        <v>1293</v>
      </c>
      <c r="BM5" s="112" t="s">
        <v>1293</v>
      </c>
      <c r="BN5" s="112" t="s">
        <v>1293</v>
      </c>
      <c r="BO5" s="112" t="s">
        <v>1293</v>
      </c>
      <c r="BP5" s="112" t="s">
        <v>1293</v>
      </c>
      <c r="BQ5" s="112" t="s">
        <v>1293</v>
      </c>
      <c r="BR5" s="112" t="s">
        <v>1293</v>
      </c>
      <c r="BS5" s="112" t="s">
        <v>1293</v>
      </c>
      <c r="BT5" s="112" t="s">
        <v>1293</v>
      </c>
      <c r="BU5" s="112" t="s">
        <v>1293</v>
      </c>
      <c r="BV5" s="111">
        <f>E5</f>
        <v>45</v>
      </c>
      <c r="BW5" s="113">
        <f>I5</f>
        <v>78</v>
      </c>
      <c r="BX5" s="114">
        <f>M5</f>
        <v>82</v>
      </c>
      <c r="BY5" s="113">
        <f>Q5</f>
        <v>114</v>
      </c>
      <c r="BZ5" s="114">
        <f>U5</f>
        <v>118</v>
      </c>
      <c r="CA5" s="113">
        <f>Y5</f>
        <v>154</v>
      </c>
      <c r="CB5" s="114">
        <f>AC5</f>
        <v>162</v>
      </c>
      <c r="CC5" s="113">
        <f>AG5</f>
        <v>199</v>
      </c>
      <c r="CD5" s="114">
        <f>AK5</f>
        <v>205</v>
      </c>
      <c r="CE5" s="113">
        <f>AO5</f>
        <v>308</v>
      </c>
      <c r="CF5" s="114">
        <f>AS5</f>
        <v>346</v>
      </c>
      <c r="CG5" s="113">
        <f>AW5</f>
        <v>373</v>
      </c>
      <c r="CH5" s="111">
        <f>G5</f>
        <v>77</v>
      </c>
      <c r="CI5" s="113">
        <f>K5</f>
        <v>81</v>
      </c>
      <c r="CJ5" s="114">
        <f>O5</f>
        <v>113</v>
      </c>
      <c r="CK5" s="114">
        <f>S5</f>
        <v>117</v>
      </c>
      <c r="CL5" s="114">
        <f>W5</f>
        <v>152</v>
      </c>
      <c r="CM5" s="114">
        <f>AA5</f>
        <v>161</v>
      </c>
      <c r="CN5" s="114">
        <f>AE5</f>
        <v>184</v>
      </c>
      <c r="CO5" s="114">
        <f>AI5</f>
        <v>201</v>
      </c>
      <c r="CP5" s="114">
        <f>AM5</f>
        <v>239</v>
      </c>
      <c r="CQ5" s="114">
        <f>AQ5</f>
        <v>337</v>
      </c>
      <c r="CR5" s="114">
        <f>AU5</f>
        <v>372</v>
      </c>
      <c r="CS5" s="114">
        <f>AY5</f>
        <v>384</v>
      </c>
      <c r="CT5" s="109">
        <f>M5-K5</f>
        <v>1</v>
      </c>
    </row>
    <row r="6" spans="1:1029" s="12" customFormat="1" x14ac:dyDescent="0.2">
      <c r="A6" s="9" t="str">
        <f>CONCATENATE(B6,"_",C6)</f>
        <v>5ht1b_human_6G79</v>
      </c>
      <c r="B6" s="9" t="s">
        <v>34</v>
      </c>
      <c r="C6" s="9" t="s">
        <v>1520</v>
      </c>
      <c r="D6" s="9" t="str">
        <f>IFERROR(MID(VLOOKUP($B6,Seqs!$A:$B,2,0),E6,1),"")</f>
        <v>S</v>
      </c>
      <c r="E6" s="9">
        <v>45</v>
      </c>
      <c r="F6" s="9" t="str">
        <f>IFERROR(MID(VLOOKUP($B6,Seqs!$A:$B,2,0),G6,1),"")</f>
        <v>T</v>
      </c>
      <c r="G6" s="9">
        <v>77</v>
      </c>
      <c r="H6" s="9" t="str">
        <f>IFERROR(MID(VLOOKUP($B6,Seqs!$A:$B,2,0),I6,1),"")</f>
        <v>R</v>
      </c>
      <c r="I6" s="109">
        <v>78</v>
      </c>
      <c r="J6" s="9" t="str">
        <f>IFERROR(MID(VLOOKUP($B6,Seqs!$A:$B,2,0),K6,1),"")</f>
        <v>H</v>
      </c>
      <c r="K6" s="109">
        <v>81</v>
      </c>
      <c r="L6" s="9" t="str">
        <f>IFERROR(MID(VLOOKUP($B6,Seqs!$A:$B,2,0),M6,1),"")</f>
        <v>T</v>
      </c>
      <c r="M6" s="9">
        <v>82</v>
      </c>
      <c r="N6" s="9" t="str">
        <f>IFERROR(MID(VLOOKUP($B6,Seqs!$A:$B,2,0),O6,1),"")</f>
        <v>G</v>
      </c>
      <c r="O6" s="9">
        <v>113</v>
      </c>
      <c r="P6" s="9" t="str">
        <f>IFERROR(MID(VLOOKUP($B6,Seqs!$A:$B,2,0),Q6,1),"")</f>
        <v>R</v>
      </c>
      <c r="Q6" s="9">
        <v>114</v>
      </c>
      <c r="R6" s="9" t="str">
        <f>IFERROR(MID(VLOOKUP($B6,Seqs!$A:$B,2,0),S6,1),"")</f>
        <v>L</v>
      </c>
      <c r="S6" s="9">
        <v>117</v>
      </c>
      <c r="T6" s="9" t="str">
        <f>IFERROR(MID(VLOOKUP($B6,Seqs!$A:$B,2,0),U6,1),"")</f>
        <v>G</v>
      </c>
      <c r="U6" s="9">
        <v>118</v>
      </c>
      <c r="V6" s="9" t="str">
        <f>IFERROR(MID(VLOOKUP($B6,Seqs!$A:$B,2,0),W6,1),"")</f>
        <v>D</v>
      </c>
      <c r="W6" s="9">
        <v>153</v>
      </c>
      <c r="X6" s="9" t="str">
        <f>IFERROR(MID(VLOOKUP($B6,Seqs!$A:$B,2,0),Y6,1),"")</f>
        <v>A</v>
      </c>
      <c r="Y6" s="9">
        <v>154</v>
      </c>
      <c r="Z6" s="9" t="str">
        <f>IFERROR(MID(VLOOKUP($B6,Seqs!$A:$B,2,0),AA6,1),"")</f>
        <v>R</v>
      </c>
      <c r="AA6" s="9">
        <v>161</v>
      </c>
      <c r="AB6" s="9" t="str">
        <f>IFERROR(MID(VLOOKUP($B6,Seqs!$A:$B,2,0),AC6,1),"")</f>
        <v>T</v>
      </c>
      <c r="AC6" s="9">
        <v>162</v>
      </c>
      <c r="AD6" s="9" t="str">
        <f>IFERROR(MID(VLOOKUP($B6,Seqs!$A:$B,2,0),AE6,1),"")</f>
        <v>P</v>
      </c>
      <c r="AE6" s="9">
        <v>183</v>
      </c>
      <c r="AF6" s="9" t="str">
        <f>IFERROR(MID(VLOOKUP($B6,Seqs!$A:$B,2,0),AG6,1),"")</f>
        <v>C</v>
      </c>
      <c r="AG6" s="9">
        <v>199</v>
      </c>
      <c r="AH6" s="9" t="str">
        <f>IFERROR(MID(VLOOKUP($B6,Seqs!$A:$B,2,0),AI6,1),"")</f>
        <v>V</v>
      </c>
      <c r="AI6" s="9">
        <v>201</v>
      </c>
      <c r="AJ6" s="9" t="str">
        <f>IFERROR(MID(VLOOKUP($B6,Seqs!$A:$B,2,0),AK6,1),"")</f>
        <v>H</v>
      </c>
      <c r="AK6" s="9">
        <v>205</v>
      </c>
      <c r="AL6" s="9" t="str">
        <f>IFERROR(MID(VLOOKUP($B6,Seqs!$A:$B,2,0),AM6,1),"")</f>
        <v>L</v>
      </c>
      <c r="AM6" s="9">
        <v>240</v>
      </c>
      <c r="AN6" s="9" t="str">
        <f>IFERROR(MID(VLOOKUP($B6,Seqs!$A:$B,2,0),AO6,1),"")</f>
        <v>M</v>
      </c>
      <c r="AO6" s="9">
        <v>305</v>
      </c>
      <c r="AP6" s="9" t="str">
        <f>IFERROR(MID(VLOOKUP($B6,Seqs!$A:$B,2,0),AQ6,1),"")</f>
        <v>M</v>
      </c>
      <c r="AQ6" s="9">
        <v>337</v>
      </c>
      <c r="AR6" s="9" t="str">
        <f>IFERROR(MID(VLOOKUP($B6,Seqs!$A:$B,2,0),AS6,1),"")</f>
        <v>L</v>
      </c>
      <c r="AS6" s="9">
        <v>348</v>
      </c>
      <c r="AT6" s="9" t="str">
        <f>IFERROR(MID(VLOOKUP($B6,Seqs!$A:$B,2,0),AU6,1),"")</f>
        <v>S</v>
      </c>
      <c r="AU6" s="9">
        <v>372</v>
      </c>
      <c r="AV6" s="9" t="str">
        <f>IFERROR(MID(VLOOKUP($B6,Seqs!$A:$B,2,0),AW6,1),"")</f>
        <v>N</v>
      </c>
      <c r="AW6" s="9">
        <v>373</v>
      </c>
      <c r="AX6" s="9" t="str">
        <f>IFERROR(MID(VLOOKUP($B6,Seqs!$A:$B,2,0),AY6,1),"")</f>
        <v>I</v>
      </c>
      <c r="AY6" s="9">
        <v>384</v>
      </c>
      <c r="AZ6" s="110" t="str">
        <f>VLOOKUP(B6,Classification!A:D,2,0)</f>
        <v>A</v>
      </c>
      <c r="BA6" s="98" t="str">
        <f>VLOOKUP(B6,Classification!A:D,4,0)</f>
        <v>5-Hydroxytryptamine</v>
      </c>
      <c r="BB6" s="36" t="b">
        <f>AND(E6&lt;G6,OR(G6&lt;I6,I6="-"),OR(I6&lt;K6,I6="-"),OR(K6&lt;M6,K6="-"),M6&lt;O6,OR(O6&lt;Q6,Q6="-"),OR(Q6&lt;S6,Q6="-"),OR(S6&lt;U6,S6="-"),U6&lt;W6,OR(W6&lt;Y6,Y6="-"),OR(Y6&lt;AA6,Y6="-"),OR(AA6&lt;AC6,AA6="-"),AC6&lt;AE6,OR(AE6&lt;AG6,AG6="-"),OR(AG6&lt;AI6,AG6="-"),OR(AI6&lt;AK6,AI6="-"),AK6&lt;AM6,AM6&lt;AO6,AO6&lt;AQ6,AQ6&lt;AS6,AS6&lt;AU6,OR(AU6&lt;AW6,AW6="-"),OR(AW6&lt;AY6,AW6="-"))</f>
        <v>1</v>
      </c>
      <c r="BC6" s="109">
        <f>_xlfn.AGGREGATE(9,6,CH6:CS6)-_xlfn.AGGREGATE(9,6,BV6:CG6)+12</f>
        <v>248</v>
      </c>
      <c r="BD6" s="11" t="s">
        <v>1382</v>
      </c>
      <c r="BE6" s="9" t="s">
        <v>1297</v>
      </c>
      <c r="BF6" s="120">
        <v>3.78</v>
      </c>
      <c r="BG6" s="51" t="s">
        <v>1019</v>
      </c>
      <c r="BH6" s="51" t="s">
        <v>1019</v>
      </c>
      <c r="BJ6" s="111" t="s">
        <v>1293</v>
      </c>
      <c r="BK6" s="112" t="s">
        <v>1293</v>
      </c>
      <c r="BL6" s="112" t="s">
        <v>1293</v>
      </c>
      <c r="BM6" s="112" t="s">
        <v>1293</v>
      </c>
      <c r="BN6" s="112" t="s">
        <v>1293</v>
      </c>
      <c r="BO6" s="112" t="s">
        <v>1293</v>
      </c>
      <c r="BP6" s="112" t="s">
        <v>1293</v>
      </c>
      <c r="BQ6" s="112" t="s">
        <v>1293</v>
      </c>
      <c r="BR6" s="112" t="s">
        <v>1293</v>
      </c>
      <c r="BS6" s="112" t="s">
        <v>1293</v>
      </c>
      <c r="BT6" s="112" t="s">
        <v>1293</v>
      </c>
      <c r="BU6" s="112" t="s">
        <v>1293</v>
      </c>
      <c r="BV6" s="111">
        <f>E6</f>
        <v>45</v>
      </c>
      <c r="BW6" s="113">
        <f>I6</f>
        <v>78</v>
      </c>
      <c r="BX6" s="114">
        <f>M6</f>
        <v>82</v>
      </c>
      <c r="BY6" s="113">
        <f>Q6</f>
        <v>114</v>
      </c>
      <c r="BZ6" s="114">
        <f>U6</f>
        <v>118</v>
      </c>
      <c r="CA6" s="113">
        <f>Y6</f>
        <v>154</v>
      </c>
      <c r="CB6" s="114">
        <f>AC6</f>
        <v>162</v>
      </c>
      <c r="CC6" s="113">
        <f>AG6</f>
        <v>199</v>
      </c>
      <c r="CD6" s="114">
        <f>AK6</f>
        <v>205</v>
      </c>
      <c r="CE6" s="113">
        <f>AO6</f>
        <v>305</v>
      </c>
      <c r="CF6" s="114">
        <f>AS6</f>
        <v>348</v>
      </c>
      <c r="CG6" s="113">
        <f>AW6</f>
        <v>373</v>
      </c>
      <c r="CH6" s="111">
        <f>G6</f>
        <v>77</v>
      </c>
      <c r="CI6" s="113">
        <f>K6</f>
        <v>81</v>
      </c>
      <c r="CJ6" s="114">
        <f>O6</f>
        <v>113</v>
      </c>
      <c r="CK6" s="114">
        <f>S6</f>
        <v>117</v>
      </c>
      <c r="CL6" s="114">
        <f>W6</f>
        <v>153</v>
      </c>
      <c r="CM6" s="114">
        <f>AA6</f>
        <v>161</v>
      </c>
      <c r="CN6" s="114">
        <f>AE6</f>
        <v>183</v>
      </c>
      <c r="CO6" s="114">
        <f>AI6</f>
        <v>201</v>
      </c>
      <c r="CP6" s="114">
        <f>AM6</f>
        <v>240</v>
      </c>
      <c r="CQ6" s="114">
        <f>AQ6</f>
        <v>337</v>
      </c>
      <c r="CR6" s="114">
        <f>AU6</f>
        <v>372</v>
      </c>
      <c r="CS6" s="114">
        <f>AY6</f>
        <v>384</v>
      </c>
      <c r="CT6" s="109">
        <f>M6-K6</f>
        <v>1</v>
      </c>
    </row>
    <row r="7" spans="1:1029" x14ac:dyDescent="0.2">
      <c r="A7" s="3" t="str">
        <f t="shared" si="0"/>
        <v>5ht2b_human__wt</v>
      </c>
      <c r="B7" s="3" t="s">
        <v>35</v>
      </c>
      <c r="C7" s="3" t="s">
        <v>100</v>
      </c>
      <c r="D7" s="3" t="str">
        <f>IFERROR(MID(VLOOKUP($B7,Seqs!$A:$B,2,0),E7,1),"")</f>
        <v>K</v>
      </c>
      <c r="E7" s="105">
        <v>53</v>
      </c>
      <c r="F7" s="3" t="str">
        <f>IFERROR(MID(VLOOKUP($B7,Seqs!$A:$B,2,0),G7,1),"")</f>
        <v>E</v>
      </c>
      <c r="G7" s="3">
        <v>82</v>
      </c>
      <c r="H7" s="3" t="str">
        <f>IFERROR(MID(VLOOKUP($B7,Seqs!$A:$B,2,0),I7,1),"")</f>
        <v>K</v>
      </c>
      <c r="I7" s="23">
        <v>83</v>
      </c>
      <c r="J7" s="3" t="str">
        <f>IFERROR(MID(VLOOKUP($B7,Seqs!$A:$B,2,0),K7,1),"")</f>
        <v>Q</v>
      </c>
      <c r="K7" s="23">
        <v>86</v>
      </c>
      <c r="L7" s="3" t="str">
        <f>IFERROR(MID(VLOOKUP($B7,Seqs!$A:$B,2,0),M7,1),"")</f>
        <v>Y</v>
      </c>
      <c r="M7" s="3">
        <v>87</v>
      </c>
      <c r="N7" s="3" t="str">
        <f>IFERROR(MID(VLOOKUP($B7,Seqs!$A:$B,2,0),O7,1),"")</f>
        <v>F</v>
      </c>
      <c r="O7" s="3">
        <v>117</v>
      </c>
      <c r="P7" s="3" t="str">
        <f>IFERROR(MID(VLOOKUP($B7,Seqs!$A:$B,2,0),Q7,1),"")</f>
        <v>M</v>
      </c>
      <c r="Q7" s="3">
        <v>120</v>
      </c>
      <c r="R7" s="3" t="str">
        <f>IFERROR(MID(VLOOKUP($B7,Seqs!$A:$B,2,0),S7,1),"")</f>
        <v>L</v>
      </c>
      <c r="S7" s="3">
        <v>123</v>
      </c>
      <c r="T7" s="3" t="str">
        <f>IFERROR(MID(VLOOKUP($B7,Seqs!$A:$B,2,0),U7,1),"")</f>
        <v>P</v>
      </c>
      <c r="U7" s="3">
        <v>124</v>
      </c>
      <c r="V7" s="3" t="str">
        <f>IFERROR(MID(VLOOKUP($B7,Seqs!$A:$B,2,0),W7,1),"")</f>
        <v>K</v>
      </c>
      <c r="W7" s="3">
        <v>159</v>
      </c>
      <c r="X7" s="3" t="str">
        <f>IFERROR(MID(VLOOKUP($B7,Seqs!$A:$B,2,0),Y7,1),"")</f>
        <v>P</v>
      </c>
      <c r="Y7" s="3">
        <v>160</v>
      </c>
      <c r="Z7" s="3" t="str">
        <f>IFERROR(MID(VLOOKUP($B7,Seqs!$A:$B,2,0),AA7,1),"")</f>
        <v>N</v>
      </c>
      <c r="AA7" s="3">
        <v>167</v>
      </c>
      <c r="AB7" s="3" t="str">
        <f>IFERROR(MID(VLOOKUP($B7,Seqs!$A:$B,2,0),AC7,1),"")</f>
        <v>S</v>
      </c>
      <c r="AC7" s="9">
        <v>168</v>
      </c>
      <c r="AD7" s="3" t="str">
        <f>IFERROR(MID(VLOOKUP($B7,Seqs!$A:$B,2,0),AE7,1),"")</f>
        <v>G</v>
      </c>
      <c r="AE7" s="3">
        <v>194</v>
      </c>
      <c r="AF7" s="3" t="str">
        <f>IFERROR(MID(VLOOKUP($B7,Seqs!$A:$B,2,0),AG7,1),"")</f>
        <v>C</v>
      </c>
      <c r="AG7" s="3">
        <v>207</v>
      </c>
      <c r="AH7" s="3" t="str">
        <f>IFERROR(MID(VLOOKUP($B7,Seqs!$A:$B,2,0),AI7,1),"")</f>
        <v>L</v>
      </c>
      <c r="AI7" s="3">
        <v>209</v>
      </c>
      <c r="AJ7" s="3" t="str">
        <f>IFERROR(MID(VLOOKUP($B7,Seqs!$A:$B,2,0),AK7,1),"")</f>
        <v>F</v>
      </c>
      <c r="AK7" s="3">
        <v>214</v>
      </c>
      <c r="AL7" s="3" t="str">
        <f>IFERROR(MID(VLOOKUP($B7,Seqs!$A:$B,2,0),AM7,1),"")</f>
        <v>P</v>
      </c>
      <c r="AM7" s="3">
        <v>255</v>
      </c>
      <c r="AN7" s="3" t="str">
        <f>IFERROR(MID(VLOOKUP($B7,Seqs!$A:$B,2,0),AO7,1),"")</f>
        <v>V</v>
      </c>
      <c r="AO7" s="3">
        <v>313</v>
      </c>
      <c r="AP7" s="3" t="str">
        <f>IFERROR(MID(VLOOKUP($B7,Seqs!$A:$B,2,0),AQ7,1),"")</f>
        <v>C</v>
      </c>
      <c r="AQ7" s="3">
        <v>350</v>
      </c>
      <c r="AR7" s="3" t="str">
        <f>IFERROR(MID(VLOOKUP($B7,Seqs!$A:$B,2,0),AS7,1),"")</f>
        <v>N</v>
      </c>
      <c r="AS7" s="105">
        <v>354</v>
      </c>
      <c r="AT7" s="3" t="str">
        <f>IFERROR(MID(VLOOKUP($B7,Seqs!$A:$B,2,0),AU7,1),"")</f>
        <v>F</v>
      </c>
      <c r="AU7" s="3">
        <v>383</v>
      </c>
      <c r="AV7" s="3" t="str">
        <f>IFERROR(MID(VLOOKUP($B7,Seqs!$A:$B,2,0),AW7,1),"")</f>
        <v>N</v>
      </c>
      <c r="AW7" s="3">
        <v>384</v>
      </c>
      <c r="AX7" s="3" t="str">
        <f>IFERROR(MID(VLOOKUP($B7,Seqs!$A:$B,2,0),AY7,1),"")</f>
        <v>I</v>
      </c>
      <c r="AY7" s="3">
        <v>395</v>
      </c>
      <c r="AZ7" s="77" t="str">
        <f>VLOOKUP(B7,Classification!A:D,2,0)</f>
        <v>A</v>
      </c>
      <c r="BA7" s="94" t="str">
        <f>VLOOKUP(B7,Classification!A:D,4,0)</f>
        <v>5-Hydroxytryptamine</v>
      </c>
      <c r="BB7" s="27" t="b">
        <f t="shared" si="1"/>
        <v>1</v>
      </c>
      <c r="BC7" s="23">
        <f t="shared" si="2"/>
        <v>265</v>
      </c>
      <c r="BD7" s="91" t="s">
        <v>1379</v>
      </c>
      <c r="BE7" s="3" t="s">
        <v>23</v>
      </c>
      <c r="BF7" s="119" t="s">
        <v>23</v>
      </c>
      <c r="BG7" s="49" t="s">
        <v>1379</v>
      </c>
      <c r="BH7" s="49" t="s">
        <v>1384</v>
      </c>
      <c r="BI7" s="1"/>
      <c r="BJ7" s="70" t="s">
        <v>1293</v>
      </c>
      <c r="BK7" s="57" t="s">
        <v>1293</v>
      </c>
      <c r="BL7" s="57" t="s">
        <v>1293</v>
      </c>
      <c r="BM7" s="57" t="s">
        <v>1293</v>
      </c>
      <c r="BN7" s="57" t="s">
        <v>1293</v>
      </c>
      <c r="BO7" s="57" t="s">
        <v>1293</v>
      </c>
      <c r="BP7" s="57" t="s">
        <v>1293</v>
      </c>
      <c r="BQ7" s="57" t="s">
        <v>1293</v>
      </c>
      <c r="BR7" s="57" t="s">
        <v>1293</v>
      </c>
      <c r="BS7" s="57" t="s">
        <v>1293</v>
      </c>
      <c r="BT7" s="57" t="s">
        <v>1293</v>
      </c>
      <c r="BU7" s="57" t="s">
        <v>1293</v>
      </c>
      <c r="BV7" s="70">
        <f t="shared" si="3"/>
        <v>53</v>
      </c>
      <c r="BW7" s="71">
        <f t="shared" si="4"/>
        <v>83</v>
      </c>
      <c r="BX7" s="72">
        <f t="shared" si="5"/>
        <v>87</v>
      </c>
      <c r="BY7" s="71">
        <f t="shared" si="6"/>
        <v>120</v>
      </c>
      <c r="BZ7" s="72">
        <f t="shared" si="7"/>
        <v>124</v>
      </c>
      <c r="CA7" s="71">
        <f t="shared" si="8"/>
        <v>160</v>
      </c>
      <c r="CB7" s="72">
        <f t="shared" si="9"/>
        <v>168</v>
      </c>
      <c r="CC7" s="71">
        <f t="shared" si="10"/>
        <v>207</v>
      </c>
      <c r="CD7" s="72">
        <f t="shared" si="11"/>
        <v>214</v>
      </c>
      <c r="CE7" s="71">
        <f t="shared" si="12"/>
        <v>313</v>
      </c>
      <c r="CF7" s="72">
        <f t="shared" si="13"/>
        <v>354</v>
      </c>
      <c r="CG7" s="71">
        <f t="shared" si="14"/>
        <v>384</v>
      </c>
      <c r="CH7" s="70">
        <f t="shared" si="15"/>
        <v>82</v>
      </c>
      <c r="CI7" s="71">
        <f t="shared" si="16"/>
        <v>86</v>
      </c>
      <c r="CJ7" s="72">
        <f t="shared" si="17"/>
        <v>117</v>
      </c>
      <c r="CK7" s="72">
        <f t="shared" si="18"/>
        <v>123</v>
      </c>
      <c r="CL7" s="72">
        <f t="shared" si="19"/>
        <v>159</v>
      </c>
      <c r="CM7" s="72">
        <f t="shared" si="20"/>
        <v>167</v>
      </c>
      <c r="CN7" s="72">
        <f t="shared" si="21"/>
        <v>194</v>
      </c>
      <c r="CO7" s="72">
        <f t="shared" si="22"/>
        <v>209</v>
      </c>
      <c r="CP7" s="72">
        <f t="shared" si="23"/>
        <v>255</v>
      </c>
      <c r="CQ7" s="72">
        <f t="shared" si="24"/>
        <v>350</v>
      </c>
      <c r="CR7" s="72">
        <f t="shared" si="25"/>
        <v>383</v>
      </c>
      <c r="CS7" s="72">
        <f t="shared" si="26"/>
        <v>395</v>
      </c>
      <c r="CT7" s="23">
        <f t="shared" si="27"/>
        <v>1</v>
      </c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1"/>
      <c r="UK7" s="1"/>
      <c r="UL7" s="1"/>
      <c r="UM7" s="1"/>
      <c r="UN7" s="1"/>
      <c r="UO7" s="1"/>
      <c r="UP7" s="1"/>
      <c r="UQ7" s="1"/>
      <c r="UR7" s="1"/>
      <c r="US7" s="1"/>
      <c r="UT7" s="1"/>
      <c r="UU7" s="1"/>
      <c r="UV7" s="1"/>
      <c r="UW7" s="1"/>
      <c r="UX7" s="1"/>
      <c r="UY7" s="1"/>
      <c r="UZ7" s="1"/>
      <c r="VA7" s="1"/>
      <c r="VB7" s="1"/>
      <c r="VC7" s="1"/>
      <c r="VD7" s="1"/>
      <c r="VE7" s="1"/>
      <c r="VF7" s="1"/>
      <c r="VG7" s="1"/>
      <c r="VH7" s="1"/>
      <c r="VI7" s="1"/>
      <c r="VJ7" s="1"/>
      <c r="VK7" s="1"/>
      <c r="VL7" s="1"/>
      <c r="VM7" s="1"/>
      <c r="VN7" s="1"/>
      <c r="VO7" s="1"/>
      <c r="VP7" s="1"/>
      <c r="VQ7" s="1"/>
      <c r="VR7" s="1"/>
      <c r="VS7" s="1"/>
      <c r="VT7" s="1"/>
      <c r="VU7" s="1"/>
      <c r="VV7" s="1"/>
      <c r="VW7" s="1"/>
      <c r="VX7" s="1"/>
      <c r="VY7" s="1"/>
      <c r="VZ7" s="1"/>
      <c r="WA7" s="1"/>
      <c r="WB7" s="1"/>
      <c r="WC7" s="1"/>
      <c r="WD7" s="1"/>
      <c r="WE7" s="1"/>
      <c r="WF7" s="1"/>
      <c r="WG7" s="1"/>
      <c r="WH7" s="1"/>
      <c r="WI7" s="1"/>
      <c r="WJ7" s="1"/>
      <c r="WK7" s="1"/>
      <c r="WL7" s="1"/>
      <c r="WM7" s="1"/>
      <c r="WN7" s="1"/>
      <c r="WO7" s="1"/>
      <c r="WP7" s="1"/>
      <c r="WQ7" s="1"/>
      <c r="WR7" s="1"/>
      <c r="WS7" s="1"/>
      <c r="WT7" s="1"/>
      <c r="WU7" s="1"/>
      <c r="WV7" s="1"/>
      <c r="WW7" s="1"/>
      <c r="WX7" s="1"/>
      <c r="WY7" s="1"/>
      <c r="WZ7" s="1"/>
      <c r="XA7" s="1"/>
      <c r="XB7" s="1"/>
      <c r="XC7" s="1"/>
      <c r="XD7" s="1"/>
      <c r="XE7" s="1"/>
      <c r="XF7" s="1"/>
      <c r="XG7" s="1"/>
      <c r="XH7" s="1"/>
      <c r="XI7" s="1"/>
      <c r="XJ7" s="1"/>
      <c r="XK7" s="1"/>
      <c r="XL7" s="1"/>
      <c r="XM7" s="1"/>
      <c r="XN7" s="1"/>
      <c r="XO7" s="1"/>
      <c r="XP7" s="1"/>
      <c r="XQ7" s="1"/>
      <c r="XR7" s="1"/>
      <c r="XS7" s="1"/>
      <c r="XT7" s="1"/>
      <c r="XU7" s="1"/>
      <c r="XV7" s="1"/>
      <c r="XW7" s="1"/>
      <c r="XX7" s="1"/>
      <c r="XY7" s="1"/>
      <c r="XZ7" s="1"/>
      <c r="YA7" s="1"/>
      <c r="YB7" s="1"/>
      <c r="YC7" s="1"/>
      <c r="YD7" s="1"/>
      <c r="YE7" s="1"/>
      <c r="YF7" s="1"/>
      <c r="YG7" s="1"/>
      <c r="YH7" s="1"/>
      <c r="YI7" s="1"/>
      <c r="YJ7" s="1"/>
      <c r="YK7" s="1"/>
      <c r="YL7" s="1"/>
      <c r="YM7" s="1"/>
      <c r="YN7" s="1"/>
      <c r="YO7" s="1"/>
      <c r="YP7" s="1"/>
      <c r="YQ7" s="1"/>
      <c r="YR7" s="1"/>
      <c r="YS7" s="1"/>
      <c r="YT7" s="1"/>
      <c r="YU7" s="1"/>
      <c r="YV7" s="1"/>
      <c r="YW7" s="1"/>
      <c r="YX7" s="1"/>
      <c r="YY7" s="1"/>
      <c r="YZ7" s="1"/>
      <c r="ZA7" s="1"/>
      <c r="ZB7" s="1"/>
      <c r="ZC7" s="1"/>
      <c r="ZD7" s="1"/>
      <c r="ZE7" s="1"/>
      <c r="ZF7" s="1"/>
      <c r="ZG7" s="1"/>
      <c r="ZH7" s="1"/>
      <c r="ZI7" s="1"/>
      <c r="ZJ7" s="1"/>
      <c r="ZK7" s="1"/>
      <c r="ZL7" s="1"/>
      <c r="ZM7" s="1"/>
      <c r="ZN7" s="1"/>
      <c r="ZO7" s="1"/>
      <c r="ZP7" s="1"/>
      <c r="ZQ7" s="1"/>
      <c r="ZR7" s="1"/>
      <c r="ZS7" s="1"/>
      <c r="ZT7" s="1"/>
      <c r="ZU7" s="1"/>
      <c r="ZV7" s="1"/>
      <c r="ZW7" s="1"/>
      <c r="ZX7" s="1"/>
      <c r="ZY7" s="1"/>
      <c r="ZZ7" s="1"/>
      <c r="AAA7" s="1"/>
      <c r="AAB7" s="1"/>
      <c r="AAC7" s="1"/>
      <c r="AAD7" s="1"/>
      <c r="AAE7" s="1"/>
      <c r="AAF7" s="1"/>
      <c r="AAG7" s="1"/>
      <c r="AAH7" s="1"/>
      <c r="AAI7" s="1"/>
      <c r="AAJ7" s="1"/>
      <c r="AAK7" s="1"/>
      <c r="AAL7" s="1"/>
      <c r="AAM7" s="1"/>
      <c r="AAN7" s="1"/>
      <c r="AAO7" s="1"/>
      <c r="AAP7" s="1"/>
      <c r="AAQ7" s="1"/>
      <c r="AAR7" s="1"/>
      <c r="AAS7" s="1"/>
      <c r="AAT7" s="1"/>
      <c r="AAU7" s="1"/>
      <c r="AAV7" s="1"/>
      <c r="AAW7" s="1"/>
      <c r="AAX7" s="1"/>
      <c r="AAY7" s="1"/>
      <c r="AAZ7" s="1"/>
      <c r="ABA7" s="1"/>
      <c r="ABB7" s="1"/>
      <c r="ABC7" s="1"/>
      <c r="ABD7" s="1"/>
      <c r="ABE7" s="1"/>
      <c r="ABF7" s="1"/>
      <c r="ABG7" s="1"/>
      <c r="ABH7" s="1"/>
      <c r="ABI7" s="1"/>
      <c r="ABJ7" s="1"/>
      <c r="ABK7" s="1"/>
      <c r="ABL7" s="1"/>
      <c r="ABM7" s="1"/>
      <c r="ABN7" s="1"/>
      <c r="ABO7" s="1"/>
      <c r="ABP7" s="1"/>
      <c r="ABQ7" s="1"/>
      <c r="ABR7" s="1"/>
      <c r="ABS7" s="1"/>
      <c r="ABT7" s="1"/>
      <c r="ABU7" s="1"/>
      <c r="ABV7" s="1"/>
      <c r="ABW7" s="1"/>
      <c r="ABX7" s="1"/>
      <c r="ABY7" s="1"/>
      <c r="ABZ7" s="1"/>
      <c r="ACA7" s="1"/>
      <c r="ACB7" s="1"/>
      <c r="ACC7" s="1"/>
      <c r="ACD7" s="1"/>
      <c r="ACE7" s="1"/>
      <c r="ACF7" s="1"/>
      <c r="ACG7" s="1"/>
      <c r="ACH7" s="1"/>
      <c r="ACI7" s="1"/>
      <c r="ACJ7" s="1"/>
      <c r="ACK7" s="1"/>
      <c r="ACL7" s="1"/>
      <c r="ACM7" s="1"/>
      <c r="ACN7" s="1"/>
      <c r="ACO7" s="1"/>
      <c r="ACP7" s="1"/>
      <c r="ACQ7" s="1"/>
      <c r="ACR7" s="1"/>
      <c r="ACS7" s="1"/>
      <c r="ACT7" s="1"/>
      <c r="ACU7" s="1"/>
      <c r="ACV7" s="1"/>
      <c r="ACW7" s="1"/>
      <c r="ACX7" s="1"/>
      <c r="ACY7" s="1"/>
      <c r="ACZ7" s="1"/>
      <c r="ADA7" s="1"/>
      <c r="ADB7" s="1"/>
      <c r="ADC7" s="1"/>
      <c r="ADD7" s="1"/>
      <c r="ADE7" s="1"/>
      <c r="ADF7" s="1"/>
      <c r="ADG7" s="1"/>
      <c r="ADH7" s="1"/>
      <c r="ADI7" s="1"/>
      <c r="ADJ7" s="1"/>
      <c r="ADK7" s="1"/>
      <c r="ADL7" s="1"/>
      <c r="ADM7" s="1"/>
      <c r="ADN7" s="1"/>
      <c r="ADO7" s="1"/>
      <c r="ADP7" s="1"/>
      <c r="ADQ7" s="1"/>
      <c r="ADR7" s="1"/>
      <c r="ADS7" s="1"/>
      <c r="ADT7" s="1"/>
      <c r="ADU7" s="1"/>
      <c r="ADV7" s="1"/>
      <c r="ADW7" s="1"/>
      <c r="ADX7" s="1"/>
      <c r="ADY7" s="1"/>
      <c r="ADZ7" s="1"/>
      <c r="AEA7" s="1"/>
      <c r="AEB7" s="1"/>
      <c r="AEC7" s="1"/>
      <c r="AED7" s="1"/>
      <c r="AEE7" s="1"/>
      <c r="AEF7" s="1"/>
      <c r="AEG7" s="1"/>
      <c r="AEH7" s="1"/>
      <c r="AEI7" s="1"/>
      <c r="AEJ7" s="1"/>
      <c r="AEK7" s="1"/>
      <c r="AEL7" s="1"/>
      <c r="AEM7" s="1"/>
      <c r="AEN7" s="1"/>
      <c r="AEO7" s="1"/>
      <c r="AEP7" s="1"/>
      <c r="AEQ7" s="1"/>
      <c r="AER7" s="1"/>
      <c r="AES7" s="1"/>
      <c r="AET7" s="1"/>
      <c r="AEU7" s="1"/>
      <c r="AEV7" s="1"/>
      <c r="AEW7" s="1"/>
      <c r="AEX7" s="1"/>
      <c r="AEY7" s="1"/>
      <c r="AEZ7" s="1"/>
      <c r="AFA7" s="1"/>
      <c r="AFB7" s="1"/>
      <c r="AFC7" s="1"/>
      <c r="AFD7" s="1"/>
      <c r="AFE7" s="1"/>
      <c r="AFF7" s="1"/>
      <c r="AFG7" s="1"/>
      <c r="AFH7" s="1"/>
      <c r="AFI7" s="1"/>
      <c r="AFJ7" s="1"/>
      <c r="AFK7" s="1"/>
      <c r="AFL7" s="1"/>
      <c r="AFM7" s="1"/>
      <c r="AFN7" s="1"/>
      <c r="AFO7" s="1"/>
      <c r="AFP7" s="1"/>
      <c r="AFQ7" s="1"/>
      <c r="AFR7" s="1"/>
      <c r="AFS7" s="1"/>
      <c r="AFT7" s="1"/>
      <c r="AFU7" s="1"/>
      <c r="AFV7" s="1"/>
      <c r="AFW7" s="1"/>
      <c r="AFX7" s="1"/>
      <c r="AFY7" s="1"/>
      <c r="AFZ7" s="1"/>
      <c r="AGA7" s="1"/>
      <c r="AGB7" s="1"/>
      <c r="AGC7" s="1"/>
      <c r="AGD7" s="1"/>
      <c r="AGE7" s="1"/>
      <c r="AGF7" s="1"/>
      <c r="AGG7" s="1"/>
      <c r="AGH7" s="1"/>
      <c r="AGI7" s="1"/>
      <c r="AGJ7" s="1"/>
      <c r="AGK7" s="1"/>
      <c r="AGL7" s="1"/>
      <c r="AGM7" s="1"/>
      <c r="AGN7" s="1"/>
      <c r="AGO7" s="1"/>
      <c r="AGP7" s="1"/>
      <c r="AGQ7" s="1"/>
      <c r="AGR7" s="1"/>
      <c r="AGS7" s="1"/>
      <c r="AGT7" s="1"/>
      <c r="AGU7" s="1"/>
      <c r="AGV7" s="1"/>
      <c r="AGW7" s="1"/>
      <c r="AGX7" s="1"/>
      <c r="AGY7" s="1"/>
      <c r="AGZ7" s="1"/>
      <c r="AHA7" s="1"/>
      <c r="AHB7" s="1"/>
      <c r="AHC7" s="1"/>
      <c r="AHD7" s="1"/>
      <c r="AHE7" s="1"/>
      <c r="AHF7" s="1"/>
      <c r="AHG7" s="1"/>
      <c r="AHH7" s="1"/>
      <c r="AHI7" s="1"/>
      <c r="AHJ7" s="1"/>
      <c r="AHK7" s="1"/>
      <c r="AHL7" s="1"/>
      <c r="AHM7" s="1"/>
      <c r="AHN7" s="1"/>
      <c r="AHO7" s="1"/>
      <c r="AHP7" s="1"/>
      <c r="AHQ7" s="1"/>
      <c r="AHR7" s="1"/>
      <c r="AHS7" s="1"/>
      <c r="AHT7" s="1"/>
      <c r="AHU7" s="1"/>
      <c r="AHV7" s="1"/>
      <c r="AHW7" s="1"/>
      <c r="AHX7" s="1"/>
      <c r="AHY7" s="1"/>
      <c r="AHZ7" s="1"/>
      <c r="AIA7" s="1"/>
      <c r="AIB7" s="1"/>
      <c r="AIC7" s="1"/>
      <c r="AID7" s="1"/>
      <c r="AIE7" s="1"/>
      <c r="AIF7" s="1"/>
      <c r="AIG7" s="1"/>
      <c r="AIH7" s="1"/>
      <c r="AII7" s="1"/>
      <c r="AIJ7" s="1"/>
      <c r="AIK7" s="1"/>
      <c r="AIL7" s="1"/>
      <c r="AIM7" s="1"/>
      <c r="AIN7" s="1"/>
      <c r="AIO7" s="1"/>
      <c r="AIP7" s="1"/>
      <c r="AIQ7" s="1"/>
      <c r="AIR7" s="1"/>
      <c r="AIS7" s="1"/>
      <c r="AIT7" s="1"/>
      <c r="AIU7" s="1"/>
      <c r="AIV7" s="1"/>
      <c r="AIW7" s="1"/>
      <c r="AIX7" s="1"/>
      <c r="AIY7" s="1"/>
      <c r="AIZ7" s="1"/>
      <c r="AJA7" s="1"/>
      <c r="AJB7" s="1"/>
      <c r="AJC7" s="1"/>
      <c r="AJD7" s="1"/>
      <c r="AJE7" s="1"/>
      <c r="AJF7" s="1"/>
      <c r="AJG7" s="1"/>
      <c r="AJH7" s="1"/>
      <c r="AJI7" s="1"/>
      <c r="AJJ7" s="1"/>
      <c r="AJK7" s="1"/>
      <c r="AJL7" s="1"/>
      <c r="AJM7" s="1"/>
      <c r="AJN7" s="1"/>
      <c r="AJO7" s="1"/>
      <c r="AJP7" s="1"/>
      <c r="AJQ7" s="1"/>
      <c r="AJR7" s="1"/>
      <c r="AJS7" s="1"/>
      <c r="AJT7" s="1"/>
      <c r="AJU7" s="1"/>
      <c r="AJV7" s="1"/>
      <c r="AJW7" s="1"/>
      <c r="AJX7" s="1"/>
      <c r="AJY7" s="1"/>
      <c r="AJZ7" s="1"/>
      <c r="AKA7" s="1"/>
      <c r="AKB7" s="1"/>
      <c r="AKC7" s="1"/>
      <c r="AKD7" s="1"/>
      <c r="AKE7" s="1"/>
      <c r="AKF7" s="1"/>
      <c r="AKG7" s="1"/>
      <c r="AKH7" s="1"/>
      <c r="AKI7" s="1"/>
      <c r="AKJ7" s="1"/>
      <c r="AKK7" s="1"/>
      <c r="AKL7" s="1"/>
      <c r="AKM7" s="1"/>
      <c r="AKN7" s="1"/>
      <c r="AKO7" s="1"/>
      <c r="AKP7" s="1"/>
      <c r="AKQ7" s="1"/>
      <c r="AKR7" s="1"/>
      <c r="AKS7" s="1"/>
      <c r="AKT7" s="1"/>
      <c r="AKU7" s="1"/>
      <c r="AKV7" s="1"/>
      <c r="AKW7" s="1"/>
      <c r="AKX7" s="1"/>
      <c r="AKY7" s="1"/>
      <c r="AKZ7" s="1"/>
      <c r="ALA7" s="1"/>
      <c r="ALB7" s="1"/>
      <c r="ALC7" s="1"/>
      <c r="ALD7" s="1"/>
      <c r="ALE7" s="1"/>
      <c r="ALF7" s="1"/>
      <c r="ALG7" s="1"/>
      <c r="ALH7" s="1"/>
      <c r="ALI7" s="1"/>
      <c r="ALJ7" s="1"/>
      <c r="ALK7" s="1"/>
      <c r="ALL7" s="1"/>
      <c r="ALM7" s="1"/>
      <c r="ALN7" s="1"/>
      <c r="ALO7" s="1"/>
      <c r="ALP7" s="1"/>
      <c r="ALQ7" s="1"/>
      <c r="ALR7" s="1"/>
      <c r="ALS7" s="1"/>
      <c r="ALT7" s="1"/>
      <c r="ALU7" s="1"/>
      <c r="ALV7" s="1"/>
      <c r="ALW7" s="1"/>
      <c r="ALX7" s="1"/>
      <c r="ALY7" s="1"/>
      <c r="ALZ7" s="1"/>
      <c r="AMA7" s="1"/>
      <c r="AMB7" s="1"/>
      <c r="AMC7" s="1"/>
      <c r="AMD7" s="1"/>
      <c r="AME7" s="1"/>
      <c r="AMF7" s="1"/>
      <c r="AMG7" s="1"/>
      <c r="AMH7" s="1"/>
      <c r="AMI7" s="1"/>
      <c r="AMJ7" s="1"/>
      <c r="AMK7" s="1"/>
      <c r="AML7" s="1"/>
      <c r="AMM7" s="1"/>
      <c r="AMN7" s="1"/>
      <c r="AMO7" s="1"/>
    </row>
    <row r="8" spans="1:1029" x14ac:dyDescent="0.2">
      <c r="A8" s="3" t="str">
        <f t="shared" si="0"/>
        <v>5ht2b_human_4IB4</v>
      </c>
      <c r="B8" s="3" t="s">
        <v>35</v>
      </c>
      <c r="C8" s="3" t="s">
        <v>70</v>
      </c>
      <c r="D8" s="3" t="str">
        <f>IFERROR(MID(VLOOKUP($B8,Seqs!$A:$B,2,0),E8,1),"")</f>
        <v>K</v>
      </c>
      <c r="E8" s="3">
        <v>53</v>
      </c>
      <c r="F8" s="3" t="str">
        <f>IFERROR(MID(VLOOKUP($B8,Seqs!$A:$B,2,0),G8,1),"")</f>
        <v>E</v>
      </c>
      <c r="G8" s="3">
        <v>82</v>
      </c>
      <c r="H8" s="3" t="str">
        <f>IFERROR(MID(VLOOKUP($B8,Seqs!$A:$B,2,0),I8,1),"")</f>
        <v>K</v>
      </c>
      <c r="I8" s="23">
        <v>83</v>
      </c>
      <c r="J8" s="3" t="str">
        <f>IFERROR(MID(VLOOKUP($B8,Seqs!$A:$B,2,0),K8,1),"")</f>
        <v>Q</v>
      </c>
      <c r="K8" s="23">
        <v>86</v>
      </c>
      <c r="L8" s="3" t="str">
        <f>IFERROR(MID(VLOOKUP($B8,Seqs!$A:$B,2,0),M8,1),"")</f>
        <v>Y</v>
      </c>
      <c r="M8" s="3">
        <v>87</v>
      </c>
      <c r="N8" s="3" t="str">
        <f>IFERROR(MID(VLOOKUP($B8,Seqs!$A:$B,2,0),O8,1),"")</f>
        <v>F</v>
      </c>
      <c r="O8" s="3">
        <v>117</v>
      </c>
      <c r="P8" s="3" t="str">
        <f>IFERROR(MID(VLOOKUP($B8,Seqs!$A:$B,2,0),Q8,1),"")</f>
        <v>M</v>
      </c>
      <c r="Q8" s="3">
        <v>120</v>
      </c>
      <c r="R8" s="3" t="str">
        <f>IFERROR(MID(VLOOKUP($B8,Seqs!$A:$B,2,0),S8,1),"")</f>
        <v>L</v>
      </c>
      <c r="S8" s="3">
        <v>123</v>
      </c>
      <c r="T8" s="3" t="str">
        <f>IFERROR(MID(VLOOKUP($B8,Seqs!$A:$B,2,0),U8,1),"")</f>
        <v>P</v>
      </c>
      <c r="U8" s="3">
        <v>124</v>
      </c>
      <c r="V8" s="3" t="str">
        <f>IFERROR(MID(VLOOKUP($B8,Seqs!$A:$B,2,0),W8,1),"")</f>
        <v>K</v>
      </c>
      <c r="W8" s="3">
        <v>159</v>
      </c>
      <c r="X8" s="3" t="str">
        <f>IFERROR(MID(VLOOKUP($B8,Seqs!$A:$B,2,0),Y8,1),"")</f>
        <v/>
      </c>
      <c r="Y8" s="3" t="s">
        <v>23</v>
      </c>
      <c r="Z8" s="3" t="str">
        <f>IFERROR(MID(VLOOKUP($B8,Seqs!$A:$B,2,0),AA8,1),"")</f>
        <v/>
      </c>
      <c r="AA8" s="3" t="s">
        <v>23</v>
      </c>
      <c r="AB8" s="3" t="str">
        <f>IFERROR(MID(VLOOKUP($B8,Seqs!$A:$B,2,0),AC8,1),"")</f>
        <v>N</v>
      </c>
      <c r="AC8" s="3">
        <v>164</v>
      </c>
      <c r="AD8" s="3" t="str">
        <f>IFERROR(MID(VLOOKUP($B8,Seqs!$A:$B,2,0),AE8,1),"")</f>
        <v>G</v>
      </c>
      <c r="AE8" s="3">
        <v>194</v>
      </c>
      <c r="AF8" s="3" t="str">
        <f>IFERROR(MID(VLOOKUP($B8,Seqs!$A:$B,2,0),AG8,1),"")</f>
        <v>C</v>
      </c>
      <c r="AG8" s="3">
        <v>207</v>
      </c>
      <c r="AH8" s="3" t="str">
        <f>IFERROR(MID(VLOOKUP($B8,Seqs!$A:$B,2,0),AI8,1),"")</f>
        <v>L</v>
      </c>
      <c r="AI8" s="3">
        <v>209</v>
      </c>
      <c r="AJ8" s="3" t="str">
        <f>IFERROR(MID(VLOOKUP($B8,Seqs!$A:$B,2,0),AK8,1),"")</f>
        <v>F</v>
      </c>
      <c r="AK8" s="3">
        <v>214</v>
      </c>
      <c r="AL8" s="3" t="str">
        <f>IFERROR(MID(VLOOKUP($B8,Seqs!$A:$B,2,0),AM8,1),"")</f>
        <v>A</v>
      </c>
      <c r="AM8" s="3">
        <v>248</v>
      </c>
      <c r="AN8" s="3" t="str">
        <f>IFERROR(MID(VLOOKUP($B8,Seqs!$A:$B,2,0),AO8,1),"")</f>
        <v>Q</v>
      </c>
      <c r="AO8" s="3">
        <v>314</v>
      </c>
      <c r="AP8" s="3" t="str">
        <f>IFERROR(MID(VLOOKUP($B8,Seqs!$A:$B,2,0),AQ8,1),"")</f>
        <v>C</v>
      </c>
      <c r="AQ8" s="3">
        <v>350</v>
      </c>
      <c r="AR8" s="3" t="str">
        <f>IFERROR(MID(VLOOKUP($B8,Seqs!$A:$B,2,0),AS8,1),"")</f>
        <v>N</v>
      </c>
      <c r="AS8" s="3">
        <v>354</v>
      </c>
      <c r="AT8" s="3" t="str">
        <f>IFERROR(MID(VLOOKUP($B8,Seqs!$A:$B,2,0),AU8,1),"")</f>
        <v>F</v>
      </c>
      <c r="AU8" s="3">
        <v>383</v>
      </c>
      <c r="AV8" s="3" t="str">
        <f>IFERROR(MID(VLOOKUP($B8,Seqs!$A:$B,2,0),AW8,1),"")</f>
        <v>N</v>
      </c>
      <c r="AW8" s="3">
        <v>384</v>
      </c>
      <c r="AX8" s="3" t="str">
        <f>IFERROR(MID(VLOOKUP($B8,Seqs!$A:$B,2,0),AY8,1),"")</f>
        <v>I</v>
      </c>
      <c r="AY8" s="3">
        <v>395</v>
      </c>
      <c r="AZ8" s="77" t="str">
        <f>VLOOKUP(B8,Classification!A:D,2,0)</f>
        <v>A</v>
      </c>
      <c r="BA8" s="94" t="str">
        <f>VLOOKUP(B8,Classification!A:D,4,0)</f>
        <v>5-Hydroxytryptamine</v>
      </c>
      <c r="BB8" s="27" t="b">
        <f t="shared" si="1"/>
        <v>1</v>
      </c>
      <c r="BC8" s="23">
        <f t="shared" si="2"/>
        <v>254</v>
      </c>
      <c r="BD8" s="16" t="s">
        <v>1440</v>
      </c>
      <c r="BE8" s="3" t="s">
        <v>1439</v>
      </c>
      <c r="BF8" s="119">
        <v>2.7</v>
      </c>
      <c r="BG8" s="49" t="s">
        <v>1384</v>
      </c>
      <c r="BH8" s="49" t="s">
        <v>1384</v>
      </c>
      <c r="BI8" s="1"/>
      <c r="BJ8" s="70" t="s">
        <v>1293</v>
      </c>
      <c r="BK8" s="57" t="s">
        <v>1293</v>
      </c>
      <c r="BL8" s="57" t="s">
        <v>1293</v>
      </c>
      <c r="BM8" s="57" t="s">
        <v>1293</v>
      </c>
      <c r="BN8" s="57" t="s">
        <v>1293</v>
      </c>
      <c r="BO8" s="57" t="s">
        <v>1293</v>
      </c>
      <c r="BP8" s="57" t="s">
        <v>1293</v>
      </c>
      <c r="BQ8" s="57" t="s">
        <v>1293</v>
      </c>
      <c r="BR8" s="57" t="s">
        <v>1293</v>
      </c>
      <c r="BS8" s="57" t="s">
        <v>1293</v>
      </c>
      <c r="BT8" s="57" t="s">
        <v>1293</v>
      </c>
      <c r="BU8" s="57" t="s">
        <v>1293</v>
      </c>
      <c r="BV8" s="70">
        <f t="shared" si="3"/>
        <v>53</v>
      </c>
      <c r="BW8" s="71">
        <f t="shared" si="4"/>
        <v>83</v>
      </c>
      <c r="BX8" s="72">
        <f t="shared" si="5"/>
        <v>87</v>
      </c>
      <c r="BY8" s="71">
        <f t="shared" si="6"/>
        <v>120</v>
      </c>
      <c r="BZ8" s="72">
        <f t="shared" si="7"/>
        <v>124</v>
      </c>
      <c r="CA8" s="71" t="str">
        <f t="shared" si="8"/>
        <v>-</v>
      </c>
      <c r="CB8" s="72">
        <f t="shared" si="9"/>
        <v>164</v>
      </c>
      <c r="CC8" s="71">
        <f t="shared" si="10"/>
        <v>207</v>
      </c>
      <c r="CD8" s="72">
        <f t="shared" si="11"/>
        <v>214</v>
      </c>
      <c r="CE8" s="71">
        <f t="shared" si="12"/>
        <v>314</v>
      </c>
      <c r="CF8" s="72">
        <f t="shared" si="13"/>
        <v>354</v>
      </c>
      <c r="CG8" s="71">
        <f t="shared" si="14"/>
        <v>384</v>
      </c>
      <c r="CH8" s="70">
        <f t="shared" si="15"/>
        <v>82</v>
      </c>
      <c r="CI8" s="71">
        <f t="shared" si="16"/>
        <v>86</v>
      </c>
      <c r="CJ8" s="72">
        <f t="shared" si="17"/>
        <v>117</v>
      </c>
      <c r="CK8" s="72">
        <f t="shared" si="18"/>
        <v>123</v>
      </c>
      <c r="CL8" s="72">
        <f t="shared" si="19"/>
        <v>159</v>
      </c>
      <c r="CM8" s="72" t="str">
        <f t="shared" si="20"/>
        <v>-</v>
      </c>
      <c r="CN8" s="72">
        <f t="shared" si="21"/>
        <v>194</v>
      </c>
      <c r="CO8" s="72">
        <f t="shared" si="22"/>
        <v>209</v>
      </c>
      <c r="CP8" s="72">
        <f t="shared" si="23"/>
        <v>248</v>
      </c>
      <c r="CQ8" s="72">
        <f t="shared" si="24"/>
        <v>350</v>
      </c>
      <c r="CR8" s="72">
        <f t="shared" si="25"/>
        <v>383</v>
      </c>
      <c r="CS8" s="72">
        <f t="shared" si="26"/>
        <v>395</v>
      </c>
      <c r="CT8" s="23">
        <f t="shared" si="27"/>
        <v>1</v>
      </c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  <c r="TB8" s="1"/>
      <c r="TC8" s="1"/>
      <c r="TD8" s="1"/>
      <c r="TE8" s="1"/>
      <c r="TF8" s="1"/>
      <c r="TG8" s="1"/>
      <c r="TH8" s="1"/>
      <c r="TI8" s="1"/>
      <c r="TJ8" s="1"/>
      <c r="TK8" s="1"/>
      <c r="TL8" s="1"/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1"/>
      <c r="UK8" s="1"/>
      <c r="UL8" s="1"/>
      <c r="UM8" s="1"/>
      <c r="UN8" s="1"/>
      <c r="UO8" s="1"/>
      <c r="UP8" s="1"/>
      <c r="UQ8" s="1"/>
      <c r="UR8" s="1"/>
      <c r="US8" s="1"/>
      <c r="UT8" s="1"/>
      <c r="UU8" s="1"/>
      <c r="UV8" s="1"/>
      <c r="UW8" s="1"/>
      <c r="UX8" s="1"/>
      <c r="UY8" s="1"/>
      <c r="UZ8" s="1"/>
      <c r="VA8" s="1"/>
      <c r="VB8" s="1"/>
      <c r="VC8" s="1"/>
      <c r="VD8" s="1"/>
      <c r="VE8" s="1"/>
      <c r="VF8" s="1"/>
      <c r="VG8" s="1"/>
      <c r="VH8" s="1"/>
      <c r="VI8" s="1"/>
      <c r="VJ8" s="1"/>
      <c r="VK8" s="1"/>
      <c r="VL8" s="1"/>
      <c r="VM8" s="1"/>
      <c r="VN8" s="1"/>
      <c r="VO8" s="1"/>
      <c r="VP8" s="1"/>
      <c r="VQ8" s="1"/>
      <c r="VR8" s="1"/>
      <c r="VS8" s="1"/>
      <c r="VT8" s="1"/>
      <c r="VU8" s="1"/>
      <c r="VV8" s="1"/>
      <c r="VW8" s="1"/>
      <c r="VX8" s="1"/>
      <c r="VY8" s="1"/>
      <c r="VZ8" s="1"/>
      <c r="WA8" s="1"/>
      <c r="WB8" s="1"/>
      <c r="WC8" s="1"/>
      <c r="WD8" s="1"/>
      <c r="WE8" s="1"/>
      <c r="WF8" s="1"/>
      <c r="WG8" s="1"/>
      <c r="WH8" s="1"/>
      <c r="WI8" s="1"/>
      <c r="WJ8" s="1"/>
      <c r="WK8" s="1"/>
      <c r="WL8" s="1"/>
      <c r="WM8" s="1"/>
      <c r="WN8" s="1"/>
      <c r="WO8" s="1"/>
      <c r="WP8" s="1"/>
      <c r="WQ8" s="1"/>
      <c r="WR8" s="1"/>
      <c r="WS8" s="1"/>
      <c r="WT8" s="1"/>
      <c r="WU8" s="1"/>
      <c r="WV8" s="1"/>
      <c r="WW8" s="1"/>
      <c r="WX8" s="1"/>
      <c r="WY8" s="1"/>
      <c r="WZ8" s="1"/>
      <c r="XA8" s="1"/>
      <c r="XB8" s="1"/>
      <c r="XC8" s="1"/>
      <c r="XD8" s="1"/>
      <c r="XE8" s="1"/>
      <c r="XF8" s="1"/>
      <c r="XG8" s="1"/>
      <c r="XH8" s="1"/>
      <c r="XI8" s="1"/>
      <c r="XJ8" s="1"/>
      <c r="XK8" s="1"/>
      <c r="XL8" s="1"/>
      <c r="XM8" s="1"/>
      <c r="XN8" s="1"/>
      <c r="XO8" s="1"/>
      <c r="XP8" s="1"/>
      <c r="XQ8" s="1"/>
      <c r="XR8" s="1"/>
      <c r="XS8" s="1"/>
      <c r="XT8" s="1"/>
      <c r="XU8" s="1"/>
      <c r="XV8" s="1"/>
      <c r="XW8" s="1"/>
      <c r="XX8" s="1"/>
      <c r="XY8" s="1"/>
      <c r="XZ8" s="1"/>
      <c r="YA8" s="1"/>
      <c r="YB8" s="1"/>
      <c r="YC8" s="1"/>
      <c r="YD8" s="1"/>
      <c r="YE8" s="1"/>
      <c r="YF8" s="1"/>
      <c r="YG8" s="1"/>
      <c r="YH8" s="1"/>
      <c r="YI8" s="1"/>
      <c r="YJ8" s="1"/>
      <c r="YK8" s="1"/>
      <c r="YL8" s="1"/>
      <c r="YM8" s="1"/>
      <c r="YN8" s="1"/>
      <c r="YO8" s="1"/>
      <c r="YP8" s="1"/>
      <c r="YQ8" s="1"/>
      <c r="YR8" s="1"/>
      <c r="YS8" s="1"/>
      <c r="YT8" s="1"/>
      <c r="YU8" s="1"/>
      <c r="YV8" s="1"/>
      <c r="YW8" s="1"/>
      <c r="YX8" s="1"/>
      <c r="YY8" s="1"/>
      <c r="YZ8" s="1"/>
      <c r="ZA8" s="1"/>
      <c r="ZB8" s="1"/>
      <c r="ZC8" s="1"/>
      <c r="ZD8" s="1"/>
      <c r="ZE8" s="1"/>
      <c r="ZF8" s="1"/>
      <c r="ZG8" s="1"/>
      <c r="ZH8" s="1"/>
      <c r="ZI8" s="1"/>
      <c r="ZJ8" s="1"/>
      <c r="ZK8" s="1"/>
      <c r="ZL8" s="1"/>
      <c r="ZM8" s="1"/>
      <c r="ZN8" s="1"/>
      <c r="ZO8" s="1"/>
      <c r="ZP8" s="1"/>
      <c r="ZQ8" s="1"/>
      <c r="ZR8" s="1"/>
      <c r="ZS8" s="1"/>
      <c r="ZT8" s="1"/>
      <c r="ZU8" s="1"/>
      <c r="ZV8" s="1"/>
      <c r="ZW8" s="1"/>
      <c r="ZX8" s="1"/>
      <c r="ZY8" s="1"/>
      <c r="ZZ8" s="1"/>
      <c r="AAA8" s="1"/>
      <c r="AAB8" s="1"/>
      <c r="AAC8" s="1"/>
      <c r="AAD8" s="1"/>
      <c r="AAE8" s="1"/>
      <c r="AAF8" s="1"/>
      <c r="AAG8" s="1"/>
      <c r="AAH8" s="1"/>
      <c r="AAI8" s="1"/>
      <c r="AAJ8" s="1"/>
      <c r="AAK8" s="1"/>
      <c r="AAL8" s="1"/>
      <c r="AAM8" s="1"/>
      <c r="AAN8" s="1"/>
      <c r="AAO8" s="1"/>
      <c r="AAP8" s="1"/>
      <c r="AAQ8" s="1"/>
      <c r="AAR8" s="1"/>
      <c r="AAS8" s="1"/>
      <c r="AAT8" s="1"/>
      <c r="AAU8" s="1"/>
      <c r="AAV8" s="1"/>
      <c r="AAW8" s="1"/>
      <c r="AAX8" s="1"/>
      <c r="AAY8" s="1"/>
      <c r="AAZ8" s="1"/>
      <c r="ABA8" s="1"/>
      <c r="ABB8" s="1"/>
      <c r="ABC8" s="1"/>
      <c r="ABD8" s="1"/>
      <c r="ABE8" s="1"/>
      <c r="ABF8" s="1"/>
      <c r="ABG8" s="1"/>
      <c r="ABH8" s="1"/>
      <c r="ABI8" s="1"/>
      <c r="ABJ8" s="1"/>
      <c r="ABK8" s="1"/>
      <c r="ABL8" s="1"/>
      <c r="ABM8" s="1"/>
      <c r="ABN8" s="1"/>
      <c r="ABO8" s="1"/>
      <c r="ABP8" s="1"/>
      <c r="ABQ8" s="1"/>
      <c r="ABR8" s="1"/>
      <c r="ABS8" s="1"/>
      <c r="ABT8" s="1"/>
      <c r="ABU8" s="1"/>
      <c r="ABV8" s="1"/>
      <c r="ABW8" s="1"/>
      <c r="ABX8" s="1"/>
      <c r="ABY8" s="1"/>
      <c r="ABZ8" s="1"/>
      <c r="ACA8" s="1"/>
      <c r="ACB8" s="1"/>
      <c r="ACC8" s="1"/>
      <c r="ACD8" s="1"/>
      <c r="ACE8" s="1"/>
      <c r="ACF8" s="1"/>
      <c r="ACG8" s="1"/>
      <c r="ACH8" s="1"/>
      <c r="ACI8" s="1"/>
      <c r="ACJ8" s="1"/>
      <c r="ACK8" s="1"/>
      <c r="ACL8" s="1"/>
      <c r="ACM8" s="1"/>
      <c r="ACN8" s="1"/>
      <c r="ACO8" s="1"/>
      <c r="ACP8" s="1"/>
      <c r="ACQ8" s="1"/>
      <c r="ACR8" s="1"/>
      <c r="ACS8" s="1"/>
      <c r="ACT8" s="1"/>
      <c r="ACU8" s="1"/>
      <c r="ACV8" s="1"/>
      <c r="ACW8" s="1"/>
      <c r="ACX8" s="1"/>
      <c r="ACY8" s="1"/>
      <c r="ACZ8" s="1"/>
      <c r="ADA8" s="1"/>
      <c r="ADB8" s="1"/>
      <c r="ADC8" s="1"/>
      <c r="ADD8" s="1"/>
      <c r="ADE8" s="1"/>
      <c r="ADF8" s="1"/>
      <c r="ADG8" s="1"/>
      <c r="ADH8" s="1"/>
      <c r="ADI8" s="1"/>
      <c r="ADJ8" s="1"/>
      <c r="ADK8" s="1"/>
      <c r="ADL8" s="1"/>
      <c r="ADM8" s="1"/>
      <c r="ADN8" s="1"/>
      <c r="ADO8" s="1"/>
      <c r="ADP8" s="1"/>
      <c r="ADQ8" s="1"/>
      <c r="ADR8" s="1"/>
      <c r="ADS8" s="1"/>
      <c r="ADT8" s="1"/>
      <c r="ADU8" s="1"/>
      <c r="ADV8" s="1"/>
      <c r="ADW8" s="1"/>
      <c r="ADX8" s="1"/>
      <c r="ADY8" s="1"/>
      <c r="ADZ8" s="1"/>
      <c r="AEA8" s="1"/>
      <c r="AEB8" s="1"/>
      <c r="AEC8" s="1"/>
      <c r="AED8" s="1"/>
      <c r="AEE8" s="1"/>
      <c r="AEF8" s="1"/>
      <c r="AEG8" s="1"/>
      <c r="AEH8" s="1"/>
      <c r="AEI8" s="1"/>
      <c r="AEJ8" s="1"/>
      <c r="AEK8" s="1"/>
      <c r="AEL8" s="1"/>
      <c r="AEM8" s="1"/>
      <c r="AEN8" s="1"/>
      <c r="AEO8" s="1"/>
      <c r="AEP8" s="1"/>
      <c r="AEQ8" s="1"/>
      <c r="AER8" s="1"/>
      <c r="AES8" s="1"/>
      <c r="AET8" s="1"/>
      <c r="AEU8" s="1"/>
      <c r="AEV8" s="1"/>
      <c r="AEW8" s="1"/>
      <c r="AEX8" s="1"/>
      <c r="AEY8" s="1"/>
      <c r="AEZ8" s="1"/>
      <c r="AFA8" s="1"/>
      <c r="AFB8" s="1"/>
      <c r="AFC8" s="1"/>
      <c r="AFD8" s="1"/>
      <c r="AFE8" s="1"/>
      <c r="AFF8" s="1"/>
      <c r="AFG8" s="1"/>
      <c r="AFH8" s="1"/>
      <c r="AFI8" s="1"/>
      <c r="AFJ8" s="1"/>
      <c r="AFK8" s="1"/>
      <c r="AFL8" s="1"/>
      <c r="AFM8" s="1"/>
      <c r="AFN8" s="1"/>
      <c r="AFO8" s="1"/>
      <c r="AFP8" s="1"/>
      <c r="AFQ8" s="1"/>
      <c r="AFR8" s="1"/>
      <c r="AFS8" s="1"/>
      <c r="AFT8" s="1"/>
      <c r="AFU8" s="1"/>
      <c r="AFV8" s="1"/>
      <c r="AFW8" s="1"/>
      <c r="AFX8" s="1"/>
      <c r="AFY8" s="1"/>
      <c r="AFZ8" s="1"/>
      <c r="AGA8" s="1"/>
      <c r="AGB8" s="1"/>
      <c r="AGC8" s="1"/>
      <c r="AGD8" s="1"/>
      <c r="AGE8" s="1"/>
      <c r="AGF8" s="1"/>
      <c r="AGG8" s="1"/>
      <c r="AGH8" s="1"/>
      <c r="AGI8" s="1"/>
      <c r="AGJ8" s="1"/>
      <c r="AGK8" s="1"/>
      <c r="AGL8" s="1"/>
      <c r="AGM8" s="1"/>
      <c r="AGN8" s="1"/>
      <c r="AGO8" s="1"/>
      <c r="AGP8" s="1"/>
      <c r="AGQ8" s="1"/>
      <c r="AGR8" s="1"/>
      <c r="AGS8" s="1"/>
      <c r="AGT8" s="1"/>
      <c r="AGU8" s="1"/>
      <c r="AGV8" s="1"/>
      <c r="AGW8" s="1"/>
      <c r="AGX8" s="1"/>
      <c r="AGY8" s="1"/>
      <c r="AGZ8" s="1"/>
      <c r="AHA8" s="1"/>
      <c r="AHB8" s="1"/>
      <c r="AHC8" s="1"/>
      <c r="AHD8" s="1"/>
      <c r="AHE8" s="1"/>
      <c r="AHF8" s="1"/>
      <c r="AHG8" s="1"/>
      <c r="AHH8" s="1"/>
      <c r="AHI8" s="1"/>
      <c r="AHJ8" s="1"/>
      <c r="AHK8" s="1"/>
      <c r="AHL8" s="1"/>
      <c r="AHM8" s="1"/>
      <c r="AHN8" s="1"/>
      <c r="AHO8" s="1"/>
      <c r="AHP8" s="1"/>
      <c r="AHQ8" s="1"/>
      <c r="AHR8" s="1"/>
      <c r="AHS8" s="1"/>
      <c r="AHT8" s="1"/>
      <c r="AHU8" s="1"/>
      <c r="AHV8" s="1"/>
      <c r="AHW8" s="1"/>
      <c r="AHX8" s="1"/>
      <c r="AHY8" s="1"/>
      <c r="AHZ8" s="1"/>
      <c r="AIA8" s="1"/>
      <c r="AIB8" s="1"/>
      <c r="AIC8" s="1"/>
      <c r="AID8" s="1"/>
      <c r="AIE8" s="1"/>
      <c r="AIF8" s="1"/>
      <c r="AIG8" s="1"/>
      <c r="AIH8" s="1"/>
      <c r="AII8" s="1"/>
      <c r="AIJ8" s="1"/>
      <c r="AIK8" s="1"/>
      <c r="AIL8" s="1"/>
      <c r="AIM8" s="1"/>
      <c r="AIN8" s="1"/>
      <c r="AIO8" s="1"/>
      <c r="AIP8" s="1"/>
      <c r="AIQ8" s="1"/>
      <c r="AIR8" s="1"/>
      <c r="AIS8" s="1"/>
      <c r="AIT8" s="1"/>
      <c r="AIU8" s="1"/>
      <c r="AIV8" s="1"/>
      <c r="AIW8" s="1"/>
      <c r="AIX8" s="1"/>
      <c r="AIY8" s="1"/>
      <c r="AIZ8" s="1"/>
      <c r="AJA8" s="1"/>
      <c r="AJB8" s="1"/>
      <c r="AJC8" s="1"/>
      <c r="AJD8" s="1"/>
      <c r="AJE8" s="1"/>
      <c r="AJF8" s="1"/>
      <c r="AJG8" s="1"/>
      <c r="AJH8" s="1"/>
      <c r="AJI8" s="1"/>
      <c r="AJJ8" s="1"/>
      <c r="AJK8" s="1"/>
      <c r="AJL8" s="1"/>
      <c r="AJM8" s="1"/>
      <c r="AJN8" s="1"/>
      <c r="AJO8" s="1"/>
      <c r="AJP8" s="1"/>
      <c r="AJQ8" s="1"/>
      <c r="AJR8" s="1"/>
      <c r="AJS8" s="1"/>
      <c r="AJT8" s="1"/>
      <c r="AJU8" s="1"/>
      <c r="AJV8" s="1"/>
      <c r="AJW8" s="1"/>
      <c r="AJX8" s="1"/>
      <c r="AJY8" s="1"/>
      <c r="AJZ8" s="1"/>
      <c r="AKA8" s="1"/>
      <c r="AKB8" s="1"/>
      <c r="AKC8" s="1"/>
      <c r="AKD8" s="1"/>
      <c r="AKE8" s="1"/>
      <c r="AKF8" s="1"/>
      <c r="AKG8" s="1"/>
      <c r="AKH8" s="1"/>
      <c r="AKI8" s="1"/>
      <c r="AKJ8" s="1"/>
      <c r="AKK8" s="1"/>
      <c r="AKL8" s="1"/>
      <c r="AKM8" s="1"/>
      <c r="AKN8" s="1"/>
      <c r="AKO8" s="1"/>
      <c r="AKP8" s="1"/>
      <c r="AKQ8" s="1"/>
      <c r="AKR8" s="1"/>
      <c r="AKS8" s="1"/>
      <c r="AKT8" s="1"/>
      <c r="AKU8" s="1"/>
      <c r="AKV8" s="1"/>
      <c r="AKW8" s="1"/>
      <c r="AKX8" s="1"/>
      <c r="AKY8" s="1"/>
      <c r="AKZ8" s="1"/>
      <c r="ALA8" s="1"/>
      <c r="ALB8" s="1"/>
      <c r="ALC8" s="1"/>
      <c r="ALD8" s="1"/>
      <c r="ALE8" s="1"/>
      <c r="ALF8" s="1"/>
      <c r="ALG8" s="1"/>
      <c r="ALH8" s="1"/>
      <c r="ALI8" s="1"/>
      <c r="ALJ8" s="1"/>
      <c r="ALK8" s="1"/>
      <c r="ALL8" s="1"/>
      <c r="ALM8" s="1"/>
      <c r="ALN8" s="1"/>
      <c r="ALO8" s="1"/>
      <c r="ALP8" s="1"/>
      <c r="ALQ8" s="1"/>
      <c r="ALR8" s="1"/>
      <c r="ALS8" s="1"/>
      <c r="ALT8" s="1"/>
      <c r="ALU8" s="1"/>
      <c r="ALV8" s="1"/>
      <c r="ALW8" s="1"/>
      <c r="ALX8" s="1"/>
      <c r="ALY8" s="1"/>
      <c r="ALZ8" s="1"/>
      <c r="AMA8" s="1"/>
      <c r="AMB8" s="1"/>
      <c r="AMC8" s="1"/>
      <c r="AMD8" s="1"/>
      <c r="AME8" s="1"/>
      <c r="AMF8" s="1"/>
      <c r="AMG8" s="1"/>
      <c r="AMH8" s="1"/>
      <c r="AMI8" s="1"/>
      <c r="AMJ8" s="1"/>
      <c r="AMK8" s="1"/>
      <c r="AML8" s="1"/>
      <c r="AMM8" s="1"/>
      <c r="AMN8" s="1"/>
      <c r="AMO8" s="1"/>
    </row>
    <row r="9" spans="1:1029" x14ac:dyDescent="0.2">
      <c r="A9" s="3" t="str">
        <f t="shared" si="0"/>
        <v>5ht2b_human_4IB4_dist</v>
      </c>
      <c r="B9" s="3" t="s">
        <v>35</v>
      </c>
      <c r="C9" s="3" t="s">
        <v>1165</v>
      </c>
      <c r="D9" s="3" t="str">
        <f>IFERROR(MID(VLOOKUP($B9,Seqs!$A:$B,2,0),E9,1),"")</f>
        <v>K</v>
      </c>
      <c r="E9" s="3">
        <v>53</v>
      </c>
      <c r="F9" s="3" t="str">
        <f>IFERROR(MID(VLOOKUP($B9,Seqs!$A:$B,2,0),G9,1),"")</f>
        <v>E</v>
      </c>
      <c r="G9" s="3">
        <v>82</v>
      </c>
      <c r="H9" s="3" t="str">
        <f>IFERROR(MID(VLOOKUP($B9,Seqs!$A:$B,2,0),I9,1),"")</f>
        <v>K</v>
      </c>
      <c r="I9" s="23">
        <v>83</v>
      </c>
      <c r="J9" s="3" t="str">
        <f>IFERROR(MID(VLOOKUP($B9,Seqs!$A:$B,2,0),K9,1),"")</f>
        <v>Q</v>
      </c>
      <c r="K9" s="23">
        <v>86</v>
      </c>
      <c r="L9" s="3" t="str">
        <f>IFERROR(MID(VLOOKUP($B9,Seqs!$A:$B,2,0),M9,1),"")</f>
        <v>Y</v>
      </c>
      <c r="M9" s="3">
        <v>87</v>
      </c>
      <c r="N9" s="3" t="str">
        <f>IFERROR(MID(VLOOKUP($B9,Seqs!$A:$B,2,0),O9,1),"")</f>
        <v>F</v>
      </c>
      <c r="O9" s="3">
        <v>117</v>
      </c>
      <c r="P9" s="3" t="str">
        <f>IFERROR(MID(VLOOKUP($B9,Seqs!$A:$B,2,0),Q9,1),"")</f>
        <v>M</v>
      </c>
      <c r="Q9" s="3">
        <v>120</v>
      </c>
      <c r="R9" s="3" t="str">
        <f>IFERROR(MID(VLOOKUP($B9,Seqs!$A:$B,2,0),S9,1),"")</f>
        <v>L</v>
      </c>
      <c r="S9" s="3">
        <v>123</v>
      </c>
      <c r="T9" s="3" t="str">
        <f>IFERROR(MID(VLOOKUP($B9,Seqs!$A:$B,2,0),U9,1),"")</f>
        <v>P</v>
      </c>
      <c r="U9" s="3">
        <v>124</v>
      </c>
      <c r="V9" s="3" t="str">
        <f>IFERROR(MID(VLOOKUP($B9,Seqs!$A:$B,2,0),W9,1),"")</f>
        <v>K</v>
      </c>
      <c r="W9" s="3">
        <v>159</v>
      </c>
      <c r="X9" s="3" t="str">
        <f>IFERROR(MID(VLOOKUP($B9,Seqs!$A:$B,2,0),Y9,1),"")</f>
        <v/>
      </c>
      <c r="Y9" s="3" t="s">
        <v>23</v>
      </c>
      <c r="Z9" s="3" t="str">
        <f>IFERROR(MID(VLOOKUP($B9,Seqs!$A:$B,2,0),AA9,1),"")</f>
        <v/>
      </c>
      <c r="AA9" s="3" t="s">
        <v>23</v>
      </c>
      <c r="AB9" s="3" t="str">
        <f>IFERROR(MID(VLOOKUP($B9,Seqs!$A:$B,2,0),AC9,1),"")</f>
        <v>Q</v>
      </c>
      <c r="AC9" s="3">
        <v>165</v>
      </c>
      <c r="AD9" s="3" t="str">
        <f>IFERROR(MID(VLOOKUP($B9,Seqs!$A:$B,2,0),AE9,1),"")</f>
        <v>G</v>
      </c>
      <c r="AE9" s="3">
        <v>194</v>
      </c>
      <c r="AF9" s="3" t="str">
        <f>IFERROR(MID(VLOOKUP($B9,Seqs!$A:$B,2,0),AG9,1),"")</f>
        <v>C</v>
      </c>
      <c r="AG9" s="3">
        <v>207</v>
      </c>
      <c r="AH9" s="3" t="str">
        <f>IFERROR(MID(VLOOKUP($B9,Seqs!$A:$B,2,0),AI9,1),"")</f>
        <v>L</v>
      </c>
      <c r="AI9" s="3">
        <v>209</v>
      </c>
      <c r="AJ9" s="3" t="str">
        <f>IFERROR(MID(VLOOKUP($B9,Seqs!$A:$B,2,0),AK9,1),"")</f>
        <v>F</v>
      </c>
      <c r="AK9" s="3">
        <v>214</v>
      </c>
      <c r="AL9" s="3" t="str">
        <f>IFERROR(MID(VLOOKUP($B9,Seqs!$A:$B,2,0),AM9,1),"")</f>
        <v>A</v>
      </c>
      <c r="AM9" s="3">
        <v>248</v>
      </c>
      <c r="AN9" s="3" t="str">
        <f>IFERROR(MID(VLOOKUP($B9,Seqs!$A:$B,2,0),AO9,1),"")</f>
        <v>Q</v>
      </c>
      <c r="AO9" s="3">
        <v>314</v>
      </c>
      <c r="AP9" s="3" t="str">
        <f>IFERROR(MID(VLOOKUP($B9,Seqs!$A:$B,2,0),AQ9,1),"")</f>
        <v>C</v>
      </c>
      <c r="AQ9" s="3">
        <v>350</v>
      </c>
      <c r="AR9" s="3" t="str">
        <f>IFERROR(MID(VLOOKUP($B9,Seqs!$A:$B,2,0),AS9,1),"")</f>
        <v>N</v>
      </c>
      <c r="AS9" s="3">
        <v>354</v>
      </c>
      <c r="AT9" s="3" t="str">
        <f>IFERROR(MID(VLOOKUP($B9,Seqs!$A:$B,2,0),AU9,1),"")</f>
        <v>F</v>
      </c>
      <c r="AU9" s="3">
        <v>383</v>
      </c>
      <c r="AV9" s="3" t="str">
        <f>IFERROR(MID(VLOOKUP($B9,Seqs!$A:$B,2,0),AW9,1),"")</f>
        <v>N</v>
      </c>
      <c r="AW9" s="3">
        <v>384</v>
      </c>
      <c r="AX9" s="3" t="str">
        <f>IFERROR(MID(VLOOKUP($B9,Seqs!$A:$B,2,0),AY9,1),"")</f>
        <v>I</v>
      </c>
      <c r="AY9" s="3">
        <v>395</v>
      </c>
      <c r="AZ9" s="77" t="str">
        <f>VLOOKUP(B9,Classification!A:D,2,0)</f>
        <v>A</v>
      </c>
      <c r="BA9" s="94" t="str">
        <f>VLOOKUP(B9,Classification!A:D,4,0)</f>
        <v>5-Hydroxytryptamine</v>
      </c>
      <c r="BB9" s="27" t="b">
        <f t="shared" si="1"/>
        <v>1</v>
      </c>
      <c r="BC9" s="23">
        <f t="shared" si="2"/>
        <v>253</v>
      </c>
      <c r="BD9" s="56" t="s">
        <v>1379</v>
      </c>
      <c r="BE9" s="3" t="s">
        <v>1439</v>
      </c>
      <c r="BF9" s="119">
        <v>2.7</v>
      </c>
      <c r="BG9" s="49" t="s">
        <v>1384</v>
      </c>
      <c r="BH9" s="49" t="s">
        <v>1384</v>
      </c>
      <c r="BI9" s="1"/>
      <c r="BJ9" s="70" t="s">
        <v>1293</v>
      </c>
      <c r="BK9" s="57" t="s">
        <v>1293</v>
      </c>
      <c r="BL9" s="57" t="s">
        <v>1293</v>
      </c>
      <c r="BM9" s="57" t="s">
        <v>1293</v>
      </c>
      <c r="BN9" s="57" t="s">
        <v>1293</v>
      </c>
      <c r="BO9" s="57" t="s">
        <v>1293</v>
      </c>
      <c r="BP9" s="57" t="s">
        <v>1293</v>
      </c>
      <c r="BQ9" s="57" t="s">
        <v>1293</v>
      </c>
      <c r="BR9" s="57" t="s">
        <v>1293</v>
      </c>
      <c r="BS9" s="57" t="s">
        <v>1293</v>
      </c>
      <c r="BT9" s="57" t="s">
        <v>1293</v>
      </c>
      <c r="BU9" s="57" t="s">
        <v>1293</v>
      </c>
      <c r="BV9" s="70">
        <f t="shared" si="3"/>
        <v>53</v>
      </c>
      <c r="BW9" s="71">
        <f t="shared" si="4"/>
        <v>83</v>
      </c>
      <c r="BX9" s="72">
        <f t="shared" si="5"/>
        <v>87</v>
      </c>
      <c r="BY9" s="71">
        <f t="shared" si="6"/>
        <v>120</v>
      </c>
      <c r="BZ9" s="72">
        <f t="shared" si="7"/>
        <v>124</v>
      </c>
      <c r="CA9" s="71" t="str">
        <f t="shared" si="8"/>
        <v>-</v>
      </c>
      <c r="CB9" s="72">
        <f t="shared" si="9"/>
        <v>165</v>
      </c>
      <c r="CC9" s="71">
        <f t="shared" si="10"/>
        <v>207</v>
      </c>
      <c r="CD9" s="72">
        <f t="shared" si="11"/>
        <v>214</v>
      </c>
      <c r="CE9" s="71">
        <f t="shared" si="12"/>
        <v>314</v>
      </c>
      <c r="CF9" s="72">
        <f t="shared" si="13"/>
        <v>354</v>
      </c>
      <c r="CG9" s="71">
        <f t="shared" si="14"/>
        <v>384</v>
      </c>
      <c r="CH9" s="70">
        <f t="shared" si="15"/>
        <v>82</v>
      </c>
      <c r="CI9" s="71">
        <f t="shared" si="16"/>
        <v>86</v>
      </c>
      <c r="CJ9" s="72">
        <f t="shared" si="17"/>
        <v>117</v>
      </c>
      <c r="CK9" s="72">
        <f t="shared" si="18"/>
        <v>123</v>
      </c>
      <c r="CL9" s="72">
        <f t="shared" si="19"/>
        <v>159</v>
      </c>
      <c r="CM9" s="72" t="str">
        <f t="shared" si="20"/>
        <v>-</v>
      </c>
      <c r="CN9" s="72">
        <f t="shared" si="21"/>
        <v>194</v>
      </c>
      <c r="CO9" s="72">
        <f t="shared" si="22"/>
        <v>209</v>
      </c>
      <c r="CP9" s="72">
        <f t="shared" si="23"/>
        <v>248</v>
      </c>
      <c r="CQ9" s="72">
        <f t="shared" si="24"/>
        <v>350</v>
      </c>
      <c r="CR9" s="72">
        <f t="shared" si="25"/>
        <v>383</v>
      </c>
      <c r="CS9" s="72">
        <f t="shared" si="26"/>
        <v>395</v>
      </c>
      <c r="CT9" s="23">
        <f t="shared" si="27"/>
        <v>1</v>
      </c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  <c r="SQ9" s="1"/>
      <c r="SR9" s="1"/>
      <c r="SS9" s="1"/>
      <c r="ST9" s="1"/>
      <c r="SU9" s="1"/>
      <c r="SV9" s="1"/>
      <c r="SW9" s="1"/>
      <c r="SX9" s="1"/>
      <c r="SY9" s="1"/>
      <c r="SZ9" s="1"/>
      <c r="TA9" s="1"/>
      <c r="TB9" s="1"/>
      <c r="TC9" s="1"/>
      <c r="TD9" s="1"/>
      <c r="TE9" s="1"/>
      <c r="TF9" s="1"/>
      <c r="TG9" s="1"/>
      <c r="TH9" s="1"/>
      <c r="TI9" s="1"/>
      <c r="TJ9" s="1"/>
      <c r="TK9" s="1"/>
      <c r="TL9" s="1"/>
      <c r="TM9" s="1"/>
      <c r="TN9" s="1"/>
      <c r="TO9" s="1"/>
      <c r="TP9" s="1"/>
      <c r="TQ9" s="1"/>
      <c r="TR9" s="1"/>
      <c r="TS9" s="1"/>
      <c r="TT9" s="1"/>
      <c r="TU9" s="1"/>
      <c r="TV9" s="1"/>
      <c r="TW9" s="1"/>
      <c r="TX9" s="1"/>
      <c r="TY9" s="1"/>
      <c r="TZ9" s="1"/>
      <c r="UA9" s="1"/>
      <c r="UB9" s="1"/>
      <c r="UC9" s="1"/>
      <c r="UD9" s="1"/>
      <c r="UE9" s="1"/>
      <c r="UF9" s="1"/>
      <c r="UG9" s="1"/>
      <c r="UH9" s="1"/>
      <c r="UI9" s="1"/>
      <c r="UJ9" s="1"/>
      <c r="UK9" s="1"/>
      <c r="UL9" s="1"/>
      <c r="UM9" s="1"/>
      <c r="UN9" s="1"/>
      <c r="UO9" s="1"/>
      <c r="UP9" s="1"/>
      <c r="UQ9" s="1"/>
      <c r="UR9" s="1"/>
      <c r="US9" s="1"/>
      <c r="UT9" s="1"/>
      <c r="UU9" s="1"/>
      <c r="UV9" s="1"/>
      <c r="UW9" s="1"/>
      <c r="UX9" s="1"/>
      <c r="UY9" s="1"/>
      <c r="UZ9" s="1"/>
      <c r="VA9" s="1"/>
      <c r="VB9" s="1"/>
      <c r="VC9" s="1"/>
      <c r="VD9" s="1"/>
      <c r="VE9" s="1"/>
      <c r="VF9" s="1"/>
      <c r="VG9" s="1"/>
      <c r="VH9" s="1"/>
      <c r="VI9" s="1"/>
      <c r="VJ9" s="1"/>
      <c r="VK9" s="1"/>
      <c r="VL9" s="1"/>
      <c r="VM9" s="1"/>
      <c r="VN9" s="1"/>
      <c r="VO9" s="1"/>
      <c r="VP9" s="1"/>
      <c r="VQ9" s="1"/>
      <c r="VR9" s="1"/>
      <c r="VS9" s="1"/>
      <c r="VT9" s="1"/>
      <c r="VU9" s="1"/>
      <c r="VV9" s="1"/>
      <c r="VW9" s="1"/>
      <c r="VX9" s="1"/>
      <c r="VY9" s="1"/>
      <c r="VZ9" s="1"/>
      <c r="WA9" s="1"/>
      <c r="WB9" s="1"/>
      <c r="WC9" s="1"/>
      <c r="WD9" s="1"/>
      <c r="WE9" s="1"/>
      <c r="WF9" s="1"/>
      <c r="WG9" s="1"/>
      <c r="WH9" s="1"/>
      <c r="WI9" s="1"/>
      <c r="WJ9" s="1"/>
      <c r="WK9" s="1"/>
      <c r="WL9" s="1"/>
      <c r="WM9" s="1"/>
      <c r="WN9" s="1"/>
      <c r="WO9" s="1"/>
      <c r="WP9" s="1"/>
      <c r="WQ9" s="1"/>
      <c r="WR9" s="1"/>
      <c r="WS9" s="1"/>
      <c r="WT9" s="1"/>
      <c r="WU9" s="1"/>
      <c r="WV9" s="1"/>
      <c r="WW9" s="1"/>
      <c r="WX9" s="1"/>
      <c r="WY9" s="1"/>
      <c r="WZ9" s="1"/>
      <c r="XA9" s="1"/>
      <c r="XB9" s="1"/>
      <c r="XC9" s="1"/>
      <c r="XD9" s="1"/>
      <c r="XE9" s="1"/>
      <c r="XF9" s="1"/>
      <c r="XG9" s="1"/>
      <c r="XH9" s="1"/>
      <c r="XI9" s="1"/>
      <c r="XJ9" s="1"/>
      <c r="XK9" s="1"/>
      <c r="XL9" s="1"/>
      <c r="XM9" s="1"/>
      <c r="XN9" s="1"/>
      <c r="XO9" s="1"/>
      <c r="XP9" s="1"/>
      <c r="XQ9" s="1"/>
      <c r="XR9" s="1"/>
      <c r="XS9" s="1"/>
      <c r="XT9" s="1"/>
      <c r="XU9" s="1"/>
      <c r="XV9" s="1"/>
      <c r="XW9" s="1"/>
      <c r="XX9" s="1"/>
      <c r="XY9" s="1"/>
      <c r="XZ9" s="1"/>
      <c r="YA9" s="1"/>
      <c r="YB9" s="1"/>
      <c r="YC9" s="1"/>
      <c r="YD9" s="1"/>
      <c r="YE9" s="1"/>
      <c r="YF9" s="1"/>
      <c r="YG9" s="1"/>
      <c r="YH9" s="1"/>
      <c r="YI9" s="1"/>
      <c r="YJ9" s="1"/>
      <c r="YK9" s="1"/>
      <c r="YL9" s="1"/>
      <c r="YM9" s="1"/>
      <c r="YN9" s="1"/>
      <c r="YO9" s="1"/>
      <c r="YP9" s="1"/>
      <c r="YQ9" s="1"/>
      <c r="YR9" s="1"/>
      <c r="YS9" s="1"/>
      <c r="YT9" s="1"/>
      <c r="YU9" s="1"/>
      <c r="YV9" s="1"/>
      <c r="YW9" s="1"/>
      <c r="YX9" s="1"/>
      <c r="YY9" s="1"/>
      <c r="YZ9" s="1"/>
      <c r="ZA9" s="1"/>
      <c r="ZB9" s="1"/>
      <c r="ZC9" s="1"/>
      <c r="ZD9" s="1"/>
      <c r="ZE9" s="1"/>
      <c r="ZF9" s="1"/>
      <c r="ZG9" s="1"/>
      <c r="ZH9" s="1"/>
      <c r="ZI9" s="1"/>
      <c r="ZJ9" s="1"/>
      <c r="ZK9" s="1"/>
      <c r="ZL9" s="1"/>
      <c r="ZM9" s="1"/>
      <c r="ZN9" s="1"/>
      <c r="ZO9" s="1"/>
      <c r="ZP9" s="1"/>
      <c r="ZQ9" s="1"/>
      <c r="ZR9" s="1"/>
      <c r="ZS9" s="1"/>
      <c r="ZT9" s="1"/>
      <c r="ZU9" s="1"/>
      <c r="ZV9" s="1"/>
      <c r="ZW9" s="1"/>
      <c r="ZX9" s="1"/>
      <c r="ZY9" s="1"/>
      <c r="ZZ9" s="1"/>
      <c r="AAA9" s="1"/>
      <c r="AAB9" s="1"/>
      <c r="AAC9" s="1"/>
      <c r="AAD9" s="1"/>
      <c r="AAE9" s="1"/>
      <c r="AAF9" s="1"/>
      <c r="AAG9" s="1"/>
      <c r="AAH9" s="1"/>
      <c r="AAI9" s="1"/>
      <c r="AAJ9" s="1"/>
      <c r="AAK9" s="1"/>
      <c r="AAL9" s="1"/>
      <c r="AAM9" s="1"/>
      <c r="AAN9" s="1"/>
      <c r="AAO9" s="1"/>
      <c r="AAP9" s="1"/>
      <c r="AAQ9" s="1"/>
      <c r="AAR9" s="1"/>
      <c r="AAS9" s="1"/>
      <c r="AAT9" s="1"/>
      <c r="AAU9" s="1"/>
      <c r="AAV9" s="1"/>
      <c r="AAW9" s="1"/>
      <c r="AAX9" s="1"/>
      <c r="AAY9" s="1"/>
      <c r="AAZ9" s="1"/>
      <c r="ABA9" s="1"/>
      <c r="ABB9" s="1"/>
      <c r="ABC9" s="1"/>
      <c r="ABD9" s="1"/>
      <c r="ABE9" s="1"/>
      <c r="ABF9" s="1"/>
      <c r="ABG9" s="1"/>
      <c r="ABH9" s="1"/>
      <c r="ABI9" s="1"/>
      <c r="ABJ9" s="1"/>
      <c r="ABK9" s="1"/>
      <c r="ABL9" s="1"/>
      <c r="ABM9" s="1"/>
      <c r="ABN9" s="1"/>
      <c r="ABO9" s="1"/>
      <c r="ABP9" s="1"/>
      <c r="ABQ9" s="1"/>
      <c r="ABR9" s="1"/>
      <c r="ABS9" s="1"/>
      <c r="ABT9" s="1"/>
      <c r="ABU9" s="1"/>
      <c r="ABV9" s="1"/>
      <c r="ABW9" s="1"/>
      <c r="ABX9" s="1"/>
      <c r="ABY9" s="1"/>
      <c r="ABZ9" s="1"/>
      <c r="ACA9" s="1"/>
      <c r="ACB9" s="1"/>
      <c r="ACC9" s="1"/>
      <c r="ACD9" s="1"/>
      <c r="ACE9" s="1"/>
      <c r="ACF9" s="1"/>
      <c r="ACG9" s="1"/>
      <c r="ACH9" s="1"/>
      <c r="ACI9" s="1"/>
      <c r="ACJ9" s="1"/>
      <c r="ACK9" s="1"/>
      <c r="ACL9" s="1"/>
      <c r="ACM9" s="1"/>
      <c r="ACN9" s="1"/>
      <c r="ACO9" s="1"/>
      <c r="ACP9" s="1"/>
      <c r="ACQ9" s="1"/>
      <c r="ACR9" s="1"/>
      <c r="ACS9" s="1"/>
      <c r="ACT9" s="1"/>
      <c r="ACU9" s="1"/>
      <c r="ACV9" s="1"/>
      <c r="ACW9" s="1"/>
      <c r="ACX9" s="1"/>
      <c r="ACY9" s="1"/>
      <c r="ACZ9" s="1"/>
      <c r="ADA9" s="1"/>
      <c r="ADB9" s="1"/>
      <c r="ADC9" s="1"/>
      <c r="ADD9" s="1"/>
      <c r="ADE9" s="1"/>
      <c r="ADF9" s="1"/>
      <c r="ADG9" s="1"/>
      <c r="ADH9" s="1"/>
      <c r="ADI9" s="1"/>
      <c r="ADJ9" s="1"/>
      <c r="ADK9" s="1"/>
      <c r="ADL9" s="1"/>
      <c r="ADM9" s="1"/>
      <c r="ADN9" s="1"/>
      <c r="ADO9" s="1"/>
      <c r="ADP9" s="1"/>
      <c r="ADQ9" s="1"/>
      <c r="ADR9" s="1"/>
      <c r="ADS9" s="1"/>
      <c r="ADT9" s="1"/>
      <c r="ADU9" s="1"/>
      <c r="ADV9" s="1"/>
      <c r="ADW9" s="1"/>
      <c r="ADX9" s="1"/>
      <c r="ADY9" s="1"/>
      <c r="ADZ9" s="1"/>
      <c r="AEA9" s="1"/>
      <c r="AEB9" s="1"/>
      <c r="AEC9" s="1"/>
      <c r="AED9" s="1"/>
      <c r="AEE9" s="1"/>
      <c r="AEF9" s="1"/>
      <c r="AEG9" s="1"/>
      <c r="AEH9" s="1"/>
      <c r="AEI9" s="1"/>
      <c r="AEJ9" s="1"/>
      <c r="AEK9" s="1"/>
      <c r="AEL9" s="1"/>
      <c r="AEM9" s="1"/>
      <c r="AEN9" s="1"/>
      <c r="AEO9" s="1"/>
      <c r="AEP9" s="1"/>
      <c r="AEQ9" s="1"/>
      <c r="AER9" s="1"/>
      <c r="AES9" s="1"/>
      <c r="AET9" s="1"/>
      <c r="AEU9" s="1"/>
      <c r="AEV9" s="1"/>
      <c r="AEW9" s="1"/>
      <c r="AEX9" s="1"/>
      <c r="AEY9" s="1"/>
      <c r="AEZ9" s="1"/>
      <c r="AFA9" s="1"/>
      <c r="AFB9" s="1"/>
      <c r="AFC9" s="1"/>
      <c r="AFD9" s="1"/>
      <c r="AFE9" s="1"/>
      <c r="AFF9" s="1"/>
      <c r="AFG9" s="1"/>
      <c r="AFH9" s="1"/>
      <c r="AFI9" s="1"/>
      <c r="AFJ9" s="1"/>
      <c r="AFK9" s="1"/>
      <c r="AFL9" s="1"/>
      <c r="AFM9" s="1"/>
      <c r="AFN9" s="1"/>
      <c r="AFO9" s="1"/>
      <c r="AFP9" s="1"/>
      <c r="AFQ9" s="1"/>
      <c r="AFR9" s="1"/>
      <c r="AFS9" s="1"/>
      <c r="AFT9" s="1"/>
      <c r="AFU9" s="1"/>
      <c r="AFV9" s="1"/>
      <c r="AFW9" s="1"/>
      <c r="AFX9" s="1"/>
      <c r="AFY9" s="1"/>
      <c r="AFZ9" s="1"/>
      <c r="AGA9" s="1"/>
      <c r="AGB9" s="1"/>
      <c r="AGC9" s="1"/>
      <c r="AGD9" s="1"/>
      <c r="AGE9" s="1"/>
      <c r="AGF9" s="1"/>
      <c r="AGG9" s="1"/>
      <c r="AGH9" s="1"/>
      <c r="AGI9" s="1"/>
      <c r="AGJ9" s="1"/>
      <c r="AGK9" s="1"/>
      <c r="AGL9" s="1"/>
      <c r="AGM9" s="1"/>
      <c r="AGN9" s="1"/>
      <c r="AGO9" s="1"/>
      <c r="AGP9" s="1"/>
      <c r="AGQ9" s="1"/>
      <c r="AGR9" s="1"/>
      <c r="AGS9" s="1"/>
      <c r="AGT9" s="1"/>
      <c r="AGU9" s="1"/>
      <c r="AGV9" s="1"/>
      <c r="AGW9" s="1"/>
      <c r="AGX9" s="1"/>
      <c r="AGY9" s="1"/>
      <c r="AGZ9" s="1"/>
      <c r="AHA9" s="1"/>
      <c r="AHB9" s="1"/>
      <c r="AHC9" s="1"/>
      <c r="AHD9" s="1"/>
      <c r="AHE9" s="1"/>
      <c r="AHF9" s="1"/>
      <c r="AHG9" s="1"/>
      <c r="AHH9" s="1"/>
      <c r="AHI9" s="1"/>
      <c r="AHJ9" s="1"/>
      <c r="AHK9" s="1"/>
      <c r="AHL9" s="1"/>
      <c r="AHM9" s="1"/>
      <c r="AHN9" s="1"/>
      <c r="AHO9" s="1"/>
      <c r="AHP9" s="1"/>
      <c r="AHQ9" s="1"/>
      <c r="AHR9" s="1"/>
      <c r="AHS9" s="1"/>
      <c r="AHT9" s="1"/>
      <c r="AHU9" s="1"/>
      <c r="AHV9" s="1"/>
      <c r="AHW9" s="1"/>
      <c r="AHX9" s="1"/>
      <c r="AHY9" s="1"/>
      <c r="AHZ9" s="1"/>
      <c r="AIA9" s="1"/>
      <c r="AIB9" s="1"/>
      <c r="AIC9" s="1"/>
      <c r="AID9" s="1"/>
      <c r="AIE9" s="1"/>
      <c r="AIF9" s="1"/>
      <c r="AIG9" s="1"/>
      <c r="AIH9" s="1"/>
      <c r="AII9" s="1"/>
      <c r="AIJ9" s="1"/>
      <c r="AIK9" s="1"/>
      <c r="AIL9" s="1"/>
      <c r="AIM9" s="1"/>
      <c r="AIN9" s="1"/>
      <c r="AIO9" s="1"/>
      <c r="AIP9" s="1"/>
      <c r="AIQ9" s="1"/>
      <c r="AIR9" s="1"/>
      <c r="AIS9" s="1"/>
      <c r="AIT9" s="1"/>
      <c r="AIU9" s="1"/>
      <c r="AIV9" s="1"/>
      <c r="AIW9" s="1"/>
      <c r="AIX9" s="1"/>
      <c r="AIY9" s="1"/>
      <c r="AIZ9" s="1"/>
      <c r="AJA9" s="1"/>
      <c r="AJB9" s="1"/>
      <c r="AJC9" s="1"/>
      <c r="AJD9" s="1"/>
      <c r="AJE9" s="1"/>
      <c r="AJF9" s="1"/>
      <c r="AJG9" s="1"/>
      <c r="AJH9" s="1"/>
      <c r="AJI9" s="1"/>
      <c r="AJJ9" s="1"/>
      <c r="AJK9" s="1"/>
      <c r="AJL9" s="1"/>
      <c r="AJM9" s="1"/>
      <c r="AJN9" s="1"/>
      <c r="AJO9" s="1"/>
      <c r="AJP9" s="1"/>
      <c r="AJQ9" s="1"/>
      <c r="AJR9" s="1"/>
      <c r="AJS9" s="1"/>
      <c r="AJT9" s="1"/>
      <c r="AJU9" s="1"/>
      <c r="AJV9" s="1"/>
      <c r="AJW9" s="1"/>
      <c r="AJX9" s="1"/>
      <c r="AJY9" s="1"/>
      <c r="AJZ9" s="1"/>
      <c r="AKA9" s="1"/>
      <c r="AKB9" s="1"/>
      <c r="AKC9" s="1"/>
      <c r="AKD9" s="1"/>
      <c r="AKE9" s="1"/>
      <c r="AKF9" s="1"/>
      <c r="AKG9" s="1"/>
      <c r="AKH9" s="1"/>
      <c r="AKI9" s="1"/>
      <c r="AKJ9" s="1"/>
      <c r="AKK9" s="1"/>
      <c r="AKL9" s="1"/>
      <c r="AKM9" s="1"/>
      <c r="AKN9" s="1"/>
      <c r="AKO9" s="1"/>
      <c r="AKP9" s="1"/>
      <c r="AKQ9" s="1"/>
      <c r="AKR9" s="1"/>
      <c r="AKS9" s="1"/>
      <c r="AKT9" s="1"/>
      <c r="AKU9" s="1"/>
      <c r="AKV9" s="1"/>
      <c r="AKW9" s="1"/>
      <c r="AKX9" s="1"/>
      <c r="AKY9" s="1"/>
      <c r="AKZ9" s="1"/>
      <c r="ALA9" s="1"/>
      <c r="ALB9" s="1"/>
      <c r="ALC9" s="1"/>
      <c r="ALD9" s="1"/>
      <c r="ALE9" s="1"/>
      <c r="ALF9" s="1"/>
      <c r="ALG9" s="1"/>
      <c r="ALH9" s="1"/>
      <c r="ALI9" s="1"/>
      <c r="ALJ9" s="1"/>
      <c r="ALK9" s="1"/>
      <c r="ALL9" s="1"/>
      <c r="ALM9" s="1"/>
      <c r="ALN9" s="1"/>
      <c r="ALO9" s="1"/>
      <c r="ALP9" s="1"/>
      <c r="ALQ9" s="1"/>
      <c r="ALR9" s="1"/>
      <c r="ALS9" s="1"/>
      <c r="ALT9" s="1"/>
      <c r="ALU9" s="1"/>
      <c r="ALV9" s="1"/>
      <c r="ALW9" s="1"/>
      <c r="ALX9" s="1"/>
      <c r="ALY9" s="1"/>
      <c r="ALZ9" s="1"/>
      <c r="AMA9" s="1"/>
      <c r="AMB9" s="1"/>
      <c r="AMC9" s="1"/>
      <c r="AMD9" s="1"/>
      <c r="AME9" s="1"/>
      <c r="AMF9" s="1"/>
      <c r="AMG9" s="1"/>
      <c r="AMH9" s="1"/>
      <c r="AMI9" s="1"/>
      <c r="AMJ9" s="1"/>
      <c r="AMK9" s="1"/>
      <c r="AML9" s="1"/>
      <c r="AMM9" s="1"/>
      <c r="AMN9" s="1"/>
      <c r="AMO9" s="1"/>
    </row>
    <row r="10" spans="1:1029" x14ac:dyDescent="0.2">
      <c r="A10" s="3" t="str">
        <f t="shared" si="0"/>
        <v>5ht2b_human_4NC3</v>
      </c>
      <c r="B10" s="3" t="s">
        <v>35</v>
      </c>
      <c r="C10" s="3" t="s">
        <v>1314</v>
      </c>
      <c r="D10" s="3" t="str">
        <f>IFERROR(MID(VLOOKUP($B10,Seqs!$A:$B,2,0),E10,1),"")</f>
        <v>K</v>
      </c>
      <c r="E10" s="3">
        <v>53</v>
      </c>
      <c r="F10" s="3" t="str">
        <f>IFERROR(MID(VLOOKUP($B10,Seqs!$A:$B,2,0),G10,1),"")</f>
        <v>E</v>
      </c>
      <c r="G10" s="3">
        <v>82</v>
      </c>
      <c r="H10" s="3" t="str">
        <f>IFERROR(MID(VLOOKUP($B10,Seqs!$A:$B,2,0),I10,1),"")</f>
        <v>K</v>
      </c>
      <c r="I10" s="23">
        <v>83</v>
      </c>
      <c r="J10" s="3" t="str">
        <f>IFERROR(MID(VLOOKUP($B10,Seqs!$A:$B,2,0),K10,1),"")</f>
        <v>Q</v>
      </c>
      <c r="K10" s="23">
        <v>86</v>
      </c>
      <c r="L10" s="3" t="str">
        <f>IFERROR(MID(VLOOKUP($B10,Seqs!$A:$B,2,0),M10,1),"")</f>
        <v>Y</v>
      </c>
      <c r="M10" s="3">
        <v>87</v>
      </c>
      <c r="N10" s="3" t="str">
        <f>IFERROR(MID(VLOOKUP($B10,Seqs!$A:$B,2,0),O10,1),"")</f>
        <v>F</v>
      </c>
      <c r="O10" s="3">
        <v>117</v>
      </c>
      <c r="P10" s="3" t="str">
        <f>IFERROR(MID(VLOOKUP($B10,Seqs!$A:$B,2,0),Q10,1),"")</f>
        <v>M</v>
      </c>
      <c r="Q10" s="3">
        <v>120</v>
      </c>
      <c r="R10" s="3" t="str">
        <f>IFERROR(MID(VLOOKUP($B10,Seqs!$A:$B,2,0),S10,1),"")</f>
        <v>L</v>
      </c>
      <c r="S10" s="3">
        <v>123</v>
      </c>
      <c r="T10" s="3" t="str">
        <f>IFERROR(MID(VLOOKUP($B10,Seqs!$A:$B,2,0),U10,1),"")</f>
        <v>P</v>
      </c>
      <c r="U10" s="3">
        <v>124</v>
      </c>
      <c r="V10" s="3" t="str">
        <f>IFERROR(MID(VLOOKUP($B10,Seqs!$A:$B,2,0),W10,1),"")</f>
        <v>K</v>
      </c>
      <c r="W10" s="3">
        <v>159</v>
      </c>
      <c r="X10" s="3" t="str">
        <f>IFERROR(MID(VLOOKUP($B10,Seqs!$A:$B,2,0),Y10,1),"")</f>
        <v/>
      </c>
      <c r="Y10" s="3" t="s">
        <v>23</v>
      </c>
      <c r="Z10" s="3" t="str">
        <f>IFERROR(MID(VLOOKUP($B10,Seqs!$A:$B,2,0),AA10,1),"")</f>
        <v/>
      </c>
      <c r="AA10" s="3" t="s">
        <v>23</v>
      </c>
      <c r="AB10" s="3" t="str">
        <f>IFERROR(MID(VLOOKUP($B10,Seqs!$A:$B,2,0),AC10,1),"")</f>
        <v>N</v>
      </c>
      <c r="AC10" s="3">
        <v>164</v>
      </c>
      <c r="AD10" s="3" t="str">
        <f>IFERROR(MID(VLOOKUP($B10,Seqs!$A:$B,2,0),AE10,1),"")</f>
        <v>G</v>
      </c>
      <c r="AE10" s="3">
        <v>194</v>
      </c>
      <c r="AF10" s="3" t="str">
        <f>IFERROR(MID(VLOOKUP($B10,Seqs!$A:$B,2,0),AG10,1),"")</f>
        <v>C</v>
      </c>
      <c r="AG10" s="3">
        <v>207</v>
      </c>
      <c r="AH10" s="3" t="str">
        <f>IFERROR(MID(VLOOKUP($B10,Seqs!$A:$B,2,0),AI10,1),"")</f>
        <v>L</v>
      </c>
      <c r="AI10" s="3">
        <v>209</v>
      </c>
      <c r="AJ10" s="3" t="str">
        <f>IFERROR(MID(VLOOKUP($B10,Seqs!$A:$B,2,0),AK10,1),"")</f>
        <v>F</v>
      </c>
      <c r="AK10" s="3">
        <v>214</v>
      </c>
      <c r="AL10" s="3" t="str">
        <f>IFERROR(MID(VLOOKUP($B10,Seqs!$A:$B,2,0),AM10,1),"")</f>
        <v>A</v>
      </c>
      <c r="AM10" s="3">
        <v>248</v>
      </c>
      <c r="AN10" s="3" t="str">
        <f>IFERROR(MID(VLOOKUP($B10,Seqs!$A:$B,2,0),AO10,1),"")</f>
        <v>Q</v>
      </c>
      <c r="AO10" s="3">
        <v>314</v>
      </c>
      <c r="AP10" s="3" t="str">
        <f>IFERROR(MID(VLOOKUP($B10,Seqs!$A:$B,2,0),AQ10,1),"")</f>
        <v>C</v>
      </c>
      <c r="AQ10" s="3">
        <v>350</v>
      </c>
      <c r="AR10" s="3" t="str">
        <f>IFERROR(MID(VLOOKUP($B10,Seqs!$A:$B,2,0),AS10,1),"")</f>
        <v>N</v>
      </c>
      <c r="AS10" s="3">
        <v>354</v>
      </c>
      <c r="AT10" s="3" t="str">
        <f>IFERROR(MID(VLOOKUP($B10,Seqs!$A:$B,2,0),AU10,1),"")</f>
        <v>F</v>
      </c>
      <c r="AU10" s="3">
        <v>383</v>
      </c>
      <c r="AV10" s="3" t="str">
        <f>IFERROR(MID(VLOOKUP($B10,Seqs!$A:$B,2,0),AW10,1),"")</f>
        <v>N</v>
      </c>
      <c r="AW10" s="3">
        <v>384</v>
      </c>
      <c r="AX10" s="3" t="str">
        <f>IFERROR(MID(VLOOKUP($B10,Seqs!$A:$B,2,0),AY10,1),"")</f>
        <v>I</v>
      </c>
      <c r="AY10" s="3">
        <v>395</v>
      </c>
      <c r="AZ10" s="77" t="str">
        <f>VLOOKUP(B10,Classification!A:D,2,0)</f>
        <v>A</v>
      </c>
      <c r="BA10" s="94" t="str">
        <f>VLOOKUP(B10,Classification!A:D,4,0)</f>
        <v>5-Hydroxytryptamine</v>
      </c>
      <c r="BB10" s="27" t="b">
        <f t="shared" si="1"/>
        <v>1</v>
      </c>
      <c r="BC10" s="23">
        <f t="shared" si="2"/>
        <v>254</v>
      </c>
      <c r="BD10" s="4" t="s">
        <v>23</v>
      </c>
      <c r="BE10" s="3" t="s">
        <v>1439</v>
      </c>
      <c r="BF10" s="119">
        <v>2.8</v>
      </c>
      <c r="BG10" s="49" t="s">
        <v>1384</v>
      </c>
      <c r="BH10" s="49" t="s">
        <v>1384</v>
      </c>
      <c r="BI10" s="1"/>
      <c r="BJ10" s="70" t="s">
        <v>1293</v>
      </c>
      <c r="BK10" s="57" t="s">
        <v>1293</v>
      </c>
      <c r="BL10" s="57" t="s">
        <v>1293</v>
      </c>
      <c r="BM10" s="57" t="s">
        <v>1293</v>
      </c>
      <c r="BN10" s="57" t="s">
        <v>1293</v>
      </c>
      <c r="BO10" s="57" t="s">
        <v>1293</v>
      </c>
      <c r="BP10" s="57" t="s">
        <v>1293</v>
      </c>
      <c r="BQ10" s="57" t="s">
        <v>1293</v>
      </c>
      <c r="BR10" s="57" t="s">
        <v>1293</v>
      </c>
      <c r="BS10" s="57" t="s">
        <v>1293</v>
      </c>
      <c r="BT10" s="57" t="s">
        <v>1293</v>
      </c>
      <c r="BU10" s="57" t="s">
        <v>1293</v>
      </c>
      <c r="BV10" s="70">
        <f t="shared" si="3"/>
        <v>53</v>
      </c>
      <c r="BW10" s="71">
        <f t="shared" si="4"/>
        <v>83</v>
      </c>
      <c r="BX10" s="72">
        <f t="shared" si="5"/>
        <v>87</v>
      </c>
      <c r="BY10" s="71">
        <f t="shared" si="6"/>
        <v>120</v>
      </c>
      <c r="BZ10" s="72">
        <f t="shared" si="7"/>
        <v>124</v>
      </c>
      <c r="CA10" s="71" t="str">
        <f t="shared" si="8"/>
        <v>-</v>
      </c>
      <c r="CB10" s="72">
        <f t="shared" si="9"/>
        <v>164</v>
      </c>
      <c r="CC10" s="71">
        <f t="shared" si="10"/>
        <v>207</v>
      </c>
      <c r="CD10" s="72">
        <f t="shared" si="11"/>
        <v>214</v>
      </c>
      <c r="CE10" s="71">
        <f t="shared" si="12"/>
        <v>314</v>
      </c>
      <c r="CF10" s="72">
        <f t="shared" si="13"/>
        <v>354</v>
      </c>
      <c r="CG10" s="71">
        <f t="shared" si="14"/>
        <v>384</v>
      </c>
      <c r="CH10" s="70">
        <f t="shared" si="15"/>
        <v>82</v>
      </c>
      <c r="CI10" s="71">
        <f t="shared" si="16"/>
        <v>86</v>
      </c>
      <c r="CJ10" s="72">
        <f t="shared" si="17"/>
        <v>117</v>
      </c>
      <c r="CK10" s="72">
        <f t="shared" si="18"/>
        <v>123</v>
      </c>
      <c r="CL10" s="72">
        <f t="shared" si="19"/>
        <v>159</v>
      </c>
      <c r="CM10" s="72" t="str">
        <f t="shared" si="20"/>
        <v>-</v>
      </c>
      <c r="CN10" s="72">
        <f t="shared" si="21"/>
        <v>194</v>
      </c>
      <c r="CO10" s="72">
        <f t="shared" si="22"/>
        <v>209</v>
      </c>
      <c r="CP10" s="72">
        <f t="shared" si="23"/>
        <v>248</v>
      </c>
      <c r="CQ10" s="72">
        <f t="shared" si="24"/>
        <v>350</v>
      </c>
      <c r="CR10" s="72">
        <f t="shared" si="25"/>
        <v>383</v>
      </c>
      <c r="CS10" s="72">
        <f t="shared" si="26"/>
        <v>395</v>
      </c>
      <c r="CT10" s="23">
        <f t="shared" si="27"/>
        <v>1</v>
      </c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/>
      <c r="AAB10" s="1"/>
      <c r="AAC10" s="1"/>
      <c r="AAD10" s="1"/>
      <c r="AAE10" s="1"/>
      <c r="AAF10" s="1"/>
      <c r="AAG10" s="1"/>
      <c r="AAH10" s="1"/>
      <c r="AAI10" s="1"/>
      <c r="AAJ10" s="1"/>
      <c r="AAK10" s="1"/>
      <c r="AAL10" s="1"/>
      <c r="AAM10" s="1"/>
      <c r="AAN10" s="1"/>
      <c r="AAO10" s="1"/>
      <c r="AAP10" s="1"/>
      <c r="AAQ10" s="1"/>
      <c r="AAR10" s="1"/>
      <c r="AAS10" s="1"/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/>
      <c r="ABH10" s="1"/>
      <c r="ABI10" s="1"/>
      <c r="ABJ10" s="1"/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1"/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s="1"/>
      <c r="ADM10" s="1"/>
      <c r="ADN10" s="1"/>
      <c r="ADO10" s="1"/>
      <c r="ADP10" s="1"/>
      <c r="ADQ10" s="1"/>
      <c r="ADR10" s="1"/>
      <c r="ADS10" s="1"/>
      <c r="ADT10" s="1"/>
      <c r="ADU10" s="1"/>
      <c r="ADV10" s="1"/>
      <c r="ADW10" s="1"/>
      <c r="ADX10" s="1"/>
      <c r="ADY10" s="1"/>
      <c r="ADZ10" s="1"/>
      <c r="AEA10" s="1"/>
      <c r="AEB10" s="1"/>
      <c r="AEC10" s="1"/>
      <c r="AED10" s="1"/>
      <c r="AEE10" s="1"/>
      <c r="AEF10" s="1"/>
      <c r="AEG10" s="1"/>
      <c r="AEH10" s="1"/>
      <c r="AEI10" s="1"/>
      <c r="AEJ10" s="1"/>
      <c r="AEK10" s="1"/>
      <c r="AEL10" s="1"/>
      <c r="AEM10" s="1"/>
      <c r="AEN10" s="1"/>
      <c r="AEO10" s="1"/>
      <c r="AEP10" s="1"/>
      <c r="AEQ10" s="1"/>
      <c r="AER10" s="1"/>
      <c r="AES10" s="1"/>
      <c r="AET10" s="1"/>
      <c r="AEU10" s="1"/>
      <c r="AEV10" s="1"/>
      <c r="AEW10" s="1"/>
      <c r="AEX10" s="1"/>
      <c r="AEY10" s="1"/>
      <c r="AEZ10" s="1"/>
      <c r="AFA10" s="1"/>
      <c r="AFB10" s="1"/>
      <c r="AFC10" s="1"/>
      <c r="AFD10" s="1"/>
      <c r="AFE10" s="1"/>
      <c r="AFF10" s="1"/>
      <c r="AFG10" s="1"/>
      <c r="AFH10" s="1"/>
      <c r="AFI10" s="1"/>
      <c r="AFJ10" s="1"/>
      <c r="AFK10" s="1"/>
      <c r="AFL10" s="1"/>
      <c r="AFM10" s="1"/>
      <c r="AFN10" s="1"/>
      <c r="AFO10" s="1"/>
      <c r="AFP10" s="1"/>
      <c r="AFQ10" s="1"/>
      <c r="AFR10" s="1"/>
      <c r="AFS10" s="1"/>
      <c r="AFT10" s="1"/>
      <c r="AFU10" s="1"/>
      <c r="AFV10" s="1"/>
      <c r="AFW10" s="1"/>
      <c r="AFX10" s="1"/>
      <c r="AFY10" s="1"/>
      <c r="AFZ10" s="1"/>
      <c r="AGA10" s="1"/>
      <c r="AGB10" s="1"/>
      <c r="AGC10" s="1"/>
      <c r="AGD10" s="1"/>
      <c r="AGE10" s="1"/>
      <c r="AGF10" s="1"/>
      <c r="AGG10" s="1"/>
      <c r="AGH10" s="1"/>
      <c r="AGI10" s="1"/>
      <c r="AGJ10" s="1"/>
      <c r="AGK10" s="1"/>
      <c r="AGL10" s="1"/>
      <c r="AGM10" s="1"/>
      <c r="AGN10" s="1"/>
      <c r="AGO10" s="1"/>
      <c r="AGP10" s="1"/>
      <c r="AGQ10" s="1"/>
      <c r="AGR10" s="1"/>
      <c r="AGS10" s="1"/>
      <c r="AGT10" s="1"/>
      <c r="AGU10" s="1"/>
      <c r="AGV10" s="1"/>
      <c r="AGW10" s="1"/>
      <c r="AGX10" s="1"/>
      <c r="AGY10" s="1"/>
      <c r="AGZ10" s="1"/>
      <c r="AHA10" s="1"/>
      <c r="AHB10" s="1"/>
      <c r="AHC10" s="1"/>
      <c r="AHD10" s="1"/>
      <c r="AHE10" s="1"/>
      <c r="AHF10" s="1"/>
      <c r="AHG10" s="1"/>
      <c r="AHH10" s="1"/>
      <c r="AHI10" s="1"/>
      <c r="AHJ10" s="1"/>
      <c r="AHK10" s="1"/>
      <c r="AHL10" s="1"/>
      <c r="AHM10" s="1"/>
      <c r="AHN10" s="1"/>
      <c r="AHO10" s="1"/>
      <c r="AHP10" s="1"/>
      <c r="AHQ10" s="1"/>
      <c r="AHR10" s="1"/>
      <c r="AHS10" s="1"/>
      <c r="AHT10" s="1"/>
      <c r="AHU10" s="1"/>
      <c r="AHV10" s="1"/>
      <c r="AHW10" s="1"/>
      <c r="AHX10" s="1"/>
      <c r="AHY10" s="1"/>
      <c r="AHZ10" s="1"/>
      <c r="AIA10" s="1"/>
      <c r="AIB10" s="1"/>
      <c r="AIC10" s="1"/>
      <c r="AID10" s="1"/>
      <c r="AIE10" s="1"/>
      <c r="AIF10" s="1"/>
      <c r="AIG10" s="1"/>
      <c r="AIH10" s="1"/>
      <c r="AII10" s="1"/>
      <c r="AIJ10" s="1"/>
      <c r="AIK10" s="1"/>
      <c r="AIL10" s="1"/>
      <c r="AIM10" s="1"/>
      <c r="AIN10" s="1"/>
      <c r="AIO10" s="1"/>
      <c r="AIP10" s="1"/>
      <c r="AIQ10" s="1"/>
      <c r="AIR10" s="1"/>
      <c r="AIS10" s="1"/>
      <c r="AIT10" s="1"/>
      <c r="AIU10" s="1"/>
      <c r="AIV10" s="1"/>
      <c r="AIW10" s="1"/>
      <c r="AIX10" s="1"/>
      <c r="AIY10" s="1"/>
      <c r="AIZ10" s="1"/>
      <c r="AJA10" s="1"/>
      <c r="AJB10" s="1"/>
      <c r="AJC10" s="1"/>
      <c r="AJD10" s="1"/>
      <c r="AJE10" s="1"/>
      <c r="AJF10" s="1"/>
      <c r="AJG10" s="1"/>
      <c r="AJH10" s="1"/>
      <c r="AJI10" s="1"/>
      <c r="AJJ10" s="1"/>
      <c r="AJK10" s="1"/>
      <c r="AJL10" s="1"/>
      <c r="AJM10" s="1"/>
      <c r="AJN10" s="1"/>
      <c r="AJO10" s="1"/>
      <c r="AJP10" s="1"/>
      <c r="AJQ10" s="1"/>
      <c r="AJR10" s="1"/>
      <c r="AJS10" s="1"/>
      <c r="AJT10" s="1"/>
      <c r="AJU10" s="1"/>
      <c r="AJV10" s="1"/>
      <c r="AJW10" s="1"/>
      <c r="AJX10" s="1"/>
      <c r="AJY10" s="1"/>
      <c r="AJZ10" s="1"/>
      <c r="AKA10" s="1"/>
      <c r="AKB10" s="1"/>
      <c r="AKC10" s="1"/>
      <c r="AKD10" s="1"/>
      <c r="AKE10" s="1"/>
      <c r="AKF10" s="1"/>
      <c r="AKG10" s="1"/>
      <c r="AKH10" s="1"/>
      <c r="AKI10" s="1"/>
      <c r="AKJ10" s="1"/>
      <c r="AKK10" s="1"/>
      <c r="AKL10" s="1"/>
      <c r="AKM10" s="1"/>
      <c r="AKN10" s="1"/>
      <c r="AKO10" s="1"/>
      <c r="AKP10" s="1"/>
      <c r="AKQ10" s="1"/>
      <c r="AKR10" s="1"/>
      <c r="AKS10" s="1"/>
      <c r="AKT10" s="1"/>
      <c r="AKU10" s="1"/>
      <c r="AKV10" s="1"/>
      <c r="AKW10" s="1"/>
      <c r="AKX10" s="1"/>
      <c r="AKY10" s="1"/>
      <c r="AKZ10" s="1"/>
      <c r="ALA10" s="1"/>
      <c r="ALB10" s="1"/>
      <c r="ALC10" s="1"/>
      <c r="ALD10" s="1"/>
      <c r="ALE10" s="1"/>
      <c r="ALF10" s="1"/>
      <c r="ALG10" s="1"/>
      <c r="ALH10" s="1"/>
      <c r="ALI10" s="1"/>
      <c r="ALJ10" s="1"/>
      <c r="ALK10" s="1"/>
      <c r="ALL10" s="1"/>
      <c r="ALM10" s="1"/>
      <c r="ALN10" s="1"/>
      <c r="ALO10" s="1"/>
      <c r="ALP10" s="1"/>
      <c r="ALQ10" s="1"/>
      <c r="ALR10" s="1"/>
      <c r="ALS10" s="1"/>
      <c r="ALT10" s="1"/>
      <c r="ALU10" s="1"/>
      <c r="ALV10" s="1"/>
      <c r="ALW10" s="1"/>
      <c r="ALX10" s="1"/>
      <c r="ALY10" s="1"/>
      <c r="ALZ10" s="1"/>
      <c r="AMA10" s="1"/>
      <c r="AMB10" s="1"/>
      <c r="AMC10" s="1"/>
      <c r="AMD10" s="1"/>
      <c r="AME10" s="1"/>
      <c r="AMF10" s="1"/>
      <c r="AMG10" s="1"/>
      <c r="AMH10" s="1"/>
      <c r="AMI10" s="1"/>
      <c r="AMJ10" s="1"/>
      <c r="AMK10" s="1"/>
      <c r="AML10" s="1"/>
      <c r="AMM10" s="1"/>
      <c r="AMN10" s="1"/>
      <c r="AMO10" s="1"/>
    </row>
    <row r="11" spans="1:1029" x14ac:dyDescent="0.2">
      <c r="A11" s="3" t="str">
        <f t="shared" ref="A11:A22" si="28">CONCATENATE(B11,"_",C11)</f>
        <v>5ht2b_human_5TUD</v>
      </c>
      <c r="B11" s="3" t="s">
        <v>35</v>
      </c>
      <c r="C11" s="3" t="s">
        <v>1438</v>
      </c>
      <c r="D11" s="3" t="str">
        <f>IFERROR(MID(VLOOKUP($B11,Seqs!$A:$B,2,0),E11,1),"")</f>
        <v>A</v>
      </c>
      <c r="E11" s="3">
        <v>57</v>
      </c>
      <c r="F11" s="3" t="str">
        <f>IFERROR(MID(VLOOKUP($B11,Seqs!$A:$B,2,0),G11,1),"")</f>
        <v>E</v>
      </c>
      <c r="G11" s="3">
        <v>82</v>
      </c>
      <c r="H11" s="3" t="str">
        <f>IFERROR(MID(VLOOKUP($B11,Seqs!$A:$B,2,0),I11,1),"")</f>
        <v>K</v>
      </c>
      <c r="I11" s="23">
        <v>83</v>
      </c>
      <c r="J11" s="3" t="str">
        <f>IFERROR(MID(VLOOKUP($B11,Seqs!$A:$B,2,0),K11,1),"")</f>
        <v>Q</v>
      </c>
      <c r="K11" s="23">
        <v>86</v>
      </c>
      <c r="L11" s="3" t="str">
        <f>IFERROR(MID(VLOOKUP($B11,Seqs!$A:$B,2,0),M11,1),"")</f>
        <v>Y</v>
      </c>
      <c r="M11" s="3">
        <v>87</v>
      </c>
      <c r="N11" s="3" t="str">
        <f>IFERROR(MID(VLOOKUP($B11,Seqs!$A:$B,2,0),O11,1),"")</f>
        <v>F</v>
      </c>
      <c r="O11" s="3">
        <v>117</v>
      </c>
      <c r="P11" s="3" t="str">
        <f>IFERROR(MID(VLOOKUP($B11,Seqs!$A:$B,2,0),Q11,1),"")</f>
        <v>M</v>
      </c>
      <c r="Q11" s="3">
        <v>120</v>
      </c>
      <c r="R11" s="3" t="str">
        <f>IFERROR(MID(VLOOKUP($B11,Seqs!$A:$B,2,0),S11,1),"")</f>
        <v>L</v>
      </c>
      <c r="S11" s="3">
        <v>123</v>
      </c>
      <c r="T11" s="3" t="str">
        <f>IFERROR(MID(VLOOKUP($B11,Seqs!$A:$B,2,0),U11,1),"")</f>
        <v>P</v>
      </c>
      <c r="U11" s="3">
        <v>124</v>
      </c>
      <c r="V11" s="3" t="str">
        <f>IFERROR(MID(VLOOKUP($B11,Seqs!$A:$B,2,0),W11,1),"")</f>
        <v>K</v>
      </c>
      <c r="W11" s="3">
        <v>159</v>
      </c>
      <c r="X11" s="3" t="str">
        <f>IFERROR(MID(VLOOKUP($B11,Seqs!$A:$B,2,0),Y11,1),"")</f>
        <v/>
      </c>
      <c r="Y11" s="3" t="s">
        <v>23</v>
      </c>
      <c r="Z11" s="3" t="str">
        <f>IFERROR(MID(VLOOKUP($B11,Seqs!$A:$B,2,0),AA11,1),"")</f>
        <v/>
      </c>
      <c r="AA11" s="3" t="s">
        <v>23</v>
      </c>
      <c r="AB11" s="3" t="str">
        <f>IFERROR(MID(VLOOKUP($B11,Seqs!$A:$B,2,0),AC11,1),"")</f>
        <v>N</v>
      </c>
      <c r="AC11" s="3">
        <v>164</v>
      </c>
      <c r="AD11" s="3" t="str">
        <f>IFERROR(MID(VLOOKUP($B11,Seqs!$A:$B,2,0),AE11,1),"")</f>
        <v>K</v>
      </c>
      <c r="AE11" s="3">
        <v>193</v>
      </c>
      <c r="AF11" s="3" t="str">
        <f>IFERROR(MID(VLOOKUP($B11,Seqs!$A:$B,2,0),AG11,1),"")</f>
        <v>C</v>
      </c>
      <c r="AG11" s="3">
        <v>207</v>
      </c>
      <c r="AH11" s="3" t="str">
        <f>IFERROR(MID(VLOOKUP($B11,Seqs!$A:$B,2,0),AI11,1),"")</f>
        <v>L</v>
      </c>
      <c r="AI11" s="3">
        <v>209</v>
      </c>
      <c r="AJ11" s="3" t="str">
        <f>IFERROR(MID(VLOOKUP($B11,Seqs!$A:$B,2,0),AK11,1),"")</f>
        <v>F</v>
      </c>
      <c r="AK11" s="3">
        <v>214</v>
      </c>
      <c r="AL11" s="3" t="str">
        <f>IFERROR(MID(VLOOKUP($B11,Seqs!$A:$B,2,0),AM11,1),"")</f>
        <v>A</v>
      </c>
      <c r="AM11" s="3">
        <v>248</v>
      </c>
      <c r="AN11" s="3" t="str">
        <f>IFERROR(MID(VLOOKUP($B11,Seqs!$A:$B,2,0),AO11,1),"")</f>
        <v>Q</v>
      </c>
      <c r="AO11" s="3">
        <v>314</v>
      </c>
      <c r="AP11" s="3" t="str">
        <f>IFERROR(MID(VLOOKUP($B11,Seqs!$A:$B,2,0),AQ11,1),"")</f>
        <v>C</v>
      </c>
      <c r="AQ11" s="3">
        <v>350</v>
      </c>
      <c r="AR11" s="3" t="str">
        <f>IFERROR(MID(VLOOKUP($B11,Seqs!$A:$B,2,0),AS11,1),"")</f>
        <v>N</v>
      </c>
      <c r="AS11" s="3">
        <v>354</v>
      </c>
      <c r="AT11" s="3" t="str">
        <f>IFERROR(MID(VLOOKUP($B11,Seqs!$A:$B,2,0),AU11,1),"")</f>
        <v>L</v>
      </c>
      <c r="AU11" s="3">
        <v>382</v>
      </c>
      <c r="AV11" s="3" t="str">
        <f>IFERROR(MID(VLOOKUP($B11,Seqs!$A:$B,2,0),AW11,1),"")</f>
        <v>N</v>
      </c>
      <c r="AW11" s="3">
        <v>384</v>
      </c>
      <c r="AX11" s="3" t="str">
        <f>IFERROR(MID(VLOOKUP($B11,Seqs!$A:$B,2,0),AY11,1),"")</f>
        <v>T</v>
      </c>
      <c r="AY11" s="3">
        <v>396</v>
      </c>
      <c r="AZ11" s="77" t="str">
        <f>VLOOKUP(B11,Classification!A:D,2,0)</f>
        <v>A</v>
      </c>
      <c r="BA11" s="94" t="str">
        <f>VLOOKUP(B11,Classification!A:D,4,0)</f>
        <v>5-Hydroxytryptamine</v>
      </c>
      <c r="BB11" s="27" t="b">
        <f t="shared" ref="BB11:BB22" si="29">AND(E11&lt;G11,OR(G11&lt;I11,I11="-"),OR(I11&lt;K11,I11="-"),OR(K11&lt;M11,K11="-"),M11&lt;O11,OR(O11&lt;Q11,Q11="-"),OR(Q11&lt;S11,Q11="-"),OR(S11&lt;U11,S11="-"),U11&lt;W11,OR(W11&lt;Y11,Y11="-"),OR(Y11&lt;AA11,Y11="-"),OR(AA11&lt;AC11,AA11="-"),AC11&lt;AE11,OR(AE11&lt;AG11,AG11="-"),OR(AG11&lt;AI11,AG11="-"),OR(AI11&lt;AK11,AI11="-"),AK11&lt;AM11,AM11&lt;AO11,AO11&lt;AQ11,AQ11&lt;AS11,AS11&lt;AU11,OR(AU11&lt;AW11,AW11="-"),OR(AW11&lt;AY11,AW11="-"))</f>
        <v>1</v>
      </c>
      <c r="BC11" s="23">
        <f t="shared" ref="BC11:BC22" si="30">_xlfn.AGGREGATE(9,6,CH11:CS11)-_xlfn.AGGREGATE(9,6,BV11:CG11)+12</f>
        <v>249</v>
      </c>
      <c r="BD11" s="4" t="s">
        <v>1382</v>
      </c>
      <c r="BE11" s="3" t="s">
        <v>1297</v>
      </c>
      <c r="BF11" s="119">
        <v>3</v>
      </c>
      <c r="BG11" s="49" t="s">
        <v>1384</v>
      </c>
      <c r="BH11" s="49" t="s">
        <v>1384</v>
      </c>
      <c r="BI11" s="1"/>
      <c r="BJ11" s="70" t="s">
        <v>1293</v>
      </c>
      <c r="BK11" s="57" t="s">
        <v>1293</v>
      </c>
      <c r="BL11" s="57" t="s">
        <v>1293</v>
      </c>
      <c r="BM11" s="57" t="s">
        <v>1293</v>
      </c>
      <c r="BN11" s="57" t="s">
        <v>1293</v>
      </c>
      <c r="BO11" s="57" t="s">
        <v>1293</v>
      </c>
      <c r="BP11" s="57" t="s">
        <v>1293</v>
      </c>
      <c r="BQ11" s="57" t="s">
        <v>1293</v>
      </c>
      <c r="BR11" s="57" t="s">
        <v>1293</v>
      </c>
      <c r="BS11" s="57" t="s">
        <v>1293</v>
      </c>
      <c r="BT11" s="57" t="s">
        <v>1293</v>
      </c>
      <c r="BU11" s="57" t="s">
        <v>1293</v>
      </c>
      <c r="BV11" s="70">
        <f t="shared" ref="BV11:BV22" si="31">E11</f>
        <v>57</v>
      </c>
      <c r="BW11" s="71">
        <f t="shared" ref="BW11:BW22" si="32">I11</f>
        <v>83</v>
      </c>
      <c r="BX11" s="72">
        <f t="shared" ref="BX11:BX22" si="33">M11</f>
        <v>87</v>
      </c>
      <c r="BY11" s="71">
        <f t="shared" ref="BY11:BY22" si="34">Q11</f>
        <v>120</v>
      </c>
      <c r="BZ11" s="72">
        <f t="shared" ref="BZ11:BZ22" si="35">U11</f>
        <v>124</v>
      </c>
      <c r="CA11" s="71" t="str">
        <f t="shared" ref="CA11:CA22" si="36">Y11</f>
        <v>-</v>
      </c>
      <c r="CB11" s="72">
        <f t="shared" ref="CB11:CB22" si="37">AC11</f>
        <v>164</v>
      </c>
      <c r="CC11" s="71">
        <f t="shared" ref="CC11:CC22" si="38">AG11</f>
        <v>207</v>
      </c>
      <c r="CD11" s="72">
        <f t="shared" ref="CD11:CD22" si="39">AK11</f>
        <v>214</v>
      </c>
      <c r="CE11" s="71">
        <f t="shared" ref="CE11:CE22" si="40">AO11</f>
        <v>314</v>
      </c>
      <c r="CF11" s="72">
        <f t="shared" ref="CF11:CF22" si="41">AS11</f>
        <v>354</v>
      </c>
      <c r="CG11" s="71">
        <f t="shared" ref="CG11:CG22" si="42">AW11</f>
        <v>384</v>
      </c>
      <c r="CH11" s="70">
        <f t="shared" ref="CH11:CH22" si="43">G11</f>
        <v>82</v>
      </c>
      <c r="CI11" s="71">
        <f t="shared" ref="CI11:CI22" si="44">K11</f>
        <v>86</v>
      </c>
      <c r="CJ11" s="72">
        <f t="shared" ref="CJ11:CJ22" si="45">O11</f>
        <v>117</v>
      </c>
      <c r="CK11" s="72">
        <f t="shared" ref="CK11:CK22" si="46">S11</f>
        <v>123</v>
      </c>
      <c r="CL11" s="72">
        <f t="shared" ref="CL11:CL22" si="47">W11</f>
        <v>159</v>
      </c>
      <c r="CM11" s="72" t="str">
        <f t="shared" ref="CM11:CM22" si="48">AA11</f>
        <v>-</v>
      </c>
      <c r="CN11" s="72">
        <f t="shared" ref="CN11:CN22" si="49">AE11</f>
        <v>193</v>
      </c>
      <c r="CO11" s="72">
        <f t="shared" ref="CO11:CO22" si="50">AI11</f>
        <v>209</v>
      </c>
      <c r="CP11" s="72">
        <f t="shared" ref="CP11:CP22" si="51">AM11</f>
        <v>248</v>
      </c>
      <c r="CQ11" s="72">
        <f t="shared" ref="CQ11:CQ22" si="52">AQ11</f>
        <v>350</v>
      </c>
      <c r="CR11" s="72">
        <f t="shared" ref="CR11:CR22" si="53">AU11</f>
        <v>382</v>
      </c>
      <c r="CS11" s="72">
        <f t="shared" ref="CS11:CS22" si="54">AY11</f>
        <v>396</v>
      </c>
      <c r="CT11" s="23">
        <f t="shared" ref="CT11:CT22" si="55">M11-K11</f>
        <v>1</v>
      </c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/>
      <c r="YG11" s="1"/>
      <c r="YH11" s="1"/>
      <c r="YI11" s="1"/>
      <c r="YJ11" s="1"/>
      <c r="YK11" s="1"/>
      <c r="YL11" s="1"/>
      <c r="YM11" s="1"/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/>
      <c r="ZS11" s="1"/>
      <c r="ZT11" s="1"/>
      <c r="ZU11" s="1"/>
      <c r="ZV11" s="1"/>
      <c r="ZW11" s="1"/>
      <c r="ZX11" s="1"/>
      <c r="ZY11" s="1"/>
      <c r="ZZ11" s="1"/>
      <c r="AAA11" s="1"/>
      <c r="AAB11" s="1"/>
      <c r="AAC11" s="1"/>
      <c r="AAD11" s="1"/>
      <c r="AAE11" s="1"/>
      <c r="AAF11" s="1"/>
      <c r="AAG11" s="1"/>
      <c r="AAH11" s="1"/>
      <c r="AAI11" s="1"/>
      <c r="AAJ11" s="1"/>
      <c r="AAK11" s="1"/>
      <c r="AAL11" s="1"/>
      <c r="AAM11" s="1"/>
      <c r="AAN11" s="1"/>
      <c r="AAO11" s="1"/>
      <c r="AAP11" s="1"/>
      <c r="AAQ11" s="1"/>
      <c r="AAR11" s="1"/>
      <c r="AAS11" s="1"/>
      <c r="AAT11" s="1"/>
      <c r="AAU11" s="1"/>
      <c r="AAV11" s="1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/>
      <c r="ABH11" s="1"/>
      <c r="ABI11" s="1"/>
      <c r="ABJ11" s="1"/>
      <c r="ABK11" s="1"/>
      <c r="ABL11" s="1"/>
      <c r="ABM11" s="1"/>
      <c r="ABN11" s="1"/>
      <c r="ABO11" s="1"/>
      <c r="ABP11" s="1"/>
      <c r="ABQ11" s="1"/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/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1"/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s="1"/>
      <c r="ADA11" s="1"/>
      <c r="ADB11" s="1"/>
      <c r="ADC11" s="1"/>
      <c r="ADD11" s="1"/>
      <c r="ADE11" s="1"/>
      <c r="ADF11" s="1"/>
      <c r="ADG11" s="1"/>
      <c r="ADH11" s="1"/>
      <c r="ADI11" s="1"/>
      <c r="ADJ11" s="1"/>
      <c r="ADK11" s="1"/>
      <c r="ADL11" s="1"/>
      <c r="ADM11" s="1"/>
      <c r="ADN11" s="1"/>
      <c r="ADO11" s="1"/>
      <c r="ADP11" s="1"/>
      <c r="ADQ11" s="1"/>
      <c r="ADR11" s="1"/>
      <c r="ADS11" s="1"/>
      <c r="ADT11" s="1"/>
      <c r="ADU11" s="1"/>
      <c r="ADV11" s="1"/>
      <c r="ADW11" s="1"/>
      <c r="ADX11" s="1"/>
      <c r="ADY11" s="1"/>
      <c r="ADZ11" s="1"/>
      <c r="AEA11" s="1"/>
      <c r="AEB11" s="1"/>
      <c r="AEC11" s="1"/>
      <c r="AED11" s="1"/>
      <c r="AEE11" s="1"/>
      <c r="AEF11" s="1"/>
      <c r="AEG11" s="1"/>
      <c r="AEH11" s="1"/>
      <c r="AEI11" s="1"/>
      <c r="AEJ11" s="1"/>
      <c r="AEK11" s="1"/>
      <c r="AEL11" s="1"/>
      <c r="AEM11" s="1"/>
      <c r="AEN11" s="1"/>
      <c r="AEO11" s="1"/>
      <c r="AEP11" s="1"/>
      <c r="AEQ11" s="1"/>
      <c r="AER11" s="1"/>
      <c r="AES11" s="1"/>
      <c r="AET11" s="1"/>
      <c r="AEU11" s="1"/>
      <c r="AEV11" s="1"/>
      <c r="AEW11" s="1"/>
      <c r="AEX11" s="1"/>
      <c r="AEY11" s="1"/>
      <c r="AEZ11" s="1"/>
      <c r="AFA11" s="1"/>
      <c r="AFB11" s="1"/>
      <c r="AFC11" s="1"/>
      <c r="AFD11" s="1"/>
      <c r="AFE11" s="1"/>
      <c r="AFF11" s="1"/>
      <c r="AFG11" s="1"/>
      <c r="AFH11" s="1"/>
      <c r="AFI11" s="1"/>
      <c r="AFJ11" s="1"/>
      <c r="AFK11" s="1"/>
      <c r="AFL11" s="1"/>
      <c r="AFM11" s="1"/>
      <c r="AFN11" s="1"/>
      <c r="AFO11" s="1"/>
      <c r="AFP11" s="1"/>
      <c r="AFQ11" s="1"/>
      <c r="AFR11" s="1"/>
      <c r="AFS11" s="1"/>
      <c r="AFT11" s="1"/>
      <c r="AFU11" s="1"/>
      <c r="AFV11" s="1"/>
      <c r="AFW11" s="1"/>
      <c r="AFX11" s="1"/>
      <c r="AFY11" s="1"/>
      <c r="AFZ11" s="1"/>
      <c r="AGA11" s="1"/>
      <c r="AGB11" s="1"/>
      <c r="AGC11" s="1"/>
      <c r="AGD11" s="1"/>
      <c r="AGE11" s="1"/>
      <c r="AGF11" s="1"/>
      <c r="AGG11" s="1"/>
      <c r="AGH11" s="1"/>
      <c r="AGI11" s="1"/>
      <c r="AGJ11" s="1"/>
      <c r="AGK11" s="1"/>
      <c r="AGL11" s="1"/>
      <c r="AGM11" s="1"/>
      <c r="AGN11" s="1"/>
      <c r="AGO11" s="1"/>
      <c r="AGP11" s="1"/>
      <c r="AGQ11" s="1"/>
      <c r="AGR11" s="1"/>
      <c r="AGS11" s="1"/>
      <c r="AGT11" s="1"/>
      <c r="AGU11" s="1"/>
      <c r="AGV11" s="1"/>
      <c r="AGW11" s="1"/>
      <c r="AGX11" s="1"/>
      <c r="AGY11" s="1"/>
      <c r="AGZ11" s="1"/>
      <c r="AHA11" s="1"/>
      <c r="AHB11" s="1"/>
      <c r="AHC11" s="1"/>
      <c r="AHD11" s="1"/>
      <c r="AHE11" s="1"/>
      <c r="AHF11" s="1"/>
      <c r="AHG11" s="1"/>
      <c r="AHH11" s="1"/>
      <c r="AHI11" s="1"/>
      <c r="AHJ11" s="1"/>
      <c r="AHK11" s="1"/>
      <c r="AHL11" s="1"/>
      <c r="AHM11" s="1"/>
      <c r="AHN11" s="1"/>
      <c r="AHO11" s="1"/>
      <c r="AHP11" s="1"/>
      <c r="AHQ11" s="1"/>
      <c r="AHR11" s="1"/>
      <c r="AHS11" s="1"/>
      <c r="AHT11" s="1"/>
      <c r="AHU11" s="1"/>
      <c r="AHV11" s="1"/>
      <c r="AHW11" s="1"/>
      <c r="AHX11" s="1"/>
      <c r="AHY11" s="1"/>
      <c r="AHZ11" s="1"/>
      <c r="AIA11" s="1"/>
      <c r="AIB11" s="1"/>
      <c r="AIC11" s="1"/>
      <c r="AID11" s="1"/>
      <c r="AIE11" s="1"/>
      <c r="AIF11" s="1"/>
      <c r="AIG11" s="1"/>
      <c r="AIH11" s="1"/>
      <c r="AII11" s="1"/>
      <c r="AIJ11" s="1"/>
      <c r="AIK11" s="1"/>
      <c r="AIL11" s="1"/>
      <c r="AIM11" s="1"/>
      <c r="AIN11" s="1"/>
      <c r="AIO11" s="1"/>
      <c r="AIP11" s="1"/>
      <c r="AIQ11" s="1"/>
      <c r="AIR11" s="1"/>
      <c r="AIS11" s="1"/>
      <c r="AIT11" s="1"/>
      <c r="AIU11" s="1"/>
      <c r="AIV11" s="1"/>
      <c r="AIW11" s="1"/>
      <c r="AIX11" s="1"/>
      <c r="AIY11" s="1"/>
      <c r="AIZ11" s="1"/>
      <c r="AJA11" s="1"/>
      <c r="AJB11" s="1"/>
      <c r="AJC11" s="1"/>
      <c r="AJD11" s="1"/>
      <c r="AJE11" s="1"/>
      <c r="AJF11" s="1"/>
      <c r="AJG11" s="1"/>
      <c r="AJH11" s="1"/>
      <c r="AJI11" s="1"/>
      <c r="AJJ11" s="1"/>
      <c r="AJK11" s="1"/>
      <c r="AJL11" s="1"/>
      <c r="AJM11" s="1"/>
      <c r="AJN11" s="1"/>
      <c r="AJO11" s="1"/>
      <c r="AJP11" s="1"/>
      <c r="AJQ11" s="1"/>
      <c r="AJR11" s="1"/>
      <c r="AJS11" s="1"/>
      <c r="AJT11" s="1"/>
      <c r="AJU11" s="1"/>
      <c r="AJV11" s="1"/>
      <c r="AJW11" s="1"/>
      <c r="AJX11" s="1"/>
      <c r="AJY11" s="1"/>
      <c r="AJZ11" s="1"/>
      <c r="AKA11" s="1"/>
      <c r="AKB11" s="1"/>
      <c r="AKC11" s="1"/>
      <c r="AKD11" s="1"/>
      <c r="AKE11" s="1"/>
      <c r="AKF11" s="1"/>
      <c r="AKG11" s="1"/>
      <c r="AKH11" s="1"/>
      <c r="AKI11" s="1"/>
      <c r="AKJ11" s="1"/>
      <c r="AKK11" s="1"/>
      <c r="AKL11" s="1"/>
      <c r="AKM11" s="1"/>
      <c r="AKN11" s="1"/>
      <c r="AKO11" s="1"/>
      <c r="AKP11" s="1"/>
      <c r="AKQ11" s="1"/>
      <c r="AKR11" s="1"/>
      <c r="AKS11" s="1"/>
      <c r="AKT11" s="1"/>
      <c r="AKU11" s="1"/>
      <c r="AKV11" s="1"/>
      <c r="AKW11" s="1"/>
      <c r="AKX11" s="1"/>
      <c r="AKY11" s="1"/>
      <c r="AKZ11" s="1"/>
      <c r="ALA11" s="1"/>
      <c r="ALB11" s="1"/>
      <c r="ALC11" s="1"/>
      <c r="ALD11" s="1"/>
      <c r="ALE11" s="1"/>
      <c r="ALF11" s="1"/>
      <c r="ALG11" s="1"/>
      <c r="ALH11" s="1"/>
      <c r="ALI11" s="1"/>
      <c r="ALJ11" s="1"/>
      <c r="ALK11" s="1"/>
      <c r="ALL11" s="1"/>
      <c r="ALM11" s="1"/>
      <c r="ALN11" s="1"/>
      <c r="ALO11" s="1"/>
      <c r="ALP11" s="1"/>
      <c r="ALQ11" s="1"/>
      <c r="ALR11" s="1"/>
      <c r="ALS11" s="1"/>
      <c r="ALT11" s="1"/>
      <c r="ALU11" s="1"/>
      <c r="ALV11" s="1"/>
      <c r="ALW11" s="1"/>
      <c r="ALX11" s="1"/>
      <c r="ALY11" s="1"/>
      <c r="ALZ11" s="1"/>
      <c r="AMA11" s="1"/>
      <c r="AMB11" s="1"/>
      <c r="AMC11" s="1"/>
      <c r="AMD11" s="1"/>
      <c r="AME11" s="1"/>
      <c r="AMF11" s="1"/>
      <c r="AMG11" s="1"/>
      <c r="AMH11" s="1"/>
      <c r="AMI11" s="1"/>
      <c r="AMJ11" s="1"/>
      <c r="AMK11" s="1"/>
      <c r="AML11" s="1"/>
      <c r="AMM11" s="1"/>
      <c r="AMN11" s="1"/>
      <c r="AMO11" s="1"/>
    </row>
    <row r="12" spans="1:1029" x14ac:dyDescent="0.2">
      <c r="A12" s="3" t="str">
        <f t="shared" si="28"/>
        <v>5ht2b_human_5TVN</v>
      </c>
      <c r="B12" s="3" t="s">
        <v>35</v>
      </c>
      <c r="C12" s="3" t="s">
        <v>1393</v>
      </c>
      <c r="D12" s="3" t="str">
        <f>IFERROR(MID(VLOOKUP($B12,Seqs!$A:$B,2,0),E12,1),"")</f>
        <v>K</v>
      </c>
      <c r="E12" s="3">
        <v>53</v>
      </c>
      <c r="F12" s="3" t="str">
        <f>IFERROR(MID(VLOOKUP($B12,Seqs!$A:$B,2,0),G12,1),"")</f>
        <v>E</v>
      </c>
      <c r="G12" s="3">
        <v>82</v>
      </c>
      <c r="H12" s="3" t="str">
        <f>IFERROR(MID(VLOOKUP($B12,Seqs!$A:$B,2,0),I12,1),"")</f>
        <v>K</v>
      </c>
      <c r="I12" s="23">
        <v>83</v>
      </c>
      <c r="J12" s="3" t="str">
        <f>IFERROR(MID(VLOOKUP($B12,Seqs!$A:$B,2,0),K12,1),"")</f>
        <v>Q</v>
      </c>
      <c r="K12" s="23">
        <v>86</v>
      </c>
      <c r="L12" s="3" t="str">
        <f>IFERROR(MID(VLOOKUP($B12,Seqs!$A:$B,2,0),M12,1),"")</f>
        <v>Y</v>
      </c>
      <c r="M12" s="3">
        <v>87</v>
      </c>
      <c r="N12" s="3" t="str">
        <f>IFERROR(MID(VLOOKUP($B12,Seqs!$A:$B,2,0),O12,1),"")</f>
        <v>F</v>
      </c>
      <c r="O12" s="3">
        <v>117</v>
      </c>
      <c r="P12" s="3" t="str">
        <f>IFERROR(MID(VLOOKUP($B12,Seqs!$A:$B,2,0),Q12,1),"")</f>
        <v>M</v>
      </c>
      <c r="Q12" s="3">
        <v>120</v>
      </c>
      <c r="R12" s="3" t="str">
        <f>IFERROR(MID(VLOOKUP($B12,Seqs!$A:$B,2,0),S12,1),"")</f>
        <v>L</v>
      </c>
      <c r="S12" s="3">
        <v>123</v>
      </c>
      <c r="T12" s="3" t="str">
        <f>IFERROR(MID(VLOOKUP($B12,Seqs!$A:$B,2,0),U12,1),"")</f>
        <v>P</v>
      </c>
      <c r="U12" s="3">
        <v>124</v>
      </c>
      <c r="V12" s="3" t="str">
        <f>IFERROR(MID(VLOOKUP($B12,Seqs!$A:$B,2,0),W12,1),"")</f>
        <v>K</v>
      </c>
      <c r="W12" s="3">
        <v>159</v>
      </c>
      <c r="X12" s="3" t="str">
        <f>IFERROR(MID(VLOOKUP($B12,Seqs!$A:$B,2,0),Y12,1),"")</f>
        <v/>
      </c>
      <c r="Y12" s="3" t="s">
        <v>23</v>
      </c>
      <c r="Z12" s="3" t="str">
        <f>IFERROR(MID(VLOOKUP($B12,Seqs!$A:$B,2,0),AA12,1),"")</f>
        <v/>
      </c>
      <c r="AA12" s="3" t="s">
        <v>23</v>
      </c>
      <c r="AB12" s="3" t="str">
        <f>IFERROR(MID(VLOOKUP($B12,Seqs!$A:$B,2,0),AC12,1),"")</f>
        <v>S</v>
      </c>
      <c r="AC12" s="3">
        <v>168</v>
      </c>
      <c r="AD12" s="3" t="str">
        <f>IFERROR(MID(VLOOKUP($B12,Seqs!$A:$B,2,0),AE12,1),"")</f>
        <v>G</v>
      </c>
      <c r="AE12" s="3">
        <v>194</v>
      </c>
      <c r="AF12" s="3" t="str">
        <f>IFERROR(MID(VLOOKUP($B12,Seqs!$A:$B,2,0),AG12,1),"")</f>
        <v>C</v>
      </c>
      <c r="AG12" s="3">
        <v>207</v>
      </c>
      <c r="AH12" s="3" t="str">
        <f>IFERROR(MID(VLOOKUP($B12,Seqs!$A:$B,2,0),AI12,1),"")</f>
        <v>L</v>
      </c>
      <c r="AI12" s="3">
        <v>209</v>
      </c>
      <c r="AJ12" s="3" t="str">
        <f>IFERROR(MID(VLOOKUP($B12,Seqs!$A:$B,2,0),AK12,1),"")</f>
        <v>F</v>
      </c>
      <c r="AK12" s="3">
        <v>214</v>
      </c>
      <c r="AL12" s="3" t="str">
        <f>IFERROR(MID(VLOOKUP($B12,Seqs!$A:$B,2,0),AM12,1),"")</f>
        <v>A</v>
      </c>
      <c r="AM12" s="3">
        <v>248</v>
      </c>
      <c r="AN12" s="3" t="str">
        <f>IFERROR(MID(VLOOKUP($B12,Seqs!$A:$B,2,0),AO12,1),"")</f>
        <v>V</v>
      </c>
      <c r="AO12" s="3">
        <v>313</v>
      </c>
      <c r="AP12" s="3" t="str">
        <f>IFERROR(MID(VLOOKUP($B12,Seqs!$A:$B,2,0),AQ12,1),"")</f>
        <v>C</v>
      </c>
      <c r="AQ12" s="3">
        <v>350</v>
      </c>
      <c r="AR12" s="3" t="str">
        <f>IFERROR(MID(VLOOKUP($B12,Seqs!$A:$B,2,0),AS12,1),"")</f>
        <v>N</v>
      </c>
      <c r="AS12" s="3">
        <v>354</v>
      </c>
      <c r="AT12" s="3" t="str">
        <f>IFERROR(MID(VLOOKUP($B12,Seqs!$A:$B,2,0),AU12,1),"")</f>
        <v>F</v>
      </c>
      <c r="AU12" s="3">
        <v>383</v>
      </c>
      <c r="AV12" s="3" t="str">
        <f>IFERROR(MID(VLOOKUP($B12,Seqs!$A:$B,2,0),AW12,1),"")</f>
        <v>N</v>
      </c>
      <c r="AW12" s="3">
        <v>384</v>
      </c>
      <c r="AX12" s="3" t="str">
        <f>IFERROR(MID(VLOOKUP($B12,Seqs!$A:$B,2,0),AY12,1),"")</f>
        <v>I</v>
      </c>
      <c r="AY12" s="3">
        <v>395</v>
      </c>
      <c r="AZ12" s="77" t="str">
        <f>VLOOKUP(B12,Classification!A:D,2,0)</f>
        <v>A</v>
      </c>
      <c r="BA12" s="94" t="str">
        <f>VLOOKUP(B12,Classification!A:D,4,0)</f>
        <v>5-Hydroxytryptamine</v>
      </c>
      <c r="BB12" s="27" t="b">
        <f t="shared" si="29"/>
        <v>1</v>
      </c>
      <c r="BC12" s="23">
        <f t="shared" si="30"/>
        <v>251</v>
      </c>
      <c r="BD12" s="4" t="s">
        <v>23</v>
      </c>
      <c r="BE12" s="3" t="s">
        <v>1439</v>
      </c>
      <c r="BF12" s="119">
        <v>2.9</v>
      </c>
      <c r="BG12" s="49" t="s">
        <v>1384</v>
      </c>
      <c r="BH12" s="49" t="s">
        <v>1384</v>
      </c>
      <c r="BI12" s="1"/>
      <c r="BJ12" s="70" t="s">
        <v>1293</v>
      </c>
      <c r="BK12" s="57" t="s">
        <v>1293</v>
      </c>
      <c r="BL12" s="57" t="s">
        <v>1293</v>
      </c>
      <c r="BM12" s="57" t="s">
        <v>1293</v>
      </c>
      <c r="BN12" s="57" t="s">
        <v>1293</v>
      </c>
      <c r="BO12" s="57" t="s">
        <v>1293</v>
      </c>
      <c r="BP12" s="57" t="s">
        <v>1293</v>
      </c>
      <c r="BQ12" s="57" t="s">
        <v>1293</v>
      </c>
      <c r="BR12" s="57" t="s">
        <v>1293</v>
      </c>
      <c r="BS12" s="57" t="s">
        <v>1293</v>
      </c>
      <c r="BT12" s="57" t="s">
        <v>1293</v>
      </c>
      <c r="BU12" s="57" t="s">
        <v>1293</v>
      </c>
      <c r="BV12" s="70">
        <f t="shared" si="31"/>
        <v>53</v>
      </c>
      <c r="BW12" s="71">
        <f t="shared" si="32"/>
        <v>83</v>
      </c>
      <c r="BX12" s="72">
        <f t="shared" si="33"/>
        <v>87</v>
      </c>
      <c r="BY12" s="71">
        <f t="shared" si="34"/>
        <v>120</v>
      </c>
      <c r="BZ12" s="72">
        <f t="shared" si="35"/>
        <v>124</v>
      </c>
      <c r="CA12" s="71" t="str">
        <f t="shared" si="36"/>
        <v>-</v>
      </c>
      <c r="CB12" s="72">
        <f t="shared" si="37"/>
        <v>168</v>
      </c>
      <c r="CC12" s="71">
        <f t="shared" si="38"/>
        <v>207</v>
      </c>
      <c r="CD12" s="72">
        <f t="shared" si="39"/>
        <v>214</v>
      </c>
      <c r="CE12" s="71">
        <f t="shared" si="40"/>
        <v>313</v>
      </c>
      <c r="CF12" s="72">
        <f t="shared" si="41"/>
        <v>354</v>
      </c>
      <c r="CG12" s="71">
        <f t="shared" si="42"/>
        <v>384</v>
      </c>
      <c r="CH12" s="70">
        <f t="shared" si="43"/>
        <v>82</v>
      </c>
      <c r="CI12" s="71">
        <f t="shared" si="44"/>
        <v>86</v>
      </c>
      <c r="CJ12" s="72">
        <f t="shared" si="45"/>
        <v>117</v>
      </c>
      <c r="CK12" s="72">
        <f t="shared" si="46"/>
        <v>123</v>
      </c>
      <c r="CL12" s="72">
        <f t="shared" si="47"/>
        <v>159</v>
      </c>
      <c r="CM12" s="72" t="str">
        <f t="shared" si="48"/>
        <v>-</v>
      </c>
      <c r="CN12" s="72">
        <f t="shared" si="49"/>
        <v>194</v>
      </c>
      <c r="CO12" s="72">
        <f t="shared" si="50"/>
        <v>209</v>
      </c>
      <c r="CP12" s="72">
        <f t="shared" si="51"/>
        <v>248</v>
      </c>
      <c r="CQ12" s="72">
        <f t="shared" si="52"/>
        <v>350</v>
      </c>
      <c r="CR12" s="72">
        <f t="shared" si="53"/>
        <v>383</v>
      </c>
      <c r="CS12" s="72">
        <f t="shared" si="54"/>
        <v>395</v>
      </c>
      <c r="CT12" s="23">
        <f t="shared" si="55"/>
        <v>1</v>
      </c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  <c r="AMO12" s="1"/>
    </row>
    <row r="13" spans="1:1029" s="12" customFormat="1" x14ac:dyDescent="0.2">
      <c r="A13" s="9" t="str">
        <f t="shared" ref="A13" si="56">CONCATENATE(B13,"_",C13)</f>
        <v>5ht2b_human_6DRX</v>
      </c>
      <c r="B13" s="9" t="s">
        <v>35</v>
      </c>
      <c r="C13" s="9" t="s">
        <v>1530</v>
      </c>
      <c r="D13" s="9" t="str">
        <f>IFERROR(MID(VLOOKUP($B13,Seqs!$A:$B,2,0),E13,1),"")</f>
        <v>K</v>
      </c>
      <c r="E13" s="9">
        <v>53</v>
      </c>
      <c r="F13" s="9" t="str">
        <f>IFERROR(MID(VLOOKUP($B13,Seqs!$A:$B,2,0),G13,1),"")</f>
        <v>E</v>
      </c>
      <c r="G13" s="9">
        <v>82</v>
      </c>
      <c r="H13" s="9" t="str">
        <f>IFERROR(MID(VLOOKUP($B13,Seqs!$A:$B,2,0),I13,1),"")</f>
        <v>K</v>
      </c>
      <c r="I13" s="109">
        <v>83</v>
      </c>
      <c r="J13" s="9" t="str">
        <f>IFERROR(MID(VLOOKUP($B13,Seqs!$A:$B,2,0),K13,1),"")</f>
        <v>Q</v>
      </c>
      <c r="K13" s="109">
        <v>86</v>
      </c>
      <c r="L13" s="9" t="str">
        <f>IFERROR(MID(VLOOKUP($B13,Seqs!$A:$B,2,0),M13,1),"")</f>
        <v>Y</v>
      </c>
      <c r="M13" s="9">
        <v>87</v>
      </c>
      <c r="N13" s="9" t="str">
        <f>IFERROR(MID(VLOOKUP($B13,Seqs!$A:$B,2,0),O13,1),"")</f>
        <v>F</v>
      </c>
      <c r="O13" s="9">
        <v>117</v>
      </c>
      <c r="P13" s="9" t="str">
        <f>IFERROR(MID(VLOOKUP($B13,Seqs!$A:$B,2,0),Q13,1),"")</f>
        <v>M</v>
      </c>
      <c r="Q13" s="9">
        <v>120</v>
      </c>
      <c r="R13" s="9" t="str">
        <f>IFERROR(MID(VLOOKUP($B13,Seqs!$A:$B,2,0),S13,1),"")</f>
        <v>L</v>
      </c>
      <c r="S13" s="9">
        <v>123</v>
      </c>
      <c r="T13" s="9" t="str">
        <f>IFERROR(MID(VLOOKUP($B13,Seqs!$A:$B,2,0),U13,1),"")</f>
        <v>P</v>
      </c>
      <c r="U13" s="9">
        <v>124</v>
      </c>
      <c r="V13" s="9" t="str">
        <f>IFERROR(MID(VLOOKUP($B13,Seqs!$A:$B,2,0),W13,1),"")</f>
        <v>K</v>
      </c>
      <c r="W13" s="9">
        <v>159</v>
      </c>
      <c r="X13" s="9" t="str">
        <f>IFERROR(MID(VLOOKUP($B13,Seqs!$A:$B,2,0),Y13,1),"")</f>
        <v/>
      </c>
      <c r="Y13" s="9" t="s">
        <v>23</v>
      </c>
      <c r="Z13" s="9" t="str">
        <f>IFERROR(MID(VLOOKUP($B13,Seqs!$A:$B,2,0),AA13,1),"")</f>
        <v/>
      </c>
      <c r="AA13" s="9" t="s">
        <v>23</v>
      </c>
      <c r="AB13" s="9" t="str">
        <f>IFERROR(MID(VLOOKUP($B13,Seqs!$A:$B,2,0),AC13,1),"")</f>
        <v>N</v>
      </c>
      <c r="AC13" s="9">
        <v>164</v>
      </c>
      <c r="AD13" s="9" t="str">
        <f>IFERROR(MID(VLOOKUP($B13,Seqs!$A:$B,2,0),AE13,1),"")</f>
        <v>G</v>
      </c>
      <c r="AE13" s="9">
        <v>194</v>
      </c>
      <c r="AF13" s="9" t="str">
        <f>IFERROR(MID(VLOOKUP($B13,Seqs!$A:$B,2,0),AG13,1),"")</f>
        <v>C</v>
      </c>
      <c r="AG13" s="9">
        <v>207</v>
      </c>
      <c r="AH13" s="9" t="str">
        <f>IFERROR(MID(VLOOKUP($B13,Seqs!$A:$B,2,0),AI13,1),"")</f>
        <v>L</v>
      </c>
      <c r="AI13" s="9">
        <v>209</v>
      </c>
      <c r="AJ13" s="9" t="str">
        <f>IFERROR(MID(VLOOKUP($B13,Seqs!$A:$B,2,0),AK13,1),"")</f>
        <v>F</v>
      </c>
      <c r="AK13" s="9">
        <v>214</v>
      </c>
      <c r="AL13" s="9" t="str">
        <f>IFERROR(MID(VLOOKUP($B13,Seqs!$A:$B,2,0),AM13,1),"")</f>
        <v>A</v>
      </c>
      <c r="AM13" s="9">
        <v>248</v>
      </c>
      <c r="AN13" s="9" t="str">
        <f>IFERROR(MID(VLOOKUP($B13,Seqs!$A:$B,2,0),AO13,1),"")</f>
        <v>Q</v>
      </c>
      <c r="AO13" s="9">
        <v>314</v>
      </c>
      <c r="AP13" s="9" t="str">
        <f>IFERROR(MID(VLOOKUP($B13,Seqs!$A:$B,2,0),AQ13,1),"")</f>
        <v>C</v>
      </c>
      <c r="AQ13" s="9">
        <v>350</v>
      </c>
      <c r="AR13" s="9" t="str">
        <f>IFERROR(MID(VLOOKUP($B13,Seqs!$A:$B,2,0),AS13,1),"")</f>
        <v>N</v>
      </c>
      <c r="AS13" s="9">
        <v>354</v>
      </c>
      <c r="AT13" s="9" t="str">
        <f>IFERROR(MID(VLOOKUP($B13,Seqs!$A:$B,2,0),AU13,1),"")</f>
        <v>F</v>
      </c>
      <c r="AU13" s="9">
        <v>383</v>
      </c>
      <c r="AV13" s="9" t="str">
        <f>IFERROR(MID(VLOOKUP($B13,Seqs!$A:$B,2,0),AW13,1),"")</f>
        <v>N</v>
      </c>
      <c r="AW13" s="9">
        <v>384</v>
      </c>
      <c r="AX13" s="9" t="str">
        <f>IFERROR(MID(VLOOKUP($B13,Seqs!$A:$B,2,0),AY13,1),"")</f>
        <v>I</v>
      </c>
      <c r="AY13" s="9">
        <v>395</v>
      </c>
      <c r="AZ13" s="110" t="str">
        <f>VLOOKUP(B13,Classification!A:D,2,0)</f>
        <v>A</v>
      </c>
      <c r="BA13" s="98" t="str">
        <f>VLOOKUP(B13,Classification!A:D,4,0)</f>
        <v>5-Hydroxytryptamine</v>
      </c>
      <c r="BB13" s="36" t="b">
        <f t="shared" ref="BB13" si="57">AND(E13&lt;G13,OR(G13&lt;I13,I13="-"),OR(I13&lt;K13,I13="-"),OR(K13&lt;M13,K13="-"),M13&lt;O13,OR(O13&lt;Q13,Q13="-"),OR(Q13&lt;S13,Q13="-"),OR(S13&lt;U13,S13="-"),U13&lt;W13,OR(W13&lt;Y13,Y13="-"),OR(Y13&lt;AA13,Y13="-"),OR(AA13&lt;AC13,AA13="-"),AC13&lt;AE13,OR(AE13&lt;AG13,AG13="-"),OR(AG13&lt;AI13,AG13="-"),OR(AI13&lt;AK13,AI13="-"),AK13&lt;AM13,AM13&lt;AO13,AO13&lt;AQ13,AQ13&lt;AS13,AS13&lt;AU13,OR(AU13&lt;AW13,AW13="-"),OR(AW13&lt;AY13,AW13="-"))</f>
        <v>1</v>
      </c>
      <c r="BC13" s="109">
        <f t="shared" ref="BC13" si="58">_xlfn.AGGREGATE(9,6,CH13:CS13)-_xlfn.AGGREGATE(9,6,BV13:CG13)+12</f>
        <v>254</v>
      </c>
      <c r="BD13" s="11" t="s">
        <v>23</v>
      </c>
      <c r="BE13" s="9" t="s">
        <v>1439</v>
      </c>
      <c r="BF13" s="120">
        <v>3.1</v>
      </c>
      <c r="BG13" s="51" t="s">
        <v>1</v>
      </c>
      <c r="BH13" s="51" t="s">
        <v>1</v>
      </c>
      <c r="BJ13" s="111" t="s">
        <v>1293</v>
      </c>
      <c r="BK13" s="112" t="s">
        <v>1293</v>
      </c>
      <c r="BL13" s="112" t="s">
        <v>1293</v>
      </c>
      <c r="BM13" s="112" t="s">
        <v>1293</v>
      </c>
      <c r="BN13" s="112" t="s">
        <v>1293</v>
      </c>
      <c r="BO13" s="112" t="s">
        <v>1293</v>
      </c>
      <c r="BP13" s="112" t="s">
        <v>1293</v>
      </c>
      <c r="BQ13" s="112" t="s">
        <v>1293</v>
      </c>
      <c r="BR13" s="112" t="s">
        <v>1293</v>
      </c>
      <c r="BS13" s="112" t="s">
        <v>1293</v>
      </c>
      <c r="BT13" s="112" t="s">
        <v>1293</v>
      </c>
      <c r="BU13" s="112" t="s">
        <v>1293</v>
      </c>
      <c r="BV13" s="111">
        <f t="shared" ref="BV13" si="59">E13</f>
        <v>53</v>
      </c>
      <c r="BW13" s="113">
        <f t="shared" ref="BW13" si="60">I13</f>
        <v>83</v>
      </c>
      <c r="BX13" s="114">
        <f t="shared" ref="BX13" si="61">M13</f>
        <v>87</v>
      </c>
      <c r="BY13" s="113">
        <f t="shared" ref="BY13" si="62">Q13</f>
        <v>120</v>
      </c>
      <c r="BZ13" s="114">
        <f t="shared" ref="BZ13" si="63">U13</f>
        <v>124</v>
      </c>
      <c r="CA13" s="113" t="str">
        <f t="shared" ref="CA13" si="64">Y13</f>
        <v>-</v>
      </c>
      <c r="CB13" s="114">
        <f t="shared" ref="CB13" si="65">AC13</f>
        <v>164</v>
      </c>
      <c r="CC13" s="113">
        <f t="shared" ref="CC13" si="66">AG13</f>
        <v>207</v>
      </c>
      <c r="CD13" s="114">
        <f t="shared" ref="CD13" si="67">AK13</f>
        <v>214</v>
      </c>
      <c r="CE13" s="113">
        <f t="shared" ref="CE13" si="68">AO13</f>
        <v>314</v>
      </c>
      <c r="CF13" s="114">
        <f t="shared" ref="CF13" si="69">AS13</f>
        <v>354</v>
      </c>
      <c r="CG13" s="113">
        <f t="shared" ref="CG13" si="70">AW13</f>
        <v>384</v>
      </c>
      <c r="CH13" s="111">
        <f t="shared" ref="CH13" si="71">G13</f>
        <v>82</v>
      </c>
      <c r="CI13" s="113">
        <f t="shared" ref="CI13" si="72">K13</f>
        <v>86</v>
      </c>
      <c r="CJ13" s="114">
        <f t="shared" ref="CJ13" si="73">O13</f>
        <v>117</v>
      </c>
      <c r="CK13" s="114">
        <f t="shared" ref="CK13" si="74">S13</f>
        <v>123</v>
      </c>
      <c r="CL13" s="114">
        <f t="shared" ref="CL13" si="75">W13</f>
        <v>159</v>
      </c>
      <c r="CM13" s="114" t="str">
        <f t="shared" ref="CM13" si="76">AA13</f>
        <v>-</v>
      </c>
      <c r="CN13" s="114">
        <f t="shared" ref="CN13" si="77">AE13</f>
        <v>194</v>
      </c>
      <c r="CO13" s="114">
        <f t="shared" ref="CO13" si="78">AI13</f>
        <v>209</v>
      </c>
      <c r="CP13" s="114">
        <f t="shared" ref="CP13" si="79">AM13</f>
        <v>248</v>
      </c>
      <c r="CQ13" s="114">
        <f t="shared" ref="CQ13" si="80">AQ13</f>
        <v>350</v>
      </c>
      <c r="CR13" s="114">
        <f t="shared" ref="CR13" si="81">AU13</f>
        <v>383</v>
      </c>
      <c r="CS13" s="114">
        <f t="shared" ref="CS13" si="82">AY13</f>
        <v>395</v>
      </c>
      <c r="CT13" s="109">
        <f t="shared" ref="CT13" si="83">M13-K13</f>
        <v>1</v>
      </c>
    </row>
    <row r="14" spans="1:1029" s="12" customFormat="1" x14ac:dyDescent="0.2">
      <c r="A14" s="9" t="str">
        <f t="shared" ref="A14" si="84">CONCATENATE(B14,"_",C14)</f>
        <v>5ht2b_human_6DRY</v>
      </c>
      <c r="B14" s="9" t="s">
        <v>35</v>
      </c>
      <c r="C14" s="9" t="s">
        <v>1531</v>
      </c>
      <c r="D14" s="9" t="str">
        <f>IFERROR(MID(VLOOKUP($B14,Seqs!$A:$B,2,0),E14,1),"")</f>
        <v>K</v>
      </c>
      <c r="E14" s="9">
        <v>53</v>
      </c>
      <c r="F14" s="9" t="str">
        <f>IFERROR(MID(VLOOKUP($B14,Seqs!$A:$B,2,0),G14,1),"")</f>
        <v>E</v>
      </c>
      <c r="G14" s="9">
        <v>82</v>
      </c>
      <c r="H14" s="9" t="str">
        <f>IFERROR(MID(VLOOKUP($B14,Seqs!$A:$B,2,0),I14,1),"")</f>
        <v>K</v>
      </c>
      <c r="I14" s="109">
        <v>83</v>
      </c>
      <c r="J14" s="9" t="str">
        <f>IFERROR(MID(VLOOKUP($B14,Seqs!$A:$B,2,0),K14,1),"")</f>
        <v>Q</v>
      </c>
      <c r="K14" s="109">
        <v>86</v>
      </c>
      <c r="L14" s="9" t="str">
        <f>IFERROR(MID(VLOOKUP($B14,Seqs!$A:$B,2,0),M14,1),"")</f>
        <v>Y</v>
      </c>
      <c r="M14" s="9">
        <v>87</v>
      </c>
      <c r="N14" s="9" t="str">
        <f>IFERROR(MID(VLOOKUP($B14,Seqs!$A:$B,2,0),O14,1),"")</f>
        <v>F</v>
      </c>
      <c r="O14" s="9">
        <v>117</v>
      </c>
      <c r="P14" s="9" t="str">
        <f>IFERROR(MID(VLOOKUP($B14,Seqs!$A:$B,2,0),Q14,1),"")</f>
        <v>M</v>
      </c>
      <c r="Q14" s="9">
        <v>120</v>
      </c>
      <c r="R14" s="9" t="str">
        <f>IFERROR(MID(VLOOKUP($B14,Seqs!$A:$B,2,0),S14,1),"")</f>
        <v>L</v>
      </c>
      <c r="S14" s="9">
        <v>123</v>
      </c>
      <c r="T14" s="9" t="str">
        <f>IFERROR(MID(VLOOKUP($B14,Seqs!$A:$B,2,0),U14,1),"")</f>
        <v>P</v>
      </c>
      <c r="U14" s="9">
        <v>124</v>
      </c>
      <c r="V14" s="9" t="str">
        <f>IFERROR(MID(VLOOKUP($B14,Seqs!$A:$B,2,0),W14,1),"")</f>
        <v>K</v>
      </c>
      <c r="W14" s="9">
        <v>159</v>
      </c>
      <c r="X14" s="9" t="str">
        <f>IFERROR(MID(VLOOKUP($B14,Seqs!$A:$B,2,0),Y14,1),"")</f>
        <v/>
      </c>
      <c r="Y14" s="9" t="s">
        <v>23</v>
      </c>
      <c r="Z14" s="9" t="str">
        <f>IFERROR(MID(VLOOKUP($B14,Seqs!$A:$B,2,0),AA14,1),"")</f>
        <v/>
      </c>
      <c r="AA14" s="9" t="s">
        <v>23</v>
      </c>
      <c r="AB14" s="9" t="str">
        <f>IFERROR(MID(VLOOKUP($B14,Seqs!$A:$B,2,0),AC14,1),"")</f>
        <v>S</v>
      </c>
      <c r="AC14" s="9">
        <v>168</v>
      </c>
      <c r="AD14" s="9" t="str">
        <f>IFERROR(MID(VLOOKUP($B14,Seqs!$A:$B,2,0),AE14,1),"")</f>
        <v>G</v>
      </c>
      <c r="AE14" s="9">
        <v>194</v>
      </c>
      <c r="AF14" s="9" t="str">
        <f>IFERROR(MID(VLOOKUP($B14,Seqs!$A:$B,2,0),AG14,1),"")</f>
        <v>C</v>
      </c>
      <c r="AG14" s="9">
        <v>207</v>
      </c>
      <c r="AH14" s="9" t="str">
        <f>IFERROR(MID(VLOOKUP($B14,Seqs!$A:$B,2,0),AI14,1),"")</f>
        <v>L</v>
      </c>
      <c r="AI14" s="9">
        <v>209</v>
      </c>
      <c r="AJ14" s="9" t="str">
        <f>IFERROR(MID(VLOOKUP($B14,Seqs!$A:$B,2,0),AK14,1),"")</f>
        <v>F</v>
      </c>
      <c r="AK14" s="9">
        <v>214</v>
      </c>
      <c r="AL14" s="9" t="str">
        <f>IFERROR(MID(VLOOKUP($B14,Seqs!$A:$B,2,0),AM14,1),"")</f>
        <v>A</v>
      </c>
      <c r="AM14" s="9">
        <v>248</v>
      </c>
      <c r="AN14" s="9" t="str">
        <f>IFERROR(MID(VLOOKUP($B14,Seqs!$A:$B,2,0),AO14,1),"")</f>
        <v>V</v>
      </c>
      <c r="AO14" s="9">
        <v>313</v>
      </c>
      <c r="AP14" s="9" t="str">
        <f>IFERROR(MID(VLOOKUP($B14,Seqs!$A:$B,2,0),AQ14,1),"")</f>
        <v>C</v>
      </c>
      <c r="AQ14" s="9">
        <v>350</v>
      </c>
      <c r="AR14" s="9" t="str">
        <f>IFERROR(MID(VLOOKUP($B14,Seqs!$A:$B,2,0),AS14,1),"")</f>
        <v>N</v>
      </c>
      <c r="AS14" s="9">
        <v>354</v>
      </c>
      <c r="AT14" s="9" t="str">
        <f>IFERROR(MID(VLOOKUP($B14,Seqs!$A:$B,2,0),AU14,1),"")</f>
        <v>F</v>
      </c>
      <c r="AU14" s="9">
        <v>383</v>
      </c>
      <c r="AV14" s="9" t="str">
        <f>IFERROR(MID(VLOOKUP($B14,Seqs!$A:$B,2,0),AW14,1),"")</f>
        <v>N</v>
      </c>
      <c r="AW14" s="9">
        <v>384</v>
      </c>
      <c r="AX14" s="9" t="str">
        <f>IFERROR(MID(VLOOKUP($B14,Seqs!$A:$B,2,0),AY14,1),"")</f>
        <v>I</v>
      </c>
      <c r="AY14" s="9">
        <v>395</v>
      </c>
      <c r="AZ14" s="110" t="str">
        <f>VLOOKUP(B14,Classification!A:D,2,0)</f>
        <v>A</v>
      </c>
      <c r="BA14" s="98" t="str">
        <f>VLOOKUP(B14,Classification!A:D,4,0)</f>
        <v>5-Hydroxytryptamine</v>
      </c>
      <c r="BB14" s="36" t="b">
        <f t="shared" ref="BB14" si="85">AND(E14&lt;G14,OR(G14&lt;I14,I14="-"),OR(I14&lt;K14,I14="-"),OR(K14&lt;M14,K14="-"),M14&lt;O14,OR(O14&lt;Q14,Q14="-"),OR(Q14&lt;S14,Q14="-"),OR(S14&lt;U14,S14="-"),U14&lt;W14,OR(W14&lt;Y14,Y14="-"),OR(Y14&lt;AA14,Y14="-"),OR(AA14&lt;AC14,AA14="-"),AC14&lt;AE14,OR(AE14&lt;AG14,AG14="-"),OR(AG14&lt;AI14,AG14="-"),OR(AI14&lt;AK14,AI14="-"),AK14&lt;AM14,AM14&lt;AO14,AO14&lt;AQ14,AQ14&lt;AS14,AS14&lt;AU14,OR(AU14&lt;AW14,AW14="-"),OR(AW14&lt;AY14,AW14="-"))</f>
        <v>1</v>
      </c>
      <c r="BC14" s="109">
        <f t="shared" ref="BC14" si="86">_xlfn.AGGREGATE(9,6,CH14:CS14)-_xlfn.AGGREGATE(9,6,BV14:CG14)+12</f>
        <v>251</v>
      </c>
      <c r="BD14" s="11" t="s">
        <v>23</v>
      </c>
      <c r="BE14" s="9" t="s">
        <v>1439</v>
      </c>
      <c r="BF14" s="120">
        <v>2.92</v>
      </c>
      <c r="BG14" s="51" t="s">
        <v>1</v>
      </c>
      <c r="BH14" s="51" t="s">
        <v>1</v>
      </c>
      <c r="BJ14" s="111" t="s">
        <v>1293</v>
      </c>
      <c r="BK14" s="112" t="s">
        <v>1293</v>
      </c>
      <c r="BL14" s="112" t="s">
        <v>1293</v>
      </c>
      <c r="BM14" s="112" t="s">
        <v>1293</v>
      </c>
      <c r="BN14" s="112" t="s">
        <v>1293</v>
      </c>
      <c r="BO14" s="112" t="s">
        <v>1293</v>
      </c>
      <c r="BP14" s="112" t="s">
        <v>1293</v>
      </c>
      <c r="BQ14" s="112" t="s">
        <v>1293</v>
      </c>
      <c r="BR14" s="112" t="s">
        <v>1293</v>
      </c>
      <c r="BS14" s="112" t="s">
        <v>1293</v>
      </c>
      <c r="BT14" s="112" t="s">
        <v>1293</v>
      </c>
      <c r="BU14" s="112" t="s">
        <v>1293</v>
      </c>
      <c r="BV14" s="111">
        <f t="shared" ref="BV14" si="87">E14</f>
        <v>53</v>
      </c>
      <c r="BW14" s="113">
        <f t="shared" ref="BW14" si="88">I14</f>
        <v>83</v>
      </c>
      <c r="BX14" s="114">
        <f t="shared" ref="BX14" si="89">M14</f>
        <v>87</v>
      </c>
      <c r="BY14" s="113">
        <f t="shared" ref="BY14" si="90">Q14</f>
        <v>120</v>
      </c>
      <c r="BZ14" s="114">
        <f t="shared" ref="BZ14" si="91">U14</f>
        <v>124</v>
      </c>
      <c r="CA14" s="113" t="str">
        <f t="shared" ref="CA14" si="92">Y14</f>
        <v>-</v>
      </c>
      <c r="CB14" s="114">
        <f t="shared" ref="CB14" si="93">AC14</f>
        <v>168</v>
      </c>
      <c r="CC14" s="113">
        <f t="shared" ref="CC14" si="94">AG14</f>
        <v>207</v>
      </c>
      <c r="CD14" s="114">
        <f t="shared" ref="CD14" si="95">AK14</f>
        <v>214</v>
      </c>
      <c r="CE14" s="113">
        <f t="shared" ref="CE14" si="96">AO14</f>
        <v>313</v>
      </c>
      <c r="CF14" s="114">
        <f t="shared" ref="CF14" si="97">AS14</f>
        <v>354</v>
      </c>
      <c r="CG14" s="113">
        <f t="shared" ref="CG14" si="98">AW14</f>
        <v>384</v>
      </c>
      <c r="CH14" s="111">
        <f t="shared" ref="CH14" si="99">G14</f>
        <v>82</v>
      </c>
      <c r="CI14" s="113">
        <f t="shared" ref="CI14" si="100">K14</f>
        <v>86</v>
      </c>
      <c r="CJ14" s="114">
        <f t="shared" ref="CJ14" si="101">O14</f>
        <v>117</v>
      </c>
      <c r="CK14" s="114">
        <f t="shared" ref="CK14" si="102">S14</f>
        <v>123</v>
      </c>
      <c r="CL14" s="114">
        <f t="shared" ref="CL14" si="103">W14</f>
        <v>159</v>
      </c>
      <c r="CM14" s="114" t="str">
        <f t="shared" ref="CM14" si="104">AA14</f>
        <v>-</v>
      </c>
      <c r="CN14" s="114">
        <f t="shared" ref="CN14" si="105">AE14</f>
        <v>194</v>
      </c>
      <c r="CO14" s="114">
        <f t="shared" ref="CO14" si="106">AI14</f>
        <v>209</v>
      </c>
      <c r="CP14" s="114">
        <f t="shared" ref="CP14" si="107">AM14</f>
        <v>248</v>
      </c>
      <c r="CQ14" s="114">
        <f t="shared" ref="CQ14" si="108">AQ14</f>
        <v>350</v>
      </c>
      <c r="CR14" s="114">
        <f t="shared" ref="CR14" si="109">AU14</f>
        <v>383</v>
      </c>
      <c r="CS14" s="114">
        <f t="shared" ref="CS14" si="110">AY14</f>
        <v>395</v>
      </c>
      <c r="CT14" s="109">
        <f t="shared" ref="CT14" si="111">M14-K14</f>
        <v>1</v>
      </c>
    </row>
    <row r="15" spans="1:1029" s="12" customFormat="1" x14ac:dyDescent="0.2">
      <c r="A15" s="9" t="str">
        <f t="shared" ref="A15" si="112">CONCATENATE(B15,"_",C15)</f>
        <v>5ht2b_human_6DRZ</v>
      </c>
      <c r="B15" s="9" t="s">
        <v>35</v>
      </c>
      <c r="C15" s="9" t="s">
        <v>1532</v>
      </c>
      <c r="D15" s="9" t="str">
        <f>IFERROR(MID(VLOOKUP($B15,Seqs!$A:$B,2,0),E15,1),"")</f>
        <v>K</v>
      </c>
      <c r="E15" s="9">
        <v>53</v>
      </c>
      <c r="F15" s="9" t="str">
        <f>IFERROR(MID(VLOOKUP($B15,Seqs!$A:$B,2,0),G15,1),"")</f>
        <v>E</v>
      </c>
      <c r="G15" s="9">
        <v>82</v>
      </c>
      <c r="H15" s="9" t="str">
        <f>IFERROR(MID(VLOOKUP($B15,Seqs!$A:$B,2,0),I15,1),"")</f>
        <v>K</v>
      </c>
      <c r="I15" s="109">
        <v>83</v>
      </c>
      <c r="J15" s="9" t="str">
        <f>IFERROR(MID(VLOOKUP($B15,Seqs!$A:$B,2,0),K15,1),"")</f>
        <v>Q</v>
      </c>
      <c r="K15" s="109">
        <v>86</v>
      </c>
      <c r="L15" s="9" t="str">
        <f>IFERROR(MID(VLOOKUP($B15,Seqs!$A:$B,2,0),M15,1),"")</f>
        <v>Y</v>
      </c>
      <c r="M15" s="9">
        <v>87</v>
      </c>
      <c r="N15" s="9" t="str">
        <f>IFERROR(MID(VLOOKUP($B15,Seqs!$A:$B,2,0),O15,1),"")</f>
        <v>F</v>
      </c>
      <c r="O15" s="9">
        <v>117</v>
      </c>
      <c r="P15" s="9" t="str">
        <f>IFERROR(MID(VLOOKUP($B15,Seqs!$A:$B,2,0),Q15,1),"")</f>
        <v>M</v>
      </c>
      <c r="Q15" s="9">
        <v>120</v>
      </c>
      <c r="R15" s="9" t="str">
        <f>IFERROR(MID(VLOOKUP($B15,Seqs!$A:$B,2,0),S15,1),"")</f>
        <v>L</v>
      </c>
      <c r="S15" s="9">
        <v>123</v>
      </c>
      <c r="T15" s="9" t="str">
        <f>IFERROR(MID(VLOOKUP($B15,Seqs!$A:$B,2,0),U15,1),"")</f>
        <v>P</v>
      </c>
      <c r="U15" s="9">
        <v>124</v>
      </c>
      <c r="V15" s="9" t="str">
        <f>IFERROR(MID(VLOOKUP($B15,Seqs!$A:$B,2,0),W15,1),"")</f>
        <v>K</v>
      </c>
      <c r="W15" s="9">
        <v>159</v>
      </c>
      <c r="X15" s="9" t="str">
        <f>IFERROR(MID(VLOOKUP($B15,Seqs!$A:$B,2,0),Y15,1),"")</f>
        <v/>
      </c>
      <c r="Y15" s="9" t="s">
        <v>23</v>
      </c>
      <c r="Z15" s="9" t="str">
        <f>IFERROR(MID(VLOOKUP($B15,Seqs!$A:$B,2,0),AA15,1),"")</f>
        <v/>
      </c>
      <c r="AA15" s="9" t="s">
        <v>23</v>
      </c>
      <c r="AB15" s="9" t="str">
        <f>IFERROR(MID(VLOOKUP($B15,Seqs!$A:$B,2,0),AC15,1),"")</f>
        <v>R</v>
      </c>
      <c r="AC15" s="9">
        <v>169</v>
      </c>
      <c r="AD15" s="9" t="str">
        <f>IFERROR(MID(VLOOKUP($B15,Seqs!$A:$B,2,0),AE15,1),"")</f>
        <v>G</v>
      </c>
      <c r="AE15" s="9">
        <v>194</v>
      </c>
      <c r="AF15" s="9" t="str">
        <f>IFERROR(MID(VLOOKUP($B15,Seqs!$A:$B,2,0),AG15,1),"")</f>
        <v>C</v>
      </c>
      <c r="AG15" s="9">
        <v>207</v>
      </c>
      <c r="AH15" s="9" t="str">
        <f>IFERROR(MID(VLOOKUP($B15,Seqs!$A:$B,2,0),AI15,1),"")</f>
        <v>L</v>
      </c>
      <c r="AI15" s="9">
        <v>209</v>
      </c>
      <c r="AJ15" s="9" t="str">
        <f>IFERROR(MID(VLOOKUP($B15,Seqs!$A:$B,2,0),AK15,1),"")</f>
        <v>F</v>
      </c>
      <c r="AK15" s="9">
        <v>214</v>
      </c>
      <c r="AL15" s="9" t="str">
        <f>IFERROR(MID(VLOOKUP($B15,Seqs!$A:$B,2,0),AM15,1),"")</f>
        <v>A</v>
      </c>
      <c r="AM15" s="9">
        <v>248</v>
      </c>
      <c r="AN15" s="9" t="str">
        <f>IFERROR(MID(VLOOKUP($B15,Seqs!$A:$B,2,0),AO15,1),"")</f>
        <v>V</v>
      </c>
      <c r="AO15" s="9">
        <v>313</v>
      </c>
      <c r="AP15" s="9" t="str">
        <f>IFERROR(MID(VLOOKUP($B15,Seqs!$A:$B,2,0),AQ15,1),"")</f>
        <v>C</v>
      </c>
      <c r="AQ15" s="9">
        <v>350</v>
      </c>
      <c r="AR15" s="9" t="str">
        <f>IFERROR(MID(VLOOKUP($B15,Seqs!$A:$B,2,0),AS15,1),"")</f>
        <v>N</v>
      </c>
      <c r="AS15" s="9">
        <v>354</v>
      </c>
      <c r="AT15" s="9" t="str">
        <f>IFERROR(MID(VLOOKUP($B15,Seqs!$A:$B,2,0),AU15,1),"")</f>
        <v>F</v>
      </c>
      <c r="AU15" s="9">
        <v>383</v>
      </c>
      <c r="AV15" s="9" t="str">
        <f>IFERROR(MID(VLOOKUP($B15,Seqs!$A:$B,2,0),AW15,1),"")</f>
        <v>N</v>
      </c>
      <c r="AW15" s="9">
        <v>384</v>
      </c>
      <c r="AX15" s="9" t="str">
        <f>IFERROR(MID(VLOOKUP($B15,Seqs!$A:$B,2,0),AY15,1),"")</f>
        <v>I</v>
      </c>
      <c r="AY15" s="9">
        <v>395</v>
      </c>
      <c r="AZ15" s="110" t="str">
        <f>VLOOKUP(B15,Classification!A:D,2,0)</f>
        <v>A</v>
      </c>
      <c r="BA15" s="98" t="str">
        <f>VLOOKUP(B15,Classification!A:D,4,0)</f>
        <v>5-Hydroxytryptamine</v>
      </c>
      <c r="BB15" s="36" t="b">
        <f t="shared" ref="BB15" si="113">AND(E15&lt;G15,OR(G15&lt;I15,I15="-"),OR(I15&lt;K15,I15="-"),OR(K15&lt;M15,K15="-"),M15&lt;O15,OR(O15&lt;Q15,Q15="-"),OR(Q15&lt;S15,Q15="-"),OR(S15&lt;U15,S15="-"),U15&lt;W15,OR(W15&lt;Y15,Y15="-"),OR(Y15&lt;AA15,Y15="-"),OR(AA15&lt;AC15,AA15="-"),AC15&lt;AE15,OR(AE15&lt;AG15,AG15="-"),OR(AG15&lt;AI15,AG15="-"),OR(AI15&lt;AK15,AI15="-"),AK15&lt;AM15,AM15&lt;AO15,AO15&lt;AQ15,AQ15&lt;AS15,AS15&lt;AU15,OR(AU15&lt;AW15,AW15="-"),OR(AW15&lt;AY15,AW15="-"))</f>
        <v>1</v>
      </c>
      <c r="BC15" s="109">
        <f t="shared" ref="BC15" si="114">_xlfn.AGGREGATE(9,6,CH15:CS15)-_xlfn.AGGREGATE(9,6,BV15:CG15)+12</f>
        <v>250</v>
      </c>
      <c r="BD15" s="11" t="s">
        <v>23</v>
      </c>
      <c r="BE15" s="9" t="s">
        <v>1439</v>
      </c>
      <c r="BF15" s="120">
        <v>3.1</v>
      </c>
      <c r="BG15" s="51" t="s">
        <v>1</v>
      </c>
      <c r="BH15" s="51" t="s">
        <v>1</v>
      </c>
      <c r="BJ15" s="111" t="s">
        <v>1293</v>
      </c>
      <c r="BK15" s="112" t="s">
        <v>1293</v>
      </c>
      <c r="BL15" s="112" t="s">
        <v>1293</v>
      </c>
      <c r="BM15" s="112" t="s">
        <v>1293</v>
      </c>
      <c r="BN15" s="112" t="s">
        <v>1293</v>
      </c>
      <c r="BO15" s="112" t="s">
        <v>1293</v>
      </c>
      <c r="BP15" s="112" t="s">
        <v>1293</v>
      </c>
      <c r="BQ15" s="112" t="s">
        <v>1293</v>
      </c>
      <c r="BR15" s="112" t="s">
        <v>1293</v>
      </c>
      <c r="BS15" s="112" t="s">
        <v>1293</v>
      </c>
      <c r="BT15" s="112" t="s">
        <v>1293</v>
      </c>
      <c r="BU15" s="112" t="s">
        <v>1293</v>
      </c>
      <c r="BV15" s="111">
        <f t="shared" ref="BV15" si="115">E15</f>
        <v>53</v>
      </c>
      <c r="BW15" s="113">
        <f t="shared" ref="BW15" si="116">I15</f>
        <v>83</v>
      </c>
      <c r="BX15" s="114">
        <f t="shared" ref="BX15" si="117">M15</f>
        <v>87</v>
      </c>
      <c r="BY15" s="113">
        <f t="shared" ref="BY15" si="118">Q15</f>
        <v>120</v>
      </c>
      <c r="BZ15" s="114">
        <f t="shared" ref="BZ15" si="119">U15</f>
        <v>124</v>
      </c>
      <c r="CA15" s="113" t="str">
        <f t="shared" ref="CA15" si="120">Y15</f>
        <v>-</v>
      </c>
      <c r="CB15" s="114">
        <f t="shared" ref="CB15" si="121">AC15</f>
        <v>169</v>
      </c>
      <c r="CC15" s="113">
        <f t="shared" ref="CC15" si="122">AG15</f>
        <v>207</v>
      </c>
      <c r="CD15" s="114">
        <f t="shared" ref="CD15" si="123">AK15</f>
        <v>214</v>
      </c>
      <c r="CE15" s="113">
        <f t="shared" ref="CE15" si="124">AO15</f>
        <v>313</v>
      </c>
      <c r="CF15" s="114">
        <f t="shared" ref="CF15" si="125">AS15</f>
        <v>354</v>
      </c>
      <c r="CG15" s="113">
        <f t="shared" ref="CG15" si="126">AW15</f>
        <v>384</v>
      </c>
      <c r="CH15" s="111">
        <f t="shared" ref="CH15" si="127">G15</f>
        <v>82</v>
      </c>
      <c r="CI15" s="113">
        <f t="shared" ref="CI15" si="128">K15</f>
        <v>86</v>
      </c>
      <c r="CJ15" s="114">
        <f t="shared" ref="CJ15" si="129">O15</f>
        <v>117</v>
      </c>
      <c r="CK15" s="114">
        <f t="shared" ref="CK15" si="130">S15</f>
        <v>123</v>
      </c>
      <c r="CL15" s="114">
        <f t="shared" ref="CL15" si="131">W15</f>
        <v>159</v>
      </c>
      <c r="CM15" s="114" t="str">
        <f t="shared" ref="CM15" si="132">AA15</f>
        <v>-</v>
      </c>
      <c r="CN15" s="114">
        <f t="shared" ref="CN15" si="133">AE15</f>
        <v>194</v>
      </c>
      <c r="CO15" s="114">
        <f t="shared" ref="CO15" si="134">AI15</f>
        <v>209</v>
      </c>
      <c r="CP15" s="114">
        <f t="shared" ref="CP15" si="135">AM15</f>
        <v>248</v>
      </c>
      <c r="CQ15" s="114">
        <f t="shared" ref="CQ15" si="136">AQ15</f>
        <v>350</v>
      </c>
      <c r="CR15" s="114">
        <f t="shared" ref="CR15" si="137">AU15</f>
        <v>383</v>
      </c>
      <c r="CS15" s="114">
        <f t="shared" ref="CS15" si="138">AY15</f>
        <v>395</v>
      </c>
      <c r="CT15" s="109">
        <f t="shared" ref="CT15" si="139">M15-K15</f>
        <v>1</v>
      </c>
    </row>
    <row r="16" spans="1:1029" s="12" customFormat="1" x14ac:dyDescent="0.2">
      <c r="A16" s="9" t="str">
        <f t="shared" ref="A16" si="140">CONCATENATE(B16,"_",C16)</f>
        <v>5ht2b_human_6DS0</v>
      </c>
      <c r="B16" s="9" t="s">
        <v>35</v>
      </c>
      <c r="C16" s="9" t="s">
        <v>1533</v>
      </c>
      <c r="D16" s="9" t="str">
        <f>IFERROR(MID(VLOOKUP($B16,Seqs!$A:$B,2,0),E16,1),"")</f>
        <v>K</v>
      </c>
      <c r="E16" s="9">
        <v>53</v>
      </c>
      <c r="F16" s="9" t="str">
        <f>IFERROR(MID(VLOOKUP($B16,Seqs!$A:$B,2,0),G16,1),"")</f>
        <v>E</v>
      </c>
      <c r="G16" s="9">
        <v>82</v>
      </c>
      <c r="H16" s="9" t="str">
        <f>IFERROR(MID(VLOOKUP($B16,Seqs!$A:$B,2,0),I16,1),"")</f>
        <v>K</v>
      </c>
      <c r="I16" s="109">
        <v>83</v>
      </c>
      <c r="J16" s="9" t="str">
        <f>IFERROR(MID(VLOOKUP($B16,Seqs!$A:$B,2,0),K16,1),"")</f>
        <v>Q</v>
      </c>
      <c r="K16" s="109">
        <v>86</v>
      </c>
      <c r="L16" s="9" t="str">
        <f>IFERROR(MID(VLOOKUP($B16,Seqs!$A:$B,2,0),M16,1),"")</f>
        <v>Y</v>
      </c>
      <c r="M16" s="9">
        <v>87</v>
      </c>
      <c r="N16" s="9" t="str">
        <f>IFERROR(MID(VLOOKUP($B16,Seqs!$A:$B,2,0),O16,1),"")</f>
        <v>F</v>
      </c>
      <c r="O16" s="9">
        <v>117</v>
      </c>
      <c r="P16" s="9" t="str">
        <f>IFERROR(MID(VLOOKUP($B16,Seqs!$A:$B,2,0),Q16,1),"")</f>
        <v>M</v>
      </c>
      <c r="Q16" s="9">
        <v>120</v>
      </c>
      <c r="R16" s="9" t="str">
        <f>IFERROR(MID(VLOOKUP($B16,Seqs!$A:$B,2,0),S16,1),"")</f>
        <v>L</v>
      </c>
      <c r="S16" s="9">
        <v>123</v>
      </c>
      <c r="T16" s="9" t="str">
        <f>IFERROR(MID(VLOOKUP($B16,Seqs!$A:$B,2,0),U16,1),"")</f>
        <v>P</v>
      </c>
      <c r="U16" s="9">
        <v>124</v>
      </c>
      <c r="V16" s="9" t="str">
        <f>IFERROR(MID(VLOOKUP($B16,Seqs!$A:$B,2,0),W16,1),"")</f>
        <v>K</v>
      </c>
      <c r="W16" s="9">
        <v>159</v>
      </c>
      <c r="X16" s="9" t="str">
        <f>IFERROR(MID(VLOOKUP($B16,Seqs!$A:$B,2,0),Y16,1),"")</f>
        <v/>
      </c>
      <c r="Y16" s="9" t="s">
        <v>23</v>
      </c>
      <c r="Z16" s="9" t="str">
        <f>IFERROR(MID(VLOOKUP($B16,Seqs!$A:$B,2,0),AA16,1),"")</f>
        <v/>
      </c>
      <c r="AA16" s="9" t="s">
        <v>23</v>
      </c>
      <c r="AB16" s="9" t="str">
        <f>IFERROR(MID(VLOOKUP($B16,Seqs!$A:$B,2,0),AC16,1),"")</f>
        <v>N</v>
      </c>
      <c r="AC16" s="9">
        <v>167</v>
      </c>
      <c r="AD16" s="9" t="str">
        <f>IFERROR(MID(VLOOKUP($B16,Seqs!$A:$B,2,0),AE16,1),"")</f>
        <v>G</v>
      </c>
      <c r="AE16" s="9">
        <v>194</v>
      </c>
      <c r="AF16" s="9" t="str">
        <f>IFERROR(MID(VLOOKUP($B16,Seqs!$A:$B,2,0),AG16,1),"")</f>
        <v>C</v>
      </c>
      <c r="AG16" s="9">
        <v>207</v>
      </c>
      <c r="AH16" s="9" t="str">
        <f>IFERROR(MID(VLOOKUP($B16,Seqs!$A:$B,2,0),AI16,1),"")</f>
        <v>L</v>
      </c>
      <c r="AI16" s="9">
        <v>209</v>
      </c>
      <c r="AJ16" s="9" t="str">
        <f>IFERROR(MID(VLOOKUP($B16,Seqs!$A:$B,2,0),AK16,1),"")</f>
        <v>F</v>
      </c>
      <c r="AK16" s="9">
        <v>214</v>
      </c>
      <c r="AL16" s="9" t="str">
        <f>IFERROR(MID(VLOOKUP($B16,Seqs!$A:$B,2,0),AM16,1),"")</f>
        <v>A</v>
      </c>
      <c r="AM16" s="9">
        <v>248</v>
      </c>
      <c r="AN16" s="9" t="str">
        <f>IFERROR(MID(VLOOKUP($B16,Seqs!$A:$B,2,0),AO16,1),"")</f>
        <v>Q</v>
      </c>
      <c r="AO16" s="9">
        <v>314</v>
      </c>
      <c r="AP16" s="9" t="str">
        <f>IFERROR(MID(VLOOKUP($B16,Seqs!$A:$B,2,0),AQ16,1),"")</f>
        <v>C</v>
      </c>
      <c r="AQ16" s="9">
        <v>350</v>
      </c>
      <c r="AR16" s="9" t="str">
        <f>IFERROR(MID(VLOOKUP($B16,Seqs!$A:$B,2,0),AS16,1),"")</f>
        <v>N</v>
      </c>
      <c r="AS16" s="9">
        <v>354</v>
      </c>
      <c r="AT16" s="9" t="str">
        <f>IFERROR(MID(VLOOKUP($B16,Seqs!$A:$B,2,0),AU16,1),"")</f>
        <v>F</v>
      </c>
      <c r="AU16" s="9">
        <v>383</v>
      </c>
      <c r="AV16" s="9" t="str">
        <f>IFERROR(MID(VLOOKUP($B16,Seqs!$A:$B,2,0),AW16,1),"")</f>
        <v>N</v>
      </c>
      <c r="AW16" s="9">
        <v>384</v>
      </c>
      <c r="AX16" s="9" t="str">
        <f>IFERROR(MID(VLOOKUP($B16,Seqs!$A:$B,2,0),AY16,1),"")</f>
        <v>I</v>
      </c>
      <c r="AY16" s="9">
        <v>395</v>
      </c>
      <c r="AZ16" s="110" t="str">
        <f>VLOOKUP(B16,Classification!A:D,2,0)</f>
        <v>A</v>
      </c>
      <c r="BA16" s="98" t="str">
        <f>VLOOKUP(B16,Classification!A:D,4,0)</f>
        <v>5-Hydroxytryptamine</v>
      </c>
      <c r="BB16" s="36" t="b">
        <f t="shared" ref="BB16" si="141">AND(E16&lt;G16,OR(G16&lt;I16,I16="-"),OR(I16&lt;K16,I16="-"),OR(K16&lt;M16,K16="-"),M16&lt;O16,OR(O16&lt;Q16,Q16="-"),OR(Q16&lt;S16,Q16="-"),OR(S16&lt;U16,S16="-"),U16&lt;W16,OR(W16&lt;Y16,Y16="-"),OR(Y16&lt;AA16,Y16="-"),OR(AA16&lt;AC16,AA16="-"),AC16&lt;AE16,OR(AE16&lt;AG16,AG16="-"),OR(AG16&lt;AI16,AG16="-"),OR(AI16&lt;AK16,AI16="-"),AK16&lt;AM16,AM16&lt;AO16,AO16&lt;AQ16,AQ16&lt;AS16,AS16&lt;AU16,OR(AU16&lt;AW16,AW16="-"),OR(AW16&lt;AY16,AW16="-"))</f>
        <v>1</v>
      </c>
      <c r="BC16" s="109">
        <f t="shared" ref="BC16" si="142">_xlfn.AGGREGATE(9,6,CH16:CS16)-_xlfn.AGGREGATE(9,6,BV16:CG16)+12</f>
        <v>251</v>
      </c>
      <c r="BD16" s="11" t="s">
        <v>23</v>
      </c>
      <c r="BE16" s="9" t="s">
        <v>1439</v>
      </c>
      <c r="BF16" s="120">
        <v>3.19</v>
      </c>
      <c r="BG16" s="51" t="s">
        <v>1</v>
      </c>
      <c r="BH16" s="51" t="s">
        <v>1</v>
      </c>
      <c r="BJ16" s="111" t="s">
        <v>1293</v>
      </c>
      <c r="BK16" s="112" t="s">
        <v>1293</v>
      </c>
      <c r="BL16" s="112" t="s">
        <v>1293</v>
      </c>
      <c r="BM16" s="112" t="s">
        <v>1293</v>
      </c>
      <c r="BN16" s="112" t="s">
        <v>1293</v>
      </c>
      <c r="BO16" s="112" t="s">
        <v>1293</v>
      </c>
      <c r="BP16" s="112" t="s">
        <v>1293</v>
      </c>
      <c r="BQ16" s="112" t="s">
        <v>1293</v>
      </c>
      <c r="BR16" s="112" t="s">
        <v>1293</v>
      </c>
      <c r="BS16" s="112" t="s">
        <v>1293</v>
      </c>
      <c r="BT16" s="112" t="s">
        <v>1293</v>
      </c>
      <c r="BU16" s="112" t="s">
        <v>1293</v>
      </c>
      <c r="BV16" s="111">
        <f t="shared" ref="BV16" si="143">E16</f>
        <v>53</v>
      </c>
      <c r="BW16" s="113">
        <f t="shared" ref="BW16" si="144">I16</f>
        <v>83</v>
      </c>
      <c r="BX16" s="114">
        <f t="shared" ref="BX16" si="145">M16</f>
        <v>87</v>
      </c>
      <c r="BY16" s="113">
        <f t="shared" ref="BY16" si="146">Q16</f>
        <v>120</v>
      </c>
      <c r="BZ16" s="114">
        <f t="shared" ref="BZ16" si="147">U16</f>
        <v>124</v>
      </c>
      <c r="CA16" s="113" t="str">
        <f t="shared" ref="CA16" si="148">Y16</f>
        <v>-</v>
      </c>
      <c r="CB16" s="114">
        <f t="shared" ref="CB16" si="149">AC16</f>
        <v>167</v>
      </c>
      <c r="CC16" s="113">
        <f t="shared" ref="CC16" si="150">AG16</f>
        <v>207</v>
      </c>
      <c r="CD16" s="114">
        <f t="shared" ref="CD16" si="151">AK16</f>
        <v>214</v>
      </c>
      <c r="CE16" s="113">
        <f t="shared" ref="CE16" si="152">AO16</f>
        <v>314</v>
      </c>
      <c r="CF16" s="114">
        <f t="shared" ref="CF16" si="153">AS16</f>
        <v>354</v>
      </c>
      <c r="CG16" s="113">
        <f t="shared" ref="CG16" si="154">AW16</f>
        <v>384</v>
      </c>
      <c r="CH16" s="111">
        <f t="shared" ref="CH16" si="155">G16</f>
        <v>82</v>
      </c>
      <c r="CI16" s="113">
        <f t="shared" ref="CI16" si="156">K16</f>
        <v>86</v>
      </c>
      <c r="CJ16" s="114">
        <f t="shared" ref="CJ16" si="157">O16</f>
        <v>117</v>
      </c>
      <c r="CK16" s="114">
        <f t="shared" ref="CK16" si="158">S16</f>
        <v>123</v>
      </c>
      <c r="CL16" s="114">
        <f t="shared" ref="CL16" si="159">W16</f>
        <v>159</v>
      </c>
      <c r="CM16" s="114" t="str">
        <f t="shared" ref="CM16" si="160">AA16</f>
        <v>-</v>
      </c>
      <c r="CN16" s="114">
        <f t="shared" ref="CN16" si="161">AE16</f>
        <v>194</v>
      </c>
      <c r="CO16" s="114">
        <f t="shared" ref="CO16" si="162">AI16</f>
        <v>209</v>
      </c>
      <c r="CP16" s="114">
        <f t="shared" ref="CP16" si="163">AM16</f>
        <v>248</v>
      </c>
      <c r="CQ16" s="114">
        <f t="shared" ref="CQ16" si="164">AQ16</f>
        <v>350</v>
      </c>
      <c r="CR16" s="114">
        <f t="shared" ref="CR16" si="165">AU16</f>
        <v>383</v>
      </c>
      <c r="CS16" s="114">
        <f t="shared" ref="CS16" si="166">AY16</f>
        <v>395</v>
      </c>
      <c r="CT16" s="109">
        <f t="shared" ref="CT16" si="167">M16-K16</f>
        <v>1</v>
      </c>
    </row>
    <row r="17" spans="1:1030" x14ac:dyDescent="0.2">
      <c r="A17" s="3" t="str">
        <f t="shared" si="28"/>
        <v>5ht2c_human__wt</v>
      </c>
      <c r="B17" s="3" t="s">
        <v>133</v>
      </c>
      <c r="C17" s="3" t="s">
        <v>100</v>
      </c>
      <c r="D17" s="3" t="str">
        <f>IFERROR(MID(VLOOKUP($B17,Seqs!$A:$B,2,0),E17,1),"")</f>
        <v>N</v>
      </c>
      <c r="E17" s="3">
        <v>54</v>
      </c>
      <c r="F17" s="3" t="str">
        <f>IFERROR(MID(VLOOKUP($B17,Seqs!$A:$B,2,0),G17,1),"")</f>
        <v>E</v>
      </c>
      <c r="G17" s="3">
        <v>81</v>
      </c>
      <c r="H17" s="3" t="str">
        <f>IFERROR(MID(VLOOKUP($B17,Seqs!$A:$B,2,0),I17,1),"")</f>
        <v>K</v>
      </c>
      <c r="I17" s="23">
        <v>82</v>
      </c>
      <c r="J17" s="3" t="str">
        <f>IFERROR(MID(VLOOKUP($B17,Seqs!$A:$B,2,0),K17,1),"")</f>
        <v>H</v>
      </c>
      <c r="K17" s="23">
        <v>85</v>
      </c>
      <c r="L17" s="3" t="str">
        <f>IFERROR(MID(VLOOKUP($B17,Seqs!$A:$B,2,0),M17,1),"")</f>
        <v>N</v>
      </c>
      <c r="M17" s="3">
        <v>86</v>
      </c>
      <c r="N17" s="3" t="str">
        <f>IFERROR(MID(VLOOKUP($B17,Seqs!$A:$B,2,0),O17,1),"")</f>
        <v>D</v>
      </c>
      <c r="O17" s="3">
        <v>117</v>
      </c>
      <c r="P17" s="3" t="str">
        <f>IFERROR(MID(VLOOKUP($B17,Seqs!$A:$B,2,0),Q17,1),"")</f>
        <v>V</v>
      </c>
      <c r="Q17" s="3">
        <v>119</v>
      </c>
      <c r="R17" s="3" t="str">
        <f>IFERROR(MID(VLOOKUP($B17,Seqs!$A:$B,2,0),S17,1),"")</f>
        <v>L</v>
      </c>
      <c r="S17" s="3">
        <v>122</v>
      </c>
      <c r="T17" s="3" t="str">
        <f>IFERROR(MID(VLOOKUP($B17,Seqs!$A:$B,2,0),U17,1),"")</f>
        <v>P</v>
      </c>
      <c r="U17" s="3">
        <v>123</v>
      </c>
      <c r="V17" s="3" t="str">
        <f>IFERROR(MID(VLOOKUP($B17,Seqs!$A:$B,2,0),W17,1),"")</f>
        <v>N</v>
      </c>
      <c r="W17" s="3">
        <v>158</v>
      </c>
      <c r="X17" s="3" t="str">
        <f>IFERROR(MID(VLOOKUP($B17,Seqs!$A:$B,2,0),Y17,1),"")</f>
        <v>P</v>
      </c>
      <c r="Y17" s="3">
        <v>159</v>
      </c>
      <c r="Z17" s="3" t="str">
        <f>IFERROR(MID(VLOOKUP($B17,Seqs!$A:$B,2,0),AA17,1),"")</f>
        <v>N</v>
      </c>
      <c r="AA17" s="3">
        <v>166</v>
      </c>
      <c r="AB17" s="3" t="str">
        <f>IFERROR(MID(VLOOKUP($B17,Seqs!$A:$B,2,0),AC17,1),"")</f>
        <v>S</v>
      </c>
      <c r="AC17" s="3">
        <v>167</v>
      </c>
      <c r="AD17" s="3" t="str">
        <f>IFERROR(MID(VLOOKUP($B17,Seqs!$A:$B,2,0),AE17,1),"")</f>
        <v>D</v>
      </c>
      <c r="AE17" s="3">
        <v>196</v>
      </c>
      <c r="AF17" s="3" t="str">
        <f>IFERROR(MID(VLOOKUP($B17,Seqs!$A:$B,2,0),AG17,1),"")</f>
        <v>C</v>
      </c>
      <c r="AG17" s="3">
        <v>207</v>
      </c>
      <c r="AH17" s="3" t="str">
        <f>IFERROR(MID(VLOOKUP($B17,Seqs!$A:$B,2,0),AI17,1),"")</f>
        <v>L</v>
      </c>
      <c r="AI17" s="3">
        <v>209</v>
      </c>
      <c r="AJ17" s="3" t="str">
        <f>IFERROR(MID(VLOOKUP($B17,Seqs!$A:$B,2,0),AK17,1),"")</f>
        <v>D</v>
      </c>
      <c r="AK17" s="3">
        <v>211</v>
      </c>
      <c r="AL17" s="3" t="str">
        <f>IFERROR(MID(VLOOKUP($B17,Seqs!$A:$B,2,0),AM17,1),"")</f>
        <v>H</v>
      </c>
      <c r="AM17" s="3">
        <v>250</v>
      </c>
      <c r="AN17" s="3" t="str">
        <f>IFERROR(MID(VLOOKUP($B17,Seqs!$A:$B,2,0),AO17,1),"")</f>
        <v>M</v>
      </c>
      <c r="AO17" s="3">
        <v>300</v>
      </c>
      <c r="AP17" s="3" t="str">
        <f>IFERROR(MID(VLOOKUP($B17,Seqs!$A:$B,2,0),AQ17,1),"")</f>
        <v>C</v>
      </c>
      <c r="AQ17" s="3">
        <v>337</v>
      </c>
      <c r="AR17" s="3" t="str">
        <f>IFERROR(MID(VLOOKUP($B17,Seqs!$A:$B,2,0),AS17,1),"")</f>
        <v>N</v>
      </c>
      <c r="AS17" s="3">
        <v>342</v>
      </c>
      <c r="AT17" s="3" t="str">
        <f>IFERROR(MID(VLOOKUP($B17,Seqs!$A:$B,2,0),AU17,1),"")</f>
        <v>F</v>
      </c>
      <c r="AU17" s="3">
        <v>371</v>
      </c>
      <c r="AV17" s="3" t="str">
        <f>IFERROR(MID(VLOOKUP($B17,Seqs!$A:$B,2,0),AW17,1),"")</f>
        <v>N</v>
      </c>
      <c r="AW17" s="3">
        <v>372</v>
      </c>
      <c r="AX17" s="3" t="str">
        <f>IFERROR(MID(VLOOKUP($B17,Seqs!$A:$B,2,0),AY17,1),"")</f>
        <v>C</v>
      </c>
      <c r="AY17" s="3">
        <v>385</v>
      </c>
      <c r="AZ17" s="77" t="str">
        <f>VLOOKUP(B17,Classification!A:D,2,0)</f>
        <v>A</v>
      </c>
      <c r="BA17" s="94" t="str">
        <f>VLOOKUP(B17,Classification!A:D,4,0)</f>
        <v>5-Hydroxytryptamine</v>
      </c>
      <c r="BB17" s="27" t="b">
        <f t="shared" si="29"/>
        <v>1</v>
      </c>
      <c r="BC17" s="23">
        <f t="shared" si="30"/>
        <v>267</v>
      </c>
      <c r="BD17" s="4" t="s">
        <v>23</v>
      </c>
      <c r="BE17" s="3" t="s">
        <v>23</v>
      </c>
      <c r="BF17" s="119" t="s">
        <v>23</v>
      </c>
      <c r="BG17" s="49" t="s">
        <v>1384</v>
      </c>
      <c r="BH17" s="49" t="s">
        <v>1384</v>
      </c>
      <c r="BI17" s="1"/>
      <c r="BJ17" s="70" t="s">
        <v>1293</v>
      </c>
      <c r="BK17" s="57" t="s">
        <v>1293</v>
      </c>
      <c r="BL17" s="57" t="s">
        <v>1293</v>
      </c>
      <c r="BM17" s="57" t="s">
        <v>1293</v>
      </c>
      <c r="BN17" s="57" t="s">
        <v>1293</v>
      </c>
      <c r="BO17" s="57" t="s">
        <v>1293</v>
      </c>
      <c r="BP17" s="57" t="s">
        <v>1293</v>
      </c>
      <c r="BQ17" s="57" t="s">
        <v>1293</v>
      </c>
      <c r="BR17" s="57" t="s">
        <v>1293</v>
      </c>
      <c r="BS17" s="57" t="s">
        <v>1293</v>
      </c>
      <c r="BT17" s="57" t="s">
        <v>1293</v>
      </c>
      <c r="BU17" s="57" t="s">
        <v>1293</v>
      </c>
      <c r="BV17" s="70">
        <f t="shared" si="31"/>
        <v>54</v>
      </c>
      <c r="BW17" s="71">
        <f t="shared" si="32"/>
        <v>82</v>
      </c>
      <c r="BX17" s="72">
        <f t="shared" si="33"/>
        <v>86</v>
      </c>
      <c r="BY17" s="71">
        <f t="shared" si="34"/>
        <v>119</v>
      </c>
      <c r="BZ17" s="72">
        <f t="shared" si="35"/>
        <v>123</v>
      </c>
      <c r="CA17" s="71">
        <f t="shared" si="36"/>
        <v>159</v>
      </c>
      <c r="CB17" s="72">
        <f t="shared" si="37"/>
        <v>167</v>
      </c>
      <c r="CC17" s="71">
        <f t="shared" si="38"/>
        <v>207</v>
      </c>
      <c r="CD17" s="72">
        <f t="shared" si="39"/>
        <v>211</v>
      </c>
      <c r="CE17" s="71">
        <f t="shared" si="40"/>
        <v>300</v>
      </c>
      <c r="CF17" s="72">
        <f t="shared" si="41"/>
        <v>342</v>
      </c>
      <c r="CG17" s="71">
        <f t="shared" si="42"/>
        <v>372</v>
      </c>
      <c r="CH17" s="70">
        <f t="shared" si="43"/>
        <v>81</v>
      </c>
      <c r="CI17" s="71">
        <f t="shared" si="44"/>
        <v>85</v>
      </c>
      <c r="CJ17" s="72">
        <f t="shared" si="45"/>
        <v>117</v>
      </c>
      <c r="CK17" s="72">
        <f t="shared" si="46"/>
        <v>122</v>
      </c>
      <c r="CL17" s="72">
        <f t="shared" si="47"/>
        <v>158</v>
      </c>
      <c r="CM17" s="72">
        <f t="shared" si="48"/>
        <v>166</v>
      </c>
      <c r="CN17" s="72">
        <f t="shared" si="49"/>
        <v>196</v>
      </c>
      <c r="CO17" s="72">
        <f t="shared" si="50"/>
        <v>209</v>
      </c>
      <c r="CP17" s="72">
        <f t="shared" si="51"/>
        <v>250</v>
      </c>
      <c r="CQ17" s="72">
        <f t="shared" si="52"/>
        <v>337</v>
      </c>
      <c r="CR17" s="72">
        <f t="shared" si="53"/>
        <v>371</v>
      </c>
      <c r="CS17" s="72">
        <f t="shared" si="54"/>
        <v>385</v>
      </c>
      <c r="CT17" s="23">
        <f t="shared" si="55"/>
        <v>1</v>
      </c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1"/>
      <c r="TL17" s="1"/>
      <c r="TM17" s="1"/>
      <c r="TN17" s="1"/>
      <c r="TO17" s="1"/>
      <c r="TP17" s="1"/>
      <c r="TQ17" s="1"/>
      <c r="TR17" s="1"/>
      <c r="TS17" s="1"/>
      <c r="TT17" s="1"/>
      <c r="TU17" s="1"/>
      <c r="TV17" s="1"/>
      <c r="TW17" s="1"/>
      <c r="TX17" s="1"/>
      <c r="TY17" s="1"/>
      <c r="TZ17" s="1"/>
      <c r="UA17" s="1"/>
      <c r="UB17" s="1"/>
      <c r="UC17" s="1"/>
      <c r="UD17" s="1"/>
      <c r="UE17" s="1"/>
      <c r="UF17" s="1"/>
      <c r="UG17" s="1"/>
      <c r="UH17" s="1"/>
      <c r="UI17" s="1"/>
      <c r="UJ17" s="1"/>
      <c r="UK17" s="1"/>
      <c r="UL17" s="1"/>
      <c r="UM17" s="1"/>
      <c r="UN17" s="1"/>
      <c r="UO17" s="1"/>
      <c r="UP17" s="1"/>
      <c r="UQ17" s="1"/>
      <c r="UR17" s="1"/>
      <c r="US17" s="1"/>
      <c r="UT17" s="1"/>
      <c r="UU17" s="1"/>
      <c r="UV17" s="1"/>
      <c r="UW17" s="1"/>
      <c r="UX17" s="1"/>
      <c r="UY17" s="1"/>
      <c r="UZ17" s="1"/>
      <c r="VA17" s="1"/>
      <c r="VB17" s="1"/>
      <c r="VC17" s="1"/>
      <c r="VD17" s="1"/>
      <c r="VE17" s="1"/>
      <c r="VF17" s="1"/>
      <c r="VG17" s="1"/>
      <c r="VH17" s="1"/>
      <c r="VI17" s="1"/>
      <c r="VJ17" s="1"/>
      <c r="VK17" s="1"/>
      <c r="VL17" s="1"/>
      <c r="VM17" s="1"/>
      <c r="VN17" s="1"/>
      <c r="VO17" s="1"/>
      <c r="VP17" s="1"/>
      <c r="VQ17" s="1"/>
      <c r="VR17" s="1"/>
      <c r="VS17" s="1"/>
      <c r="VT17" s="1"/>
      <c r="VU17" s="1"/>
      <c r="VV17" s="1"/>
      <c r="VW17" s="1"/>
      <c r="VX17" s="1"/>
      <c r="VY17" s="1"/>
      <c r="VZ17" s="1"/>
      <c r="WA17" s="1"/>
      <c r="WB17" s="1"/>
      <c r="WC17" s="1"/>
      <c r="WD17" s="1"/>
      <c r="WE17" s="1"/>
      <c r="WF17" s="1"/>
      <c r="WG17" s="1"/>
      <c r="WH17" s="1"/>
      <c r="WI17" s="1"/>
      <c r="WJ17" s="1"/>
      <c r="WK17" s="1"/>
      <c r="WL17" s="1"/>
      <c r="WM17" s="1"/>
      <c r="WN17" s="1"/>
      <c r="WO17" s="1"/>
      <c r="WP17" s="1"/>
      <c r="WQ17" s="1"/>
      <c r="WR17" s="1"/>
      <c r="WS17" s="1"/>
      <c r="WT17" s="1"/>
      <c r="WU17" s="1"/>
      <c r="WV17" s="1"/>
      <c r="WW17" s="1"/>
      <c r="WX17" s="1"/>
      <c r="WY17" s="1"/>
      <c r="WZ17" s="1"/>
      <c r="XA17" s="1"/>
      <c r="XB17" s="1"/>
      <c r="XC17" s="1"/>
      <c r="XD17" s="1"/>
      <c r="XE17" s="1"/>
      <c r="XF17" s="1"/>
      <c r="XG17" s="1"/>
      <c r="XH17" s="1"/>
      <c r="XI17" s="1"/>
      <c r="XJ17" s="1"/>
      <c r="XK17" s="1"/>
      <c r="XL17" s="1"/>
      <c r="XM17" s="1"/>
      <c r="XN17" s="1"/>
      <c r="XO17" s="1"/>
      <c r="XP17" s="1"/>
      <c r="XQ17" s="1"/>
      <c r="XR17" s="1"/>
      <c r="XS17" s="1"/>
      <c r="XT17" s="1"/>
      <c r="XU17" s="1"/>
      <c r="XV17" s="1"/>
      <c r="XW17" s="1"/>
      <c r="XX17" s="1"/>
      <c r="XY17" s="1"/>
      <c r="XZ17" s="1"/>
      <c r="YA17" s="1"/>
      <c r="YB17" s="1"/>
      <c r="YC17" s="1"/>
      <c r="YD17" s="1"/>
      <c r="YE17" s="1"/>
      <c r="YF17" s="1"/>
      <c r="YG17" s="1"/>
      <c r="YH17" s="1"/>
      <c r="YI17" s="1"/>
      <c r="YJ17" s="1"/>
      <c r="YK17" s="1"/>
      <c r="YL17" s="1"/>
      <c r="YM17" s="1"/>
      <c r="YN17" s="1"/>
      <c r="YO17" s="1"/>
      <c r="YP17" s="1"/>
      <c r="YQ17" s="1"/>
      <c r="YR17" s="1"/>
      <c r="YS17" s="1"/>
      <c r="YT17" s="1"/>
      <c r="YU17" s="1"/>
      <c r="YV17" s="1"/>
      <c r="YW17" s="1"/>
      <c r="YX17" s="1"/>
      <c r="YY17" s="1"/>
      <c r="YZ17" s="1"/>
      <c r="ZA17" s="1"/>
      <c r="ZB17" s="1"/>
      <c r="ZC17" s="1"/>
      <c r="ZD17" s="1"/>
      <c r="ZE17" s="1"/>
      <c r="ZF17" s="1"/>
      <c r="ZG17" s="1"/>
      <c r="ZH17" s="1"/>
      <c r="ZI17" s="1"/>
      <c r="ZJ17" s="1"/>
      <c r="ZK17" s="1"/>
      <c r="ZL17" s="1"/>
      <c r="ZM17" s="1"/>
      <c r="ZN17" s="1"/>
      <c r="ZO17" s="1"/>
      <c r="ZP17" s="1"/>
      <c r="ZQ17" s="1"/>
      <c r="ZR17" s="1"/>
      <c r="ZS17" s="1"/>
      <c r="ZT17" s="1"/>
      <c r="ZU17" s="1"/>
      <c r="ZV17" s="1"/>
      <c r="ZW17" s="1"/>
      <c r="ZX17" s="1"/>
      <c r="ZY17" s="1"/>
      <c r="ZZ17" s="1"/>
      <c r="AAA17" s="1"/>
      <c r="AAB17" s="1"/>
      <c r="AAC17" s="1"/>
      <c r="AAD17" s="1"/>
      <c r="AAE17" s="1"/>
      <c r="AAF17" s="1"/>
      <c r="AAG17" s="1"/>
      <c r="AAH17" s="1"/>
      <c r="AAI17" s="1"/>
      <c r="AAJ17" s="1"/>
      <c r="AAK17" s="1"/>
      <c r="AAL17" s="1"/>
      <c r="AAM17" s="1"/>
      <c r="AAN17" s="1"/>
      <c r="AAO17" s="1"/>
      <c r="AAP17" s="1"/>
      <c r="AAQ17" s="1"/>
      <c r="AAR17" s="1"/>
      <c r="AAS17" s="1"/>
      <c r="AAT17" s="1"/>
      <c r="AAU17" s="1"/>
      <c r="AAV17" s="1"/>
      <c r="AAW17" s="1"/>
      <c r="AAX17" s="1"/>
      <c r="AAY17" s="1"/>
      <c r="AAZ17" s="1"/>
      <c r="ABA17" s="1"/>
      <c r="ABB17" s="1"/>
      <c r="ABC17" s="1"/>
      <c r="ABD17" s="1"/>
      <c r="ABE17" s="1"/>
      <c r="ABF17" s="1"/>
      <c r="ABG17" s="1"/>
      <c r="ABH17" s="1"/>
      <c r="ABI17" s="1"/>
      <c r="ABJ17" s="1"/>
      <c r="ABK17" s="1"/>
      <c r="ABL17" s="1"/>
      <c r="ABM17" s="1"/>
      <c r="ABN17" s="1"/>
      <c r="ABO17" s="1"/>
      <c r="ABP17" s="1"/>
      <c r="ABQ17" s="1"/>
      <c r="ABR17" s="1"/>
      <c r="ABS17" s="1"/>
      <c r="ABT17" s="1"/>
      <c r="ABU17" s="1"/>
      <c r="ABV17" s="1"/>
      <c r="ABW17" s="1"/>
      <c r="ABX17" s="1"/>
      <c r="ABY17" s="1"/>
      <c r="ABZ17" s="1"/>
      <c r="ACA17" s="1"/>
      <c r="ACB17" s="1"/>
      <c r="ACC17" s="1"/>
      <c r="ACD17" s="1"/>
      <c r="ACE17" s="1"/>
      <c r="ACF17" s="1"/>
      <c r="ACG17" s="1"/>
      <c r="ACH17" s="1"/>
      <c r="ACI17" s="1"/>
      <c r="ACJ17" s="1"/>
      <c r="ACK17" s="1"/>
      <c r="ACL17" s="1"/>
      <c r="ACM17" s="1"/>
      <c r="ACN17" s="1"/>
      <c r="ACO17" s="1"/>
      <c r="ACP17" s="1"/>
      <c r="ACQ17" s="1"/>
      <c r="ACR17" s="1"/>
      <c r="ACS17" s="1"/>
      <c r="ACT17" s="1"/>
      <c r="ACU17" s="1"/>
      <c r="ACV17" s="1"/>
      <c r="ACW17" s="1"/>
      <c r="ACX17" s="1"/>
      <c r="ACY17" s="1"/>
      <c r="ACZ17" s="1"/>
      <c r="ADA17" s="1"/>
      <c r="ADB17" s="1"/>
      <c r="ADC17" s="1"/>
      <c r="ADD17" s="1"/>
      <c r="ADE17" s="1"/>
      <c r="ADF17" s="1"/>
      <c r="ADG17" s="1"/>
      <c r="ADH17" s="1"/>
      <c r="ADI17" s="1"/>
      <c r="ADJ17" s="1"/>
      <c r="ADK17" s="1"/>
      <c r="ADL17" s="1"/>
      <c r="ADM17" s="1"/>
      <c r="ADN17" s="1"/>
      <c r="ADO17" s="1"/>
      <c r="ADP17" s="1"/>
      <c r="ADQ17" s="1"/>
      <c r="ADR17" s="1"/>
      <c r="ADS17" s="1"/>
      <c r="ADT17" s="1"/>
      <c r="ADU17" s="1"/>
      <c r="ADV17" s="1"/>
      <c r="ADW17" s="1"/>
      <c r="ADX17" s="1"/>
      <c r="ADY17" s="1"/>
      <c r="ADZ17" s="1"/>
      <c r="AEA17" s="1"/>
      <c r="AEB17" s="1"/>
      <c r="AEC17" s="1"/>
      <c r="AED17" s="1"/>
      <c r="AEE17" s="1"/>
      <c r="AEF17" s="1"/>
      <c r="AEG17" s="1"/>
      <c r="AEH17" s="1"/>
      <c r="AEI17" s="1"/>
      <c r="AEJ17" s="1"/>
      <c r="AEK17" s="1"/>
      <c r="AEL17" s="1"/>
      <c r="AEM17" s="1"/>
      <c r="AEN17" s="1"/>
      <c r="AEO17" s="1"/>
      <c r="AEP17" s="1"/>
      <c r="AEQ17" s="1"/>
      <c r="AER17" s="1"/>
      <c r="AES17" s="1"/>
      <c r="AET17" s="1"/>
      <c r="AEU17" s="1"/>
      <c r="AEV17" s="1"/>
      <c r="AEW17" s="1"/>
      <c r="AEX17" s="1"/>
      <c r="AEY17" s="1"/>
      <c r="AEZ17" s="1"/>
      <c r="AFA17" s="1"/>
      <c r="AFB17" s="1"/>
      <c r="AFC17" s="1"/>
      <c r="AFD17" s="1"/>
      <c r="AFE17" s="1"/>
      <c r="AFF17" s="1"/>
      <c r="AFG17" s="1"/>
      <c r="AFH17" s="1"/>
      <c r="AFI17" s="1"/>
      <c r="AFJ17" s="1"/>
      <c r="AFK17" s="1"/>
      <c r="AFL17" s="1"/>
      <c r="AFM17" s="1"/>
      <c r="AFN17" s="1"/>
      <c r="AFO17" s="1"/>
      <c r="AFP17" s="1"/>
      <c r="AFQ17" s="1"/>
      <c r="AFR17" s="1"/>
      <c r="AFS17" s="1"/>
      <c r="AFT17" s="1"/>
      <c r="AFU17" s="1"/>
      <c r="AFV17" s="1"/>
      <c r="AFW17" s="1"/>
      <c r="AFX17" s="1"/>
      <c r="AFY17" s="1"/>
      <c r="AFZ17" s="1"/>
      <c r="AGA17" s="1"/>
      <c r="AGB17" s="1"/>
      <c r="AGC17" s="1"/>
      <c r="AGD17" s="1"/>
      <c r="AGE17" s="1"/>
      <c r="AGF17" s="1"/>
      <c r="AGG17" s="1"/>
      <c r="AGH17" s="1"/>
      <c r="AGI17" s="1"/>
      <c r="AGJ17" s="1"/>
      <c r="AGK17" s="1"/>
      <c r="AGL17" s="1"/>
      <c r="AGM17" s="1"/>
      <c r="AGN17" s="1"/>
      <c r="AGO17" s="1"/>
      <c r="AGP17" s="1"/>
      <c r="AGQ17" s="1"/>
      <c r="AGR17" s="1"/>
      <c r="AGS17" s="1"/>
      <c r="AGT17" s="1"/>
      <c r="AGU17" s="1"/>
      <c r="AGV17" s="1"/>
      <c r="AGW17" s="1"/>
      <c r="AGX17" s="1"/>
      <c r="AGY17" s="1"/>
      <c r="AGZ17" s="1"/>
      <c r="AHA17" s="1"/>
      <c r="AHB17" s="1"/>
      <c r="AHC17" s="1"/>
      <c r="AHD17" s="1"/>
      <c r="AHE17" s="1"/>
      <c r="AHF17" s="1"/>
      <c r="AHG17" s="1"/>
      <c r="AHH17" s="1"/>
      <c r="AHI17" s="1"/>
      <c r="AHJ17" s="1"/>
      <c r="AHK17" s="1"/>
      <c r="AHL17" s="1"/>
      <c r="AHM17" s="1"/>
      <c r="AHN17" s="1"/>
      <c r="AHO17" s="1"/>
      <c r="AHP17" s="1"/>
      <c r="AHQ17" s="1"/>
      <c r="AHR17" s="1"/>
      <c r="AHS17" s="1"/>
      <c r="AHT17" s="1"/>
      <c r="AHU17" s="1"/>
      <c r="AHV17" s="1"/>
      <c r="AHW17" s="1"/>
      <c r="AHX17" s="1"/>
      <c r="AHY17" s="1"/>
      <c r="AHZ17" s="1"/>
      <c r="AIA17" s="1"/>
      <c r="AIB17" s="1"/>
      <c r="AIC17" s="1"/>
      <c r="AID17" s="1"/>
      <c r="AIE17" s="1"/>
      <c r="AIF17" s="1"/>
      <c r="AIG17" s="1"/>
      <c r="AIH17" s="1"/>
      <c r="AII17" s="1"/>
      <c r="AIJ17" s="1"/>
      <c r="AIK17" s="1"/>
      <c r="AIL17" s="1"/>
      <c r="AIM17" s="1"/>
      <c r="AIN17" s="1"/>
      <c r="AIO17" s="1"/>
      <c r="AIP17" s="1"/>
      <c r="AIQ17" s="1"/>
      <c r="AIR17" s="1"/>
      <c r="AIS17" s="1"/>
      <c r="AIT17" s="1"/>
      <c r="AIU17" s="1"/>
      <c r="AIV17" s="1"/>
      <c r="AIW17" s="1"/>
      <c r="AIX17" s="1"/>
      <c r="AIY17" s="1"/>
      <c r="AIZ17" s="1"/>
      <c r="AJA17" s="1"/>
      <c r="AJB17" s="1"/>
      <c r="AJC17" s="1"/>
      <c r="AJD17" s="1"/>
      <c r="AJE17" s="1"/>
      <c r="AJF17" s="1"/>
      <c r="AJG17" s="1"/>
      <c r="AJH17" s="1"/>
      <c r="AJI17" s="1"/>
      <c r="AJJ17" s="1"/>
      <c r="AJK17" s="1"/>
      <c r="AJL17" s="1"/>
      <c r="AJM17" s="1"/>
      <c r="AJN17" s="1"/>
      <c r="AJO17" s="1"/>
      <c r="AJP17" s="1"/>
      <c r="AJQ17" s="1"/>
      <c r="AJR17" s="1"/>
      <c r="AJS17" s="1"/>
      <c r="AJT17" s="1"/>
      <c r="AJU17" s="1"/>
      <c r="AJV17" s="1"/>
      <c r="AJW17" s="1"/>
      <c r="AJX17" s="1"/>
      <c r="AJY17" s="1"/>
      <c r="AJZ17" s="1"/>
      <c r="AKA17" s="1"/>
      <c r="AKB17" s="1"/>
      <c r="AKC17" s="1"/>
      <c r="AKD17" s="1"/>
      <c r="AKE17" s="1"/>
      <c r="AKF17" s="1"/>
      <c r="AKG17" s="1"/>
      <c r="AKH17" s="1"/>
      <c r="AKI17" s="1"/>
      <c r="AKJ17" s="1"/>
      <c r="AKK17" s="1"/>
      <c r="AKL17" s="1"/>
      <c r="AKM17" s="1"/>
      <c r="AKN17" s="1"/>
      <c r="AKO17" s="1"/>
      <c r="AKP17" s="1"/>
      <c r="AKQ17" s="1"/>
      <c r="AKR17" s="1"/>
      <c r="AKS17" s="1"/>
      <c r="AKT17" s="1"/>
      <c r="AKU17" s="1"/>
      <c r="AKV17" s="1"/>
      <c r="AKW17" s="1"/>
      <c r="AKX17" s="1"/>
      <c r="AKY17" s="1"/>
      <c r="AKZ17" s="1"/>
      <c r="ALA17" s="1"/>
      <c r="ALB17" s="1"/>
      <c r="ALC17" s="1"/>
      <c r="ALD17" s="1"/>
      <c r="ALE17" s="1"/>
      <c r="ALF17" s="1"/>
      <c r="ALG17" s="1"/>
      <c r="ALH17" s="1"/>
      <c r="ALI17" s="1"/>
      <c r="ALJ17" s="1"/>
      <c r="ALK17" s="1"/>
      <c r="ALL17" s="1"/>
      <c r="ALM17" s="1"/>
      <c r="ALN17" s="1"/>
      <c r="ALO17" s="1"/>
      <c r="ALP17" s="1"/>
      <c r="ALQ17" s="1"/>
      <c r="ALR17" s="1"/>
      <c r="ALS17" s="1"/>
      <c r="ALT17" s="1"/>
      <c r="ALU17" s="1"/>
      <c r="ALV17" s="1"/>
      <c r="ALW17" s="1"/>
      <c r="ALX17" s="1"/>
      <c r="ALY17" s="1"/>
      <c r="ALZ17" s="1"/>
      <c r="AMA17" s="1"/>
      <c r="AMB17" s="1"/>
      <c r="AMC17" s="1"/>
      <c r="AMD17" s="1"/>
      <c r="AME17" s="1"/>
      <c r="AMF17" s="1"/>
      <c r="AMG17" s="1"/>
      <c r="AMH17" s="1"/>
      <c r="AMI17" s="1"/>
      <c r="AMJ17" s="1"/>
      <c r="AMK17" s="1"/>
      <c r="AML17" s="1"/>
      <c r="AMM17" s="1"/>
      <c r="AMN17" s="1"/>
      <c r="AMO17" s="1"/>
    </row>
    <row r="18" spans="1:1030" x14ac:dyDescent="0.2">
      <c r="A18" s="3" t="str">
        <f t="shared" si="28"/>
        <v>5ht2c_human_6BQG</v>
      </c>
      <c r="B18" s="3" t="s">
        <v>133</v>
      </c>
      <c r="C18" s="3" t="s">
        <v>1478</v>
      </c>
      <c r="D18" s="3" t="str">
        <f>IFERROR(MID(VLOOKUP($B18,Seqs!$A:$B,2,0),E18,1),"")</f>
        <v>V</v>
      </c>
      <c r="E18" s="3">
        <v>61</v>
      </c>
      <c r="F18" s="3" t="str">
        <f>IFERROR(MID(VLOOKUP($B18,Seqs!$A:$B,2,0),G18,1),"")</f>
        <v>E</v>
      </c>
      <c r="G18" s="3">
        <v>81</v>
      </c>
      <c r="H18" s="3" t="str">
        <f>IFERROR(MID(VLOOKUP($B18,Seqs!$A:$B,2,0),I18,1),"")</f>
        <v>K</v>
      </c>
      <c r="I18" s="23">
        <v>82</v>
      </c>
      <c r="J18" s="3" t="str">
        <f>IFERROR(MID(VLOOKUP($B18,Seqs!$A:$B,2,0),K18,1),"")</f>
        <v>H</v>
      </c>
      <c r="K18" s="23">
        <v>85</v>
      </c>
      <c r="L18" s="3" t="str">
        <f>IFERROR(MID(VLOOKUP($B18,Seqs!$A:$B,2,0),M18,1),"")</f>
        <v>N</v>
      </c>
      <c r="M18" s="3">
        <v>86</v>
      </c>
      <c r="N18" s="3" t="str">
        <f>IFERROR(MID(VLOOKUP($B18,Seqs!$A:$B,2,0),O18,1),"")</f>
        <v>D</v>
      </c>
      <c r="O18" s="3">
        <v>117</v>
      </c>
      <c r="P18" s="3" t="str">
        <f>IFERROR(MID(VLOOKUP($B18,Seqs!$A:$B,2,0),Q18,1),"")</f>
        <v>V</v>
      </c>
      <c r="Q18" s="3">
        <v>119</v>
      </c>
      <c r="R18" s="3" t="str">
        <f>IFERROR(MID(VLOOKUP($B18,Seqs!$A:$B,2,0),S18,1),"")</f>
        <v>L</v>
      </c>
      <c r="S18" s="3">
        <v>122</v>
      </c>
      <c r="T18" s="3" t="str">
        <f>IFERROR(MID(VLOOKUP($B18,Seqs!$A:$B,2,0),U18,1),"")</f>
        <v>P</v>
      </c>
      <c r="U18" s="3">
        <v>123</v>
      </c>
      <c r="V18" s="3" t="str">
        <f>IFERROR(MID(VLOOKUP($B18,Seqs!$A:$B,2,0),W18,1),"")</f>
        <v>N</v>
      </c>
      <c r="W18" s="3">
        <v>158</v>
      </c>
      <c r="X18" s="3" t="str">
        <f>IFERROR(MID(VLOOKUP($B18,Seqs!$A:$B,2,0),Y18,1),"")</f>
        <v/>
      </c>
      <c r="Y18" s="3" t="s">
        <v>23</v>
      </c>
      <c r="Z18" s="3" t="str">
        <f>IFERROR(MID(VLOOKUP($B18,Seqs!$A:$B,2,0),AA18,1),"")</f>
        <v/>
      </c>
      <c r="AA18" s="3" t="s">
        <v>23</v>
      </c>
      <c r="AB18" s="3" t="str">
        <f>IFERROR(MID(VLOOKUP($B18,Seqs!$A:$B,2,0),AC18,1),"")</f>
        <v>S</v>
      </c>
      <c r="AC18" s="3">
        <v>167</v>
      </c>
      <c r="AD18" s="3" t="str">
        <f>IFERROR(MID(VLOOKUP($B18,Seqs!$A:$B,2,0),AE18,1),"")</f>
        <v>D</v>
      </c>
      <c r="AE18" s="3">
        <v>196</v>
      </c>
      <c r="AF18" s="3" t="str">
        <f>IFERROR(MID(VLOOKUP($B18,Seqs!$A:$B,2,0),AG18,1),"")</f>
        <v>C</v>
      </c>
      <c r="AG18" s="3">
        <v>207</v>
      </c>
      <c r="AH18" s="3" t="str">
        <f>IFERROR(MID(VLOOKUP($B18,Seqs!$A:$B,2,0),AI18,1),"")</f>
        <v>L</v>
      </c>
      <c r="AI18" s="3">
        <v>209</v>
      </c>
      <c r="AJ18" s="3" t="str">
        <f>IFERROR(MID(VLOOKUP($B18,Seqs!$A:$B,2,0),AK18,1),"")</f>
        <v>D</v>
      </c>
      <c r="AK18" s="3">
        <v>211</v>
      </c>
      <c r="AL18" s="3" t="str">
        <f>IFERROR(MID(VLOOKUP($B18,Seqs!$A:$B,2,0),AM18,1),"")</f>
        <v>A</v>
      </c>
      <c r="AM18" s="3">
        <v>245</v>
      </c>
      <c r="AN18" s="3" t="str">
        <f>IFERROR(MID(VLOOKUP($B18,Seqs!$A:$B,2,0),AO18,1),"")</f>
        <v>Q</v>
      </c>
      <c r="AO18" s="3">
        <v>301</v>
      </c>
      <c r="AP18" s="3" t="str">
        <f>IFERROR(MID(VLOOKUP($B18,Seqs!$A:$B,2,0),AQ18,1),"")</f>
        <v>C</v>
      </c>
      <c r="AQ18" s="3">
        <v>337</v>
      </c>
      <c r="AR18" s="3" t="str">
        <f>IFERROR(MID(VLOOKUP($B18,Seqs!$A:$B,2,0),AS18,1),"")</f>
        <v>N</v>
      </c>
      <c r="AS18" s="3">
        <v>342</v>
      </c>
      <c r="AT18" s="3" t="str">
        <f>IFERROR(MID(VLOOKUP($B18,Seqs!$A:$B,2,0),AU18,1),"")</f>
        <v>F</v>
      </c>
      <c r="AU18" s="3">
        <v>371</v>
      </c>
      <c r="AV18" s="3" t="str">
        <f>IFERROR(MID(VLOOKUP($B18,Seqs!$A:$B,2,0),AW18,1),"")</f>
        <v>N</v>
      </c>
      <c r="AW18" s="3">
        <v>372</v>
      </c>
      <c r="AX18" s="3" t="str">
        <f>IFERROR(MID(VLOOKUP($B18,Seqs!$A:$B,2,0),AY18,1),"")</f>
        <v>C</v>
      </c>
      <c r="AY18" s="3">
        <v>385</v>
      </c>
      <c r="AZ18" s="77" t="str">
        <f>VLOOKUP(B18,Classification!A:D,2,0)</f>
        <v>A</v>
      </c>
      <c r="BA18" s="94" t="str">
        <f>VLOOKUP(B18,Classification!A:D,4,0)</f>
        <v>5-Hydroxytryptamine</v>
      </c>
      <c r="BB18" s="27" t="b">
        <f t="shared" si="29"/>
        <v>1</v>
      </c>
      <c r="BC18" s="23">
        <f t="shared" si="30"/>
        <v>247</v>
      </c>
      <c r="BD18" s="4" t="s">
        <v>1382</v>
      </c>
      <c r="BE18" s="3" t="s">
        <v>1297</v>
      </c>
      <c r="BF18" s="119">
        <v>3</v>
      </c>
      <c r="BG18" s="49" t="s">
        <v>1</v>
      </c>
      <c r="BH18" s="49" t="s">
        <v>1</v>
      </c>
      <c r="BI18" s="1"/>
      <c r="BJ18" s="70" t="s">
        <v>1293</v>
      </c>
      <c r="BK18" s="57" t="s">
        <v>1293</v>
      </c>
      <c r="BL18" s="57" t="s">
        <v>1293</v>
      </c>
      <c r="BM18" s="57" t="s">
        <v>1293</v>
      </c>
      <c r="BN18" s="57" t="s">
        <v>1293</v>
      </c>
      <c r="BO18" s="57" t="s">
        <v>1293</v>
      </c>
      <c r="BP18" s="57" t="s">
        <v>1293</v>
      </c>
      <c r="BQ18" s="57" t="s">
        <v>1293</v>
      </c>
      <c r="BR18" s="57" t="s">
        <v>1293</v>
      </c>
      <c r="BS18" s="57" t="s">
        <v>1293</v>
      </c>
      <c r="BT18" s="57" t="s">
        <v>1293</v>
      </c>
      <c r="BU18" s="57" t="s">
        <v>1293</v>
      </c>
      <c r="BV18" s="70">
        <f t="shared" si="31"/>
        <v>61</v>
      </c>
      <c r="BW18" s="71">
        <f t="shared" si="32"/>
        <v>82</v>
      </c>
      <c r="BX18" s="72">
        <f t="shared" si="33"/>
        <v>86</v>
      </c>
      <c r="BY18" s="71">
        <f t="shared" si="34"/>
        <v>119</v>
      </c>
      <c r="BZ18" s="72">
        <f t="shared" si="35"/>
        <v>123</v>
      </c>
      <c r="CA18" s="71" t="str">
        <f t="shared" si="36"/>
        <v>-</v>
      </c>
      <c r="CB18" s="72">
        <f t="shared" si="37"/>
        <v>167</v>
      </c>
      <c r="CC18" s="71">
        <f t="shared" si="38"/>
        <v>207</v>
      </c>
      <c r="CD18" s="72">
        <f t="shared" si="39"/>
        <v>211</v>
      </c>
      <c r="CE18" s="71">
        <f t="shared" si="40"/>
        <v>301</v>
      </c>
      <c r="CF18" s="72">
        <f t="shared" si="41"/>
        <v>342</v>
      </c>
      <c r="CG18" s="71">
        <f t="shared" si="42"/>
        <v>372</v>
      </c>
      <c r="CH18" s="70">
        <f t="shared" si="43"/>
        <v>81</v>
      </c>
      <c r="CI18" s="71">
        <f t="shared" si="44"/>
        <v>85</v>
      </c>
      <c r="CJ18" s="72">
        <f t="shared" si="45"/>
        <v>117</v>
      </c>
      <c r="CK18" s="72">
        <f t="shared" si="46"/>
        <v>122</v>
      </c>
      <c r="CL18" s="72">
        <f t="shared" si="47"/>
        <v>158</v>
      </c>
      <c r="CM18" s="72" t="str">
        <f t="shared" si="48"/>
        <v>-</v>
      </c>
      <c r="CN18" s="72">
        <f t="shared" si="49"/>
        <v>196</v>
      </c>
      <c r="CO18" s="72">
        <f t="shared" si="50"/>
        <v>209</v>
      </c>
      <c r="CP18" s="72">
        <f t="shared" si="51"/>
        <v>245</v>
      </c>
      <c r="CQ18" s="72">
        <f t="shared" si="52"/>
        <v>337</v>
      </c>
      <c r="CR18" s="72">
        <f t="shared" si="53"/>
        <v>371</v>
      </c>
      <c r="CS18" s="72">
        <f t="shared" si="54"/>
        <v>385</v>
      </c>
      <c r="CT18" s="23">
        <f t="shared" si="55"/>
        <v>1</v>
      </c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s="1"/>
      <c r="UH18" s="1"/>
      <c r="UI18" s="1"/>
      <c r="UJ18" s="1"/>
      <c r="UK18" s="1"/>
      <c r="UL18" s="1"/>
      <c r="UM18" s="1"/>
      <c r="UN18" s="1"/>
      <c r="UO18" s="1"/>
      <c r="UP18" s="1"/>
      <c r="UQ18" s="1"/>
      <c r="UR18" s="1"/>
      <c r="US18" s="1"/>
      <c r="UT18" s="1"/>
      <c r="UU18" s="1"/>
      <c r="UV18" s="1"/>
      <c r="UW18" s="1"/>
      <c r="UX18" s="1"/>
      <c r="UY18" s="1"/>
      <c r="UZ18" s="1"/>
      <c r="VA18" s="1"/>
      <c r="VB18" s="1"/>
      <c r="VC18" s="1"/>
      <c r="VD18" s="1"/>
      <c r="VE18" s="1"/>
      <c r="VF18" s="1"/>
      <c r="VG18" s="1"/>
      <c r="VH18" s="1"/>
      <c r="VI18" s="1"/>
      <c r="VJ18" s="1"/>
      <c r="VK18" s="1"/>
      <c r="VL18" s="1"/>
      <c r="VM18" s="1"/>
      <c r="VN18" s="1"/>
      <c r="VO18" s="1"/>
      <c r="VP18" s="1"/>
      <c r="VQ18" s="1"/>
      <c r="VR18" s="1"/>
      <c r="VS18" s="1"/>
      <c r="VT18" s="1"/>
      <c r="VU18" s="1"/>
      <c r="VV18" s="1"/>
      <c r="VW18" s="1"/>
      <c r="VX18" s="1"/>
      <c r="VY18" s="1"/>
      <c r="VZ18" s="1"/>
      <c r="WA18" s="1"/>
      <c r="WB18" s="1"/>
      <c r="WC18" s="1"/>
      <c r="WD18" s="1"/>
      <c r="WE18" s="1"/>
      <c r="WF18" s="1"/>
      <c r="WG18" s="1"/>
      <c r="WH18" s="1"/>
      <c r="WI18" s="1"/>
      <c r="WJ18" s="1"/>
      <c r="WK18" s="1"/>
      <c r="WL18" s="1"/>
      <c r="WM18" s="1"/>
      <c r="WN18" s="1"/>
      <c r="WO18" s="1"/>
      <c r="WP18" s="1"/>
      <c r="WQ18" s="1"/>
      <c r="WR18" s="1"/>
      <c r="WS18" s="1"/>
      <c r="WT18" s="1"/>
      <c r="WU18" s="1"/>
      <c r="WV18" s="1"/>
      <c r="WW18" s="1"/>
      <c r="WX18" s="1"/>
      <c r="WY18" s="1"/>
      <c r="WZ18" s="1"/>
      <c r="XA18" s="1"/>
      <c r="XB18" s="1"/>
      <c r="XC18" s="1"/>
      <c r="XD18" s="1"/>
      <c r="XE18" s="1"/>
      <c r="XF18" s="1"/>
      <c r="XG18" s="1"/>
      <c r="XH18" s="1"/>
      <c r="XI18" s="1"/>
      <c r="XJ18" s="1"/>
      <c r="XK18" s="1"/>
      <c r="XL18" s="1"/>
      <c r="XM18" s="1"/>
      <c r="XN18" s="1"/>
      <c r="XO18" s="1"/>
      <c r="XP18" s="1"/>
      <c r="XQ18" s="1"/>
      <c r="XR18" s="1"/>
      <c r="XS18" s="1"/>
      <c r="XT18" s="1"/>
      <c r="XU18" s="1"/>
      <c r="XV18" s="1"/>
      <c r="XW18" s="1"/>
      <c r="XX18" s="1"/>
      <c r="XY18" s="1"/>
      <c r="XZ18" s="1"/>
      <c r="YA18" s="1"/>
      <c r="YB18" s="1"/>
      <c r="YC18" s="1"/>
      <c r="YD18" s="1"/>
      <c r="YE18" s="1"/>
      <c r="YF18" s="1"/>
      <c r="YG18" s="1"/>
      <c r="YH18" s="1"/>
      <c r="YI18" s="1"/>
      <c r="YJ18" s="1"/>
      <c r="YK18" s="1"/>
      <c r="YL18" s="1"/>
      <c r="YM18" s="1"/>
      <c r="YN18" s="1"/>
      <c r="YO18" s="1"/>
      <c r="YP18" s="1"/>
      <c r="YQ18" s="1"/>
      <c r="YR18" s="1"/>
      <c r="YS18" s="1"/>
      <c r="YT18" s="1"/>
      <c r="YU18" s="1"/>
      <c r="YV18" s="1"/>
      <c r="YW18" s="1"/>
      <c r="YX18" s="1"/>
      <c r="YY18" s="1"/>
      <c r="YZ18" s="1"/>
      <c r="ZA18" s="1"/>
      <c r="ZB18" s="1"/>
      <c r="ZC18" s="1"/>
      <c r="ZD18" s="1"/>
      <c r="ZE18" s="1"/>
      <c r="ZF18" s="1"/>
      <c r="ZG18" s="1"/>
      <c r="ZH18" s="1"/>
      <c r="ZI18" s="1"/>
      <c r="ZJ18" s="1"/>
      <c r="ZK18" s="1"/>
      <c r="ZL18" s="1"/>
      <c r="ZM18" s="1"/>
      <c r="ZN18" s="1"/>
      <c r="ZO18" s="1"/>
      <c r="ZP18" s="1"/>
      <c r="ZQ18" s="1"/>
      <c r="ZR18" s="1"/>
      <c r="ZS18" s="1"/>
      <c r="ZT18" s="1"/>
      <c r="ZU18" s="1"/>
      <c r="ZV18" s="1"/>
      <c r="ZW18" s="1"/>
      <c r="ZX18" s="1"/>
      <c r="ZY18" s="1"/>
      <c r="ZZ18" s="1"/>
      <c r="AAA18" s="1"/>
      <c r="AAB18" s="1"/>
      <c r="AAC18" s="1"/>
      <c r="AAD18" s="1"/>
      <c r="AAE18" s="1"/>
      <c r="AAF18" s="1"/>
      <c r="AAG18" s="1"/>
      <c r="AAH18" s="1"/>
      <c r="AAI18" s="1"/>
      <c r="AAJ18" s="1"/>
      <c r="AAK18" s="1"/>
      <c r="AAL18" s="1"/>
      <c r="AAM18" s="1"/>
      <c r="AAN18" s="1"/>
      <c r="AAO18" s="1"/>
      <c r="AAP18" s="1"/>
      <c r="AAQ18" s="1"/>
      <c r="AAR18" s="1"/>
      <c r="AAS18" s="1"/>
      <c r="AAT18" s="1"/>
      <c r="AAU18" s="1"/>
      <c r="AAV18" s="1"/>
      <c r="AAW18" s="1"/>
      <c r="AAX18" s="1"/>
      <c r="AAY18" s="1"/>
      <c r="AAZ18" s="1"/>
      <c r="ABA18" s="1"/>
      <c r="ABB18" s="1"/>
      <c r="ABC18" s="1"/>
      <c r="ABD18" s="1"/>
      <c r="ABE18" s="1"/>
      <c r="ABF18" s="1"/>
      <c r="ABG18" s="1"/>
      <c r="ABH18" s="1"/>
      <c r="ABI18" s="1"/>
      <c r="ABJ18" s="1"/>
      <c r="ABK18" s="1"/>
      <c r="ABL18" s="1"/>
      <c r="ABM18" s="1"/>
      <c r="ABN18" s="1"/>
      <c r="ABO18" s="1"/>
      <c r="ABP18" s="1"/>
      <c r="ABQ18" s="1"/>
      <c r="ABR18" s="1"/>
      <c r="ABS18" s="1"/>
      <c r="ABT18" s="1"/>
      <c r="ABU18" s="1"/>
      <c r="ABV18" s="1"/>
      <c r="ABW18" s="1"/>
      <c r="ABX18" s="1"/>
      <c r="ABY18" s="1"/>
      <c r="ABZ18" s="1"/>
      <c r="ACA18" s="1"/>
      <c r="ACB18" s="1"/>
      <c r="ACC18" s="1"/>
      <c r="ACD18" s="1"/>
      <c r="ACE18" s="1"/>
      <c r="ACF18" s="1"/>
      <c r="ACG18" s="1"/>
      <c r="ACH18" s="1"/>
      <c r="ACI18" s="1"/>
      <c r="ACJ18" s="1"/>
      <c r="ACK18" s="1"/>
      <c r="ACL18" s="1"/>
      <c r="ACM18" s="1"/>
      <c r="ACN18" s="1"/>
      <c r="ACO18" s="1"/>
      <c r="ACP18" s="1"/>
      <c r="ACQ18" s="1"/>
      <c r="ACR18" s="1"/>
      <c r="ACS18" s="1"/>
      <c r="ACT18" s="1"/>
      <c r="ACU18" s="1"/>
      <c r="ACV18" s="1"/>
      <c r="ACW18" s="1"/>
      <c r="ACX18" s="1"/>
      <c r="ACY18" s="1"/>
      <c r="ACZ18" s="1"/>
      <c r="ADA18" s="1"/>
      <c r="ADB18" s="1"/>
      <c r="ADC18" s="1"/>
      <c r="ADD18" s="1"/>
      <c r="ADE18" s="1"/>
      <c r="ADF18" s="1"/>
      <c r="ADG18" s="1"/>
      <c r="ADH18" s="1"/>
      <c r="ADI18" s="1"/>
      <c r="ADJ18" s="1"/>
      <c r="ADK18" s="1"/>
      <c r="ADL18" s="1"/>
      <c r="ADM18" s="1"/>
      <c r="ADN18" s="1"/>
      <c r="ADO18" s="1"/>
      <c r="ADP18" s="1"/>
      <c r="ADQ18" s="1"/>
      <c r="ADR18" s="1"/>
      <c r="ADS18" s="1"/>
      <c r="ADT18" s="1"/>
      <c r="ADU18" s="1"/>
      <c r="ADV18" s="1"/>
      <c r="ADW18" s="1"/>
      <c r="ADX18" s="1"/>
      <c r="ADY18" s="1"/>
      <c r="ADZ18" s="1"/>
      <c r="AEA18" s="1"/>
      <c r="AEB18" s="1"/>
      <c r="AEC18" s="1"/>
      <c r="AED18" s="1"/>
      <c r="AEE18" s="1"/>
      <c r="AEF18" s="1"/>
      <c r="AEG18" s="1"/>
      <c r="AEH18" s="1"/>
      <c r="AEI18" s="1"/>
      <c r="AEJ18" s="1"/>
      <c r="AEK18" s="1"/>
      <c r="AEL18" s="1"/>
      <c r="AEM18" s="1"/>
      <c r="AEN18" s="1"/>
      <c r="AEO18" s="1"/>
      <c r="AEP18" s="1"/>
      <c r="AEQ18" s="1"/>
      <c r="AER18" s="1"/>
      <c r="AES18" s="1"/>
      <c r="AET18" s="1"/>
      <c r="AEU18" s="1"/>
      <c r="AEV18" s="1"/>
      <c r="AEW18" s="1"/>
      <c r="AEX18" s="1"/>
      <c r="AEY18" s="1"/>
      <c r="AEZ18" s="1"/>
      <c r="AFA18" s="1"/>
      <c r="AFB18" s="1"/>
      <c r="AFC18" s="1"/>
      <c r="AFD18" s="1"/>
      <c r="AFE18" s="1"/>
      <c r="AFF18" s="1"/>
      <c r="AFG18" s="1"/>
      <c r="AFH18" s="1"/>
      <c r="AFI18" s="1"/>
      <c r="AFJ18" s="1"/>
      <c r="AFK18" s="1"/>
      <c r="AFL18" s="1"/>
      <c r="AFM18" s="1"/>
      <c r="AFN18" s="1"/>
      <c r="AFO18" s="1"/>
      <c r="AFP18" s="1"/>
      <c r="AFQ18" s="1"/>
      <c r="AFR18" s="1"/>
      <c r="AFS18" s="1"/>
      <c r="AFT18" s="1"/>
      <c r="AFU18" s="1"/>
      <c r="AFV18" s="1"/>
      <c r="AFW18" s="1"/>
      <c r="AFX18" s="1"/>
      <c r="AFY18" s="1"/>
      <c r="AFZ18" s="1"/>
      <c r="AGA18" s="1"/>
      <c r="AGB18" s="1"/>
      <c r="AGC18" s="1"/>
      <c r="AGD18" s="1"/>
      <c r="AGE18" s="1"/>
      <c r="AGF18" s="1"/>
      <c r="AGG18" s="1"/>
      <c r="AGH18" s="1"/>
      <c r="AGI18" s="1"/>
      <c r="AGJ18" s="1"/>
      <c r="AGK18" s="1"/>
      <c r="AGL18" s="1"/>
      <c r="AGM18" s="1"/>
      <c r="AGN18" s="1"/>
      <c r="AGO18" s="1"/>
      <c r="AGP18" s="1"/>
      <c r="AGQ18" s="1"/>
      <c r="AGR18" s="1"/>
      <c r="AGS18" s="1"/>
      <c r="AGT18" s="1"/>
      <c r="AGU18" s="1"/>
      <c r="AGV18" s="1"/>
      <c r="AGW18" s="1"/>
      <c r="AGX18" s="1"/>
      <c r="AGY18" s="1"/>
      <c r="AGZ18" s="1"/>
      <c r="AHA18" s="1"/>
      <c r="AHB18" s="1"/>
      <c r="AHC18" s="1"/>
      <c r="AHD18" s="1"/>
      <c r="AHE18" s="1"/>
      <c r="AHF18" s="1"/>
      <c r="AHG18" s="1"/>
      <c r="AHH18" s="1"/>
      <c r="AHI18" s="1"/>
      <c r="AHJ18" s="1"/>
      <c r="AHK18" s="1"/>
      <c r="AHL18" s="1"/>
      <c r="AHM18" s="1"/>
      <c r="AHN18" s="1"/>
      <c r="AHO18" s="1"/>
      <c r="AHP18" s="1"/>
      <c r="AHQ18" s="1"/>
      <c r="AHR18" s="1"/>
      <c r="AHS18" s="1"/>
      <c r="AHT18" s="1"/>
      <c r="AHU18" s="1"/>
      <c r="AHV18" s="1"/>
      <c r="AHW18" s="1"/>
      <c r="AHX18" s="1"/>
      <c r="AHY18" s="1"/>
      <c r="AHZ18" s="1"/>
      <c r="AIA18" s="1"/>
      <c r="AIB18" s="1"/>
      <c r="AIC18" s="1"/>
      <c r="AID18" s="1"/>
      <c r="AIE18" s="1"/>
      <c r="AIF18" s="1"/>
      <c r="AIG18" s="1"/>
      <c r="AIH18" s="1"/>
      <c r="AII18" s="1"/>
      <c r="AIJ18" s="1"/>
      <c r="AIK18" s="1"/>
      <c r="AIL18" s="1"/>
      <c r="AIM18" s="1"/>
      <c r="AIN18" s="1"/>
      <c r="AIO18" s="1"/>
      <c r="AIP18" s="1"/>
      <c r="AIQ18" s="1"/>
      <c r="AIR18" s="1"/>
      <c r="AIS18" s="1"/>
      <c r="AIT18" s="1"/>
      <c r="AIU18" s="1"/>
      <c r="AIV18" s="1"/>
      <c r="AIW18" s="1"/>
      <c r="AIX18" s="1"/>
      <c r="AIY18" s="1"/>
      <c r="AIZ18" s="1"/>
      <c r="AJA18" s="1"/>
      <c r="AJB18" s="1"/>
      <c r="AJC18" s="1"/>
      <c r="AJD18" s="1"/>
      <c r="AJE18" s="1"/>
      <c r="AJF18" s="1"/>
      <c r="AJG18" s="1"/>
      <c r="AJH18" s="1"/>
      <c r="AJI18" s="1"/>
      <c r="AJJ18" s="1"/>
      <c r="AJK18" s="1"/>
      <c r="AJL18" s="1"/>
      <c r="AJM18" s="1"/>
      <c r="AJN18" s="1"/>
      <c r="AJO18" s="1"/>
      <c r="AJP18" s="1"/>
      <c r="AJQ18" s="1"/>
      <c r="AJR18" s="1"/>
      <c r="AJS18" s="1"/>
      <c r="AJT18" s="1"/>
      <c r="AJU18" s="1"/>
      <c r="AJV18" s="1"/>
      <c r="AJW18" s="1"/>
      <c r="AJX18" s="1"/>
      <c r="AJY18" s="1"/>
      <c r="AJZ18" s="1"/>
      <c r="AKA18" s="1"/>
      <c r="AKB18" s="1"/>
      <c r="AKC18" s="1"/>
      <c r="AKD18" s="1"/>
      <c r="AKE18" s="1"/>
      <c r="AKF18" s="1"/>
      <c r="AKG18" s="1"/>
      <c r="AKH18" s="1"/>
      <c r="AKI18" s="1"/>
      <c r="AKJ18" s="1"/>
      <c r="AKK18" s="1"/>
      <c r="AKL18" s="1"/>
      <c r="AKM18" s="1"/>
      <c r="AKN18" s="1"/>
      <c r="AKO18" s="1"/>
      <c r="AKP18" s="1"/>
      <c r="AKQ18" s="1"/>
      <c r="AKR18" s="1"/>
      <c r="AKS18" s="1"/>
      <c r="AKT18" s="1"/>
      <c r="AKU18" s="1"/>
      <c r="AKV18" s="1"/>
      <c r="AKW18" s="1"/>
      <c r="AKX18" s="1"/>
      <c r="AKY18" s="1"/>
      <c r="AKZ18" s="1"/>
      <c r="ALA18" s="1"/>
      <c r="ALB18" s="1"/>
      <c r="ALC18" s="1"/>
      <c r="ALD18" s="1"/>
      <c r="ALE18" s="1"/>
      <c r="ALF18" s="1"/>
      <c r="ALG18" s="1"/>
      <c r="ALH18" s="1"/>
      <c r="ALI18" s="1"/>
      <c r="ALJ18" s="1"/>
      <c r="ALK18" s="1"/>
      <c r="ALL18" s="1"/>
      <c r="ALM18" s="1"/>
      <c r="ALN18" s="1"/>
      <c r="ALO18" s="1"/>
      <c r="ALP18" s="1"/>
      <c r="ALQ18" s="1"/>
      <c r="ALR18" s="1"/>
      <c r="ALS18" s="1"/>
      <c r="ALT18" s="1"/>
      <c r="ALU18" s="1"/>
      <c r="ALV18" s="1"/>
      <c r="ALW18" s="1"/>
      <c r="ALX18" s="1"/>
      <c r="ALY18" s="1"/>
      <c r="ALZ18" s="1"/>
      <c r="AMA18" s="1"/>
      <c r="AMB18" s="1"/>
      <c r="AMC18" s="1"/>
      <c r="AMD18" s="1"/>
      <c r="AME18" s="1"/>
      <c r="AMF18" s="1"/>
      <c r="AMG18" s="1"/>
      <c r="AMH18" s="1"/>
      <c r="AMI18" s="1"/>
      <c r="AMJ18" s="1"/>
      <c r="AMK18" s="1"/>
      <c r="AML18" s="1"/>
      <c r="AMM18" s="1"/>
      <c r="AMN18" s="1"/>
      <c r="AMO18" s="1"/>
    </row>
    <row r="19" spans="1:1030" x14ac:dyDescent="0.2">
      <c r="A19" s="3" t="str">
        <f t="shared" si="28"/>
        <v>5ht2c_human_6BQH</v>
      </c>
      <c r="B19" s="3" t="s">
        <v>133</v>
      </c>
      <c r="C19" s="3" t="s">
        <v>1479</v>
      </c>
      <c r="D19" s="3" t="str">
        <f>IFERROR(MID(VLOOKUP($B19,Seqs!$A:$B,2,0),E19,1),"")</f>
        <v>I</v>
      </c>
      <c r="E19" s="3">
        <v>60</v>
      </c>
      <c r="F19" s="3" t="str">
        <f>IFERROR(MID(VLOOKUP($B19,Seqs!$A:$B,2,0),G19,1),"")</f>
        <v>E</v>
      </c>
      <c r="G19" s="3">
        <v>81</v>
      </c>
      <c r="H19" s="3" t="str">
        <f>IFERROR(MID(VLOOKUP($B19,Seqs!$A:$B,2,0),I19,1),"")</f>
        <v>K</v>
      </c>
      <c r="I19" s="23">
        <v>82</v>
      </c>
      <c r="J19" s="3" t="str">
        <f>IFERROR(MID(VLOOKUP($B19,Seqs!$A:$B,2,0),K19,1),"")</f>
        <v>H</v>
      </c>
      <c r="K19" s="23">
        <v>85</v>
      </c>
      <c r="L19" s="3" t="str">
        <f>IFERROR(MID(VLOOKUP($B19,Seqs!$A:$B,2,0),M19,1),"")</f>
        <v>N</v>
      </c>
      <c r="M19" s="3">
        <v>86</v>
      </c>
      <c r="N19" s="3" t="str">
        <f>IFERROR(MID(VLOOKUP($B19,Seqs!$A:$B,2,0),O19,1),"")</f>
        <v>D</v>
      </c>
      <c r="O19" s="3">
        <v>117</v>
      </c>
      <c r="P19" s="3" t="str">
        <f>IFERROR(MID(VLOOKUP($B19,Seqs!$A:$B,2,0),Q19,1),"")</f>
        <v>V</v>
      </c>
      <c r="Q19" s="3">
        <v>119</v>
      </c>
      <c r="R19" s="3" t="str">
        <f>IFERROR(MID(VLOOKUP($B19,Seqs!$A:$B,2,0),S19,1),"")</f>
        <v>L</v>
      </c>
      <c r="S19" s="3">
        <v>122</v>
      </c>
      <c r="T19" s="3" t="str">
        <f>IFERROR(MID(VLOOKUP($B19,Seqs!$A:$B,2,0),U19,1),"")</f>
        <v>P</v>
      </c>
      <c r="U19" s="3">
        <v>123</v>
      </c>
      <c r="V19" s="3" t="str">
        <f>IFERROR(MID(VLOOKUP($B19,Seqs!$A:$B,2,0),W19,1),"")</f>
        <v>R</v>
      </c>
      <c r="W19" s="3">
        <v>157</v>
      </c>
      <c r="X19" s="3" t="str">
        <f>IFERROR(MID(VLOOKUP($B19,Seqs!$A:$B,2,0),Y19,1),"")</f>
        <v/>
      </c>
      <c r="Y19" s="3" t="s">
        <v>23</v>
      </c>
      <c r="Z19" s="3" t="str">
        <f>IFERROR(MID(VLOOKUP($B19,Seqs!$A:$B,2,0),AA19,1),"")</f>
        <v/>
      </c>
      <c r="AA19" s="3" t="s">
        <v>23</v>
      </c>
      <c r="AB19" s="3" t="str">
        <f>IFERROR(MID(VLOOKUP($B19,Seqs!$A:$B,2,0),AC19,1),"")</f>
        <v>N</v>
      </c>
      <c r="AC19" s="3">
        <v>166</v>
      </c>
      <c r="AD19" s="3" t="str">
        <f>IFERROR(MID(VLOOKUP($B19,Seqs!$A:$B,2,0),AE19,1),"")</f>
        <v>D</v>
      </c>
      <c r="AE19" s="3">
        <v>196</v>
      </c>
      <c r="AF19" s="3" t="str">
        <f>IFERROR(MID(VLOOKUP($B19,Seqs!$A:$B,2,0),AG19,1),"")</f>
        <v>C</v>
      </c>
      <c r="AG19" s="3">
        <v>207</v>
      </c>
      <c r="AH19" s="3" t="str">
        <f>IFERROR(MID(VLOOKUP($B19,Seqs!$A:$B,2,0),AI19,1),"")</f>
        <v>L</v>
      </c>
      <c r="AI19" s="3">
        <v>209</v>
      </c>
      <c r="AJ19" s="3" t="str">
        <f>IFERROR(MID(VLOOKUP($B19,Seqs!$A:$B,2,0),AK19,1),"")</f>
        <v>D</v>
      </c>
      <c r="AK19" s="3">
        <v>211</v>
      </c>
      <c r="AL19" s="3" t="str">
        <f>IFERROR(MID(VLOOKUP($B19,Seqs!$A:$B,2,0),AM19,1),"")</f>
        <v>A</v>
      </c>
      <c r="AM19" s="3">
        <v>245</v>
      </c>
      <c r="AN19" s="3" t="str">
        <f>IFERROR(MID(VLOOKUP($B19,Seqs!$A:$B,2,0),AO19,1),"")</f>
        <v>Q</v>
      </c>
      <c r="AO19" s="3">
        <v>301</v>
      </c>
      <c r="AP19" s="3" t="str">
        <f>IFERROR(MID(VLOOKUP($B19,Seqs!$A:$B,2,0),AQ19,1),"")</f>
        <v>L</v>
      </c>
      <c r="AQ19" s="3">
        <v>336</v>
      </c>
      <c r="AR19" s="3" t="str">
        <f>IFERROR(MID(VLOOKUP($B19,Seqs!$A:$B,2,0),AS19,1),"")</f>
        <v>N</v>
      </c>
      <c r="AS19" s="3">
        <v>342</v>
      </c>
      <c r="AT19" s="3" t="str">
        <f>IFERROR(MID(VLOOKUP($B19,Seqs!$A:$B,2,0),AU19,1),"")</f>
        <v>F</v>
      </c>
      <c r="AU19" s="3">
        <v>371</v>
      </c>
      <c r="AV19" s="3" t="str">
        <f>IFERROR(MID(VLOOKUP($B19,Seqs!$A:$B,2,0),AW19,1),"")</f>
        <v>N</v>
      </c>
      <c r="AW19" s="3">
        <v>372</v>
      </c>
      <c r="AX19" s="3" t="str">
        <f>IFERROR(MID(VLOOKUP($B19,Seqs!$A:$B,2,0),AY19,1),"")</f>
        <v>N</v>
      </c>
      <c r="AY19" s="3">
        <v>386</v>
      </c>
      <c r="AZ19" s="77" t="str">
        <f>VLOOKUP(B19,Classification!A:D,2,0)</f>
        <v>A</v>
      </c>
      <c r="BA19" s="94" t="str">
        <f>VLOOKUP(B19,Classification!A:D,4,0)</f>
        <v>5-Hydroxytryptamine</v>
      </c>
      <c r="BB19" s="27" t="b">
        <f t="shared" si="29"/>
        <v>1</v>
      </c>
      <c r="BC19" s="23">
        <f t="shared" si="30"/>
        <v>248</v>
      </c>
      <c r="BD19" s="4" t="s">
        <v>1440</v>
      </c>
      <c r="BE19" s="3" t="s">
        <v>1439</v>
      </c>
      <c r="BF19" s="119">
        <v>2.7</v>
      </c>
      <c r="BG19" s="49" t="s">
        <v>1</v>
      </c>
      <c r="BH19" s="49" t="s">
        <v>1</v>
      </c>
      <c r="BI19" s="1"/>
      <c r="BJ19" s="70" t="s">
        <v>1293</v>
      </c>
      <c r="BK19" s="57" t="s">
        <v>1293</v>
      </c>
      <c r="BL19" s="57" t="s">
        <v>1293</v>
      </c>
      <c r="BM19" s="57" t="s">
        <v>1293</v>
      </c>
      <c r="BN19" s="57" t="s">
        <v>1293</v>
      </c>
      <c r="BO19" s="57" t="s">
        <v>1293</v>
      </c>
      <c r="BP19" s="57" t="s">
        <v>1293</v>
      </c>
      <c r="BQ19" s="57" t="s">
        <v>1293</v>
      </c>
      <c r="BR19" s="57" t="s">
        <v>1293</v>
      </c>
      <c r="BS19" s="57" t="s">
        <v>1293</v>
      </c>
      <c r="BT19" s="57" t="s">
        <v>1293</v>
      </c>
      <c r="BU19" s="57" t="s">
        <v>1293</v>
      </c>
      <c r="BV19" s="70">
        <f t="shared" si="31"/>
        <v>60</v>
      </c>
      <c r="BW19" s="71">
        <f t="shared" si="32"/>
        <v>82</v>
      </c>
      <c r="BX19" s="72">
        <f t="shared" si="33"/>
        <v>86</v>
      </c>
      <c r="BY19" s="71">
        <f t="shared" si="34"/>
        <v>119</v>
      </c>
      <c r="BZ19" s="72">
        <f t="shared" si="35"/>
        <v>123</v>
      </c>
      <c r="CA19" s="71" t="str">
        <f t="shared" si="36"/>
        <v>-</v>
      </c>
      <c r="CB19" s="72">
        <f t="shared" si="37"/>
        <v>166</v>
      </c>
      <c r="CC19" s="71">
        <f t="shared" si="38"/>
        <v>207</v>
      </c>
      <c r="CD19" s="72">
        <f t="shared" si="39"/>
        <v>211</v>
      </c>
      <c r="CE19" s="71">
        <f t="shared" si="40"/>
        <v>301</v>
      </c>
      <c r="CF19" s="72">
        <f t="shared" si="41"/>
        <v>342</v>
      </c>
      <c r="CG19" s="71">
        <f t="shared" si="42"/>
        <v>372</v>
      </c>
      <c r="CH19" s="70">
        <f t="shared" si="43"/>
        <v>81</v>
      </c>
      <c r="CI19" s="71">
        <f t="shared" si="44"/>
        <v>85</v>
      </c>
      <c r="CJ19" s="72">
        <f t="shared" si="45"/>
        <v>117</v>
      </c>
      <c r="CK19" s="72">
        <f t="shared" si="46"/>
        <v>122</v>
      </c>
      <c r="CL19" s="72">
        <f t="shared" si="47"/>
        <v>157</v>
      </c>
      <c r="CM19" s="72" t="str">
        <f t="shared" si="48"/>
        <v>-</v>
      </c>
      <c r="CN19" s="72">
        <f t="shared" si="49"/>
        <v>196</v>
      </c>
      <c r="CO19" s="72">
        <f t="shared" si="50"/>
        <v>209</v>
      </c>
      <c r="CP19" s="72">
        <f t="shared" si="51"/>
        <v>245</v>
      </c>
      <c r="CQ19" s="72">
        <f t="shared" si="52"/>
        <v>336</v>
      </c>
      <c r="CR19" s="72">
        <f t="shared" si="53"/>
        <v>371</v>
      </c>
      <c r="CS19" s="72">
        <f t="shared" si="54"/>
        <v>386</v>
      </c>
      <c r="CT19" s="23">
        <f t="shared" si="55"/>
        <v>1</v>
      </c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  <c r="AMK19" s="1"/>
      <c r="AML19" s="1"/>
      <c r="AMM19" s="1"/>
      <c r="AMN19" s="1"/>
      <c r="AMO19" s="1"/>
    </row>
    <row r="20" spans="1:1030" x14ac:dyDescent="0.2">
      <c r="A20" s="3" t="str">
        <f t="shared" si="28"/>
        <v>aa1r_human__wt</v>
      </c>
      <c r="B20" s="3" t="s">
        <v>138</v>
      </c>
      <c r="C20" s="3" t="s">
        <v>100</v>
      </c>
      <c r="D20" s="3" t="str">
        <f>IFERROR(MID(VLOOKUP($B20,Seqs!$A:$B,2,0),E20,1),"")</f>
        <v>S</v>
      </c>
      <c r="E20" s="3">
        <v>6</v>
      </c>
      <c r="F20" s="3" t="str">
        <f>IFERROR(MID(VLOOKUP($B20,Seqs!$A:$B,2,0),G20,1),"")</f>
        <v>N</v>
      </c>
      <c r="G20" s="3">
        <v>37</v>
      </c>
      <c r="H20" s="3" t="str">
        <f>IFERROR(MID(VLOOKUP($B20,Seqs!$A:$B,2,0),I20,1),"")</f>
        <v>Q</v>
      </c>
      <c r="I20" s="23">
        <v>38</v>
      </c>
      <c r="J20" s="3" t="str">
        <f>IFERROR(MID(VLOOKUP($B20,Seqs!$A:$B,2,0),K20,1),"")</f>
        <v>R</v>
      </c>
      <c r="K20" s="23">
        <v>41</v>
      </c>
      <c r="L20" s="3" t="str">
        <f>IFERROR(MID(VLOOKUP($B20,Seqs!$A:$B,2,0),M20,1),"")</f>
        <v>D</v>
      </c>
      <c r="M20" s="3">
        <v>42</v>
      </c>
      <c r="N20" s="3" t="str">
        <f>IFERROR(MID(VLOOKUP($B20,Seqs!$A:$B,2,0),O20,1),"")</f>
        <v>G</v>
      </c>
      <c r="O20" s="3">
        <v>72</v>
      </c>
      <c r="P20" s="3" t="str">
        <f>IFERROR(MID(VLOOKUP($B20,Seqs!$A:$B,2,0),Q20,1),"")</f>
        <v>P</v>
      </c>
      <c r="Q20" s="3">
        <v>73</v>
      </c>
      <c r="R20" s="3" t="str">
        <f>IFERROR(MID(VLOOKUP($B20,Seqs!$A:$B,2,0),S20,1),"")</f>
        <v>T</v>
      </c>
      <c r="S20" s="3">
        <v>75</v>
      </c>
      <c r="T20" s="3" t="str">
        <f>IFERROR(MID(VLOOKUP($B20,Seqs!$A:$B,2,0),U20,1),"")</f>
        <v>Y</v>
      </c>
      <c r="U20" s="3">
        <v>76</v>
      </c>
      <c r="V20" s="3" t="str">
        <f>IFERROR(MID(VLOOKUP($B20,Seqs!$A:$B,2,0),W20,1),"")</f>
        <v>I</v>
      </c>
      <c r="W20" s="3">
        <v>111</v>
      </c>
      <c r="X20" s="3" t="str">
        <f>IFERROR(MID(VLOOKUP($B20,Seqs!$A:$B,2,0),Y20,1),"")</f>
        <v>P</v>
      </c>
      <c r="Y20" s="3">
        <v>112</v>
      </c>
      <c r="Z20" s="3" t="str">
        <f>IFERROR(MID(VLOOKUP($B20,Seqs!$A:$B,2,0),AA20,1),"")</f>
        <v>V</v>
      </c>
      <c r="AA20" s="3">
        <v>119</v>
      </c>
      <c r="AB20" s="3" t="str">
        <f>IFERROR(MID(VLOOKUP($B20,Seqs!$A:$B,2,0),AC20,1),"")</f>
        <v>T</v>
      </c>
      <c r="AC20" s="3">
        <v>120</v>
      </c>
      <c r="AD20" s="3" t="str">
        <f>IFERROR(MID(VLOOKUP($B20,Seqs!$A:$B,2,0),AE20,1),"")</f>
        <v>G</v>
      </c>
      <c r="AE20" s="3">
        <v>145</v>
      </c>
      <c r="AF20" s="3" t="str">
        <f>IFERROR(MID(VLOOKUP($B20,Seqs!$A:$B,2,0),AG20,1),"")</f>
        <v>C</v>
      </c>
      <c r="AG20" s="3">
        <v>169</v>
      </c>
      <c r="AH20" s="3" t="str">
        <f>IFERROR(MID(VLOOKUP($B20,Seqs!$A:$B,2,0),AI20,1),"")</f>
        <v>F</v>
      </c>
      <c r="AI20" s="3">
        <v>171</v>
      </c>
      <c r="AJ20" s="3" t="str">
        <f>IFERROR(MID(VLOOKUP($B20,Seqs!$A:$B,2,0),AK20,1),"")</f>
        <v>S</v>
      </c>
      <c r="AK20" s="3">
        <v>176</v>
      </c>
      <c r="AL20" s="3" t="str">
        <f>IFERROR(MID(VLOOKUP($B20,Seqs!$A:$B,2,0),AM20,1),"")</f>
        <v>V</v>
      </c>
      <c r="AM20" s="3">
        <v>215</v>
      </c>
      <c r="AN20" s="3" t="str">
        <f>IFERROR(MID(VLOOKUP($B20,Seqs!$A:$B,2,0),AO20,1),"")</f>
        <v>D</v>
      </c>
      <c r="AO20" s="3">
        <v>221</v>
      </c>
      <c r="AP20" s="3" t="str">
        <f>IFERROR(MID(VLOOKUP($B20,Seqs!$A:$B,2,0),AQ20,1),"")</f>
        <v>C</v>
      </c>
      <c r="AQ20" s="3">
        <v>260</v>
      </c>
      <c r="AR20" s="3" t="str">
        <f>IFERROR(MID(VLOOKUP($B20,Seqs!$A:$B,2,0),AS20,1),"")</f>
        <v>P</v>
      </c>
      <c r="AS20" s="3">
        <v>266</v>
      </c>
      <c r="AT20" s="3" t="str">
        <f>IFERROR(MID(VLOOKUP($B20,Seqs!$A:$B,2,0),AU20,1),"")</f>
        <v>R</v>
      </c>
      <c r="AU20" s="3">
        <v>291</v>
      </c>
      <c r="AV20" s="3" t="str">
        <f>IFERROR(MID(VLOOKUP($B20,Seqs!$A:$B,2,0),AW20,1),"")</f>
        <v>I</v>
      </c>
      <c r="AW20" s="3">
        <v>292</v>
      </c>
      <c r="AX20" s="3" t="str">
        <f>IFERROR(MID(VLOOKUP($B20,Seqs!$A:$B,2,0),AY20,1),"")</f>
        <v>P</v>
      </c>
      <c r="AY20" s="3">
        <v>314</v>
      </c>
      <c r="AZ20" s="77" t="str">
        <f>VLOOKUP(B20,Classification!A:D,2,0)</f>
        <v>A</v>
      </c>
      <c r="BA20" s="94" t="str">
        <f>VLOOKUP(B20,Classification!A:D,4,0)</f>
        <v>Adenosine</v>
      </c>
      <c r="BB20" s="27" t="b">
        <f t="shared" si="29"/>
        <v>1</v>
      </c>
      <c r="BC20" s="23">
        <f t="shared" si="30"/>
        <v>272</v>
      </c>
      <c r="BD20" s="4" t="s">
        <v>23</v>
      </c>
      <c r="BE20" s="3" t="s">
        <v>23</v>
      </c>
      <c r="BF20" s="119" t="s">
        <v>23</v>
      </c>
      <c r="BG20" s="49" t="s">
        <v>1384</v>
      </c>
      <c r="BH20" s="49" t="s">
        <v>1384</v>
      </c>
      <c r="BI20" s="1"/>
      <c r="BJ20" s="70" t="s">
        <v>1293</v>
      </c>
      <c r="BK20" s="57" t="s">
        <v>1293</v>
      </c>
      <c r="BL20" s="57" t="s">
        <v>1293</v>
      </c>
      <c r="BM20" s="57" t="s">
        <v>1293</v>
      </c>
      <c r="BN20" s="57" t="s">
        <v>1293</v>
      </c>
      <c r="BO20" s="57" t="s">
        <v>1293</v>
      </c>
      <c r="BP20" s="57" t="s">
        <v>1293</v>
      </c>
      <c r="BQ20" s="57" t="s">
        <v>1293</v>
      </c>
      <c r="BR20" s="57" t="s">
        <v>1293</v>
      </c>
      <c r="BS20" s="57" t="s">
        <v>1293</v>
      </c>
      <c r="BT20" s="57" t="s">
        <v>1293</v>
      </c>
      <c r="BU20" s="57" t="s">
        <v>1293</v>
      </c>
      <c r="BV20" s="70">
        <f t="shared" si="31"/>
        <v>6</v>
      </c>
      <c r="BW20" s="71">
        <f t="shared" si="32"/>
        <v>38</v>
      </c>
      <c r="BX20" s="72">
        <f t="shared" si="33"/>
        <v>42</v>
      </c>
      <c r="BY20" s="71">
        <f t="shared" si="34"/>
        <v>73</v>
      </c>
      <c r="BZ20" s="72">
        <f t="shared" si="35"/>
        <v>76</v>
      </c>
      <c r="CA20" s="71">
        <f t="shared" si="36"/>
        <v>112</v>
      </c>
      <c r="CB20" s="72">
        <f t="shared" si="37"/>
        <v>120</v>
      </c>
      <c r="CC20" s="71">
        <f t="shared" si="38"/>
        <v>169</v>
      </c>
      <c r="CD20" s="72">
        <f t="shared" si="39"/>
        <v>176</v>
      </c>
      <c r="CE20" s="71">
        <f t="shared" si="40"/>
        <v>221</v>
      </c>
      <c r="CF20" s="72">
        <f t="shared" si="41"/>
        <v>266</v>
      </c>
      <c r="CG20" s="71">
        <f t="shared" si="42"/>
        <v>292</v>
      </c>
      <c r="CH20" s="70">
        <f t="shared" si="43"/>
        <v>37</v>
      </c>
      <c r="CI20" s="71">
        <f t="shared" si="44"/>
        <v>41</v>
      </c>
      <c r="CJ20" s="72">
        <f t="shared" si="45"/>
        <v>72</v>
      </c>
      <c r="CK20" s="72">
        <f t="shared" si="46"/>
        <v>75</v>
      </c>
      <c r="CL20" s="72">
        <f t="shared" si="47"/>
        <v>111</v>
      </c>
      <c r="CM20" s="72">
        <f t="shared" si="48"/>
        <v>119</v>
      </c>
      <c r="CN20" s="72">
        <f t="shared" si="49"/>
        <v>145</v>
      </c>
      <c r="CO20" s="72">
        <f t="shared" si="50"/>
        <v>171</v>
      </c>
      <c r="CP20" s="72">
        <f t="shared" si="51"/>
        <v>215</v>
      </c>
      <c r="CQ20" s="72">
        <f t="shared" si="52"/>
        <v>260</v>
      </c>
      <c r="CR20" s="72">
        <f t="shared" si="53"/>
        <v>291</v>
      </c>
      <c r="CS20" s="72">
        <f t="shared" si="54"/>
        <v>314</v>
      </c>
      <c r="CT20" s="23">
        <f t="shared" si="55"/>
        <v>1</v>
      </c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  <c r="ALO20" s="1"/>
      <c r="ALP20" s="1"/>
      <c r="ALQ20" s="1"/>
      <c r="ALR20" s="1"/>
      <c r="ALS20" s="1"/>
      <c r="ALT20" s="1"/>
      <c r="ALU20" s="1"/>
      <c r="ALV20" s="1"/>
      <c r="ALW20" s="1"/>
      <c r="ALX20" s="1"/>
      <c r="ALY20" s="1"/>
      <c r="ALZ20" s="1"/>
      <c r="AMA20" s="1"/>
      <c r="AMB20" s="1"/>
      <c r="AMC20" s="1"/>
      <c r="AMD20" s="1"/>
      <c r="AME20" s="1"/>
      <c r="AMF20" s="1"/>
      <c r="AMG20" s="1"/>
      <c r="AMH20" s="1"/>
      <c r="AMI20" s="1"/>
      <c r="AMJ20" s="1"/>
      <c r="AMK20" s="1"/>
      <c r="AML20" s="1"/>
      <c r="AMM20" s="1"/>
      <c r="AMN20" s="1"/>
      <c r="AMO20" s="1"/>
    </row>
    <row r="21" spans="1:1030" x14ac:dyDescent="0.2">
      <c r="A21" s="3" t="str">
        <f t="shared" si="28"/>
        <v>aa1r_human_5N2S</v>
      </c>
      <c r="B21" s="3" t="s">
        <v>138</v>
      </c>
      <c r="C21" s="3" t="s">
        <v>1442</v>
      </c>
      <c r="D21" s="3" t="str">
        <f>IFERROR(MID(VLOOKUP($B21,Seqs!$A:$B,2,0),E21,1),"")</f>
        <v>S</v>
      </c>
      <c r="E21" s="3">
        <v>6</v>
      </c>
      <c r="F21" s="3" t="str">
        <f>IFERROR(MID(VLOOKUP($B21,Seqs!$A:$B,2,0),G21,1),"")</f>
        <v>V</v>
      </c>
      <c r="G21" s="3">
        <v>36</v>
      </c>
      <c r="H21" s="3" t="str">
        <f>IFERROR(MID(VLOOKUP($B21,Seqs!$A:$B,2,0),I21,1),"")</f>
        <v/>
      </c>
      <c r="I21" s="23" t="s">
        <v>23</v>
      </c>
      <c r="J21" s="3" t="str">
        <f>IFERROR(MID(VLOOKUP($B21,Seqs!$A:$B,2,0),K21,1),"")</f>
        <v/>
      </c>
      <c r="K21" s="23" t="s">
        <v>23</v>
      </c>
      <c r="L21" s="3" t="str">
        <f>IFERROR(MID(VLOOKUP($B21,Seqs!$A:$B,2,0),M21,1),"")</f>
        <v>D</v>
      </c>
      <c r="M21" s="3">
        <v>42</v>
      </c>
      <c r="N21" s="3" t="str">
        <f>IFERROR(MID(VLOOKUP($B21,Seqs!$A:$B,2,0),O21,1),"")</f>
        <v>G</v>
      </c>
      <c r="O21" s="3">
        <v>72</v>
      </c>
      <c r="P21" s="3" t="str">
        <f>IFERROR(MID(VLOOKUP($B21,Seqs!$A:$B,2,0),Q21,1),"")</f>
        <v>P</v>
      </c>
      <c r="Q21" s="3">
        <v>73</v>
      </c>
      <c r="R21" s="3" t="str">
        <f>IFERROR(MID(VLOOKUP($B21,Seqs!$A:$B,2,0),S21,1),"")</f>
        <v>T</v>
      </c>
      <c r="S21" s="3">
        <v>75</v>
      </c>
      <c r="T21" s="3" t="str">
        <f>IFERROR(MID(VLOOKUP($B21,Seqs!$A:$B,2,0),U21,1),"")</f>
        <v>Y</v>
      </c>
      <c r="U21" s="3">
        <v>76</v>
      </c>
      <c r="V21" s="3" t="str">
        <f>IFERROR(MID(VLOOKUP($B21,Seqs!$A:$B,2,0),W21,1),"")</f>
        <v>I</v>
      </c>
      <c r="W21" s="3">
        <v>111</v>
      </c>
      <c r="X21" s="3" t="str">
        <f>IFERROR(MID(VLOOKUP($B21,Seqs!$A:$B,2,0),Y21,1),"")</f>
        <v>P</v>
      </c>
      <c r="Y21" s="3">
        <v>112</v>
      </c>
      <c r="Z21" s="3" t="str">
        <f>IFERROR(MID(VLOOKUP($B21,Seqs!$A:$B,2,0),AA21,1),"")</f>
        <v>V</v>
      </c>
      <c r="AA21" s="3">
        <v>119</v>
      </c>
      <c r="AB21" s="3" t="str">
        <f>IFERROR(MID(VLOOKUP($B21,Seqs!$A:$B,2,0),AC21,1),"")</f>
        <v>T</v>
      </c>
      <c r="AC21" s="3">
        <v>120</v>
      </c>
      <c r="AD21" s="3" t="str">
        <f>IFERROR(MID(VLOOKUP($B21,Seqs!$A:$B,2,0),AE21,1),"")</f>
        <v>G</v>
      </c>
      <c r="AE21" s="3">
        <v>145</v>
      </c>
      <c r="AF21" s="3" t="str">
        <f>IFERROR(MID(VLOOKUP($B21,Seqs!$A:$B,2,0),AG21,1),"")</f>
        <v>C</v>
      </c>
      <c r="AG21" s="3">
        <v>169</v>
      </c>
      <c r="AH21" s="3" t="str">
        <f>IFERROR(MID(VLOOKUP($B21,Seqs!$A:$B,2,0),AI21,1),"")</f>
        <v>F</v>
      </c>
      <c r="AI21" s="3">
        <v>171</v>
      </c>
      <c r="AJ21" s="3" t="str">
        <f>IFERROR(MID(VLOOKUP($B21,Seqs!$A:$B,2,0),AK21,1),"")</f>
        <v>S</v>
      </c>
      <c r="AK21" s="3">
        <v>176</v>
      </c>
      <c r="AL21" s="3" t="str">
        <f>IFERROR(MID(VLOOKUP($B21,Seqs!$A:$B,2,0),AM21,1),"")</f>
        <v>L</v>
      </c>
      <c r="AM21" s="3">
        <v>211</v>
      </c>
      <c r="AN21" s="3" t="str">
        <f>IFERROR(MID(VLOOKUP($B21,Seqs!$A:$B,2,0),AO21,1),"")</f>
        <v>Q</v>
      </c>
      <c r="AO21" s="3">
        <v>223</v>
      </c>
      <c r="AP21" s="3" t="str">
        <f>IFERROR(MID(VLOOKUP($B21,Seqs!$A:$B,2,0),AQ21,1),"")</f>
        <v>C</v>
      </c>
      <c r="AQ21" s="3">
        <v>260</v>
      </c>
      <c r="AR21" s="3" t="str">
        <f>IFERROR(MID(VLOOKUP($B21,Seqs!$A:$B,2,0),AS21,1),"")</f>
        <v>P</v>
      </c>
      <c r="AS21" s="3">
        <v>266</v>
      </c>
      <c r="AT21" s="3" t="str">
        <f>IFERROR(MID(VLOOKUP($B21,Seqs!$A:$B,2,0),AU21,1),"")</f>
        <v>F</v>
      </c>
      <c r="AU21" s="3">
        <v>295</v>
      </c>
      <c r="AV21" s="3" t="str">
        <f>IFERROR(MID(VLOOKUP($B21,Seqs!$A:$B,2,0),AW21,1),"")</f>
        <v/>
      </c>
      <c r="AW21" s="3" t="s">
        <v>23</v>
      </c>
      <c r="AX21" s="3" t="str">
        <f>IFERROR(MID(VLOOKUP($B21,Seqs!$A:$B,2,0),AY21,1),"")</f>
        <v/>
      </c>
      <c r="AY21" s="3" t="s">
        <v>23</v>
      </c>
      <c r="AZ21" s="77" t="str">
        <f>VLOOKUP(B21,Classification!A:D,2,0)</f>
        <v>A</v>
      </c>
      <c r="BA21" s="94" t="str">
        <f>VLOOKUP(B21,Classification!A:D,4,0)</f>
        <v>Adenosine</v>
      </c>
      <c r="BB21" s="27" t="b">
        <f t="shared" si="29"/>
        <v>1</v>
      </c>
      <c r="BC21" s="23">
        <f t="shared" si="30"/>
        <v>244</v>
      </c>
      <c r="BD21" s="5" t="s">
        <v>23</v>
      </c>
      <c r="BE21" s="3" t="s">
        <v>1381</v>
      </c>
      <c r="BF21" s="119">
        <v>3.3</v>
      </c>
      <c r="BG21" s="49" t="s">
        <v>1</v>
      </c>
      <c r="BH21" s="49" t="s">
        <v>1</v>
      </c>
      <c r="BI21" s="1"/>
      <c r="BJ21" s="70" t="s">
        <v>1293</v>
      </c>
      <c r="BK21" s="57" t="s">
        <v>1293</v>
      </c>
      <c r="BL21" s="57" t="s">
        <v>1293</v>
      </c>
      <c r="BM21" s="57" t="s">
        <v>1293</v>
      </c>
      <c r="BN21" s="57" t="s">
        <v>1293</v>
      </c>
      <c r="BO21" s="57" t="s">
        <v>1293</v>
      </c>
      <c r="BP21" s="57" t="s">
        <v>1293</v>
      </c>
      <c r="BQ21" s="57" t="s">
        <v>1293</v>
      </c>
      <c r="BR21" s="57" t="s">
        <v>1293</v>
      </c>
      <c r="BS21" s="57" t="s">
        <v>1293</v>
      </c>
      <c r="BT21" s="57" t="s">
        <v>1293</v>
      </c>
      <c r="BU21" s="57" t="s">
        <v>1293</v>
      </c>
      <c r="BV21" s="70">
        <f t="shared" si="31"/>
        <v>6</v>
      </c>
      <c r="BW21" s="71" t="str">
        <f t="shared" si="32"/>
        <v>-</v>
      </c>
      <c r="BX21" s="72">
        <f t="shared" si="33"/>
        <v>42</v>
      </c>
      <c r="BY21" s="71">
        <f t="shared" si="34"/>
        <v>73</v>
      </c>
      <c r="BZ21" s="72">
        <f t="shared" si="35"/>
        <v>76</v>
      </c>
      <c r="CA21" s="71">
        <f t="shared" si="36"/>
        <v>112</v>
      </c>
      <c r="CB21" s="72">
        <f t="shared" si="37"/>
        <v>120</v>
      </c>
      <c r="CC21" s="71">
        <f t="shared" si="38"/>
        <v>169</v>
      </c>
      <c r="CD21" s="72">
        <f t="shared" si="39"/>
        <v>176</v>
      </c>
      <c r="CE21" s="71">
        <f t="shared" si="40"/>
        <v>223</v>
      </c>
      <c r="CF21" s="72">
        <f t="shared" si="41"/>
        <v>266</v>
      </c>
      <c r="CG21" s="71" t="str">
        <f t="shared" si="42"/>
        <v>-</v>
      </c>
      <c r="CH21" s="70">
        <f t="shared" si="43"/>
        <v>36</v>
      </c>
      <c r="CI21" s="71" t="str">
        <f t="shared" si="44"/>
        <v>-</v>
      </c>
      <c r="CJ21" s="72">
        <f t="shared" si="45"/>
        <v>72</v>
      </c>
      <c r="CK21" s="72">
        <f t="shared" si="46"/>
        <v>75</v>
      </c>
      <c r="CL21" s="72">
        <f t="shared" si="47"/>
        <v>111</v>
      </c>
      <c r="CM21" s="72">
        <f t="shared" si="48"/>
        <v>119</v>
      </c>
      <c r="CN21" s="72">
        <f t="shared" si="49"/>
        <v>145</v>
      </c>
      <c r="CO21" s="72">
        <f t="shared" si="50"/>
        <v>171</v>
      </c>
      <c r="CP21" s="72">
        <f t="shared" si="51"/>
        <v>211</v>
      </c>
      <c r="CQ21" s="72">
        <f t="shared" si="52"/>
        <v>260</v>
      </c>
      <c r="CR21" s="72">
        <f t="shared" si="53"/>
        <v>295</v>
      </c>
      <c r="CS21" s="72" t="str">
        <f t="shared" si="54"/>
        <v>-</v>
      </c>
      <c r="CT21" s="23" t="e">
        <f t="shared" si="55"/>
        <v>#VALUE!</v>
      </c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1"/>
      <c r="AFJ21" s="1"/>
      <c r="AFK21" s="1"/>
      <c r="AFL21" s="1"/>
      <c r="AFM21" s="1"/>
      <c r="AFN21" s="1"/>
      <c r="AFO21" s="1"/>
      <c r="AFP21" s="1"/>
      <c r="AFQ21" s="1"/>
      <c r="AFR21" s="1"/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1"/>
      <c r="AIB21" s="1"/>
      <c r="AIC21" s="1"/>
      <c r="AID21" s="1"/>
      <c r="AIE21" s="1"/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"/>
      <c r="AJE21" s="1"/>
      <c r="AJF21" s="1"/>
      <c r="AJG21" s="1"/>
      <c r="AJH21" s="1"/>
      <c r="AJI21" s="1"/>
      <c r="AJJ21" s="1"/>
      <c r="AJK21" s="1"/>
      <c r="AJL21" s="1"/>
      <c r="AJM21" s="1"/>
      <c r="AJN21" s="1"/>
      <c r="AJO21" s="1"/>
      <c r="AJP21" s="1"/>
      <c r="AJQ21" s="1"/>
      <c r="AJR21" s="1"/>
      <c r="AJS21" s="1"/>
      <c r="AJT21" s="1"/>
      <c r="AJU21" s="1"/>
      <c r="AJV21" s="1"/>
      <c r="AJW21" s="1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/>
      <c r="ALL21" s="1"/>
      <c r="ALM21" s="1"/>
      <c r="ALN21" s="1"/>
      <c r="ALO21" s="1"/>
      <c r="ALP21" s="1"/>
      <c r="ALQ21" s="1"/>
      <c r="ALR21" s="1"/>
      <c r="ALS21" s="1"/>
      <c r="ALT21" s="1"/>
      <c r="ALU21" s="1"/>
      <c r="ALV21" s="1"/>
      <c r="ALW21" s="1"/>
      <c r="ALX21" s="1"/>
      <c r="ALY21" s="1"/>
      <c r="ALZ21" s="1"/>
      <c r="AMA21" s="1"/>
      <c r="AMB21" s="1"/>
      <c r="AMC21" s="1"/>
      <c r="AMD21" s="1"/>
      <c r="AME21" s="1"/>
      <c r="AMF21" s="1"/>
      <c r="AMG21" s="1"/>
      <c r="AMH21" s="1"/>
      <c r="AMI21" s="1"/>
      <c r="AMJ21" s="1"/>
      <c r="AMK21" s="1"/>
      <c r="AML21" s="1"/>
      <c r="AMM21" s="1"/>
      <c r="AMN21" s="1"/>
      <c r="AMO21" s="1"/>
    </row>
    <row r="22" spans="1:1030" x14ac:dyDescent="0.2">
      <c r="A22" s="3" t="str">
        <f t="shared" si="28"/>
        <v>aa1r_human_5UEN</v>
      </c>
      <c r="B22" s="3" t="s">
        <v>138</v>
      </c>
      <c r="C22" s="3" t="s">
        <v>1396</v>
      </c>
      <c r="D22" s="3" t="str">
        <f>IFERROR(MID(VLOOKUP($B22,Seqs!$A:$B,2,0),E22,1),"")</f>
        <v>S</v>
      </c>
      <c r="E22" s="3">
        <v>6</v>
      </c>
      <c r="F22" s="3" t="str">
        <f>IFERROR(MID(VLOOKUP($B22,Seqs!$A:$B,2,0),G22,1),"")</f>
        <v>N</v>
      </c>
      <c r="G22" s="3">
        <v>37</v>
      </c>
      <c r="H22" s="3" t="str">
        <f>IFERROR(MID(VLOOKUP($B22,Seqs!$A:$B,2,0),I22,1),"")</f>
        <v>Q</v>
      </c>
      <c r="I22" s="23">
        <v>38</v>
      </c>
      <c r="J22" s="3" t="str">
        <f>IFERROR(MID(VLOOKUP($B22,Seqs!$A:$B,2,0),K22,1),"")</f>
        <v>R</v>
      </c>
      <c r="K22" s="23">
        <v>41</v>
      </c>
      <c r="L22" s="3" t="str">
        <f>IFERROR(MID(VLOOKUP($B22,Seqs!$A:$B,2,0),M22,1),"")</f>
        <v>D</v>
      </c>
      <c r="M22" s="3">
        <v>42</v>
      </c>
      <c r="N22" s="3" t="str">
        <f>IFERROR(MID(VLOOKUP($B22,Seqs!$A:$B,2,0),O22,1),"")</f>
        <v>G</v>
      </c>
      <c r="O22" s="3">
        <v>72</v>
      </c>
      <c r="P22" s="3" t="str">
        <f>IFERROR(MID(VLOOKUP($B22,Seqs!$A:$B,2,0),Q22,1),"")</f>
        <v>P</v>
      </c>
      <c r="Q22" s="3">
        <v>73</v>
      </c>
      <c r="R22" s="3" t="str">
        <f>IFERROR(MID(VLOOKUP($B22,Seqs!$A:$B,2,0),S22,1),"")</f>
        <v>T</v>
      </c>
      <c r="S22" s="3">
        <v>75</v>
      </c>
      <c r="T22" s="3" t="str">
        <f>IFERROR(MID(VLOOKUP($B22,Seqs!$A:$B,2,0),U22,1),"")</f>
        <v>Y</v>
      </c>
      <c r="U22" s="3">
        <v>76</v>
      </c>
      <c r="V22" s="3" t="str">
        <f>IFERROR(MID(VLOOKUP($B22,Seqs!$A:$B,2,0),W22,1),"")</f>
        <v>I</v>
      </c>
      <c r="W22" s="3">
        <v>111</v>
      </c>
      <c r="X22" s="3" t="str">
        <f>IFERROR(MID(VLOOKUP($B22,Seqs!$A:$B,2,0),Y22,1),"")</f>
        <v>P</v>
      </c>
      <c r="Y22" s="3">
        <v>112</v>
      </c>
      <c r="Z22" s="3" t="str">
        <f>IFERROR(MID(VLOOKUP($B22,Seqs!$A:$B,2,0),AA22,1),"")</f>
        <v>V</v>
      </c>
      <c r="AA22" s="3">
        <v>119</v>
      </c>
      <c r="AB22" s="3" t="str">
        <f>IFERROR(MID(VLOOKUP($B22,Seqs!$A:$B,2,0),AC22,1),"")</f>
        <v>T</v>
      </c>
      <c r="AC22" s="3">
        <v>120</v>
      </c>
      <c r="AD22" s="3" t="str">
        <f>IFERROR(MID(VLOOKUP($B22,Seqs!$A:$B,2,0),AE22,1),"")</f>
        <v>G</v>
      </c>
      <c r="AE22" s="3">
        <v>145</v>
      </c>
      <c r="AF22" s="3" t="str">
        <f>IFERROR(MID(VLOOKUP($B22,Seqs!$A:$B,2,0),AG22,1),"")</f>
        <v>C</v>
      </c>
      <c r="AG22" s="3">
        <v>169</v>
      </c>
      <c r="AH22" s="3" t="str">
        <f>IFERROR(MID(VLOOKUP($B22,Seqs!$A:$B,2,0),AI22,1),"")</f>
        <v>F</v>
      </c>
      <c r="AI22" s="3">
        <v>171</v>
      </c>
      <c r="AJ22" s="3" t="str">
        <f>IFERROR(MID(VLOOKUP($B22,Seqs!$A:$B,2,0),AK22,1),"")</f>
        <v>S</v>
      </c>
      <c r="AK22" s="3">
        <v>176</v>
      </c>
      <c r="AL22" s="3" t="str">
        <f>IFERROR(MID(VLOOKUP($B22,Seqs!$A:$B,2,0),AM22,1),"")</f>
        <v>L</v>
      </c>
      <c r="AM22" s="3">
        <v>211</v>
      </c>
      <c r="AN22" s="3" t="str">
        <f>IFERROR(MID(VLOOKUP($B22,Seqs!$A:$B,2,0),AO22,1),"")</f>
        <v>G</v>
      </c>
      <c r="AO22" s="3">
        <v>220</v>
      </c>
      <c r="AP22" s="3" t="str">
        <f>IFERROR(MID(VLOOKUP($B22,Seqs!$A:$B,2,0),AQ22,1),"")</f>
        <v>C</v>
      </c>
      <c r="AQ22" s="3">
        <v>260</v>
      </c>
      <c r="AR22" s="3" t="str">
        <f>IFERROR(MID(VLOOKUP($B22,Seqs!$A:$B,2,0),AS22,1),"")</f>
        <v>P</v>
      </c>
      <c r="AS22" s="3">
        <v>266</v>
      </c>
      <c r="AT22" s="3" t="str">
        <f>IFERROR(MID(VLOOKUP($B22,Seqs!$A:$B,2,0),AU22,1),"")</f>
        <v>R</v>
      </c>
      <c r="AU22" s="3">
        <v>291</v>
      </c>
      <c r="AV22" s="3" t="str">
        <f>IFERROR(MID(VLOOKUP($B22,Seqs!$A:$B,2,0),AW22,1),"")</f>
        <v>I</v>
      </c>
      <c r="AW22" s="3">
        <v>292</v>
      </c>
      <c r="AX22" s="3" t="str">
        <f>IFERROR(MID(VLOOKUP($B22,Seqs!$A:$B,2,0),AY22,1),"")</f>
        <v>F</v>
      </c>
      <c r="AY22" s="3">
        <v>307</v>
      </c>
      <c r="AZ22" s="77" t="str">
        <f>VLOOKUP(B22,Classification!A:D,2,0)</f>
        <v>A</v>
      </c>
      <c r="BA22" s="94" t="str">
        <f>VLOOKUP(B22,Classification!A:D,4,0)</f>
        <v>Adenosine</v>
      </c>
      <c r="BB22" s="27" t="b">
        <f t="shared" si="29"/>
        <v>1</v>
      </c>
      <c r="BC22" s="23">
        <f t="shared" si="30"/>
        <v>262</v>
      </c>
      <c r="BD22" s="4" t="s">
        <v>1383</v>
      </c>
      <c r="BE22" s="3" t="s">
        <v>1381</v>
      </c>
      <c r="BF22" s="119">
        <v>3.2</v>
      </c>
      <c r="BG22" s="49" t="s">
        <v>1384</v>
      </c>
      <c r="BH22" s="49" t="s">
        <v>1384</v>
      </c>
      <c r="BI22" s="1"/>
      <c r="BJ22" s="70" t="s">
        <v>1293</v>
      </c>
      <c r="BK22" s="57" t="s">
        <v>1293</v>
      </c>
      <c r="BL22" s="57" t="s">
        <v>1293</v>
      </c>
      <c r="BM22" s="57" t="s">
        <v>1293</v>
      </c>
      <c r="BN22" s="57" t="s">
        <v>1293</v>
      </c>
      <c r="BO22" s="57" t="s">
        <v>1293</v>
      </c>
      <c r="BP22" s="57" t="s">
        <v>1293</v>
      </c>
      <c r="BQ22" s="57" t="s">
        <v>1293</v>
      </c>
      <c r="BR22" s="57" t="s">
        <v>1293</v>
      </c>
      <c r="BS22" s="57" t="s">
        <v>1293</v>
      </c>
      <c r="BT22" s="57" t="s">
        <v>1293</v>
      </c>
      <c r="BU22" s="57" t="s">
        <v>1293</v>
      </c>
      <c r="BV22" s="70">
        <f t="shared" si="31"/>
        <v>6</v>
      </c>
      <c r="BW22" s="71">
        <f t="shared" si="32"/>
        <v>38</v>
      </c>
      <c r="BX22" s="72">
        <f t="shared" si="33"/>
        <v>42</v>
      </c>
      <c r="BY22" s="71">
        <f t="shared" si="34"/>
        <v>73</v>
      </c>
      <c r="BZ22" s="72">
        <f t="shared" si="35"/>
        <v>76</v>
      </c>
      <c r="CA22" s="71">
        <f t="shared" si="36"/>
        <v>112</v>
      </c>
      <c r="CB22" s="72">
        <f t="shared" si="37"/>
        <v>120</v>
      </c>
      <c r="CC22" s="71">
        <f t="shared" si="38"/>
        <v>169</v>
      </c>
      <c r="CD22" s="72">
        <f t="shared" si="39"/>
        <v>176</v>
      </c>
      <c r="CE22" s="71">
        <f t="shared" si="40"/>
        <v>220</v>
      </c>
      <c r="CF22" s="72">
        <f t="shared" si="41"/>
        <v>266</v>
      </c>
      <c r="CG22" s="71">
        <f t="shared" si="42"/>
        <v>292</v>
      </c>
      <c r="CH22" s="70">
        <f t="shared" si="43"/>
        <v>37</v>
      </c>
      <c r="CI22" s="71">
        <f t="shared" si="44"/>
        <v>41</v>
      </c>
      <c r="CJ22" s="72">
        <f t="shared" si="45"/>
        <v>72</v>
      </c>
      <c r="CK22" s="72">
        <f t="shared" si="46"/>
        <v>75</v>
      </c>
      <c r="CL22" s="72">
        <f t="shared" si="47"/>
        <v>111</v>
      </c>
      <c r="CM22" s="72">
        <f t="shared" si="48"/>
        <v>119</v>
      </c>
      <c r="CN22" s="72">
        <f t="shared" si="49"/>
        <v>145</v>
      </c>
      <c r="CO22" s="72">
        <f t="shared" si="50"/>
        <v>171</v>
      </c>
      <c r="CP22" s="72">
        <f t="shared" si="51"/>
        <v>211</v>
      </c>
      <c r="CQ22" s="72">
        <f t="shared" si="52"/>
        <v>260</v>
      </c>
      <c r="CR22" s="72">
        <f t="shared" si="53"/>
        <v>291</v>
      </c>
      <c r="CS22" s="72">
        <f t="shared" si="54"/>
        <v>307</v>
      </c>
      <c r="CT22" s="23">
        <f t="shared" si="55"/>
        <v>1</v>
      </c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/>
      <c r="AFJ22" s="1"/>
      <c r="AFK22" s="1"/>
      <c r="AFL22" s="1"/>
      <c r="AFM22" s="1"/>
      <c r="AFN22" s="1"/>
      <c r="AFO22" s="1"/>
      <c r="AFP22" s="1"/>
      <c r="AFQ22" s="1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1"/>
      <c r="AHD22" s="1"/>
      <c r="AHE22" s="1"/>
      <c r="AHF22" s="1"/>
      <c r="AHG22" s="1"/>
      <c r="AHH22" s="1"/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1"/>
      <c r="AIB22" s="1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"/>
      <c r="AJE22" s="1"/>
      <c r="AJF22" s="1"/>
      <c r="AJG22" s="1"/>
      <c r="AJH22" s="1"/>
      <c r="AJI22" s="1"/>
      <c r="AJJ22" s="1"/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/>
      <c r="ALA22" s="1"/>
      <c r="ALB22" s="1"/>
      <c r="ALC22" s="1"/>
      <c r="ALD22" s="1"/>
      <c r="ALE22" s="1"/>
      <c r="ALF22" s="1"/>
      <c r="ALG22" s="1"/>
      <c r="ALH22" s="1"/>
      <c r="ALI22" s="1"/>
      <c r="ALJ22" s="1"/>
      <c r="ALK22" s="1"/>
      <c r="ALL22" s="1"/>
      <c r="ALM22" s="1"/>
      <c r="ALN22" s="1"/>
      <c r="ALO22" s="1"/>
      <c r="ALP22" s="1"/>
      <c r="ALQ22" s="1"/>
      <c r="ALR22" s="1"/>
      <c r="ALS22" s="1"/>
      <c r="ALT22" s="1"/>
      <c r="ALU22" s="1"/>
      <c r="ALV22" s="1"/>
      <c r="ALW22" s="1"/>
      <c r="ALX22" s="1"/>
      <c r="ALY22" s="1"/>
      <c r="ALZ22" s="1"/>
      <c r="AMA22" s="1"/>
      <c r="AMB22" s="1"/>
      <c r="AMC22" s="1"/>
      <c r="AMD22" s="1"/>
      <c r="AME22" s="1"/>
      <c r="AMF22" s="1"/>
      <c r="AMG22" s="1"/>
      <c r="AMH22" s="1"/>
      <c r="AMI22" s="1"/>
      <c r="AMJ22" s="1"/>
      <c r="AMK22" s="1"/>
      <c r="AML22" s="1"/>
      <c r="AMM22" s="1"/>
      <c r="AMN22" s="1"/>
      <c r="AMO22" s="1"/>
    </row>
    <row r="23" spans="1:1030" x14ac:dyDescent="0.2">
      <c r="A23" s="3" t="str">
        <f>CONCATENATE(B23,"_",C23)</f>
        <v>aa1r_human_6D9H</v>
      </c>
      <c r="B23" s="3" t="s">
        <v>138</v>
      </c>
      <c r="C23" s="3" t="s">
        <v>1519</v>
      </c>
      <c r="D23" s="3" t="str">
        <f>IFERROR(MID(VLOOKUP($B23,Seqs!$A:$B,2,0),E23,1),"")</f>
        <v>S</v>
      </c>
      <c r="E23" s="3">
        <v>6</v>
      </c>
      <c r="F23" s="3" t="str">
        <f>IFERROR(MID(VLOOKUP($B23,Seqs!$A:$B,2,0),G23,1),"")</f>
        <v>N</v>
      </c>
      <c r="G23" s="3">
        <v>37</v>
      </c>
      <c r="H23" s="3" t="str">
        <f>IFERROR(MID(VLOOKUP($B23,Seqs!$A:$B,2,0),I23,1),"")</f>
        <v/>
      </c>
      <c r="I23" s="23" t="s">
        <v>23</v>
      </c>
      <c r="J23" s="3" t="str">
        <f>IFERROR(MID(VLOOKUP($B23,Seqs!$A:$B,2,0),K23,1),"")</f>
        <v/>
      </c>
      <c r="K23" s="23" t="s">
        <v>23</v>
      </c>
      <c r="L23" s="3" t="str">
        <f>IFERROR(MID(VLOOKUP($B23,Seqs!$A:$B,2,0),M23,1),"")</f>
        <v>D</v>
      </c>
      <c r="M23" s="3">
        <v>42</v>
      </c>
      <c r="N23" s="3" t="str">
        <f>IFERROR(MID(VLOOKUP($B23,Seqs!$A:$B,2,0),O23,1),"")</f>
        <v>G</v>
      </c>
      <c r="O23" s="3">
        <v>72</v>
      </c>
      <c r="P23" s="3" t="str">
        <f>IFERROR(MID(VLOOKUP($B23,Seqs!$A:$B,2,0),Q23,1),"")</f>
        <v>P</v>
      </c>
      <c r="Q23" s="3">
        <v>73</v>
      </c>
      <c r="R23" s="3" t="str">
        <f>IFERROR(MID(VLOOKUP($B23,Seqs!$A:$B,2,0),S23,1),"")</f>
        <v>T</v>
      </c>
      <c r="S23" s="3">
        <v>75</v>
      </c>
      <c r="T23" s="3" t="str">
        <f>IFERROR(MID(VLOOKUP($B23,Seqs!$A:$B,2,0),U23,1),"")</f>
        <v>Y</v>
      </c>
      <c r="U23" s="3">
        <v>76</v>
      </c>
      <c r="V23" s="3" t="str">
        <f>IFERROR(MID(VLOOKUP($B23,Seqs!$A:$B,2,0),W23,1),"")</f>
        <v>I</v>
      </c>
      <c r="W23" s="3">
        <v>111</v>
      </c>
      <c r="X23" s="3" t="str">
        <f>IFERROR(MID(VLOOKUP($B23,Seqs!$A:$B,2,0),Y23,1),"")</f>
        <v>P</v>
      </c>
      <c r="Y23" s="3">
        <v>112</v>
      </c>
      <c r="Z23" s="3" t="str">
        <f>IFERROR(MID(VLOOKUP($B23,Seqs!$A:$B,2,0),AA23,1),"")</f>
        <v>V</v>
      </c>
      <c r="AA23" s="3">
        <v>119</v>
      </c>
      <c r="AB23" s="3" t="str">
        <f>IFERROR(MID(VLOOKUP($B23,Seqs!$A:$B,2,0),AC23,1),"")</f>
        <v>T</v>
      </c>
      <c r="AC23" s="3">
        <v>120</v>
      </c>
      <c r="AD23" s="3" t="str">
        <f>IFERROR(MID(VLOOKUP($B23,Seqs!$A:$B,2,0),AE23,1),"")</f>
        <v>G</v>
      </c>
      <c r="AE23" s="3">
        <v>145</v>
      </c>
      <c r="AF23" s="3" t="str">
        <f>IFERROR(MID(VLOOKUP($B23,Seqs!$A:$B,2,0),AG23,1),"")</f>
        <v>C</v>
      </c>
      <c r="AG23" s="3">
        <v>169</v>
      </c>
      <c r="AH23" s="3" t="str">
        <f>IFERROR(MID(VLOOKUP($B23,Seqs!$A:$B,2,0),AI23,1),"")</f>
        <v>F</v>
      </c>
      <c r="AI23" s="3">
        <v>171</v>
      </c>
      <c r="AJ23" s="3" t="str">
        <f>IFERROR(MID(VLOOKUP($B23,Seqs!$A:$B,2,0),AK23,1),"")</f>
        <v>S</v>
      </c>
      <c r="AK23" s="3">
        <v>176</v>
      </c>
      <c r="AL23" s="3" t="str">
        <f>IFERROR(MID(VLOOKUP($B23,Seqs!$A:$B,2,0),AM23,1),"")</f>
        <v>K</v>
      </c>
      <c r="AM23" s="3">
        <v>213</v>
      </c>
      <c r="AN23" s="3" t="str">
        <f>IFERROR(MID(VLOOKUP($B23,Seqs!$A:$B,2,0),AO23,1),"")</f>
        <v>Q</v>
      </c>
      <c r="AO23" s="3">
        <v>223</v>
      </c>
      <c r="AP23" s="3" t="str">
        <f>IFERROR(MID(VLOOKUP($B23,Seqs!$A:$B,2,0),AQ23,1),"")</f>
        <v>C</v>
      </c>
      <c r="AQ23" s="3">
        <v>260</v>
      </c>
      <c r="AR23" s="3" t="str">
        <f>IFERROR(MID(VLOOKUP($B23,Seqs!$A:$B,2,0),AS23,1),"")</f>
        <v>S</v>
      </c>
      <c r="AS23" s="3">
        <v>267</v>
      </c>
      <c r="AT23" s="3" t="str">
        <f>IFERROR(MID(VLOOKUP($B23,Seqs!$A:$B,2,0),AU23,1),"")</f>
        <v>R</v>
      </c>
      <c r="AU23" s="3">
        <v>291</v>
      </c>
      <c r="AV23" s="3" t="str">
        <f>IFERROR(MID(VLOOKUP($B23,Seqs!$A:$B,2,0),AW23,1),"")</f>
        <v>I</v>
      </c>
      <c r="AW23" s="3">
        <v>292</v>
      </c>
      <c r="AX23" s="3" t="str">
        <f>IFERROR(MID(VLOOKUP($B23,Seqs!$A:$B,2,0),AY23,1),"")</f>
        <v>K</v>
      </c>
      <c r="AY23" s="3">
        <v>301</v>
      </c>
      <c r="AZ23" s="77" t="str">
        <f>VLOOKUP(B23,Classification!A:D,2,0)</f>
        <v>A</v>
      </c>
      <c r="BA23" s="94" t="str">
        <f>VLOOKUP(B23,Classification!A:D,4,0)</f>
        <v>Adenosine</v>
      </c>
      <c r="BB23" s="27" t="b">
        <f>AND(E23&lt;G23,OR(G23&lt;I23,I23="-"),OR(I23&lt;K23,I23="-"),OR(K23&lt;M23,K23="-"),M23&lt;O23,OR(O23&lt;Q23,Q23="-"),OR(Q23&lt;S23,Q23="-"),OR(S23&lt;U23,S23="-"),U23&lt;W23,OR(W23&lt;Y23,Y23="-"),OR(Y23&lt;AA23,Y23="-"),OR(AA23&lt;AC23,AA23="-"),AC23&lt;AE23,OR(AE23&lt;AG23,AG23="-"),OR(AG23&lt;AI23,AG23="-"),OR(AI23&lt;AK23,AI23="-"),AK23&lt;AM23,AM23&lt;AO23,AO23&lt;AQ23,AQ23&lt;AS23,AS23&lt;AU23,OR(AU23&lt;AW23,AW23="-"),OR(AW23&lt;AY23,AW23="-"))</f>
        <v>1</v>
      </c>
      <c r="BC23" s="23">
        <f>_xlfn.AGGREGATE(9,6,CH23:CS23)-_xlfn.AGGREGATE(9,6,BV23:CG23)+12</f>
        <v>251</v>
      </c>
      <c r="BD23" s="4" t="s">
        <v>1382</v>
      </c>
      <c r="BE23" s="3" t="s">
        <v>1297</v>
      </c>
      <c r="BF23" s="119">
        <v>3.6</v>
      </c>
      <c r="BG23" s="49" t="s">
        <v>1433</v>
      </c>
      <c r="BH23" s="49" t="s">
        <v>1433</v>
      </c>
      <c r="BI23" s="1"/>
      <c r="BJ23" s="70" t="s">
        <v>1293</v>
      </c>
      <c r="BK23" s="57" t="s">
        <v>1293</v>
      </c>
      <c r="BL23" s="57" t="s">
        <v>1293</v>
      </c>
      <c r="BM23" s="57" t="s">
        <v>1293</v>
      </c>
      <c r="BN23" s="57" t="s">
        <v>1293</v>
      </c>
      <c r="BO23" s="57" t="s">
        <v>1293</v>
      </c>
      <c r="BP23" s="57" t="s">
        <v>1293</v>
      </c>
      <c r="BQ23" s="57" t="s">
        <v>1293</v>
      </c>
      <c r="BR23" s="57" t="s">
        <v>1293</v>
      </c>
      <c r="BS23" s="57" t="s">
        <v>1293</v>
      </c>
      <c r="BT23" s="57" t="s">
        <v>1293</v>
      </c>
      <c r="BU23" s="57" t="s">
        <v>1293</v>
      </c>
      <c r="BV23" s="70">
        <f>E23</f>
        <v>6</v>
      </c>
      <c r="BW23" s="71" t="str">
        <f>I23</f>
        <v>-</v>
      </c>
      <c r="BX23" s="72">
        <f>M23</f>
        <v>42</v>
      </c>
      <c r="BY23" s="71">
        <f>Q23</f>
        <v>73</v>
      </c>
      <c r="BZ23" s="72">
        <f>U23</f>
        <v>76</v>
      </c>
      <c r="CA23" s="71">
        <f>Y23</f>
        <v>112</v>
      </c>
      <c r="CB23" s="72">
        <f>AC23</f>
        <v>120</v>
      </c>
      <c r="CC23" s="71">
        <f>AG23</f>
        <v>169</v>
      </c>
      <c r="CD23" s="72">
        <f>AK23</f>
        <v>176</v>
      </c>
      <c r="CE23" s="71">
        <f>AO23</f>
        <v>223</v>
      </c>
      <c r="CF23" s="72">
        <f>AS23</f>
        <v>267</v>
      </c>
      <c r="CG23" s="71">
        <f>AW23</f>
        <v>292</v>
      </c>
      <c r="CH23" s="70">
        <f>G23</f>
        <v>37</v>
      </c>
      <c r="CI23" s="71" t="str">
        <f>K23</f>
        <v>-</v>
      </c>
      <c r="CJ23" s="72">
        <f>O23</f>
        <v>72</v>
      </c>
      <c r="CK23" s="72">
        <f>S23</f>
        <v>75</v>
      </c>
      <c r="CL23" s="72">
        <f>W23</f>
        <v>111</v>
      </c>
      <c r="CM23" s="72">
        <f>AA23</f>
        <v>119</v>
      </c>
      <c r="CN23" s="72">
        <f>AE23</f>
        <v>145</v>
      </c>
      <c r="CO23" s="72">
        <f>AI23</f>
        <v>171</v>
      </c>
      <c r="CP23" s="72">
        <f>AM23</f>
        <v>213</v>
      </c>
      <c r="CQ23" s="72">
        <f>AQ23</f>
        <v>260</v>
      </c>
      <c r="CR23" s="72">
        <f>AU23</f>
        <v>291</v>
      </c>
      <c r="CS23" s="72">
        <f>AY23</f>
        <v>301</v>
      </c>
      <c r="CT23" s="23" t="e">
        <f>M23-K23</f>
        <v>#VALUE!</v>
      </c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  <c r="ALO23" s="1"/>
      <c r="ALP23" s="1"/>
      <c r="ALQ23" s="1"/>
      <c r="ALR23" s="1"/>
      <c r="ALS23" s="1"/>
      <c r="ALT23" s="1"/>
      <c r="ALU23" s="1"/>
      <c r="ALV23" s="1"/>
      <c r="ALW23" s="1"/>
      <c r="ALX23" s="1"/>
      <c r="ALY23" s="1"/>
      <c r="ALZ23" s="1"/>
      <c r="AMA23" s="1"/>
      <c r="AMB23" s="1"/>
      <c r="AMC23" s="1"/>
      <c r="AMD23" s="1"/>
      <c r="AME23" s="1"/>
      <c r="AMF23" s="1"/>
      <c r="AMG23" s="1"/>
      <c r="AMH23" s="1"/>
      <c r="AMI23" s="1"/>
      <c r="AMJ23" s="1"/>
      <c r="AMK23" s="1"/>
      <c r="AML23" s="1"/>
      <c r="AMM23" s="1"/>
      <c r="AMN23" s="1"/>
      <c r="AMO23" s="1"/>
    </row>
    <row r="24" spans="1:1030" x14ac:dyDescent="0.2">
      <c r="A24" s="3" t="str">
        <f t="shared" si="0"/>
        <v>aa2ar_human__wt</v>
      </c>
      <c r="B24" s="3" t="s">
        <v>139</v>
      </c>
      <c r="C24" s="3" t="s">
        <v>100</v>
      </c>
      <c r="D24" s="3" t="str">
        <f>IFERROR(MID(VLOOKUP($B24,Seqs!$A:$B,2,0),E24,1),"")</f>
        <v>M</v>
      </c>
      <c r="E24" s="3">
        <v>1</v>
      </c>
      <c r="F24" s="3" t="str">
        <f>IFERROR(MID(VLOOKUP($B24,Seqs!$A:$B,2,0),G24,1),"")</f>
        <v>N</v>
      </c>
      <c r="G24" s="3">
        <v>34</v>
      </c>
      <c r="H24" s="3" t="str">
        <f>IFERROR(MID(VLOOKUP($B24,Seqs!$A:$B,2,0),I24,1),"")</f>
        <v>S</v>
      </c>
      <c r="I24" s="23">
        <v>35</v>
      </c>
      <c r="J24" s="3" t="str">
        <f>IFERROR(MID(VLOOKUP($B24,Seqs!$A:$B,2,0),K24,1),"")</f>
        <v>Q</v>
      </c>
      <c r="K24" s="23">
        <v>38</v>
      </c>
      <c r="L24" s="3" t="str">
        <f>IFERROR(MID(VLOOKUP($B24,Seqs!$A:$B,2,0),M24,1),"")</f>
        <v>N</v>
      </c>
      <c r="M24" s="3">
        <v>39</v>
      </c>
      <c r="N24" s="3" t="str">
        <f>IFERROR(MID(VLOOKUP($B24,Seqs!$A:$B,2,0),O24,1),"")</f>
        <v>G</v>
      </c>
      <c r="O24" s="3">
        <v>69</v>
      </c>
      <c r="P24" s="3" t="str">
        <f>IFERROR(MID(VLOOKUP($B24,Seqs!$A:$B,2,0),Q24,1),"")</f>
        <v>F</v>
      </c>
      <c r="Q24" s="3">
        <v>70</v>
      </c>
      <c r="R24" s="3" t="str">
        <f>IFERROR(MID(VLOOKUP($B24,Seqs!$A:$B,2,0),S24,1),"")</f>
        <v>A</v>
      </c>
      <c r="S24" s="3">
        <v>72</v>
      </c>
      <c r="T24" s="3" t="str">
        <f>IFERROR(MID(VLOOKUP($B24,Seqs!$A:$B,2,0),U24,1),"")</f>
        <v>A</v>
      </c>
      <c r="U24" s="3">
        <v>73</v>
      </c>
      <c r="V24" s="3" t="str">
        <f>IFERROR(MID(VLOOKUP($B24,Seqs!$A:$B,2,0),W24,1),"")</f>
        <v>I</v>
      </c>
      <c r="W24" s="3">
        <v>108</v>
      </c>
      <c r="X24" s="3" t="str">
        <f>IFERROR(MID(VLOOKUP($B24,Seqs!$A:$B,2,0),Y24,1),"")</f>
        <v>P</v>
      </c>
      <c r="Y24" s="3">
        <v>109</v>
      </c>
      <c r="Z24" s="3" t="str">
        <f>IFERROR(MID(VLOOKUP($B24,Seqs!$A:$B,2,0),AA24,1),"")</f>
        <v>V</v>
      </c>
      <c r="AA24" s="3">
        <v>116</v>
      </c>
      <c r="AB24" s="3" t="str">
        <f>IFERROR(MID(VLOOKUP($B24,Seqs!$A:$B,2,0),AC24,1),"")</f>
        <v>T</v>
      </c>
      <c r="AC24" s="9">
        <v>117</v>
      </c>
      <c r="AD24" s="3" t="str">
        <f>IFERROR(MID(VLOOKUP($B24,Seqs!$A:$B,2,0),AE24,1),"")</f>
        <v>G</v>
      </c>
      <c r="AE24" s="3">
        <v>142</v>
      </c>
      <c r="AF24" s="3" t="str">
        <f>IFERROR(MID(VLOOKUP($B24,Seqs!$A:$B,2,0),AG24,1),"")</f>
        <v>C</v>
      </c>
      <c r="AG24" s="3">
        <v>166</v>
      </c>
      <c r="AH24" s="3" t="str">
        <f>IFERROR(MID(VLOOKUP($B24,Seqs!$A:$B,2,0),AI24,1),"")</f>
        <v>F</v>
      </c>
      <c r="AI24" s="3">
        <v>168</v>
      </c>
      <c r="AJ24" s="3" t="str">
        <f>IFERROR(MID(VLOOKUP($B24,Seqs!$A:$B,2,0),AK24,1),"")</f>
        <v>P</v>
      </c>
      <c r="AK24" s="3">
        <v>173</v>
      </c>
      <c r="AL24" s="3" t="str">
        <f>IFERROR(MID(VLOOKUP($B24,Seqs!$A:$B,2,0),AM24,1),"")</f>
        <v>S</v>
      </c>
      <c r="AM24" s="3">
        <v>213</v>
      </c>
      <c r="AN24" s="3" t="str">
        <f>IFERROR(MID(VLOOKUP($B24,Seqs!$A:$B,2,0),AO24,1),"")</f>
        <v>E</v>
      </c>
      <c r="AO24" s="3">
        <v>219</v>
      </c>
      <c r="AP24" s="3" t="str">
        <f>IFERROR(MID(VLOOKUP($B24,Seqs!$A:$B,2,0),AQ24,1),"")</f>
        <v>C</v>
      </c>
      <c r="AQ24" s="3">
        <v>259</v>
      </c>
      <c r="AR24" s="3" t="str">
        <f>IFERROR(MID(VLOOKUP($B24,Seqs!$A:$B,2,0),AS24,1),"")</f>
        <v>P</v>
      </c>
      <c r="AS24" s="3">
        <v>266</v>
      </c>
      <c r="AT24" s="3" t="str">
        <f>IFERROR(MID(VLOOKUP($B24,Seqs!$A:$B,2,0),AU24,1),"")</f>
        <v>R</v>
      </c>
      <c r="AU24" s="3">
        <v>291</v>
      </c>
      <c r="AV24" s="3" t="str">
        <f>IFERROR(MID(VLOOKUP($B24,Seqs!$A:$B,2,0),AW24,1),"")</f>
        <v>I</v>
      </c>
      <c r="AW24" s="3">
        <v>292</v>
      </c>
      <c r="AX24" s="3" t="str">
        <f>IFERROR(MID(VLOOKUP($B24,Seqs!$A:$B,2,0),AY24,1),"")</f>
        <v>F</v>
      </c>
      <c r="AY24" s="3">
        <v>314</v>
      </c>
      <c r="AZ24" s="77" t="str">
        <f>VLOOKUP(B24,Classification!A:D,2,0)</f>
        <v>A</v>
      </c>
      <c r="BA24" s="94" t="str">
        <f>VLOOKUP(B24,Classification!A:D,4,0)</f>
        <v>Adenosine</v>
      </c>
      <c r="BB24" s="27" t="b">
        <f t="shared" si="1"/>
        <v>1</v>
      </c>
      <c r="BC24" s="23">
        <f t="shared" ref="BC24:BC34" si="168">_xlfn.AGGREGATE(9,6,CH24:CS24)-_xlfn.AGGREGATE(9,6,BV24:CG24)+12</f>
        <v>276</v>
      </c>
      <c r="BD24" s="34" t="s">
        <v>1379</v>
      </c>
      <c r="BE24" s="3" t="s">
        <v>23</v>
      </c>
      <c r="BF24" s="119" t="s">
        <v>23</v>
      </c>
      <c r="BG24" s="49" t="s">
        <v>1379</v>
      </c>
      <c r="BH24" s="49" t="s">
        <v>1384</v>
      </c>
      <c r="BI24" s="1"/>
      <c r="BJ24" s="70" t="s">
        <v>1293</v>
      </c>
      <c r="BK24" s="57" t="s">
        <v>1293</v>
      </c>
      <c r="BL24" s="57" t="s">
        <v>1293</v>
      </c>
      <c r="BM24" s="57" t="s">
        <v>1293</v>
      </c>
      <c r="BN24" s="57" t="s">
        <v>1293</v>
      </c>
      <c r="BO24" s="57" t="s">
        <v>1293</v>
      </c>
      <c r="BP24" s="57" t="s">
        <v>1293</v>
      </c>
      <c r="BQ24" s="57" t="s">
        <v>1293</v>
      </c>
      <c r="BR24" s="57" t="s">
        <v>1293</v>
      </c>
      <c r="BS24" s="57" t="s">
        <v>1293</v>
      </c>
      <c r="BT24" s="57" t="s">
        <v>1293</v>
      </c>
      <c r="BU24" s="57" t="s">
        <v>1293</v>
      </c>
      <c r="BV24" s="70">
        <f t="shared" si="3"/>
        <v>1</v>
      </c>
      <c r="BW24" s="71">
        <f t="shared" si="4"/>
        <v>35</v>
      </c>
      <c r="BX24" s="72">
        <f t="shared" si="5"/>
        <v>39</v>
      </c>
      <c r="BY24" s="71">
        <f t="shared" si="6"/>
        <v>70</v>
      </c>
      <c r="BZ24" s="72">
        <f t="shared" si="7"/>
        <v>73</v>
      </c>
      <c r="CA24" s="71">
        <f t="shared" si="8"/>
        <v>109</v>
      </c>
      <c r="CB24" s="72">
        <f t="shared" si="9"/>
        <v>117</v>
      </c>
      <c r="CC24" s="71">
        <f t="shared" si="10"/>
        <v>166</v>
      </c>
      <c r="CD24" s="72">
        <f t="shared" si="11"/>
        <v>173</v>
      </c>
      <c r="CE24" s="71">
        <f t="shared" si="12"/>
        <v>219</v>
      </c>
      <c r="CF24" s="72">
        <f t="shared" si="13"/>
        <v>266</v>
      </c>
      <c r="CG24" s="71">
        <f t="shared" si="14"/>
        <v>292</v>
      </c>
      <c r="CH24" s="70">
        <f t="shared" si="15"/>
        <v>34</v>
      </c>
      <c r="CI24" s="71">
        <f t="shared" si="16"/>
        <v>38</v>
      </c>
      <c r="CJ24" s="72">
        <f t="shared" si="17"/>
        <v>69</v>
      </c>
      <c r="CK24" s="72">
        <f t="shared" si="18"/>
        <v>72</v>
      </c>
      <c r="CL24" s="72">
        <f t="shared" si="19"/>
        <v>108</v>
      </c>
      <c r="CM24" s="72">
        <f t="shared" si="20"/>
        <v>116</v>
      </c>
      <c r="CN24" s="72">
        <f t="shared" si="21"/>
        <v>142</v>
      </c>
      <c r="CO24" s="72">
        <f t="shared" si="22"/>
        <v>168</v>
      </c>
      <c r="CP24" s="72">
        <f t="shared" si="23"/>
        <v>213</v>
      </c>
      <c r="CQ24" s="72">
        <f t="shared" si="24"/>
        <v>259</v>
      </c>
      <c r="CR24" s="72">
        <f t="shared" si="25"/>
        <v>291</v>
      </c>
      <c r="CS24" s="72">
        <f t="shared" si="26"/>
        <v>314</v>
      </c>
      <c r="CT24" s="23">
        <f t="shared" si="27"/>
        <v>1</v>
      </c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W24" s="1"/>
      <c r="AEX24" s="1"/>
      <c r="AEY24" s="1"/>
      <c r="AEZ24" s="1"/>
      <c r="AFA24" s="1"/>
      <c r="AFB24" s="1"/>
      <c r="AFC24" s="1"/>
      <c r="AFD24" s="1"/>
      <c r="AFE24" s="1"/>
      <c r="AFF24" s="1"/>
      <c r="AFG24" s="1"/>
      <c r="AFH24" s="1"/>
      <c r="AFI24" s="1"/>
      <c r="AFJ24" s="1"/>
      <c r="AFK24" s="1"/>
      <c r="AFL24" s="1"/>
      <c r="AFM24" s="1"/>
      <c r="AFN24" s="1"/>
      <c r="AFO24" s="1"/>
      <c r="AFP24" s="1"/>
      <c r="AFQ24" s="1"/>
      <c r="AFR24" s="1"/>
      <c r="AFS24" s="1"/>
      <c r="AFT24" s="1"/>
      <c r="AFU24" s="1"/>
      <c r="AFV24" s="1"/>
      <c r="AFW24" s="1"/>
      <c r="AFX24" s="1"/>
      <c r="AFY24" s="1"/>
      <c r="AFZ24" s="1"/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/>
      <c r="AGU24" s="1"/>
      <c r="AGV24" s="1"/>
      <c r="AGW24" s="1"/>
      <c r="AGX24" s="1"/>
      <c r="AGY24" s="1"/>
      <c r="AGZ24" s="1"/>
      <c r="AHA24" s="1"/>
      <c r="AHB24" s="1"/>
      <c r="AHC24" s="1"/>
      <c r="AHD24" s="1"/>
      <c r="AHE24" s="1"/>
      <c r="AHF24" s="1"/>
      <c r="AHG24" s="1"/>
      <c r="AHH24" s="1"/>
      <c r="AHI24" s="1"/>
      <c r="AHJ24" s="1"/>
      <c r="AHK24" s="1"/>
      <c r="AHL24" s="1"/>
      <c r="AHM24" s="1"/>
      <c r="AHN24" s="1"/>
      <c r="AHO24" s="1"/>
      <c r="AHP24" s="1"/>
      <c r="AHQ24" s="1"/>
      <c r="AHR24" s="1"/>
      <c r="AHS24" s="1"/>
      <c r="AHT24" s="1"/>
      <c r="AHU24" s="1"/>
      <c r="AHV24" s="1"/>
      <c r="AHW24" s="1"/>
      <c r="AHX24" s="1"/>
      <c r="AHY24" s="1"/>
      <c r="AHZ24" s="1"/>
      <c r="AIA24" s="1"/>
      <c r="AIB24" s="1"/>
      <c r="AIC24" s="1"/>
      <c r="AID24" s="1"/>
      <c r="AIE24" s="1"/>
      <c r="AIF24" s="1"/>
      <c r="AIG24" s="1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/>
      <c r="AIS24" s="1"/>
      <c r="AIT24" s="1"/>
      <c r="AIU24" s="1"/>
      <c r="AIV24" s="1"/>
      <c r="AIW24" s="1"/>
      <c r="AIX24" s="1"/>
      <c r="AIY24" s="1"/>
      <c r="AIZ24" s="1"/>
      <c r="AJA24" s="1"/>
      <c r="AJB24" s="1"/>
      <c r="AJC24" s="1"/>
      <c r="AJD24" s="1"/>
      <c r="AJE24" s="1"/>
      <c r="AJF24" s="1"/>
      <c r="AJG24" s="1"/>
      <c r="AJH24" s="1"/>
      <c r="AJI24" s="1"/>
      <c r="AJJ24" s="1"/>
      <c r="AJK24" s="1"/>
      <c r="AJL24" s="1"/>
      <c r="AJM24" s="1"/>
      <c r="AJN24" s="1"/>
      <c r="AJO24" s="1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/>
      <c r="AKI24" s="1"/>
      <c r="AKJ24" s="1"/>
      <c r="AKK24" s="1"/>
      <c r="AKL24" s="1"/>
      <c r="AKM24" s="1"/>
      <c r="AKN24" s="1"/>
      <c r="AKO24" s="1"/>
      <c r="AKP24" s="1"/>
      <c r="AKQ24" s="1"/>
      <c r="AKR24" s="1"/>
      <c r="AKS24" s="1"/>
      <c r="AKT24" s="1"/>
      <c r="AKU24" s="1"/>
      <c r="AKV24" s="1"/>
      <c r="AKW24" s="1"/>
      <c r="AKX24" s="1"/>
      <c r="AKY24" s="1"/>
      <c r="AKZ24" s="1"/>
      <c r="ALA24" s="1"/>
      <c r="ALB24" s="1"/>
      <c r="ALC24" s="1"/>
      <c r="ALD24" s="1"/>
      <c r="ALE24" s="1"/>
      <c r="ALF24" s="1"/>
      <c r="ALG24" s="1"/>
      <c r="ALH24" s="1"/>
      <c r="ALI24" s="1"/>
      <c r="ALJ24" s="1"/>
      <c r="ALK24" s="1"/>
      <c r="ALL24" s="1"/>
      <c r="ALM24" s="1"/>
      <c r="ALN24" s="1"/>
      <c r="ALO24" s="1"/>
      <c r="ALP24" s="1"/>
      <c r="ALQ24" s="1"/>
      <c r="ALR24" s="1"/>
      <c r="ALS24" s="1"/>
      <c r="ALT24" s="1"/>
      <c r="ALU24" s="1"/>
      <c r="ALV24" s="1"/>
      <c r="ALW24" s="1"/>
      <c r="ALX24" s="1"/>
      <c r="ALY24" s="1"/>
      <c r="ALZ24" s="1"/>
      <c r="AMA24" s="1"/>
      <c r="AMB24" s="1"/>
      <c r="AMC24" s="1"/>
      <c r="AMD24" s="1"/>
      <c r="AME24" s="1"/>
      <c r="AMF24" s="1"/>
      <c r="AMG24" s="1"/>
      <c r="AMH24" s="1"/>
      <c r="AMI24" s="1"/>
      <c r="AMJ24" s="1"/>
      <c r="AMK24" s="1"/>
      <c r="AML24" s="1"/>
      <c r="AMM24" s="1"/>
      <c r="AMN24" s="1"/>
      <c r="AMO24" s="1"/>
    </row>
    <row r="25" spans="1:1030" x14ac:dyDescent="0.2">
      <c r="A25" s="3" t="str">
        <f t="shared" si="0"/>
        <v>aa2ar_human_2YDO</v>
      </c>
      <c r="B25" s="3" t="s">
        <v>139</v>
      </c>
      <c r="C25" s="3" t="s">
        <v>1029</v>
      </c>
      <c r="D25" s="3" t="str">
        <f>IFERROR(MID(VLOOKUP($B25,Seqs!$A:$B,2,0),E25,1),"")</f>
        <v>S</v>
      </c>
      <c r="E25" s="3">
        <v>7</v>
      </c>
      <c r="F25" s="3" t="str">
        <f>IFERROR(MID(VLOOKUP($B25,Seqs!$A:$B,2,0),G25,1),"")</f>
        <v>N</v>
      </c>
      <c r="G25" s="3">
        <v>34</v>
      </c>
      <c r="H25" s="3" t="str">
        <f>IFERROR(MID(VLOOKUP($B25,Seqs!$A:$B,2,0),I25,1),"")</f>
        <v>S</v>
      </c>
      <c r="I25" s="23">
        <v>35</v>
      </c>
      <c r="J25" s="3" t="str">
        <f>IFERROR(MID(VLOOKUP($B25,Seqs!$A:$B,2,0),K25,1),"")</f>
        <v>Q</v>
      </c>
      <c r="K25" s="23">
        <v>38</v>
      </c>
      <c r="L25" s="3" t="str">
        <f>IFERROR(MID(VLOOKUP($B25,Seqs!$A:$B,2,0),M25,1),"")</f>
        <v>N</v>
      </c>
      <c r="M25" s="3">
        <v>39</v>
      </c>
      <c r="N25" s="3" t="str">
        <f>IFERROR(MID(VLOOKUP($B25,Seqs!$A:$B,2,0),O25,1),"")</f>
        <v>G</v>
      </c>
      <c r="O25" s="3">
        <v>69</v>
      </c>
      <c r="P25" s="3" t="str">
        <f>IFERROR(MID(VLOOKUP($B25,Seqs!$A:$B,2,0),Q25,1),"")</f>
        <v>F</v>
      </c>
      <c r="Q25" s="3">
        <v>70</v>
      </c>
      <c r="R25" s="3" t="str">
        <f>IFERROR(MID(VLOOKUP($B25,Seqs!$A:$B,2,0),S25,1),"")</f>
        <v>A</v>
      </c>
      <c r="S25" s="3">
        <v>72</v>
      </c>
      <c r="T25" s="3" t="str">
        <f>IFERROR(MID(VLOOKUP($B25,Seqs!$A:$B,2,0),U25,1),"")</f>
        <v>A</v>
      </c>
      <c r="U25" s="3">
        <v>73</v>
      </c>
      <c r="V25" s="3" t="str">
        <f>IFERROR(MID(VLOOKUP($B25,Seqs!$A:$B,2,0),W25,1),"")</f>
        <v>I</v>
      </c>
      <c r="W25" s="3">
        <v>108</v>
      </c>
      <c r="X25" s="3" t="str">
        <f>IFERROR(MID(VLOOKUP($B25,Seqs!$A:$B,2,0),Y25,1),"")</f>
        <v>P</v>
      </c>
      <c r="Y25" s="3">
        <v>109</v>
      </c>
      <c r="Z25" s="3" t="str">
        <f>IFERROR(MID(VLOOKUP($B25,Seqs!$A:$B,2,0),AA25,1),"")</f>
        <v>V</v>
      </c>
      <c r="AA25" s="3">
        <v>116</v>
      </c>
      <c r="AB25" s="3" t="str">
        <f>IFERROR(MID(VLOOKUP($B25,Seqs!$A:$B,2,0),AC25,1),"")</f>
        <v>T</v>
      </c>
      <c r="AC25" s="9">
        <v>117</v>
      </c>
      <c r="AD25" s="3" t="str">
        <f>IFERROR(MID(VLOOKUP($B25,Seqs!$A:$B,2,0),AE25,1),"")</f>
        <v>G</v>
      </c>
      <c r="AE25" s="3">
        <v>142</v>
      </c>
      <c r="AF25" s="3" t="str">
        <f>IFERROR(MID(VLOOKUP($B25,Seqs!$A:$B,2,0),AG25,1),"")</f>
        <v>C</v>
      </c>
      <c r="AG25" s="3">
        <v>166</v>
      </c>
      <c r="AH25" s="3" t="str">
        <f>IFERROR(MID(VLOOKUP($B25,Seqs!$A:$B,2,0),AI25,1),"")</f>
        <v>F</v>
      </c>
      <c r="AI25" s="3">
        <v>168</v>
      </c>
      <c r="AJ25" s="3" t="str">
        <f>IFERROR(MID(VLOOKUP($B25,Seqs!$A:$B,2,0),AK25,1),"")</f>
        <v>P</v>
      </c>
      <c r="AK25" s="3">
        <v>173</v>
      </c>
      <c r="AL25" s="3" t="str">
        <f>IFERROR(MID(VLOOKUP($B25,Seqs!$A:$B,2,0),AM25,1),"")</f>
        <v>Q</v>
      </c>
      <c r="AM25" s="3">
        <v>210</v>
      </c>
      <c r="AN25" s="3" t="str">
        <f>IFERROR(MID(VLOOKUP($B25,Seqs!$A:$B,2,0),AO25,1),"")</f>
        <v>L</v>
      </c>
      <c r="AO25" s="3">
        <v>225</v>
      </c>
      <c r="AP25" s="3" t="str">
        <f>IFERROR(MID(VLOOKUP($B25,Seqs!$A:$B,2,0),AQ25,1),"")</f>
        <v>C</v>
      </c>
      <c r="AQ25" s="3">
        <v>259</v>
      </c>
      <c r="AR25" s="3" t="str">
        <f>IFERROR(MID(VLOOKUP($B25,Seqs!$A:$B,2,0),AS25,1),"")</f>
        <v>P</v>
      </c>
      <c r="AS25" s="3">
        <v>266</v>
      </c>
      <c r="AT25" s="3" t="str">
        <f>IFERROR(MID(VLOOKUP($B25,Seqs!$A:$B,2,0),AU25,1),"")</f>
        <v>R</v>
      </c>
      <c r="AU25" s="3">
        <v>291</v>
      </c>
      <c r="AV25" s="3" t="str">
        <f>IFERROR(MID(VLOOKUP($B25,Seqs!$A:$B,2,0),AW25,1),"")</f>
        <v>I</v>
      </c>
      <c r="AW25" s="3">
        <v>292</v>
      </c>
      <c r="AX25" s="3" t="str">
        <f>IFERROR(MID(VLOOKUP($B25,Seqs!$A:$B,2,0),AY25,1),"")</f>
        <v>A</v>
      </c>
      <c r="AY25" s="3">
        <v>317</v>
      </c>
      <c r="AZ25" s="77" t="str">
        <f>VLOOKUP(B25,Classification!A:D,2,0)</f>
        <v>A</v>
      </c>
      <c r="BA25" s="94" t="str">
        <f>VLOOKUP(B25,Classification!A:D,4,0)</f>
        <v>Adenosine</v>
      </c>
      <c r="BB25" s="27" t="b">
        <f t="shared" si="1"/>
        <v>1</v>
      </c>
      <c r="BC25" s="23">
        <f t="shared" si="168"/>
        <v>264</v>
      </c>
      <c r="BD25" s="4" t="s">
        <v>23</v>
      </c>
      <c r="BE25" s="3" t="s">
        <v>1439</v>
      </c>
      <c r="BF25" s="119">
        <v>3</v>
      </c>
      <c r="BG25" s="49" t="s">
        <v>1384</v>
      </c>
      <c r="BH25" s="49" t="s">
        <v>1384</v>
      </c>
      <c r="BI25" s="1"/>
      <c r="BJ25" s="70" t="s">
        <v>1293</v>
      </c>
      <c r="BK25" s="57" t="s">
        <v>1293</v>
      </c>
      <c r="BL25" s="57" t="s">
        <v>1293</v>
      </c>
      <c r="BM25" s="57" t="s">
        <v>1293</v>
      </c>
      <c r="BN25" s="57" t="s">
        <v>1293</v>
      </c>
      <c r="BO25" s="57" t="s">
        <v>1293</v>
      </c>
      <c r="BP25" s="57" t="s">
        <v>1293</v>
      </c>
      <c r="BQ25" s="57" t="s">
        <v>1293</v>
      </c>
      <c r="BR25" s="57" t="s">
        <v>1293</v>
      </c>
      <c r="BS25" s="57" t="s">
        <v>1293</v>
      </c>
      <c r="BT25" s="57" t="s">
        <v>1293</v>
      </c>
      <c r="BU25" s="57" t="s">
        <v>1293</v>
      </c>
      <c r="BV25" s="70">
        <f t="shared" si="3"/>
        <v>7</v>
      </c>
      <c r="BW25" s="71">
        <f t="shared" si="4"/>
        <v>35</v>
      </c>
      <c r="BX25" s="72">
        <f t="shared" si="5"/>
        <v>39</v>
      </c>
      <c r="BY25" s="71">
        <f t="shared" si="6"/>
        <v>70</v>
      </c>
      <c r="BZ25" s="72">
        <f t="shared" si="7"/>
        <v>73</v>
      </c>
      <c r="CA25" s="71">
        <f t="shared" si="8"/>
        <v>109</v>
      </c>
      <c r="CB25" s="72">
        <f t="shared" si="9"/>
        <v>117</v>
      </c>
      <c r="CC25" s="71">
        <f t="shared" si="10"/>
        <v>166</v>
      </c>
      <c r="CD25" s="72">
        <f t="shared" si="11"/>
        <v>173</v>
      </c>
      <c r="CE25" s="71">
        <f t="shared" si="12"/>
        <v>225</v>
      </c>
      <c r="CF25" s="72">
        <f t="shared" si="13"/>
        <v>266</v>
      </c>
      <c r="CG25" s="71">
        <f t="shared" si="14"/>
        <v>292</v>
      </c>
      <c r="CH25" s="70">
        <f t="shared" si="15"/>
        <v>34</v>
      </c>
      <c r="CI25" s="71">
        <f t="shared" si="16"/>
        <v>38</v>
      </c>
      <c r="CJ25" s="72">
        <f t="shared" si="17"/>
        <v>69</v>
      </c>
      <c r="CK25" s="72">
        <f t="shared" si="18"/>
        <v>72</v>
      </c>
      <c r="CL25" s="72">
        <f t="shared" si="19"/>
        <v>108</v>
      </c>
      <c r="CM25" s="72">
        <f t="shared" si="20"/>
        <v>116</v>
      </c>
      <c r="CN25" s="72">
        <f t="shared" si="21"/>
        <v>142</v>
      </c>
      <c r="CO25" s="72">
        <f t="shared" si="22"/>
        <v>168</v>
      </c>
      <c r="CP25" s="72">
        <f t="shared" si="23"/>
        <v>210</v>
      </c>
      <c r="CQ25" s="72">
        <f t="shared" si="24"/>
        <v>259</v>
      </c>
      <c r="CR25" s="72">
        <f t="shared" si="25"/>
        <v>291</v>
      </c>
      <c r="CS25" s="72">
        <f t="shared" si="26"/>
        <v>317</v>
      </c>
      <c r="CT25" s="23">
        <f t="shared" si="27"/>
        <v>1</v>
      </c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  <c r="AEN25" s="1"/>
      <c r="AEO25" s="1"/>
      <c r="AEP25" s="1"/>
      <c r="AEQ25" s="1"/>
      <c r="AER25" s="1"/>
      <c r="AES25" s="1"/>
      <c r="AET25" s="1"/>
      <c r="AEU25" s="1"/>
      <c r="AEV25" s="1"/>
      <c r="AEW25" s="1"/>
      <c r="AEX25" s="1"/>
      <c r="AEY25" s="1"/>
      <c r="AEZ25" s="1"/>
      <c r="AFA25" s="1"/>
      <c r="AFB25" s="1"/>
      <c r="AFC25" s="1"/>
      <c r="AFD25" s="1"/>
      <c r="AFE25" s="1"/>
      <c r="AFF25" s="1"/>
      <c r="AFG25" s="1"/>
      <c r="AFH25" s="1"/>
      <c r="AFI25" s="1"/>
      <c r="AFJ25" s="1"/>
      <c r="AFK25" s="1"/>
      <c r="AFL25" s="1"/>
      <c r="AFM25" s="1"/>
      <c r="AFN25" s="1"/>
      <c r="AFO25" s="1"/>
      <c r="AFP25" s="1"/>
      <c r="AFQ25" s="1"/>
      <c r="AFR25" s="1"/>
      <c r="AFS25" s="1"/>
      <c r="AFT25" s="1"/>
      <c r="AFU25" s="1"/>
      <c r="AFV25" s="1"/>
      <c r="AFW25" s="1"/>
      <c r="AFX25" s="1"/>
      <c r="AFY25" s="1"/>
      <c r="AFZ25" s="1"/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1"/>
      <c r="AGU25" s="1"/>
      <c r="AGV25" s="1"/>
      <c r="AGW25" s="1"/>
      <c r="AGX25" s="1"/>
      <c r="AGY25" s="1"/>
      <c r="AGZ25" s="1"/>
      <c r="AHA25" s="1"/>
      <c r="AHB25" s="1"/>
      <c r="AHC25" s="1"/>
      <c r="AHD25" s="1"/>
      <c r="AHE25" s="1"/>
      <c r="AHF25" s="1"/>
      <c r="AHG25" s="1"/>
      <c r="AHH25" s="1"/>
      <c r="AHI25" s="1"/>
      <c r="AHJ25" s="1"/>
      <c r="AHK25" s="1"/>
      <c r="AHL25" s="1"/>
      <c r="AHM25" s="1"/>
      <c r="AHN25" s="1"/>
      <c r="AHO25" s="1"/>
      <c r="AHP25" s="1"/>
      <c r="AHQ25" s="1"/>
      <c r="AHR25" s="1"/>
      <c r="AHS25" s="1"/>
      <c r="AHT25" s="1"/>
      <c r="AHU25" s="1"/>
      <c r="AHV25" s="1"/>
      <c r="AHW25" s="1"/>
      <c r="AHX25" s="1"/>
      <c r="AHY25" s="1"/>
      <c r="AHZ25" s="1"/>
      <c r="AIA25" s="1"/>
      <c r="AIB25" s="1"/>
      <c r="AIC25" s="1"/>
      <c r="AID25" s="1"/>
      <c r="AIE25" s="1"/>
      <c r="AIF25" s="1"/>
      <c r="AIG25" s="1"/>
      <c r="AIH25" s="1"/>
      <c r="AII25" s="1"/>
      <c r="AIJ25" s="1"/>
      <c r="AIK25" s="1"/>
      <c r="AIL25" s="1"/>
      <c r="AIM25" s="1"/>
      <c r="AIN25" s="1"/>
      <c r="AIO25" s="1"/>
      <c r="AIP25" s="1"/>
      <c r="AIQ25" s="1"/>
      <c r="AIR25" s="1"/>
      <c r="AIS25" s="1"/>
      <c r="AIT25" s="1"/>
      <c r="AIU25" s="1"/>
      <c r="AIV25" s="1"/>
      <c r="AIW25" s="1"/>
      <c r="AIX25" s="1"/>
      <c r="AIY25" s="1"/>
      <c r="AIZ25" s="1"/>
      <c r="AJA25" s="1"/>
      <c r="AJB25" s="1"/>
      <c r="AJC25" s="1"/>
      <c r="AJD25" s="1"/>
      <c r="AJE25" s="1"/>
      <c r="AJF25" s="1"/>
      <c r="AJG25" s="1"/>
      <c r="AJH25" s="1"/>
      <c r="AJI25" s="1"/>
      <c r="AJJ25" s="1"/>
      <c r="AJK25" s="1"/>
      <c r="AJL25" s="1"/>
      <c r="AJM25" s="1"/>
      <c r="AJN25" s="1"/>
      <c r="AJO25" s="1"/>
      <c r="AJP25" s="1"/>
      <c r="AJQ25" s="1"/>
      <c r="AJR25" s="1"/>
      <c r="AJS25" s="1"/>
      <c r="AJT25" s="1"/>
      <c r="AJU25" s="1"/>
      <c r="AJV25" s="1"/>
      <c r="AJW25" s="1"/>
      <c r="AJX25" s="1"/>
      <c r="AJY25" s="1"/>
      <c r="AJZ25" s="1"/>
      <c r="AKA25" s="1"/>
      <c r="AKB25" s="1"/>
      <c r="AKC25" s="1"/>
      <c r="AKD25" s="1"/>
      <c r="AKE25" s="1"/>
      <c r="AKF25" s="1"/>
      <c r="AKG25" s="1"/>
      <c r="AKH25" s="1"/>
      <c r="AKI25" s="1"/>
      <c r="AKJ25" s="1"/>
      <c r="AKK25" s="1"/>
      <c r="AKL25" s="1"/>
      <c r="AKM25" s="1"/>
      <c r="AKN25" s="1"/>
      <c r="AKO25" s="1"/>
      <c r="AKP25" s="1"/>
      <c r="AKQ25" s="1"/>
      <c r="AKR25" s="1"/>
      <c r="AKS25" s="1"/>
      <c r="AKT25" s="1"/>
      <c r="AKU25" s="1"/>
      <c r="AKV25" s="1"/>
      <c r="AKW25" s="1"/>
      <c r="AKX25" s="1"/>
      <c r="AKY25" s="1"/>
      <c r="AKZ25" s="1"/>
      <c r="ALA25" s="1"/>
      <c r="ALB25" s="1"/>
      <c r="ALC25" s="1"/>
      <c r="ALD25" s="1"/>
      <c r="ALE25" s="1"/>
      <c r="ALF25" s="1"/>
      <c r="ALG25" s="1"/>
      <c r="ALH25" s="1"/>
      <c r="ALI25" s="1"/>
      <c r="ALJ25" s="1"/>
      <c r="ALK25" s="1"/>
      <c r="ALL25" s="1"/>
      <c r="ALM25" s="1"/>
      <c r="ALN25" s="1"/>
      <c r="ALO25" s="1"/>
      <c r="ALP25" s="1"/>
      <c r="ALQ25" s="1"/>
      <c r="ALR25" s="1"/>
      <c r="ALS25" s="1"/>
      <c r="ALT25" s="1"/>
      <c r="ALU25" s="1"/>
      <c r="ALV25" s="1"/>
      <c r="ALW25" s="1"/>
      <c r="ALX25" s="1"/>
      <c r="ALY25" s="1"/>
      <c r="ALZ25" s="1"/>
      <c r="AMA25" s="1"/>
      <c r="AMB25" s="1"/>
      <c r="AMC25" s="1"/>
      <c r="AMD25" s="1"/>
      <c r="AME25" s="1"/>
      <c r="AMF25" s="1"/>
      <c r="AMG25" s="1"/>
      <c r="AMH25" s="1"/>
      <c r="AMI25" s="1"/>
      <c r="AMJ25" s="1"/>
      <c r="AMK25" s="1"/>
      <c r="AML25" s="1"/>
      <c r="AMM25" s="1"/>
      <c r="AMN25" s="1"/>
      <c r="AMO25" s="1"/>
    </row>
    <row r="26" spans="1:1030" x14ac:dyDescent="0.2">
      <c r="A26" s="3" t="str">
        <f t="shared" si="0"/>
        <v>aa2ar_human_2YDV</v>
      </c>
      <c r="B26" s="3" t="s">
        <v>139</v>
      </c>
      <c r="C26" s="3" t="s">
        <v>80</v>
      </c>
      <c r="D26" s="3" t="str">
        <f>IFERROR(MID(VLOOKUP($B26,Seqs!$A:$B,2,0),E26,1),"")</f>
        <v>S</v>
      </c>
      <c r="E26" s="3">
        <v>7</v>
      </c>
      <c r="F26" s="3" t="str">
        <f>IFERROR(MID(VLOOKUP($B26,Seqs!$A:$B,2,0),G26,1),"")</f>
        <v>N</v>
      </c>
      <c r="G26" s="3">
        <v>34</v>
      </c>
      <c r="H26" s="3" t="str">
        <f>IFERROR(MID(VLOOKUP($B26,Seqs!$A:$B,2,0),I26,1),"")</f>
        <v>S</v>
      </c>
      <c r="I26" s="23">
        <v>35</v>
      </c>
      <c r="J26" s="3" t="str">
        <f>IFERROR(MID(VLOOKUP($B26,Seqs!$A:$B,2,0),K26,1),"")</f>
        <v>Q</v>
      </c>
      <c r="K26" s="23">
        <v>38</v>
      </c>
      <c r="L26" s="3" t="str">
        <f>IFERROR(MID(VLOOKUP($B26,Seqs!$A:$B,2,0),M26,1),"")</f>
        <v>N</v>
      </c>
      <c r="M26" s="3">
        <v>39</v>
      </c>
      <c r="N26" s="3" t="str">
        <f>IFERROR(MID(VLOOKUP($B26,Seqs!$A:$B,2,0),O26,1),"")</f>
        <v>G</v>
      </c>
      <c r="O26" s="3">
        <v>69</v>
      </c>
      <c r="P26" s="3" t="str">
        <f>IFERROR(MID(VLOOKUP($B26,Seqs!$A:$B,2,0),Q26,1),"")</f>
        <v>F</v>
      </c>
      <c r="Q26" s="3">
        <v>70</v>
      </c>
      <c r="R26" s="3" t="str">
        <f>IFERROR(MID(VLOOKUP($B26,Seqs!$A:$B,2,0),S26,1),"")</f>
        <v>A</v>
      </c>
      <c r="S26" s="3">
        <v>72</v>
      </c>
      <c r="T26" s="3" t="str">
        <f>IFERROR(MID(VLOOKUP($B26,Seqs!$A:$B,2,0),U26,1),"")</f>
        <v>A</v>
      </c>
      <c r="U26" s="3">
        <v>73</v>
      </c>
      <c r="V26" s="3" t="str">
        <f>IFERROR(MID(VLOOKUP($B26,Seqs!$A:$B,2,0),W26,1),"")</f>
        <v>I</v>
      </c>
      <c r="W26" s="3">
        <v>108</v>
      </c>
      <c r="X26" s="3" t="str">
        <f>IFERROR(MID(VLOOKUP($B26,Seqs!$A:$B,2,0),Y26,1),"")</f>
        <v>P</v>
      </c>
      <c r="Y26" s="3">
        <v>109</v>
      </c>
      <c r="Z26" s="3" t="str">
        <f>IFERROR(MID(VLOOKUP($B26,Seqs!$A:$B,2,0),AA26,1),"")</f>
        <v>V</v>
      </c>
      <c r="AA26" s="3">
        <v>116</v>
      </c>
      <c r="AB26" s="3" t="str">
        <f>IFERROR(MID(VLOOKUP($B26,Seqs!$A:$B,2,0),AC26,1),"")</f>
        <v>T</v>
      </c>
      <c r="AC26" s="9">
        <v>117</v>
      </c>
      <c r="AD26" s="3" t="str">
        <f>IFERROR(MID(VLOOKUP($B26,Seqs!$A:$B,2,0),AE26,1),"")</f>
        <v>G</v>
      </c>
      <c r="AE26" s="3">
        <v>142</v>
      </c>
      <c r="AF26" s="3" t="str">
        <f>IFERROR(MID(VLOOKUP($B26,Seqs!$A:$B,2,0),AG26,1),"")</f>
        <v>C</v>
      </c>
      <c r="AG26" s="3">
        <v>166</v>
      </c>
      <c r="AH26" s="3" t="str">
        <f>IFERROR(MID(VLOOKUP($B26,Seqs!$A:$B,2,0),AI26,1),"")</f>
        <v>F</v>
      </c>
      <c r="AI26" s="3">
        <v>168</v>
      </c>
      <c r="AJ26" s="3" t="str">
        <f>IFERROR(MID(VLOOKUP($B26,Seqs!$A:$B,2,0),AK26,1),"")</f>
        <v>P</v>
      </c>
      <c r="AK26" s="3">
        <v>173</v>
      </c>
      <c r="AL26" s="3" t="str">
        <f>IFERROR(MID(VLOOKUP($B26,Seqs!$A:$B,2,0),AM26,1),"")</f>
        <v>Q</v>
      </c>
      <c r="AM26" s="3">
        <v>210</v>
      </c>
      <c r="AN26" s="3" t="str">
        <f>IFERROR(MID(VLOOKUP($B26,Seqs!$A:$B,2,0),AO26,1),"")</f>
        <v>T</v>
      </c>
      <c r="AO26" s="3">
        <v>224</v>
      </c>
      <c r="AP26" s="3" t="str">
        <f>IFERROR(MID(VLOOKUP($B26,Seqs!$A:$B,2,0),AQ26,1),"")</f>
        <v>C</v>
      </c>
      <c r="AQ26" s="3">
        <v>259</v>
      </c>
      <c r="AR26" s="3" t="str">
        <f>IFERROR(MID(VLOOKUP($B26,Seqs!$A:$B,2,0),AS26,1),"")</f>
        <v>P</v>
      </c>
      <c r="AS26" s="3">
        <v>266</v>
      </c>
      <c r="AT26" s="3" t="str">
        <f>IFERROR(MID(VLOOKUP($B26,Seqs!$A:$B,2,0),AU26,1),"")</f>
        <v>R</v>
      </c>
      <c r="AU26" s="3">
        <v>291</v>
      </c>
      <c r="AV26" s="3" t="str">
        <f>IFERROR(MID(VLOOKUP($B26,Seqs!$A:$B,2,0),AW26,1),"")</f>
        <v>I</v>
      </c>
      <c r="AW26" s="3">
        <v>292</v>
      </c>
      <c r="AX26" s="3" t="str">
        <f>IFERROR(MID(VLOOKUP($B26,Seqs!$A:$B,2,0),AY26,1),"")</f>
        <v>A</v>
      </c>
      <c r="AY26" s="3">
        <v>317</v>
      </c>
      <c r="AZ26" s="77" t="str">
        <f>VLOOKUP(B26,Classification!A:D,2,0)</f>
        <v>A</v>
      </c>
      <c r="BA26" s="94" t="str">
        <f>VLOOKUP(B26,Classification!A:D,4,0)</f>
        <v>Adenosine</v>
      </c>
      <c r="BB26" s="27" t="b">
        <f t="shared" si="1"/>
        <v>1</v>
      </c>
      <c r="BC26" s="23">
        <f t="shared" si="168"/>
        <v>265</v>
      </c>
      <c r="BD26" s="4" t="s">
        <v>23</v>
      </c>
      <c r="BE26" s="3" t="s">
        <v>1439</v>
      </c>
      <c r="BF26" s="119">
        <v>2.6</v>
      </c>
      <c r="BG26" s="49" t="s">
        <v>1384</v>
      </c>
      <c r="BH26" s="49" t="s">
        <v>1384</v>
      </c>
      <c r="BI26" s="1"/>
      <c r="BJ26" s="70" t="s">
        <v>1293</v>
      </c>
      <c r="BK26" s="57" t="s">
        <v>1293</v>
      </c>
      <c r="BL26" s="57" t="s">
        <v>1293</v>
      </c>
      <c r="BM26" s="57" t="s">
        <v>1293</v>
      </c>
      <c r="BN26" s="57" t="s">
        <v>1293</v>
      </c>
      <c r="BO26" s="57" t="s">
        <v>1293</v>
      </c>
      <c r="BP26" s="57" t="s">
        <v>1293</v>
      </c>
      <c r="BQ26" s="57" t="s">
        <v>1293</v>
      </c>
      <c r="BR26" s="57" t="s">
        <v>1293</v>
      </c>
      <c r="BS26" s="57" t="s">
        <v>1293</v>
      </c>
      <c r="BT26" s="57" t="s">
        <v>1293</v>
      </c>
      <c r="BU26" s="57" t="s">
        <v>1293</v>
      </c>
      <c r="BV26" s="70">
        <f t="shared" si="3"/>
        <v>7</v>
      </c>
      <c r="BW26" s="71">
        <f t="shared" si="4"/>
        <v>35</v>
      </c>
      <c r="BX26" s="72">
        <f t="shared" si="5"/>
        <v>39</v>
      </c>
      <c r="BY26" s="71">
        <f t="shared" si="6"/>
        <v>70</v>
      </c>
      <c r="BZ26" s="72">
        <f t="shared" si="7"/>
        <v>73</v>
      </c>
      <c r="CA26" s="71">
        <f t="shared" si="8"/>
        <v>109</v>
      </c>
      <c r="CB26" s="72">
        <f t="shared" si="9"/>
        <v>117</v>
      </c>
      <c r="CC26" s="71">
        <f t="shared" si="10"/>
        <v>166</v>
      </c>
      <c r="CD26" s="72">
        <f t="shared" si="11"/>
        <v>173</v>
      </c>
      <c r="CE26" s="71">
        <f t="shared" si="12"/>
        <v>224</v>
      </c>
      <c r="CF26" s="72">
        <f t="shared" si="13"/>
        <v>266</v>
      </c>
      <c r="CG26" s="71">
        <f t="shared" si="14"/>
        <v>292</v>
      </c>
      <c r="CH26" s="70">
        <f t="shared" si="15"/>
        <v>34</v>
      </c>
      <c r="CI26" s="71">
        <f t="shared" si="16"/>
        <v>38</v>
      </c>
      <c r="CJ26" s="72">
        <f t="shared" si="17"/>
        <v>69</v>
      </c>
      <c r="CK26" s="72">
        <f t="shared" si="18"/>
        <v>72</v>
      </c>
      <c r="CL26" s="72">
        <f t="shared" si="19"/>
        <v>108</v>
      </c>
      <c r="CM26" s="72">
        <f t="shared" si="20"/>
        <v>116</v>
      </c>
      <c r="CN26" s="72">
        <f t="shared" si="21"/>
        <v>142</v>
      </c>
      <c r="CO26" s="72">
        <f t="shared" si="22"/>
        <v>168</v>
      </c>
      <c r="CP26" s="72">
        <f t="shared" si="23"/>
        <v>210</v>
      </c>
      <c r="CQ26" s="72">
        <f t="shared" si="24"/>
        <v>259</v>
      </c>
      <c r="CR26" s="72">
        <f t="shared" si="25"/>
        <v>291</v>
      </c>
      <c r="CS26" s="72">
        <f t="shared" si="26"/>
        <v>317</v>
      </c>
      <c r="CT26" s="23">
        <f t="shared" si="27"/>
        <v>1</v>
      </c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/>
      <c r="ZV26" s="1"/>
      <c r="ZW26" s="1"/>
      <c r="ZX26" s="1"/>
      <c r="ZY26" s="1"/>
      <c r="ZZ26" s="1"/>
      <c r="AAA26" s="1"/>
      <c r="AAB26" s="1"/>
      <c r="AAC26" s="1"/>
      <c r="AAD26" s="1"/>
      <c r="AAE26" s="1"/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/>
      <c r="AAR26" s="1"/>
      <c r="AAS26" s="1"/>
      <c r="AAT26" s="1"/>
      <c r="AAU26" s="1"/>
      <c r="AAV26" s="1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1"/>
      <c r="ABI26" s="1"/>
      <c r="ABJ26" s="1"/>
      <c r="ABK26" s="1"/>
      <c r="ABL26" s="1"/>
      <c r="ABM26" s="1"/>
      <c r="ABN26" s="1"/>
      <c r="ABO26" s="1"/>
      <c r="ABP26" s="1"/>
      <c r="ABQ26" s="1"/>
      <c r="ABR26" s="1"/>
      <c r="ABS26" s="1"/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  <c r="ADQ26" s="1"/>
      <c r="ADR26" s="1"/>
      <c r="ADS26" s="1"/>
      <c r="ADT26" s="1"/>
      <c r="ADU26" s="1"/>
      <c r="ADV26" s="1"/>
      <c r="ADW26" s="1"/>
      <c r="ADX26" s="1"/>
      <c r="ADY26" s="1"/>
      <c r="ADZ26" s="1"/>
      <c r="AEA26" s="1"/>
      <c r="AEB26" s="1"/>
      <c r="AEC26" s="1"/>
      <c r="AED26" s="1"/>
      <c r="AEE26" s="1"/>
      <c r="AEF26" s="1"/>
      <c r="AEG26" s="1"/>
      <c r="AEH26" s="1"/>
      <c r="AEI26" s="1"/>
      <c r="AEJ26" s="1"/>
      <c r="AEK26" s="1"/>
      <c r="AEL26" s="1"/>
      <c r="AEM26" s="1"/>
      <c r="AEN26" s="1"/>
      <c r="AEO26" s="1"/>
      <c r="AEP26" s="1"/>
      <c r="AEQ26" s="1"/>
      <c r="AER26" s="1"/>
      <c r="AES26" s="1"/>
      <c r="AET26" s="1"/>
      <c r="AEU26" s="1"/>
      <c r="AEV26" s="1"/>
      <c r="AEW26" s="1"/>
      <c r="AEX26" s="1"/>
      <c r="AEY26" s="1"/>
      <c r="AEZ26" s="1"/>
      <c r="AFA26" s="1"/>
      <c r="AFB26" s="1"/>
      <c r="AFC26" s="1"/>
      <c r="AFD26" s="1"/>
      <c r="AFE26" s="1"/>
      <c r="AFF26" s="1"/>
      <c r="AFG26" s="1"/>
      <c r="AFH26" s="1"/>
      <c r="AFI26" s="1"/>
      <c r="AFJ26" s="1"/>
      <c r="AFK26" s="1"/>
      <c r="AFL26" s="1"/>
      <c r="AFM26" s="1"/>
      <c r="AFN26" s="1"/>
      <c r="AFO26" s="1"/>
      <c r="AFP26" s="1"/>
      <c r="AFQ26" s="1"/>
      <c r="AFR26" s="1"/>
      <c r="AFS26" s="1"/>
      <c r="AFT26" s="1"/>
      <c r="AFU26" s="1"/>
      <c r="AFV26" s="1"/>
      <c r="AFW26" s="1"/>
      <c r="AFX26" s="1"/>
      <c r="AFY26" s="1"/>
      <c r="AFZ26" s="1"/>
      <c r="AGA26" s="1"/>
      <c r="AGB26" s="1"/>
      <c r="AGC26" s="1"/>
      <c r="AGD26" s="1"/>
      <c r="AGE26" s="1"/>
      <c r="AGF26" s="1"/>
      <c r="AGG26" s="1"/>
      <c r="AGH26" s="1"/>
      <c r="AGI26" s="1"/>
      <c r="AGJ26" s="1"/>
      <c r="AGK26" s="1"/>
      <c r="AGL26" s="1"/>
      <c r="AGM26" s="1"/>
      <c r="AGN26" s="1"/>
      <c r="AGO26" s="1"/>
      <c r="AGP26" s="1"/>
      <c r="AGQ26" s="1"/>
      <c r="AGR26" s="1"/>
      <c r="AGS26" s="1"/>
      <c r="AGT26" s="1"/>
      <c r="AGU26" s="1"/>
      <c r="AGV26" s="1"/>
      <c r="AGW26" s="1"/>
      <c r="AGX26" s="1"/>
      <c r="AGY26" s="1"/>
      <c r="AGZ26" s="1"/>
      <c r="AHA26" s="1"/>
      <c r="AHB26" s="1"/>
      <c r="AHC26" s="1"/>
      <c r="AHD26" s="1"/>
      <c r="AHE26" s="1"/>
      <c r="AHF26" s="1"/>
      <c r="AHG26" s="1"/>
      <c r="AHH26" s="1"/>
      <c r="AHI26" s="1"/>
      <c r="AHJ26" s="1"/>
      <c r="AHK26" s="1"/>
      <c r="AHL26" s="1"/>
      <c r="AHM26" s="1"/>
      <c r="AHN26" s="1"/>
      <c r="AHO26" s="1"/>
      <c r="AHP26" s="1"/>
      <c r="AHQ26" s="1"/>
      <c r="AHR26" s="1"/>
      <c r="AHS26" s="1"/>
      <c r="AHT26" s="1"/>
      <c r="AHU26" s="1"/>
      <c r="AHV26" s="1"/>
      <c r="AHW26" s="1"/>
      <c r="AHX26" s="1"/>
      <c r="AHY26" s="1"/>
      <c r="AHZ26" s="1"/>
      <c r="AIA26" s="1"/>
      <c r="AIB26" s="1"/>
      <c r="AIC26" s="1"/>
      <c r="AID26" s="1"/>
      <c r="AIE26" s="1"/>
      <c r="AIF26" s="1"/>
      <c r="AIG26" s="1"/>
      <c r="AIH26" s="1"/>
      <c r="AII26" s="1"/>
      <c r="AIJ26" s="1"/>
      <c r="AIK26" s="1"/>
      <c r="AIL26" s="1"/>
      <c r="AIM26" s="1"/>
      <c r="AIN26" s="1"/>
      <c r="AIO26" s="1"/>
      <c r="AIP26" s="1"/>
      <c r="AIQ26" s="1"/>
      <c r="AIR26" s="1"/>
      <c r="AIS26" s="1"/>
      <c r="AIT26" s="1"/>
      <c r="AIU26" s="1"/>
      <c r="AIV26" s="1"/>
      <c r="AIW26" s="1"/>
      <c r="AIX26" s="1"/>
      <c r="AIY26" s="1"/>
      <c r="AIZ26" s="1"/>
      <c r="AJA26" s="1"/>
      <c r="AJB26" s="1"/>
      <c r="AJC26" s="1"/>
      <c r="AJD26" s="1"/>
      <c r="AJE26" s="1"/>
      <c r="AJF26" s="1"/>
      <c r="AJG26" s="1"/>
      <c r="AJH26" s="1"/>
      <c r="AJI26" s="1"/>
      <c r="AJJ26" s="1"/>
      <c r="AJK26" s="1"/>
      <c r="AJL26" s="1"/>
      <c r="AJM26" s="1"/>
      <c r="AJN26" s="1"/>
      <c r="AJO26" s="1"/>
      <c r="AJP26" s="1"/>
      <c r="AJQ26" s="1"/>
      <c r="AJR26" s="1"/>
      <c r="AJS26" s="1"/>
      <c r="AJT26" s="1"/>
      <c r="AJU26" s="1"/>
      <c r="AJV26" s="1"/>
      <c r="AJW26" s="1"/>
      <c r="AJX26" s="1"/>
      <c r="AJY26" s="1"/>
      <c r="AJZ26" s="1"/>
      <c r="AKA26" s="1"/>
      <c r="AKB26" s="1"/>
      <c r="AKC26" s="1"/>
      <c r="AKD26" s="1"/>
      <c r="AKE26" s="1"/>
      <c r="AKF26" s="1"/>
      <c r="AKG26" s="1"/>
      <c r="AKH26" s="1"/>
      <c r="AKI26" s="1"/>
      <c r="AKJ26" s="1"/>
      <c r="AKK26" s="1"/>
      <c r="AKL26" s="1"/>
      <c r="AKM26" s="1"/>
      <c r="AKN26" s="1"/>
      <c r="AKO26" s="1"/>
      <c r="AKP26" s="1"/>
      <c r="AKQ26" s="1"/>
      <c r="AKR26" s="1"/>
      <c r="AKS26" s="1"/>
      <c r="AKT26" s="1"/>
      <c r="AKU26" s="1"/>
      <c r="AKV26" s="1"/>
      <c r="AKW26" s="1"/>
      <c r="AKX26" s="1"/>
      <c r="AKY26" s="1"/>
      <c r="AKZ26" s="1"/>
      <c r="ALA26" s="1"/>
      <c r="ALB26" s="1"/>
      <c r="ALC26" s="1"/>
      <c r="ALD26" s="1"/>
      <c r="ALE26" s="1"/>
      <c r="ALF26" s="1"/>
      <c r="ALG26" s="1"/>
      <c r="ALH26" s="1"/>
      <c r="ALI26" s="1"/>
      <c r="ALJ26" s="1"/>
      <c r="ALK26" s="1"/>
      <c r="ALL26" s="1"/>
      <c r="ALM26" s="1"/>
      <c r="ALN26" s="1"/>
      <c r="ALO26" s="1"/>
      <c r="ALP26" s="1"/>
      <c r="ALQ26" s="1"/>
      <c r="ALR26" s="1"/>
      <c r="ALS26" s="1"/>
      <c r="ALT26" s="1"/>
      <c r="ALU26" s="1"/>
      <c r="ALV26" s="1"/>
      <c r="ALW26" s="1"/>
      <c r="ALX26" s="1"/>
      <c r="ALY26" s="1"/>
      <c r="ALZ26" s="1"/>
      <c r="AMA26" s="1"/>
      <c r="AMB26" s="1"/>
      <c r="AMC26" s="1"/>
      <c r="AMD26" s="1"/>
      <c r="AME26" s="1"/>
      <c r="AMF26" s="1"/>
      <c r="AMG26" s="1"/>
      <c r="AMH26" s="1"/>
      <c r="AMI26" s="1"/>
      <c r="AMJ26" s="1"/>
      <c r="AMK26" s="1"/>
      <c r="AML26" s="1"/>
      <c r="AMM26" s="1"/>
      <c r="AMN26" s="1"/>
      <c r="AMO26" s="1"/>
    </row>
    <row r="27" spans="1:1030" x14ac:dyDescent="0.2">
      <c r="A27" s="3" t="str">
        <f t="shared" si="0"/>
        <v>aa2ar_human_3QAK</v>
      </c>
      <c r="B27" s="3" t="s">
        <v>139</v>
      </c>
      <c r="C27" s="3" t="s">
        <v>1034</v>
      </c>
      <c r="D27" s="3" t="str">
        <f>IFERROR(MID(VLOOKUP($B27,Seqs!$A:$B,2,0),E27,1),"")</f>
        <v>G</v>
      </c>
      <c r="E27" s="3">
        <v>5</v>
      </c>
      <c r="F27" s="3" t="str">
        <f>IFERROR(MID(VLOOKUP($B27,Seqs!$A:$B,2,0),G27,1),"")</f>
        <v>N</v>
      </c>
      <c r="G27" s="3">
        <v>34</v>
      </c>
      <c r="H27" s="3" t="str">
        <f>IFERROR(MID(VLOOKUP($B27,Seqs!$A:$B,2,0),I27,1),"")</f>
        <v>S</v>
      </c>
      <c r="I27" s="23">
        <v>35</v>
      </c>
      <c r="J27" s="3" t="str">
        <f>IFERROR(MID(VLOOKUP($B27,Seqs!$A:$B,2,0),K27,1),"")</f>
        <v>Q</v>
      </c>
      <c r="K27" s="23">
        <v>38</v>
      </c>
      <c r="L27" s="3" t="str">
        <f>IFERROR(MID(VLOOKUP($B27,Seqs!$A:$B,2,0),M27,1),"")</f>
        <v>N</v>
      </c>
      <c r="M27" s="3">
        <v>39</v>
      </c>
      <c r="N27" s="3" t="str">
        <f>IFERROR(MID(VLOOKUP($B27,Seqs!$A:$B,2,0),O27,1),"")</f>
        <v>G</v>
      </c>
      <c r="O27" s="3">
        <v>69</v>
      </c>
      <c r="P27" s="3" t="str">
        <f>IFERROR(MID(VLOOKUP($B27,Seqs!$A:$B,2,0),Q27,1),"")</f>
        <v>F</v>
      </c>
      <c r="Q27" s="3">
        <v>70</v>
      </c>
      <c r="R27" s="3" t="str">
        <f>IFERROR(MID(VLOOKUP($B27,Seqs!$A:$B,2,0),S27,1),"")</f>
        <v>A</v>
      </c>
      <c r="S27" s="3">
        <v>72</v>
      </c>
      <c r="T27" s="3" t="str">
        <f>IFERROR(MID(VLOOKUP($B27,Seqs!$A:$B,2,0),U27,1),"")</f>
        <v>A</v>
      </c>
      <c r="U27" s="3">
        <v>73</v>
      </c>
      <c r="V27" s="3" t="str">
        <f>IFERROR(MID(VLOOKUP($B27,Seqs!$A:$B,2,0),W27,1),"")</f>
        <v>I</v>
      </c>
      <c r="W27" s="3">
        <v>108</v>
      </c>
      <c r="X27" s="3" t="str">
        <f>IFERROR(MID(VLOOKUP($B27,Seqs!$A:$B,2,0),Y27,1),"")</f>
        <v>P</v>
      </c>
      <c r="Y27" s="3">
        <v>109</v>
      </c>
      <c r="Z27" s="3" t="str">
        <f>IFERROR(MID(VLOOKUP($B27,Seqs!$A:$B,2,0),AA27,1),"")</f>
        <v>V</v>
      </c>
      <c r="AA27" s="3">
        <v>116</v>
      </c>
      <c r="AB27" s="3" t="str">
        <f>IFERROR(MID(VLOOKUP($B27,Seqs!$A:$B,2,0),AC27,1),"")</f>
        <v>T</v>
      </c>
      <c r="AC27" s="9">
        <v>117</v>
      </c>
      <c r="AD27" s="3" t="str">
        <f>IFERROR(MID(VLOOKUP($B27,Seqs!$A:$B,2,0),AE27,1),"")</f>
        <v>G</v>
      </c>
      <c r="AE27" s="3">
        <v>142</v>
      </c>
      <c r="AF27" s="3" t="str">
        <f>IFERROR(MID(VLOOKUP($B27,Seqs!$A:$B,2,0),AG27,1),"")</f>
        <v>C</v>
      </c>
      <c r="AG27" s="3">
        <v>166</v>
      </c>
      <c r="AH27" s="3" t="str">
        <f>IFERROR(MID(VLOOKUP($B27,Seqs!$A:$B,2,0),AI27,1),"")</f>
        <v>F</v>
      </c>
      <c r="AI27" s="3">
        <v>168</v>
      </c>
      <c r="AJ27" s="3" t="str">
        <f>IFERROR(MID(VLOOKUP($B27,Seqs!$A:$B,2,0),AK27,1),"")</f>
        <v>P</v>
      </c>
      <c r="AK27" s="3">
        <v>173</v>
      </c>
      <c r="AL27" s="3" t="str">
        <f>IFERROR(MID(VLOOKUP($B27,Seqs!$A:$B,2,0),AM27,1),"")</f>
        <v>A</v>
      </c>
      <c r="AM27" s="3">
        <v>204</v>
      </c>
      <c r="AN27" s="3" t="str">
        <f>IFERROR(MID(VLOOKUP($B27,Seqs!$A:$B,2,0),AO27,1),"")</f>
        <v>Q</v>
      </c>
      <c r="AO27" s="3">
        <v>226</v>
      </c>
      <c r="AP27" s="3" t="str">
        <f>IFERROR(MID(VLOOKUP($B27,Seqs!$A:$B,2,0),AQ27,1),"")</f>
        <v>C</v>
      </c>
      <c r="AQ27" s="3">
        <v>259</v>
      </c>
      <c r="AR27" s="3" t="str">
        <f>IFERROR(MID(VLOOKUP($B27,Seqs!$A:$B,2,0),AS27,1),"")</f>
        <v>P</v>
      </c>
      <c r="AS27" s="3">
        <v>266</v>
      </c>
      <c r="AT27" s="3" t="str">
        <f>IFERROR(MID(VLOOKUP($B27,Seqs!$A:$B,2,0),AU27,1),"")</f>
        <v>R</v>
      </c>
      <c r="AU27" s="3">
        <v>291</v>
      </c>
      <c r="AV27" s="3" t="str">
        <f>IFERROR(MID(VLOOKUP($B27,Seqs!$A:$B,2,0),AW27,1),"")</f>
        <v>I</v>
      </c>
      <c r="AW27" s="3">
        <v>292</v>
      </c>
      <c r="AX27" s="3" t="str">
        <f>IFERROR(MID(VLOOKUP($B27,Seqs!$A:$B,2,0),AY27,1),"")</f>
        <v>L</v>
      </c>
      <c r="AY27" s="3">
        <v>308</v>
      </c>
      <c r="AZ27" s="77" t="str">
        <f>VLOOKUP(B27,Classification!A:D,2,0)</f>
        <v>A</v>
      </c>
      <c r="BA27" s="94" t="str">
        <f>VLOOKUP(B27,Classification!A:D,4,0)</f>
        <v>Adenosine</v>
      </c>
      <c r="BB27" s="27" t="b">
        <f t="shared" si="1"/>
        <v>1</v>
      </c>
      <c r="BC27" s="23">
        <f t="shared" si="168"/>
        <v>250</v>
      </c>
      <c r="BD27" s="4" t="s">
        <v>23</v>
      </c>
      <c r="BE27" s="3" t="s">
        <v>1439</v>
      </c>
      <c r="BF27" s="119">
        <v>2.71</v>
      </c>
      <c r="BG27" s="49" t="s">
        <v>1384</v>
      </c>
      <c r="BH27" s="49" t="s">
        <v>1384</v>
      </c>
      <c r="BI27" s="1"/>
      <c r="BJ27" s="70" t="s">
        <v>1293</v>
      </c>
      <c r="BK27" s="57" t="s">
        <v>1293</v>
      </c>
      <c r="BL27" s="57" t="s">
        <v>1293</v>
      </c>
      <c r="BM27" s="57" t="s">
        <v>1293</v>
      </c>
      <c r="BN27" s="57" t="s">
        <v>1293</v>
      </c>
      <c r="BO27" s="57" t="s">
        <v>1293</v>
      </c>
      <c r="BP27" s="57" t="s">
        <v>1293</v>
      </c>
      <c r="BQ27" s="57" t="s">
        <v>1293</v>
      </c>
      <c r="BR27" s="57" t="s">
        <v>1293</v>
      </c>
      <c r="BS27" s="57" t="s">
        <v>1293</v>
      </c>
      <c r="BT27" s="57" t="s">
        <v>1293</v>
      </c>
      <c r="BU27" s="57" t="s">
        <v>1293</v>
      </c>
      <c r="BV27" s="70">
        <f t="shared" si="3"/>
        <v>5</v>
      </c>
      <c r="BW27" s="71">
        <f t="shared" si="4"/>
        <v>35</v>
      </c>
      <c r="BX27" s="72">
        <f t="shared" si="5"/>
        <v>39</v>
      </c>
      <c r="BY27" s="71">
        <f t="shared" si="6"/>
        <v>70</v>
      </c>
      <c r="BZ27" s="72">
        <f t="shared" si="7"/>
        <v>73</v>
      </c>
      <c r="CA27" s="71">
        <f t="shared" si="8"/>
        <v>109</v>
      </c>
      <c r="CB27" s="72">
        <f t="shared" si="9"/>
        <v>117</v>
      </c>
      <c r="CC27" s="71">
        <f t="shared" si="10"/>
        <v>166</v>
      </c>
      <c r="CD27" s="72">
        <f t="shared" si="11"/>
        <v>173</v>
      </c>
      <c r="CE27" s="71">
        <f t="shared" si="12"/>
        <v>226</v>
      </c>
      <c r="CF27" s="72">
        <f t="shared" si="13"/>
        <v>266</v>
      </c>
      <c r="CG27" s="71">
        <f t="shared" si="14"/>
        <v>292</v>
      </c>
      <c r="CH27" s="70">
        <f t="shared" si="15"/>
        <v>34</v>
      </c>
      <c r="CI27" s="71">
        <f t="shared" si="16"/>
        <v>38</v>
      </c>
      <c r="CJ27" s="72">
        <f t="shared" si="17"/>
        <v>69</v>
      </c>
      <c r="CK27" s="72">
        <f t="shared" si="18"/>
        <v>72</v>
      </c>
      <c r="CL27" s="72">
        <f t="shared" si="19"/>
        <v>108</v>
      </c>
      <c r="CM27" s="72">
        <f t="shared" si="20"/>
        <v>116</v>
      </c>
      <c r="CN27" s="72">
        <f t="shared" si="21"/>
        <v>142</v>
      </c>
      <c r="CO27" s="72">
        <f t="shared" si="22"/>
        <v>168</v>
      </c>
      <c r="CP27" s="72">
        <f t="shared" si="23"/>
        <v>204</v>
      </c>
      <c r="CQ27" s="72">
        <f t="shared" si="24"/>
        <v>259</v>
      </c>
      <c r="CR27" s="72">
        <f t="shared" si="25"/>
        <v>291</v>
      </c>
      <c r="CS27" s="72">
        <f t="shared" si="26"/>
        <v>308</v>
      </c>
      <c r="CT27" s="23">
        <f t="shared" si="27"/>
        <v>1</v>
      </c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1"/>
      <c r="AEM27" s="1"/>
      <c r="AEN27" s="1"/>
      <c r="AEO27" s="1"/>
      <c r="AEP27" s="1"/>
      <c r="AEQ27" s="1"/>
      <c r="AER27" s="1"/>
      <c r="AES27" s="1"/>
      <c r="AET27" s="1"/>
      <c r="AEU27" s="1"/>
      <c r="AEV27" s="1"/>
      <c r="AEW27" s="1"/>
      <c r="AEX27" s="1"/>
      <c r="AEY27" s="1"/>
      <c r="AEZ27" s="1"/>
      <c r="AFA27" s="1"/>
      <c r="AFB27" s="1"/>
      <c r="AFC27" s="1"/>
      <c r="AFD27" s="1"/>
      <c r="AFE27" s="1"/>
      <c r="AFF27" s="1"/>
      <c r="AFG27" s="1"/>
      <c r="AFH27" s="1"/>
      <c r="AFI27" s="1"/>
      <c r="AFJ27" s="1"/>
      <c r="AFK27" s="1"/>
      <c r="AFL27" s="1"/>
      <c r="AFM27" s="1"/>
      <c r="AFN27" s="1"/>
      <c r="AFO27" s="1"/>
      <c r="AFP27" s="1"/>
      <c r="AFQ27" s="1"/>
      <c r="AFR27" s="1"/>
      <c r="AFS27" s="1"/>
      <c r="AFT27" s="1"/>
      <c r="AFU27" s="1"/>
      <c r="AFV27" s="1"/>
      <c r="AFW27" s="1"/>
      <c r="AFX27" s="1"/>
      <c r="AFY27" s="1"/>
      <c r="AFZ27" s="1"/>
      <c r="AGA27" s="1"/>
      <c r="AGB27" s="1"/>
      <c r="AGC27" s="1"/>
      <c r="AGD27" s="1"/>
      <c r="AGE27" s="1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1"/>
      <c r="AGU27" s="1"/>
      <c r="AGV27" s="1"/>
      <c r="AGW27" s="1"/>
      <c r="AGX27" s="1"/>
      <c r="AGY27" s="1"/>
      <c r="AGZ27" s="1"/>
      <c r="AHA27" s="1"/>
      <c r="AHB27" s="1"/>
      <c r="AHC27" s="1"/>
      <c r="AHD27" s="1"/>
      <c r="AHE27" s="1"/>
      <c r="AHF27" s="1"/>
      <c r="AHG27" s="1"/>
      <c r="AHH27" s="1"/>
      <c r="AHI27" s="1"/>
      <c r="AHJ27" s="1"/>
      <c r="AHK27" s="1"/>
      <c r="AHL27" s="1"/>
      <c r="AHM27" s="1"/>
      <c r="AHN27" s="1"/>
      <c r="AHO27" s="1"/>
      <c r="AHP27" s="1"/>
      <c r="AHQ27" s="1"/>
      <c r="AHR27" s="1"/>
      <c r="AHS27" s="1"/>
      <c r="AHT27" s="1"/>
      <c r="AHU27" s="1"/>
      <c r="AHV27" s="1"/>
      <c r="AHW27" s="1"/>
      <c r="AHX27" s="1"/>
      <c r="AHY27" s="1"/>
      <c r="AHZ27" s="1"/>
      <c r="AIA27" s="1"/>
      <c r="AIB27" s="1"/>
      <c r="AIC27" s="1"/>
      <c r="AID27" s="1"/>
      <c r="AIE27" s="1"/>
      <c r="AIF27" s="1"/>
      <c r="AIG27" s="1"/>
      <c r="AIH27" s="1"/>
      <c r="AII27" s="1"/>
      <c r="AIJ27" s="1"/>
      <c r="AIK27" s="1"/>
      <c r="AIL27" s="1"/>
      <c r="AIM27" s="1"/>
      <c r="AIN27" s="1"/>
      <c r="AIO27" s="1"/>
      <c r="AIP27" s="1"/>
      <c r="AIQ27" s="1"/>
      <c r="AIR27" s="1"/>
      <c r="AIS27" s="1"/>
      <c r="AIT27" s="1"/>
      <c r="AIU27" s="1"/>
      <c r="AIV27" s="1"/>
      <c r="AIW27" s="1"/>
      <c r="AIX27" s="1"/>
      <c r="AIY27" s="1"/>
      <c r="AIZ27" s="1"/>
      <c r="AJA27" s="1"/>
      <c r="AJB27" s="1"/>
      <c r="AJC27" s="1"/>
      <c r="AJD27" s="1"/>
      <c r="AJE27" s="1"/>
      <c r="AJF27" s="1"/>
      <c r="AJG27" s="1"/>
      <c r="AJH27" s="1"/>
      <c r="AJI27" s="1"/>
      <c r="AJJ27" s="1"/>
      <c r="AJK27" s="1"/>
      <c r="AJL27" s="1"/>
      <c r="AJM27" s="1"/>
      <c r="AJN27" s="1"/>
      <c r="AJO27" s="1"/>
      <c r="AJP27" s="1"/>
      <c r="AJQ27" s="1"/>
      <c r="AJR27" s="1"/>
      <c r="AJS27" s="1"/>
      <c r="AJT27" s="1"/>
      <c r="AJU27" s="1"/>
      <c r="AJV27" s="1"/>
      <c r="AJW27" s="1"/>
      <c r="AJX27" s="1"/>
      <c r="AJY27" s="1"/>
      <c r="AJZ27" s="1"/>
      <c r="AKA27" s="1"/>
      <c r="AKB27" s="1"/>
      <c r="AKC27" s="1"/>
      <c r="AKD27" s="1"/>
      <c r="AKE27" s="1"/>
      <c r="AKF27" s="1"/>
      <c r="AKG27" s="1"/>
      <c r="AKH27" s="1"/>
      <c r="AKI27" s="1"/>
      <c r="AKJ27" s="1"/>
      <c r="AKK27" s="1"/>
      <c r="AKL27" s="1"/>
      <c r="AKM27" s="1"/>
      <c r="AKN27" s="1"/>
      <c r="AKO27" s="1"/>
      <c r="AKP27" s="1"/>
      <c r="AKQ27" s="1"/>
      <c r="AKR27" s="1"/>
      <c r="AKS27" s="1"/>
      <c r="AKT27" s="1"/>
      <c r="AKU27" s="1"/>
      <c r="AKV27" s="1"/>
      <c r="AKW27" s="1"/>
      <c r="AKX27" s="1"/>
      <c r="AKY27" s="1"/>
      <c r="AKZ27" s="1"/>
      <c r="ALA27" s="1"/>
      <c r="ALB27" s="1"/>
      <c r="ALC27" s="1"/>
      <c r="ALD27" s="1"/>
      <c r="ALE27" s="1"/>
      <c r="ALF27" s="1"/>
      <c r="ALG27" s="1"/>
      <c r="ALH27" s="1"/>
      <c r="ALI27" s="1"/>
      <c r="ALJ27" s="1"/>
      <c r="ALK27" s="1"/>
      <c r="ALL27" s="1"/>
      <c r="ALM27" s="1"/>
      <c r="ALN27" s="1"/>
      <c r="ALO27" s="1"/>
      <c r="ALP27" s="1"/>
      <c r="ALQ27" s="1"/>
      <c r="ALR27" s="1"/>
      <c r="ALS27" s="1"/>
      <c r="ALT27" s="1"/>
      <c r="ALU27" s="1"/>
      <c r="ALV27" s="1"/>
      <c r="ALW27" s="1"/>
      <c r="ALX27" s="1"/>
      <c r="ALY27" s="1"/>
      <c r="ALZ27" s="1"/>
      <c r="AMA27" s="1"/>
      <c r="AMB27" s="1"/>
      <c r="AMC27" s="1"/>
      <c r="AMD27" s="1"/>
      <c r="AME27" s="1"/>
      <c r="AMF27" s="1"/>
      <c r="AMG27" s="1"/>
      <c r="AMH27" s="1"/>
      <c r="AMI27" s="1"/>
      <c r="AMJ27" s="1"/>
      <c r="AMK27" s="1"/>
      <c r="AML27" s="1"/>
      <c r="AMM27" s="1"/>
      <c r="AMN27" s="1"/>
      <c r="AMO27" s="1"/>
    </row>
    <row r="28" spans="1:1030" x14ac:dyDescent="0.2">
      <c r="A28" s="3" t="str">
        <f t="shared" si="0"/>
        <v>aa2ar_human_3REY</v>
      </c>
      <c r="B28" s="3" t="s">
        <v>139</v>
      </c>
      <c r="C28" s="3" t="s">
        <v>83</v>
      </c>
      <c r="D28" s="3" t="str">
        <f>IFERROR(MID(VLOOKUP($B28,Seqs!$A:$B,2,0),E28,1),"")</f>
        <v>S</v>
      </c>
      <c r="E28" s="3">
        <v>7</v>
      </c>
      <c r="F28" s="3" t="str">
        <f>IFERROR(MID(VLOOKUP($B28,Seqs!$A:$B,2,0),G28,1),"")</f>
        <v>N</v>
      </c>
      <c r="G28" s="3">
        <v>34</v>
      </c>
      <c r="H28" s="3" t="str">
        <f>IFERROR(MID(VLOOKUP($B28,Seqs!$A:$B,2,0),I28,1),"")</f>
        <v>S</v>
      </c>
      <c r="I28" s="23">
        <v>35</v>
      </c>
      <c r="J28" s="3" t="str">
        <f>IFERROR(MID(VLOOKUP($B28,Seqs!$A:$B,2,0),K28,1),"")</f>
        <v>Q</v>
      </c>
      <c r="K28" s="23">
        <v>38</v>
      </c>
      <c r="L28" s="3" t="str">
        <f>IFERROR(MID(VLOOKUP($B28,Seqs!$A:$B,2,0),M28,1),"")</f>
        <v>N</v>
      </c>
      <c r="M28" s="3">
        <v>39</v>
      </c>
      <c r="N28" s="3" t="str">
        <f>IFERROR(MID(VLOOKUP($B28,Seqs!$A:$B,2,0),O28,1),"")</f>
        <v>G</v>
      </c>
      <c r="O28" s="3">
        <v>69</v>
      </c>
      <c r="P28" s="3" t="str">
        <f>IFERROR(MID(VLOOKUP($B28,Seqs!$A:$B,2,0),Q28,1),"")</f>
        <v>F</v>
      </c>
      <c r="Q28" s="3">
        <v>70</v>
      </c>
      <c r="R28" s="3" t="str">
        <f>IFERROR(MID(VLOOKUP($B28,Seqs!$A:$B,2,0),S28,1),"")</f>
        <v>A</v>
      </c>
      <c r="S28" s="3">
        <v>72</v>
      </c>
      <c r="T28" s="3" t="str">
        <f>IFERROR(MID(VLOOKUP($B28,Seqs!$A:$B,2,0),U28,1),"")</f>
        <v>A</v>
      </c>
      <c r="U28" s="3">
        <v>73</v>
      </c>
      <c r="V28" s="3" t="str">
        <f>IFERROR(MID(VLOOKUP($B28,Seqs!$A:$B,2,0),W28,1),"")</f>
        <v>I</v>
      </c>
      <c r="W28" s="3">
        <v>108</v>
      </c>
      <c r="X28" s="3" t="str">
        <f>IFERROR(MID(VLOOKUP($B28,Seqs!$A:$B,2,0),Y28,1),"")</f>
        <v>P</v>
      </c>
      <c r="Y28" s="3">
        <v>109</v>
      </c>
      <c r="Z28" s="3" t="str">
        <f>IFERROR(MID(VLOOKUP($B28,Seqs!$A:$B,2,0),AA28,1),"")</f>
        <v>V</v>
      </c>
      <c r="AA28" s="3">
        <v>116</v>
      </c>
      <c r="AB28" s="3" t="str">
        <f>IFERROR(MID(VLOOKUP($B28,Seqs!$A:$B,2,0),AC28,1),"")</f>
        <v>T</v>
      </c>
      <c r="AC28" s="9">
        <v>117</v>
      </c>
      <c r="AD28" s="3" t="str">
        <f>IFERROR(MID(VLOOKUP($B28,Seqs!$A:$B,2,0),AE28,1),"")</f>
        <v>G</v>
      </c>
      <c r="AE28" s="3">
        <v>142</v>
      </c>
      <c r="AF28" s="3" t="str">
        <f>IFERROR(MID(VLOOKUP($B28,Seqs!$A:$B,2,0),AG28,1),"")</f>
        <v>C</v>
      </c>
      <c r="AG28" s="3">
        <v>166</v>
      </c>
      <c r="AH28" s="3" t="str">
        <f>IFERROR(MID(VLOOKUP($B28,Seqs!$A:$B,2,0),AI28,1),"")</f>
        <v>F</v>
      </c>
      <c r="AI28" s="3">
        <v>168</v>
      </c>
      <c r="AJ28" s="3" t="str">
        <f>IFERROR(MID(VLOOKUP($B28,Seqs!$A:$B,2,0),AK28,1),"")</f>
        <v>P</v>
      </c>
      <c r="AK28" s="3">
        <v>173</v>
      </c>
      <c r="AL28" s="3" t="str">
        <f>IFERROR(MID(VLOOKUP($B28,Seqs!$A:$B,2,0),AM28,1),"")</f>
        <v>Q</v>
      </c>
      <c r="AM28" s="3">
        <v>210</v>
      </c>
      <c r="AN28" s="3" t="str">
        <f>IFERROR(MID(VLOOKUP($B28,Seqs!$A:$B,2,0),AO28,1),"")</f>
        <v>E</v>
      </c>
      <c r="AO28" s="3">
        <v>219</v>
      </c>
      <c r="AP28" s="3" t="str">
        <f>IFERROR(MID(VLOOKUP($B28,Seqs!$A:$B,2,0),AQ28,1),"")</f>
        <v>C</v>
      </c>
      <c r="AQ28" s="3">
        <v>259</v>
      </c>
      <c r="AR28" s="3" t="str">
        <f>IFERROR(MID(VLOOKUP($B28,Seqs!$A:$B,2,0),AS28,1),"")</f>
        <v>P</v>
      </c>
      <c r="AS28" s="3">
        <v>266</v>
      </c>
      <c r="AT28" s="3" t="str">
        <f>IFERROR(MID(VLOOKUP($B28,Seqs!$A:$B,2,0),AU28,1),"")</f>
        <v>R</v>
      </c>
      <c r="AU28" s="3">
        <v>291</v>
      </c>
      <c r="AV28" s="3" t="str">
        <f>IFERROR(MID(VLOOKUP($B28,Seqs!$A:$B,2,0),AW28,1),"")</f>
        <v>I</v>
      </c>
      <c r="AW28" s="3">
        <v>292</v>
      </c>
      <c r="AX28" s="3" t="str">
        <f>IFERROR(MID(VLOOKUP($B28,Seqs!$A:$B,2,0),AY28,1),"")</f>
        <v>S</v>
      </c>
      <c r="AY28" s="3">
        <v>305</v>
      </c>
      <c r="AZ28" s="77" t="str">
        <f>VLOOKUP(B28,Classification!A:D,2,0)</f>
        <v>A</v>
      </c>
      <c r="BA28" s="94" t="str">
        <f>VLOOKUP(B28,Classification!A:D,4,0)</f>
        <v>Adenosine</v>
      </c>
      <c r="BB28" s="27" t="b">
        <f t="shared" si="1"/>
        <v>1</v>
      </c>
      <c r="BC28" s="23">
        <f t="shared" si="168"/>
        <v>258</v>
      </c>
      <c r="BD28" s="4" t="s">
        <v>23</v>
      </c>
      <c r="BE28" s="3" t="s">
        <v>1439</v>
      </c>
      <c r="BF28" s="119">
        <v>3.31</v>
      </c>
      <c r="BG28" s="49" t="s">
        <v>1384</v>
      </c>
      <c r="BH28" s="49" t="s">
        <v>1384</v>
      </c>
      <c r="BI28" s="1"/>
      <c r="BJ28" s="70" t="s">
        <v>1293</v>
      </c>
      <c r="BK28" s="57" t="s">
        <v>1293</v>
      </c>
      <c r="BL28" s="57" t="s">
        <v>1293</v>
      </c>
      <c r="BM28" s="57" t="s">
        <v>1293</v>
      </c>
      <c r="BN28" s="57" t="s">
        <v>1293</v>
      </c>
      <c r="BO28" s="57" t="s">
        <v>1293</v>
      </c>
      <c r="BP28" s="57" t="s">
        <v>1293</v>
      </c>
      <c r="BQ28" s="57" t="s">
        <v>1293</v>
      </c>
      <c r="BR28" s="57" t="s">
        <v>1293</v>
      </c>
      <c r="BS28" s="57" t="s">
        <v>1293</v>
      </c>
      <c r="BT28" s="57" t="s">
        <v>1293</v>
      </c>
      <c r="BU28" s="57" t="s">
        <v>1293</v>
      </c>
      <c r="BV28" s="70">
        <f t="shared" si="3"/>
        <v>7</v>
      </c>
      <c r="BW28" s="71">
        <f t="shared" si="4"/>
        <v>35</v>
      </c>
      <c r="BX28" s="72">
        <f t="shared" si="5"/>
        <v>39</v>
      </c>
      <c r="BY28" s="71">
        <f t="shared" si="6"/>
        <v>70</v>
      </c>
      <c r="BZ28" s="72">
        <f t="shared" si="7"/>
        <v>73</v>
      </c>
      <c r="CA28" s="71">
        <f t="shared" si="8"/>
        <v>109</v>
      </c>
      <c r="CB28" s="72">
        <f t="shared" si="9"/>
        <v>117</v>
      </c>
      <c r="CC28" s="71">
        <f t="shared" si="10"/>
        <v>166</v>
      </c>
      <c r="CD28" s="72">
        <f t="shared" si="11"/>
        <v>173</v>
      </c>
      <c r="CE28" s="71">
        <f t="shared" si="12"/>
        <v>219</v>
      </c>
      <c r="CF28" s="72">
        <f t="shared" si="13"/>
        <v>266</v>
      </c>
      <c r="CG28" s="71">
        <f t="shared" si="14"/>
        <v>292</v>
      </c>
      <c r="CH28" s="70">
        <f t="shared" si="15"/>
        <v>34</v>
      </c>
      <c r="CI28" s="71">
        <f t="shared" si="16"/>
        <v>38</v>
      </c>
      <c r="CJ28" s="72">
        <f t="shared" si="17"/>
        <v>69</v>
      </c>
      <c r="CK28" s="72">
        <f t="shared" si="18"/>
        <v>72</v>
      </c>
      <c r="CL28" s="72">
        <f t="shared" si="19"/>
        <v>108</v>
      </c>
      <c r="CM28" s="72">
        <f t="shared" si="20"/>
        <v>116</v>
      </c>
      <c r="CN28" s="72">
        <f t="shared" si="21"/>
        <v>142</v>
      </c>
      <c r="CO28" s="72">
        <f t="shared" si="22"/>
        <v>168</v>
      </c>
      <c r="CP28" s="72">
        <f t="shared" si="23"/>
        <v>210</v>
      </c>
      <c r="CQ28" s="72">
        <f t="shared" si="24"/>
        <v>259</v>
      </c>
      <c r="CR28" s="72">
        <f t="shared" si="25"/>
        <v>291</v>
      </c>
      <c r="CS28" s="72">
        <f t="shared" si="26"/>
        <v>305</v>
      </c>
      <c r="CT28" s="23">
        <f t="shared" si="27"/>
        <v>1</v>
      </c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1"/>
      <c r="ABI28" s="1"/>
      <c r="ABJ28" s="1"/>
      <c r="ABK28" s="1"/>
      <c r="ABL28" s="1"/>
      <c r="ABM28" s="1"/>
      <c r="ABN28" s="1"/>
      <c r="ABO28" s="1"/>
      <c r="ABP28" s="1"/>
      <c r="ABQ28" s="1"/>
      <c r="ABR28" s="1"/>
      <c r="ABS28" s="1"/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/>
      <c r="ACO28" s="1"/>
      <c r="ACP28" s="1"/>
      <c r="ACQ28" s="1"/>
      <c r="ACR28" s="1"/>
      <c r="ACS28" s="1"/>
      <c r="ACT28" s="1"/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  <c r="ADW28" s="1"/>
      <c r="ADX28" s="1"/>
      <c r="ADY28" s="1"/>
      <c r="ADZ28" s="1"/>
      <c r="AEA28" s="1"/>
      <c r="AEB28" s="1"/>
      <c r="AEC28" s="1"/>
      <c r="AED28" s="1"/>
      <c r="AEE28" s="1"/>
      <c r="AEF28" s="1"/>
      <c r="AEG28" s="1"/>
      <c r="AEH28" s="1"/>
      <c r="AEI28" s="1"/>
      <c r="AEJ28" s="1"/>
      <c r="AEK28" s="1"/>
      <c r="AEL28" s="1"/>
      <c r="AEM28" s="1"/>
      <c r="AEN28" s="1"/>
      <c r="AEO28" s="1"/>
      <c r="AEP28" s="1"/>
      <c r="AEQ28" s="1"/>
      <c r="AER28" s="1"/>
      <c r="AES28" s="1"/>
      <c r="AET28" s="1"/>
      <c r="AEU28" s="1"/>
      <c r="AEV28" s="1"/>
      <c r="AEW28" s="1"/>
      <c r="AEX28" s="1"/>
      <c r="AEY28" s="1"/>
      <c r="AEZ28" s="1"/>
      <c r="AFA28" s="1"/>
      <c r="AFB28" s="1"/>
      <c r="AFC28" s="1"/>
      <c r="AFD28" s="1"/>
      <c r="AFE28" s="1"/>
      <c r="AFF28" s="1"/>
      <c r="AFG28" s="1"/>
      <c r="AFH28" s="1"/>
      <c r="AFI28" s="1"/>
      <c r="AFJ28" s="1"/>
      <c r="AFK28" s="1"/>
      <c r="AFL28" s="1"/>
      <c r="AFM28" s="1"/>
      <c r="AFN28" s="1"/>
      <c r="AFO28" s="1"/>
      <c r="AFP28" s="1"/>
      <c r="AFQ28" s="1"/>
      <c r="AFR28" s="1"/>
      <c r="AFS28" s="1"/>
      <c r="AFT28" s="1"/>
      <c r="AFU28" s="1"/>
      <c r="AFV28" s="1"/>
      <c r="AFW28" s="1"/>
      <c r="AFX28" s="1"/>
      <c r="AFY28" s="1"/>
      <c r="AFZ28" s="1"/>
      <c r="AGA28" s="1"/>
      <c r="AGB28" s="1"/>
      <c r="AGC28" s="1"/>
      <c r="AGD28" s="1"/>
      <c r="AGE28" s="1"/>
      <c r="AGF28" s="1"/>
      <c r="AGG28" s="1"/>
      <c r="AGH28" s="1"/>
      <c r="AGI28" s="1"/>
      <c r="AGJ28" s="1"/>
      <c r="AGK28" s="1"/>
      <c r="AGL28" s="1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1"/>
      <c r="AHC28" s="1"/>
      <c r="AHD28" s="1"/>
      <c r="AHE28" s="1"/>
      <c r="AHF28" s="1"/>
      <c r="AHG28" s="1"/>
      <c r="AHH28" s="1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/>
      <c r="AHU28" s="1"/>
      <c r="AHV28" s="1"/>
      <c r="AHW28" s="1"/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"/>
      <c r="AJE28" s="1"/>
      <c r="AJF28" s="1"/>
      <c r="AJG28" s="1"/>
      <c r="AJH28" s="1"/>
      <c r="AJI28" s="1"/>
      <c r="AJJ28" s="1"/>
      <c r="AJK28" s="1"/>
      <c r="AJL28" s="1"/>
      <c r="AJM28" s="1"/>
      <c r="AJN28" s="1"/>
      <c r="AJO28" s="1"/>
      <c r="AJP28" s="1"/>
      <c r="AJQ28" s="1"/>
      <c r="AJR28" s="1"/>
      <c r="AJS28" s="1"/>
      <c r="AJT28" s="1"/>
      <c r="AJU28" s="1"/>
      <c r="AJV28" s="1"/>
      <c r="AJW28" s="1"/>
      <c r="AJX28" s="1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/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/>
      <c r="ALL28" s="1"/>
      <c r="ALM28" s="1"/>
      <c r="ALN28" s="1"/>
      <c r="ALO28" s="1"/>
      <c r="ALP28" s="1"/>
      <c r="ALQ28" s="1"/>
      <c r="ALR28" s="1"/>
      <c r="ALS28" s="1"/>
      <c r="ALT28" s="1"/>
      <c r="ALU28" s="1"/>
      <c r="ALV28" s="1"/>
      <c r="ALW28" s="1"/>
      <c r="ALX28" s="1"/>
      <c r="ALY28" s="1"/>
      <c r="ALZ28" s="1"/>
      <c r="AMA28" s="1"/>
      <c r="AMB28" s="1"/>
      <c r="AMC28" s="1"/>
      <c r="AMD28" s="1"/>
      <c r="AME28" s="1"/>
      <c r="AMF28" s="1"/>
      <c r="AMG28" s="1"/>
      <c r="AMH28" s="1"/>
      <c r="AMI28" s="1"/>
      <c r="AMJ28" s="1"/>
      <c r="AMK28" s="1"/>
      <c r="AML28" s="1"/>
      <c r="AMM28" s="1"/>
      <c r="AMN28" s="1"/>
      <c r="AMO28" s="1"/>
    </row>
    <row r="29" spans="1:1030" x14ac:dyDescent="0.2">
      <c r="A29" s="3" t="str">
        <f t="shared" si="0"/>
        <v>aa2ar_human_3RFM</v>
      </c>
      <c r="B29" s="3" t="s">
        <v>139</v>
      </c>
      <c r="C29" s="3" t="s">
        <v>1035</v>
      </c>
      <c r="D29" s="3" t="str">
        <f>IFERROR(MID(VLOOKUP($B29,Seqs!$A:$B,2,0),E29,1),"")</f>
        <v>S</v>
      </c>
      <c r="E29" s="3">
        <v>7</v>
      </c>
      <c r="F29" s="3" t="str">
        <f>IFERROR(MID(VLOOKUP($B29,Seqs!$A:$B,2,0),G29,1),"")</f>
        <v>N</v>
      </c>
      <c r="G29" s="3">
        <v>34</v>
      </c>
      <c r="H29" s="3" t="str">
        <f>IFERROR(MID(VLOOKUP($B29,Seqs!$A:$B,2,0),I29,1),"")</f>
        <v>S</v>
      </c>
      <c r="I29" s="23">
        <v>35</v>
      </c>
      <c r="J29" s="3" t="str">
        <f>IFERROR(MID(VLOOKUP($B29,Seqs!$A:$B,2,0),K29,1),"")</f>
        <v>Q</v>
      </c>
      <c r="K29" s="23">
        <v>38</v>
      </c>
      <c r="L29" s="3" t="str">
        <f>IFERROR(MID(VLOOKUP($B29,Seqs!$A:$B,2,0),M29,1),"")</f>
        <v>N</v>
      </c>
      <c r="M29" s="3">
        <v>39</v>
      </c>
      <c r="N29" s="3" t="str">
        <f>IFERROR(MID(VLOOKUP($B29,Seqs!$A:$B,2,0),O29,1),"")</f>
        <v>G</v>
      </c>
      <c r="O29" s="3">
        <v>69</v>
      </c>
      <c r="P29" s="3" t="str">
        <f>IFERROR(MID(VLOOKUP($B29,Seqs!$A:$B,2,0),Q29,1),"")</f>
        <v>F</v>
      </c>
      <c r="Q29" s="3">
        <v>70</v>
      </c>
      <c r="R29" s="3" t="str">
        <f>IFERROR(MID(VLOOKUP($B29,Seqs!$A:$B,2,0),S29,1),"")</f>
        <v>A</v>
      </c>
      <c r="S29" s="3">
        <v>72</v>
      </c>
      <c r="T29" s="3" t="str">
        <f>IFERROR(MID(VLOOKUP($B29,Seqs!$A:$B,2,0),U29,1),"")</f>
        <v>A</v>
      </c>
      <c r="U29" s="3">
        <v>73</v>
      </c>
      <c r="V29" s="3" t="str">
        <f>IFERROR(MID(VLOOKUP($B29,Seqs!$A:$B,2,0),W29,1),"")</f>
        <v>I</v>
      </c>
      <c r="W29" s="3">
        <v>108</v>
      </c>
      <c r="X29" s="3" t="str">
        <f>IFERROR(MID(VLOOKUP($B29,Seqs!$A:$B,2,0),Y29,1),"")</f>
        <v>P</v>
      </c>
      <c r="Y29" s="3">
        <v>109</v>
      </c>
      <c r="Z29" s="3" t="str">
        <f>IFERROR(MID(VLOOKUP($B29,Seqs!$A:$B,2,0),AA29,1),"")</f>
        <v>V</v>
      </c>
      <c r="AA29" s="3">
        <v>116</v>
      </c>
      <c r="AB29" s="3" t="str">
        <f>IFERROR(MID(VLOOKUP($B29,Seqs!$A:$B,2,0),AC29,1),"")</f>
        <v>T</v>
      </c>
      <c r="AC29" s="9">
        <v>117</v>
      </c>
      <c r="AD29" s="3" t="str">
        <f>IFERROR(MID(VLOOKUP($B29,Seqs!$A:$B,2,0),AE29,1),"")</f>
        <v>G</v>
      </c>
      <c r="AE29" s="3">
        <v>142</v>
      </c>
      <c r="AF29" s="3" t="str">
        <f>IFERROR(MID(VLOOKUP($B29,Seqs!$A:$B,2,0),AG29,1),"")</f>
        <v>C</v>
      </c>
      <c r="AG29" s="3">
        <v>166</v>
      </c>
      <c r="AH29" s="3" t="str">
        <f>IFERROR(MID(VLOOKUP($B29,Seqs!$A:$B,2,0),AI29,1),"")</f>
        <v>F</v>
      </c>
      <c r="AI29" s="3">
        <v>168</v>
      </c>
      <c r="AJ29" s="3" t="str">
        <f>IFERROR(MID(VLOOKUP($B29,Seqs!$A:$B,2,0),AK29,1),"")</f>
        <v>P</v>
      </c>
      <c r="AK29" s="3">
        <v>173</v>
      </c>
      <c r="AL29" s="3" t="str">
        <f>IFERROR(MID(VLOOKUP($B29,Seqs!$A:$B,2,0),AM29,1),"")</f>
        <v>S</v>
      </c>
      <c r="AM29" s="3">
        <v>213</v>
      </c>
      <c r="AN29" s="3" t="str">
        <f>IFERROR(MID(VLOOKUP($B29,Seqs!$A:$B,2,0),AO29,1),"")</f>
        <v>E</v>
      </c>
      <c r="AO29" s="3">
        <v>219</v>
      </c>
      <c r="AP29" s="3" t="str">
        <f>IFERROR(MID(VLOOKUP($B29,Seqs!$A:$B,2,0),AQ29,1),"")</f>
        <v>C</v>
      </c>
      <c r="AQ29" s="3">
        <v>259</v>
      </c>
      <c r="AR29" s="3" t="str">
        <f>IFERROR(MID(VLOOKUP($B29,Seqs!$A:$B,2,0),AS29,1),"")</f>
        <v>P</v>
      </c>
      <c r="AS29" s="3">
        <v>266</v>
      </c>
      <c r="AT29" s="3" t="str">
        <f>IFERROR(MID(VLOOKUP($B29,Seqs!$A:$B,2,0),AU29,1),"")</f>
        <v>R</v>
      </c>
      <c r="AU29" s="3">
        <v>291</v>
      </c>
      <c r="AV29" s="3" t="str">
        <f>IFERROR(MID(VLOOKUP($B29,Seqs!$A:$B,2,0),AW29,1),"")</f>
        <v>I</v>
      </c>
      <c r="AW29" s="3">
        <v>292</v>
      </c>
      <c r="AX29" s="3" t="str">
        <f>IFERROR(MID(VLOOKUP($B29,Seqs!$A:$B,2,0),AY29,1),"")</f>
        <v>S</v>
      </c>
      <c r="AY29" s="3">
        <v>305</v>
      </c>
      <c r="AZ29" s="77" t="str">
        <f>VLOOKUP(B29,Classification!A:D,2,0)</f>
        <v>A</v>
      </c>
      <c r="BA29" s="94" t="str">
        <f>VLOOKUP(B29,Classification!A:D,4,0)</f>
        <v>Adenosine</v>
      </c>
      <c r="BB29" s="27" t="b">
        <f t="shared" si="1"/>
        <v>1</v>
      </c>
      <c r="BC29" s="23">
        <f t="shared" si="168"/>
        <v>261</v>
      </c>
      <c r="BD29" s="4" t="s">
        <v>23</v>
      </c>
      <c r="BE29" s="3" t="s">
        <v>1381</v>
      </c>
      <c r="BF29" s="119">
        <v>3.6</v>
      </c>
      <c r="BG29" s="49" t="s">
        <v>1384</v>
      </c>
      <c r="BH29" s="49" t="s">
        <v>1384</v>
      </c>
      <c r="BI29" s="1"/>
      <c r="BJ29" s="70" t="s">
        <v>1293</v>
      </c>
      <c r="BK29" s="57" t="s">
        <v>1293</v>
      </c>
      <c r="BL29" s="57" t="s">
        <v>1293</v>
      </c>
      <c r="BM29" s="57" t="s">
        <v>1293</v>
      </c>
      <c r="BN29" s="57" t="s">
        <v>1293</v>
      </c>
      <c r="BO29" s="57" t="s">
        <v>1293</v>
      </c>
      <c r="BP29" s="57" t="s">
        <v>1293</v>
      </c>
      <c r="BQ29" s="57" t="s">
        <v>1293</v>
      </c>
      <c r="BR29" s="57" t="s">
        <v>1293</v>
      </c>
      <c r="BS29" s="57" t="s">
        <v>1293</v>
      </c>
      <c r="BT29" s="57" t="s">
        <v>1293</v>
      </c>
      <c r="BU29" s="57" t="s">
        <v>1293</v>
      </c>
      <c r="BV29" s="70">
        <f t="shared" si="3"/>
        <v>7</v>
      </c>
      <c r="BW29" s="71">
        <f t="shared" si="4"/>
        <v>35</v>
      </c>
      <c r="BX29" s="72">
        <f t="shared" si="5"/>
        <v>39</v>
      </c>
      <c r="BY29" s="71">
        <f t="shared" si="6"/>
        <v>70</v>
      </c>
      <c r="BZ29" s="72">
        <f t="shared" si="7"/>
        <v>73</v>
      </c>
      <c r="CA29" s="71">
        <f t="shared" si="8"/>
        <v>109</v>
      </c>
      <c r="CB29" s="72">
        <f t="shared" si="9"/>
        <v>117</v>
      </c>
      <c r="CC29" s="71">
        <f t="shared" si="10"/>
        <v>166</v>
      </c>
      <c r="CD29" s="72">
        <f t="shared" si="11"/>
        <v>173</v>
      </c>
      <c r="CE29" s="71">
        <f t="shared" si="12"/>
        <v>219</v>
      </c>
      <c r="CF29" s="72">
        <f t="shared" si="13"/>
        <v>266</v>
      </c>
      <c r="CG29" s="71">
        <f t="shared" si="14"/>
        <v>292</v>
      </c>
      <c r="CH29" s="70">
        <f t="shared" si="15"/>
        <v>34</v>
      </c>
      <c r="CI29" s="71">
        <f t="shared" si="16"/>
        <v>38</v>
      </c>
      <c r="CJ29" s="72">
        <f t="shared" si="17"/>
        <v>69</v>
      </c>
      <c r="CK29" s="72">
        <f t="shared" si="18"/>
        <v>72</v>
      </c>
      <c r="CL29" s="72">
        <f t="shared" si="19"/>
        <v>108</v>
      </c>
      <c r="CM29" s="72">
        <f t="shared" si="20"/>
        <v>116</v>
      </c>
      <c r="CN29" s="72">
        <f t="shared" si="21"/>
        <v>142</v>
      </c>
      <c r="CO29" s="72">
        <f t="shared" si="22"/>
        <v>168</v>
      </c>
      <c r="CP29" s="72">
        <f t="shared" si="23"/>
        <v>213</v>
      </c>
      <c r="CQ29" s="72">
        <f t="shared" si="24"/>
        <v>259</v>
      </c>
      <c r="CR29" s="72">
        <f t="shared" si="25"/>
        <v>291</v>
      </c>
      <c r="CS29" s="72">
        <f t="shared" si="26"/>
        <v>305</v>
      </c>
      <c r="CT29" s="23">
        <f t="shared" si="27"/>
        <v>1</v>
      </c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  <c r="ADW29" s="1"/>
      <c r="ADX29" s="1"/>
      <c r="ADY29" s="1"/>
      <c r="ADZ29" s="1"/>
      <c r="AEA29" s="1"/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  <c r="AEN29" s="1"/>
      <c r="AEO29" s="1"/>
      <c r="AEP29" s="1"/>
      <c r="AEQ29" s="1"/>
      <c r="AER29" s="1"/>
      <c r="AES29" s="1"/>
      <c r="AET29" s="1"/>
      <c r="AEU29" s="1"/>
      <c r="AEV29" s="1"/>
      <c r="AEW29" s="1"/>
      <c r="AEX29" s="1"/>
      <c r="AEY29" s="1"/>
      <c r="AEZ29" s="1"/>
      <c r="AFA29" s="1"/>
      <c r="AFB29" s="1"/>
      <c r="AFC29" s="1"/>
      <c r="AFD29" s="1"/>
      <c r="AFE29" s="1"/>
      <c r="AFF29" s="1"/>
      <c r="AFG29" s="1"/>
      <c r="AFH29" s="1"/>
      <c r="AFI29" s="1"/>
      <c r="AFJ29" s="1"/>
      <c r="AFK29" s="1"/>
      <c r="AFL29" s="1"/>
      <c r="AFM29" s="1"/>
      <c r="AFN29" s="1"/>
      <c r="AFO29" s="1"/>
      <c r="AFP29" s="1"/>
      <c r="AFQ29" s="1"/>
      <c r="AFR29" s="1"/>
      <c r="AFS29" s="1"/>
      <c r="AFT29" s="1"/>
      <c r="AFU29" s="1"/>
      <c r="AFV29" s="1"/>
      <c r="AFW29" s="1"/>
      <c r="AFX29" s="1"/>
      <c r="AFY29" s="1"/>
      <c r="AFZ29" s="1"/>
      <c r="AGA29" s="1"/>
      <c r="AGB29" s="1"/>
      <c r="AGC29" s="1"/>
      <c r="AGD29" s="1"/>
      <c r="AGE29" s="1"/>
      <c r="AGF29" s="1"/>
      <c r="AGG29" s="1"/>
      <c r="AGH29" s="1"/>
      <c r="AGI29" s="1"/>
      <c r="AGJ29" s="1"/>
      <c r="AGK29" s="1"/>
      <c r="AGL29" s="1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  <c r="ALN29" s="1"/>
      <c r="ALO29" s="1"/>
      <c r="ALP29" s="1"/>
      <c r="ALQ29" s="1"/>
      <c r="ALR29" s="1"/>
      <c r="ALS29" s="1"/>
      <c r="ALT29" s="1"/>
      <c r="ALU29" s="1"/>
      <c r="ALV29" s="1"/>
      <c r="ALW29" s="1"/>
      <c r="ALX29" s="1"/>
      <c r="ALY29" s="1"/>
      <c r="ALZ29" s="1"/>
      <c r="AMA29" s="1"/>
      <c r="AMB29" s="1"/>
      <c r="AMC29" s="1"/>
      <c r="AMD29" s="1"/>
      <c r="AME29" s="1"/>
      <c r="AMF29" s="1"/>
      <c r="AMG29" s="1"/>
      <c r="AMH29" s="1"/>
      <c r="AMI29" s="1"/>
      <c r="AMJ29" s="1"/>
      <c r="AMK29" s="1"/>
      <c r="AML29" s="1"/>
      <c r="AMM29" s="1"/>
      <c r="AMN29" s="1"/>
      <c r="AMO29" s="1"/>
    </row>
    <row r="30" spans="1:1030" x14ac:dyDescent="0.2">
      <c r="A30" s="3" t="str">
        <f t="shared" si="0"/>
        <v>aa2ar_human_3UZA</v>
      </c>
      <c r="B30" s="3" t="s">
        <v>139</v>
      </c>
      <c r="C30" s="3" t="s">
        <v>1036</v>
      </c>
      <c r="D30" s="3" t="str">
        <f>IFERROR(MID(VLOOKUP($B30,Seqs!$A:$B,2,0),E30,1),"")</f>
        <v>S</v>
      </c>
      <c r="E30" s="3">
        <v>7</v>
      </c>
      <c r="F30" s="3" t="str">
        <f>IFERROR(MID(VLOOKUP($B30,Seqs!$A:$B,2,0),G30,1),"")</f>
        <v>N</v>
      </c>
      <c r="G30" s="3">
        <v>34</v>
      </c>
      <c r="H30" s="3" t="str">
        <f>IFERROR(MID(VLOOKUP($B30,Seqs!$A:$B,2,0),I30,1),"")</f>
        <v>S</v>
      </c>
      <c r="I30" s="23">
        <v>35</v>
      </c>
      <c r="J30" s="3" t="str">
        <f>IFERROR(MID(VLOOKUP($B30,Seqs!$A:$B,2,0),K30,1),"")</f>
        <v>Q</v>
      </c>
      <c r="K30" s="23">
        <v>38</v>
      </c>
      <c r="L30" s="3" t="str">
        <f>IFERROR(MID(VLOOKUP($B30,Seqs!$A:$B,2,0),M30,1),"")</f>
        <v>N</v>
      </c>
      <c r="M30" s="3">
        <v>39</v>
      </c>
      <c r="N30" s="3" t="str">
        <f>IFERROR(MID(VLOOKUP($B30,Seqs!$A:$B,2,0),O30,1),"")</f>
        <v>G</v>
      </c>
      <c r="O30" s="3">
        <v>69</v>
      </c>
      <c r="P30" s="3" t="str">
        <f>IFERROR(MID(VLOOKUP($B30,Seqs!$A:$B,2,0),Q30,1),"")</f>
        <v>F</v>
      </c>
      <c r="Q30" s="3">
        <v>70</v>
      </c>
      <c r="R30" s="3" t="str">
        <f>IFERROR(MID(VLOOKUP($B30,Seqs!$A:$B,2,0),S30,1),"")</f>
        <v>A</v>
      </c>
      <c r="S30" s="3">
        <v>72</v>
      </c>
      <c r="T30" s="3" t="str">
        <f>IFERROR(MID(VLOOKUP($B30,Seqs!$A:$B,2,0),U30,1),"")</f>
        <v>A</v>
      </c>
      <c r="U30" s="3">
        <v>73</v>
      </c>
      <c r="V30" s="3" t="str">
        <f>IFERROR(MID(VLOOKUP($B30,Seqs!$A:$B,2,0),W30,1),"")</f>
        <v>I</v>
      </c>
      <c r="W30" s="3">
        <v>108</v>
      </c>
      <c r="X30" s="3" t="str">
        <f>IFERROR(MID(VLOOKUP($B30,Seqs!$A:$B,2,0),Y30,1),"")</f>
        <v>P</v>
      </c>
      <c r="Y30" s="3">
        <v>109</v>
      </c>
      <c r="Z30" s="3" t="str">
        <f>IFERROR(MID(VLOOKUP($B30,Seqs!$A:$B,2,0),AA30,1),"")</f>
        <v>V</v>
      </c>
      <c r="AA30" s="3">
        <v>116</v>
      </c>
      <c r="AB30" s="3" t="str">
        <f>IFERROR(MID(VLOOKUP($B30,Seqs!$A:$B,2,0),AC30,1),"")</f>
        <v>T</v>
      </c>
      <c r="AC30" s="9">
        <v>117</v>
      </c>
      <c r="AD30" s="3" t="str">
        <f>IFERROR(MID(VLOOKUP($B30,Seqs!$A:$B,2,0),AE30,1),"")</f>
        <v>G</v>
      </c>
      <c r="AE30" s="3">
        <v>142</v>
      </c>
      <c r="AF30" s="3" t="str">
        <f>IFERROR(MID(VLOOKUP($B30,Seqs!$A:$B,2,0),AG30,1),"")</f>
        <v>C</v>
      </c>
      <c r="AG30" s="3">
        <v>166</v>
      </c>
      <c r="AH30" s="3" t="str">
        <f>IFERROR(MID(VLOOKUP($B30,Seqs!$A:$B,2,0),AI30,1),"")</f>
        <v>F</v>
      </c>
      <c r="AI30" s="3">
        <v>168</v>
      </c>
      <c r="AJ30" s="3" t="str">
        <f>IFERROR(MID(VLOOKUP($B30,Seqs!$A:$B,2,0),AK30,1),"")</f>
        <v>P</v>
      </c>
      <c r="AK30" s="3">
        <v>173</v>
      </c>
      <c r="AL30" s="3" t="str">
        <f>IFERROR(MID(VLOOKUP($B30,Seqs!$A:$B,2,0),AM30,1),"")</f>
        <v>S</v>
      </c>
      <c r="AM30" s="3">
        <v>213</v>
      </c>
      <c r="AN30" s="3" t="str">
        <f>IFERROR(MID(VLOOKUP($B30,Seqs!$A:$B,2,0),AO30,1),"")</f>
        <v>E</v>
      </c>
      <c r="AO30" s="3">
        <v>219</v>
      </c>
      <c r="AP30" s="3" t="str">
        <f>IFERROR(MID(VLOOKUP($B30,Seqs!$A:$B,2,0),AQ30,1),"")</f>
        <v>C</v>
      </c>
      <c r="AQ30" s="3">
        <v>259</v>
      </c>
      <c r="AR30" s="3" t="str">
        <f>IFERROR(MID(VLOOKUP($B30,Seqs!$A:$B,2,0),AS30,1),"")</f>
        <v>P</v>
      </c>
      <c r="AS30" s="3">
        <v>266</v>
      </c>
      <c r="AT30" s="3" t="str">
        <f>IFERROR(MID(VLOOKUP($B30,Seqs!$A:$B,2,0),AU30,1),"")</f>
        <v>R</v>
      </c>
      <c r="AU30" s="3">
        <v>291</v>
      </c>
      <c r="AV30" s="3" t="str">
        <f>IFERROR(MID(VLOOKUP($B30,Seqs!$A:$B,2,0),AW30,1),"")</f>
        <v>I</v>
      </c>
      <c r="AW30" s="3">
        <v>292</v>
      </c>
      <c r="AX30" s="3" t="str">
        <f>IFERROR(MID(VLOOKUP($B30,Seqs!$A:$B,2,0),AY30,1),"")</f>
        <v>S</v>
      </c>
      <c r="AY30" s="3">
        <v>305</v>
      </c>
      <c r="AZ30" s="77" t="str">
        <f>VLOOKUP(B30,Classification!A:D,2,0)</f>
        <v>A</v>
      </c>
      <c r="BA30" s="94" t="str">
        <f>VLOOKUP(B30,Classification!A:D,4,0)</f>
        <v>Adenosine</v>
      </c>
      <c r="BB30" s="27" t="b">
        <f t="shared" si="1"/>
        <v>1</v>
      </c>
      <c r="BC30" s="23">
        <f t="shared" si="168"/>
        <v>261</v>
      </c>
      <c r="BD30" s="4" t="s">
        <v>23</v>
      </c>
      <c r="BE30" s="3" t="s">
        <v>1381</v>
      </c>
      <c r="BF30" s="119">
        <v>3.27</v>
      </c>
      <c r="BG30" s="49" t="s">
        <v>1384</v>
      </c>
      <c r="BH30" s="49" t="s">
        <v>1384</v>
      </c>
      <c r="BI30" s="1"/>
      <c r="BJ30" s="70" t="s">
        <v>1293</v>
      </c>
      <c r="BK30" s="57" t="s">
        <v>1293</v>
      </c>
      <c r="BL30" s="57" t="s">
        <v>1293</v>
      </c>
      <c r="BM30" s="57" t="s">
        <v>1293</v>
      </c>
      <c r="BN30" s="57" t="s">
        <v>1293</v>
      </c>
      <c r="BO30" s="57" t="s">
        <v>1293</v>
      </c>
      <c r="BP30" s="57" t="s">
        <v>1293</v>
      </c>
      <c r="BQ30" s="57" t="s">
        <v>1293</v>
      </c>
      <c r="BR30" s="57" t="s">
        <v>1293</v>
      </c>
      <c r="BS30" s="57" t="s">
        <v>1293</v>
      </c>
      <c r="BT30" s="57" t="s">
        <v>1293</v>
      </c>
      <c r="BU30" s="57" t="s">
        <v>1293</v>
      </c>
      <c r="BV30" s="70">
        <f t="shared" si="3"/>
        <v>7</v>
      </c>
      <c r="BW30" s="71">
        <f t="shared" si="4"/>
        <v>35</v>
      </c>
      <c r="BX30" s="72">
        <f t="shared" si="5"/>
        <v>39</v>
      </c>
      <c r="BY30" s="71">
        <f t="shared" si="6"/>
        <v>70</v>
      </c>
      <c r="BZ30" s="72">
        <f t="shared" si="7"/>
        <v>73</v>
      </c>
      <c r="CA30" s="71">
        <f t="shared" si="8"/>
        <v>109</v>
      </c>
      <c r="CB30" s="72">
        <f t="shared" si="9"/>
        <v>117</v>
      </c>
      <c r="CC30" s="71">
        <f t="shared" si="10"/>
        <v>166</v>
      </c>
      <c r="CD30" s="72">
        <f t="shared" si="11"/>
        <v>173</v>
      </c>
      <c r="CE30" s="71">
        <f t="shared" si="12"/>
        <v>219</v>
      </c>
      <c r="CF30" s="72">
        <f t="shared" si="13"/>
        <v>266</v>
      </c>
      <c r="CG30" s="71">
        <f t="shared" si="14"/>
        <v>292</v>
      </c>
      <c r="CH30" s="70">
        <f t="shared" si="15"/>
        <v>34</v>
      </c>
      <c r="CI30" s="71">
        <f t="shared" si="16"/>
        <v>38</v>
      </c>
      <c r="CJ30" s="72">
        <f t="shared" si="17"/>
        <v>69</v>
      </c>
      <c r="CK30" s="72">
        <f t="shared" si="18"/>
        <v>72</v>
      </c>
      <c r="CL30" s="72">
        <f t="shared" si="19"/>
        <v>108</v>
      </c>
      <c r="CM30" s="72">
        <f t="shared" si="20"/>
        <v>116</v>
      </c>
      <c r="CN30" s="72">
        <f t="shared" si="21"/>
        <v>142</v>
      </c>
      <c r="CO30" s="72">
        <f t="shared" si="22"/>
        <v>168</v>
      </c>
      <c r="CP30" s="72">
        <f t="shared" si="23"/>
        <v>213</v>
      </c>
      <c r="CQ30" s="72">
        <f t="shared" si="24"/>
        <v>259</v>
      </c>
      <c r="CR30" s="72">
        <f t="shared" si="25"/>
        <v>291</v>
      </c>
      <c r="CS30" s="72">
        <f t="shared" si="26"/>
        <v>305</v>
      </c>
      <c r="CT30" s="23">
        <f t="shared" si="27"/>
        <v>1</v>
      </c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/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/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/>
      <c r="ZQ30" s="1"/>
      <c r="ZR30" s="1"/>
      <c r="ZS30" s="1"/>
      <c r="ZT30" s="1"/>
      <c r="ZU30" s="1"/>
      <c r="ZV30" s="1"/>
      <c r="ZW30" s="1"/>
      <c r="ZX30" s="1"/>
      <c r="ZY30" s="1"/>
      <c r="ZZ30" s="1"/>
      <c r="AAA30" s="1"/>
      <c r="AAB30" s="1"/>
      <c r="AAC30" s="1"/>
      <c r="AAD30" s="1"/>
      <c r="AAE30" s="1"/>
      <c r="AAF30" s="1"/>
      <c r="AAG30" s="1"/>
      <c r="AAH30" s="1"/>
      <c r="AAI30" s="1"/>
      <c r="AAJ30" s="1"/>
      <c r="AAK30" s="1"/>
      <c r="AAL30" s="1"/>
      <c r="AAM30" s="1"/>
      <c r="AAN30" s="1"/>
      <c r="AAO30" s="1"/>
      <c r="AAP30" s="1"/>
      <c r="AAQ30" s="1"/>
      <c r="AAR30" s="1"/>
      <c r="AAS30" s="1"/>
      <c r="AAT30" s="1"/>
      <c r="AAU30" s="1"/>
      <c r="AAV30" s="1"/>
      <c r="AAW30" s="1"/>
      <c r="AAX30" s="1"/>
      <c r="AAY30" s="1"/>
      <c r="AAZ30" s="1"/>
      <c r="ABA30" s="1"/>
      <c r="ABB30" s="1"/>
      <c r="ABC30" s="1"/>
      <c r="ABD30" s="1"/>
      <c r="ABE30" s="1"/>
      <c r="ABF30" s="1"/>
      <c r="ABG30" s="1"/>
      <c r="ABH30" s="1"/>
      <c r="ABI30" s="1"/>
      <c r="ABJ30" s="1"/>
      <c r="ABK30" s="1"/>
      <c r="ABL30" s="1"/>
      <c r="ABM30" s="1"/>
      <c r="ABN30" s="1"/>
      <c r="ABO30" s="1"/>
      <c r="ABP30" s="1"/>
      <c r="ABQ30" s="1"/>
      <c r="ABR30" s="1"/>
      <c r="ABS30" s="1"/>
      <c r="ABT30" s="1"/>
      <c r="ABU30" s="1"/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/>
      <c r="ACJ30" s="1"/>
      <c r="ACK30" s="1"/>
      <c r="ACL30" s="1"/>
      <c r="ACM30" s="1"/>
      <c r="ACN30" s="1"/>
      <c r="ACO30" s="1"/>
      <c r="ACP30" s="1"/>
      <c r="ACQ30" s="1"/>
      <c r="ACR30" s="1"/>
      <c r="ACS30" s="1"/>
      <c r="ACT30" s="1"/>
      <c r="ACU30" s="1"/>
      <c r="ACV30" s="1"/>
      <c r="ACW30" s="1"/>
      <c r="ACX30" s="1"/>
      <c r="ACY30" s="1"/>
      <c r="ACZ30" s="1"/>
      <c r="ADA30" s="1"/>
      <c r="ADB30" s="1"/>
      <c r="ADC30" s="1"/>
      <c r="ADD30" s="1"/>
      <c r="ADE30" s="1"/>
      <c r="ADF30" s="1"/>
      <c r="ADG30" s="1"/>
      <c r="ADH30" s="1"/>
      <c r="ADI30" s="1"/>
      <c r="ADJ30" s="1"/>
      <c r="ADK30" s="1"/>
      <c r="ADL30" s="1"/>
      <c r="ADM30" s="1"/>
      <c r="ADN30" s="1"/>
      <c r="ADO30" s="1"/>
      <c r="ADP30" s="1"/>
      <c r="ADQ30" s="1"/>
      <c r="ADR30" s="1"/>
      <c r="ADS30" s="1"/>
      <c r="ADT30" s="1"/>
      <c r="ADU30" s="1"/>
      <c r="ADV30" s="1"/>
      <c r="ADW30" s="1"/>
      <c r="ADX30" s="1"/>
      <c r="ADY30" s="1"/>
      <c r="ADZ30" s="1"/>
      <c r="AEA30" s="1"/>
      <c r="AEB30" s="1"/>
      <c r="AEC30" s="1"/>
      <c r="AED30" s="1"/>
      <c r="AEE30" s="1"/>
      <c r="AEF30" s="1"/>
      <c r="AEG30" s="1"/>
      <c r="AEH30" s="1"/>
      <c r="AEI30" s="1"/>
      <c r="AEJ30" s="1"/>
      <c r="AEK30" s="1"/>
      <c r="AEL30" s="1"/>
      <c r="AEM30" s="1"/>
      <c r="AEN30" s="1"/>
      <c r="AEO30" s="1"/>
      <c r="AEP30" s="1"/>
      <c r="AEQ30" s="1"/>
      <c r="AER30" s="1"/>
      <c r="AES30" s="1"/>
      <c r="AET30" s="1"/>
      <c r="AEU30" s="1"/>
      <c r="AEV30" s="1"/>
      <c r="AEW30" s="1"/>
      <c r="AEX30" s="1"/>
      <c r="AEY30" s="1"/>
      <c r="AEZ30" s="1"/>
      <c r="AFA30" s="1"/>
      <c r="AFB30" s="1"/>
      <c r="AFC30" s="1"/>
      <c r="AFD30" s="1"/>
      <c r="AFE30" s="1"/>
      <c r="AFF30" s="1"/>
      <c r="AFG30" s="1"/>
      <c r="AFH30" s="1"/>
      <c r="AFI30" s="1"/>
      <c r="AFJ30" s="1"/>
      <c r="AFK30" s="1"/>
      <c r="AFL30" s="1"/>
      <c r="AFM30" s="1"/>
      <c r="AFN30" s="1"/>
      <c r="AFO30" s="1"/>
      <c r="AFP30" s="1"/>
      <c r="AFQ30" s="1"/>
      <c r="AFR30" s="1"/>
      <c r="AFS30" s="1"/>
      <c r="AFT30" s="1"/>
      <c r="AFU30" s="1"/>
      <c r="AFV30" s="1"/>
      <c r="AFW30" s="1"/>
      <c r="AFX30" s="1"/>
      <c r="AFY30" s="1"/>
      <c r="AFZ30" s="1"/>
      <c r="AGA30" s="1"/>
      <c r="AGB30" s="1"/>
      <c r="AGC30" s="1"/>
      <c r="AGD30" s="1"/>
      <c r="AGE30" s="1"/>
      <c r="AGF30" s="1"/>
      <c r="AGG30" s="1"/>
      <c r="AGH30" s="1"/>
      <c r="AGI30" s="1"/>
      <c r="AGJ30" s="1"/>
      <c r="AGK30" s="1"/>
      <c r="AGL30" s="1"/>
      <c r="AGM30" s="1"/>
      <c r="AGN30" s="1"/>
      <c r="AGO30" s="1"/>
      <c r="AGP30" s="1"/>
      <c r="AGQ30" s="1"/>
      <c r="AGR30" s="1"/>
      <c r="AGS30" s="1"/>
      <c r="AGT30" s="1"/>
      <c r="AGU30" s="1"/>
      <c r="AGV30" s="1"/>
      <c r="AGW30" s="1"/>
      <c r="AGX30" s="1"/>
      <c r="AGY30" s="1"/>
      <c r="AGZ30" s="1"/>
      <c r="AHA30" s="1"/>
      <c r="AHB30" s="1"/>
      <c r="AHC30" s="1"/>
      <c r="AHD30" s="1"/>
      <c r="AHE30" s="1"/>
      <c r="AHF30" s="1"/>
      <c r="AHG30" s="1"/>
      <c r="AHH30" s="1"/>
      <c r="AHI30" s="1"/>
      <c r="AHJ30" s="1"/>
      <c r="AHK30" s="1"/>
      <c r="AHL30" s="1"/>
      <c r="AHM30" s="1"/>
      <c r="AHN30" s="1"/>
      <c r="AHO30" s="1"/>
      <c r="AHP30" s="1"/>
      <c r="AHQ30" s="1"/>
      <c r="AHR30" s="1"/>
      <c r="AHS30" s="1"/>
      <c r="AHT30" s="1"/>
      <c r="AHU30" s="1"/>
      <c r="AHV30" s="1"/>
      <c r="AHW30" s="1"/>
      <c r="AHX30" s="1"/>
      <c r="AHY30" s="1"/>
      <c r="AHZ30" s="1"/>
      <c r="AIA30" s="1"/>
      <c r="AIB30" s="1"/>
      <c r="AIC30" s="1"/>
      <c r="AID30" s="1"/>
      <c r="AIE30" s="1"/>
      <c r="AIF30" s="1"/>
      <c r="AIG30" s="1"/>
      <c r="AIH30" s="1"/>
      <c r="AII30" s="1"/>
      <c r="AIJ30" s="1"/>
      <c r="AIK30" s="1"/>
      <c r="AIL30" s="1"/>
      <c r="AIM30" s="1"/>
      <c r="AIN30" s="1"/>
      <c r="AIO30" s="1"/>
      <c r="AIP30" s="1"/>
      <c r="AIQ30" s="1"/>
      <c r="AIR30" s="1"/>
      <c r="AIS30" s="1"/>
      <c r="AIT30" s="1"/>
      <c r="AIU30" s="1"/>
      <c r="AIV30" s="1"/>
      <c r="AIW30" s="1"/>
      <c r="AIX30" s="1"/>
      <c r="AIY30" s="1"/>
      <c r="AIZ30" s="1"/>
      <c r="AJA30" s="1"/>
      <c r="AJB30" s="1"/>
      <c r="AJC30" s="1"/>
      <c r="AJD30" s="1"/>
      <c r="AJE30" s="1"/>
      <c r="AJF30" s="1"/>
      <c r="AJG30" s="1"/>
      <c r="AJH30" s="1"/>
      <c r="AJI30" s="1"/>
      <c r="AJJ30" s="1"/>
      <c r="AJK30" s="1"/>
      <c r="AJL30" s="1"/>
      <c r="AJM30" s="1"/>
      <c r="AJN30" s="1"/>
      <c r="AJO30" s="1"/>
      <c r="AJP30" s="1"/>
      <c r="AJQ30" s="1"/>
      <c r="AJR30" s="1"/>
      <c r="AJS30" s="1"/>
      <c r="AJT30" s="1"/>
      <c r="AJU30" s="1"/>
      <c r="AJV30" s="1"/>
      <c r="AJW30" s="1"/>
      <c r="AJX30" s="1"/>
      <c r="AJY30" s="1"/>
      <c r="AJZ30" s="1"/>
      <c r="AKA30" s="1"/>
      <c r="AKB30" s="1"/>
      <c r="AKC30" s="1"/>
      <c r="AKD30" s="1"/>
      <c r="AKE30" s="1"/>
      <c r="AKF30" s="1"/>
      <c r="AKG30" s="1"/>
      <c r="AKH30" s="1"/>
      <c r="AKI30" s="1"/>
      <c r="AKJ30" s="1"/>
      <c r="AKK30" s="1"/>
      <c r="AKL30" s="1"/>
      <c r="AKM30" s="1"/>
      <c r="AKN30" s="1"/>
      <c r="AKO30" s="1"/>
      <c r="AKP30" s="1"/>
      <c r="AKQ30" s="1"/>
      <c r="AKR30" s="1"/>
      <c r="AKS30" s="1"/>
      <c r="AKT30" s="1"/>
      <c r="AKU30" s="1"/>
      <c r="AKV30" s="1"/>
      <c r="AKW30" s="1"/>
      <c r="AKX30" s="1"/>
      <c r="AKY30" s="1"/>
      <c r="AKZ30" s="1"/>
      <c r="ALA30" s="1"/>
      <c r="ALB30" s="1"/>
      <c r="ALC30" s="1"/>
      <c r="ALD30" s="1"/>
      <c r="ALE30" s="1"/>
      <c r="ALF30" s="1"/>
      <c r="ALG30" s="1"/>
      <c r="ALH30" s="1"/>
      <c r="ALI30" s="1"/>
      <c r="ALJ30" s="1"/>
      <c r="ALK30" s="1"/>
      <c r="ALL30" s="1"/>
      <c r="ALM30" s="1"/>
      <c r="ALN30" s="1"/>
      <c r="ALO30" s="1"/>
      <c r="ALP30" s="1"/>
      <c r="ALQ30" s="1"/>
      <c r="ALR30" s="1"/>
      <c r="ALS30" s="1"/>
      <c r="ALT30" s="1"/>
      <c r="ALU30" s="1"/>
      <c r="ALV30" s="1"/>
      <c r="ALW30" s="1"/>
      <c r="ALX30" s="1"/>
      <c r="ALY30" s="1"/>
      <c r="ALZ30" s="1"/>
      <c r="AMA30" s="1"/>
      <c r="AMB30" s="1"/>
      <c r="AMC30" s="1"/>
      <c r="AMD30" s="1"/>
      <c r="AME30" s="1"/>
      <c r="AMF30" s="1"/>
      <c r="AMG30" s="1"/>
      <c r="AMH30" s="1"/>
      <c r="AMI30" s="1"/>
      <c r="AMJ30" s="1"/>
      <c r="AMK30" s="1"/>
      <c r="AML30" s="1"/>
      <c r="AMM30" s="1"/>
      <c r="AMN30" s="1"/>
      <c r="AMO30" s="1"/>
    </row>
    <row r="31" spans="1:1030" s="6" customFormat="1" x14ac:dyDescent="0.2">
      <c r="A31" s="3" t="str">
        <f t="shared" si="0"/>
        <v>aa2ar_human_3UZC</v>
      </c>
      <c r="B31" s="3" t="s">
        <v>139</v>
      </c>
      <c r="C31" s="3" t="s">
        <v>1037</v>
      </c>
      <c r="D31" s="3" t="str">
        <f>IFERROR(MID(VLOOKUP($B31,Seqs!$A:$B,2,0),E31,1),"")</f>
        <v>S</v>
      </c>
      <c r="E31" s="3">
        <v>7</v>
      </c>
      <c r="F31" s="3" t="str">
        <f>IFERROR(MID(VLOOKUP($B31,Seqs!$A:$B,2,0),G31,1),"")</f>
        <v>N</v>
      </c>
      <c r="G31" s="3">
        <v>34</v>
      </c>
      <c r="H31" s="3" t="str">
        <f>IFERROR(MID(VLOOKUP($B31,Seqs!$A:$B,2,0),I31,1),"")</f>
        <v>S</v>
      </c>
      <c r="I31" s="23">
        <v>35</v>
      </c>
      <c r="J31" s="3" t="str">
        <f>IFERROR(MID(VLOOKUP($B31,Seqs!$A:$B,2,0),K31,1),"")</f>
        <v>Q</v>
      </c>
      <c r="K31" s="23">
        <v>38</v>
      </c>
      <c r="L31" s="3" t="str">
        <f>IFERROR(MID(VLOOKUP($B31,Seqs!$A:$B,2,0),M31,1),"")</f>
        <v>N</v>
      </c>
      <c r="M31" s="3">
        <v>39</v>
      </c>
      <c r="N31" s="3" t="str">
        <f>IFERROR(MID(VLOOKUP($B31,Seqs!$A:$B,2,0),O31,1),"")</f>
        <v>G</v>
      </c>
      <c r="O31" s="3">
        <v>69</v>
      </c>
      <c r="P31" s="3" t="str">
        <f>IFERROR(MID(VLOOKUP($B31,Seqs!$A:$B,2,0),Q31,1),"")</f>
        <v>F</v>
      </c>
      <c r="Q31" s="3">
        <v>70</v>
      </c>
      <c r="R31" s="3" t="str">
        <f>IFERROR(MID(VLOOKUP($B31,Seqs!$A:$B,2,0),S31,1),"")</f>
        <v>A</v>
      </c>
      <c r="S31" s="3">
        <v>72</v>
      </c>
      <c r="T31" s="3" t="str">
        <f>IFERROR(MID(VLOOKUP($B31,Seqs!$A:$B,2,0),U31,1),"")</f>
        <v>A</v>
      </c>
      <c r="U31" s="3">
        <v>73</v>
      </c>
      <c r="V31" s="3" t="str">
        <f>IFERROR(MID(VLOOKUP($B31,Seqs!$A:$B,2,0),W31,1),"")</f>
        <v>I</v>
      </c>
      <c r="W31" s="3">
        <v>108</v>
      </c>
      <c r="X31" s="3" t="str">
        <f>IFERROR(MID(VLOOKUP($B31,Seqs!$A:$B,2,0),Y31,1),"")</f>
        <v>P</v>
      </c>
      <c r="Y31" s="3">
        <v>109</v>
      </c>
      <c r="Z31" s="3" t="str">
        <f>IFERROR(MID(VLOOKUP($B31,Seqs!$A:$B,2,0),AA31,1),"")</f>
        <v>V</v>
      </c>
      <c r="AA31" s="3">
        <v>116</v>
      </c>
      <c r="AB31" s="3" t="str">
        <f>IFERROR(MID(VLOOKUP($B31,Seqs!$A:$B,2,0),AC31,1),"")</f>
        <v>T</v>
      </c>
      <c r="AC31" s="9">
        <v>117</v>
      </c>
      <c r="AD31" s="3" t="str">
        <f>IFERROR(MID(VLOOKUP($B31,Seqs!$A:$B,2,0),AE31,1),"")</f>
        <v>G</v>
      </c>
      <c r="AE31" s="3">
        <v>142</v>
      </c>
      <c r="AF31" s="3" t="str">
        <f>IFERROR(MID(VLOOKUP($B31,Seqs!$A:$B,2,0),AG31,1),"")</f>
        <v>C</v>
      </c>
      <c r="AG31" s="3">
        <v>166</v>
      </c>
      <c r="AH31" s="3" t="str">
        <f>IFERROR(MID(VLOOKUP($B31,Seqs!$A:$B,2,0),AI31,1),"")</f>
        <v>F</v>
      </c>
      <c r="AI31" s="3">
        <v>168</v>
      </c>
      <c r="AJ31" s="3" t="str">
        <f>IFERROR(MID(VLOOKUP($B31,Seqs!$A:$B,2,0),AK31,1),"")</f>
        <v>P</v>
      </c>
      <c r="AK31" s="3">
        <v>173</v>
      </c>
      <c r="AL31" s="3" t="str">
        <f>IFERROR(MID(VLOOKUP($B31,Seqs!$A:$B,2,0),AM31,1),"")</f>
        <v>S</v>
      </c>
      <c r="AM31" s="3">
        <v>213</v>
      </c>
      <c r="AN31" s="3" t="str">
        <f>IFERROR(MID(VLOOKUP($B31,Seqs!$A:$B,2,0),AO31,1),"")</f>
        <v>E</v>
      </c>
      <c r="AO31" s="3">
        <v>219</v>
      </c>
      <c r="AP31" s="3" t="str">
        <f>IFERROR(MID(VLOOKUP($B31,Seqs!$A:$B,2,0),AQ31,1),"")</f>
        <v>C</v>
      </c>
      <c r="AQ31" s="3">
        <v>259</v>
      </c>
      <c r="AR31" s="3" t="str">
        <f>IFERROR(MID(VLOOKUP($B31,Seqs!$A:$B,2,0),AS31,1),"")</f>
        <v>P</v>
      </c>
      <c r="AS31" s="3">
        <v>266</v>
      </c>
      <c r="AT31" s="3" t="str">
        <f>IFERROR(MID(VLOOKUP($B31,Seqs!$A:$B,2,0),AU31,1),"")</f>
        <v>R</v>
      </c>
      <c r="AU31" s="3">
        <v>291</v>
      </c>
      <c r="AV31" s="3" t="str">
        <f>IFERROR(MID(VLOOKUP($B31,Seqs!$A:$B,2,0),AW31,1),"")</f>
        <v>I</v>
      </c>
      <c r="AW31" s="3">
        <v>292</v>
      </c>
      <c r="AX31" s="3" t="str">
        <f>IFERROR(MID(VLOOKUP($B31,Seqs!$A:$B,2,0),AY31,1),"")</f>
        <v>S</v>
      </c>
      <c r="AY31" s="3">
        <v>305</v>
      </c>
      <c r="AZ31" s="77" t="str">
        <f>VLOOKUP(B31,Classification!A:D,2,0)</f>
        <v>A</v>
      </c>
      <c r="BA31" s="94" t="str">
        <f>VLOOKUP(B31,Classification!A:D,4,0)</f>
        <v>Adenosine</v>
      </c>
      <c r="BB31" s="27" t="b">
        <f t="shared" si="1"/>
        <v>1</v>
      </c>
      <c r="BC31" s="23">
        <f t="shared" si="168"/>
        <v>261</v>
      </c>
      <c r="BD31" s="4" t="s">
        <v>23</v>
      </c>
      <c r="BE31" s="3" t="s">
        <v>1381</v>
      </c>
      <c r="BF31" s="119">
        <v>3.34</v>
      </c>
      <c r="BG31" s="49" t="s">
        <v>1384</v>
      </c>
      <c r="BH31" s="49" t="s">
        <v>1384</v>
      </c>
      <c r="BI31" s="1"/>
      <c r="BJ31" s="70" t="s">
        <v>1293</v>
      </c>
      <c r="BK31" s="57" t="s">
        <v>1293</v>
      </c>
      <c r="BL31" s="57" t="s">
        <v>1293</v>
      </c>
      <c r="BM31" s="57" t="s">
        <v>1293</v>
      </c>
      <c r="BN31" s="57" t="s">
        <v>1293</v>
      </c>
      <c r="BO31" s="57" t="s">
        <v>1293</v>
      </c>
      <c r="BP31" s="57" t="s">
        <v>1293</v>
      </c>
      <c r="BQ31" s="57" t="s">
        <v>1293</v>
      </c>
      <c r="BR31" s="57" t="s">
        <v>1293</v>
      </c>
      <c r="BS31" s="57" t="s">
        <v>1293</v>
      </c>
      <c r="BT31" s="57" t="s">
        <v>1293</v>
      </c>
      <c r="BU31" s="57" t="s">
        <v>1293</v>
      </c>
      <c r="BV31" s="70">
        <f t="shared" si="3"/>
        <v>7</v>
      </c>
      <c r="BW31" s="71">
        <f t="shared" si="4"/>
        <v>35</v>
      </c>
      <c r="BX31" s="72">
        <f t="shared" si="5"/>
        <v>39</v>
      </c>
      <c r="BY31" s="71">
        <f t="shared" si="6"/>
        <v>70</v>
      </c>
      <c r="BZ31" s="72">
        <f t="shared" si="7"/>
        <v>73</v>
      </c>
      <c r="CA31" s="71">
        <f t="shared" si="8"/>
        <v>109</v>
      </c>
      <c r="CB31" s="72">
        <f t="shared" si="9"/>
        <v>117</v>
      </c>
      <c r="CC31" s="71">
        <f t="shared" si="10"/>
        <v>166</v>
      </c>
      <c r="CD31" s="72">
        <f t="shared" si="11"/>
        <v>173</v>
      </c>
      <c r="CE31" s="71">
        <f t="shared" si="12"/>
        <v>219</v>
      </c>
      <c r="CF31" s="72">
        <f t="shared" si="13"/>
        <v>266</v>
      </c>
      <c r="CG31" s="71">
        <f t="shared" si="14"/>
        <v>292</v>
      </c>
      <c r="CH31" s="70">
        <f t="shared" si="15"/>
        <v>34</v>
      </c>
      <c r="CI31" s="71">
        <f t="shared" si="16"/>
        <v>38</v>
      </c>
      <c r="CJ31" s="72">
        <f t="shared" si="17"/>
        <v>69</v>
      </c>
      <c r="CK31" s="72">
        <f t="shared" si="18"/>
        <v>72</v>
      </c>
      <c r="CL31" s="72">
        <f t="shared" si="19"/>
        <v>108</v>
      </c>
      <c r="CM31" s="72">
        <f t="shared" si="20"/>
        <v>116</v>
      </c>
      <c r="CN31" s="72">
        <f t="shared" si="21"/>
        <v>142</v>
      </c>
      <c r="CO31" s="72">
        <f t="shared" si="22"/>
        <v>168</v>
      </c>
      <c r="CP31" s="72">
        <f t="shared" si="23"/>
        <v>213</v>
      </c>
      <c r="CQ31" s="72">
        <f t="shared" si="24"/>
        <v>259</v>
      </c>
      <c r="CR31" s="72">
        <f t="shared" si="25"/>
        <v>291</v>
      </c>
      <c r="CS31" s="72">
        <f t="shared" si="26"/>
        <v>305</v>
      </c>
      <c r="CT31" s="23">
        <f t="shared" si="27"/>
        <v>1</v>
      </c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1"/>
      <c r="ABI31" s="1"/>
      <c r="ABJ31" s="1"/>
      <c r="ABK31" s="1"/>
      <c r="ABL31" s="1"/>
      <c r="ABM31" s="1"/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  <c r="ADQ31" s="1"/>
      <c r="ADR31" s="1"/>
      <c r="ADS31" s="1"/>
      <c r="ADT31" s="1"/>
      <c r="ADU31" s="1"/>
      <c r="ADV31" s="1"/>
      <c r="ADW31" s="1"/>
      <c r="ADX31" s="1"/>
      <c r="ADY31" s="1"/>
      <c r="ADZ31" s="1"/>
      <c r="AEA31" s="1"/>
      <c r="AEB31" s="1"/>
      <c r="AEC31" s="1"/>
      <c r="AED31" s="1"/>
      <c r="AEE31" s="1"/>
      <c r="AEF31" s="1"/>
      <c r="AEG31" s="1"/>
      <c r="AEH31" s="1"/>
      <c r="AEI31" s="1"/>
      <c r="AEJ31" s="1"/>
      <c r="AEK31" s="1"/>
      <c r="AEL31" s="1"/>
      <c r="AEM31" s="1"/>
      <c r="AEN31" s="1"/>
      <c r="AEO31" s="1"/>
      <c r="AEP31" s="1"/>
      <c r="AEQ31" s="1"/>
      <c r="AER31" s="1"/>
      <c r="AES31" s="1"/>
      <c r="AET31" s="1"/>
      <c r="AEU31" s="1"/>
      <c r="AEV31" s="1"/>
      <c r="AEW31" s="1"/>
      <c r="AEX31" s="1"/>
      <c r="AEY31" s="1"/>
      <c r="AEZ31" s="1"/>
      <c r="AFA31" s="1"/>
      <c r="AFB31" s="1"/>
      <c r="AFC31" s="1"/>
      <c r="AFD31" s="1"/>
      <c r="AFE31" s="1"/>
      <c r="AFF31" s="1"/>
      <c r="AFG31" s="1"/>
      <c r="AFH31" s="1"/>
      <c r="AFI31" s="1"/>
      <c r="AFJ31" s="1"/>
      <c r="AFK31" s="1"/>
      <c r="AFL31" s="1"/>
      <c r="AFM31" s="1"/>
      <c r="AFN31" s="1"/>
      <c r="AFO31" s="1"/>
      <c r="AFP31" s="1"/>
      <c r="AFQ31" s="1"/>
      <c r="AFR31" s="1"/>
      <c r="AFS31" s="1"/>
      <c r="AFT31" s="1"/>
      <c r="AFU31" s="1"/>
      <c r="AFV31" s="1"/>
      <c r="AFW31" s="1"/>
      <c r="AFX31" s="1"/>
      <c r="AFY31" s="1"/>
      <c r="AFZ31" s="1"/>
      <c r="AGA31" s="1"/>
      <c r="AGB31" s="1"/>
      <c r="AGC31" s="1"/>
      <c r="AGD31" s="1"/>
      <c r="AGE31" s="1"/>
      <c r="AGF31" s="1"/>
      <c r="AGG31" s="1"/>
      <c r="AGH31" s="1"/>
      <c r="AGI31" s="1"/>
      <c r="AGJ31" s="1"/>
      <c r="AGK31" s="1"/>
      <c r="AGL31" s="1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"/>
      <c r="AJE31" s="1"/>
      <c r="AJF31" s="1"/>
      <c r="AJG31" s="1"/>
      <c r="AJH31" s="1"/>
      <c r="AJI31" s="1"/>
      <c r="AJJ31" s="1"/>
      <c r="AJK31" s="1"/>
      <c r="AJL31" s="1"/>
      <c r="AJM31" s="1"/>
      <c r="AJN31" s="1"/>
      <c r="AJO31" s="1"/>
      <c r="AJP31" s="1"/>
      <c r="AJQ31" s="1"/>
      <c r="AJR31" s="1"/>
      <c r="AJS31" s="1"/>
      <c r="AJT31" s="1"/>
      <c r="AJU31" s="1"/>
      <c r="AJV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/>
      <c r="ALL31" s="1"/>
      <c r="ALM31" s="1"/>
      <c r="ALN31" s="1"/>
      <c r="ALO31" s="1"/>
      <c r="ALP31" s="1"/>
      <c r="ALQ31" s="1"/>
      <c r="ALR31" s="1"/>
      <c r="ALS31" s="1"/>
      <c r="ALT31" s="1"/>
      <c r="ALU31" s="1"/>
      <c r="ALV31" s="1"/>
      <c r="ALW31" s="1"/>
      <c r="ALX31" s="1"/>
      <c r="ALY31" s="1"/>
      <c r="ALZ31" s="1"/>
      <c r="AMA31" s="1"/>
      <c r="AMB31" s="1"/>
      <c r="AMC31" s="1"/>
      <c r="AMD31" s="1"/>
      <c r="AME31" s="1"/>
      <c r="AMF31" s="1"/>
      <c r="AMG31" s="1"/>
      <c r="AMH31" s="1"/>
      <c r="AMI31" s="1"/>
      <c r="AMJ31" s="1"/>
      <c r="AMK31" s="1"/>
      <c r="AML31" s="1"/>
      <c r="AMM31" s="1"/>
      <c r="AMN31" s="1"/>
      <c r="AMO31" s="1"/>
      <c r="AMP31" s="1"/>
    </row>
    <row r="32" spans="1:1030" s="6" customFormat="1" x14ac:dyDescent="0.2">
      <c r="A32" s="3" t="str">
        <f t="shared" si="0"/>
        <v>aa2ar_human_3VG9</v>
      </c>
      <c r="B32" s="3" t="s">
        <v>139</v>
      </c>
      <c r="C32" s="3" t="s">
        <v>1104</v>
      </c>
      <c r="D32" s="3" t="str">
        <f>IFERROR(MID(VLOOKUP($B32,Seqs!$A:$B,2,0),E32,1),"")</f>
        <v>S</v>
      </c>
      <c r="E32" s="3">
        <v>6</v>
      </c>
      <c r="F32" s="3" t="str">
        <f>IFERROR(MID(VLOOKUP($B32,Seqs!$A:$B,2,0),G32,1),"")</f>
        <v>N</v>
      </c>
      <c r="G32" s="3">
        <v>34</v>
      </c>
      <c r="H32" s="3" t="str">
        <f>IFERROR(MID(VLOOKUP($B32,Seqs!$A:$B,2,0),I32,1),"")</f>
        <v>S</v>
      </c>
      <c r="I32" s="23">
        <v>35</v>
      </c>
      <c r="J32" s="3" t="str">
        <f>IFERROR(MID(VLOOKUP($B32,Seqs!$A:$B,2,0),K32,1),"")</f>
        <v>Q</v>
      </c>
      <c r="K32" s="23">
        <v>38</v>
      </c>
      <c r="L32" s="3" t="str">
        <f>IFERROR(MID(VLOOKUP($B32,Seqs!$A:$B,2,0),M32,1),"")</f>
        <v>N</v>
      </c>
      <c r="M32" s="3">
        <v>39</v>
      </c>
      <c r="N32" s="3" t="str">
        <f>IFERROR(MID(VLOOKUP($B32,Seqs!$A:$B,2,0),O32,1),"")</f>
        <v>G</v>
      </c>
      <c r="O32" s="3">
        <v>69</v>
      </c>
      <c r="P32" s="3" t="str">
        <f>IFERROR(MID(VLOOKUP($B32,Seqs!$A:$B,2,0),Q32,1),"")</f>
        <v>F</v>
      </c>
      <c r="Q32" s="3">
        <v>70</v>
      </c>
      <c r="R32" s="3" t="str">
        <f>IFERROR(MID(VLOOKUP($B32,Seqs!$A:$B,2,0),S32,1),"")</f>
        <v>A</v>
      </c>
      <c r="S32" s="3">
        <v>72</v>
      </c>
      <c r="T32" s="3" t="str">
        <f>IFERROR(MID(VLOOKUP($B32,Seqs!$A:$B,2,0),U32,1),"")</f>
        <v>A</v>
      </c>
      <c r="U32" s="3">
        <v>73</v>
      </c>
      <c r="V32" s="3" t="str">
        <f>IFERROR(MID(VLOOKUP($B32,Seqs!$A:$B,2,0),W32,1),"")</f>
        <v>I</v>
      </c>
      <c r="W32" s="3">
        <v>108</v>
      </c>
      <c r="X32" s="3" t="str">
        <f>IFERROR(MID(VLOOKUP($B32,Seqs!$A:$B,2,0),Y32,1),"")</f>
        <v>P</v>
      </c>
      <c r="Y32" s="3">
        <v>109</v>
      </c>
      <c r="Z32" s="3" t="str">
        <f>IFERROR(MID(VLOOKUP($B32,Seqs!$A:$B,2,0),AA32,1),"")</f>
        <v>V</v>
      </c>
      <c r="AA32" s="3">
        <v>116</v>
      </c>
      <c r="AB32" s="3" t="str">
        <f>IFERROR(MID(VLOOKUP($B32,Seqs!$A:$B,2,0),AC32,1),"")</f>
        <v>T</v>
      </c>
      <c r="AC32" s="9">
        <v>117</v>
      </c>
      <c r="AD32" s="3" t="str">
        <f>IFERROR(MID(VLOOKUP($B32,Seqs!$A:$B,2,0),AE32,1),"")</f>
        <v>G</v>
      </c>
      <c r="AE32" s="3">
        <v>142</v>
      </c>
      <c r="AF32" s="3" t="str">
        <f>IFERROR(MID(VLOOKUP($B32,Seqs!$A:$B,2,0),AG32,1),"")</f>
        <v>C</v>
      </c>
      <c r="AG32" s="3">
        <v>166</v>
      </c>
      <c r="AH32" s="3" t="str">
        <f>IFERROR(MID(VLOOKUP($B32,Seqs!$A:$B,2,0),AI32,1),"")</f>
        <v>F</v>
      </c>
      <c r="AI32" s="3">
        <v>168</v>
      </c>
      <c r="AJ32" s="3" t="str">
        <f>IFERROR(MID(VLOOKUP($B32,Seqs!$A:$B,2,0),AK32,1),"")</f>
        <v>P</v>
      </c>
      <c r="AK32" s="3">
        <v>173</v>
      </c>
      <c r="AL32" s="3" t="str">
        <f>IFERROR(MID(VLOOKUP($B32,Seqs!$A:$B,2,0),AM32,1),"")</f>
        <v>Q</v>
      </c>
      <c r="AM32" s="3">
        <v>214</v>
      </c>
      <c r="AN32" s="3" t="str">
        <f>IFERROR(MID(VLOOKUP($B32,Seqs!$A:$B,2,0),AO32,1),"")</f>
        <v>A</v>
      </c>
      <c r="AO32" s="3">
        <v>221</v>
      </c>
      <c r="AP32" s="3" t="str">
        <f>IFERROR(MID(VLOOKUP($B32,Seqs!$A:$B,2,0),AQ32,1),"")</f>
        <v>C</v>
      </c>
      <c r="AQ32" s="3">
        <v>259</v>
      </c>
      <c r="AR32" s="3" t="str">
        <f>IFERROR(MID(VLOOKUP($B32,Seqs!$A:$B,2,0),AS32,1),"")</f>
        <v>P</v>
      </c>
      <c r="AS32" s="3">
        <v>266</v>
      </c>
      <c r="AT32" s="3" t="str">
        <f>IFERROR(MID(VLOOKUP($B32,Seqs!$A:$B,2,0),AU32,1),"")</f>
        <v>R</v>
      </c>
      <c r="AU32" s="3">
        <v>291</v>
      </c>
      <c r="AV32" s="3" t="str">
        <f>IFERROR(MID(VLOOKUP($B32,Seqs!$A:$B,2,0),AW32,1),"")</f>
        <v>I</v>
      </c>
      <c r="AW32" s="3">
        <v>292</v>
      </c>
      <c r="AX32" s="3" t="str">
        <f>IFERROR(MID(VLOOKUP($B32,Seqs!$A:$B,2,0),AY32,1),"")</f>
        <v>Q</v>
      </c>
      <c r="AY32" s="3">
        <v>311</v>
      </c>
      <c r="AZ32" s="77" t="str">
        <f>VLOOKUP(B32,Classification!A:D,2,0)</f>
        <v>A</v>
      </c>
      <c r="BA32" s="94" t="str">
        <f>VLOOKUP(B32,Classification!A:D,4,0)</f>
        <v>Adenosine</v>
      </c>
      <c r="BB32" s="27" t="b">
        <f t="shared" si="1"/>
        <v>1</v>
      </c>
      <c r="BC32" s="23">
        <f t="shared" si="168"/>
        <v>267</v>
      </c>
      <c r="BD32" s="4" t="s">
        <v>1383</v>
      </c>
      <c r="BE32" s="3" t="s">
        <v>1381</v>
      </c>
      <c r="BF32" s="119">
        <v>2.7</v>
      </c>
      <c r="BG32" s="49" t="s">
        <v>1384</v>
      </c>
      <c r="BH32" s="49" t="s">
        <v>1384</v>
      </c>
      <c r="BI32" s="1"/>
      <c r="BJ32" s="70" t="s">
        <v>1293</v>
      </c>
      <c r="BK32" s="57" t="s">
        <v>1293</v>
      </c>
      <c r="BL32" s="57" t="s">
        <v>1293</v>
      </c>
      <c r="BM32" s="57" t="s">
        <v>1293</v>
      </c>
      <c r="BN32" s="57" t="s">
        <v>1293</v>
      </c>
      <c r="BO32" s="57" t="s">
        <v>1293</v>
      </c>
      <c r="BP32" s="57" t="s">
        <v>1293</v>
      </c>
      <c r="BQ32" s="57" t="s">
        <v>1293</v>
      </c>
      <c r="BR32" s="57" t="s">
        <v>1293</v>
      </c>
      <c r="BS32" s="57" t="s">
        <v>1293</v>
      </c>
      <c r="BT32" s="57" t="s">
        <v>1293</v>
      </c>
      <c r="BU32" s="57" t="s">
        <v>1293</v>
      </c>
      <c r="BV32" s="70">
        <f t="shared" si="3"/>
        <v>6</v>
      </c>
      <c r="BW32" s="71">
        <f t="shared" si="4"/>
        <v>35</v>
      </c>
      <c r="BX32" s="72">
        <f t="shared" si="5"/>
        <v>39</v>
      </c>
      <c r="BY32" s="71">
        <f t="shared" si="6"/>
        <v>70</v>
      </c>
      <c r="BZ32" s="72">
        <f t="shared" si="7"/>
        <v>73</v>
      </c>
      <c r="CA32" s="71">
        <f t="shared" si="8"/>
        <v>109</v>
      </c>
      <c r="CB32" s="72">
        <f t="shared" si="9"/>
        <v>117</v>
      </c>
      <c r="CC32" s="71">
        <f t="shared" si="10"/>
        <v>166</v>
      </c>
      <c r="CD32" s="72">
        <f t="shared" si="11"/>
        <v>173</v>
      </c>
      <c r="CE32" s="71">
        <f t="shared" si="12"/>
        <v>221</v>
      </c>
      <c r="CF32" s="72">
        <f t="shared" si="13"/>
        <v>266</v>
      </c>
      <c r="CG32" s="71">
        <f t="shared" si="14"/>
        <v>292</v>
      </c>
      <c r="CH32" s="70">
        <f t="shared" si="15"/>
        <v>34</v>
      </c>
      <c r="CI32" s="71">
        <f t="shared" si="16"/>
        <v>38</v>
      </c>
      <c r="CJ32" s="72">
        <f t="shared" si="17"/>
        <v>69</v>
      </c>
      <c r="CK32" s="72">
        <f t="shared" si="18"/>
        <v>72</v>
      </c>
      <c r="CL32" s="72">
        <f t="shared" si="19"/>
        <v>108</v>
      </c>
      <c r="CM32" s="72">
        <f t="shared" si="20"/>
        <v>116</v>
      </c>
      <c r="CN32" s="72">
        <f t="shared" si="21"/>
        <v>142</v>
      </c>
      <c r="CO32" s="72">
        <f t="shared" si="22"/>
        <v>168</v>
      </c>
      <c r="CP32" s="72">
        <f t="shared" si="23"/>
        <v>214</v>
      </c>
      <c r="CQ32" s="72">
        <f t="shared" si="24"/>
        <v>259</v>
      </c>
      <c r="CR32" s="72">
        <f t="shared" si="25"/>
        <v>291</v>
      </c>
      <c r="CS32" s="72">
        <f t="shared" si="26"/>
        <v>311</v>
      </c>
      <c r="CT32" s="23">
        <f t="shared" si="27"/>
        <v>1</v>
      </c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1"/>
      <c r="XL32" s="1"/>
      <c r="XM32" s="1"/>
      <c r="XN32" s="1"/>
      <c r="XO32" s="1"/>
      <c r="XP32" s="1"/>
      <c r="XQ32" s="1"/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/>
      <c r="ZY32" s="1"/>
      <c r="ZZ32" s="1"/>
      <c r="AAA32" s="1"/>
      <c r="AAB32" s="1"/>
      <c r="AAC32" s="1"/>
      <c r="AAD32" s="1"/>
      <c r="AAE32" s="1"/>
      <c r="AAF32" s="1"/>
      <c r="AAG32" s="1"/>
      <c r="AAH32" s="1"/>
      <c r="AAI32" s="1"/>
      <c r="AAJ32" s="1"/>
      <c r="AAK32" s="1"/>
      <c r="AAL32" s="1"/>
      <c r="AAM32" s="1"/>
      <c r="AAN32" s="1"/>
      <c r="AAO32" s="1"/>
      <c r="AAP32" s="1"/>
      <c r="AAQ32" s="1"/>
      <c r="AAR32" s="1"/>
      <c r="AAS32" s="1"/>
      <c r="AAT32" s="1"/>
      <c r="AAU32" s="1"/>
      <c r="AAV32" s="1"/>
      <c r="AAW32" s="1"/>
      <c r="AAX32" s="1"/>
      <c r="AAY32" s="1"/>
      <c r="AAZ32" s="1"/>
      <c r="ABA32" s="1"/>
      <c r="ABB32" s="1"/>
      <c r="ABC32" s="1"/>
      <c r="ABD32" s="1"/>
      <c r="ABE32" s="1"/>
      <c r="ABF32" s="1"/>
      <c r="ABG32" s="1"/>
      <c r="ABH32" s="1"/>
      <c r="ABI32" s="1"/>
      <c r="ABJ32" s="1"/>
      <c r="ABK32" s="1"/>
      <c r="ABL32" s="1"/>
      <c r="ABM32" s="1"/>
      <c r="ABN32" s="1"/>
      <c r="ABO32" s="1"/>
      <c r="ABP32" s="1"/>
      <c r="ABQ32" s="1"/>
      <c r="ABR32" s="1"/>
      <c r="ABS32" s="1"/>
      <c r="ABT32" s="1"/>
      <c r="ABU32" s="1"/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1"/>
      <c r="ACO32" s="1"/>
      <c r="ACP32" s="1"/>
      <c r="ACQ32" s="1"/>
      <c r="ACR32" s="1"/>
      <c r="ACS32" s="1"/>
      <c r="ACT32" s="1"/>
      <c r="ACU32" s="1"/>
      <c r="ACV32" s="1"/>
      <c r="ACW32" s="1"/>
      <c r="ACX32" s="1"/>
      <c r="ACY32" s="1"/>
      <c r="ACZ32" s="1"/>
      <c r="ADA32" s="1"/>
      <c r="ADB32" s="1"/>
      <c r="ADC32" s="1"/>
      <c r="ADD32" s="1"/>
      <c r="ADE32" s="1"/>
      <c r="ADF32" s="1"/>
      <c r="ADG32" s="1"/>
      <c r="ADH32" s="1"/>
      <c r="ADI32" s="1"/>
      <c r="ADJ32" s="1"/>
      <c r="ADK32" s="1"/>
      <c r="ADL32" s="1"/>
      <c r="ADM32" s="1"/>
      <c r="ADN32" s="1"/>
      <c r="ADO32" s="1"/>
      <c r="ADP32" s="1"/>
      <c r="ADQ32" s="1"/>
      <c r="ADR32" s="1"/>
      <c r="ADS32" s="1"/>
      <c r="ADT32" s="1"/>
      <c r="ADU32" s="1"/>
      <c r="ADV32" s="1"/>
      <c r="ADW32" s="1"/>
      <c r="ADX32" s="1"/>
      <c r="ADY32" s="1"/>
      <c r="ADZ32" s="1"/>
      <c r="AEA32" s="1"/>
      <c r="AEB32" s="1"/>
      <c r="AEC32" s="1"/>
      <c r="AED32" s="1"/>
      <c r="AEE32" s="1"/>
      <c r="AEF32" s="1"/>
      <c r="AEG32" s="1"/>
      <c r="AEH32" s="1"/>
      <c r="AEI32" s="1"/>
      <c r="AEJ32" s="1"/>
      <c r="AEK32" s="1"/>
      <c r="AEL32" s="1"/>
      <c r="AEM32" s="1"/>
      <c r="AEN32" s="1"/>
      <c r="AEO32" s="1"/>
      <c r="AEP32" s="1"/>
      <c r="AEQ32" s="1"/>
      <c r="AER32" s="1"/>
      <c r="AES32" s="1"/>
      <c r="AET32" s="1"/>
      <c r="AEU32" s="1"/>
      <c r="AEV32" s="1"/>
      <c r="AEW32" s="1"/>
      <c r="AEX32" s="1"/>
      <c r="AEY32" s="1"/>
      <c r="AEZ32" s="1"/>
      <c r="AFA32" s="1"/>
      <c r="AFB32" s="1"/>
      <c r="AFC32" s="1"/>
      <c r="AFD32" s="1"/>
      <c r="AFE32" s="1"/>
      <c r="AFF32" s="1"/>
      <c r="AFG32" s="1"/>
      <c r="AFH32" s="1"/>
      <c r="AFI32" s="1"/>
      <c r="AFJ32" s="1"/>
      <c r="AFK32" s="1"/>
      <c r="AFL32" s="1"/>
      <c r="AFM32" s="1"/>
      <c r="AFN32" s="1"/>
      <c r="AFO32" s="1"/>
      <c r="AFP32" s="1"/>
      <c r="AFQ32" s="1"/>
      <c r="AFR32" s="1"/>
      <c r="AFS32" s="1"/>
      <c r="AFT32" s="1"/>
      <c r="AFU32" s="1"/>
      <c r="AFV32" s="1"/>
      <c r="AFW32" s="1"/>
      <c r="AFX32" s="1"/>
      <c r="AFY32" s="1"/>
      <c r="AFZ32" s="1"/>
      <c r="AGA32" s="1"/>
      <c r="AGB32" s="1"/>
      <c r="AGC32" s="1"/>
      <c r="AGD32" s="1"/>
      <c r="AGE32" s="1"/>
      <c r="AGF32" s="1"/>
      <c r="AGG32" s="1"/>
      <c r="AGH32" s="1"/>
      <c r="AGI32" s="1"/>
      <c r="AGJ32" s="1"/>
      <c r="AGK32" s="1"/>
      <c r="AGL32" s="1"/>
      <c r="AGM32" s="1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  <c r="ALN32" s="1"/>
      <c r="ALO32" s="1"/>
      <c r="ALP32" s="1"/>
      <c r="ALQ32" s="1"/>
      <c r="ALR32" s="1"/>
      <c r="ALS32" s="1"/>
      <c r="ALT32" s="1"/>
      <c r="ALU32" s="1"/>
      <c r="ALV32" s="1"/>
      <c r="ALW32" s="1"/>
      <c r="ALX32" s="1"/>
      <c r="ALY32" s="1"/>
      <c r="ALZ32" s="1"/>
      <c r="AMA32" s="1"/>
      <c r="AMB32" s="1"/>
      <c r="AMC32" s="1"/>
      <c r="AMD32" s="1"/>
      <c r="AME32" s="1"/>
      <c r="AMF32" s="1"/>
      <c r="AMG32" s="1"/>
      <c r="AMH32" s="1"/>
      <c r="AMI32" s="1"/>
      <c r="AMJ32" s="1"/>
      <c r="AMK32" s="1"/>
      <c r="AML32" s="1"/>
      <c r="AMM32" s="1"/>
      <c r="AMN32" s="1"/>
      <c r="AMO32" s="1"/>
      <c r="AMP32" s="1"/>
    </row>
    <row r="33" spans="1:1029" x14ac:dyDescent="0.2">
      <c r="A33" s="3" t="str">
        <f t="shared" si="0"/>
        <v>aa2ar_human_4EIY</v>
      </c>
      <c r="B33" s="3" t="s">
        <v>139</v>
      </c>
      <c r="C33" s="3" t="s">
        <v>81</v>
      </c>
      <c r="D33" s="3" t="str">
        <f>IFERROR(MID(VLOOKUP($B33,Seqs!$A:$B,2,0),E33,1),"")</f>
        <v>P</v>
      </c>
      <c r="E33" s="3">
        <v>2</v>
      </c>
      <c r="F33" s="3" t="str">
        <f>IFERROR(MID(VLOOKUP($B33,Seqs!$A:$B,2,0),G33,1),"")</f>
        <v>N</v>
      </c>
      <c r="G33" s="3">
        <v>34</v>
      </c>
      <c r="H33" s="3" t="str">
        <f>IFERROR(MID(VLOOKUP($B33,Seqs!$A:$B,2,0),I33,1),"")</f>
        <v>S</v>
      </c>
      <c r="I33" s="23">
        <v>35</v>
      </c>
      <c r="J33" s="3" t="str">
        <f>IFERROR(MID(VLOOKUP($B33,Seqs!$A:$B,2,0),K33,1),"")</f>
        <v>Q</v>
      </c>
      <c r="K33" s="23">
        <v>38</v>
      </c>
      <c r="L33" s="3" t="str">
        <f>IFERROR(MID(VLOOKUP($B33,Seqs!$A:$B,2,0),M33,1),"")</f>
        <v>N</v>
      </c>
      <c r="M33" s="3">
        <v>39</v>
      </c>
      <c r="N33" s="3" t="str">
        <f>IFERROR(MID(VLOOKUP($B33,Seqs!$A:$B,2,0),O33,1),"")</f>
        <v>G</v>
      </c>
      <c r="O33" s="3">
        <v>69</v>
      </c>
      <c r="P33" s="3" t="str">
        <f>IFERROR(MID(VLOOKUP($B33,Seqs!$A:$B,2,0),Q33,1),"")</f>
        <v>F</v>
      </c>
      <c r="Q33" s="3">
        <v>70</v>
      </c>
      <c r="R33" s="3" t="str">
        <f>IFERROR(MID(VLOOKUP($B33,Seqs!$A:$B,2,0),S33,1),"")</f>
        <v>A</v>
      </c>
      <c r="S33" s="3">
        <v>72</v>
      </c>
      <c r="T33" s="3" t="str">
        <f>IFERROR(MID(VLOOKUP($B33,Seqs!$A:$B,2,0),U33,1),"")</f>
        <v>A</v>
      </c>
      <c r="U33" s="3">
        <v>73</v>
      </c>
      <c r="V33" s="3" t="str">
        <f>IFERROR(MID(VLOOKUP($B33,Seqs!$A:$B,2,0),W33,1),"")</f>
        <v>I</v>
      </c>
      <c r="W33" s="3">
        <v>108</v>
      </c>
      <c r="X33" s="3" t="str">
        <f>IFERROR(MID(VLOOKUP($B33,Seqs!$A:$B,2,0),Y33,1),"")</f>
        <v>P</v>
      </c>
      <c r="Y33" s="3">
        <v>109</v>
      </c>
      <c r="Z33" s="3" t="str">
        <f>IFERROR(MID(VLOOKUP($B33,Seqs!$A:$B,2,0),AA33,1),"")</f>
        <v>V</v>
      </c>
      <c r="AA33" s="3">
        <v>116</v>
      </c>
      <c r="AB33" s="3" t="str">
        <f>IFERROR(MID(VLOOKUP($B33,Seqs!$A:$B,2,0),AC33,1),"")</f>
        <v>T</v>
      </c>
      <c r="AC33" s="9">
        <v>117</v>
      </c>
      <c r="AD33" s="3" t="str">
        <f>IFERROR(MID(VLOOKUP($B33,Seqs!$A:$B,2,0),AE33,1),"")</f>
        <v>G</v>
      </c>
      <c r="AE33" s="3">
        <v>142</v>
      </c>
      <c r="AF33" s="3" t="str">
        <f>IFERROR(MID(VLOOKUP($B33,Seqs!$A:$B,2,0),AG33,1),"")</f>
        <v>C</v>
      </c>
      <c r="AG33" s="3">
        <v>166</v>
      </c>
      <c r="AH33" s="3" t="str">
        <f>IFERROR(MID(VLOOKUP($B33,Seqs!$A:$B,2,0),AI33,1),"")</f>
        <v>F</v>
      </c>
      <c r="AI33" s="3">
        <v>168</v>
      </c>
      <c r="AJ33" s="3" t="str">
        <f>IFERROR(MID(VLOOKUP($B33,Seqs!$A:$B,2,0),AK33,1),"")</f>
        <v>P</v>
      </c>
      <c r="AK33" s="3">
        <v>173</v>
      </c>
      <c r="AL33" s="3" t="str">
        <f>IFERROR(MID(VLOOKUP($B33,Seqs!$A:$B,2,0),AM33,1),"")</f>
        <v>Q</v>
      </c>
      <c r="AM33" s="3">
        <v>207</v>
      </c>
      <c r="AN33" s="3" t="str">
        <f>IFERROR(MID(VLOOKUP($B33,Seqs!$A:$B,2,0),AO33,1),"")</f>
        <v>E</v>
      </c>
      <c r="AO33" s="3">
        <v>219</v>
      </c>
      <c r="AP33" s="3" t="str">
        <f>IFERROR(MID(VLOOKUP($B33,Seqs!$A:$B,2,0),AQ33,1),"")</f>
        <v>C</v>
      </c>
      <c r="AQ33" s="3">
        <v>259</v>
      </c>
      <c r="AR33" s="3" t="str">
        <f>IFERROR(MID(VLOOKUP($B33,Seqs!$A:$B,2,0),AS33,1),"")</f>
        <v>P</v>
      </c>
      <c r="AS33" s="3">
        <v>266</v>
      </c>
      <c r="AT33" s="3" t="str">
        <f>IFERROR(MID(VLOOKUP($B33,Seqs!$A:$B,2,0),AU33,1),"")</f>
        <v>R</v>
      </c>
      <c r="AU33" s="3">
        <v>291</v>
      </c>
      <c r="AV33" s="3" t="str">
        <f>IFERROR(MID(VLOOKUP($B33,Seqs!$A:$B,2,0),AW33,1),"")</f>
        <v>I</v>
      </c>
      <c r="AW33" s="3">
        <v>292</v>
      </c>
      <c r="AX33" s="3" t="str">
        <f>IFERROR(MID(VLOOKUP($B33,Seqs!$A:$B,2,0),AY33,1),"")</f>
        <v>V</v>
      </c>
      <c r="AY33" s="3">
        <v>307</v>
      </c>
      <c r="AZ33" s="77" t="str">
        <f>VLOOKUP(B33,Classification!A:D,2,0)</f>
        <v>A</v>
      </c>
      <c r="BA33" s="94" t="str">
        <f>VLOOKUP(B33,Classification!A:D,4,0)</f>
        <v>Adenosine</v>
      </c>
      <c r="BB33" s="27" t="b">
        <f t="shared" si="1"/>
        <v>1</v>
      </c>
      <c r="BC33" s="23">
        <f t="shared" si="168"/>
        <v>262</v>
      </c>
      <c r="BD33" s="4" t="s">
        <v>23</v>
      </c>
      <c r="BE33" s="3" t="s">
        <v>1381</v>
      </c>
      <c r="BF33" s="119">
        <v>1.8</v>
      </c>
      <c r="BG33" s="49" t="s">
        <v>1384</v>
      </c>
      <c r="BH33" s="49" t="s">
        <v>1384</v>
      </c>
      <c r="BI33" s="1"/>
      <c r="BJ33" s="70" t="s">
        <v>1293</v>
      </c>
      <c r="BK33" s="57" t="s">
        <v>1293</v>
      </c>
      <c r="BL33" s="57" t="s">
        <v>1293</v>
      </c>
      <c r="BM33" s="57" t="s">
        <v>1293</v>
      </c>
      <c r="BN33" s="57" t="s">
        <v>1293</v>
      </c>
      <c r="BO33" s="57" t="s">
        <v>1293</v>
      </c>
      <c r="BP33" s="57" t="s">
        <v>1293</v>
      </c>
      <c r="BQ33" s="57" t="s">
        <v>1293</v>
      </c>
      <c r="BR33" s="57" t="s">
        <v>1293</v>
      </c>
      <c r="BS33" s="57" t="s">
        <v>1293</v>
      </c>
      <c r="BT33" s="57" t="s">
        <v>1293</v>
      </c>
      <c r="BU33" s="57" t="s">
        <v>1293</v>
      </c>
      <c r="BV33" s="70">
        <f t="shared" si="3"/>
        <v>2</v>
      </c>
      <c r="BW33" s="71">
        <f t="shared" si="4"/>
        <v>35</v>
      </c>
      <c r="BX33" s="72">
        <f t="shared" si="5"/>
        <v>39</v>
      </c>
      <c r="BY33" s="71">
        <f t="shared" si="6"/>
        <v>70</v>
      </c>
      <c r="BZ33" s="72">
        <f t="shared" si="7"/>
        <v>73</v>
      </c>
      <c r="CA33" s="71">
        <f t="shared" si="8"/>
        <v>109</v>
      </c>
      <c r="CB33" s="72">
        <f t="shared" si="9"/>
        <v>117</v>
      </c>
      <c r="CC33" s="71">
        <f t="shared" si="10"/>
        <v>166</v>
      </c>
      <c r="CD33" s="72">
        <f t="shared" si="11"/>
        <v>173</v>
      </c>
      <c r="CE33" s="71">
        <f t="shared" si="12"/>
        <v>219</v>
      </c>
      <c r="CF33" s="72">
        <f t="shared" si="13"/>
        <v>266</v>
      </c>
      <c r="CG33" s="71">
        <f t="shared" si="14"/>
        <v>292</v>
      </c>
      <c r="CH33" s="70">
        <f t="shared" si="15"/>
        <v>34</v>
      </c>
      <c r="CI33" s="71">
        <f t="shared" si="16"/>
        <v>38</v>
      </c>
      <c r="CJ33" s="72">
        <f t="shared" si="17"/>
        <v>69</v>
      </c>
      <c r="CK33" s="72">
        <f t="shared" si="18"/>
        <v>72</v>
      </c>
      <c r="CL33" s="72">
        <f t="shared" si="19"/>
        <v>108</v>
      </c>
      <c r="CM33" s="72">
        <f t="shared" si="20"/>
        <v>116</v>
      </c>
      <c r="CN33" s="72">
        <f t="shared" si="21"/>
        <v>142</v>
      </c>
      <c r="CO33" s="72">
        <f t="shared" si="22"/>
        <v>168</v>
      </c>
      <c r="CP33" s="72">
        <f t="shared" si="23"/>
        <v>207</v>
      </c>
      <c r="CQ33" s="72">
        <f t="shared" si="24"/>
        <v>259</v>
      </c>
      <c r="CR33" s="72">
        <f t="shared" si="25"/>
        <v>291</v>
      </c>
      <c r="CS33" s="72">
        <f t="shared" si="26"/>
        <v>307</v>
      </c>
      <c r="CT33" s="23">
        <f t="shared" si="27"/>
        <v>1</v>
      </c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1"/>
      <c r="UU33" s="1"/>
      <c r="UV33" s="1"/>
      <c r="UW33" s="1"/>
      <c r="UX33" s="1"/>
      <c r="UY33" s="1"/>
      <c r="UZ33" s="1"/>
      <c r="VA33" s="1"/>
      <c r="VB33" s="1"/>
      <c r="VC33" s="1"/>
      <c r="VD33" s="1"/>
      <c r="VE33" s="1"/>
      <c r="VF33" s="1"/>
      <c r="VG33" s="1"/>
      <c r="VH33" s="1"/>
      <c r="VI33" s="1"/>
      <c r="VJ33" s="1"/>
      <c r="VK33" s="1"/>
      <c r="VL33" s="1"/>
      <c r="VM33" s="1"/>
      <c r="VN33" s="1"/>
      <c r="VO33" s="1"/>
      <c r="VP33" s="1"/>
      <c r="VQ33" s="1"/>
      <c r="VR33" s="1"/>
      <c r="VS33" s="1"/>
      <c r="VT33" s="1"/>
      <c r="VU33" s="1"/>
      <c r="VV33" s="1"/>
      <c r="VW33" s="1"/>
      <c r="VX33" s="1"/>
      <c r="VY33" s="1"/>
      <c r="VZ33" s="1"/>
      <c r="WA33" s="1"/>
      <c r="WB33" s="1"/>
      <c r="WC33" s="1"/>
      <c r="WD33" s="1"/>
      <c r="WE33" s="1"/>
      <c r="WF33" s="1"/>
      <c r="WG33" s="1"/>
      <c r="WH33" s="1"/>
      <c r="WI33" s="1"/>
      <c r="WJ33" s="1"/>
      <c r="WK33" s="1"/>
      <c r="WL33" s="1"/>
      <c r="WM33" s="1"/>
      <c r="WN33" s="1"/>
      <c r="WO33" s="1"/>
      <c r="WP33" s="1"/>
      <c r="WQ33" s="1"/>
      <c r="WR33" s="1"/>
      <c r="WS33" s="1"/>
      <c r="WT33" s="1"/>
      <c r="WU33" s="1"/>
      <c r="WV33" s="1"/>
      <c r="WW33" s="1"/>
      <c r="WX33" s="1"/>
      <c r="WY33" s="1"/>
      <c r="WZ33" s="1"/>
      <c r="XA33" s="1"/>
      <c r="XB33" s="1"/>
      <c r="XC33" s="1"/>
      <c r="XD33" s="1"/>
      <c r="XE33" s="1"/>
      <c r="XF33" s="1"/>
      <c r="XG33" s="1"/>
      <c r="XH33" s="1"/>
      <c r="XI33" s="1"/>
      <c r="XJ33" s="1"/>
      <c r="XK33" s="1"/>
      <c r="XL33" s="1"/>
      <c r="XM33" s="1"/>
      <c r="XN33" s="1"/>
      <c r="XO33" s="1"/>
      <c r="XP33" s="1"/>
      <c r="XQ33" s="1"/>
      <c r="XR33" s="1"/>
      <c r="XS33" s="1"/>
      <c r="XT33" s="1"/>
      <c r="XU33" s="1"/>
      <c r="XV33" s="1"/>
      <c r="XW33" s="1"/>
      <c r="XX33" s="1"/>
      <c r="XY33" s="1"/>
      <c r="XZ33" s="1"/>
      <c r="YA33" s="1"/>
      <c r="YB33" s="1"/>
      <c r="YC33" s="1"/>
      <c r="YD33" s="1"/>
      <c r="YE33" s="1"/>
      <c r="YF33" s="1"/>
      <c r="YG33" s="1"/>
      <c r="YH33" s="1"/>
      <c r="YI33" s="1"/>
      <c r="YJ33" s="1"/>
      <c r="YK33" s="1"/>
      <c r="YL33" s="1"/>
      <c r="YM33" s="1"/>
      <c r="YN33" s="1"/>
      <c r="YO33" s="1"/>
      <c r="YP33" s="1"/>
      <c r="YQ33" s="1"/>
      <c r="YR33" s="1"/>
      <c r="YS33" s="1"/>
      <c r="YT33" s="1"/>
      <c r="YU33" s="1"/>
      <c r="YV33" s="1"/>
      <c r="YW33" s="1"/>
      <c r="YX33" s="1"/>
      <c r="YY33" s="1"/>
      <c r="YZ33" s="1"/>
      <c r="ZA33" s="1"/>
      <c r="ZB33" s="1"/>
      <c r="ZC33" s="1"/>
      <c r="ZD33" s="1"/>
      <c r="ZE33" s="1"/>
      <c r="ZF33" s="1"/>
      <c r="ZG33" s="1"/>
      <c r="ZH33" s="1"/>
      <c r="ZI33" s="1"/>
      <c r="ZJ33" s="1"/>
      <c r="ZK33" s="1"/>
      <c r="ZL33" s="1"/>
      <c r="ZM33" s="1"/>
      <c r="ZN33" s="1"/>
      <c r="ZO33" s="1"/>
      <c r="ZP33" s="1"/>
      <c r="ZQ33" s="1"/>
      <c r="ZR33" s="1"/>
      <c r="ZS33" s="1"/>
      <c r="ZT33" s="1"/>
      <c r="ZU33" s="1"/>
      <c r="ZV33" s="1"/>
      <c r="ZW33" s="1"/>
      <c r="ZX33" s="1"/>
      <c r="ZY33" s="1"/>
      <c r="ZZ33" s="1"/>
      <c r="AAA33" s="1"/>
      <c r="AAB33" s="1"/>
      <c r="AAC33" s="1"/>
      <c r="AAD33" s="1"/>
      <c r="AAE33" s="1"/>
      <c r="AAF33" s="1"/>
      <c r="AAG33" s="1"/>
      <c r="AAH33" s="1"/>
      <c r="AAI33" s="1"/>
      <c r="AAJ33" s="1"/>
      <c r="AAK33" s="1"/>
      <c r="AAL33" s="1"/>
      <c r="AAM33" s="1"/>
      <c r="AAN33" s="1"/>
      <c r="AAO33" s="1"/>
      <c r="AAP33" s="1"/>
      <c r="AAQ33" s="1"/>
      <c r="AAR33" s="1"/>
      <c r="AAS33" s="1"/>
      <c r="AAT33" s="1"/>
      <c r="AAU33" s="1"/>
      <c r="AAV33" s="1"/>
      <c r="AAW33" s="1"/>
      <c r="AAX33" s="1"/>
      <c r="AAY33" s="1"/>
      <c r="AAZ33" s="1"/>
      <c r="ABA33" s="1"/>
      <c r="ABB33" s="1"/>
      <c r="ABC33" s="1"/>
      <c r="ABD33" s="1"/>
      <c r="ABE33" s="1"/>
      <c r="ABF33" s="1"/>
      <c r="ABG33" s="1"/>
      <c r="ABH33" s="1"/>
      <c r="ABI33" s="1"/>
      <c r="ABJ33" s="1"/>
      <c r="ABK33" s="1"/>
      <c r="ABL33" s="1"/>
      <c r="ABM33" s="1"/>
      <c r="ABN33" s="1"/>
      <c r="ABO33" s="1"/>
      <c r="ABP33" s="1"/>
      <c r="ABQ33" s="1"/>
      <c r="ABR33" s="1"/>
      <c r="ABS33" s="1"/>
      <c r="ABT33" s="1"/>
      <c r="ABU33" s="1"/>
      <c r="ABV33" s="1"/>
      <c r="ABW33" s="1"/>
      <c r="ABX33" s="1"/>
      <c r="ABY33" s="1"/>
      <c r="ABZ33" s="1"/>
      <c r="ACA33" s="1"/>
      <c r="ACB33" s="1"/>
      <c r="ACC33" s="1"/>
      <c r="ACD33" s="1"/>
      <c r="ACE33" s="1"/>
      <c r="ACF33" s="1"/>
      <c r="ACG33" s="1"/>
      <c r="ACH33" s="1"/>
      <c r="ACI33" s="1"/>
      <c r="ACJ33" s="1"/>
      <c r="ACK33" s="1"/>
      <c r="ACL33" s="1"/>
      <c r="ACM33" s="1"/>
      <c r="ACN33" s="1"/>
      <c r="ACO33" s="1"/>
      <c r="ACP33" s="1"/>
      <c r="ACQ33" s="1"/>
      <c r="ACR33" s="1"/>
      <c r="ACS33" s="1"/>
      <c r="ACT33" s="1"/>
      <c r="ACU33" s="1"/>
      <c r="ACV33" s="1"/>
      <c r="ACW33" s="1"/>
      <c r="ACX33" s="1"/>
      <c r="ACY33" s="1"/>
      <c r="ACZ33" s="1"/>
      <c r="ADA33" s="1"/>
      <c r="ADB33" s="1"/>
      <c r="ADC33" s="1"/>
      <c r="ADD33" s="1"/>
      <c r="ADE33" s="1"/>
      <c r="ADF33" s="1"/>
      <c r="ADG33" s="1"/>
      <c r="ADH33" s="1"/>
      <c r="ADI33" s="1"/>
      <c r="ADJ33" s="1"/>
      <c r="ADK33" s="1"/>
      <c r="ADL33" s="1"/>
      <c r="ADM33" s="1"/>
      <c r="ADN33" s="1"/>
      <c r="ADO33" s="1"/>
      <c r="ADP33" s="1"/>
      <c r="ADQ33" s="1"/>
      <c r="ADR33" s="1"/>
      <c r="ADS33" s="1"/>
      <c r="ADT33" s="1"/>
      <c r="ADU33" s="1"/>
      <c r="ADV33" s="1"/>
      <c r="ADW33" s="1"/>
      <c r="ADX33" s="1"/>
      <c r="ADY33" s="1"/>
      <c r="ADZ33" s="1"/>
      <c r="AEA33" s="1"/>
      <c r="AEB33" s="1"/>
      <c r="AEC33" s="1"/>
      <c r="AED33" s="1"/>
      <c r="AEE33" s="1"/>
      <c r="AEF33" s="1"/>
      <c r="AEG33" s="1"/>
      <c r="AEH33" s="1"/>
      <c r="AEI33" s="1"/>
      <c r="AEJ33" s="1"/>
      <c r="AEK33" s="1"/>
      <c r="AEL33" s="1"/>
      <c r="AEM33" s="1"/>
      <c r="AEN33" s="1"/>
      <c r="AEO33" s="1"/>
      <c r="AEP33" s="1"/>
      <c r="AEQ33" s="1"/>
      <c r="AER33" s="1"/>
      <c r="AES33" s="1"/>
      <c r="AET33" s="1"/>
      <c r="AEU33" s="1"/>
      <c r="AEV33" s="1"/>
      <c r="AEW33" s="1"/>
      <c r="AEX33" s="1"/>
      <c r="AEY33" s="1"/>
      <c r="AEZ33" s="1"/>
      <c r="AFA33" s="1"/>
      <c r="AFB33" s="1"/>
      <c r="AFC33" s="1"/>
      <c r="AFD33" s="1"/>
      <c r="AFE33" s="1"/>
      <c r="AFF33" s="1"/>
      <c r="AFG33" s="1"/>
      <c r="AFH33" s="1"/>
      <c r="AFI33" s="1"/>
      <c r="AFJ33" s="1"/>
      <c r="AFK33" s="1"/>
      <c r="AFL33" s="1"/>
      <c r="AFM33" s="1"/>
      <c r="AFN33" s="1"/>
      <c r="AFO33" s="1"/>
      <c r="AFP33" s="1"/>
      <c r="AFQ33" s="1"/>
      <c r="AFR33" s="1"/>
      <c r="AFS33" s="1"/>
      <c r="AFT33" s="1"/>
      <c r="AFU33" s="1"/>
      <c r="AFV33" s="1"/>
      <c r="AFW33" s="1"/>
      <c r="AFX33" s="1"/>
      <c r="AFY33" s="1"/>
      <c r="AFZ33" s="1"/>
      <c r="AGA33" s="1"/>
      <c r="AGB33" s="1"/>
      <c r="AGC33" s="1"/>
      <c r="AGD33" s="1"/>
      <c r="AGE33" s="1"/>
      <c r="AGF33" s="1"/>
      <c r="AGG33" s="1"/>
      <c r="AGH33" s="1"/>
      <c r="AGI33" s="1"/>
      <c r="AGJ33" s="1"/>
      <c r="AGK33" s="1"/>
      <c r="AGL33" s="1"/>
      <c r="AGM33" s="1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/>
      <c r="AHB33" s="1"/>
      <c r="AHC33" s="1"/>
      <c r="AHD33" s="1"/>
      <c r="AHE33" s="1"/>
      <c r="AHF33" s="1"/>
      <c r="AHG33" s="1"/>
      <c r="AHH33" s="1"/>
      <c r="AHI33" s="1"/>
      <c r="AHJ33" s="1"/>
      <c r="AHK33" s="1"/>
      <c r="AHL33" s="1"/>
      <c r="AHM33" s="1"/>
      <c r="AHN33" s="1"/>
      <c r="AHO33" s="1"/>
      <c r="AHP33" s="1"/>
      <c r="AHQ33" s="1"/>
      <c r="AHR33" s="1"/>
      <c r="AHS33" s="1"/>
      <c r="AHT33" s="1"/>
      <c r="AHU33" s="1"/>
      <c r="AHV33" s="1"/>
      <c r="AHW33" s="1"/>
      <c r="AHX33" s="1"/>
      <c r="AHY33" s="1"/>
      <c r="AHZ33" s="1"/>
      <c r="AIA33" s="1"/>
      <c r="AIB33" s="1"/>
      <c r="AIC33" s="1"/>
      <c r="AID33" s="1"/>
      <c r="AIE33" s="1"/>
      <c r="AIF33" s="1"/>
      <c r="AIG33" s="1"/>
      <c r="AIH33" s="1"/>
      <c r="AII33" s="1"/>
      <c r="AIJ33" s="1"/>
      <c r="AIK33" s="1"/>
      <c r="AIL33" s="1"/>
      <c r="AIM33" s="1"/>
      <c r="AIN33" s="1"/>
      <c r="AIO33" s="1"/>
      <c r="AIP33" s="1"/>
      <c r="AIQ33" s="1"/>
      <c r="AIR33" s="1"/>
      <c r="AIS33" s="1"/>
      <c r="AIT33" s="1"/>
      <c r="AIU33" s="1"/>
      <c r="AIV33" s="1"/>
      <c r="AIW33" s="1"/>
      <c r="AIX33" s="1"/>
      <c r="AIY33" s="1"/>
      <c r="AIZ33" s="1"/>
      <c r="AJA33" s="1"/>
      <c r="AJB33" s="1"/>
      <c r="AJC33" s="1"/>
      <c r="AJD33" s="1"/>
      <c r="AJE33" s="1"/>
      <c r="AJF33" s="1"/>
      <c r="AJG33" s="1"/>
      <c r="AJH33" s="1"/>
      <c r="AJI33" s="1"/>
      <c r="AJJ33" s="1"/>
      <c r="AJK33" s="1"/>
      <c r="AJL33" s="1"/>
      <c r="AJM33" s="1"/>
      <c r="AJN33" s="1"/>
      <c r="AJO33" s="1"/>
      <c r="AJP33" s="1"/>
      <c r="AJQ33" s="1"/>
      <c r="AJR33" s="1"/>
      <c r="AJS33" s="1"/>
      <c r="AJT33" s="1"/>
      <c r="AJU33" s="1"/>
      <c r="AJV33" s="1"/>
      <c r="AJW33" s="1"/>
      <c r="AJX33" s="1"/>
      <c r="AJY33" s="1"/>
      <c r="AJZ33" s="1"/>
      <c r="AKA33" s="1"/>
      <c r="AKB33" s="1"/>
      <c r="AKC33" s="1"/>
      <c r="AKD33" s="1"/>
      <c r="AKE33" s="1"/>
      <c r="AKF33" s="1"/>
      <c r="AKG33" s="1"/>
      <c r="AKH33" s="1"/>
      <c r="AKI33" s="1"/>
      <c r="AKJ33" s="1"/>
      <c r="AKK33" s="1"/>
      <c r="AKL33" s="1"/>
      <c r="AKM33" s="1"/>
      <c r="AKN33" s="1"/>
      <c r="AKO33" s="1"/>
      <c r="AKP33" s="1"/>
      <c r="AKQ33" s="1"/>
      <c r="AKR33" s="1"/>
      <c r="AKS33" s="1"/>
      <c r="AKT33" s="1"/>
      <c r="AKU33" s="1"/>
      <c r="AKV33" s="1"/>
      <c r="AKW33" s="1"/>
      <c r="AKX33" s="1"/>
      <c r="AKY33" s="1"/>
      <c r="AKZ33" s="1"/>
      <c r="ALA33" s="1"/>
      <c r="ALB33" s="1"/>
      <c r="ALC33" s="1"/>
      <c r="ALD33" s="1"/>
      <c r="ALE33" s="1"/>
      <c r="ALF33" s="1"/>
      <c r="ALG33" s="1"/>
      <c r="ALH33" s="1"/>
      <c r="ALI33" s="1"/>
      <c r="ALJ33" s="1"/>
      <c r="ALK33" s="1"/>
      <c r="ALL33" s="1"/>
      <c r="ALM33" s="1"/>
      <c r="ALN33" s="1"/>
      <c r="ALO33" s="1"/>
      <c r="ALP33" s="1"/>
      <c r="ALQ33" s="1"/>
      <c r="ALR33" s="1"/>
      <c r="ALS33" s="1"/>
      <c r="ALT33" s="1"/>
      <c r="ALU33" s="1"/>
      <c r="ALV33" s="1"/>
      <c r="ALW33" s="1"/>
      <c r="ALX33" s="1"/>
      <c r="ALY33" s="1"/>
      <c r="ALZ33" s="1"/>
      <c r="AMA33" s="1"/>
      <c r="AMB33" s="1"/>
      <c r="AMC33" s="1"/>
      <c r="AMD33" s="1"/>
      <c r="AME33" s="1"/>
      <c r="AMF33" s="1"/>
      <c r="AMG33" s="1"/>
      <c r="AMH33" s="1"/>
      <c r="AMI33" s="1"/>
      <c r="AMJ33" s="1"/>
      <c r="AMK33" s="1"/>
      <c r="AML33" s="1"/>
      <c r="AMM33" s="1"/>
      <c r="AMN33" s="1"/>
      <c r="AMO33" s="1"/>
    </row>
    <row r="34" spans="1:1029" x14ac:dyDescent="0.2">
      <c r="A34" s="3" t="str">
        <f t="shared" si="0"/>
        <v>aa2ar_human_4UHR</v>
      </c>
      <c r="B34" s="3" t="s">
        <v>139</v>
      </c>
      <c r="C34" s="3" t="s">
        <v>1055</v>
      </c>
      <c r="D34" s="3" t="str">
        <f>IFERROR(MID(VLOOKUP($B34,Seqs!$A:$B,2,0),E34,1),"")</f>
        <v>S</v>
      </c>
      <c r="E34" s="3">
        <v>6</v>
      </c>
      <c r="F34" s="3" t="str">
        <f>IFERROR(MID(VLOOKUP($B34,Seqs!$A:$B,2,0),G34,1),"")</f>
        <v>N</v>
      </c>
      <c r="G34" s="3">
        <v>34</v>
      </c>
      <c r="H34" s="3" t="str">
        <f>IFERROR(MID(VLOOKUP($B34,Seqs!$A:$B,2,0),I34,1),"")</f>
        <v>S</v>
      </c>
      <c r="I34" s="23">
        <v>35</v>
      </c>
      <c r="J34" s="3" t="str">
        <f>IFERROR(MID(VLOOKUP($B34,Seqs!$A:$B,2,0),K34,1),"")</f>
        <v>Q</v>
      </c>
      <c r="K34" s="23">
        <v>38</v>
      </c>
      <c r="L34" s="3" t="str">
        <f>IFERROR(MID(VLOOKUP($B34,Seqs!$A:$B,2,0),M34,1),"")</f>
        <v>N</v>
      </c>
      <c r="M34" s="3">
        <v>39</v>
      </c>
      <c r="N34" s="3" t="str">
        <f>IFERROR(MID(VLOOKUP($B34,Seqs!$A:$B,2,0),O34,1),"")</f>
        <v>G</v>
      </c>
      <c r="O34" s="3">
        <v>69</v>
      </c>
      <c r="P34" s="3" t="str">
        <f>IFERROR(MID(VLOOKUP($B34,Seqs!$A:$B,2,0),Q34,1),"")</f>
        <v>F</v>
      </c>
      <c r="Q34" s="3">
        <v>70</v>
      </c>
      <c r="R34" s="3" t="str">
        <f>IFERROR(MID(VLOOKUP($B34,Seqs!$A:$B,2,0),S34,1),"")</f>
        <v>A</v>
      </c>
      <c r="S34" s="3">
        <v>72</v>
      </c>
      <c r="T34" s="3" t="str">
        <f>IFERROR(MID(VLOOKUP($B34,Seqs!$A:$B,2,0),U34,1),"")</f>
        <v>A</v>
      </c>
      <c r="U34" s="3">
        <v>73</v>
      </c>
      <c r="V34" s="3" t="str">
        <f>IFERROR(MID(VLOOKUP($B34,Seqs!$A:$B,2,0),W34,1),"")</f>
        <v>I</v>
      </c>
      <c r="W34" s="3">
        <v>108</v>
      </c>
      <c r="X34" s="3" t="str">
        <f>IFERROR(MID(VLOOKUP($B34,Seqs!$A:$B,2,0),Y34,1),"")</f>
        <v>P</v>
      </c>
      <c r="Y34" s="3">
        <v>109</v>
      </c>
      <c r="Z34" s="3" t="str">
        <f>IFERROR(MID(VLOOKUP($B34,Seqs!$A:$B,2,0),AA34,1),"")</f>
        <v>V</v>
      </c>
      <c r="AA34" s="3">
        <v>116</v>
      </c>
      <c r="AB34" s="3" t="str">
        <f>IFERROR(MID(VLOOKUP($B34,Seqs!$A:$B,2,0),AC34,1),"")</f>
        <v>T</v>
      </c>
      <c r="AC34" s="9">
        <v>117</v>
      </c>
      <c r="AD34" s="3" t="str">
        <f>IFERROR(MID(VLOOKUP($B34,Seqs!$A:$B,2,0),AE34,1),"")</f>
        <v>G</v>
      </c>
      <c r="AE34" s="3">
        <v>142</v>
      </c>
      <c r="AF34" s="3" t="str">
        <f>IFERROR(MID(VLOOKUP($B34,Seqs!$A:$B,2,0),AG34,1),"")</f>
        <v>C</v>
      </c>
      <c r="AG34" s="3">
        <v>166</v>
      </c>
      <c r="AH34" s="3" t="str">
        <f>IFERROR(MID(VLOOKUP($B34,Seqs!$A:$B,2,0),AI34,1),"")</f>
        <v>F</v>
      </c>
      <c r="AI34" s="3">
        <v>168</v>
      </c>
      <c r="AJ34" s="3" t="str">
        <f>IFERROR(MID(VLOOKUP($B34,Seqs!$A:$B,2,0),AK34,1),"")</f>
        <v>P</v>
      </c>
      <c r="AK34" s="3">
        <v>173</v>
      </c>
      <c r="AL34" s="3" t="str">
        <f>IFERROR(MID(VLOOKUP($B34,Seqs!$A:$B,2,0),AM34,1),"")</f>
        <v>S</v>
      </c>
      <c r="AM34" s="3">
        <v>213</v>
      </c>
      <c r="AN34" s="3" t="str">
        <f>IFERROR(MID(VLOOKUP($B34,Seqs!$A:$B,2,0),AO34,1),"")</f>
        <v>E</v>
      </c>
      <c r="AO34" s="3">
        <v>219</v>
      </c>
      <c r="AP34" s="3" t="str">
        <f>IFERROR(MID(VLOOKUP($B34,Seqs!$A:$B,2,0),AQ34,1),"")</f>
        <v>C</v>
      </c>
      <c r="AQ34" s="3">
        <v>259</v>
      </c>
      <c r="AR34" s="3" t="str">
        <f>IFERROR(MID(VLOOKUP($B34,Seqs!$A:$B,2,0),AS34,1),"")</f>
        <v>P</v>
      </c>
      <c r="AS34" s="3">
        <v>266</v>
      </c>
      <c r="AT34" s="3" t="str">
        <f>IFERROR(MID(VLOOKUP($B34,Seqs!$A:$B,2,0),AU34,1),"")</f>
        <v>R</v>
      </c>
      <c r="AU34" s="3">
        <v>291</v>
      </c>
      <c r="AV34" s="3" t="str">
        <f>IFERROR(MID(VLOOKUP($B34,Seqs!$A:$B,2,0),AW34,1),"")</f>
        <v>I</v>
      </c>
      <c r="AW34" s="3">
        <v>292</v>
      </c>
      <c r="AX34" s="3" t="str">
        <f>IFERROR(MID(VLOOKUP($B34,Seqs!$A:$B,2,0),AY34,1),"")</f>
        <v>Q</v>
      </c>
      <c r="AY34" s="3">
        <v>311</v>
      </c>
      <c r="AZ34" s="77" t="str">
        <f>VLOOKUP(B34,Classification!A:D,2,0)</f>
        <v>A</v>
      </c>
      <c r="BA34" s="94" t="str">
        <f>VLOOKUP(B34,Classification!A:D,4,0)</f>
        <v>Adenosine</v>
      </c>
      <c r="BB34" s="27" t="b">
        <f t="shared" si="1"/>
        <v>1</v>
      </c>
      <c r="BC34" s="23">
        <f t="shared" si="168"/>
        <v>268</v>
      </c>
      <c r="BD34" s="2" t="s">
        <v>1440</v>
      </c>
      <c r="BE34" s="3" t="s">
        <v>1439</v>
      </c>
      <c r="BF34" s="119">
        <v>2.6</v>
      </c>
      <c r="BG34" s="49" t="s">
        <v>1384</v>
      </c>
      <c r="BH34" s="49" t="s">
        <v>1384</v>
      </c>
      <c r="BI34" s="1"/>
      <c r="BJ34" s="70" t="s">
        <v>1293</v>
      </c>
      <c r="BK34" s="57" t="s">
        <v>1293</v>
      </c>
      <c r="BL34" s="57" t="s">
        <v>1293</v>
      </c>
      <c r="BM34" s="57" t="s">
        <v>1293</v>
      </c>
      <c r="BN34" s="57" t="s">
        <v>1293</v>
      </c>
      <c r="BO34" s="57" t="s">
        <v>1293</v>
      </c>
      <c r="BP34" s="57" t="s">
        <v>1293</v>
      </c>
      <c r="BQ34" s="57" t="s">
        <v>1293</v>
      </c>
      <c r="BR34" s="57" t="s">
        <v>1293</v>
      </c>
      <c r="BS34" s="57" t="s">
        <v>1293</v>
      </c>
      <c r="BT34" s="57" t="s">
        <v>1293</v>
      </c>
      <c r="BU34" s="57" t="s">
        <v>1293</v>
      </c>
      <c r="BV34" s="70">
        <f t="shared" si="3"/>
        <v>6</v>
      </c>
      <c r="BW34" s="71">
        <f t="shared" si="4"/>
        <v>35</v>
      </c>
      <c r="BX34" s="72">
        <f t="shared" si="5"/>
        <v>39</v>
      </c>
      <c r="BY34" s="71">
        <f t="shared" si="6"/>
        <v>70</v>
      </c>
      <c r="BZ34" s="72">
        <f t="shared" si="7"/>
        <v>73</v>
      </c>
      <c r="CA34" s="71">
        <f t="shared" si="8"/>
        <v>109</v>
      </c>
      <c r="CB34" s="72">
        <f t="shared" si="9"/>
        <v>117</v>
      </c>
      <c r="CC34" s="71">
        <f t="shared" si="10"/>
        <v>166</v>
      </c>
      <c r="CD34" s="72">
        <f t="shared" si="11"/>
        <v>173</v>
      </c>
      <c r="CE34" s="71">
        <f t="shared" si="12"/>
        <v>219</v>
      </c>
      <c r="CF34" s="72">
        <f t="shared" si="13"/>
        <v>266</v>
      </c>
      <c r="CG34" s="71">
        <f t="shared" si="14"/>
        <v>292</v>
      </c>
      <c r="CH34" s="70">
        <f t="shared" si="15"/>
        <v>34</v>
      </c>
      <c r="CI34" s="71">
        <f t="shared" si="16"/>
        <v>38</v>
      </c>
      <c r="CJ34" s="72">
        <f t="shared" si="17"/>
        <v>69</v>
      </c>
      <c r="CK34" s="72">
        <f t="shared" si="18"/>
        <v>72</v>
      </c>
      <c r="CL34" s="72">
        <f t="shared" si="19"/>
        <v>108</v>
      </c>
      <c r="CM34" s="72">
        <f t="shared" si="20"/>
        <v>116</v>
      </c>
      <c r="CN34" s="72">
        <f t="shared" si="21"/>
        <v>142</v>
      </c>
      <c r="CO34" s="72">
        <f t="shared" si="22"/>
        <v>168</v>
      </c>
      <c r="CP34" s="72">
        <f t="shared" si="23"/>
        <v>213</v>
      </c>
      <c r="CQ34" s="72">
        <f t="shared" si="24"/>
        <v>259</v>
      </c>
      <c r="CR34" s="72">
        <f t="shared" si="25"/>
        <v>291</v>
      </c>
      <c r="CS34" s="72">
        <f t="shared" si="26"/>
        <v>311</v>
      </c>
      <c r="CT34" s="23">
        <f t="shared" si="27"/>
        <v>1</v>
      </c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1"/>
      <c r="UN34" s="1"/>
      <c r="UO34" s="1"/>
      <c r="UP34" s="1"/>
      <c r="UQ34" s="1"/>
      <c r="UR34" s="1"/>
      <c r="US34" s="1"/>
      <c r="UT34" s="1"/>
      <c r="UU34" s="1"/>
      <c r="UV34" s="1"/>
      <c r="UW34" s="1"/>
      <c r="UX34" s="1"/>
      <c r="UY34" s="1"/>
      <c r="UZ34" s="1"/>
      <c r="VA34" s="1"/>
      <c r="VB34" s="1"/>
      <c r="VC34" s="1"/>
      <c r="VD34" s="1"/>
      <c r="VE34" s="1"/>
      <c r="VF34" s="1"/>
      <c r="VG34" s="1"/>
      <c r="VH34" s="1"/>
      <c r="VI34" s="1"/>
      <c r="VJ34" s="1"/>
      <c r="VK34" s="1"/>
      <c r="VL34" s="1"/>
      <c r="VM34" s="1"/>
      <c r="VN34" s="1"/>
      <c r="VO34" s="1"/>
      <c r="VP34" s="1"/>
      <c r="VQ34" s="1"/>
      <c r="VR34" s="1"/>
      <c r="VS34" s="1"/>
      <c r="VT34" s="1"/>
      <c r="VU34" s="1"/>
      <c r="VV34" s="1"/>
      <c r="VW34" s="1"/>
      <c r="VX34" s="1"/>
      <c r="VY34" s="1"/>
      <c r="VZ34" s="1"/>
      <c r="WA34" s="1"/>
      <c r="WB34" s="1"/>
      <c r="WC34" s="1"/>
      <c r="WD34" s="1"/>
      <c r="WE34" s="1"/>
      <c r="WF34" s="1"/>
      <c r="WG34" s="1"/>
      <c r="WH34" s="1"/>
      <c r="WI34" s="1"/>
      <c r="WJ34" s="1"/>
      <c r="WK34" s="1"/>
      <c r="WL34" s="1"/>
      <c r="WM34" s="1"/>
      <c r="WN34" s="1"/>
      <c r="WO34" s="1"/>
      <c r="WP34" s="1"/>
      <c r="WQ34" s="1"/>
      <c r="WR34" s="1"/>
      <c r="WS34" s="1"/>
      <c r="WT34" s="1"/>
      <c r="WU34" s="1"/>
      <c r="WV34" s="1"/>
      <c r="WW34" s="1"/>
      <c r="WX34" s="1"/>
      <c r="WY34" s="1"/>
      <c r="WZ34" s="1"/>
      <c r="XA34" s="1"/>
      <c r="XB34" s="1"/>
      <c r="XC34" s="1"/>
      <c r="XD34" s="1"/>
      <c r="XE34" s="1"/>
      <c r="XF34" s="1"/>
      <c r="XG34" s="1"/>
      <c r="XH34" s="1"/>
      <c r="XI34" s="1"/>
      <c r="XJ34" s="1"/>
      <c r="XK34" s="1"/>
      <c r="XL34" s="1"/>
      <c r="XM34" s="1"/>
      <c r="XN34" s="1"/>
      <c r="XO34" s="1"/>
      <c r="XP34" s="1"/>
      <c r="XQ34" s="1"/>
      <c r="XR34" s="1"/>
      <c r="XS34" s="1"/>
      <c r="XT34" s="1"/>
      <c r="XU34" s="1"/>
      <c r="XV34" s="1"/>
      <c r="XW34" s="1"/>
      <c r="XX34" s="1"/>
      <c r="XY34" s="1"/>
      <c r="XZ34" s="1"/>
      <c r="YA34" s="1"/>
      <c r="YB34" s="1"/>
      <c r="YC34" s="1"/>
      <c r="YD34" s="1"/>
      <c r="YE34" s="1"/>
      <c r="YF34" s="1"/>
      <c r="YG34" s="1"/>
      <c r="YH34" s="1"/>
      <c r="YI34" s="1"/>
      <c r="YJ34" s="1"/>
      <c r="YK34" s="1"/>
      <c r="YL34" s="1"/>
      <c r="YM34" s="1"/>
      <c r="YN34" s="1"/>
      <c r="YO34" s="1"/>
      <c r="YP34" s="1"/>
      <c r="YQ34" s="1"/>
      <c r="YR34" s="1"/>
      <c r="YS34" s="1"/>
      <c r="YT34" s="1"/>
      <c r="YU34" s="1"/>
      <c r="YV34" s="1"/>
      <c r="YW34" s="1"/>
      <c r="YX34" s="1"/>
      <c r="YY34" s="1"/>
      <c r="YZ34" s="1"/>
      <c r="ZA34" s="1"/>
      <c r="ZB34" s="1"/>
      <c r="ZC34" s="1"/>
      <c r="ZD34" s="1"/>
      <c r="ZE34" s="1"/>
      <c r="ZF34" s="1"/>
      <c r="ZG34" s="1"/>
      <c r="ZH34" s="1"/>
      <c r="ZI34" s="1"/>
      <c r="ZJ34" s="1"/>
      <c r="ZK34" s="1"/>
      <c r="ZL34" s="1"/>
      <c r="ZM34" s="1"/>
      <c r="ZN34" s="1"/>
      <c r="ZO34" s="1"/>
      <c r="ZP34" s="1"/>
      <c r="ZQ34" s="1"/>
      <c r="ZR34" s="1"/>
      <c r="ZS34" s="1"/>
      <c r="ZT34" s="1"/>
      <c r="ZU34" s="1"/>
      <c r="ZV34" s="1"/>
      <c r="ZW34" s="1"/>
      <c r="ZX34" s="1"/>
      <c r="ZY34" s="1"/>
      <c r="ZZ34" s="1"/>
      <c r="AAA34" s="1"/>
      <c r="AAB34" s="1"/>
      <c r="AAC34" s="1"/>
      <c r="AAD34" s="1"/>
      <c r="AAE34" s="1"/>
      <c r="AAF34" s="1"/>
      <c r="AAG34" s="1"/>
      <c r="AAH34" s="1"/>
      <c r="AAI34" s="1"/>
      <c r="AAJ34" s="1"/>
      <c r="AAK34" s="1"/>
      <c r="AAL34" s="1"/>
      <c r="AAM34" s="1"/>
      <c r="AAN34" s="1"/>
      <c r="AAO34" s="1"/>
      <c r="AAP34" s="1"/>
      <c r="AAQ34" s="1"/>
      <c r="AAR34" s="1"/>
      <c r="AAS34" s="1"/>
      <c r="AAT34" s="1"/>
      <c r="AAU34" s="1"/>
      <c r="AAV34" s="1"/>
      <c r="AAW34" s="1"/>
      <c r="AAX34" s="1"/>
      <c r="AAY34" s="1"/>
      <c r="AAZ34" s="1"/>
      <c r="ABA34" s="1"/>
      <c r="ABB34" s="1"/>
      <c r="ABC34" s="1"/>
      <c r="ABD34" s="1"/>
      <c r="ABE34" s="1"/>
      <c r="ABF34" s="1"/>
      <c r="ABG34" s="1"/>
      <c r="ABH34" s="1"/>
      <c r="ABI34" s="1"/>
      <c r="ABJ34" s="1"/>
      <c r="ABK34" s="1"/>
      <c r="ABL34" s="1"/>
      <c r="ABM34" s="1"/>
      <c r="ABN34" s="1"/>
      <c r="ABO34" s="1"/>
      <c r="ABP34" s="1"/>
      <c r="ABQ34" s="1"/>
      <c r="ABR34" s="1"/>
      <c r="ABS34" s="1"/>
      <c r="ABT34" s="1"/>
      <c r="ABU34" s="1"/>
      <c r="ABV34" s="1"/>
      <c r="ABW34" s="1"/>
      <c r="ABX34" s="1"/>
      <c r="ABY34" s="1"/>
      <c r="ABZ34" s="1"/>
      <c r="ACA34" s="1"/>
      <c r="ACB34" s="1"/>
      <c r="ACC34" s="1"/>
      <c r="ACD34" s="1"/>
      <c r="ACE34" s="1"/>
      <c r="ACF34" s="1"/>
      <c r="ACG34" s="1"/>
      <c r="ACH34" s="1"/>
      <c r="ACI34" s="1"/>
      <c r="ACJ34" s="1"/>
      <c r="ACK34" s="1"/>
      <c r="ACL34" s="1"/>
      <c r="ACM34" s="1"/>
      <c r="ACN34" s="1"/>
      <c r="ACO34" s="1"/>
      <c r="ACP34" s="1"/>
      <c r="ACQ34" s="1"/>
      <c r="ACR34" s="1"/>
      <c r="ACS34" s="1"/>
      <c r="ACT34" s="1"/>
      <c r="ACU34" s="1"/>
      <c r="ACV34" s="1"/>
      <c r="ACW34" s="1"/>
      <c r="ACX34" s="1"/>
      <c r="ACY34" s="1"/>
      <c r="ACZ34" s="1"/>
      <c r="ADA34" s="1"/>
      <c r="ADB34" s="1"/>
      <c r="ADC34" s="1"/>
      <c r="ADD34" s="1"/>
      <c r="ADE34" s="1"/>
      <c r="ADF34" s="1"/>
      <c r="ADG34" s="1"/>
      <c r="ADH34" s="1"/>
      <c r="ADI34" s="1"/>
      <c r="ADJ34" s="1"/>
      <c r="ADK34" s="1"/>
      <c r="ADL34" s="1"/>
      <c r="ADM34" s="1"/>
      <c r="ADN34" s="1"/>
      <c r="ADO34" s="1"/>
      <c r="ADP34" s="1"/>
      <c r="ADQ34" s="1"/>
      <c r="ADR34" s="1"/>
      <c r="ADS34" s="1"/>
      <c r="ADT34" s="1"/>
      <c r="ADU34" s="1"/>
      <c r="ADV34" s="1"/>
      <c r="ADW34" s="1"/>
      <c r="ADX34" s="1"/>
      <c r="ADY34" s="1"/>
      <c r="ADZ34" s="1"/>
      <c r="AEA34" s="1"/>
      <c r="AEB34" s="1"/>
      <c r="AEC34" s="1"/>
      <c r="AED34" s="1"/>
      <c r="AEE34" s="1"/>
      <c r="AEF34" s="1"/>
      <c r="AEG34" s="1"/>
      <c r="AEH34" s="1"/>
      <c r="AEI34" s="1"/>
      <c r="AEJ34" s="1"/>
      <c r="AEK34" s="1"/>
      <c r="AEL34" s="1"/>
      <c r="AEM34" s="1"/>
      <c r="AEN34" s="1"/>
      <c r="AEO34" s="1"/>
      <c r="AEP34" s="1"/>
      <c r="AEQ34" s="1"/>
      <c r="AER34" s="1"/>
      <c r="AES34" s="1"/>
      <c r="AET34" s="1"/>
      <c r="AEU34" s="1"/>
      <c r="AEV34" s="1"/>
      <c r="AEW34" s="1"/>
      <c r="AEX34" s="1"/>
      <c r="AEY34" s="1"/>
      <c r="AEZ34" s="1"/>
      <c r="AFA34" s="1"/>
      <c r="AFB34" s="1"/>
      <c r="AFC34" s="1"/>
      <c r="AFD34" s="1"/>
      <c r="AFE34" s="1"/>
      <c r="AFF34" s="1"/>
      <c r="AFG34" s="1"/>
      <c r="AFH34" s="1"/>
      <c r="AFI34" s="1"/>
      <c r="AFJ34" s="1"/>
      <c r="AFK34" s="1"/>
      <c r="AFL34" s="1"/>
      <c r="AFM34" s="1"/>
      <c r="AFN34" s="1"/>
      <c r="AFO34" s="1"/>
      <c r="AFP34" s="1"/>
      <c r="AFQ34" s="1"/>
      <c r="AFR34" s="1"/>
      <c r="AFS34" s="1"/>
      <c r="AFT34" s="1"/>
      <c r="AFU34" s="1"/>
      <c r="AFV34" s="1"/>
      <c r="AFW34" s="1"/>
      <c r="AFX34" s="1"/>
      <c r="AFY34" s="1"/>
      <c r="AFZ34" s="1"/>
      <c r="AGA34" s="1"/>
      <c r="AGB34" s="1"/>
      <c r="AGC34" s="1"/>
      <c r="AGD34" s="1"/>
      <c r="AGE34" s="1"/>
      <c r="AGF34" s="1"/>
      <c r="AGG34" s="1"/>
      <c r="AGH34" s="1"/>
      <c r="AGI34" s="1"/>
      <c r="AGJ34" s="1"/>
      <c r="AGK34" s="1"/>
      <c r="AGL34" s="1"/>
      <c r="AGM34" s="1"/>
      <c r="AGN34" s="1"/>
      <c r="AGO34" s="1"/>
      <c r="AGP34" s="1"/>
      <c r="AGQ34" s="1"/>
      <c r="AGR34" s="1"/>
      <c r="AGS34" s="1"/>
      <c r="AGT34" s="1"/>
      <c r="AGU34" s="1"/>
      <c r="AGV34" s="1"/>
      <c r="AGW34" s="1"/>
      <c r="AGX34" s="1"/>
      <c r="AGY34" s="1"/>
      <c r="AGZ34" s="1"/>
      <c r="AHA34" s="1"/>
      <c r="AHB34" s="1"/>
      <c r="AHC34" s="1"/>
      <c r="AHD34" s="1"/>
      <c r="AHE34" s="1"/>
      <c r="AHF34" s="1"/>
      <c r="AHG34" s="1"/>
      <c r="AHH34" s="1"/>
      <c r="AHI34" s="1"/>
      <c r="AHJ34" s="1"/>
      <c r="AHK34" s="1"/>
      <c r="AHL34" s="1"/>
      <c r="AHM34" s="1"/>
      <c r="AHN34" s="1"/>
      <c r="AHO34" s="1"/>
      <c r="AHP34" s="1"/>
      <c r="AHQ34" s="1"/>
      <c r="AHR34" s="1"/>
      <c r="AHS34" s="1"/>
      <c r="AHT34" s="1"/>
      <c r="AHU34" s="1"/>
      <c r="AHV34" s="1"/>
      <c r="AHW34" s="1"/>
      <c r="AHX34" s="1"/>
      <c r="AHY34" s="1"/>
      <c r="AHZ34" s="1"/>
      <c r="AIA34" s="1"/>
      <c r="AIB34" s="1"/>
      <c r="AIC34" s="1"/>
      <c r="AID34" s="1"/>
      <c r="AIE34" s="1"/>
      <c r="AIF34" s="1"/>
      <c r="AIG34" s="1"/>
      <c r="AIH34" s="1"/>
      <c r="AII34" s="1"/>
      <c r="AIJ34" s="1"/>
      <c r="AIK34" s="1"/>
      <c r="AIL34" s="1"/>
      <c r="AIM34" s="1"/>
      <c r="AIN34" s="1"/>
      <c r="AIO34" s="1"/>
      <c r="AIP34" s="1"/>
      <c r="AIQ34" s="1"/>
      <c r="AIR34" s="1"/>
      <c r="AIS34" s="1"/>
      <c r="AIT34" s="1"/>
      <c r="AIU34" s="1"/>
      <c r="AIV34" s="1"/>
      <c r="AIW34" s="1"/>
      <c r="AIX34" s="1"/>
      <c r="AIY34" s="1"/>
      <c r="AIZ34" s="1"/>
      <c r="AJA34" s="1"/>
      <c r="AJB34" s="1"/>
      <c r="AJC34" s="1"/>
      <c r="AJD34" s="1"/>
      <c r="AJE34" s="1"/>
      <c r="AJF34" s="1"/>
      <c r="AJG34" s="1"/>
      <c r="AJH34" s="1"/>
      <c r="AJI34" s="1"/>
      <c r="AJJ34" s="1"/>
      <c r="AJK34" s="1"/>
      <c r="AJL34" s="1"/>
      <c r="AJM34" s="1"/>
      <c r="AJN34" s="1"/>
      <c r="AJO34" s="1"/>
      <c r="AJP34" s="1"/>
      <c r="AJQ34" s="1"/>
      <c r="AJR34" s="1"/>
      <c r="AJS34" s="1"/>
      <c r="AJT34" s="1"/>
      <c r="AJU34" s="1"/>
      <c r="AJV34" s="1"/>
      <c r="AJW34" s="1"/>
      <c r="AJX34" s="1"/>
      <c r="AJY34" s="1"/>
      <c r="AJZ34" s="1"/>
      <c r="AKA34" s="1"/>
      <c r="AKB34" s="1"/>
      <c r="AKC34" s="1"/>
      <c r="AKD34" s="1"/>
      <c r="AKE34" s="1"/>
      <c r="AKF34" s="1"/>
      <c r="AKG34" s="1"/>
      <c r="AKH34" s="1"/>
      <c r="AKI34" s="1"/>
      <c r="AKJ34" s="1"/>
      <c r="AKK34" s="1"/>
      <c r="AKL34" s="1"/>
      <c r="AKM34" s="1"/>
      <c r="AKN34" s="1"/>
      <c r="AKO34" s="1"/>
      <c r="AKP34" s="1"/>
      <c r="AKQ34" s="1"/>
      <c r="AKR34" s="1"/>
      <c r="AKS34" s="1"/>
      <c r="AKT34" s="1"/>
      <c r="AKU34" s="1"/>
      <c r="AKV34" s="1"/>
      <c r="AKW34" s="1"/>
      <c r="AKX34" s="1"/>
      <c r="AKY34" s="1"/>
      <c r="AKZ34" s="1"/>
      <c r="ALA34" s="1"/>
      <c r="ALB34" s="1"/>
      <c r="ALC34" s="1"/>
      <c r="ALD34" s="1"/>
      <c r="ALE34" s="1"/>
      <c r="ALF34" s="1"/>
      <c r="ALG34" s="1"/>
      <c r="ALH34" s="1"/>
      <c r="ALI34" s="1"/>
      <c r="ALJ34" s="1"/>
      <c r="ALK34" s="1"/>
      <c r="ALL34" s="1"/>
      <c r="ALM34" s="1"/>
      <c r="ALN34" s="1"/>
      <c r="ALO34" s="1"/>
      <c r="ALP34" s="1"/>
      <c r="ALQ34" s="1"/>
      <c r="ALR34" s="1"/>
      <c r="ALS34" s="1"/>
      <c r="ALT34" s="1"/>
      <c r="ALU34" s="1"/>
      <c r="ALV34" s="1"/>
      <c r="ALW34" s="1"/>
      <c r="ALX34" s="1"/>
      <c r="ALY34" s="1"/>
      <c r="ALZ34" s="1"/>
      <c r="AMA34" s="1"/>
      <c r="AMB34" s="1"/>
      <c r="AMC34" s="1"/>
      <c r="AMD34" s="1"/>
      <c r="AME34" s="1"/>
      <c r="AMF34" s="1"/>
      <c r="AMG34" s="1"/>
      <c r="AMH34" s="1"/>
      <c r="AMI34" s="1"/>
      <c r="AMJ34" s="1"/>
      <c r="AMK34" s="1"/>
      <c r="AML34" s="1"/>
      <c r="AMM34" s="1"/>
      <c r="AMN34" s="1"/>
      <c r="AMO34" s="1"/>
    </row>
    <row r="35" spans="1:1029" x14ac:dyDescent="0.2">
      <c r="A35" s="3" t="str">
        <f t="shared" si="0"/>
        <v>aa2ar_human_5G53</v>
      </c>
      <c r="B35" s="3" t="s">
        <v>139</v>
      </c>
      <c r="C35" s="3" t="s">
        <v>1298</v>
      </c>
      <c r="D35" s="3" t="str">
        <f>IFERROR(MID(VLOOKUP($B35,Seqs!$A:$B,2,0),E35,1),"")</f>
        <v>S</v>
      </c>
      <c r="E35" s="3">
        <v>6</v>
      </c>
      <c r="F35" s="3" t="str">
        <f>IFERROR(MID(VLOOKUP($B35,Seqs!$A:$B,2,0),G35,1),"")</f>
        <v>N</v>
      </c>
      <c r="G35" s="3">
        <v>34</v>
      </c>
      <c r="H35" s="3" t="str">
        <f>IFERROR(MID(VLOOKUP($B35,Seqs!$A:$B,2,0),I35,1),"")</f>
        <v>S</v>
      </c>
      <c r="I35" s="23">
        <v>35</v>
      </c>
      <c r="J35" s="3" t="str">
        <f>IFERROR(MID(VLOOKUP($B35,Seqs!$A:$B,2,0),K35,1),"")</f>
        <v>Q</v>
      </c>
      <c r="K35" s="23">
        <v>38</v>
      </c>
      <c r="L35" s="3" t="str">
        <f>IFERROR(MID(VLOOKUP($B35,Seqs!$A:$B,2,0),M35,1),"")</f>
        <v>N</v>
      </c>
      <c r="M35" s="3">
        <v>39</v>
      </c>
      <c r="N35" s="3" t="str">
        <f>IFERROR(MID(VLOOKUP($B35,Seqs!$A:$B,2,0),O35,1),"")</f>
        <v>G</v>
      </c>
      <c r="O35" s="3">
        <v>69</v>
      </c>
      <c r="P35" s="3" t="str">
        <f>IFERROR(MID(VLOOKUP($B35,Seqs!$A:$B,2,0),Q35,1),"")</f>
        <v>F</v>
      </c>
      <c r="Q35" s="3">
        <v>70</v>
      </c>
      <c r="R35" s="3" t="str">
        <f>IFERROR(MID(VLOOKUP($B35,Seqs!$A:$B,2,0),S35,1),"")</f>
        <v>A</v>
      </c>
      <c r="S35" s="3">
        <v>72</v>
      </c>
      <c r="T35" s="3" t="str">
        <f>IFERROR(MID(VLOOKUP($B35,Seqs!$A:$B,2,0),U35,1),"")</f>
        <v>A</v>
      </c>
      <c r="U35" s="3">
        <v>73</v>
      </c>
      <c r="V35" s="3" t="str">
        <f>IFERROR(MID(VLOOKUP($B35,Seqs!$A:$B,2,0),W35,1),"")</f>
        <v>I</v>
      </c>
      <c r="W35" s="3">
        <v>108</v>
      </c>
      <c r="X35" s="3" t="str">
        <f>IFERROR(MID(VLOOKUP($B35,Seqs!$A:$B,2,0),Y35,1),"")</f>
        <v>P</v>
      </c>
      <c r="Y35" s="3">
        <v>109</v>
      </c>
      <c r="Z35" s="3" t="str">
        <f>IFERROR(MID(VLOOKUP($B35,Seqs!$A:$B,2,0),AA35,1),"")</f>
        <v>V</v>
      </c>
      <c r="AA35" s="3">
        <v>116</v>
      </c>
      <c r="AB35" s="3" t="str">
        <f>IFERROR(MID(VLOOKUP($B35,Seqs!$A:$B,2,0),AC35,1),"")</f>
        <v>T</v>
      </c>
      <c r="AC35" s="9">
        <v>117</v>
      </c>
      <c r="AD35" s="3" t="str">
        <f>IFERROR(MID(VLOOKUP($B35,Seqs!$A:$B,2,0),AE35,1),"")</f>
        <v>G</v>
      </c>
      <c r="AE35" s="3">
        <v>142</v>
      </c>
      <c r="AF35" s="3" t="str">
        <f>IFERROR(MID(VLOOKUP($B35,Seqs!$A:$B,2,0),AG35,1),"")</f>
        <v>C</v>
      </c>
      <c r="AG35" s="3">
        <v>166</v>
      </c>
      <c r="AH35" s="3" t="str">
        <f>IFERROR(MID(VLOOKUP($B35,Seqs!$A:$B,2,0),AI35,1),"")</f>
        <v>F</v>
      </c>
      <c r="AI35" s="3">
        <v>168</v>
      </c>
      <c r="AJ35" s="3" t="str">
        <f>IFERROR(MID(VLOOKUP($B35,Seqs!$A:$B,2,0),AK35,1),"")</f>
        <v>P</v>
      </c>
      <c r="AK35" s="3">
        <v>173</v>
      </c>
      <c r="AL35" s="3" t="str">
        <f>IFERROR(MID(VLOOKUP($B35,Seqs!$A:$B,2,0),AM35,1),"")</f>
        <v>Q</v>
      </c>
      <c r="AM35" s="3">
        <v>207</v>
      </c>
      <c r="AN35" s="3" t="str">
        <f>IFERROR(MID(VLOOKUP($B35,Seqs!$A:$B,2,0),AO35,1),"")</f>
        <v>T</v>
      </c>
      <c r="AO35" s="3">
        <v>224</v>
      </c>
      <c r="AP35" s="3" t="str">
        <f>IFERROR(MID(VLOOKUP($B35,Seqs!$A:$B,2,0),AQ35,1),"")</f>
        <v>C</v>
      </c>
      <c r="AQ35" s="3">
        <v>259</v>
      </c>
      <c r="AR35" s="3" t="str">
        <f>IFERROR(MID(VLOOKUP($B35,Seqs!$A:$B,2,0),AS35,1),"")</f>
        <v>P</v>
      </c>
      <c r="AS35" s="3">
        <v>266</v>
      </c>
      <c r="AT35" s="3" t="str">
        <f>IFERROR(MID(VLOOKUP($B35,Seqs!$A:$B,2,0),AU35,1),"")</f>
        <v>R</v>
      </c>
      <c r="AU35" s="3">
        <v>291</v>
      </c>
      <c r="AV35" s="3" t="str">
        <f>IFERROR(MID(VLOOKUP($B35,Seqs!$A:$B,2,0),AW35,1),"")</f>
        <v>I</v>
      </c>
      <c r="AW35" s="3">
        <v>292</v>
      </c>
      <c r="AX35" s="3" t="str">
        <f>IFERROR(MID(VLOOKUP($B35,Seqs!$A:$B,2,0),AY35,1),"")</f>
        <v>S</v>
      </c>
      <c r="AY35" s="3">
        <v>305</v>
      </c>
      <c r="AZ35" s="77" t="str">
        <f>VLOOKUP(B35,Classification!A:D,2,0)</f>
        <v>A</v>
      </c>
      <c r="BA35" s="94" t="str">
        <f>VLOOKUP(B35,Classification!A:D,4,0)</f>
        <v>Adenosine</v>
      </c>
      <c r="BB35" s="27" t="b">
        <f t="shared" si="1"/>
        <v>1</v>
      </c>
      <c r="BC35" s="23">
        <f t="shared" ref="BC35:BC90" si="169">_xlfn.AGGREGATE(9,6,CH35:CS35)-_xlfn.AGGREGATE(9,6,BV35:CG35)+12</f>
        <v>251</v>
      </c>
      <c r="BD35" s="4" t="s">
        <v>1382</v>
      </c>
      <c r="BE35" s="3" t="s">
        <v>1297</v>
      </c>
      <c r="BF35" s="119">
        <v>3.4</v>
      </c>
      <c r="BG35" s="49" t="s">
        <v>1287</v>
      </c>
      <c r="BH35" s="49" t="s">
        <v>1287</v>
      </c>
      <c r="BI35" s="1"/>
      <c r="BJ35" s="70" t="s">
        <v>1293</v>
      </c>
      <c r="BK35" s="57" t="s">
        <v>1293</v>
      </c>
      <c r="BL35" s="57" t="s">
        <v>1293</v>
      </c>
      <c r="BM35" s="57" t="s">
        <v>1293</v>
      </c>
      <c r="BN35" s="57" t="s">
        <v>1293</v>
      </c>
      <c r="BO35" s="57" t="s">
        <v>1293</v>
      </c>
      <c r="BP35" s="57" t="s">
        <v>1293</v>
      </c>
      <c r="BQ35" s="57" t="s">
        <v>1293</v>
      </c>
      <c r="BR35" s="57" t="s">
        <v>1293</v>
      </c>
      <c r="BS35" s="57" t="s">
        <v>1293</v>
      </c>
      <c r="BT35" s="57" t="s">
        <v>1293</v>
      </c>
      <c r="BU35" s="57" t="s">
        <v>1293</v>
      </c>
      <c r="BV35" s="70">
        <f t="shared" ref="BV35:BV90" si="170">E35</f>
        <v>6</v>
      </c>
      <c r="BW35" s="71">
        <f t="shared" ref="BW35:BW90" si="171">I35</f>
        <v>35</v>
      </c>
      <c r="BX35" s="72">
        <f t="shared" ref="BX35:BX90" si="172">M35</f>
        <v>39</v>
      </c>
      <c r="BY35" s="71">
        <f t="shared" ref="BY35:BY90" si="173">Q35</f>
        <v>70</v>
      </c>
      <c r="BZ35" s="72">
        <f t="shared" ref="BZ35:BZ90" si="174">U35</f>
        <v>73</v>
      </c>
      <c r="CA35" s="71">
        <f t="shared" ref="CA35:CA90" si="175">Y35</f>
        <v>109</v>
      </c>
      <c r="CB35" s="72">
        <f t="shared" ref="CB35:CB90" si="176">AC35</f>
        <v>117</v>
      </c>
      <c r="CC35" s="71">
        <f t="shared" ref="CC35:CC90" si="177">AG35</f>
        <v>166</v>
      </c>
      <c r="CD35" s="72">
        <f t="shared" ref="CD35:CD90" si="178">AK35</f>
        <v>173</v>
      </c>
      <c r="CE35" s="71">
        <f t="shared" ref="CE35:CE90" si="179">AO35</f>
        <v>224</v>
      </c>
      <c r="CF35" s="72">
        <f t="shared" ref="CF35:CF90" si="180">AS35</f>
        <v>266</v>
      </c>
      <c r="CG35" s="71">
        <f t="shared" ref="CG35:CG90" si="181">AW35</f>
        <v>292</v>
      </c>
      <c r="CH35" s="70">
        <f t="shared" ref="CH35:CH90" si="182">G35</f>
        <v>34</v>
      </c>
      <c r="CI35" s="71">
        <f t="shared" ref="CI35:CI90" si="183">K35</f>
        <v>38</v>
      </c>
      <c r="CJ35" s="72">
        <f t="shared" ref="CJ35:CJ90" si="184">O35</f>
        <v>69</v>
      </c>
      <c r="CK35" s="72">
        <f t="shared" ref="CK35:CK90" si="185">S35</f>
        <v>72</v>
      </c>
      <c r="CL35" s="72">
        <f t="shared" ref="CL35:CL90" si="186">W35</f>
        <v>108</v>
      </c>
      <c r="CM35" s="72">
        <f t="shared" ref="CM35:CM90" si="187">AA35</f>
        <v>116</v>
      </c>
      <c r="CN35" s="72">
        <f t="shared" ref="CN35:CN90" si="188">AE35</f>
        <v>142</v>
      </c>
      <c r="CO35" s="72">
        <f t="shared" ref="CO35:CO90" si="189">AI35</f>
        <v>168</v>
      </c>
      <c r="CP35" s="72">
        <f t="shared" ref="CP35:CP90" si="190">AM35</f>
        <v>207</v>
      </c>
      <c r="CQ35" s="72">
        <f t="shared" ref="CQ35:CQ90" si="191">AQ35</f>
        <v>259</v>
      </c>
      <c r="CR35" s="72">
        <f t="shared" ref="CR35:CR90" si="192">AU35</f>
        <v>291</v>
      </c>
      <c r="CS35" s="72">
        <f t="shared" ref="CS35:CS90" si="193">AY35</f>
        <v>305</v>
      </c>
      <c r="CT35" s="23">
        <f t="shared" ref="CT35:CT90" si="194">M35-K35</f>
        <v>1</v>
      </c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1"/>
      <c r="UJ35" s="1"/>
      <c r="UK35" s="1"/>
      <c r="UL35" s="1"/>
      <c r="UM35" s="1"/>
      <c r="UN35" s="1"/>
      <c r="UO35" s="1"/>
      <c r="UP35" s="1"/>
      <c r="UQ35" s="1"/>
      <c r="UR35" s="1"/>
      <c r="US35" s="1"/>
      <c r="UT35" s="1"/>
      <c r="UU35" s="1"/>
      <c r="UV35" s="1"/>
      <c r="UW35" s="1"/>
      <c r="UX35" s="1"/>
      <c r="UY35" s="1"/>
      <c r="UZ35" s="1"/>
      <c r="VA35" s="1"/>
      <c r="VB35" s="1"/>
      <c r="VC35" s="1"/>
      <c r="VD35" s="1"/>
      <c r="VE35" s="1"/>
      <c r="VF35" s="1"/>
      <c r="VG35" s="1"/>
      <c r="VH35" s="1"/>
      <c r="VI35" s="1"/>
      <c r="VJ35" s="1"/>
      <c r="VK35" s="1"/>
      <c r="VL35" s="1"/>
      <c r="VM35" s="1"/>
      <c r="VN35" s="1"/>
      <c r="VO35" s="1"/>
      <c r="VP35" s="1"/>
      <c r="VQ35" s="1"/>
      <c r="VR35" s="1"/>
      <c r="VS35" s="1"/>
      <c r="VT35" s="1"/>
      <c r="VU35" s="1"/>
      <c r="VV35" s="1"/>
      <c r="VW35" s="1"/>
      <c r="VX35" s="1"/>
      <c r="VY35" s="1"/>
      <c r="VZ35" s="1"/>
      <c r="WA35" s="1"/>
      <c r="WB35" s="1"/>
      <c r="WC35" s="1"/>
      <c r="WD35" s="1"/>
      <c r="WE35" s="1"/>
      <c r="WF35" s="1"/>
      <c r="WG35" s="1"/>
      <c r="WH35" s="1"/>
      <c r="WI35" s="1"/>
      <c r="WJ35" s="1"/>
      <c r="WK35" s="1"/>
      <c r="WL35" s="1"/>
      <c r="WM35" s="1"/>
      <c r="WN35" s="1"/>
      <c r="WO35" s="1"/>
      <c r="WP35" s="1"/>
      <c r="WQ35" s="1"/>
      <c r="WR35" s="1"/>
      <c r="WS35" s="1"/>
      <c r="WT35" s="1"/>
      <c r="WU35" s="1"/>
      <c r="WV35" s="1"/>
      <c r="WW35" s="1"/>
      <c r="WX35" s="1"/>
      <c r="WY35" s="1"/>
      <c r="WZ35" s="1"/>
      <c r="XA35" s="1"/>
      <c r="XB35" s="1"/>
      <c r="XC35" s="1"/>
      <c r="XD35" s="1"/>
      <c r="XE35" s="1"/>
      <c r="XF35" s="1"/>
      <c r="XG35" s="1"/>
      <c r="XH35" s="1"/>
      <c r="XI35" s="1"/>
      <c r="XJ35" s="1"/>
      <c r="XK35" s="1"/>
      <c r="XL35" s="1"/>
      <c r="XM35" s="1"/>
      <c r="XN35" s="1"/>
      <c r="XO35" s="1"/>
      <c r="XP35" s="1"/>
      <c r="XQ35" s="1"/>
      <c r="XR35" s="1"/>
      <c r="XS35" s="1"/>
      <c r="XT35" s="1"/>
      <c r="XU35" s="1"/>
      <c r="XV35" s="1"/>
      <c r="XW35" s="1"/>
      <c r="XX35" s="1"/>
      <c r="XY35" s="1"/>
      <c r="XZ35" s="1"/>
      <c r="YA35" s="1"/>
      <c r="YB35" s="1"/>
      <c r="YC35" s="1"/>
      <c r="YD35" s="1"/>
      <c r="YE35" s="1"/>
      <c r="YF35" s="1"/>
      <c r="YG35" s="1"/>
      <c r="YH35" s="1"/>
      <c r="YI35" s="1"/>
      <c r="YJ35" s="1"/>
      <c r="YK35" s="1"/>
      <c r="YL35" s="1"/>
      <c r="YM35" s="1"/>
      <c r="YN35" s="1"/>
      <c r="YO35" s="1"/>
      <c r="YP35" s="1"/>
      <c r="YQ35" s="1"/>
      <c r="YR35" s="1"/>
      <c r="YS35" s="1"/>
      <c r="YT35" s="1"/>
      <c r="YU35" s="1"/>
      <c r="YV35" s="1"/>
      <c r="YW35" s="1"/>
      <c r="YX35" s="1"/>
      <c r="YY35" s="1"/>
      <c r="YZ35" s="1"/>
      <c r="ZA35" s="1"/>
      <c r="ZB35" s="1"/>
      <c r="ZC35" s="1"/>
      <c r="ZD35" s="1"/>
      <c r="ZE35" s="1"/>
      <c r="ZF35" s="1"/>
      <c r="ZG35" s="1"/>
      <c r="ZH35" s="1"/>
      <c r="ZI35" s="1"/>
      <c r="ZJ35" s="1"/>
      <c r="ZK35" s="1"/>
      <c r="ZL35" s="1"/>
      <c r="ZM35" s="1"/>
      <c r="ZN35" s="1"/>
      <c r="ZO35" s="1"/>
      <c r="ZP35" s="1"/>
      <c r="ZQ35" s="1"/>
      <c r="ZR35" s="1"/>
      <c r="ZS35" s="1"/>
      <c r="ZT35" s="1"/>
      <c r="ZU35" s="1"/>
      <c r="ZV35" s="1"/>
      <c r="ZW35" s="1"/>
      <c r="ZX35" s="1"/>
      <c r="ZY35" s="1"/>
      <c r="ZZ35" s="1"/>
      <c r="AAA35" s="1"/>
      <c r="AAB35" s="1"/>
      <c r="AAC35" s="1"/>
      <c r="AAD35" s="1"/>
      <c r="AAE35" s="1"/>
      <c r="AAF35" s="1"/>
      <c r="AAG35" s="1"/>
      <c r="AAH35" s="1"/>
      <c r="AAI35" s="1"/>
      <c r="AAJ35" s="1"/>
      <c r="AAK35" s="1"/>
      <c r="AAL35" s="1"/>
      <c r="AAM35" s="1"/>
      <c r="AAN35" s="1"/>
      <c r="AAO35" s="1"/>
      <c r="AAP35" s="1"/>
      <c r="AAQ35" s="1"/>
      <c r="AAR35" s="1"/>
      <c r="AAS35" s="1"/>
      <c r="AAT35" s="1"/>
      <c r="AAU35" s="1"/>
      <c r="AAV35" s="1"/>
      <c r="AAW35" s="1"/>
      <c r="AAX35" s="1"/>
      <c r="AAY35" s="1"/>
      <c r="AAZ35" s="1"/>
      <c r="ABA35" s="1"/>
      <c r="ABB35" s="1"/>
      <c r="ABC35" s="1"/>
      <c r="ABD35" s="1"/>
      <c r="ABE35" s="1"/>
      <c r="ABF35" s="1"/>
      <c r="ABG35" s="1"/>
      <c r="ABH35" s="1"/>
      <c r="ABI35" s="1"/>
      <c r="ABJ35" s="1"/>
      <c r="ABK35" s="1"/>
      <c r="ABL35" s="1"/>
      <c r="ABM35" s="1"/>
      <c r="ABN35" s="1"/>
      <c r="ABO35" s="1"/>
      <c r="ABP35" s="1"/>
      <c r="ABQ35" s="1"/>
      <c r="ABR35" s="1"/>
      <c r="ABS35" s="1"/>
      <c r="ABT35" s="1"/>
      <c r="ABU35" s="1"/>
      <c r="ABV35" s="1"/>
      <c r="ABW35" s="1"/>
      <c r="ABX35" s="1"/>
      <c r="ABY35" s="1"/>
      <c r="ABZ35" s="1"/>
      <c r="ACA35" s="1"/>
      <c r="ACB35" s="1"/>
      <c r="ACC35" s="1"/>
      <c r="ACD35" s="1"/>
      <c r="ACE35" s="1"/>
      <c r="ACF35" s="1"/>
      <c r="ACG35" s="1"/>
      <c r="ACH35" s="1"/>
      <c r="ACI35" s="1"/>
      <c r="ACJ35" s="1"/>
      <c r="ACK35" s="1"/>
      <c r="ACL35" s="1"/>
      <c r="ACM35" s="1"/>
      <c r="ACN35" s="1"/>
      <c r="ACO35" s="1"/>
      <c r="ACP35" s="1"/>
      <c r="ACQ35" s="1"/>
      <c r="ACR35" s="1"/>
      <c r="ACS35" s="1"/>
      <c r="ACT35" s="1"/>
      <c r="ACU35" s="1"/>
      <c r="ACV35" s="1"/>
      <c r="ACW35" s="1"/>
      <c r="ACX35" s="1"/>
      <c r="ACY35" s="1"/>
      <c r="ACZ35" s="1"/>
      <c r="ADA35" s="1"/>
      <c r="ADB35" s="1"/>
      <c r="ADC35" s="1"/>
      <c r="ADD35" s="1"/>
      <c r="ADE35" s="1"/>
      <c r="ADF35" s="1"/>
      <c r="ADG35" s="1"/>
      <c r="ADH35" s="1"/>
      <c r="ADI35" s="1"/>
      <c r="ADJ35" s="1"/>
      <c r="ADK35" s="1"/>
      <c r="ADL35" s="1"/>
      <c r="ADM35" s="1"/>
      <c r="ADN35" s="1"/>
      <c r="ADO35" s="1"/>
      <c r="ADP35" s="1"/>
      <c r="ADQ35" s="1"/>
      <c r="ADR35" s="1"/>
      <c r="ADS35" s="1"/>
      <c r="ADT35" s="1"/>
      <c r="ADU35" s="1"/>
      <c r="ADV35" s="1"/>
      <c r="ADW35" s="1"/>
      <c r="ADX35" s="1"/>
      <c r="ADY35" s="1"/>
      <c r="ADZ35" s="1"/>
      <c r="AEA35" s="1"/>
      <c r="AEB35" s="1"/>
      <c r="AEC35" s="1"/>
      <c r="AED35" s="1"/>
      <c r="AEE35" s="1"/>
      <c r="AEF35" s="1"/>
      <c r="AEG35" s="1"/>
      <c r="AEH35" s="1"/>
      <c r="AEI35" s="1"/>
      <c r="AEJ35" s="1"/>
      <c r="AEK35" s="1"/>
      <c r="AEL35" s="1"/>
      <c r="AEM35" s="1"/>
      <c r="AEN35" s="1"/>
      <c r="AEO35" s="1"/>
      <c r="AEP35" s="1"/>
      <c r="AEQ35" s="1"/>
      <c r="AER35" s="1"/>
      <c r="AES35" s="1"/>
      <c r="AET35" s="1"/>
      <c r="AEU35" s="1"/>
      <c r="AEV35" s="1"/>
      <c r="AEW35" s="1"/>
      <c r="AEX35" s="1"/>
      <c r="AEY35" s="1"/>
      <c r="AEZ35" s="1"/>
      <c r="AFA35" s="1"/>
      <c r="AFB35" s="1"/>
      <c r="AFC35" s="1"/>
      <c r="AFD35" s="1"/>
      <c r="AFE35" s="1"/>
      <c r="AFF35" s="1"/>
      <c r="AFG35" s="1"/>
      <c r="AFH35" s="1"/>
      <c r="AFI35" s="1"/>
      <c r="AFJ35" s="1"/>
      <c r="AFK35" s="1"/>
      <c r="AFL35" s="1"/>
      <c r="AFM35" s="1"/>
      <c r="AFN35" s="1"/>
      <c r="AFO35" s="1"/>
      <c r="AFP35" s="1"/>
      <c r="AFQ35" s="1"/>
      <c r="AFR35" s="1"/>
      <c r="AFS35" s="1"/>
      <c r="AFT35" s="1"/>
      <c r="AFU35" s="1"/>
      <c r="AFV35" s="1"/>
      <c r="AFW35" s="1"/>
      <c r="AFX35" s="1"/>
      <c r="AFY35" s="1"/>
      <c r="AFZ35" s="1"/>
      <c r="AGA35" s="1"/>
      <c r="AGB35" s="1"/>
      <c r="AGC35" s="1"/>
      <c r="AGD35" s="1"/>
      <c r="AGE35" s="1"/>
      <c r="AGF35" s="1"/>
      <c r="AGG35" s="1"/>
      <c r="AGH35" s="1"/>
      <c r="AGI35" s="1"/>
      <c r="AGJ35" s="1"/>
      <c r="AGK35" s="1"/>
      <c r="AGL35" s="1"/>
      <c r="AGM35" s="1"/>
      <c r="AGN35" s="1"/>
      <c r="AGO35" s="1"/>
      <c r="AGP35" s="1"/>
      <c r="AGQ35" s="1"/>
      <c r="AGR35" s="1"/>
      <c r="AGS35" s="1"/>
      <c r="AGT35" s="1"/>
      <c r="AGU35" s="1"/>
      <c r="AGV35" s="1"/>
      <c r="AGW35" s="1"/>
      <c r="AGX35" s="1"/>
      <c r="AGY35" s="1"/>
      <c r="AGZ35" s="1"/>
      <c r="AHA35" s="1"/>
      <c r="AHB35" s="1"/>
      <c r="AHC35" s="1"/>
      <c r="AHD35" s="1"/>
      <c r="AHE35" s="1"/>
      <c r="AHF35" s="1"/>
      <c r="AHG35" s="1"/>
      <c r="AHH35" s="1"/>
      <c r="AHI35" s="1"/>
      <c r="AHJ35" s="1"/>
      <c r="AHK35" s="1"/>
      <c r="AHL35" s="1"/>
      <c r="AHM35" s="1"/>
      <c r="AHN35" s="1"/>
      <c r="AHO35" s="1"/>
      <c r="AHP35" s="1"/>
      <c r="AHQ35" s="1"/>
      <c r="AHR35" s="1"/>
      <c r="AHS35" s="1"/>
      <c r="AHT35" s="1"/>
      <c r="AHU35" s="1"/>
      <c r="AHV35" s="1"/>
      <c r="AHW35" s="1"/>
      <c r="AHX35" s="1"/>
      <c r="AHY35" s="1"/>
      <c r="AHZ35" s="1"/>
      <c r="AIA35" s="1"/>
      <c r="AIB35" s="1"/>
      <c r="AIC35" s="1"/>
      <c r="AID35" s="1"/>
      <c r="AIE35" s="1"/>
      <c r="AIF35" s="1"/>
      <c r="AIG35" s="1"/>
      <c r="AIH35" s="1"/>
      <c r="AII35" s="1"/>
      <c r="AIJ35" s="1"/>
      <c r="AIK35" s="1"/>
      <c r="AIL35" s="1"/>
      <c r="AIM35" s="1"/>
      <c r="AIN35" s="1"/>
      <c r="AIO35" s="1"/>
      <c r="AIP35" s="1"/>
      <c r="AIQ35" s="1"/>
      <c r="AIR35" s="1"/>
      <c r="AIS35" s="1"/>
      <c r="AIT35" s="1"/>
      <c r="AIU35" s="1"/>
      <c r="AIV35" s="1"/>
      <c r="AIW35" s="1"/>
      <c r="AIX35" s="1"/>
      <c r="AIY35" s="1"/>
      <c r="AIZ35" s="1"/>
      <c r="AJA35" s="1"/>
      <c r="AJB35" s="1"/>
      <c r="AJC35" s="1"/>
      <c r="AJD35" s="1"/>
      <c r="AJE35" s="1"/>
      <c r="AJF35" s="1"/>
      <c r="AJG35" s="1"/>
      <c r="AJH35" s="1"/>
      <c r="AJI35" s="1"/>
      <c r="AJJ35" s="1"/>
      <c r="AJK35" s="1"/>
      <c r="AJL35" s="1"/>
      <c r="AJM35" s="1"/>
      <c r="AJN35" s="1"/>
      <c r="AJO35" s="1"/>
      <c r="AJP35" s="1"/>
      <c r="AJQ35" s="1"/>
      <c r="AJR35" s="1"/>
      <c r="AJS35" s="1"/>
      <c r="AJT35" s="1"/>
      <c r="AJU35" s="1"/>
      <c r="AJV35" s="1"/>
      <c r="AJW35" s="1"/>
      <c r="AJX35" s="1"/>
      <c r="AJY35" s="1"/>
      <c r="AJZ35" s="1"/>
      <c r="AKA35" s="1"/>
      <c r="AKB35" s="1"/>
      <c r="AKC35" s="1"/>
      <c r="AKD35" s="1"/>
      <c r="AKE35" s="1"/>
      <c r="AKF35" s="1"/>
      <c r="AKG35" s="1"/>
      <c r="AKH35" s="1"/>
      <c r="AKI35" s="1"/>
      <c r="AKJ35" s="1"/>
      <c r="AKK35" s="1"/>
      <c r="AKL35" s="1"/>
      <c r="AKM35" s="1"/>
      <c r="AKN35" s="1"/>
      <c r="AKO35" s="1"/>
      <c r="AKP35" s="1"/>
      <c r="AKQ35" s="1"/>
      <c r="AKR35" s="1"/>
      <c r="AKS35" s="1"/>
      <c r="AKT35" s="1"/>
      <c r="AKU35" s="1"/>
      <c r="AKV35" s="1"/>
      <c r="AKW35" s="1"/>
      <c r="AKX35" s="1"/>
      <c r="AKY35" s="1"/>
      <c r="AKZ35" s="1"/>
      <c r="ALA35" s="1"/>
      <c r="ALB35" s="1"/>
      <c r="ALC35" s="1"/>
      <c r="ALD35" s="1"/>
      <c r="ALE35" s="1"/>
      <c r="ALF35" s="1"/>
      <c r="ALG35" s="1"/>
      <c r="ALH35" s="1"/>
      <c r="ALI35" s="1"/>
      <c r="ALJ35" s="1"/>
      <c r="ALK35" s="1"/>
      <c r="ALL35" s="1"/>
      <c r="ALM35" s="1"/>
      <c r="ALN35" s="1"/>
      <c r="ALO35" s="1"/>
      <c r="ALP35" s="1"/>
      <c r="ALQ35" s="1"/>
      <c r="ALR35" s="1"/>
      <c r="ALS35" s="1"/>
      <c r="ALT35" s="1"/>
      <c r="ALU35" s="1"/>
      <c r="ALV35" s="1"/>
      <c r="ALW35" s="1"/>
      <c r="ALX35" s="1"/>
      <c r="ALY35" s="1"/>
      <c r="ALZ35" s="1"/>
      <c r="AMA35" s="1"/>
      <c r="AMB35" s="1"/>
      <c r="AMC35" s="1"/>
      <c r="AMD35" s="1"/>
      <c r="AME35" s="1"/>
      <c r="AMF35" s="1"/>
      <c r="AMG35" s="1"/>
      <c r="AMH35" s="1"/>
      <c r="AMI35" s="1"/>
      <c r="AMJ35" s="1"/>
      <c r="AMK35" s="1"/>
      <c r="AML35" s="1"/>
      <c r="AMM35" s="1"/>
      <c r="AMN35" s="1"/>
      <c r="AMO35" s="1"/>
    </row>
    <row r="36" spans="1:1029" x14ac:dyDescent="0.2">
      <c r="A36" s="3" t="str">
        <f t="shared" si="0"/>
        <v>aa2ar_human_5IU4</v>
      </c>
      <c r="B36" s="3" t="s">
        <v>139</v>
      </c>
      <c r="C36" s="3" t="s">
        <v>1351</v>
      </c>
      <c r="D36" s="3" t="str">
        <f>IFERROR(MID(VLOOKUP($B36,Seqs!$A:$B,2,0),E36,1),"")</f>
        <v>P</v>
      </c>
      <c r="E36" s="3">
        <v>2</v>
      </c>
      <c r="F36" s="3" t="str">
        <f>IFERROR(MID(VLOOKUP($B36,Seqs!$A:$B,2,0),G36,1),"")</f>
        <v>N</v>
      </c>
      <c r="G36" s="3">
        <v>34</v>
      </c>
      <c r="H36" s="3" t="str">
        <f>IFERROR(MID(VLOOKUP($B36,Seqs!$A:$B,2,0),I36,1),"")</f>
        <v>S</v>
      </c>
      <c r="I36" s="23">
        <v>35</v>
      </c>
      <c r="J36" s="3" t="str">
        <f>IFERROR(MID(VLOOKUP($B36,Seqs!$A:$B,2,0),K36,1),"")</f>
        <v>Q</v>
      </c>
      <c r="K36" s="23">
        <v>38</v>
      </c>
      <c r="L36" s="3" t="str">
        <f>IFERROR(MID(VLOOKUP($B36,Seqs!$A:$B,2,0),M36,1),"")</f>
        <v>N</v>
      </c>
      <c r="M36" s="3">
        <v>39</v>
      </c>
      <c r="N36" s="3" t="str">
        <f>IFERROR(MID(VLOOKUP($B36,Seqs!$A:$B,2,0),O36,1),"")</f>
        <v>G</v>
      </c>
      <c r="O36" s="3">
        <v>69</v>
      </c>
      <c r="P36" s="3" t="str">
        <f>IFERROR(MID(VLOOKUP($B36,Seqs!$A:$B,2,0),Q36,1),"")</f>
        <v>F</v>
      </c>
      <c r="Q36" s="3">
        <v>70</v>
      </c>
      <c r="R36" s="3" t="str">
        <f>IFERROR(MID(VLOOKUP($B36,Seqs!$A:$B,2,0),S36,1),"")</f>
        <v>A</v>
      </c>
      <c r="S36" s="3">
        <v>72</v>
      </c>
      <c r="T36" s="3" t="str">
        <f>IFERROR(MID(VLOOKUP($B36,Seqs!$A:$B,2,0),U36,1),"")</f>
        <v>A</v>
      </c>
      <c r="U36" s="3">
        <v>73</v>
      </c>
      <c r="V36" s="3" t="str">
        <f>IFERROR(MID(VLOOKUP($B36,Seqs!$A:$B,2,0),W36,1),"")</f>
        <v>I</v>
      </c>
      <c r="W36" s="3">
        <v>108</v>
      </c>
      <c r="X36" s="3" t="str">
        <f>IFERROR(MID(VLOOKUP($B36,Seqs!$A:$B,2,0),Y36,1),"")</f>
        <v>P</v>
      </c>
      <c r="Y36" s="3">
        <v>109</v>
      </c>
      <c r="Z36" s="3" t="str">
        <f>IFERROR(MID(VLOOKUP($B36,Seqs!$A:$B,2,0),AA36,1),"")</f>
        <v>V</v>
      </c>
      <c r="AA36" s="3">
        <v>116</v>
      </c>
      <c r="AB36" s="3" t="str">
        <f>IFERROR(MID(VLOOKUP($B36,Seqs!$A:$B,2,0),AC36,1),"")</f>
        <v>T</v>
      </c>
      <c r="AC36" s="9">
        <v>117</v>
      </c>
      <c r="AD36" s="3" t="str">
        <f>IFERROR(MID(VLOOKUP($B36,Seqs!$A:$B,2,0),AE36,1),"")</f>
        <v>G</v>
      </c>
      <c r="AE36" s="3">
        <v>142</v>
      </c>
      <c r="AF36" s="3" t="str">
        <f>IFERROR(MID(VLOOKUP($B36,Seqs!$A:$B,2,0),AG36,1),"")</f>
        <v>C</v>
      </c>
      <c r="AG36" s="3">
        <v>166</v>
      </c>
      <c r="AH36" s="3" t="str">
        <f>IFERROR(MID(VLOOKUP($B36,Seqs!$A:$B,2,0),AI36,1),"")</f>
        <v>F</v>
      </c>
      <c r="AI36" s="3">
        <v>168</v>
      </c>
      <c r="AJ36" s="3" t="str">
        <f>IFERROR(MID(VLOOKUP($B36,Seqs!$A:$B,2,0),AK36,1),"")</f>
        <v>P</v>
      </c>
      <c r="AK36" s="3">
        <v>173</v>
      </c>
      <c r="AL36" s="3" t="str">
        <f>IFERROR(MID(VLOOKUP($B36,Seqs!$A:$B,2,0),AM36,1),"")</f>
        <v>L</v>
      </c>
      <c r="AM36" s="3">
        <v>208</v>
      </c>
      <c r="AN36" s="3" t="str">
        <f>IFERROR(MID(VLOOKUP($B36,Seqs!$A:$B,2,0),AO36,1),"")</f>
        <v>E</v>
      </c>
      <c r="AO36" s="3">
        <v>219</v>
      </c>
      <c r="AP36" s="3" t="str">
        <f>IFERROR(MID(VLOOKUP($B36,Seqs!$A:$B,2,0),AQ36,1),"")</f>
        <v>C</v>
      </c>
      <c r="AQ36" s="3">
        <v>259</v>
      </c>
      <c r="AR36" s="3" t="str">
        <f>IFERROR(MID(VLOOKUP($B36,Seqs!$A:$B,2,0),AS36,1),"")</f>
        <v>P</v>
      </c>
      <c r="AS36" s="3">
        <v>266</v>
      </c>
      <c r="AT36" s="3" t="str">
        <f>IFERROR(MID(VLOOKUP($B36,Seqs!$A:$B,2,0),AU36,1),"")</f>
        <v>R</v>
      </c>
      <c r="AU36" s="3">
        <v>291</v>
      </c>
      <c r="AV36" s="3" t="str">
        <f>IFERROR(MID(VLOOKUP($B36,Seqs!$A:$B,2,0),AW36,1),"")</f>
        <v>I</v>
      </c>
      <c r="AW36" s="3">
        <v>292</v>
      </c>
      <c r="AX36" s="3" t="str">
        <f>IFERROR(MID(VLOOKUP($B36,Seqs!$A:$B,2,0),AY36,1),"")</f>
        <v>S</v>
      </c>
      <c r="AY36" s="3">
        <v>305</v>
      </c>
      <c r="AZ36" s="77" t="str">
        <f>VLOOKUP(B36,Classification!A:D,2,0)</f>
        <v>A</v>
      </c>
      <c r="BA36" s="94" t="str">
        <f>VLOOKUP(B36,Classification!A:D,4,0)</f>
        <v>Adenosine</v>
      </c>
      <c r="BB36" s="27" t="b">
        <f t="shared" si="1"/>
        <v>1</v>
      </c>
      <c r="BC36" s="23">
        <f t="shared" si="169"/>
        <v>261</v>
      </c>
      <c r="BD36" s="4" t="s">
        <v>23</v>
      </c>
      <c r="BE36" s="3" t="s">
        <v>1381</v>
      </c>
      <c r="BF36" s="119">
        <v>1.72</v>
      </c>
      <c r="BG36" s="49" t="s">
        <v>1384</v>
      </c>
      <c r="BH36" s="49" t="s">
        <v>1384</v>
      </c>
      <c r="BI36" s="1"/>
      <c r="BJ36" s="70" t="s">
        <v>1293</v>
      </c>
      <c r="BK36" s="57" t="s">
        <v>1293</v>
      </c>
      <c r="BL36" s="57" t="s">
        <v>1293</v>
      </c>
      <c r="BM36" s="57" t="s">
        <v>1293</v>
      </c>
      <c r="BN36" s="57" t="s">
        <v>1293</v>
      </c>
      <c r="BO36" s="57" t="s">
        <v>1293</v>
      </c>
      <c r="BP36" s="57" t="s">
        <v>1293</v>
      </c>
      <c r="BQ36" s="57" t="s">
        <v>1293</v>
      </c>
      <c r="BR36" s="57" t="s">
        <v>1293</v>
      </c>
      <c r="BS36" s="57" t="s">
        <v>1293</v>
      </c>
      <c r="BT36" s="57" t="s">
        <v>1293</v>
      </c>
      <c r="BU36" s="57" t="s">
        <v>1293</v>
      </c>
      <c r="BV36" s="70">
        <f t="shared" si="170"/>
        <v>2</v>
      </c>
      <c r="BW36" s="71">
        <f t="shared" si="171"/>
        <v>35</v>
      </c>
      <c r="BX36" s="72">
        <f t="shared" si="172"/>
        <v>39</v>
      </c>
      <c r="BY36" s="71">
        <f t="shared" si="173"/>
        <v>70</v>
      </c>
      <c r="BZ36" s="72">
        <f t="shared" si="174"/>
        <v>73</v>
      </c>
      <c r="CA36" s="71">
        <f t="shared" si="175"/>
        <v>109</v>
      </c>
      <c r="CB36" s="72">
        <f t="shared" si="176"/>
        <v>117</v>
      </c>
      <c r="CC36" s="71">
        <f t="shared" si="177"/>
        <v>166</v>
      </c>
      <c r="CD36" s="72">
        <f t="shared" si="178"/>
        <v>173</v>
      </c>
      <c r="CE36" s="71">
        <f t="shared" si="179"/>
        <v>219</v>
      </c>
      <c r="CF36" s="72">
        <f t="shared" si="180"/>
        <v>266</v>
      </c>
      <c r="CG36" s="71">
        <f t="shared" si="181"/>
        <v>292</v>
      </c>
      <c r="CH36" s="70">
        <f t="shared" si="182"/>
        <v>34</v>
      </c>
      <c r="CI36" s="71">
        <f t="shared" si="183"/>
        <v>38</v>
      </c>
      <c r="CJ36" s="72">
        <f t="shared" si="184"/>
        <v>69</v>
      </c>
      <c r="CK36" s="72">
        <f t="shared" si="185"/>
        <v>72</v>
      </c>
      <c r="CL36" s="72">
        <f t="shared" si="186"/>
        <v>108</v>
      </c>
      <c r="CM36" s="72">
        <f t="shared" si="187"/>
        <v>116</v>
      </c>
      <c r="CN36" s="72">
        <f t="shared" si="188"/>
        <v>142</v>
      </c>
      <c r="CO36" s="72">
        <f t="shared" si="189"/>
        <v>168</v>
      </c>
      <c r="CP36" s="72">
        <f t="shared" si="190"/>
        <v>208</v>
      </c>
      <c r="CQ36" s="72">
        <f t="shared" si="191"/>
        <v>259</v>
      </c>
      <c r="CR36" s="72">
        <f t="shared" si="192"/>
        <v>291</v>
      </c>
      <c r="CS36" s="72">
        <f t="shared" si="193"/>
        <v>305</v>
      </c>
      <c r="CT36" s="23">
        <f t="shared" si="194"/>
        <v>1</v>
      </c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  <c r="US36" s="1"/>
      <c r="UT36" s="1"/>
      <c r="UU36" s="1"/>
      <c r="UV36" s="1"/>
      <c r="UW36" s="1"/>
      <c r="UX36" s="1"/>
      <c r="UY36" s="1"/>
      <c r="UZ36" s="1"/>
      <c r="VA36" s="1"/>
      <c r="VB36" s="1"/>
      <c r="VC36" s="1"/>
      <c r="VD36" s="1"/>
      <c r="VE36" s="1"/>
      <c r="VF36" s="1"/>
      <c r="VG36" s="1"/>
      <c r="VH36" s="1"/>
      <c r="VI36" s="1"/>
      <c r="VJ36" s="1"/>
      <c r="VK36" s="1"/>
      <c r="VL36" s="1"/>
      <c r="VM36" s="1"/>
      <c r="VN36" s="1"/>
      <c r="VO36" s="1"/>
      <c r="VP36" s="1"/>
      <c r="VQ36" s="1"/>
      <c r="VR36" s="1"/>
      <c r="VS36" s="1"/>
      <c r="VT36" s="1"/>
      <c r="VU36" s="1"/>
      <c r="VV36" s="1"/>
      <c r="VW36" s="1"/>
      <c r="VX36" s="1"/>
      <c r="VY36" s="1"/>
      <c r="VZ36" s="1"/>
      <c r="WA36" s="1"/>
      <c r="WB36" s="1"/>
      <c r="WC36" s="1"/>
      <c r="WD36" s="1"/>
      <c r="WE36" s="1"/>
      <c r="WF36" s="1"/>
      <c r="WG36" s="1"/>
      <c r="WH36" s="1"/>
      <c r="WI36" s="1"/>
      <c r="WJ36" s="1"/>
      <c r="WK36" s="1"/>
      <c r="WL36" s="1"/>
      <c r="WM36" s="1"/>
      <c r="WN36" s="1"/>
      <c r="WO36" s="1"/>
      <c r="WP36" s="1"/>
      <c r="WQ36" s="1"/>
      <c r="WR36" s="1"/>
      <c r="WS36" s="1"/>
      <c r="WT36" s="1"/>
      <c r="WU36" s="1"/>
      <c r="WV36" s="1"/>
      <c r="WW36" s="1"/>
      <c r="WX36" s="1"/>
      <c r="WY36" s="1"/>
      <c r="WZ36" s="1"/>
      <c r="XA36" s="1"/>
      <c r="XB36" s="1"/>
      <c r="XC36" s="1"/>
      <c r="XD36" s="1"/>
      <c r="XE36" s="1"/>
      <c r="XF36" s="1"/>
      <c r="XG36" s="1"/>
      <c r="XH36" s="1"/>
      <c r="XI36" s="1"/>
      <c r="XJ36" s="1"/>
      <c r="XK36" s="1"/>
      <c r="XL36" s="1"/>
      <c r="XM36" s="1"/>
      <c r="XN36" s="1"/>
      <c r="XO36" s="1"/>
      <c r="XP36" s="1"/>
      <c r="XQ36" s="1"/>
      <c r="XR36" s="1"/>
      <c r="XS36" s="1"/>
      <c r="XT36" s="1"/>
      <c r="XU36" s="1"/>
      <c r="XV36" s="1"/>
      <c r="XW36" s="1"/>
      <c r="XX36" s="1"/>
      <c r="XY36" s="1"/>
      <c r="XZ36" s="1"/>
      <c r="YA36" s="1"/>
      <c r="YB36" s="1"/>
      <c r="YC36" s="1"/>
      <c r="YD36" s="1"/>
      <c r="YE36" s="1"/>
      <c r="YF36" s="1"/>
      <c r="YG36" s="1"/>
      <c r="YH36" s="1"/>
      <c r="YI36" s="1"/>
      <c r="YJ36" s="1"/>
      <c r="YK36" s="1"/>
      <c r="YL36" s="1"/>
      <c r="YM36" s="1"/>
      <c r="YN36" s="1"/>
      <c r="YO36" s="1"/>
      <c r="YP36" s="1"/>
      <c r="YQ36" s="1"/>
      <c r="YR36" s="1"/>
      <c r="YS36" s="1"/>
      <c r="YT36" s="1"/>
      <c r="YU36" s="1"/>
      <c r="YV36" s="1"/>
      <c r="YW36" s="1"/>
      <c r="YX36" s="1"/>
      <c r="YY36" s="1"/>
      <c r="YZ36" s="1"/>
      <c r="ZA36" s="1"/>
      <c r="ZB36" s="1"/>
      <c r="ZC36" s="1"/>
      <c r="ZD36" s="1"/>
      <c r="ZE36" s="1"/>
      <c r="ZF36" s="1"/>
      <c r="ZG36" s="1"/>
      <c r="ZH36" s="1"/>
      <c r="ZI36" s="1"/>
      <c r="ZJ36" s="1"/>
      <c r="ZK36" s="1"/>
      <c r="ZL36" s="1"/>
      <c r="ZM36" s="1"/>
      <c r="ZN36" s="1"/>
      <c r="ZO36" s="1"/>
      <c r="ZP36" s="1"/>
      <c r="ZQ36" s="1"/>
      <c r="ZR36" s="1"/>
      <c r="ZS36" s="1"/>
      <c r="ZT36" s="1"/>
      <c r="ZU36" s="1"/>
      <c r="ZV36" s="1"/>
      <c r="ZW36" s="1"/>
      <c r="ZX36" s="1"/>
      <c r="ZY36" s="1"/>
      <c r="ZZ36" s="1"/>
      <c r="AAA36" s="1"/>
      <c r="AAB36" s="1"/>
      <c r="AAC36" s="1"/>
      <c r="AAD36" s="1"/>
      <c r="AAE36" s="1"/>
      <c r="AAF36" s="1"/>
      <c r="AAG36" s="1"/>
      <c r="AAH36" s="1"/>
      <c r="AAI36" s="1"/>
      <c r="AAJ36" s="1"/>
      <c r="AAK36" s="1"/>
      <c r="AAL36" s="1"/>
      <c r="AAM36" s="1"/>
      <c r="AAN36" s="1"/>
      <c r="AAO36" s="1"/>
      <c r="AAP36" s="1"/>
      <c r="AAQ36" s="1"/>
      <c r="AAR36" s="1"/>
      <c r="AAS36" s="1"/>
      <c r="AAT36" s="1"/>
      <c r="AAU36" s="1"/>
      <c r="AAV36" s="1"/>
      <c r="AAW36" s="1"/>
      <c r="AAX36" s="1"/>
      <c r="AAY36" s="1"/>
      <c r="AAZ36" s="1"/>
      <c r="ABA36" s="1"/>
      <c r="ABB36" s="1"/>
      <c r="ABC36" s="1"/>
      <c r="ABD36" s="1"/>
      <c r="ABE36" s="1"/>
      <c r="ABF36" s="1"/>
      <c r="ABG36" s="1"/>
      <c r="ABH36" s="1"/>
      <c r="ABI36" s="1"/>
      <c r="ABJ36" s="1"/>
      <c r="ABK36" s="1"/>
      <c r="ABL36" s="1"/>
      <c r="ABM36" s="1"/>
      <c r="ABN36" s="1"/>
      <c r="ABO36" s="1"/>
      <c r="ABP36" s="1"/>
      <c r="ABQ36" s="1"/>
      <c r="ABR36" s="1"/>
      <c r="ABS36" s="1"/>
      <c r="ABT36" s="1"/>
      <c r="ABU36" s="1"/>
      <c r="ABV36" s="1"/>
      <c r="ABW36" s="1"/>
      <c r="ABX36" s="1"/>
      <c r="ABY36" s="1"/>
      <c r="ABZ36" s="1"/>
      <c r="ACA36" s="1"/>
      <c r="ACB36" s="1"/>
      <c r="ACC36" s="1"/>
      <c r="ACD36" s="1"/>
      <c r="ACE36" s="1"/>
      <c r="ACF36" s="1"/>
      <c r="ACG36" s="1"/>
      <c r="ACH36" s="1"/>
      <c r="ACI36" s="1"/>
      <c r="ACJ36" s="1"/>
      <c r="ACK36" s="1"/>
      <c r="ACL36" s="1"/>
      <c r="ACM36" s="1"/>
      <c r="ACN36" s="1"/>
      <c r="ACO36" s="1"/>
      <c r="ACP36" s="1"/>
      <c r="ACQ36" s="1"/>
      <c r="ACR36" s="1"/>
      <c r="ACS36" s="1"/>
      <c r="ACT36" s="1"/>
      <c r="ACU36" s="1"/>
      <c r="ACV36" s="1"/>
      <c r="ACW36" s="1"/>
      <c r="ACX36" s="1"/>
      <c r="ACY36" s="1"/>
      <c r="ACZ36" s="1"/>
      <c r="ADA36" s="1"/>
      <c r="ADB36" s="1"/>
      <c r="ADC36" s="1"/>
      <c r="ADD36" s="1"/>
      <c r="ADE36" s="1"/>
      <c r="ADF36" s="1"/>
      <c r="ADG36" s="1"/>
      <c r="ADH36" s="1"/>
      <c r="ADI36" s="1"/>
      <c r="ADJ36" s="1"/>
      <c r="ADK36" s="1"/>
      <c r="ADL36" s="1"/>
      <c r="ADM36" s="1"/>
      <c r="ADN36" s="1"/>
      <c r="ADO36" s="1"/>
      <c r="ADP36" s="1"/>
      <c r="ADQ36" s="1"/>
      <c r="ADR36" s="1"/>
      <c r="ADS36" s="1"/>
      <c r="ADT36" s="1"/>
      <c r="ADU36" s="1"/>
      <c r="ADV36" s="1"/>
      <c r="ADW36" s="1"/>
      <c r="ADX36" s="1"/>
      <c r="ADY36" s="1"/>
      <c r="ADZ36" s="1"/>
      <c r="AEA36" s="1"/>
      <c r="AEB36" s="1"/>
      <c r="AEC36" s="1"/>
      <c r="AED36" s="1"/>
      <c r="AEE36" s="1"/>
      <c r="AEF36" s="1"/>
      <c r="AEG36" s="1"/>
      <c r="AEH36" s="1"/>
      <c r="AEI36" s="1"/>
      <c r="AEJ36" s="1"/>
      <c r="AEK36" s="1"/>
      <c r="AEL36" s="1"/>
      <c r="AEM36" s="1"/>
      <c r="AEN36" s="1"/>
      <c r="AEO36" s="1"/>
      <c r="AEP36" s="1"/>
      <c r="AEQ36" s="1"/>
      <c r="AER36" s="1"/>
      <c r="AES36" s="1"/>
      <c r="AET36" s="1"/>
      <c r="AEU36" s="1"/>
      <c r="AEV36" s="1"/>
      <c r="AEW36" s="1"/>
      <c r="AEX36" s="1"/>
      <c r="AEY36" s="1"/>
      <c r="AEZ36" s="1"/>
      <c r="AFA36" s="1"/>
      <c r="AFB36" s="1"/>
      <c r="AFC36" s="1"/>
      <c r="AFD36" s="1"/>
      <c r="AFE36" s="1"/>
      <c r="AFF36" s="1"/>
      <c r="AFG36" s="1"/>
      <c r="AFH36" s="1"/>
      <c r="AFI36" s="1"/>
      <c r="AFJ36" s="1"/>
      <c r="AFK36" s="1"/>
      <c r="AFL36" s="1"/>
      <c r="AFM36" s="1"/>
      <c r="AFN36" s="1"/>
      <c r="AFO36" s="1"/>
      <c r="AFP36" s="1"/>
      <c r="AFQ36" s="1"/>
      <c r="AFR36" s="1"/>
      <c r="AFS36" s="1"/>
      <c r="AFT36" s="1"/>
      <c r="AFU36" s="1"/>
      <c r="AFV36" s="1"/>
      <c r="AFW36" s="1"/>
      <c r="AFX36" s="1"/>
      <c r="AFY36" s="1"/>
      <c r="AFZ36" s="1"/>
      <c r="AGA36" s="1"/>
      <c r="AGB36" s="1"/>
      <c r="AGC36" s="1"/>
      <c r="AGD36" s="1"/>
      <c r="AGE36" s="1"/>
      <c r="AGF36" s="1"/>
      <c r="AGG36" s="1"/>
      <c r="AGH36" s="1"/>
      <c r="AGI36" s="1"/>
      <c r="AGJ36" s="1"/>
      <c r="AGK36" s="1"/>
      <c r="AGL36" s="1"/>
      <c r="AGM36" s="1"/>
      <c r="AGN36" s="1"/>
      <c r="AGO36" s="1"/>
      <c r="AGP36" s="1"/>
      <c r="AGQ36" s="1"/>
      <c r="AGR36" s="1"/>
      <c r="AGS36" s="1"/>
      <c r="AGT36" s="1"/>
      <c r="AGU36" s="1"/>
      <c r="AGV36" s="1"/>
      <c r="AGW36" s="1"/>
      <c r="AGX36" s="1"/>
      <c r="AGY36" s="1"/>
      <c r="AGZ36" s="1"/>
      <c r="AHA36" s="1"/>
      <c r="AHB36" s="1"/>
      <c r="AHC36" s="1"/>
      <c r="AHD36" s="1"/>
      <c r="AHE36" s="1"/>
      <c r="AHF36" s="1"/>
      <c r="AHG36" s="1"/>
      <c r="AHH36" s="1"/>
      <c r="AHI36" s="1"/>
      <c r="AHJ36" s="1"/>
      <c r="AHK36" s="1"/>
      <c r="AHL36" s="1"/>
      <c r="AHM36" s="1"/>
      <c r="AHN36" s="1"/>
      <c r="AHO36" s="1"/>
      <c r="AHP36" s="1"/>
      <c r="AHQ36" s="1"/>
      <c r="AHR36" s="1"/>
      <c r="AHS36" s="1"/>
      <c r="AHT36" s="1"/>
      <c r="AHU36" s="1"/>
      <c r="AHV36" s="1"/>
      <c r="AHW36" s="1"/>
      <c r="AHX36" s="1"/>
      <c r="AHY36" s="1"/>
      <c r="AHZ36" s="1"/>
      <c r="AIA36" s="1"/>
      <c r="AIB36" s="1"/>
      <c r="AIC36" s="1"/>
      <c r="AID36" s="1"/>
      <c r="AIE36" s="1"/>
      <c r="AIF36" s="1"/>
      <c r="AIG36" s="1"/>
      <c r="AIH36" s="1"/>
      <c r="AII36" s="1"/>
      <c r="AIJ36" s="1"/>
      <c r="AIK36" s="1"/>
      <c r="AIL36" s="1"/>
      <c r="AIM36" s="1"/>
      <c r="AIN36" s="1"/>
      <c r="AIO36" s="1"/>
      <c r="AIP36" s="1"/>
      <c r="AIQ36" s="1"/>
      <c r="AIR36" s="1"/>
      <c r="AIS36" s="1"/>
      <c r="AIT36" s="1"/>
      <c r="AIU36" s="1"/>
      <c r="AIV36" s="1"/>
      <c r="AIW36" s="1"/>
      <c r="AIX36" s="1"/>
      <c r="AIY36" s="1"/>
      <c r="AIZ36" s="1"/>
      <c r="AJA36" s="1"/>
      <c r="AJB36" s="1"/>
      <c r="AJC36" s="1"/>
      <c r="AJD36" s="1"/>
      <c r="AJE36" s="1"/>
      <c r="AJF36" s="1"/>
      <c r="AJG36" s="1"/>
      <c r="AJH36" s="1"/>
      <c r="AJI36" s="1"/>
      <c r="AJJ36" s="1"/>
      <c r="AJK36" s="1"/>
      <c r="AJL36" s="1"/>
      <c r="AJM36" s="1"/>
      <c r="AJN36" s="1"/>
      <c r="AJO36" s="1"/>
      <c r="AJP36" s="1"/>
      <c r="AJQ36" s="1"/>
      <c r="AJR36" s="1"/>
      <c r="AJS36" s="1"/>
      <c r="AJT36" s="1"/>
      <c r="AJU36" s="1"/>
      <c r="AJV36" s="1"/>
      <c r="AJW36" s="1"/>
      <c r="AJX36" s="1"/>
      <c r="AJY36" s="1"/>
      <c r="AJZ36" s="1"/>
      <c r="AKA36" s="1"/>
      <c r="AKB36" s="1"/>
      <c r="AKC36" s="1"/>
      <c r="AKD36" s="1"/>
      <c r="AKE36" s="1"/>
      <c r="AKF36" s="1"/>
      <c r="AKG36" s="1"/>
      <c r="AKH36" s="1"/>
      <c r="AKI36" s="1"/>
      <c r="AKJ36" s="1"/>
      <c r="AKK36" s="1"/>
      <c r="AKL36" s="1"/>
      <c r="AKM36" s="1"/>
      <c r="AKN36" s="1"/>
      <c r="AKO36" s="1"/>
      <c r="AKP36" s="1"/>
      <c r="AKQ36" s="1"/>
      <c r="AKR36" s="1"/>
      <c r="AKS36" s="1"/>
      <c r="AKT36" s="1"/>
      <c r="AKU36" s="1"/>
      <c r="AKV36" s="1"/>
      <c r="AKW36" s="1"/>
      <c r="AKX36" s="1"/>
      <c r="AKY36" s="1"/>
      <c r="AKZ36" s="1"/>
      <c r="ALA36" s="1"/>
      <c r="ALB36" s="1"/>
      <c r="ALC36" s="1"/>
      <c r="ALD36" s="1"/>
      <c r="ALE36" s="1"/>
      <c r="ALF36" s="1"/>
      <c r="ALG36" s="1"/>
      <c r="ALH36" s="1"/>
      <c r="ALI36" s="1"/>
      <c r="ALJ36" s="1"/>
      <c r="ALK36" s="1"/>
      <c r="ALL36" s="1"/>
      <c r="ALM36" s="1"/>
      <c r="ALN36" s="1"/>
      <c r="ALO36" s="1"/>
      <c r="ALP36" s="1"/>
      <c r="ALQ36" s="1"/>
      <c r="ALR36" s="1"/>
      <c r="ALS36" s="1"/>
      <c r="ALT36" s="1"/>
      <c r="ALU36" s="1"/>
      <c r="ALV36" s="1"/>
      <c r="ALW36" s="1"/>
      <c r="ALX36" s="1"/>
      <c r="ALY36" s="1"/>
      <c r="ALZ36" s="1"/>
      <c r="AMA36" s="1"/>
      <c r="AMB36" s="1"/>
      <c r="AMC36" s="1"/>
      <c r="AMD36" s="1"/>
      <c r="AME36" s="1"/>
      <c r="AMF36" s="1"/>
      <c r="AMG36" s="1"/>
      <c r="AMH36" s="1"/>
      <c r="AMI36" s="1"/>
      <c r="AMJ36" s="1"/>
      <c r="AMK36" s="1"/>
      <c r="AML36" s="1"/>
      <c r="AMM36" s="1"/>
      <c r="AMN36" s="1"/>
      <c r="AMO36" s="1"/>
    </row>
    <row r="37" spans="1:1029" x14ac:dyDescent="0.2">
      <c r="A37" s="3" t="str">
        <f t="shared" si="0"/>
        <v>aa2ar_human_5IU7</v>
      </c>
      <c r="B37" s="3" t="s">
        <v>139</v>
      </c>
      <c r="C37" s="3" t="s">
        <v>1352</v>
      </c>
      <c r="D37" s="3" t="str">
        <f>IFERROR(MID(VLOOKUP($B37,Seqs!$A:$B,2,0),E37,1),"")</f>
        <v>P</v>
      </c>
      <c r="E37" s="3">
        <v>2</v>
      </c>
      <c r="F37" s="3" t="str">
        <f>IFERROR(MID(VLOOKUP($B37,Seqs!$A:$B,2,0),G37,1),"")</f>
        <v>N</v>
      </c>
      <c r="G37" s="3">
        <v>34</v>
      </c>
      <c r="H37" s="3" t="str">
        <f>IFERROR(MID(VLOOKUP($B37,Seqs!$A:$B,2,0),I37,1),"")</f>
        <v>S</v>
      </c>
      <c r="I37" s="23">
        <v>35</v>
      </c>
      <c r="J37" s="3" t="str">
        <f>IFERROR(MID(VLOOKUP($B37,Seqs!$A:$B,2,0),K37,1),"")</f>
        <v>Q</v>
      </c>
      <c r="K37" s="23">
        <v>38</v>
      </c>
      <c r="L37" s="3" t="str">
        <f>IFERROR(MID(VLOOKUP($B37,Seqs!$A:$B,2,0),M37,1),"")</f>
        <v>N</v>
      </c>
      <c r="M37" s="3">
        <v>39</v>
      </c>
      <c r="N37" s="3" t="str">
        <f>IFERROR(MID(VLOOKUP($B37,Seqs!$A:$B,2,0),O37,1),"")</f>
        <v>G</v>
      </c>
      <c r="O37" s="3">
        <v>69</v>
      </c>
      <c r="P37" s="3" t="str">
        <f>IFERROR(MID(VLOOKUP($B37,Seqs!$A:$B,2,0),Q37,1),"")</f>
        <v>F</v>
      </c>
      <c r="Q37" s="3">
        <v>70</v>
      </c>
      <c r="R37" s="3" t="str">
        <f>IFERROR(MID(VLOOKUP($B37,Seqs!$A:$B,2,0),S37,1),"")</f>
        <v>A</v>
      </c>
      <c r="S37" s="3">
        <v>72</v>
      </c>
      <c r="T37" s="3" t="str">
        <f>IFERROR(MID(VLOOKUP($B37,Seqs!$A:$B,2,0),U37,1),"")</f>
        <v>A</v>
      </c>
      <c r="U37" s="3">
        <v>73</v>
      </c>
      <c r="V37" s="3" t="str">
        <f>IFERROR(MID(VLOOKUP($B37,Seqs!$A:$B,2,0),W37,1),"")</f>
        <v>I</v>
      </c>
      <c r="W37" s="3">
        <v>108</v>
      </c>
      <c r="X37" s="3" t="str">
        <f>IFERROR(MID(VLOOKUP($B37,Seqs!$A:$B,2,0),Y37,1),"")</f>
        <v>P</v>
      </c>
      <c r="Y37" s="3">
        <v>109</v>
      </c>
      <c r="Z37" s="3" t="str">
        <f>IFERROR(MID(VLOOKUP($B37,Seqs!$A:$B,2,0),AA37,1),"")</f>
        <v>V</v>
      </c>
      <c r="AA37" s="3">
        <v>116</v>
      </c>
      <c r="AB37" s="3" t="str">
        <f>IFERROR(MID(VLOOKUP($B37,Seqs!$A:$B,2,0),AC37,1),"")</f>
        <v>T</v>
      </c>
      <c r="AC37" s="9">
        <v>117</v>
      </c>
      <c r="AD37" s="3" t="str">
        <f>IFERROR(MID(VLOOKUP($B37,Seqs!$A:$B,2,0),AE37,1),"")</f>
        <v>G</v>
      </c>
      <c r="AE37" s="3">
        <v>142</v>
      </c>
      <c r="AF37" s="3" t="str">
        <f>IFERROR(MID(VLOOKUP($B37,Seqs!$A:$B,2,0),AG37,1),"")</f>
        <v>C</v>
      </c>
      <c r="AG37" s="3">
        <v>166</v>
      </c>
      <c r="AH37" s="3" t="str">
        <f>IFERROR(MID(VLOOKUP($B37,Seqs!$A:$B,2,0),AI37,1),"")</f>
        <v>F</v>
      </c>
      <c r="AI37" s="3">
        <v>168</v>
      </c>
      <c r="AJ37" s="3" t="str">
        <f>IFERROR(MID(VLOOKUP($B37,Seqs!$A:$B,2,0),AK37,1),"")</f>
        <v>P</v>
      </c>
      <c r="AK37" s="3">
        <v>173</v>
      </c>
      <c r="AL37" s="3" t="str">
        <f>IFERROR(MID(VLOOKUP($B37,Seqs!$A:$B,2,0),AM37,1),"")</f>
        <v>L</v>
      </c>
      <c r="AM37" s="3">
        <v>208</v>
      </c>
      <c r="AN37" s="3" t="str">
        <f>IFERROR(MID(VLOOKUP($B37,Seqs!$A:$B,2,0),AO37,1),"")</f>
        <v>E</v>
      </c>
      <c r="AO37" s="3">
        <v>219</v>
      </c>
      <c r="AP37" s="3" t="str">
        <f>IFERROR(MID(VLOOKUP($B37,Seqs!$A:$B,2,0),AQ37,1),"")</f>
        <v>C</v>
      </c>
      <c r="AQ37" s="3">
        <v>259</v>
      </c>
      <c r="AR37" s="3" t="str">
        <f>IFERROR(MID(VLOOKUP($B37,Seqs!$A:$B,2,0),AS37,1),"")</f>
        <v>P</v>
      </c>
      <c r="AS37" s="3">
        <v>266</v>
      </c>
      <c r="AT37" s="3" t="str">
        <f>IFERROR(MID(VLOOKUP($B37,Seqs!$A:$B,2,0),AU37,1),"")</f>
        <v>R</v>
      </c>
      <c r="AU37" s="3">
        <v>291</v>
      </c>
      <c r="AV37" s="3" t="str">
        <f>IFERROR(MID(VLOOKUP($B37,Seqs!$A:$B,2,0),AW37,1),"")</f>
        <v>I</v>
      </c>
      <c r="AW37" s="3">
        <v>292</v>
      </c>
      <c r="AX37" s="3" t="str">
        <f>IFERROR(MID(VLOOKUP($B37,Seqs!$A:$B,2,0),AY37,1),"")</f>
        <v>V</v>
      </c>
      <c r="AY37" s="3">
        <v>307</v>
      </c>
      <c r="AZ37" s="77" t="str">
        <f>VLOOKUP(B37,Classification!A:D,2,0)</f>
        <v>A</v>
      </c>
      <c r="BA37" s="94" t="str">
        <f>VLOOKUP(B37,Classification!A:D,4,0)</f>
        <v>Adenosine</v>
      </c>
      <c r="BB37" s="27" t="b">
        <f t="shared" si="1"/>
        <v>1</v>
      </c>
      <c r="BC37" s="23">
        <f t="shared" si="169"/>
        <v>263</v>
      </c>
      <c r="BD37" s="4" t="s">
        <v>23</v>
      </c>
      <c r="BE37" s="3" t="s">
        <v>1381</v>
      </c>
      <c r="BF37" s="119">
        <v>1.9</v>
      </c>
      <c r="BG37" s="49" t="s">
        <v>1384</v>
      </c>
      <c r="BH37" s="49" t="s">
        <v>1384</v>
      </c>
      <c r="BI37" s="1"/>
      <c r="BJ37" s="70" t="s">
        <v>1293</v>
      </c>
      <c r="BK37" s="57" t="s">
        <v>1293</v>
      </c>
      <c r="BL37" s="57" t="s">
        <v>1293</v>
      </c>
      <c r="BM37" s="57" t="s">
        <v>1293</v>
      </c>
      <c r="BN37" s="57" t="s">
        <v>1293</v>
      </c>
      <c r="BO37" s="57" t="s">
        <v>1293</v>
      </c>
      <c r="BP37" s="57" t="s">
        <v>1293</v>
      </c>
      <c r="BQ37" s="57" t="s">
        <v>1293</v>
      </c>
      <c r="BR37" s="57" t="s">
        <v>1293</v>
      </c>
      <c r="BS37" s="57" t="s">
        <v>1293</v>
      </c>
      <c r="BT37" s="57" t="s">
        <v>1293</v>
      </c>
      <c r="BU37" s="57" t="s">
        <v>1293</v>
      </c>
      <c r="BV37" s="70">
        <f t="shared" si="170"/>
        <v>2</v>
      </c>
      <c r="BW37" s="71">
        <f t="shared" si="171"/>
        <v>35</v>
      </c>
      <c r="BX37" s="72">
        <f t="shared" si="172"/>
        <v>39</v>
      </c>
      <c r="BY37" s="71">
        <f t="shared" si="173"/>
        <v>70</v>
      </c>
      <c r="BZ37" s="72">
        <f t="shared" si="174"/>
        <v>73</v>
      </c>
      <c r="CA37" s="71">
        <f t="shared" si="175"/>
        <v>109</v>
      </c>
      <c r="CB37" s="72">
        <f t="shared" si="176"/>
        <v>117</v>
      </c>
      <c r="CC37" s="71">
        <f t="shared" si="177"/>
        <v>166</v>
      </c>
      <c r="CD37" s="72">
        <f t="shared" si="178"/>
        <v>173</v>
      </c>
      <c r="CE37" s="71">
        <f t="shared" si="179"/>
        <v>219</v>
      </c>
      <c r="CF37" s="72">
        <f t="shared" si="180"/>
        <v>266</v>
      </c>
      <c r="CG37" s="71">
        <f t="shared" si="181"/>
        <v>292</v>
      </c>
      <c r="CH37" s="70">
        <f t="shared" si="182"/>
        <v>34</v>
      </c>
      <c r="CI37" s="71">
        <f t="shared" si="183"/>
        <v>38</v>
      </c>
      <c r="CJ37" s="72">
        <f t="shared" si="184"/>
        <v>69</v>
      </c>
      <c r="CK37" s="72">
        <f t="shared" si="185"/>
        <v>72</v>
      </c>
      <c r="CL37" s="72">
        <f t="shared" si="186"/>
        <v>108</v>
      </c>
      <c r="CM37" s="72">
        <f t="shared" si="187"/>
        <v>116</v>
      </c>
      <c r="CN37" s="72">
        <f t="shared" si="188"/>
        <v>142</v>
      </c>
      <c r="CO37" s="72">
        <f t="shared" si="189"/>
        <v>168</v>
      </c>
      <c r="CP37" s="72">
        <f t="shared" si="190"/>
        <v>208</v>
      </c>
      <c r="CQ37" s="72">
        <f t="shared" si="191"/>
        <v>259</v>
      </c>
      <c r="CR37" s="72">
        <f t="shared" si="192"/>
        <v>291</v>
      </c>
      <c r="CS37" s="72">
        <f t="shared" si="193"/>
        <v>307</v>
      </c>
      <c r="CT37" s="23">
        <f t="shared" si="194"/>
        <v>1</v>
      </c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  <c r="UU37" s="1"/>
      <c r="UV37" s="1"/>
      <c r="UW37" s="1"/>
      <c r="UX37" s="1"/>
      <c r="UY37" s="1"/>
      <c r="UZ37" s="1"/>
      <c r="VA37" s="1"/>
      <c r="VB37" s="1"/>
      <c r="VC37" s="1"/>
      <c r="VD37" s="1"/>
      <c r="VE37" s="1"/>
      <c r="VF37" s="1"/>
      <c r="VG37" s="1"/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/>
      <c r="VU37" s="1"/>
      <c r="VV37" s="1"/>
      <c r="VW37" s="1"/>
      <c r="VX37" s="1"/>
      <c r="VY37" s="1"/>
      <c r="VZ37" s="1"/>
      <c r="WA37" s="1"/>
      <c r="WB37" s="1"/>
      <c r="WC37" s="1"/>
      <c r="WD37" s="1"/>
      <c r="WE37" s="1"/>
      <c r="WF37" s="1"/>
      <c r="WG37" s="1"/>
      <c r="WH37" s="1"/>
      <c r="WI37" s="1"/>
      <c r="WJ37" s="1"/>
      <c r="WK37" s="1"/>
      <c r="WL37" s="1"/>
      <c r="WM37" s="1"/>
      <c r="WN37" s="1"/>
      <c r="WO37" s="1"/>
      <c r="WP37" s="1"/>
      <c r="WQ37" s="1"/>
      <c r="WR37" s="1"/>
      <c r="WS37" s="1"/>
      <c r="WT37" s="1"/>
      <c r="WU37" s="1"/>
      <c r="WV37" s="1"/>
      <c r="WW37" s="1"/>
      <c r="WX37" s="1"/>
      <c r="WY37" s="1"/>
      <c r="WZ37" s="1"/>
      <c r="XA37" s="1"/>
      <c r="XB37" s="1"/>
      <c r="XC37" s="1"/>
      <c r="XD37" s="1"/>
      <c r="XE37" s="1"/>
      <c r="XF37" s="1"/>
      <c r="XG37" s="1"/>
      <c r="XH37" s="1"/>
      <c r="XI37" s="1"/>
      <c r="XJ37" s="1"/>
      <c r="XK37" s="1"/>
      <c r="XL37" s="1"/>
      <c r="XM37" s="1"/>
      <c r="XN37" s="1"/>
      <c r="XO37" s="1"/>
      <c r="XP37" s="1"/>
      <c r="XQ37" s="1"/>
      <c r="XR37" s="1"/>
      <c r="XS37" s="1"/>
      <c r="XT37" s="1"/>
      <c r="XU37" s="1"/>
      <c r="XV37" s="1"/>
      <c r="XW37" s="1"/>
      <c r="XX37" s="1"/>
      <c r="XY37" s="1"/>
      <c r="XZ37" s="1"/>
      <c r="YA37" s="1"/>
      <c r="YB37" s="1"/>
      <c r="YC37" s="1"/>
      <c r="YD37" s="1"/>
      <c r="YE37" s="1"/>
      <c r="YF37" s="1"/>
      <c r="YG37" s="1"/>
      <c r="YH37" s="1"/>
      <c r="YI37" s="1"/>
      <c r="YJ37" s="1"/>
      <c r="YK37" s="1"/>
      <c r="YL37" s="1"/>
      <c r="YM37" s="1"/>
      <c r="YN37" s="1"/>
      <c r="YO37" s="1"/>
      <c r="YP37" s="1"/>
      <c r="YQ37" s="1"/>
      <c r="YR37" s="1"/>
      <c r="YS37" s="1"/>
      <c r="YT37" s="1"/>
      <c r="YU37" s="1"/>
      <c r="YV37" s="1"/>
      <c r="YW37" s="1"/>
      <c r="YX37" s="1"/>
      <c r="YY37" s="1"/>
      <c r="YZ37" s="1"/>
      <c r="ZA37" s="1"/>
      <c r="ZB37" s="1"/>
      <c r="ZC37" s="1"/>
      <c r="ZD37" s="1"/>
      <c r="ZE37" s="1"/>
      <c r="ZF37" s="1"/>
      <c r="ZG37" s="1"/>
      <c r="ZH37" s="1"/>
      <c r="ZI37" s="1"/>
      <c r="ZJ37" s="1"/>
      <c r="ZK37" s="1"/>
      <c r="ZL37" s="1"/>
      <c r="ZM37" s="1"/>
      <c r="ZN37" s="1"/>
      <c r="ZO37" s="1"/>
      <c r="ZP37" s="1"/>
      <c r="ZQ37" s="1"/>
      <c r="ZR37" s="1"/>
      <c r="ZS37" s="1"/>
      <c r="ZT37" s="1"/>
      <c r="ZU37" s="1"/>
      <c r="ZV37" s="1"/>
      <c r="ZW37" s="1"/>
      <c r="ZX37" s="1"/>
      <c r="ZY37" s="1"/>
      <c r="ZZ37" s="1"/>
      <c r="AAA37" s="1"/>
      <c r="AAB37" s="1"/>
      <c r="AAC37" s="1"/>
      <c r="AAD37" s="1"/>
      <c r="AAE37" s="1"/>
      <c r="AAF37" s="1"/>
      <c r="AAG37" s="1"/>
      <c r="AAH37" s="1"/>
      <c r="AAI37" s="1"/>
      <c r="AAJ37" s="1"/>
      <c r="AAK37" s="1"/>
      <c r="AAL37" s="1"/>
      <c r="AAM37" s="1"/>
      <c r="AAN37" s="1"/>
      <c r="AAO37" s="1"/>
      <c r="AAP37" s="1"/>
      <c r="AAQ37" s="1"/>
      <c r="AAR37" s="1"/>
      <c r="AAS37" s="1"/>
      <c r="AAT37" s="1"/>
      <c r="AAU37" s="1"/>
      <c r="AAV37" s="1"/>
      <c r="AAW37" s="1"/>
      <c r="AAX37" s="1"/>
      <c r="AAY37" s="1"/>
      <c r="AAZ37" s="1"/>
      <c r="ABA37" s="1"/>
      <c r="ABB37" s="1"/>
      <c r="ABC37" s="1"/>
      <c r="ABD37" s="1"/>
      <c r="ABE37" s="1"/>
      <c r="ABF37" s="1"/>
      <c r="ABG37" s="1"/>
      <c r="ABH37" s="1"/>
      <c r="ABI37" s="1"/>
      <c r="ABJ37" s="1"/>
      <c r="ABK37" s="1"/>
      <c r="ABL37" s="1"/>
      <c r="ABM37" s="1"/>
      <c r="ABN37" s="1"/>
      <c r="ABO37" s="1"/>
      <c r="ABP37" s="1"/>
      <c r="ABQ37" s="1"/>
      <c r="ABR37" s="1"/>
      <c r="ABS37" s="1"/>
      <c r="ABT37" s="1"/>
      <c r="ABU37" s="1"/>
      <c r="ABV37" s="1"/>
      <c r="ABW37" s="1"/>
      <c r="ABX37" s="1"/>
      <c r="ABY37" s="1"/>
      <c r="ABZ37" s="1"/>
      <c r="ACA37" s="1"/>
      <c r="ACB37" s="1"/>
      <c r="ACC37" s="1"/>
      <c r="ACD37" s="1"/>
      <c r="ACE37" s="1"/>
      <c r="ACF37" s="1"/>
      <c r="ACG37" s="1"/>
      <c r="ACH37" s="1"/>
      <c r="ACI37" s="1"/>
      <c r="ACJ37" s="1"/>
      <c r="ACK37" s="1"/>
      <c r="ACL37" s="1"/>
      <c r="ACM37" s="1"/>
      <c r="ACN37" s="1"/>
      <c r="ACO37" s="1"/>
      <c r="ACP37" s="1"/>
      <c r="ACQ37" s="1"/>
      <c r="ACR37" s="1"/>
      <c r="ACS37" s="1"/>
      <c r="ACT37" s="1"/>
      <c r="ACU37" s="1"/>
      <c r="ACV37" s="1"/>
      <c r="ACW37" s="1"/>
      <c r="ACX37" s="1"/>
      <c r="ACY37" s="1"/>
      <c r="ACZ37" s="1"/>
      <c r="ADA37" s="1"/>
      <c r="ADB37" s="1"/>
      <c r="ADC37" s="1"/>
      <c r="ADD37" s="1"/>
      <c r="ADE37" s="1"/>
      <c r="ADF37" s="1"/>
      <c r="ADG37" s="1"/>
      <c r="ADH37" s="1"/>
      <c r="ADI37" s="1"/>
      <c r="ADJ37" s="1"/>
      <c r="ADK37" s="1"/>
      <c r="ADL37" s="1"/>
      <c r="ADM37" s="1"/>
      <c r="ADN37" s="1"/>
      <c r="ADO37" s="1"/>
      <c r="ADP37" s="1"/>
      <c r="ADQ37" s="1"/>
      <c r="ADR37" s="1"/>
      <c r="ADS37" s="1"/>
      <c r="ADT37" s="1"/>
      <c r="ADU37" s="1"/>
      <c r="ADV37" s="1"/>
      <c r="ADW37" s="1"/>
      <c r="ADX37" s="1"/>
      <c r="ADY37" s="1"/>
      <c r="ADZ37" s="1"/>
      <c r="AEA37" s="1"/>
      <c r="AEB37" s="1"/>
      <c r="AEC37" s="1"/>
      <c r="AED37" s="1"/>
      <c r="AEE37" s="1"/>
      <c r="AEF37" s="1"/>
      <c r="AEG37" s="1"/>
      <c r="AEH37" s="1"/>
      <c r="AEI37" s="1"/>
      <c r="AEJ37" s="1"/>
      <c r="AEK37" s="1"/>
      <c r="AEL37" s="1"/>
      <c r="AEM37" s="1"/>
      <c r="AEN37" s="1"/>
      <c r="AEO37" s="1"/>
      <c r="AEP37" s="1"/>
      <c r="AEQ37" s="1"/>
      <c r="AER37" s="1"/>
      <c r="AES37" s="1"/>
      <c r="AET37" s="1"/>
      <c r="AEU37" s="1"/>
      <c r="AEV37" s="1"/>
      <c r="AEW37" s="1"/>
      <c r="AEX37" s="1"/>
      <c r="AEY37" s="1"/>
      <c r="AEZ37" s="1"/>
      <c r="AFA37" s="1"/>
      <c r="AFB37" s="1"/>
      <c r="AFC37" s="1"/>
      <c r="AFD37" s="1"/>
      <c r="AFE37" s="1"/>
      <c r="AFF37" s="1"/>
      <c r="AFG37" s="1"/>
      <c r="AFH37" s="1"/>
      <c r="AFI37" s="1"/>
      <c r="AFJ37" s="1"/>
      <c r="AFK37" s="1"/>
      <c r="AFL37" s="1"/>
      <c r="AFM37" s="1"/>
      <c r="AFN37" s="1"/>
      <c r="AFO37" s="1"/>
      <c r="AFP37" s="1"/>
      <c r="AFQ37" s="1"/>
      <c r="AFR37" s="1"/>
      <c r="AFS37" s="1"/>
      <c r="AFT37" s="1"/>
      <c r="AFU37" s="1"/>
      <c r="AFV37" s="1"/>
      <c r="AFW37" s="1"/>
      <c r="AFX37" s="1"/>
      <c r="AFY37" s="1"/>
      <c r="AFZ37" s="1"/>
      <c r="AGA37" s="1"/>
      <c r="AGB37" s="1"/>
      <c r="AGC37" s="1"/>
      <c r="AGD37" s="1"/>
      <c r="AGE37" s="1"/>
      <c r="AGF37" s="1"/>
      <c r="AGG37" s="1"/>
      <c r="AGH37" s="1"/>
      <c r="AGI37" s="1"/>
      <c r="AGJ37" s="1"/>
      <c r="AGK37" s="1"/>
      <c r="AGL37" s="1"/>
      <c r="AGM37" s="1"/>
      <c r="AGN37" s="1"/>
      <c r="AGO37" s="1"/>
      <c r="AGP37" s="1"/>
      <c r="AGQ37" s="1"/>
      <c r="AGR37" s="1"/>
      <c r="AGS37" s="1"/>
      <c r="AGT37" s="1"/>
      <c r="AGU37" s="1"/>
      <c r="AGV37" s="1"/>
      <c r="AGW37" s="1"/>
      <c r="AGX37" s="1"/>
      <c r="AGY37" s="1"/>
      <c r="AGZ37" s="1"/>
      <c r="AHA37" s="1"/>
      <c r="AHB37" s="1"/>
      <c r="AHC37" s="1"/>
      <c r="AHD37" s="1"/>
      <c r="AHE37" s="1"/>
      <c r="AHF37" s="1"/>
      <c r="AHG37" s="1"/>
      <c r="AHH37" s="1"/>
      <c r="AHI37" s="1"/>
      <c r="AHJ37" s="1"/>
      <c r="AHK37" s="1"/>
      <c r="AHL37" s="1"/>
      <c r="AHM37" s="1"/>
      <c r="AHN37" s="1"/>
      <c r="AHO37" s="1"/>
      <c r="AHP37" s="1"/>
      <c r="AHQ37" s="1"/>
      <c r="AHR37" s="1"/>
      <c r="AHS37" s="1"/>
      <c r="AHT37" s="1"/>
      <c r="AHU37" s="1"/>
      <c r="AHV37" s="1"/>
      <c r="AHW37" s="1"/>
      <c r="AHX37" s="1"/>
      <c r="AHY37" s="1"/>
      <c r="AHZ37" s="1"/>
      <c r="AIA37" s="1"/>
      <c r="AIB37" s="1"/>
      <c r="AIC37" s="1"/>
      <c r="AID37" s="1"/>
      <c r="AIE37" s="1"/>
      <c r="AIF37" s="1"/>
      <c r="AIG37" s="1"/>
      <c r="AIH37" s="1"/>
      <c r="AII37" s="1"/>
      <c r="AIJ37" s="1"/>
      <c r="AIK37" s="1"/>
      <c r="AIL37" s="1"/>
      <c r="AIM37" s="1"/>
      <c r="AIN37" s="1"/>
      <c r="AIO37" s="1"/>
      <c r="AIP37" s="1"/>
      <c r="AIQ37" s="1"/>
      <c r="AIR37" s="1"/>
      <c r="AIS37" s="1"/>
      <c r="AIT37" s="1"/>
      <c r="AIU37" s="1"/>
      <c r="AIV37" s="1"/>
      <c r="AIW37" s="1"/>
      <c r="AIX37" s="1"/>
      <c r="AIY37" s="1"/>
      <c r="AIZ37" s="1"/>
      <c r="AJA37" s="1"/>
      <c r="AJB37" s="1"/>
      <c r="AJC37" s="1"/>
      <c r="AJD37" s="1"/>
      <c r="AJE37" s="1"/>
      <c r="AJF37" s="1"/>
      <c r="AJG37" s="1"/>
      <c r="AJH37" s="1"/>
      <c r="AJI37" s="1"/>
      <c r="AJJ37" s="1"/>
      <c r="AJK37" s="1"/>
      <c r="AJL37" s="1"/>
      <c r="AJM37" s="1"/>
      <c r="AJN37" s="1"/>
      <c r="AJO37" s="1"/>
      <c r="AJP37" s="1"/>
      <c r="AJQ37" s="1"/>
      <c r="AJR37" s="1"/>
      <c r="AJS37" s="1"/>
      <c r="AJT37" s="1"/>
      <c r="AJU37" s="1"/>
      <c r="AJV37" s="1"/>
      <c r="AJW37" s="1"/>
      <c r="AJX37" s="1"/>
      <c r="AJY37" s="1"/>
      <c r="AJZ37" s="1"/>
      <c r="AKA37" s="1"/>
      <c r="AKB37" s="1"/>
      <c r="AKC37" s="1"/>
      <c r="AKD37" s="1"/>
      <c r="AKE37" s="1"/>
      <c r="AKF37" s="1"/>
      <c r="AKG37" s="1"/>
      <c r="AKH37" s="1"/>
      <c r="AKI37" s="1"/>
      <c r="AKJ37" s="1"/>
      <c r="AKK37" s="1"/>
      <c r="AKL37" s="1"/>
      <c r="AKM37" s="1"/>
      <c r="AKN37" s="1"/>
      <c r="AKO37" s="1"/>
      <c r="AKP37" s="1"/>
      <c r="AKQ37" s="1"/>
      <c r="AKR37" s="1"/>
      <c r="AKS37" s="1"/>
      <c r="AKT37" s="1"/>
      <c r="AKU37" s="1"/>
      <c r="AKV37" s="1"/>
      <c r="AKW37" s="1"/>
      <c r="AKX37" s="1"/>
      <c r="AKY37" s="1"/>
      <c r="AKZ37" s="1"/>
      <c r="ALA37" s="1"/>
      <c r="ALB37" s="1"/>
      <c r="ALC37" s="1"/>
      <c r="ALD37" s="1"/>
      <c r="ALE37" s="1"/>
      <c r="ALF37" s="1"/>
      <c r="ALG37" s="1"/>
      <c r="ALH37" s="1"/>
      <c r="ALI37" s="1"/>
      <c r="ALJ37" s="1"/>
      <c r="ALK37" s="1"/>
      <c r="ALL37" s="1"/>
      <c r="ALM37" s="1"/>
      <c r="ALN37" s="1"/>
      <c r="ALO37" s="1"/>
      <c r="ALP37" s="1"/>
      <c r="ALQ37" s="1"/>
      <c r="ALR37" s="1"/>
      <c r="ALS37" s="1"/>
      <c r="ALT37" s="1"/>
      <c r="ALU37" s="1"/>
      <c r="ALV37" s="1"/>
      <c r="ALW37" s="1"/>
      <c r="ALX37" s="1"/>
      <c r="ALY37" s="1"/>
      <c r="ALZ37" s="1"/>
      <c r="AMA37" s="1"/>
      <c r="AMB37" s="1"/>
      <c r="AMC37" s="1"/>
      <c r="AMD37" s="1"/>
      <c r="AME37" s="1"/>
      <c r="AMF37" s="1"/>
      <c r="AMG37" s="1"/>
      <c r="AMH37" s="1"/>
      <c r="AMI37" s="1"/>
      <c r="AMJ37" s="1"/>
      <c r="AMK37" s="1"/>
      <c r="AML37" s="1"/>
      <c r="AMM37" s="1"/>
      <c r="AMN37" s="1"/>
      <c r="AMO37" s="1"/>
    </row>
    <row r="38" spans="1:1029" x14ac:dyDescent="0.2">
      <c r="A38" s="3" t="str">
        <f t="shared" si="0"/>
        <v>aa2ar_human_5IU8</v>
      </c>
      <c r="B38" s="3" t="s">
        <v>139</v>
      </c>
      <c r="C38" s="3" t="s">
        <v>1353</v>
      </c>
      <c r="D38" s="3" t="str">
        <f>IFERROR(MID(VLOOKUP($B38,Seqs!$A:$B,2,0),E38,1),"")</f>
        <v>P</v>
      </c>
      <c r="E38" s="3">
        <v>2</v>
      </c>
      <c r="F38" s="3" t="str">
        <f>IFERROR(MID(VLOOKUP($B38,Seqs!$A:$B,2,0),G38,1),"")</f>
        <v>N</v>
      </c>
      <c r="G38" s="3">
        <v>34</v>
      </c>
      <c r="H38" s="3" t="str">
        <f>IFERROR(MID(VLOOKUP($B38,Seqs!$A:$B,2,0),I38,1),"")</f>
        <v>S</v>
      </c>
      <c r="I38" s="23">
        <v>35</v>
      </c>
      <c r="J38" s="3" t="str">
        <f>IFERROR(MID(VLOOKUP($B38,Seqs!$A:$B,2,0),K38,1),"")</f>
        <v>Q</v>
      </c>
      <c r="K38" s="23">
        <v>38</v>
      </c>
      <c r="L38" s="3" t="str">
        <f>IFERROR(MID(VLOOKUP($B38,Seqs!$A:$B,2,0),M38,1),"")</f>
        <v>N</v>
      </c>
      <c r="M38" s="3">
        <v>39</v>
      </c>
      <c r="N38" s="3" t="str">
        <f>IFERROR(MID(VLOOKUP($B38,Seqs!$A:$B,2,0),O38,1),"")</f>
        <v>G</v>
      </c>
      <c r="O38" s="3">
        <v>69</v>
      </c>
      <c r="P38" s="3" t="str">
        <f>IFERROR(MID(VLOOKUP($B38,Seqs!$A:$B,2,0),Q38,1),"")</f>
        <v>F</v>
      </c>
      <c r="Q38" s="3">
        <v>70</v>
      </c>
      <c r="R38" s="3" t="str">
        <f>IFERROR(MID(VLOOKUP($B38,Seqs!$A:$B,2,0),S38,1),"")</f>
        <v>A</v>
      </c>
      <c r="S38" s="3">
        <v>72</v>
      </c>
      <c r="T38" s="3" t="str">
        <f>IFERROR(MID(VLOOKUP($B38,Seqs!$A:$B,2,0),U38,1),"")</f>
        <v>A</v>
      </c>
      <c r="U38" s="3">
        <v>73</v>
      </c>
      <c r="V38" s="3" t="str">
        <f>IFERROR(MID(VLOOKUP($B38,Seqs!$A:$B,2,0),W38,1),"")</f>
        <v>I</v>
      </c>
      <c r="W38" s="3">
        <v>108</v>
      </c>
      <c r="X38" s="3" t="str">
        <f>IFERROR(MID(VLOOKUP($B38,Seqs!$A:$B,2,0),Y38,1),"")</f>
        <v>P</v>
      </c>
      <c r="Y38" s="3">
        <v>109</v>
      </c>
      <c r="Z38" s="3" t="str">
        <f>IFERROR(MID(VLOOKUP($B38,Seqs!$A:$B,2,0),AA38,1),"")</f>
        <v>V</v>
      </c>
      <c r="AA38" s="3">
        <v>116</v>
      </c>
      <c r="AB38" s="3" t="str">
        <f>IFERROR(MID(VLOOKUP($B38,Seqs!$A:$B,2,0),AC38,1),"")</f>
        <v>T</v>
      </c>
      <c r="AC38" s="9">
        <v>117</v>
      </c>
      <c r="AD38" s="3" t="str">
        <f>IFERROR(MID(VLOOKUP($B38,Seqs!$A:$B,2,0),AE38,1),"")</f>
        <v>G</v>
      </c>
      <c r="AE38" s="3">
        <v>142</v>
      </c>
      <c r="AF38" s="3" t="str">
        <f>IFERROR(MID(VLOOKUP($B38,Seqs!$A:$B,2,0),AG38,1),"")</f>
        <v>C</v>
      </c>
      <c r="AG38" s="3">
        <v>166</v>
      </c>
      <c r="AH38" s="3" t="str">
        <f>IFERROR(MID(VLOOKUP($B38,Seqs!$A:$B,2,0),AI38,1),"")</f>
        <v>F</v>
      </c>
      <c r="AI38" s="3">
        <v>168</v>
      </c>
      <c r="AJ38" s="3" t="str">
        <f>IFERROR(MID(VLOOKUP($B38,Seqs!$A:$B,2,0),AK38,1),"")</f>
        <v>P</v>
      </c>
      <c r="AK38" s="3">
        <v>173</v>
      </c>
      <c r="AL38" s="3" t="str">
        <f>IFERROR(MID(VLOOKUP($B38,Seqs!$A:$B,2,0),AM38,1),"")</f>
        <v>L</v>
      </c>
      <c r="AM38" s="3">
        <v>208</v>
      </c>
      <c r="AN38" s="3" t="str">
        <f>IFERROR(MID(VLOOKUP($B38,Seqs!$A:$B,2,0),AO38,1),"")</f>
        <v>E</v>
      </c>
      <c r="AO38" s="3">
        <v>219</v>
      </c>
      <c r="AP38" s="3" t="str">
        <f>IFERROR(MID(VLOOKUP($B38,Seqs!$A:$B,2,0),AQ38,1),"")</f>
        <v>C</v>
      </c>
      <c r="AQ38" s="3">
        <v>259</v>
      </c>
      <c r="AR38" s="3" t="str">
        <f>IFERROR(MID(VLOOKUP($B38,Seqs!$A:$B,2,0),AS38,1),"")</f>
        <v>P</v>
      </c>
      <c r="AS38" s="3">
        <v>266</v>
      </c>
      <c r="AT38" s="3" t="str">
        <f>IFERROR(MID(VLOOKUP($B38,Seqs!$A:$B,2,0),AU38,1),"")</f>
        <v>R</v>
      </c>
      <c r="AU38" s="3">
        <v>291</v>
      </c>
      <c r="AV38" s="3" t="str">
        <f>IFERROR(MID(VLOOKUP($B38,Seqs!$A:$B,2,0),AW38,1),"")</f>
        <v>I</v>
      </c>
      <c r="AW38" s="3">
        <v>292</v>
      </c>
      <c r="AX38" s="3" t="str">
        <f>IFERROR(MID(VLOOKUP($B38,Seqs!$A:$B,2,0),AY38,1),"")</f>
        <v>S</v>
      </c>
      <c r="AY38" s="3">
        <v>305</v>
      </c>
      <c r="AZ38" s="77" t="str">
        <f>VLOOKUP(B38,Classification!A:D,2,0)</f>
        <v>A</v>
      </c>
      <c r="BA38" s="94" t="str">
        <f>VLOOKUP(B38,Classification!A:D,4,0)</f>
        <v>Adenosine</v>
      </c>
      <c r="BB38" s="27" t="b">
        <f t="shared" si="1"/>
        <v>1</v>
      </c>
      <c r="BC38" s="23">
        <f t="shared" si="169"/>
        <v>261</v>
      </c>
      <c r="BD38" s="4" t="s">
        <v>23</v>
      </c>
      <c r="BE38" s="3" t="s">
        <v>1381</v>
      </c>
      <c r="BF38" s="119">
        <v>2</v>
      </c>
      <c r="BG38" s="49" t="s">
        <v>1384</v>
      </c>
      <c r="BH38" s="49" t="s">
        <v>1384</v>
      </c>
      <c r="BI38" s="1"/>
      <c r="BJ38" s="70" t="s">
        <v>1293</v>
      </c>
      <c r="BK38" s="57" t="s">
        <v>1293</v>
      </c>
      <c r="BL38" s="57" t="s">
        <v>1293</v>
      </c>
      <c r="BM38" s="57" t="s">
        <v>1293</v>
      </c>
      <c r="BN38" s="57" t="s">
        <v>1293</v>
      </c>
      <c r="BO38" s="57" t="s">
        <v>1293</v>
      </c>
      <c r="BP38" s="57" t="s">
        <v>1293</v>
      </c>
      <c r="BQ38" s="57" t="s">
        <v>1293</v>
      </c>
      <c r="BR38" s="57" t="s">
        <v>1293</v>
      </c>
      <c r="BS38" s="57" t="s">
        <v>1293</v>
      </c>
      <c r="BT38" s="57" t="s">
        <v>1293</v>
      </c>
      <c r="BU38" s="57" t="s">
        <v>1293</v>
      </c>
      <c r="BV38" s="70">
        <f t="shared" si="170"/>
        <v>2</v>
      </c>
      <c r="BW38" s="71">
        <f t="shared" si="171"/>
        <v>35</v>
      </c>
      <c r="BX38" s="72">
        <f t="shared" si="172"/>
        <v>39</v>
      </c>
      <c r="BY38" s="71">
        <f t="shared" si="173"/>
        <v>70</v>
      </c>
      <c r="BZ38" s="72">
        <f t="shared" si="174"/>
        <v>73</v>
      </c>
      <c r="CA38" s="71">
        <f t="shared" si="175"/>
        <v>109</v>
      </c>
      <c r="CB38" s="72">
        <f t="shared" si="176"/>
        <v>117</v>
      </c>
      <c r="CC38" s="71">
        <f t="shared" si="177"/>
        <v>166</v>
      </c>
      <c r="CD38" s="72">
        <f t="shared" si="178"/>
        <v>173</v>
      </c>
      <c r="CE38" s="71">
        <f t="shared" si="179"/>
        <v>219</v>
      </c>
      <c r="CF38" s="72">
        <f t="shared" si="180"/>
        <v>266</v>
      </c>
      <c r="CG38" s="71">
        <f t="shared" si="181"/>
        <v>292</v>
      </c>
      <c r="CH38" s="70">
        <f t="shared" si="182"/>
        <v>34</v>
      </c>
      <c r="CI38" s="71">
        <f t="shared" si="183"/>
        <v>38</v>
      </c>
      <c r="CJ38" s="72">
        <f t="shared" si="184"/>
        <v>69</v>
      </c>
      <c r="CK38" s="72">
        <f t="shared" si="185"/>
        <v>72</v>
      </c>
      <c r="CL38" s="72">
        <f t="shared" si="186"/>
        <v>108</v>
      </c>
      <c r="CM38" s="72">
        <f t="shared" si="187"/>
        <v>116</v>
      </c>
      <c r="CN38" s="72">
        <f t="shared" si="188"/>
        <v>142</v>
      </c>
      <c r="CO38" s="72">
        <f t="shared" si="189"/>
        <v>168</v>
      </c>
      <c r="CP38" s="72">
        <f t="shared" si="190"/>
        <v>208</v>
      </c>
      <c r="CQ38" s="72">
        <f t="shared" si="191"/>
        <v>259</v>
      </c>
      <c r="CR38" s="72">
        <f t="shared" si="192"/>
        <v>291</v>
      </c>
      <c r="CS38" s="72">
        <f t="shared" si="193"/>
        <v>305</v>
      </c>
      <c r="CT38" s="23">
        <f t="shared" si="194"/>
        <v>1</v>
      </c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/>
      <c r="XJ38" s="1"/>
      <c r="XK38" s="1"/>
      <c r="XL38" s="1"/>
      <c r="XM38" s="1"/>
      <c r="XN38" s="1"/>
      <c r="XO38" s="1"/>
      <c r="XP38" s="1"/>
      <c r="XQ38" s="1"/>
      <c r="XR38" s="1"/>
      <c r="XS38" s="1"/>
      <c r="XT38" s="1"/>
      <c r="XU38" s="1"/>
      <c r="XV38" s="1"/>
      <c r="XW38" s="1"/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/>
      <c r="YI38" s="1"/>
      <c r="YJ38" s="1"/>
      <c r="YK38" s="1"/>
      <c r="YL38" s="1"/>
      <c r="YM38" s="1"/>
      <c r="YN38" s="1"/>
      <c r="YO38" s="1"/>
      <c r="YP38" s="1"/>
      <c r="YQ38" s="1"/>
      <c r="YR38" s="1"/>
      <c r="YS38" s="1"/>
      <c r="YT38" s="1"/>
      <c r="YU38" s="1"/>
      <c r="YV38" s="1"/>
      <c r="YW38" s="1"/>
      <c r="YX38" s="1"/>
      <c r="YY38" s="1"/>
      <c r="YZ38" s="1"/>
      <c r="ZA38" s="1"/>
      <c r="ZB38" s="1"/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/>
      <c r="ZU38" s="1"/>
      <c r="ZV38" s="1"/>
      <c r="ZW38" s="1"/>
      <c r="ZX38" s="1"/>
      <c r="ZY38" s="1"/>
      <c r="ZZ38" s="1"/>
      <c r="AAA38" s="1"/>
      <c r="AAB38" s="1"/>
      <c r="AAC38" s="1"/>
      <c r="AAD38" s="1"/>
      <c r="AAE38" s="1"/>
      <c r="AAF38" s="1"/>
      <c r="AAG38" s="1"/>
      <c r="AAH38" s="1"/>
      <c r="AAI38" s="1"/>
      <c r="AAJ38" s="1"/>
      <c r="AAK38" s="1"/>
      <c r="AAL38" s="1"/>
      <c r="AAM38" s="1"/>
      <c r="AAN38" s="1"/>
      <c r="AAO38" s="1"/>
      <c r="AAP38" s="1"/>
      <c r="AAQ38" s="1"/>
      <c r="AAR38" s="1"/>
      <c r="AAS38" s="1"/>
      <c r="AAT38" s="1"/>
      <c r="AAU38" s="1"/>
      <c r="AAV38" s="1"/>
      <c r="AAW38" s="1"/>
      <c r="AAX38" s="1"/>
      <c r="AAY38" s="1"/>
      <c r="AAZ38" s="1"/>
      <c r="ABA38" s="1"/>
      <c r="ABB38" s="1"/>
      <c r="ABC38" s="1"/>
      <c r="ABD38" s="1"/>
      <c r="ABE38" s="1"/>
      <c r="ABF38" s="1"/>
      <c r="ABG38" s="1"/>
      <c r="ABH38" s="1"/>
      <c r="ABI38" s="1"/>
      <c r="ABJ38" s="1"/>
      <c r="ABK38" s="1"/>
      <c r="ABL38" s="1"/>
      <c r="ABM38" s="1"/>
      <c r="ABN38" s="1"/>
      <c r="ABO38" s="1"/>
      <c r="ABP38" s="1"/>
      <c r="ABQ38" s="1"/>
      <c r="ABR38" s="1"/>
      <c r="ABS38" s="1"/>
      <c r="ABT38" s="1"/>
      <c r="ABU38" s="1"/>
      <c r="ABV38" s="1"/>
      <c r="ABW38" s="1"/>
      <c r="ABX38" s="1"/>
      <c r="ABY38" s="1"/>
      <c r="ABZ38" s="1"/>
      <c r="ACA38" s="1"/>
      <c r="ACB38" s="1"/>
      <c r="ACC38" s="1"/>
      <c r="ACD38" s="1"/>
      <c r="ACE38" s="1"/>
      <c r="ACF38" s="1"/>
      <c r="ACG38" s="1"/>
      <c r="ACH38" s="1"/>
      <c r="ACI38" s="1"/>
      <c r="ACJ38" s="1"/>
      <c r="ACK38" s="1"/>
      <c r="ACL38" s="1"/>
      <c r="ACM38" s="1"/>
      <c r="ACN38" s="1"/>
      <c r="ACO38" s="1"/>
      <c r="ACP38" s="1"/>
      <c r="ACQ38" s="1"/>
      <c r="ACR38" s="1"/>
      <c r="ACS38" s="1"/>
      <c r="ACT38" s="1"/>
      <c r="ACU38" s="1"/>
      <c r="ACV38" s="1"/>
      <c r="ACW38" s="1"/>
      <c r="ACX38" s="1"/>
      <c r="ACY38" s="1"/>
      <c r="ACZ38" s="1"/>
      <c r="ADA38" s="1"/>
      <c r="ADB38" s="1"/>
      <c r="ADC38" s="1"/>
      <c r="ADD38" s="1"/>
      <c r="ADE38" s="1"/>
      <c r="ADF38" s="1"/>
      <c r="ADG38" s="1"/>
      <c r="ADH38" s="1"/>
      <c r="ADI38" s="1"/>
      <c r="ADJ38" s="1"/>
      <c r="ADK38" s="1"/>
      <c r="ADL38" s="1"/>
      <c r="ADM38" s="1"/>
      <c r="ADN38" s="1"/>
      <c r="ADO38" s="1"/>
      <c r="ADP38" s="1"/>
      <c r="ADQ38" s="1"/>
      <c r="ADR38" s="1"/>
      <c r="ADS38" s="1"/>
      <c r="ADT38" s="1"/>
      <c r="ADU38" s="1"/>
      <c r="ADV38" s="1"/>
      <c r="ADW38" s="1"/>
      <c r="ADX38" s="1"/>
      <c r="ADY38" s="1"/>
      <c r="ADZ38" s="1"/>
      <c r="AEA38" s="1"/>
      <c r="AEB38" s="1"/>
      <c r="AEC38" s="1"/>
      <c r="AED38" s="1"/>
      <c r="AEE38" s="1"/>
      <c r="AEF38" s="1"/>
      <c r="AEG38" s="1"/>
      <c r="AEH38" s="1"/>
      <c r="AEI38" s="1"/>
      <c r="AEJ38" s="1"/>
      <c r="AEK38" s="1"/>
      <c r="AEL38" s="1"/>
      <c r="AEM38" s="1"/>
      <c r="AEN38" s="1"/>
      <c r="AEO38" s="1"/>
      <c r="AEP38" s="1"/>
      <c r="AEQ38" s="1"/>
      <c r="AER38" s="1"/>
      <c r="AES38" s="1"/>
      <c r="AET38" s="1"/>
      <c r="AEU38" s="1"/>
      <c r="AEV38" s="1"/>
      <c r="AEW38" s="1"/>
      <c r="AEX38" s="1"/>
      <c r="AEY38" s="1"/>
      <c r="AEZ38" s="1"/>
      <c r="AFA38" s="1"/>
      <c r="AFB38" s="1"/>
      <c r="AFC38" s="1"/>
      <c r="AFD38" s="1"/>
      <c r="AFE38" s="1"/>
      <c r="AFF38" s="1"/>
      <c r="AFG38" s="1"/>
      <c r="AFH38" s="1"/>
      <c r="AFI38" s="1"/>
      <c r="AFJ38" s="1"/>
      <c r="AFK38" s="1"/>
      <c r="AFL38" s="1"/>
      <c r="AFM38" s="1"/>
      <c r="AFN38" s="1"/>
      <c r="AFO38" s="1"/>
      <c r="AFP38" s="1"/>
      <c r="AFQ38" s="1"/>
      <c r="AFR38" s="1"/>
      <c r="AFS38" s="1"/>
      <c r="AFT38" s="1"/>
      <c r="AFU38" s="1"/>
      <c r="AFV38" s="1"/>
      <c r="AFW38" s="1"/>
      <c r="AFX38" s="1"/>
      <c r="AFY38" s="1"/>
      <c r="AFZ38" s="1"/>
      <c r="AGA38" s="1"/>
      <c r="AGB38" s="1"/>
      <c r="AGC38" s="1"/>
      <c r="AGD38" s="1"/>
      <c r="AGE38" s="1"/>
      <c r="AGF38" s="1"/>
      <c r="AGG38" s="1"/>
      <c r="AGH38" s="1"/>
      <c r="AGI38" s="1"/>
      <c r="AGJ38" s="1"/>
      <c r="AGK38" s="1"/>
      <c r="AGL38" s="1"/>
      <c r="AGM38" s="1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1"/>
      <c r="AHC38" s="1"/>
      <c r="AHD38" s="1"/>
      <c r="AHE38" s="1"/>
      <c r="AHF38" s="1"/>
      <c r="AHG38" s="1"/>
      <c r="AHH38" s="1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1"/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  <c r="ALN38" s="1"/>
      <c r="ALO38" s="1"/>
      <c r="ALP38" s="1"/>
      <c r="ALQ38" s="1"/>
      <c r="ALR38" s="1"/>
      <c r="ALS38" s="1"/>
      <c r="ALT38" s="1"/>
      <c r="ALU38" s="1"/>
      <c r="ALV38" s="1"/>
      <c r="ALW38" s="1"/>
      <c r="ALX38" s="1"/>
      <c r="ALY38" s="1"/>
      <c r="ALZ38" s="1"/>
      <c r="AMA38" s="1"/>
      <c r="AMB38" s="1"/>
      <c r="AMC38" s="1"/>
      <c r="AMD38" s="1"/>
      <c r="AME38" s="1"/>
      <c r="AMF38" s="1"/>
      <c r="AMG38" s="1"/>
      <c r="AMH38" s="1"/>
      <c r="AMI38" s="1"/>
      <c r="AMJ38" s="1"/>
      <c r="AMK38" s="1"/>
      <c r="AML38" s="1"/>
      <c r="AMM38" s="1"/>
      <c r="AMN38" s="1"/>
      <c r="AMO38" s="1"/>
    </row>
    <row r="39" spans="1:1029" x14ac:dyDescent="0.2">
      <c r="A39" s="3" t="str">
        <f t="shared" si="0"/>
        <v>aa2ar_human_5IUA</v>
      </c>
      <c r="B39" s="3" t="s">
        <v>139</v>
      </c>
      <c r="C39" s="3" t="s">
        <v>1354</v>
      </c>
      <c r="D39" s="3" t="str">
        <f>IFERROR(MID(VLOOKUP($B39,Seqs!$A:$B,2,0),E39,1),"")</f>
        <v>P</v>
      </c>
      <c r="E39" s="3">
        <v>2</v>
      </c>
      <c r="F39" s="3" t="str">
        <f>IFERROR(MID(VLOOKUP($B39,Seqs!$A:$B,2,0),G39,1),"")</f>
        <v>N</v>
      </c>
      <c r="G39" s="3">
        <v>34</v>
      </c>
      <c r="H39" s="3" t="str">
        <f>IFERROR(MID(VLOOKUP($B39,Seqs!$A:$B,2,0),I39,1),"")</f>
        <v>S</v>
      </c>
      <c r="I39" s="23">
        <v>35</v>
      </c>
      <c r="J39" s="3" t="str">
        <f>IFERROR(MID(VLOOKUP($B39,Seqs!$A:$B,2,0),K39,1),"")</f>
        <v>Q</v>
      </c>
      <c r="K39" s="23">
        <v>38</v>
      </c>
      <c r="L39" s="3" t="str">
        <f>IFERROR(MID(VLOOKUP($B39,Seqs!$A:$B,2,0),M39,1),"")</f>
        <v>N</v>
      </c>
      <c r="M39" s="3">
        <v>39</v>
      </c>
      <c r="N39" s="3" t="str">
        <f>IFERROR(MID(VLOOKUP($B39,Seqs!$A:$B,2,0),O39,1),"")</f>
        <v>G</v>
      </c>
      <c r="O39" s="3">
        <v>69</v>
      </c>
      <c r="P39" s="3" t="str">
        <f>IFERROR(MID(VLOOKUP($B39,Seqs!$A:$B,2,0),Q39,1),"")</f>
        <v>F</v>
      </c>
      <c r="Q39" s="3">
        <v>70</v>
      </c>
      <c r="R39" s="3" t="str">
        <f>IFERROR(MID(VLOOKUP($B39,Seqs!$A:$B,2,0),S39,1),"")</f>
        <v>A</v>
      </c>
      <c r="S39" s="3">
        <v>72</v>
      </c>
      <c r="T39" s="3" t="str">
        <f>IFERROR(MID(VLOOKUP($B39,Seqs!$A:$B,2,0),U39,1),"")</f>
        <v>A</v>
      </c>
      <c r="U39" s="3">
        <v>73</v>
      </c>
      <c r="V39" s="3" t="str">
        <f>IFERROR(MID(VLOOKUP($B39,Seqs!$A:$B,2,0),W39,1),"")</f>
        <v>I</v>
      </c>
      <c r="W39" s="3">
        <v>108</v>
      </c>
      <c r="X39" s="3" t="str">
        <f>IFERROR(MID(VLOOKUP($B39,Seqs!$A:$B,2,0),Y39,1),"")</f>
        <v>P</v>
      </c>
      <c r="Y39" s="3">
        <v>109</v>
      </c>
      <c r="Z39" s="3" t="str">
        <f>IFERROR(MID(VLOOKUP($B39,Seqs!$A:$B,2,0),AA39,1),"")</f>
        <v>V</v>
      </c>
      <c r="AA39" s="3">
        <v>116</v>
      </c>
      <c r="AB39" s="3" t="str">
        <f>IFERROR(MID(VLOOKUP($B39,Seqs!$A:$B,2,0),AC39,1),"")</f>
        <v>T</v>
      </c>
      <c r="AC39" s="9">
        <v>117</v>
      </c>
      <c r="AD39" s="3" t="str">
        <f>IFERROR(MID(VLOOKUP($B39,Seqs!$A:$B,2,0),AE39,1),"")</f>
        <v>G</v>
      </c>
      <c r="AE39" s="3">
        <v>142</v>
      </c>
      <c r="AF39" s="3" t="str">
        <f>IFERROR(MID(VLOOKUP($B39,Seqs!$A:$B,2,0),AG39,1),"")</f>
        <v>C</v>
      </c>
      <c r="AG39" s="3">
        <v>166</v>
      </c>
      <c r="AH39" s="3" t="str">
        <f>IFERROR(MID(VLOOKUP($B39,Seqs!$A:$B,2,0),AI39,1),"")</f>
        <v>F</v>
      </c>
      <c r="AI39" s="3">
        <v>168</v>
      </c>
      <c r="AJ39" s="3" t="str">
        <f>IFERROR(MID(VLOOKUP($B39,Seqs!$A:$B,2,0),AK39,1),"")</f>
        <v>P</v>
      </c>
      <c r="AK39" s="3">
        <v>173</v>
      </c>
      <c r="AL39" s="3" t="str">
        <f>IFERROR(MID(VLOOKUP($B39,Seqs!$A:$B,2,0),AM39,1),"")</f>
        <v>L</v>
      </c>
      <c r="AM39" s="3">
        <v>208</v>
      </c>
      <c r="AN39" s="3" t="str">
        <f>IFERROR(MID(VLOOKUP($B39,Seqs!$A:$B,2,0),AO39,1),"")</f>
        <v>E</v>
      </c>
      <c r="AO39" s="3">
        <v>219</v>
      </c>
      <c r="AP39" s="3" t="str">
        <f>IFERROR(MID(VLOOKUP($B39,Seqs!$A:$B,2,0),AQ39,1),"")</f>
        <v>C</v>
      </c>
      <c r="AQ39" s="3">
        <v>259</v>
      </c>
      <c r="AR39" s="3" t="str">
        <f>IFERROR(MID(VLOOKUP($B39,Seqs!$A:$B,2,0),AS39,1),"")</f>
        <v>P</v>
      </c>
      <c r="AS39" s="3">
        <v>266</v>
      </c>
      <c r="AT39" s="3" t="str">
        <f>IFERROR(MID(VLOOKUP($B39,Seqs!$A:$B,2,0),AU39,1),"")</f>
        <v>R</v>
      </c>
      <c r="AU39" s="3">
        <v>291</v>
      </c>
      <c r="AV39" s="3" t="str">
        <f>IFERROR(MID(VLOOKUP($B39,Seqs!$A:$B,2,0),AW39,1),"")</f>
        <v>I</v>
      </c>
      <c r="AW39" s="3">
        <v>292</v>
      </c>
      <c r="AX39" s="3" t="str">
        <f>IFERROR(MID(VLOOKUP($B39,Seqs!$A:$B,2,0),AY39,1),"")</f>
        <v>H</v>
      </c>
      <c r="AY39" s="3">
        <v>306</v>
      </c>
      <c r="AZ39" s="77" t="str">
        <f>VLOOKUP(B39,Classification!A:D,2,0)</f>
        <v>A</v>
      </c>
      <c r="BA39" s="94" t="str">
        <f>VLOOKUP(B39,Classification!A:D,4,0)</f>
        <v>Adenosine</v>
      </c>
      <c r="BB39" s="27" t="b">
        <f t="shared" si="1"/>
        <v>1</v>
      </c>
      <c r="BC39" s="23">
        <f t="shared" si="169"/>
        <v>262</v>
      </c>
      <c r="BD39" s="4" t="s">
        <v>23</v>
      </c>
      <c r="BE39" s="3" t="s">
        <v>1381</v>
      </c>
      <c r="BF39" s="119">
        <v>2.2000000000000002</v>
      </c>
      <c r="BG39" s="49" t="s">
        <v>1384</v>
      </c>
      <c r="BH39" s="49" t="s">
        <v>1384</v>
      </c>
      <c r="BI39" s="1"/>
      <c r="BJ39" s="70" t="s">
        <v>1293</v>
      </c>
      <c r="BK39" s="57" t="s">
        <v>1293</v>
      </c>
      <c r="BL39" s="57" t="s">
        <v>1293</v>
      </c>
      <c r="BM39" s="57" t="s">
        <v>1293</v>
      </c>
      <c r="BN39" s="57" t="s">
        <v>1293</v>
      </c>
      <c r="BO39" s="57" t="s">
        <v>1293</v>
      </c>
      <c r="BP39" s="57" t="s">
        <v>1293</v>
      </c>
      <c r="BQ39" s="57" t="s">
        <v>1293</v>
      </c>
      <c r="BR39" s="57" t="s">
        <v>1293</v>
      </c>
      <c r="BS39" s="57" t="s">
        <v>1293</v>
      </c>
      <c r="BT39" s="57" t="s">
        <v>1293</v>
      </c>
      <c r="BU39" s="57" t="s">
        <v>1293</v>
      </c>
      <c r="BV39" s="70">
        <f t="shared" si="170"/>
        <v>2</v>
      </c>
      <c r="BW39" s="71">
        <f t="shared" si="171"/>
        <v>35</v>
      </c>
      <c r="BX39" s="72">
        <f t="shared" si="172"/>
        <v>39</v>
      </c>
      <c r="BY39" s="71">
        <f t="shared" si="173"/>
        <v>70</v>
      </c>
      <c r="BZ39" s="72">
        <f t="shared" si="174"/>
        <v>73</v>
      </c>
      <c r="CA39" s="71">
        <f t="shared" si="175"/>
        <v>109</v>
      </c>
      <c r="CB39" s="72">
        <f t="shared" si="176"/>
        <v>117</v>
      </c>
      <c r="CC39" s="71">
        <f t="shared" si="177"/>
        <v>166</v>
      </c>
      <c r="CD39" s="72">
        <f t="shared" si="178"/>
        <v>173</v>
      </c>
      <c r="CE39" s="71">
        <f t="shared" si="179"/>
        <v>219</v>
      </c>
      <c r="CF39" s="72">
        <f t="shared" si="180"/>
        <v>266</v>
      </c>
      <c r="CG39" s="71">
        <f t="shared" si="181"/>
        <v>292</v>
      </c>
      <c r="CH39" s="70">
        <f t="shared" si="182"/>
        <v>34</v>
      </c>
      <c r="CI39" s="71">
        <f t="shared" si="183"/>
        <v>38</v>
      </c>
      <c r="CJ39" s="72">
        <f t="shared" si="184"/>
        <v>69</v>
      </c>
      <c r="CK39" s="72">
        <f t="shared" si="185"/>
        <v>72</v>
      </c>
      <c r="CL39" s="72">
        <f t="shared" si="186"/>
        <v>108</v>
      </c>
      <c r="CM39" s="72">
        <f t="shared" si="187"/>
        <v>116</v>
      </c>
      <c r="CN39" s="72">
        <f t="shared" si="188"/>
        <v>142</v>
      </c>
      <c r="CO39" s="72">
        <f t="shared" si="189"/>
        <v>168</v>
      </c>
      <c r="CP39" s="72">
        <f t="shared" si="190"/>
        <v>208</v>
      </c>
      <c r="CQ39" s="72">
        <f t="shared" si="191"/>
        <v>259</v>
      </c>
      <c r="CR39" s="72">
        <f t="shared" si="192"/>
        <v>291</v>
      </c>
      <c r="CS39" s="72">
        <f t="shared" si="193"/>
        <v>306</v>
      </c>
      <c r="CT39" s="23">
        <f t="shared" si="194"/>
        <v>1</v>
      </c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/>
      <c r="WR39" s="1"/>
      <c r="WS39" s="1"/>
      <c r="WT39" s="1"/>
      <c r="WU39" s="1"/>
      <c r="WV39" s="1"/>
      <c r="WW39" s="1"/>
      <c r="WX39" s="1"/>
      <c r="WY39" s="1"/>
      <c r="WZ39" s="1"/>
      <c r="XA39" s="1"/>
      <c r="XB39" s="1"/>
      <c r="XC39" s="1"/>
      <c r="XD39" s="1"/>
      <c r="XE39" s="1"/>
      <c r="XF39" s="1"/>
      <c r="XG39" s="1"/>
      <c r="XH39" s="1"/>
      <c r="XI39" s="1"/>
      <c r="XJ39" s="1"/>
      <c r="XK39" s="1"/>
      <c r="XL39" s="1"/>
      <c r="XM39" s="1"/>
      <c r="XN39" s="1"/>
      <c r="XO39" s="1"/>
      <c r="XP39" s="1"/>
      <c r="XQ39" s="1"/>
      <c r="XR39" s="1"/>
      <c r="XS39" s="1"/>
      <c r="XT39" s="1"/>
      <c r="XU39" s="1"/>
      <c r="XV39" s="1"/>
      <c r="XW39" s="1"/>
      <c r="XX39" s="1"/>
      <c r="XY39" s="1"/>
      <c r="XZ39" s="1"/>
      <c r="YA39" s="1"/>
      <c r="YB39" s="1"/>
      <c r="YC39" s="1"/>
      <c r="YD39" s="1"/>
      <c r="YE39" s="1"/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V39" s="1"/>
      <c r="YW39" s="1"/>
      <c r="YX39" s="1"/>
      <c r="YY39" s="1"/>
      <c r="YZ39" s="1"/>
      <c r="ZA39" s="1"/>
      <c r="ZB39" s="1"/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/>
      <c r="AAC39" s="1"/>
      <c r="AAD39" s="1"/>
      <c r="AAE39" s="1"/>
      <c r="AAF39" s="1"/>
      <c r="AAG39" s="1"/>
      <c r="AAH39" s="1"/>
      <c r="AAI39" s="1"/>
      <c r="AAJ39" s="1"/>
      <c r="AAK39" s="1"/>
      <c r="AAL39" s="1"/>
      <c r="AAM39" s="1"/>
      <c r="AAN39" s="1"/>
      <c r="AAO39" s="1"/>
      <c r="AAP39" s="1"/>
      <c r="AAQ39" s="1"/>
      <c r="AAR39" s="1"/>
      <c r="AAS39" s="1"/>
      <c r="AAT39" s="1"/>
      <c r="AAU39" s="1"/>
      <c r="AAV39" s="1"/>
      <c r="AAW39" s="1"/>
      <c r="AAX39" s="1"/>
      <c r="AAY39" s="1"/>
      <c r="AAZ39" s="1"/>
      <c r="ABA39" s="1"/>
      <c r="ABB39" s="1"/>
      <c r="ABC39" s="1"/>
      <c r="ABD39" s="1"/>
      <c r="ABE39" s="1"/>
      <c r="ABF39" s="1"/>
      <c r="ABG39" s="1"/>
      <c r="ABH39" s="1"/>
      <c r="ABI39" s="1"/>
      <c r="ABJ39" s="1"/>
      <c r="ABK39" s="1"/>
      <c r="ABL39" s="1"/>
      <c r="ABM39" s="1"/>
      <c r="ABN39" s="1"/>
      <c r="ABO39" s="1"/>
      <c r="ABP39" s="1"/>
      <c r="ABQ39" s="1"/>
      <c r="ABR39" s="1"/>
      <c r="ABS39" s="1"/>
      <c r="ABT39" s="1"/>
      <c r="ABU39" s="1"/>
      <c r="ABV39" s="1"/>
      <c r="ABW39" s="1"/>
      <c r="ABX39" s="1"/>
      <c r="ABY39" s="1"/>
      <c r="ABZ39" s="1"/>
      <c r="ACA39" s="1"/>
      <c r="ACB39" s="1"/>
      <c r="ACC39" s="1"/>
      <c r="ACD39" s="1"/>
      <c r="ACE39" s="1"/>
      <c r="ACF39" s="1"/>
      <c r="ACG39" s="1"/>
      <c r="ACH39" s="1"/>
      <c r="ACI39" s="1"/>
      <c r="ACJ39" s="1"/>
      <c r="ACK39" s="1"/>
      <c r="ACL39" s="1"/>
      <c r="ACM39" s="1"/>
      <c r="ACN39" s="1"/>
      <c r="ACO39" s="1"/>
      <c r="ACP39" s="1"/>
      <c r="ACQ39" s="1"/>
      <c r="ACR39" s="1"/>
      <c r="ACS39" s="1"/>
      <c r="ACT39" s="1"/>
      <c r="ACU39" s="1"/>
      <c r="ACV39" s="1"/>
      <c r="ACW39" s="1"/>
      <c r="ACX39" s="1"/>
      <c r="ACY39" s="1"/>
      <c r="ACZ39" s="1"/>
      <c r="ADA39" s="1"/>
      <c r="ADB39" s="1"/>
      <c r="ADC39" s="1"/>
      <c r="ADD39" s="1"/>
      <c r="ADE39" s="1"/>
      <c r="ADF39" s="1"/>
      <c r="ADG39" s="1"/>
      <c r="ADH39" s="1"/>
      <c r="ADI39" s="1"/>
      <c r="ADJ39" s="1"/>
      <c r="ADK39" s="1"/>
      <c r="ADL39" s="1"/>
      <c r="ADM39" s="1"/>
      <c r="ADN39" s="1"/>
      <c r="ADO39" s="1"/>
      <c r="ADP39" s="1"/>
      <c r="ADQ39" s="1"/>
      <c r="ADR39" s="1"/>
      <c r="ADS39" s="1"/>
      <c r="ADT39" s="1"/>
      <c r="ADU39" s="1"/>
      <c r="ADV39" s="1"/>
      <c r="ADW39" s="1"/>
      <c r="ADX39" s="1"/>
      <c r="ADY39" s="1"/>
      <c r="ADZ39" s="1"/>
      <c r="AEA39" s="1"/>
      <c r="AEB39" s="1"/>
      <c r="AEC39" s="1"/>
      <c r="AED39" s="1"/>
      <c r="AEE39" s="1"/>
      <c r="AEF39" s="1"/>
      <c r="AEG39" s="1"/>
      <c r="AEH39" s="1"/>
      <c r="AEI39" s="1"/>
      <c r="AEJ39" s="1"/>
      <c r="AEK39" s="1"/>
      <c r="AEL39" s="1"/>
      <c r="AEM39" s="1"/>
      <c r="AEN39" s="1"/>
      <c r="AEO39" s="1"/>
      <c r="AEP39" s="1"/>
      <c r="AEQ39" s="1"/>
      <c r="AER39" s="1"/>
      <c r="AES39" s="1"/>
      <c r="AET39" s="1"/>
      <c r="AEU39" s="1"/>
      <c r="AEV39" s="1"/>
      <c r="AEW39" s="1"/>
      <c r="AEX39" s="1"/>
      <c r="AEY39" s="1"/>
      <c r="AEZ39" s="1"/>
      <c r="AFA39" s="1"/>
      <c r="AFB39" s="1"/>
      <c r="AFC39" s="1"/>
      <c r="AFD39" s="1"/>
      <c r="AFE39" s="1"/>
      <c r="AFF39" s="1"/>
      <c r="AFG39" s="1"/>
      <c r="AFH39" s="1"/>
      <c r="AFI39" s="1"/>
      <c r="AFJ39" s="1"/>
      <c r="AFK39" s="1"/>
      <c r="AFL39" s="1"/>
      <c r="AFM39" s="1"/>
      <c r="AFN39" s="1"/>
      <c r="AFO39" s="1"/>
      <c r="AFP39" s="1"/>
      <c r="AFQ39" s="1"/>
      <c r="AFR39" s="1"/>
      <c r="AFS39" s="1"/>
      <c r="AFT39" s="1"/>
      <c r="AFU39" s="1"/>
      <c r="AFV39" s="1"/>
      <c r="AFW39" s="1"/>
      <c r="AFX39" s="1"/>
      <c r="AFY39" s="1"/>
      <c r="AFZ39" s="1"/>
      <c r="AGA39" s="1"/>
      <c r="AGB39" s="1"/>
      <c r="AGC39" s="1"/>
      <c r="AGD39" s="1"/>
      <c r="AGE39" s="1"/>
      <c r="AGF39" s="1"/>
      <c r="AGG39" s="1"/>
      <c r="AGH39" s="1"/>
      <c r="AGI39" s="1"/>
      <c r="AGJ39" s="1"/>
      <c r="AGK39" s="1"/>
      <c r="AGL39" s="1"/>
      <c r="AGM39" s="1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1"/>
      <c r="AHC39" s="1"/>
      <c r="AHD39" s="1"/>
      <c r="AHE39" s="1"/>
      <c r="AHF39" s="1"/>
      <c r="AHG39" s="1"/>
      <c r="AHH39" s="1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  <c r="ALN39" s="1"/>
      <c r="ALO39" s="1"/>
      <c r="ALP39" s="1"/>
      <c r="ALQ39" s="1"/>
      <c r="ALR39" s="1"/>
      <c r="ALS39" s="1"/>
      <c r="ALT39" s="1"/>
      <c r="ALU39" s="1"/>
      <c r="ALV39" s="1"/>
      <c r="ALW39" s="1"/>
      <c r="ALX39" s="1"/>
      <c r="ALY39" s="1"/>
      <c r="ALZ39" s="1"/>
      <c r="AMA39" s="1"/>
      <c r="AMB39" s="1"/>
      <c r="AMC39" s="1"/>
      <c r="AMD39" s="1"/>
      <c r="AME39" s="1"/>
      <c r="AMF39" s="1"/>
      <c r="AMG39" s="1"/>
      <c r="AMH39" s="1"/>
      <c r="AMI39" s="1"/>
      <c r="AMJ39" s="1"/>
      <c r="AMK39" s="1"/>
      <c r="AML39" s="1"/>
      <c r="AMM39" s="1"/>
      <c r="AMN39" s="1"/>
      <c r="AMO39" s="1"/>
    </row>
    <row r="40" spans="1:1029" x14ac:dyDescent="0.2">
      <c r="A40" s="3" t="str">
        <f t="shared" si="0"/>
        <v>aa2ar_human_5IUB</v>
      </c>
      <c r="B40" s="3" t="s">
        <v>139</v>
      </c>
      <c r="C40" s="3" t="s">
        <v>1355</v>
      </c>
      <c r="D40" s="3" t="str">
        <f>IFERROR(MID(VLOOKUP($B40,Seqs!$A:$B,2,0),E40,1),"")</f>
        <v>P</v>
      </c>
      <c r="E40" s="3">
        <v>2</v>
      </c>
      <c r="F40" s="3" t="str">
        <f>IFERROR(MID(VLOOKUP($B40,Seqs!$A:$B,2,0),G40,1),"")</f>
        <v>N</v>
      </c>
      <c r="G40" s="3">
        <v>34</v>
      </c>
      <c r="H40" s="3" t="str">
        <f>IFERROR(MID(VLOOKUP($B40,Seqs!$A:$B,2,0),I40,1),"")</f>
        <v>S</v>
      </c>
      <c r="I40" s="23">
        <v>35</v>
      </c>
      <c r="J40" s="3" t="str">
        <f>IFERROR(MID(VLOOKUP($B40,Seqs!$A:$B,2,0),K40,1),"")</f>
        <v>Q</v>
      </c>
      <c r="K40" s="23">
        <v>38</v>
      </c>
      <c r="L40" s="3" t="str">
        <f>IFERROR(MID(VLOOKUP($B40,Seqs!$A:$B,2,0),M40,1),"")</f>
        <v>N</v>
      </c>
      <c r="M40" s="3">
        <v>39</v>
      </c>
      <c r="N40" s="3" t="str">
        <f>IFERROR(MID(VLOOKUP($B40,Seqs!$A:$B,2,0),O40,1),"")</f>
        <v>G</v>
      </c>
      <c r="O40" s="3">
        <v>69</v>
      </c>
      <c r="P40" s="3" t="str">
        <f>IFERROR(MID(VLOOKUP($B40,Seqs!$A:$B,2,0),Q40,1),"")</f>
        <v>F</v>
      </c>
      <c r="Q40" s="3">
        <v>70</v>
      </c>
      <c r="R40" s="3" t="str">
        <f>IFERROR(MID(VLOOKUP($B40,Seqs!$A:$B,2,0),S40,1),"")</f>
        <v>A</v>
      </c>
      <c r="S40" s="3">
        <v>72</v>
      </c>
      <c r="T40" s="3" t="str">
        <f>IFERROR(MID(VLOOKUP($B40,Seqs!$A:$B,2,0),U40,1),"")</f>
        <v>A</v>
      </c>
      <c r="U40" s="3">
        <v>73</v>
      </c>
      <c r="V40" s="3" t="str">
        <f>IFERROR(MID(VLOOKUP($B40,Seqs!$A:$B,2,0),W40,1),"")</f>
        <v>I</v>
      </c>
      <c r="W40" s="3">
        <v>108</v>
      </c>
      <c r="X40" s="3" t="str">
        <f>IFERROR(MID(VLOOKUP($B40,Seqs!$A:$B,2,0),Y40,1),"")</f>
        <v>P</v>
      </c>
      <c r="Y40" s="3">
        <v>109</v>
      </c>
      <c r="Z40" s="3" t="str">
        <f>IFERROR(MID(VLOOKUP($B40,Seqs!$A:$B,2,0),AA40,1),"")</f>
        <v>V</v>
      </c>
      <c r="AA40" s="3">
        <v>116</v>
      </c>
      <c r="AB40" s="3" t="str">
        <f>IFERROR(MID(VLOOKUP($B40,Seqs!$A:$B,2,0),AC40,1),"")</f>
        <v>T</v>
      </c>
      <c r="AC40" s="9">
        <v>117</v>
      </c>
      <c r="AD40" s="3" t="str">
        <f>IFERROR(MID(VLOOKUP($B40,Seqs!$A:$B,2,0),AE40,1),"")</f>
        <v>G</v>
      </c>
      <c r="AE40" s="3">
        <v>142</v>
      </c>
      <c r="AF40" s="3" t="str">
        <f>IFERROR(MID(VLOOKUP($B40,Seqs!$A:$B,2,0),AG40,1),"")</f>
        <v>C</v>
      </c>
      <c r="AG40" s="3">
        <v>166</v>
      </c>
      <c r="AH40" s="3" t="str">
        <f>IFERROR(MID(VLOOKUP($B40,Seqs!$A:$B,2,0),AI40,1),"")</f>
        <v>F</v>
      </c>
      <c r="AI40" s="3">
        <v>168</v>
      </c>
      <c r="AJ40" s="3" t="str">
        <f>IFERROR(MID(VLOOKUP($B40,Seqs!$A:$B,2,0),AK40,1),"")</f>
        <v>P</v>
      </c>
      <c r="AK40" s="3">
        <v>173</v>
      </c>
      <c r="AL40" s="3" t="str">
        <f>IFERROR(MID(VLOOKUP($B40,Seqs!$A:$B,2,0),AM40,1),"")</f>
        <v>L</v>
      </c>
      <c r="AM40" s="3">
        <v>208</v>
      </c>
      <c r="AN40" s="3" t="str">
        <f>IFERROR(MID(VLOOKUP($B40,Seqs!$A:$B,2,0),AO40,1),"")</f>
        <v>E</v>
      </c>
      <c r="AO40" s="3">
        <v>219</v>
      </c>
      <c r="AP40" s="3" t="str">
        <f>IFERROR(MID(VLOOKUP($B40,Seqs!$A:$B,2,0),AQ40,1),"")</f>
        <v>C</v>
      </c>
      <c r="AQ40" s="3">
        <v>259</v>
      </c>
      <c r="AR40" s="3" t="str">
        <f>IFERROR(MID(VLOOKUP($B40,Seqs!$A:$B,2,0),AS40,1),"")</f>
        <v>P</v>
      </c>
      <c r="AS40" s="3">
        <v>266</v>
      </c>
      <c r="AT40" s="3" t="str">
        <f>IFERROR(MID(VLOOKUP($B40,Seqs!$A:$B,2,0),AU40,1),"")</f>
        <v>R</v>
      </c>
      <c r="AU40" s="3">
        <v>291</v>
      </c>
      <c r="AV40" s="3" t="str">
        <f>IFERROR(MID(VLOOKUP($B40,Seqs!$A:$B,2,0),AW40,1),"")</f>
        <v>I</v>
      </c>
      <c r="AW40" s="3">
        <v>292</v>
      </c>
      <c r="AX40" s="3" t="str">
        <f>IFERROR(MID(VLOOKUP($B40,Seqs!$A:$B,2,0),AY40,1),"")</f>
        <v>S</v>
      </c>
      <c r="AY40" s="3">
        <v>305</v>
      </c>
      <c r="AZ40" s="77" t="str">
        <f>VLOOKUP(B40,Classification!A:D,2,0)</f>
        <v>A</v>
      </c>
      <c r="BA40" s="94" t="str">
        <f>VLOOKUP(B40,Classification!A:D,4,0)</f>
        <v>Adenosine</v>
      </c>
      <c r="BB40" s="27" t="b">
        <f t="shared" si="1"/>
        <v>1</v>
      </c>
      <c r="BC40" s="23">
        <f t="shared" si="169"/>
        <v>261</v>
      </c>
      <c r="BD40" s="4" t="s">
        <v>23</v>
      </c>
      <c r="BE40" s="3" t="s">
        <v>1381</v>
      </c>
      <c r="BF40" s="119">
        <v>2.1</v>
      </c>
      <c r="BG40" s="49" t="s">
        <v>1384</v>
      </c>
      <c r="BH40" s="49" t="s">
        <v>1384</v>
      </c>
      <c r="BI40" s="1"/>
      <c r="BJ40" s="70" t="s">
        <v>1293</v>
      </c>
      <c r="BK40" s="57" t="s">
        <v>1293</v>
      </c>
      <c r="BL40" s="57" t="s">
        <v>1293</v>
      </c>
      <c r="BM40" s="57" t="s">
        <v>1293</v>
      </c>
      <c r="BN40" s="57" t="s">
        <v>1293</v>
      </c>
      <c r="BO40" s="57" t="s">
        <v>1293</v>
      </c>
      <c r="BP40" s="57" t="s">
        <v>1293</v>
      </c>
      <c r="BQ40" s="57" t="s">
        <v>1293</v>
      </c>
      <c r="BR40" s="57" t="s">
        <v>1293</v>
      </c>
      <c r="BS40" s="57" t="s">
        <v>1293</v>
      </c>
      <c r="BT40" s="57" t="s">
        <v>1293</v>
      </c>
      <c r="BU40" s="57" t="s">
        <v>1293</v>
      </c>
      <c r="BV40" s="70">
        <f t="shared" si="170"/>
        <v>2</v>
      </c>
      <c r="BW40" s="71">
        <f t="shared" si="171"/>
        <v>35</v>
      </c>
      <c r="BX40" s="72">
        <f t="shared" si="172"/>
        <v>39</v>
      </c>
      <c r="BY40" s="71">
        <f t="shared" si="173"/>
        <v>70</v>
      </c>
      <c r="BZ40" s="72">
        <f t="shared" si="174"/>
        <v>73</v>
      </c>
      <c r="CA40" s="71">
        <f t="shared" si="175"/>
        <v>109</v>
      </c>
      <c r="CB40" s="72">
        <f t="shared" si="176"/>
        <v>117</v>
      </c>
      <c r="CC40" s="71">
        <f t="shared" si="177"/>
        <v>166</v>
      </c>
      <c r="CD40" s="72">
        <f t="shared" si="178"/>
        <v>173</v>
      </c>
      <c r="CE40" s="71">
        <f t="shared" si="179"/>
        <v>219</v>
      </c>
      <c r="CF40" s="72">
        <f t="shared" si="180"/>
        <v>266</v>
      </c>
      <c r="CG40" s="71">
        <f t="shared" si="181"/>
        <v>292</v>
      </c>
      <c r="CH40" s="70">
        <f t="shared" si="182"/>
        <v>34</v>
      </c>
      <c r="CI40" s="71">
        <f t="shared" si="183"/>
        <v>38</v>
      </c>
      <c r="CJ40" s="72">
        <f t="shared" si="184"/>
        <v>69</v>
      </c>
      <c r="CK40" s="72">
        <f t="shared" si="185"/>
        <v>72</v>
      </c>
      <c r="CL40" s="72">
        <f t="shared" si="186"/>
        <v>108</v>
      </c>
      <c r="CM40" s="72">
        <f t="shared" si="187"/>
        <v>116</v>
      </c>
      <c r="CN40" s="72">
        <f t="shared" si="188"/>
        <v>142</v>
      </c>
      <c r="CO40" s="72">
        <f t="shared" si="189"/>
        <v>168</v>
      </c>
      <c r="CP40" s="72">
        <f t="shared" si="190"/>
        <v>208</v>
      </c>
      <c r="CQ40" s="72">
        <f t="shared" si="191"/>
        <v>259</v>
      </c>
      <c r="CR40" s="72">
        <f t="shared" si="192"/>
        <v>291</v>
      </c>
      <c r="CS40" s="72">
        <f t="shared" si="193"/>
        <v>305</v>
      </c>
      <c r="CT40" s="23">
        <f t="shared" si="194"/>
        <v>1</v>
      </c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1"/>
      <c r="XL40" s="1"/>
      <c r="XM40" s="1"/>
      <c r="XN40" s="1"/>
      <c r="XO40" s="1"/>
      <c r="XP40" s="1"/>
      <c r="XQ40" s="1"/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/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G40" s="1"/>
      <c r="AAH40" s="1"/>
      <c r="AAI40" s="1"/>
      <c r="AAJ40" s="1"/>
      <c r="AAK40" s="1"/>
      <c r="AAL40" s="1"/>
      <c r="AAM40" s="1"/>
      <c r="AAN40" s="1"/>
      <c r="AAO40" s="1"/>
      <c r="AAP40" s="1"/>
      <c r="AAQ40" s="1"/>
      <c r="AAR40" s="1"/>
      <c r="AAS40" s="1"/>
      <c r="AAT40" s="1"/>
      <c r="AAU40" s="1"/>
      <c r="AAV40" s="1"/>
      <c r="AAW40" s="1"/>
      <c r="AAX40" s="1"/>
      <c r="AAY40" s="1"/>
      <c r="AAZ40" s="1"/>
      <c r="ABA40" s="1"/>
      <c r="ABB40" s="1"/>
      <c r="ABC40" s="1"/>
      <c r="ABD40" s="1"/>
      <c r="ABE40" s="1"/>
      <c r="ABF40" s="1"/>
      <c r="ABG40" s="1"/>
      <c r="ABH40" s="1"/>
      <c r="ABI40" s="1"/>
      <c r="ABJ40" s="1"/>
      <c r="ABK40" s="1"/>
      <c r="ABL40" s="1"/>
      <c r="ABM40" s="1"/>
      <c r="ABN40" s="1"/>
      <c r="ABO40" s="1"/>
      <c r="ABP40" s="1"/>
      <c r="ABQ40" s="1"/>
      <c r="ABR40" s="1"/>
      <c r="ABS40" s="1"/>
      <c r="ABT40" s="1"/>
      <c r="ABU40" s="1"/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1"/>
      <c r="ACO40" s="1"/>
      <c r="ACP40" s="1"/>
      <c r="ACQ40" s="1"/>
      <c r="ACR40" s="1"/>
      <c r="ACS40" s="1"/>
      <c r="ACT40" s="1"/>
      <c r="ACU40" s="1"/>
      <c r="ACV40" s="1"/>
      <c r="ACW40" s="1"/>
      <c r="ACX40" s="1"/>
      <c r="ACY40" s="1"/>
      <c r="ACZ40" s="1"/>
      <c r="ADA40" s="1"/>
      <c r="ADB40" s="1"/>
      <c r="ADC40" s="1"/>
      <c r="ADD40" s="1"/>
      <c r="ADE40" s="1"/>
      <c r="ADF40" s="1"/>
      <c r="ADG40" s="1"/>
      <c r="ADH40" s="1"/>
      <c r="ADI40" s="1"/>
      <c r="ADJ40" s="1"/>
      <c r="ADK40" s="1"/>
      <c r="ADL40" s="1"/>
      <c r="ADM40" s="1"/>
      <c r="ADN40" s="1"/>
      <c r="ADO40" s="1"/>
      <c r="ADP40" s="1"/>
      <c r="ADQ40" s="1"/>
      <c r="ADR40" s="1"/>
      <c r="ADS40" s="1"/>
      <c r="ADT40" s="1"/>
      <c r="ADU40" s="1"/>
      <c r="ADV40" s="1"/>
      <c r="ADW40" s="1"/>
      <c r="ADX40" s="1"/>
      <c r="ADY40" s="1"/>
      <c r="ADZ40" s="1"/>
      <c r="AEA40" s="1"/>
      <c r="AEB40" s="1"/>
      <c r="AEC40" s="1"/>
      <c r="AED40" s="1"/>
      <c r="AEE40" s="1"/>
      <c r="AEF40" s="1"/>
      <c r="AEG40" s="1"/>
      <c r="AEH40" s="1"/>
      <c r="AEI40" s="1"/>
      <c r="AEJ40" s="1"/>
      <c r="AEK40" s="1"/>
      <c r="AEL40" s="1"/>
      <c r="AEM40" s="1"/>
      <c r="AEN40" s="1"/>
      <c r="AEO40" s="1"/>
      <c r="AEP40" s="1"/>
      <c r="AEQ40" s="1"/>
      <c r="AER40" s="1"/>
      <c r="AES40" s="1"/>
      <c r="AET40" s="1"/>
      <c r="AEU40" s="1"/>
      <c r="AEV40" s="1"/>
      <c r="AEW40" s="1"/>
      <c r="AEX40" s="1"/>
      <c r="AEY40" s="1"/>
      <c r="AEZ40" s="1"/>
      <c r="AFA40" s="1"/>
      <c r="AFB40" s="1"/>
      <c r="AFC40" s="1"/>
      <c r="AFD40" s="1"/>
      <c r="AFE40" s="1"/>
      <c r="AFF40" s="1"/>
      <c r="AFG40" s="1"/>
      <c r="AFH40" s="1"/>
      <c r="AFI40" s="1"/>
      <c r="AFJ40" s="1"/>
      <c r="AFK40" s="1"/>
      <c r="AFL40" s="1"/>
      <c r="AFM40" s="1"/>
      <c r="AFN40" s="1"/>
      <c r="AFO40" s="1"/>
      <c r="AFP40" s="1"/>
      <c r="AFQ40" s="1"/>
      <c r="AFR40" s="1"/>
      <c r="AFS40" s="1"/>
      <c r="AFT40" s="1"/>
      <c r="AFU40" s="1"/>
      <c r="AFV40" s="1"/>
      <c r="AFW40" s="1"/>
      <c r="AFX40" s="1"/>
      <c r="AFY40" s="1"/>
      <c r="AFZ40" s="1"/>
      <c r="AGA40" s="1"/>
      <c r="AGB40" s="1"/>
      <c r="AGC40" s="1"/>
      <c r="AGD40" s="1"/>
      <c r="AGE40" s="1"/>
      <c r="AGF40" s="1"/>
      <c r="AGG40" s="1"/>
      <c r="AGH40" s="1"/>
      <c r="AGI40" s="1"/>
      <c r="AGJ40" s="1"/>
      <c r="AGK40" s="1"/>
      <c r="AGL40" s="1"/>
      <c r="AGM40" s="1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  <c r="ALN40" s="1"/>
      <c r="ALO40" s="1"/>
      <c r="ALP40" s="1"/>
      <c r="ALQ40" s="1"/>
      <c r="ALR40" s="1"/>
      <c r="ALS40" s="1"/>
      <c r="ALT40" s="1"/>
      <c r="ALU40" s="1"/>
      <c r="ALV40" s="1"/>
      <c r="ALW40" s="1"/>
      <c r="ALX40" s="1"/>
      <c r="ALY40" s="1"/>
      <c r="ALZ40" s="1"/>
      <c r="AMA40" s="1"/>
      <c r="AMB40" s="1"/>
      <c r="AMC40" s="1"/>
      <c r="AMD40" s="1"/>
      <c r="AME40" s="1"/>
      <c r="AMF40" s="1"/>
      <c r="AMG40" s="1"/>
      <c r="AMH40" s="1"/>
      <c r="AMI40" s="1"/>
      <c r="AMJ40" s="1"/>
      <c r="AMK40" s="1"/>
      <c r="AML40" s="1"/>
      <c r="AMM40" s="1"/>
      <c r="AMN40" s="1"/>
      <c r="AMO40" s="1"/>
    </row>
    <row r="41" spans="1:1029" x14ac:dyDescent="0.2">
      <c r="A41" s="3" t="str">
        <f t="shared" si="0"/>
        <v>aa2ar_human_5K2A</v>
      </c>
      <c r="B41" s="3" t="s">
        <v>139</v>
      </c>
      <c r="C41" s="3" t="s">
        <v>1345</v>
      </c>
      <c r="D41" s="3" t="str">
        <f>IFERROR(MID(VLOOKUP($B41,Seqs!$A:$B,2,0),E41,1),"")</f>
        <v>P</v>
      </c>
      <c r="E41" s="3">
        <v>2</v>
      </c>
      <c r="F41" s="3" t="str">
        <f>IFERROR(MID(VLOOKUP($B41,Seqs!$A:$B,2,0),G41,1),"")</f>
        <v>N</v>
      </c>
      <c r="G41" s="3">
        <v>34</v>
      </c>
      <c r="H41" s="3" t="str">
        <f>IFERROR(MID(VLOOKUP($B41,Seqs!$A:$B,2,0),I41,1),"")</f>
        <v>S</v>
      </c>
      <c r="I41" s="23">
        <v>35</v>
      </c>
      <c r="J41" s="3" t="str">
        <f>IFERROR(MID(VLOOKUP($B41,Seqs!$A:$B,2,0),K41,1),"")</f>
        <v>Q</v>
      </c>
      <c r="K41" s="23">
        <v>38</v>
      </c>
      <c r="L41" s="3" t="str">
        <f>IFERROR(MID(VLOOKUP($B41,Seqs!$A:$B,2,0),M41,1),"")</f>
        <v>N</v>
      </c>
      <c r="M41" s="3">
        <v>39</v>
      </c>
      <c r="N41" s="3" t="str">
        <f>IFERROR(MID(VLOOKUP($B41,Seqs!$A:$B,2,0),O41,1),"")</f>
        <v>G</v>
      </c>
      <c r="O41" s="3">
        <v>69</v>
      </c>
      <c r="P41" s="3" t="str">
        <f>IFERROR(MID(VLOOKUP($B41,Seqs!$A:$B,2,0),Q41,1),"")</f>
        <v>F</v>
      </c>
      <c r="Q41" s="3">
        <v>70</v>
      </c>
      <c r="R41" s="3" t="str">
        <f>IFERROR(MID(VLOOKUP($B41,Seqs!$A:$B,2,0),S41,1),"")</f>
        <v>A</v>
      </c>
      <c r="S41" s="3">
        <v>72</v>
      </c>
      <c r="T41" s="3" t="str">
        <f>IFERROR(MID(VLOOKUP($B41,Seqs!$A:$B,2,0),U41,1),"")</f>
        <v>A</v>
      </c>
      <c r="U41" s="3">
        <v>73</v>
      </c>
      <c r="V41" s="3" t="str">
        <f>IFERROR(MID(VLOOKUP($B41,Seqs!$A:$B,2,0),W41,1),"")</f>
        <v>I</v>
      </c>
      <c r="W41" s="3">
        <v>108</v>
      </c>
      <c r="X41" s="3" t="str">
        <f>IFERROR(MID(VLOOKUP($B41,Seqs!$A:$B,2,0),Y41,1),"")</f>
        <v>P</v>
      </c>
      <c r="Y41" s="3">
        <v>109</v>
      </c>
      <c r="Z41" s="3" t="str">
        <f>IFERROR(MID(VLOOKUP($B41,Seqs!$A:$B,2,0),AA41,1),"")</f>
        <v>V</v>
      </c>
      <c r="AA41" s="3">
        <v>116</v>
      </c>
      <c r="AB41" s="3" t="str">
        <f>IFERROR(MID(VLOOKUP($B41,Seqs!$A:$B,2,0),AC41,1),"")</f>
        <v>T</v>
      </c>
      <c r="AC41" s="9">
        <v>117</v>
      </c>
      <c r="AD41" s="3" t="str">
        <f>IFERROR(MID(VLOOKUP($B41,Seqs!$A:$B,2,0),AE41,1),"")</f>
        <v>G</v>
      </c>
      <c r="AE41" s="3">
        <v>142</v>
      </c>
      <c r="AF41" s="3" t="str">
        <f>IFERROR(MID(VLOOKUP($B41,Seqs!$A:$B,2,0),AG41,1),"")</f>
        <v>C</v>
      </c>
      <c r="AG41" s="3">
        <v>166</v>
      </c>
      <c r="AH41" s="3" t="str">
        <f>IFERROR(MID(VLOOKUP($B41,Seqs!$A:$B,2,0),AI41,1),"")</f>
        <v>F</v>
      </c>
      <c r="AI41" s="3">
        <v>168</v>
      </c>
      <c r="AJ41" s="3" t="str">
        <f>IFERROR(MID(VLOOKUP($B41,Seqs!$A:$B,2,0),AK41,1),"")</f>
        <v>P</v>
      </c>
      <c r="AK41" s="3">
        <v>173</v>
      </c>
      <c r="AL41" s="3" t="str">
        <f>IFERROR(MID(VLOOKUP($B41,Seqs!$A:$B,2,0),AM41,1),"")</f>
        <v>L</v>
      </c>
      <c r="AM41" s="3">
        <v>208</v>
      </c>
      <c r="AN41" s="3" t="str">
        <f>IFERROR(MID(VLOOKUP($B41,Seqs!$A:$B,2,0),AO41,1),"")</f>
        <v>E</v>
      </c>
      <c r="AO41" s="3">
        <v>219</v>
      </c>
      <c r="AP41" s="3" t="str">
        <f>IFERROR(MID(VLOOKUP($B41,Seqs!$A:$B,2,0),AQ41,1),"")</f>
        <v>C</v>
      </c>
      <c r="AQ41" s="3">
        <v>259</v>
      </c>
      <c r="AR41" s="3" t="str">
        <f>IFERROR(MID(VLOOKUP($B41,Seqs!$A:$B,2,0),AS41,1),"")</f>
        <v>P</v>
      </c>
      <c r="AS41" s="3">
        <v>266</v>
      </c>
      <c r="AT41" s="3" t="str">
        <f>IFERROR(MID(VLOOKUP($B41,Seqs!$A:$B,2,0),AU41,1),"")</f>
        <v>R</v>
      </c>
      <c r="AU41" s="3">
        <v>291</v>
      </c>
      <c r="AV41" s="3" t="str">
        <f>IFERROR(MID(VLOOKUP($B41,Seqs!$A:$B,2,0),AW41,1),"")</f>
        <v>I</v>
      </c>
      <c r="AW41" s="3">
        <v>292</v>
      </c>
      <c r="AX41" s="3" t="str">
        <f>IFERROR(MID(VLOOKUP($B41,Seqs!$A:$B,2,0),AY41,1),"")</f>
        <v>V</v>
      </c>
      <c r="AY41" s="3">
        <v>307</v>
      </c>
      <c r="AZ41" s="77" t="str">
        <f>VLOOKUP(B41,Classification!A:D,2,0)</f>
        <v>A</v>
      </c>
      <c r="BA41" s="94" t="str">
        <f>VLOOKUP(B41,Classification!A:D,4,0)</f>
        <v>Adenosine</v>
      </c>
      <c r="BB41" s="27" t="b">
        <f t="shared" si="1"/>
        <v>1</v>
      </c>
      <c r="BC41" s="23">
        <f t="shared" si="169"/>
        <v>263</v>
      </c>
      <c r="BD41" s="1" t="s">
        <v>23</v>
      </c>
      <c r="BE41" s="3" t="s">
        <v>1381</v>
      </c>
      <c r="BF41" s="119">
        <v>2.5</v>
      </c>
      <c r="BG41" s="49" t="s">
        <v>1384</v>
      </c>
      <c r="BH41" s="49" t="s">
        <v>1384</v>
      </c>
      <c r="BI41" s="1"/>
      <c r="BJ41" s="70" t="s">
        <v>1293</v>
      </c>
      <c r="BK41" s="57" t="s">
        <v>1293</v>
      </c>
      <c r="BL41" s="57" t="s">
        <v>1293</v>
      </c>
      <c r="BM41" s="57" t="s">
        <v>1293</v>
      </c>
      <c r="BN41" s="57" t="s">
        <v>1293</v>
      </c>
      <c r="BO41" s="57" t="s">
        <v>1293</v>
      </c>
      <c r="BP41" s="57" t="s">
        <v>1293</v>
      </c>
      <c r="BQ41" s="57" t="s">
        <v>1293</v>
      </c>
      <c r="BR41" s="57" t="s">
        <v>1293</v>
      </c>
      <c r="BS41" s="57" t="s">
        <v>1293</v>
      </c>
      <c r="BT41" s="57" t="s">
        <v>1293</v>
      </c>
      <c r="BU41" s="57" t="s">
        <v>1293</v>
      </c>
      <c r="BV41" s="70">
        <f t="shared" si="170"/>
        <v>2</v>
      </c>
      <c r="BW41" s="71">
        <f t="shared" si="171"/>
        <v>35</v>
      </c>
      <c r="BX41" s="72">
        <f t="shared" si="172"/>
        <v>39</v>
      </c>
      <c r="BY41" s="71">
        <f t="shared" si="173"/>
        <v>70</v>
      </c>
      <c r="BZ41" s="72">
        <f t="shared" si="174"/>
        <v>73</v>
      </c>
      <c r="CA41" s="71">
        <f t="shared" si="175"/>
        <v>109</v>
      </c>
      <c r="CB41" s="72">
        <f t="shared" si="176"/>
        <v>117</v>
      </c>
      <c r="CC41" s="71">
        <f t="shared" si="177"/>
        <v>166</v>
      </c>
      <c r="CD41" s="72">
        <f t="shared" si="178"/>
        <v>173</v>
      </c>
      <c r="CE41" s="71">
        <f t="shared" si="179"/>
        <v>219</v>
      </c>
      <c r="CF41" s="72">
        <f t="shared" si="180"/>
        <v>266</v>
      </c>
      <c r="CG41" s="71">
        <f t="shared" si="181"/>
        <v>292</v>
      </c>
      <c r="CH41" s="70">
        <f t="shared" si="182"/>
        <v>34</v>
      </c>
      <c r="CI41" s="71">
        <f t="shared" si="183"/>
        <v>38</v>
      </c>
      <c r="CJ41" s="72">
        <f t="shared" si="184"/>
        <v>69</v>
      </c>
      <c r="CK41" s="72">
        <f t="shared" si="185"/>
        <v>72</v>
      </c>
      <c r="CL41" s="72">
        <f t="shared" si="186"/>
        <v>108</v>
      </c>
      <c r="CM41" s="72">
        <f t="shared" si="187"/>
        <v>116</v>
      </c>
      <c r="CN41" s="72">
        <f t="shared" si="188"/>
        <v>142</v>
      </c>
      <c r="CO41" s="72">
        <f t="shared" si="189"/>
        <v>168</v>
      </c>
      <c r="CP41" s="72">
        <f t="shared" si="190"/>
        <v>208</v>
      </c>
      <c r="CQ41" s="72">
        <f t="shared" si="191"/>
        <v>259</v>
      </c>
      <c r="CR41" s="72">
        <f t="shared" si="192"/>
        <v>291</v>
      </c>
      <c r="CS41" s="72">
        <f t="shared" si="193"/>
        <v>307</v>
      </c>
      <c r="CT41" s="23">
        <f t="shared" si="194"/>
        <v>1</v>
      </c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  <c r="AMK41" s="1"/>
      <c r="AML41" s="1"/>
      <c r="AMM41" s="1"/>
      <c r="AMN41" s="1"/>
      <c r="AMO41" s="1"/>
    </row>
    <row r="42" spans="1:1029" x14ac:dyDescent="0.2">
      <c r="A42" s="3" t="str">
        <f t="shared" si="0"/>
        <v>aa2ar_human_5K2B</v>
      </c>
      <c r="B42" s="3" t="s">
        <v>139</v>
      </c>
      <c r="C42" s="3" t="s">
        <v>1346</v>
      </c>
      <c r="D42" s="3" t="str">
        <f>IFERROR(MID(VLOOKUP($B42,Seqs!$A:$B,2,0),E42,1),"")</f>
        <v>P</v>
      </c>
      <c r="E42" s="3">
        <v>2</v>
      </c>
      <c r="F42" s="3" t="str">
        <f>IFERROR(MID(VLOOKUP($B42,Seqs!$A:$B,2,0),G42,1),"")</f>
        <v>N</v>
      </c>
      <c r="G42" s="3">
        <v>34</v>
      </c>
      <c r="H42" s="3" t="str">
        <f>IFERROR(MID(VLOOKUP($B42,Seqs!$A:$B,2,0),I42,1),"")</f>
        <v>S</v>
      </c>
      <c r="I42" s="23">
        <v>35</v>
      </c>
      <c r="J42" s="3" t="str">
        <f>IFERROR(MID(VLOOKUP($B42,Seqs!$A:$B,2,0),K42,1),"")</f>
        <v>Q</v>
      </c>
      <c r="K42" s="23">
        <v>38</v>
      </c>
      <c r="L42" s="3" t="str">
        <f>IFERROR(MID(VLOOKUP($B42,Seqs!$A:$B,2,0),M42,1),"")</f>
        <v>N</v>
      </c>
      <c r="M42" s="3">
        <v>39</v>
      </c>
      <c r="N42" s="3" t="str">
        <f>IFERROR(MID(VLOOKUP($B42,Seqs!$A:$B,2,0),O42,1),"")</f>
        <v>G</v>
      </c>
      <c r="O42" s="3">
        <v>69</v>
      </c>
      <c r="P42" s="3" t="str">
        <f>IFERROR(MID(VLOOKUP($B42,Seqs!$A:$B,2,0),Q42,1),"")</f>
        <v>F</v>
      </c>
      <c r="Q42" s="3">
        <v>70</v>
      </c>
      <c r="R42" s="3" t="str">
        <f>IFERROR(MID(VLOOKUP($B42,Seqs!$A:$B,2,0),S42,1),"")</f>
        <v>A</v>
      </c>
      <c r="S42" s="3">
        <v>72</v>
      </c>
      <c r="T42" s="3" t="str">
        <f>IFERROR(MID(VLOOKUP($B42,Seqs!$A:$B,2,0),U42,1),"")</f>
        <v>A</v>
      </c>
      <c r="U42" s="3">
        <v>73</v>
      </c>
      <c r="V42" s="3" t="str">
        <f>IFERROR(MID(VLOOKUP($B42,Seqs!$A:$B,2,0),W42,1),"")</f>
        <v>I</v>
      </c>
      <c r="W42" s="3">
        <v>108</v>
      </c>
      <c r="X42" s="3" t="str">
        <f>IFERROR(MID(VLOOKUP($B42,Seqs!$A:$B,2,0),Y42,1),"")</f>
        <v>P</v>
      </c>
      <c r="Y42" s="3">
        <v>109</v>
      </c>
      <c r="Z42" s="3" t="str">
        <f>IFERROR(MID(VLOOKUP($B42,Seqs!$A:$B,2,0),AA42,1),"")</f>
        <v>V</v>
      </c>
      <c r="AA42" s="3">
        <v>116</v>
      </c>
      <c r="AB42" s="3" t="str">
        <f>IFERROR(MID(VLOOKUP($B42,Seqs!$A:$B,2,0),AC42,1),"")</f>
        <v>T</v>
      </c>
      <c r="AC42" s="9">
        <v>117</v>
      </c>
      <c r="AD42" s="3" t="str">
        <f>IFERROR(MID(VLOOKUP($B42,Seqs!$A:$B,2,0),AE42,1),"")</f>
        <v>G</v>
      </c>
      <c r="AE42" s="3">
        <v>142</v>
      </c>
      <c r="AF42" s="3" t="str">
        <f>IFERROR(MID(VLOOKUP($B42,Seqs!$A:$B,2,0),AG42,1),"")</f>
        <v>C</v>
      </c>
      <c r="AG42" s="3">
        <v>166</v>
      </c>
      <c r="AH42" s="3" t="str">
        <f>IFERROR(MID(VLOOKUP($B42,Seqs!$A:$B,2,0),AI42,1),"")</f>
        <v>F</v>
      </c>
      <c r="AI42" s="3">
        <v>168</v>
      </c>
      <c r="AJ42" s="3" t="str">
        <f>IFERROR(MID(VLOOKUP($B42,Seqs!$A:$B,2,0),AK42,1),"")</f>
        <v>P</v>
      </c>
      <c r="AK42" s="3">
        <v>173</v>
      </c>
      <c r="AL42" s="3" t="str">
        <f>IFERROR(MID(VLOOKUP($B42,Seqs!$A:$B,2,0),AM42,1),"")</f>
        <v>L</v>
      </c>
      <c r="AM42" s="3">
        <v>208</v>
      </c>
      <c r="AN42" s="3" t="str">
        <f>IFERROR(MID(VLOOKUP($B42,Seqs!$A:$B,2,0),AO42,1),"")</f>
        <v>E</v>
      </c>
      <c r="AO42" s="3">
        <v>219</v>
      </c>
      <c r="AP42" s="3" t="str">
        <f>IFERROR(MID(VLOOKUP($B42,Seqs!$A:$B,2,0),AQ42,1),"")</f>
        <v>C</v>
      </c>
      <c r="AQ42" s="3">
        <v>259</v>
      </c>
      <c r="AR42" s="3" t="str">
        <f>IFERROR(MID(VLOOKUP($B42,Seqs!$A:$B,2,0),AS42,1),"")</f>
        <v>P</v>
      </c>
      <c r="AS42" s="3">
        <v>266</v>
      </c>
      <c r="AT42" s="3" t="str">
        <f>IFERROR(MID(VLOOKUP($B42,Seqs!$A:$B,2,0),AU42,1),"")</f>
        <v>R</v>
      </c>
      <c r="AU42" s="3">
        <v>291</v>
      </c>
      <c r="AV42" s="3" t="str">
        <f>IFERROR(MID(VLOOKUP($B42,Seqs!$A:$B,2,0),AW42,1),"")</f>
        <v>I</v>
      </c>
      <c r="AW42" s="3">
        <v>292</v>
      </c>
      <c r="AX42" s="3" t="str">
        <f>IFERROR(MID(VLOOKUP($B42,Seqs!$A:$B,2,0),AY42,1),"")</f>
        <v>V</v>
      </c>
      <c r="AY42" s="3">
        <v>307</v>
      </c>
      <c r="AZ42" s="77" t="str">
        <f>VLOOKUP(B42,Classification!A:D,2,0)</f>
        <v>A</v>
      </c>
      <c r="BA42" s="94" t="str">
        <f>VLOOKUP(B42,Classification!A:D,4,0)</f>
        <v>Adenosine</v>
      </c>
      <c r="BB42" s="27" t="b">
        <f t="shared" si="1"/>
        <v>1</v>
      </c>
      <c r="BC42" s="23">
        <f t="shared" si="169"/>
        <v>263</v>
      </c>
      <c r="BD42" s="4" t="s">
        <v>23</v>
      </c>
      <c r="BE42" s="3" t="s">
        <v>1381</v>
      </c>
      <c r="BF42" s="119">
        <v>2.5</v>
      </c>
      <c r="BG42" s="49" t="s">
        <v>1384</v>
      </c>
      <c r="BH42" s="49" t="s">
        <v>1384</v>
      </c>
      <c r="BI42" s="1"/>
      <c r="BJ42" s="70" t="s">
        <v>1293</v>
      </c>
      <c r="BK42" s="57" t="s">
        <v>1293</v>
      </c>
      <c r="BL42" s="57" t="s">
        <v>1293</v>
      </c>
      <c r="BM42" s="57" t="s">
        <v>1293</v>
      </c>
      <c r="BN42" s="57" t="s">
        <v>1293</v>
      </c>
      <c r="BO42" s="57" t="s">
        <v>1293</v>
      </c>
      <c r="BP42" s="57" t="s">
        <v>1293</v>
      </c>
      <c r="BQ42" s="57" t="s">
        <v>1293</v>
      </c>
      <c r="BR42" s="57" t="s">
        <v>1293</v>
      </c>
      <c r="BS42" s="57" t="s">
        <v>1293</v>
      </c>
      <c r="BT42" s="57" t="s">
        <v>1293</v>
      </c>
      <c r="BU42" s="57" t="s">
        <v>1293</v>
      </c>
      <c r="BV42" s="70">
        <f t="shared" si="170"/>
        <v>2</v>
      </c>
      <c r="BW42" s="71">
        <f t="shared" si="171"/>
        <v>35</v>
      </c>
      <c r="BX42" s="72">
        <f t="shared" si="172"/>
        <v>39</v>
      </c>
      <c r="BY42" s="71">
        <f t="shared" si="173"/>
        <v>70</v>
      </c>
      <c r="BZ42" s="72">
        <f t="shared" si="174"/>
        <v>73</v>
      </c>
      <c r="CA42" s="71">
        <f t="shared" si="175"/>
        <v>109</v>
      </c>
      <c r="CB42" s="72">
        <f t="shared" si="176"/>
        <v>117</v>
      </c>
      <c r="CC42" s="71">
        <f t="shared" si="177"/>
        <v>166</v>
      </c>
      <c r="CD42" s="72">
        <f t="shared" si="178"/>
        <v>173</v>
      </c>
      <c r="CE42" s="71">
        <f t="shared" si="179"/>
        <v>219</v>
      </c>
      <c r="CF42" s="72">
        <f t="shared" si="180"/>
        <v>266</v>
      </c>
      <c r="CG42" s="71">
        <f t="shared" si="181"/>
        <v>292</v>
      </c>
      <c r="CH42" s="70">
        <f t="shared" si="182"/>
        <v>34</v>
      </c>
      <c r="CI42" s="71">
        <f t="shared" si="183"/>
        <v>38</v>
      </c>
      <c r="CJ42" s="72">
        <f t="shared" si="184"/>
        <v>69</v>
      </c>
      <c r="CK42" s="72">
        <f t="shared" si="185"/>
        <v>72</v>
      </c>
      <c r="CL42" s="72">
        <f t="shared" si="186"/>
        <v>108</v>
      </c>
      <c r="CM42" s="72">
        <f t="shared" si="187"/>
        <v>116</v>
      </c>
      <c r="CN42" s="72">
        <f t="shared" si="188"/>
        <v>142</v>
      </c>
      <c r="CO42" s="72">
        <f t="shared" si="189"/>
        <v>168</v>
      </c>
      <c r="CP42" s="72">
        <f t="shared" si="190"/>
        <v>208</v>
      </c>
      <c r="CQ42" s="72">
        <f t="shared" si="191"/>
        <v>259</v>
      </c>
      <c r="CR42" s="72">
        <f t="shared" si="192"/>
        <v>291</v>
      </c>
      <c r="CS42" s="72">
        <f t="shared" si="193"/>
        <v>307</v>
      </c>
      <c r="CT42" s="23">
        <f t="shared" si="194"/>
        <v>1</v>
      </c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  <c r="ADW42" s="1"/>
      <c r="ADX42" s="1"/>
      <c r="ADY42" s="1"/>
      <c r="ADZ42" s="1"/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K42" s="1"/>
      <c r="AEL42" s="1"/>
      <c r="AEM42" s="1"/>
      <c r="AEN42" s="1"/>
      <c r="AEO42" s="1"/>
      <c r="AEP42" s="1"/>
      <c r="AEQ42" s="1"/>
      <c r="AER42" s="1"/>
      <c r="AES42" s="1"/>
      <c r="AET42" s="1"/>
      <c r="AEU42" s="1"/>
      <c r="AEV42" s="1"/>
      <c r="AEW42" s="1"/>
      <c r="AEX42" s="1"/>
      <c r="AEY42" s="1"/>
      <c r="AEZ42" s="1"/>
      <c r="AFA42" s="1"/>
      <c r="AFB42" s="1"/>
      <c r="AFC42" s="1"/>
      <c r="AFD42" s="1"/>
      <c r="AFE42" s="1"/>
      <c r="AFF42" s="1"/>
      <c r="AFG42" s="1"/>
      <c r="AFH42" s="1"/>
      <c r="AFI42" s="1"/>
      <c r="AFJ42" s="1"/>
      <c r="AFK42" s="1"/>
      <c r="AFL42" s="1"/>
      <c r="AFM42" s="1"/>
      <c r="AFN42" s="1"/>
      <c r="AFO42" s="1"/>
      <c r="AFP42" s="1"/>
      <c r="AFQ42" s="1"/>
      <c r="AFR42" s="1"/>
      <c r="AFS42" s="1"/>
      <c r="AFT42" s="1"/>
      <c r="AFU42" s="1"/>
      <c r="AFV42" s="1"/>
      <c r="AFW42" s="1"/>
      <c r="AFX42" s="1"/>
      <c r="AFY42" s="1"/>
      <c r="AFZ42" s="1"/>
      <c r="AGA42" s="1"/>
      <c r="AGB42" s="1"/>
      <c r="AGC42" s="1"/>
      <c r="AGD42" s="1"/>
      <c r="AGE42" s="1"/>
      <c r="AGF42" s="1"/>
      <c r="AGG42" s="1"/>
      <c r="AGH42" s="1"/>
      <c r="AGI42" s="1"/>
      <c r="AGJ42" s="1"/>
      <c r="AGK42" s="1"/>
      <c r="AGL42" s="1"/>
      <c r="AGM42" s="1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  <c r="ALN42" s="1"/>
      <c r="ALO42" s="1"/>
      <c r="ALP42" s="1"/>
      <c r="ALQ42" s="1"/>
      <c r="ALR42" s="1"/>
      <c r="ALS42" s="1"/>
      <c r="ALT42" s="1"/>
      <c r="ALU42" s="1"/>
      <c r="ALV42" s="1"/>
      <c r="ALW42" s="1"/>
      <c r="ALX42" s="1"/>
      <c r="ALY42" s="1"/>
      <c r="ALZ42" s="1"/>
      <c r="AMA42" s="1"/>
      <c r="AMB42" s="1"/>
      <c r="AMC42" s="1"/>
      <c r="AMD42" s="1"/>
      <c r="AME42" s="1"/>
      <c r="AMF42" s="1"/>
      <c r="AMG42" s="1"/>
      <c r="AMH42" s="1"/>
      <c r="AMI42" s="1"/>
      <c r="AMJ42" s="1"/>
      <c r="AMK42" s="1"/>
      <c r="AML42" s="1"/>
      <c r="AMM42" s="1"/>
      <c r="AMN42" s="1"/>
      <c r="AMO42" s="1"/>
    </row>
    <row r="43" spans="1:1029" x14ac:dyDescent="0.2">
      <c r="A43" s="3" t="str">
        <f t="shared" si="0"/>
        <v>aa2ar_human_5K2C</v>
      </c>
      <c r="B43" s="3" t="s">
        <v>139</v>
      </c>
      <c r="C43" s="3" t="s">
        <v>1347</v>
      </c>
      <c r="D43" s="3" t="str">
        <f>IFERROR(MID(VLOOKUP($B43,Seqs!$A:$B,2,0),E43,1),"")</f>
        <v>P</v>
      </c>
      <c r="E43" s="3">
        <v>2</v>
      </c>
      <c r="F43" s="3" t="str">
        <f>IFERROR(MID(VLOOKUP($B43,Seqs!$A:$B,2,0),G43,1),"")</f>
        <v>N</v>
      </c>
      <c r="G43" s="3">
        <v>34</v>
      </c>
      <c r="H43" s="3" t="str">
        <f>IFERROR(MID(VLOOKUP($B43,Seqs!$A:$B,2,0),I43,1),"")</f>
        <v>S</v>
      </c>
      <c r="I43" s="23">
        <v>35</v>
      </c>
      <c r="J43" s="3" t="str">
        <f>IFERROR(MID(VLOOKUP($B43,Seqs!$A:$B,2,0),K43,1),"")</f>
        <v>Q</v>
      </c>
      <c r="K43" s="23">
        <v>38</v>
      </c>
      <c r="L43" s="3" t="str">
        <f>IFERROR(MID(VLOOKUP($B43,Seqs!$A:$B,2,0),M43,1),"")</f>
        <v>N</v>
      </c>
      <c r="M43" s="3">
        <v>39</v>
      </c>
      <c r="N43" s="3" t="str">
        <f>IFERROR(MID(VLOOKUP($B43,Seqs!$A:$B,2,0),O43,1),"")</f>
        <v>G</v>
      </c>
      <c r="O43" s="3">
        <v>69</v>
      </c>
      <c r="P43" s="3" t="str">
        <f>IFERROR(MID(VLOOKUP($B43,Seqs!$A:$B,2,0),Q43,1),"")</f>
        <v>F</v>
      </c>
      <c r="Q43" s="3">
        <v>70</v>
      </c>
      <c r="R43" s="3" t="str">
        <f>IFERROR(MID(VLOOKUP($B43,Seqs!$A:$B,2,0),S43,1),"")</f>
        <v>A</v>
      </c>
      <c r="S43" s="3">
        <v>72</v>
      </c>
      <c r="T43" s="3" t="str">
        <f>IFERROR(MID(VLOOKUP($B43,Seqs!$A:$B,2,0),U43,1),"")</f>
        <v>A</v>
      </c>
      <c r="U43" s="3">
        <v>73</v>
      </c>
      <c r="V43" s="3" t="str">
        <f>IFERROR(MID(VLOOKUP($B43,Seqs!$A:$B,2,0),W43,1),"")</f>
        <v>I</v>
      </c>
      <c r="W43" s="3">
        <v>108</v>
      </c>
      <c r="X43" s="3" t="str">
        <f>IFERROR(MID(VLOOKUP($B43,Seqs!$A:$B,2,0),Y43,1),"")</f>
        <v>P</v>
      </c>
      <c r="Y43" s="3">
        <v>109</v>
      </c>
      <c r="Z43" s="3" t="str">
        <f>IFERROR(MID(VLOOKUP($B43,Seqs!$A:$B,2,0),AA43,1),"")</f>
        <v>V</v>
      </c>
      <c r="AA43" s="3">
        <v>116</v>
      </c>
      <c r="AB43" s="3" t="str">
        <f>IFERROR(MID(VLOOKUP($B43,Seqs!$A:$B,2,0),AC43,1),"")</f>
        <v>T</v>
      </c>
      <c r="AC43" s="9">
        <v>117</v>
      </c>
      <c r="AD43" s="3" t="str">
        <f>IFERROR(MID(VLOOKUP($B43,Seqs!$A:$B,2,0),AE43,1),"")</f>
        <v>G</v>
      </c>
      <c r="AE43" s="3">
        <v>142</v>
      </c>
      <c r="AF43" s="3" t="str">
        <f>IFERROR(MID(VLOOKUP($B43,Seqs!$A:$B,2,0),AG43,1),"")</f>
        <v>C</v>
      </c>
      <c r="AG43" s="3">
        <v>166</v>
      </c>
      <c r="AH43" s="3" t="str">
        <f>IFERROR(MID(VLOOKUP($B43,Seqs!$A:$B,2,0),AI43,1),"")</f>
        <v>F</v>
      </c>
      <c r="AI43" s="3">
        <v>168</v>
      </c>
      <c r="AJ43" s="3" t="str">
        <f>IFERROR(MID(VLOOKUP($B43,Seqs!$A:$B,2,0),AK43,1),"")</f>
        <v>P</v>
      </c>
      <c r="AK43" s="3">
        <v>173</v>
      </c>
      <c r="AL43" s="3" t="str">
        <f>IFERROR(MID(VLOOKUP($B43,Seqs!$A:$B,2,0),AM43,1),"")</f>
        <v>L</v>
      </c>
      <c r="AM43" s="3">
        <v>208</v>
      </c>
      <c r="AN43" s="3" t="str">
        <f>IFERROR(MID(VLOOKUP($B43,Seqs!$A:$B,2,0),AO43,1),"")</f>
        <v>E</v>
      </c>
      <c r="AO43" s="3">
        <v>219</v>
      </c>
      <c r="AP43" s="3" t="str">
        <f>IFERROR(MID(VLOOKUP($B43,Seqs!$A:$B,2,0),AQ43,1),"")</f>
        <v>C</v>
      </c>
      <c r="AQ43" s="3">
        <v>259</v>
      </c>
      <c r="AR43" s="3" t="str">
        <f>IFERROR(MID(VLOOKUP($B43,Seqs!$A:$B,2,0),AS43,1),"")</f>
        <v>P</v>
      </c>
      <c r="AS43" s="3">
        <v>266</v>
      </c>
      <c r="AT43" s="3" t="str">
        <f>IFERROR(MID(VLOOKUP($B43,Seqs!$A:$B,2,0),AU43,1),"")</f>
        <v>R</v>
      </c>
      <c r="AU43" s="3">
        <v>291</v>
      </c>
      <c r="AV43" s="3" t="str">
        <f>IFERROR(MID(VLOOKUP($B43,Seqs!$A:$B,2,0),AW43,1),"")</f>
        <v>I</v>
      </c>
      <c r="AW43" s="3">
        <v>292</v>
      </c>
      <c r="AX43" s="3" t="str">
        <f>IFERROR(MID(VLOOKUP($B43,Seqs!$A:$B,2,0),AY43,1),"")</f>
        <v>V</v>
      </c>
      <c r="AY43" s="3">
        <v>307</v>
      </c>
      <c r="AZ43" s="77" t="str">
        <f>VLOOKUP(B43,Classification!A:D,2,0)</f>
        <v>A</v>
      </c>
      <c r="BA43" s="94" t="str">
        <f>VLOOKUP(B43,Classification!A:D,4,0)</f>
        <v>Adenosine</v>
      </c>
      <c r="BB43" s="27" t="b">
        <f t="shared" si="1"/>
        <v>1</v>
      </c>
      <c r="BC43" s="23">
        <f t="shared" si="169"/>
        <v>263</v>
      </c>
      <c r="BD43" s="4" t="s">
        <v>23</v>
      </c>
      <c r="BE43" s="3" t="s">
        <v>1381</v>
      </c>
      <c r="BF43" s="119">
        <v>1.9</v>
      </c>
      <c r="BG43" s="49" t="s">
        <v>1384</v>
      </c>
      <c r="BH43" s="49" t="s">
        <v>1384</v>
      </c>
      <c r="BI43" s="1"/>
      <c r="BJ43" s="70" t="s">
        <v>1293</v>
      </c>
      <c r="BK43" s="57" t="s">
        <v>1293</v>
      </c>
      <c r="BL43" s="57" t="s">
        <v>1293</v>
      </c>
      <c r="BM43" s="57" t="s">
        <v>1293</v>
      </c>
      <c r="BN43" s="57" t="s">
        <v>1293</v>
      </c>
      <c r="BO43" s="57" t="s">
        <v>1293</v>
      </c>
      <c r="BP43" s="57" t="s">
        <v>1293</v>
      </c>
      <c r="BQ43" s="57" t="s">
        <v>1293</v>
      </c>
      <c r="BR43" s="57" t="s">
        <v>1293</v>
      </c>
      <c r="BS43" s="57" t="s">
        <v>1293</v>
      </c>
      <c r="BT43" s="57" t="s">
        <v>1293</v>
      </c>
      <c r="BU43" s="57" t="s">
        <v>1293</v>
      </c>
      <c r="BV43" s="70">
        <f t="shared" si="170"/>
        <v>2</v>
      </c>
      <c r="BW43" s="71">
        <f t="shared" si="171"/>
        <v>35</v>
      </c>
      <c r="BX43" s="72">
        <f t="shared" si="172"/>
        <v>39</v>
      </c>
      <c r="BY43" s="71">
        <f t="shared" si="173"/>
        <v>70</v>
      </c>
      <c r="BZ43" s="72">
        <f t="shared" si="174"/>
        <v>73</v>
      </c>
      <c r="CA43" s="71">
        <f t="shared" si="175"/>
        <v>109</v>
      </c>
      <c r="CB43" s="72">
        <f t="shared" si="176"/>
        <v>117</v>
      </c>
      <c r="CC43" s="71">
        <f t="shared" si="177"/>
        <v>166</v>
      </c>
      <c r="CD43" s="72">
        <f t="shared" si="178"/>
        <v>173</v>
      </c>
      <c r="CE43" s="71">
        <f t="shared" si="179"/>
        <v>219</v>
      </c>
      <c r="CF43" s="72">
        <f t="shared" si="180"/>
        <v>266</v>
      </c>
      <c r="CG43" s="71">
        <f t="shared" si="181"/>
        <v>292</v>
      </c>
      <c r="CH43" s="70">
        <f t="shared" si="182"/>
        <v>34</v>
      </c>
      <c r="CI43" s="71">
        <f t="shared" si="183"/>
        <v>38</v>
      </c>
      <c r="CJ43" s="72">
        <f t="shared" si="184"/>
        <v>69</v>
      </c>
      <c r="CK43" s="72">
        <f t="shared" si="185"/>
        <v>72</v>
      </c>
      <c r="CL43" s="72">
        <f t="shared" si="186"/>
        <v>108</v>
      </c>
      <c r="CM43" s="72">
        <f t="shared" si="187"/>
        <v>116</v>
      </c>
      <c r="CN43" s="72">
        <f t="shared" si="188"/>
        <v>142</v>
      </c>
      <c r="CO43" s="72">
        <f t="shared" si="189"/>
        <v>168</v>
      </c>
      <c r="CP43" s="72">
        <f t="shared" si="190"/>
        <v>208</v>
      </c>
      <c r="CQ43" s="72">
        <f t="shared" si="191"/>
        <v>259</v>
      </c>
      <c r="CR43" s="72">
        <f t="shared" si="192"/>
        <v>291</v>
      </c>
      <c r="CS43" s="72">
        <f t="shared" si="193"/>
        <v>307</v>
      </c>
      <c r="CT43" s="23">
        <f t="shared" si="194"/>
        <v>1</v>
      </c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/>
      <c r="AFA43" s="1"/>
      <c r="AFB43" s="1"/>
      <c r="AFC43" s="1"/>
      <c r="AFD43" s="1"/>
      <c r="AFE43" s="1"/>
      <c r="AFF43" s="1"/>
      <c r="AFG43" s="1"/>
      <c r="AFH43" s="1"/>
      <c r="AFI43" s="1"/>
      <c r="AFJ43" s="1"/>
      <c r="AFK43" s="1"/>
      <c r="AFL43" s="1"/>
      <c r="AFM43" s="1"/>
      <c r="AFN43" s="1"/>
      <c r="AFO43" s="1"/>
      <c r="AFP43" s="1"/>
      <c r="AFQ43" s="1"/>
      <c r="AFR43" s="1"/>
      <c r="AFS43" s="1"/>
      <c r="AFT43" s="1"/>
      <c r="AFU43" s="1"/>
      <c r="AFV43" s="1"/>
      <c r="AFW43" s="1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  <c r="ALO43" s="1"/>
      <c r="ALP43" s="1"/>
      <c r="ALQ43" s="1"/>
      <c r="ALR43" s="1"/>
      <c r="ALS43" s="1"/>
      <c r="ALT43" s="1"/>
      <c r="ALU43" s="1"/>
      <c r="ALV43" s="1"/>
      <c r="ALW43" s="1"/>
      <c r="ALX43" s="1"/>
      <c r="ALY43" s="1"/>
      <c r="ALZ43" s="1"/>
      <c r="AMA43" s="1"/>
      <c r="AMB43" s="1"/>
      <c r="AMC43" s="1"/>
      <c r="AMD43" s="1"/>
      <c r="AME43" s="1"/>
      <c r="AMF43" s="1"/>
      <c r="AMG43" s="1"/>
      <c r="AMH43" s="1"/>
      <c r="AMI43" s="1"/>
      <c r="AMJ43" s="1"/>
      <c r="AMK43" s="1"/>
      <c r="AML43" s="1"/>
      <c r="AMM43" s="1"/>
      <c r="AMN43" s="1"/>
      <c r="AMO43" s="1"/>
    </row>
    <row r="44" spans="1:1029" x14ac:dyDescent="0.2">
      <c r="A44" s="3" t="str">
        <f t="shared" si="0"/>
        <v>aa2ar_human_5K2D</v>
      </c>
      <c r="B44" s="3" t="s">
        <v>139</v>
      </c>
      <c r="C44" s="3" t="s">
        <v>1348</v>
      </c>
      <c r="D44" s="3" t="str">
        <f>IFERROR(MID(VLOOKUP($B44,Seqs!$A:$B,2,0),E44,1),"")</f>
        <v>P</v>
      </c>
      <c r="E44" s="3">
        <v>2</v>
      </c>
      <c r="F44" s="3" t="str">
        <f>IFERROR(MID(VLOOKUP($B44,Seqs!$A:$B,2,0),G44,1),"")</f>
        <v>N</v>
      </c>
      <c r="G44" s="3">
        <v>34</v>
      </c>
      <c r="H44" s="3" t="str">
        <f>IFERROR(MID(VLOOKUP($B44,Seqs!$A:$B,2,0),I44,1),"")</f>
        <v>S</v>
      </c>
      <c r="I44" s="23">
        <v>35</v>
      </c>
      <c r="J44" s="3" t="str">
        <f>IFERROR(MID(VLOOKUP($B44,Seqs!$A:$B,2,0),K44,1),"")</f>
        <v>Q</v>
      </c>
      <c r="K44" s="23">
        <v>38</v>
      </c>
      <c r="L44" s="3" t="str">
        <f>IFERROR(MID(VLOOKUP($B44,Seqs!$A:$B,2,0),M44,1),"")</f>
        <v>N</v>
      </c>
      <c r="M44" s="3">
        <v>39</v>
      </c>
      <c r="N44" s="3" t="str">
        <f>IFERROR(MID(VLOOKUP($B44,Seqs!$A:$B,2,0),O44,1),"")</f>
        <v>G</v>
      </c>
      <c r="O44" s="3">
        <v>69</v>
      </c>
      <c r="P44" s="3" t="str">
        <f>IFERROR(MID(VLOOKUP($B44,Seqs!$A:$B,2,0),Q44,1),"")</f>
        <v>F</v>
      </c>
      <c r="Q44" s="3">
        <v>70</v>
      </c>
      <c r="R44" s="3" t="str">
        <f>IFERROR(MID(VLOOKUP($B44,Seqs!$A:$B,2,0),S44,1),"")</f>
        <v>A</v>
      </c>
      <c r="S44" s="3">
        <v>72</v>
      </c>
      <c r="T44" s="3" t="str">
        <f>IFERROR(MID(VLOOKUP($B44,Seqs!$A:$B,2,0),U44,1),"")</f>
        <v>A</v>
      </c>
      <c r="U44" s="3">
        <v>73</v>
      </c>
      <c r="V44" s="3" t="str">
        <f>IFERROR(MID(VLOOKUP($B44,Seqs!$A:$B,2,0),W44,1),"")</f>
        <v>I</v>
      </c>
      <c r="W44" s="3">
        <v>108</v>
      </c>
      <c r="X44" s="3" t="str">
        <f>IFERROR(MID(VLOOKUP($B44,Seqs!$A:$B,2,0),Y44,1),"")</f>
        <v>P</v>
      </c>
      <c r="Y44" s="3">
        <v>109</v>
      </c>
      <c r="Z44" s="3" t="str">
        <f>IFERROR(MID(VLOOKUP($B44,Seqs!$A:$B,2,0),AA44,1),"")</f>
        <v>V</v>
      </c>
      <c r="AA44" s="3">
        <v>116</v>
      </c>
      <c r="AB44" s="3" t="str">
        <f>IFERROR(MID(VLOOKUP($B44,Seqs!$A:$B,2,0),AC44,1),"")</f>
        <v>T</v>
      </c>
      <c r="AC44" s="9">
        <v>117</v>
      </c>
      <c r="AD44" s="3" t="str">
        <f>IFERROR(MID(VLOOKUP($B44,Seqs!$A:$B,2,0),AE44,1),"")</f>
        <v>G</v>
      </c>
      <c r="AE44" s="3">
        <v>142</v>
      </c>
      <c r="AF44" s="3" t="str">
        <f>IFERROR(MID(VLOOKUP($B44,Seqs!$A:$B,2,0),AG44,1),"")</f>
        <v>C</v>
      </c>
      <c r="AG44" s="3">
        <v>166</v>
      </c>
      <c r="AH44" s="3" t="str">
        <f>IFERROR(MID(VLOOKUP($B44,Seqs!$A:$B,2,0),AI44,1),"")</f>
        <v>F</v>
      </c>
      <c r="AI44" s="3">
        <v>168</v>
      </c>
      <c r="AJ44" s="3" t="str">
        <f>IFERROR(MID(VLOOKUP($B44,Seqs!$A:$B,2,0),AK44,1),"")</f>
        <v>P</v>
      </c>
      <c r="AK44" s="3">
        <v>173</v>
      </c>
      <c r="AL44" s="3" t="str">
        <f>IFERROR(MID(VLOOKUP($B44,Seqs!$A:$B,2,0),AM44,1),"")</f>
        <v>L</v>
      </c>
      <c r="AM44" s="3">
        <v>208</v>
      </c>
      <c r="AN44" s="3" t="str">
        <f>IFERROR(MID(VLOOKUP($B44,Seqs!$A:$B,2,0),AO44,1),"")</f>
        <v>E</v>
      </c>
      <c r="AO44" s="3">
        <v>219</v>
      </c>
      <c r="AP44" s="3" t="str">
        <f>IFERROR(MID(VLOOKUP($B44,Seqs!$A:$B,2,0),AQ44,1),"")</f>
        <v>C</v>
      </c>
      <c r="AQ44" s="3">
        <v>259</v>
      </c>
      <c r="AR44" s="3" t="str">
        <f>IFERROR(MID(VLOOKUP($B44,Seqs!$A:$B,2,0),AS44,1),"")</f>
        <v>P</v>
      </c>
      <c r="AS44" s="3">
        <v>266</v>
      </c>
      <c r="AT44" s="3" t="str">
        <f>IFERROR(MID(VLOOKUP($B44,Seqs!$A:$B,2,0),AU44,1),"")</f>
        <v>R</v>
      </c>
      <c r="AU44" s="3">
        <v>291</v>
      </c>
      <c r="AV44" s="3" t="str">
        <f>IFERROR(MID(VLOOKUP($B44,Seqs!$A:$B,2,0),AW44,1),"")</f>
        <v>I</v>
      </c>
      <c r="AW44" s="3">
        <v>292</v>
      </c>
      <c r="AX44" s="3" t="str">
        <f>IFERROR(MID(VLOOKUP($B44,Seqs!$A:$B,2,0),AY44,1),"")</f>
        <v>V</v>
      </c>
      <c r="AY44" s="3">
        <v>307</v>
      </c>
      <c r="AZ44" s="77" t="str">
        <f>VLOOKUP(B44,Classification!A:D,2,0)</f>
        <v>A</v>
      </c>
      <c r="BA44" s="94" t="str">
        <f>VLOOKUP(B44,Classification!A:D,4,0)</f>
        <v>Adenosine</v>
      </c>
      <c r="BB44" s="27" t="b">
        <f t="shared" si="1"/>
        <v>1</v>
      </c>
      <c r="BC44" s="23">
        <f t="shared" si="169"/>
        <v>263</v>
      </c>
      <c r="BD44" s="5" t="s">
        <v>23</v>
      </c>
      <c r="BE44" s="3" t="s">
        <v>1381</v>
      </c>
      <c r="BF44" s="119">
        <v>1.9</v>
      </c>
      <c r="BG44" s="49" t="s">
        <v>1384</v>
      </c>
      <c r="BH44" s="49" t="s">
        <v>1384</v>
      </c>
      <c r="BI44" s="1"/>
      <c r="BJ44" s="70" t="s">
        <v>1293</v>
      </c>
      <c r="BK44" s="57" t="s">
        <v>1293</v>
      </c>
      <c r="BL44" s="57" t="s">
        <v>1293</v>
      </c>
      <c r="BM44" s="57" t="s">
        <v>1293</v>
      </c>
      <c r="BN44" s="57" t="s">
        <v>1293</v>
      </c>
      <c r="BO44" s="57" t="s">
        <v>1293</v>
      </c>
      <c r="BP44" s="57" t="s">
        <v>1293</v>
      </c>
      <c r="BQ44" s="57" t="s">
        <v>1293</v>
      </c>
      <c r="BR44" s="57" t="s">
        <v>1293</v>
      </c>
      <c r="BS44" s="57" t="s">
        <v>1293</v>
      </c>
      <c r="BT44" s="57" t="s">
        <v>1293</v>
      </c>
      <c r="BU44" s="57" t="s">
        <v>1293</v>
      </c>
      <c r="BV44" s="70">
        <f t="shared" si="170"/>
        <v>2</v>
      </c>
      <c r="BW44" s="71">
        <f t="shared" si="171"/>
        <v>35</v>
      </c>
      <c r="BX44" s="72">
        <f t="shared" si="172"/>
        <v>39</v>
      </c>
      <c r="BY44" s="71">
        <f t="shared" si="173"/>
        <v>70</v>
      </c>
      <c r="BZ44" s="72">
        <f t="shared" si="174"/>
        <v>73</v>
      </c>
      <c r="CA44" s="71">
        <f t="shared" si="175"/>
        <v>109</v>
      </c>
      <c r="CB44" s="72">
        <f t="shared" si="176"/>
        <v>117</v>
      </c>
      <c r="CC44" s="71">
        <f t="shared" si="177"/>
        <v>166</v>
      </c>
      <c r="CD44" s="72">
        <f t="shared" si="178"/>
        <v>173</v>
      </c>
      <c r="CE44" s="71">
        <f t="shared" si="179"/>
        <v>219</v>
      </c>
      <c r="CF44" s="72">
        <f t="shared" si="180"/>
        <v>266</v>
      </c>
      <c r="CG44" s="71">
        <f t="shared" si="181"/>
        <v>292</v>
      </c>
      <c r="CH44" s="70">
        <f t="shared" si="182"/>
        <v>34</v>
      </c>
      <c r="CI44" s="71">
        <f t="shared" si="183"/>
        <v>38</v>
      </c>
      <c r="CJ44" s="72">
        <f t="shared" si="184"/>
        <v>69</v>
      </c>
      <c r="CK44" s="72">
        <f t="shared" si="185"/>
        <v>72</v>
      </c>
      <c r="CL44" s="72">
        <f t="shared" si="186"/>
        <v>108</v>
      </c>
      <c r="CM44" s="72">
        <f t="shared" si="187"/>
        <v>116</v>
      </c>
      <c r="CN44" s="72">
        <f t="shared" si="188"/>
        <v>142</v>
      </c>
      <c r="CO44" s="72">
        <f t="shared" si="189"/>
        <v>168</v>
      </c>
      <c r="CP44" s="72">
        <f t="shared" si="190"/>
        <v>208</v>
      </c>
      <c r="CQ44" s="72">
        <f t="shared" si="191"/>
        <v>259</v>
      </c>
      <c r="CR44" s="72">
        <f t="shared" si="192"/>
        <v>291</v>
      </c>
      <c r="CS44" s="72">
        <f t="shared" si="193"/>
        <v>307</v>
      </c>
      <c r="CT44" s="23">
        <f t="shared" si="194"/>
        <v>1</v>
      </c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/>
      <c r="AEG44" s="1"/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1"/>
      <c r="AFA44" s="1"/>
      <c r="AFB44" s="1"/>
      <c r="AFC44" s="1"/>
      <c r="AFD44" s="1"/>
      <c r="AFE44" s="1"/>
      <c r="AFF44" s="1"/>
      <c r="AFG44" s="1"/>
      <c r="AFH44" s="1"/>
      <c r="AFI44" s="1"/>
      <c r="AFJ44" s="1"/>
      <c r="AFK44" s="1"/>
      <c r="AFL44" s="1"/>
      <c r="AFM44" s="1"/>
      <c r="AFN44" s="1"/>
      <c r="AFO44" s="1"/>
      <c r="AFP44" s="1"/>
      <c r="AFQ44" s="1"/>
      <c r="AFR44" s="1"/>
      <c r="AFS44" s="1"/>
      <c r="AFT44" s="1"/>
      <c r="AFU44" s="1"/>
      <c r="AFV44" s="1"/>
      <c r="AFW44" s="1"/>
      <c r="AFX44" s="1"/>
      <c r="AFY44" s="1"/>
      <c r="AFZ44" s="1"/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1"/>
      <c r="ALO44" s="1"/>
      <c r="ALP44" s="1"/>
      <c r="ALQ44" s="1"/>
      <c r="ALR44" s="1"/>
      <c r="ALS44" s="1"/>
      <c r="ALT44" s="1"/>
      <c r="ALU44" s="1"/>
      <c r="ALV44" s="1"/>
      <c r="ALW44" s="1"/>
      <c r="ALX44" s="1"/>
      <c r="ALY44" s="1"/>
      <c r="ALZ44" s="1"/>
      <c r="AMA44" s="1"/>
      <c r="AMB44" s="1"/>
      <c r="AMC44" s="1"/>
      <c r="AMD44" s="1"/>
      <c r="AME44" s="1"/>
      <c r="AMF44" s="1"/>
      <c r="AMG44" s="1"/>
      <c r="AMH44" s="1"/>
      <c r="AMI44" s="1"/>
      <c r="AMJ44" s="1"/>
      <c r="AMK44" s="1"/>
      <c r="AML44" s="1"/>
      <c r="AMM44" s="1"/>
      <c r="AMN44" s="1"/>
      <c r="AMO44" s="1"/>
    </row>
    <row r="45" spans="1:1029" x14ac:dyDescent="0.2">
      <c r="A45" s="3" t="str">
        <f t="shared" ref="A45:A63" si="195">CONCATENATE(B45,"_",C45)</f>
        <v>aa2ar_human_5MZJ</v>
      </c>
      <c r="B45" s="3" t="s">
        <v>139</v>
      </c>
      <c r="C45" s="3" t="s">
        <v>1446</v>
      </c>
      <c r="D45" s="3" t="str">
        <f>IFERROR(MID(VLOOKUP($B45,Seqs!$A:$B,2,0),E45,1),"")</f>
        <v>P</v>
      </c>
      <c r="E45" s="3">
        <v>2</v>
      </c>
      <c r="F45" s="3" t="str">
        <f>IFERROR(MID(VLOOKUP($B45,Seqs!$A:$B,2,0),G45,1),"")</f>
        <v>N</v>
      </c>
      <c r="G45" s="3">
        <v>34</v>
      </c>
      <c r="H45" s="3" t="str">
        <f>IFERROR(MID(VLOOKUP($B45,Seqs!$A:$B,2,0),I45,1),"")</f>
        <v>S</v>
      </c>
      <c r="I45" s="23">
        <v>35</v>
      </c>
      <c r="J45" s="3" t="str">
        <f>IFERROR(MID(VLOOKUP($B45,Seqs!$A:$B,2,0),K45,1),"")</f>
        <v>Q</v>
      </c>
      <c r="K45" s="23">
        <v>38</v>
      </c>
      <c r="L45" s="3" t="str">
        <f>IFERROR(MID(VLOOKUP($B45,Seqs!$A:$B,2,0),M45,1),"")</f>
        <v>N</v>
      </c>
      <c r="M45" s="3">
        <v>39</v>
      </c>
      <c r="N45" s="3" t="str">
        <f>IFERROR(MID(VLOOKUP($B45,Seqs!$A:$B,2,0),O45,1),"")</f>
        <v>G</v>
      </c>
      <c r="O45" s="3">
        <v>69</v>
      </c>
      <c r="P45" s="3" t="str">
        <f>IFERROR(MID(VLOOKUP($B45,Seqs!$A:$B,2,0),Q45,1),"")</f>
        <v>F</v>
      </c>
      <c r="Q45" s="3">
        <v>70</v>
      </c>
      <c r="R45" s="3" t="str">
        <f>IFERROR(MID(VLOOKUP($B45,Seqs!$A:$B,2,0),S45,1),"")</f>
        <v>A</v>
      </c>
      <c r="S45" s="3">
        <v>72</v>
      </c>
      <c r="T45" s="3" t="str">
        <f>IFERROR(MID(VLOOKUP($B45,Seqs!$A:$B,2,0),U45,1),"")</f>
        <v>A</v>
      </c>
      <c r="U45" s="3">
        <v>73</v>
      </c>
      <c r="V45" s="3" t="str">
        <f>IFERROR(MID(VLOOKUP($B45,Seqs!$A:$B,2,0),W45,1),"")</f>
        <v>I</v>
      </c>
      <c r="W45" s="3">
        <v>108</v>
      </c>
      <c r="X45" s="3" t="str">
        <f>IFERROR(MID(VLOOKUP($B45,Seqs!$A:$B,2,0),Y45,1),"")</f>
        <v>P</v>
      </c>
      <c r="Y45" s="3">
        <v>109</v>
      </c>
      <c r="Z45" s="3" t="str">
        <f>IFERROR(MID(VLOOKUP($B45,Seqs!$A:$B,2,0),AA45,1),"")</f>
        <v>V</v>
      </c>
      <c r="AA45" s="3">
        <v>116</v>
      </c>
      <c r="AB45" s="3" t="str">
        <f>IFERROR(MID(VLOOKUP($B45,Seqs!$A:$B,2,0),AC45,1),"")</f>
        <v>T</v>
      </c>
      <c r="AC45" s="3">
        <v>117</v>
      </c>
      <c r="AD45" s="3" t="str">
        <f>IFERROR(MID(VLOOKUP($B45,Seqs!$A:$B,2,0),AE45,1),"")</f>
        <v>G</v>
      </c>
      <c r="AE45" s="3">
        <v>142</v>
      </c>
      <c r="AF45" s="3" t="str">
        <f>IFERROR(MID(VLOOKUP($B45,Seqs!$A:$B,2,0),AG45,1),"")</f>
        <v>C</v>
      </c>
      <c r="AG45" s="3">
        <v>166</v>
      </c>
      <c r="AH45" s="3" t="str">
        <f>IFERROR(MID(VLOOKUP($B45,Seqs!$A:$B,2,0),AI45,1),"")</f>
        <v>F</v>
      </c>
      <c r="AI45" s="3">
        <v>168</v>
      </c>
      <c r="AJ45" s="3" t="str">
        <f>IFERROR(MID(VLOOKUP($B45,Seqs!$A:$B,2,0),AK45,1),"")</f>
        <v>P</v>
      </c>
      <c r="AK45" s="3">
        <v>173</v>
      </c>
      <c r="AL45" s="3" t="str">
        <f>IFERROR(MID(VLOOKUP($B45,Seqs!$A:$B,2,0),AM45,1),"")</f>
        <v>L</v>
      </c>
      <c r="AM45" s="3">
        <v>208</v>
      </c>
      <c r="AN45" s="3" t="str">
        <f>IFERROR(MID(VLOOKUP($B45,Seqs!$A:$B,2,0),AO45,1),"")</f>
        <v>E</v>
      </c>
      <c r="AO45" s="3">
        <v>219</v>
      </c>
      <c r="AP45" s="3" t="str">
        <f>IFERROR(MID(VLOOKUP($B45,Seqs!$A:$B,2,0),AQ45,1),"")</f>
        <v>C</v>
      </c>
      <c r="AQ45" s="3">
        <v>259</v>
      </c>
      <c r="AR45" s="3" t="str">
        <f>IFERROR(MID(VLOOKUP($B45,Seqs!$A:$B,2,0),AS45,1),"")</f>
        <v>P</v>
      </c>
      <c r="AS45" s="3">
        <v>266</v>
      </c>
      <c r="AT45" s="3" t="str">
        <f>IFERROR(MID(VLOOKUP($B45,Seqs!$A:$B,2,0),AU45,1),"")</f>
        <v>R</v>
      </c>
      <c r="AU45" s="3">
        <v>291</v>
      </c>
      <c r="AV45" s="3" t="str">
        <f>IFERROR(MID(VLOOKUP($B45,Seqs!$A:$B,2,0),AW45,1),"")</f>
        <v>I</v>
      </c>
      <c r="AW45" s="3">
        <v>292</v>
      </c>
      <c r="AX45" s="3" t="str">
        <f>IFERROR(MID(VLOOKUP($B45,Seqs!$A:$B,2,0),AY45,1),"")</f>
        <v>S</v>
      </c>
      <c r="AY45" s="3">
        <v>305</v>
      </c>
      <c r="AZ45" s="77" t="str">
        <f>VLOOKUP(B45,Classification!A:D,2,0)</f>
        <v>A</v>
      </c>
      <c r="BA45" s="94" t="str">
        <f>VLOOKUP(B45,Classification!A:D,4,0)</f>
        <v>Adenosine</v>
      </c>
      <c r="BB45" s="27" t="b">
        <f t="shared" ref="BB45:BB63" si="196">AND(E45&lt;G45,OR(G45&lt;I45,I45="-"),OR(I45&lt;K45,I45="-"),OR(K45&lt;M45,K45="-"),M45&lt;O45,OR(O45&lt;Q45,Q45="-"),OR(Q45&lt;S45,Q45="-"),OR(S45&lt;U45,S45="-"),U45&lt;W45,OR(W45&lt;Y45,Y45="-"),OR(Y45&lt;AA45,Y45="-"),OR(AA45&lt;AC45,AA45="-"),AC45&lt;AE45,OR(AE45&lt;AG45,AG45="-"),OR(AG45&lt;AI45,AG45="-"),OR(AI45&lt;AK45,AI45="-"),AK45&lt;AM45,AM45&lt;AO45,AO45&lt;AQ45,AQ45&lt;AS45,AS45&lt;AU45,OR(AU45&lt;AW45,AW45="-"),OR(AW45&lt;AY45,AW45="-"))</f>
        <v>1</v>
      </c>
      <c r="BC45" s="23">
        <f t="shared" ref="BC45:BC63" si="197">_xlfn.AGGREGATE(9,6,CH45:CS45)-_xlfn.AGGREGATE(9,6,BV45:CG45)+12</f>
        <v>261</v>
      </c>
      <c r="BD45" s="5" t="s">
        <v>23</v>
      </c>
      <c r="BE45" s="3" t="s">
        <v>1381</v>
      </c>
      <c r="BF45" s="119">
        <v>2</v>
      </c>
      <c r="BG45" s="49" t="s">
        <v>1</v>
      </c>
      <c r="BH45" s="49" t="s">
        <v>1</v>
      </c>
      <c r="BI45" s="1"/>
      <c r="BJ45" s="70" t="s">
        <v>1293</v>
      </c>
      <c r="BK45" s="57" t="s">
        <v>1293</v>
      </c>
      <c r="BL45" s="57" t="s">
        <v>1293</v>
      </c>
      <c r="BM45" s="57" t="s">
        <v>1293</v>
      </c>
      <c r="BN45" s="57" t="s">
        <v>1293</v>
      </c>
      <c r="BO45" s="57" t="s">
        <v>1293</v>
      </c>
      <c r="BP45" s="57" t="s">
        <v>1293</v>
      </c>
      <c r="BQ45" s="57" t="s">
        <v>1293</v>
      </c>
      <c r="BR45" s="57" t="s">
        <v>1293</v>
      </c>
      <c r="BS45" s="57" t="s">
        <v>1293</v>
      </c>
      <c r="BT45" s="57" t="s">
        <v>1293</v>
      </c>
      <c r="BU45" s="57" t="s">
        <v>1293</v>
      </c>
      <c r="BV45" s="70">
        <f t="shared" ref="BV45:BV63" si="198">E45</f>
        <v>2</v>
      </c>
      <c r="BW45" s="71">
        <f t="shared" ref="BW45:BW63" si="199">I45</f>
        <v>35</v>
      </c>
      <c r="BX45" s="72">
        <f t="shared" ref="BX45:BX63" si="200">M45</f>
        <v>39</v>
      </c>
      <c r="BY45" s="71">
        <f t="shared" ref="BY45:BY63" si="201">Q45</f>
        <v>70</v>
      </c>
      <c r="BZ45" s="72">
        <f t="shared" ref="BZ45:BZ63" si="202">U45</f>
        <v>73</v>
      </c>
      <c r="CA45" s="71">
        <f t="shared" ref="CA45:CA63" si="203">Y45</f>
        <v>109</v>
      </c>
      <c r="CB45" s="72">
        <f t="shared" ref="CB45:CB63" si="204">AC45</f>
        <v>117</v>
      </c>
      <c r="CC45" s="71">
        <f t="shared" ref="CC45:CC63" si="205">AG45</f>
        <v>166</v>
      </c>
      <c r="CD45" s="72">
        <f t="shared" ref="CD45:CD63" si="206">AK45</f>
        <v>173</v>
      </c>
      <c r="CE45" s="71">
        <f t="shared" ref="CE45:CE63" si="207">AO45</f>
        <v>219</v>
      </c>
      <c r="CF45" s="72">
        <f t="shared" ref="CF45:CF63" si="208">AS45</f>
        <v>266</v>
      </c>
      <c r="CG45" s="71">
        <f t="shared" ref="CG45:CG63" si="209">AW45</f>
        <v>292</v>
      </c>
      <c r="CH45" s="70">
        <f t="shared" ref="CH45:CH63" si="210">G45</f>
        <v>34</v>
      </c>
      <c r="CI45" s="71">
        <f t="shared" ref="CI45:CI63" si="211">K45</f>
        <v>38</v>
      </c>
      <c r="CJ45" s="72">
        <f t="shared" ref="CJ45:CJ63" si="212">O45</f>
        <v>69</v>
      </c>
      <c r="CK45" s="72">
        <f t="shared" ref="CK45:CK63" si="213">S45</f>
        <v>72</v>
      </c>
      <c r="CL45" s="72">
        <f t="shared" ref="CL45:CL63" si="214">W45</f>
        <v>108</v>
      </c>
      <c r="CM45" s="72">
        <f t="shared" ref="CM45:CM63" si="215">AA45</f>
        <v>116</v>
      </c>
      <c r="CN45" s="72">
        <f t="shared" ref="CN45:CN63" si="216">AE45</f>
        <v>142</v>
      </c>
      <c r="CO45" s="72">
        <f t="shared" ref="CO45:CO63" si="217">AI45</f>
        <v>168</v>
      </c>
      <c r="CP45" s="72">
        <f t="shared" ref="CP45:CP63" si="218">AM45</f>
        <v>208</v>
      </c>
      <c r="CQ45" s="72">
        <f t="shared" ref="CQ45:CQ63" si="219">AQ45</f>
        <v>259</v>
      </c>
      <c r="CR45" s="72">
        <f t="shared" ref="CR45:CR63" si="220">AU45</f>
        <v>291</v>
      </c>
      <c r="CS45" s="72">
        <f t="shared" ref="CS45:CS63" si="221">AY45</f>
        <v>305</v>
      </c>
      <c r="CT45" s="23">
        <f t="shared" ref="CT45:CT63" si="222">M45-K45</f>
        <v>1</v>
      </c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I45" s="1"/>
      <c r="PJ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  <c r="QM45" s="1"/>
      <c r="QN45" s="1"/>
      <c r="QO45" s="1"/>
      <c r="QP45" s="1"/>
      <c r="QQ45" s="1"/>
      <c r="QR45" s="1"/>
      <c r="QS45" s="1"/>
      <c r="QT45" s="1"/>
      <c r="QU45" s="1"/>
      <c r="QV45" s="1"/>
      <c r="QW45" s="1"/>
      <c r="QX45" s="1"/>
      <c r="QY45" s="1"/>
      <c r="QZ45" s="1"/>
      <c r="RA45" s="1"/>
      <c r="RB45" s="1"/>
      <c r="RC45" s="1"/>
      <c r="RD45" s="1"/>
      <c r="RE45" s="1"/>
      <c r="RF45" s="1"/>
      <c r="RG45" s="1"/>
      <c r="RH45" s="1"/>
      <c r="RI45" s="1"/>
      <c r="RJ45" s="1"/>
      <c r="RK45" s="1"/>
      <c r="RL45" s="1"/>
      <c r="RM45" s="1"/>
      <c r="RN45" s="1"/>
      <c r="RO45" s="1"/>
      <c r="RP45" s="1"/>
      <c r="RQ45" s="1"/>
      <c r="RR45" s="1"/>
      <c r="RS45" s="1"/>
      <c r="RT45" s="1"/>
      <c r="RU45" s="1"/>
      <c r="RV45" s="1"/>
      <c r="RW45" s="1"/>
      <c r="RX45" s="1"/>
      <c r="RY45" s="1"/>
      <c r="RZ45" s="1"/>
      <c r="SA45" s="1"/>
      <c r="SB45" s="1"/>
      <c r="SC45" s="1"/>
      <c r="SD45" s="1"/>
      <c r="SE45" s="1"/>
      <c r="SF45" s="1"/>
      <c r="SG45" s="1"/>
      <c r="SH45" s="1"/>
      <c r="SI45" s="1"/>
      <c r="SJ45" s="1"/>
      <c r="SK45" s="1"/>
      <c r="SL45" s="1"/>
      <c r="SM45" s="1"/>
      <c r="SN45" s="1"/>
      <c r="SO45" s="1"/>
      <c r="SP45" s="1"/>
      <c r="SQ45" s="1"/>
      <c r="SR45" s="1"/>
      <c r="SS45" s="1"/>
      <c r="ST45" s="1"/>
      <c r="SU45" s="1"/>
      <c r="SV45" s="1"/>
      <c r="SW45" s="1"/>
      <c r="SX45" s="1"/>
      <c r="SY45" s="1"/>
      <c r="SZ45" s="1"/>
      <c r="TA45" s="1"/>
      <c r="TB45" s="1"/>
      <c r="TC45" s="1"/>
      <c r="TD45" s="1"/>
      <c r="TE45" s="1"/>
      <c r="TF45" s="1"/>
      <c r="TG45" s="1"/>
      <c r="TH45" s="1"/>
      <c r="TI45" s="1"/>
      <c r="TJ45" s="1"/>
      <c r="TK45" s="1"/>
      <c r="TL45" s="1"/>
      <c r="TM45" s="1"/>
      <c r="TN45" s="1"/>
      <c r="TO45" s="1"/>
      <c r="TP45" s="1"/>
      <c r="TQ45" s="1"/>
      <c r="TR45" s="1"/>
      <c r="TS45" s="1"/>
      <c r="TT45" s="1"/>
      <c r="TU45" s="1"/>
      <c r="TV45" s="1"/>
      <c r="TW45" s="1"/>
      <c r="TX45" s="1"/>
      <c r="TY45" s="1"/>
      <c r="TZ45" s="1"/>
      <c r="UA45" s="1"/>
      <c r="UB45" s="1"/>
      <c r="UC45" s="1"/>
      <c r="UD45" s="1"/>
      <c r="UE45" s="1"/>
      <c r="UF45" s="1"/>
      <c r="UG45" s="1"/>
      <c r="UH45" s="1"/>
      <c r="UI45" s="1"/>
      <c r="UJ45" s="1"/>
      <c r="UK45" s="1"/>
      <c r="UL45" s="1"/>
      <c r="UM45" s="1"/>
      <c r="UN45" s="1"/>
      <c r="UO45" s="1"/>
      <c r="UP45" s="1"/>
      <c r="UQ45" s="1"/>
      <c r="UR45" s="1"/>
      <c r="US45" s="1"/>
      <c r="UT45" s="1"/>
      <c r="UU45" s="1"/>
      <c r="UV45" s="1"/>
      <c r="UW45" s="1"/>
      <c r="UX45" s="1"/>
      <c r="UY45" s="1"/>
      <c r="UZ45" s="1"/>
      <c r="VA45" s="1"/>
      <c r="VB45" s="1"/>
      <c r="VC45" s="1"/>
      <c r="VD45" s="1"/>
      <c r="VE45" s="1"/>
      <c r="VF45" s="1"/>
      <c r="VG45" s="1"/>
      <c r="VH45" s="1"/>
      <c r="VI45" s="1"/>
      <c r="VJ45" s="1"/>
      <c r="VK45" s="1"/>
      <c r="VL45" s="1"/>
      <c r="VM45" s="1"/>
      <c r="VN45" s="1"/>
      <c r="VO45" s="1"/>
      <c r="VP45" s="1"/>
      <c r="VQ45" s="1"/>
      <c r="VR45" s="1"/>
      <c r="VS45" s="1"/>
      <c r="VT45" s="1"/>
      <c r="VU45" s="1"/>
      <c r="VV45" s="1"/>
      <c r="VW45" s="1"/>
      <c r="VX45" s="1"/>
      <c r="VY45" s="1"/>
      <c r="VZ45" s="1"/>
      <c r="WA45" s="1"/>
      <c r="WB45" s="1"/>
      <c r="WC45" s="1"/>
      <c r="WD45" s="1"/>
      <c r="WE45" s="1"/>
      <c r="WF45" s="1"/>
      <c r="WG45" s="1"/>
      <c r="WH45" s="1"/>
      <c r="WI45" s="1"/>
      <c r="WJ45" s="1"/>
      <c r="WK45" s="1"/>
      <c r="WL45" s="1"/>
      <c r="WM45" s="1"/>
      <c r="WN45" s="1"/>
      <c r="WO45" s="1"/>
      <c r="WP45" s="1"/>
      <c r="WQ45" s="1"/>
      <c r="WR45" s="1"/>
      <c r="WS45" s="1"/>
      <c r="WT45" s="1"/>
      <c r="WU45" s="1"/>
      <c r="WV45" s="1"/>
      <c r="WW45" s="1"/>
      <c r="WX45" s="1"/>
      <c r="WY45" s="1"/>
      <c r="WZ45" s="1"/>
      <c r="XA45" s="1"/>
      <c r="XB45" s="1"/>
      <c r="XC45" s="1"/>
      <c r="XD45" s="1"/>
      <c r="XE45" s="1"/>
      <c r="XF45" s="1"/>
      <c r="XG45" s="1"/>
      <c r="XH45" s="1"/>
      <c r="XI45" s="1"/>
      <c r="XJ45" s="1"/>
      <c r="XK45" s="1"/>
      <c r="XL45" s="1"/>
      <c r="XM45" s="1"/>
      <c r="XN45" s="1"/>
      <c r="XO45" s="1"/>
      <c r="XP45" s="1"/>
      <c r="XQ45" s="1"/>
      <c r="XR45" s="1"/>
      <c r="XS45" s="1"/>
      <c r="XT45" s="1"/>
      <c r="XU45" s="1"/>
      <c r="XV45" s="1"/>
      <c r="XW45" s="1"/>
      <c r="XX45" s="1"/>
      <c r="XY45" s="1"/>
      <c r="XZ45" s="1"/>
      <c r="YA45" s="1"/>
      <c r="YB45" s="1"/>
      <c r="YC45" s="1"/>
      <c r="YD45" s="1"/>
      <c r="YE45" s="1"/>
      <c r="YF45" s="1"/>
      <c r="YG45" s="1"/>
      <c r="YH45" s="1"/>
      <c r="YI45" s="1"/>
      <c r="YJ45" s="1"/>
      <c r="YK45" s="1"/>
      <c r="YL45" s="1"/>
      <c r="YM45" s="1"/>
      <c r="YN45" s="1"/>
      <c r="YO45" s="1"/>
      <c r="YP45" s="1"/>
      <c r="YQ45" s="1"/>
      <c r="YR45" s="1"/>
      <c r="YS45" s="1"/>
      <c r="YT45" s="1"/>
      <c r="YU45" s="1"/>
      <c r="YV45" s="1"/>
      <c r="YW45" s="1"/>
      <c r="YX45" s="1"/>
      <c r="YY45" s="1"/>
      <c r="YZ45" s="1"/>
      <c r="ZA45" s="1"/>
      <c r="ZB45" s="1"/>
      <c r="ZC45" s="1"/>
      <c r="ZD45" s="1"/>
      <c r="ZE45" s="1"/>
      <c r="ZF45" s="1"/>
      <c r="ZG45" s="1"/>
      <c r="ZH45" s="1"/>
      <c r="ZI45" s="1"/>
      <c r="ZJ45" s="1"/>
      <c r="ZK45" s="1"/>
      <c r="ZL45" s="1"/>
      <c r="ZM45" s="1"/>
      <c r="ZN45" s="1"/>
      <c r="ZO45" s="1"/>
      <c r="ZP45" s="1"/>
      <c r="ZQ45" s="1"/>
      <c r="ZR45" s="1"/>
      <c r="ZS45" s="1"/>
      <c r="ZT45" s="1"/>
      <c r="ZU45" s="1"/>
      <c r="ZV45" s="1"/>
      <c r="ZW45" s="1"/>
      <c r="ZX45" s="1"/>
      <c r="ZY45" s="1"/>
      <c r="ZZ45" s="1"/>
      <c r="AAA45" s="1"/>
      <c r="AAB45" s="1"/>
      <c r="AAC45" s="1"/>
      <c r="AAD45" s="1"/>
      <c r="AAE45" s="1"/>
      <c r="AAF45" s="1"/>
      <c r="AAG45" s="1"/>
      <c r="AAH45" s="1"/>
      <c r="AAI45" s="1"/>
      <c r="AAJ45" s="1"/>
      <c r="AAK45" s="1"/>
      <c r="AAL45" s="1"/>
      <c r="AAM45" s="1"/>
      <c r="AAN45" s="1"/>
      <c r="AAO45" s="1"/>
      <c r="AAP45" s="1"/>
      <c r="AAQ45" s="1"/>
      <c r="AAR45" s="1"/>
      <c r="AAS45" s="1"/>
      <c r="AAT45" s="1"/>
      <c r="AAU45" s="1"/>
      <c r="AAV45" s="1"/>
      <c r="AAW45" s="1"/>
      <c r="AAX45" s="1"/>
      <c r="AAY45" s="1"/>
      <c r="AAZ45" s="1"/>
      <c r="ABA45" s="1"/>
      <c r="ABB45" s="1"/>
      <c r="ABC45" s="1"/>
      <c r="ABD45" s="1"/>
      <c r="ABE45" s="1"/>
      <c r="ABF45" s="1"/>
      <c r="ABG45" s="1"/>
      <c r="ABH45" s="1"/>
      <c r="ABI45" s="1"/>
      <c r="ABJ45" s="1"/>
      <c r="ABK45" s="1"/>
      <c r="ABL45" s="1"/>
      <c r="ABM45" s="1"/>
      <c r="ABN45" s="1"/>
      <c r="ABO45" s="1"/>
      <c r="ABP45" s="1"/>
      <c r="ABQ45" s="1"/>
      <c r="ABR45" s="1"/>
      <c r="ABS45" s="1"/>
      <c r="ABT45" s="1"/>
      <c r="ABU45" s="1"/>
      <c r="ABV45" s="1"/>
      <c r="ABW45" s="1"/>
      <c r="ABX45" s="1"/>
      <c r="ABY45" s="1"/>
      <c r="ABZ45" s="1"/>
      <c r="ACA45" s="1"/>
      <c r="ACB45" s="1"/>
      <c r="ACC45" s="1"/>
      <c r="ACD45" s="1"/>
      <c r="ACE45" s="1"/>
      <c r="ACF45" s="1"/>
      <c r="ACG45" s="1"/>
      <c r="ACH45" s="1"/>
      <c r="ACI45" s="1"/>
      <c r="ACJ45" s="1"/>
      <c r="ACK45" s="1"/>
      <c r="ACL45" s="1"/>
      <c r="ACM45" s="1"/>
      <c r="ACN45" s="1"/>
      <c r="ACO45" s="1"/>
      <c r="ACP45" s="1"/>
      <c r="ACQ45" s="1"/>
      <c r="ACR45" s="1"/>
      <c r="ACS45" s="1"/>
      <c r="ACT45" s="1"/>
      <c r="ACU45" s="1"/>
      <c r="ACV45" s="1"/>
      <c r="ACW45" s="1"/>
      <c r="ACX45" s="1"/>
      <c r="ACY45" s="1"/>
      <c r="ACZ45" s="1"/>
      <c r="ADA45" s="1"/>
      <c r="ADB45" s="1"/>
      <c r="ADC45" s="1"/>
      <c r="ADD45" s="1"/>
      <c r="ADE45" s="1"/>
      <c r="ADF45" s="1"/>
      <c r="ADG45" s="1"/>
      <c r="ADH45" s="1"/>
      <c r="ADI45" s="1"/>
      <c r="ADJ45" s="1"/>
      <c r="ADK45" s="1"/>
      <c r="ADL45" s="1"/>
      <c r="ADM45" s="1"/>
      <c r="ADN45" s="1"/>
      <c r="ADO45" s="1"/>
      <c r="ADP45" s="1"/>
      <c r="ADQ45" s="1"/>
      <c r="ADR45" s="1"/>
      <c r="ADS45" s="1"/>
      <c r="ADT45" s="1"/>
      <c r="ADU45" s="1"/>
      <c r="ADV45" s="1"/>
      <c r="ADW45" s="1"/>
      <c r="ADX45" s="1"/>
      <c r="ADY45" s="1"/>
      <c r="ADZ45" s="1"/>
      <c r="AEA45" s="1"/>
      <c r="AEB45" s="1"/>
      <c r="AEC45" s="1"/>
      <c r="AED45" s="1"/>
      <c r="AEE45" s="1"/>
      <c r="AEF45" s="1"/>
      <c r="AEG45" s="1"/>
      <c r="AEH45" s="1"/>
      <c r="AEI45" s="1"/>
      <c r="AEJ45" s="1"/>
      <c r="AEK45" s="1"/>
      <c r="AEL45" s="1"/>
      <c r="AEM45" s="1"/>
      <c r="AEN45" s="1"/>
      <c r="AEO45" s="1"/>
      <c r="AEP45" s="1"/>
      <c r="AEQ45" s="1"/>
      <c r="AER45" s="1"/>
      <c r="AES45" s="1"/>
      <c r="AET45" s="1"/>
      <c r="AEU45" s="1"/>
      <c r="AEV45" s="1"/>
      <c r="AEW45" s="1"/>
      <c r="AEX45" s="1"/>
      <c r="AEY45" s="1"/>
      <c r="AEZ45" s="1"/>
      <c r="AFA45" s="1"/>
      <c r="AFB45" s="1"/>
      <c r="AFC45" s="1"/>
      <c r="AFD45" s="1"/>
      <c r="AFE45" s="1"/>
      <c r="AFF45" s="1"/>
      <c r="AFG45" s="1"/>
      <c r="AFH45" s="1"/>
      <c r="AFI45" s="1"/>
      <c r="AFJ45" s="1"/>
      <c r="AFK45" s="1"/>
      <c r="AFL45" s="1"/>
      <c r="AFM45" s="1"/>
      <c r="AFN45" s="1"/>
      <c r="AFO45" s="1"/>
      <c r="AFP45" s="1"/>
      <c r="AFQ45" s="1"/>
      <c r="AFR45" s="1"/>
      <c r="AFS45" s="1"/>
      <c r="AFT45" s="1"/>
      <c r="AFU45" s="1"/>
      <c r="AFV45" s="1"/>
      <c r="AFW45" s="1"/>
      <c r="AFX45" s="1"/>
      <c r="AFY45" s="1"/>
      <c r="AFZ45" s="1"/>
      <c r="AGA45" s="1"/>
      <c r="AGB45" s="1"/>
      <c r="AGC45" s="1"/>
      <c r="AGD45" s="1"/>
      <c r="AGE45" s="1"/>
      <c r="AGF45" s="1"/>
      <c r="AGG45" s="1"/>
      <c r="AGH45" s="1"/>
      <c r="AGI45" s="1"/>
      <c r="AGJ45" s="1"/>
      <c r="AGK45" s="1"/>
      <c r="AGL45" s="1"/>
      <c r="AGM45" s="1"/>
      <c r="AGN45" s="1"/>
      <c r="AGO45" s="1"/>
      <c r="AGP45" s="1"/>
      <c r="AGQ45" s="1"/>
      <c r="AGR45" s="1"/>
      <c r="AGS45" s="1"/>
      <c r="AGT45" s="1"/>
      <c r="AGU45" s="1"/>
      <c r="AGV45" s="1"/>
      <c r="AGW45" s="1"/>
      <c r="AGX45" s="1"/>
      <c r="AGY45" s="1"/>
      <c r="AGZ45" s="1"/>
      <c r="AHA45" s="1"/>
      <c r="AHB45" s="1"/>
      <c r="AHC45" s="1"/>
      <c r="AHD45" s="1"/>
      <c r="AHE45" s="1"/>
      <c r="AHF45" s="1"/>
      <c r="AHG45" s="1"/>
      <c r="AHH45" s="1"/>
      <c r="AHI45" s="1"/>
      <c r="AHJ45" s="1"/>
      <c r="AHK45" s="1"/>
      <c r="AHL45" s="1"/>
      <c r="AHM45" s="1"/>
      <c r="AHN45" s="1"/>
      <c r="AHO45" s="1"/>
      <c r="AHP45" s="1"/>
      <c r="AHQ45" s="1"/>
      <c r="AHR45" s="1"/>
      <c r="AHS45" s="1"/>
      <c r="AHT45" s="1"/>
      <c r="AHU45" s="1"/>
      <c r="AHV45" s="1"/>
      <c r="AHW45" s="1"/>
      <c r="AHX45" s="1"/>
      <c r="AHY45" s="1"/>
      <c r="AHZ45" s="1"/>
      <c r="AIA45" s="1"/>
      <c r="AIB45" s="1"/>
      <c r="AIC45" s="1"/>
      <c r="AID45" s="1"/>
      <c r="AIE45" s="1"/>
      <c r="AIF45" s="1"/>
      <c r="AIG45" s="1"/>
      <c r="AIH45" s="1"/>
      <c r="AII45" s="1"/>
      <c r="AIJ45" s="1"/>
      <c r="AIK45" s="1"/>
      <c r="AIL45" s="1"/>
      <c r="AIM45" s="1"/>
      <c r="AIN45" s="1"/>
      <c r="AIO45" s="1"/>
      <c r="AIP45" s="1"/>
      <c r="AIQ45" s="1"/>
      <c r="AIR45" s="1"/>
      <c r="AIS45" s="1"/>
      <c r="AIT45" s="1"/>
      <c r="AIU45" s="1"/>
      <c r="AIV45" s="1"/>
      <c r="AIW45" s="1"/>
      <c r="AIX45" s="1"/>
      <c r="AIY45" s="1"/>
      <c r="AIZ45" s="1"/>
      <c r="AJA45" s="1"/>
      <c r="AJB45" s="1"/>
      <c r="AJC45" s="1"/>
      <c r="AJD45" s="1"/>
      <c r="AJE45" s="1"/>
      <c r="AJF45" s="1"/>
      <c r="AJG45" s="1"/>
      <c r="AJH45" s="1"/>
      <c r="AJI45" s="1"/>
      <c r="AJJ45" s="1"/>
      <c r="AJK45" s="1"/>
      <c r="AJL45" s="1"/>
      <c r="AJM45" s="1"/>
      <c r="AJN45" s="1"/>
      <c r="AJO45" s="1"/>
      <c r="AJP45" s="1"/>
      <c r="AJQ45" s="1"/>
      <c r="AJR45" s="1"/>
      <c r="AJS45" s="1"/>
      <c r="AJT45" s="1"/>
      <c r="AJU45" s="1"/>
      <c r="AJV45" s="1"/>
      <c r="AJW45" s="1"/>
      <c r="AJX45" s="1"/>
      <c r="AJY45" s="1"/>
      <c r="AJZ45" s="1"/>
      <c r="AKA45" s="1"/>
      <c r="AKB45" s="1"/>
      <c r="AKC45" s="1"/>
      <c r="AKD45" s="1"/>
      <c r="AKE45" s="1"/>
      <c r="AKF45" s="1"/>
      <c r="AKG45" s="1"/>
      <c r="AKH45" s="1"/>
      <c r="AKI45" s="1"/>
      <c r="AKJ45" s="1"/>
      <c r="AKK45" s="1"/>
      <c r="AKL45" s="1"/>
      <c r="AKM45" s="1"/>
      <c r="AKN45" s="1"/>
      <c r="AKO45" s="1"/>
      <c r="AKP45" s="1"/>
      <c r="AKQ45" s="1"/>
      <c r="AKR45" s="1"/>
      <c r="AKS45" s="1"/>
      <c r="AKT45" s="1"/>
      <c r="AKU45" s="1"/>
      <c r="AKV45" s="1"/>
      <c r="AKW45" s="1"/>
      <c r="AKX45" s="1"/>
      <c r="AKY45" s="1"/>
      <c r="AKZ45" s="1"/>
      <c r="ALA45" s="1"/>
      <c r="ALB45" s="1"/>
      <c r="ALC45" s="1"/>
      <c r="ALD45" s="1"/>
      <c r="ALE45" s="1"/>
      <c r="ALF45" s="1"/>
      <c r="ALG45" s="1"/>
      <c r="ALH45" s="1"/>
      <c r="ALI45" s="1"/>
      <c r="ALJ45" s="1"/>
      <c r="ALK45" s="1"/>
      <c r="ALL45" s="1"/>
      <c r="ALM45" s="1"/>
      <c r="ALN45" s="1"/>
      <c r="ALO45" s="1"/>
      <c r="ALP45" s="1"/>
      <c r="ALQ45" s="1"/>
      <c r="ALR45" s="1"/>
      <c r="ALS45" s="1"/>
      <c r="ALT45" s="1"/>
      <c r="ALU45" s="1"/>
      <c r="ALV45" s="1"/>
      <c r="ALW45" s="1"/>
      <c r="ALX45" s="1"/>
      <c r="ALY45" s="1"/>
      <c r="ALZ45" s="1"/>
      <c r="AMA45" s="1"/>
      <c r="AMB45" s="1"/>
      <c r="AMC45" s="1"/>
      <c r="AMD45" s="1"/>
      <c r="AME45" s="1"/>
      <c r="AMF45" s="1"/>
      <c r="AMG45" s="1"/>
      <c r="AMH45" s="1"/>
      <c r="AMI45" s="1"/>
      <c r="AMJ45" s="1"/>
      <c r="AMK45" s="1"/>
      <c r="AML45" s="1"/>
      <c r="AMM45" s="1"/>
      <c r="AMN45" s="1"/>
      <c r="AMO45" s="1"/>
    </row>
    <row r="46" spans="1:1029" x14ac:dyDescent="0.2">
      <c r="A46" s="3" t="str">
        <f t="shared" si="195"/>
        <v>aa2ar_human_5MZP</v>
      </c>
      <c r="B46" s="3" t="s">
        <v>139</v>
      </c>
      <c r="C46" s="3" t="s">
        <v>1447</v>
      </c>
      <c r="D46" s="3" t="str">
        <f>IFERROR(MID(VLOOKUP($B46,Seqs!$A:$B,2,0),E46,1),"")</f>
        <v>P</v>
      </c>
      <c r="E46" s="3">
        <v>2</v>
      </c>
      <c r="F46" s="3" t="str">
        <f>IFERROR(MID(VLOOKUP($B46,Seqs!$A:$B,2,0),G46,1),"")</f>
        <v>N</v>
      </c>
      <c r="G46" s="3">
        <v>34</v>
      </c>
      <c r="H46" s="3" t="str">
        <f>IFERROR(MID(VLOOKUP($B46,Seqs!$A:$B,2,0),I46,1),"")</f>
        <v>S</v>
      </c>
      <c r="I46" s="23">
        <v>35</v>
      </c>
      <c r="J46" s="3" t="str">
        <f>IFERROR(MID(VLOOKUP($B46,Seqs!$A:$B,2,0),K46,1),"")</f>
        <v>Q</v>
      </c>
      <c r="K46" s="23">
        <v>38</v>
      </c>
      <c r="L46" s="3" t="str">
        <f>IFERROR(MID(VLOOKUP($B46,Seqs!$A:$B,2,0),M46,1),"")</f>
        <v>N</v>
      </c>
      <c r="M46" s="3">
        <v>39</v>
      </c>
      <c r="N46" s="3" t="str">
        <f>IFERROR(MID(VLOOKUP($B46,Seqs!$A:$B,2,0),O46,1),"")</f>
        <v>G</v>
      </c>
      <c r="O46" s="3">
        <v>69</v>
      </c>
      <c r="P46" s="3" t="str">
        <f>IFERROR(MID(VLOOKUP($B46,Seqs!$A:$B,2,0),Q46,1),"")</f>
        <v>F</v>
      </c>
      <c r="Q46" s="3">
        <v>70</v>
      </c>
      <c r="R46" s="3" t="str">
        <f>IFERROR(MID(VLOOKUP($B46,Seqs!$A:$B,2,0),S46,1),"")</f>
        <v>A</v>
      </c>
      <c r="S46" s="3">
        <v>72</v>
      </c>
      <c r="T46" s="3" t="str">
        <f>IFERROR(MID(VLOOKUP($B46,Seqs!$A:$B,2,0),U46,1),"")</f>
        <v>A</v>
      </c>
      <c r="U46" s="3">
        <v>73</v>
      </c>
      <c r="V46" s="3" t="str">
        <f>IFERROR(MID(VLOOKUP($B46,Seqs!$A:$B,2,0),W46,1),"")</f>
        <v>I</v>
      </c>
      <c r="W46" s="3">
        <v>108</v>
      </c>
      <c r="X46" s="3" t="str">
        <f>IFERROR(MID(VLOOKUP($B46,Seqs!$A:$B,2,0),Y46,1),"")</f>
        <v>P</v>
      </c>
      <c r="Y46" s="3">
        <v>109</v>
      </c>
      <c r="Z46" s="3" t="str">
        <f>IFERROR(MID(VLOOKUP($B46,Seqs!$A:$B,2,0),AA46,1),"")</f>
        <v>V</v>
      </c>
      <c r="AA46" s="3">
        <v>116</v>
      </c>
      <c r="AB46" s="3" t="str">
        <f>IFERROR(MID(VLOOKUP($B46,Seqs!$A:$B,2,0),AC46,1),"")</f>
        <v>T</v>
      </c>
      <c r="AC46" s="3">
        <v>117</v>
      </c>
      <c r="AD46" s="3" t="str">
        <f>IFERROR(MID(VLOOKUP($B46,Seqs!$A:$B,2,0),AE46,1),"")</f>
        <v>G</v>
      </c>
      <c r="AE46" s="3">
        <v>142</v>
      </c>
      <c r="AF46" s="3" t="str">
        <f>IFERROR(MID(VLOOKUP($B46,Seqs!$A:$B,2,0),AG46,1),"")</f>
        <v>C</v>
      </c>
      <c r="AG46" s="3">
        <v>166</v>
      </c>
      <c r="AH46" s="3" t="str">
        <f>IFERROR(MID(VLOOKUP($B46,Seqs!$A:$B,2,0),AI46,1),"")</f>
        <v>F</v>
      </c>
      <c r="AI46" s="3">
        <v>168</v>
      </c>
      <c r="AJ46" s="3" t="str">
        <f>IFERROR(MID(VLOOKUP($B46,Seqs!$A:$B,2,0),AK46,1),"")</f>
        <v>P</v>
      </c>
      <c r="AK46" s="3">
        <v>173</v>
      </c>
      <c r="AL46" s="3" t="str">
        <f>IFERROR(MID(VLOOKUP($B46,Seqs!$A:$B,2,0),AM46,1),"")</f>
        <v>L</v>
      </c>
      <c r="AM46" s="3">
        <v>208</v>
      </c>
      <c r="AN46" s="3" t="str">
        <f>IFERROR(MID(VLOOKUP($B46,Seqs!$A:$B,2,0),AO46,1),"")</f>
        <v>E</v>
      </c>
      <c r="AO46" s="3">
        <v>219</v>
      </c>
      <c r="AP46" s="3" t="str">
        <f>IFERROR(MID(VLOOKUP($B46,Seqs!$A:$B,2,0),AQ46,1),"")</f>
        <v>C</v>
      </c>
      <c r="AQ46" s="3">
        <v>259</v>
      </c>
      <c r="AR46" s="3" t="str">
        <f>IFERROR(MID(VLOOKUP($B46,Seqs!$A:$B,2,0),AS46,1),"")</f>
        <v>P</v>
      </c>
      <c r="AS46" s="3">
        <v>266</v>
      </c>
      <c r="AT46" s="3" t="str">
        <f>IFERROR(MID(VLOOKUP($B46,Seqs!$A:$B,2,0),AU46,1),"")</f>
        <v>R</v>
      </c>
      <c r="AU46" s="3">
        <v>291</v>
      </c>
      <c r="AV46" s="3" t="str">
        <f>IFERROR(MID(VLOOKUP($B46,Seqs!$A:$B,2,0),AW46,1),"")</f>
        <v>I</v>
      </c>
      <c r="AW46" s="3">
        <v>292</v>
      </c>
      <c r="AX46" s="3" t="str">
        <f>IFERROR(MID(VLOOKUP($B46,Seqs!$A:$B,2,0),AY46,1),"")</f>
        <v>S</v>
      </c>
      <c r="AY46" s="3">
        <v>305</v>
      </c>
      <c r="AZ46" s="77" t="str">
        <f>VLOOKUP(B46,Classification!A:D,2,0)</f>
        <v>A</v>
      </c>
      <c r="BA46" s="94" t="str">
        <f>VLOOKUP(B46,Classification!A:D,4,0)</f>
        <v>Adenosine</v>
      </c>
      <c r="BB46" s="27" t="b">
        <f t="shared" si="196"/>
        <v>1</v>
      </c>
      <c r="BC46" s="23">
        <f t="shared" si="197"/>
        <v>261</v>
      </c>
      <c r="BD46" s="5" t="s">
        <v>23</v>
      </c>
      <c r="BE46" s="3" t="s">
        <v>1381</v>
      </c>
      <c r="BF46" s="119">
        <v>3</v>
      </c>
      <c r="BG46" s="49" t="s">
        <v>1</v>
      </c>
      <c r="BH46" s="49" t="s">
        <v>1</v>
      </c>
      <c r="BI46" s="1"/>
      <c r="BJ46" s="70" t="s">
        <v>1293</v>
      </c>
      <c r="BK46" s="57" t="s">
        <v>1293</v>
      </c>
      <c r="BL46" s="57" t="s">
        <v>1293</v>
      </c>
      <c r="BM46" s="57" t="s">
        <v>1293</v>
      </c>
      <c r="BN46" s="57" t="s">
        <v>1293</v>
      </c>
      <c r="BO46" s="57" t="s">
        <v>1293</v>
      </c>
      <c r="BP46" s="57" t="s">
        <v>1293</v>
      </c>
      <c r="BQ46" s="57" t="s">
        <v>1293</v>
      </c>
      <c r="BR46" s="57" t="s">
        <v>1293</v>
      </c>
      <c r="BS46" s="57" t="s">
        <v>1293</v>
      </c>
      <c r="BT46" s="57" t="s">
        <v>1293</v>
      </c>
      <c r="BU46" s="57" t="s">
        <v>1293</v>
      </c>
      <c r="BV46" s="70">
        <f t="shared" si="198"/>
        <v>2</v>
      </c>
      <c r="BW46" s="71">
        <f t="shared" si="199"/>
        <v>35</v>
      </c>
      <c r="BX46" s="72">
        <f t="shared" si="200"/>
        <v>39</v>
      </c>
      <c r="BY46" s="71">
        <f t="shared" si="201"/>
        <v>70</v>
      </c>
      <c r="BZ46" s="72">
        <f t="shared" si="202"/>
        <v>73</v>
      </c>
      <c r="CA46" s="71">
        <f t="shared" si="203"/>
        <v>109</v>
      </c>
      <c r="CB46" s="72">
        <f t="shared" si="204"/>
        <v>117</v>
      </c>
      <c r="CC46" s="71">
        <f t="shared" si="205"/>
        <v>166</v>
      </c>
      <c r="CD46" s="72">
        <f t="shared" si="206"/>
        <v>173</v>
      </c>
      <c r="CE46" s="71">
        <f t="shared" si="207"/>
        <v>219</v>
      </c>
      <c r="CF46" s="72">
        <f t="shared" si="208"/>
        <v>266</v>
      </c>
      <c r="CG46" s="71">
        <f t="shared" si="209"/>
        <v>292</v>
      </c>
      <c r="CH46" s="70">
        <f t="shared" si="210"/>
        <v>34</v>
      </c>
      <c r="CI46" s="71">
        <f t="shared" si="211"/>
        <v>38</v>
      </c>
      <c r="CJ46" s="72">
        <f t="shared" si="212"/>
        <v>69</v>
      </c>
      <c r="CK46" s="72">
        <f t="shared" si="213"/>
        <v>72</v>
      </c>
      <c r="CL46" s="72">
        <f t="shared" si="214"/>
        <v>108</v>
      </c>
      <c r="CM46" s="72">
        <f t="shared" si="215"/>
        <v>116</v>
      </c>
      <c r="CN46" s="72">
        <f t="shared" si="216"/>
        <v>142</v>
      </c>
      <c r="CO46" s="72">
        <f t="shared" si="217"/>
        <v>168</v>
      </c>
      <c r="CP46" s="72">
        <f t="shared" si="218"/>
        <v>208</v>
      </c>
      <c r="CQ46" s="72">
        <f t="shared" si="219"/>
        <v>259</v>
      </c>
      <c r="CR46" s="72">
        <f t="shared" si="220"/>
        <v>291</v>
      </c>
      <c r="CS46" s="72">
        <f t="shared" si="221"/>
        <v>305</v>
      </c>
      <c r="CT46" s="23">
        <f t="shared" si="222"/>
        <v>1</v>
      </c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/>
      <c r="PC46" s="1"/>
      <c r="PD46" s="1"/>
      <c r="PE46" s="1"/>
      <c r="PF46" s="1"/>
      <c r="PG46" s="1"/>
      <c r="PH46" s="1"/>
      <c r="PI46" s="1"/>
      <c r="PJ46" s="1"/>
      <c r="PK46" s="1"/>
      <c r="PL46" s="1"/>
      <c r="PM46" s="1"/>
      <c r="PN46" s="1"/>
      <c r="PO46" s="1"/>
      <c r="PP46" s="1"/>
      <c r="PQ46" s="1"/>
      <c r="PR46" s="1"/>
      <c r="PS46" s="1"/>
      <c r="PT46" s="1"/>
      <c r="PU46" s="1"/>
      <c r="PV46" s="1"/>
      <c r="PW46" s="1"/>
      <c r="PX46" s="1"/>
      <c r="PY46" s="1"/>
      <c r="PZ46" s="1"/>
      <c r="QA46" s="1"/>
      <c r="QB46" s="1"/>
      <c r="QC46" s="1"/>
      <c r="QD46" s="1"/>
      <c r="QE46" s="1"/>
      <c r="QF46" s="1"/>
      <c r="QG46" s="1"/>
      <c r="QH46" s="1"/>
      <c r="QI46" s="1"/>
      <c r="QJ46" s="1"/>
      <c r="QK46" s="1"/>
      <c r="QL46" s="1"/>
      <c r="QM46" s="1"/>
      <c r="QN46" s="1"/>
      <c r="QO46" s="1"/>
      <c r="QP46" s="1"/>
      <c r="QQ46" s="1"/>
      <c r="QR46" s="1"/>
      <c r="QS46" s="1"/>
      <c r="QT46" s="1"/>
      <c r="QU46" s="1"/>
      <c r="QV46" s="1"/>
      <c r="QW46" s="1"/>
      <c r="QX46" s="1"/>
      <c r="QY46" s="1"/>
      <c r="QZ46" s="1"/>
      <c r="RA46" s="1"/>
      <c r="RB46" s="1"/>
      <c r="RC46" s="1"/>
      <c r="RD46" s="1"/>
      <c r="RE46" s="1"/>
      <c r="RF46" s="1"/>
      <c r="RG46" s="1"/>
      <c r="RH46" s="1"/>
      <c r="RI46" s="1"/>
      <c r="RJ46" s="1"/>
      <c r="RK46" s="1"/>
      <c r="RL46" s="1"/>
      <c r="RM46" s="1"/>
      <c r="RN46" s="1"/>
      <c r="RO46" s="1"/>
      <c r="RP46" s="1"/>
      <c r="RQ46" s="1"/>
      <c r="RR46" s="1"/>
      <c r="RS46" s="1"/>
      <c r="RT46" s="1"/>
      <c r="RU46" s="1"/>
      <c r="RV46" s="1"/>
      <c r="RW46" s="1"/>
      <c r="RX46" s="1"/>
      <c r="RY46" s="1"/>
      <c r="RZ46" s="1"/>
      <c r="SA46" s="1"/>
      <c r="SB46" s="1"/>
      <c r="SC46" s="1"/>
      <c r="SD46" s="1"/>
      <c r="SE46" s="1"/>
      <c r="SF46" s="1"/>
      <c r="SG46" s="1"/>
      <c r="SH46" s="1"/>
      <c r="SI46" s="1"/>
      <c r="SJ46" s="1"/>
      <c r="SK46" s="1"/>
      <c r="SL46" s="1"/>
      <c r="SM46" s="1"/>
      <c r="SN46" s="1"/>
      <c r="SO46" s="1"/>
      <c r="SP46" s="1"/>
      <c r="SQ46" s="1"/>
      <c r="SR46" s="1"/>
      <c r="SS46" s="1"/>
      <c r="ST46" s="1"/>
      <c r="SU46" s="1"/>
      <c r="SV46" s="1"/>
      <c r="SW46" s="1"/>
      <c r="SX46" s="1"/>
      <c r="SY46" s="1"/>
      <c r="SZ46" s="1"/>
      <c r="TA46" s="1"/>
      <c r="TB46" s="1"/>
      <c r="TC46" s="1"/>
      <c r="TD46" s="1"/>
      <c r="TE46" s="1"/>
      <c r="TF46" s="1"/>
      <c r="TG46" s="1"/>
      <c r="TH46" s="1"/>
      <c r="TI46" s="1"/>
      <c r="TJ46" s="1"/>
      <c r="TK46" s="1"/>
      <c r="TL46" s="1"/>
      <c r="TM46" s="1"/>
      <c r="TN46" s="1"/>
      <c r="TO46" s="1"/>
      <c r="TP46" s="1"/>
      <c r="TQ46" s="1"/>
      <c r="TR46" s="1"/>
      <c r="TS46" s="1"/>
      <c r="TT46" s="1"/>
      <c r="TU46" s="1"/>
      <c r="TV46" s="1"/>
      <c r="TW46" s="1"/>
      <c r="TX46" s="1"/>
      <c r="TY46" s="1"/>
      <c r="TZ46" s="1"/>
      <c r="UA46" s="1"/>
      <c r="UB46" s="1"/>
      <c r="UC46" s="1"/>
      <c r="UD46" s="1"/>
      <c r="UE46" s="1"/>
      <c r="UF46" s="1"/>
      <c r="UG46" s="1"/>
      <c r="UH46" s="1"/>
      <c r="UI46" s="1"/>
      <c r="UJ46" s="1"/>
      <c r="UK46" s="1"/>
      <c r="UL46" s="1"/>
      <c r="UM46" s="1"/>
      <c r="UN46" s="1"/>
      <c r="UO46" s="1"/>
      <c r="UP46" s="1"/>
      <c r="UQ46" s="1"/>
      <c r="UR46" s="1"/>
      <c r="US46" s="1"/>
      <c r="UT46" s="1"/>
      <c r="UU46" s="1"/>
      <c r="UV46" s="1"/>
      <c r="UW46" s="1"/>
      <c r="UX46" s="1"/>
      <c r="UY46" s="1"/>
      <c r="UZ46" s="1"/>
      <c r="VA46" s="1"/>
      <c r="VB46" s="1"/>
      <c r="VC46" s="1"/>
      <c r="VD46" s="1"/>
      <c r="VE46" s="1"/>
      <c r="VF46" s="1"/>
      <c r="VG46" s="1"/>
      <c r="VH46" s="1"/>
      <c r="VI46" s="1"/>
      <c r="VJ46" s="1"/>
      <c r="VK46" s="1"/>
      <c r="VL46" s="1"/>
      <c r="VM46" s="1"/>
      <c r="VN46" s="1"/>
      <c r="VO46" s="1"/>
      <c r="VP46" s="1"/>
      <c r="VQ46" s="1"/>
      <c r="VR46" s="1"/>
      <c r="VS46" s="1"/>
      <c r="VT46" s="1"/>
      <c r="VU46" s="1"/>
      <c r="VV46" s="1"/>
      <c r="VW46" s="1"/>
      <c r="VX46" s="1"/>
      <c r="VY46" s="1"/>
      <c r="VZ46" s="1"/>
      <c r="WA46" s="1"/>
      <c r="WB46" s="1"/>
      <c r="WC46" s="1"/>
      <c r="WD46" s="1"/>
      <c r="WE46" s="1"/>
      <c r="WF46" s="1"/>
      <c r="WG46" s="1"/>
      <c r="WH46" s="1"/>
      <c r="WI46" s="1"/>
      <c r="WJ46" s="1"/>
      <c r="WK46" s="1"/>
      <c r="WL46" s="1"/>
      <c r="WM46" s="1"/>
      <c r="WN46" s="1"/>
      <c r="WO46" s="1"/>
      <c r="WP46" s="1"/>
      <c r="WQ46" s="1"/>
      <c r="WR46" s="1"/>
      <c r="WS46" s="1"/>
      <c r="WT46" s="1"/>
      <c r="WU46" s="1"/>
      <c r="WV46" s="1"/>
      <c r="WW46" s="1"/>
      <c r="WX46" s="1"/>
      <c r="WY46" s="1"/>
      <c r="WZ46" s="1"/>
      <c r="XA46" s="1"/>
      <c r="XB46" s="1"/>
      <c r="XC46" s="1"/>
      <c r="XD46" s="1"/>
      <c r="XE46" s="1"/>
      <c r="XF46" s="1"/>
      <c r="XG46" s="1"/>
      <c r="XH46" s="1"/>
      <c r="XI46" s="1"/>
      <c r="XJ46" s="1"/>
      <c r="XK46" s="1"/>
      <c r="XL46" s="1"/>
      <c r="XM46" s="1"/>
      <c r="XN46" s="1"/>
      <c r="XO46" s="1"/>
      <c r="XP46" s="1"/>
      <c r="XQ46" s="1"/>
      <c r="XR46" s="1"/>
      <c r="XS46" s="1"/>
      <c r="XT46" s="1"/>
      <c r="XU46" s="1"/>
      <c r="XV46" s="1"/>
      <c r="XW46" s="1"/>
      <c r="XX46" s="1"/>
      <c r="XY46" s="1"/>
      <c r="XZ46" s="1"/>
      <c r="YA46" s="1"/>
      <c r="YB46" s="1"/>
      <c r="YC46" s="1"/>
      <c r="YD46" s="1"/>
      <c r="YE46" s="1"/>
      <c r="YF46" s="1"/>
      <c r="YG46" s="1"/>
      <c r="YH46" s="1"/>
      <c r="YI46" s="1"/>
      <c r="YJ46" s="1"/>
      <c r="YK46" s="1"/>
      <c r="YL46" s="1"/>
      <c r="YM46" s="1"/>
      <c r="YN46" s="1"/>
      <c r="YO46" s="1"/>
      <c r="YP46" s="1"/>
      <c r="YQ46" s="1"/>
      <c r="YR46" s="1"/>
      <c r="YS46" s="1"/>
      <c r="YT46" s="1"/>
      <c r="YU46" s="1"/>
      <c r="YV46" s="1"/>
      <c r="YW46" s="1"/>
      <c r="YX46" s="1"/>
      <c r="YY46" s="1"/>
      <c r="YZ46" s="1"/>
      <c r="ZA46" s="1"/>
      <c r="ZB46" s="1"/>
      <c r="ZC46" s="1"/>
      <c r="ZD46" s="1"/>
      <c r="ZE46" s="1"/>
      <c r="ZF46" s="1"/>
      <c r="ZG46" s="1"/>
      <c r="ZH46" s="1"/>
      <c r="ZI46" s="1"/>
      <c r="ZJ46" s="1"/>
      <c r="ZK46" s="1"/>
      <c r="ZL46" s="1"/>
      <c r="ZM46" s="1"/>
      <c r="ZN46" s="1"/>
      <c r="ZO46" s="1"/>
      <c r="ZP46" s="1"/>
      <c r="ZQ46" s="1"/>
      <c r="ZR46" s="1"/>
      <c r="ZS46" s="1"/>
      <c r="ZT46" s="1"/>
      <c r="ZU46" s="1"/>
      <c r="ZV46" s="1"/>
      <c r="ZW46" s="1"/>
      <c r="ZX46" s="1"/>
      <c r="ZY46" s="1"/>
      <c r="ZZ46" s="1"/>
      <c r="AAA46" s="1"/>
      <c r="AAB46" s="1"/>
      <c r="AAC46" s="1"/>
      <c r="AAD46" s="1"/>
      <c r="AAE46" s="1"/>
      <c r="AAF46" s="1"/>
      <c r="AAG46" s="1"/>
      <c r="AAH46" s="1"/>
      <c r="AAI46" s="1"/>
      <c r="AAJ46" s="1"/>
      <c r="AAK46" s="1"/>
      <c r="AAL46" s="1"/>
      <c r="AAM46" s="1"/>
      <c r="AAN46" s="1"/>
      <c r="AAO46" s="1"/>
      <c r="AAP46" s="1"/>
      <c r="AAQ46" s="1"/>
      <c r="AAR46" s="1"/>
      <c r="AAS46" s="1"/>
      <c r="AAT46" s="1"/>
      <c r="AAU46" s="1"/>
      <c r="AAV46" s="1"/>
      <c r="AAW46" s="1"/>
      <c r="AAX46" s="1"/>
      <c r="AAY46" s="1"/>
      <c r="AAZ46" s="1"/>
      <c r="ABA46" s="1"/>
      <c r="ABB46" s="1"/>
      <c r="ABC46" s="1"/>
      <c r="ABD46" s="1"/>
      <c r="ABE46" s="1"/>
      <c r="ABF46" s="1"/>
      <c r="ABG46" s="1"/>
      <c r="ABH46" s="1"/>
      <c r="ABI46" s="1"/>
      <c r="ABJ46" s="1"/>
      <c r="ABK46" s="1"/>
      <c r="ABL46" s="1"/>
      <c r="ABM46" s="1"/>
      <c r="ABN46" s="1"/>
      <c r="ABO46" s="1"/>
      <c r="ABP46" s="1"/>
      <c r="ABQ46" s="1"/>
      <c r="ABR46" s="1"/>
      <c r="ABS46" s="1"/>
      <c r="ABT46" s="1"/>
      <c r="ABU46" s="1"/>
      <c r="ABV46" s="1"/>
      <c r="ABW46" s="1"/>
      <c r="ABX46" s="1"/>
      <c r="ABY46" s="1"/>
      <c r="ABZ46" s="1"/>
      <c r="ACA46" s="1"/>
      <c r="ACB46" s="1"/>
      <c r="ACC46" s="1"/>
      <c r="ACD46" s="1"/>
      <c r="ACE46" s="1"/>
      <c r="ACF46" s="1"/>
      <c r="ACG46" s="1"/>
      <c r="ACH46" s="1"/>
      <c r="ACI46" s="1"/>
      <c r="ACJ46" s="1"/>
      <c r="ACK46" s="1"/>
      <c r="ACL46" s="1"/>
      <c r="ACM46" s="1"/>
      <c r="ACN46" s="1"/>
      <c r="ACO46" s="1"/>
      <c r="ACP46" s="1"/>
      <c r="ACQ46" s="1"/>
      <c r="ACR46" s="1"/>
      <c r="ACS46" s="1"/>
      <c r="ACT46" s="1"/>
      <c r="ACU46" s="1"/>
      <c r="ACV46" s="1"/>
      <c r="ACW46" s="1"/>
      <c r="ACX46" s="1"/>
      <c r="ACY46" s="1"/>
      <c r="ACZ46" s="1"/>
      <c r="ADA46" s="1"/>
      <c r="ADB46" s="1"/>
      <c r="ADC46" s="1"/>
      <c r="ADD46" s="1"/>
      <c r="ADE46" s="1"/>
      <c r="ADF46" s="1"/>
      <c r="ADG46" s="1"/>
      <c r="ADH46" s="1"/>
      <c r="ADI46" s="1"/>
      <c r="ADJ46" s="1"/>
      <c r="ADK46" s="1"/>
      <c r="ADL46" s="1"/>
      <c r="ADM46" s="1"/>
      <c r="ADN46" s="1"/>
      <c r="ADO46" s="1"/>
      <c r="ADP46" s="1"/>
      <c r="ADQ46" s="1"/>
      <c r="ADR46" s="1"/>
      <c r="ADS46" s="1"/>
      <c r="ADT46" s="1"/>
      <c r="ADU46" s="1"/>
      <c r="ADV46" s="1"/>
      <c r="ADW46" s="1"/>
      <c r="ADX46" s="1"/>
      <c r="ADY46" s="1"/>
      <c r="ADZ46" s="1"/>
      <c r="AEA46" s="1"/>
      <c r="AEB46" s="1"/>
      <c r="AEC46" s="1"/>
      <c r="AED46" s="1"/>
      <c r="AEE46" s="1"/>
      <c r="AEF46" s="1"/>
      <c r="AEG46" s="1"/>
      <c r="AEH46" s="1"/>
      <c r="AEI46" s="1"/>
      <c r="AEJ46" s="1"/>
      <c r="AEK46" s="1"/>
      <c r="AEL46" s="1"/>
      <c r="AEM46" s="1"/>
      <c r="AEN46" s="1"/>
      <c r="AEO46" s="1"/>
      <c r="AEP46" s="1"/>
      <c r="AEQ46" s="1"/>
      <c r="AER46" s="1"/>
      <c r="AES46" s="1"/>
      <c r="AET46" s="1"/>
      <c r="AEU46" s="1"/>
      <c r="AEV46" s="1"/>
      <c r="AEW46" s="1"/>
      <c r="AEX46" s="1"/>
      <c r="AEY46" s="1"/>
      <c r="AEZ46" s="1"/>
      <c r="AFA46" s="1"/>
      <c r="AFB46" s="1"/>
      <c r="AFC46" s="1"/>
      <c r="AFD46" s="1"/>
      <c r="AFE46" s="1"/>
      <c r="AFF46" s="1"/>
      <c r="AFG46" s="1"/>
      <c r="AFH46" s="1"/>
      <c r="AFI46" s="1"/>
      <c r="AFJ46" s="1"/>
      <c r="AFK46" s="1"/>
      <c r="AFL46" s="1"/>
      <c r="AFM46" s="1"/>
      <c r="AFN46" s="1"/>
      <c r="AFO46" s="1"/>
      <c r="AFP46" s="1"/>
      <c r="AFQ46" s="1"/>
      <c r="AFR46" s="1"/>
      <c r="AFS46" s="1"/>
      <c r="AFT46" s="1"/>
      <c r="AFU46" s="1"/>
      <c r="AFV46" s="1"/>
      <c r="AFW46" s="1"/>
      <c r="AFX46" s="1"/>
      <c r="AFY46" s="1"/>
      <c r="AFZ46" s="1"/>
      <c r="AGA46" s="1"/>
      <c r="AGB46" s="1"/>
      <c r="AGC46" s="1"/>
      <c r="AGD46" s="1"/>
      <c r="AGE46" s="1"/>
      <c r="AGF46" s="1"/>
      <c r="AGG46" s="1"/>
      <c r="AGH46" s="1"/>
      <c r="AGI46" s="1"/>
      <c r="AGJ46" s="1"/>
      <c r="AGK46" s="1"/>
      <c r="AGL46" s="1"/>
      <c r="AGM46" s="1"/>
      <c r="AGN46" s="1"/>
      <c r="AGO46" s="1"/>
      <c r="AGP46" s="1"/>
      <c r="AGQ46" s="1"/>
      <c r="AGR46" s="1"/>
      <c r="AGS46" s="1"/>
      <c r="AGT46" s="1"/>
      <c r="AGU46" s="1"/>
      <c r="AGV46" s="1"/>
      <c r="AGW46" s="1"/>
      <c r="AGX46" s="1"/>
      <c r="AGY46" s="1"/>
      <c r="AGZ46" s="1"/>
      <c r="AHA46" s="1"/>
      <c r="AHB46" s="1"/>
      <c r="AHC46" s="1"/>
      <c r="AHD46" s="1"/>
      <c r="AHE46" s="1"/>
      <c r="AHF46" s="1"/>
      <c r="AHG46" s="1"/>
      <c r="AHH46" s="1"/>
      <c r="AHI46" s="1"/>
      <c r="AHJ46" s="1"/>
      <c r="AHK46" s="1"/>
      <c r="AHL46" s="1"/>
      <c r="AHM46" s="1"/>
      <c r="AHN46" s="1"/>
      <c r="AHO46" s="1"/>
      <c r="AHP46" s="1"/>
      <c r="AHQ46" s="1"/>
      <c r="AHR46" s="1"/>
      <c r="AHS46" s="1"/>
      <c r="AHT46" s="1"/>
      <c r="AHU46" s="1"/>
      <c r="AHV46" s="1"/>
      <c r="AHW46" s="1"/>
      <c r="AHX46" s="1"/>
      <c r="AHY46" s="1"/>
      <c r="AHZ46" s="1"/>
      <c r="AIA46" s="1"/>
      <c r="AIB46" s="1"/>
      <c r="AIC46" s="1"/>
      <c r="AID46" s="1"/>
      <c r="AIE46" s="1"/>
      <c r="AIF46" s="1"/>
      <c r="AIG46" s="1"/>
      <c r="AIH46" s="1"/>
      <c r="AII46" s="1"/>
      <c r="AIJ46" s="1"/>
      <c r="AIK46" s="1"/>
      <c r="AIL46" s="1"/>
      <c r="AIM46" s="1"/>
      <c r="AIN46" s="1"/>
      <c r="AIO46" s="1"/>
      <c r="AIP46" s="1"/>
      <c r="AIQ46" s="1"/>
      <c r="AIR46" s="1"/>
      <c r="AIS46" s="1"/>
      <c r="AIT46" s="1"/>
      <c r="AIU46" s="1"/>
      <c r="AIV46" s="1"/>
      <c r="AIW46" s="1"/>
      <c r="AIX46" s="1"/>
      <c r="AIY46" s="1"/>
      <c r="AIZ46" s="1"/>
      <c r="AJA46" s="1"/>
      <c r="AJB46" s="1"/>
      <c r="AJC46" s="1"/>
      <c r="AJD46" s="1"/>
      <c r="AJE46" s="1"/>
      <c r="AJF46" s="1"/>
      <c r="AJG46" s="1"/>
      <c r="AJH46" s="1"/>
      <c r="AJI46" s="1"/>
      <c r="AJJ46" s="1"/>
      <c r="AJK46" s="1"/>
      <c r="AJL46" s="1"/>
      <c r="AJM46" s="1"/>
      <c r="AJN46" s="1"/>
      <c r="AJO46" s="1"/>
      <c r="AJP46" s="1"/>
      <c r="AJQ46" s="1"/>
      <c r="AJR46" s="1"/>
      <c r="AJS46" s="1"/>
      <c r="AJT46" s="1"/>
      <c r="AJU46" s="1"/>
      <c r="AJV46" s="1"/>
      <c r="AJW46" s="1"/>
      <c r="AJX46" s="1"/>
      <c r="AJY46" s="1"/>
      <c r="AJZ46" s="1"/>
      <c r="AKA46" s="1"/>
      <c r="AKB46" s="1"/>
      <c r="AKC46" s="1"/>
      <c r="AKD46" s="1"/>
      <c r="AKE46" s="1"/>
      <c r="AKF46" s="1"/>
      <c r="AKG46" s="1"/>
      <c r="AKH46" s="1"/>
      <c r="AKI46" s="1"/>
      <c r="AKJ46" s="1"/>
      <c r="AKK46" s="1"/>
      <c r="AKL46" s="1"/>
      <c r="AKM46" s="1"/>
      <c r="AKN46" s="1"/>
      <c r="AKO46" s="1"/>
      <c r="AKP46" s="1"/>
      <c r="AKQ46" s="1"/>
      <c r="AKR46" s="1"/>
      <c r="AKS46" s="1"/>
      <c r="AKT46" s="1"/>
      <c r="AKU46" s="1"/>
      <c r="AKV46" s="1"/>
      <c r="AKW46" s="1"/>
      <c r="AKX46" s="1"/>
      <c r="AKY46" s="1"/>
      <c r="AKZ46" s="1"/>
      <c r="ALA46" s="1"/>
      <c r="ALB46" s="1"/>
      <c r="ALC46" s="1"/>
      <c r="ALD46" s="1"/>
      <c r="ALE46" s="1"/>
      <c r="ALF46" s="1"/>
      <c r="ALG46" s="1"/>
      <c r="ALH46" s="1"/>
      <c r="ALI46" s="1"/>
      <c r="ALJ46" s="1"/>
      <c r="ALK46" s="1"/>
      <c r="ALL46" s="1"/>
      <c r="ALM46" s="1"/>
      <c r="ALN46" s="1"/>
      <c r="ALO46" s="1"/>
      <c r="ALP46" s="1"/>
      <c r="ALQ46" s="1"/>
      <c r="ALR46" s="1"/>
      <c r="ALS46" s="1"/>
      <c r="ALT46" s="1"/>
      <c r="ALU46" s="1"/>
      <c r="ALV46" s="1"/>
      <c r="ALW46" s="1"/>
      <c r="ALX46" s="1"/>
      <c r="ALY46" s="1"/>
      <c r="ALZ46" s="1"/>
      <c r="AMA46" s="1"/>
      <c r="AMB46" s="1"/>
      <c r="AMC46" s="1"/>
      <c r="AMD46" s="1"/>
      <c r="AME46" s="1"/>
      <c r="AMF46" s="1"/>
      <c r="AMG46" s="1"/>
      <c r="AMH46" s="1"/>
      <c r="AMI46" s="1"/>
      <c r="AMJ46" s="1"/>
      <c r="AMK46" s="1"/>
      <c r="AML46" s="1"/>
      <c r="AMM46" s="1"/>
      <c r="AMN46" s="1"/>
      <c r="AMO46" s="1"/>
    </row>
    <row r="47" spans="1:1029" x14ac:dyDescent="0.2">
      <c r="A47" s="3" t="str">
        <f t="shared" si="195"/>
        <v>aa2ar_human_5N2R</v>
      </c>
      <c r="B47" s="3" t="s">
        <v>139</v>
      </c>
      <c r="C47" s="3" t="s">
        <v>1441</v>
      </c>
      <c r="D47" s="3" t="str">
        <f>IFERROR(MID(VLOOKUP($B47,Seqs!$A:$B,2,0),E47,1),"")</f>
        <v>P</v>
      </c>
      <c r="E47" s="3">
        <v>2</v>
      </c>
      <c r="F47" s="3" t="str">
        <f>IFERROR(MID(VLOOKUP($B47,Seqs!$A:$B,2,0),G47,1),"")</f>
        <v>N</v>
      </c>
      <c r="G47" s="3">
        <v>34</v>
      </c>
      <c r="H47" s="3" t="str">
        <f>IFERROR(MID(VLOOKUP($B47,Seqs!$A:$B,2,0),I47,1),"")</f>
        <v>S</v>
      </c>
      <c r="I47" s="23">
        <v>35</v>
      </c>
      <c r="J47" s="3" t="str">
        <f>IFERROR(MID(VLOOKUP($B47,Seqs!$A:$B,2,0),K47,1),"")</f>
        <v>Q</v>
      </c>
      <c r="K47" s="23">
        <v>38</v>
      </c>
      <c r="L47" s="3" t="str">
        <f>IFERROR(MID(VLOOKUP($B47,Seqs!$A:$B,2,0),M47,1),"")</f>
        <v>N</v>
      </c>
      <c r="M47" s="3">
        <v>39</v>
      </c>
      <c r="N47" s="3" t="str">
        <f>IFERROR(MID(VLOOKUP($B47,Seqs!$A:$B,2,0),O47,1),"")</f>
        <v>G</v>
      </c>
      <c r="O47" s="3">
        <v>69</v>
      </c>
      <c r="P47" s="3" t="str">
        <f>IFERROR(MID(VLOOKUP($B47,Seqs!$A:$B,2,0),Q47,1),"")</f>
        <v>F</v>
      </c>
      <c r="Q47" s="3">
        <v>70</v>
      </c>
      <c r="R47" s="3" t="str">
        <f>IFERROR(MID(VLOOKUP($B47,Seqs!$A:$B,2,0),S47,1),"")</f>
        <v>A</v>
      </c>
      <c r="S47" s="3">
        <v>72</v>
      </c>
      <c r="T47" s="3" t="str">
        <f>IFERROR(MID(VLOOKUP($B47,Seqs!$A:$B,2,0),U47,1),"")</f>
        <v>A</v>
      </c>
      <c r="U47" s="3">
        <v>73</v>
      </c>
      <c r="V47" s="3" t="str">
        <f>IFERROR(MID(VLOOKUP($B47,Seqs!$A:$B,2,0),W47,1),"")</f>
        <v>I</v>
      </c>
      <c r="W47" s="3">
        <v>108</v>
      </c>
      <c r="X47" s="3" t="str">
        <f>IFERROR(MID(VLOOKUP($B47,Seqs!$A:$B,2,0),Y47,1),"")</f>
        <v>P</v>
      </c>
      <c r="Y47" s="3">
        <v>109</v>
      </c>
      <c r="Z47" s="3" t="str">
        <f>IFERROR(MID(VLOOKUP($B47,Seqs!$A:$B,2,0),AA47,1),"")</f>
        <v>V</v>
      </c>
      <c r="AA47" s="3">
        <v>116</v>
      </c>
      <c r="AB47" s="3" t="str">
        <f>IFERROR(MID(VLOOKUP($B47,Seqs!$A:$B,2,0),AC47,1),"")</f>
        <v>T</v>
      </c>
      <c r="AC47" s="3">
        <v>117</v>
      </c>
      <c r="AD47" s="3" t="str">
        <f>IFERROR(MID(VLOOKUP($B47,Seqs!$A:$B,2,0),AE47,1),"")</f>
        <v>G</v>
      </c>
      <c r="AE47" s="3">
        <v>142</v>
      </c>
      <c r="AF47" s="3" t="str">
        <f>IFERROR(MID(VLOOKUP($B47,Seqs!$A:$B,2,0),AG47,1),"")</f>
        <v>C</v>
      </c>
      <c r="AG47" s="3">
        <v>166</v>
      </c>
      <c r="AH47" s="3" t="str">
        <f>IFERROR(MID(VLOOKUP($B47,Seqs!$A:$B,2,0),AI47,1),"")</f>
        <v>F</v>
      </c>
      <c r="AI47" s="3">
        <v>168</v>
      </c>
      <c r="AJ47" s="3" t="str">
        <f>IFERROR(MID(VLOOKUP($B47,Seqs!$A:$B,2,0),AK47,1),"")</f>
        <v>P</v>
      </c>
      <c r="AK47" s="3">
        <v>173</v>
      </c>
      <c r="AL47" s="3" t="str">
        <f>IFERROR(MID(VLOOKUP($B47,Seqs!$A:$B,2,0),AM47,1),"")</f>
        <v>L</v>
      </c>
      <c r="AM47" s="3">
        <v>208</v>
      </c>
      <c r="AN47" s="3" t="str">
        <f>IFERROR(MID(VLOOKUP($B47,Seqs!$A:$B,2,0),AO47,1),"")</f>
        <v>E</v>
      </c>
      <c r="AO47" s="3">
        <v>219</v>
      </c>
      <c r="AP47" s="3" t="str">
        <f>IFERROR(MID(VLOOKUP($B47,Seqs!$A:$B,2,0),AQ47,1),"")</f>
        <v>C</v>
      </c>
      <c r="AQ47" s="3">
        <v>259</v>
      </c>
      <c r="AR47" s="3" t="str">
        <f>IFERROR(MID(VLOOKUP($B47,Seqs!$A:$B,2,0),AS47,1),"")</f>
        <v>P</v>
      </c>
      <c r="AS47" s="3">
        <v>266</v>
      </c>
      <c r="AT47" s="3" t="str">
        <f>IFERROR(MID(VLOOKUP($B47,Seqs!$A:$B,2,0),AU47,1),"")</f>
        <v>R</v>
      </c>
      <c r="AU47" s="3">
        <v>291</v>
      </c>
      <c r="AV47" s="3" t="str">
        <f>IFERROR(MID(VLOOKUP($B47,Seqs!$A:$B,2,0),AW47,1),"")</f>
        <v>I</v>
      </c>
      <c r="AW47" s="3">
        <v>292</v>
      </c>
      <c r="AX47" s="3" t="str">
        <f>IFERROR(MID(VLOOKUP($B47,Seqs!$A:$B,2,0),AY47,1),"")</f>
        <v>S</v>
      </c>
      <c r="AY47" s="3">
        <v>305</v>
      </c>
      <c r="AZ47" s="77" t="str">
        <f>VLOOKUP(B47,Classification!A:D,2,0)</f>
        <v>A</v>
      </c>
      <c r="BA47" s="94" t="str">
        <f>VLOOKUP(B47,Classification!A:D,4,0)</f>
        <v>Adenosine</v>
      </c>
      <c r="BB47" s="27" t="b">
        <f t="shared" si="196"/>
        <v>1</v>
      </c>
      <c r="BC47" s="23">
        <f t="shared" si="197"/>
        <v>261</v>
      </c>
      <c r="BD47" s="5" t="s">
        <v>23</v>
      </c>
      <c r="BE47" s="3" t="s">
        <v>1381</v>
      </c>
      <c r="BF47" s="119">
        <v>2.9</v>
      </c>
      <c r="BG47" s="49" t="s">
        <v>1</v>
      </c>
      <c r="BH47" s="49" t="s">
        <v>1</v>
      </c>
      <c r="BI47" s="1"/>
      <c r="BJ47" s="70" t="s">
        <v>1293</v>
      </c>
      <c r="BK47" s="57" t="s">
        <v>1293</v>
      </c>
      <c r="BL47" s="57" t="s">
        <v>1293</v>
      </c>
      <c r="BM47" s="57" t="s">
        <v>1293</v>
      </c>
      <c r="BN47" s="57" t="s">
        <v>1293</v>
      </c>
      <c r="BO47" s="57" t="s">
        <v>1293</v>
      </c>
      <c r="BP47" s="57" t="s">
        <v>1293</v>
      </c>
      <c r="BQ47" s="57" t="s">
        <v>1293</v>
      </c>
      <c r="BR47" s="57" t="s">
        <v>1293</v>
      </c>
      <c r="BS47" s="57" t="s">
        <v>1293</v>
      </c>
      <c r="BT47" s="57" t="s">
        <v>1293</v>
      </c>
      <c r="BU47" s="57" t="s">
        <v>1293</v>
      </c>
      <c r="BV47" s="70">
        <f t="shared" si="198"/>
        <v>2</v>
      </c>
      <c r="BW47" s="71">
        <f t="shared" si="199"/>
        <v>35</v>
      </c>
      <c r="BX47" s="72">
        <f t="shared" si="200"/>
        <v>39</v>
      </c>
      <c r="BY47" s="71">
        <f t="shared" si="201"/>
        <v>70</v>
      </c>
      <c r="BZ47" s="72">
        <f t="shared" si="202"/>
        <v>73</v>
      </c>
      <c r="CA47" s="71">
        <f t="shared" si="203"/>
        <v>109</v>
      </c>
      <c r="CB47" s="72">
        <f t="shared" si="204"/>
        <v>117</v>
      </c>
      <c r="CC47" s="71">
        <f t="shared" si="205"/>
        <v>166</v>
      </c>
      <c r="CD47" s="72">
        <f t="shared" si="206"/>
        <v>173</v>
      </c>
      <c r="CE47" s="71">
        <f t="shared" si="207"/>
        <v>219</v>
      </c>
      <c r="CF47" s="72">
        <f t="shared" si="208"/>
        <v>266</v>
      </c>
      <c r="CG47" s="71">
        <f t="shared" si="209"/>
        <v>292</v>
      </c>
      <c r="CH47" s="70">
        <f t="shared" si="210"/>
        <v>34</v>
      </c>
      <c r="CI47" s="71">
        <f t="shared" si="211"/>
        <v>38</v>
      </c>
      <c r="CJ47" s="72">
        <f t="shared" si="212"/>
        <v>69</v>
      </c>
      <c r="CK47" s="72">
        <f t="shared" si="213"/>
        <v>72</v>
      </c>
      <c r="CL47" s="72">
        <f t="shared" si="214"/>
        <v>108</v>
      </c>
      <c r="CM47" s="72">
        <f t="shared" si="215"/>
        <v>116</v>
      </c>
      <c r="CN47" s="72">
        <f t="shared" si="216"/>
        <v>142</v>
      </c>
      <c r="CO47" s="72">
        <f t="shared" si="217"/>
        <v>168</v>
      </c>
      <c r="CP47" s="72">
        <f t="shared" si="218"/>
        <v>208</v>
      </c>
      <c r="CQ47" s="72">
        <f t="shared" si="219"/>
        <v>259</v>
      </c>
      <c r="CR47" s="72">
        <f t="shared" si="220"/>
        <v>291</v>
      </c>
      <c r="CS47" s="72">
        <f t="shared" si="221"/>
        <v>305</v>
      </c>
      <c r="CT47" s="23">
        <f t="shared" si="222"/>
        <v>1</v>
      </c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U47" s="1"/>
      <c r="OV47" s="1"/>
      <c r="OW47" s="1"/>
      <c r="OX47" s="1"/>
      <c r="OY47" s="1"/>
      <c r="OZ47" s="1"/>
      <c r="PA47" s="1"/>
      <c r="PB47" s="1"/>
      <c r="PC47" s="1"/>
      <c r="PD47" s="1"/>
      <c r="PE47" s="1"/>
      <c r="PF47" s="1"/>
      <c r="PG47" s="1"/>
      <c r="PH47" s="1"/>
      <c r="PI47" s="1"/>
      <c r="PJ47" s="1"/>
      <c r="PK47" s="1"/>
      <c r="PL47" s="1"/>
      <c r="PM47" s="1"/>
      <c r="PN47" s="1"/>
      <c r="PO47" s="1"/>
      <c r="PP47" s="1"/>
      <c r="PQ47" s="1"/>
      <c r="PR47" s="1"/>
      <c r="PS47" s="1"/>
      <c r="PT47" s="1"/>
      <c r="PU47" s="1"/>
      <c r="PV47" s="1"/>
      <c r="PW47" s="1"/>
      <c r="PX47" s="1"/>
      <c r="PY47" s="1"/>
      <c r="PZ47" s="1"/>
      <c r="QA47" s="1"/>
      <c r="QB47" s="1"/>
      <c r="QC47" s="1"/>
      <c r="QD47" s="1"/>
      <c r="QE47" s="1"/>
      <c r="QF47" s="1"/>
      <c r="QG47" s="1"/>
      <c r="QH47" s="1"/>
      <c r="QI47" s="1"/>
      <c r="QJ47" s="1"/>
      <c r="QK47" s="1"/>
      <c r="QL47" s="1"/>
      <c r="QM47" s="1"/>
      <c r="QN47" s="1"/>
      <c r="QO47" s="1"/>
      <c r="QP47" s="1"/>
      <c r="QQ47" s="1"/>
      <c r="QR47" s="1"/>
      <c r="QS47" s="1"/>
      <c r="QT47" s="1"/>
      <c r="QU47" s="1"/>
      <c r="QV47" s="1"/>
      <c r="QW47" s="1"/>
      <c r="QX47" s="1"/>
      <c r="QY47" s="1"/>
      <c r="QZ47" s="1"/>
      <c r="RA47" s="1"/>
      <c r="RB47" s="1"/>
      <c r="RC47" s="1"/>
      <c r="RD47" s="1"/>
      <c r="RE47" s="1"/>
      <c r="RF47" s="1"/>
      <c r="RG47" s="1"/>
      <c r="RH47" s="1"/>
      <c r="RI47" s="1"/>
      <c r="RJ47" s="1"/>
      <c r="RK47" s="1"/>
      <c r="RL47" s="1"/>
      <c r="RM47" s="1"/>
      <c r="RN47" s="1"/>
      <c r="RO47" s="1"/>
      <c r="RP47" s="1"/>
      <c r="RQ47" s="1"/>
      <c r="RR47" s="1"/>
      <c r="RS47" s="1"/>
      <c r="RT47" s="1"/>
      <c r="RU47" s="1"/>
      <c r="RV47" s="1"/>
      <c r="RW47" s="1"/>
      <c r="RX47" s="1"/>
      <c r="RY47" s="1"/>
      <c r="RZ47" s="1"/>
      <c r="SA47" s="1"/>
      <c r="SB47" s="1"/>
      <c r="SC47" s="1"/>
      <c r="SD47" s="1"/>
      <c r="SE47" s="1"/>
      <c r="SF47" s="1"/>
      <c r="SG47" s="1"/>
      <c r="SH47" s="1"/>
      <c r="SI47" s="1"/>
      <c r="SJ47" s="1"/>
      <c r="SK47" s="1"/>
      <c r="SL47" s="1"/>
      <c r="SM47" s="1"/>
      <c r="SN47" s="1"/>
      <c r="SO47" s="1"/>
      <c r="SP47" s="1"/>
      <c r="SQ47" s="1"/>
      <c r="SR47" s="1"/>
      <c r="SS47" s="1"/>
      <c r="ST47" s="1"/>
      <c r="SU47" s="1"/>
      <c r="SV47" s="1"/>
      <c r="SW47" s="1"/>
      <c r="SX47" s="1"/>
      <c r="SY47" s="1"/>
      <c r="SZ47" s="1"/>
      <c r="TA47" s="1"/>
      <c r="TB47" s="1"/>
      <c r="TC47" s="1"/>
      <c r="TD47" s="1"/>
      <c r="TE47" s="1"/>
      <c r="TF47" s="1"/>
      <c r="TG47" s="1"/>
      <c r="TH47" s="1"/>
      <c r="TI47" s="1"/>
      <c r="TJ47" s="1"/>
      <c r="TK47" s="1"/>
      <c r="TL47" s="1"/>
      <c r="TM47" s="1"/>
      <c r="TN47" s="1"/>
      <c r="TO47" s="1"/>
      <c r="TP47" s="1"/>
      <c r="TQ47" s="1"/>
      <c r="TR47" s="1"/>
      <c r="TS47" s="1"/>
      <c r="TT47" s="1"/>
      <c r="TU47" s="1"/>
      <c r="TV47" s="1"/>
      <c r="TW47" s="1"/>
      <c r="TX47" s="1"/>
      <c r="TY47" s="1"/>
      <c r="TZ47" s="1"/>
      <c r="UA47" s="1"/>
      <c r="UB47" s="1"/>
      <c r="UC47" s="1"/>
      <c r="UD47" s="1"/>
      <c r="UE47" s="1"/>
      <c r="UF47" s="1"/>
      <c r="UG47" s="1"/>
      <c r="UH47" s="1"/>
      <c r="UI47" s="1"/>
      <c r="UJ47" s="1"/>
      <c r="UK47" s="1"/>
      <c r="UL47" s="1"/>
      <c r="UM47" s="1"/>
      <c r="UN47" s="1"/>
      <c r="UO47" s="1"/>
      <c r="UP47" s="1"/>
      <c r="UQ47" s="1"/>
      <c r="UR47" s="1"/>
      <c r="US47" s="1"/>
      <c r="UT47" s="1"/>
      <c r="UU47" s="1"/>
      <c r="UV47" s="1"/>
      <c r="UW47" s="1"/>
      <c r="UX47" s="1"/>
      <c r="UY47" s="1"/>
      <c r="UZ47" s="1"/>
      <c r="VA47" s="1"/>
      <c r="VB47" s="1"/>
      <c r="VC47" s="1"/>
      <c r="VD47" s="1"/>
      <c r="VE47" s="1"/>
      <c r="VF47" s="1"/>
      <c r="VG47" s="1"/>
      <c r="VH47" s="1"/>
      <c r="VI47" s="1"/>
      <c r="VJ47" s="1"/>
      <c r="VK47" s="1"/>
      <c r="VL47" s="1"/>
      <c r="VM47" s="1"/>
      <c r="VN47" s="1"/>
      <c r="VO47" s="1"/>
      <c r="VP47" s="1"/>
      <c r="VQ47" s="1"/>
      <c r="VR47" s="1"/>
      <c r="VS47" s="1"/>
      <c r="VT47" s="1"/>
      <c r="VU47" s="1"/>
      <c r="VV47" s="1"/>
      <c r="VW47" s="1"/>
      <c r="VX47" s="1"/>
      <c r="VY47" s="1"/>
      <c r="VZ47" s="1"/>
      <c r="WA47" s="1"/>
      <c r="WB47" s="1"/>
      <c r="WC47" s="1"/>
      <c r="WD47" s="1"/>
      <c r="WE47" s="1"/>
      <c r="WF47" s="1"/>
      <c r="WG47" s="1"/>
      <c r="WH47" s="1"/>
      <c r="WI47" s="1"/>
      <c r="WJ47" s="1"/>
      <c r="WK47" s="1"/>
      <c r="WL47" s="1"/>
      <c r="WM47" s="1"/>
      <c r="WN47" s="1"/>
      <c r="WO47" s="1"/>
      <c r="WP47" s="1"/>
      <c r="WQ47" s="1"/>
      <c r="WR47" s="1"/>
      <c r="WS47" s="1"/>
      <c r="WT47" s="1"/>
      <c r="WU47" s="1"/>
      <c r="WV47" s="1"/>
      <c r="WW47" s="1"/>
      <c r="WX47" s="1"/>
      <c r="WY47" s="1"/>
      <c r="WZ47" s="1"/>
      <c r="XA47" s="1"/>
      <c r="XB47" s="1"/>
      <c r="XC47" s="1"/>
      <c r="XD47" s="1"/>
      <c r="XE47" s="1"/>
      <c r="XF47" s="1"/>
      <c r="XG47" s="1"/>
      <c r="XH47" s="1"/>
      <c r="XI47" s="1"/>
      <c r="XJ47" s="1"/>
      <c r="XK47" s="1"/>
      <c r="XL47" s="1"/>
      <c r="XM47" s="1"/>
      <c r="XN47" s="1"/>
      <c r="XO47" s="1"/>
      <c r="XP47" s="1"/>
      <c r="XQ47" s="1"/>
      <c r="XR47" s="1"/>
      <c r="XS47" s="1"/>
      <c r="XT47" s="1"/>
      <c r="XU47" s="1"/>
      <c r="XV47" s="1"/>
      <c r="XW47" s="1"/>
      <c r="XX47" s="1"/>
      <c r="XY47" s="1"/>
      <c r="XZ47" s="1"/>
      <c r="YA47" s="1"/>
      <c r="YB47" s="1"/>
      <c r="YC47" s="1"/>
      <c r="YD47" s="1"/>
      <c r="YE47" s="1"/>
      <c r="YF47" s="1"/>
      <c r="YG47" s="1"/>
      <c r="YH47" s="1"/>
      <c r="YI47" s="1"/>
      <c r="YJ47" s="1"/>
      <c r="YK47" s="1"/>
      <c r="YL47" s="1"/>
      <c r="YM47" s="1"/>
      <c r="YN47" s="1"/>
      <c r="YO47" s="1"/>
      <c r="YP47" s="1"/>
      <c r="YQ47" s="1"/>
      <c r="YR47" s="1"/>
      <c r="YS47" s="1"/>
      <c r="YT47" s="1"/>
      <c r="YU47" s="1"/>
      <c r="YV47" s="1"/>
      <c r="YW47" s="1"/>
      <c r="YX47" s="1"/>
      <c r="YY47" s="1"/>
      <c r="YZ47" s="1"/>
      <c r="ZA47" s="1"/>
      <c r="ZB47" s="1"/>
      <c r="ZC47" s="1"/>
      <c r="ZD47" s="1"/>
      <c r="ZE47" s="1"/>
      <c r="ZF47" s="1"/>
      <c r="ZG47" s="1"/>
      <c r="ZH47" s="1"/>
      <c r="ZI47" s="1"/>
      <c r="ZJ47" s="1"/>
      <c r="ZK47" s="1"/>
      <c r="ZL47" s="1"/>
      <c r="ZM47" s="1"/>
      <c r="ZN47" s="1"/>
      <c r="ZO47" s="1"/>
      <c r="ZP47" s="1"/>
      <c r="ZQ47" s="1"/>
      <c r="ZR47" s="1"/>
      <c r="ZS47" s="1"/>
      <c r="ZT47" s="1"/>
      <c r="ZU47" s="1"/>
      <c r="ZV47" s="1"/>
      <c r="ZW47" s="1"/>
      <c r="ZX47" s="1"/>
      <c r="ZY47" s="1"/>
      <c r="ZZ47" s="1"/>
      <c r="AAA47" s="1"/>
      <c r="AAB47" s="1"/>
      <c r="AAC47" s="1"/>
      <c r="AAD47" s="1"/>
      <c r="AAE47" s="1"/>
      <c r="AAF47" s="1"/>
      <c r="AAG47" s="1"/>
      <c r="AAH47" s="1"/>
      <c r="AAI47" s="1"/>
      <c r="AAJ47" s="1"/>
      <c r="AAK47" s="1"/>
      <c r="AAL47" s="1"/>
      <c r="AAM47" s="1"/>
      <c r="AAN47" s="1"/>
      <c r="AAO47" s="1"/>
      <c r="AAP47" s="1"/>
      <c r="AAQ47" s="1"/>
      <c r="AAR47" s="1"/>
      <c r="AAS47" s="1"/>
      <c r="AAT47" s="1"/>
      <c r="AAU47" s="1"/>
      <c r="AAV47" s="1"/>
      <c r="AAW47" s="1"/>
      <c r="AAX47" s="1"/>
      <c r="AAY47" s="1"/>
      <c r="AAZ47" s="1"/>
      <c r="ABA47" s="1"/>
      <c r="ABB47" s="1"/>
      <c r="ABC47" s="1"/>
      <c r="ABD47" s="1"/>
      <c r="ABE47" s="1"/>
      <c r="ABF47" s="1"/>
      <c r="ABG47" s="1"/>
      <c r="ABH47" s="1"/>
      <c r="ABI47" s="1"/>
      <c r="ABJ47" s="1"/>
      <c r="ABK47" s="1"/>
      <c r="ABL47" s="1"/>
      <c r="ABM47" s="1"/>
      <c r="ABN47" s="1"/>
      <c r="ABO47" s="1"/>
      <c r="ABP47" s="1"/>
      <c r="ABQ47" s="1"/>
      <c r="ABR47" s="1"/>
      <c r="ABS47" s="1"/>
      <c r="ABT47" s="1"/>
      <c r="ABU47" s="1"/>
      <c r="ABV47" s="1"/>
      <c r="ABW47" s="1"/>
      <c r="ABX47" s="1"/>
      <c r="ABY47" s="1"/>
      <c r="ABZ47" s="1"/>
      <c r="ACA47" s="1"/>
      <c r="ACB47" s="1"/>
      <c r="ACC47" s="1"/>
      <c r="ACD47" s="1"/>
      <c r="ACE47" s="1"/>
      <c r="ACF47" s="1"/>
      <c r="ACG47" s="1"/>
      <c r="ACH47" s="1"/>
      <c r="ACI47" s="1"/>
      <c r="ACJ47" s="1"/>
      <c r="ACK47" s="1"/>
      <c r="ACL47" s="1"/>
      <c r="ACM47" s="1"/>
      <c r="ACN47" s="1"/>
      <c r="ACO47" s="1"/>
      <c r="ACP47" s="1"/>
      <c r="ACQ47" s="1"/>
      <c r="ACR47" s="1"/>
      <c r="ACS47" s="1"/>
      <c r="ACT47" s="1"/>
      <c r="ACU47" s="1"/>
      <c r="ACV47" s="1"/>
      <c r="ACW47" s="1"/>
      <c r="ACX47" s="1"/>
      <c r="ACY47" s="1"/>
      <c r="ACZ47" s="1"/>
      <c r="ADA47" s="1"/>
      <c r="ADB47" s="1"/>
      <c r="ADC47" s="1"/>
      <c r="ADD47" s="1"/>
      <c r="ADE47" s="1"/>
      <c r="ADF47" s="1"/>
      <c r="ADG47" s="1"/>
      <c r="ADH47" s="1"/>
      <c r="ADI47" s="1"/>
      <c r="ADJ47" s="1"/>
      <c r="ADK47" s="1"/>
      <c r="ADL47" s="1"/>
      <c r="ADM47" s="1"/>
      <c r="ADN47" s="1"/>
      <c r="ADO47" s="1"/>
      <c r="ADP47" s="1"/>
      <c r="ADQ47" s="1"/>
      <c r="ADR47" s="1"/>
      <c r="ADS47" s="1"/>
      <c r="ADT47" s="1"/>
      <c r="ADU47" s="1"/>
      <c r="ADV47" s="1"/>
      <c r="ADW47" s="1"/>
      <c r="ADX47" s="1"/>
      <c r="ADY47" s="1"/>
      <c r="ADZ47" s="1"/>
      <c r="AEA47" s="1"/>
      <c r="AEB47" s="1"/>
      <c r="AEC47" s="1"/>
      <c r="AED47" s="1"/>
      <c r="AEE47" s="1"/>
      <c r="AEF47" s="1"/>
      <c r="AEG47" s="1"/>
      <c r="AEH47" s="1"/>
      <c r="AEI47" s="1"/>
      <c r="AEJ47" s="1"/>
      <c r="AEK47" s="1"/>
      <c r="AEL47" s="1"/>
      <c r="AEM47" s="1"/>
      <c r="AEN47" s="1"/>
      <c r="AEO47" s="1"/>
      <c r="AEP47" s="1"/>
      <c r="AEQ47" s="1"/>
      <c r="AER47" s="1"/>
      <c r="AES47" s="1"/>
      <c r="AET47" s="1"/>
      <c r="AEU47" s="1"/>
      <c r="AEV47" s="1"/>
      <c r="AEW47" s="1"/>
      <c r="AEX47" s="1"/>
      <c r="AEY47" s="1"/>
      <c r="AEZ47" s="1"/>
      <c r="AFA47" s="1"/>
      <c r="AFB47" s="1"/>
      <c r="AFC47" s="1"/>
      <c r="AFD47" s="1"/>
      <c r="AFE47" s="1"/>
      <c r="AFF47" s="1"/>
      <c r="AFG47" s="1"/>
      <c r="AFH47" s="1"/>
      <c r="AFI47" s="1"/>
      <c r="AFJ47" s="1"/>
      <c r="AFK47" s="1"/>
      <c r="AFL47" s="1"/>
      <c r="AFM47" s="1"/>
      <c r="AFN47" s="1"/>
      <c r="AFO47" s="1"/>
      <c r="AFP47" s="1"/>
      <c r="AFQ47" s="1"/>
      <c r="AFR47" s="1"/>
      <c r="AFS47" s="1"/>
      <c r="AFT47" s="1"/>
      <c r="AFU47" s="1"/>
      <c r="AFV47" s="1"/>
      <c r="AFW47" s="1"/>
      <c r="AFX47" s="1"/>
      <c r="AFY47" s="1"/>
      <c r="AFZ47" s="1"/>
      <c r="AGA47" s="1"/>
      <c r="AGB47" s="1"/>
      <c r="AGC47" s="1"/>
      <c r="AGD47" s="1"/>
      <c r="AGE47" s="1"/>
      <c r="AGF47" s="1"/>
      <c r="AGG47" s="1"/>
      <c r="AGH47" s="1"/>
      <c r="AGI47" s="1"/>
      <c r="AGJ47" s="1"/>
      <c r="AGK47" s="1"/>
      <c r="AGL47" s="1"/>
      <c r="AGM47" s="1"/>
      <c r="AGN47" s="1"/>
      <c r="AGO47" s="1"/>
      <c r="AGP47" s="1"/>
      <c r="AGQ47" s="1"/>
      <c r="AGR47" s="1"/>
      <c r="AGS47" s="1"/>
      <c r="AGT47" s="1"/>
      <c r="AGU47" s="1"/>
      <c r="AGV47" s="1"/>
      <c r="AGW47" s="1"/>
      <c r="AGX47" s="1"/>
      <c r="AGY47" s="1"/>
      <c r="AGZ47" s="1"/>
      <c r="AHA47" s="1"/>
      <c r="AHB47" s="1"/>
      <c r="AHC47" s="1"/>
      <c r="AHD47" s="1"/>
      <c r="AHE47" s="1"/>
      <c r="AHF47" s="1"/>
      <c r="AHG47" s="1"/>
      <c r="AHH47" s="1"/>
      <c r="AHI47" s="1"/>
      <c r="AHJ47" s="1"/>
      <c r="AHK47" s="1"/>
      <c r="AHL47" s="1"/>
      <c r="AHM47" s="1"/>
      <c r="AHN47" s="1"/>
      <c r="AHO47" s="1"/>
      <c r="AHP47" s="1"/>
      <c r="AHQ47" s="1"/>
      <c r="AHR47" s="1"/>
      <c r="AHS47" s="1"/>
      <c r="AHT47" s="1"/>
      <c r="AHU47" s="1"/>
      <c r="AHV47" s="1"/>
      <c r="AHW47" s="1"/>
      <c r="AHX47" s="1"/>
      <c r="AHY47" s="1"/>
      <c r="AHZ47" s="1"/>
      <c r="AIA47" s="1"/>
      <c r="AIB47" s="1"/>
      <c r="AIC47" s="1"/>
      <c r="AID47" s="1"/>
      <c r="AIE47" s="1"/>
      <c r="AIF47" s="1"/>
      <c r="AIG47" s="1"/>
      <c r="AIH47" s="1"/>
      <c r="AII47" s="1"/>
      <c r="AIJ47" s="1"/>
      <c r="AIK47" s="1"/>
      <c r="AIL47" s="1"/>
      <c r="AIM47" s="1"/>
      <c r="AIN47" s="1"/>
      <c r="AIO47" s="1"/>
      <c r="AIP47" s="1"/>
      <c r="AIQ47" s="1"/>
      <c r="AIR47" s="1"/>
      <c r="AIS47" s="1"/>
      <c r="AIT47" s="1"/>
      <c r="AIU47" s="1"/>
      <c r="AIV47" s="1"/>
      <c r="AIW47" s="1"/>
      <c r="AIX47" s="1"/>
      <c r="AIY47" s="1"/>
      <c r="AIZ47" s="1"/>
      <c r="AJA47" s="1"/>
      <c r="AJB47" s="1"/>
      <c r="AJC47" s="1"/>
      <c r="AJD47" s="1"/>
      <c r="AJE47" s="1"/>
      <c r="AJF47" s="1"/>
      <c r="AJG47" s="1"/>
      <c r="AJH47" s="1"/>
      <c r="AJI47" s="1"/>
      <c r="AJJ47" s="1"/>
      <c r="AJK47" s="1"/>
      <c r="AJL47" s="1"/>
      <c r="AJM47" s="1"/>
      <c r="AJN47" s="1"/>
      <c r="AJO47" s="1"/>
      <c r="AJP47" s="1"/>
      <c r="AJQ47" s="1"/>
      <c r="AJR47" s="1"/>
      <c r="AJS47" s="1"/>
      <c r="AJT47" s="1"/>
      <c r="AJU47" s="1"/>
      <c r="AJV47" s="1"/>
      <c r="AJW47" s="1"/>
      <c r="AJX47" s="1"/>
      <c r="AJY47" s="1"/>
      <c r="AJZ47" s="1"/>
      <c r="AKA47" s="1"/>
      <c r="AKB47" s="1"/>
      <c r="AKC47" s="1"/>
      <c r="AKD47" s="1"/>
      <c r="AKE47" s="1"/>
      <c r="AKF47" s="1"/>
      <c r="AKG47" s="1"/>
      <c r="AKH47" s="1"/>
      <c r="AKI47" s="1"/>
      <c r="AKJ47" s="1"/>
      <c r="AKK47" s="1"/>
      <c r="AKL47" s="1"/>
      <c r="AKM47" s="1"/>
      <c r="AKN47" s="1"/>
      <c r="AKO47" s="1"/>
      <c r="AKP47" s="1"/>
      <c r="AKQ47" s="1"/>
      <c r="AKR47" s="1"/>
      <c r="AKS47" s="1"/>
      <c r="AKT47" s="1"/>
      <c r="AKU47" s="1"/>
      <c r="AKV47" s="1"/>
      <c r="AKW47" s="1"/>
      <c r="AKX47" s="1"/>
      <c r="AKY47" s="1"/>
      <c r="AKZ47" s="1"/>
      <c r="ALA47" s="1"/>
      <c r="ALB47" s="1"/>
      <c r="ALC47" s="1"/>
      <c r="ALD47" s="1"/>
      <c r="ALE47" s="1"/>
      <c r="ALF47" s="1"/>
      <c r="ALG47" s="1"/>
      <c r="ALH47" s="1"/>
      <c r="ALI47" s="1"/>
      <c r="ALJ47" s="1"/>
      <c r="ALK47" s="1"/>
      <c r="ALL47" s="1"/>
      <c r="ALM47" s="1"/>
      <c r="ALN47" s="1"/>
      <c r="ALO47" s="1"/>
      <c r="ALP47" s="1"/>
      <c r="ALQ47" s="1"/>
      <c r="ALR47" s="1"/>
      <c r="ALS47" s="1"/>
      <c r="ALT47" s="1"/>
      <c r="ALU47" s="1"/>
      <c r="ALV47" s="1"/>
      <c r="ALW47" s="1"/>
      <c r="ALX47" s="1"/>
      <c r="ALY47" s="1"/>
      <c r="ALZ47" s="1"/>
      <c r="AMA47" s="1"/>
      <c r="AMB47" s="1"/>
      <c r="AMC47" s="1"/>
      <c r="AMD47" s="1"/>
      <c r="AME47" s="1"/>
      <c r="AMF47" s="1"/>
      <c r="AMG47" s="1"/>
      <c r="AMH47" s="1"/>
      <c r="AMI47" s="1"/>
      <c r="AMJ47" s="1"/>
      <c r="AMK47" s="1"/>
      <c r="AML47" s="1"/>
      <c r="AMM47" s="1"/>
      <c r="AMN47" s="1"/>
      <c r="AMO47" s="1"/>
    </row>
    <row r="48" spans="1:1029" x14ac:dyDescent="0.2">
      <c r="A48" s="3" t="str">
        <f t="shared" si="195"/>
        <v>aa2ar_human_5UIG</v>
      </c>
      <c r="B48" s="3" t="s">
        <v>139</v>
      </c>
      <c r="C48" s="3" t="s">
        <v>1394</v>
      </c>
      <c r="D48" s="3" t="str">
        <f>IFERROR(MID(VLOOKUP($B48,Seqs!$A:$B,2,0),E48,1),"")</f>
        <v>M</v>
      </c>
      <c r="E48" s="3">
        <v>4</v>
      </c>
      <c r="F48" s="3" t="str">
        <f>IFERROR(MID(VLOOKUP($B48,Seqs!$A:$B,2,0),G48,1),"")</f>
        <v>N</v>
      </c>
      <c r="G48" s="3">
        <v>34</v>
      </c>
      <c r="H48" s="3" t="str">
        <f>IFERROR(MID(VLOOKUP($B48,Seqs!$A:$B,2,0),I48,1),"")</f>
        <v>S</v>
      </c>
      <c r="I48" s="23">
        <v>35</v>
      </c>
      <c r="J48" s="3" t="str">
        <f>IFERROR(MID(VLOOKUP($B48,Seqs!$A:$B,2,0),K48,1),"")</f>
        <v>Q</v>
      </c>
      <c r="K48" s="23">
        <v>38</v>
      </c>
      <c r="L48" s="3" t="str">
        <f>IFERROR(MID(VLOOKUP($B48,Seqs!$A:$B,2,0),M48,1),"")</f>
        <v>N</v>
      </c>
      <c r="M48" s="3">
        <v>39</v>
      </c>
      <c r="N48" s="3" t="str">
        <f>IFERROR(MID(VLOOKUP($B48,Seqs!$A:$B,2,0),O48,1),"")</f>
        <v>G</v>
      </c>
      <c r="O48" s="3">
        <v>69</v>
      </c>
      <c r="P48" s="3" t="str">
        <f>IFERROR(MID(VLOOKUP($B48,Seqs!$A:$B,2,0),Q48,1),"")</f>
        <v>F</v>
      </c>
      <c r="Q48" s="3">
        <v>70</v>
      </c>
      <c r="R48" s="3" t="str">
        <f>IFERROR(MID(VLOOKUP($B48,Seqs!$A:$B,2,0),S48,1),"")</f>
        <v>A</v>
      </c>
      <c r="S48" s="3">
        <v>72</v>
      </c>
      <c r="T48" s="3" t="str">
        <f>IFERROR(MID(VLOOKUP($B48,Seqs!$A:$B,2,0),U48,1),"")</f>
        <v>A</v>
      </c>
      <c r="U48" s="3">
        <v>73</v>
      </c>
      <c r="V48" s="3" t="str">
        <f>IFERROR(MID(VLOOKUP($B48,Seqs!$A:$B,2,0),W48,1),"")</f>
        <v>I</v>
      </c>
      <c r="W48" s="3">
        <v>108</v>
      </c>
      <c r="X48" s="3" t="str">
        <f>IFERROR(MID(VLOOKUP($B48,Seqs!$A:$B,2,0),Y48,1),"")</f>
        <v>P</v>
      </c>
      <c r="Y48" s="3">
        <v>109</v>
      </c>
      <c r="Z48" s="3" t="str">
        <f>IFERROR(MID(VLOOKUP($B48,Seqs!$A:$B,2,0),AA48,1),"")</f>
        <v>V</v>
      </c>
      <c r="AA48" s="3">
        <v>116</v>
      </c>
      <c r="AB48" s="3" t="str">
        <f>IFERROR(MID(VLOOKUP($B48,Seqs!$A:$B,2,0),AC48,1),"")</f>
        <v>T</v>
      </c>
      <c r="AC48" s="3">
        <v>117</v>
      </c>
      <c r="AD48" s="3" t="str">
        <f>IFERROR(MID(VLOOKUP($B48,Seqs!$A:$B,2,0),AE48,1),"")</f>
        <v>G</v>
      </c>
      <c r="AE48" s="3">
        <v>142</v>
      </c>
      <c r="AF48" s="3" t="str">
        <f>IFERROR(MID(VLOOKUP($B48,Seqs!$A:$B,2,0),AG48,1),"")</f>
        <v>C</v>
      </c>
      <c r="AG48" s="3">
        <v>166</v>
      </c>
      <c r="AH48" s="3" t="str">
        <f>IFERROR(MID(VLOOKUP($B48,Seqs!$A:$B,2,0),AI48,1),"")</f>
        <v>F</v>
      </c>
      <c r="AI48" s="3">
        <v>168</v>
      </c>
      <c r="AJ48" s="3" t="str">
        <f>IFERROR(MID(VLOOKUP($B48,Seqs!$A:$B,2,0),AK48,1),"")</f>
        <v>P</v>
      </c>
      <c r="AK48" s="3">
        <v>173</v>
      </c>
      <c r="AL48" s="3" t="str">
        <f>IFERROR(MID(VLOOKUP($B48,Seqs!$A:$B,2,0),AM48,1),"")</f>
        <v>L</v>
      </c>
      <c r="AM48" s="3">
        <v>208</v>
      </c>
      <c r="AN48" s="3" t="str">
        <f>IFERROR(MID(VLOOKUP($B48,Seqs!$A:$B,2,0),AO48,1),"")</f>
        <v>E</v>
      </c>
      <c r="AO48" s="3">
        <v>219</v>
      </c>
      <c r="AP48" s="3" t="str">
        <f>IFERROR(MID(VLOOKUP($B48,Seqs!$A:$B,2,0),AQ48,1),"")</f>
        <v>C</v>
      </c>
      <c r="AQ48" s="3">
        <v>259</v>
      </c>
      <c r="AR48" s="3" t="str">
        <f>IFERROR(MID(VLOOKUP($B48,Seqs!$A:$B,2,0),AS48,1),"")</f>
        <v>P</v>
      </c>
      <c r="AS48" s="3">
        <v>266</v>
      </c>
      <c r="AT48" s="3" t="str">
        <f>IFERROR(MID(VLOOKUP($B48,Seqs!$A:$B,2,0),AU48,1),"")</f>
        <v>R</v>
      </c>
      <c r="AU48" s="3">
        <v>291</v>
      </c>
      <c r="AV48" s="3" t="str">
        <f>IFERROR(MID(VLOOKUP($B48,Seqs!$A:$B,2,0),AW48,1),"")</f>
        <v>I</v>
      </c>
      <c r="AW48" s="3">
        <v>292</v>
      </c>
      <c r="AX48" s="3" t="str">
        <f>IFERROR(MID(VLOOKUP($B48,Seqs!$A:$B,2,0),AY48,1),"")</f>
        <v>Q</v>
      </c>
      <c r="AY48" s="3">
        <v>297</v>
      </c>
      <c r="AZ48" s="77" t="str">
        <f>VLOOKUP(B48,Classification!A:D,2,0)</f>
        <v>A</v>
      </c>
      <c r="BA48" s="94" t="str">
        <f>VLOOKUP(B48,Classification!A:D,4,0)</f>
        <v>Adenosine</v>
      </c>
      <c r="BB48" s="27" t="b">
        <f t="shared" si="196"/>
        <v>1</v>
      </c>
      <c r="BC48" s="23">
        <f t="shared" si="197"/>
        <v>251</v>
      </c>
      <c r="BD48" s="5" t="s">
        <v>23</v>
      </c>
      <c r="BE48" s="3" t="s">
        <v>1381</v>
      </c>
      <c r="BF48" s="119">
        <v>3.5</v>
      </c>
      <c r="BG48" s="49" t="s">
        <v>1384</v>
      </c>
      <c r="BH48" s="49" t="s">
        <v>1384</v>
      </c>
      <c r="BI48" s="1"/>
      <c r="BJ48" s="70" t="s">
        <v>1293</v>
      </c>
      <c r="BK48" s="57" t="s">
        <v>1293</v>
      </c>
      <c r="BL48" s="57" t="s">
        <v>1293</v>
      </c>
      <c r="BM48" s="57" t="s">
        <v>1293</v>
      </c>
      <c r="BN48" s="57" t="s">
        <v>1293</v>
      </c>
      <c r="BO48" s="57" t="s">
        <v>1293</v>
      </c>
      <c r="BP48" s="57" t="s">
        <v>1293</v>
      </c>
      <c r="BQ48" s="57" t="s">
        <v>1293</v>
      </c>
      <c r="BR48" s="57" t="s">
        <v>1293</v>
      </c>
      <c r="BS48" s="57" t="s">
        <v>1293</v>
      </c>
      <c r="BT48" s="57" t="s">
        <v>1293</v>
      </c>
      <c r="BU48" s="57" t="s">
        <v>1293</v>
      </c>
      <c r="BV48" s="70">
        <f t="shared" si="198"/>
        <v>4</v>
      </c>
      <c r="BW48" s="71">
        <f t="shared" si="199"/>
        <v>35</v>
      </c>
      <c r="BX48" s="72">
        <f t="shared" si="200"/>
        <v>39</v>
      </c>
      <c r="BY48" s="71">
        <f t="shared" si="201"/>
        <v>70</v>
      </c>
      <c r="BZ48" s="72">
        <f t="shared" si="202"/>
        <v>73</v>
      </c>
      <c r="CA48" s="71">
        <f t="shared" si="203"/>
        <v>109</v>
      </c>
      <c r="CB48" s="72">
        <f t="shared" si="204"/>
        <v>117</v>
      </c>
      <c r="CC48" s="71">
        <f t="shared" si="205"/>
        <v>166</v>
      </c>
      <c r="CD48" s="72">
        <f t="shared" si="206"/>
        <v>173</v>
      </c>
      <c r="CE48" s="71">
        <f t="shared" si="207"/>
        <v>219</v>
      </c>
      <c r="CF48" s="72">
        <f t="shared" si="208"/>
        <v>266</v>
      </c>
      <c r="CG48" s="71">
        <f t="shared" si="209"/>
        <v>292</v>
      </c>
      <c r="CH48" s="70">
        <f t="shared" si="210"/>
        <v>34</v>
      </c>
      <c r="CI48" s="71">
        <f t="shared" si="211"/>
        <v>38</v>
      </c>
      <c r="CJ48" s="72">
        <f t="shared" si="212"/>
        <v>69</v>
      </c>
      <c r="CK48" s="72">
        <f t="shared" si="213"/>
        <v>72</v>
      </c>
      <c r="CL48" s="72">
        <f t="shared" si="214"/>
        <v>108</v>
      </c>
      <c r="CM48" s="72">
        <f t="shared" si="215"/>
        <v>116</v>
      </c>
      <c r="CN48" s="72">
        <f t="shared" si="216"/>
        <v>142</v>
      </c>
      <c r="CO48" s="72">
        <f t="shared" si="217"/>
        <v>168</v>
      </c>
      <c r="CP48" s="72">
        <f t="shared" si="218"/>
        <v>208</v>
      </c>
      <c r="CQ48" s="72">
        <f t="shared" si="219"/>
        <v>259</v>
      </c>
      <c r="CR48" s="72">
        <f t="shared" si="220"/>
        <v>291</v>
      </c>
      <c r="CS48" s="72">
        <f t="shared" si="221"/>
        <v>297</v>
      </c>
      <c r="CT48" s="23">
        <f t="shared" si="222"/>
        <v>1</v>
      </c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  <c r="OU48" s="1"/>
      <c r="OV48" s="1"/>
      <c r="OW48" s="1"/>
      <c r="OX48" s="1"/>
      <c r="OY48" s="1"/>
      <c r="OZ48" s="1"/>
      <c r="PA48" s="1"/>
      <c r="PB48" s="1"/>
      <c r="PC48" s="1"/>
      <c r="PD48" s="1"/>
      <c r="PE48" s="1"/>
      <c r="PF48" s="1"/>
      <c r="PG48" s="1"/>
      <c r="PH48" s="1"/>
      <c r="PI48" s="1"/>
      <c r="PJ48" s="1"/>
      <c r="PK48" s="1"/>
      <c r="PL48" s="1"/>
      <c r="PM48" s="1"/>
      <c r="PN48" s="1"/>
      <c r="PO48" s="1"/>
      <c r="PP48" s="1"/>
      <c r="PQ48" s="1"/>
      <c r="PR48" s="1"/>
      <c r="PS48" s="1"/>
      <c r="PT48" s="1"/>
      <c r="PU48" s="1"/>
      <c r="PV48" s="1"/>
      <c r="PW48" s="1"/>
      <c r="PX48" s="1"/>
      <c r="PY48" s="1"/>
      <c r="PZ48" s="1"/>
      <c r="QA48" s="1"/>
      <c r="QB48" s="1"/>
      <c r="QC48" s="1"/>
      <c r="QD48" s="1"/>
      <c r="QE48" s="1"/>
      <c r="QF48" s="1"/>
      <c r="QG48" s="1"/>
      <c r="QH48" s="1"/>
      <c r="QI48" s="1"/>
      <c r="QJ48" s="1"/>
      <c r="QK48" s="1"/>
      <c r="QL48" s="1"/>
      <c r="QM48" s="1"/>
      <c r="QN48" s="1"/>
      <c r="QO48" s="1"/>
      <c r="QP48" s="1"/>
      <c r="QQ48" s="1"/>
      <c r="QR48" s="1"/>
      <c r="QS48" s="1"/>
      <c r="QT48" s="1"/>
      <c r="QU48" s="1"/>
      <c r="QV48" s="1"/>
      <c r="QW48" s="1"/>
      <c r="QX48" s="1"/>
      <c r="QY48" s="1"/>
      <c r="QZ48" s="1"/>
      <c r="RA48" s="1"/>
      <c r="RB48" s="1"/>
      <c r="RC48" s="1"/>
      <c r="RD48" s="1"/>
      <c r="RE48" s="1"/>
      <c r="RF48" s="1"/>
      <c r="RG48" s="1"/>
      <c r="RH48" s="1"/>
      <c r="RI48" s="1"/>
      <c r="RJ48" s="1"/>
      <c r="RK48" s="1"/>
      <c r="RL48" s="1"/>
      <c r="RM48" s="1"/>
      <c r="RN48" s="1"/>
      <c r="RO48" s="1"/>
      <c r="RP48" s="1"/>
      <c r="RQ48" s="1"/>
      <c r="RR48" s="1"/>
      <c r="RS48" s="1"/>
      <c r="RT48" s="1"/>
      <c r="RU48" s="1"/>
      <c r="RV48" s="1"/>
      <c r="RW48" s="1"/>
      <c r="RX48" s="1"/>
      <c r="RY48" s="1"/>
      <c r="RZ48" s="1"/>
      <c r="SA48" s="1"/>
      <c r="SB48" s="1"/>
      <c r="SC48" s="1"/>
      <c r="SD48" s="1"/>
      <c r="SE48" s="1"/>
      <c r="SF48" s="1"/>
      <c r="SG48" s="1"/>
      <c r="SH48" s="1"/>
      <c r="SI48" s="1"/>
      <c r="SJ48" s="1"/>
      <c r="SK48" s="1"/>
      <c r="SL48" s="1"/>
      <c r="SM48" s="1"/>
      <c r="SN48" s="1"/>
      <c r="SO48" s="1"/>
      <c r="SP48" s="1"/>
      <c r="SQ48" s="1"/>
      <c r="SR48" s="1"/>
      <c r="SS48" s="1"/>
      <c r="ST48" s="1"/>
      <c r="SU48" s="1"/>
      <c r="SV48" s="1"/>
      <c r="SW48" s="1"/>
      <c r="SX48" s="1"/>
      <c r="SY48" s="1"/>
      <c r="SZ48" s="1"/>
      <c r="TA48" s="1"/>
      <c r="TB48" s="1"/>
      <c r="TC48" s="1"/>
      <c r="TD48" s="1"/>
      <c r="TE48" s="1"/>
      <c r="TF48" s="1"/>
      <c r="TG48" s="1"/>
      <c r="TH48" s="1"/>
      <c r="TI48" s="1"/>
      <c r="TJ48" s="1"/>
      <c r="TK48" s="1"/>
      <c r="TL48" s="1"/>
      <c r="TM48" s="1"/>
      <c r="TN48" s="1"/>
      <c r="TO48" s="1"/>
      <c r="TP48" s="1"/>
      <c r="TQ48" s="1"/>
      <c r="TR48" s="1"/>
      <c r="TS48" s="1"/>
      <c r="TT48" s="1"/>
      <c r="TU48" s="1"/>
      <c r="TV48" s="1"/>
      <c r="TW48" s="1"/>
      <c r="TX48" s="1"/>
      <c r="TY48" s="1"/>
      <c r="TZ48" s="1"/>
      <c r="UA48" s="1"/>
      <c r="UB48" s="1"/>
      <c r="UC48" s="1"/>
      <c r="UD48" s="1"/>
      <c r="UE48" s="1"/>
      <c r="UF48" s="1"/>
      <c r="UG48" s="1"/>
      <c r="UH48" s="1"/>
      <c r="UI48" s="1"/>
      <c r="UJ48" s="1"/>
      <c r="UK48" s="1"/>
      <c r="UL48" s="1"/>
      <c r="UM48" s="1"/>
      <c r="UN48" s="1"/>
      <c r="UO48" s="1"/>
      <c r="UP48" s="1"/>
      <c r="UQ48" s="1"/>
      <c r="UR48" s="1"/>
      <c r="US48" s="1"/>
      <c r="UT48" s="1"/>
      <c r="UU48" s="1"/>
      <c r="UV48" s="1"/>
      <c r="UW48" s="1"/>
      <c r="UX48" s="1"/>
      <c r="UY48" s="1"/>
      <c r="UZ48" s="1"/>
      <c r="VA48" s="1"/>
      <c r="VB48" s="1"/>
      <c r="VC48" s="1"/>
      <c r="VD48" s="1"/>
      <c r="VE48" s="1"/>
      <c r="VF48" s="1"/>
      <c r="VG48" s="1"/>
      <c r="VH48" s="1"/>
      <c r="VI48" s="1"/>
      <c r="VJ48" s="1"/>
      <c r="VK48" s="1"/>
      <c r="VL48" s="1"/>
      <c r="VM48" s="1"/>
      <c r="VN48" s="1"/>
      <c r="VO48" s="1"/>
      <c r="VP48" s="1"/>
      <c r="VQ48" s="1"/>
      <c r="VR48" s="1"/>
      <c r="VS48" s="1"/>
      <c r="VT48" s="1"/>
      <c r="VU48" s="1"/>
      <c r="VV48" s="1"/>
      <c r="VW48" s="1"/>
      <c r="VX48" s="1"/>
      <c r="VY48" s="1"/>
      <c r="VZ48" s="1"/>
      <c r="WA48" s="1"/>
      <c r="WB48" s="1"/>
      <c r="WC48" s="1"/>
      <c r="WD48" s="1"/>
      <c r="WE48" s="1"/>
      <c r="WF48" s="1"/>
      <c r="WG48" s="1"/>
      <c r="WH48" s="1"/>
      <c r="WI48" s="1"/>
      <c r="WJ48" s="1"/>
      <c r="WK48" s="1"/>
      <c r="WL48" s="1"/>
      <c r="WM48" s="1"/>
      <c r="WN48" s="1"/>
      <c r="WO48" s="1"/>
      <c r="WP48" s="1"/>
      <c r="WQ48" s="1"/>
      <c r="WR48" s="1"/>
      <c r="WS48" s="1"/>
      <c r="WT48" s="1"/>
      <c r="WU48" s="1"/>
      <c r="WV48" s="1"/>
      <c r="WW48" s="1"/>
      <c r="WX48" s="1"/>
      <c r="WY48" s="1"/>
      <c r="WZ48" s="1"/>
      <c r="XA48" s="1"/>
      <c r="XB48" s="1"/>
      <c r="XC48" s="1"/>
      <c r="XD48" s="1"/>
      <c r="XE48" s="1"/>
      <c r="XF48" s="1"/>
      <c r="XG48" s="1"/>
      <c r="XH48" s="1"/>
      <c r="XI48" s="1"/>
      <c r="XJ48" s="1"/>
      <c r="XK48" s="1"/>
      <c r="XL48" s="1"/>
      <c r="XM48" s="1"/>
      <c r="XN48" s="1"/>
      <c r="XO48" s="1"/>
      <c r="XP48" s="1"/>
      <c r="XQ48" s="1"/>
      <c r="XR48" s="1"/>
      <c r="XS48" s="1"/>
      <c r="XT48" s="1"/>
      <c r="XU48" s="1"/>
      <c r="XV48" s="1"/>
      <c r="XW48" s="1"/>
      <c r="XX48" s="1"/>
      <c r="XY48" s="1"/>
      <c r="XZ48" s="1"/>
      <c r="YA48" s="1"/>
      <c r="YB48" s="1"/>
      <c r="YC48" s="1"/>
      <c r="YD48" s="1"/>
      <c r="YE48" s="1"/>
      <c r="YF48" s="1"/>
      <c r="YG48" s="1"/>
      <c r="YH48" s="1"/>
      <c r="YI48" s="1"/>
      <c r="YJ48" s="1"/>
      <c r="YK48" s="1"/>
      <c r="YL48" s="1"/>
      <c r="YM48" s="1"/>
      <c r="YN48" s="1"/>
      <c r="YO48" s="1"/>
      <c r="YP48" s="1"/>
      <c r="YQ48" s="1"/>
      <c r="YR48" s="1"/>
      <c r="YS48" s="1"/>
      <c r="YT48" s="1"/>
      <c r="YU48" s="1"/>
      <c r="YV48" s="1"/>
      <c r="YW48" s="1"/>
      <c r="YX48" s="1"/>
      <c r="YY48" s="1"/>
      <c r="YZ48" s="1"/>
      <c r="ZA48" s="1"/>
      <c r="ZB48" s="1"/>
      <c r="ZC48" s="1"/>
      <c r="ZD48" s="1"/>
      <c r="ZE48" s="1"/>
      <c r="ZF48" s="1"/>
      <c r="ZG48" s="1"/>
      <c r="ZH48" s="1"/>
      <c r="ZI48" s="1"/>
      <c r="ZJ48" s="1"/>
      <c r="ZK48" s="1"/>
      <c r="ZL48" s="1"/>
      <c r="ZM48" s="1"/>
      <c r="ZN48" s="1"/>
      <c r="ZO48" s="1"/>
      <c r="ZP48" s="1"/>
      <c r="ZQ48" s="1"/>
      <c r="ZR48" s="1"/>
      <c r="ZS48" s="1"/>
      <c r="ZT48" s="1"/>
      <c r="ZU48" s="1"/>
      <c r="ZV48" s="1"/>
      <c r="ZW48" s="1"/>
      <c r="ZX48" s="1"/>
      <c r="ZY48" s="1"/>
      <c r="ZZ48" s="1"/>
      <c r="AAA48" s="1"/>
      <c r="AAB48" s="1"/>
      <c r="AAC48" s="1"/>
      <c r="AAD48" s="1"/>
      <c r="AAE48" s="1"/>
      <c r="AAF48" s="1"/>
      <c r="AAG48" s="1"/>
      <c r="AAH48" s="1"/>
      <c r="AAI48" s="1"/>
      <c r="AAJ48" s="1"/>
      <c r="AAK48" s="1"/>
      <c r="AAL48" s="1"/>
      <c r="AAM48" s="1"/>
      <c r="AAN48" s="1"/>
      <c r="AAO48" s="1"/>
      <c r="AAP48" s="1"/>
      <c r="AAQ48" s="1"/>
      <c r="AAR48" s="1"/>
      <c r="AAS48" s="1"/>
      <c r="AAT48" s="1"/>
      <c r="AAU48" s="1"/>
      <c r="AAV48" s="1"/>
      <c r="AAW48" s="1"/>
      <c r="AAX48" s="1"/>
      <c r="AAY48" s="1"/>
      <c r="AAZ48" s="1"/>
      <c r="ABA48" s="1"/>
      <c r="ABB48" s="1"/>
      <c r="ABC48" s="1"/>
      <c r="ABD48" s="1"/>
      <c r="ABE48" s="1"/>
      <c r="ABF48" s="1"/>
      <c r="ABG48" s="1"/>
      <c r="ABH48" s="1"/>
      <c r="ABI48" s="1"/>
      <c r="ABJ48" s="1"/>
      <c r="ABK48" s="1"/>
      <c r="ABL48" s="1"/>
      <c r="ABM48" s="1"/>
      <c r="ABN48" s="1"/>
      <c r="ABO48" s="1"/>
      <c r="ABP48" s="1"/>
      <c r="ABQ48" s="1"/>
      <c r="ABR48" s="1"/>
      <c r="ABS48" s="1"/>
      <c r="ABT48" s="1"/>
      <c r="ABU48" s="1"/>
      <c r="ABV48" s="1"/>
      <c r="ABW48" s="1"/>
      <c r="ABX48" s="1"/>
      <c r="ABY48" s="1"/>
      <c r="ABZ48" s="1"/>
      <c r="ACA48" s="1"/>
      <c r="ACB48" s="1"/>
      <c r="ACC48" s="1"/>
      <c r="ACD48" s="1"/>
      <c r="ACE48" s="1"/>
      <c r="ACF48" s="1"/>
      <c r="ACG48" s="1"/>
      <c r="ACH48" s="1"/>
      <c r="ACI48" s="1"/>
      <c r="ACJ48" s="1"/>
      <c r="ACK48" s="1"/>
      <c r="ACL48" s="1"/>
      <c r="ACM48" s="1"/>
      <c r="ACN48" s="1"/>
      <c r="ACO48" s="1"/>
      <c r="ACP48" s="1"/>
      <c r="ACQ48" s="1"/>
      <c r="ACR48" s="1"/>
      <c r="ACS48" s="1"/>
      <c r="ACT48" s="1"/>
      <c r="ACU48" s="1"/>
      <c r="ACV48" s="1"/>
      <c r="ACW48" s="1"/>
      <c r="ACX48" s="1"/>
      <c r="ACY48" s="1"/>
      <c r="ACZ48" s="1"/>
      <c r="ADA48" s="1"/>
      <c r="ADB48" s="1"/>
      <c r="ADC48" s="1"/>
      <c r="ADD48" s="1"/>
      <c r="ADE48" s="1"/>
      <c r="ADF48" s="1"/>
      <c r="ADG48" s="1"/>
      <c r="ADH48" s="1"/>
      <c r="ADI48" s="1"/>
      <c r="ADJ48" s="1"/>
      <c r="ADK48" s="1"/>
      <c r="ADL48" s="1"/>
      <c r="ADM48" s="1"/>
      <c r="ADN48" s="1"/>
      <c r="ADO48" s="1"/>
      <c r="ADP48" s="1"/>
      <c r="ADQ48" s="1"/>
      <c r="ADR48" s="1"/>
      <c r="ADS48" s="1"/>
      <c r="ADT48" s="1"/>
      <c r="ADU48" s="1"/>
      <c r="ADV48" s="1"/>
      <c r="ADW48" s="1"/>
      <c r="ADX48" s="1"/>
      <c r="ADY48" s="1"/>
      <c r="ADZ48" s="1"/>
      <c r="AEA48" s="1"/>
      <c r="AEB48" s="1"/>
      <c r="AEC48" s="1"/>
      <c r="AED48" s="1"/>
      <c r="AEE48" s="1"/>
      <c r="AEF48" s="1"/>
      <c r="AEG48" s="1"/>
      <c r="AEH48" s="1"/>
      <c r="AEI48" s="1"/>
      <c r="AEJ48" s="1"/>
      <c r="AEK48" s="1"/>
      <c r="AEL48" s="1"/>
      <c r="AEM48" s="1"/>
      <c r="AEN48" s="1"/>
      <c r="AEO48" s="1"/>
      <c r="AEP48" s="1"/>
      <c r="AEQ48" s="1"/>
      <c r="AER48" s="1"/>
      <c r="AES48" s="1"/>
      <c r="AET48" s="1"/>
      <c r="AEU48" s="1"/>
      <c r="AEV48" s="1"/>
      <c r="AEW48" s="1"/>
      <c r="AEX48" s="1"/>
      <c r="AEY48" s="1"/>
      <c r="AEZ48" s="1"/>
      <c r="AFA48" s="1"/>
      <c r="AFB48" s="1"/>
      <c r="AFC48" s="1"/>
      <c r="AFD48" s="1"/>
      <c r="AFE48" s="1"/>
      <c r="AFF48" s="1"/>
      <c r="AFG48" s="1"/>
      <c r="AFH48" s="1"/>
      <c r="AFI48" s="1"/>
      <c r="AFJ48" s="1"/>
      <c r="AFK48" s="1"/>
      <c r="AFL48" s="1"/>
      <c r="AFM48" s="1"/>
      <c r="AFN48" s="1"/>
      <c r="AFO48" s="1"/>
      <c r="AFP48" s="1"/>
      <c r="AFQ48" s="1"/>
      <c r="AFR48" s="1"/>
      <c r="AFS48" s="1"/>
      <c r="AFT48" s="1"/>
      <c r="AFU48" s="1"/>
      <c r="AFV48" s="1"/>
      <c r="AFW48" s="1"/>
      <c r="AFX48" s="1"/>
      <c r="AFY48" s="1"/>
      <c r="AFZ48" s="1"/>
      <c r="AGA48" s="1"/>
      <c r="AGB48" s="1"/>
      <c r="AGC48" s="1"/>
      <c r="AGD48" s="1"/>
      <c r="AGE48" s="1"/>
      <c r="AGF48" s="1"/>
      <c r="AGG48" s="1"/>
      <c r="AGH48" s="1"/>
      <c r="AGI48" s="1"/>
      <c r="AGJ48" s="1"/>
      <c r="AGK48" s="1"/>
      <c r="AGL48" s="1"/>
      <c r="AGM48" s="1"/>
      <c r="AGN48" s="1"/>
      <c r="AGO48" s="1"/>
      <c r="AGP48" s="1"/>
      <c r="AGQ48" s="1"/>
      <c r="AGR48" s="1"/>
      <c r="AGS48" s="1"/>
      <c r="AGT48" s="1"/>
      <c r="AGU48" s="1"/>
      <c r="AGV48" s="1"/>
      <c r="AGW48" s="1"/>
      <c r="AGX48" s="1"/>
      <c r="AGY48" s="1"/>
      <c r="AGZ48" s="1"/>
      <c r="AHA48" s="1"/>
      <c r="AHB48" s="1"/>
      <c r="AHC48" s="1"/>
      <c r="AHD48" s="1"/>
      <c r="AHE48" s="1"/>
      <c r="AHF48" s="1"/>
      <c r="AHG48" s="1"/>
      <c r="AHH48" s="1"/>
      <c r="AHI48" s="1"/>
      <c r="AHJ48" s="1"/>
      <c r="AHK48" s="1"/>
      <c r="AHL48" s="1"/>
      <c r="AHM48" s="1"/>
      <c r="AHN48" s="1"/>
      <c r="AHO48" s="1"/>
      <c r="AHP48" s="1"/>
      <c r="AHQ48" s="1"/>
      <c r="AHR48" s="1"/>
      <c r="AHS48" s="1"/>
      <c r="AHT48" s="1"/>
      <c r="AHU48" s="1"/>
      <c r="AHV48" s="1"/>
      <c r="AHW48" s="1"/>
      <c r="AHX48" s="1"/>
      <c r="AHY48" s="1"/>
      <c r="AHZ48" s="1"/>
      <c r="AIA48" s="1"/>
      <c r="AIB48" s="1"/>
      <c r="AIC48" s="1"/>
      <c r="AID48" s="1"/>
      <c r="AIE48" s="1"/>
      <c r="AIF48" s="1"/>
      <c r="AIG48" s="1"/>
      <c r="AIH48" s="1"/>
      <c r="AII48" s="1"/>
      <c r="AIJ48" s="1"/>
      <c r="AIK48" s="1"/>
      <c r="AIL48" s="1"/>
      <c r="AIM48" s="1"/>
      <c r="AIN48" s="1"/>
      <c r="AIO48" s="1"/>
      <c r="AIP48" s="1"/>
      <c r="AIQ48" s="1"/>
      <c r="AIR48" s="1"/>
      <c r="AIS48" s="1"/>
      <c r="AIT48" s="1"/>
      <c r="AIU48" s="1"/>
      <c r="AIV48" s="1"/>
      <c r="AIW48" s="1"/>
      <c r="AIX48" s="1"/>
      <c r="AIY48" s="1"/>
      <c r="AIZ48" s="1"/>
      <c r="AJA48" s="1"/>
      <c r="AJB48" s="1"/>
      <c r="AJC48" s="1"/>
      <c r="AJD48" s="1"/>
      <c r="AJE48" s="1"/>
      <c r="AJF48" s="1"/>
      <c r="AJG48" s="1"/>
      <c r="AJH48" s="1"/>
      <c r="AJI48" s="1"/>
      <c r="AJJ48" s="1"/>
      <c r="AJK48" s="1"/>
      <c r="AJL48" s="1"/>
      <c r="AJM48" s="1"/>
      <c r="AJN48" s="1"/>
      <c r="AJO48" s="1"/>
      <c r="AJP48" s="1"/>
      <c r="AJQ48" s="1"/>
      <c r="AJR48" s="1"/>
      <c r="AJS48" s="1"/>
      <c r="AJT48" s="1"/>
      <c r="AJU48" s="1"/>
      <c r="AJV48" s="1"/>
      <c r="AJW48" s="1"/>
      <c r="AJX48" s="1"/>
      <c r="AJY48" s="1"/>
      <c r="AJZ48" s="1"/>
      <c r="AKA48" s="1"/>
      <c r="AKB48" s="1"/>
      <c r="AKC48" s="1"/>
      <c r="AKD48" s="1"/>
      <c r="AKE48" s="1"/>
      <c r="AKF48" s="1"/>
      <c r="AKG48" s="1"/>
      <c r="AKH48" s="1"/>
      <c r="AKI48" s="1"/>
      <c r="AKJ48" s="1"/>
      <c r="AKK48" s="1"/>
      <c r="AKL48" s="1"/>
      <c r="AKM48" s="1"/>
      <c r="AKN48" s="1"/>
      <c r="AKO48" s="1"/>
      <c r="AKP48" s="1"/>
      <c r="AKQ48" s="1"/>
      <c r="AKR48" s="1"/>
      <c r="AKS48" s="1"/>
      <c r="AKT48" s="1"/>
      <c r="AKU48" s="1"/>
      <c r="AKV48" s="1"/>
      <c r="AKW48" s="1"/>
      <c r="AKX48" s="1"/>
      <c r="AKY48" s="1"/>
      <c r="AKZ48" s="1"/>
      <c r="ALA48" s="1"/>
      <c r="ALB48" s="1"/>
      <c r="ALC48" s="1"/>
      <c r="ALD48" s="1"/>
      <c r="ALE48" s="1"/>
      <c r="ALF48" s="1"/>
      <c r="ALG48" s="1"/>
      <c r="ALH48" s="1"/>
      <c r="ALI48" s="1"/>
      <c r="ALJ48" s="1"/>
      <c r="ALK48" s="1"/>
      <c r="ALL48" s="1"/>
      <c r="ALM48" s="1"/>
      <c r="ALN48" s="1"/>
      <c r="ALO48" s="1"/>
      <c r="ALP48" s="1"/>
      <c r="ALQ48" s="1"/>
      <c r="ALR48" s="1"/>
      <c r="ALS48" s="1"/>
      <c r="ALT48" s="1"/>
      <c r="ALU48" s="1"/>
      <c r="ALV48" s="1"/>
      <c r="ALW48" s="1"/>
      <c r="ALX48" s="1"/>
      <c r="ALY48" s="1"/>
      <c r="ALZ48" s="1"/>
      <c r="AMA48" s="1"/>
      <c r="AMB48" s="1"/>
      <c r="AMC48" s="1"/>
      <c r="AMD48" s="1"/>
      <c r="AME48" s="1"/>
      <c r="AMF48" s="1"/>
      <c r="AMG48" s="1"/>
      <c r="AMH48" s="1"/>
      <c r="AMI48" s="1"/>
      <c r="AMJ48" s="1"/>
      <c r="AMK48" s="1"/>
      <c r="AML48" s="1"/>
      <c r="AMM48" s="1"/>
      <c r="AMN48" s="1"/>
      <c r="AMO48" s="1"/>
    </row>
    <row r="49" spans="1:1029" x14ac:dyDescent="0.2">
      <c r="A49" s="3" t="str">
        <f t="shared" si="195"/>
        <v>aa2ar_human_5UVI</v>
      </c>
      <c r="B49" s="3" t="s">
        <v>139</v>
      </c>
      <c r="C49" s="3" t="s">
        <v>1421</v>
      </c>
      <c r="D49" s="3" t="str">
        <f>IFERROR(MID(VLOOKUP($B49,Seqs!$A:$B,2,0),E49,1),"")</f>
        <v>M</v>
      </c>
      <c r="E49" s="3">
        <v>1</v>
      </c>
      <c r="F49" s="3" t="str">
        <f>IFERROR(MID(VLOOKUP($B49,Seqs!$A:$B,2,0),G49,1),"")</f>
        <v>N</v>
      </c>
      <c r="G49" s="3">
        <v>34</v>
      </c>
      <c r="H49" s="3" t="str">
        <f>IFERROR(MID(VLOOKUP($B49,Seqs!$A:$B,2,0),I49,1),"")</f>
        <v>S</v>
      </c>
      <c r="I49" s="23">
        <v>35</v>
      </c>
      <c r="J49" s="3" t="str">
        <f>IFERROR(MID(VLOOKUP($B49,Seqs!$A:$B,2,0),K49,1),"")</f>
        <v>Q</v>
      </c>
      <c r="K49" s="23">
        <v>38</v>
      </c>
      <c r="L49" s="3" t="str">
        <f>IFERROR(MID(VLOOKUP($B49,Seqs!$A:$B,2,0),M49,1),"")</f>
        <v>N</v>
      </c>
      <c r="M49" s="3">
        <v>39</v>
      </c>
      <c r="N49" s="3" t="str">
        <f>IFERROR(MID(VLOOKUP($B49,Seqs!$A:$B,2,0),O49,1),"")</f>
        <v>G</v>
      </c>
      <c r="O49" s="3">
        <v>69</v>
      </c>
      <c r="P49" s="3" t="str">
        <f>IFERROR(MID(VLOOKUP($B49,Seqs!$A:$B,2,0),Q49,1),"")</f>
        <v>F</v>
      </c>
      <c r="Q49" s="3">
        <v>70</v>
      </c>
      <c r="R49" s="3" t="str">
        <f>IFERROR(MID(VLOOKUP($B49,Seqs!$A:$B,2,0),S49,1),"")</f>
        <v>A</v>
      </c>
      <c r="S49" s="3">
        <v>72</v>
      </c>
      <c r="T49" s="3" t="str">
        <f>IFERROR(MID(VLOOKUP($B49,Seqs!$A:$B,2,0),U49,1),"")</f>
        <v>A</v>
      </c>
      <c r="U49" s="3">
        <v>73</v>
      </c>
      <c r="V49" s="3" t="str">
        <f>IFERROR(MID(VLOOKUP($B49,Seqs!$A:$B,2,0),W49,1),"")</f>
        <v>I</v>
      </c>
      <c r="W49" s="3">
        <v>108</v>
      </c>
      <c r="X49" s="3" t="str">
        <f>IFERROR(MID(VLOOKUP($B49,Seqs!$A:$B,2,0),Y49,1),"")</f>
        <v>P</v>
      </c>
      <c r="Y49" s="3">
        <v>109</v>
      </c>
      <c r="Z49" s="3" t="str">
        <f>IFERROR(MID(VLOOKUP($B49,Seqs!$A:$B,2,0),AA49,1),"")</f>
        <v>V</v>
      </c>
      <c r="AA49" s="3">
        <v>116</v>
      </c>
      <c r="AB49" s="3" t="str">
        <f>IFERROR(MID(VLOOKUP($B49,Seqs!$A:$B,2,0),AC49,1),"")</f>
        <v>T</v>
      </c>
      <c r="AC49" s="3">
        <v>117</v>
      </c>
      <c r="AD49" s="3" t="str">
        <f>IFERROR(MID(VLOOKUP($B49,Seqs!$A:$B,2,0),AE49,1),"")</f>
        <v>G</v>
      </c>
      <c r="AE49" s="3">
        <v>142</v>
      </c>
      <c r="AF49" s="3" t="str">
        <f>IFERROR(MID(VLOOKUP($B49,Seqs!$A:$B,2,0),AG49,1),"")</f>
        <v>C</v>
      </c>
      <c r="AG49" s="3">
        <v>166</v>
      </c>
      <c r="AH49" s="3" t="str">
        <f>IFERROR(MID(VLOOKUP($B49,Seqs!$A:$B,2,0),AI49,1),"")</f>
        <v>F</v>
      </c>
      <c r="AI49" s="3">
        <v>168</v>
      </c>
      <c r="AJ49" s="3" t="str">
        <f>IFERROR(MID(VLOOKUP($B49,Seqs!$A:$B,2,0),AK49,1),"")</f>
        <v>P</v>
      </c>
      <c r="AK49" s="3">
        <v>173</v>
      </c>
      <c r="AL49" s="3" t="str">
        <f>IFERROR(MID(VLOOKUP($B49,Seqs!$A:$B,2,0),AM49,1),"")</f>
        <v>L</v>
      </c>
      <c r="AM49" s="3">
        <v>208</v>
      </c>
      <c r="AN49" s="3" t="str">
        <f>IFERROR(MID(VLOOKUP($B49,Seqs!$A:$B,2,0),AO49,1),"")</f>
        <v>E</v>
      </c>
      <c r="AO49" s="3">
        <v>219</v>
      </c>
      <c r="AP49" s="3" t="str">
        <f>IFERROR(MID(VLOOKUP($B49,Seqs!$A:$B,2,0),AQ49,1),"")</f>
        <v>C</v>
      </c>
      <c r="AQ49" s="3">
        <v>259</v>
      </c>
      <c r="AR49" s="3" t="str">
        <f>IFERROR(MID(VLOOKUP($B49,Seqs!$A:$B,2,0),AS49,1),"")</f>
        <v>P</v>
      </c>
      <c r="AS49" s="3">
        <v>266</v>
      </c>
      <c r="AT49" s="3" t="str">
        <f>IFERROR(MID(VLOOKUP($B49,Seqs!$A:$B,2,0),AU49,1),"")</f>
        <v>R</v>
      </c>
      <c r="AU49" s="3">
        <v>291</v>
      </c>
      <c r="AV49" s="3" t="str">
        <f>IFERROR(MID(VLOOKUP($B49,Seqs!$A:$B,2,0),AW49,1),"")</f>
        <v>I</v>
      </c>
      <c r="AW49" s="3">
        <v>292</v>
      </c>
      <c r="AX49" s="3" t="str">
        <f>IFERROR(MID(VLOOKUP($B49,Seqs!$A:$B,2,0),AY49,1),"")</f>
        <v>H</v>
      </c>
      <c r="AY49" s="3">
        <v>306</v>
      </c>
      <c r="AZ49" s="77" t="str">
        <f>VLOOKUP(B49,Classification!A:D,2,0)</f>
        <v>A</v>
      </c>
      <c r="BA49" s="94" t="str">
        <f>VLOOKUP(B49,Classification!A:D,4,0)</f>
        <v>Adenosine</v>
      </c>
      <c r="BB49" s="27" t="b">
        <f t="shared" si="196"/>
        <v>1</v>
      </c>
      <c r="BC49" s="23">
        <f t="shared" si="197"/>
        <v>263</v>
      </c>
      <c r="BD49" s="5" t="s">
        <v>23</v>
      </c>
      <c r="BE49" s="3" t="s">
        <v>1381</v>
      </c>
      <c r="BF49" s="119">
        <v>3.2</v>
      </c>
      <c r="BG49" s="49" t="s">
        <v>1</v>
      </c>
      <c r="BH49" s="49" t="s">
        <v>1</v>
      </c>
      <c r="BI49" s="1"/>
      <c r="BJ49" s="70" t="s">
        <v>1293</v>
      </c>
      <c r="BK49" s="57" t="s">
        <v>1293</v>
      </c>
      <c r="BL49" s="57" t="s">
        <v>1293</v>
      </c>
      <c r="BM49" s="57" t="s">
        <v>1293</v>
      </c>
      <c r="BN49" s="57" t="s">
        <v>1293</v>
      </c>
      <c r="BO49" s="57" t="s">
        <v>1293</v>
      </c>
      <c r="BP49" s="57" t="s">
        <v>1293</v>
      </c>
      <c r="BQ49" s="57" t="s">
        <v>1293</v>
      </c>
      <c r="BR49" s="57" t="s">
        <v>1293</v>
      </c>
      <c r="BS49" s="57" t="s">
        <v>1293</v>
      </c>
      <c r="BT49" s="57" t="s">
        <v>1293</v>
      </c>
      <c r="BU49" s="57" t="s">
        <v>1293</v>
      </c>
      <c r="BV49" s="70">
        <f t="shared" si="198"/>
        <v>1</v>
      </c>
      <c r="BW49" s="71">
        <f t="shared" si="199"/>
        <v>35</v>
      </c>
      <c r="BX49" s="72">
        <f t="shared" si="200"/>
        <v>39</v>
      </c>
      <c r="BY49" s="71">
        <f t="shared" si="201"/>
        <v>70</v>
      </c>
      <c r="BZ49" s="72">
        <f t="shared" si="202"/>
        <v>73</v>
      </c>
      <c r="CA49" s="71">
        <f t="shared" si="203"/>
        <v>109</v>
      </c>
      <c r="CB49" s="72">
        <f t="shared" si="204"/>
        <v>117</v>
      </c>
      <c r="CC49" s="71">
        <f t="shared" si="205"/>
        <v>166</v>
      </c>
      <c r="CD49" s="72">
        <f t="shared" si="206"/>
        <v>173</v>
      </c>
      <c r="CE49" s="71">
        <f t="shared" si="207"/>
        <v>219</v>
      </c>
      <c r="CF49" s="72">
        <f t="shared" si="208"/>
        <v>266</v>
      </c>
      <c r="CG49" s="71">
        <f t="shared" si="209"/>
        <v>292</v>
      </c>
      <c r="CH49" s="70">
        <f t="shared" si="210"/>
        <v>34</v>
      </c>
      <c r="CI49" s="71">
        <f t="shared" si="211"/>
        <v>38</v>
      </c>
      <c r="CJ49" s="72">
        <f t="shared" si="212"/>
        <v>69</v>
      </c>
      <c r="CK49" s="72">
        <f t="shared" si="213"/>
        <v>72</v>
      </c>
      <c r="CL49" s="72">
        <f t="shared" si="214"/>
        <v>108</v>
      </c>
      <c r="CM49" s="72">
        <f t="shared" si="215"/>
        <v>116</v>
      </c>
      <c r="CN49" s="72">
        <f t="shared" si="216"/>
        <v>142</v>
      </c>
      <c r="CO49" s="72">
        <f t="shared" si="217"/>
        <v>168</v>
      </c>
      <c r="CP49" s="72">
        <f t="shared" si="218"/>
        <v>208</v>
      </c>
      <c r="CQ49" s="72">
        <f t="shared" si="219"/>
        <v>259</v>
      </c>
      <c r="CR49" s="72">
        <f t="shared" si="220"/>
        <v>291</v>
      </c>
      <c r="CS49" s="72">
        <f t="shared" si="221"/>
        <v>306</v>
      </c>
      <c r="CT49" s="23">
        <f t="shared" si="222"/>
        <v>1</v>
      </c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  <c r="OK49" s="1"/>
      <c r="OL49" s="1"/>
      <c r="OM49" s="1"/>
      <c r="ON49" s="1"/>
      <c r="OO49" s="1"/>
      <c r="OP49" s="1"/>
      <c r="OQ49" s="1"/>
      <c r="OR49" s="1"/>
      <c r="OS49" s="1"/>
      <c r="OT49" s="1"/>
      <c r="OU49" s="1"/>
      <c r="OV49" s="1"/>
      <c r="OW49" s="1"/>
      <c r="OX49" s="1"/>
      <c r="OY49" s="1"/>
      <c r="OZ49" s="1"/>
      <c r="PA49" s="1"/>
      <c r="PB49" s="1"/>
      <c r="PC49" s="1"/>
      <c r="PD49" s="1"/>
      <c r="PE49" s="1"/>
      <c r="PF49" s="1"/>
      <c r="PG49" s="1"/>
      <c r="PH49" s="1"/>
      <c r="PI49" s="1"/>
      <c r="PJ49" s="1"/>
      <c r="PK49" s="1"/>
      <c r="PL49" s="1"/>
      <c r="PM49" s="1"/>
      <c r="PN49" s="1"/>
      <c r="PO49" s="1"/>
      <c r="PP49" s="1"/>
      <c r="PQ49" s="1"/>
      <c r="PR49" s="1"/>
      <c r="PS49" s="1"/>
      <c r="PT49" s="1"/>
      <c r="PU49" s="1"/>
      <c r="PV49" s="1"/>
      <c r="PW49" s="1"/>
      <c r="PX49" s="1"/>
      <c r="PY49" s="1"/>
      <c r="PZ49" s="1"/>
      <c r="QA49" s="1"/>
      <c r="QB49" s="1"/>
      <c r="QC49" s="1"/>
      <c r="QD49" s="1"/>
      <c r="QE49" s="1"/>
      <c r="QF49" s="1"/>
      <c r="QG49" s="1"/>
      <c r="QH49" s="1"/>
      <c r="QI49" s="1"/>
      <c r="QJ49" s="1"/>
      <c r="QK49" s="1"/>
      <c r="QL49" s="1"/>
      <c r="QM49" s="1"/>
      <c r="QN49" s="1"/>
      <c r="QO49" s="1"/>
      <c r="QP49" s="1"/>
      <c r="QQ49" s="1"/>
      <c r="QR49" s="1"/>
      <c r="QS49" s="1"/>
      <c r="QT49" s="1"/>
      <c r="QU49" s="1"/>
      <c r="QV49" s="1"/>
      <c r="QW49" s="1"/>
      <c r="QX49" s="1"/>
      <c r="QY49" s="1"/>
      <c r="QZ49" s="1"/>
      <c r="RA49" s="1"/>
      <c r="RB49" s="1"/>
      <c r="RC49" s="1"/>
      <c r="RD49" s="1"/>
      <c r="RE49" s="1"/>
      <c r="RF49" s="1"/>
      <c r="RG49" s="1"/>
      <c r="RH49" s="1"/>
      <c r="RI49" s="1"/>
      <c r="RJ49" s="1"/>
      <c r="RK49" s="1"/>
      <c r="RL49" s="1"/>
      <c r="RM49" s="1"/>
      <c r="RN49" s="1"/>
      <c r="RO49" s="1"/>
      <c r="RP49" s="1"/>
      <c r="RQ49" s="1"/>
      <c r="RR49" s="1"/>
      <c r="RS49" s="1"/>
      <c r="RT49" s="1"/>
      <c r="RU49" s="1"/>
      <c r="RV49" s="1"/>
      <c r="RW49" s="1"/>
      <c r="RX49" s="1"/>
      <c r="RY49" s="1"/>
      <c r="RZ49" s="1"/>
      <c r="SA49" s="1"/>
      <c r="SB49" s="1"/>
      <c r="SC49" s="1"/>
      <c r="SD49" s="1"/>
      <c r="SE49" s="1"/>
      <c r="SF49" s="1"/>
      <c r="SG49" s="1"/>
      <c r="SH49" s="1"/>
      <c r="SI49" s="1"/>
      <c r="SJ49" s="1"/>
      <c r="SK49" s="1"/>
      <c r="SL49" s="1"/>
      <c r="SM49" s="1"/>
      <c r="SN49" s="1"/>
      <c r="SO49" s="1"/>
      <c r="SP49" s="1"/>
      <c r="SQ49" s="1"/>
      <c r="SR49" s="1"/>
      <c r="SS49" s="1"/>
      <c r="ST49" s="1"/>
      <c r="SU49" s="1"/>
      <c r="SV49" s="1"/>
      <c r="SW49" s="1"/>
      <c r="SX49" s="1"/>
      <c r="SY49" s="1"/>
      <c r="SZ49" s="1"/>
      <c r="TA49" s="1"/>
      <c r="TB49" s="1"/>
      <c r="TC49" s="1"/>
      <c r="TD49" s="1"/>
      <c r="TE49" s="1"/>
      <c r="TF49" s="1"/>
      <c r="TG49" s="1"/>
      <c r="TH49" s="1"/>
      <c r="TI49" s="1"/>
      <c r="TJ49" s="1"/>
      <c r="TK49" s="1"/>
      <c r="TL49" s="1"/>
      <c r="TM49" s="1"/>
      <c r="TN49" s="1"/>
      <c r="TO49" s="1"/>
      <c r="TP49" s="1"/>
      <c r="TQ49" s="1"/>
      <c r="TR49" s="1"/>
      <c r="TS49" s="1"/>
      <c r="TT49" s="1"/>
      <c r="TU49" s="1"/>
      <c r="TV49" s="1"/>
      <c r="TW49" s="1"/>
      <c r="TX49" s="1"/>
      <c r="TY49" s="1"/>
      <c r="TZ49" s="1"/>
      <c r="UA49" s="1"/>
      <c r="UB49" s="1"/>
      <c r="UC49" s="1"/>
      <c r="UD49" s="1"/>
      <c r="UE49" s="1"/>
      <c r="UF49" s="1"/>
      <c r="UG49" s="1"/>
      <c r="UH49" s="1"/>
      <c r="UI49" s="1"/>
      <c r="UJ49" s="1"/>
      <c r="UK49" s="1"/>
      <c r="UL49" s="1"/>
      <c r="UM49" s="1"/>
      <c r="UN49" s="1"/>
      <c r="UO49" s="1"/>
      <c r="UP49" s="1"/>
      <c r="UQ49" s="1"/>
      <c r="UR49" s="1"/>
      <c r="US49" s="1"/>
      <c r="UT49" s="1"/>
      <c r="UU49" s="1"/>
      <c r="UV49" s="1"/>
      <c r="UW49" s="1"/>
      <c r="UX49" s="1"/>
      <c r="UY49" s="1"/>
      <c r="UZ49" s="1"/>
      <c r="VA49" s="1"/>
      <c r="VB49" s="1"/>
      <c r="VC49" s="1"/>
      <c r="VD49" s="1"/>
      <c r="VE49" s="1"/>
      <c r="VF49" s="1"/>
      <c r="VG49" s="1"/>
      <c r="VH49" s="1"/>
      <c r="VI49" s="1"/>
      <c r="VJ49" s="1"/>
      <c r="VK49" s="1"/>
      <c r="VL49" s="1"/>
      <c r="VM49" s="1"/>
      <c r="VN49" s="1"/>
      <c r="VO49" s="1"/>
      <c r="VP49" s="1"/>
      <c r="VQ49" s="1"/>
      <c r="VR49" s="1"/>
      <c r="VS49" s="1"/>
      <c r="VT49" s="1"/>
      <c r="VU49" s="1"/>
      <c r="VV49" s="1"/>
      <c r="VW49" s="1"/>
      <c r="VX49" s="1"/>
      <c r="VY49" s="1"/>
      <c r="VZ49" s="1"/>
      <c r="WA49" s="1"/>
      <c r="WB49" s="1"/>
      <c r="WC49" s="1"/>
      <c r="WD49" s="1"/>
      <c r="WE49" s="1"/>
      <c r="WF49" s="1"/>
      <c r="WG49" s="1"/>
      <c r="WH49" s="1"/>
      <c r="WI49" s="1"/>
      <c r="WJ49" s="1"/>
      <c r="WK49" s="1"/>
      <c r="WL49" s="1"/>
      <c r="WM49" s="1"/>
      <c r="WN49" s="1"/>
      <c r="WO49" s="1"/>
      <c r="WP49" s="1"/>
      <c r="WQ49" s="1"/>
      <c r="WR49" s="1"/>
      <c r="WS49" s="1"/>
      <c r="WT49" s="1"/>
      <c r="WU49" s="1"/>
      <c r="WV49" s="1"/>
      <c r="WW49" s="1"/>
      <c r="WX49" s="1"/>
      <c r="WY49" s="1"/>
      <c r="WZ49" s="1"/>
      <c r="XA49" s="1"/>
      <c r="XB49" s="1"/>
      <c r="XC49" s="1"/>
      <c r="XD49" s="1"/>
      <c r="XE49" s="1"/>
      <c r="XF49" s="1"/>
      <c r="XG49" s="1"/>
      <c r="XH49" s="1"/>
      <c r="XI49" s="1"/>
      <c r="XJ49" s="1"/>
      <c r="XK49" s="1"/>
      <c r="XL49" s="1"/>
      <c r="XM49" s="1"/>
      <c r="XN49" s="1"/>
      <c r="XO49" s="1"/>
      <c r="XP49" s="1"/>
      <c r="XQ49" s="1"/>
      <c r="XR49" s="1"/>
      <c r="XS49" s="1"/>
      <c r="XT49" s="1"/>
      <c r="XU49" s="1"/>
      <c r="XV49" s="1"/>
      <c r="XW49" s="1"/>
      <c r="XX49" s="1"/>
      <c r="XY49" s="1"/>
      <c r="XZ49" s="1"/>
      <c r="YA49" s="1"/>
      <c r="YB49" s="1"/>
      <c r="YC49" s="1"/>
      <c r="YD49" s="1"/>
      <c r="YE49" s="1"/>
      <c r="YF49" s="1"/>
      <c r="YG49" s="1"/>
      <c r="YH49" s="1"/>
      <c r="YI49" s="1"/>
      <c r="YJ49" s="1"/>
      <c r="YK49" s="1"/>
      <c r="YL49" s="1"/>
      <c r="YM49" s="1"/>
      <c r="YN49" s="1"/>
      <c r="YO49" s="1"/>
      <c r="YP49" s="1"/>
      <c r="YQ49" s="1"/>
      <c r="YR49" s="1"/>
      <c r="YS49" s="1"/>
      <c r="YT49" s="1"/>
      <c r="YU49" s="1"/>
      <c r="YV49" s="1"/>
      <c r="YW49" s="1"/>
      <c r="YX49" s="1"/>
      <c r="YY49" s="1"/>
      <c r="YZ49" s="1"/>
      <c r="ZA49" s="1"/>
      <c r="ZB49" s="1"/>
      <c r="ZC49" s="1"/>
      <c r="ZD49" s="1"/>
      <c r="ZE49" s="1"/>
      <c r="ZF49" s="1"/>
      <c r="ZG49" s="1"/>
      <c r="ZH49" s="1"/>
      <c r="ZI49" s="1"/>
      <c r="ZJ49" s="1"/>
      <c r="ZK49" s="1"/>
      <c r="ZL49" s="1"/>
      <c r="ZM49" s="1"/>
      <c r="ZN49" s="1"/>
      <c r="ZO49" s="1"/>
      <c r="ZP49" s="1"/>
      <c r="ZQ49" s="1"/>
      <c r="ZR49" s="1"/>
      <c r="ZS49" s="1"/>
      <c r="ZT49" s="1"/>
      <c r="ZU49" s="1"/>
      <c r="ZV49" s="1"/>
      <c r="ZW49" s="1"/>
      <c r="ZX49" s="1"/>
      <c r="ZY49" s="1"/>
      <c r="ZZ49" s="1"/>
      <c r="AAA49" s="1"/>
      <c r="AAB49" s="1"/>
      <c r="AAC49" s="1"/>
      <c r="AAD49" s="1"/>
      <c r="AAE49" s="1"/>
      <c r="AAF49" s="1"/>
      <c r="AAG49" s="1"/>
      <c r="AAH49" s="1"/>
      <c r="AAI49" s="1"/>
      <c r="AAJ49" s="1"/>
      <c r="AAK49" s="1"/>
      <c r="AAL49" s="1"/>
      <c r="AAM49" s="1"/>
      <c r="AAN49" s="1"/>
      <c r="AAO49" s="1"/>
      <c r="AAP49" s="1"/>
      <c r="AAQ49" s="1"/>
      <c r="AAR49" s="1"/>
      <c r="AAS49" s="1"/>
      <c r="AAT49" s="1"/>
      <c r="AAU49" s="1"/>
      <c r="AAV49" s="1"/>
      <c r="AAW49" s="1"/>
      <c r="AAX49" s="1"/>
      <c r="AAY49" s="1"/>
      <c r="AAZ49" s="1"/>
      <c r="ABA49" s="1"/>
      <c r="ABB49" s="1"/>
      <c r="ABC49" s="1"/>
      <c r="ABD49" s="1"/>
      <c r="ABE49" s="1"/>
      <c r="ABF49" s="1"/>
      <c r="ABG49" s="1"/>
      <c r="ABH49" s="1"/>
      <c r="ABI49" s="1"/>
      <c r="ABJ49" s="1"/>
      <c r="ABK49" s="1"/>
      <c r="ABL49" s="1"/>
      <c r="ABM49" s="1"/>
      <c r="ABN49" s="1"/>
      <c r="ABO49" s="1"/>
      <c r="ABP49" s="1"/>
      <c r="ABQ49" s="1"/>
      <c r="ABR49" s="1"/>
      <c r="ABS49" s="1"/>
      <c r="ABT49" s="1"/>
      <c r="ABU49" s="1"/>
      <c r="ABV49" s="1"/>
      <c r="ABW49" s="1"/>
      <c r="ABX49" s="1"/>
      <c r="ABY49" s="1"/>
      <c r="ABZ49" s="1"/>
      <c r="ACA49" s="1"/>
      <c r="ACB49" s="1"/>
      <c r="ACC49" s="1"/>
      <c r="ACD49" s="1"/>
      <c r="ACE49" s="1"/>
      <c r="ACF49" s="1"/>
      <c r="ACG49" s="1"/>
      <c r="ACH49" s="1"/>
      <c r="ACI49" s="1"/>
      <c r="ACJ49" s="1"/>
      <c r="ACK49" s="1"/>
      <c r="ACL49" s="1"/>
      <c r="ACM49" s="1"/>
      <c r="ACN49" s="1"/>
      <c r="ACO49" s="1"/>
      <c r="ACP49" s="1"/>
      <c r="ACQ49" s="1"/>
      <c r="ACR49" s="1"/>
      <c r="ACS49" s="1"/>
      <c r="ACT49" s="1"/>
      <c r="ACU49" s="1"/>
      <c r="ACV49" s="1"/>
      <c r="ACW49" s="1"/>
      <c r="ACX49" s="1"/>
      <c r="ACY49" s="1"/>
      <c r="ACZ49" s="1"/>
      <c r="ADA49" s="1"/>
      <c r="ADB49" s="1"/>
      <c r="ADC49" s="1"/>
      <c r="ADD49" s="1"/>
      <c r="ADE49" s="1"/>
      <c r="ADF49" s="1"/>
      <c r="ADG49" s="1"/>
      <c r="ADH49" s="1"/>
      <c r="ADI49" s="1"/>
      <c r="ADJ49" s="1"/>
      <c r="ADK49" s="1"/>
      <c r="ADL49" s="1"/>
      <c r="ADM49" s="1"/>
      <c r="ADN49" s="1"/>
      <c r="ADO49" s="1"/>
      <c r="ADP49" s="1"/>
      <c r="ADQ49" s="1"/>
      <c r="ADR49" s="1"/>
      <c r="ADS49" s="1"/>
      <c r="ADT49" s="1"/>
      <c r="ADU49" s="1"/>
      <c r="ADV49" s="1"/>
      <c r="ADW49" s="1"/>
      <c r="ADX49" s="1"/>
      <c r="ADY49" s="1"/>
      <c r="ADZ49" s="1"/>
      <c r="AEA49" s="1"/>
      <c r="AEB49" s="1"/>
      <c r="AEC49" s="1"/>
      <c r="AED49" s="1"/>
      <c r="AEE49" s="1"/>
      <c r="AEF49" s="1"/>
      <c r="AEG49" s="1"/>
      <c r="AEH49" s="1"/>
      <c r="AEI49" s="1"/>
      <c r="AEJ49" s="1"/>
      <c r="AEK49" s="1"/>
      <c r="AEL49" s="1"/>
      <c r="AEM49" s="1"/>
      <c r="AEN49" s="1"/>
      <c r="AEO49" s="1"/>
      <c r="AEP49" s="1"/>
      <c r="AEQ49" s="1"/>
      <c r="AER49" s="1"/>
      <c r="AES49" s="1"/>
      <c r="AET49" s="1"/>
      <c r="AEU49" s="1"/>
      <c r="AEV49" s="1"/>
      <c r="AEW49" s="1"/>
      <c r="AEX49" s="1"/>
      <c r="AEY49" s="1"/>
      <c r="AEZ49" s="1"/>
      <c r="AFA49" s="1"/>
      <c r="AFB49" s="1"/>
      <c r="AFC49" s="1"/>
      <c r="AFD49" s="1"/>
      <c r="AFE49" s="1"/>
      <c r="AFF49" s="1"/>
      <c r="AFG49" s="1"/>
      <c r="AFH49" s="1"/>
      <c r="AFI49" s="1"/>
      <c r="AFJ49" s="1"/>
      <c r="AFK49" s="1"/>
      <c r="AFL49" s="1"/>
      <c r="AFM49" s="1"/>
      <c r="AFN49" s="1"/>
      <c r="AFO49" s="1"/>
      <c r="AFP49" s="1"/>
      <c r="AFQ49" s="1"/>
      <c r="AFR49" s="1"/>
      <c r="AFS49" s="1"/>
      <c r="AFT49" s="1"/>
      <c r="AFU49" s="1"/>
      <c r="AFV49" s="1"/>
      <c r="AFW49" s="1"/>
      <c r="AFX49" s="1"/>
      <c r="AFY49" s="1"/>
      <c r="AFZ49" s="1"/>
      <c r="AGA49" s="1"/>
      <c r="AGB49" s="1"/>
      <c r="AGC49" s="1"/>
      <c r="AGD49" s="1"/>
      <c r="AGE49" s="1"/>
      <c r="AGF49" s="1"/>
      <c r="AGG49" s="1"/>
      <c r="AGH49" s="1"/>
      <c r="AGI49" s="1"/>
      <c r="AGJ49" s="1"/>
      <c r="AGK49" s="1"/>
      <c r="AGL49" s="1"/>
      <c r="AGM49" s="1"/>
      <c r="AGN49" s="1"/>
      <c r="AGO49" s="1"/>
      <c r="AGP49" s="1"/>
      <c r="AGQ49" s="1"/>
      <c r="AGR49" s="1"/>
      <c r="AGS49" s="1"/>
      <c r="AGT49" s="1"/>
      <c r="AGU49" s="1"/>
      <c r="AGV49" s="1"/>
      <c r="AGW49" s="1"/>
      <c r="AGX49" s="1"/>
      <c r="AGY49" s="1"/>
      <c r="AGZ49" s="1"/>
      <c r="AHA49" s="1"/>
      <c r="AHB49" s="1"/>
      <c r="AHC49" s="1"/>
      <c r="AHD49" s="1"/>
      <c r="AHE49" s="1"/>
      <c r="AHF49" s="1"/>
      <c r="AHG49" s="1"/>
      <c r="AHH49" s="1"/>
      <c r="AHI49" s="1"/>
      <c r="AHJ49" s="1"/>
      <c r="AHK49" s="1"/>
      <c r="AHL49" s="1"/>
      <c r="AHM49" s="1"/>
      <c r="AHN49" s="1"/>
      <c r="AHO49" s="1"/>
      <c r="AHP49" s="1"/>
      <c r="AHQ49" s="1"/>
      <c r="AHR49" s="1"/>
      <c r="AHS49" s="1"/>
      <c r="AHT49" s="1"/>
      <c r="AHU49" s="1"/>
      <c r="AHV49" s="1"/>
      <c r="AHW49" s="1"/>
      <c r="AHX49" s="1"/>
      <c r="AHY49" s="1"/>
      <c r="AHZ49" s="1"/>
      <c r="AIA49" s="1"/>
      <c r="AIB49" s="1"/>
      <c r="AIC49" s="1"/>
      <c r="AID49" s="1"/>
      <c r="AIE49" s="1"/>
      <c r="AIF49" s="1"/>
      <c r="AIG49" s="1"/>
      <c r="AIH49" s="1"/>
      <c r="AII49" s="1"/>
      <c r="AIJ49" s="1"/>
      <c r="AIK49" s="1"/>
      <c r="AIL49" s="1"/>
      <c r="AIM49" s="1"/>
      <c r="AIN49" s="1"/>
      <c r="AIO49" s="1"/>
      <c r="AIP49" s="1"/>
      <c r="AIQ49" s="1"/>
      <c r="AIR49" s="1"/>
      <c r="AIS49" s="1"/>
      <c r="AIT49" s="1"/>
      <c r="AIU49" s="1"/>
      <c r="AIV49" s="1"/>
      <c r="AIW49" s="1"/>
      <c r="AIX49" s="1"/>
      <c r="AIY49" s="1"/>
      <c r="AIZ49" s="1"/>
      <c r="AJA49" s="1"/>
      <c r="AJB49" s="1"/>
      <c r="AJC49" s="1"/>
      <c r="AJD49" s="1"/>
      <c r="AJE49" s="1"/>
      <c r="AJF49" s="1"/>
      <c r="AJG49" s="1"/>
      <c r="AJH49" s="1"/>
      <c r="AJI49" s="1"/>
      <c r="AJJ49" s="1"/>
      <c r="AJK49" s="1"/>
      <c r="AJL49" s="1"/>
      <c r="AJM49" s="1"/>
      <c r="AJN49" s="1"/>
      <c r="AJO49" s="1"/>
      <c r="AJP49" s="1"/>
      <c r="AJQ49" s="1"/>
      <c r="AJR49" s="1"/>
      <c r="AJS49" s="1"/>
      <c r="AJT49" s="1"/>
      <c r="AJU49" s="1"/>
      <c r="AJV49" s="1"/>
      <c r="AJW49" s="1"/>
      <c r="AJX49" s="1"/>
      <c r="AJY49" s="1"/>
      <c r="AJZ49" s="1"/>
      <c r="AKA49" s="1"/>
      <c r="AKB49" s="1"/>
      <c r="AKC49" s="1"/>
      <c r="AKD49" s="1"/>
      <c r="AKE49" s="1"/>
      <c r="AKF49" s="1"/>
      <c r="AKG49" s="1"/>
      <c r="AKH49" s="1"/>
      <c r="AKI49" s="1"/>
      <c r="AKJ49" s="1"/>
      <c r="AKK49" s="1"/>
      <c r="AKL49" s="1"/>
      <c r="AKM49" s="1"/>
      <c r="AKN49" s="1"/>
      <c r="AKO49" s="1"/>
      <c r="AKP49" s="1"/>
      <c r="AKQ49" s="1"/>
      <c r="AKR49" s="1"/>
      <c r="AKS49" s="1"/>
      <c r="AKT49" s="1"/>
      <c r="AKU49" s="1"/>
      <c r="AKV49" s="1"/>
      <c r="AKW49" s="1"/>
      <c r="AKX49" s="1"/>
      <c r="AKY49" s="1"/>
      <c r="AKZ49" s="1"/>
      <c r="ALA49" s="1"/>
      <c r="ALB49" s="1"/>
      <c r="ALC49" s="1"/>
      <c r="ALD49" s="1"/>
      <c r="ALE49" s="1"/>
      <c r="ALF49" s="1"/>
      <c r="ALG49" s="1"/>
      <c r="ALH49" s="1"/>
      <c r="ALI49" s="1"/>
      <c r="ALJ49" s="1"/>
      <c r="ALK49" s="1"/>
      <c r="ALL49" s="1"/>
      <c r="ALM49" s="1"/>
      <c r="ALN49" s="1"/>
      <c r="ALO49" s="1"/>
      <c r="ALP49" s="1"/>
      <c r="ALQ49" s="1"/>
      <c r="ALR49" s="1"/>
      <c r="ALS49" s="1"/>
      <c r="ALT49" s="1"/>
      <c r="ALU49" s="1"/>
      <c r="ALV49" s="1"/>
      <c r="ALW49" s="1"/>
      <c r="ALX49" s="1"/>
      <c r="ALY49" s="1"/>
      <c r="ALZ49" s="1"/>
      <c r="AMA49" s="1"/>
      <c r="AMB49" s="1"/>
      <c r="AMC49" s="1"/>
      <c r="AMD49" s="1"/>
      <c r="AME49" s="1"/>
      <c r="AMF49" s="1"/>
      <c r="AMG49" s="1"/>
      <c r="AMH49" s="1"/>
      <c r="AMI49" s="1"/>
      <c r="AMJ49" s="1"/>
      <c r="AMK49" s="1"/>
      <c r="AML49" s="1"/>
      <c r="AMM49" s="1"/>
      <c r="AMN49" s="1"/>
      <c r="AMO49" s="1"/>
    </row>
    <row r="50" spans="1:1029" x14ac:dyDescent="0.2">
      <c r="A50" s="3" t="str">
        <f t="shared" si="195"/>
        <v>aa2ar_human_5JTB</v>
      </c>
      <c r="B50" s="3" t="s">
        <v>139</v>
      </c>
      <c r="C50" s="3" t="s">
        <v>1422</v>
      </c>
      <c r="D50" s="3" t="str">
        <f>IFERROR(MID(VLOOKUP($B50,Seqs!$A:$B,2,0),E50,1),"")</f>
        <v>M</v>
      </c>
      <c r="E50" s="3">
        <v>1</v>
      </c>
      <c r="F50" s="3" t="str">
        <f>IFERROR(MID(VLOOKUP($B50,Seqs!$A:$B,2,0),G50,1),"")</f>
        <v>N</v>
      </c>
      <c r="G50" s="3">
        <v>34</v>
      </c>
      <c r="H50" s="3" t="str">
        <f>IFERROR(MID(VLOOKUP($B50,Seqs!$A:$B,2,0),I50,1),"")</f>
        <v>S</v>
      </c>
      <c r="I50" s="23">
        <v>35</v>
      </c>
      <c r="J50" s="3" t="str">
        <f>IFERROR(MID(VLOOKUP($B50,Seqs!$A:$B,2,0),K50,1),"")</f>
        <v>Q</v>
      </c>
      <c r="K50" s="23">
        <v>38</v>
      </c>
      <c r="L50" s="3" t="str">
        <f>IFERROR(MID(VLOOKUP($B50,Seqs!$A:$B,2,0),M50,1),"")</f>
        <v>N</v>
      </c>
      <c r="M50" s="3">
        <v>39</v>
      </c>
      <c r="N50" s="3" t="str">
        <f>IFERROR(MID(VLOOKUP($B50,Seqs!$A:$B,2,0),O50,1),"")</f>
        <v>G</v>
      </c>
      <c r="O50" s="3">
        <v>69</v>
      </c>
      <c r="P50" s="3" t="str">
        <f>IFERROR(MID(VLOOKUP($B50,Seqs!$A:$B,2,0),Q50,1),"")</f>
        <v>F</v>
      </c>
      <c r="Q50" s="3">
        <v>70</v>
      </c>
      <c r="R50" s="3" t="str">
        <f>IFERROR(MID(VLOOKUP($B50,Seqs!$A:$B,2,0),S50,1),"")</f>
        <v>A</v>
      </c>
      <c r="S50" s="3">
        <v>72</v>
      </c>
      <c r="T50" s="3" t="str">
        <f>IFERROR(MID(VLOOKUP($B50,Seqs!$A:$B,2,0),U50,1),"")</f>
        <v>A</v>
      </c>
      <c r="U50" s="3">
        <v>73</v>
      </c>
      <c r="V50" s="3" t="str">
        <f>IFERROR(MID(VLOOKUP($B50,Seqs!$A:$B,2,0),W50,1),"")</f>
        <v>I</v>
      </c>
      <c r="W50" s="3">
        <v>108</v>
      </c>
      <c r="X50" s="3" t="str">
        <f>IFERROR(MID(VLOOKUP($B50,Seqs!$A:$B,2,0),Y50,1),"")</f>
        <v>P</v>
      </c>
      <c r="Y50" s="3">
        <v>109</v>
      </c>
      <c r="Z50" s="3" t="str">
        <f>IFERROR(MID(VLOOKUP($B50,Seqs!$A:$B,2,0),AA50,1),"")</f>
        <v>V</v>
      </c>
      <c r="AA50" s="3">
        <v>116</v>
      </c>
      <c r="AB50" s="3" t="str">
        <f>IFERROR(MID(VLOOKUP($B50,Seqs!$A:$B,2,0),AC50,1),"")</f>
        <v>T</v>
      </c>
      <c r="AC50" s="3">
        <v>117</v>
      </c>
      <c r="AD50" s="3" t="str">
        <f>IFERROR(MID(VLOOKUP($B50,Seqs!$A:$B,2,0),AE50,1),"")</f>
        <v>G</v>
      </c>
      <c r="AE50" s="3">
        <v>142</v>
      </c>
      <c r="AF50" s="3" t="str">
        <f>IFERROR(MID(VLOOKUP($B50,Seqs!$A:$B,2,0),AG50,1),"")</f>
        <v>C</v>
      </c>
      <c r="AG50" s="3">
        <v>166</v>
      </c>
      <c r="AH50" s="3" t="str">
        <f>IFERROR(MID(VLOOKUP($B50,Seqs!$A:$B,2,0),AI50,1),"")</f>
        <v>F</v>
      </c>
      <c r="AI50" s="3">
        <v>168</v>
      </c>
      <c r="AJ50" s="3" t="str">
        <f>IFERROR(MID(VLOOKUP($B50,Seqs!$A:$B,2,0),AK50,1),"")</f>
        <v>P</v>
      </c>
      <c r="AK50" s="3">
        <v>173</v>
      </c>
      <c r="AL50" s="3" t="str">
        <f>IFERROR(MID(VLOOKUP($B50,Seqs!$A:$B,2,0),AM50,1),"")</f>
        <v>L</v>
      </c>
      <c r="AM50" s="3">
        <v>208</v>
      </c>
      <c r="AN50" s="3" t="str">
        <f>IFERROR(MID(VLOOKUP($B50,Seqs!$A:$B,2,0),AO50,1),"")</f>
        <v>E</v>
      </c>
      <c r="AO50" s="3">
        <v>219</v>
      </c>
      <c r="AP50" s="3" t="str">
        <f>IFERROR(MID(VLOOKUP($B50,Seqs!$A:$B,2,0),AQ50,1),"")</f>
        <v>C</v>
      </c>
      <c r="AQ50" s="3">
        <v>259</v>
      </c>
      <c r="AR50" s="3" t="str">
        <f>IFERROR(MID(VLOOKUP($B50,Seqs!$A:$B,2,0),AS50,1),"")</f>
        <v>P</v>
      </c>
      <c r="AS50" s="3">
        <v>266</v>
      </c>
      <c r="AT50" s="3" t="str">
        <f>IFERROR(MID(VLOOKUP($B50,Seqs!$A:$B,2,0),AU50,1),"")</f>
        <v>R</v>
      </c>
      <c r="AU50" s="3">
        <v>291</v>
      </c>
      <c r="AV50" s="3" t="str">
        <f>IFERROR(MID(VLOOKUP($B50,Seqs!$A:$B,2,0),AW50,1),"")</f>
        <v>I</v>
      </c>
      <c r="AW50" s="3">
        <v>292</v>
      </c>
      <c r="AX50" s="3" t="str">
        <f>IFERROR(MID(VLOOKUP($B50,Seqs!$A:$B,2,0),AY50,1),"")</f>
        <v>V</v>
      </c>
      <c r="AY50" s="3">
        <v>307</v>
      </c>
      <c r="AZ50" s="77" t="str">
        <f>VLOOKUP(B50,Classification!A:D,2,0)</f>
        <v>A</v>
      </c>
      <c r="BA50" s="94" t="str">
        <f>VLOOKUP(B50,Classification!A:D,4,0)</f>
        <v>Adenosine</v>
      </c>
      <c r="BB50" s="27" t="b">
        <f t="shared" si="196"/>
        <v>1</v>
      </c>
      <c r="BC50" s="23">
        <f t="shared" si="197"/>
        <v>264</v>
      </c>
      <c r="BD50" s="5" t="s">
        <v>23</v>
      </c>
      <c r="BE50" s="3" t="s">
        <v>1381</v>
      </c>
      <c r="BF50" s="119">
        <v>2.8</v>
      </c>
      <c r="BG50" s="49" t="s">
        <v>1</v>
      </c>
      <c r="BH50" s="49" t="s">
        <v>1</v>
      </c>
      <c r="BI50" s="1"/>
      <c r="BJ50" s="70" t="s">
        <v>1293</v>
      </c>
      <c r="BK50" s="57" t="s">
        <v>1293</v>
      </c>
      <c r="BL50" s="57" t="s">
        <v>1293</v>
      </c>
      <c r="BM50" s="57" t="s">
        <v>1293</v>
      </c>
      <c r="BN50" s="57" t="s">
        <v>1293</v>
      </c>
      <c r="BO50" s="57" t="s">
        <v>1293</v>
      </c>
      <c r="BP50" s="57" t="s">
        <v>1293</v>
      </c>
      <c r="BQ50" s="57" t="s">
        <v>1293</v>
      </c>
      <c r="BR50" s="57" t="s">
        <v>1293</v>
      </c>
      <c r="BS50" s="57" t="s">
        <v>1293</v>
      </c>
      <c r="BT50" s="57" t="s">
        <v>1293</v>
      </c>
      <c r="BU50" s="57" t="s">
        <v>1293</v>
      </c>
      <c r="BV50" s="70">
        <f t="shared" si="198"/>
        <v>1</v>
      </c>
      <c r="BW50" s="71">
        <f t="shared" si="199"/>
        <v>35</v>
      </c>
      <c r="BX50" s="72">
        <f t="shared" si="200"/>
        <v>39</v>
      </c>
      <c r="BY50" s="71">
        <f t="shared" si="201"/>
        <v>70</v>
      </c>
      <c r="BZ50" s="72">
        <f t="shared" si="202"/>
        <v>73</v>
      </c>
      <c r="CA50" s="71">
        <f t="shared" si="203"/>
        <v>109</v>
      </c>
      <c r="CB50" s="72">
        <f t="shared" si="204"/>
        <v>117</v>
      </c>
      <c r="CC50" s="71">
        <f t="shared" si="205"/>
        <v>166</v>
      </c>
      <c r="CD50" s="72">
        <f t="shared" si="206"/>
        <v>173</v>
      </c>
      <c r="CE50" s="71">
        <f t="shared" si="207"/>
        <v>219</v>
      </c>
      <c r="CF50" s="72">
        <f t="shared" si="208"/>
        <v>266</v>
      </c>
      <c r="CG50" s="71">
        <f t="shared" si="209"/>
        <v>292</v>
      </c>
      <c r="CH50" s="70">
        <f t="shared" si="210"/>
        <v>34</v>
      </c>
      <c r="CI50" s="71">
        <f t="shared" si="211"/>
        <v>38</v>
      </c>
      <c r="CJ50" s="72">
        <f t="shared" si="212"/>
        <v>69</v>
      </c>
      <c r="CK50" s="72">
        <f t="shared" si="213"/>
        <v>72</v>
      </c>
      <c r="CL50" s="72">
        <f t="shared" si="214"/>
        <v>108</v>
      </c>
      <c r="CM50" s="72">
        <f t="shared" si="215"/>
        <v>116</v>
      </c>
      <c r="CN50" s="72">
        <f t="shared" si="216"/>
        <v>142</v>
      </c>
      <c r="CO50" s="72">
        <f t="shared" si="217"/>
        <v>168</v>
      </c>
      <c r="CP50" s="72">
        <f t="shared" si="218"/>
        <v>208</v>
      </c>
      <c r="CQ50" s="72">
        <f t="shared" si="219"/>
        <v>259</v>
      </c>
      <c r="CR50" s="72">
        <f t="shared" si="220"/>
        <v>291</v>
      </c>
      <c r="CS50" s="72">
        <f t="shared" si="221"/>
        <v>307</v>
      </c>
      <c r="CT50" s="23">
        <f t="shared" si="222"/>
        <v>1</v>
      </c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  <c r="OK50" s="1"/>
      <c r="OL50" s="1"/>
      <c r="OM50" s="1"/>
      <c r="ON50" s="1"/>
      <c r="OO50" s="1"/>
      <c r="OP50" s="1"/>
      <c r="OQ50" s="1"/>
      <c r="OR50" s="1"/>
      <c r="OS50" s="1"/>
      <c r="OT50" s="1"/>
      <c r="OU50" s="1"/>
      <c r="OV50" s="1"/>
      <c r="OW50" s="1"/>
      <c r="OX50" s="1"/>
      <c r="OY50" s="1"/>
      <c r="OZ50" s="1"/>
      <c r="PA50" s="1"/>
      <c r="PB50" s="1"/>
      <c r="PC50" s="1"/>
      <c r="PD50" s="1"/>
      <c r="PE50" s="1"/>
      <c r="PF50" s="1"/>
      <c r="PG50" s="1"/>
      <c r="PH50" s="1"/>
      <c r="PI50" s="1"/>
      <c r="PJ50" s="1"/>
      <c r="PK50" s="1"/>
      <c r="PL50" s="1"/>
      <c r="PM50" s="1"/>
      <c r="PN50" s="1"/>
      <c r="PO50" s="1"/>
      <c r="PP50" s="1"/>
      <c r="PQ50" s="1"/>
      <c r="PR50" s="1"/>
      <c r="PS50" s="1"/>
      <c r="PT50" s="1"/>
      <c r="PU50" s="1"/>
      <c r="PV50" s="1"/>
      <c r="PW50" s="1"/>
      <c r="PX50" s="1"/>
      <c r="PY50" s="1"/>
      <c r="PZ50" s="1"/>
      <c r="QA50" s="1"/>
      <c r="QB50" s="1"/>
      <c r="QC50" s="1"/>
      <c r="QD50" s="1"/>
      <c r="QE50" s="1"/>
      <c r="QF50" s="1"/>
      <c r="QG50" s="1"/>
      <c r="QH50" s="1"/>
      <c r="QI50" s="1"/>
      <c r="QJ50" s="1"/>
      <c r="QK50" s="1"/>
      <c r="QL50" s="1"/>
      <c r="QM50" s="1"/>
      <c r="QN50" s="1"/>
      <c r="QO50" s="1"/>
      <c r="QP50" s="1"/>
      <c r="QQ50" s="1"/>
      <c r="QR50" s="1"/>
      <c r="QS50" s="1"/>
      <c r="QT50" s="1"/>
      <c r="QU50" s="1"/>
      <c r="QV50" s="1"/>
      <c r="QW50" s="1"/>
      <c r="QX50" s="1"/>
      <c r="QY50" s="1"/>
      <c r="QZ50" s="1"/>
      <c r="RA50" s="1"/>
      <c r="RB50" s="1"/>
      <c r="RC50" s="1"/>
      <c r="RD50" s="1"/>
      <c r="RE50" s="1"/>
      <c r="RF50" s="1"/>
      <c r="RG50" s="1"/>
      <c r="RH50" s="1"/>
      <c r="RI50" s="1"/>
      <c r="RJ50" s="1"/>
      <c r="RK50" s="1"/>
      <c r="RL50" s="1"/>
      <c r="RM50" s="1"/>
      <c r="RN50" s="1"/>
      <c r="RO50" s="1"/>
      <c r="RP50" s="1"/>
      <c r="RQ50" s="1"/>
      <c r="RR50" s="1"/>
      <c r="RS50" s="1"/>
      <c r="RT50" s="1"/>
      <c r="RU50" s="1"/>
      <c r="RV50" s="1"/>
      <c r="RW50" s="1"/>
      <c r="RX50" s="1"/>
      <c r="RY50" s="1"/>
      <c r="RZ50" s="1"/>
      <c r="SA50" s="1"/>
      <c r="SB50" s="1"/>
      <c r="SC50" s="1"/>
      <c r="SD50" s="1"/>
      <c r="SE50" s="1"/>
      <c r="SF50" s="1"/>
      <c r="SG50" s="1"/>
      <c r="SH50" s="1"/>
      <c r="SI50" s="1"/>
      <c r="SJ50" s="1"/>
      <c r="SK50" s="1"/>
      <c r="SL50" s="1"/>
      <c r="SM50" s="1"/>
      <c r="SN50" s="1"/>
      <c r="SO50" s="1"/>
      <c r="SP50" s="1"/>
      <c r="SQ50" s="1"/>
      <c r="SR50" s="1"/>
      <c r="SS50" s="1"/>
      <c r="ST50" s="1"/>
      <c r="SU50" s="1"/>
      <c r="SV50" s="1"/>
      <c r="SW50" s="1"/>
      <c r="SX50" s="1"/>
      <c r="SY50" s="1"/>
      <c r="SZ50" s="1"/>
      <c r="TA50" s="1"/>
      <c r="TB50" s="1"/>
      <c r="TC50" s="1"/>
      <c r="TD50" s="1"/>
      <c r="TE50" s="1"/>
      <c r="TF50" s="1"/>
      <c r="TG50" s="1"/>
      <c r="TH50" s="1"/>
      <c r="TI50" s="1"/>
      <c r="TJ50" s="1"/>
      <c r="TK50" s="1"/>
      <c r="TL50" s="1"/>
      <c r="TM50" s="1"/>
      <c r="TN50" s="1"/>
      <c r="TO50" s="1"/>
      <c r="TP50" s="1"/>
      <c r="TQ50" s="1"/>
      <c r="TR50" s="1"/>
      <c r="TS50" s="1"/>
      <c r="TT50" s="1"/>
      <c r="TU50" s="1"/>
      <c r="TV50" s="1"/>
      <c r="TW50" s="1"/>
      <c r="TX50" s="1"/>
      <c r="TY50" s="1"/>
      <c r="TZ50" s="1"/>
      <c r="UA50" s="1"/>
      <c r="UB50" s="1"/>
      <c r="UC50" s="1"/>
      <c r="UD50" s="1"/>
      <c r="UE50" s="1"/>
      <c r="UF50" s="1"/>
      <c r="UG50" s="1"/>
      <c r="UH50" s="1"/>
      <c r="UI50" s="1"/>
      <c r="UJ50" s="1"/>
      <c r="UK50" s="1"/>
      <c r="UL50" s="1"/>
      <c r="UM50" s="1"/>
      <c r="UN50" s="1"/>
      <c r="UO50" s="1"/>
      <c r="UP50" s="1"/>
      <c r="UQ50" s="1"/>
      <c r="UR50" s="1"/>
      <c r="US50" s="1"/>
      <c r="UT50" s="1"/>
      <c r="UU50" s="1"/>
      <c r="UV50" s="1"/>
      <c r="UW50" s="1"/>
      <c r="UX50" s="1"/>
      <c r="UY50" s="1"/>
      <c r="UZ50" s="1"/>
      <c r="VA50" s="1"/>
      <c r="VB50" s="1"/>
      <c r="VC50" s="1"/>
      <c r="VD50" s="1"/>
      <c r="VE50" s="1"/>
      <c r="VF50" s="1"/>
      <c r="VG50" s="1"/>
      <c r="VH50" s="1"/>
      <c r="VI50" s="1"/>
      <c r="VJ50" s="1"/>
      <c r="VK50" s="1"/>
      <c r="VL50" s="1"/>
      <c r="VM50" s="1"/>
      <c r="VN50" s="1"/>
      <c r="VO50" s="1"/>
      <c r="VP50" s="1"/>
      <c r="VQ50" s="1"/>
      <c r="VR50" s="1"/>
      <c r="VS50" s="1"/>
      <c r="VT50" s="1"/>
      <c r="VU50" s="1"/>
      <c r="VV50" s="1"/>
      <c r="VW50" s="1"/>
      <c r="VX50" s="1"/>
      <c r="VY50" s="1"/>
      <c r="VZ50" s="1"/>
      <c r="WA50" s="1"/>
      <c r="WB50" s="1"/>
      <c r="WC50" s="1"/>
      <c r="WD50" s="1"/>
      <c r="WE50" s="1"/>
      <c r="WF50" s="1"/>
      <c r="WG50" s="1"/>
      <c r="WH50" s="1"/>
      <c r="WI50" s="1"/>
      <c r="WJ50" s="1"/>
      <c r="WK50" s="1"/>
      <c r="WL50" s="1"/>
      <c r="WM50" s="1"/>
      <c r="WN50" s="1"/>
      <c r="WO50" s="1"/>
      <c r="WP50" s="1"/>
      <c r="WQ50" s="1"/>
      <c r="WR50" s="1"/>
      <c r="WS50" s="1"/>
      <c r="WT50" s="1"/>
      <c r="WU50" s="1"/>
      <c r="WV50" s="1"/>
      <c r="WW50" s="1"/>
      <c r="WX50" s="1"/>
      <c r="WY50" s="1"/>
      <c r="WZ50" s="1"/>
      <c r="XA50" s="1"/>
      <c r="XB50" s="1"/>
      <c r="XC50" s="1"/>
      <c r="XD50" s="1"/>
      <c r="XE50" s="1"/>
      <c r="XF50" s="1"/>
      <c r="XG50" s="1"/>
      <c r="XH50" s="1"/>
      <c r="XI50" s="1"/>
      <c r="XJ50" s="1"/>
      <c r="XK50" s="1"/>
      <c r="XL50" s="1"/>
      <c r="XM50" s="1"/>
      <c r="XN50" s="1"/>
      <c r="XO50" s="1"/>
      <c r="XP50" s="1"/>
      <c r="XQ50" s="1"/>
      <c r="XR50" s="1"/>
      <c r="XS50" s="1"/>
      <c r="XT50" s="1"/>
      <c r="XU50" s="1"/>
      <c r="XV50" s="1"/>
      <c r="XW50" s="1"/>
      <c r="XX50" s="1"/>
      <c r="XY50" s="1"/>
      <c r="XZ50" s="1"/>
      <c r="YA50" s="1"/>
      <c r="YB50" s="1"/>
      <c r="YC50" s="1"/>
      <c r="YD50" s="1"/>
      <c r="YE50" s="1"/>
      <c r="YF50" s="1"/>
      <c r="YG50" s="1"/>
      <c r="YH50" s="1"/>
      <c r="YI50" s="1"/>
      <c r="YJ50" s="1"/>
      <c r="YK50" s="1"/>
      <c r="YL50" s="1"/>
      <c r="YM50" s="1"/>
      <c r="YN50" s="1"/>
      <c r="YO50" s="1"/>
      <c r="YP50" s="1"/>
      <c r="YQ50" s="1"/>
      <c r="YR50" s="1"/>
      <c r="YS50" s="1"/>
      <c r="YT50" s="1"/>
      <c r="YU50" s="1"/>
      <c r="YV50" s="1"/>
      <c r="YW50" s="1"/>
      <c r="YX50" s="1"/>
      <c r="YY50" s="1"/>
      <c r="YZ50" s="1"/>
      <c r="ZA50" s="1"/>
      <c r="ZB50" s="1"/>
      <c r="ZC50" s="1"/>
      <c r="ZD50" s="1"/>
      <c r="ZE50" s="1"/>
      <c r="ZF50" s="1"/>
      <c r="ZG50" s="1"/>
      <c r="ZH50" s="1"/>
      <c r="ZI50" s="1"/>
      <c r="ZJ50" s="1"/>
      <c r="ZK50" s="1"/>
      <c r="ZL50" s="1"/>
      <c r="ZM50" s="1"/>
      <c r="ZN50" s="1"/>
      <c r="ZO50" s="1"/>
      <c r="ZP50" s="1"/>
      <c r="ZQ50" s="1"/>
      <c r="ZR50" s="1"/>
      <c r="ZS50" s="1"/>
      <c r="ZT50" s="1"/>
      <c r="ZU50" s="1"/>
      <c r="ZV50" s="1"/>
      <c r="ZW50" s="1"/>
      <c r="ZX50" s="1"/>
      <c r="ZY50" s="1"/>
      <c r="ZZ50" s="1"/>
      <c r="AAA50" s="1"/>
      <c r="AAB50" s="1"/>
      <c r="AAC50" s="1"/>
      <c r="AAD50" s="1"/>
      <c r="AAE50" s="1"/>
      <c r="AAF50" s="1"/>
      <c r="AAG50" s="1"/>
      <c r="AAH50" s="1"/>
      <c r="AAI50" s="1"/>
      <c r="AAJ50" s="1"/>
      <c r="AAK50" s="1"/>
      <c r="AAL50" s="1"/>
      <c r="AAM50" s="1"/>
      <c r="AAN50" s="1"/>
      <c r="AAO50" s="1"/>
      <c r="AAP50" s="1"/>
      <c r="AAQ50" s="1"/>
      <c r="AAR50" s="1"/>
      <c r="AAS50" s="1"/>
      <c r="AAT50" s="1"/>
      <c r="AAU50" s="1"/>
      <c r="AAV50" s="1"/>
      <c r="AAW50" s="1"/>
      <c r="AAX50" s="1"/>
      <c r="AAY50" s="1"/>
      <c r="AAZ50" s="1"/>
      <c r="ABA50" s="1"/>
      <c r="ABB50" s="1"/>
      <c r="ABC50" s="1"/>
      <c r="ABD50" s="1"/>
      <c r="ABE50" s="1"/>
      <c r="ABF50" s="1"/>
      <c r="ABG50" s="1"/>
      <c r="ABH50" s="1"/>
      <c r="ABI50" s="1"/>
      <c r="ABJ50" s="1"/>
      <c r="ABK50" s="1"/>
      <c r="ABL50" s="1"/>
      <c r="ABM50" s="1"/>
      <c r="ABN50" s="1"/>
      <c r="ABO50" s="1"/>
      <c r="ABP50" s="1"/>
      <c r="ABQ50" s="1"/>
      <c r="ABR50" s="1"/>
      <c r="ABS50" s="1"/>
      <c r="ABT50" s="1"/>
      <c r="ABU50" s="1"/>
      <c r="ABV50" s="1"/>
      <c r="ABW50" s="1"/>
      <c r="ABX50" s="1"/>
      <c r="ABY50" s="1"/>
      <c r="ABZ50" s="1"/>
      <c r="ACA50" s="1"/>
      <c r="ACB50" s="1"/>
      <c r="ACC50" s="1"/>
      <c r="ACD50" s="1"/>
      <c r="ACE50" s="1"/>
      <c r="ACF50" s="1"/>
      <c r="ACG50" s="1"/>
      <c r="ACH50" s="1"/>
      <c r="ACI50" s="1"/>
      <c r="ACJ50" s="1"/>
      <c r="ACK50" s="1"/>
      <c r="ACL50" s="1"/>
      <c r="ACM50" s="1"/>
      <c r="ACN50" s="1"/>
      <c r="ACO50" s="1"/>
      <c r="ACP50" s="1"/>
      <c r="ACQ50" s="1"/>
      <c r="ACR50" s="1"/>
      <c r="ACS50" s="1"/>
      <c r="ACT50" s="1"/>
      <c r="ACU50" s="1"/>
      <c r="ACV50" s="1"/>
      <c r="ACW50" s="1"/>
      <c r="ACX50" s="1"/>
      <c r="ACY50" s="1"/>
      <c r="ACZ50" s="1"/>
      <c r="ADA50" s="1"/>
      <c r="ADB50" s="1"/>
      <c r="ADC50" s="1"/>
      <c r="ADD50" s="1"/>
      <c r="ADE50" s="1"/>
      <c r="ADF50" s="1"/>
      <c r="ADG50" s="1"/>
      <c r="ADH50" s="1"/>
      <c r="ADI50" s="1"/>
      <c r="ADJ50" s="1"/>
      <c r="ADK50" s="1"/>
      <c r="ADL50" s="1"/>
      <c r="ADM50" s="1"/>
      <c r="ADN50" s="1"/>
      <c r="ADO50" s="1"/>
      <c r="ADP50" s="1"/>
      <c r="ADQ50" s="1"/>
      <c r="ADR50" s="1"/>
      <c r="ADS50" s="1"/>
      <c r="ADT50" s="1"/>
      <c r="ADU50" s="1"/>
      <c r="ADV50" s="1"/>
      <c r="ADW50" s="1"/>
      <c r="ADX50" s="1"/>
      <c r="ADY50" s="1"/>
      <c r="ADZ50" s="1"/>
      <c r="AEA50" s="1"/>
      <c r="AEB50" s="1"/>
      <c r="AEC50" s="1"/>
      <c r="AED50" s="1"/>
      <c r="AEE50" s="1"/>
      <c r="AEF50" s="1"/>
      <c r="AEG50" s="1"/>
      <c r="AEH50" s="1"/>
      <c r="AEI50" s="1"/>
      <c r="AEJ50" s="1"/>
      <c r="AEK50" s="1"/>
      <c r="AEL50" s="1"/>
      <c r="AEM50" s="1"/>
      <c r="AEN50" s="1"/>
      <c r="AEO50" s="1"/>
      <c r="AEP50" s="1"/>
      <c r="AEQ50" s="1"/>
      <c r="AER50" s="1"/>
      <c r="AES50" s="1"/>
      <c r="AET50" s="1"/>
      <c r="AEU50" s="1"/>
      <c r="AEV50" s="1"/>
      <c r="AEW50" s="1"/>
      <c r="AEX50" s="1"/>
      <c r="AEY50" s="1"/>
      <c r="AEZ50" s="1"/>
      <c r="AFA50" s="1"/>
      <c r="AFB50" s="1"/>
      <c r="AFC50" s="1"/>
      <c r="AFD50" s="1"/>
      <c r="AFE50" s="1"/>
      <c r="AFF50" s="1"/>
      <c r="AFG50" s="1"/>
      <c r="AFH50" s="1"/>
      <c r="AFI50" s="1"/>
      <c r="AFJ50" s="1"/>
      <c r="AFK50" s="1"/>
      <c r="AFL50" s="1"/>
      <c r="AFM50" s="1"/>
      <c r="AFN50" s="1"/>
      <c r="AFO50" s="1"/>
      <c r="AFP50" s="1"/>
      <c r="AFQ50" s="1"/>
      <c r="AFR50" s="1"/>
      <c r="AFS50" s="1"/>
      <c r="AFT50" s="1"/>
      <c r="AFU50" s="1"/>
      <c r="AFV50" s="1"/>
      <c r="AFW50" s="1"/>
      <c r="AFX50" s="1"/>
      <c r="AFY50" s="1"/>
      <c r="AFZ50" s="1"/>
      <c r="AGA50" s="1"/>
      <c r="AGB50" s="1"/>
      <c r="AGC50" s="1"/>
      <c r="AGD50" s="1"/>
      <c r="AGE50" s="1"/>
      <c r="AGF50" s="1"/>
      <c r="AGG50" s="1"/>
      <c r="AGH50" s="1"/>
      <c r="AGI50" s="1"/>
      <c r="AGJ50" s="1"/>
      <c r="AGK50" s="1"/>
      <c r="AGL50" s="1"/>
      <c r="AGM50" s="1"/>
      <c r="AGN50" s="1"/>
      <c r="AGO50" s="1"/>
      <c r="AGP50" s="1"/>
      <c r="AGQ50" s="1"/>
      <c r="AGR50" s="1"/>
      <c r="AGS50" s="1"/>
      <c r="AGT50" s="1"/>
      <c r="AGU50" s="1"/>
      <c r="AGV50" s="1"/>
      <c r="AGW50" s="1"/>
      <c r="AGX50" s="1"/>
      <c r="AGY50" s="1"/>
      <c r="AGZ50" s="1"/>
      <c r="AHA50" s="1"/>
      <c r="AHB50" s="1"/>
      <c r="AHC50" s="1"/>
      <c r="AHD50" s="1"/>
      <c r="AHE50" s="1"/>
      <c r="AHF50" s="1"/>
      <c r="AHG50" s="1"/>
      <c r="AHH50" s="1"/>
      <c r="AHI50" s="1"/>
      <c r="AHJ50" s="1"/>
      <c r="AHK50" s="1"/>
      <c r="AHL50" s="1"/>
      <c r="AHM50" s="1"/>
      <c r="AHN50" s="1"/>
      <c r="AHO50" s="1"/>
      <c r="AHP50" s="1"/>
      <c r="AHQ50" s="1"/>
      <c r="AHR50" s="1"/>
      <c r="AHS50" s="1"/>
      <c r="AHT50" s="1"/>
      <c r="AHU50" s="1"/>
      <c r="AHV50" s="1"/>
      <c r="AHW50" s="1"/>
      <c r="AHX50" s="1"/>
      <c r="AHY50" s="1"/>
      <c r="AHZ50" s="1"/>
      <c r="AIA50" s="1"/>
      <c r="AIB50" s="1"/>
      <c r="AIC50" s="1"/>
      <c r="AID50" s="1"/>
      <c r="AIE50" s="1"/>
      <c r="AIF50" s="1"/>
      <c r="AIG50" s="1"/>
      <c r="AIH50" s="1"/>
      <c r="AII50" s="1"/>
      <c r="AIJ50" s="1"/>
      <c r="AIK50" s="1"/>
      <c r="AIL50" s="1"/>
      <c r="AIM50" s="1"/>
      <c r="AIN50" s="1"/>
      <c r="AIO50" s="1"/>
      <c r="AIP50" s="1"/>
      <c r="AIQ50" s="1"/>
      <c r="AIR50" s="1"/>
      <c r="AIS50" s="1"/>
      <c r="AIT50" s="1"/>
      <c r="AIU50" s="1"/>
      <c r="AIV50" s="1"/>
      <c r="AIW50" s="1"/>
      <c r="AIX50" s="1"/>
      <c r="AIY50" s="1"/>
      <c r="AIZ50" s="1"/>
      <c r="AJA50" s="1"/>
      <c r="AJB50" s="1"/>
      <c r="AJC50" s="1"/>
      <c r="AJD50" s="1"/>
      <c r="AJE50" s="1"/>
      <c r="AJF50" s="1"/>
      <c r="AJG50" s="1"/>
      <c r="AJH50" s="1"/>
      <c r="AJI50" s="1"/>
      <c r="AJJ50" s="1"/>
      <c r="AJK50" s="1"/>
      <c r="AJL50" s="1"/>
      <c r="AJM50" s="1"/>
      <c r="AJN50" s="1"/>
      <c r="AJO50" s="1"/>
      <c r="AJP50" s="1"/>
      <c r="AJQ50" s="1"/>
      <c r="AJR50" s="1"/>
      <c r="AJS50" s="1"/>
      <c r="AJT50" s="1"/>
      <c r="AJU50" s="1"/>
      <c r="AJV50" s="1"/>
      <c r="AJW50" s="1"/>
      <c r="AJX50" s="1"/>
      <c r="AJY50" s="1"/>
      <c r="AJZ50" s="1"/>
      <c r="AKA50" s="1"/>
      <c r="AKB50" s="1"/>
      <c r="AKC50" s="1"/>
      <c r="AKD50" s="1"/>
      <c r="AKE50" s="1"/>
      <c r="AKF50" s="1"/>
      <c r="AKG50" s="1"/>
      <c r="AKH50" s="1"/>
      <c r="AKI50" s="1"/>
      <c r="AKJ50" s="1"/>
      <c r="AKK50" s="1"/>
      <c r="AKL50" s="1"/>
      <c r="AKM50" s="1"/>
      <c r="AKN50" s="1"/>
      <c r="AKO50" s="1"/>
      <c r="AKP50" s="1"/>
      <c r="AKQ50" s="1"/>
      <c r="AKR50" s="1"/>
      <c r="AKS50" s="1"/>
      <c r="AKT50" s="1"/>
      <c r="AKU50" s="1"/>
      <c r="AKV50" s="1"/>
      <c r="AKW50" s="1"/>
      <c r="AKX50" s="1"/>
      <c r="AKY50" s="1"/>
      <c r="AKZ50" s="1"/>
      <c r="ALA50" s="1"/>
      <c r="ALB50" s="1"/>
      <c r="ALC50" s="1"/>
      <c r="ALD50" s="1"/>
      <c r="ALE50" s="1"/>
      <c r="ALF50" s="1"/>
      <c r="ALG50" s="1"/>
      <c r="ALH50" s="1"/>
      <c r="ALI50" s="1"/>
      <c r="ALJ50" s="1"/>
      <c r="ALK50" s="1"/>
      <c r="ALL50" s="1"/>
      <c r="ALM50" s="1"/>
      <c r="ALN50" s="1"/>
      <c r="ALO50" s="1"/>
      <c r="ALP50" s="1"/>
      <c r="ALQ50" s="1"/>
      <c r="ALR50" s="1"/>
      <c r="ALS50" s="1"/>
      <c r="ALT50" s="1"/>
      <c r="ALU50" s="1"/>
      <c r="ALV50" s="1"/>
      <c r="ALW50" s="1"/>
      <c r="ALX50" s="1"/>
      <c r="ALY50" s="1"/>
      <c r="ALZ50" s="1"/>
      <c r="AMA50" s="1"/>
      <c r="AMB50" s="1"/>
      <c r="AMC50" s="1"/>
      <c r="AMD50" s="1"/>
      <c r="AME50" s="1"/>
      <c r="AMF50" s="1"/>
      <c r="AMG50" s="1"/>
      <c r="AMH50" s="1"/>
      <c r="AMI50" s="1"/>
      <c r="AMJ50" s="1"/>
      <c r="AMK50" s="1"/>
      <c r="AML50" s="1"/>
      <c r="AMM50" s="1"/>
      <c r="AMN50" s="1"/>
      <c r="AMO50" s="1"/>
    </row>
    <row r="51" spans="1:1029" s="12" customFormat="1" x14ac:dyDescent="0.2">
      <c r="A51" s="9" t="str">
        <f t="shared" si="195"/>
        <v>aa2ar_human_5NM2</v>
      </c>
      <c r="B51" s="9" t="s">
        <v>139</v>
      </c>
      <c r="C51" s="9" t="s">
        <v>1455</v>
      </c>
      <c r="D51" s="9" t="str">
        <f>IFERROR(MID(VLOOKUP($B51,Seqs!$A:$B,2,0),E51,1),"")</f>
        <v>M</v>
      </c>
      <c r="E51" s="9">
        <v>1</v>
      </c>
      <c r="F51" s="9" t="str">
        <f>IFERROR(MID(VLOOKUP($B51,Seqs!$A:$B,2,0),G51,1),"")</f>
        <v>N</v>
      </c>
      <c r="G51" s="9">
        <v>34</v>
      </c>
      <c r="H51" s="9" t="str">
        <f>IFERROR(MID(VLOOKUP($B51,Seqs!$A:$B,2,0),I51,1),"")</f>
        <v>S</v>
      </c>
      <c r="I51" s="109">
        <v>35</v>
      </c>
      <c r="J51" s="9" t="str">
        <f>IFERROR(MID(VLOOKUP($B51,Seqs!$A:$B,2,0),K51,1),"")</f>
        <v>Q</v>
      </c>
      <c r="K51" s="109">
        <v>38</v>
      </c>
      <c r="L51" s="9" t="str">
        <f>IFERROR(MID(VLOOKUP($B51,Seqs!$A:$B,2,0),M51,1),"")</f>
        <v>N</v>
      </c>
      <c r="M51" s="9">
        <v>39</v>
      </c>
      <c r="N51" s="9" t="str">
        <f>IFERROR(MID(VLOOKUP($B51,Seqs!$A:$B,2,0),O51,1),"")</f>
        <v>G</v>
      </c>
      <c r="O51" s="9">
        <v>69</v>
      </c>
      <c r="P51" s="9" t="str">
        <f>IFERROR(MID(VLOOKUP($B51,Seqs!$A:$B,2,0),Q51,1),"")</f>
        <v>F</v>
      </c>
      <c r="Q51" s="9">
        <v>70</v>
      </c>
      <c r="R51" s="9" t="str">
        <f>IFERROR(MID(VLOOKUP($B51,Seqs!$A:$B,2,0),S51,1),"")</f>
        <v>A</v>
      </c>
      <c r="S51" s="9">
        <v>72</v>
      </c>
      <c r="T51" s="9" t="str">
        <f>IFERROR(MID(VLOOKUP($B51,Seqs!$A:$B,2,0),U51,1),"")</f>
        <v>A</v>
      </c>
      <c r="U51" s="9">
        <v>73</v>
      </c>
      <c r="V51" s="9" t="str">
        <f>IFERROR(MID(VLOOKUP($B51,Seqs!$A:$B,2,0),W51,1),"")</f>
        <v>I</v>
      </c>
      <c r="W51" s="9">
        <v>108</v>
      </c>
      <c r="X51" s="9" t="str">
        <f>IFERROR(MID(VLOOKUP($B51,Seqs!$A:$B,2,0),Y51,1),"")</f>
        <v>P</v>
      </c>
      <c r="Y51" s="9">
        <v>109</v>
      </c>
      <c r="Z51" s="9" t="str">
        <f>IFERROR(MID(VLOOKUP($B51,Seqs!$A:$B,2,0),AA51,1),"")</f>
        <v>V</v>
      </c>
      <c r="AA51" s="9">
        <v>116</v>
      </c>
      <c r="AB51" s="9" t="str">
        <f>IFERROR(MID(VLOOKUP($B51,Seqs!$A:$B,2,0),AC51,1),"")</f>
        <v>T</v>
      </c>
      <c r="AC51" s="9">
        <v>117</v>
      </c>
      <c r="AD51" s="9" t="str">
        <f>IFERROR(MID(VLOOKUP($B51,Seqs!$A:$B,2,0),AE51,1),"")</f>
        <v>G</v>
      </c>
      <c r="AE51" s="9">
        <v>142</v>
      </c>
      <c r="AF51" s="9" t="str">
        <f>IFERROR(MID(VLOOKUP($B51,Seqs!$A:$B,2,0),AG51,1),"")</f>
        <v>C</v>
      </c>
      <c r="AG51" s="9">
        <v>166</v>
      </c>
      <c r="AH51" s="9" t="str">
        <f>IFERROR(MID(VLOOKUP($B51,Seqs!$A:$B,2,0),AI51,1),"")</f>
        <v>F</v>
      </c>
      <c r="AI51" s="9">
        <v>168</v>
      </c>
      <c r="AJ51" s="9" t="str">
        <f>IFERROR(MID(VLOOKUP($B51,Seqs!$A:$B,2,0),AK51,1),"")</f>
        <v>P</v>
      </c>
      <c r="AK51" s="9">
        <v>173</v>
      </c>
      <c r="AL51" s="9" t="str">
        <f>IFERROR(MID(VLOOKUP($B51,Seqs!$A:$B,2,0),AM51,1),"")</f>
        <v>L</v>
      </c>
      <c r="AM51" s="9">
        <v>208</v>
      </c>
      <c r="AN51" s="9" t="str">
        <f>IFERROR(MID(VLOOKUP($B51,Seqs!$A:$B,2,0),AO51,1),"")</f>
        <v>E</v>
      </c>
      <c r="AO51" s="9">
        <v>219</v>
      </c>
      <c r="AP51" s="9" t="str">
        <f>IFERROR(MID(VLOOKUP($B51,Seqs!$A:$B,2,0),AQ51,1),"")</f>
        <v>C</v>
      </c>
      <c r="AQ51" s="9">
        <v>259</v>
      </c>
      <c r="AR51" s="9" t="str">
        <f>IFERROR(MID(VLOOKUP($B51,Seqs!$A:$B,2,0),AS51,1),"")</f>
        <v>P</v>
      </c>
      <c r="AS51" s="9">
        <v>266</v>
      </c>
      <c r="AT51" s="9" t="str">
        <f>IFERROR(MID(VLOOKUP($B51,Seqs!$A:$B,2,0),AU51,1),"")</f>
        <v>R</v>
      </c>
      <c r="AU51" s="9">
        <v>291</v>
      </c>
      <c r="AV51" s="9" t="str">
        <f>IFERROR(MID(VLOOKUP($B51,Seqs!$A:$B,2,0),AW51,1),"")</f>
        <v>I</v>
      </c>
      <c r="AW51" s="9">
        <v>292</v>
      </c>
      <c r="AX51" s="9" t="str">
        <f>IFERROR(MID(VLOOKUP($B51,Seqs!$A:$B,2,0),AY51,1),"")</f>
        <v>S</v>
      </c>
      <c r="AY51" s="9">
        <v>305</v>
      </c>
      <c r="AZ51" s="110" t="str">
        <f>VLOOKUP(B51,Classification!A:D,2,0)</f>
        <v>A</v>
      </c>
      <c r="BA51" s="98" t="str">
        <f>VLOOKUP(B51,Classification!A:D,4,0)</f>
        <v>Adenosine</v>
      </c>
      <c r="BB51" s="36" t="b">
        <f t="shared" si="196"/>
        <v>1</v>
      </c>
      <c r="BC51" s="109">
        <f t="shared" si="197"/>
        <v>262</v>
      </c>
      <c r="BD51" s="13" t="s">
        <v>23</v>
      </c>
      <c r="BE51" s="9" t="s">
        <v>1381</v>
      </c>
      <c r="BF51" s="120">
        <v>1.95</v>
      </c>
      <c r="BG51" s="51" t="s">
        <v>1</v>
      </c>
      <c r="BH51" s="51" t="s">
        <v>1</v>
      </c>
      <c r="BJ51" s="111" t="s">
        <v>1293</v>
      </c>
      <c r="BK51" s="112" t="s">
        <v>1293</v>
      </c>
      <c r="BL51" s="112" t="s">
        <v>1293</v>
      </c>
      <c r="BM51" s="112" t="s">
        <v>1293</v>
      </c>
      <c r="BN51" s="112" t="s">
        <v>1293</v>
      </c>
      <c r="BO51" s="112" t="s">
        <v>1293</v>
      </c>
      <c r="BP51" s="112" t="s">
        <v>1293</v>
      </c>
      <c r="BQ51" s="112" t="s">
        <v>1293</v>
      </c>
      <c r="BR51" s="112" t="s">
        <v>1293</v>
      </c>
      <c r="BS51" s="112" t="s">
        <v>1293</v>
      </c>
      <c r="BT51" s="112" t="s">
        <v>1293</v>
      </c>
      <c r="BU51" s="112" t="s">
        <v>1293</v>
      </c>
      <c r="BV51" s="111">
        <f t="shared" si="198"/>
        <v>1</v>
      </c>
      <c r="BW51" s="113">
        <f t="shared" si="199"/>
        <v>35</v>
      </c>
      <c r="BX51" s="114">
        <f t="shared" si="200"/>
        <v>39</v>
      </c>
      <c r="BY51" s="113">
        <f t="shared" si="201"/>
        <v>70</v>
      </c>
      <c r="BZ51" s="114">
        <f t="shared" si="202"/>
        <v>73</v>
      </c>
      <c r="CA51" s="113">
        <f t="shared" si="203"/>
        <v>109</v>
      </c>
      <c r="CB51" s="114">
        <f t="shared" si="204"/>
        <v>117</v>
      </c>
      <c r="CC51" s="113">
        <f t="shared" si="205"/>
        <v>166</v>
      </c>
      <c r="CD51" s="114">
        <f t="shared" si="206"/>
        <v>173</v>
      </c>
      <c r="CE51" s="113">
        <f t="shared" si="207"/>
        <v>219</v>
      </c>
      <c r="CF51" s="114">
        <f t="shared" si="208"/>
        <v>266</v>
      </c>
      <c r="CG51" s="113">
        <f t="shared" si="209"/>
        <v>292</v>
      </c>
      <c r="CH51" s="111">
        <f t="shared" si="210"/>
        <v>34</v>
      </c>
      <c r="CI51" s="113">
        <f t="shared" si="211"/>
        <v>38</v>
      </c>
      <c r="CJ51" s="114">
        <f t="shared" si="212"/>
        <v>69</v>
      </c>
      <c r="CK51" s="114">
        <f t="shared" si="213"/>
        <v>72</v>
      </c>
      <c r="CL51" s="114">
        <f t="shared" si="214"/>
        <v>108</v>
      </c>
      <c r="CM51" s="114">
        <f t="shared" si="215"/>
        <v>116</v>
      </c>
      <c r="CN51" s="114">
        <f t="shared" si="216"/>
        <v>142</v>
      </c>
      <c r="CO51" s="114">
        <f t="shared" si="217"/>
        <v>168</v>
      </c>
      <c r="CP51" s="114">
        <f t="shared" si="218"/>
        <v>208</v>
      </c>
      <c r="CQ51" s="114">
        <f t="shared" si="219"/>
        <v>259</v>
      </c>
      <c r="CR51" s="114">
        <f t="shared" si="220"/>
        <v>291</v>
      </c>
      <c r="CS51" s="114">
        <f t="shared" si="221"/>
        <v>305</v>
      </c>
      <c r="CT51" s="109">
        <f t="shared" si="222"/>
        <v>1</v>
      </c>
    </row>
    <row r="52" spans="1:1029" s="12" customFormat="1" x14ac:dyDescent="0.2">
      <c r="A52" s="9" t="str">
        <f t="shared" si="195"/>
        <v>aa2ar_human_5VRA</v>
      </c>
      <c r="B52" s="9" t="s">
        <v>139</v>
      </c>
      <c r="C52" s="9" t="s">
        <v>1461</v>
      </c>
      <c r="D52" s="9" t="str">
        <f>IFERROR(MID(VLOOKUP($B52,Seqs!$A:$B,2,0),E52,1),"")</f>
        <v>M</v>
      </c>
      <c r="E52" s="9">
        <v>1</v>
      </c>
      <c r="F52" s="9" t="str">
        <f>IFERROR(MID(VLOOKUP($B52,Seqs!$A:$B,2,0),G52,1),"")</f>
        <v>N</v>
      </c>
      <c r="G52" s="9">
        <v>34</v>
      </c>
      <c r="H52" s="9" t="str">
        <f>IFERROR(MID(VLOOKUP($B52,Seqs!$A:$B,2,0),I52,1),"")</f>
        <v>S</v>
      </c>
      <c r="I52" s="109">
        <v>35</v>
      </c>
      <c r="J52" s="9" t="str">
        <f>IFERROR(MID(VLOOKUP($B52,Seqs!$A:$B,2,0),K52,1),"")</f>
        <v>Q</v>
      </c>
      <c r="K52" s="109">
        <v>38</v>
      </c>
      <c r="L52" s="9" t="str">
        <f>IFERROR(MID(VLOOKUP($B52,Seqs!$A:$B,2,0),M52,1),"")</f>
        <v>N</v>
      </c>
      <c r="M52" s="9">
        <v>39</v>
      </c>
      <c r="N52" s="9" t="str">
        <f>IFERROR(MID(VLOOKUP($B52,Seqs!$A:$B,2,0),O52,1),"")</f>
        <v>G</v>
      </c>
      <c r="O52" s="9">
        <v>69</v>
      </c>
      <c r="P52" s="9" t="str">
        <f>IFERROR(MID(VLOOKUP($B52,Seqs!$A:$B,2,0),Q52,1),"")</f>
        <v>F</v>
      </c>
      <c r="Q52" s="9">
        <v>70</v>
      </c>
      <c r="R52" s="9" t="str">
        <f>IFERROR(MID(VLOOKUP($B52,Seqs!$A:$B,2,0),S52,1),"")</f>
        <v>A</v>
      </c>
      <c r="S52" s="9">
        <v>72</v>
      </c>
      <c r="T52" s="9" t="str">
        <f>IFERROR(MID(VLOOKUP($B52,Seqs!$A:$B,2,0),U52,1),"")</f>
        <v>A</v>
      </c>
      <c r="U52" s="9">
        <v>73</v>
      </c>
      <c r="V52" s="9" t="str">
        <f>IFERROR(MID(VLOOKUP($B52,Seqs!$A:$B,2,0),W52,1),"")</f>
        <v>I</v>
      </c>
      <c r="W52" s="9">
        <v>108</v>
      </c>
      <c r="X52" s="9" t="str">
        <f>IFERROR(MID(VLOOKUP($B52,Seqs!$A:$B,2,0),Y52,1),"")</f>
        <v>P</v>
      </c>
      <c r="Y52" s="9">
        <v>109</v>
      </c>
      <c r="Z52" s="9" t="str">
        <f>IFERROR(MID(VLOOKUP($B52,Seqs!$A:$B,2,0),AA52,1),"")</f>
        <v>V</v>
      </c>
      <c r="AA52" s="9">
        <v>116</v>
      </c>
      <c r="AB52" s="9" t="str">
        <f>IFERROR(MID(VLOOKUP($B52,Seqs!$A:$B,2,0),AC52,1),"")</f>
        <v>T</v>
      </c>
      <c r="AC52" s="9">
        <v>117</v>
      </c>
      <c r="AD52" s="9" t="str">
        <f>IFERROR(MID(VLOOKUP($B52,Seqs!$A:$B,2,0),AE52,1),"")</f>
        <v>G</v>
      </c>
      <c r="AE52" s="9">
        <v>142</v>
      </c>
      <c r="AF52" s="9" t="str">
        <f>IFERROR(MID(VLOOKUP($B52,Seqs!$A:$B,2,0),AG52,1),"")</f>
        <v>C</v>
      </c>
      <c r="AG52" s="9">
        <v>166</v>
      </c>
      <c r="AH52" s="9" t="str">
        <f>IFERROR(MID(VLOOKUP($B52,Seqs!$A:$B,2,0),AI52,1),"")</f>
        <v>F</v>
      </c>
      <c r="AI52" s="9">
        <v>168</v>
      </c>
      <c r="AJ52" s="9" t="str">
        <f>IFERROR(MID(VLOOKUP($B52,Seqs!$A:$B,2,0),AK52,1),"")</f>
        <v>P</v>
      </c>
      <c r="AK52" s="9">
        <v>173</v>
      </c>
      <c r="AL52" s="9" t="str">
        <f>IFERROR(MID(VLOOKUP($B52,Seqs!$A:$B,2,0),AM52,1),"")</f>
        <v>L</v>
      </c>
      <c r="AM52" s="9">
        <v>208</v>
      </c>
      <c r="AN52" s="9" t="str">
        <f>IFERROR(MID(VLOOKUP($B52,Seqs!$A:$B,2,0),AO52,1),"")</f>
        <v>E</v>
      </c>
      <c r="AO52" s="9">
        <v>219</v>
      </c>
      <c r="AP52" s="9" t="str">
        <f>IFERROR(MID(VLOOKUP($B52,Seqs!$A:$B,2,0),AQ52,1),"")</f>
        <v>C</v>
      </c>
      <c r="AQ52" s="9">
        <v>259</v>
      </c>
      <c r="AR52" s="9" t="str">
        <f>IFERROR(MID(VLOOKUP($B52,Seqs!$A:$B,2,0),AS52,1),"")</f>
        <v>P</v>
      </c>
      <c r="AS52" s="9">
        <v>266</v>
      </c>
      <c r="AT52" s="9" t="str">
        <f>IFERROR(MID(VLOOKUP($B52,Seqs!$A:$B,2,0),AU52,1),"")</f>
        <v>R</v>
      </c>
      <c r="AU52" s="9">
        <v>291</v>
      </c>
      <c r="AV52" s="9" t="str">
        <f>IFERROR(MID(VLOOKUP($B52,Seqs!$A:$B,2,0),AW52,1),"")</f>
        <v>I</v>
      </c>
      <c r="AW52" s="9">
        <v>292</v>
      </c>
      <c r="AX52" s="9" t="str">
        <f>IFERROR(MID(VLOOKUP($B52,Seqs!$A:$B,2,0),AY52,1),"")</f>
        <v>H</v>
      </c>
      <c r="AY52" s="9">
        <v>306</v>
      </c>
      <c r="AZ52" s="110" t="str">
        <f>VLOOKUP(B52,Classification!A:D,2,0)</f>
        <v>A</v>
      </c>
      <c r="BA52" s="98" t="str">
        <f>VLOOKUP(B52,Classification!A:D,4,0)</f>
        <v>Adenosine</v>
      </c>
      <c r="BB52" s="36" t="b">
        <f t="shared" si="196"/>
        <v>1</v>
      </c>
      <c r="BC52" s="109">
        <f t="shared" si="197"/>
        <v>263</v>
      </c>
      <c r="BD52" s="13" t="s">
        <v>23</v>
      </c>
      <c r="BE52" s="9" t="s">
        <v>1381</v>
      </c>
      <c r="BF52" s="120">
        <v>2.35</v>
      </c>
      <c r="BG52" s="51" t="s">
        <v>1</v>
      </c>
      <c r="BH52" s="51" t="s">
        <v>1</v>
      </c>
      <c r="BJ52" s="111" t="s">
        <v>1293</v>
      </c>
      <c r="BK52" s="112" t="s">
        <v>1293</v>
      </c>
      <c r="BL52" s="112" t="s">
        <v>1293</v>
      </c>
      <c r="BM52" s="112" t="s">
        <v>1293</v>
      </c>
      <c r="BN52" s="112" t="s">
        <v>1293</v>
      </c>
      <c r="BO52" s="112" t="s">
        <v>1293</v>
      </c>
      <c r="BP52" s="112" t="s">
        <v>1293</v>
      </c>
      <c r="BQ52" s="112" t="s">
        <v>1293</v>
      </c>
      <c r="BR52" s="112" t="s">
        <v>1293</v>
      </c>
      <c r="BS52" s="112" t="s">
        <v>1293</v>
      </c>
      <c r="BT52" s="112" t="s">
        <v>1293</v>
      </c>
      <c r="BU52" s="112" t="s">
        <v>1293</v>
      </c>
      <c r="BV52" s="111">
        <f t="shared" si="198"/>
        <v>1</v>
      </c>
      <c r="BW52" s="113">
        <f t="shared" si="199"/>
        <v>35</v>
      </c>
      <c r="BX52" s="114">
        <f t="shared" si="200"/>
        <v>39</v>
      </c>
      <c r="BY52" s="113">
        <f t="shared" si="201"/>
        <v>70</v>
      </c>
      <c r="BZ52" s="114">
        <f t="shared" si="202"/>
        <v>73</v>
      </c>
      <c r="CA52" s="113">
        <f t="shared" si="203"/>
        <v>109</v>
      </c>
      <c r="CB52" s="114">
        <f t="shared" si="204"/>
        <v>117</v>
      </c>
      <c r="CC52" s="113">
        <f t="shared" si="205"/>
        <v>166</v>
      </c>
      <c r="CD52" s="114">
        <f t="shared" si="206"/>
        <v>173</v>
      </c>
      <c r="CE52" s="113">
        <f t="shared" si="207"/>
        <v>219</v>
      </c>
      <c r="CF52" s="114">
        <f t="shared" si="208"/>
        <v>266</v>
      </c>
      <c r="CG52" s="113">
        <f t="shared" si="209"/>
        <v>292</v>
      </c>
      <c r="CH52" s="111">
        <f t="shared" si="210"/>
        <v>34</v>
      </c>
      <c r="CI52" s="113">
        <f t="shared" si="211"/>
        <v>38</v>
      </c>
      <c r="CJ52" s="114">
        <f t="shared" si="212"/>
        <v>69</v>
      </c>
      <c r="CK52" s="114">
        <f t="shared" si="213"/>
        <v>72</v>
      </c>
      <c r="CL52" s="114">
        <f t="shared" si="214"/>
        <v>108</v>
      </c>
      <c r="CM52" s="114">
        <f t="shared" si="215"/>
        <v>116</v>
      </c>
      <c r="CN52" s="114">
        <f t="shared" si="216"/>
        <v>142</v>
      </c>
      <c r="CO52" s="114">
        <f t="shared" si="217"/>
        <v>168</v>
      </c>
      <c r="CP52" s="114">
        <f t="shared" si="218"/>
        <v>208</v>
      </c>
      <c r="CQ52" s="114">
        <f t="shared" si="219"/>
        <v>259</v>
      </c>
      <c r="CR52" s="114">
        <f t="shared" si="220"/>
        <v>291</v>
      </c>
      <c r="CS52" s="114">
        <f t="shared" si="221"/>
        <v>306</v>
      </c>
      <c r="CT52" s="109">
        <f t="shared" si="222"/>
        <v>1</v>
      </c>
    </row>
    <row r="53" spans="1:1029" s="12" customFormat="1" x14ac:dyDescent="0.2">
      <c r="A53" s="9" t="str">
        <f t="shared" si="195"/>
        <v>aa2ar_human_5OLG</v>
      </c>
      <c r="B53" s="9" t="s">
        <v>139</v>
      </c>
      <c r="C53" s="9" t="s">
        <v>1467</v>
      </c>
      <c r="D53" s="9" t="str">
        <f>IFERROR(MID(VLOOKUP($B53,Seqs!$A:$B,2,0),E53,1),"")</f>
        <v>M</v>
      </c>
      <c r="E53" s="9">
        <v>1</v>
      </c>
      <c r="F53" s="9" t="str">
        <f>IFERROR(MID(VLOOKUP($B53,Seqs!$A:$B,2,0),G53,1),"")</f>
        <v>N</v>
      </c>
      <c r="G53" s="9">
        <v>34</v>
      </c>
      <c r="H53" s="9" t="str">
        <f>IFERROR(MID(VLOOKUP($B53,Seqs!$A:$B,2,0),I53,1),"")</f>
        <v>S</v>
      </c>
      <c r="I53" s="109">
        <v>35</v>
      </c>
      <c r="J53" s="9" t="str">
        <f>IFERROR(MID(VLOOKUP($B53,Seqs!$A:$B,2,0),K53,1),"")</f>
        <v>Q</v>
      </c>
      <c r="K53" s="109">
        <v>38</v>
      </c>
      <c r="L53" s="9" t="str">
        <f>IFERROR(MID(VLOOKUP($B53,Seqs!$A:$B,2,0),M53,1),"")</f>
        <v>N</v>
      </c>
      <c r="M53" s="9">
        <v>39</v>
      </c>
      <c r="N53" s="9" t="str">
        <f>IFERROR(MID(VLOOKUP($B53,Seqs!$A:$B,2,0),O53,1),"")</f>
        <v>G</v>
      </c>
      <c r="O53" s="9">
        <v>69</v>
      </c>
      <c r="P53" s="9" t="str">
        <f>IFERROR(MID(VLOOKUP($B53,Seqs!$A:$B,2,0),Q53,1),"")</f>
        <v>F</v>
      </c>
      <c r="Q53" s="9">
        <v>70</v>
      </c>
      <c r="R53" s="9" t="str">
        <f>IFERROR(MID(VLOOKUP($B53,Seqs!$A:$B,2,0),S53,1),"")</f>
        <v>A</v>
      </c>
      <c r="S53" s="9">
        <v>72</v>
      </c>
      <c r="T53" s="9" t="str">
        <f>IFERROR(MID(VLOOKUP($B53,Seqs!$A:$B,2,0),U53,1),"")</f>
        <v>A</v>
      </c>
      <c r="U53" s="9">
        <v>73</v>
      </c>
      <c r="V53" s="9" t="str">
        <f>IFERROR(MID(VLOOKUP($B53,Seqs!$A:$B,2,0),W53,1),"")</f>
        <v>I</v>
      </c>
      <c r="W53" s="9">
        <v>108</v>
      </c>
      <c r="X53" s="9" t="str">
        <f>IFERROR(MID(VLOOKUP($B53,Seqs!$A:$B,2,0),Y53,1),"")</f>
        <v>P</v>
      </c>
      <c r="Y53" s="9">
        <v>109</v>
      </c>
      <c r="Z53" s="9" t="str">
        <f>IFERROR(MID(VLOOKUP($B53,Seqs!$A:$B,2,0),AA53,1),"")</f>
        <v>V</v>
      </c>
      <c r="AA53" s="9">
        <v>116</v>
      </c>
      <c r="AB53" s="9" t="str">
        <f>IFERROR(MID(VLOOKUP($B53,Seqs!$A:$B,2,0),AC53,1),"")</f>
        <v>T</v>
      </c>
      <c r="AC53" s="9">
        <v>117</v>
      </c>
      <c r="AD53" s="9" t="str">
        <f>IFERROR(MID(VLOOKUP($B53,Seqs!$A:$B,2,0),AE53,1),"")</f>
        <v>G</v>
      </c>
      <c r="AE53" s="9">
        <v>142</v>
      </c>
      <c r="AF53" s="9" t="str">
        <f>IFERROR(MID(VLOOKUP($B53,Seqs!$A:$B,2,0),AG53,1),"")</f>
        <v>C</v>
      </c>
      <c r="AG53" s="9">
        <v>166</v>
      </c>
      <c r="AH53" s="9" t="str">
        <f>IFERROR(MID(VLOOKUP($B53,Seqs!$A:$B,2,0),AI53,1),"")</f>
        <v>F</v>
      </c>
      <c r="AI53" s="9">
        <v>168</v>
      </c>
      <c r="AJ53" s="9" t="str">
        <f>IFERROR(MID(VLOOKUP($B53,Seqs!$A:$B,2,0),AK53,1),"")</f>
        <v>P</v>
      </c>
      <c r="AK53" s="9">
        <v>173</v>
      </c>
      <c r="AL53" s="9" t="str">
        <f>IFERROR(MID(VLOOKUP($B53,Seqs!$A:$B,2,0),AM53,1),"")</f>
        <v>L</v>
      </c>
      <c r="AM53" s="9">
        <v>208</v>
      </c>
      <c r="AN53" s="9" t="str">
        <f>IFERROR(MID(VLOOKUP($B53,Seqs!$A:$B,2,0),AO53,1),"")</f>
        <v>E</v>
      </c>
      <c r="AO53" s="9">
        <v>219</v>
      </c>
      <c r="AP53" s="9" t="str">
        <f>IFERROR(MID(VLOOKUP($B53,Seqs!$A:$B,2,0),AQ53,1),"")</f>
        <v>C</v>
      </c>
      <c r="AQ53" s="9">
        <v>259</v>
      </c>
      <c r="AR53" s="9" t="str">
        <f>IFERROR(MID(VLOOKUP($B53,Seqs!$A:$B,2,0),AS53,1),"")</f>
        <v>P</v>
      </c>
      <c r="AS53" s="9">
        <v>266</v>
      </c>
      <c r="AT53" s="9" t="str">
        <f>IFERROR(MID(VLOOKUP($B53,Seqs!$A:$B,2,0),AU53,1),"")</f>
        <v>R</v>
      </c>
      <c r="AU53" s="9">
        <v>291</v>
      </c>
      <c r="AV53" s="9" t="str">
        <f>IFERROR(MID(VLOOKUP($B53,Seqs!$A:$B,2,0),AW53,1),"")</f>
        <v>I</v>
      </c>
      <c r="AW53" s="9">
        <v>292</v>
      </c>
      <c r="AX53" s="9" t="str">
        <f>IFERROR(MID(VLOOKUP($B53,Seqs!$A:$B,2,0),AY53,1),"")</f>
        <v>S</v>
      </c>
      <c r="AY53" s="9">
        <v>305</v>
      </c>
      <c r="AZ53" s="110" t="str">
        <f>VLOOKUP(B53,Classification!A:D,2,0)</f>
        <v>A</v>
      </c>
      <c r="BA53" s="98" t="str">
        <f>VLOOKUP(B53,Classification!A:D,4,0)</f>
        <v>Adenosine</v>
      </c>
      <c r="BB53" s="36" t="b">
        <f t="shared" si="196"/>
        <v>1</v>
      </c>
      <c r="BC53" s="109">
        <f t="shared" si="197"/>
        <v>262</v>
      </c>
      <c r="BD53" s="13" t="s">
        <v>23</v>
      </c>
      <c r="BE53" s="9" t="s">
        <v>1381</v>
      </c>
      <c r="BF53" s="120">
        <v>1.87</v>
      </c>
      <c r="BG53" s="51" t="s">
        <v>1</v>
      </c>
      <c r="BH53" s="51" t="s">
        <v>1</v>
      </c>
      <c r="BJ53" s="111" t="s">
        <v>1293</v>
      </c>
      <c r="BK53" s="112" t="s">
        <v>1293</v>
      </c>
      <c r="BL53" s="112" t="s">
        <v>1293</v>
      </c>
      <c r="BM53" s="112" t="s">
        <v>1293</v>
      </c>
      <c r="BN53" s="112" t="s">
        <v>1293</v>
      </c>
      <c r="BO53" s="112" t="s">
        <v>1293</v>
      </c>
      <c r="BP53" s="112" t="s">
        <v>1293</v>
      </c>
      <c r="BQ53" s="112" t="s">
        <v>1293</v>
      </c>
      <c r="BR53" s="112" t="s">
        <v>1293</v>
      </c>
      <c r="BS53" s="112" t="s">
        <v>1293</v>
      </c>
      <c r="BT53" s="112" t="s">
        <v>1293</v>
      </c>
      <c r="BU53" s="112" t="s">
        <v>1293</v>
      </c>
      <c r="BV53" s="111">
        <f t="shared" si="198"/>
        <v>1</v>
      </c>
      <c r="BW53" s="113">
        <f t="shared" si="199"/>
        <v>35</v>
      </c>
      <c r="BX53" s="114">
        <f t="shared" si="200"/>
        <v>39</v>
      </c>
      <c r="BY53" s="113">
        <f t="shared" si="201"/>
        <v>70</v>
      </c>
      <c r="BZ53" s="114">
        <f t="shared" si="202"/>
        <v>73</v>
      </c>
      <c r="CA53" s="113">
        <f t="shared" si="203"/>
        <v>109</v>
      </c>
      <c r="CB53" s="114">
        <f t="shared" si="204"/>
        <v>117</v>
      </c>
      <c r="CC53" s="113">
        <f t="shared" si="205"/>
        <v>166</v>
      </c>
      <c r="CD53" s="114">
        <f t="shared" si="206"/>
        <v>173</v>
      </c>
      <c r="CE53" s="113">
        <f t="shared" si="207"/>
        <v>219</v>
      </c>
      <c r="CF53" s="114">
        <f t="shared" si="208"/>
        <v>266</v>
      </c>
      <c r="CG53" s="113">
        <f t="shared" si="209"/>
        <v>292</v>
      </c>
      <c r="CH53" s="111">
        <f t="shared" si="210"/>
        <v>34</v>
      </c>
      <c r="CI53" s="113">
        <f t="shared" si="211"/>
        <v>38</v>
      </c>
      <c r="CJ53" s="114">
        <f t="shared" si="212"/>
        <v>69</v>
      </c>
      <c r="CK53" s="114">
        <f t="shared" si="213"/>
        <v>72</v>
      </c>
      <c r="CL53" s="114">
        <f t="shared" si="214"/>
        <v>108</v>
      </c>
      <c r="CM53" s="114">
        <f t="shared" si="215"/>
        <v>116</v>
      </c>
      <c r="CN53" s="114">
        <f t="shared" si="216"/>
        <v>142</v>
      </c>
      <c r="CO53" s="114">
        <f t="shared" si="217"/>
        <v>168</v>
      </c>
      <c r="CP53" s="114">
        <f t="shared" si="218"/>
        <v>208</v>
      </c>
      <c r="CQ53" s="114">
        <f t="shared" si="219"/>
        <v>259</v>
      </c>
      <c r="CR53" s="114">
        <f t="shared" si="220"/>
        <v>291</v>
      </c>
      <c r="CS53" s="114">
        <f t="shared" si="221"/>
        <v>305</v>
      </c>
      <c r="CT53" s="109">
        <f t="shared" si="222"/>
        <v>1</v>
      </c>
    </row>
    <row r="54" spans="1:1029" s="12" customFormat="1" x14ac:dyDescent="0.2">
      <c r="A54" s="9" t="str">
        <f t="shared" si="195"/>
        <v>aa2ar_human_5OLH</v>
      </c>
      <c r="B54" s="9" t="s">
        <v>139</v>
      </c>
      <c r="C54" s="9" t="s">
        <v>1468</v>
      </c>
      <c r="D54" s="9" t="str">
        <f>IFERROR(MID(VLOOKUP($B54,Seqs!$A:$B,2,0),E54,1),"")</f>
        <v>M</v>
      </c>
      <c r="E54" s="9">
        <v>1</v>
      </c>
      <c r="F54" s="9" t="str">
        <f>IFERROR(MID(VLOOKUP($B54,Seqs!$A:$B,2,0),G54,1),"")</f>
        <v>N</v>
      </c>
      <c r="G54" s="9">
        <v>34</v>
      </c>
      <c r="H54" s="9" t="str">
        <f>IFERROR(MID(VLOOKUP($B54,Seqs!$A:$B,2,0),I54,1),"")</f>
        <v>S</v>
      </c>
      <c r="I54" s="109">
        <v>35</v>
      </c>
      <c r="J54" s="9" t="str">
        <f>IFERROR(MID(VLOOKUP($B54,Seqs!$A:$B,2,0),K54,1),"")</f>
        <v>Q</v>
      </c>
      <c r="K54" s="109">
        <v>38</v>
      </c>
      <c r="L54" s="9" t="str">
        <f>IFERROR(MID(VLOOKUP($B54,Seqs!$A:$B,2,0),M54,1),"")</f>
        <v>N</v>
      </c>
      <c r="M54" s="9">
        <v>39</v>
      </c>
      <c r="N54" s="9" t="str">
        <f>IFERROR(MID(VLOOKUP($B54,Seqs!$A:$B,2,0),O54,1),"")</f>
        <v>G</v>
      </c>
      <c r="O54" s="9">
        <v>69</v>
      </c>
      <c r="P54" s="9" t="str">
        <f>IFERROR(MID(VLOOKUP($B54,Seqs!$A:$B,2,0),Q54,1),"")</f>
        <v>F</v>
      </c>
      <c r="Q54" s="9">
        <v>70</v>
      </c>
      <c r="R54" s="9" t="str">
        <f>IFERROR(MID(VLOOKUP($B54,Seqs!$A:$B,2,0),S54,1),"")</f>
        <v>A</v>
      </c>
      <c r="S54" s="9">
        <v>72</v>
      </c>
      <c r="T54" s="9" t="str">
        <f>IFERROR(MID(VLOOKUP($B54,Seqs!$A:$B,2,0),U54,1),"")</f>
        <v>A</v>
      </c>
      <c r="U54" s="9">
        <v>73</v>
      </c>
      <c r="V54" s="9" t="str">
        <f>IFERROR(MID(VLOOKUP($B54,Seqs!$A:$B,2,0),W54,1),"")</f>
        <v>I</v>
      </c>
      <c r="W54" s="9">
        <v>108</v>
      </c>
      <c r="X54" s="9" t="str">
        <f>IFERROR(MID(VLOOKUP($B54,Seqs!$A:$B,2,0),Y54,1),"")</f>
        <v>P</v>
      </c>
      <c r="Y54" s="9">
        <v>109</v>
      </c>
      <c r="Z54" s="9" t="str">
        <f>IFERROR(MID(VLOOKUP($B54,Seqs!$A:$B,2,0),AA54,1),"")</f>
        <v>V</v>
      </c>
      <c r="AA54" s="9">
        <v>116</v>
      </c>
      <c r="AB54" s="9" t="str">
        <f>IFERROR(MID(VLOOKUP($B54,Seqs!$A:$B,2,0),AC54,1),"")</f>
        <v>T</v>
      </c>
      <c r="AC54" s="9">
        <v>117</v>
      </c>
      <c r="AD54" s="9" t="str">
        <f>IFERROR(MID(VLOOKUP($B54,Seqs!$A:$B,2,0),AE54,1),"")</f>
        <v>G</v>
      </c>
      <c r="AE54" s="9">
        <v>142</v>
      </c>
      <c r="AF54" s="9" t="str">
        <f>IFERROR(MID(VLOOKUP($B54,Seqs!$A:$B,2,0),AG54,1),"")</f>
        <v>C</v>
      </c>
      <c r="AG54" s="9">
        <v>166</v>
      </c>
      <c r="AH54" s="9" t="str">
        <f>IFERROR(MID(VLOOKUP($B54,Seqs!$A:$B,2,0),AI54,1),"")</f>
        <v>F</v>
      </c>
      <c r="AI54" s="9">
        <v>168</v>
      </c>
      <c r="AJ54" s="9" t="str">
        <f>IFERROR(MID(VLOOKUP($B54,Seqs!$A:$B,2,0),AK54,1),"")</f>
        <v>P</v>
      </c>
      <c r="AK54" s="9">
        <v>173</v>
      </c>
      <c r="AL54" s="9" t="str">
        <f>IFERROR(MID(VLOOKUP($B54,Seqs!$A:$B,2,0),AM54,1),"")</f>
        <v>L</v>
      </c>
      <c r="AM54" s="9">
        <v>208</v>
      </c>
      <c r="AN54" s="9" t="str">
        <f>IFERROR(MID(VLOOKUP($B54,Seqs!$A:$B,2,0),AO54,1),"")</f>
        <v>E</v>
      </c>
      <c r="AO54" s="9">
        <v>219</v>
      </c>
      <c r="AP54" s="9" t="str">
        <f>IFERROR(MID(VLOOKUP($B54,Seqs!$A:$B,2,0),AQ54,1),"")</f>
        <v>C</v>
      </c>
      <c r="AQ54" s="9">
        <v>259</v>
      </c>
      <c r="AR54" s="9" t="str">
        <f>IFERROR(MID(VLOOKUP($B54,Seqs!$A:$B,2,0),AS54,1),"")</f>
        <v>P</v>
      </c>
      <c r="AS54" s="9">
        <v>266</v>
      </c>
      <c r="AT54" s="9" t="str">
        <f>IFERROR(MID(VLOOKUP($B54,Seqs!$A:$B,2,0),AU54,1),"")</f>
        <v>R</v>
      </c>
      <c r="AU54" s="9">
        <v>291</v>
      </c>
      <c r="AV54" s="9" t="str">
        <f>IFERROR(MID(VLOOKUP($B54,Seqs!$A:$B,2,0),AW54,1),"")</f>
        <v>I</v>
      </c>
      <c r="AW54" s="9">
        <v>292</v>
      </c>
      <c r="AX54" s="9" t="str">
        <f>IFERROR(MID(VLOOKUP($B54,Seqs!$A:$B,2,0),AY54,1),"")</f>
        <v>S</v>
      </c>
      <c r="AY54" s="9">
        <v>305</v>
      </c>
      <c r="AZ54" s="110" t="str">
        <f>VLOOKUP(B54,Classification!A:D,2,0)</f>
        <v>A</v>
      </c>
      <c r="BA54" s="98" t="str">
        <f>VLOOKUP(B54,Classification!A:D,4,0)</f>
        <v>Adenosine</v>
      </c>
      <c r="BB54" s="36" t="b">
        <f t="shared" si="196"/>
        <v>1</v>
      </c>
      <c r="BC54" s="109">
        <f t="shared" si="197"/>
        <v>262</v>
      </c>
      <c r="BD54" s="13" t="s">
        <v>23</v>
      </c>
      <c r="BE54" s="9" t="s">
        <v>1381</v>
      </c>
      <c r="BF54" s="120">
        <v>2.6</v>
      </c>
      <c r="BG54" s="51" t="s">
        <v>1</v>
      </c>
      <c r="BH54" s="51" t="s">
        <v>1</v>
      </c>
      <c r="BJ54" s="111" t="s">
        <v>1293</v>
      </c>
      <c r="BK54" s="112" t="s">
        <v>1293</v>
      </c>
      <c r="BL54" s="112" t="s">
        <v>1293</v>
      </c>
      <c r="BM54" s="112" t="s">
        <v>1293</v>
      </c>
      <c r="BN54" s="112" t="s">
        <v>1293</v>
      </c>
      <c r="BO54" s="112" t="s">
        <v>1293</v>
      </c>
      <c r="BP54" s="112" t="s">
        <v>1293</v>
      </c>
      <c r="BQ54" s="112" t="s">
        <v>1293</v>
      </c>
      <c r="BR54" s="112" t="s">
        <v>1293</v>
      </c>
      <c r="BS54" s="112" t="s">
        <v>1293</v>
      </c>
      <c r="BT54" s="112" t="s">
        <v>1293</v>
      </c>
      <c r="BU54" s="112" t="s">
        <v>1293</v>
      </c>
      <c r="BV54" s="111">
        <f t="shared" si="198"/>
        <v>1</v>
      </c>
      <c r="BW54" s="113">
        <f t="shared" si="199"/>
        <v>35</v>
      </c>
      <c r="BX54" s="114">
        <f t="shared" si="200"/>
        <v>39</v>
      </c>
      <c r="BY54" s="113">
        <f t="shared" si="201"/>
        <v>70</v>
      </c>
      <c r="BZ54" s="114">
        <f t="shared" si="202"/>
        <v>73</v>
      </c>
      <c r="CA54" s="113">
        <f t="shared" si="203"/>
        <v>109</v>
      </c>
      <c r="CB54" s="114">
        <f t="shared" si="204"/>
        <v>117</v>
      </c>
      <c r="CC54" s="113">
        <f t="shared" si="205"/>
        <v>166</v>
      </c>
      <c r="CD54" s="114">
        <f t="shared" si="206"/>
        <v>173</v>
      </c>
      <c r="CE54" s="113">
        <f t="shared" si="207"/>
        <v>219</v>
      </c>
      <c r="CF54" s="114">
        <f t="shared" si="208"/>
        <v>266</v>
      </c>
      <c r="CG54" s="113">
        <f t="shared" si="209"/>
        <v>292</v>
      </c>
      <c r="CH54" s="111">
        <f t="shared" si="210"/>
        <v>34</v>
      </c>
      <c r="CI54" s="113">
        <f t="shared" si="211"/>
        <v>38</v>
      </c>
      <c r="CJ54" s="114">
        <f t="shared" si="212"/>
        <v>69</v>
      </c>
      <c r="CK54" s="114">
        <f t="shared" si="213"/>
        <v>72</v>
      </c>
      <c r="CL54" s="114">
        <f t="shared" si="214"/>
        <v>108</v>
      </c>
      <c r="CM54" s="114">
        <f t="shared" si="215"/>
        <v>116</v>
      </c>
      <c r="CN54" s="114">
        <f t="shared" si="216"/>
        <v>142</v>
      </c>
      <c r="CO54" s="114">
        <f t="shared" si="217"/>
        <v>168</v>
      </c>
      <c r="CP54" s="114">
        <f t="shared" si="218"/>
        <v>208</v>
      </c>
      <c r="CQ54" s="114">
        <f t="shared" si="219"/>
        <v>259</v>
      </c>
      <c r="CR54" s="114">
        <f t="shared" si="220"/>
        <v>291</v>
      </c>
      <c r="CS54" s="114">
        <f t="shared" si="221"/>
        <v>305</v>
      </c>
      <c r="CT54" s="109">
        <f t="shared" si="222"/>
        <v>1</v>
      </c>
    </row>
    <row r="55" spans="1:1029" s="12" customFormat="1" x14ac:dyDescent="0.2">
      <c r="A55" s="9" t="str">
        <f t="shared" si="195"/>
        <v>aa2ar_human_5OLO</v>
      </c>
      <c r="B55" s="9" t="s">
        <v>139</v>
      </c>
      <c r="C55" s="9" t="s">
        <v>1469</v>
      </c>
      <c r="D55" s="9" t="str">
        <f>IFERROR(MID(VLOOKUP($B55,Seqs!$A:$B,2,0),E55,1),"")</f>
        <v>M</v>
      </c>
      <c r="E55" s="9">
        <v>1</v>
      </c>
      <c r="F55" s="9" t="str">
        <f>IFERROR(MID(VLOOKUP($B55,Seqs!$A:$B,2,0),G55,1),"")</f>
        <v>N</v>
      </c>
      <c r="G55" s="9">
        <v>34</v>
      </c>
      <c r="H55" s="9" t="str">
        <f>IFERROR(MID(VLOOKUP($B55,Seqs!$A:$B,2,0),I55,1),"")</f>
        <v>S</v>
      </c>
      <c r="I55" s="109">
        <v>35</v>
      </c>
      <c r="J55" s="9" t="str">
        <f>IFERROR(MID(VLOOKUP($B55,Seqs!$A:$B,2,0),K55,1),"")</f>
        <v>Q</v>
      </c>
      <c r="K55" s="109">
        <v>38</v>
      </c>
      <c r="L55" s="9" t="str">
        <f>IFERROR(MID(VLOOKUP($B55,Seqs!$A:$B,2,0),M55,1),"")</f>
        <v>N</v>
      </c>
      <c r="M55" s="9">
        <v>39</v>
      </c>
      <c r="N55" s="9" t="str">
        <f>IFERROR(MID(VLOOKUP($B55,Seqs!$A:$B,2,0),O55,1),"")</f>
        <v>G</v>
      </c>
      <c r="O55" s="9">
        <v>69</v>
      </c>
      <c r="P55" s="9" t="str">
        <f>IFERROR(MID(VLOOKUP($B55,Seqs!$A:$B,2,0),Q55,1),"")</f>
        <v>F</v>
      </c>
      <c r="Q55" s="9">
        <v>70</v>
      </c>
      <c r="R55" s="9" t="str">
        <f>IFERROR(MID(VLOOKUP($B55,Seqs!$A:$B,2,0),S55,1),"")</f>
        <v>A</v>
      </c>
      <c r="S55" s="9">
        <v>72</v>
      </c>
      <c r="T55" s="9" t="str">
        <f>IFERROR(MID(VLOOKUP($B55,Seqs!$A:$B,2,0),U55,1),"")</f>
        <v>A</v>
      </c>
      <c r="U55" s="9">
        <v>73</v>
      </c>
      <c r="V55" s="9" t="str">
        <f>IFERROR(MID(VLOOKUP($B55,Seqs!$A:$B,2,0),W55,1),"")</f>
        <v>I</v>
      </c>
      <c r="W55" s="9">
        <v>108</v>
      </c>
      <c r="X55" s="9" t="str">
        <f>IFERROR(MID(VLOOKUP($B55,Seqs!$A:$B,2,0),Y55,1),"")</f>
        <v>P</v>
      </c>
      <c r="Y55" s="9">
        <v>109</v>
      </c>
      <c r="Z55" s="9" t="str">
        <f>IFERROR(MID(VLOOKUP($B55,Seqs!$A:$B,2,0),AA55,1),"")</f>
        <v>V</v>
      </c>
      <c r="AA55" s="9">
        <v>116</v>
      </c>
      <c r="AB55" s="9" t="str">
        <f>IFERROR(MID(VLOOKUP($B55,Seqs!$A:$B,2,0),AC55,1),"")</f>
        <v>T</v>
      </c>
      <c r="AC55" s="9">
        <v>117</v>
      </c>
      <c r="AD55" s="9" t="str">
        <f>IFERROR(MID(VLOOKUP($B55,Seqs!$A:$B,2,0),AE55,1),"")</f>
        <v>G</v>
      </c>
      <c r="AE55" s="9">
        <v>142</v>
      </c>
      <c r="AF55" s="9" t="str">
        <f>IFERROR(MID(VLOOKUP($B55,Seqs!$A:$B,2,0),AG55,1),"")</f>
        <v>C</v>
      </c>
      <c r="AG55" s="9">
        <v>166</v>
      </c>
      <c r="AH55" s="9" t="str">
        <f>IFERROR(MID(VLOOKUP($B55,Seqs!$A:$B,2,0),AI55,1),"")</f>
        <v>F</v>
      </c>
      <c r="AI55" s="9">
        <v>168</v>
      </c>
      <c r="AJ55" s="9" t="str">
        <f>IFERROR(MID(VLOOKUP($B55,Seqs!$A:$B,2,0),AK55,1),"")</f>
        <v>P</v>
      </c>
      <c r="AK55" s="9">
        <v>173</v>
      </c>
      <c r="AL55" s="9" t="str">
        <f>IFERROR(MID(VLOOKUP($B55,Seqs!$A:$B,2,0),AM55,1),"")</f>
        <v>L</v>
      </c>
      <c r="AM55" s="9">
        <v>208</v>
      </c>
      <c r="AN55" s="9" t="str">
        <f>IFERROR(MID(VLOOKUP($B55,Seqs!$A:$B,2,0),AO55,1),"")</f>
        <v>E</v>
      </c>
      <c r="AO55" s="9">
        <v>219</v>
      </c>
      <c r="AP55" s="9" t="str">
        <f>IFERROR(MID(VLOOKUP($B55,Seqs!$A:$B,2,0),AQ55,1),"")</f>
        <v>C</v>
      </c>
      <c r="AQ55" s="9">
        <v>259</v>
      </c>
      <c r="AR55" s="9" t="str">
        <f>IFERROR(MID(VLOOKUP($B55,Seqs!$A:$B,2,0),AS55,1),"")</f>
        <v>P</v>
      </c>
      <c r="AS55" s="9">
        <v>266</v>
      </c>
      <c r="AT55" s="9" t="str">
        <f>IFERROR(MID(VLOOKUP($B55,Seqs!$A:$B,2,0),AU55,1),"")</f>
        <v>R</v>
      </c>
      <c r="AU55" s="9">
        <v>291</v>
      </c>
      <c r="AV55" s="9" t="str">
        <f>IFERROR(MID(VLOOKUP($B55,Seqs!$A:$B,2,0),AW55,1),"")</f>
        <v>I</v>
      </c>
      <c r="AW55" s="9">
        <v>292</v>
      </c>
      <c r="AX55" s="9" t="str">
        <f>IFERROR(MID(VLOOKUP($B55,Seqs!$A:$B,2,0),AY55,1),"")</f>
        <v>S</v>
      </c>
      <c r="AY55" s="9">
        <v>305</v>
      </c>
      <c r="AZ55" s="110" t="str">
        <f>VLOOKUP(B55,Classification!A:D,2,0)</f>
        <v>A</v>
      </c>
      <c r="BA55" s="98" t="str">
        <f>VLOOKUP(B55,Classification!A:D,4,0)</f>
        <v>Adenosine</v>
      </c>
      <c r="BB55" s="36" t="b">
        <f t="shared" si="196"/>
        <v>1</v>
      </c>
      <c r="BC55" s="109">
        <f t="shared" si="197"/>
        <v>262</v>
      </c>
      <c r="BD55" s="13" t="s">
        <v>23</v>
      </c>
      <c r="BE55" s="9" t="s">
        <v>1381</v>
      </c>
      <c r="BF55" s="120">
        <v>3.1</v>
      </c>
      <c r="BG55" s="51" t="s">
        <v>1</v>
      </c>
      <c r="BH55" s="51" t="s">
        <v>1</v>
      </c>
      <c r="BJ55" s="111" t="s">
        <v>1293</v>
      </c>
      <c r="BK55" s="112" t="s">
        <v>1293</v>
      </c>
      <c r="BL55" s="112" t="s">
        <v>1293</v>
      </c>
      <c r="BM55" s="112" t="s">
        <v>1293</v>
      </c>
      <c r="BN55" s="112" t="s">
        <v>1293</v>
      </c>
      <c r="BO55" s="112" t="s">
        <v>1293</v>
      </c>
      <c r="BP55" s="112" t="s">
        <v>1293</v>
      </c>
      <c r="BQ55" s="112" t="s">
        <v>1293</v>
      </c>
      <c r="BR55" s="112" t="s">
        <v>1293</v>
      </c>
      <c r="BS55" s="112" t="s">
        <v>1293</v>
      </c>
      <c r="BT55" s="112" t="s">
        <v>1293</v>
      </c>
      <c r="BU55" s="112" t="s">
        <v>1293</v>
      </c>
      <c r="BV55" s="111">
        <f t="shared" si="198"/>
        <v>1</v>
      </c>
      <c r="BW55" s="113">
        <f t="shared" si="199"/>
        <v>35</v>
      </c>
      <c r="BX55" s="114">
        <f t="shared" si="200"/>
        <v>39</v>
      </c>
      <c r="BY55" s="113">
        <f t="shared" si="201"/>
        <v>70</v>
      </c>
      <c r="BZ55" s="114">
        <f t="shared" si="202"/>
        <v>73</v>
      </c>
      <c r="CA55" s="113">
        <f t="shared" si="203"/>
        <v>109</v>
      </c>
      <c r="CB55" s="114">
        <f t="shared" si="204"/>
        <v>117</v>
      </c>
      <c r="CC55" s="113">
        <f t="shared" si="205"/>
        <v>166</v>
      </c>
      <c r="CD55" s="114">
        <f t="shared" si="206"/>
        <v>173</v>
      </c>
      <c r="CE55" s="113">
        <f t="shared" si="207"/>
        <v>219</v>
      </c>
      <c r="CF55" s="114">
        <f t="shared" si="208"/>
        <v>266</v>
      </c>
      <c r="CG55" s="113">
        <f t="shared" si="209"/>
        <v>292</v>
      </c>
      <c r="CH55" s="111">
        <f t="shared" si="210"/>
        <v>34</v>
      </c>
      <c r="CI55" s="113">
        <f t="shared" si="211"/>
        <v>38</v>
      </c>
      <c r="CJ55" s="114">
        <f t="shared" si="212"/>
        <v>69</v>
      </c>
      <c r="CK55" s="114">
        <f t="shared" si="213"/>
        <v>72</v>
      </c>
      <c r="CL55" s="114">
        <f t="shared" si="214"/>
        <v>108</v>
      </c>
      <c r="CM55" s="114">
        <f t="shared" si="215"/>
        <v>116</v>
      </c>
      <c r="CN55" s="114">
        <f t="shared" si="216"/>
        <v>142</v>
      </c>
      <c r="CO55" s="114">
        <f t="shared" si="217"/>
        <v>168</v>
      </c>
      <c r="CP55" s="114">
        <f t="shared" si="218"/>
        <v>208</v>
      </c>
      <c r="CQ55" s="114">
        <f t="shared" si="219"/>
        <v>259</v>
      </c>
      <c r="CR55" s="114">
        <f t="shared" si="220"/>
        <v>291</v>
      </c>
      <c r="CS55" s="114">
        <f t="shared" si="221"/>
        <v>305</v>
      </c>
      <c r="CT55" s="109">
        <f t="shared" si="222"/>
        <v>1</v>
      </c>
    </row>
    <row r="56" spans="1:1029" s="12" customFormat="1" x14ac:dyDescent="0.2">
      <c r="A56" s="9" t="str">
        <f t="shared" si="195"/>
        <v>aa2ar_human_5OLV</v>
      </c>
      <c r="B56" s="9" t="s">
        <v>139</v>
      </c>
      <c r="C56" s="9" t="s">
        <v>1470</v>
      </c>
      <c r="D56" s="9" t="str">
        <f>IFERROR(MID(VLOOKUP($B56,Seqs!$A:$B,2,0),E56,1),"")</f>
        <v>M</v>
      </c>
      <c r="E56" s="9">
        <v>1</v>
      </c>
      <c r="F56" s="9" t="str">
        <f>IFERROR(MID(VLOOKUP($B56,Seqs!$A:$B,2,0),G56,1),"")</f>
        <v>N</v>
      </c>
      <c r="G56" s="9">
        <v>34</v>
      </c>
      <c r="H56" s="9" t="str">
        <f>IFERROR(MID(VLOOKUP($B56,Seqs!$A:$B,2,0),I56,1),"")</f>
        <v>S</v>
      </c>
      <c r="I56" s="109">
        <v>35</v>
      </c>
      <c r="J56" s="9" t="str">
        <f>IFERROR(MID(VLOOKUP($B56,Seqs!$A:$B,2,0),K56,1),"")</f>
        <v>Q</v>
      </c>
      <c r="K56" s="109">
        <v>38</v>
      </c>
      <c r="L56" s="9" t="str">
        <f>IFERROR(MID(VLOOKUP($B56,Seqs!$A:$B,2,0),M56,1),"")</f>
        <v>N</v>
      </c>
      <c r="M56" s="9">
        <v>39</v>
      </c>
      <c r="N56" s="9" t="str">
        <f>IFERROR(MID(VLOOKUP($B56,Seqs!$A:$B,2,0),O56,1),"")</f>
        <v>G</v>
      </c>
      <c r="O56" s="9">
        <v>69</v>
      </c>
      <c r="P56" s="9" t="str">
        <f>IFERROR(MID(VLOOKUP($B56,Seqs!$A:$B,2,0),Q56,1),"")</f>
        <v>F</v>
      </c>
      <c r="Q56" s="9">
        <v>70</v>
      </c>
      <c r="R56" s="9" t="str">
        <f>IFERROR(MID(VLOOKUP($B56,Seqs!$A:$B,2,0),S56,1),"")</f>
        <v>A</v>
      </c>
      <c r="S56" s="9">
        <v>72</v>
      </c>
      <c r="T56" s="9" t="str">
        <f>IFERROR(MID(VLOOKUP($B56,Seqs!$A:$B,2,0),U56,1),"")</f>
        <v>A</v>
      </c>
      <c r="U56" s="9">
        <v>73</v>
      </c>
      <c r="V56" s="9" t="str">
        <f>IFERROR(MID(VLOOKUP($B56,Seqs!$A:$B,2,0),W56,1),"")</f>
        <v>I</v>
      </c>
      <c r="W56" s="9">
        <v>108</v>
      </c>
      <c r="X56" s="9" t="str">
        <f>IFERROR(MID(VLOOKUP($B56,Seqs!$A:$B,2,0),Y56,1),"")</f>
        <v>P</v>
      </c>
      <c r="Y56" s="9">
        <v>109</v>
      </c>
      <c r="Z56" s="9" t="str">
        <f>IFERROR(MID(VLOOKUP($B56,Seqs!$A:$B,2,0),AA56,1),"")</f>
        <v>V</v>
      </c>
      <c r="AA56" s="9">
        <v>116</v>
      </c>
      <c r="AB56" s="9" t="str">
        <f>IFERROR(MID(VLOOKUP($B56,Seqs!$A:$B,2,0),AC56,1),"")</f>
        <v>T</v>
      </c>
      <c r="AC56" s="9">
        <v>117</v>
      </c>
      <c r="AD56" s="9" t="str">
        <f>IFERROR(MID(VLOOKUP($B56,Seqs!$A:$B,2,0),AE56,1),"")</f>
        <v>G</v>
      </c>
      <c r="AE56" s="9">
        <v>142</v>
      </c>
      <c r="AF56" s="9" t="str">
        <f>IFERROR(MID(VLOOKUP($B56,Seqs!$A:$B,2,0),AG56,1),"")</f>
        <v>C</v>
      </c>
      <c r="AG56" s="9">
        <v>166</v>
      </c>
      <c r="AH56" s="9" t="str">
        <f>IFERROR(MID(VLOOKUP($B56,Seqs!$A:$B,2,0),AI56,1),"")</f>
        <v>F</v>
      </c>
      <c r="AI56" s="9">
        <v>168</v>
      </c>
      <c r="AJ56" s="9" t="str">
        <f>IFERROR(MID(VLOOKUP($B56,Seqs!$A:$B,2,0),AK56,1),"")</f>
        <v>P</v>
      </c>
      <c r="AK56" s="9">
        <v>173</v>
      </c>
      <c r="AL56" s="9" t="str">
        <f>IFERROR(MID(VLOOKUP($B56,Seqs!$A:$B,2,0),AM56,1),"")</f>
        <v>L</v>
      </c>
      <c r="AM56" s="9">
        <v>208</v>
      </c>
      <c r="AN56" s="9" t="str">
        <f>IFERROR(MID(VLOOKUP($B56,Seqs!$A:$B,2,0),AO56,1),"")</f>
        <v>E</v>
      </c>
      <c r="AO56" s="9">
        <v>219</v>
      </c>
      <c r="AP56" s="9" t="str">
        <f>IFERROR(MID(VLOOKUP($B56,Seqs!$A:$B,2,0),AQ56,1),"")</f>
        <v>C</v>
      </c>
      <c r="AQ56" s="9">
        <v>259</v>
      </c>
      <c r="AR56" s="9" t="str">
        <f>IFERROR(MID(VLOOKUP($B56,Seqs!$A:$B,2,0),AS56,1),"")</f>
        <v>P</v>
      </c>
      <c r="AS56" s="9">
        <v>266</v>
      </c>
      <c r="AT56" s="9" t="str">
        <f>IFERROR(MID(VLOOKUP($B56,Seqs!$A:$B,2,0),AU56,1),"")</f>
        <v>R</v>
      </c>
      <c r="AU56" s="9">
        <v>291</v>
      </c>
      <c r="AV56" s="9" t="str">
        <f>IFERROR(MID(VLOOKUP($B56,Seqs!$A:$B,2,0),AW56,1),"")</f>
        <v>I</v>
      </c>
      <c r="AW56" s="9">
        <v>292</v>
      </c>
      <c r="AX56" s="9" t="str">
        <f>IFERROR(MID(VLOOKUP($B56,Seqs!$A:$B,2,0),AY56,1),"")</f>
        <v>S</v>
      </c>
      <c r="AY56" s="9">
        <v>305</v>
      </c>
      <c r="AZ56" s="110" t="str">
        <f>VLOOKUP(B56,Classification!A:D,2,0)</f>
        <v>A</v>
      </c>
      <c r="BA56" s="98" t="str">
        <f>VLOOKUP(B56,Classification!A:D,4,0)</f>
        <v>Adenosine</v>
      </c>
      <c r="BB56" s="36" t="b">
        <f t="shared" si="196"/>
        <v>1</v>
      </c>
      <c r="BC56" s="109">
        <f t="shared" si="197"/>
        <v>262</v>
      </c>
      <c r="BD56" s="13" t="s">
        <v>23</v>
      </c>
      <c r="BE56" s="9" t="s">
        <v>1381</v>
      </c>
      <c r="BF56" s="120">
        <v>2</v>
      </c>
      <c r="BG56" s="51" t="s">
        <v>1</v>
      </c>
      <c r="BH56" s="51" t="s">
        <v>1</v>
      </c>
      <c r="BJ56" s="111" t="s">
        <v>1293</v>
      </c>
      <c r="BK56" s="112" t="s">
        <v>1293</v>
      </c>
      <c r="BL56" s="112" t="s">
        <v>1293</v>
      </c>
      <c r="BM56" s="112" t="s">
        <v>1293</v>
      </c>
      <c r="BN56" s="112" t="s">
        <v>1293</v>
      </c>
      <c r="BO56" s="112" t="s">
        <v>1293</v>
      </c>
      <c r="BP56" s="112" t="s">
        <v>1293</v>
      </c>
      <c r="BQ56" s="112" t="s">
        <v>1293</v>
      </c>
      <c r="BR56" s="112" t="s">
        <v>1293</v>
      </c>
      <c r="BS56" s="112" t="s">
        <v>1293</v>
      </c>
      <c r="BT56" s="112" t="s">
        <v>1293</v>
      </c>
      <c r="BU56" s="112" t="s">
        <v>1293</v>
      </c>
      <c r="BV56" s="111">
        <f t="shared" si="198"/>
        <v>1</v>
      </c>
      <c r="BW56" s="113">
        <f t="shared" si="199"/>
        <v>35</v>
      </c>
      <c r="BX56" s="114">
        <f t="shared" si="200"/>
        <v>39</v>
      </c>
      <c r="BY56" s="113">
        <f t="shared" si="201"/>
        <v>70</v>
      </c>
      <c r="BZ56" s="114">
        <f t="shared" si="202"/>
        <v>73</v>
      </c>
      <c r="CA56" s="113">
        <f t="shared" si="203"/>
        <v>109</v>
      </c>
      <c r="CB56" s="114">
        <f t="shared" si="204"/>
        <v>117</v>
      </c>
      <c r="CC56" s="113">
        <f t="shared" si="205"/>
        <v>166</v>
      </c>
      <c r="CD56" s="114">
        <f t="shared" si="206"/>
        <v>173</v>
      </c>
      <c r="CE56" s="113">
        <f t="shared" si="207"/>
        <v>219</v>
      </c>
      <c r="CF56" s="114">
        <f t="shared" si="208"/>
        <v>266</v>
      </c>
      <c r="CG56" s="113">
        <f t="shared" si="209"/>
        <v>292</v>
      </c>
      <c r="CH56" s="111">
        <f t="shared" si="210"/>
        <v>34</v>
      </c>
      <c r="CI56" s="113">
        <f t="shared" si="211"/>
        <v>38</v>
      </c>
      <c r="CJ56" s="114">
        <f t="shared" si="212"/>
        <v>69</v>
      </c>
      <c r="CK56" s="114">
        <f t="shared" si="213"/>
        <v>72</v>
      </c>
      <c r="CL56" s="114">
        <f t="shared" si="214"/>
        <v>108</v>
      </c>
      <c r="CM56" s="114">
        <f t="shared" si="215"/>
        <v>116</v>
      </c>
      <c r="CN56" s="114">
        <f t="shared" si="216"/>
        <v>142</v>
      </c>
      <c r="CO56" s="114">
        <f t="shared" si="217"/>
        <v>168</v>
      </c>
      <c r="CP56" s="114">
        <f t="shared" si="218"/>
        <v>208</v>
      </c>
      <c r="CQ56" s="114">
        <f t="shared" si="219"/>
        <v>259</v>
      </c>
      <c r="CR56" s="114">
        <f t="shared" si="220"/>
        <v>291</v>
      </c>
      <c r="CS56" s="114">
        <f t="shared" si="221"/>
        <v>305</v>
      </c>
      <c r="CT56" s="109">
        <f t="shared" si="222"/>
        <v>1</v>
      </c>
    </row>
    <row r="57" spans="1:1029" s="12" customFormat="1" x14ac:dyDescent="0.2">
      <c r="A57" s="9" t="str">
        <f t="shared" si="195"/>
        <v>aa2ar_human_5OLZ</v>
      </c>
      <c r="B57" s="9" t="s">
        <v>139</v>
      </c>
      <c r="C57" s="9" t="s">
        <v>1471</v>
      </c>
      <c r="D57" s="9" t="str">
        <f>IFERROR(MID(VLOOKUP($B57,Seqs!$A:$B,2,0),E57,1),"")</f>
        <v>M</v>
      </c>
      <c r="E57" s="9">
        <v>1</v>
      </c>
      <c r="F57" s="9" t="str">
        <f>IFERROR(MID(VLOOKUP($B57,Seqs!$A:$B,2,0),G57,1),"")</f>
        <v>N</v>
      </c>
      <c r="G57" s="9">
        <v>34</v>
      </c>
      <c r="H57" s="9" t="str">
        <f>IFERROR(MID(VLOOKUP($B57,Seqs!$A:$B,2,0),I57,1),"")</f>
        <v>S</v>
      </c>
      <c r="I57" s="109">
        <v>35</v>
      </c>
      <c r="J57" s="9" t="str">
        <f>IFERROR(MID(VLOOKUP($B57,Seqs!$A:$B,2,0),K57,1),"")</f>
        <v>Q</v>
      </c>
      <c r="K57" s="109">
        <v>38</v>
      </c>
      <c r="L57" s="9" t="str">
        <f>IFERROR(MID(VLOOKUP($B57,Seqs!$A:$B,2,0),M57,1),"")</f>
        <v>N</v>
      </c>
      <c r="M57" s="9">
        <v>39</v>
      </c>
      <c r="N57" s="9" t="str">
        <f>IFERROR(MID(VLOOKUP($B57,Seqs!$A:$B,2,0),O57,1),"")</f>
        <v>G</v>
      </c>
      <c r="O57" s="9">
        <v>69</v>
      </c>
      <c r="P57" s="9" t="str">
        <f>IFERROR(MID(VLOOKUP($B57,Seqs!$A:$B,2,0),Q57,1),"")</f>
        <v>F</v>
      </c>
      <c r="Q57" s="9">
        <v>70</v>
      </c>
      <c r="R57" s="9" t="str">
        <f>IFERROR(MID(VLOOKUP($B57,Seqs!$A:$B,2,0),S57,1),"")</f>
        <v>A</v>
      </c>
      <c r="S57" s="9">
        <v>72</v>
      </c>
      <c r="T57" s="9" t="str">
        <f>IFERROR(MID(VLOOKUP($B57,Seqs!$A:$B,2,0),U57,1),"")</f>
        <v>A</v>
      </c>
      <c r="U57" s="9">
        <v>73</v>
      </c>
      <c r="V57" s="9" t="str">
        <f>IFERROR(MID(VLOOKUP($B57,Seqs!$A:$B,2,0),W57,1),"")</f>
        <v>I</v>
      </c>
      <c r="W57" s="9">
        <v>108</v>
      </c>
      <c r="X57" s="9" t="str">
        <f>IFERROR(MID(VLOOKUP($B57,Seqs!$A:$B,2,0),Y57,1),"")</f>
        <v>P</v>
      </c>
      <c r="Y57" s="9">
        <v>109</v>
      </c>
      <c r="Z57" s="9" t="str">
        <f>IFERROR(MID(VLOOKUP($B57,Seqs!$A:$B,2,0),AA57,1),"")</f>
        <v>V</v>
      </c>
      <c r="AA57" s="9">
        <v>116</v>
      </c>
      <c r="AB57" s="9" t="str">
        <f>IFERROR(MID(VLOOKUP($B57,Seqs!$A:$B,2,0),AC57,1),"")</f>
        <v>T</v>
      </c>
      <c r="AC57" s="9">
        <v>117</v>
      </c>
      <c r="AD57" s="9" t="str">
        <f>IFERROR(MID(VLOOKUP($B57,Seqs!$A:$B,2,0),AE57,1),"")</f>
        <v>G</v>
      </c>
      <c r="AE57" s="9">
        <v>142</v>
      </c>
      <c r="AF57" s="9" t="str">
        <f>IFERROR(MID(VLOOKUP($B57,Seqs!$A:$B,2,0),AG57,1),"")</f>
        <v>C</v>
      </c>
      <c r="AG57" s="9">
        <v>166</v>
      </c>
      <c r="AH57" s="9" t="str">
        <f>IFERROR(MID(VLOOKUP($B57,Seqs!$A:$B,2,0),AI57,1),"")</f>
        <v>F</v>
      </c>
      <c r="AI57" s="9">
        <v>168</v>
      </c>
      <c r="AJ57" s="9" t="str">
        <f>IFERROR(MID(VLOOKUP($B57,Seqs!$A:$B,2,0),AK57,1),"")</f>
        <v>P</v>
      </c>
      <c r="AK57" s="9">
        <v>173</v>
      </c>
      <c r="AL57" s="9" t="str">
        <f>IFERROR(MID(VLOOKUP($B57,Seqs!$A:$B,2,0),AM57,1),"")</f>
        <v>L</v>
      </c>
      <c r="AM57" s="9">
        <v>208</v>
      </c>
      <c r="AN57" s="9" t="str">
        <f>IFERROR(MID(VLOOKUP($B57,Seqs!$A:$B,2,0),AO57,1),"")</f>
        <v>E</v>
      </c>
      <c r="AO57" s="9">
        <v>219</v>
      </c>
      <c r="AP57" s="9" t="str">
        <f>IFERROR(MID(VLOOKUP($B57,Seqs!$A:$B,2,0),AQ57,1),"")</f>
        <v>C</v>
      </c>
      <c r="AQ57" s="9">
        <v>259</v>
      </c>
      <c r="AR57" s="9" t="str">
        <f>IFERROR(MID(VLOOKUP($B57,Seqs!$A:$B,2,0),AS57,1),"")</f>
        <v>P</v>
      </c>
      <c r="AS57" s="9">
        <v>266</v>
      </c>
      <c r="AT57" s="9" t="str">
        <f>IFERROR(MID(VLOOKUP($B57,Seqs!$A:$B,2,0),AU57,1),"")</f>
        <v>R</v>
      </c>
      <c r="AU57" s="9">
        <v>291</v>
      </c>
      <c r="AV57" s="9" t="str">
        <f>IFERROR(MID(VLOOKUP($B57,Seqs!$A:$B,2,0),AW57,1),"")</f>
        <v>I</v>
      </c>
      <c r="AW57" s="9">
        <v>292</v>
      </c>
      <c r="AX57" s="9" t="str">
        <f>IFERROR(MID(VLOOKUP($B57,Seqs!$A:$B,2,0),AY57,1),"")</f>
        <v>S</v>
      </c>
      <c r="AY57" s="9">
        <v>305</v>
      </c>
      <c r="AZ57" s="110" t="str">
        <f>VLOOKUP(B57,Classification!A:D,2,0)</f>
        <v>A</v>
      </c>
      <c r="BA57" s="98" t="str">
        <f>VLOOKUP(B57,Classification!A:D,4,0)</f>
        <v>Adenosine</v>
      </c>
      <c r="BB57" s="36" t="b">
        <f t="shared" si="196"/>
        <v>1</v>
      </c>
      <c r="BC57" s="109">
        <f t="shared" si="197"/>
        <v>262</v>
      </c>
      <c r="BD57" s="13" t="s">
        <v>23</v>
      </c>
      <c r="BE57" s="9" t="s">
        <v>1381</v>
      </c>
      <c r="BF57" s="120">
        <v>1.9</v>
      </c>
      <c r="BG57" s="51" t="s">
        <v>1</v>
      </c>
      <c r="BH57" s="51" t="s">
        <v>1</v>
      </c>
      <c r="BJ57" s="111" t="s">
        <v>1293</v>
      </c>
      <c r="BK57" s="112" t="s">
        <v>1293</v>
      </c>
      <c r="BL57" s="112" t="s">
        <v>1293</v>
      </c>
      <c r="BM57" s="112" t="s">
        <v>1293</v>
      </c>
      <c r="BN57" s="112" t="s">
        <v>1293</v>
      </c>
      <c r="BO57" s="112" t="s">
        <v>1293</v>
      </c>
      <c r="BP57" s="112" t="s">
        <v>1293</v>
      </c>
      <c r="BQ57" s="112" t="s">
        <v>1293</v>
      </c>
      <c r="BR57" s="112" t="s">
        <v>1293</v>
      </c>
      <c r="BS57" s="112" t="s">
        <v>1293</v>
      </c>
      <c r="BT57" s="112" t="s">
        <v>1293</v>
      </c>
      <c r="BU57" s="112" t="s">
        <v>1293</v>
      </c>
      <c r="BV57" s="111">
        <f t="shared" si="198"/>
        <v>1</v>
      </c>
      <c r="BW57" s="113">
        <f t="shared" si="199"/>
        <v>35</v>
      </c>
      <c r="BX57" s="114">
        <f t="shared" si="200"/>
        <v>39</v>
      </c>
      <c r="BY57" s="113">
        <f t="shared" si="201"/>
        <v>70</v>
      </c>
      <c r="BZ57" s="114">
        <f t="shared" si="202"/>
        <v>73</v>
      </c>
      <c r="CA57" s="113">
        <f t="shared" si="203"/>
        <v>109</v>
      </c>
      <c r="CB57" s="114">
        <f t="shared" si="204"/>
        <v>117</v>
      </c>
      <c r="CC57" s="113">
        <f t="shared" si="205"/>
        <v>166</v>
      </c>
      <c r="CD57" s="114">
        <f t="shared" si="206"/>
        <v>173</v>
      </c>
      <c r="CE57" s="113">
        <f t="shared" si="207"/>
        <v>219</v>
      </c>
      <c r="CF57" s="114">
        <f t="shared" si="208"/>
        <v>266</v>
      </c>
      <c r="CG57" s="113">
        <f t="shared" si="209"/>
        <v>292</v>
      </c>
      <c r="CH57" s="111">
        <f t="shared" si="210"/>
        <v>34</v>
      </c>
      <c r="CI57" s="113">
        <f t="shared" si="211"/>
        <v>38</v>
      </c>
      <c r="CJ57" s="114">
        <f t="shared" si="212"/>
        <v>69</v>
      </c>
      <c r="CK57" s="114">
        <f t="shared" si="213"/>
        <v>72</v>
      </c>
      <c r="CL57" s="114">
        <f t="shared" si="214"/>
        <v>108</v>
      </c>
      <c r="CM57" s="114">
        <f t="shared" si="215"/>
        <v>116</v>
      </c>
      <c r="CN57" s="114">
        <f t="shared" si="216"/>
        <v>142</v>
      </c>
      <c r="CO57" s="114">
        <f t="shared" si="217"/>
        <v>168</v>
      </c>
      <c r="CP57" s="114">
        <f t="shared" si="218"/>
        <v>208</v>
      </c>
      <c r="CQ57" s="114">
        <f t="shared" si="219"/>
        <v>259</v>
      </c>
      <c r="CR57" s="114">
        <f t="shared" si="220"/>
        <v>291</v>
      </c>
      <c r="CS57" s="114">
        <f t="shared" si="221"/>
        <v>305</v>
      </c>
      <c r="CT57" s="109">
        <f t="shared" si="222"/>
        <v>1</v>
      </c>
    </row>
    <row r="58" spans="1:1029" s="12" customFormat="1" x14ac:dyDescent="0.2">
      <c r="A58" s="9" t="str">
        <f t="shared" si="195"/>
        <v>aa2ar_human_5OM1</v>
      </c>
      <c r="B58" s="9" t="s">
        <v>139</v>
      </c>
      <c r="C58" s="9" t="s">
        <v>1472</v>
      </c>
      <c r="D58" s="9" t="str">
        <f>IFERROR(MID(VLOOKUP($B58,Seqs!$A:$B,2,0),E58,1),"")</f>
        <v>M</v>
      </c>
      <c r="E58" s="9">
        <v>1</v>
      </c>
      <c r="F58" s="9" t="str">
        <f>IFERROR(MID(VLOOKUP($B58,Seqs!$A:$B,2,0),G58,1),"")</f>
        <v>N</v>
      </c>
      <c r="G58" s="9">
        <v>34</v>
      </c>
      <c r="H58" s="9" t="str">
        <f>IFERROR(MID(VLOOKUP($B58,Seqs!$A:$B,2,0),I58,1),"")</f>
        <v>S</v>
      </c>
      <c r="I58" s="109">
        <v>35</v>
      </c>
      <c r="J58" s="9" t="str">
        <f>IFERROR(MID(VLOOKUP($B58,Seqs!$A:$B,2,0),K58,1),"")</f>
        <v>Q</v>
      </c>
      <c r="K58" s="109">
        <v>38</v>
      </c>
      <c r="L58" s="9" t="str">
        <f>IFERROR(MID(VLOOKUP($B58,Seqs!$A:$B,2,0),M58,1),"")</f>
        <v>N</v>
      </c>
      <c r="M58" s="9">
        <v>39</v>
      </c>
      <c r="N58" s="9" t="str">
        <f>IFERROR(MID(VLOOKUP($B58,Seqs!$A:$B,2,0),O58,1),"")</f>
        <v>G</v>
      </c>
      <c r="O58" s="9">
        <v>69</v>
      </c>
      <c r="P58" s="9" t="str">
        <f>IFERROR(MID(VLOOKUP($B58,Seqs!$A:$B,2,0),Q58,1),"")</f>
        <v>F</v>
      </c>
      <c r="Q58" s="9">
        <v>70</v>
      </c>
      <c r="R58" s="9" t="str">
        <f>IFERROR(MID(VLOOKUP($B58,Seqs!$A:$B,2,0),S58,1),"")</f>
        <v>A</v>
      </c>
      <c r="S58" s="9">
        <v>72</v>
      </c>
      <c r="T58" s="9" t="str">
        <f>IFERROR(MID(VLOOKUP($B58,Seqs!$A:$B,2,0),U58,1),"")</f>
        <v>A</v>
      </c>
      <c r="U58" s="9">
        <v>73</v>
      </c>
      <c r="V58" s="9" t="str">
        <f>IFERROR(MID(VLOOKUP($B58,Seqs!$A:$B,2,0),W58,1),"")</f>
        <v>I</v>
      </c>
      <c r="W58" s="9">
        <v>108</v>
      </c>
      <c r="X58" s="9" t="str">
        <f>IFERROR(MID(VLOOKUP($B58,Seqs!$A:$B,2,0),Y58,1),"")</f>
        <v>P</v>
      </c>
      <c r="Y58" s="9">
        <v>109</v>
      </c>
      <c r="Z58" s="9" t="str">
        <f>IFERROR(MID(VLOOKUP($B58,Seqs!$A:$B,2,0),AA58,1),"")</f>
        <v>V</v>
      </c>
      <c r="AA58" s="9">
        <v>116</v>
      </c>
      <c r="AB58" s="9" t="str">
        <f>IFERROR(MID(VLOOKUP($B58,Seqs!$A:$B,2,0),AC58,1),"")</f>
        <v>T</v>
      </c>
      <c r="AC58" s="9">
        <v>117</v>
      </c>
      <c r="AD58" s="9" t="str">
        <f>IFERROR(MID(VLOOKUP($B58,Seqs!$A:$B,2,0),AE58,1),"")</f>
        <v>G</v>
      </c>
      <c r="AE58" s="9">
        <v>142</v>
      </c>
      <c r="AF58" s="9" t="str">
        <f>IFERROR(MID(VLOOKUP($B58,Seqs!$A:$B,2,0),AG58,1),"")</f>
        <v>C</v>
      </c>
      <c r="AG58" s="9">
        <v>166</v>
      </c>
      <c r="AH58" s="9" t="str">
        <f>IFERROR(MID(VLOOKUP($B58,Seqs!$A:$B,2,0),AI58,1),"")</f>
        <v>F</v>
      </c>
      <c r="AI58" s="9">
        <v>168</v>
      </c>
      <c r="AJ58" s="9" t="str">
        <f>IFERROR(MID(VLOOKUP($B58,Seqs!$A:$B,2,0),AK58,1),"")</f>
        <v>P</v>
      </c>
      <c r="AK58" s="9">
        <v>173</v>
      </c>
      <c r="AL58" s="9" t="str">
        <f>IFERROR(MID(VLOOKUP($B58,Seqs!$A:$B,2,0),AM58,1),"")</f>
        <v>L</v>
      </c>
      <c r="AM58" s="9">
        <v>208</v>
      </c>
      <c r="AN58" s="9" t="str">
        <f>IFERROR(MID(VLOOKUP($B58,Seqs!$A:$B,2,0),AO58,1),"")</f>
        <v>E</v>
      </c>
      <c r="AO58" s="9">
        <v>219</v>
      </c>
      <c r="AP58" s="9" t="str">
        <f>IFERROR(MID(VLOOKUP($B58,Seqs!$A:$B,2,0),AQ58,1),"")</f>
        <v>C</v>
      </c>
      <c r="AQ58" s="9">
        <v>259</v>
      </c>
      <c r="AR58" s="9" t="str">
        <f>IFERROR(MID(VLOOKUP($B58,Seqs!$A:$B,2,0),AS58,1),"")</f>
        <v>P</v>
      </c>
      <c r="AS58" s="9">
        <v>266</v>
      </c>
      <c r="AT58" s="9" t="str">
        <f>IFERROR(MID(VLOOKUP($B58,Seqs!$A:$B,2,0),AU58,1),"")</f>
        <v>R</v>
      </c>
      <c r="AU58" s="9">
        <v>291</v>
      </c>
      <c r="AV58" s="9" t="str">
        <f>IFERROR(MID(VLOOKUP($B58,Seqs!$A:$B,2,0),AW58,1),"")</f>
        <v>I</v>
      </c>
      <c r="AW58" s="9">
        <v>292</v>
      </c>
      <c r="AX58" s="9" t="str">
        <f>IFERROR(MID(VLOOKUP($B58,Seqs!$A:$B,2,0),AY58,1),"")</f>
        <v>S</v>
      </c>
      <c r="AY58" s="9">
        <v>305</v>
      </c>
      <c r="AZ58" s="110" t="str">
        <f>VLOOKUP(B58,Classification!A:D,2,0)</f>
        <v>A</v>
      </c>
      <c r="BA58" s="98" t="str">
        <f>VLOOKUP(B58,Classification!A:D,4,0)</f>
        <v>Adenosine</v>
      </c>
      <c r="BB58" s="36" t="b">
        <f t="shared" si="196"/>
        <v>1</v>
      </c>
      <c r="BC58" s="109">
        <f t="shared" si="197"/>
        <v>262</v>
      </c>
      <c r="BD58" s="13" t="s">
        <v>23</v>
      </c>
      <c r="BE58" s="9" t="s">
        <v>1381</v>
      </c>
      <c r="BF58" s="120">
        <v>2.1</v>
      </c>
      <c r="BG58" s="51" t="s">
        <v>1</v>
      </c>
      <c r="BH58" s="51" t="s">
        <v>1</v>
      </c>
      <c r="BJ58" s="111" t="s">
        <v>1293</v>
      </c>
      <c r="BK58" s="112" t="s">
        <v>1293</v>
      </c>
      <c r="BL58" s="112" t="s">
        <v>1293</v>
      </c>
      <c r="BM58" s="112" t="s">
        <v>1293</v>
      </c>
      <c r="BN58" s="112" t="s">
        <v>1293</v>
      </c>
      <c r="BO58" s="112" t="s">
        <v>1293</v>
      </c>
      <c r="BP58" s="112" t="s">
        <v>1293</v>
      </c>
      <c r="BQ58" s="112" t="s">
        <v>1293</v>
      </c>
      <c r="BR58" s="112" t="s">
        <v>1293</v>
      </c>
      <c r="BS58" s="112" t="s">
        <v>1293</v>
      </c>
      <c r="BT58" s="112" t="s">
        <v>1293</v>
      </c>
      <c r="BU58" s="112" t="s">
        <v>1293</v>
      </c>
      <c r="BV58" s="111">
        <f t="shared" si="198"/>
        <v>1</v>
      </c>
      <c r="BW58" s="113">
        <f t="shared" si="199"/>
        <v>35</v>
      </c>
      <c r="BX58" s="114">
        <f t="shared" si="200"/>
        <v>39</v>
      </c>
      <c r="BY58" s="113">
        <f t="shared" si="201"/>
        <v>70</v>
      </c>
      <c r="BZ58" s="114">
        <f t="shared" si="202"/>
        <v>73</v>
      </c>
      <c r="CA58" s="113">
        <f t="shared" si="203"/>
        <v>109</v>
      </c>
      <c r="CB58" s="114">
        <f t="shared" si="204"/>
        <v>117</v>
      </c>
      <c r="CC58" s="113">
        <f t="shared" si="205"/>
        <v>166</v>
      </c>
      <c r="CD58" s="114">
        <f t="shared" si="206"/>
        <v>173</v>
      </c>
      <c r="CE58" s="113">
        <f t="shared" si="207"/>
        <v>219</v>
      </c>
      <c r="CF58" s="114">
        <f t="shared" si="208"/>
        <v>266</v>
      </c>
      <c r="CG58" s="113">
        <f t="shared" si="209"/>
        <v>292</v>
      </c>
      <c r="CH58" s="111">
        <f t="shared" si="210"/>
        <v>34</v>
      </c>
      <c r="CI58" s="113">
        <f t="shared" si="211"/>
        <v>38</v>
      </c>
      <c r="CJ58" s="114">
        <f t="shared" si="212"/>
        <v>69</v>
      </c>
      <c r="CK58" s="114">
        <f t="shared" si="213"/>
        <v>72</v>
      </c>
      <c r="CL58" s="114">
        <f t="shared" si="214"/>
        <v>108</v>
      </c>
      <c r="CM58" s="114">
        <f t="shared" si="215"/>
        <v>116</v>
      </c>
      <c r="CN58" s="114">
        <f t="shared" si="216"/>
        <v>142</v>
      </c>
      <c r="CO58" s="114">
        <f t="shared" si="217"/>
        <v>168</v>
      </c>
      <c r="CP58" s="114">
        <f t="shared" si="218"/>
        <v>208</v>
      </c>
      <c r="CQ58" s="114">
        <f t="shared" si="219"/>
        <v>259</v>
      </c>
      <c r="CR58" s="114">
        <f t="shared" si="220"/>
        <v>291</v>
      </c>
      <c r="CS58" s="114">
        <f t="shared" si="221"/>
        <v>305</v>
      </c>
      <c r="CT58" s="109">
        <f t="shared" si="222"/>
        <v>1</v>
      </c>
    </row>
    <row r="59" spans="1:1029" s="12" customFormat="1" x14ac:dyDescent="0.2">
      <c r="A59" s="9" t="str">
        <f t="shared" si="195"/>
        <v>aa2ar_human_5OM4</v>
      </c>
      <c r="B59" s="9" t="s">
        <v>139</v>
      </c>
      <c r="C59" s="9" t="s">
        <v>1473</v>
      </c>
      <c r="D59" s="9" t="str">
        <f>IFERROR(MID(VLOOKUP($B59,Seqs!$A:$B,2,0),E59,1),"")</f>
        <v>M</v>
      </c>
      <c r="E59" s="9">
        <v>1</v>
      </c>
      <c r="F59" s="9" t="str">
        <f>IFERROR(MID(VLOOKUP($B59,Seqs!$A:$B,2,0),G59,1),"")</f>
        <v>N</v>
      </c>
      <c r="G59" s="9">
        <v>34</v>
      </c>
      <c r="H59" s="9" t="str">
        <f>IFERROR(MID(VLOOKUP($B59,Seqs!$A:$B,2,0),I59,1),"")</f>
        <v>S</v>
      </c>
      <c r="I59" s="109">
        <v>35</v>
      </c>
      <c r="J59" s="9" t="str">
        <f>IFERROR(MID(VLOOKUP($B59,Seqs!$A:$B,2,0),K59,1),"")</f>
        <v>Q</v>
      </c>
      <c r="K59" s="109">
        <v>38</v>
      </c>
      <c r="L59" s="9" t="str">
        <f>IFERROR(MID(VLOOKUP($B59,Seqs!$A:$B,2,0),M59,1),"")</f>
        <v>N</v>
      </c>
      <c r="M59" s="9">
        <v>39</v>
      </c>
      <c r="N59" s="9" t="str">
        <f>IFERROR(MID(VLOOKUP($B59,Seqs!$A:$B,2,0),O59,1),"")</f>
        <v>G</v>
      </c>
      <c r="O59" s="9">
        <v>69</v>
      </c>
      <c r="P59" s="9" t="str">
        <f>IFERROR(MID(VLOOKUP($B59,Seqs!$A:$B,2,0),Q59,1),"")</f>
        <v>F</v>
      </c>
      <c r="Q59" s="9">
        <v>70</v>
      </c>
      <c r="R59" s="9" t="str">
        <f>IFERROR(MID(VLOOKUP($B59,Seqs!$A:$B,2,0),S59,1),"")</f>
        <v>A</v>
      </c>
      <c r="S59" s="9">
        <v>72</v>
      </c>
      <c r="T59" s="9" t="str">
        <f>IFERROR(MID(VLOOKUP($B59,Seqs!$A:$B,2,0),U59,1),"")</f>
        <v>A</v>
      </c>
      <c r="U59" s="9">
        <v>73</v>
      </c>
      <c r="V59" s="9" t="str">
        <f>IFERROR(MID(VLOOKUP($B59,Seqs!$A:$B,2,0),W59,1),"")</f>
        <v>I</v>
      </c>
      <c r="W59" s="9">
        <v>108</v>
      </c>
      <c r="X59" s="9" t="str">
        <f>IFERROR(MID(VLOOKUP($B59,Seqs!$A:$B,2,0),Y59,1),"")</f>
        <v>P</v>
      </c>
      <c r="Y59" s="9">
        <v>109</v>
      </c>
      <c r="Z59" s="9" t="str">
        <f>IFERROR(MID(VLOOKUP($B59,Seqs!$A:$B,2,0),AA59,1),"")</f>
        <v>V</v>
      </c>
      <c r="AA59" s="9">
        <v>116</v>
      </c>
      <c r="AB59" s="9" t="str">
        <f>IFERROR(MID(VLOOKUP($B59,Seqs!$A:$B,2,0),AC59,1),"")</f>
        <v>T</v>
      </c>
      <c r="AC59" s="9">
        <v>117</v>
      </c>
      <c r="AD59" s="9" t="str">
        <f>IFERROR(MID(VLOOKUP($B59,Seqs!$A:$B,2,0),AE59,1),"")</f>
        <v>G</v>
      </c>
      <c r="AE59" s="9">
        <v>142</v>
      </c>
      <c r="AF59" s="9" t="str">
        <f>IFERROR(MID(VLOOKUP($B59,Seqs!$A:$B,2,0),AG59,1),"")</f>
        <v>C</v>
      </c>
      <c r="AG59" s="9">
        <v>166</v>
      </c>
      <c r="AH59" s="9" t="str">
        <f>IFERROR(MID(VLOOKUP($B59,Seqs!$A:$B,2,0),AI59,1),"")</f>
        <v>F</v>
      </c>
      <c r="AI59" s="9">
        <v>168</v>
      </c>
      <c r="AJ59" s="9" t="str">
        <f>IFERROR(MID(VLOOKUP($B59,Seqs!$A:$B,2,0),AK59,1),"")</f>
        <v>P</v>
      </c>
      <c r="AK59" s="9">
        <v>173</v>
      </c>
      <c r="AL59" s="9" t="str">
        <f>IFERROR(MID(VLOOKUP($B59,Seqs!$A:$B,2,0),AM59,1),"")</f>
        <v>L</v>
      </c>
      <c r="AM59" s="9">
        <v>208</v>
      </c>
      <c r="AN59" s="9" t="str">
        <f>IFERROR(MID(VLOOKUP($B59,Seqs!$A:$B,2,0),AO59,1),"")</f>
        <v>E</v>
      </c>
      <c r="AO59" s="9">
        <v>219</v>
      </c>
      <c r="AP59" s="9" t="str">
        <f>IFERROR(MID(VLOOKUP($B59,Seqs!$A:$B,2,0),AQ59,1),"")</f>
        <v>C</v>
      </c>
      <c r="AQ59" s="9">
        <v>259</v>
      </c>
      <c r="AR59" s="9" t="str">
        <f>IFERROR(MID(VLOOKUP($B59,Seqs!$A:$B,2,0),AS59,1),"")</f>
        <v>P</v>
      </c>
      <c r="AS59" s="9">
        <v>266</v>
      </c>
      <c r="AT59" s="9" t="str">
        <f>IFERROR(MID(VLOOKUP($B59,Seqs!$A:$B,2,0),AU59,1),"")</f>
        <v>R</v>
      </c>
      <c r="AU59" s="9">
        <v>291</v>
      </c>
      <c r="AV59" s="9" t="str">
        <f>IFERROR(MID(VLOOKUP($B59,Seqs!$A:$B,2,0),AW59,1),"")</f>
        <v>I</v>
      </c>
      <c r="AW59" s="9">
        <v>292</v>
      </c>
      <c r="AX59" s="9" t="str">
        <f>IFERROR(MID(VLOOKUP($B59,Seqs!$A:$B,2,0),AY59,1),"")</f>
        <v>V</v>
      </c>
      <c r="AY59" s="9">
        <v>307</v>
      </c>
      <c r="AZ59" s="110" t="str">
        <f>VLOOKUP(B59,Classification!A:D,2,0)</f>
        <v>A</v>
      </c>
      <c r="BA59" s="98" t="str">
        <f>VLOOKUP(B59,Classification!A:D,4,0)</f>
        <v>Adenosine</v>
      </c>
      <c r="BB59" s="36" t="b">
        <f t="shared" si="196"/>
        <v>1</v>
      </c>
      <c r="BC59" s="109">
        <f t="shared" si="197"/>
        <v>264</v>
      </c>
      <c r="BD59" s="13" t="s">
        <v>23</v>
      </c>
      <c r="BE59" s="9" t="s">
        <v>1381</v>
      </c>
      <c r="BF59" s="120">
        <v>2</v>
      </c>
      <c r="BG59" s="51" t="s">
        <v>1</v>
      </c>
      <c r="BH59" s="51" t="s">
        <v>1</v>
      </c>
      <c r="BJ59" s="111" t="s">
        <v>1293</v>
      </c>
      <c r="BK59" s="112" t="s">
        <v>1293</v>
      </c>
      <c r="BL59" s="112" t="s">
        <v>1293</v>
      </c>
      <c r="BM59" s="112" t="s">
        <v>1293</v>
      </c>
      <c r="BN59" s="112" t="s">
        <v>1293</v>
      </c>
      <c r="BO59" s="112" t="s">
        <v>1293</v>
      </c>
      <c r="BP59" s="112" t="s">
        <v>1293</v>
      </c>
      <c r="BQ59" s="112" t="s">
        <v>1293</v>
      </c>
      <c r="BR59" s="112" t="s">
        <v>1293</v>
      </c>
      <c r="BS59" s="112" t="s">
        <v>1293</v>
      </c>
      <c r="BT59" s="112" t="s">
        <v>1293</v>
      </c>
      <c r="BU59" s="112" t="s">
        <v>1293</v>
      </c>
      <c r="BV59" s="111">
        <f t="shared" si="198"/>
        <v>1</v>
      </c>
      <c r="BW59" s="113">
        <f t="shared" si="199"/>
        <v>35</v>
      </c>
      <c r="BX59" s="114">
        <f t="shared" si="200"/>
        <v>39</v>
      </c>
      <c r="BY59" s="113">
        <f t="shared" si="201"/>
        <v>70</v>
      </c>
      <c r="BZ59" s="114">
        <f t="shared" si="202"/>
        <v>73</v>
      </c>
      <c r="CA59" s="113">
        <f t="shared" si="203"/>
        <v>109</v>
      </c>
      <c r="CB59" s="114">
        <f t="shared" si="204"/>
        <v>117</v>
      </c>
      <c r="CC59" s="113">
        <f t="shared" si="205"/>
        <v>166</v>
      </c>
      <c r="CD59" s="114">
        <f t="shared" si="206"/>
        <v>173</v>
      </c>
      <c r="CE59" s="113">
        <f t="shared" si="207"/>
        <v>219</v>
      </c>
      <c r="CF59" s="114">
        <f t="shared" si="208"/>
        <v>266</v>
      </c>
      <c r="CG59" s="113">
        <f t="shared" si="209"/>
        <v>292</v>
      </c>
      <c r="CH59" s="111">
        <f t="shared" si="210"/>
        <v>34</v>
      </c>
      <c r="CI59" s="113">
        <f t="shared" si="211"/>
        <v>38</v>
      </c>
      <c r="CJ59" s="114">
        <f t="shared" si="212"/>
        <v>69</v>
      </c>
      <c r="CK59" s="114">
        <f t="shared" si="213"/>
        <v>72</v>
      </c>
      <c r="CL59" s="114">
        <f t="shared" si="214"/>
        <v>108</v>
      </c>
      <c r="CM59" s="114">
        <f t="shared" si="215"/>
        <v>116</v>
      </c>
      <c r="CN59" s="114">
        <f t="shared" si="216"/>
        <v>142</v>
      </c>
      <c r="CO59" s="114">
        <f t="shared" si="217"/>
        <v>168</v>
      </c>
      <c r="CP59" s="114">
        <f t="shared" si="218"/>
        <v>208</v>
      </c>
      <c r="CQ59" s="114">
        <f t="shared" si="219"/>
        <v>259</v>
      </c>
      <c r="CR59" s="114">
        <f t="shared" si="220"/>
        <v>291</v>
      </c>
      <c r="CS59" s="114">
        <f t="shared" si="221"/>
        <v>307</v>
      </c>
      <c r="CT59" s="109">
        <f t="shared" si="222"/>
        <v>1</v>
      </c>
    </row>
    <row r="60" spans="1:1029" s="12" customFormat="1" x14ac:dyDescent="0.2">
      <c r="A60" s="9" t="str">
        <f t="shared" si="195"/>
        <v>aa2ar_human_6AQF</v>
      </c>
      <c r="B60" s="9" t="s">
        <v>139</v>
      </c>
      <c r="C60" s="9" t="s">
        <v>1474</v>
      </c>
      <c r="D60" s="9" t="str">
        <f>IFERROR(MID(VLOOKUP($B60,Seqs!$A:$B,2,0),E60,1),"")</f>
        <v>M</v>
      </c>
      <c r="E60" s="9">
        <v>1</v>
      </c>
      <c r="F60" s="9" t="str">
        <f>IFERROR(MID(VLOOKUP($B60,Seqs!$A:$B,2,0),G60,1),"")</f>
        <v>N</v>
      </c>
      <c r="G60" s="9">
        <v>34</v>
      </c>
      <c r="H60" s="9" t="str">
        <f>IFERROR(MID(VLOOKUP($B60,Seqs!$A:$B,2,0),I60,1),"")</f>
        <v>S</v>
      </c>
      <c r="I60" s="109">
        <v>35</v>
      </c>
      <c r="J60" s="9" t="str">
        <f>IFERROR(MID(VLOOKUP($B60,Seqs!$A:$B,2,0),K60,1),"")</f>
        <v>Q</v>
      </c>
      <c r="K60" s="109">
        <v>38</v>
      </c>
      <c r="L60" s="9" t="str">
        <f>IFERROR(MID(VLOOKUP($B60,Seqs!$A:$B,2,0),M60,1),"")</f>
        <v>N</v>
      </c>
      <c r="M60" s="9">
        <v>39</v>
      </c>
      <c r="N60" s="9" t="str">
        <f>IFERROR(MID(VLOOKUP($B60,Seqs!$A:$B,2,0),O60,1),"")</f>
        <v>G</v>
      </c>
      <c r="O60" s="9">
        <v>69</v>
      </c>
      <c r="P60" s="9" t="str">
        <f>IFERROR(MID(VLOOKUP($B60,Seqs!$A:$B,2,0),Q60,1),"")</f>
        <v>F</v>
      </c>
      <c r="Q60" s="9">
        <v>70</v>
      </c>
      <c r="R60" s="9" t="str">
        <f>IFERROR(MID(VLOOKUP($B60,Seqs!$A:$B,2,0),S60,1),"")</f>
        <v>A</v>
      </c>
      <c r="S60" s="9">
        <v>72</v>
      </c>
      <c r="T60" s="9" t="str">
        <f>IFERROR(MID(VLOOKUP($B60,Seqs!$A:$B,2,0),U60,1),"")</f>
        <v>A</v>
      </c>
      <c r="U60" s="9">
        <v>73</v>
      </c>
      <c r="V60" s="9" t="str">
        <f>IFERROR(MID(VLOOKUP($B60,Seqs!$A:$B,2,0),W60,1),"")</f>
        <v>I</v>
      </c>
      <c r="W60" s="9">
        <v>108</v>
      </c>
      <c r="X60" s="9" t="str">
        <f>IFERROR(MID(VLOOKUP($B60,Seqs!$A:$B,2,0),Y60,1),"")</f>
        <v>P</v>
      </c>
      <c r="Y60" s="9">
        <v>109</v>
      </c>
      <c r="Z60" s="9" t="str">
        <f>IFERROR(MID(VLOOKUP($B60,Seqs!$A:$B,2,0),AA60,1),"")</f>
        <v>V</v>
      </c>
      <c r="AA60" s="9">
        <v>116</v>
      </c>
      <c r="AB60" s="9" t="str">
        <f>IFERROR(MID(VLOOKUP($B60,Seqs!$A:$B,2,0),AC60,1),"")</f>
        <v>T</v>
      </c>
      <c r="AC60" s="9">
        <v>117</v>
      </c>
      <c r="AD60" s="9" t="str">
        <f>IFERROR(MID(VLOOKUP($B60,Seqs!$A:$B,2,0),AE60,1),"")</f>
        <v>G</v>
      </c>
      <c r="AE60" s="9">
        <v>142</v>
      </c>
      <c r="AF60" s="9" t="str">
        <f>IFERROR(MID(VLOOKUP($B60,Seqs!$A:$B,2,0),AG60,1),"")</f>
        <v>C</v>
      </c>
      <c r="AG60" s="9">
        <v>166</v>
      </c>
      <c r="AH60" s="9" t="str">
        <f>IFERROR(MID(VLOOKUP($B60,Seqs!$A:$B,2,0),AI60,1),"")</f>
        <v>F</v>
      </c>
      <c r="AI60" s="9">
        <v>168</v>
      </c>
      <c r="AJ60" s="9" t="str">
        <f>IFERROR(MID(VLOOKUP($B60,Seqs!$A:$B,2,0),AK60,1),"")</f>
        <v>P</v>
      </c>
      <c r="AK60" s="9">
        <v>173</v>
      </c>
      <c r="AL60" s="9" t="str">
        <f>IFERROR(MID(VLOOKUP($B60,Seqs!$A:$B,2,0),AM60,1),"")</f>
        <v>L</v>
      </c>
      <c r="AM60" s="9">
        <v>208</v>
      </c>
      <c r="AN60" s="9" t="str">
        <f>IFERROR(MID(VLOOKUP($B60,Seqs!$A:$B,2,0),AO60,1),"")</f>
        <v>E</v>
      </c>
      <c r="AO60" s="9">
        <v>219</v>
      </c>
      <c r="AP60" s="9" t="str">
        <f>IFERROR(MID(VLOOKUP($B60,Seqs!$A:$B,2,0),AQ60,1),"")</f>
        <v>C</v>
      </c>
      <c r="AQ60" s="9">
        <v>259</v>
      </c>
      <c r="AR60" s="9" t="str">
        <f>IFERROR(MID(VLOOKUP($B60,Seqs!$A:$B,2,0),AS60,1),"")</f>
        <v>P</v>
      </c>
      <c r="AS60" s="9">
        <v>266</v>
      </c>
      <c r="AT60" s="9" t="str">
        <f>IFERROR(MID(VLOOKUP($B60,Seqs!$A:$B,2,0),AU60,1),"")</f>
        <v>R</v>
      </c>
      <c r="AU60" s="9">
        <v>291</v>
      </c>
      <c r="AV60" s="9" t="str">
        <f>IFERROR(MID(VLOOKUP($B60,Seqs!$A:$B,2,0),AW60,1),"")</f>
        <v>I</v>
      </c>
      <c r="AW60" s="9">
        <v>292</v>
      </c>
      <c r="AX60" s="9" t="str">
        <f>IFERROR(MID(VLOOKUP($B60,Seqs!$A:$B,2,0),AY60,1),"")</f>
        <v>H</v>
      </c>
      <c r="AY60" s="9">
        <v>306</v>
      </c>
      <c r="AZ60" s="110" t="str">
        <f>VLOOKUP(B60,Classification!A:D,2,0)</f>
        <v>A</v>
      </c>
      <c r="BA60" s="98" t="str">
        <f>VLOOKUP(B60,Classification!A:D,4,0)</f>
        <v>Adenosine</v>
      </c>
      <c r="BB60" s="36" t="b">
        <f t="shared" si="196"/>
        <v>1</v>
      </c>
      <c r="BC60" s="109">
        <f t="shared" si="197"/>
        <v>263</v>
      </c>
      <c r="BD60" s="13" t="s">
        <v>23</v>
      </c>
      <c r="BE60" s="9" t="s">
        <v>1381</v>
      </c>
      <c r="BF60" s="120">
        <v>2.5099999999999998</v>
      </c>
      <c r="BG60" s="51" t="s">
        <v>1</v>
      </c>
      <c r="BH60" s="51" t="s">
        <v>1</v>
      </c>
      <c r="BJ60" s="111" t="s">
        <v>1293</v>
      </c>
      <c r="BK60" s="112" t="s">
        <v>1293</v>
      </c>
      <c r="BL60" s="112" t="s">
        <v>1293</v>
      </c>
      <c r="BM60" s="112" t="s">
        <v>1293</v>
      </c>
      <c r="BN60" s="112" t="s">
        <v>1293</v>
      </c>
      <c r="BO60" s="112" t="s">
        <v>1293</v>
      </c>
      <c r="BP60" s="112" t="s">
        <v>1293</v>
      </c>
      <c r="BQ60" s="112" t="s">
        <v>1293</v>
      </c>
      <c r="BR60" s="112" t="s">
        <v>1293</v>
      </c>
      <c r="BS60" s="112" t="s">
        <v>1293</v>
      </c>
      <c r="BT60" s="112" t="s">
        <v>1293</v>
      </c>
      <c r="BU60" s="112" t="s">
        <v>1293</v>
      </c>
      <c r="BV60" s="111">
        <f t="shared" si="198"/>
        <v>1</v>
      </c>
      <c r="BW60" s="113">
        <f t="shared" si="199"/>
        <v>35</v>
      </c>
      <c r="BX60" s="114">
        <f t="shared" si="200"/>
        <v>39</v>
      </c>
      <c r="BY60" s="113">
        <f t="shared" si="201"/>
        <v>70</v>
      </c>
      <c r="BZ60" s="114">
        <f t="shared" si="202"/>
        <v>73</v>
      </c>
      <c r="CA60" s="113">
        <f t="shared" si="203"/>
        <v>109</v>
      </c>
      <c r="CB60" s="114">
        <f t="shared" si="204"/>
        <v>117</v>
      </c>
      <c r="CC60" s="113">
        <f t="shared" si="205"/>
        <v>166</v>
      </c>
      <c r="CD60" s="114">
        <f t="shared" si="206"/>
        <v>173</v>
      </c>
      <c r="CE60" s="113">
        <f t="shared" si="207"/>
        <v>219</v>
      </c>
      <c r="CF60" s="114">
        <f t="shared" si="208"/>
        <v>266</v>
      </c>
      <c r="CG60" s="113">
        <f t="shared" si="209"/>
        <v>292</v>
      </c>
      <c r="CH60" s="111">
        <f t="shared" si="210"/>
        <v>34</v>
      </c>
      <c r="CI60" s="113">
        <f t="shared" si="211"/>
        <v>38</v>
      </c>
      <c r="CJ60" s="114">
        <f t="shared" si="212"/>
        <v>69</v>
      </c>
      <c r="CK60" s="114">
        <f t="shared" si="213"/>
        <v>72</v>
      </c>
      <c r="CL60" s="114">
        <f t="shared" si="214"/>
        <v>108</v>
      </c>
      <c r="CM60" s="114">
        <f t="shared" si="215"/>
        <v>116</v>
      </c>
      <c r="CN60" s="114">
        <f t="shared" si="216"/>
        <v>142</v>
      </c>
      <c r="CO60" s="114">
        <f t="shared" si="217"/>
        <v>168</v>
      </c>
      <c r="CP60" s="114">
        <f t="shared" si="218"/>
        <v>208</v>
      </c>
      <c r="CQ60" s="114">
        <f t="shared" si="219"/>
        <v>259</v>
      </c>
      <c r="CR60" s="114">
        <f t="shared" si="220"/>
        <v>291</v>
      </c>
      <c r="CS60" s="114">
        <f t="shared" si="221"/>
        <v>306</v>
      </c>
      <c r="CT60" s="109">
        <f t="shared" si="222"/>
        <v>1</v>
      </c>
    </row>
    <row r="61" spans="1:1029" s="12" customFormat="1" x14ac:dyDescent="0.2">
      <c r="A61" s="9" t="str">
        <f t="shared" si="195"/>
        <v>aa2ar_human_5WF5</v>
      </c>
      <c r="B61" s="9" t="s">
        <v>139</v>
      </c>
      <c r="C61" s="9" t="s">
        <v>1483</v>
      </c>
      <c r="D61" s="9" t="str">
        <f>IFERROR(MID(VLOOKUP($B61,Seqs!$A:$B,2,0),E61,1),"")</f>
        <v>M</v>
      </c>
      <c r="E61" s="9">
        <v>4</v>
      </c>
      <c r="F61" s="9" t="str">
        <f>IFERROR(MID(VLOOKUP($B61,Seqs!$A:$B,2,0),G61,1),"")</f>
        <v>N</v>
      </c>
      <c r="G61" s="9">
        <v>34</v>
      </c>
      <c r="H61" s="9" t="str">
        <f>IFERROR(MID(VLOOKUP($B61,Seqs!$A:$B,2,0),I61,1),"")</f>
        <v>S</v>
      </c>
      <c r="I61" s="109">
        <v>35</v>
      </c>
      <c r="J61" s="9" t="str">
        <f>IFERROR(MID(VLOOKUP($B61,Seqs!$A:$B,2,0),K61,1),"")</f>
        <v>Q</v>
      </c>
      <c r="K61" s="109">
        <v>38</v>
      </c>
      <c r="L61" s="9" t="str">
        <f>IFERROR(MID(VLOOKUP($B61,Seqs!$A:$B,2,0),M61,1),"")</f>
        <v>N</v>
      </c>
      <c r="M61" s="9">
        <v>39</v>
      </c>
      <c r="N61" s="9" t="str">
        <f>IFERROR(MID(VLOOKUP($B61,Seqs!$A:$B,2,0),O61,1),"")</f>
        <v>A</v>
      </c>
      <c r="O61" s="9">
        <v>63</v>
      </c>
      <c r="P61" s="9" t="str">
        <f>IFERROR(MID(VLOOKUP($B61,Seqs!$A:$B,2,0),Q61,1),"")</f>
        <v>F</v>
      </c>
      <c r="Q61" s="9">
        <v>70</v>
      </c>
      <c r="R61" s="9" t="str">
        <f>IFERROR(MID(VLOOKUP($B61,Seqs!$A:$B,2,0),S61,1),"")</f>
        <v>A</v>
      </c>
      <c r="S61" s="9">
        <v>72</v>
      </c>
      <c r="T61" s="9" t="str">
        <f>IFERROR(MID(VLOOKUP($B61,Seqs!$A:$B,2,0),U61,1),"")</f>
        <v>A</v>
      </c>
      <c r="U61" s="9">
        <v>73</v>
      </c>
      <c r="V61" s="9" t="str">
        <f>IFERROR(MID(VLOOKUP($B61,Seqs!$A:$B,2,0),W61,1),"")</f>
        <v>I</v>
      </c>
      <c r="W61" s="9">
        <v>108</v>
      </c>
      <c r="X61" s="9" t="str">
        <f>IFERROR(MID(VLOOKUP($B61,Seqs!$A:$B,2,0),Y61,1),"")</f>
        <v>P</v>
      </c>
      <c r="Y61" s="9">
        <v>109</v>
      </c>
      <c r="Z61" s="9" t="str">
        <f>IFERROR(MID(VLOOKUP($B61,Seqs!$A:$B,2,0),AA61,1),"")</f>
        <v>V</v>
      </c>
      <c r="AA61" s="9">
        <v>116</v>
      </c>
      <c r="AB61" s="9" t="str">
        <f>IFERROR(MID(VLOOKUP($B61,Seqs!$A:$B,2,0),AC61,1),"")</f>
        <v>T</v>
      </c>
      <c r="AC61" s="9">
        <v>117</v>
      </c>
      <c r="AD61" s="9" t="str">
        <f>IFERROR(MID(VLOOKUP($B61,Seqs!$A:$B,2,0),AE61,1),"")</f>
        <v>G</v>
      </c>
      <c r="AE61" s="9">
        <v>142</v>
      </c>
      <c r="AF61" s="9" t="str">
        <f>IFERROR(MID(VLOOKUP($B61,Seqs!$A:$B,2,0),AG61,1),"")</f>
        <v>C</v>
      </c>
      <c r="AG61" s="9">
        <v>166</v>
      </c>
      <c r="AH61" s="9" t="str">
        <f>IFERROR(MID(VLOOKUP($B61,Seqs!$A:$B,2,0),AI61,1),"")</f>
        <v>F</v>
      </c>
      <c r="AI61" s="9">
        <v>168</v>
      </c>
      <c r="AJ61" s="9" t="str">
        <f>IFERROR(MID(VLOOKUP($B61,Seqs!$A:$B,2,0),AK61,1),"")</f>
        <v>P</v>
      </c>
      <c r="AK61" s="9">
        <v>173</v>
      </c>
      <c r="AL61" s="9" t="str">
        <f>IFERROR(MID(VLOOKUP($B61,Seqs!$A:$B,2,0),AM61,1),"")</f>
        <v>R</v>
      </c>
      <c r="AM61" s="9">
        <v>205</v>
      </c>
      <c r="AN61" s="9" t="str">
        <f>IFERROR(MID(VLOOKUP($B61,Seqs!$A:$B,2,0),AO61,1),"")</f>
        <v>L</v>
      </c>
      <c r="AO61" s="9">
        <v>225</v>
      </c>
      <c r="AP61" s="9" t="str">
        <f>IFERROR(MID(VLOOKUP($B61,Seqs!$A:$B,2,0),AQ61,1),"")</f>
        <v>C</v>
      </c>
      <c r="AQ61" s="9">
        <v>259</v>
      </c>
      <c r="AR61" s="9" t="str">
        <f>IFERROR(MID(VLOOKUP($B61,Seqs!$A:$B,2,0),AS61,1),"")</f>
        <v>P</v>
      </c>
      <c r="AS61" s="9">
        <v>266</v>
      </c>
      <c r="AT61" s="9" t="str">
        <f>IFERROR(MID(VLOOKUP($B61,Seqs!$A:$B,2,0),AU61,1),"")</f>
        <v>R</v>
      </c>
      <c r="AU61" s="9">
        <v>291</v>
      </c>
      <c r="AV61" s="9" t="str">
        <f>IFERROR(MID(VLOOKUP($B61,Seqs!$A:$B,2,0),AW61,1),"")</f>
        <v>I</v>
      </c>
      <c r="AW61" s="9">
        <v>292</v>
      </c>
      <c r="AX61" s="9" t="str">
        <f>IFERROR(MID(VLOOKUP($B61,Seqs!$A:$B,2,0),AY61,1),"")</f>
        <v>V</v>
      </c>
      <c r="AY61" s="9">
        <v>307</v>
      </c>
      <c r="AZ61" s="110" t="str">
        <f>VLOOKUP(B61,Classification!A:D,2,0)</f>
        <v>A</v>
      </c>
      <c r="BA61" s="98" t="str">
        <f>VLOOKUP(B61,Classification!A:D,4,0)</f>
        <v>Adenosine</v>
      </c>
      <c r="BB61" s="36" t="b">
        <f t="shared" si="196"/>
        <v>1</v>
      </c>
      <c r="BC61" s="109">
        <f t="shared" si="197"/>
        <v>246</v>
      </c>
      <c r="BD61" s="13" t="s">
        <v>23</v>
      </c>
      <c r="BE61" s="9" t="s">
        <v>1484</v>
      </c>
      <c r="BF61" s="120">
        <v>2.6</v>
      </c>
      <c r="BG61" s="51" t="s">
        <v>1</v>
      </c>
      <c r="BH61" s="51" t="s">
        <v>1</v>
      </c>
      <c r="BJ61" s="111" t="s">
        <v>1293</v>
      </c>
      <c r="BK61" s="112" t="s">
        <v>1293</v>
      </c>
      <c r="BL61" s="112" t="s">
        <v>1293</v>
      </c>
      <c r="BM61" s="112" t="s">
        <v>1293</v>
      </c>
      <c r="BN61" s="112" t="s">
        <v>1293</v>
      </c>
      <c r="BO61" s="112" t="s">
        <v>1293</v>
      </c>
      <c r="BP61" s="112" t="s">
        <v>1293</v>
      </c>
      <c r="BQ61" s="112" t="s">
        <v>1293</v>
      </c>
      <c r="BR61" s="112" t="s">
        <v>1293</v>
      </c>
      <c r="BS61" s="112" t="s">
        <v>1293</v>
      </c>
      <c r="BT61" s="112" t="s">
        <v>1293</v>
      </c>
      <c r="BU61" s="112" t="s">
        <v>1293</v>
      </c>
      <c r="BV61" s="111">
        <f t="shared" si="198"/>
        <v>4</v>
      </c>
      <c r="BW61" s="113">
        <f t="shared" si="199"/>
        <v>35</v>
      </c>
      <c r="BX61" s="114">
        <f t="shared" si="200"/>
        <v>39</v>
      </c>
      <c r="BY61" s="113">
        <f t="shared" si="201"/>
        <v>70</v>
      </c>
      <c r="BZ61" s="114">
        <f t="shared" si="202"/>
        <v>73</v>
      </c>
      <c r="CA61" s="113">
        <f t="shared" si="203"/>
        <v>109</v>
      </c>
      <c r="CB61" s="114">
        <f t="shared" si="204"/>
        <v>117</v>
      </c>
      <c r="CC61" s="113">
        <f t="shared" si="205"/>
        <v>166</v>
      </c>
      <c r="CD61" s="114">
        <f t="shared" si="206"/>
        <v>173</v>
      </c>
      <c r="CE61" s="113">
        <f t="shared" si="207"/>
        <v>225</v>
      </c>
      <c r="CF61" s="114">
        <f t="shared" si="208"/>
        <v>266</v>
      </c>
      <c r="CG61" s="113">
        <f t="shared" si="209"/>
        <v>292</v>
      </c>
      <c r="CH61" s="111">
        <f t="shared" si="210"/>
        <v>34</v>
      </c>
      <c r="CI61" s="113">
        <f t="shared" si="211"/>
        <v>38</v>
      </c>
      <c r="CJ61" s="114">
        <f t="shared" si="212"/>
        <v>63</v>
      </c>
      <c r="CK61" s="114">
        <f t="shared" si="213"/>
        <v>72</v>
      </c>
      <c r="CL61" s="114">
        <f t="shared" si="214"/>
        <v>108</v>
      </c>
      <c r="CM61" s="114">
        <f t="shared" si="215"/>
        <v>116</v>
      </c>
      <c r="CN61" s="114">
        <f t="shared" si="216"/>
        <v>142</v>
      </c>
      <c r="CO61" s="114">
        <f t="shared" si="217"/>
        <v>168</v>
      </c>
      <c r="CP61" s="114">
        <f t="shared" si="218"/>
        <v>205</v>
      </c>
      <c r="CQ61" s="114">
        <f t="shared" si="219"/>
        <v>259</v>
      </c>
      <c r="CR61" s="114">
        <f t="shared" si="220"/>
        <v>291</v>
      </c>
      <c r="CS61" s="114">
        <f t="shared" si="221"/>
        <v>307</v>
      </c>
      <c r="CT61" s="109">
        <f t="shared" si="222"/>
        <v>1</v>
      </c>
    </row>
    <row r="62" spans="1:1029" s="12" customFormat="1" x14ac:dyDescent="0.2">
      <c r="A62" s="9" t="str">
        <f t="shared" si="195"/>
        <v>aa2ar_human_5WF6</v>
      </c>
      <c r="B62" s="9" t="s">
        <v>139</v>
      </c>
      <c r="C62" s="9" t="s">
        <v>1485</v>
      </c>
      <c r="D62" s="9" t="str">
        <f>IFERROR(MID(VLOOKUP($B62,Seqs!$A:$B,2,0),E62,1),"")</f>
        <v>M</v>
      </c>
      <c r="E62" s="9">
        <v>4</v>
      </c>
      <c r="F62" s="9" t="str">
        <f>IFERROR(MID(VLOOKUP($B62,Seqs!$A:$B,2,0),G62,1),"")</f>
        <v>N</v>
      </c>
      <c r="G62" s="9">
        <v>34</v>
      </c>
      <c r="H62" s="9" t="str">
        <f>IFERROR(MID(VLOOKUP($B62,Seqs!$A:$B,2,0),I62,1),"")</f>
        <v>S</v>
      </c>
      <c r="I62" s="109">
        <v>35</v>
      </c>
      <c r="J62" s="9" t="str">
        <f>IFERROR(MID(VLOOKUP($B62,Seqs!$A:$B,2,0),K62,1),"")</f>
        <v>Q</v>
      </c>
      <c r="K62" s="109">
        <v>38</v>
      </c>
      <c r="L62" s="9" t="str">
        <f>IFERROR(MID(VLOOKUP($B62,Seqs!$A:$B,2,0),M62,1),"")</f>
        <v>N</v>
      </c>
      <c r="M62" s="9">
        <v>39</v>
      </c>
      <c r="N62" s="9" t="str">
        <f>IFERROR(MID(VLOOKUP($B62,Seqs!$A:$B,2,0),O62,1),"")</f>
        <v>A</v>
      </c>
      <c r="O62" s="9">
        <v>63</v>
      </c>
      <c r="P62" s="9" t="str">
        <f>IFERROR(MID(VLOOKUP($B62,Seqs!$A:$B,2,0),Q62,1),"")</f>
        <v>F</v>
      </c>
      <c r="Q62" s="9">
        <v>70</v>
      </c>
      <c r="R62" s="9" t="str">
        <f>IFERROR(MID(VLOOKUP($B62,Seqs!$A:$B,2,0),S62,1),"")</f>
        <v>A</v>
      </c>
      <c r="S62" s="9">
        <v>72</v>
      </c>
      <c r="T62" s="9" t="str">
        <f>IFERROR(MID(VLOOKUP($B62,Seqs!$A:$B,2,0),U62,1),"")</f>
        <v>A</v>
      </c>
      <c r="U62" s="9">
        <v>73</v>
      </c>
      <c r="V62" s="9" t="str">
        <f>IFERROR(MID(VLOOKUP($B62,Seqs!$A:$B,2,0),W62,1),"")</f>
        <v>I</v>
      </c>
      <c r="W62" s="9">
        <v>108</v>
      </c>
      <c r="X62" s="9" t="str">
        <f>IFERROR(MID(VLOOKUP($B62,Seqs!$A:$B,2,0),Y62,1),"")</f>
        <v>P</v>
      </c>
      <c r="Y62" s="9">
        <v>109</v>
      </c>
      <c r="Z62" s="9" t="str">
        <f>IFERROR(MID(VLOOKUP($B62,Seqs!$A:$B,2,0),AA62,1),"")</f>
        <v>V</v>
      </c>
      <c r="AA62" s="9">
        <v>116</v>
      </c>
      <c r="AB62" s="9" t="str">
        <f>IFERROR(MID(VLOOKUP($B62,Seqs!$A:$B,2,0),AC62,1),"")</f>
        <v>T</v>
      </c>
      <c r="AC62" s="9">
        <v>117</v>
      </c>
      <c r="AD62" s="9" t="str">
        <f>IFERROR(MID(VLOOKUP($B62,Seqs!$A:$B,2,0),AE62,1),"")</f>
        <v>G</v>
      </c>
      <c r="AE62" s="9">
        <v>142</v>
      </c>
      <c r="AF62" s="9" t="str">
        <f>IFERROR(MID(VLOOKUP($B62,Seqs!$A:$B,2,0),AG62,1),"")</f>
        <v>C</v>
      </c>
      <c r="AG62" s="9">
        <v>166</v>
      </c>
      <c r="AH62" s="9" t="str">
        <f>IFERROR(MID(VLOOKUP($B62,Seqs!$A:$B,2,0),AI62,1),"")</f>
        <v>F</v>
      </c>
      <c r="AI62" s="9">
        <v>168</v>
      </c>
      <c r="AJ62" s="9" t="str">
        <f>IFERROR(MID(VLOOKUP($B62,Seqs!$A:$B,2,0),AK62,1),"")</f>
        <v>P</v>
      </c>
      <c r="AK62" s="9">
        <v>173</v>
      </c>
      <c r="AL62" s="9" t="str">
        <f>IFERROR(MID(VLOOKUP($B62,Seqs!$A:$B,2,0),AM62,1),"")</f>
        <v>R</v>
      </c>
      <c r="AM62" s="9">
        <v>205</v>
      </c>
      <c r="AN62" s="9" t="str">
        <f>IFERROR(MID(VLOOKUP($B62,Seqs!$A:$B,2,0),AO62,1),"")</f>
        <v>L</v>
      </c>
      <c r="AO62" s="9">
        <v>225</v>
      </c>
      <c r="AP62" s="9" t="str">
        <f>IFERROR(MID(VLOOKUP($B62,Seqs!$A:$B,2,0),AQ62,1),"")</f>
        <v>C</v>
      </c>
      <c r="AQ62" s="9">
        <v>259</v>
      </c>
      <c r="AR62" s="9" t="str">
        <f>IFERROR(MID(VLOOKUP($B62,Seqs!$A:$B,2,0),AS62,1),"")</f>
        <v>P</v>
      </c>
      <c r="AS62" s="9">
        <v>266</v>
      </c>
      <c r="AT62" s="9" t="str">
        <f>IFERROR(MID(VLOOKUP($B62,Seqs!$A:$B,2,0),AU62,1),"")</f>
        <v>R</v>
      </c>
      <c r="AU62" s="9">
        <v>291</v>
      </c>
      <c r="AV62" s="9" t="str">
        <f>IFERROR(MID(VLOOKUP($B62,Seqs!$A:$B,2,0),AW62,1),"")</f>
        <v>I</v>
      </c>
      <c r="AW62" s="9">
        <v>292</v>
      </c>
      <c r="AX62" s="9" t="str">
        <f>IFERROR(MID(VLOOKUP($B62,Seqs!$A:$B,2,0),AY62,1),"")</f>
        <v>V</v>
      </c>
      <c r="AY62" s="9">
        <v>307</v>
      </c>
      <c r="AZ62" s="110" t="str">
        <f>VLOOKUP(B62,Classification!A:D,2,0)</f>
        <v>A</v>
      </c>
      <c r="BA62" s="98" t="str">
        <f>VLOOKUP(B62,Classification!A:D,4,0)</f>
        <v>Adenosine</v>
      </c>
      <c r="BB62" s="36" t="b">
        <f t="shared" si="196"/>
        <v>1</v>
      </c>
      <c r="BC62" s="109">
        <f t="shared" si="197"/>
        <v>246</v>
      </c>
      <c r="BD62" s="13" t="s">
        <v>23</v>
      </c>
      <c r="BE62" s="9" t="s">
        <v>1484</v>
      </c>
      <c r="BF62" s="120">
        <v>2.9</v>
      </c>
      <c r="BG62" s="51" t="s">
        <v>1</v>
      </c>
      <c r="BH62" s="51" t="s">
        <v>1</v>
      </c>
      <c r="BJ62" s="111" t="s">
        <v>1293</v>
      </c>
      <c r="BK62" s="112" t="s">
        <v>1293</v>
      </c>
      <c r="BL62" s="112" t="s">
        <v>1293</v>
      </c>
      <c r="BM62" s="112" t="s">
        <v>1293</v>
      </c>
      <c r="BN62" s="112" t="s">
        <v>1293</v>
      </c>
      <c r="BO62" s="112" t="s">
        <v>1293</v>
      </c>
      <c r="BP62" s="112" t="s">
        <v>1293</v>
      </c>
      <c r="BQ62" s="112" t="s">
        <v>1293</v>
      </c>
      <c r="BR62" s="112" t="s">
        <v>1293</v>
      </c>
      <c r="BS62" s="112" t="s">
        <v>1293</v>
      </c>
      <c r="BT62" s="112" t="s">
        <v>1293</v>
      </c>
      <c r="BU62" s="112" t="s">
        <v>1293</v>
      </c>
      <c r="BV62" s="111">
        <f t="shared" si="198"/>
        <v>4</v>
      </c>
      <c r="BW62" s="113">
        <f t="shared" si="199"/>
        <v>35</v>
      </c>
      <c r="BX62" s="114">
        <f t="shared" si="200"/>
        <v>39</v>
      </c>
      <c r="BY62" s="113">
        <f t="shared" si="201"/>
        <v>70</v>
      </c>
      <c r="BZ62" s="114">
        <f t="shared" si="202"/>
        <v>73</v>
      </c>
      <c r="CA62" s="113">
        <f t="shared" si="203"/>
        <v>109</v>
      </c>
      <c r="CB62" s="114">
        <f t="shared" si="204"/>
        <v>117</v>
      </c>
      <c r="CC62" s="113">
        <f t="shared" si="205"/>
        <v>166</v>
      </c>
      <c r="CD62" s="114">
        <f t="shared" si="206"/>
        <v>173</v>
      </c>
      <c r="CE62" s="113">
        <f t="shared" si="207"/>
        <v>225</v>
      </c>
      <c r="CF62" s="114">
        <f t="shared" si="208"/>
        <v>266</v>
      </c>
      <c r="CG62" s="113">
        <f t="shared" si="209"/>
        <v>292</v>
      </c>
      <c r="CH62" s="111">
        <f t="shared" si="210"/>
        <v>34</v>
      </c>
      <c r="CI62" s="113">
        <f t="shared" si="211"/>
        <v>38</v>
      </c>
      <c r="CJ62" s="114">
        <f t="shared" si="212"/>
        <v>63</v>
      </c>
      <c r="CK62" s="114">
        <f t="shared" si="213"/>
        <v>72</v>
      </c>
      <c r="CL62" s="114">
        <f t="shared" si="214"/>
        <v>108</v>
      </c>
      <c r="CM62" s="114">
        <f t="shared" si="215"/>
        <v>116</v>
      </c>
      <c r="CN62" s="114">
        <f t="shared" si="216"/>
        <v>142</v>
      </c>
      <c r="CO62" s="114">
        <f t="shared" si="217"/>
        <v>168</v>
      </c>
      <c r="CP62" s="114">
        <f t="shared" si="218"/>
        <v>205</v>
      </c>
      <c r="CQ62" s="114">
        <f t="shared" si="219"/>
        <v>259</v>
      </c>
      <c r="CR62" s="114">
        <f t="shared" si="220"/>
        <v>291</v>
      </c>
      <c r="CS62" s="114">
        <f t="shared" si="221"/>
        <v>307</v>
      </c>
      <c r="CT62" s="109">
        <f t="shared" si="222"/>
        <v>1</v>
      </c>
    </row>
    <row r="63" spans="1:1029" s="12" customFormat="1" x14ac:dyDescent="0.2">
      <c r="A63" s="9" t="str">
        <f t="shared" si="195"/>
        <v>aa2ar_human_6GDG</v>
      </c>
      <c r="B63" s="9" t="s">
        <v>139</v>
      </c>
      <c r="C63" s="9" t="s">
        <v>1507</v>
      </c>
      <c r="D63" s="9" t="str">
        <f>IFERROR(MID(VLOOKUP($B63,Seqs!$A:$B,2,0),E63,1),"")</f>
        <v>V</v>
      </c>
      <c r="E63" s="9">
        <v>8</v>
      </c>
      <c r="F63" s="9" t="str">
        <f>IFERROR(MID(VLOOKUP($B63,Seqs!$A:$B,2,0),G63,1),"")</f>
        <v>N</v>
      </c>
      <c r="G63" s="9">
        <v>34</v>
      </c>
      <c r="H63" s="9" t="str">
        <f>IFERROR(MID(VLOOKUP($B63,Seqs!$A:$B,2,0),I63,1),"")</f>
        <v>S</v>
      </c>
      <c r="I63" s="109">
        <v>35</v>
      </c>
      <c r="J63" s="9" t="str">
        <f>IFERROR(MID(VLOOKUP($B63,Seqs!$A:$B,2,0),K63,1),"")</f>
        <v>Q</v>
      </c>
      <c r="K63" s="109">
        <v>38</v>
      </c>
      <c r="L63" s="9" t="str">
        <f>IFERROR(MID(VLOOKUP($B63,Seqs!$A:$B,2,0),M63,1),"")</f>
        <v>N</v>
      </c>
      <c r="M63" s="9">
        <v>39</v>
      </c>
      <c r="N63" s="9" t="str">
        <f>IFERROR(MID(VLOOKUP($B63,Seqs!$A:$B,2,0),O63,1),"")</f>
        <v>G</v>
      </c>
      <c r="O63" s="9">
        <v>69</v>
      </c>
      <c r="P63" s="9" t="str">
        <f>IFERROR(MID(VLOOKUP($B63,Seqs!$A:$B,2,0),Q63,1),"")</f>
        <v>F</v>
      </c>
      <c r="Q63" s="9">
        <v>70</v>
      </c>
      <c r="R63" s="9" t="str">
        <f>IFERROR(MID(VLOOKUP($B63,Seqs!$A:$B,2,0),S63,1),"")</f>
        <v>A</v>
      </c>
      <c r="S63" s="9">
        <v>72</v>
      </c>
      <c r="T63" s="9" t="str">
        <f>IFERROR(MID(VLOOKUP($B63,Seqs!$A:$B,2,0),U63,1),"")</f>
        <v>A</v>
      </c>
      <c r="U63" s="9">
        <v>73</v>
      </c>
      <c r="V63" s="9" t="str">
        <f>IFERROR(MID(VLOOKUP($B63,Seqs!$A:$B,2,0),W63,1),"")</f>
        <v>I</v>
      </c>
      <c r="W63" s="9">
        <v>108</v>
      </c>
      <c r="X63" s="9" t="str">
        <f>IFERROR(MID(VLOOKUP($B63,Seqs!$A:$B,2,0),Y63,1),"")</f>
        <v>P</v>
      </c>
      <c r="Y63" s="9">
        <v>109</v>
      </c>
      <c r="Z63" s="9" t="str">
        <f>IFERROR(MID(VLOOKUP($B63,Seqs!$A:$B,2,0),AA63,1),"")</f>
        <v>V</v>
      </c>
      <c r="AA63" s="9">
        <v>116</v>
      </c>
      <c r="AB63" s="9" t="str">
        <f>IFERROR(MID(VLOOKUP($B63,Seqs!$A:$B,2,0),AC63,1),"")</f>
        <v>T</v>
      </c>
      <c r="AC63" s="9">
        <v>117</v>
      </c>
      <c r="AD63" s="9" t="str">
        <f>IFERROR(MID(VLOOKUP($B63,Seqs!$A:$B,2,0),AE63,1),"")</f>
        <v>L</v>
      </c>
      <c r="AE63" s="9">
        <v>141</v>
      </c>
      <c r="AF63" s="9" t="str">
        <f>IFERROR(MID(VLOOKUP($B63,Seqs!$A:$B,2,0),AG63,1),"")</f>
        <v>C</v>
      </c>
      <c r="AG63" s="9">
        <v>166</v>
      </c>
      <c r="AH63" s="9" t="str">
        <f>IFERROR(MID(VLOOKUP($B63,Seqs!$A:$B,2,0),AI63,1),"")</f>
        <v>F</v>
      </c>
      <c r="AI63" s="9">
        <v>168</v>
      </c>
      <c r="AJ63" s="9" t="str">
        <f>IFERROR(MID(VLOOKUP($B63,Seqs!$A:$B,2,0),AK63,1),"")</f>
        <v>P</v>
      </c>
      <c r="AK63" s="9">
        <v>173</v>
      </c>
      <c r="AL63" s="9" t="str">
        <f>IFERROR(MID(VLOOKUP($B63,Seqs!$A:$B,2,0),AM63,1),"")</f>
        <v>L</v>
      </c>
      <c r="AM63" s="9">
        <v>208</v>
      </c>
      <c r="AN63" s="9" t="str">
        <f>IFERROR(MID(VLOOKUP($B63,Seqs!$A:$B,2,0),AO63,1),"")</f>
        <v>T</v>
      </c>
      <c r="AO63" s="9">
        <v>224</v>
      </c>
      <c r="AP63" s="9" t="str">
        <f>IFERROR(MID(VLOOKUP($B63,Seqs!$A:$B,2,0),AQ63,1),"")</f>
        <v>C</v>
      </c>
      <c r="AQ63" s="9">
        <v>259</v>
      </c>
      <c r="AR63" s="9" t="str">
        <f>IFERROR(MID(VLOOKUP($B63,Seqs!$A:$B,2,0),AS63,1),"")</f>
        <v>P</v>
      </c>
      <c r="AS63" s="9">
        <v>266</v>
      </c>
      <c r="AT63" s="9" t="str">
        <f>IFERROR(MID(VLOOKUP($B63,Seqs!$A:$B,2,0),AU63,1),"")</f>
        <v>R</v>
      </c>
      <c r="AU63" s="9">
        <v>291</v>
      </c>
      <c r="AV63" s="9" t="str">
        <f>IFERROR(MID(VLOOKUP($B63,Seqs!$A:$B,2,0),AW63,1),"")</f>
        <v>I</v>
      </c>
      <c r="AW63" s="9">
        <v>292</v>
      </c>
      <c r="AX63" s="9" t="str">
        <f>IFERROR(MID(VLOOKUP($B63,Seqs!$A:$B,2,0),AY63,1),"")</f>
        <v>F</v>
      </c>
      <c r="AY63" s="9">
        <v>299</v>
      </c>
      <c r="AZ63" s="110" t="str">
        <f>VLOOKUP(B63,Classification!A:D,2,0)</f>
        <v>A</v>
      </c>
      <c r="BA63" s="98" t="str">
        <f>VLOOKUP(B63,Classification!A:D,4,0)</f>
        <v>Adenosine</v>
      </c>
      <c r="BB63" s="36" t="b">
        <f t="shared" si="196"/>
        <v>1</v>
      </c>
      <c r="BC63" s="109">
        <f t="shared" si="197"/>
        <v>243</v>
      </c>
      <c r="BD63" s="13" t="s">
        <v>23</v>
      </c>
      <c r="BE63" s="9" t="s">
        <v>1297</v>
      </c>
      <c r="BF63" s="120">
        <v>4.1100000000000003</v>
      </c>
      <c r="BG63" s="51" t="s">
        <v>1</v>
      </c>
      <c r="BH63" s="51" t="s">
        <v>1</v>
      </c>
      <c r="BJ63" s="111" t="s">
        <v>1293</v>
      </c>
      <c r="BK63" s="112" t="s">
        <v>1293</v>
      </c>
      <c r="BL63" s="112" t="s">
        <v>1293</v>
      </c>
      <c r="BM63" s="112" t="s">
        <v>1293</v>
      </c>
      <c r="BN63" s="112" t="s">
        <v>1293</v>
      </c>
      <c r="BO63" s="112" t="s">
        <v>1293</v>
      </c>
      <c r="BP63" s="112" t="s">
        <v>1293</v>
      </c>
      <c r="BQ63" s="112" t="s">
        <v>1293</v>
      </c>
      <c r="BR63" s="112" t="s">
        <v>1293</v>
      </c>
      <c r="BS63" s="112" t="s">
        <v>1293</v>
      </c>
      <c r="BT63" s="112" t="s">
        <v>1293</v>
      </c>
      <c r="BU63" s="112" t="s">
        <v>1293</v>
      </c>
      <c r="BV63" s="111">
        <f t="shared" si="198"/>
        <v>8</v>
      </c>
      <c r="BW63" s="113">
        <f t="shared" si="199"/>
        <v>35</v>
      </c>
      <c r="BX63" s="114">
        <f t="shared" si="200"/>
        <v>39</v>
      </c>
      <c r="BY63" s="113">
        <f t="shared" si="201"/>
        <v>70</v>
      </c>
      <c r="BZ63" s="114">
        <f t="shared" si="202"/>
        <v>73</v>
      </c>
      <c r="CA63" s="113">
        <f t="shared" si="203"/>
        <v>109</v>
      </c>
      <c r="CB63" s="114">
        <f t="shared" si="204"/>
        <v>117</v>
      </c>
      <c r="CC63" s="113">
        <f t="shared" si="205"/>
        <v>166</v>
      </c>
      <c r="CD63" s="114">
        <f t="shared" si="206"/>
        <v>173</v>
      </c>
      <c r="CE63" s="113">
        <f t="shared" si="207"/>
        <v>224</v>
      </c>
      <c r="CF63" s="114">
        <f t="shared" si="208"/>
        <v>266</v>
      </c>
      <c r="CG63" s="113">
        <f t="shared" si="209"/>
        <v>292</v>
      </c>
      <c r="CH63" s="111">
        <f t="shared" si="210"/>
        <v>34</v>
      </c>
      <c r="CI63" s="113">
        <f t="shared" si="211"/>
        <v>38</v>
      </c>
      <c r="CJ63" s="114">
        <f t="shared" si="212"/>
        <v>69</v>
      </c>
      <c r="CK63" s="114">
        <f t="shared" si="213"/>
        <v>72</v>
      </c>
      <c r="CL63" s="114">
        <f t="shared" si="214"/>
        <v>108</v>
      </c>
      <c r="CM63" s="114">
        <f t="shared" si="215"/>
        <v>116</v>
      </c>
      <c r="CN63" s="114">
        <f t="shared" si="216"/>
        <v>141</v>
      </c>
      <c r="CO63" s="114">
        <f t="shared" si="217"/>
        <v>168</v>
      </c>
      <c r="CP63" s="114">
        <f t="shared" si="218"/>
        <v>208</v>
      </c>
      <c r="CQ63" s="114">
        <f t="shared" si="219"/>
        <v>259</v>
      </c>
      <c r="CR63" s="114">
        <f t="shared" si="220"/>
        <v>291</v>
      </c>
      <c r="CS63" s="114">
        <f t="shared" si="221"/>
        <v>299</v>
      </c>
      <c r="CT63" s="109">
        <f t="shared" si="222"/>
        <v>1</v>
      </c>
    </row>
    <row r="64" spans="1:1029" x14ac:dyDescent="0.2">
      <c r="A64" s="3" t="str">
        <f t="shared" si="0"/>
        <v>acm1_human__wt</v>
      </c>
      <c r="B64" s="3" t="s">
        <v>146</v>
      </c>
      <c r="C64" s="3" t="s">
        <v>100</v>
      </c>
      <c r="D64" s="3" t="str">
        <f>IFERROR(MID(VLOOKUP($B64,Seqs!$A:$B,2,0),E64,1),"")</f>
        <v>P</v>
      </c>
      <c r="E64" s="3">
        <v>22</v>
      </c>
      <c r="F64" s="3" t="str">
        <f>IFERROR(MID(VLOOKUP($B64,Seqs!$A:$B,2,0),G64,1),"")</f>
        <v>N</v>
      </c>
      <c r="G64" s="3">
        <v>53</v>
      </c>
      <c r="H64" s="3" t="str">
        <f>IFERROR(MID(VLOOKUP($B64,Seqs!$A:$B,2,0),I64,1),"")</f>
        <v>T</v>
      </c>
      <c r="I64" s="23">
        <v>54</v>
      </c>
      <c r="J64" s="3" t="str">
        <f>IFERROR(MID(VLOOKUP($B64,Seqs!$A:$B,2,0),K64,1),"")</f>
        <v>K</v>
      </c>
      <c r="K64" s="23">
        <v>57</v>
      </c>
      <c r="L64" s="3" t="str">
        <f>IFERROR(MID(VLOOKUP($B64,Seqs!$A:$B,2,0),M64,1),"")</f>
        <v>T</v>
      </c>
      <c r="M64" s="3">
        <v>58</v>
      </c>
      <c r="N64" s="3" t="str">
        <f>IFERROR(MID(VLOOKUP($B64,Seqs!$A:$B,2,0),O64,1),"")</f>
        <v>G</v>
      </c>
      <c r="O64" s="105">
        <v>89</v>
      </c>
      <c r="P64" s="3" t="str">
        <f>IFERROR(MID(VLOOKUP($B64,Seqs!$A:$B,2,0),Q64,1),"")</f>
        <v>H</v>
      </c>
      <c r="Q64" s="3">
        <v>90</v>
      </c>
      <c r="R64" s="3" t="str">
        <f>IFERROR(MID(VLOOKUP($B64,Seqs!$A:$B,2,0),S64,1),"")</f>
        <v>L</v>
      </c>
      <c r="S64" s="3">
        <v>93</v>
      </c>
      <c r="T64" s="3" t="str">
        <f>IFERROR(MID(VLOOKUP($B64,Seqs!$A:$B,2,0),U64,1),"")</f>
        <v>G</v>
      </c>
      <c r="U64" s="3">
        <v>94</v>
      </c>
      <c r="V64" s="3" t="str">
        <f>IFERROR(MID(VLOOKUP($B64,Seqs!$A:$B,2,0),W64,1),"")</f>
        <v>R</v>
      </c>
      <c r="W64" s="3">
        <v>129</v>
      </c>
      <c r="X64" s="3" t="str">
        <f>IFERROR(MID(VLOOKUP($B64,Seqs!$A:$B,2,0),Y64,1),"")</f>
        <v>P</v>
      </c>
      <c r="Y64" s="3">
        <v>130</v>
      </c>
      <c r="Z64" s="3" t="str">
        <f>IFERROR(MID(VLOOKUP($B64,Seqs!$A:$B,2,0),AA64,1),"")</f>
        <v>R</v>
      </c>
      <c r="AA64" s="3">
        <v>137</v>
      </c>
      <c r="AB64" s="3" t="str">
        <f>IFERROR(MID(VLOOKUP($B64,Seqs!$A:$B,2,0),AC64,1),"")</f>
        <v>T</v>
      </c>
      <c r="AC64" s="9">
        <v>138</v>
      </c>
      <c r="AD64" s="3" t="str">
        <f>IFERROR(MID(VLOOKUP($B64,Seqs!$A:$B,2,0),AE64,1),"")</f>
        <v>G</v>
      </c>
      <c r="AE64" s="3">
        <v>169</v>
      </c>
      <c r="AF64" s="3" t="str">
        <f>IFERROR(MID(VLOOKUP($B64,Seqs!$A:$B,2,0),AG64,1),"")</f>
        <v>C</v>
      </c>
      <c r="AG64" s="3">
        <v>178</v>
      </c>
      <c r="AH64" s="3" t="str">
        <f>IFERROR(MID(VLOOKUP($B64,Seqs!$A:$B,2,0),AI64,1),"")</f>
        <v>I</v>
      </c>
      <c r="AI64" s="3">
        <v>180</v>
      </c>
      <c r="AJ64" s="3" t="str">
        <f>IFERROR(MID(VLOOKUP($B64,Seqs!$A:$B,2,0),AK64,1),"")</f>
        <v>Q</v>
      </c>
      <c r="AK64" s="3">
        <v>185</v>
      </c>
      <c r="AL64" s="3" t="str">
        <f>IFERROR(MID(VLOOKUP($B64,Seqs!$A:$B,2,0),AM64,1),"")</f>
        <v>L</v>
      </c>
      <c r="AM64" s="3">
        <v>225</v>
      </c>
      <c r="AN64" s="3" t="str">
        <f>IFERROR(MID(VLOOKUP($B64,Seqs!$A:$B,2,0),AO64,1),"")</f>
        <v>T</v>
      </c>
      <c r="AO64" s="3">
        <v>354</v>
      </c>
      <c r="AP64" s="3" t="str">
        <f>IFERROR(MID(VLOOKUP($B64,Seqs!$A:$B,2,0),AQ64,1),"")</f>
        <v>C</v>
      </c>
      <c r="AQ64" s="3">
        <v>391</v>
      </c>
      <c r="AR64" s="3" t="str">
        <f>IFERROR(MID(VLOOKUP($B64,Seqs!$A:$B,2,0),AS64,1),"")</f>
        <v>P</v>
      </c>
      <c r="AS64" s="3">
        <v>396</v>
      </c>
      <c r="AT64" s="3" t="str">
        <f>IFERROR(MID(VLOOKUP($B64,Seqs!$A:$B,2,0),AU64,1),"")</f>
        <v>C</v>
      </c>
      <c r="AU64" s="3">
        <v>421</v>
      </c>
      <c r="AV64" s="3" t="str">
        <f>IFERROR(MID(VLOOKUP($B64,Seqs!$A:$B,2,0),AW64,1),"")</f>
        <v>N</v>
      </c>
      <c r="AW64" s="3">
        <v>422</v>
      </c>
      <c r="AX64" s="3" t="str">
        <f>IFERROR(MID(VLOOKUP($B64,Seqs!$A:$B,2,0),AY64,1),"")</f>
        <v>L</v>
      </c>
      <c r="AY64" s="3">
        <v>434</v>
      </c>
      <c r="AZ64" s="77" t="str">
        <f>VLOOKUP(B64,Classification!A:D,2,0)</f>
        <v>A</v>
      </c>
      <c r="BA64" s="94" t="str">
        <f>VLOOKUP(B64,Classification!A:D,4,0)</f>
        <v>Acetylcholine(muscarinic)</v>
      </c>
      <c r="BB64" s="27" t="b">
        <f t="shared" si="1"/>
        <v>1</v>
      </c>
      <c r="BC64" s="23">
        <f t="shared" si="169"/>
        <v>269</v>
      </c>
      <c r="BD64" s="56" t="s">
        <v>1379</v>
      </c>
      <c r="BE64" s="3" t="s">
        <v>23</v>
      </c>
      <c r="BF64" s="119" t="s">
        <v>23</v>
      </c>
      <c r="BG64" s="49" t="s">
        <v>1379</v>
      </c>
      <c r="BH64" s="49" t="s">
        <v>1384</v>
      </c>
      <c r="BI64" s="1"/>
      <c r="BJ64" s="70" t="s">
        <v>1293</v>
      </c>
      <c r="BK64" s="57" t="s">
        <v>1293</v>
      </c>
      <c r="BL64" s="57" t="s">
        <v>1293</v>
      </c>
      <c r="BM64" s="57" t="s">
        <v>1293</v>
      </c>
      <c r="BN64" s="57" t="s">
        <v>1293</v>
      </c>
      <c r="BO64" s="57" t="s">
        <v>1293</v>
      </c>
      <c r="BP64" s="57" t="s">
        <v>1293</v>
      </c>
      <c r="BQ64" s="57" t="s">
        <v>1293</v>
      </c>
      <c r="BR64" s="57" t="s">
        <v>1293</v>
      </c>
      <c r="BS64" s="57" t="s">
        <v>1293</v>
      </c>
      <c r="BT64" s="57" t="s">
        <v>1293</v>
      </c>
      <c r="BU64" s="57" t="s">
        <v>1293</v>
      </c>
      <c r="BV64" s="70">
        <f t="shared" si="170"/>
        <v>22</v>
      </c>
      <c r="BW64" s="71">
        <f t="shared" si="171"/>
        <v>54</v>
      </c>
      <c r="BX64" s="72">
        <f t="shared" si="172"/>
        <v>58</v>
      </c>
      <c r="BY64" s="71">
        <f t="shared" si="173"/>
        <v>90</v>
      </c>
      <c r="BZ64" s="72">
        <f t="shared" si="174"/>
        <v>94</v>
      </c>
      <c r="CA64" s="71">
        <f t="shared" si="175"/>
        <v>130</v>
      </c>
      <c r="CB64" s="72">
        <f t="shared" si="176"/>
        <v>138</v>
      </c>
      <c r="CC64" s="71">
        <f t="shared" si="177"/>
        <v>178</v>
      </c>
      <c r="CD64" s="72">
        <f t="shared" si="178"/>
        <v>185</v>
      </c>
      <c r="CE64" s="71">
        <f t="shared" si="179"/>
        <v>354</v>
      </c>
      <c r="CF64" s="72">
        <f t="shared" si="180"/>
        <v>396</v>
      </c>
      <c r="CG64" s="71">
        <f t="shared" si="181"/>
        <v>422</v>
      </c>
      <c r="CH64" s="70">
        <f t="shared" si="182"/>
        <v>53</v>
      </c>
      <c r="CI64" s="71">
        <f t="shared" si="183"/>
        <v>57</v>
      </c>
      <c r="CJ64" s="72">
        <f t="shared" si="184"/>
        <v>89</v>
      </c>
      <c r="CK64" s="72">
        <f t="shared" si="185"/>
        <v>93</v>
      </c>
      <c r="CL64" s="72">
        <f t="shared" si="186"/>
        <v>129</v>
      </c>
      <c r="CM64" s="72">
        <f t="shared" si="187"/>
        <v>137</v>
      </c>
      <c r="CN64" s="72">
        <f t="shared" si="188"/>
        <v>169</v>
      </c>
      <c r="CO64" s="72">
        <f t="shared" si="189"/>
        <v>180</v>
      </c>
      <c r="CP64" s="72">
        <f t="shared" si="190"/>
        <v>225</v>
      </c>
      <c r="CQ64" s="72">
        <f t="shared" si="191"/>
        <v>391</v>
      </c>
      <c r="CR64" s="72">
        <f t="shared" si="192"/>
        <v>421</v>
      </c>
      <c r="CS64" s="72">
        <f t="shared" si="193"/>
        <v>434</v>
      </c>
      <c r="CT64" s="23">
        <f t="shared" si="194"/>
        <v>1</v>
      </c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I64" s="1"/>
      <c r="PJ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  <c r="QT64" s="1"/>
      <c r="QU64" s="1"/>
      <c r="QV64" s="1"/>
      <c r="QW64" s="1"/>
      <c r="QX64" s="1"/>
      <c r="QY64" s="1"/>
      <c r="QZ64" s="1"/>
      <c r="RA64" s="1"/>
      <c r="RB64" s="1"/>
      <c r="RC64" s="1"/>
      <c r="RD64" s="1"/>
      <c r="RE64" s="1"/>
      <c r="RF64" s="1"/>
      <c r="RG64" s="1"/>
      <c r="RH64" s="1"/>
      <c r="RI64" s="1"/>
      <c r="RJ64" s="1"/>
      <c r="RK64" s="1"/>
      <c r="RL64" s="1"/>
      <c r="RM64" s="1"/>
      <c r="RN64" s="1"/>
      <c r="RO64" s="1"/>
      <c r="RP64" s="1"/>
      <c r="RQ64" s="1"/>
      <c r="RR64" s="1"/>
      <c r="RS64" s="1"/>
      <c r="RT64" s="1"/>
      <c r="RU64" s="1"/>
      <c r="RV64" s="1"/>
      <c r="RW64" s="1"/>
      <c r="RX64" s="1"/>
      <c r="RY64" s="1"/>
      <c r="RZ64" s="1"/>
      <c r="SA64" s="1"/>
      <c r="SB64" s="1"/>
      <c r="SC64" s="1"/>
      <c r="SD64" s="1"/>
      <c r="SE64" s="1"/>
      <c r="SF64" s="1"/>
      <c r="SG64" s="1"/>
      <c r="SH64" s="1"/>
      <c r="SI64" s="1"/>
      <c r="SJ64" s="1"/>
      <c r="SK64" s="1"/>
      <c r="SL64" s="1"/>
      <c r="SM64" s="1"/>
      <c r="SN64" s="1"/>
      <c r="SO64" s="1"/>
      <c r="SP64" s="1"/>
      <c r="SQ64" s="1"/>
      <c r="SR64" s="1"/>
      <c r="SS64" s="1"/>
      <c r="ST64" s="1"/>
      <c r="SU64" s="1"/>
      <c r="SV64" s="1"/>
      <c r="SW64" s="1"/>
      <c r="SX64" s="1"/>
      <c r="SY64" s="1"/>
      <c r="SZ64" s="1"/>
      <c r="TA64" s="1"/>
      <c r="TB64" s="1"/>
      <c r="TC64" s="1"/>
      <c r="TD64" s="1"/>
      <c r="TE64" s="1"/>
      <c r="TF64" s="1"/>
      <c r="TG64" s="1"/>
      <c r="TH64" s="1"/>
      <c r="TI64" s="1"/>
      <c r="TJ64" s="1"/>
      <c r="TK64" s="1"/>
      <c r="TL64" s="1"/>
      <c r="TM64" s="1"/>
      <c r="TN64" s="1"/>
      <c r="TO64" s="1"/>
      <c r="TP64" s="1"/>
      <c r="TQ64" s="1"/>
      <c r="TR64" s="1"/>
      <c r="TS64" s="1"/>
      <c r="TT64" s="1"/>
      <c r="TU64" s="1"/>
      <c r="TV64" s="1"/>
      <c r="TW64" s="1"/>
      <c r="TX64" s="1"/>
      <c r="TY64" s="1"/>
      <c r="TZ64" s="1"/>
      <c r="UA64" s="1"/>
      <c r="UB64" s="1"/>
      <c r="UC64" s="1"/>
      <c r="UD64" s="1"/>
      <c r="UE64" s="1"/>
      <c r="UF64" s="1"/>
      <c r="UG64" s="1"/>
      <c r="UH64" s="1"/>
      <c r="UI64" s="1"/>
      <c r="UJ64" s="1"/>
      <c r="UK64" s="1"/>
      <c r="UL64" s="1"/>
      <c r="UM64" s="1"/>
      <c r="UN64" s="1"/>
      <c r="UO64" s="1"/>
      <c r="UP64" s="1"/>
      <c r="UQ64" s="1"/>
      <c r="UR64" s="1"/>
      <c r="US64" s="1"/>
      <c r="UT64" s="1"/>
      <c r="UU64" s="1"/>
      <c r="UV64" s="1"/>
      <c r="UW64" s="1"/>
      <c r="UX64" s="1"/>
      <c r="UY64" s="1"/>
      <c r="UZ64" s="1"/>
      <c r="VA64" s="1"/>
      <c r="VB64" s="1"/>
      <c r="VC64" s="1"/>
      <c r="VD64" s="1"/>
      <c r="VE64" s="1"/>
      <c r="VF64" s="1"/>
      <c r="VG64" s="1"/>
      <c r="VH64" s="1"/>
      <c r="VI64" s="1"/>
      <c r="VJ64" s="1"/>
      <c r="VK64" s="1"/>
      <c r="VL64" s="1"/>
      <c r="VM64" s="1"/>
      <c r="VN64" s="1"/>
      <c r="VO64" s="1"/>
      <c r="VP64" s="1"/>
      <c r="VQ64" s="1"/>
      <c r="VR64" s="1"/>
      <c r="VS64" s="1"/>
      <c r="VT64" s="1"/>
      <c r="VU64" s="1"/>
      <c r="VV64" s="1"/>
      <c r="VW64" s="1"/>
      <c r="VX64" s="1"/>
      <c r="VY64" s="1"/>
      <c r="VZ64" s="1"/>
      <c r="WA64" s="1"/>
      <c r="WB64" s="1"/>
      <c r="WC64" s="1"/>
      <c r="WD64" s="1"/>
      <c r="WE64" s="1"/>
      <c r="WF64" s="1"/>
      <c r="WG64" s="1"/>
      <c r="WH64" s="1"/>
      <c r="WI64" s="1"/>
      <c r="WJ64" s="1"/>
      <c r="WK64" s="1"/>
      <c r="WL64" s="1"/>
      <c r="WM64" s="1"/>
      <c r="WN64" s="1"/>
      <c r="WO64" s="1"/>
      <c r="WP64" s="1"/>
      <c r="WQ64" s="1"/>
      <c r="WR64" s="1"/>
      <c r="WS64" s="1"/>
      <c r="WT64" s="1"/>
      <c r="WU64" s="1"/>
      <c r="WV64" s="1"/>
      <c r="WW64" s="1"/>
      <c r="WX64" s="1"/>
      <c r="WY64" s="1"/>
      <c r="WZ64" s="1"/>
      <c r="XA64" s="1"/>
      <c r="XB64" s="1"/>
      <c r="XC64" s="1"/>
      <c r="XD64" s="1"/>
      <c r="XE64" s="1"/>
      <c r="XF64" s="1"/>
      <c r="XG64" s="1"/>
      <c r="XH64" s="1"/>
      <c r="XI64" s="1"/>
      <c r="XJ64" s="1"/>
      <c r="XK64" s="1"/>
      <c r="XL64" s="1"/>
      <c r="XM64" s="1"/>
      <c r="XN64" s="1"/>
      <c r="XO64" s="1"/>
      <c r="XP64" s="1"/>
      <c r="XQ64" s="1"/>
      <c r="XR64" s="1"/>
      <c r="XS64" s="1"/>
      <c r="XT64" s="1"/>
      <c r="XU64" s="1"/>
      <c r="XV64" s="1"/>
      <c r="XW64" s="1"/>
      <c r="XX64" s="1"/>
      <c r="XY64" s="1"/>
      <c r="XZ64" s="1"/>
      <c r="YA64" s="1"/>
      <c r="YB64" s="1"/>
      <c r="YC64" s="1"/>
      <c r="YD64" s="1"/>
      <c r="YE64" s="1"/>
      <c r="YF64" s="1"/>
      <c r="YG64" s="1"/>
      <c r="YH64" s="1"/>
      <c r="YI64" s="1"/>
      <c r="YJ64" s="1"/>
      <c r="YK64" s="1"/>
      <c r="YL64" s="1"/>
      <c r="YM64" s="1"/>
      <c r="YN64" s="1"/>
      <c r="YO64" s="1"/>
      <c r="YP64" s="1"/>
      <c r="YQ64" s="1"/>
      <c r="YR64" s="1"/>
      <c r="YS64" s="1"/>
      <c r="YT64" s="1"/>
      <c r="YU64" s="1"/>
      <c r="YV64" s="1"/>
      <c r="YW64" s="1"/>
      <c r="YX64" s="1"/>
      <c r="YY64" s="1"/>
      <c r="YZ64" s="1"/>
      <c r="ZA64" s="1"/>
      <c r="ZB64" s="1"/>
      <c r="ZC64" s="1"/>
      <c r="ZD64" s="1"/>
      <c r="ZE64" s="1"/>
      <c r="ZF64" s="1"/>
      <c r="ZG64" s="1"/>
      <c r="ZH64" s="1"/>
      <c r="ZI64" s="1"/>
      <c r="ZJ64" s="1"/>
      <c r="ZK64" s="1"/>
      <c r="ZL64" s="1"/>
      <c r="ZM64" s="1"/>
      <c r="ZN64" s="1"/>
      <c r="ZO64" s="1"/>
      <c r="ZP64" s="1"/>
      <c r="ZQ64" s="1"/>
      <c r="ZR64" s="1"/>
      <c r="ZS64" s="1"/>
      <c r="ZT64" s="1"/>
      <c r="ZU64" s="1"/>
      <c r="ZV64" s="1"/>
      <c r="ZW64" s="1"/>
      <c r="ZX64" s="1"/>
      <c r="ZY64" s="1"/>
      <c r="ZZ64" s="1"/>
      <c r="AAA64" s="1"/>
      <c r="AAB64" s="1"/>
      <c r="AAC64" s="1"/>
      <c r="AAD64" s="1"/>
      <c r="AAE64" s="1"/>
      <c r="AAF64" s="1"/>
      <c r="AAG64" s="1"/>
      <c r="AAH64" s="1"/>
      <c r="AAI64" s="1"/>
      <c r="AAJ64" s="1"/>
      <c r="AAK64" s="1"/>
      <c r="AAL64" s="1"/>
      <c r="AAM64" s="1"/>
      <c r="AAN64" s="1"/>
      <c r="AAO64" s="1"/>
      <c r="AAP64" s="1"/>
      <c r="AAQ64" s="1"/>
      <c r="AAR64" s="1"/>
      <c r="AAS64" s="1"/>
      <c r="AAT64" s="1"/>
      <c r="AAU64" s="1"/>
      <c r="AAV64" s="1"/>
      <c r="AAW64" s="1"/>
      <c r="AAX64" s="1"/>
      <c r="AAY64" s="1"/>
      <c r="AAZ64" s="1"/>
      <c r="ABA64" s="1"/>
      <c r="ABB64" s="1"/>
      <c r="ABC64" s="1"/>
      <c r="ABD64" s="1"/>
      <c r="ABE64" s="1"/>
      <c r="ABF64" s="1"/>
      <c r="ABG64" s="1"/>
      <c r="ABH64" s="1"/>
      <c r="ABI64" s="1"/>
      <c r="ABJ64" s="1"/>
      <c r="ABK64" s="1"/>
      <c r="ABL64" s="1"/>
      <c r="ABM64" s="1"/>
      <c r="ABN64" s="1"/>
      <c r="ABO64" s="1"/>
      <c r="ABP64" s="1"/>
      <c r="ABQ64" s="1"/>
      <c r="ABR64" s="1"/>
      <c r="ABS64" s="1"/>
      <c r="ABT64" s="1"/>
      <c r="ABU64" s="1"/>
      <c r="ABV64" s="1"/>
      <c r="ABW64" s="1"/>
      <c r="ABX64" s="1"/>
      <c r="ABY64" s="1"/>
      <c r="ABZ64" s="1"/>
      <c r="ACA64" s="1"/>
      <c r="ACB64" s="1"/>
      <c r="ACC64" s="1"/>
      <c r="ACD64" s="1"/>
      <c r="ACE64" s="1"/>
      <c r="ACF64" s="1"/>
      <c r="ACG64" s="1"/>
      <c r="ACH64" s="1"/>
      <c r="ACI64" s="1"/>
      <c r="ACJ64" s="1"/>
      <c r="ACK64" s="1"/>
      <c r="ACL64" s="1"/>
      <c r="ACM64" s="1"/>
      <c r="ACN64" s="1"/>
      <c r="ACO64" s="1"/>
      <c r="ACP64" s="1"/>
      <c r="ACQ64" s="1"/>
      <c r="ACR64" s="1"/>
      <c r="ACS64" s="1"/>
      <c r="ACT64" s="1"/>
      <c r="ACU64" s="1"/>
      <c r="ACV64" s="1"/>
      <c r="ACW64" s="1"/>
      <c r="ACX64" s="1"/>
      <c r="ACY64" s="1"/>
      <c r="ACZ64" s="1"/>
      <c r="ADA64" s="1"/>
      <c r="ADB64" s="1"/>
      <c r="ADC64" s="1"/>
      <c r="ADD64" s="1"/>
      <c r="ADE64" s="1"/>
      <c r="ADF64" s="1"/>
      <c r="ADG64" s="1"/>
      <c r="ADH64" s="1"/>
      <c r="ADI64" s="1"/>
      <c r="ADJ64" s="1"/>
      <c r="ADK64" s="1"/>
      <c r="ADL64" s="1"/>
      <c r="ADM64" s="1"/>
      <c r="ADN64" s="1"/>
      <c r="ADO64" s="1"/>
      <c r="ADP64" s="1"/>
      <c r="ADQ64" s="1"/>
      <c r="ADR64" s="1"/>
      <c r="ADS64" s="1"/>
      <c r="ADT64" s="1"/>
      <c r="ADU64" s="1"/>
      <c r="ADV64" s="1"/>
      <c r="ADW64" s="1"/>
      <c r="ADX64" s="1"/>
      <c r="ADY64" s="1"/>
      <c r="ADZ64" s="1"/>
      <c r="AEA64" s="1"/>
      <c r="AEB64" s="1"/>
      <c r="AEC64" s="1"/>
      <c r="AED64" s="1"/>
      <c r="AEE64" s="1"/>
      <c r="AEF64" s="1"/>
      <c r="AEG64" s="1"/>
      <c r="AEH64" s="1"/>
      <c r="AEI64" s="1"/>
      <c r="AEJ64" s="1"/>
      <c r="AEK64" s="1"/>
      <c r="AEL64" s="1"/>
      <c r="AEM64" s="1"/>
      <c r="AEN64" s="1"/>
      <c r="AEO64" s="1"/>
      <c r="AEP64" s="1"/>
      <c r="AEQ64" s="1"/>
      <c r="AER64" s="1"/>
      <c r="AES64" s="1"/>
      <c r="AET64" s="1"/>
      <c r="AEU64" s="1"/>
      <c r="AEV64" s="1"/>
      <c r="AEW64" s="1"/>
      <c r="AEX64" s="1"/>
      <c r="AEY64" s="1"/>
      <c r="AEZ64" s="1"/>
      <c r="AFA64" s="1"/>
      <c r="AFB64" s="1"/>
      <c r="AFC64" s="1"/>
      <c r="AFD64" s="1"/>
      <c r="AFE64" s="1"/>
      <c r="AFF64" s="1"/>
      <c r="AFG64" s="1"/>
      <c r="AFH64" s="1"/>
      <c r="AFI64" s="1"/>
      <c r="AFJ64" s="1"/>
      <c r="AFK64" s="1"/>
      <c r="AFL64" s="1"/>
      <c r="AFM64" s="1"/>
      <c r="AFN64" s="1"/>
      <c r="AFO64" s="1"/>
      <c r="AFP64" s="1"/>
      <c r="AFQ64" s="1"/>
      <c r="AFR64" s="1"/>
      <c r="AFS64" s="1"/>
      <c r="AFT64" s="1"/>
      <c r="AFU64" s="1"/>
      <c r="AFV64" s="1"/>
      <c r="AFW64" s="1"/>
      <c r="AFX64" s="1"/>
      <c r="AFY64" s="1"/>
      <c r="AFZ64" s="1"/>
      <c r="AGA64" s="1"/>
      <c r="AGB64" s="1"/>
      <c r="AGC64" s="1"/>
      <c r="AGD64" s="1"/>
      <c r="AGE64" s="1"/>
      <c r="AGF64" s="1"/>
      <c r="AGG64" s="1"/>
      <c r="AGH64" s="1"/>
      <c r="AGI64" s="1"/>
      <c r="AGJ64" s="1"/>
      <c r="AGK64" s="1"/>
      <c r="AGL64" s="1"/>
      <c r="AGM64" s="1"/>
      <c r="AGN64" s="1"/>
      <c r="AGO64" s="1"/>
      <c r="AGP64" s="1"/>
      <c r="AGQ64" s="1"/>
      <c r="AGR64" s="1"/>
      <c r="AGS64" s="1"/>
      <c r="AGT64" s="1"/>
      <c r="AGU64" s="1"/>
      <c r="AGV64" s="1"/>
      <c r="AGW64" s="1"/>
      <c r="AGX64" s="1"/>
      <c r="AGY64" s="1"/>
      <c r="AGZ64" s="1"/>
      <c r="AHA64" s="1"/>
      <c r="AHB64" s="1"/>
      <c r="AHC64" s="1"/>
      <c r="AHD64" s="1"/>
      <c r="AHE64" s="1"/>
      <c r="AHF64" s="1"/>
      <c r="AHG64" s="1"/>
      <c r="AHH64" s="1"/>
      <c r="AHI64" s="1"/>
      <c r="AHJ64" s="1"/>
      <c r="AHK64" s="1"/>
      <c r="AHL64" s="1"/>
      <c r="AHM64" s="1"/>
      <c r="AHN64" s="1"/>
      <c r="AHO64" s="1"/>
      <c r="AHP64" s="1"/>
      <c r="AHQ64" s="1"/>
      <c r="AHR64" s="1"/>
      <c r="AHS64" s="1"/>
      <c r="AHT64" s="1"/>
      <c r="AHU64" s="1"/>
      <c r="AHV64" s="1"/>
      <c r="AHW64" s="1"/>
      <c r="AHX64" s="1"/>
      <c r="AHY64" s="1"/>
      <c r="AHZ64" s="1"/>
      <c r="AIA64" s="1"/>
      <c r="AIB64" s="1"/>
      <c r="AIC64" s="1"/>
      <c r="AID64" s="1"/>
      <c r="AIE64" s="1"/>
      <c r="AIF64" s="1"/>
      <c r="AIG64" s="1"/>
      <c r="AIH64" s="1"/>
      <c r="AII64" s="1"/>
      <c r="AIJ64" s="1"/>
      <c r="AIK64" s="1"/>
      <c r="AIL64" s="1"/>
      <c r="AIM64" s="1"/>
      <c r="AIN64" s="1"/>
      <c r="AIO64" s="1"/>
      <c r="AIP64" s="1"/>
      <c r="AIQ64" s="1"/>
      <c r="AIR64" s="1"/>
      <c r="AIS64" s="1"/>
      <c r="AIT64" s="1"/>
      <c r="AIU64" s="1"/>
      <c r="AIV64" s="1"/>
      <c r="AIW64" s="1"/>
      <c r="AIX64" s="1"/>
      <c r="AIY64" s="1"/>
      <c r="AIZ64" s="1"/>
      <c r="AJA64" s="1"/>
      <c r="AJB64" s="1"/>
      <c r="AJC64" s="1"/>
      <c r="AJD64" s="1"/>
      <c r="AJE64" s="1"/>
      <c r="AJF64" s="1"/>
      <c r="AJG64" s="1"/>
      <c r="AJH64" s="1"/>
      <c r="AJI64" s="1"/>
      <c r="AJJ64" s="1"/>
      <c r="AJK64" s="1"/>
      <c r="AJL64" s="1"/>
      <c r="AJM64" s="1"/>
      <c r="AJN64" s="1"/>
      <c r="AJO64" s="1"/>
      <c r="AJP64" s="1"/>
      <c r="AJQ64" s="1"/>
      <c r="AJR64" s="1"/>
      <c r="AJS64" s="1"/>
      <c r="AJT64" s="1"/>
      <c r="AJU64" s="1"/>
      <c r="AJV64" s="1"/>
      <c r="AJW64" s="1"/>
      <c r="AJX64" s="1"/>
      <c r="AJY64" s="1"/>
      <c r="AJZ64" s="1"/>
      <c r="AKA64" s="1"/>
      <c r="AKB64" s="1"/>
      <c r="AKC64" s="1"/>
      <c r="AKD64" s="1"/>
      <c r="AKE64" s="1"/>
      <c r="AKF64" s="1"/>
      <c r="AKG64" s="1"/>
      <c r="AKH64" s="1"/>
      <c r="AKI64" s="1"/>
      <c r="AKJ64" s="1"/>
      <c r="AKK64" s="1"/>
      <c r="AKL64" s="1"/>
      <c r="AKM64" s="1"/>
      <c r="AKN64" s="1"/>
      <c r="AKO64" s="1"/>
      <c r="AKP64" s="1"/>
      <c r="AKQ64" s="1"/>
      <c r="AKR64" s="1"/>
      <c r="AKS64" s="1"/>
      <c r="AKT64" s="1"/>
      <c r="AKU64" s="1"/>
      <c r="AKV64" s="1"/>
      <c r="AKW64" s="1"/>
      <c r="AKX64" s="1"/>
      <c r="AKY64" s="1"/>
      <c r="AKZ64" s="1"/>
      <c r="ALA64" s="1"/>
      <c r="ALB64" s="1"/>
      <c r="ALC64" s="1"/>
      <c r="ALD64" s="1"/>
      <c r="ALE64" s="1"/>
      <c r="ALF64" s="1"/>
      <c r="ALG64" s="1"/>
      <c r="ALH64" s="1"/>
      <c r="ALI64" s="1"/>
      <c r="ALJ64" s="1"/>
      <c r="ALK64" s="1"/>
      <c r="ALL64" s="1"/>
      <c r="ALM64" s="1"/>
      <c r="ALN64" s="1"/>
      <c r="ALO64" s="1"/>
      <c r="ALP64" s="1"/>
      <c r="ALQ64" s="1"/>
      <c r="ALR64" s="1"/>
      <c r="ALS64" s="1"/>
      <c r="ALT64" s="1"/>
      <c r="ALU64" s="1"/>
      <c r="ALV64" s="1"/>
      <c r="ALW64" s="1"/>
      <c r="ALX64" s="1"/>
      <c r="ALY64" s="1"/>
      <c r="ALZ64" s="1"/>
      <c r="AMA64" s="1"/>
      <c r="AMB64" s="1"/>
      <c r="AMC64" s="1"/>
      <c r="AMD64" s="1"/>
      <c r="AME64" s="1"/>
      <c r="AMF64" s="1"/>
      <c r="AMG64" s="1"/>
      <c r="AMH64" s="1"/>
      <c r="AMI64" s="1"/>
      <c r="AMJ64" s="1"/>
      <c r="AMK64" s="1"/>
      <c r="AML64" s="1"/>
      <c r="AMM64" s="1"/>
      <c r="AMN64" s="1"/>
      <c r="AMO64" s="1"/>
    </row>
    <row r="65" spans="1:1029" x14ac:dyDescent="0.2">
      <c r="A65" s="3" t="str">
        <f t="shared" si="0"/>
        <v>acm1_human_5CXV</v>
      </c>
      <c r="B65" s="3" t="s">
        <v>146</v>
      </c>
      <c r="C65" s="3" t="s">
        <v>62</v>
      </c>
      <c r="D65" s="3" t="str">
        <f>IFERROR(MID(VLOOKUP($B65,Seqs!$A:$B,2,0),E65,1),"")</f>
        <v>P</v>
      </c>
      <c r="E65" s="3">
        <v>22</v>
      </c>
      <c r="F65" s="3" t="str">
        <f>IFERROR(MID(VLOOKUP($B65,Seqs!$A:$B,2,0),G65,1),"")</f>
        <v>N</v>
      </c>
      <c r="G65" s="3">
        <v>53</v>
      </c>
      <c r="H65" s="3" t="str">
        <f>IFERROR(MID(VLOOKUP($B65,Seqs!$A:$B,2,0),I65,1),"")</f>
        <v>T</v>
      </c>
      <c r="I65" s="23">
        <v>54</v>
      </c>
      <c r="J65" s="3" t="str">
        <f>IFERROR(MID(VLOOKUP($B65,Seqs!$A:$B,2,0),K65,1),"")</f>
        <v>K</v>
      </c>
      <c r="K65" s="23">
        <v>57</v>
      </c>
      <c r="L65" s="3" t="str">
        <f>IFERROR(MID(VLOOKUP($B65,Seqs!$A:$B,2,0),M65,1),"")</f>
        <v>T</v>
      </c>
      <c r="M65" s="3">
        <v>58</v>
      </c>
      <c r="N65" s="3" t="str">
        <f>IFERROR(MID(VLOOKUP($B65,Seqs!$A:$B,2,0),O65,1),"")</f>
        <v>G</v>
      </c>
      <c r="O65" s="3">
        <v>89</v>
      </c>
      <c r="P65" s="3" t="str">
        <f>IFERROR(MID(VLOOKUP($B65,Seqs!$A:$B,2,0),Q65,1),"")</f>
        <v>H</v>
      </c>
      <c r="Q65" s="3">
        <v>90</v>
      </c>
      <c r="R65" s="3" t="str">
        <f>IFERROR(MID(VLOOKUP($B65,Seqs!$A:$B,2,0),S65,1),"")</f>
        <v>L</v>
      </c>
      <c r="S65" s="3">
        <v>93</v>
      </c>
      <c r="T65" s="3" t="str">
        <f>IFERROR(MID(VLOOKUP($B65,Seqs!$A:$B,2,0),U65,1),"")</f>
        <v>G</v>
      </c>
      <c r="U65" s="3">
        <v>94</v>
      </c>
      <c r="V65" s="3" t="str">
        <f>IFERROR(MID(VLOOKUP($B65,Seqs!$A:$B,2,0),W65,1),"")</f>
        <v>R</v>
      </c>
      <c r="W65" s="3">
        <v>129</v>
      </c>
      <c r="X65" s="3" t="str">
        <f>IFERROR(MID(VLOOKUP($B65,Seqs!$A:$B,2,0),Y65,1),"")</f>
        <v>P</v>
      </c>
      <c r="Y65" s="3">
        <v>130</v>
      </c>
      <c r="Z65" s="3" t="str">
        <f>IFERROR(MID(VLOOKUP($B65,Seqs!$A:$B,2,0),AA65,1),"")</f>
        <v>R</v>
      </c>
      <c r="AA65" s="3">
        <v>137</v>
      </c>
      <c r="AB65" s="3" t="str">
        <f>IFERROR(MID(VLOOKUP($B65,Seqs!$A:$B,2,0),AC65,1),"")</f>
        <v>T</v>
      </c>
      <c r="AC65" s="9">
        <v>138</v>
      </c>
      <c r="AD65" s="3" t="str">
        <f>IFERROR(MID(VLOOKUP($B65,Seqs!$A:$B,2,0),AE65,1),"")</f>
        <v>G</v>
      </c>
      <c r="AE65" s="3">
        <v>169</v>
      </c>
      <c r="AF65" s="3" t="str">
        <f>IFERROR(MID(VLOOKUP($B65,Seqs!$A:$B,2,0),AG65,1),"")</f>
        <v>C</v>
      </c>
      <c r="AG65" s="3">
        <v>178</v>
      </c>
      <c r="AH65" s="3" t="str">
        <f>IFERROR(MID(VLOOKUP($B65,Seqs!$A:$B,2,0),AI65,1),"")</f>
        <v>I</v>
      </c>
      <c r="AI65" s="3">
        <v>180</v>
      </c>
      <c r="AJ65" s="3" t="str">
        <f>IFERROR(MID(VLOOKUP($B65,Seqs!$A:$B,2,0),AK65,1),"")</f>
        <v>Q</v>
      </c>
      <c r="AK65" s="3">
        <v>185</v>
      </c>
      <c r="AL65" s="3" t="str">
        <f>IFERROR(MID(VLOOKUP($B65,Seqs!$A:$B,2,0),AM65,1),"")</f>
        <v>R</v>
      </c>
      <c r="AM65" s="3">
        <v>213</v>
      </c>
      <c r="AN65" s="3" t="str">
        <f>IFERROR(MID(VLOOKUP($B65,Seqs!$A:$B,2,0),AO65,1),"")</f>
        <v>L</v>
      </c>
      <c r="AO65" s="3">
        <v>357</v>
      </c>
      <c r="AP65" s="3" t="str">
        <f>IFERROR(MID(VLOOKUP($B65,Seqs!$A:$B,2,0),AQ65,1),"")</f>
        <v>C</v>
      </c>
      <c r="AQ65" s="3">
        <v>391</v>
      </c>
      <c r="AR65" s="3" t="str">
        <f>IFERROR(MID(VLOOKUP($B65,Seqs!$A:$B,2,0),AS65,1),"")</f>
        <v>P</v>
      </c>
      <c r="AS65" s="3">
        <v>396</v>
      </c>
      <c r="AT65" s="3" t="str">
        <f>IFERROR(MID(VLOOKUP($B65,Seqs!$A:$B,2,0),AU65,1),"")</f>
        <v>C</v>
      </c>
      <c r="AU65" s="3">
        <v>421</v>
      </c>
      <c r="AV65" s="3" t="str">
        <f>IFERROR(MID(VLOOKUP($B65,Seqs!$A:$B,2,0),AW65,1),"")</f>
        <v>N</v>
      </c>
      <c r="AW65" s="3">
        <v>422</v>
      </c>
      <c r="AX65" s="3" t="str">
        <f>IFERROR(MID(VLOOKUP($B65,Seqs!$A:$B,2,0),AY65,1),"")</f>
        <v>L</v>
      </c>
      <c r="AY65" s="3">
        <v>434</v>
      </c>
      <c r="AZ65" s="77" t="str">
        <f>VLOOKUP(B65,Classification!A:D,2,0)</f>
        <v>A</v>
      </c>
      <c r="BA65" s="94" t="str">
        <f>VLOOKUP(B65,Classification!A:D,4,0)</f>
        <v>Acetylcholine(muscarinic)</v>
      </c>
      <c r="BB65" s="27" t="b">
        <f t="shared" si="1"/>
        <v>1</v>
      </c>
      <c r="BC65" s="23">
        <f t="shared" si="169"/>
        <v>254</v>
      </c>
      <c r="BD65" s="16" t="s">
        <v>1383</v>
      </c>
      <c r="BE65" s="3" t="s">
        <v>1381</v>
      </c>
      <c r="BF65" s="119">
        <v>2.7</v>
      </c>
      <c r="BG65" s="49" t="s">
        <v>1384</v>
      </c>
      <c r="BH65" s="49" t="s">
        <v>1384</v>
      </c>
      <c r="BI65" s="1"/>
      <c r="BJ65" s="70" t="s">
        <v>1293</v>
      </c>
      <c r="BK65" s="57" t="s">
        <v>1293</v>
      </c>
      <c r="BL65" s="57" t="s">
        <v>1293</v>
      </c>
      <c r="BM65" s="57" t="s">
        <v>1293</v>
      </c>
      <c r="BN65" s="57" t="s">
        <v>1293</v>
      </c>
      <c r="BO65" s="57" t="s">
        <v>1293</v>
      </c>
      <c r="BP65" s="57" t="s">
        <v>1293</v>
      </c>
      <c r="BQ65" s="57" t="s">
        <v>1293</v>
      </c>
      <c r="BR65" s="57" t="s">
        <v>1293</v>
      </c>
      <c r="BS65" s="57" t="s">
        <v>1293</v>
      </c>
      <c r="BT65" s="57" t="s">
        <v>1293</v>
      </c>
      <c r="BU65" s="57" t="s">
        <v>1293</v>
      </c>
      <c r="BV65" s="70">
        <f t="shared" si="170"/>
        <v>22</v>
      </c>
      <c r="BW65" s="71">
        <f t="shared" si="171"/>
        <v>54</v>
      </c>
      <c r="BX65" s="72">
        <f t="shared" si="172"/>
        <v>58</v>
      </c>
      <c r="BY65" s="71">
        <f t="shared" si="173"/>
        <v>90</v>
      </c>
      <c r="BZ65" s="72">
        <f t="shared" si="174"/>
        <v>94</v>
      </c>
      <c r="CA65" s="71">
        <f t="shared" si="175"/>
        <v>130</v>
      </c>
      <c r="CB65" s="72">
        <f t="shared" si="176"/>
        <v>138</v>
      </c>
      <c r="CC65" s="71">
        <f t="shared" si="177"/>
        <v>178</v>
      </c>
      <c r="CD65" s="72">
        <f t="shared" si="178"/>
        <v>185</v>
      </c>
      <c r="CE65" s="71">
        <f t="shared" si="179"/>
        <v>357</v>
      </c>
      <c r="CF65" s="72">
        <f t="shared" si="180"/>
        <v>396</v>
      </c>
      <c r="CG65" s="71">
        <f t="shared" si="181"/>
        <v>422</v>
      </c>
      <c r="CH65" s="70">
        <f t="shared" si="182"/>
        <v>53</v>
      </c>
      <c r="CI65" s="71">
        <f t="shared" si="183"/>
        <v>57</v>
      </c>
      <c r="CJ65" s="72">
        <f t="shared" si="184"/>
        <v>89</v>
      </c>
      <c r="CK65" s="72">
        <f t="shared" si="185"/>
        <v>93</v>
      </c>
      <c r="CL65" s="72">
        <f t="shared" si="186"/>
        <v>129</v>
      </c>
      <c r="CM65" s="72">
        <f t="shared" si="187"/>
        <v>137</v>
      </c>
      <c r="CN65" s="72">
        <f t="shared" si="188"/>
        <v>169</v>
      </c>
      <c r="CO65" s="72">
        <f t="shared" si="189"/>
        <v>180</v>
      </c>
      <c r="CP65" s="72">
        <f t="shared" si="190"/>
        <v>213</v>
      </c>
      <c r="CQ65" s="72">
        <f t="shared" si="191"/>
        <v>391</v>
      </c>
      <c r="CR65" s="72">
        <f t="shared" si="192"/>
        <v>421</v>
      </c>
      <c r="CS65" s="72">
        <f t="shared" si="193"/>
        <v>434</v>
      </c>
      <c r="CT65" s="23">
        <f t="shared" si="194"/>
        <v>1</v>
      </c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/>
      <c r="RA65" s="1"/>
      <c r="RB65" s="1"/>
      <c r="RC65" s="1"/>
      <c r="RD65" s="1"/>
      <c r="RE65" s="1"/>
      <c r="RF65" s="1"/>
      <c r="RG65" s="1"/>
      <c r="RH65" s="1"/>
      <c r="RI65" s="1"/>
      <c r="RJ65" s="1"/>
      <c r="RK65" s="1"/>
      <c r="RL65" s="1"/>
      <c r="RM65" s="1"/>
      <c r="RN65" s="1"/>
      <c r="RO65" s="1"/>
      <c r="RP65" s="1"/>
      <c r="RQ65" s="1"/>
      <c r="RR65" s="1"/>
      <c r="RS65" s="1"/>
      <c r="RT65" s="1"/>
      <c r="RU65" s="1"/>
      <c r="RV65" s="1"/>
      <c r="RW65" s="1"/>
      <c r="RX65" s="1"/>
      <c r="RY65" s="1"/>
      <c r="RZ65" s="1"/>
      <c r="SA65" s="1"/>
      <c r="SB65" s="1"/>
      <c r="SC65" s="1"/>
      <c r="SD65" s="1"/>
      <c r="SE65" s="1"/>
      <c r="SF65" s="1"/>
      <c r="SG65" s="1"/>
      <c r="SH65" s="1"/>
      <c r="SI65" s="1"/>
      <c r="SJ65" s="1"/>
      <c r="SK65" s="1"/>
      <c r="SL65" s="1"/>
      <c r="SM65" s="1"/>
      <c r="SN65" s="1"/>
      <c r="SO65" s="1"/>
      <c r="SP65" s="1"/>
      <c r="SQ65" s="1"/>
      <c r="SR65" s="1"/>
      <c r="SS65" s="1"/>
      <c r="ST65" s="1"/>
      <c r="SU65" s="1"/>
      <c r="SV65" s="1"/>
      <c r="SW65" s="1"/>
      <c r="SX65" s="1"/>
      <c r="SY65" s="1"/>
      <c r="SZ65" s="1"/>
      <c r="TA65" s="1"/>
      <c r="TB65" s="1"/>
      <c r="TC65" s="1"/>
      <c r="TD65" s="1"/>
      <c r="TE65" s="1"/>
      <c r="TF65" s="1"/>
      <c r="TG65" s="1"/>
      <c r="TH65" s="1"/>
      <c r="TI65" s="1"/>
      <c r="TJ65" s="1"/>
      <c r="TK65" s="1"/>
      <c r="TL65" s="1"/>
      <c r="TM65" s="1"/>
      <c r="TN65" s="1"/>
      <c r="TO65" s="1"/>
      <c r="TP65" s="1"/>
      <c r="TQ65" s="1"/>
      <c r="TR65" s="1"/>
      <c r="TS65" s="1"/>
      <c r="TT65" s="1"/>
      <c r="TU65" s="1"/>
      <c r="TV65" s="1"/>
      <c r="TW65" s="1"/>
      <c r="TX65" s="1"/>
      <c r="TY65" s="1"/>
      <c r="TZ65" s="1"/>
      <c r="UA65" s="1"/>
      <c r="UB65" s="1"/>
      <c r="UC65" s="1"/>
      <c r="UD65" s="1"/>
      <c r="UE65" s="1"/>
      <c r="UF65" s="1"/>
      <c r="UG65" s="1"/>
      <c r="UH65" s="1"/>
      <c r="UI65" s="1"/>
      <c r="UJ65" s="1"/>
      <c r="UK65" s="1"/>
      <c r="UL65" s="1"/>
      <c r="UM65" s="1"/>
      <c r="UN65" s="1"/>
      <c r="UO65" s="1"/>
      <c r="UP65" s="1"/>
      <c r="UQ65" s="1"/>
      <c r="UR65" s="1"/>
      <c r="US65" s="1"/>
      <c r="UT65" s="1"/>
      <c r="UU65" s="1"/>
      <c r="UV65" s="1"/>
      <c r="UW65" s="1"/>
      <c r="UX65" s="1"/>
      <c r="UY65" s="1"/>
      <c r="UZ65" s="1"/>
      <c r="VA65" s="1"/>
      <c r="VB65" s="1"/>
      <c r="VC65" s="1"/>
      <c r="VD65" s="1"/>
      <c r="VE65" s="1"/>
      <c r="VF65" s="1"/>
      <c r="VG65" s="1"/>
      <c r="VH65" s="1"/>
      <c r="VI65" s="1"/>
      <c r="VJ65" s="1"/>
      <c r="VK65" s="1"/>
      <c r="VL65" s="1"/>
      <c r="VM65" s="1"/>
      <c r="VN65" s="1"/>
      <c r="VO65" s="1"/>
      <c r="VP65" s="1"/>
      <c r="VQ65" s="1"/>
      <c r="VR65" s="1"/>
      <c r="VS65" s="1"/>
      <c r="VT65" s="1"/>
      <c r="VU65" s="1"/>
      <c r="VV65" s="1"/>
      <c r="VW65" s="1"/>
      <c r="VX65" s="1"/>
      <c r="VY65" s="1"/>
      <c r="VZ65" s="1"/>
      <c r="WA65" s="1"/>
      <c r="WB65" s="1"/>
      <c r="WC65" s="1"/>
      <c r="WD65" s="1"/>
      <c r="WE65" s="1"/>
      <c r="WF65" s="1"/>
      <c r="WG65" s="1"/>
      <c r="WH65" s="1"/>
      <c r="WI65" s="1"/>
      <c r="WJ65" s="1"/>
      <c r="WK65" s="1"/>
      <c r="WL65" s="1"/>
      <c r="WM65" s="1"/>
      <c r="WN65" s="1"/>
      <c r="WO65" s="1"/>
      <c r="WP65" s="1"/>
      <c r="WQ65" s="1"/>
      <c r="WR65" s="1"/>
      <c r="WS65" s="1"/>
      <c r="WT65" s="1"/>
      <c r="WU65" s="1"/>
      <c r="WV65" s="1"/>
      <c r="WW65" s="1"/>
      <c r="WX65" s="1"/>
      <c r="WY65" s="1"/>
      <c r="WZ65" s="1"/>
      <c r="XA65" s="1"/>
      <c r="XB65" s="1"/>
      <c r="XC65" s="1"/>
      <c r="XD65" s="1"/>
      <c r="XE65" s="1"/>
      <c r="XF65" s="1"/>
      <c r="XG65" s="1"/>
      <c r="XH65" s="1"/>
      <c r="XI65" s="1"/>
      <c r="XJ65" s="1"/>
      <c r="XK65" s="1"/>
      <c r="XL65" s="1"/>
      <c r="XM65" s="1"/>
      <c r="XN65" s="1"/>
      <c r="XO65" s="1"/>
      <c r="XP65" s="1"/>
      <c r="XQ65" s="1"/>
      <c r="XR65" s="1"/>
      <c r="XS65" s="1"/>
      <c r="XT65" s="1"/>
      <c r="XU65" s="1"/>
      <c r="XV65" s="1"/>
      <c r="XW65" s="1"/>
      <c r="XX65" s="1"/>
      <c r="XY65" s="1"/>
      <c r="XZ65" s="1"/>
      <c r="YA65" s="1"/>
      <c r="YB65" s="1"/>
      <c r="YC65" s="1"/>
      <c r="YD65" s="1"/>
      <c r="YE65" s="1"/>
      <c r="YF65" s="1"/>
      <c r="YG65" s="1"/>
      <c r="YH65" s="1"/>
      <c r="YI65" s="1"/>
      <c r="YJ65" s="1"/>
      <c r="YK65" s="1"/>
      <c r="YL65" s="1"/>
      <c r="YM65" s="1"/>
      <c r="YN65" s="1"/>
      <c r="YO65" s="1"/>
      <c r="YP65" s="1"/>
      <c r="YQ65" s="1"/>
      <c r="YR65" s="1"/>
      <c r="YS65" s="1"/>
      <c r="YT65" s="1"/>
      <c r="YU65" s="1"/>
      <c r="YV65" s="1"/>
      <c r="YW65" s="1"/>
      <c r="YX65" s="1"/>
      <c r="YY65" s="1"/>
      <c r="YZ65" s="1"/>
      <c r="ZA65" s="1"/>
      <c r="ZB65" s="1"/>
      <c r="ZC65" s="1"/>
      <c r="ZD65" s="1"/>
      <c r="ZE65" s="1"/>
      <c r="ZF65" s="1"/>
      <c r="ZG65" s="1"/>
      <c r="ZH65" s="1"/>
      <c r="ZI65" s="1"/>
      <c r="ZJ65" s="1"/>
      <c r="ZK65" s="1"/>
      <c r="ZL65" s="1"/>
      <c r="ZM65" s="1"/>
      <c r="ZN65" s="1"/>
      <c r="ZO65" s="1"/>
      <c r="ZP65" s="1"/>
      <c r="ZQ65" s="1"/>
      <c r="ZR65" s="1"/>
      <c r="ZS65" s="1"/>
      <c r="ZT65" s="1"/>
      <c r="ZU65" s="1"/>
      <c r="ZV65" s="1"/>
      <c r="ZW65" s="1"/>
      <c r="ZX65" s="1"/>
      <c r="ZY65" s="1"/>
      <c r="ZZ65" s="1"/>
      <c r="AAA65" s="1"/>
      <c r="AAB65" s="1"/>
      <c r="AAC65" s="1"/>
      <c r="AAD65" s="1"/>
      <c r="AAE65" s="1"/>
      <c r="AAF65" s="1"/>
      <c r="AAG65" s="1"/>
      <c r="AAH65" s="1"/>
      <c r="AAI65" s="1"/>
      <c r="AAJ65" s="1"/>
      <c r="AAK65" s="1"/>
      <c r="AAL65" s="1"/>
      <c r="AAM65" s="1"/>
      <c r="AAN65" s="1"/>
      <c r="AAO65" s="1"/>
      <c r="AAP65" s="1"/>
      <c r="AAQ65" s="1"/>
      <c r="AAR65" s="1"/>
      <c r="AAS65" s="1"/>
      <c r="AAT65" s="1"/>
      <c r="AAU65" s="1"/>
      <c r="AAV65" s="1"/>
      <c r="AAW65" s="1"/>
      <c r="AAX65" s="1"/>
      <c r="AAY65" s="1"/>
      <c r="AAZ65" s="1"/>
      <c r="ABA65" s="1"/>
      <c r="ABB65" s="1"/>
      <c r="ABC65" s="1"/>
      <c r="ABD65" s="1"/>
      <c r="ABE65" s="1"/>
      <c r="ABF65" s="1"/>
      <c r="ABG65" s="1"/>
      <c r="ABH65" s="1"/>
      <c r="ABI65" s="1"/>
      <c r="ABJ65" s="1"/>
      <c r="ABK65" s="1"/>
      <c r="ABL65" s="1"/>
      <c r="ABM65" s="1"/>
      <c r="ABN65" s="1"/>
      <c r="ABO65" s="1"/>
      <c r="ABP65" s="1"/>
      <c r="ABQ65" s="1"/>
      <c r="ABR65" s="1"/>
      <c r="ABS65" s="1"/>
      <c r="ABT65" s="1"/>
      <c r="ABU65" s="1"/>
      <c r="ABV65" s="1"/>
      <c r="ABW65" s="1"/>
      <c r="ABX65" s="1"/>
      <c r="ABY65" s="1"/>
      <c r="ABZ65" s="1"/>
      <c r="ACA65" s="1"/>
      <c r="ACB65" s="1"/>
      <c r="ACC65" s="1"/>
      <c r="ACD65" s="1"/>
      <c r="ACE65" s="1"/>
      <c r="ACF65" s="1"/>
      <c r="ACG65" s="1"/>
      <c r="ACH65" s="1"/>
      <c r="ACI65" s="1"/>
      <c r="ACJ65" s="1"/>
      <c r="ACK65" s="1"/>
      <c r="ACL65" s="1"/>
      <c r="ACM65" s="1"/>
      <c r="ACN65" s="1"/>
      <c r="ACO65" s="1"/>
      <c r="ACP65" s="1"/>
      <c r="ACQ65" s="1"/>
      <c r="ACR65" s="1"/>
      <c r="ACS65" s="1"/>
      <c r="ACT65" s="1"/>
      <c r="ACU65" s="1"/>
      <c r="ACV65" s="1"/>
      <c r="ACW65" s="1"/>
      <c r="ACX65" s="1"/>
      <c r="ACY65" s="1"/>
      <c r="ACZ65" s="1"/>
      <c r="ADA65" s="1"/>
      <c r="ADB65" s="1"/>
      <c r="ADC65" s="1"/>
      <c r="ADD65" s="1"/>
      <c r="ADE65" s="1"/>
      <c r="ADF65" s="1"/>
      <c r="ADG65" s="1"/>
      <c r="ADH65" s="1"/>
      <c r="ADI65" s="1"/>
      <c r="ADJ65" s="1"/>
      <c r="ADK65" s="1"/>
      <c r="ADL65" s="1"/>
      <c r="ADM65" s="1"/>
      <c r="ADN65" s="1"/>
      <c r="ADO65" s="1"/>
      <c r="ADP65" s="1"/>
      <c r="ADQ65" s="1"/>
      <c r="ADR65" s="1"/>
      <c r="ADS65" s="1"/>
      <c r="ADT65" s="1"/>
      <c r="ADU65" s="1"/>
      <c r="ADV65" s="1"/>
      <c r="ADW65" s="1"/>
      <c r="ADX65" s="1"/>
      <c r="ADY65" s="1"/>
      <c r="ADZ65" s="1"/>
      <c r="AEA65" s="1"/>
      <c r="AEB65" s="1"/>
      <c r="AEC65" s="1"/>
      <c r="AED65" s="1"/>
      <c r="AEE65" s="1"/>
      <c r="AEF65" s="1"/>
      <c r="AEG65" s="1"/>
      <c r="AEH65" s="1"/>
      <c r="AEI65" s="1"/>
      <c r="AEJ65" s="1"/>
      <c r="AEK65" s="1"/>
      <c r="AEL65" s="1"/>
      <c r="AEM65" s="1"/>
      <c r="AEN65" s="1"/>
      <c r="AEO65" s="1"/>
      <c r="AEP65" s="1"/>
      <c r="AEQ65" s="1"/>
      <c r="AER65" s="1"/>
      <c r="AES65" s="1"/>
      <c r="AET65" s="1"/>
      <c r="AEU65" s="1"/>
      <c r="AEV65" s="1"/>
      <c r="AEW65" s="1"/>
      <c r="AEX65" s="1"/>
      <c r="AEY65" s="1"/>
      <c r="AEZ65" s="1"/>
      <c r="AFA65" s="1"/>
      <c r="AFB65" s="1"/>
      <c r="AFC65" s="1"/>
      <c r="AFD65" s="1"/>
      <c r="AFE65" s="1"/>
      <c r="AFF65" s="1"/>
      <c r="AFG65" s="1"/>
      <c r="AFH65" s="1"/>
      <c r="AFI65" s="1"/>
      <c r="AFJ65" s="1"/>
      <c r="AFK65" s="1"/>
      <c r="AFL65" s="1"/>
      <c r="AFM65" s="1"/>
      <c r="AFN65" s="1"/>
      <c r="AFO65" s="1"/>
      <c r="AFP65" s="1"/>
      <c r="AFQ65" s="1"/>
      <c r="AFR65" s="1"/>
      <c r="AFS65" s="1"/>
      <c r="AFT65" s="1"/>
      <c r="AFU65" s="1"/>
      <c r="AFV65" s="1"/>
      <c r="AFW65" s="1"/>
      <c r="AFX65" s="1"/>
      <c r="AFY65" s="1"/>
      <c r="AFZ65" s="1"/>
      <c r="AGA65" s="1"/>
      <c r="AGB65" s="1"/>
      <c r="AGC65" s="1"/>
      <c r="AGD65" s="1"/>
      <c r="AGE65" s="1"/>
      <c r="AGF65" s="1"/>
      <c r="AGG65" s="1"/>
      <c r="AGH65" s="1"/>
      <c r="AGI65" s="1"/>
      <c r="AGJ65" s="1"/>
      <c r="AGK65" s="1"/>
      <c r="AGL65" s="1"/>
      <c r="AGM65" s="1"/>
      <c r="AGN65" s="1"/>
      <c r="AGO65" s="1"/>
      <c r="AGP65" s="1"/>
      <c r="AGQ65" s="1"/>
      <c r="AGR65" s="1"/>
      <c r="AGS65" s="1"/>
      <c r="AGT65" s="1"/>
      <c r="AGU65" s="1"/>
      <c r="AGV65" s="1"/>
      <c r="AGW65" s="1"/>
      <c r="AGX65" s="1"/>
      <c r="AGY65" s="1"/>
      <c r="AGZ65" s="1"/>
      <c r="AHA65" s="1"/>
      <c r="AHB65" s="1"/>
      <c r="AHC65" s="1"/>
      <c r="AHD65" s="1"/>
      <c r="AHE65" s="1"/>
      <c r="AHF65" s="1"/>
      <c r="AHG65" s="1"/>
      <c r="AHH65" s="1"/>
      <c r="AHI65" s="1"/>
      <c r="AHJ65" s="1"/>
      <c r="AHK65" s="1"/>
      <c r="AHL65" s="1"/>
      <c r="AHM65" s="1"/>
      <c r="AHN65" s="1"/>
      <c r="AHO65" s="1"/>
      <c r="AHP65" s="1"/>
      <c r="AHQ65" s="1"/>
      <c r="AHR65" s="1"/>
      <c r="AHS65" s="1"/>
      <c r="AHT65" s="1"/>
      <c r="AHU65" s="1"/>
      <c r="AHV65" s="1"/>
      <c r="AHW65" s="1"/>
      <c r="AHX65" s="1"/>
      <c r="AHY65" s="1"/>
      <c r="AHZ65" s="1"/>
      <c r="AIA65" s="1"/>
      <c r="AIB65" s="1"/>
      <c r="AIC65" s="1"/>
      <c r="AID65" s="1"/>
      <c r="AIE65" s="1"/>
      <c r="AIF65" s="1"/>
      <c r="AIG65" s="1"/>
      <c r="AIH65" s="1"/>
      <c r="AII65" s="1"/>
      <c r="AIJ65" s="1"/>
      <c r="AIK65" s="1"/>
      <c r="AIL65" s="1"/>
      <c r="AIM65" s="1"/>
      <c r="AIN65" s="1"/>
      <c r="AIO65" s="1"/>
      <c r="AIP65" s="1"/>
      <c r="AIQ65" s="1"/>
      <c r="AIR65" s="1"/>
      <c r="AIS65" s="1"/>
      <c r="AIT65" s="1"/>
      <c r="AIU65" s="1"/>
      <c r="AIV65" s="1"/>
      <c r="AIW65" s="1"/>
      <c r="AIX65" s="1"/>
      <c r="AIY65" s="1"/>
      <c r="AIZ65" s="1"/>
      <c r="AJA65" s="1"/>
      <c r="AJB65" s="1"/>
      <c r="AJC65" s="1"/>
      <c r="AJD65" s="1"/>
      <c r="AJE65" s="1"/>
      <c r="AJF65" s="1"/>
      <c r="AJG65" s="1"/>
      <c r="AJH65" s="1"/>
      <c r="AJI65" s="1"/>
      <c r="AJJ65" s="1"/>
      <c r="AJK65" s="1"/>
      <c r="AJL65" s="1"/>
      <c r="AJM65" s="1"/>
      <c r="AJN65" s="1"/>
      <c r="AJO65" s="1"/>
      <c r="AJP65" s="1"/>
      <c r="AJQ65" s="1"/>
      <c r="AJR65" s="1"/>
      <c r="AJS65" s="1"/>
      <c r="AJT65" s="1"/>
      <c r="AJU65" s="1"/>
      <c r="AJV65" s="1"/>
      <c r="AJW65" s="1"/>
      <c r="AJX65" s="1"/>
      <c r="AJY65" s="1"/>
      <c r="AJZ65" s="1"/>
      <c r="AKA65" s="1"/>
      <c r="AKB65" s="1"/>
      <c r="AKC65" s="1"/>
      <c r="AKD65" s="1"/>
      <c r="AKE65" s="1"/>
      <c r="AKF65" s="1"/>
      <c r="AKG65" s="1"/>
      <c r="AKH65" s="1"/>
      <c r="AKI65" s="1"/>
      <c r="AKJ65" s="1"/>
      <c r="AKK65" s="1"/>
      <c r="AKL65" s="1"/>
      <c r="AKM65" s="1"/>
      <c r="AKN65" s="1"/>
      <c r="AKO65" s="1"/>
      <c r="AKP65" s="1"/>
      <c r="AKQ65" s="1"/>
      <c r="AKR65" s="1"/>
      <c r="AKS65" s="1"/>
      <c r="AKT65" s="1"/>
      <c r="AKU65" s="1"/>
      <c r="AKV65" s="1"/>
      <c r="AKW65" s="1"/>
      <c r="AKX65" s="1"/>
      <c r="AKY65" s="1"/>
      <c r="AKZ65" s="1"/>
      <c r="ALA65" s="1"/>
      <c r="ALB65" s="1"/>
      <c r="ALC65" s="1"/>
      <c r="ALD65" s="1"/>
      <c r="ALE65" s="1"/>
      <c r="ALF65" s="1"/>
      <c r="ALG65" s="1"/>
      <c r="ALH65" s="1"/>
      <c r="ALI65" s="1"/>
      <c r="ALJ65" s="1"/>
      <c r="ALK65" s="1"/>
      <c r="ALL65" s="1"/>
      <c r="ALM65" s="1"/>
      <c r="ALN65" s="1"/>
      <c r="ALO65" s="1"/>
      <c r="ALP65" s="1"/>
      <c r="ALQ65" s="1"/>
      <c r="ALR65" s="1"/>
      <c r="ALS65" s="1"/>
      <c r="ALT65" s="1"/>
      <c r="ALU65" s="1"/>
      <c r="ALV65" s="1"/>
      <c r="ALW65" s="1"/>
      <c r="ALX65" s="1"/>
      <c r="ALY65" s="1"/>
      <c r="ALZ65" s="1"/>
      <c r="AMA65" s="1"/>
      <c r="AMB65" s="1"/>
      <c r="AMC65" s="1"/>
      <c r="AMD65" s="1"/>
      <c r="AME65" s="1"/>
      <c r="AMF65" s="1"/>
      <c r="AMG65" s="1"/>
      <c r="AMH65" s="1"/>
      <c r="AMI65" s="1"/>
      <c r="AMJ65" s="1"/>
      <c r="AMK65" s="1"/>
      <c r="AML65" s="1"/>
      <c r="AMM65" s="1"/>
      <c r="AMN65" s="1"/>
      <c r="AMO65" s="1"/>
    </row>
    <row r="66" spans="1:1029" x14ac:dyDescent="0.2">
      <c r="A66" s="3" t="str">
        <f t="shared" si="0"/>
        <v>acm2_human__wt</v>
      </c>
      <c r="B66" s="3" t="s">
        <v>147</v>
      </c>
      <c r="C66" s="3" t="s">
        <v>100</v>
      </c>
      <c r="D66" s="3" t="str">
        <f>IFERROR(MID(VLOOKUP($B66,Seqs!$A:$B,2,0),E66,1),"")</f>
        <v>K</v>
      </c>
      <c r="E66" s="3">
        <v>19</v>
      </c>
      <c r="F66" s="3" t="str">
        <f>IFERROR(MID(VLOOKUP($B66,Seqs!$A:$B,2,0),G66,1),"")</f>
        <v>N</v>
      </c>
      <c r="G66" s="3">
        <v>51</v>
      </c>
      <c r="H66" s="3" t="str">
        <f>IFERROR(MID(VLOOKUP($B66,Seqs!$A:$B,2,0),I66,1),"")</f>
        <v>R</v>
      </c>
      <c r="I66" s="23">
        <v>52</v>
      </c>
      <c r="J66" s="3" t="str">
        <f>IFERROR(MID(VLOOKUP($B66,Seqs!$A:$B,2,0),K66,1),"")</f>
        <v>Q</v>
      </c>
      <c r="K66" s="23">
        <v>55</v>
      </c>
      <c r="L66" s="3" t="str">
        <f>IFERROR(MID(VLOOKUP($B66,Seqs!$A:$B,2,0),M66,1),"")</f>
        <v>T</v>
      </c>
      <c r="M66" s="3">
        <v>56</v>
      </c>
      <c r="N66" s="3" t="str">
        <f>IFERROR(MID(VLOOKUP($B66,Seqs!$A:$B,2,0),O66,1),"")</f>
        <v>G</v>
      </c>
      <c r="O66" s="105">
        <v>87</v>
      </c>
      <c r="P66" s="3" t="str">
        <f>IFERROR(MID(VLOOKUP($B66,Seqs!$A:$B,2,0),Q66,1),"")</f>
        <v>Y</v>
      </c>
      <c r="Q66" s="3">
        <v>88</v>
      </c>
      <c r="R66" s="3" t="str">
        <f>IFERROR(MID(VLOOKUP($B66,Seqs!$A:$B,2,0),S66,1),"")</f>
        <v>L</v>
      </c>
      <c r="S66" s="3">
        <v>91</v>
      </c>
      <c r="T66" s="3" t="str">
        <f>IFERROR(MID(VLOOKUP($B66,Seqs!$A:$B,2,0),U66,1),"")</f>
        <v>G</v>
      </c>
      <c r="U66" s="3">
        <v>92</v>
      </c>
      <c r="V66" s="3" t="str">
        <f>IFERROR(MID(VLOOKUP($B66,Seqs!$A:$B,2,0),W66,1),"")</f>
        <v>K</v>
      </c>
      <c r="W66" s="3">
        <v>127</v>
      </c>
      <c r="X66" s="3" t="str">
        <f>IFERROR(MID(VLOOKUP($B66,Seqs!$A:$B,2,0),Y66,1),"")</f>
        <v>P</v>
      </c>
      <c r="Y66" s="3">
        <v>128</v>
      </c>
      <c r="Z66" s="3" t="str">
        <f>IFERROR(MID(VLOOKUP($B66,Seqs!$A:$B,2,0),AA66,1),"")</f>
        <v>R</v>
      </c>
      <c r="AA66" s="3">
        <v>135</v>
      </c>
      <c r="AB66" s="3" t="str">
        <f>IFERROR(MID(VLOOKUP($B66,Seqs!$A:$B,2,0),AC66,1),"")</f>
        <v>T</v>
      </c>
      <c r="AC66" s="9">
        <v>136</v>
      </c>
      <c r="AD66" s="3" t="str">
        <f>IFERROR(MID(VLOOKUP($B66,Seqs!$A:$B,2,0),AE66,1),"")</f>
        <v>G</v>
      </c>
      <c r="AE66" s="3">
        <v>167</v>
      </c>
      <c r="AF66" s="3" t="str">
        <f>IFERROR(MID(VLOOKUP($B66,Seqs!$A:$B,2,0),AG66,1),"")</f>
        <v>C</v>
      </c>
      <c r="AG66" s="3">
        <v>176</v>
      </c>
      <c r="AH66" s="3" t="str">
        <f>IFERROR(MID(VLOOKUP($B66,Seqs!$A:$B,2,0),AI66,1),"")</f>
        <v>I</v>
      </c>
      <c r="AI66" s="3">
        <v>178</v>
      </c>
      <c r="AJ66" s="3" t="str">
        <f>IFERROR(MID(VLOOKUP($B66,Seqs!$A:$B,2,0),AK66,1),"")</f>
        <v>N</v>
      </c>
      <c r="AK66" s="3">
        <v>183</v>
      </c>
      <c r="AL66" s="3" t="str">
        <f>IFERROR(MID(VLOOKUP($B66,Seqs!$A:$B,2,0),AM66,1),"")</f>
        <v>E</v>
      </c>
      <c r="AM66" s="3">
        <v>223</v>
      </c>
      <c r="AN66" s="3" t="str">
        <f>IFERROR(MID(VLOOKUP($B66,Seqs!$A:$B,2,0),AO66,1),"")</f>
        <v>K</v>
      </c>
      <c r="AO66" s="3">
        <v>376</v>
      </c>
      <c r="AP66" s="3" t="str">
        <f>IFERROR(MID(VLOOKUP($B66,Seqs!$A:$B,2,0),AQ66,1),"")</f>
        <v>C</v>
      </c>
      <c r="AQ66" s="3">
        <v>413</v>
      </c>
      <c r="AR66" s="3" t="str">
        <f>IFERROR(MID(VLOOKUP($B66,Seqs!$A:$B,2,0),AS66,1),"")</f>
        <v>P</v>
      </c>
      <c r="AS66" s="3">
        <v>418</v>
      </c>
      <c r="AT66" s="3" t="str">
        <f>IFERROR(MID(VLOOKUP($B66,Seqs!$A:$B,2,0),AU66,1),"")</f>
        <v>C</v>
      </c>
      <c r="AU66" s="3">
        <v>443</v>
      </c>
      <c r="AV66" s="3" t="str">
        <f>IFERROR(MID(VLOOKUP($B66,Seqs!$A:$B,2,0),AW66,1),"")</f>
        <v>N</v>
      </c>
      <c r="AW66" s="3">
        <v>444</v>
      </c>
      <c r="AX66" s="3" t="str">
        <f>IFERROR(MID(VLOOKUP($B66,Seqs!$A:$B,2,0),AY66,1),"")</f>
        <v>M</v>
      </c>
      <c r="AY66" s="3">
        <v>456</v>
      </c>
      <c r="AZ66" s="77" t="str">
        <f>VLOOKUP(B66,Classification!A:D,2,0)</f>
        <v>A</v>
      </c>
      <c r="BA66" s="94" t="str">
        <f>VLOOKUP(B66,Classification!A:D,4,0)</f>
        <v>Acetylcholine(muscarinic)</v>
      </c>
      <c r="BB66" s="27" t="b">
        <f t="shared" si="1"/>
        <v>1</v>
      </c>
      <c r="BC66" s="23">
        <f t="shared" si="169"/>
        <v>270</v>
      </c>
      <c r="BD66" s="56" t="s">
        <v>1379</v>
      </c>
      <c r="BE66" s="3" t="s">
        <v>23</v>
      </c>
      <c r="BF66" s="119" t="s">
        <v>23</v>
      </c>
      <c r="BG66" s="49" t="s">
        <v>1379</v>
      </c>
      <c r="BH66" s="49" t="s">
        <v>1384</v>
      </c>
      <c r="BI66" s="1"/>
      <c r="BJ66" s="70" t="s">
        <v>1293</v>
      </c>
      <c r="BK66" s="57" t="s">
        <v>1293</v>
      </c>
      <c r="BL66" s="57" t="s">
        <v>1293</v>
      </c>
      <c r="BM66" s="57" t="s">
        <v>1293</v>
      </c>
      <c r="BN66" s="57" t="s">
        <v>1293</v>
      </c>
      <c r="BO66" s="57" t="s">
        <v>1293</v>
      </c>
      <c r="BP66" s="57" t="s">
        <v>1293</v>
      </c>
      <c r="BQ66" s="57" t="s">
        <v>1293</v>
      </c>
      <c r="BR66" s="57" t="s">
        <v>1293</v>
      </c>
      <c r="BS66" s="57" t="s">
        <v>1293</v>
      </c>
      <c r="BT66" s="57" t="s">
        <v>1293</v>
      </c>
      <c r="BU66" s="57" t="s">
        <v>1293</v>
      </c>
      <c r="BV66" s="70">
        <f t="shared" si="170"/>
        <v>19</v>
      </c>
      <c r="BW66" s="71">
        <f t="shared" si="171"/>
        <v>52</v>
      </c>
      <c r="BX66" s="72">
        <f t="shared" si="172"/>
        <v>56</v>
      </c>
      <c r="BY66" s="71">
        <f t="shared" si="173"/>
        <v>88</v>
      </c>
      <c r="BZ66" s="72">
        <f t="shared" si="174"/>
        <v>92</v>
      </c>
      <c r="CA66" s="71">
        <f t="shared" si="175"/>
        <v>128</v>
      </c>
      <c r="CB66" s="72">
        <f t="shared" si="176"/>
        <v>136</v>
      </c>
      <c r="CC66" s="71">
        <f t="shared" si="177"/>
        <v>176</v>
      </c>
      <c r="CD66" s="72">
        <f t="shared" si="178"/>
        <v>183</v>
      </c>
      <c r="CE66" s="71">
        <f t="shared" si="179"/>
        <v>376</v>
      </c>
      <c r="CF66" s="72">
        <f t="shared" si="180"/>
        <v>418</v>
      </c>
      <c r="CG66" s="71">
        <f t="shared" si="181"/>
        <v>444</v>
      </c>
      <c r="CH66" s="70">
        <f t="shared" si="182"/>
        <v>51</v>
      </c>
      <c r="CI66" s="71">
        <f t="shared" si="183"/>
        <v>55</v>
      </c>
      <c r="CJ66" s="72">
        <f t="shared" si="184"/>
        <v>87</v>
      </c>
      <c r="CK66" s="72">
        <f t="shared" si="185"/>
        <v>91</v>
      </c>
      <c r="CL66" s="72">
        <f t="shared" si="186"/>
        <v>127</v>
      </c>
      <c r="CM66" s="72">
        <f t="shared" si="187"/>
        <v>135</v>
      </c>
      <c r="CN66" s="72">
        <f t="shared" si="188"/>
        <v>167</v>
      </c>
      <c r="CO66" s="72">
        <f t="shared" si="189"/>
        <v>178</v>
      </c>
      <c r="CP66" s="72">
        <f t="shared" si="190"/>
        <v>223</v>
      </c>
      <c r="CQ66" s="72">
        <f t="shared" si="191"/>
        <v>413</v>
      </c>
      <c r="CR66" s="72">
        <f t="shared" si="192"/>
        <v>443</v>
      </c>
      <c r="CS66" s="72">
        <f t="shared" si="193"/>
        <v>456</v>
      </c>
      <c r="CT66" s="23">
        <f t="shared" si="194"/>
        <v>1</v>
      </c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PI66" s="1"/>
      <c r="PJ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1"/>
      <c r="QL66" s="1"/>
      <c r="QM66" s="1"/>
      <c r="QN66" s="1"/>
      <c r="QO66" s="1"/>
      <c r="QP66" s="1"/>
      <c r="QQ66" s="1"/>
      <c r="QR66" s="1"/>
      <c r="QS66" s="1"/>
      <c r="QT66" s="1"/>
      <c r="QU66" s="1"/>
      <c r="QV66" s="1"/>
      <c r="QW66" s="1"/>
      <c r="QX66" s="1"/>
      <c r="QY66" s="1"/>
      <c r="QZ66" s="1"/>
      <c r="RA66" s="1"/>
      <c r="RB66" s="1"/>
      <c r="RC66" s="1"/>
      <c r="RD66" s="1"/>
      <c r="RE66" s="1"/>
      <c r="RF66" s="1"/>
      <c r="RG66" s="1"/>
      <c r="RH66" s="1"/>
      <c r="RI66" s="1"/>
      <c r="RJ66" s="1"/>
      <c r="RK66" s="1"/>
      <c r="RL66" s="1"/>
      <c r="RM66" s="1"/>
      <c r="RN66" s="1"/>
      <c r="RO66" s="1"/>
      <c r="RP66" s="1"/>
      <c r="RQ66" s="1"/>
      <c r="RR66" s="1"/>
      <c r="RS66" s="1"/>
      <c r="RT66" s="1"/>
      <c r="RU66" s="1"/>
      <c r="RV66" s="1"/>
      <c r="RW66" s="1"/>
      <c r="RX66" s="1"/>
      <c r="RY66" s="1"/>
      <c r="RZ66" s="1"/>
      <c r="SA66" s="1"/>
      <c r="SB66" s="1"/>
      <c r="SC66" s="1"/>
      <c r="SD66" s="1"/>
      <c r="SE66" s="1"/>
      <c r="SF66" s="1"/>
      <c r="SG66" s="1"/>
      <c r="SH66" s="1"/>
      <c r="SI66" s="1"/>
      <c r="SJ66" s="1"/>
      <c r="SK66" s="1"/>
      <c r="SL66" s="1"/>
      <c r="SM66" s="1"/>
      <c r="SN66" s="1"/>
      <c r="SO66" s="1"/>
      <c r="SP66" s="1"/>
      <c r="SQ66" s="1"/>
      <c r="SR66" s="1"/>
      <c r="SS66" s="1"/>
      <c r="ST66" s="1"/>
      <c r="SU66" s="1"/>
      <c r="SV66" s="1"/>
      <c r="SW66" s="1"/>
      <c r="SX66" s="1"/>
      <c r="SY66" s="1"/>
      <c r="SZ66" s="1"/>
      <c r="TA66" s="1"/>
      <c r="TB66" s="1"/>
      <c r="TC66" s="1"/>
      <c r="TD66" s="1"/>
      <c r="TE66" s="1"/>
      <c r="TF66" s="1"/>
      <c r="TG66" s="1"/>
      <c r="TH66" s="1"/>
      <c r="TI66" s="1"/>
      <c r="TJ66" s="1"/>
      <c r="TK66" s="1"/>
      <c r="TL66" s="1"/>
      <c r="TM66" s="1"/>
      <c r="TN66" s="1"/>
      <c r="TO66" s="1"/>
      <c r="TP66" s="1"/>
      <c r="TQ66" s="1"/>
      <c r="TR66" s="1"/>
      <c r="TS66" s="1"/>
      <c r="TT66" s="1"/>
      <c r="TU66" s="1"/>
      <c r="TV66" s="1"/>
      <c r="TW66" s="1"/>
      <c r="TX66" s="1"/>
      <c r="TY66" s="1"/>
      <c r="TZ66" s="1"/>
      <c r="UA66" s="1"/>
      <c r="UB66" s="1"/>
      <c r="UC66" s="1"/>
      <c r="UD66" s="1"/>
      <c r="UE66" s="1"/>
      <c r="UF66" s="1"/>
      <c r="UG66" s="1"/>
      <c r="UH66" s="1"/>
      <c r="UI66" s="1"/>
      <c r="UJ66" s="1"/>
      <c r="UK66" s="1"/>
      <c r="UL66" s="1"/>
      <c r="UM66" s="1"/>
      <c r="UN66" s="1"/>
      <c r="UO66" s="1"/>
      <c r="UP66" s="1"/>
      <c r="UQ66" s="1"/>
      <c r="UR66" s="1"/>
      <c r="US66" s="1"/>
      <c r="UT66" s="1"/>
      <c r="UU66" s="1"/>
      <c r="UV66" s="1"/>
      <c r="UW66" s="1"/>
      <c r="UX66" s="1"/>
      <c r="UY66" s="1"/>
      <c r="UZ66" s="1"/>
      <c r="VA66" s="1"/>
      <c r="VB66" s="1"/>
      <c r="VC66" s="1"/>
      <c r="VD66" s="1"/>
      <c r="VE66" s="1"/>
      <c r="VF66" s="1"/>
      <c r="VG66" s="1"/>
      <c r="VH66" s="1"/>
      <c r="VI66" s="1"/>
      <c r="VJ66" s="1"/>
      <c r="VK66" s="1"/>
      <c r="VL66" s="1"/>
      <c r="VM66" s="1"/>
      <c r="VN66" s="1"/>
      <c r="VO66" s="1"/>
      <c r="VP66" s="1"/>
      <c r="VQ66" s="1"/>
      <c r="VR66" s="1"/>
      <c r="VS66" s="1"/>
      <c r="VT66" s="1"/>
      <c r="VU66" s="1"/>
      <c r="VV66" s="1"/>
      <c r="VW66" s="1"/>
      <c r="VX66" s="1"/>
      <c r="VY66" s="1"/>
      <c r="VZ66" s="1"/>
      <c r="WA66" s="1"/>
      <c r="WB66" s="1"/>
      <c r="WC66" s="1"/>
      <c r="WD66" s="1"/>
      <c r="WE66" s="1"/>
      <c r="WF66" s="1"/>
      <c r="WG66" s="1"/>
      <c r="WH66" s="1"/>
      <c r="WI66" s="1"/>
      <c r="WJ66" s="1"/>
      <c r="WK66" s="1"/>
      <c r="WL66" s="1"/>
      <c r="WM66" s="1"/>
      <c r="WN66" s="1"/>
      <c r="WO66" s="1"/>
      <c r="WP66" s="1"/>
      <c r="WQ66" s="1"/>
      <c r="WR66" s="1"/>
      <c r="WS66" s="1"/>
      <c r="WT66" s="1"/>
      <c r="WU66" s="1"/>
      <c r="WV66" s="1"/>
      <c r="WW66" s="1"/>
      <c r="WX66" s="1"/>
      <c r="WY66" s="1"/>
      <c r="WZ66" s="1"/>
      <c r="XA66" s="1"/>
      <c r="XB66" s="1"/>
      <c r="XC66" s="1"/>
      <c r="XD66" s="1"/>
      <c r="XE66" s="1"/>
      <c r="XF66" s="1"/>
      <c r="XG66" s="1"/>
      <c r="XH66" s="1"/>
      <c r="XI66" s="1"/>
      <c r="XJ66" s="1"/>
      <c r="XK66" s="1"/>
      <c r="XL66" s="1"/>
      <c r="XM66" s="1"/>
      <c r="XN66" s="1"/>
      <c r="XO66" s="1"/>
      <c r="XP66" s="1"/>
      <c r="XQ66" s="1"/>
      <c r="XR66" s="1"/>
      <c r="XS66" s="1"/>
      <c r="XT66" s="1"/>
      <c r="XU66" s="1"/>
      <c r="XV66" s="1"/>
      <c r="XW66" s="1"/>
      <c r="XX66" s="1"/>
      <c r="XY66" s="1"/>
      <c r="XZ66" s="1"/>
      <c r="YA66" s="1"/>
      <c r="YB66" s="1"/>
      <c r="YC66" s="1"/>
      <c r="YD66" s="1"/>
      <c r="YE66" s="1"/>
      <c r="YF66" s="1"/>
      <c r="YG66" s="1"/>
      <c r="YH66" s="1"/>
      <c r="YI66" s="1"/>
      <c r="YJ66" s="1"/>
      <c r="YK66" s="1"/>
      <c r="YL66" s="1"/>
      <c r="YM66" s="1"/>
      <c r="YN66" s="1"/>
      <c r="YO66" s="1"/>
      <c r="YP66" s="1"/>
      <c r="YQ66" s="1"/>
      <c r="YR66" s="1"/>
      <c r="YS66" s="1"/>
      <c r="YT66" s="1"/>
      <c r="YU66" s="1"/>
      <c r="YV66" s="1"/>
      <c r="YW66" s="1"/>
      <c r="YX66" s="1"/>
      <c r="YY66" s="1"/>
      <c r="YZ66" s="1"/>
      <c r="ZA66" s="1"/>
      <c r="ZB66" s="1"/>
      <c r="ZC66" s="1"/>
      <c r="ZD66" s="1"/>
      <c r="ZE66" s="1"/>
      <c r="ZF66" s="1"/>
      <c r="ZG66" s="1"/>
      <c r="ZH66" s="1"/>
      <c r="ZI66" s="1"/>
      <c r="ZJ66" s="1"/>
      <c r="ZK66" s="1"/>
      <c r="ZL66" s="1"/>
      <c r="ZM66" s="1"/>
      <c r="ZN66" s="1"/>
      <c r="ZO66" s="1"/>
      <c r="ZP66" s="1"/>
      <c r="ZQ66" s="1"/>
      <c r="ZR66" s="1"/>
      <c r="ZS66" s="1"/>
      <c r="ZT66" s="1"/>
      <c r="ZU66" s="1"/>
      <c r="ZV66" s="1"/>
      <c r="ZW66" s="1"/>
      <c r="ZX66" s="1"/>
      <c r="ZY66" s="1"/>
      <c r="ZZ66" s="1"/>
      <c r="AAA66" s="1"/>
      <c r="AAB66" s="1"/>
      <c r="AAC66" s="1"/>
      <c r="AAD66" s="1"/>
      <c r="AAE66" s="1"/>
      <c r="AAF66" s="1"/>
      <c r="AAG66" s="1"/>
      <c r="AAH66" s="1"/>
      <c r="AAI66" s="1"/>
      <c r="AAJ66" s="1"/>
      <c r="AAK66" s="1"/>
      <c r="AAL66" s="1"/>
      <c r="AAM66" s="1"/>
      <c r="AAN66" s="1"/>
      <c r="AAO66" s="1"/>
      <c r="AAP66" s="1"/>
      <c r="AAQ66" s="1"/>
      <c r="AAR66" s="1"/>
      <c r="AAS66" s="1"/>
      <c r="AAT66" s="1"/>
      <c r="AAU66" s="1"/>
      <c r="AAV66" s="1"/>
      <c r="AAW66" s="1"/>
      <c r="AAX66" s="1"/>
      <c r="AAY66" s="1"/>
      <c r="AAZ66" s="1"/>
      <c r="ABA66" s="1"/>
      <c r="ABB66" s="1"/>
      <c r="ABC66" s="1"/>
      <c r="ABD66" s="1"/>
      <c r="ABE66" s="1"/>
      <c r="ABF66" s="1"/>
      <c r="ABG66" s="1"/>
      <c r="ABH66" s="1"/>
      <c r="ABI66" s="1"/>
      <c r="ABJ66" s="1"/>
      <c r="ABK66" s="1"/>
      <c r="ABL66" s="1"/>
      <c r="ABM66" s="1"/>
      <c r="ABN66" s="1"/>
      <c r="ABO66" s="1"/>
      <c r="ABP66" s="1"/>
      <c r="ABQ66" s="1"/>
      <c r="ABR66" s="1"/>
      <c r="ABS66" s="1"/>
      <c r="ABT66" s="1"/>
      <c r="ABU66" s="1"/>
      <c r="ABV66" s="1"/>
      <c r="ABW66" s="1"/>
      <c r="ABX66" s="1"/>
      <c r="ABY66" s="1"/>
      <c r="ABZ66" s="1"/>
      <c r="ACA66" s="1"/>
      <c r="ACB66" s="1"/>
      <c r="ACC66" s="1"/>
      <c r="ACD66" s="1"/>
      <c r="ACE66" s="1"/>
      <c r="ACF66" s="1"/>
      <c r="ACG66" s="1"/>
      <c r="ACH66" s="1"/>
      <c r="ACI66" s="1"/>
      <c r="ACJ66" s="1"/>
      <c r="ACK66" s="1"/>
      <c r="ACL66" s="1"/>
      <c r="ACM66" s="1"/>
      <c r="ACN66" s="1"/>
      <c r="ACO66" s="1"/>
      <c r="ACP66" s="1"/>
      <c r="ACQ66" s="1"/>
      <c r="ACR66" s="1"/>
      <c r="ACS66" s="1"/>
      <c r="ACT66" s="1"/>
      <c r="ACU66" s="1"/>
      <c r="ACV66" s="1"/>
      <c r="ACW66" s="1"/>
      <c r="ACX66" s="1"/>
      <c r="ACY66" s="1"/>
      <c r="ACZ66" s="1"/>
      <c r="ADA66" s="1"/>
      <c r="ADB66" s="1"/>
      <c r="ADC66" s="1"/>
      <c r="ADD66" s="1"/>
      <c r="ADE66" s="1"/>
      <c r="ADF66" s="1"/>
      <c r="ADG66" s="1"/>
      <c r="ADH66" s="1"/>
      <c r="ADI66" s="1"/>
      <c r="ADJ66" s="1"/>
      <c r="ADK66" s="1"/>
      <c r="ADL66" s="1"/>
      <c r="ADM66" s="1"/>
      <c r="ADN66" s="1"/>
      <c r="ADO66" s="1"/>
      <c r="ADP66" s="1"/>
      <c r="ADQ66" s="1"/>
      <c r="ADR66" s="1"/>
      <c r="ADS66" s="1"/>
      <c r="ADT66" s="1"/>
      <c r="ADU66" s="1"/>
      <c r="ADV66" s="1"/>
      <c r="ADW66" s="1"/>
      <c r="ADX66" s="1"/>
      <c r="ADY66" s="1"/>
      <c r="ADZ66" s="1"/>
      <c r="AEA66" s="1"/>
      <c r="AEB66" s="1"/>
      <c r="AEC66" s="1"/>
      <c r="AED66" s="1"/>
      <c r="AEE66" s="1"/>
      <c r="AEF66" s="1"/>
      <c r="AEG66" s="1"/>
      <c r="AEH66" s="1"/>
      <c r="AEI66" s="1"/>
      <c r="AEJ66" s="1"/>
      <c r="AEK66" s="1"/>
      <c r="AEL66" s="1"/>
      <c r="AEM66" s="1"/>
      <c r="AEN66" s="1"/>
      <c r="AEO66" s="1"/>
      <c r="AEP66" s="1"/>
      <c r="AEQ66" s="1"/>
      <c r="AER66" s="1"/>
      <c r="AES66" s="1"/>
      <c r="AET66" s="1"/>
      <c r="AEU66" s="1"/>
      <c r="AEV66" s="1"/>
      <c r="AEW66" s="1"/>
      <c r="AEX66" s="1"/>
      <c r="AEY66" s="1"/>
      <c r="AEZ66" s="1"/>
      <c r="AFA66" s="1"/>
      <c r="AFB66" s="1"/>
      <c r="AFC66" s="1"/>
      <c r="AFD66" s="1"/>
      <c r="AFE66" s="1"/>
      <c r="AFF66" s="1"/>
      <c r="AFG66" s="1"/>
      <c r="AFH66" s="1"/>
      <c r="AFI66" s="1"/>
      <c r="AFJ66" s="1"/>
      <c r="AFK66" s="1"/>
      <c r="AFL66" s="1"/>
      <c r="AFM66" s="1"/>
      <c r="AFN66" s="1"/>
      <c r="AFO66" s="1"/>
      <c r="AFP66" s="1"/>
      <c r="AFQ66" s="1"/>
      <c r="AFR66" s="1"/>
      <c r="AFS66" s="1"/>
      <c r="AFT66" s="1"/>
      <c r="AFU66" s="1"/>
      <c r="AFV66" s="1"/>
      <c r="AFW66" s="1"/>
      <c r="AFX66" s="1"/>
      <c r="AFY66" s="1"/>
      <c r="AFZ66" s="1"/>
      <c r="AGA66" s="1"/>
      <c r="AGB66" s="1"/>
      <c r="AGC66" s="1"/>
      <c r="AGD66" s="1"/>
      <c r="AGE66" s="1"/>
      <c r="AGF66" s="1"/>
      <c r="AGG66" s="1"/>
      <c r="AGH66" s="1"/>
      <c r="AGI66" s="1"/>
      <c r="AGJ66" s="1"/>
      <c r="AGK66" s="1"/>
      <c r="AGL66" s="1"/>
      <c r="AGM66" s="1"/>
      <c r="AGN66" s="1"/>
      <c r="AGO66" s="1"/>
      <c r="AGP66" s="1"/>
      <c r="AGQ66" s="1"/>
      <c r="AGR66" s="1"/>
      <c r="AGS66" s="1"/>
      <c r="AGT66" s="1"/>
      <c r="AGU66" s="1"/>
      <c r="AGV66" s="1"/>
      <c r="AGW66" s="1"/>
      <c r="AGX66" s="1"/>
      <c r="AGY66" s="1"/>
      <c r="AGZ66" s="1"/>
      <c r="AHA66" s="1"/>
      <c r="AHB66" s="1"/>
      <c r="AHC66" s="1"/>
      <c r="AHD66" s="1"/>
      <c r="AHE66" s="1"/>
      <c r="AHF66" s="1"/>
      <c r="AHG66" s="1"/>
      <c r="AHH66" s="1"/>
      <c r="AHI66" s="1"/>
      <c r="AHJ66" s="1"/>
      <c r="AHK66" s="1"/>
      <c r="AHL66" s="1"/>
      <c r="AHM66" s="1"/>
      <c r="AHN66" s="1"/>
      <c r="AHO66" s="1"/>
      <c r="AHP66" s="1"/>
      <c r="AHQ66" s="1"/>
      <c r="AHR66" s="1"/>
      <c r="AHS66" s="1"/>
      <c r="AHT66" s="1"/>
      <c r="AHU66" s="1"/>
      <c r="AHV66" s="1"/>
      <c r="AHW66" s="1"/>
      <c r="AHX66" s="1"/>
      <c r="AHY66" s="1"/>
      <c r="AHZ66" s="1"/>
      <c r="AIA66" s="1"/>
      <c r="AIB66" s="1"/>
      <c r="AIC66" s="1"/>
      <c r="AID66" s="1"/>
      <c r="AIE66" s="1"/>
      <c r="AIF66" s="1"/>
      <c r="AIG66" s="1"/>
      <c r="AIH66" s="1"/>
      <c r="AII66" s="1"/>
      <c r="AIJ66" s="1"/>
      <c r="AIK66" s="1"/>
      <c r="AIL66" s="1"/>
      <c r="AIM66" s="1"/>
      <c r="AIN66" s="1"/>
      <c r="AIO66" s="1"/>
      <c r="AIP66" s="1"/>
      <c r="AIQ66" s="1"/>
      <c r="AIR66" s="1"/>
      <c r="AIS66" s="1"/>
      <c r="AIT66" s="1"/>
      <c r="AIU66" s="1"/>
      <c r="AIV66" s="1"/>
      <c r="AIW66" s="1"/>
      <c r="AIX66" s="1"/>
      <c r="AIY66" s="1"/>
      <c r="AIZ66" s="1"/>
      <c r="AJA66" s="1"/>
      <c r="AJB66" s="1"/>
      <c r="AJC66" s="1"/>
      <c r="AJD66" s="1"/>
      <c r="AJE66" s="1"/>
      <c r="AJF66" s="1"/>
      <c r="AJG66" s="1"/>
      <c r="AJH66" s="1"/>
      <c r="AJI66" s="1"/>
      <c r="AJJ66" s="1"/>
      <c r="AJK66" s="1"/>
      <c r="AJL66" s="1"/>
      <c r="AJM66" s="1"/>
      <c r="AJN66" s="1"/>
      <c r="AJO66" s="1"/>
      <c r="AJP66" s="1"/>
      <c r="AJQ66" s="1"/>
      <c r="AJR66" s="1"/>
      <c r="AJS66" s="1"/>
      <c r="AJT66" s="1"/>
      <c r="AJU66" s="1"/>
      <c r="AJV66" s="1"/>
      <c r="AJW66" s="1"/>
      <c r="AJX66" s="1"/>
      <c r="AJY66" s="1"/>
      <c r="AJZ66" s="1"/>
      <c r="AKA66" s="1"/>
      <c r="AKB66" s="1"/>
      <c r="AKC66" s="1"/>
      <c r="AKD66" s="1"/>
      <c r="AKE66" s="1"/>
      <c r="AKF66" s="1"/>
      <c r="AKG66" s="1"/>
      <c r="AKH66" s="1"/>
      <c r="AKI66" s="1"/>
      <c r="AKJ66" s="1"/>
      <c r="AKK66" s="1"/>
      <c r="AKL66" s="1"/>
      <c r="AKM66" s="1"/>
      <c r="AKN66" s="1"/>
      <c r="AKO66" s="1"/>
      <c r="AKP66" s="1"/>
      <c r="AKQ66" s="1"/>
      <c r="AKR66" s="1"/>
      <c r="AKS66" s="1"/>
      <c r="AKT66" s="1"/>
      <c r="AKU66" s="1"/>
      <c r="AKV66" s="1"/>
      <c r="AKW66" s="1"/>
      <c r="AKX66" s="1"/>
      <c r="AKY66" s="1"/>
      <c r="AKZ66" s="1"/>
      <c r="ALA66" s="1"/>
      <c r="ALB66" s="1"/>
      <c r="ALC66" s="1"/>
      <c r="ALD66" s="1"/>
      <c r="ALE66" s="1"/>
      <c r="ALF66" s="1"/>
      <c r="ALG66" s="1"/>
      <c r="ALH66" s="1"/>
      <c r="ALI66" s="1"/>
      <c r="ALJ66" s="1"/>
      <c r="ALK66" s="1"/>
      <c r="ALL66" s="1"/>
      <c r="ALM66" s="1"/>
      <c r="ALN66" s="1"/>
      <c r="ALO66" s="1"/>
      <c r="ALP66" s="1"/>
      <c r="ALQ66" s="1"/>
      <c r="ALR66" s="1"/>
      <c r="ALS66" s="1"/>
      <c r="ALT66" s="1"/>
      <c r="ALU66" s="1"/>
      <c r="ALV66" s="1"/>
      <c r="ALW66" s="1"/>
      <c r="ALX66" s="1"/>
      <c r="ALY66" s="1"/>
      <c r="ALZ66" s="1"/>
      <c r="AMA66" s="1"/>
      <c r="AMB66" s="1"/>
      <c r="AMC66" s="1"/>
      <c r="AMD66" s="1"/>
      <c r="AME66" s="1"/>
      <c r="AMF66" s="1"/>
      <c r="AMG66" s="1"/>
      <c r="AMH66" s="1"/>
      <c r="AMI66" s="1"/>
      <c r="AMJ66" s="1"/>
      <c r="AMK66" s="1"/>
      <c r="AML66" s="1"/>
      <c r="AMM66" s="1"/>
      <c r="AMN66" s="1"/>
      <c r="AMO66" s="1"/>
    </row>
    <row r="67" spans="1:1029" x14ac:dyDescent="0.2">
      <c r="A67" s="3" t="str">
        <f t="shared" ref="A67:A109" si="223">CONCATENATE(B67,"_",C67)</f>
        <v>acm2_human_3UON</v>
      </c>
      <c r="B67" s="3" t="s">
        <v>147</v>
      </c>
      <c r="C67" s="3" t="s">
        <v>79</v>
      </c>
      <c r="D67" s="3" t="str">
        <f>IFERROR(MID(VLOOKUP($B67,Seqs!$A:$B,2,0),E67,1),"")</f>
        <v>V</v>
      </c>
      <c r="E67" s="3">
        <v>23</v>
      </c>
      <c r="F67" s="3" t="str">
        <f>IFERROR(MID(VLOOKUP($B67,Seqs!$A:$B,2,0),G67,1),"")</f>
        <v>N</v>
      </c>
      <c r="G67" s="3">
        <v>51</v>
      </c>
      <c r="H67" s="3" t="str">
        <f>IFERROR(MID(VLOOKUP($B67,Seqs!$A:$B,2,0),I67,1),"")</f>
        <v>R</v>
      </c>
      <c r="I67" s="23">
        <v>52</v>
      </c>
      <c r="J67" s="3" t="str">
        <f>IFERROR(MID(VLOOKUP($B67,Seqs!$A:$B,2,0),K67,1),"")</f>
        <v>Q</v>
      </c>
      <c r="K67" s="23">
        <v>55</v>
      </c>
      <c r="L67" s="3" t="str">
        <f>IFERROR(MID(VLOOKUP($B67,Seqs!$A:$B,2,0),M67,1),"")</f>
        <v>T</v>
      </c>
      <c r="M67" s="3">
        <v>56</v>
      </c>
      <c r="N67" s="3" t="str">
        <f>IFERROR(MID(VLOOKUP($B67,Seqs!$A:$B,2,0),O67,1),"")</f>
        <v>I</v>
      </c>
      <c r="O67" s="3">
        <v>86</v>
      </c>
      <c r="P67" s="3" t="str">
        <f>IFERROR(MID(VLOOKUP($B67,Seqs!$A:$B,2,0),Q67,1),"")</f>
        <v>Y</v>
      </c>
      <c r="Q67" s="3">
        <v>88</v>
      </c>
      <c r="R67" s="3" t="str">
        <f>IFERROR(MID(VLOOKUP($B67,Seqs!$A:$B,2,0),S67,1),"")</f>
        <v>L</v>
      </c>
      <c r="S67" s="3">
        <v>91</v>
      </c>
      <c r="T67" s="3" t="str">
        <f>IFERROR(MID(VLOOKUP($B67,Seqs!$A:$B,2,0),U67,1),"")</f>
        <v>G</v>
      </c>
      <c r="U67" s="3">
        <v>92</v>
      </c>
      <c r="V67" s="3" t="str">
        <f>IFERROR(MID(VLOOKUP($B67,Seqs!$A:$B,2,0),W67,1),"")</f>
        <v>K</v>
      </c>
      <c r="W67" s="3">
        <v>127</v>
      </c>
      <c r="X67" s="3" t="str">
        <f>IFERROR(MID(VLOOKUP($B67,Seqs!$A:$B,2,0),Y67,1),"")</f>
        <v>P</v>
      </c>
      <c r="Y67" s="3">
        <v>128</v>
      </c>
      <c r="Z67" s="3" t="str">
        <f>IFERROR(MID(VLOOKUP($B67,Seqs!$A:$B,2,0),AA67,1),"")</f>
        <v>R</v>
      </c>
      <c r="AA67" s="3">
        <v>135</v>
      </c>
      <c r="AB67" s="3" t="str">
        <f>IFERROR(MID(VLOOKUP($B67,Seqs!$A:$B,2,0),AC67,1),"")</f>
        <v>T</v>
      </c>
      <c r="AC67" s="9">
        <v>136</v>
      </c>
      <c r="AD67" s="3" t="str">
        <f>IFERROR(MID(VLOOKUP($B67,Seqs!$A:$B,2,0),AE67,1),"")</f>
        <v>G</v>
      </c>
      <c r="AE67" s="3">
        <v>167</v>
      </c>
      <c r="AF67" s="3" t="str">
        <f>IFERROR(MID(VLOOKUP($B67,Seqs!$A:$B,2,0),AG67,1),"")</f>
        <v>C</v>
      </c>
      <c r="AG67" s="3">
        <v>176</v>
      </c>
      <c r="AH67" s="3" t="str">
        <f>IFERROR(MID(VLOOKUP($B67,Seqs!$A:$B,2,0),AI67,1),"")</f>
        <v>I</v>
      </c>
      <c r="AI67" s="3">
        <v>178</v>
      </c>
      <c r="AJ67" s="3" t="str">
        <f>IFERROR(MID(VLOOKUP($B67,Seqs!$A:$B,2,0),AK67,1),"")</f>
        <v>N</v>
      </c>
      <c r="AK67" s="3">
        <v>183</v>
      </c>
      <c r="AL67" s="3" t="str">
        <f>IFERROR(MID(VLOOKUP($B67,Seqs!$A:$B,2,0),AM67,1),"")</f>
        <v>S</v>
      </c>
      <c r="AM67" s="3">
        <v>213</v>
      </c>
      <c r="AN67" s="3" t="str">
        <f>IFERROR(MID(VLOOKUP($B67,Seqs!$A:$B,2,0),AO67,1),"")</f>
        <v>K</v>
      </c>
      <c r="AO67" s="3">
        <v>384</v>
      </c>
      <c r="AP67" s="3" t="str">
        <f>IFERROR(MID(VLOOKUP($B67,Seqs!$A:$B,2,0),AQ67,1),"")</f>
        <v>C</v>
      </c>
      <c r="AQ67" s="3">
        <v>413</v>
      </c>
      <c r="AR67" s="3" t="str">
        <f>IFERROR(MID(VLOOKUP($B67,Seqs!$A:$B,2,0),AS67,1),"")</f>
        <v>P</v>
      </c>
      <c r="AS67" s="3">
        <v>418</v>
      </c>
      <c r="AT67" s="3" t="str">
        <f>IFERROR(MID(VLOOKUP($B67,Seqs!$A:$B,2,0),AU67,1),"")</f>
        <v>C</v>
      </c>
      <c r="AU67" s="3">
        <v>443</v>
      </c>
      <c r="AV67" s="3" t="str">
        <f>IFERROR(MID(VLOOKUP($B67,Seqs!$A:$B,2,0),AW67,1),"")</f>
        <v>N</v>
      </c>
      <c r="AW67" s="3">
        <v>444</v>
      </c>
      <c r="AX67" s="3" t="str">
        <f>IFERROR(MID(VLOOKUP($B67,Seqs!$A:$B,2,0),AY67,1),"")</f>
        <v>M</v>
      </c>
      <c r="AY67" s="3">
        <v>456</v>
      </c>
      <c r="AZ67" s="77" t="str">
        <f>VLOOKUP(B67,Classification!A:D,2,0)</f>
        <v>A</v>
      </c>
      <c r="BA67" s="94" t="str">
        <f>VLOOKUP(B67,Classification!A:D,4,0)</f>
        <v>Acetylcholine(muscarinic)</v>
      </c>
      <c r="BB67" s="27" t="b">
        <f t="shared" ref="BB67:BB109" si="224">AND(E67&lt;G67,OR(G67&lt;I67,I67="-"),OR(I67&lt;K67,I67="-"),OR(K67&lt;M67,K67="-"),M67&lt;O67,OR(O67&lt;Q67,Q67="-"),OR(Q67&lt;S67,Q67="-"),OR(S67&lt;U67,S67="-"),U67&lt;W67,OR(W67&lt;Y67,Y67="-"),OR(Y67&lt;AA67,Y67="-"),OR(AA67&lt;AC67,AA67="-"),AC67&lt;AE67,OR(AE67&lt;AG67,AG67="-"),OR(AG67&lt;AI67,AG67="-"),OR(AI67&lt;AK67,AI67="-"),AK67&lt;AM67,AM67&lt;AO67,AO67&lt;AQ67,AQ67&lt;AS67,AS67&lt;AU67,OR(AU67&lt;AW67,AW67="-"),OR(AW67&lt;AY67,AW67="-"))</f>
        <v>1</v>
      </c>
      <c r="BC67" s="23">
        <f t="shared" si="169"/>
        <v>247</v>
      </c>
      <c r="BD67" s="16" t="s">
        <v>23</v>
      </c>
      <c r="BE67" s="3" t="s">
        <v>1381</v>
      </c>
      <c r="BF67" s="119">
        <v>3</v>
      </c>
      <c r="BG67" s="49" t="s">
        <v>1384</v>
      </c>
      <c r="BH67" s="49" t="s">
        <v>1384</v>
      </c>
      <c r="BI67" s="1"/>
      <c r="BJ67" s="70" t="s">
        <v>1293</v>
      </c>
      <c r="BK67" s="57" t="s">
        <v>1293</v>
      </c>
      <c r="BL67" s="57" t="s">
        <v>1293</v>
      </c>
      <c r="BM67" s="57" t="s">
        <v>1293</v>
      </c>
      <c r="BN67" s="57" t="s">
        <v>1293</v>
      </c>
      <c r="BO67" s="57" t="s">
        <v>1293</v>
      </c>
      <c r="BP67" s="57" t="s">
        <v>1293</v>
      </c>
      <c r="BQ67" s="57" t="s">
        <v>1293</v>
      </c>
      <c r="BR67" s="57" t="s">
        <v>1293</v>
      </c>
      <c r="BS67" s="57" t="s">
        <v>1293</v>
      </c>
      <c r="BT67" s="57" t="s">
        <v>1293</v>
      </c>
      <c r="BU67" s="57" t="s">
        <v>1293</v>
      </c>
      <c r="BV67" s="70">
        <f t="shared" si="170"/>
        <v>23</v>
      </c>
      <c r="BW67" s="71">
        <f t="shared" si="171"/>
        <v>52</v>
      </c>
      <c r="BX67" s="72">
        <f t="shared" si="172"/>
        <v>56</v>
      </c>
      <c r="BY67" s="71">
        <f t="shared" si="173"/>
        <v>88</v>
      </c>
      <c r="BZ67" s="72">
        <f t="shared" si="174"/>
        <v>92</v>
      </c>
      <c r="CA67" s="71">
        <f t="shared" si="175"/>
        <v>128</v>
      </c>
      <c r="CB67" s="72">
        <f t="shared" si="176"/>
        <v>136</v>
      </c>
      <c r="CC67" s="71">
        <f t="shared" si="177"/>
        <v>176</v>
      </c>
      <c r="CD67" s="72">
        <f t="shared" si="178"/>
        <v>183</v>
      </c>
      <c r="CE67" s="71">
        <f t="shared" si="179"/>
        <v>384</v>
      </c>
      <c r="CF67" s="72">
        <f t="shared" si="180"/>
        <v>418</v>
      </c>
      <c r="CG67" s="71">
        <f t="shared" si="181"/>
        <v>444</v>
      </c>
      <c r="CH67" s="70">
        <f t="shared" si="182"/>
        <v>51</v>
      </c>
      <c r="CI67" s="71">
        <f t="shared" si="183"/>
        <v>55</v>
      </c>
      <c r="CJ67" s="72">
        <f t="shared" si="184"/>
        <v>86</v>
      </c>
      <c r="CK67" s="72">
        <f t="shared" si="185"/>
        <v>91</v>
      </c>
      <c r="CL67" s="72">
        <f t="shared" si="186"/>
        <v>127</v>
      </c>
      <c r="CM67" s="72">
        <f t="shared" si="187"/>
        <v>135</v>
      </c>
      <c r="CN67" s="72">
        <f t="shared" si="188"/>
        <v>167</v>
      </c>
      <c r="CO67" s="72">
        <f t="shared" si="189"/>
        <v>178</v>
      </c>
      <c r="CP67" s="72">
        <f t="shared" si="190"/>
        <v>213</v>
      </c>
      <c r="CQ67" s="72">
        <f t="shared" si="191"/>
        <v>413</v>
      </c>
      <c r="CR67" s="72">
        <f t="shared" si="192"/>
        <v>443</v>
      </c>
      <c r="CS67" s="72">
        <f t="shared" si="193"/>
        <v>456</v>
      </c>
      <c r="CT67" s="23">
        <f t="shared" si="194"/>
        <v>1</v>
      </c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  <c r="RA67" s="1"/>
      <c r="RB67" s="1"/>
      <c r="RC67" s="1"/>
      <c r="RD67" s="1"/>
      <c r="RE67" s="1"/>
      <c r="RF67" s="1"/>
      <c r="RG67" s="1"/>
      <c r="RH67" s="1"/>
      <c r="RI67" s="1"/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/>
      <c r="RU67" s="1"/>
      <c r="RV67" s="1"/>
      <c r="RW67" s="1"/>
      <c r="RX67" s="1"/>
      <c r="RY67" s="1"/>
      <c r="RZ67" s="1"/>
      <c r="SA67" s="1"/>
      <c r="SB67" s="1"/>
      <c r="SC67" s="1"/>
      <c r="SD67" s="1"/>
      <c r="SE67" s="1"/>
      <c r="SF67" s="1"/>
      <c r="SG67" s="1"/>
      <c r="SH67" s="1"/>
      <c r="SI67" s="1"/>
      <c r="SJ67" s="1"/>
      <c r="SK67" s="1"/>
      <c r="SL67" s="1"/>
      <c r="SM67" s="1"/>
      <c r="SN67" s="1"/>
      <c r="SO67" s="1"/>
      <c r="SP67" s="1"/>
      <c r="SQ67" s="1"/>
      <c r="SR67" s="1"/>
      <c r="SS67" s="1"/>
      <c r="ST67" s="1"/>
      <c r="SU67" s="1"/>
      <c r="SV67" s="1"/>
      <c r="SW67" s="1"/>
      <c r="SX67" s="1"/>
      <c r="SY67" s="1"/>
      <c r="SZ67" s="1"/>
      <c r="TA67" s="1"/>
      <c r="TB67" s="1"/>
      <c r="TC67" s="1"/>
      <c r="TD67" s="1"/>
      <c r="TE67" s="1"/>
      <c r="TF67" s="1"/>
      <c r="TG67" s="1"/>
      <c r="TH67" s="1"/>
      <c r="TI67" s="1"/>
      <c r="TJ67" s="1"/>
      <c r="TK67" s="1"/>
      <c r="TL67" s="1"/>
      <c r="TM67" s="1"/>
      <c r="TN67" s="1"/>
      <c r="TO67" s="1"/>
      <c r="TP67" s="1"/>
      <c r="TQ67" s="1"/>
      <c r="TR67" s="1"/>
      <c r="TS67" s="1"/>
      <c r="TT67" s="1"/>
      <c r="TU67" s="1"/>
      <c r="TV67" s="1"/>
      <c r="TW67" s="1"/>
      <c r="TX67" s="1"/>
      <c r="TY67" s="1"/>
      <c r="TZ67" s="1"/>
      <c r="UA67" s="1"/>
      <c r="UB67" s="1"/>
      <c r="UC67" s="1"/>
      <c r="UD67" s="1"/>
      <c r="UE67" s="1"/>
      <c r="UF67" s="1"/>
      <c r="UG67" s="1"/>
      <c r="UH67" s="1"/>
      <c r="UI67" s="1"/>
      <c r="UJ67" s="1"/>
      <c r="UK67" s="1"/>
      <c r="UL67" s="1"/>
      <c r="UM67" s="1"/>
      <c r="UN67" s="1"/>
      <c r="UO67" s="1"/>
      <c r="UP67" s="1"/>
      <c r="UQ67" s="1"/>
      <c r="UR67" s="1"/>
      <c r="US67" s="1"/>
      <c r="UT67" s="1"/>
      <c r="UU67" s="1"/>
      <c r="UV67" s="1"/>
      <c r="UW67" s="1"/>
      <c r="UX67" s="1"/>
      <c r="UY67" s="1"/>
      <c r="UZ67" s="1"/>
      <c r="VA67" s="1"/>
      <c r="VB67" s="1"/>
      <c r="VC67" s="1"/>
      <c r="VD67" s="1"/>
      <c r="VE67" s="1"/>
      <c r="VF67" s="1"/>
      <c r="VG67" s="1"/>
      <c r="VH67" s="1"/>
      <c r="VI67" s="1"/>
      <c r="VJ67" s="1"/>
      <c r="VK67" s="1"/>
      <c r="VL67" s="1"/>
      <c r="VM67" s="1"/>
      <c r="VN67" s="1"/>
      <c r="VO67" s="1"/>
      <c r="VP67" s="1"/>
      <c r="VQ67" s="1"/>
      <c r="VR67" s="1"/>
      <c r="VS67" s="1"/>
      <c r="VT67" s="1"/>
      <c r="VU67" s="1"/>
      <c r="VV67" s="1"/>
      <c r="VW67" s="1"/>
      <c r="VX67" s="1"/>
      <c r="VY67" s="1"/>
      <c r="VZ67" s="1"/>
      <c r="WA67" s="1"/>
      <c r="WB67" s="1"/>
      <c r="WC67" s="1"/>
      <c r="WD67" s="1"/>
      <c r="WE67" s="1"/>
      <c r="WF67" s="1"/>
      <c r="WG67" s="1"/>
      <c r="WH67" s="1"/>
      <c r="WI67" s="1"/>
      <c r="WJ67" s="1"/>
      <c r="WK67" s="1"/>
      <c r="WL67" s="1"/>
      <c r="WM67" s="1"/>
      <c r="WN67" s="1"/>
      <c r="WO67" s="1"/>
      <c r="WP67" s="1"/>
      <c r="WQ67" s="1"/>
      <c r="WR67" s="1"/>
      <c r="WS67" s="1"/>
      <c r="WT67" s="1"/>
      <c r="WU67" s="1"/>
      <c r="WV67" s="1"/>
      <c r="WW67" s="1"/>
      <c r="WX67" s="1"/>
      <c r="WY67" s="1"/>
      <c r="WZ67" s="1"/>
      <c r="XA67" s="1"/>
      <c r="XB67" s="1"/>
      <c r="XC67" s="1"/>
      <c r="XD67" s="1"/>
      <c r="XE67" s="1"/>
      <c r="XF67" s="1"/>
      <c r="XG67" s="1"/>
      <c r="XH67" s="1"/>
      <c r="XI67" s="1"/>
      <c r="XJ67" s="1"/>
      <c r="XK67" s="1"/>
      <c r="XL67" s="1"/>
      <c r="XM67" s="1"/>
      <c r="XN67" s="1"/>
      <c r="XO67" s="1"/>
      <c r="XP67" s="1"/>
      <c r="XQ67" s="1"/>
      <c r="XR67" s="1"/>
      <c r="XS67" s="1"/>
      <c r="XT67" s="1"/>
      <c r="XU67" s="1"/>
      <c r="XV67" s="1"/>
      <c r="XW67" s="1"/>
      <c r="XX67" s="1"/>
      <c r="XY67" s="1"/>
      <c r="XZ67" s="1"/>
      <c r="YA67" s="1"/>
      <c r="YB67" s="1"/>
      <c r="YC67" s="1"/>
      <c r="YD67" s="1"/>
      <c r="YE67" s="1"/>
      <c r="YF67" s="1"/>
      <c r="YG67" s="1"/>
      <c r="YH67" s="1"/>
      <c r="YI67" s="1"/>
      <c r="YJ67" s="1"/>
      <c r="YK67" s="1"/>
      <c r="YL67" s="1"/>
      <c r="YM67" s="1"/>
      <c r="YN67" s="1"/>
      <c r="YO67" s="1"/>
      <c r="YP67" s="1"/>
      <c r="YQ67" s="1"/>
      <c r="YR67" s="1"/>
      <c r="YS67" s="1"/>
      <c r="YT67" s="1"/>
      <c r="YU67" s="1"/>
      <c r="YV67" s="1"/>
      <c r="YW67" s="1"/>
      <c r="YX67" s="1"/>
      <c r="YY67" s="1"/>
      <c r="YZ67" s="1"/>
      <c r="ZA67" s="1"/>
      <c r="ZB67" s="1"/>
      <c r="ZC67" s="1"/>
      <c r="ZD67" s="1"/>
      <c r="ZE67" s="1"/>
      <c r="ZF67" s="1"/>
      <c r="ZG67" s="1"/>
      <c r="ZH67" s="1"/>
      <c r="ZI67" s="1"/>
      <c r="ZJ67" s="1"/>
      <c r="ZK67" s="1"/>
      <c r="ZL67" s="1"/>
      <c r="ZM67" s="1"/>
      <c r="ZN67" s="1"/>
      <c r="ZO67" s="1"/>
      <c r="ZP67" s="1"/>
      <c r="ZQ67" s="1"/>
      <c r="ZR67" s="1"/>
      <c r="ZS67" s="1"/>
      <c r="ZT67" s="1"/>
      <c r="ZU67" s="1"/>
      <c r="ZV67" s="1"/>
      <c r="ZW67" s="1"/>
      <c r="ZX67" s="1"/>
      <c r="ZY67" s="1"/>
      <c r="ZZ67" s="1"/>
      <c r="AAA67" s="1"/>
      <c r="AAB67" s="1"/>
      <c r="AAC67" s="1"/>
      <c r="AAD67" s="1"/>
      <c r="AAE67" s="1"/>
      <c r="AAF67" s="1"/>
      <c r="AAG67" s="1"/>
      <c r="AAH67" s="1"/>
      <c r="AAI67" s="1"/>
      <c r="AAJ67" s="1"/>
      <c r="AAK67" s="1"/>
      <c r="AAL67" s="1"/>
      <c r="AAM67" s="1"/>
      <c r="AAN67" s="1"/>
      <c r="AAO67" s="1"/>
      <c r="AAP67" s="1"/>
      <c r="AAQ67" s="1"/>
      <c r="AAR67" s="1"/>
      <c r="AAS67" s="1"/>
      <c r="AAT67" s="1"/>
      <c r="AAU67" s="1"/>
      <c r="AAV67" s="1"/>
      <c r="AAW67" s="1"/>
      <c r="AAX67" s="1"/>
      <c r="AAY67" s="1"/>
      <c r="AAZ67" s="1"/>
      <c r="ABA67" s="1"/>
      <c r="ABB67" s="1"/>
      <c r="ABC67" s="1"/>
      <c r="ABD67" s="1"/>
      <c r="ABE67" s="1"/>
      <c r="ABF67" s="1"/>
      <c r="ABG67" s="1"/>
      <c r="ABH67" s="1"/>
      <c r="ABI67" s="1"/>
      <c r="ABJ67" s="1"/>
      <c r="ABK67" s="1"/>
      <c r="ABL67" s="1"/>
      <c r="ABM67" s="1"/>
      <c r="ABN67" s="1"/>
      <c r="ABO67" s="1"/>
      <c r="ABP67" s="1"/>
      <c r="ABQ67" s="1"/>
      <c r="ABR67" s="1"/>
      <c r="ABS67" s="1"/>
      <c r="ABT67" s="1"/>
      <c r="ABU67" s="1"/>
      <c r="ABV67" s="1"/>
      <c r="ABW67" s="1"/>
      <c r="ABX67" s="1"/>
      <c r="ABY67" s="1"/>
      <c r="ABZ67" s="1"/>
      <c r="ACA67" s="1"/>
      <c r="ACB67" s="1"/>
      <c r="ACC67" s="1"/>
      <c r="ACD67" s="1"/>
      <c r="ACE67" s="1"/>
      <c r="ACF67" s="1"/>
      <c r="ACG67" s="1"/>
      <c r="ACH67" s="1"/>
      <c r="ACI67" s="1"/>
      <c r="ACJ67" s="1"/>
      <c r="ACK67" s="1"/>
      <c r="ACL67" s="1"/>
      <c r="ACM67" s="1"/>
      <c r="ACN67" s="1"/>
      <c r="ACO67" s="1"/>
      <c r="ACP67" s="1"/>
      <c r="ACQ67" s="1"/>
      <c r="ACR67" s="1"/>
      <c r="ACS67" s="1"/>
      <c r="ACT67" s="1"/>
      <c r="ACU67" s="1"/>
      <c r="ACV67" s="1"/>
      <c r="ACW67" s="1"/>
      <c r="ACX67" s="1"/>
      <c r="ACY67" s="1"/>
      <c r="ACZ67" s="1"/>
      <c r="ADA67" s="1"/>
      <c r="ADB67" s="1"/>
      <c r="ADC67" s="1"/>
      <c r="ADD67" s="1"/>
      <c r="ADE67" s="1"/>
      <c r="ADF67" s="1"/>
      <c r="ADG67" s="1"/>
      <c r="ADH67" s="1"/>
      <c r="ADI67" s="1"/>
      <c r="ADJ67" s="1"/>
      <c r="ADK67" s="1"/>
      <c r="ADL67" s="1"/>
      <c r="ADM67" s="1"/>
      <c r="ADN67" s="1"/>
      <c r="ADO67" s="1"/>
      <c r="ADP67" s="1"/>
      <c r="ADQ67" s="1"/>
      <c r="ADR67" s="1"/>
      <c r="ADS67" s="1"/>
      <c r="ADT67" s="1"/>
      <c r="ADU67" s="1"/>
      <c r="ADV67" s="1"/>
      <c r="ADW67" s="1"/>
      <c r="ADX67" s="1"/>
      <c r="ADY67" s="1"/>
      <c r="ADZ67" s="1"/>
      <c r="AEA67" s="1"/>
      <c r="AEB67" s="1"/>
      <c r="AEC67" s="1"/>
      <c r="AED67" s="1"/>
      <c r="AEE67" s="1"/>
      <c r="AEF67" s="1"/>
      <c r="AEG67" s="1"/>
      <c r="AEH67" s="1"/>
      <c r="AEI67" s="1"/>
      <c r="AEJ67" s="1"/>
      <c r="AEK67" s="1"/>
      <c r="AEL67" s="1"/>
      <c r="AEM67" s="1"/>
      <c r="AEN67" s="1"/>
      <c r="AEO67" s="1"/>
      <c r="AEP67" s="1"/>
      <c r="AEQ67" s="1"/>
      <c r="AER67" s="1"/>
      <c r="AES67" s="1"/>
      <c r="AET67" s="1"/>
      <c r="AEU67" s="1"/>
      <c r="AEV67" s="1"/>
      <c r="AEW67" s="1"/>
      <c r="AEX67" s="1"/>
      <c r="AEY67" s="1"/>
      <c r="AEZ67" s="1"/>
      <c r="AFA67" s="1"/>
      <c r="AFB67" s="1"/>
      <c r="AFC67" s="1"/>
      <c r="AFD67" s="1"/>
      <c r="AFE67" s="1"/>
      <c r="AFF67" s="1"/>
      <c r="AFG67" s="1"/>
      <c r="AFH67" s="1"/>
      <c r="AFI67" s="1"/>
      <c r="AFJ67" s="1"/>
      <c r="AFK67" s="1"/>
      <c r="AFL67" s="1"/>
      <c r="AFM67" s="1"/>
      <c r="AFN67" s="1"/>
      <c r="AFO67" s="1"/>
      <c r="AFP67" s="1"/>
      <c r="AFQ67" s="1"/>
      <c r="AFR67" s="1"/>
      <c r="AFS67" s="1"/>
      <c r="AFT67" s="1"/>
      <c r="AFU67" s="1"/>
      <c r="AFV67" s="1"/>
      <c r="AFW67" s="1"/>
      <c r="AFX67" s="1"/>
      <c r="AFY67" s="1"/>
      <c r="AFZ67" s="1"/>
      <c r="AGA67" s="1"/>
      <c r="AGB67" s="1"/>
      <c r="AGC67" s="1"/>
      <c r="AGD67" s="1"/>
      <c r="AGE67" s="1"/>
      <c r="AGF67" s="1"/>
      <c r="AGG67" s="1"/>
      <c r="AGH67" s="1"/>
      <c r="AGI67" s="1"/>
      <c r="AGJ67" s="1"/>
      <c r="AGK67" s="1"/>
      <c r="AGL67" s="1"/>
      <c r="AGM67" s="1"/>
      <c r="AGN67" s="1"/>
      <c r="AGO67" s="1"/>
      <c r="AGP67" s="1"/>
      <c r="AGQ67" s="1"/>
      <c r="AGR67" s="1"/>
      <c r="AGS67" s="1"/>
      <c r="AGT67" s="1"/>
      <c r="AGU67" s="1"/>
      <c r="AGV67" s="1"/>
      <c r="AGW67" s="1"/>
      <c r="AGX67" s="1"/>
      <c r="AGY67" s="1"/>
      <c r="AGZ67" s="1"/>
      <c r="AHA67" s="1"/>
      <c r="AHB67" s="1"/>
      <c r="AHC67" s="1"/>
      <c r="AHD67" s="1"/>
      <c r="AHE67" s="1"/>
      <c r="AHF67" s="1"/>
      <c r="AHG67" s="1"/>
      <c r="AHH67" s="1"/>
      <c r="AHI67" s="1"/>
      <c r="AHJ67" s="1"/>
      <c r="AHK67" s="1"/>
      <c r="AHL67" s="1"/>
      <c r="AHM67" s="1"/>
      <c r="AHN67" s="1"/>
      <c r="AHO67" s="1"/>
      <c r="AHP67" s="1"/>
      <c r="AHQ67" s="1"/>
      <c r="AHR67" s="1"/>
      <c r="AHS67" s="1"/>
      <c r="AHT67" s="1"/>
      <c r="AHU67" s="1"/>
      <c r="AHV67" s="1"/>
      <c r="AHW67" s="1"/>
      <c r="AHX67" s="1"/>
      <c r="AHY67" s="1"/>
      <c r="AHZ67" s="1"/>
      <c r="AIA67" s="1"/>
      <c r="AIB67" s="1"/>
      <c r="AIC67" s="1"/>
      <c r="AID67" s="1"/>
      <c r="AIE67" s="1"/>
      <c r="AIF67" s="1"/>
      <c r="AIG67" s="1"/>
      <c r="AIH67" s="1"/>
      <c r="AII67" s="1"/>
      <c r="AIJ67" s="1"/>
      <c r="AIK67" s="1"/>
      <c r="AIL67" s="1"/>
      <c r="AIM67" s="1"/>
      <c r="AIN67" s="1"/>
      <c r="AIO67" s="1"/>
      <c r="AIP67" s="1"/>
      <c r="AIQ67" s="1"/>
      <c r="AIR67" s="1"/>
      <c r="AIS67" s="1"/>
      <c r="AIT67" s="1"/>
      <c r="AIU67" s="1"/>
      <c r="AIV67" s="1"/>
      <c r="AIW67" s="1"/>
      <c r="AIX67" s="1"/>
      <c r="AIY67" s="1"/>
      <c r="AIZ67" s="1"/>
      <c r="AJA67" s="1"/>
      <c r="AJB67" s="1"/>
      <c r="AJC67" s="1"/>
      <c r="AJD67" s="1"/>
      <c r="AJE67" s="1"/>
      <c r="AJF67" s="1"/>
      <c r="AJG67" s="1"/>
      <c r="AJH67" s="1"/>
      <c r="AJI67" s="1"/>
      <c r="AJJ67" s="1"/>
      <c r="AJK67" s="1"/>
      <c r="AJL67" s="1"/>
      <c r="AJM67" s="1"/>
      <c r="AJN67" s="1"/>
      <c r="AJO67" s="1"/>
      <c r="AJP67" s="1"/>
      <c r="AJQ67" s="1"/>
      <c r="AJR67" s="1"/>
      <c r="AJS67" s="1"/>
      <c r="AJT67" s="1"/>
      <c r="AJU67" s="1"/>
      <c r="AJV67" s="1"/>
      <c r="AJW67" s="1"/>
      <c r="AJX67" s="1"/>
      <c r="AJY67" s="1"/>
      <c r="AJZ67" s="1"/>
      <c r="AKA67" s="1"/>
      <c r="AKB67" s="1"/>
      <c r="AKC67" s="1"/>
      <c r="AKD67" s="1"/>
      <c r="AKE67" s="1"/>
      <c r="AKF67" s="1"/>
      <c r="AKG67" s="1"/>
      <c r="AKH67" s="1"/>
      <c r="AKI67" s="1"/>
      <c r="AKJ67" s="1"/>
      <c r="AKK67" s="1"/>
      <c r="AKL67" s="1"/>
      <c r="AKM67" s="1"/>
      <c r="AKN67" s="1"/>
      <c r="AKO67" s="1"/>
      <c r="AKP67" s="1"/>
      <c r="AKQ67" s="1"/>
      <c r="AKR67" s="1"/>
      <c r="AKS67" s="1"/>
      <c r="AKT67" s="1"/>
      <c r="AKU67" s="1"/>
      <c r="AKV67" s="1"/>
      <c r="AKW67" s="1"/>
      <c r="AKX67" s="1"/>
      <c r="AKY67" s="1"/>
      <c r="AKZ67" s="1"/>
      <c r="ALA67" s="1"/>
      <c r="ALB67" s="1"/>
      <c r="ALC67" s="1"/>
      <c r="ALD67" s="1"/>
      <c r="ALE67" s="1"/>
      <c r="ALF67" s="1"/>
      <c r="ALG67" s="1"/>
      <c r="ALH67" s="1"/>
      <c r="ALI67" s="1"/>
      <c r="ALJ67" s="1"/>
      <c r="ALK67" s="1"/>
      <c r="ALL67" s="1"/>
      <c r="ALM67" s="1"/>
      <c r="ALN67" s="1"/>
      <c r="ALO67" s="1"/>
      <c r="ALP67" s="1"/>
      <c r="ALQ67" s="1"/>
      <c r="ALR67" s="1"/>
      <c r="ALS67" s="1"/>
      <c r="ALT67" s="1"/>
      <c r="ALU67" s="1"/>
      <c r="ALV67" s="1"/>
      <c r="ALW67" s="1"/>
      <c r="ALX67" s="1"/>
      <c r="ALY67" s="1"/>
      <c r="ALZ67" s="1"/>
      <c r="AMA67" s="1"/>
      <c r="AMB67" s="1"/>
      <c r="AMC67" s="1"/>
      <c r="AMD67" s="1"/>
      <c r="AME67" s="1"/>
      <c r="AMF67" s="1"/>
      <c r="AMG67" s="1"/>
      <c r="AMH67" s="1"/>
      <c r="AMI67" s="1"/>
      <c r="AMJ67" s="1"/>
      <c r="AMK67" s="1"/>
      <c r="AML67" s="1"/>
      <c r="AMM67" s="1"/>
      <c r="AMN67" s="1"/>
      <c r="AMO67" s="1"/>
    </row>
    <row r="68" spans="1:1029" x14ac:dyDescent="0.2">
      <c r="A68" s="3" t="str">
        <f t="shared" si="223"/>
        <v>acm2_human_4MQS</v>
      </c>
      <c r="B68" s="3" t="s">
        <v>147</v>
      </c>
      <c r="C68" s="3" t="s">
        <v>68</v>
      </c>
      <c r="D68" s="3" t="str">
        <f>IFERROR(MID(VLOOKUP($B68,Seqs!$A:$B,2,0),E68,1),"")</f>
        <v>K</v>
      </c>
      <c r="E68" s="3">
        <v>19</v>
      </c>
      <c r="F68" s="3" t="str">
        <f>IFERROR(MID(VLOOKUP($B68,Seqs!$A:$B,2,0),G68,1),"")</f>
        <v>N</v>
      </c>
      <c r="G68" s="3">
        <v>51</v>
      </c>
      <c r="H68" s="3" t="str">
        <f>IFERROR(MID(VLOOKUP($B68,Seqs!$A:$B,2,0),I68,1),"")</f>
        <v>R</v>
      </c>
      <c r="I68" s="23">
        <v>52</v>
      </c>
      <c r="J68" s="3" t="str">
        <f>IFERROR(MID(VLOOKUP($B68,Seqs!$A:$B,2,0),K68,1),"")</f>
        <v>Q</v>
      </c>
      <c r="K68" s="23">
        <v>55</v>
      </c>
      <c r="L68" s="3" t="str">
        <f>IFERROR(MID(VLOOKUP($B68,Seqs!$A:$B,2,0),M68,1),"")</f>
        <v>T</v>
      </c>
      <c r="M68" s="3">
        <v>56</v>
      </c>
      <c r="N68" s="3" t="str">
        <f>IFERROR(MID(VLOOKUP($B68,Seqs!$A:$B,2,0),O68,1),"")</f>
        <v>G</v>
      </c>
      <c r="O68" s="3">
        <v>87</v>
      </c>
      <c r="P68" s="3" t="str">
        <f>IFERROR(MID(VLOOKUP($B68,Seqs!$A:$B,2,0),Q68,1),"")</f>
        <v>Y</v>
      </c>
      <c r="Q68" s="3">
        <v>88</v>
      </c>
      <c r="R68" s="3" t="str">
        <f>IFERROR(MID(VLOOKUP($B68,Seqs!$A:$B,2,0),S68,1),"")</f>
        <v>L</v>
      </c>
      <c r="S68" s="3">
        <v>91</v>
      </c>
      <c r="T68" s="3" t="str">
        <f>IFERROR(MID(VLOOKUP($B68,Seqs!$A:$B,2,0),U68,1),"")</f>
        <v>G</v>
      </c>
      <c r="U68" s="3">
        <v>92</v>
      </c>
      <c r="V68" s="3" t="str">
        <f>IFERROR(MID(VLOOKUP($B68,Seqs!$A:$B,2,0),W68,1),"")</f>
        <v>K</v>
      </c>
      <c r="W68" s="3">
        <v>127</v>
      </c>
      <c r="X68" s="3" t="str">
        <f>IFERROR(MID(VLOOKUP($B68,Seqs!$A:$B,2,0),Y68,1),"")</f>
        <v>P</v>
      </c>
      <c r="Y68" s="3">
        <v>128</v>
      </c>
      <c r="Z68" s="3" t="str">
        <f>IFERROR(MID(VLOOKUP($B68,Seqs!$A:$B,2,0),AA68,1),"")</f>
        <v>R</v>
      </c>
      <c r="AA68" s="3">
        <v>135</v>
      </c>
      <c r="AB68" s="3" t="str">
        <f>IFERROR(MID(VLOOKUP($B68,Seqs!$A:$B,2,0),AC68,1),"")</f>
        <v>T</v>
      </c>
      <c r="AC68" s="9">
        <v>136</v>
      </c>
      <c r="AD68" s="3" t="str">
        <f>IFERROR(MID(VLOOKUP($B68,Seqs!$A:$B,2,0),AE68,1),"")</f>
        <v>G</v>
      </c>
      <c r="AE68" s="3">
        <v>167</v>
      </c>
      <c r="AF68" s="3" t="str">
        <f>IFERROR(MID(VLOOKUP($B68,Seqs!$A:$B,2,0),AG68,1),"")</f>
        <v>C</v>
      </c>
      <c r="AG68" s="3">
        <v>176</v>
      </c>
      <c r="AH68" s="3" t="str">
        <f>IFERROR(MID(VLOOKUP($B68,Seqs!$A:$B,2,0),AI68,1),"")</f>
        <v>I</v>
      </c>
      <c r="AI68" s="3">
        <v>178</v>
      </c>
      <c r="AJ68" s="3" t="str">
        <f>IFERROR(MID(VLOOKUP($B68,Seqs!$A:$B,2,0),AK68,1),"")</f>
        <v>N</v>
      </c>
      <c r="AK68" s="3">
        <v>183</v>
      </c>
      <c r="AL68" s="3" t="str">
        <f>IFERROR(MID(VLOOKUP($B68,Seqs!$A:$B,2,0),AM68,1),"")</f>
        <v>K</v>
      </c>
      <c r="AM68" s="3">
        <v>214</v>
      </c>
      <c r="AN68" s="3" t="str">
        <f>IFERROR(MID(VLOOKUP($B68,Seqs!$A:$B,2,0),AO68,1),"")</f>
        <v>S</v>
      </c>
      <c r="AO68" s="3">
        <v>380</v>
      </c>
      <c r="AP68" s="3" t="str">
        <f>IFERROR(MID(VLOOKUP($B68,Seqs!$A:$B,2,0),AQ68,1),"")</f>
        <v>C</v>
      </c>
      <c r="AQ68" s="3">
        <v>413</v>
      </c>
      <c r="AR68" s="3" t="str">
        <f>IFERROR(MID(VLOOKUP($B68,Seqs!$A:$B,2,0),AS68,1),"")</f>
        <v>P</v>
      </c>
      <c r="AS68" s="3">
        <v>418</v>
      </c>
      <c r="AT68" s="3" t="str">
        <f>IFERROR(MID(VLOOKUP($B68,Seqs!$A:$B,2,0),AU68,1),"")</f>
        <v>C</v>
      </c>
      <c r="AU68" s="3">
        <v>443</v>
      </c>
      <c r="AV68" s="3" t="str">
        <f>IFERROR(MID(VLOOKUP($B68,Seqs!$A:$B,2,0),AW68,1),"")</f>
        <v>N</v>
      </c>
      <c r="AW68" s="3">
        <v>444</v>
      </c>
      <c r="AX68" s="3" t="str">
        <f>IFERROR(MID(VLOOKUP($B68,Seqs!$A:$B,2,0),AY68,1),"")</f>
        <v>M</v>
      </c>
      <c r="AY68" s="3">
        <v>456</v>
      </c>
      <c r="AZ68" s="77" t="str">
        <f>VLOOKUP(B68,Classification!A:D,2,0)</f>
        <v>A</v>
      </c>
      <c r="BA68" s="94" t="str">
        <f>VLOOKUP(B68,Classification!A:D,4,0)</f>
        <v>Acetylcholine(muscarinic)</v>
      </c>
      <c r="BB68" s="27" t="b">
        <f t="shared" si="224"/>
        <v>1</v>
      </c>
      <c r="BC68" s="23">
        <f t="shared" si="169"/>
        <v>257</v>
      </c>
      <c r="BD68" s="4" t="s">
        <v>23</v>
      </c>
      <c r="BE68" s="3" t="s">
        <v>1297</v>
      </c>
      <c r="BF68" s="119">
        <v>3.5</v>
      </c>
      <c r="BG68" s="49" t="s">
        <v>1384</v>
      </c>
      <c r="BH68" s="49" t="s">
        <v>1384</v>
      </c>
      <c r="BI68" s="1"/>
      <c r="BJ68" s="70" t="s">
        <v>1293</v>
      </c>
      <c r="BK68" s="57" t="s">
        <v>1293</v>
      </c>
      <c r="BL68" s="57" t="s">
        <v>1293</v>
      </c>
      <c r="BM68" s="57" t="s">
        <v>1293</v>
      </c>
      <c r="BN68" s="57" t="s">
        <v>1293</v>
      </c>
      <c r="BO68" s="57" t="s">
        <v>1293</v>
      </c>
      <c r="BP68" s="57" t="s">
        <v>1293</v>
      </c>
      <c r="BQ68" s="57" t="s">
        <v>1293</v>
      </c>
      <c r="BR68" s="57" t="s">
        <v>1293</v>
      </c>
      <c r="BS68" s="57" t="s">
        <v>1293</v>
      </c>
      <c r="BT68" s="57" t="s">
        <v>1293</v>
      </c>
      <c r="BU68" s="57" t="s">
        <v>1293</v>
      </c>
      <c r="BV68" s="70">
        <f t="shared" si="170"/>
        <v>19</v>
      </c>
      <c r="BW68" s="71">
        <f t="shared" si="171"/>
        <v>52</v>
      </c>
      <c r="BX68" s="72">
        <f t="shared" si="172"/>
        <v>56</v>
      </c>
      <c r="BY68" s="71">
        <f t="shared" si="173"/>
        <v>88</v>
      </c>
      <c r="BZ68" s="72">
        <f t="shared" si="174"/>
        <v>92</v>
      </c>
      <c r="CA68" s="71">
        <f t="shared" si="175"/>
        <v>128</v>
      </c>
      <c r="CB68" s="72">
        <f t="shared" si="176"/>
        <v>136</v>
      </c>
      <c r="CC68" s="71">
        <f t="shared" si="177"/>
        <v>176</v>
      </c>
      <c r="CD68" s="72">
        <f t="shared" si="178"/>
        <v>183</v>
      </c>
      <c r="CE68" s="71">
        <f t="shared" si="179"/>
        <v>380</v>
      </c>
      <c r="CF68" s="72">
        <f t="shared" si="180"/>
        <v>418</v>
      </c>
      <c r="CG68" s="71">
        <f t="shared" si="181"/>
        <v>444</v>
      </c>
      <c r="CH68" s="70">
        <f t="shared" si="182"/>
        <v>51</v>
      </c>
      <c r="CI68" s="71">
        <f t="shared" si="183"/>
        <v>55</v>
      </c>
      <c r="CJ68" s="72">
        <f t="shared" si="184"/>
        <v>87</v>
      </c>
      <c r="CK68" s="72">
        <f t="shared" si="185"/>
        <v>91</v>
      </c>
      <c r="CL68" s="72">
        <f t="shared" si="186"/>
        <v>127</v>
      </c>
      <c r="CM68" s="72">
        <f t="shared" si="187"/>
        <v>135</v>
      </c>
      <c r="CN68" s="72">
        <f t="shared" si="188"/>
        <v>167</v>
      </c>
      <c r="CO68" s="72">
        <f t="shared" si="189"/>
        <v>178</v>
      </c>
      <c r="CP68" s="72">
        <f t="shared" si="190"/>
        <v>214</v>
      </c>
      <c r="CQ68" s="72">
        <f t="shared" si="191"/>
        <v>413</v>
      </c>
      <c r="CR68" s="72">
        <f t="shared" si="192"/>
        <v>443</v>
      </c>
      <c r="CS68" s="72">
        <f t="shared" si="193"/>
        <v>456</v>
      </c>
      <c r="CT68" s="23">
        <f t="shared" si="194"/>
        <v>1</v>
      </c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/>
      <c r="RD68" s="1"/>
      <c r="RE68" s="1"/>
      <c r="RF68" s="1"/>
      <c r="RG68" s="1"/>
      <c r="RH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S68" s="1"/>
      <c r="RT68" s="1"/>
      <c r="RU68" s="1"/>
      <c r="RV68" s="1"/>
      <c r="RW68" s="1"/>
      <c r="RX68" s="1"/>
      <c r="RY68" s="1"/>
      <c r="RZ68" s="1"/>
      <c r="SA68" s="1"/>
      <c r="SB68" s="1"/>
      <c r="SC68" s="1"/>
      <c r="SD68" s="1"/>
      <c r="SE68" s="1"/>
      <c r="SF68" s="1"/>
      <c r="SG68" s="1"/>
      <c r="SH68" s="1"/>
      <c r="SI68" s="1"/>
      <c r="SJ68" s="1"/>
      <c r="SK68" s="1"/>
      <c r="SL68" s="1"/>
      <c r="SM68" s="1"/>
      <c r="SN68" s="1"/>
      <c r="SO68" s="1"/>
      <c r="SP68" s="1"/>
      <c r="SQ68" s="1"/>
      <c r="SR68" s="1"/>
      <c r="SS68" s="1"/>
      <c r="ST68" s="1"/>
      <c r="SU68" s="1"/>
      <c r="SV68" s="1"/>
      <c r="SW68" s="1"/>
      <c r="SX68" s="1"/>
      <c r="SY68" s="1"/>
      <c r="SZ68" s="1"/>
      <c r="TA68" s="1"/>
      <c r="TB68" s="1"/>
      <c r="TC68" s="1"/>
      <c r="TD68" s="1"/>
      <c r="TE68" s="1"/>
      <c r="TF68" s="1"/>
      <c r="TG68" s="1"/>
      <c r="TH68" s="1"/>
      <c r="TI68" s="1"/>
      <c r="TJ68" s="1"/>
      <c r="TK68" s="1"/>
      <c r="TL68" s="1"/>
      <c r="TM68" s="1"/>
      <c r="TN68" s="1"/>
      <c r="TO68" s="1"/>
      <c r="TP68" s="1"/>
      <c r="TQ68" s="1"/>
      <c r="TR68" s="1"/>
      <c r="TS68" s="1"/>
      <c r="TT68" s="1"/>
      <c r="TU68" s="1"/>
      <c r="TV68" s="1"/>
      <c r="TW68" s="1"/>
      <c r="TX68" s="1"/>
      <c r="TY68" s="1"/>
      <c r="TZ68" s="1"/>
      <c r="UA68" s="1"/>
      <c r="UB68" s="1"/>
      <c r="UC68" s="1"/>
      <c r="UD68" s="1"/>
      <c r="UE68" s="1"/>
      <c r="UF68" s="1"/>
      <c r="UG68" s="1"/>
      <c r="UH68" s="1"/>
      <c r="UI68" s="1"/>
      <c r="UJ68" s="1"/>
      <c r="UK68" s="1"/>
      <c r="UL68" s="1"/>
      <c r="UM68" s="1"/>
      <c r="UN68" s="1"/>
      <c r="UO68" s="1"/>
      <c r="UP68" s="1"/>
      <c r="UQ68" s="1"/>
      <c r="UR68" s="1"/>
      <c r="US68" s="1"/>
      <c r="UT68" s="1"/>
      <c r="UU68" s="1"/>
      <c r="UV68" s="1"/>
      <c r="UW68" s="1"/>
      <c r="UX68" s="1"/>
      <c r="UY68" s="1"/>
      <c r="UZ68" s="1"/>
      <c r="VA68" s="1"/>
      <c r="VB68" s="1"/>
      <c r="VC68" s="1"/>
      <c r="VD68" s="1"/>
      <c r="VE68" s="1"/>
      <c r="VF68" s="1"/>
      <c r="VG68" s="1"/>
      <c r="VH68" s="1"/>
      <c r="VI68" s="1"/>
      <c r="VJ68" s="1"/>
      <c r="VK68" s="1"/>
      <c r="VL68" s="1"/>
      <c r="VM68" s="1"/>
      <c r="VN68" s="1"/>
      <c r="VO68" s="1"/>
      <c r="VP68" s="1"/>
      <c r="VQ68" s="1"/>
      <c r="VR68" s="1"/>
      <c r="VS68" s="1"/>
      <c r="VT68" s="1"/>
      <c r="VU68" s="1"/>
      <c r="VV68" s="1"/>
      <c r="VW68" s="1"/>
      <c r="VX68" s="1"/>
      <c r="VY68" s="1"/>
      <c r="VZ68" s="1"/>
      <c r="WA68" s="1"/>
      <c r="WB68" s="1"/>
      <c r="WC68" s="1"/>
      <c r="WD68" s="1"/>
      <c r="WE68" s="1"/>
      <c r="WF68" s="1"/>
      <c r="WG68" s="1"/>
      <c r="WH68" s="1"/>
      <c r="WI68" s="1"/>
      <c r="WJ68" s="1"/>
      <c r="WK68" s="1"/>
      <c r="WL68" s="1"/>
      <c r="WM68" s="1"/>
      <c r="WN68" s="1"/>
      <c r="WO68" s="1"/>
      <c r="WP68" s="1"/>
      <c r="WQ68" s="1"/>
      <c r="WR68" s="1"/>
      <c r="WS68" s="1"/>
      <c r="WT68" s="1"/>
      <c r="WU68" s="1"/>
      <c r="WV68" s="1"/>
      <c r="WW68" s="1"/>
      <c r="WX68" s="1"/>
      <c r="WY68" s="1"/>
      <c r="WZ68" s="1"/>
      <c r="XA68" s="1"/>
      <c r="XB68" s="1"/>
      <c r="XC68" s="1"/>
      <c r="XD68" s="1"/>
      <c r="XE68" s="1"/>
      <c r="XF68" s="1"/>
      <c r="XG68" s="1"/>
      <c r="XH68" s="1"/>
      <c r="XI68" s="1"/>
      <c r="XJ68" s="1"/>
      <c r="XK68" s="1"/>
      <c r="XL68" s="1"/>
      <c r="XM68" s="1"/>
      <c r="XN68" s="1"/>
      <c r="XO68" s="1"/>
      <c r="XP68" s="1"/>
      <c r="XQ68" s="1"/>
      <c r="XR68" s="1"/>
      <c r="XS68" s="1"/>
      <c r="XT68" s="1"/>
      <c r="XU68" s="1"/>
      <c r="XV68" s="1"/>
      <c r="XW68" s="1"/>
      <c r="XX68" s="1"/>
      <c r="XY68" s="1"/>
      <c r="XZ68" s="1"/>
      <c r="YA68" s="1"/>
      <c r="YB68" s="1"/>
      <c r="YC68" s="1"/>
      <c r="YD68" s="1"/>
      <c r="YE68" s="1"/>
      <c r="YF68" s="1"/>
      <c r="YG68" s="1"/>
      <c r="YH68" s="1"/>
      <c r="YI68" s="1"/>
      <c r="YJ68" s="1"/>
      <c r="YK68" s="1"/>
      <c r="YL68" s="1"/>
      <c r="YM68" s="1"/>
      <c r="YN68" s="1"/>
      <c r="YO68" s="1"/>
      <c r="YP68" s="1"/>
      <c r="YQ68" s="1"/>
      <c r="YR68" s="1"/>
      <c r="YS68" s="1"/>
      <c r="YT68" s="1"/>
      <c r="YU68" s="1"/>
      <c r="YV68" s="1"/>
      <c r="YW68" s="1"/>
      <c r="YX68" s="1"/>
      <c r="YY68" s="1"/>
      <c r="YZ68" s="1"/>
      <c r="ZA68" s="1"/>
      <c r="ZB68" s="1"/>
      <c r="ZC68" s="1"/>
      <c r="ZD68" s="1"/>
      <c r="ZE68" s="1"/>
      <c r="ZF68" s="1"/>
      <c r="ZG68" s="1"/>
      <c r="ZH68" s="1"/>
      <c r="ZI68" s="1"/>
      <c r="ZJ68" s="1"/>
      <c r="ZK68" s="1"/>
      <c r="ZL68" s="1"/>
      <c r="ZM68" s="1"/>
      <c r="ZN68" s="1"/>
      <c r="ZO68" s="1"/>
      <c r="ZP68" s="1"/>
      <c r="ZQ68" s="1"/>
      <c r="ZR68" s="1"/>
      <c r="ZS68" s="1"/>
      <c r="ZT68" s="1"/>
      <c r="ZU68" s="1"/>
      <c r="ZV68" s="1"/>
      <c r="ZW68" s="1"/>
      <c r="ZX68" s="1"/>
      <c r="ZY68" s="1"/>
      <c r="ZZ68" s="1"/>
      <c r="AAA68" s="1"/>
      <c r="AAB68" s="1"/>
      <c r="AAC68" s="1"/>
      <c r="AAD68" s="1"/>
      <c r="AAE68" s="1"/>
      <c r="AAF68" s="1"/>
      <c r="AAG68" s="1"/>
      <c r="AAH68" s="1"/>
      <c r="AAI68" s="1"/>
      <c r="AAJ68" s="1"/>
      <c r="AAK68" s="1"/>
      <c r="AAL68" s="1"/>
      <c r="AAM68" s="1"/>
      <c r="AAN68" s="1"/>
      <c r="AAO68" s="1"/>
      <c r="AAP68" s="1"/>
      <c r="AAQ68" s="1"/>
      <c r="AAR68" s="1"/>
      <c r="AAS68" s="1"/>
      <c r="AAT68" s="1"/>
      <c r="AAU68" s="1"/>
      <c r="AAV68" s="1"/>
      <c r="AAW68" s="1"/>
      <c r="AAX68" s="1"/>
      <c r="AAY68" s="1"/>
      <c r="AAZ68" s="1"/>
      <c r="ABA68" s="1"/>
      <c r="ABB68" s="1"/>
      <c r="ABC68" s="1"/>
      <c r="ABD68" s="1"/>
      <c r="ABE68" s="1"/>
      <c r="ABF68" s="1"/>
      <c r="ABG68" s="1"/>
      <c r="ABH68" s="1"/>
      <c r="ABI68" s="1"/>
      <c r="ABJ68" s="1"/>
      <c r="ABK68" s="1"/>
      <c r="ABL68" s="1"/>
      <c r="ABM68" s="1"/>
      <c r="ABN68" s="1"/>
      <c r="ABO68" s="1"/>
      <c r="ABP68" s="1"/>
      <c r="ABQ68" s="1"/>
      <c r="ABR68" s="1"/>
      <c r="ABS68" s="1"/>
      <c r="ABT68" s="1"/>
      <c r="ABU68" s="1"/>
      <c r="ABV68" s="1"/>
      <c r="ABW68" s="1"/>
      <c r="ABX68" s="1"/>
      <c r="ABY68" s="1"/>
      <c r="ABZ68" s="1"/>
      <c r="ACA68" s="1"/>
      <c r="ACB68" s="1"/>
      <c r="ACC68" s="1"/>
      <c r="ACD68" s="1"/>
      <c r="ACE68" s="1"/>
      <c r="ACF68" s="1"/>
      <c r="ACG68" s="1"/>
      <c r="ACH68" s="1"/>
      <c r="ACI68" s="1"/>
      <c r="ACJ68" s="1"/>
      <c r="ACK68" s="1"/>
      <c r="ACL68" s="1"/>
      <c r="ACM68" s="1"/>
      <c r="ACN68" s="1"/>
      <c r="ACO68" s="1"/>
      <c r="ACP68" s="1"/>
      <c r="ACQ68" s="1"/>
      <c r="ACR68" s="1"/>
      <c r="ACS68" s="1"/>
      <c r="ACT68" s="1"/>
      <c r="ACU68" s="1"/>
      <c r="ACV68" s="1"/>
      <c r="ACW68" s="1"/>
      <c r="ACX68" s="1"/>
      <c r="ACY68" s="1"/>
      <c r="ACZ68" s="1"/>
      <c r="ADA68" s="1"/>
      <c r="ADB68" s="1"/>
      <c r="ADC68" s="1"/>
      <c r="ADD68" s="1"/>
      <c r="ADE68" s="1"/>
      <c r="ADF68" s="1"/>
      <c r="ADG68" s="1"/>
      <c r="ADH68" s="1"/>
      <c r="ADI68" s="1"/>
      <c r="ADJ68" s="1"/>
      <c r="ADK68" s="1"/>
      <c r="ADL68" s="1"/>
      <c r="ADM68" s="1"/>
      <c r="ADN68" s="1"/>
      <c r="ADO68" s="1"/>
      <c r="ADP68" s="1"/>
      <c r="ADQ68" s="1"/>
      <c r="ADR68" s="1"/>
      <c r="ADS68" s="1"/>
      <c r="ADT68" s="1"/>
      <c r="ADU68" s="1"/>
      <c r="ADV68" s="1"/>
      <c r="ADW68" s="1"/>
      <c r="ADX68" s="1"/>
      <c r="ADY68" s="1"/>
      <c r="ADZ68" s="1"/>
      <c r="AEA68" s="1"/>
      <c r="AEB68" s="1"/>
      <c r="AEC68" s="1"/>
      <c r="AED68" s="1"/>
      <c r="AEE68" s="1"/>
      <c r="AEF68" s="1"/>
      <c r="AEG68" s="1"/>
      <c r="AEH68" s="1"/>
      <c r="AEI68" s="1"/>
      <c r="AEJ68" s="1"/>
      <c r="AEK68" s="1"/>
      <c r="AEL68" s="1"/>
      <c r="AEM68" s="1"/>
      <c r="AEN68" s="1"/>
      <c r="AEO68" s="1"/>
      <c r="AEP68" s="1"/>
      <c r="AEQ68" s="1"/>
      <c r="AER68" s="1"/>
      <c r="AES68" s="1"/>
      <c r="AET68" s="1"/>
      <c r="AEU68" s="1"/>
      <c r="AEV68" s="1"/>
      <c r="AEW68" s="1"/>
      <c r="AEX68" s="1"/>
      <c r="AEY68" s="1"/>
      <c r="AEZ68" s="1"/>
      <c r="AFA68" s="1"/>
      <c r="AFB68" s="1"/>
      <c r="AFC68" s="1"/>
      <c r="AFD68" s="1"/>
      <c r="AFE68" s="1"/>
      <c r="AFF68" s="1"/>
      <c r="AFG68" s="1"/>
      <c r="AFH68" s="1"/>
      <c r="AFI68" s="1"/>
      <c r="AFJ68" s="1"/>
      <c r="AFK68" s="1"/>
      <c r="AFL68" s="1"/>
      <c r="AFM68" s="1"/>
      <c r="AFN68" s="1"/>
      <c r="AFO68" s="1"/>
      <c r="AFP68" s="1"/>
      <c r="AFQ68" s="1"/>
      <c r="AFR68" s="1"/>
      <c r="AFS68" s="1"/>
      <c r="AFT68" s="1"/>
      <c r="AFU68" s="1"/>
      <c r="AFV68" s="1"/>
      <c r="AFW68" s="1"/>
      <c r="AFX68" s="1"/>
      <c r="AFY68" s="1"/>
      <c r="AFZ68" s="1"/>
      <c r="AGA68" s="1"/>
      <c r="AGB68" s="1"/>
      <c r="AGC68" s="1"/>
      <c r="AGD68" s="1"/>
      <c r="AGE68" s="1"/>
      <c r="AGF68" s="1"/>
      <c r="AGG68" s="1"/>
      <c r="AGH68" s="1"/>
      <c r="AGI68" s="1"/>
      <c r="AGJ68" s="1"/>
      <c r="AGK68" s="1"/>
      <c r="AGL68" s="1"/>
      <c r="AGM68" s="1"/>
      <c r="AGN68" s="1"/>
      <c r="AGO68" s="1"/>
      <c r="AGP68" s="1"/>
      <c r="AGQ68" s="1"/>
      <c r="AGR68" s="1"/>
      <c r="AGS68" s="1"/>
      <c r="AGT68" s="1"/>
      <c r="AGU68" s="1"/>
      <c r="AGV68" s="1"/>
      <c r="AGW68" s="1"/>
      <c r="AGX68" s="1"/>
      <c r="AGY68" s="1"/>
      <c r="AGZ68" s="1"/>
      <c r="AHA68" s="1"/>
      <c r="AHB68" s="1"/>
      <c r="AHC68" s="1"/>
      <c r="AHD68" s="1"/>
      <c r="AHE68" s="1"/>
      <c r="AHF68" s="1"/>
      <c r="AHG68" s="1"/>
      <c r="AHH68" s="1"/>
      <c r="AHI68" s="1"/>
      <c r="AHJ68" s="1"/>
      <c r="AHK68" s="1"/>
      <c r="AHL68" s="1"/>
      <c r="AHM68" s="1"/>
      <c r="AHN68" s="1"/>
      <c r="AHO68" s="1"/>
      <c r="AHP68" s="1"/>
      <c r="AHQ68" s="1"/>
      <c r="AHR68" s="1"/>
      <c r="AHS68" s="1"/>
      <c r="AHT68" s="1"/>
      <c r="AHU68" s="1"/>
      <c r="AHV68" s="1"/>
      <c r="AHW68" s="1"/>
      <c r="AHX68" s="1"/>
      <c r="AHY68" s="1"/>
      <c r="AHZ68" s="1"/>
      <c r="AIA68" s="1"/>
      <c r="AIB68" s="1"/>
      <c r="AIC68" s="1"/>
      <c r="AID68" s="1"/>
      <c r="AIE68" s="1"/>
      <c r="AIF68" s="1"/>
      <c r="AIG68" s="1"/>
      <c r="AIH68" s="1"/>
      <c r="AII68" s="1"/>
      <c r="AIJ68" s="1"/>
      <c r="AIK68" s="1"/>
      <c r="AIL68" s="1"/>
      <c r="AIM68" s="1"/>
      <c r="AIN68" s="1"/>
      <c r="AIO68" s="1"/>
      <c r="AIP68" s="1"/>
      <c r="AIQ68" s="1"/>
      <c r="AIR68" s="1"/>
      <c r="AIS68" s="1"/>
      <c r="AIT68" s="1"/>
      <c r="AIU68" s="1"/>
      <c r="AIV68" s="1"/>
      <c r="AIW68" s="1"/>
      <c r="AIX68" s="1"/>
      <c r="AIY68" s="1"/>
      <c r="AIZ68" s="1"/>
      <c r="AJA68" s="1"/>
      <c r="AJB68" s="1"/>
      <c r="AJC68" s="1"/>
      <c r="AJD68" s="1"/>
      <c r="AJE68" s="1"/>
      <c r="AJF68" s="1"/>
      <c r="AJG68" s="1"/>
      <c r="AJH68" s="1"/>
      <c r="AJI68" s="1"/>
      <c r="AJJ68" s="1"/>
      <c r="AJK68" s="1"/>
      <c r="AJL68" s="1"/>
      <c r="AJM68" s="1"/>
      <c r="AJN68" s="1"/>
      <c r="AJO68" s="1"/>
      <c r="AJP68" s="1"/>
      <c r="AJQ68" s="1"/>
      <c r="AJR68" s="1"/>
      <c r="AJS68" s="1"/>
      <c r="AJT68" s="1"/>
      <c r="AJU68" s="1"/>
      <c r="AJV68" s="1"/>
      <c r="AJW68" s="1"/>
      <c r="AJX68" s="1"/>
      <c r="AJY68" s="1"/>
      <c r="AJZ68" s="1"/>
      <c r="AKA68" s="1"/>
      <c r="AKB68" s="1"/>
      <c r="AKC68" s="1"/>
      <c r="AKD68" s="1"/>
      <c r="AKE68" s="1"/>
      <c r="AKF68" s="1"/>
      <c r="AKG68" s="1"/>
      <c r="AKH68" s="1"/>
      <c r="AKI68" s="1"/>
      <c r="AKJ68" s="1"/>
      <c r="AKK68" s="1"/>
      <c r="AKL68" s="1"/>
      <c r="AKM68" s="1"/>
      <c r="AKN68" s="1"/>
      <c r="AKO68" s="1"/>
      <c r="AKP68" s="1"/>
      <c r="AKQ68" s="1"/>
      <c r="AKR68" s="1"/>
      <c r="AKS68" s="1"/>
      <c r="AKT68" s="1"/>
      <c r="AKU68" s="1"/>
      <c r="AKV68" s="1"/>
      <c r="AKW68" s="1"/>
      <c r="AKX68" s="1"/>
      <c r="AKY68" s="1"/>
      <c r="AKZ68" s="1"/>
      <c r="ALA68" s="1"/>
      <c r="ALB68" s="1"/>
      <c r="ALC68" s="1"/>
      <c r="ALD68" s="1"/>
      <c r="ALE68" s="1"/>
      <c r="ALF68" s="1"/>
      <c r="ALG68" s="1"/>
      <c r="ALH68" s="1"/>
      <c r="ALI68" s="1"/>
      <c r="ALJ68" s="1"/>
      <c r="ALK68" s="1"/>
      <c r="ALL68" s="1"/>
      <c r="ALM68" s="1"/>
      <c r="ALN68" s="1"/>
      <c r="ALO68" s="1"/>
      <c r="ALP68" s="1"/>
      <c r="ALQ68" s="1"/>
      <c r="ALR68" s="1"/>
      <c r="ALS68" s="1"/>
      <c r="ALT68" s="1"/>
      <c r="ALU68" s="1"/>
      <c r="ALV68" s="1"/>
      <c r="ALW68" s="1"/>
      <c r="ALX68" s="1"/>
      <c r="ALY68" s="1"/>
      <c r="ALZ68" s="1"/>
      <c r="AMA68" s="1"/>
      <c r="AMB68" s="1"/>
      <c r="AMC68" s="1"/>
      <c r="AMD68" s="1"/>
      <c r="AME68" s="1"/>
      <c r="AMF68" s="1"/>
      <c r="AMG68" s="1"/>
      <c r="AMH68" s="1"/>
      <c r="AMI68" s="1"/>
      <c r="AMJ68" s="1"/>
      <c r="AMK68" s="1"/>
      <c r="AML68" s="1"/>
      <c r="AMM68" s="1"/>
      <c r="AMN68" s="1"/>
      <c r="AMO68" s="1"/>
    </row>
    <row r="69" spans="1:1029" x14ac:dyDescent="0.2">
      <c r="A69" s="3" t="str">
        <f t="shared" si="223"/>
        <v>acm2_human_4MQT</v>
      </c>
      <c r="B69" s="3" t="s">
        <v>147</v>
      </c>
      <c r="C69" s="3" t="s">
        <v>1047</v>
      </c>
      <c r="D69" s="3" t="str">
        <f>IFERROR(MID(VLOOKUP($B69,Seqs!$A:$B,2,0),E69,1),"")</f>
        <v>K</v>
      </c>
      <c r="E69" s="3">
        <v>19</v>
      </c>
      <c r="F69" s="3" t="str">
        <f>IFERROR(MID(VLOOKUP($B69,Seqs!$A:$B,2,0),G69,1),"")</f>
        <v>N</v>
      </c>
      <c r="G69" s="3">
        <v>51</v>
      </c>
      <c r="H69" s="3" t="str">
        <f>IFERROR(MID(VLOOKUP($B69,Seqs!$A:$B,2,0),I69,1),"")</f>
        <v>R</v>
      </c>
      <c r="I69" s="23">
        <v>52</v>
      </c>
      <c r="J69" s="3" t="str">
        <f>IFERROR(MID(VLOOKUP($B69,Seqs!$A:$B,2,0),K69,1),"")</f>
        <v>Q</v>
      </c>
      <c r="K69" s="23">
        <v>55</v>
      </c>
      <c r="L69" s="3" t="str">
        <f>IFERROR(MID(VLOOKUP($B69,Seqs!$A:$B,2,0),M69,1),"")</f>
        <v>T</v>
      </c>
      <c r="M69" s="3">
        <v>56</v>
      </c>
      <c r="N69" s="3" t="str">
        <f>IFERROR(MID(VLOOKUP($B69,Seqs!$A:$B,2,0),O69,1),"")</f>
        <v>G</v>
      </c>
      <c r="O69" s="3">
        <v>87</v>
      </c>
      <c r="P69" s="3" t="str">
        <f>IFERROR(MID(VLOOKUP($B69,Seqs!$A:$B,2,0),Q69,1),"")</f>
        <v>Y</v>
      </c>
      <c r="Q69" s="3">
        <v>88</v>
      </c>
      <c r="R69" s="3" t="str">
        <f>IFERROR(MID(VLOOKUP($B69,Seqs!$A:$B,2,0),S69,1),"")</f>
        <v>L</v>
      </c>
      <c r="S69" s="3">
        <v>91</v>
      </c>
      <c r="T69" s="3" t="str">
        <f>IFERROR(MID(VLOOKUP($B69,Seqs!$A:$B,2,0),U69,1),"")</f>
        <v>G</v>
      </c>
      <c r="U69" s="3">
        <v>92</v>
      </c>
      <c r="V69" s="3" t="str">
        <f>IFERROR(MID(VLOOKUP($B69,Seqs!$A:$B,2,0),W69,1),"")</f>
        <v>K</v>
      </c>
      <c r="W69" s="3">
        <v>127</v>
      </c>
      <c r="X69" s="3" t="str">
        <f>IFERROR(MID(VLOOKUP($B69,Seqs!$A:$B,2,0),Y69,1),"")</f>
        <v>P</v>
      </c>
      <c r="Y69" s="3">
        <v>128</v>
      </c>
      <c r="Z69" s="3" t="str">
        <f>IFERROR(MID(VLOOKUP($B69,Seqs!$A:$B,2,0),AA69,1),"")</f>
        <v>R</v>
      </c>
      <c r="AA69" s="3">
        <v>135</v>
      </c>
      <c r="AB69" s="3" t="str">
        <f>IFERROR(MID(VLOOKUP($B69,Seqs!$A:$B,2,0),AC69,1),"")</f>
        <v>T</v>
      </c>
      <c r="AC69" s="9">
        <v>136</v>
      </c>
      <c r="AD69" s="3" t="str">
        <f>IFERROR(MID(VLOOKUP($B69,Seqs!$A:$B,2,0),AE69,1),"")</f>
        <v>G</v>
      </c>
      <c r="AE69" s="3">
        <v>167</v>
      </c>
      <c r="AF69" s="3" t="str">
        <f>IFERROR(MID(VLOOKUP($B69,Seqs!$A:$B,2,0),AG69,1),"")</f>
        <v>C</v>
      </c>
      <c r="AG69" s="3">
        <v>176</v>
      </c>
      <c r="AH69" s="3" t="str">
        <f>IFERROR(MID(VLOOKUP($B69,Seqs!$A:$B,2,0),AI69,1),"")</f>
        <v>I</v>
      </c>
      <c r="AI69" s="3">
        <v>178</v>
      </c>
      <c r="AJ69" s="3" t="str">
        <f>IFERROR(MID(VLOOKUP($B69,Seqs!$A:$B,2,0),AK69,1),"")</f>
        <v>N</v>
      </c>
      <c r="AK69" s="3">
        <v>183</v>
      </c>
      <c r="AL69" s="3" t="str">
        <f>IFERROR(MID(VLOOKUP($B69,Seqs!$A:$B,2,0),AM69,1),"")</f>
        <v>S</v>
      </c>
      <c r="AM69" s="3">
        <v>215</v>
      </c>
      <c r="AN69" s="3" t="str">
        <f>IFERROR(MID(VLOOKUP($B69,Seqs!$A:$B,2,0),AO69,1),"")</f>
        <v>P</v>
      </c>
      <c r="AO69" s="3">
        <v>379</v>
      </c>
      <c r="AP69" s="3" t="str">
        <f>IFERROR(MID(VLOOKUP($B69,Seqs!$A:$B,2,0),AQ69,1),"")</f>
        <v>C</v>
      </c>
      <c r="AQ69" s="3">
        <v>413</v>
      </c>
      <c r="AR69" s="3" t="str">
        <f>IFERROR(MID(VLOOKUP($B69,Seqs!$A:$B,2,0),AS69,1),"")</f>
        <v>P</v>
      </c>
      <c r="AS69" s="3">
        <v>418</v>
      </c>
      <c r="AT69" s="3" t="str">
        <f>IFERROR(MID(VLOOKUP($B69,Seqs!$A:$B,2,0),AU69,1),"")</f>
        <v>C</v>
      </c>
      <c r="AU69" s="3">
        <v>443</v>
      </c>
      <c r="AV69" s="3" t="str">
        <f>IFERROR(MID(VLOOKUP($B69,Seqs!$A:$B,2,0),AW69,1),"")</f>
        <v>N</v>
      </c>
      <c r="AW69" s="3">
        <v>444</v>
      </c>
      <c r="AX69" s="3" t="str">
        <f>IFERROR(MID(VLOOKUP($B69,Seqs!$A:$B,2,0),AY69,1),"")</f>
        <v>C</v>
      </c>
      <c r="AY69" s="3">
        <v>457</v>
      </c>
      <c r="AZ69" s="77" t="str">
        <f>VLOOKUP(B69,Classification!A:D,2,0)</f>
        <v>A</v>
      </c>
      <c r="BA69" s="94" t="str">
        <f>VLOOKUP(B69,Classification!A:D,4,0)</f>
        <v>Acetylcholine(muscarinic)</v>
      </c>
      <c r="BB69" s="27" t="b">
        <f t="shared" si="224"/>
        <v>1</v>
      </c>
      <c r="BC69" s="23">
        <f t="shared" si="169"/>
        <v>260</v>
      </c>
      <c r="BD69" s="4" t="s">
        <v>1382</v>
      </c>
      <c r="BE69" s="3" t="s">
        <v>1297</v>
      </c>
      <c r="BF69" s="119">
        <v>3.7</v>
      </c>
      <c r="BG69" s="49" t="s">
        <v>1384</v>
      </c>
      <c r="BH69" s="49" t="s">
        <v>1384</v>
      </c>
      <c r="BI69" s="1"/>
      <c r="BJ69" s="70" t="s">
        <v>1293</v>
      </c>
      <c r="BK69" s="57" t="s">
        <v>1293</v>
      </c>
      <c r="BL69" s="57" t="s">
        <v>1293</v>
      </c>
      <c r="BM69" s="57" t="s">
        <v>1293</v>
      </c>
      <c r="BN69" s="57" t="s">
        <v>1293</v>
      </c>
      <c r="BO69" s="57" t="s">
        <v>1293</v>
      </c>
      <c r="BP69" s="57" t="s">
        <v>1293</v>
      </c>
      <c r="BQ69" s="57" t="s">
        <v>1293</v>
      </c>
      <c r="BR69" s="57" t="s">
        <v>1293</v>
      </c>
      <c r="BS69" s="57" t="s">
        <v>1293</v>
      </c>
      <c r="BT69" s="57" t="s">
        <v>1293</v>
      </c>
      <c r="BU69" s="57" t="s">
        <v>1293</v>
      </c>
      <c r="BV69" s="70">
        <f t="shared" si="170"/>
        <v>19</v>
      </c>
      <c r="BW69" s="71">
        <f t="shared" si="171"/>
        <v>52</v>
      </c>
      <c r="BX69" s="72">
        <f t="shared" si="172"/>
        <v>56</v>
      </c>
      <c r="BY69" s="71">
        <f t="shared" si="173"/>
        <v>88</v>
      </c>
      <c r="BZ69" s="72">
        <f t="shared" si="174"/>
        <v>92</v>
      </c>
      <c r="CA69" s="71">
        <f t="shared" si="175"/>
        <v>128</v>
      </c>
      <c r="CB69" s="72">
        <f t="shared" si="176"/>
        <v>136</v>
      </c>
      <c r="CC69" s="71">
        <f t="shared" si="177"/>
        <v>176</v>
      </c>
      <c r="CD69" s="72">
        <f t="shared" si="178"/>
        <v>183</v>
      </c>
      <c r="CE69" s="71">
        <f t="shared" si="179"/>
        <v>379</v>
      </c>
      <c r="CF69" s="72">
        <f t="shared" si="180"/>
        <v>418</v>
      </c>
      <c r="CG69" s="71">
        <f t="shared" si="181"/>
        <v>444</v>
      </c>
      <c r="CH69" s="70">
        <f t="shared" si="182"/>
        <v>51</v>
      </c>
      <c r="CI69" s="71">
        <f t="shared" si="183"/>
        <v>55</v>
      </c>
      <c r="CJ69" s="72">
        <f t="shared" si="184"/>
        <v>87</v>
      </c>
      <c r="CK69" s="72">
        <f t="shared" si="185"/>
        <v>91</v>
      </c>
      <c r="CL69" s="72">
        <f t="shared" si="186"/>
        <v>127</v>
      </c>
      <c r="CM69" s="72">
        <f t="shared" si="187"/>
        <v>135</v>
      </c>
      <c r="CN69" s="72">
        <f t="shared" si="188"/>
        <v>167</v>
      </c>
      <c r="CO69" s="72">
        <f t="shared" si="189"/>
        <v>178</v>
      </c>
      <c r="CP69" s="72">
        <f t="shared" si="190"/>
        <v>215</v>
      </c>
      <c r="CQ69" s="72">
        <f t="shared" si="191"/>
        <v>413</v>
      </c>
      <c r="CR69" s="72">
        <f t="shared" si="192"/>
        <v>443</v>
      </c>
      <c r="CS69" s="72">
        <f t="shared" si="193"/>
        <v>457</v>
      </c>
      <c r="CT69" s="23">
        <f t="shared" si="194"/>
        <v>1</v>
      </c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  <c r="OK69" s="1"/>
      <c r="OL69" s="1"/>
      <c r="OM69" s="1"/>
      <c r="ON69" s="1"/>
      <c r="OO69" s="1"/>
      <c r="OP69" s="1"/>
      <c r="OQ69" s="1"/>
      <c r="OR69" s="1"/>
      <c r="OS69" s="1"/>
      <c r="OT69" s="1"/>
      <c r="OU69" s="1"/>
      <c r="OV69" s="1"/>
      <c r="OW69" s="1"/>
      <c r="OX69" s="1"/>
      <c r="OY69" s="1"/>
      <c r="OZ69" s="1"/>
      <c r="PA69" s="1"/>
      <c r="PB69" s="1"/>
      <c r="PC69" s="1"/>
      <c r="PD69" s="1"/>
      <c r="PE69" s="1"/>
      <c r="PF69" s="1"/>
      <c r="PG69" s="1"/>
      <c r="PH69" s="1"/>
      <c r="PI69" s="1"/>
      <c r="PJ69" s="1"/>
      <c r="PK69" s="1"/>
      <c r="PL69" s="1"/>
      <c r="PM69" s="1"/>
      <c r="PN69" s="1"/>
      <c r="PO69" s="1"/>
      <c r="PP69" s="1"/>
      <c r="PQ69" s="1"/>
      <c r="PR69" s="1"/>
      <c r="PS69" s="1"/>
      <c r="PT69" s="1"/>
      <c r="PU69" s="1"/>
      <c r="PV69" s="1"/>
      <c r="PW69" s="1"/>
      <c r="PX69" s="1"/>
      <c r="PY69" s="1"/>
      <c r="PZ69" s="1"/>
      <c r="QA69" s="1"/>
      <c r="QB69" s="1"/>
      <c r="QC69" s="1"/>
      <c r="QD69" s="1"/>
      <c r="QE69" s="1"/>
      <c r="QF69" s="1"/>
      <c r="QG69" s="1"/>
      <c r="QH69" s="1"/>
      <c r="QI69" s="1"/>
      <c r="QJ69" s="1"/>
      <c r="QK69" s="1"/>
      <c r="QL69" s="1"/>
      <c r="QM69" s="1"/>
      <c r="QN69" s="1"/>
      <c r="QO69" s="1"/>
      <c r="QP69" s="1"/>
      <c r="QQ69" s="1"/>
      <c r="QR69" s="1"/>
      <c r="QS69" s="1"/>
      <c r="QT69" s="1"/>
      <c r="QU69" s="1"/>
      <c r="QV69" s="1"/>
      <c r="QW69" s="1"/>
      <c r="QX69" s="1"/>
      <c r="QY69" s="1"/>
      <c r="QZ69" s="1"/>
      <c r="RA69" s="1"/>
      <c r="RB69" s="1"/>
      <c r="RC69" s="1"/>
      <c r="RD69" s="1"/>
      <c r="RE69" s="1"/>
      <c r="RF69" s="1"/>
      <c r="RG69" s="1"/>
      <c r="RH69" s="1"/>
      <c r="RI69" s="1"/>
      <c r="RJ69" s="1"/>
      <c r="RK69" s="1"/>
      <c r="RL69" s="1"/>
      <c r="RM69" s="1"/>
      <c r="RN69" s="1"/>
      <c r="RO69" s="1"/>
      <c r="RP69" s="1"/>
      <c r="RQ69" s="1"/>
      <c r="RR69" s="1"/>
      <c r="RS69" s="1"/>
      <c r="RT69" s="1"/>
      <c r="RU69" s="1"/>
      <c r="RV69" s="1"/>
      <c r="RW69" s="1"/>
      <c r="RX69" s="1"/>
      <c r="RY69" s="1"/>
      <c r="RZ69" s="1"/>
      <c r="SA69" s="1"/>
      <c r="SB69" s="1"/>
      <c r="SC69" s="1"/>
      <c r="SD69" s="1"/>
      <c r="SE69" s="1"/>
      <c r="SF69" s="1"/>
      <c r="SG69" s="1"/>
      <c r="SH69" s="1"/>
      <c r="SI69" s="1"/>
      <c r="SJ69" s="1"/>
      <c r="SK69" s="1"/>
      <c r="SL69" s="1"/>
      <c r="SM69" s="1"/>
      <c r="SN69" s="1"/>
      <c r="SO69" s="1"/>
      <c r="SP69" s="1"/>
      <c r="SQ69" s="1"/>
      <c r="SR69" s="1"/>
      <c r="SS69" s="1"/>
      <c r="ST69" s="1"/>
      <c r="SU69" s="1"/>
      <c r="SV69" s="1"/>
      <c r="SW69" s="1"/>
      <c r="SX69" s="1"/>
      <c r="SY69" s="1"/>
      <c r="SZ69" s="1"/>
      <c r="TA69" s="1"/>
      <c r="TB69" s="1"/>
      <c r="TC69" s="1"/>
      <c r="TD69" s="1"/>
      <c r="TE69" s="1"/>
      <c r="TF69" s="1"/>
      <c r="TG69" s="1"/>
      <c r="TH69" s="1"/>
      <c r="TI69" s="1"/>
      <c r="TJ69" s="1"/>
      <c r="TK69" s="1"/>
      <c r="TL69" s="1"/>
      <c r="TM69" s="1"/>
      <c r="TN69" s="1"/>
      <c r="TO69" s="1"/>
      <c r="TP69" s="1"/>
      <c r="TQ69" s="1"/>
      <c r="TR69" s="1"/>
      <c r="TS69" s="1"/>
      <c r="TT69" s="1"/>
      <c r="TU69" s="1"/>
      <c r="TV69" s="1"/>
      <c r="TW69" s="1"/>
      <c r="TX69" s="1"/>
      <c r="TY69" s="1"/>
      <c r="TZ69" s="1"/>
      <c r="UA69" s="1"/>
      <c r="UB69" s="1"/>
      <c r="UC69" s="1"/>
      <c r="UD69" s="1"/>
      <c r="UE69" s="1"/>
      <c r="UF69" s="1"/>
      <c r="UG69" s="1"/>
      <c r="UH69" s="1"/>
      <c r="UI69" s="1"/>
      <c r="UJ69" s="1"/>
      <c r="UK69" s="1"/>
      <c r="UL69" s="1"/>
      <c r="UM69" s="1"/>
      <c r="UN69" s="1"/>
      <c r="UO69" s="1"/>
      <c r="UP69" s="1"/>
      <c r="UQ69" s="1"/>
      <c r="UR69" s="1"/>
      <c r="US69" s="1"/>
      <c r="UT69" s="1"/>
      <c r="UU69" s="1"/>
      <c r="UV69" s="1"/>
      <c r="UW69" s="1"/>
      <c r="UX69" s="1"/>
      <c r="UY69" s="1"/>
      <c r="UZ69" s="1"/>
      <c r="VA69" s="1"/>
      <c r="VB69" s="1"/>
      <c r="VC69" s="1"/>
      <c r="VD69" s="1"/>
      <c r="VE69" s="1"/>
      <c r="VF69" s="1"/>
      <c r="VG69" s="1"/>
      <c r="VH69" s="1"/>
      <c r="VI69" s="1"/>
      <c r="VJ69" s="1"/>
      <c r="VK69" s="1"/>
      <c r="VL69" s="1"/>
      <c r="VM69" s="1"/>
      <c r="VN69" s="1"/>
      <c r="VO69" s="1"/>
      <c r="VP69" s="1"/>
      <c r="VQ69" s="1"/>
      <c r="VR69" s="1"/>
      <c r="VS69" s="1"/>
      <c r="VT69" s="1"/>
      <c r="VU69" s="1"/>
      <c r="VV69" s="1"/>
      <c r="VW69" s="1"/>
      <c r="VX69" s="1"/>
      <c r="VY69" s="1"/>
      <c r="VZ69" s="1"/>
      <c r="WA69" s="1"/>
      <c r="WB69" s="1"/>
      <c r="WC69" s="1"/>
      <c r="WD69" s="1"/>
      <c r="WE69" s="1"/>
      <c r="WF69" s="1"/>
      <c r="WG69" s="1"/>
      <c r="WH69" s="1"/>
      <c r="WI69" s="1"/>
      <c r="WJ69" s="1"/>
      <c r="WK69" s="1"/>
      <c r="WL69" s="1"/>
      <c r="WM69" s="1"/>
      <c r="WN69" s="1"/>
      <c r="WO69" s="1"/>
      <c r="WP69" s="1"/>
      <c r="WQ69" s="1"/>
      <c r="WR69" s="1"/>
      <c r="WS69" s="1"/>
      <c r="WT69" s="1"/>
      <c r="WU69" s="1"/>
      <c r="WV69" s="1"/>
      <c r="WW69" s="1"/>
      <c r="WX69" s="1"/>
      <c r="WY69" s="1"/>
      <c r="WZ69" s="1"/>
      <c r="XA69" s="1"/>
      <c r="XB69" s="1"/>
      <c r="XC69" s="1"/>
      <c r="XD69" s="1"/>
      <c r="XE69" s="1"/>
      <c r="XF69" s="1"/>
      <c r="XG69" s="1"/>
      <c r="XH69" s="1"/>
      <c r="XI69" s="1"/>
      <c r="XJ69" s="1"/>
      <c r="XK69" s="1"/>
      <c r="XL69" s="1"/>
      <c r="XM69" s="1"/>
      <c r="XN69" s="1"/>
      <c r="XO69" s="1"/>
      <c r="XP69" s="1"/>
      <c r="XQ69" s="1"/>
      <c r="XR69" s="1"/>
      <c r="XS69" s="1"/>
      <c r="XT69" s="1"/>
      <c r="XU69" s="1"/>
      <c r="XV69" s="1"/>
      <c r="XW69" s="1"/>
      <c r="XX69" s="1"/>
      <c r="XY69" s="1"/>
      <c r="XZ69" s="1"/>
      <c r="YA69" s="1"/>
      <c r="YB69" s="1"/>
      <c r="YC69" s="1"/>
      <c r="YD69" s="1"/>
      <c r="YE69" s="1"/>
      <c r="YF69" s="1"/>
      <c r="YG69" s="1"/>
      <c r="YH69" s="1"/>
      <c r="YI69" s="1"/>
      <c r="YJ69" s="1"/>
      <c r="YK69" s="1"/>
      <c r="YL69" s="1"/>
      <c r="YM69" s="1"/>
      <c r="YN69" s="1"/>
      <c r="YO69" s="1"/>
      <c r="YP69" s="1"/>
      <c r="YQ69" s="1"/>
      <c r="YR69" s="1"/>
      <c r="YS69" s="1"/>
      <c r="YT69" s="1"/>
      <c r="YU69" s="1"/>
      <c r="YV69" s="1"/>
      <c r="YW69" s="1"/>
      <c r="YX69" s="1"/>
      <c r="YY69" s="1"/>
      <c r="YZ69" s="1"/>
      <c r="ZA69" s="1"/>
      <c r="ZB69" s="1"/>
      <c r="ZC69" s="1"/>
      <c r="ZD69" s="1"/>
      <c r="ZE69" s="1"/>
      <c r="ZF69" s="1"/>
      <c r="ZG69" s="1"/>
      <c r="ZH69" s="1"/>
      <c r="ZI69" s="1"/>
      <c r="ZJ69" s="1"/>
      <c r="ZK69" s="1"/>
      <c r="ZL69" s="1"/>
      <c r="ZM69" s="1"/>
      <c r="ZN69" s="1"/>
      <c r="ZO69" s="1"/>
      <c r="ZP69" s="1"/>
      <c r="ZQ69" s="1"/>
      <c r="ZR69" s="1"/>
      <c r="ZS69" s="1"/>
      <c r="ZT69" s="1"/>
      <c r="ZU69" s="1"/>
      <c r="ZV69" s="1"/>
      <c r="ZW69" s="1"/>
      <c r="ZX69" s="1"/>
      <c r="ZY69" s="1"/>
      <c r="ZZ69" s="1"/>
      <c r="AAA69" s="1"/>
      <c r="AAB69" s="1"/>
      <c r="AAC69" s="1"/>
      <c r="AAD69" s="1"/>
      <c r="AAE69" s="1"/>
      <c r="AAF69" s="1"/>
      <c r="AAG69" s="1"/>
      <c r="AAH69" s="1"/>
      <c r="AAI69" s="1"/>
      <c r="AAJ69" s="1"/>
      <c r="AAK69" s="1"/>
      <c r="AAL69" s="1"/>
      <c r="AAM69" s="1"/>
      <c r="AAN69" s="1"/>
      <c r="AAO69" s="1"/>
      <c r="AAP69" s="1"/>
      <c r="AAQ69" s="1"/>
      <c r="AAR69" s="1"/>
      <c r="AAS69" s="1"/>
      <c r="AAT69" s="1"/>
      <c r="AAU69" s="1"/>
      <c r="AAV69" s="1"/>
      <c r="AAW69" s="1"/>
      <c r="AAX69" s="1"/>
      <c r="AAY69" s="1"/>
      <c r="AAZ69" s="1"/>
      <c r="ABA69" s="1"/>
      <c r="ABB69" s="1"/>
      <c r="ABC69" s="1"/>
      <c r="ABD69" s="1"/>
      <c r="ABE69" s="1"/>
      <c r="ABF69" s="1"/>
      <c r="ABG69" s="1"/>
      <c r="ABH69" s="1"/>
      <c r="ABI69" s="1"/>
      <c r="ABJ69" s="1"/>
      <c r="ABK69" s="1"/>
      <c r="ABL69" s="1"/>
      <c r="ABM69" s="1"/>
      <c r="ABN69" s="1"/>
      <c r="ABO69" s="1"/>
      <c r="ABP69" s="1"/>
      <c r="ABQ69" s="1"/>
      <c r="ABR69" s="1"/>
      <c r="ABS69" s="1"/>
      <c r="ABT69" s="1"/>
      <c r="ABU69" s="1"/>
      <c r="ABV69" s="1"/>
      <c r="ABW69" s="1"/>
      <c r="ABX69" s="1"/>
      <c r="ABY69" s="1"/>
      <c r="ABZ69" s="1"/>
      <c r="ACA69" s="1"/>
      <c r="ACB69" s="1"/>
      <c r="ACC69" s="1"/>
      <c r="ACD69" s="1"/>
      <c r="ACE69" s="1"/>
      <c r="ACF69" s="1"/>
      <c r="ACG69" s="1"/>
      <c r="ACH69" s="1"/>
      <c r="ACI69" s="1"/>
      <c r="ACJ69" s="1"/>
      <c r="ACK69" s="1"/>
      <c r="ACL69" s="1"/>
      <c r="ACM69" s="1"/>
      <c r="ACN69" s="1"/>
      <c r="ACO69" s="1"/>
      <c r="ACP69" s="1"/>
      <c r="ACQ69" s="1"/>
      <c r="ACR69" s="1"/>
      <c r="ACS69" s="1"/>
      <c r="ACT69" s="1"/>
      <c r="ACU69" s="1"/>
      <c r="ACV69" s="1"/>
      <c r="ACW69" s="1"/>
      <c r="ACX69" s="1"/>
      <c r="ACY69" s="1"/>
      <c r="ACZ69" s="1"/>
      <c r="ADA69" s="1"/>
      <c r="ADB69" s="1"/>
      <c r="ADC69" s="1"/>
      <c r="ADD69" s="1"/>
      <c r="ADE69" s="1"/>
      <c r="ADF69" s="1"/>
      <c r="ADG69" s="1"/>
      <c r="ADH69" s="1"/>
      <c r="ADI69" s="1"/>
      <c r="ADJ69" s="1"/>
      <c r="ADK69" s="1"/>
      <c r="ADL69" s="1"/>
      <c r="ADM69" s="1"/>
      <c r="ADN69" s="1"/>
      <c r="ADO69" s="1"/>
      <c r="ADP69" s="1"/>
      <c r="ADQ69" s="1"/>
      <c r="ADR69" s="1"/>
      <c r="ADS69" s="1"/>
      <c r="ADT69" s="1"/>
      <c r="ADU69" s="1"/>
      <c r="ADV69" s="1"/>
      <c r="ADW69" s="1"/>
      <c r="ADX69" s="1"/>
      <c r="ADY69" s="1"/>
      <c r="ADZ69" s="1"/>
      <c r="AEA69" s="1"/>
      <c r="AEB69" s="1"/>
      <c r="AEC69" s="1"/>
      <c r="AED69" s="1"/>
      <c r="AEE69" s="1"/>
      <c r="AEF69" s="1"/>
      <c r="AEG69" s="1"/>
      <c r="AEH69" s="1"/>
      <c r="AEI69" s="1"/>
      <c r="AEJ69" s="1"/>
      <c r="AEK69" s="1"/>
      <c r="AEL69" s="1"/>
      <c r="AEM69" s="1"/>
      <c r="AEN69" s="1"/>
      <c r="AEO69" s="1"/>
      <c r="AEP69" s="1"/>
      <c r="AEQ69" s="1"/>
      <c r="AER69" s="1"/>
      <c r="AES69" s="1"/>
      <c r="AET69" s="1"/>
      <c r="AEU69" s="1"/>
      <c r="AEV69" s="1"/>
      <c r="AEW69" s="1"/>
      <c r="AEX69" s="1"/>
      <c r="AEY69" s="1"/>
      <c r="AEZ69" s="1"/>
      <c r="AFA69" s="1"/>
      <c r="AFB69" s="1"/>
      <c r="AFC69" s="1"/>
      <c r="AFD69" s="1"/>
      <c r="AFE69" s="1"/>
      <c r="AFF69" s="1"/>
      <c r="AFG69" s="1"/>
      <c r="AFH69" s="1"/>
      <c r="AFI69" s="1"/>
      <c r="AFJ69" s="1"/>
      <c r="AFK69" s="1"/>
      <c r="AFL69" s="1"/>
      <c r="AFM69" s="1"/>
      <c r="AFN69" s="1"/>
      <c r="AFO69" s="1"/>
      <c r="AFP69" s="1"/>
      <c r="AFQ69" s="1"/>
      <c r="AFR69" s="1"/>
      <c r="AFS69" s="1"/>
      <c r="AFT69" s="1"/>
      <c r="AFU69" s="1"/>
      <c r="AFV69" s="1"/>
      <c r="AFW69" s="1"/>
      <c r="AFX69" s="1"/>
      <c r="AFY69" s="1"/>
      <c r="AFZ69" s="1"/>
      <c r="AGA69" s="1"/>
      <c r="AGB69" s="1"/>
      <c r="AGC69" s="1"/>
      <c r="AGD69" s="1"/>
      <c r="AGE69" s="1"/>
      <c r="AGF69" s="1"/>
      <c r="AGG69" s="1"/>
      <c r="AGH69" s="1"/>
      <c r="AGI69" s="1"/>
      <c r="AGJ69" s="1"/>
      <c r="AGK69" s="1"/>
      <c r="AGL69" s="1"/>
      <c r="AGM69" s="1"/>
      <c r="AGN69" s="1"/>
      <c r="AGO69" s="1"/>
      <c r="AGP69" s="1"/>
      <c r="AGQ69" s="1"/>
      <c r="AGR69" s="1"/>
      <c r="AGS69" s="1"/>
      <c r="AGT69" s="1"/>
      <c r="AGU69" s="1"/>
      <c r="AGV69" s="1"/>
      <c r="AGW69" s="1"/>
      <c r="AGX69" s="1"/>
      <c r="AGY69" s="1"/>
      <c r="AGZ69" s="1"/>
      <c r="AHA69" s="1"/>
      <c r="AHB69" s="1"/>
      <c r="AHC69" s="1"/>
      <c r="AHD69" s="1"/>
      <c r="AHE69" s="1"/>
      <c r="AHF69" s="1"/>
      <c r="AHG69" s="1"/>
      <c r="AHH69" s="1"/>
      <c r="AHI69" s="1"/>
      <c r="AHJ69" s="1"/>
      <c r="AHK69" s="1"/>
      <c r="AHL69" s="1"/>
      <c r="AHM69" s="1"/>
      <c r="AHN69" s="1"/>
      <c r="AHO69" s="1"/>
      <c r="AHP69" s="1"/>
      <c r="AHQ69" s="1"/>
      <c r="AHR69" s="1"/>
      <c r="AHS69" s="1"/>
      <c r="AHT69" s="1"/>
      <c r="AHU69" s="1"/>
      <c r="AHV69" s="1"/>
      <c r="AHW69" s="1"/>
      <c r="AHX69" s="1"/>
      <c r="AHY69" s="1"/>
      <c r="AHZ69" s="1"/>
      <c r="AIA69" s="1"/>
      <c r="AIB69" s="1"/>
      <c r="AIC69" s="1"/>
      <c r="AID69" s="1"/>
      <c r="AIE69" s="1"/>
      <c r="AIF69" s="1"/>
      <c r="AIG69" s="1"/>
      <c r="AIH69" s="1"/>
      <c r="AII69" s="1"/>
      <c r="AIJ69" s="1"/>
      <c r="AIK69" s="1"/>
      <c r="AIL69" s="1"/>
      <c r="AIM69" s="1"/>
      <c r="AIN69" s="1"/>
      <c r="AIO69" s="1"/>
      <c r="AIP69" s="1"/>
      <c r="AIQ69" s="1"/>
      <c r="AIR69" s="1"/>
      <c r="AIS69" s="1"/>
      <c r="AIT69" s="1"/>
      <c r="AIU69" s="1"/>
      <c r="AIV69" s="1"/>
      <c r="AIW69" s="1"/>
      <c r="AIX69" s="1"/>
      <c r="AIY69" s="1"/>
      <c r="AIZ69" s="1"/>
      <c r="AJA69" s="1"/>
      <c r="AJB69" s="1"/>
      <c r="AJC69" s="1"/>
      <c r="AJD69" s="1"/>
      <c r="AJE69" s="1"/>
      <c r="AJF69" s="1"/>
      <c r="AJG69" s="1"/>
      <c r="AJH69" s="1"/>
      <c r="AJI69" s="1"/>
      <c r="AJJ69" s="1"/>
      <c r="AJK69" s="1"/>
      <c r="AJL69" s="1"/>
      <c r="AJM69" s="1"/>
      <c r="AJN69" s="1"/>
      <c r="AJO69" s="1"/>
      <c r="AJP69" s="1"/>
      <c r="AJQ69" s="1"/>
      <c r="AJR69" s="1"/>
      <c r="AJS69" s="1"/>
      <c r="AJT69" s="1"/>
      <c r="AJU69" s="1"/>
      <c r="AJV69" s="1"/>
      <c r="AJW69" s="1"/>
      <c r="AJX69" s="1"/>
      <c r="AJY69" s="1"/>
      <c r="AJZ69" s="1"/>
      <c r="AKA69" s="1"/>
      <c r="AKB69" s="1"/>
      <c r="AKC69" s="1"/>
      <c r="AKD69" s="1"/>
      <c r="AKE69" s="1"/>
      <c r="AKF69" s="1"/>
      <c r="AKG69" s="1"/>
      <c r="AKH69" s="1"/>
      <c r="AKI69" s="1"/>
      <c r="AKJ69" s="1"/>
      <c r="AKK69" s="1"/>
      <c r="AKL69" s="1"/>
      <c r="AKM69" s="1"/>
      <c r="AKN69" s="1"/>
      <c r="AKO69" s="1"/>
      <c r="AKP69" s="1"/>
      <c r="AKQ69" s="1"/>
      <c r="AKR69" s="1"/>
      <c r="AKS69" s="1"/>
      <c r="AKT69" s="1"/>
      <c r="AKU69" s="1"/>
      <c r="AKV69" s="1"/>
      <c r="AKW69" s="1"/>
      <c r="AKX69" s="1"/>
      <c r="AKY69" s="1"/>
      <c r="AKZ69" s="1"/>
      <c r="ALA69" s="1"/>
      <c r="ALB69" s="1"/>
      <c r="ALC69" s="1"/>
      <c r="ALD69" s="1"/>
      <c r="ALE69" s="1"/>
      <c r="ALF69" s="1"/>
      <c r="ALG69" s="1"/>
      <c r="ALH69" s="1"/>
      <c r="ALI69" s="1"/>
      <c r="ALJ69" s="1"/>
      <c r="ALK69" s="1"/>
      <c r="ALL69" s="1"/>
      <c r="ALM69" s="1"/>
      <c r="ALN69" s="1"/>
      <c r="ALO69" s="1"/>
      <c r="ALP69" s="1"/>
      <c r="ALQ69" s="1"/>
      <c r="ALR69" s="1"/>
      <c r="ALS69" s="1"/>
      <c r="ALT69" s="1"/>
      <c r="ALU69" s="1"/>
      <c r="ALV69" s="1"/>
      <c r="ALW69" s="1"/>
      <c r="ALX69" s="1"/>
      <c r="ALY69" s="1"/>
      <c r="ALZ69" s="1"/>
      <c r="AMA69" s="1"/>
      <c r="AMB69" s="1"/>
      <c r="AMC69" s="1"/>
      <c r="AMD69" s="1"/>
      <c r="AME69" s="1"/>
      <c r="AMF69" s="1"/>
      <c r="AMG69" s="1"/>
      <c r="AMH69" s="1"/>
      <c r="AMI69" s="1"/>
      <c r="AMJ69" s="1"/>
      <c r="AMK69" s="1"/>
      <c r="AML69" s="1"/>
      <c r="AMM69" s="1"/>
      <c r="AMN69" s="1"/>
      <c r="AMO69" s="1"/>
    </row>
    <row r="70" spans="1:1029" s="12" customFormat="1" x14ac:dyDescent="0.2">
      <c r="A70" s="9" t="str">
        <f t="shared" ref="A70" si="225">CONCATENATE(B70,"_",C70)</f>
        <v>acm2_human_5ZKC</v>
      </c>
      <c r="B70" s="9" t="s">
        <v>147</v>
      </c>
      <c r="C70" s="9" t="s">
        <v>1552</v>
      </c>
      <c r="D70" s="9" t="str">
        <f>IFERROR(MID(VLOOKUP($B70,Seqs!$A:$B,2,0),E70,1),"")</f>
        <v>P</v>
      </c>
      <c r="E70" s="9">
        <v>17</v>
      </c>
      <c r="F70" s="9" t="str">
        <f>IFERROR(MID(VLOOKUP($B70,Seqs!$A:$B,2,0),G70,1),"")</f>
        <v>N</v>
      </c>
      <c r="G70" s="9">
        <v>51</v>
      </c>
      <c r="H70" s="9" t="str">
        <f>IFERROR(MID(VLOOKUP($B70,Seqs!$A:$B,2,0),I70,1),"")</f>
        <v>R</v>
      </c>
      <c r="I70" s="109">
        <v>52</v>
      </c>
      <c r="J70" s="9" t="str">
        <f>IFERROR(MID(VLOOKUP($B70,Seqs!$A:$B,2,0),K70,1),"")</f>
        <v>Q</v>
      </c>
      <c r="K70" s="109">
        <v>55</v>
      </c>
      <c r="L70" s="9" t="str">
        <f>IFERROR(MID(VLOOKUP($B70,Seqs!$A:$B,2,0),M70,1),"")</f>
        <v>T</v>
      </c>
      <c r="M70" s="9">
        <v>56</v>
      </c>
      <c r="N70" s="9" t="str">
        <f>IFERROR(MID(VLOOKUP($B70,Seqs!$A:$B,2,0),O70,1),"")</f>
        <v>G</v>
      </c>
      <c r="O70" s="9">
        <v>87</v>
      </c>
      <c r="P70" s="9" t="str">
        <f>IFERROR(MID(VLOOKUP($B70,Seqs!$A:$B,2,0),Q70,1),"")</f>
        <v>Y</v>
      </c>
      <c r="Q70" s="9">
        <v>88</v>
      </c>
      <c r="R70" s="9" t="str">
        <f>IFERROR(MID(VLOOKUP($B70,Seqs!$A:$B,2,0),S70,1),"")</f>
        <v>L</v>
      </c>
      <c r="S70" s="9">
        <v>91</v>
      </c>
      <c r="T70" s="9" t="str">
        <f>IFERROR(MID(VLOOKUP($B70,Seqs!$A:$B,2,0),U70,1),"")</f>
        <v>G</v>
      </c>
      <c r="U70" s="9">
        <v>92</v>
      </c>
      <c r="V70" s="9" t="str">
        <f>IFERROR(MID(VLOOKUP($B70,Seqs!$A:$B,2,0),W70,1),"")</f>
        <v>K</v>
      </c>
      <c r="W70" s="9">
        <v>127</v>
      </c>
      <c r="X70" s="9" t="str">
        <f>IFERROR(MID(VLOOKUP($B70,Seqs!$A:$B,2,0),Y70,1),"")</f>
        <v>P</v>
      </c>
      <c r="Y70" s="9">
        <v>128</v>
      </c>
      <c r="Z70" s="9" t="str">
        <f>IFERROR(MID(VLOOKUP($B70,Seqs!$A:$B,2,0),AA70,1),"")</f>
        <v>R</v>
      </c>
      <c r="AA70" s="9">
        <v>135</v>
      </c>
      <c r="AB70" s="9" t="str">
        <f>IFERROR(MID(VLOOKUP($B70,Seqs!$A:$B,2,0),AC70,1),"")</f>
        <v>T</v>
      </c>
      <c r="AC70" s="9">
        <v>136</v>
      </c>
      <c r="AD70" s="9" t="str">
        <f>IFERROR(MID(VLOOKUP($B70,Seqs!$A:$B,2,0),AE70,1),"")</f>
        <v>V</v>
      </c>
      <c r="AE70" s="9">
        <v>166</v>
      </c>
      <c r="AF70" s="9" t="str">
        <f>IFERROR(MID(VLOOKUP($B70,Seqs!$A:$B,2,0),AG70,1),"")</f>
        <v>C</v>
      </c>
      <c r="AG70" s="9">
        <v>176</v>
      </c>
      <c r="AH70" s="9" t="str">
        <f>IFERROR(MID(VLOOKUP($B70,Seqs!$A:$B,2,0),AI70,1),"")</f>
        <v>I</v>
      </c>
      <c r="AI70" s="9">
        <v>178</v>
      </c>
      <c r="AJ70" s="9" t="str">
        <f>IFERROR(MID(VLOOKUP($B70,Seqs!$A:$B,2,0),AK70,1),"")</f>
        <v>N</v>
      </c>
      <c r="AK70" s="9">
        <v>183</v>
      </c>
      <c r="AL70" s="9" t="str">
        <f>IFERROR(MID(VLOOKUP($B70,Seqs!$A:$B,2,0),AM70,1),"")</f>
        <v>K</v>
      </c>
      <c r="AM70" s="9">
        <v>214</v>
      </c>
      <c r="AN70" s="9" t="str">
        <f>IFERROR(MID(VLOOKUP($B70,Seqs!$A:$B,2,0),AO70,1),"")</f>
        <v>R</v>
      </c>
      <c r="AO70" s="9">
        <v>381</v>
      </c>
      <c r="AP70" s="9" t="str">
        <f>IFERROR(MID(VLOOKUP($B70,Seqs!$A:$B,2,0),AQ70,1),"")</f>
        <v>C</v>
      </c>
      <c r="AQ70" s="9">
        <v>413</v>
      </c>
      <c r="AR70" s="9" t="str">
        <f>IFERROR(MID(VLOOKUP($B70,Seqs!$A:$B,2,0),AS70,1),"")</f>
        <v>P</v>
      </c>
      <c r="AS70" s="9">
        <v>418</v>
      </c>
      <c r="AT70" s="9" t="str">
        <f>IFERROR(MID(VLOOKUP($B70,Seqs!$A:$B,2,0),AU70,1),"")</f>
        <v>A</v>
      </c>
      <c r="AU70" s="9">
        <v>441</v>
      </c>
      <c r="AV70" s="9" t="str">
        <f>IFERROR(MID(VLOOKUP($B70,Seqs!$A:$B,2,0),AW70,1),"")</f>
        <v>N</v>
      </c>
      <c r="AW70" s="9">
        <v>444</v>
      </c>
      <c r="AX70" s="9" t="str">
        <f>IFERROR(MID(VLOOKUP($B70,Seqs!$A:$B,2,0),AY70,1),"")</f>
        <v>M</v>
      </c>
      <c r="AY70" s="9">
        <v>456</v>
      </c>
      <c r="AZ70" s="110" t="str">
        <f>VLOOKUP(B70,Classification!A:D,2,0)</f>
        <v>A</v>
      </c>
      <c r="BA70" s="98" t="str">
        <f>VLOOKUP(B70,Classification!A:D,4,0)</f>
        <v>Acetylcholine(muscarinic)</v>
      </c>
      <c r="BB70" s="36" t="b">
        <f t="shared" ref="BB70" si="226">AND(E70&lt;G70,OR(G70&lt;I70,I70="-"),OR(I70&lt;K70,I70="-"),OR(K70&lt;M70,K70="-"),M70&lt;O70,OR(O70&lt;Q70,Q70="-"),OR(Q70&lt;S70,Q70="-"),OR(S70&lt;U70,S70="-"),U70&lt;W70,OR(W70&lt;Y70,Y70="-"),OR(Y70&lt;AA70,Y70="-"),OR(AA70&lt;AC70,AA70="-"),AC70&lt;AE70,OR(AE70&lt;AG70,AG70="-"),OR(AG70&lt;AI70,AG70="-"),OR(AI70&lt;AK70,AI70="-"),AK70&lt;AM70,AM70&lt;AO70,AO70&lt;AQ70,AQ70&lt;AS70,AS70&lt;AU70,OR(AU70&lt;AW70,AW70="-"),OR(AW70&lt;AY70,AW70="-"))</f>
        <v>1</v>
      </c>
      <c r="BC70" s="109">
        <f t="shared" ref="BC70" si="227">_xlfn.AGGREGATE(9,6,CH70:CS70)-_xlfn.AGGREGATE(9,6,BV70:CG70)+12</f>
        <v>255</v>
      </c>
      <c r="BD70" s="11" t="s">
        <v>1383</v>
      </c>
      <c r="BE70" s="9" t="s">
        <v>1381</v>
      </c>
      <c r="BF70" s="120">
        <v>2.2999999999999998</v>
      </c>
      <c r="BG70" s="51" t="s">
        <v>1</v>
      </c>
      <c r="BH70" s="51" t="s">
        <v>1</v>
      </c>
      <c r="BJ70" s="111" t="s">
        <v>1293</v>
      </c>
      <c r="BK70" s="112" t="s">
        <v>1293</v>
      </c>
      <c r="BL70" s="112" t="s">
        <v>1293</v>
      </c>
      <c r="BM70" s="112" t="s">
        <v>1293</v>
      </c>
      <c r="BN70" s="112" t="s">
        <v>1293</v>
      </c>
      <c r="BO70" s="112" t="s">
        <v>1293</v>
      </c>
      <c r="BP70" s="112" t="s">
        <v>1293</v>
      </c>
      <c r="BQ70" s="112" t="s">
        <v>1293</v>
      </c>
      <c r="BR70" s="112" t="s">
        <v>1293</v>
      </c>
      <c r="BS70" s="112" t="s">
        <v>1293</v>
      </c>
      <c r="BT70" s="112" t="s">
        <v>1293</v>
      </c>
      <c r="BU70" s="112" t="s">
        <v>1293</v>
      </c>
      <c r="BV70" s="111">
        <f t="shared" ref="BV70" si="228">E70</f>
        <v>17</v>
      </c>
      <c r="BW70" s="113">
        <f t="shared" ref="BW70" si="229">I70</f>
        <v>52</v>
      </c>
      <c r="BX70" s="114">
        <f t="shared" ref="BX70" si="230">M70</f>
        <v>56</v>
      </c>
      <c r="BY70" s="113">
        <f t="shared" ref="BY70" si="231">Q70</f>
        <v>88</v>
      </c>
      <c r="BZ70" s="114">
        <f t="shared" ref="BZ70" si="232">U70</f>
        <v>92</v>
      </c>
      <c r="CA70" s="113">
        <f t="shared" ref="CA70" si="233">Y70</f>
        <v>128</v>
      </c>
      <c r="CB70" s="114">
        <f t="shared" ref="CB70" si="234">AC70</f>
        <v>136</v>
      </c>
      <c r="CC70" s="113">
        <f t="shared" ref="CC70" si="235">AG70</f>
        <v>176</v>
      </c>
      <c r="CD70" s="114">
        <f t="shared" ref="CD70" si="236">AK70</f>
        <v>183</v>
      </c>
      <c r="CE70" s="113">
        <f t="shared" ref="CE70" si="237">AO70</f>
        <v>381</v>
      </c>
      <c r="CF70" s="114">
        <f t="shared" ref="CF70" si="238">AS70</f>
        <v>418</v>
      </c>
      <c r="CG70" s="113">
        <f t="shared" ref="CG70" si="239">AW70</f>
        <v>444</v>
      </c>
      <c r="CH70" s="111">
        <f t="shared" ref="CH70" si="240">G70</f>
        <v>51</v>
      </c>
      <c r="CI70" s="113">
        <f t="shared" ref="CI70" si="241">K70</f>
        <v>55</v>
      </c>
      <c r="CJ70" s="114">
        <f t="shared" ref="CJ70" si="242">O70</f>
        <v>87</v>
      </c>
      <c r="CK70" s="114">
        <f t="shared" ref="CK70" si="243">S70</f>
        <v>91</v>
      </c>
      <c r="CL70" s="114">
        <f t="shared" ref="CL70" si="244">W70</f>
        <v>127</v>
      </c>
      <c r="CM70" s="114">
        <f t="shared" ref="CM70" si="245">AA70</f>
        <v>135</v>
      </c>
      <c r="CN70" s="114">
        <f t="shared" ref="CN70" si="246">AE70</f>
        <v>166</v>
      </c>
      <c r="CO70" s="114">
        <f t="shared" ref="CO70" si="247">AI70</f>
        <v>178</v>
      </c>
      <c r="CP70" s="114">
        <f t="shared" ref="CP70" si="248">AM70</f>
        <v>214</v>
      </c>
      <c r="CQ70" s="114">
        <f t="shared" ref="CQ70" si="249">AQ70</f>
        <v>413</v>
      </c>
      <c r="CR70" s="114">
        <f t="shared" ref="CR70" si="250">AU70</f>
        <v>441</v>
      </c>
      <c r="CS70" s="114">
        <f t="shared" ref="CS70" si="251">AY70</f>
        <v>456</v>
      </c>
      <c r="CT70" s="109">
        <f t="shared" ref="CT70" si="252">M70-K70</f>
        <v>1</v>
      </c>
    </row>
    <row r="71" spans="1:1029" s="12" customFormat="1" x14ac:dyDescent="0.2">
      <c r="A71" s="9" t="str">
        <f t="shared" ref="A71" si="253">CONCATENATE(B71,"_",C71)</f>
        <v>acm2_human_5ZKB</v>
      </c>
      <c r="B71" s="9" t="s">
        <v>147</v>
      </c>
      <c r="C71" s="9" t="s">
        <v>1553</v>
      </c>
      <c r="D71" s="9" t="str">
        <f>IFERROR(MID(VLOOKUP($B71,Seqs!$A:$B,2,0),E71,1),"")</f>
        <v>Y</v>
      </c>
      <c r="E71" s="9">
        <v>18</v>
      </c>
      <c r="F71" s="9" t="str">
        <f>IFERROR(MID(VLOOKUP($B71,Seqs!$A:$B,2,0),G71,1),"")</f>
        <v>N</v>
      </c>
      <c r="G71" s="9">
        <v>51</v>
      </c>
      <c r="H71" s="9" t="str">
        <f>IFERROR(MID(VLOOKUP($B71,Seqs!$A:$B,2,0),I71,1),"")</f>
        <v>R</v>
      </c>
      <c r="I71" s="109">
        <v>52</v>
      </c>
      <c r="J71" s="9" t="str">
        <f>IFERROR(MID(VLOOKUP($B71,Seqs!$A:$B,2,0),K71,1),"")</f>
        <v>Q</v>
      </c>
      <c r="K71" s="109">
        <v>55</v>
      </c>
      <c r="L71" s="9" t="str">
        <f>IFERROR(MID(VLOOKUP($B71,Seqs!$A:$B,2,0),M71,1),"")</f>
        <v>T</v>
      </c>
      <c r="M71" s="9">
        <v>56</v>
      </c>
      <c r="N71" s="9" t="str">
        <f>IFERROR(MID(VLOOKUP($B71,Seqs!$A:$B,2,0),O71,1),"")</f>
        <v>G</v>
      </c>
      <c r="O71" s="9">
        <v>87</v>
      </c>
      <c r="P71" s="9" t="str">
        <f>IFERROR(MID(VLOOKUP($B71,Seqs!$A:$B,2,0),Q71,1),"")</f>
        <v>Y</v>
      </c>
      <c r="Q71" s="9">
        <v>88</v>
      </c>
      <c r="R71" s="9" t="str">
        <f>IFERROR(MID(VLOOKUP($B71,Seqs!$A:$B,2,0),S71,1),"")</f>
        <v>L</v>
      </c>
      <c r="S71" s="9">
        <v>91</v>
      </c>
      <c r="T71" s="9" t="str">
        <f>IFERROR(MID(VLOOKUP($B71,Seqs!$A:$B,2,0),U71,1),"")</f>
        <v>G</v>
      </c>
      <c r="U71" s="9">
        <v>92</v>
      </c>
      <c r="V71" s="9" t="str">
        <f>IFERROR(MID(VLOOKUP($B71,Seqs!$A:$B,2,0),W71,1),"")</f>
        <v>K</v>
      </c>
      <c r="W71" s="9">
        <v>127</v>
      </c>
      <c r="X71" s="9" t="str">
        <f>IFERROR(MID(VLOOKUP($B71,Seqs!$A:$B,2,0),Y71,1),"")</f>
        <v>P</v>
      </c>
      <c r="Y71" s="9">
        <v>128</v>
      </c>
      <c r="Z71" s="9" t="str">
        <f>IFERROR(MID(VLOOKUP($B71,Seqs!$A:$B,2,0),AA71,1),"")</f>
        <v>R</v>
      </c>
      <c r="AA71" s="9">
        <v>135</v>
      </c>
      <c r="AB71" s="9" t="str">
        <f>IFERROR(MID(VLOOKUP($B71,Seqs!$A:$B,2,0),AC71,1),"")</f>
        <v>T</v>
      </c>
      <c r="AC71" s="9">
        <v>136</v>
      </c>
      <c r="AD71" s="9" t="str">
        <f>IFERROR(MID(VLOOKUP($B71,Seqs!$A:$B,2,0),AE71,1),"")</f>
        <v>V</v>
      </c>
      <c r="AE71" s="9">
        <v>166</v>
      </c>
      <c r="AF71" s="9" t="str">
        <f>IFERROR(MID(VLOOKUP($B71,Seqs!$A:$B,2,0),AG71,1),"")</f>
        <v>C</v>
      </c>
      <c r="AG71" s="9">
        <v>176</v>
      </c>
      <c r="AH71" s="9" t="str">
        <f>IFERROR(MID(VLOOKUP($B71,Seqs!$A:$B,2,0),AI71,1),"")</f>
        <v>I</v>
      </c>
      <c r="AI71" s="9">
        <v>178</v>
      </c>
      <c r="AJ71" s="9" t="str">
        <f>IFERROR(MID(VLOOKUP($B71,Seqs!$A:$B,2,0),AK71,1),"")</f>
        <v>N</v>
      </c>
      <c r="AK71" s="9">
        <v>183</v>
      </c>
      <c r="AL71" s="9" t="str">
        <f>IFERROR(MID(VLOOKUP($B71,Seqs!$A:$B,2,0),AM71,1),"")</f>
        <v>K</v>
      </c>
      <c r="AM71" s="9">
        <v>214</v>
      </c>
      <c r="AN71" s="9" t="str">
        <f>IFERROR(MID(VLOOKUP($B71,Seqs!$A:$B,2,0),AO71,1),"")</f>
        <v>S</v>
      </c>
      <c r="AO71" s="9">
        <v>380</v>
      </c>
      <c r="AP71" s="9" t="str">
        <f>IFERROR(MID(VLOOKUP($B71,Seqs!$A:$B,2,0),AQ71,1),"")</f>
        <v>C</v>
      </c>
      <c r="AQ71" s="9">
        <v>413</v>
      </c>
      <c r="AR71" s="9" t="str">
        <f>IFERROR(MID(VLOOKUP($B71,Seqs!$A:$B,2,0),AS71,1),"")</f>
        <v>P</v>
      </c>
      <c r="AS71" s="9">
        <v>418</v>
      </c>
      <c r="AT71" s="9" t="str">
        <f>IFERROR(MID(VLOOKUP($B71,Seqs!$A:$B,2,0),AU71,1),"")</f>
        <v>A</v>
      </c>
      <c r="AU71" s="9">
        <v>441</v>
      </c>
      <c r="AV71" s="9" t="str">
        <f>IFERROR(MID(VLOOKUP($B71,Seqs!$A:$B,2,0),AW71,1),"")</f>
        <v>N</v>
      </c>
      <c r="AW71" s="9">
        <v>444</v>
      </c>
      <c r="AX71" s="9" t="str">
        <f>IFERROR(MID(VLOOKUP($B71,Seqs!$A:$B,2,0),AY71,1),"")</f>
        <v>M</v>
      </c>
      <c r="AY71" s="9">
        <v>456</v>
      </c>
      <c r="AZ71" s="110" t="str">
        <f>VLOOKUP(B71,Classification!A:D,2,0)</f>
        <v>A</v>
      </c>
      <c r="BA71" s="98" t="str">
        <f>VLOOKUP(B71,Classification!A:D,4,0)</f>
        <v>Acetylcholine(muscarinic)</v>
      </c>
      <c r="BB71" s="36" t="b">
        <f t="shared" ref="BB71" si="254">AND(E71&lt;G71,OR(G71&lt;I71,I71="-"),OR(I71&lt;K71,I71="-"),OR(K71&lt;M71,K71="-"),M71&lt;O71,OR(O71&lt;Q71,Q71="-"),OR(Q71&lt;S71,Q71="-"),OR(S71&lt;U71,S71="-"),U71&lt;W71,OR(W71&lt;Y71,Y71="-"),OR(Y71&lt;AA71,Y71="-"),OR(AA71&lt;AC71,AA71="-"),AC71&lt;AE71,OR(AE71&lt;AG71,AG71="-"),OR(AG71&lt;AI71,AG71="-"),OR(AI71&lt;AK71,AI71="-"),AK71&lt;AM71,AM71&lt;AO71,AO71&lt;AQ71,AQ71&lt;AS71,AS71&lt;AU71,OR(AU71&lt;AW71,AW71="-"),OR(AW71&lt;AY71,AW71="-"))</f>
        <v>1</v>
      </c>
      <c r="BC71" s="109">
        <f t="shared" ref="BC71" si="255">_xlfn.AGGREGATE(9,6,CH71:CS71)-_xlfn.AGGREGATE(9,6,BV71:CG71)+12</f>
        <v>255</v>
      </c>
      <c r="BD71" s="11" t="s">
        <v>23</v>
      </c>
      <c r="BE71" s="9" t="s">
        <v>1381</v>
      </c>
      <c r="BF71" s="120">
        <v>2.95</v>
      </c>
      <c r="BG71" s="51" t="s">
        <v>1</v>
      </c>
      <c r="BH71" s="51" t="s">
        <v>1</v>
      </c>
      <c r="BJ71" s="111" t="s">
        <v>1293</v>
      </c>
      <c r="BK71" s="112" t="s">
        <v>1293</v>
      </c>
      <c r="BL71" s="112" t="s">
        <v>1293</v>
      </c>
      <c r="BM71" s="112" t="s">
        <v>1293</v>
      </c>
      <c r="BN71" s="112" t="s">
        <v>1293</v>
      </c>
      <c r="BO71" s="112" t="s">
        <v>1293</v>
      </c>
      <c r="BP71" s="112" t="s">
        <v>1293</v>
      </c>
      <c r="BQ71" s="112" t="s">
        <v>1293</v>
      </c>
      <c r="BR71" s="112" t="s">
        <v>1293</v>
      </c>
      <c r="BS71" s="112" t="s">
        <v>1293</v>
      </c>
      <c r="BT71" s="112" t="s">
        <v>1293</v>
      </c>
      <c r="BU71" s="112" t="s">
        <v>1293</v>
      </c>
      <c r="BV71" s="111">
        <f t="shared" ref="BV71" si="256">E71</f>
        <v>18</v>
      </c>
      <c r="BW71" s="113">
        <f t="shared" ref="BW71" si="257">I71</f>
        <v>52</v>
      </c>
      <c r="BX71" s="114">
        <f t="shared" ref="BX71" si="258">M71</f>
        <v>56</v>
      </c>
      <c r="BY71" s="113">
        <f t="shared" ref="BY71" si="259">Q71</f>
        <v>88</v>
      </c>
      <c r="BZ71" s="114">
        <f t="shared" ref="BZ71" si="260">U71</f>
        <v>92</v>
      </c>
      <c r="CA71" s="113">
        <f t="shared" ref="CA71" si="261">Y71</f>
        <v>128</v>
      </c>
      <c r="CB71" s="114">
        <f t="shared" ref="CB71" si="262">AC71</f>
        <v>136</v>
      </c>
      <c r="CC71" s="113">
        <f t="shared" ref="CC71" si="263">AG71</f>
        <v>176</v>
      </c>
      <c r="CD71" s="114">
        <f t="shared" ref="CD71" si="264">AK71</f>
        <v>183</v>
      </c>
      <c r="CE71" s="113">
        <f t="shared" ref="CE71" si="265">AO71</f>
        <v>380</v>
      </c>
      <c r="CF71" s="114">
        <f t="shared" ref="CF71" si="266">AS71</f>
        <v>418</v>
      </c>
      <c r="CG71" s="113">
        <f t="shared" ref="CG71" si="267">AW71</f>
        <v>444</v>
      </c>
      <c r="CH71" s="111">
        <f t="shared" ref="CH71" si="268">G71</f>
        <v>51</v>
      </c>
      <c r="CI71" s="113">
        <f t="shared" ref="CI71" si="269">K71</f>
        <v>55</v>
      </c>
      <c r="CJ71" s="114">
        <f t="shared" ref="CJ71" si="270">O71</f>
        <v>87</v>
      </c>
      <c r="CK71" s="114">
        <f t="shared" ref="CK71" si="271">S71</f>
        <v>91</v>
      </c>
      <c r="CL71" s="114">
        <f t="shared" ref="CL71" si="272">W71</f>
        <v>127</v>
      </c>
      <c r="CM71" s="114">
        <f t="shared" ref="CM71" si="273">AA71</f>
        <v>135</v>
      </c>
      <c r="CN71" s="114">
        <f t="shared" ref="CN71" si="274">AE71</f>
        <v>166</v>
      </c>
      <c r="CO71" s="114">
        <f t="shared" ref="CO71" si="275">AI71</f>
        <v>178</v>
      </c>
      <c r="CP71" s="114">
        <f t="shared" ref="CP71" si="276">AM71</f>
        <v>214</v>
      </c>
      <c r="CQ71" s="114">
        <f t="shared" ref="CQ71" si="277">AQ71</f>
        <v>413</v>
      </c>
      <c r="CR71" s="114">
        <f t="shared" ref="CR71" si="278">AU71</f>
        <v>441</v>
      </c>
      <c r="CS71" s="114">
        <f t="shared" ref="CS71" si="279">AY71</f>
        <v>456</v>
      </c>
      <c r="CT71" s="109">
        <f t="shared" ref="CT71" si="280">M71-K71</f>
        <v>1</v>
      </c>
    </row>
    <row r="72" spans="1:1029" s="12" customFormat="1" x14ac:dyDescent="0.2">
      <c r="A72" s="9" t="str">
        <f t="shared" ref="A72" si="281">CONCATENATE(B72,"_",C72)</f>
        <v>acm2_human_5ZK8</v>
      </c>
      <c r="B72" s="9" t="s">
        <v>147</v>
      </c>
      <c r="C72" s="9" t="s">
        <v>1554</v>
      </c>
      <c r="D72" s="9" t="str">
        <f>IFERROR(MID(VLOOKUP($B72,Seqs!$A:$B,2,0),E72,1),"")</f>
        <v>Y</v>
      </c>
      <c r="E72" s="9">
        <v>18</v>
      </c>
      <c r="F72" s="9" t="str">
        <f>IFERROR(MID(VLOOKUP($B72,Seqs!$A:$B,2,0),G72,1),"")</f>
        <v>N</v>
      </c>
      <c r="G72" s="9">
        <v>51</v>
      </c>
      <c r="H72" s="9" t="str">
        <f>IFERROR(MID(VLOOKUP($B72,Seqs!$A:$B,2,0),I72,1),"")</f>
        <v>R</v>
      </c>
      <c r="I72" s="109">
        <v>52</v>
      </c>
      <c r="J72" s="9" t="str">
        <f>IFERROR(MID(VLOOKUP($B72,Seqs!$A:$B,2,0),K72,1),"")</f>
        <v>Q</v>
      </c>
      <c r="K72" s="109">
        <v>55</v>
      </c>
      <c r="L72" s="9" t="str">
        <f>IFERROR(MID(VLOOKUP($B72,Seqs!$A:$B,2,0),M72,1),"")</f>
        <v>T</v>
      </c>
      <c r="M72" s="9">
        <v>56</v>
      </c>
      <c r="N72" s="9" t="str">
        <f>IFERROR(MID(VLOOKUP($B72,Seqs!$A:$B,2,0),O72,1),"")</f>
        <v>G</v>
      </c>
      <c r="O72" s="9">
        <v>87</v>
      </c>
      <c r="P72" s="9" t="str">
        <f>IFERROR(MID(VLOOKUP($B72,Seqs!$A:$B,2,0),Q72,1),"")</f>
        <v>Y</v>
      </c>
      <c r="Q72" s="9">
        <v>88</v>
      </c>
      <c r="R72" s="9" t="str">
        <f>IFERROR(MID(VLOOKUP($B72,Seqs!$A:$B,2,0),S72,1),"")</f>
        <v>L</v>
      </c>
      <c r="S72" s="9">
        <v>91</v>
      </c>
      <c r="T72" s="9" t="str">
        <f>IFERROR(MID(VLOOKUP($B72,Seqs!$A:$B,2,0),U72,1),"")</f>
        <v>G</v>
      </c>
      <c r="U72" s="9">
        <v>92</v>
      </c>
      <c r="V72" s="9" t="str">
        <f>IFERROR(MID(VLOOKUP($B72,Seqs!$A:$B,2,0),W72,1),"")</f>
        <v>K</v>
      </c>
      <c r="W72" s="9">
        <v>127</v>
      </c>
      <c r="X72" s="9" t="str">
        <f>IFERROR(MID(VLOOKUP($B72,Seqs!$A:$B,2,0),Y72,1),"")</f>
        <v>P</v>
      </c>
      <c r="Y72" s="9">
        <v>128</v>
      </c>
      <c r="Z72" s="9" t="str">
        <f>IFERROR(MID(VLOOKUP($B72,Seqs!$A:$B,2,0),AA72,1),"")</f>
        <v>R</v>
      </c>
      <c r="AA72" s="9">
        <v>135</v>
      </c>
      <c r="AB72" s="9" t="str">
        <f>IFERROR(MID(VLOOKUP($B72,Seqs!$A:$B,2,0),AC72,1),"")</f>
        <v>T</v>
      </c>
      <c r="AC72" s="9">
        <v>136</v>
      </c>
      <c r="AD72" s="9" t="str">
        <f>IFERROR(MID(VLOOKUP($B72,Seqs!$A:$B,2,0),AE72,1),"")</f>
        <v>V</v>
      </c>
      <c r="AE72" s="9">
        <v>166</v>
      </c>
      <c r="AF72" s="9" t="str">
        <f>IFERROR(MID(VLOOKUP($B72,Seqs!$A:$B,2,0),AG72,1),"")</f>
        <v>C</v>
      </c>
      <c r="AG72" s="9">
        <v>176</v>
      </c>
      <c r="AH72" s="9" t="str">
        <f>IFERROR(MID(VLOOKUP($B72,Seqs!$A:$B,2,0),AI72,1),"")</f>
        <v>I</v>
      </c>
      <c r="AI72" s="9">
        <v>178</v>
      </c>
      <c r="AJ72" s="9" t="str">
        <f>IFERROR(MID(VLOOKUP($B72,Seqs!$A:$B,2,0),AK72,1),"")</f>
        <v>N</v>
      </c>
      <c r="AK72" s="9">
        <v>183</v>
      </c>
      <c r="AL72" s="9" t="str">
        <f>IFERROR(MID(VLOOKUP($B72,Seqs!$A:$B,2,0),AM72,1),"")</f>
        <v>K</v>
      </c>
      <c r="AM72" s="9">
        <v>214</v>
      </c>
      <c r="AN72" s="9" t="str">
        <f>IFERROR(MID(VLOOKUP($B72,Seqs!$A:$B,2,0),AO72,1),"")</f>
        <v>K</v>
      </c>
      <c r="AO72" s="9">
        <v>383</v>
      </c>
      <c r="AP72" s="9" t="str">
        <f>IFERROR(MID(VLOOKUP($B72,Seqs!$A:$B,2,0),AQ72,1),"")</f>
        <v>C</v>
      </c>
      <c r="AQ72" s="9">
        <v>413</v>
      </c>
      <c r="AR72" s="9" t="str">
        <f>IFERROR(MID(VLOOKUP($B72,Seqs!$A:$B,2,0),AS72,1),"")</f>
        <v>P</v>
      </c>
      <c r="AS72" s="9">
        <v>418</v>
      </c>
      <c r="AT72" s="9" t="str">
        <f>IFERROR(MID(VLOOKUP($B72,Seqs!$A:$B,2,0),AU72,1),"")</f>
        <v>A</v>
      </c>
      <c r="AU72" s="9">
        <v>441</v>
      </c>
      <c r="AV72" s="9" t="str">
        <f>IFERROR(MID(VLOOKUP($B72,Seqs!$A:$B,2,0),AW72,1),"")</f>
        <v>N</v>
      </c>
      <c r="AW72" s="9">
        <v>444</v>
      </c>
      <c r="AX72" s="9" t="str">
        <f>IFERROR(MID(VLOOKUP($B72,Seqs!$A:$B,2,0),AY72,1),"")</f>
        <v>M</v>
      </c>
      <c r="AY72" s="9">
        <v>456</v>
      </c>
      <c r="AZ72" s="110" t="str">
        <f>VLOOKUP(B72,Classification!A:D,2,0)</f>
        <v>A</v>
      </c>
      <c r="BA72" s="98" t="str">
        <f>VLOOKUP(B72,Classification!A:D,4,0)</f>
        <v>Acetylcholine(muscarinic)</v>
      </c>
      <c r="BB72" s="36" t="b">
        <f t="shared" ref="BB72" si="282">AND(E72&lt;G72,OR(G72&lt;I72,I72="-"),OR(I72&lt;K72,I72="-"),OR(K72&lt;M72,K72="-"),M72&lt;O72,OR(O72&lt;Q72,Q72="-"),OR(Q72&lt;S72,Q72="-"),OR(S72&lt;U72,S72="-"),U72&lt;W72,OR(W72&lt;Y72,Y72="-"),OR(Y72&lt;AA72,Y72="-"),OR(AA72&lt;AC72,AA72="-"),AC72&lt;AE72,OR(AE72&lt;AG72,AG72="-"),OR(AG72&lt;AI72,AG72="-"),OR(AI72&lt;AK72,AI72="-"),AK72&lt;AM72,AM72&lt;AO72,AO72&lt;AQ72,AQ72&lt;AS72,AS72&lt;AU72,OR(AU72&lt;AW72,AW72="-"),OR(AW72&lt;AY72,AW72="-"))</f>
        <v>1</v>
      </c>
      <c r="BC72" s="109">
        <f t="shared" ref="BC72" si="283">_xlfn.AGGREGATE(9,6,CH72:CS72)-_xlfn.AGGREGATE(9,6,BV72:CG72)+12</f>
        <v>252</v>
      </c>
      <c r="BD72" s="11" t="s">
        <v>23</v>
      </c>
      <c r="BE72" s="9" t="s">
        <v>1381</v>
      </c>
      <c r="BF72" s="120">
        <v>3</v>
      </c>
      <c r="BG72" s="51" t="s">
        <v>1</v>
      </c>
      <c r="BH72" s="51" t="s">
        <v>1</v>
      </c>
      <c r="BJ72" s="111" t="s">
        <v>1293</v>
      </c>
      <c r="BK72" s="112" t="s">
        <v>1293</v>
      </c>
      <c r="BL72" s="112" t="s">
        <v>1293</v>
      </c>
      <c r="BM72" s="112" t="s">
        <v>1293</v>
      </c>
      <c r="BN72" s="112" t="s">
        <v>1293</v>
      </c>
      <c r="BO72" s="112" t="s">
        <v>1293</v>
      </c>
      <c r="BP72" s="112" t="s">
        <v>1293</v>
      </c>
      <c r="BQ72" s="112" t="s">
        <v>1293</v>
      </c>
      <c r="BR72" s="112" t="s">
        <v>1293</v>
      </c>
      <c r="BS72" s="112" t="s">
        <v>1293</v>
      </c>
      <c r="BT72" s="112" t="s">
        <v>1293</v>
      </c>
      <c r="BU72" s="112" t="s">
        <v>1293</v>
      </c>
      <c r="BV72" s="111">
        <f t="shared" ref="BV72" si="284">E72</f>
        <v>18</v>
      </c>
      <c r="BW72" s="113">
        <f t="shared" ref="BW72" si="285">I72</f>
        <v>52</v>
      </c>
      <c r="BX72" s="114">
        <f t="shared" ref="BX72" si="286">M72</f>
        <v>56</v>
      </c>
      <c r="BY72" s="113">
        <f t="shared" ref="BY72" si="287">Q72</f>
        <v>88</v>
      </c>
      <c r="BZ72" s="114">
        <f t="shared" ref="BZ72" si="288">U72</f>
        <v>92</v>
      </c>
      <c r="CA72" s="113">
        <f t="shared" ref="CA72" si="289">Y72</f>
        <v>128</v>
      </c>
      <c r="CB72" s="114">
        <f t="shared" ref="CB72" si="290">AC72</f>
        <v>136</v>
      </c>
      <c r="CC72" s="113">
        <f t="shared" ref="CC72" si="291">AG72</f>
        <v>176</v>
      </c>
      <c r="CD72" s="114">
        <f t="shared" ref="CD72" si="292">AK72</f>
        <v>183</v>
      </c>
      <c r="CE72" s="113">
        <f t="shared" ref="CE72" si="293">AO72</f>
        <v>383</v>
      </c>
      <c r="CF72" s="114">
        <f t="shared" ref="CF72" si="294">AS72</f>
        <v>418</v>
      </c>
      <c r="CG72" s="113">
        <f t="shared" ref="CG72" si="295">AW72</f>
        <v>444</v>
      </c>
      <c r="CH72" s="111">
        <f t="shared" ref="CH72" si="296">G72</f>
        <v>51</v>
      </c>
      <c r="CI72" s="113">
        <f t="shared" ref="CI72" si="297">K72</f>
        <v>55</v>
      </c>
      <c r="CJ72" s="114">
        <f t="shared" ref="CJ72" si="298">O72</f>
        <v>87</v>
      </c>
      <c r="CK72" s="114">
        <f t="shared" ref="CK72" si="299">S72</f>
        <v>91</v>
      </c>
      <c r="CL72" s="114">
        <f t="shared" ref="CL72" si="300">W72</f>
        <v>127</v>
      </c>
      <c r="CM72" s="114">
        <f t="shared" ref="CM72" si="301">AA72</f>
        <v>135</v>
      </c>
      <c r="CN72" s="114">
        <f t="shared" ref="CN72" si="302">AE72</f>
        <v>166</v>
      </c>
      <c r="CO72" s="114">
        <f t="shared" ref="CO72" si="303">AI72</f>
        <v>178</v>
      </c>
      <c r="CP72" s="114">
        <f t="shared" ref="CP72" si="304">AM72</f>
        <v>214</v>
      </c>
      <c r="CQ72" s="114">
        <f t="shared" ref="CQ72" si="305">AQ72</f>
        <v>413</v>
      </c>
      <c r="CR72" s="114">
        <f t="shared" ref="CR72" si="306">AU72</f>
        <v>441</v>
      </c>
      <c r="CS72" s="114">
        <f t="shared" ref="CS72" si="307">AY72</f>
        <v>456</v>
      </c>
      <c r="CT72" s="109">
        <f t="shared" ref="CT72" si="308">M72-K72</f>
        <v>1</v>
      </c>
    </row>
    <row r="73" spans="1:1029" s="12" customFormat="1" x14ac:dyDescent="0.2">
      <c r="A73" s="9" t="str">
        <f t="shared" ref="A73" si="309">CONCATENATE(B73,"_",C73)</f>
        <v>acm2_human_5ZK3</v>
      </c>
      <c r="B73" s="9" t="s">
        <v>147</v>
      </c>
      <c r="C73" s="9" t="s">
        <v>1555</v>
      </c>
      <c r="D73" s="9" t="str">
        <f>IFERROR(MID(VLOOKUP($B73,Seqs!$A:$B,2,0),E73,1),"")</f>
        <v>Y</v>
      </c>
      <c r="E73" s="9">
        <v>18</v>
      </c>
      <c r="F73" s="9" t="str">
        <f>IFERROR(MID(VLOOKUP($B73,Seqs!$A:$B,2,0),G73,1),"")</f>
        <v>N</v>
      </c>
      <c r="G73" s="9">
        <v>51</v>
      </c>
      <c r="H73" s="9" t="str">
        <f>IFERROR(MID(VLOOKUP($B73,Seqs!$A:$B,2,0),I73,1),"")</f>
        <v>R</v>
      </c>
      <c r="I73" s="109">
        <v>52</v>
      </c>
      <c r="J73" s="9" t="str">
        <f>IFERROR(MID(VLOOKUP($B73,Seqs!$A:$B,2,0),K73,1),"")</f>
        <v>Q</v>
      </c>
      <c r="K73" s="109">
        <v>55</v>
      </c>
      <c r="L73" s="9" t="str">
        <f>IFERROR(MID(VLOOKUP($B73,Seqs!$A:$B,2,0),M73,1),"")</f>
        <v>T</v>
      </c>
      <c r="M73" s="9">
        <v>56</v>
      </c>
      <c r="N73" s="9" t="str">
        <f>IFERROR(MID(VLOOKUP($B73,Seqs!$A:$B,2,0),O73,1),"")</f>
        <v>G</v>
      </c>
      <c r="O73" s="9">
        <v>87</v>
      </c>
      <c r="P73" s="9" t="str">
        <f>IFERROR(MID(VLOOKUP($B73,Seqs!$A:$B,2,0),Q73,1),"")</f>
        <v>Y</v>
      </c>
      <c r="Q73" s="9">
        <v>88</v>
      </c>
      <c r="R73" s="9" t="str">
        <f>IFERROR(MID(VLOOKUP($B73,Seqs!$A:$B,2,0),S73,1),"")</f>
        <v>L</v>
      </c>
      <c r="S73" s="9">
        <v>91</v>
      </c>
      <c r="T73" s="9" t="str">
        <f>IFERROR(MID(VLOOKUP($B73,Seqs!$A:$B,2,0),U73,1),"")</f>
        <v>G</v>
      </c>
      <c r="U73" s="9">
        <v>92</v>
      </c>
      <c r="V73" s="9" t="str">
        <f>IFERROR(MID(VLOOKUP($B73,Seqs!$A:$B,2,0),W73,1),"")</f>
        <v>K</v>
      </c>
      <c r="W73" s="9">
        <v>127</v>
      </c>
      <c r="X73" s="9" t="str">
        <f>IFERROR(MID(VLOOKUP($B73,Seqs!$A:$B,2,0),Y73,1),"")</f>
        <v>P</v>
      </c>
      <c r="Y73" s="9">
        <v>128</v>
      </c>
      <c r="Z73" s="9" t="str">
        <f>IFERROR(MID(VLOOKUP($B73,Seqs!$A:$B,2,0),AA73,1),"")</f>
        <v>R</v>
      </c>
      <c r="AA73" s="9">
        <v>135</v>
      </c>
      <c r="AB73" s="9" t="str">
        <f>IFERROR(MID(VLOOKUP($B73,Seqs!$A:$B,2,0),AC73,1),"")</f>
        <v>T</v>
      </c>
      <c r="AC73" s="9">
        <v>136</v>
      </c>
      <c r="AD73" s="9" t="str">
        <f>IFERROR(MID(VLOOKUP($B73,Seqs!$A:$B,2,0),AE73,1),"")</f>
        <v>V</v>
      </c>
      <c r="AE73" s="9">
        <v>166</v>
      </c>
      <c r="AF73" s="9" t="str">
        <f>IFERROR(MID(VLOOKUP($B73,Seqs!$A:$B,2,0),AG73,1),"")</f>
        <v>C</v>
      </c>
      <c r="AG73" s="9">
        <v>176</v>
      </c>
      <c r="AH73" s="9" t="str">
        <f>IFERROR(MID(VLOOKUP($B73,Seqs!$A:$B,2,0),AI73,1),"")</f>
        <v>I</v>
      </c>
      <c r="AI73" s="9">
        <v>178</v>
      </c>
      <c r="AJ73" s="9" t="str">
        <f>IFERROR(MID(VLOOKUP($B73,Seqs!$A:$B,2,0),AK73,1),"")</f>
        <v>N</v>
      </c>
      <c r="AK73" s="9">
        <v>183</v>
      </c>
      <c r="AL73" s="9" t="str">
        <f>IFERROR(MID(VLOOKUP($B73,Seqs!$A:$B,2,0),AM73,1),"")</f>
        <v>K</v>
      </c>
      <c r="AM73" s="9">
        <v>214</v>
      </c>
      <c r="AN73" s="9" t="str">
        <f>IFERROR(MID(VLOOKUP($B73,Seqs!$A:$B,2,0),AO73,1),"")</f>
        <v>E</v>
      </c>
      <c r="AO73" s="9">
        <v>382</v>
      </c>
      <c r="AP73" s="9" t="str">
        <f>IFERROR(MID(VLOOKUP($B73,Seqs!$A:$B,2,0),AQ73,1),"")</f>
        <v>C</v>
      </c>
      <c r="AQ73" s="9">
        <v>413</v>
      </c>
      <c r="AR73" s="9" t="str">
        <f>IFERROR(MID(VLOOKUP($B73,Seqs!$A:$B,2,0),AS73,1),"")</f>
        <v>P</v>
      </c>
      <c r="AS73" s="9">
        <v>418</v>
      </c>
      <c r="AT73" s="9" t="str">
        <f>IFERROR(MID(VLOOKUP($B73,Seqs!$A:$B,2,0),AU73,1),"")</f>
        <v>A</v>
      </c>
      <c r="AU73" s="9">
        <v>441</v>
      </c>
      <c r="AV73" s="9" t="str">
        <f>IFERROR(MID(VLOOKUP($B73,Seqs!$A:$B,2,0),AW73,1),"")</f>
        <v>N</v>
      </c>
      <c r="AW73" s="9">
        <v>444</v>
      </c>
      <c r="AX73" s="9" t="str">
        <f>IFERROR(MID(VLOOKUP($B73,Seqs!$A:$B,2,0),AY73,1),"")</f>
        <v>M</v>
      </c>
      <c r="AY73" s="9">
        <v>456</v>
      </c>
      <c r="AZ73" s="110" t="str">
        <f>VLOOKUP(B73,Classification!A:D,2,0)</f>
        <v>A</v>
      </c>
      <c r="BA73" s="98" t="str">
        <f>VLOOKUP(B73,Classification!A:D,4,0)</f>
        <v>Acetylcholine(muscarinic)</v>
      </c>
      <c r="BB73" s="36" t="b">
        <f t="shared" ref="BB73" si="310">AND(E73&lt;G73,OR(G73&lt;I73,I73="-"),OR(I73&lt;K73,I73="-"),OR(K73&lt;M73,K73="-"),M73&lt;O73,OR(O73&lt;Q73,Q73="-"),OR(Q73&lt;S73,Q73="-"),OR(S73&lt;U73,S73="-"),U73&lt;W73,OR(W73&lt;Y73,Y73="-"),OR(Y73&lt;AA73,Y73="-"),OR(AA73&lt;AC73,AA73="-"),AC73&lt;AE73,OR(AE73&lt;AG73,AG73="-"),OR(AG73&lt;AI73,AG73="-"),OR(AI73&lt;AK73,AI73="-"),AK73&lt;AM73,AM73&lt;AO73,AO73&lt;AQ73,AQ73&lt;AS73,AS73&lt;AU73,OR(AU73&lt;AW73,AW73="-"),OR(AW73&lt;AY73,AW73="-"))</f>
        <v>1</v>
      </c>
      <c r="BC73" s="109">
        <f t="shared" ref="BC73" si="311">_xlfn.AGGREGATE(9,6,CH73:CS73)-_xlfn.AGGREGATE(9,6,BV73:CG73)+12</f>
        <v>253</v>
      </c>
      <c r="BD73" s="11" t="s">
        <v>23</v>
      </c>
      <c r="BE73" s="9" t="s">
        <v>1381</v>
      </c>
      <c r="BF73" s="120">
        <v>2.6</v>
      </c>
      <c r="BG73" s="51" t="s">
        <v>1</v>
      </c>
      <c r="BH73" s="51" t="s">
        <v>1</v>
      </c>
      <c r="BJ73" s="111" t="s">
        <v>1293</v>
      </c>
      <c r="BK73" s="112" t="s">
        <v>1293</v>
      </c>
      <c r="BL73" s="112" t="s">
        <v>1293</v>
      </c>
      <c r="BM73" s="112" t="s">
        <v>1293</v>
      </c>
      <c r="BN73" s="112" t="s">
        <v>1293</v>
      </c>
      <c r="BO73" s="112" t="s">
        <v>1293</v>
      </c>
      <c r="BP73" s="112" t="s">
        <v>1293</v>
      </c>
      <c r="BQ73" s="112" t="s">
        <v>1293</v>
      </c>
      <c r="BR73" s="112" t="s">
        <v>1293</v>
      </c>
      <c r="BS73" s="112" t="s">
        <v>1293</v>
      </c>
      <c r="BT73" s="112" t="s">
        <v>1293</v>
      </c>
      <c r="BU73" s="112" t="s">
        <v>1293</v>
      </c>
      <c r="BV73" s="111">
        <f t="shared" ref="BV73" si="312">E73</f>
        <v>18</v>
      </c>
      <c r="BW73" s="113">
        <f t="shared" ref="BW73" si="313">I73</f>
        <v>52</v>
      </c>
      <c r="BX73" s="114">
        <f t="shared" ref="BX73" si="314">M73</f>
        <v>56</v>
      </c>
      <c r="BY73" s="113">
        <f t="shared" ref="BY73" si="315">Q73</f>
        <v>88</v>
      </c>
      <c r="BZ73" s="114">
        <f t="shared" ref="BZ73" si="316">U73</f>
        <v>92</v>
      </c>
      <c r="CA73" s="113">
        <f t="shared" ref="CA73" si="317">Y73</f>
        <v>128</v>
      </c>
      <c r="CB73" s="114">
        <f t="shared" ref="CB73" si="318">AC73</f>
        <v>136</v>
      </c>
      <c r="CC73" s="113">
        <f t="shared" ref="CC73" si="319">AG73</f>
        <v>176</v>
      </c>
      <c r="CD73" s="114">
        <f t="shared" ref="CD73" si="320">AK73</f>
        <v>183</v>
      </c>
      <c r="CE73" s="113">
        <f t="shared" ref="CE73" si="321">AO73</f>
        <v>382</v>
      </c>
      <c r="CF73" s="114">
        <f t="shared" ref="CF73" si="322">AS73</f>
        <v>418</v>
      </c>
      <c r="CG73" s="113">
        <f t="shared" ref="CG73" si="323">AW73</f>
        <v>444</v>
      </c>
      <c r="CH73" s="111">
        <f t="shared" ref="CH73" si="324">G73</f>
        <v>51</v>
      </c>
      <c r="CI73" s="113">
        <f t="shared" ref="CI73" si="325">K73</f>
        <v>55</v>
      </c>
      <c r="CJ73" s="114">
        <f t="shared" ref="CJ73" si="326">O73</f>
        <v>87</v>
      </c>
      <c r="CK73" s="114">
        <f t="shared" ref="CK73" si="327">S73</f>
        <v>91</v>
      </c>
      <c r="CL73" s="114">
        <f t="shared" ref="CL73" si="328">W73</f>
        <v>127</v>
      </c>
      <c r="CM73" s="114">
        <f t="shared" ref="CM73" si="329">AA73</f>
        <v>135</v>
      </c>
      <c r="CN73" s="114">
        <f t="shared" ref="CN73" si="330">AE73</f>
        <v>166</v>
      </c>
      <c r="CO73" s="114">
        <f t="shared" ref="CO73" si="331">AI73</f>
        <v>178</v>
      </c>
      <c r="CP73" s="114">
        <f t="shared" ref="CP73" si="332">AM73</f>
        <v>214</v>
      </c>
      <c r="CQ73" s="114">
        <f t="shared" ref="CQ73" si="333">AQ73</f>
        <v>413</v>
      </c>
      <c r="CR73" s="114">
        <f t="shared" ref="CR73" si="334">AU73</f>
        <v>441</v>
      </c>
      <c r="CS73" s="114">
        <f t="shared" ref="CS73" si="335">AY73</f>
        <v>456</v>
      </c>
      <c r="CT73" s="109">
        <f t="shared" ref="CT73" si="336">M73-K73</f>
        <v>1</v>
      </c>
    </row>
    <row r="74" spans="1:1029" s="12" customFormat="1" x14ac:dyDescent="0.2">
      <c r="A74" s="9" t="str">
        <f t="shared" ref="A74" si="337">CONCATENATE(B74,"_",C74)</f>
        <v>acm2_human_5YC8</v>
      </c>
      <c r="B74" s="9" t="s">
        <v>147</v>
      </c>
      <c r="C74" s="9" t="s">
        <v>1556</v>
      </c>
      <c r="D74" s="9" t="str">
        <f>IFERROR(MID(VLOOKUP($B74,Seqs!$A:$B,2,0),E74,1),"")</f>
        <v>Y</v>
      </c>
      <c r="E74" s="9">
        <v>18</v>
      </c>
      <c r="F74" s="9" t="str">
        <f>IFERROR(MID(VLOOKUP($B74,Seqs!$A:$B,2,0),G74,1),"")</f>
        <v>N</v>
      </c>
      <c r="G74" s="9">
        <v>51</v>
      </c>
      <c r="H74" s="9" t="str">
        <f>IFERROR(MID(VLOOKUP($B74,Seqs!$A:$B,2,0),I74,1),"")</f>
        <v>R</v>
      </c>
      <c r="I74" s="109">
        <v>52</v>
      </c>
      <c r="J74" s="9" t="str">
        <f>IFERROR(MID(VLOOKUP($B74,Seqs!$A:$B,2,0),K74,1),"")</f>
        <v>Q</v>
      </c>
      <c r="K74" s="109">
        <v>55</v>
      </c>
      <c r="L74" s="9" t="str">
        <f>IFERROR(MID(VLOOKUP($B74,Seqs!$A:$B,2,0),M74,1),"")</f>
        <v>T</v>
      </c>
      <c r="M74" s="9">
        <v>56</v>
      </c>
      <c r="N74" s="9" t="str">
        <f>IFERROR(MID(VLOOKUP($B74,Seqs!$A:$B,2,0),O74,1),"")</f>
        <v>G</v>
      </c>
      <c r="O74" s="9">
        <v>87</v>
      </c>
      <c r="P74" s="9" t="str">
        <f>IFERROR(MID(VLOOKUP($B74,Seqs!$A:$B,2,0),Q74,1),"")</f>
        <v>Y</v>
      </c>
      <c r="Q74" s="9">
        <v>88</v>
      </c>
      <c r="R74" s="9" t="str">
        <f>IFERROR(MID(VLOOKUP($B74,Seqs!$A:$B,2,0),S74,1),"")</f>
        <v>L</v>
      </c>
      <c r="S74" s="9">
        <v>91</v>
      </c>
      <c r="T74" s="9" t="str">
        <f>IFERROR(MID(VLOOKUP($B74,Seqs!$A:$B,2,0),U74,1),"")</f>
        <v>G</v>
      </c>
      <c r="U74" s="9">
        <v>92</v>
      </c>
      <c r="V74" s="9" t="str">
        <f>IFERROR(MID(VLOOKUP($B74,Seqs!$A:$B,2,0),W74,1),"")</f>
        <v>K</v>
      </c>
      <c r="W74" s="9">
        <v>127</v>
      </c>
      <c r="X74" s="9" t="str">
        <f>IFERROR(MID(VLOOKUP($B74,Seqs!$A:$B,2,0),Y74,1),"")</f>
        <v>P</v>
      </c>
      <c r="Y74" s="9">
        <v>128</v>
      </c>
      <c r="Z74" s="9" t="str">
        <f>IFERROR(MID(VLOOKUP($B74,Seqs!$A:$B,2,0),AA74,1),"")</f>
        <v>R</v>
      </c>
      <c r="AA74" s="9">
        <v>135</v>
      </c>
      <c r="AB74" s="9" t="str">
        <f>IFERROR(MID(VLOOKUP($B74,Seqs!$A:$B,2,0),AC74,1),"")</f>
        <v>T</v>
      </c>
      <c r="AC74" s="9">
        <v>136</v>
      </c>
      <c r="AD74" s="9" t="str">
        <f>IFERROR(MID(VLOOKUP($B74,Seqs!$A:$B,2,0),AE74,1),"")</f>
        <v>V</v>
      </c>
      <c r="AE74" s="9">
        <v>166</v>
      </c>
      <c r="AF74" s="9" t="str">
        <f>IFERROR(MID(VLOOKUP($B74,Seqs!$A:$B,2,0),AG74,1),"")</f>
        <v>C</v>
      </c>
      <c r="AG74" s="9">
        <v>176</v>
      </c>
      <c r="AH74" s="9" t="str">
        <f>IFERROR(MID(VLOOKUP($B74,Seqs!$A:$B,2,0),AI74,1),"")</f>
        <v>I</v>
      </c>
      <c r="AI74" s="9">
        <v>178</v>
      </c>
      <c r="AJ74" s="9" t="str">
        <f>IFERROR(MID(VLOOKUP($B74,Seqs!$A:$B,2,0),AK74,1),"")</f>
        <v>N</v>
      </c>
      <c r="AK74" s="9">
        <v>183</v>
      </c>
      <c r="AL74" s="9" t="str">
        <f>IFERROR(MID(VLOOKUP($B74,Seqs!$A:$B,2,0),AM74,1),"")</f>
        <v>K</v>
      </c>
      <c r="AM74" s="9">
        <v>214</v>
      </c>
      <c r="AN74" s="9" t="str">
        <f>IFERROR(MID(VLOOKUP($B74,Seqs!$A:$B,2,0),AO74,1),"")</f>
        <v>R</v>
      </c>
      <c r="AO74" s="9">
        <v>381</v>
      </c>
      <c r="AP74" s="9" t="str">
        <f>IFERROR(MID(VLOOKUP($B74,Seqs!$A:$B,2,0),AQ74,1),"")</f>
        <v>C</v>
      </c>
      <c r="AQ74" s="9">
        <v>413</v>
      </c>
      <c r="AR74" s="9" t="str">
        <f>IFERROR(MID(VLOOKUP($B74,Seqs!$A:$B,2,0),AS74,1),"")</f>
        <v>P</v>
      </c>
      <c r="AS74" s="9">
        <v>418</v>
      </c>
      <c r="AT74" s="9" t="str">
        <f>IFERROR(MID(VLOOKUP($B74,Seqs!$A:$B,2,0),AU74,1),"")</f>
        <v>A</v>
      </c>
      <c r="AU74" s="9">
        <v>441</v>
      </c>
      <c r="AV74" s="9" t="str">
        <f>IFERROR(MID(VLOOKUP($B74,Seqs!$A:$B,2,0),AW74,1),"")</f>
        <v>N</v>
      </c>
      <c r="AW74" s="9">
        <v>444</v>
      </c>
      <c r="AX74" s="9" t="str">
        <f>IFERROR(MID(VLOOKUP($B74,Seqs!$A:$B,2,0),AY74,1),"")</f>
        <v>M</v>
      </c>
      <c r="AY74" s="9">
        <v>456</v>
      </c>
      <c r="AZ74" s="110" t="str">
        <f>VLOOKUP(B74,Classification!A:D,2,0)</f>
        <v>A</v>
      </c>
      <c r="BA74" s="98" t="str">
        <f>VLOOKUP(B74,Classification!A:D,4,0)</f>
        <v>Acetylcholine(muscarinic)</v>
      </c>
      <c r="BB74" s="36" t="b">
        <f t="shared" ref="BB74" si="338">AND(E74&lt;G74,OR(G74&lt;I74,I74="-"),OR(I74&lt;K74,I74="-"),OR(K74&lt;M74,K74="-"),M74&lt;O74,OR(O74&lt;Q74,Q74="-"),OR(Q74&lt;S74,Q74="-"),OR(S74&lt;U74,S74="-"),U74&lt;W74,OR(W74&lt;Y74,Y74="-"),OR(Y74&lt;AA74,Y74="-"),OR(AA74&lt;AC74,AA74="-"),AC74&lt;AE74,OR(AE74&lt;AG74,AG74="-"),OR(AG74&lt;AI74,AG74="-"),OR(AI74&lt;AK74,AI74="-"),AK74&lt;AM74,AM74&lt;AO74,AO74&lt;AQ74,AQ74&lt;AS74,AS74&lt;AU74,OR(AU74&lt;AW74,AW74="-"),OR(AW74&lt;AY74,AW74="-"))</f>
        <v>1</v>
      </c>
      <c r="BC74" s="109">
        <f t="shared" ref="BC74" si="339">_xlfn.AGGREGATE(9,6,CH74:CS74)-_xlfn.AGGREGATE(9,6,BV74:CG74)+12</f>
        <v>254</v>
      </c>
      <c r="BD74" s="11" t="s">
        <v>23</v>
      </c>
      <c r="BE74" s="9" t="s">
        <v>1381</v>
      </c>
      <c r="BF74" s="120">
        <v>2.5</v>
      </c>
      <c r="BG74" s="51" t="s">
        <v>1</v>
      </c>
      <c r="BH74" s="51" t="s">
        <v>1</v>
      </c>
      <c r="BJ74" s="111" t="s">
        <v>1293</v>
      </c>
      <c r="BK74" s="112" t="s">
        <v>1293</v>
      </c>
      <c r="BL74" s="112" t="s">
        <v>1293</v>
      </c>
      <c r="BM74" s="112" t="s">
        <v>1293</v>
      </c>
      <c r="BN74" s="112" t="s">
        <v>1293</v>
      </c>
      <c r="BO74" s="112" t="s">
        <v>1293</v>
      </c>
      <c r="BP74" s="112" t="s">
        <v>1293</v>
      </c>
      <c r="BQ74" s="112" t="s">
        <v>1293</v>
      </c>
      <c r="BR74" s="112" t="s">
        <v>1293</v>
      </c>
      <c r="BS74" s="112" t="s">
        <v>1293</v>
      </c>
      <c r="BT74" s="112" t="s">
        <v>1293</v>
      </c>
      <c r="BU74" s="112" t="s">
        <v>1293</v>
      </c>
      <c r="BV74" s="111">
        <f t="shared" ref="BV74" si="340">E74</f>
        <v>18</v>
      </c>
      <c r="BW74" s="113">
        <f t="shared" ref="BW74" si="341">I74</f>
        <v>52</v>
      </c>
      <c r="BX74" s="114">
        <f t="shared" ref="BX74" si="342">M74</f>
        <v>56</v>
      </c>
      <c r="BY74" s="113">
        <f t="shared" ref="BY74" si="343">Q74</f>
        <v>88</v>
      </c>
      <c r="BZ74" s="114">
        <f t="shared" ref="BZ74" si="344">U74</f>
        <v>92</v>
      </c>
      <c r="CA74" s="113">
        <f t="shared" ref="CA74" si="345">Y74</f>
        <v>128</v>
      </c>
      <c r="CB74" s="114">
        <f t="shared" ref="CB74" si="346">AC74</f>
        <v>136</v>
      </c>
      <c r="CC74" s="113">
        <f t="shared" ref="CC74" si="347">AG74</f>
        <v>176</v>
      </c>
      <c r="CD74" s="114">
        <f t="shared" ref="CD74" si="348">AK74</f>
        <v>183</v>
      </c>
      <c r="CE74" s="113">
        <f t="shared" ref="CE74" si="349">AO74</f>
        <v>381</v>
      </c>
      <c r="CF74" s="114">
        <f t="shared" ref="CF74" si="350">AS74</f>
        <v>418</v>
      </c>
      <c r="CG74" s="113">
        <f t="shared" ref="CG74" si="351">AW74</f>
        <v>444</v>
      </c>
      <c r="CH74" s="111">
        <f t="shared" ref="CH74" si="352">G74</f>
        <v>51</v>
      </c>
      <c r="CI74" s="113">
        <f t="shared" ref="CI74" si="353">K74</f>
        <v>55</v>
      </c>
      <c r="CJ74" s="114">
        <f t="shared" ref="CJ74" si="354">O74</f>
        <v>87</v>
      </c>
      <c r="CK74" s="114">
        <f t="shared" ref="CK74" si="355">S74</f>
        <v>91</v>
      </c>
      <c r="CL74" s="114">
        <f t="shared" ref="CL74" si="356">W74</f>
        <v>127</v>
      </c>
      <c r="CM74" s="114">
        <f t="shared" ref="CM74" si="357">AA74</f>
        <v>135</v>
      </c>
      <c r="CN74" s="114">
        <f t="shared" ref="CN74" si="358">AE74</f>
        <v>166</v>
      </c>
      <c r="CO74" s="114">
        <f t="shared" ref="CO74" si="359">AI74</f>
        <v>178</v>
      </c>
      <c r="CP74" s="114">
        <f t="shared" ref="CP74" si="360">AM74</f>
        <v>214</v>
      </c>
      <c r="CQ74" s="114">
        <f t="shared" ref="CQ74" si="361">AQ74</f>
        <v>413</v>
      </c>
      <c r="CR74" s="114">
        <f t="shared" ref="CR74" si="362">AU74</f>
        <v>441</v>
      </c>
      <c r="CS74" s="114">
        <f t="shared" ref="CS74" si="363">AY74</f>
        <v>456</v>
      </c>
      <c r="CT74" s="109">
        <f t="shared" ref="CT74" si="364">M74-K74</f>
        <v>1</v>
      </c>
    </row>
    <row r="75" spans="1:1029" x14ac:dyDescent="0.2">
      <c r="A75" s="3" t="str">
        <f t="shared" si="223"/>
        <v>acm3_rat__wt</v>
      </c>
      <c r="B75" s="3" t="s">
        <v>910</v>
      </c>
      <c r="C75" s="3" t="s">
        <v>100</v>
      </c>
      <c r="D75" s="3" t="str">
        <f>IFERROR(MID(VLOOKUP($B75,Seqs!$A:$B,2,0),E75,1),"")</f>
        <v>I</v>
      </c>
      <c r="E75" s="3">
        <v>64</v>
      </c>
      <c r="F75" s="3" t="str">
        <f>IFERROR(MID(VLOOKUP($B75,Seqs!$A:$B,2,0),G75,1),"")</f>
        <v>N</v>
      </c>
      <c r="G75" s="3">
        <v>95</v>
      </c>
      <c r="H75" s="3" t="str">
        <f>IFERROR(MID(VLOOKUP($B75,Seqs!$A:$B,2,0),I75,1),"")</f>
        <v>K</v>
      </c>
      <c r="I75" s="23">
        <v>96</v>
      </c>
      <c r="J75" s="3" t="str">
        <f>IFERROR(MID(VLOOKUP($B75,Seqs!$A:$B,2,0),K75,1),"")</f>
        <v>K</v>
      </c>
      <c r="K75" s="23">
        <v>99</v>
      </c>
      <c r="L75" s="3" t="str">
        <f>IFERROR(MID(VLOOKUP($B75,Seqs!$A:$B,2,0),M75,1),"")</f>
        <v>T</v>
      </c>
      <c r="M75" s="3">
        <v>100</v>
      </c>
      <c r="N75" s="3" t="str">
        <f>IFERROR(MID(VLOOKUP($B75,Seqs!$A:$B,2,0),O75,1),"")</f>
        <v>M</v>
      </c>
      <c r="O75" s="3">
        <v>130</v>
      </c>
      <c r="P75" s="3" t="str">
        <f>IFERROR(MID(VLOOKUP($B75,Seqs!$A:$B,2,0),Q75,1),"")</f>
        <v>R</v>
      </c>
      <c r="Q75" s="3">
        <v>132</v>
      </c>
      <c r="R75" s="3" t="str">
        <f>IFERROR(MID(VLOOKUP($B75,Seqs!$A:$B,2,0),S75,1),"")</f>
        <v>L</v>
      </c>
      <c r="S75" s="3">
        <v>135</v>
      </c>
      <c r="T75" s="3" t="str">
        <f>IFERROR(MID(VLOOKUP($B75,Seqs!$A:$B,2,0),U75,1),"")</f>
        <v>G</v>
      </c>
      <c r="U75" s="3">
        <v>136</v>
      </c>
      <c r="V75" s="3" t="str">
        <f>IFERROR(MID(VLOOKUP($B75,Seqs!$A:$B,2,0),W75,1),"")</f>
        <v>R</v>
      </c>
      <c r="W75" s="3">
        <v>171</v>
      </c>
      <c r="X75" s="3" t="str">
        <f>IFERROR(MID(VLOOKUP($B75,Seqs!$A:$B,2,0),Y75,1),"")</f>
        <v>P</v>
      </c>
      <c r="Y75" s="3">
        <v>172</v>
      </c>
      <c r="Z75" s="3" t="str">
        <f>IFERROR(MID(VLOOKUP($B75,Seqs!$A:$B,2,0),AA75,1),"")</f>
        <v>R</v>
      </c>
      <c r="AA75" s="3">
        <v>179</v>
      </c>
      <c r="AB75" s="3" t="str">
        <f>IFERROR(MID(VLOOKUP($B75,Seqs!$A:$B,2,0),AC75,1),"")</f>
        <v>T</v>
      </c>
      <c r="AC75" s="9">
        <v>180</v>
      </c>
      <c r="AD75" s="3" t="str">
        <f>IFERROR(MID(VLOOKUP($B75,Seqs!$A:$B,2,0),AE75,1),"")</f>
        <v>G</v>
      </c>
      <c r="AE75" s="3">
        <v>211</v>
      </c>
      <c r="AF75" s="3" t="str">
        <f>IFERROR(MID(VLOOKUP($B75,Seqs!$A:$B,2,0),AG75,1),"")</f>
        <v>C</v>
      </c>
      <c r="AG75" s="3">
        <v>220</v>
      </c>
      <c r="AH75" s="3" t="str">
        <f>IFERROR(MID(VLOOKUP($B75,Seqs!$A:$B,2,0),AI75,1),"")</f>
        <v>I</v>
      </c>
      <c r="AI75" s="3">
        <v>222</v>
      </c>
      <c r="AJ75" s="3" t="str">
        <f>IFERROR(MID(VLOOKUP($B75,Seqs!$A:$B,2,0),AK75,1),"")</f>
        <v>E</v>
      </c>
      <c r="AK75" s="3">
        <v>227</v>
      </c>
      <c r="AL75" s="3" t="str">
        <f>IFERROR(MID(VLOOKUP($B75,Seqs!$A:$B,2,0),AM75,1),"")</f>
        <v>L</v>
      </c>
      <c r="AM75" s="3">
        <v>267</v>
      </c>
      <c r="AN75" s="3" t="str">
        <f>IFERROR(MID(VLOOKUP($B75,Seqs!$A:$B,2,0),AO75,1),"")</f>
        <v>R</v>
      </c>
      <c r="AO75" s="3">
        <v>479</v>
      </c>
      <c r="AP75" s="3" t="str">
        <f>IFERROR(MID(VLOOKUP($B75,Seqs!$A:$B,2,0),AQ75,1),"")</f>
        <v>C</v>
      </c>
      <c r="AQ75" s="3">
        <v>516</v>
      </c>
      <c r="AR75" s="3" t="str">
        <f>IFERROR(MID(VLOOKUP($B75,Seqs!$A:$B,2,0),AS75,1),"")</f>
        <v>P</v>
      </c>
      <c r="AS75" s="3">
        <v>521</v>
      </c>
      <c r="AT75" s="3" t="str">
        <f>IFERROR(MID(VLOOKUP($B75,Seqs!$A:$B,2,0),AU75,1),"")</f>
        <v>C</v>
      </c>
      <c r="AU75" s="3">
        <v>546</v>
      </c>
      <c r="AV75" s="3" t="str">
        <f>IFERROR(MID(VLOOKUP($B75,Seqs!$A:$B,2,0),AW75,1),"")</f>
        <v>N</v>
      </c>
      <c r="AW75" s="3">
        <v>547</v>
      </c>
      <c r="AX75" s="3" t="str">
        <f>IFERROR(MID(VLOOKUP($B75,Seqs!$A:$B,2,0),AY75,1),"")</f>
        <v>L</v>
      </c>
      <c r="AY75" s="3">
        <v>558</v>
      </c>
      <c r="AZ75" s="77" t="str">
        <f>VLOOKUP(B75,Classification!A:D,2,0)</f>
        <v>A</v>
      </c>
      <c r="BA75" s="94" t="str">
        <f>VLOOKUP(B75,Classification!A:D,4,0)</f>
        <v>Acetylcholine(muscarinic)</v>
      </c>
      <c r="BB75" s="27" t="b">
        <f t="shared" si="224"/>
        <v>1</v>
      </c>
      <c r="BC75" s="23">
        <f t="shared" si="169"/>
        <v>267</v>
      </c>
      <c r="BD75" s="56" t="s">
        <v>1379</v>
      </c>
      <c r="BE75" s="3" t="s">
        <v>23</v>
      </c>
      <c r="BF75" s="119" t="s">
        <v>23</v>
      </c>
      <c r="BG75" s="49" t="s">
        <v>1379</v>
      </c>
      <c r="BH75" s="49" t="s">
        <v>1384</v>
      </c>
      <c r="BI75" s="1"/>
      <c r="BJ75" s="70" t="s">
        <v>1293</v>
      </c>
      <c r="BK75" s="57" t="s">
        <v>1293</v>
      </c>
      <c r="BL75" s="57" t="s">
        <v>1293</v>
      </c>
      <c r="BM75" s="57" t="s">
        <v>1293</v>
      </c>
      <c r="BN75" s="57" t="s">
        <v>1293</v>
      </c>
      <c r="BO75" s="57" t="s">
        <v>1293</v>
      </c>
      <c r="BP75" s="57" t="s">
        <v>1293</v>
      </c>
      <c r="BQ75" s="57" t="s">
        <v>1293</v>
      </c>
      <c r="BR75" s="57" t="s">
        <v>1293</v>
      </c>
      <c r="BS75" s="57" t="s">
        <v>1293</v>
      </c>
      <c r="BT75" s="57" t="s">
        <v>1293</v>
      </c>
      <c r="BU75" s="57" t="s">
        <v>1293</v>
      </c>
      <c r="BV75" s="70">
        <f t="shared" si="170"/>
        <v>64</v>
      </c>
      <c r="BW75" s="71">
        <f t="shared" si="171"/>
        <v>96</v>
      </c>
      <c r="BX75" s="72">
        <f t="shared" si="172"/>
        <v>100</v>
      </c>
      <c r="BY75" s="71">
        <f t="shared" si="173"/>
        <v>132</v>
      </c>
      <c r="BZ75" s="72">
        <f t="shared" si="174"/>
        <v>136</v>
      </c>
      <c r="CA75" s="71">
        <f t="shared" si="175"/>
        <v>172</v>
      </c>
      <c r="CB75" s="72">
        <f t="shared" si="176"/>
        <v>180</v>
      </c>
      <c r="CC75" s="71">
        <f t="shared" si="177"/>
        <v>220</v>
      </c>
      <c r="CD75" s="72">
        <f t="shared" si="178"/>
        <v>227</v>
      </c>
      <c r="CE75" s="71">
        <f t="shared" si="179"/>
        <v>479</v>
      </c>
      <c r="CF75" s="72">
        <f t="shared" si="180"/>
        <v>521</v>
      </c>
      <c r="CG75" s="71">
        <f t="shared" si="181"/>
        <v>547</v>
      </c>
      <c r="CH75" s="70">
        <f t="shared" si="182"/>
        <v>95</v>
      </c>
      <c r="CI75" s="71">
        <f t="shared" si="183"/>
        <v>99</v>
      </c>
      <c r="CJ75" s="72">
        <f t="shared" si="184"/>
        <v>130</v>
      </c>
      <c r="CK75" s="72">
        <f t="shared" si="185"/>
        <v>135</v>
      </c>
      <c r="CL75" s="72">
        <f t="shared" si="186"/>
        <v>171</v>
      </c>
      <c r="CM75" s="72">
        <f t="shared" si="187"/>
        <v>179</v>
      </c>
      <c r="CN75" s="72">
        <f t="shared" si="188"/>
        <v>211</v>
      </c>
      <c r="CO75" s="72">
        <f t="shared" si="189"/>
        <v>222</v>
      </c>
      <c r="CP75" s="72">
        <f t="shared" si="190"/>
        <v>267</v>
      </c>
      <c r="CQ75" s="72">
        <f t="shared" si="191"/>
        <v>516</v>
      </c>
      <c r="CR75" s="72">
        <f t="shared" si="192"/>
        <v>546</v>
      </c>
      <c r="CS75" s="72">
        <f t="shared" si="193"/>
        <v>558</v>
      </c>
      <c r="CT75" s="23">
        <f t="shared" si="194"/>
        <v>1</v>
      </c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  <c r="OK75" s="1"/>
      <c r="OL75" s="1"/>
      <c r="OM75" s="1"/>
      <c r="ON75" s="1"/>
      <c r="OO75" s="1"/>
      <c r="OP75" s="1"/>
      <c r="OQ75" s="1"/>
      <c r="OR75" s="1"/>
      <c r="OS75" s="1"/>
      <c r="OT75" s="1"/>
      <c r="OU75" s="1"/>
      <c r="OV75" s="1"/>
      <c r="OW75" s="1"/>
      <c r="OX75" s="1"/>
      <c r="OY75" s="1"/>
      <c r="OZ75" s="1"/>
      <c r="PA75" s="1"/>
      <c r="PB75" s="1"/>
      <c r="PC75" s="1"/>
      <c r="PD75" s="1"/>
      <c r="PE75" s="1"/>
      <c r="PF75" s="1"/>
      <c r="PG75" s="1"/>
      <c r="PH75" s="1"/>
      <c r="PI75" s="1"/>
      <c r="PJ75" s="1"/>
      <c r="PK75" s="1"/>
      <c r="PL75" s="1"/>
      <c r="PM75" s="1"/>
      <c r="PN75" s="1"/>
      <c r="PO75" s="1"/>
      <c r="PP75" s="1"/>
      <c r="PQ75" s="1"/>
      <c r="PR75" s="1"/>
      <c r="PS75" s="1"/>
      <c r="PT75" s="1"/>
      <c r="PU75" s="1"/>
      <c r="PV75" s="1"/>
      <c r="PW75" s="1"/>
      <c r="PX75" s="1"/>
      <c r="PY75" s="1"/>
      <c r="PZ75" s="1"/>
      <c r="QA75" s="1"/>
      <c r="QB75" s="1"/>
      <c r="QC75" s="1"/>
      <c r="QD75" s="1"/>
      <c r="QE75" s="1"/>
      <c r="QF75" s="1"/>
      <c r="QG75" s="1"/>
      <c r="QH75" s="1"/>
      <c r="QI75" s="1"/>
      <c r="QJ75" s="1"/>
      <c r="QK75" s="1"/>
      <c r="QL75" s="1"/>
      <c r="QM75" s="1"/>
      <c r="QN75" s="1"/>
      <c r="QO75" s="1"/>
      <c r="QP75" s="1"/>
      <c r="QQ75" s="1"/>
      <c r="QR75" s="1"/>
      <c r="QS75" s="1"/>
      <c r="QT75" s="1"/>
      <c r="QU75" s="1"/>
      <c r="QV75" s="1"/>
      <c r="QW75" s="1"/>
      <c r="QX75" s="1"/>
      <c r="QY75" s="1"/>
      <c r="QZ75" s="1"/>
      <c r="RA75" s="1"/>
      <c r="RB75" s="1"/>
      <c r="RC75" s="1"/>
      <c r="RD75" s="1"/>
      <c r="RE75" s="1"/>
      <c r="RF75" s="1"/>
      <c r="RG75" s="1"/>
      <c r="RH75" s="1"/>
      <c r="RI75" s="1"/>
      <c r="RJ75" s="1"/>
      <c r="RK75" s="1"/>
      <c r="RL75" s="1"/>
      <c r="RM75" s="1"/>
      <c r="RN75" s="1"/>
      <c r="RO75" s="1"/>
      <c r="RP75" s="1"/>
      <c r="RQ75" s="1"/>
      <c r="RR75" s="1"/>
      <c r="RS75" s="1"/>
      <c r="RT75" s="1"/>
      <c r="RU75" s="1"/>
      <c r="RV75" s="1"/>
      <c r="RW75" s="1"/>
      <c r="RX75" s="1"/>
      <c r="RY75" s="1"/>
      <c r="RZ75" s="1"/>
      <c r="SA75" s="1"/>
      <c r="SB75" s="1"/>
      <c r="SC75" s="1"/>
      <c r="SD75" s="1"/>
      <c r="SE75" s="1"/>
      <c r="SF75" s="1"/>
      <c r="SG75" s="1"/>
      <c r="SH75" s="1"/>
      <c r="SI75" s="1"/>
      <c r="SJ75" s="1"/>
      <c r="SK75" s="1"/>
      <c r="SL75" s="1"/>
      <c r="SM75" s="1"/>
      <c r="SN75" s="1"/>
      <c r="SO75" s="1"/>
      <c r="SP75" s="1"/>
      <c r="SQ75" s="1"/>
      <c r="SR75" s="1"/>
      <c r="SS75" s="1"/>
      <c r="ST75" s="1"/>
      <c r="SU75" s="1"/>
      <c r="SV75" s="1"/>
      <c r="SW75" s="1"/>
      <c r="SX75" s="1"/>
      <c r="SY75" s="1"/>
      <c r="SZ75" s="1"/>
      <c r="TA75" s="1"/>
      <c r="TB75" s="1"/>
      <c r="TC75" s="1"/>
      <c r="TD75" s="1"/>
      <c r="TE75" s="1"/>
      <c r="TF75" s="1"/>
      <c r="TG75" s="1"/>
      <c r="TH75" s="1"/>
      <c r="TI75" s="1"/>
      <c r="TJ75" s="1"/>
      <c r="TK75" s="1"/>
      <c r="TL75" s="1"/>
      <c r="TM75" s="1"/>
      <c r="TN75" s="1"/>
      <c r="TO75" s="1"/>
      <c r="TP75" s="1"/>
      <c r="TQ75" s="1"/>
      <c r="TR75" s="1"/>
      <c r="TS75" s="1"/>
      <c r="TT75" s="1"/>
      <c r="TU75" s="1"/>
      <c r="TV75" s="1"/>
      <c r="TW75" s="1"/>
      <c r="TX75" s="1"/>
      <c r="TY75" s="1"/>
      <c r="TZ75" s="1"/>
      <c r="UA75" s="1"/>
      <c r="UB75" s="1"/>
      <c r="UC75" s="1"/>
      <c r="UD75" s="1"/>
      <c r="UE75" s="1"/>
      <c r="UF75" s="1"/>
      <c r="UG75" s="1"/>
      <c r="UH75" s="1"/>
      <c r="UI75" s="1"/>
      <c r="UJ75" s="1"/>
      <c r="UK75" s="1"/>
      <c r="UL75" s="1"/>
      <c r="UM75" s="1"/>
      <c r="UN75" s="1"/>
      <c r="UO75" s="1"/>
      <c r="UP75" s="1"/>
      <c r="UQ75" s="1"/>
      <c r="UR75" s="1"/>
      <c r="US75" s="1"/>
      <c r="UT75" s="1"/>
      <c r="UU75" s="1"/>
      <c r="UV75" s="1"/>
      <c r="UW75" s="1"/>
      <c r="UX75" s="1"/>
      <c r="UY75" s="1"/>
      <c r="UZ75" s="1"/>
      <c r="VA75" s="1"/>
      <c r="VB75" s="1"/>
      <c r="VC75" s="1"/>
      <c r="VD75" s="1"/>
      <c r="VE75" s="1"/>
      <c r="VF75" s="1"/>
      <c r="VG75" s="1"/>
      <c r="VH75" s="1"/>
      <c r="VI75" s="1"/>
      <c r="VJ75" s="1"/>
      <c r="VK75" s="1"/>
      <c r="VL75" s="1"/>
      <c r="VM75" s="1"/>
      <c r="VN75" s="1"/>
      <c r="VO75" s="1"/>
      <c r="VP75" s="1"/>
      <c r="VQ75" s="1"/>
      <c r="VR75" s="1"/>
      <c r="VS75" s="1"/>
      <c r="VT75" s="1"/>
      <c r="VU75" s="1"/>
      <c r="VV75" s="1"/>
      <c r="VW75" s="1"/>
      <c r="VX75" s="1"/>
      <c r="VY75" s="1"/>
      <c r="VZ75" s="1"/>
      <c r="WA75" s="1"/>
      <c r="WB75" s="1"/>
      <c r="WC75" s="1"/>
      <c r="WD75" s="1"/>
      <c r="WE75" s="1"/>
      <c r="WF75" s="1"/>
      <c r="WG75" s="1"/>
      <c r="WH75" s="1"/>
      <c r="WI75" s="1"/>
      <c r="WJ75" s="1"/>
      <c r="WK75" s="1"/>
      <c r="WL75" s="1"/>
      <c r="WM75" s="1"/>
      <c r="WN75" s="1"/>
      <c r="WO75" s="1"/>
      <c r="WP75" s="1"/>
      <c r="WQ75" s="1"/>
      <c r="WR75" s="1"/>
      <c r="WS75" s="1"/>
      <c r="WT75" s="1"/>
      <c r="WU75" s="1"/>
      <c r="WV75" s="1"/>
      <c r="WW75" s="1"/>
      <c r="WX75" s="1"/>
      <c r="WY75" s="1"/>
      <c r="WZ75" s="1"/>
      <c r="XA75" s="1"/>
      <c r="XB75" s="1"/>
      <c r="XC75" s="1"/>
      <c r="XD75" s="1"/>
      <c r="XE75" s="1"/>
      <c r="XF75" s="1"/>
      <c r="XG75" s="1"/>
      <c r="XH75" s="1"/>
      <c r="XI75" s="1"/>
      <c r="XJ75" s="1"/>
      <c r="XK75" s="1"/>
      <c r="XL75" s="1"/>
      <c r="XM75" s="1"/>
      <c r="XN75" s="1"/>
      <c r="XO75" s="1"/>
      <c r="XP75" s="1"/>
      <c r="XQ75" s="1"/>
      <c r="XR75" s="1"/>
      <c r="XS75" s="1"/>
      <c r="XT75" s="1"/>
      <c r="XU75" s="1"/>
      <c r="XV75" s="1"/>
      <c r="XW75" s="1"/>
      <c r="XX75" s="1"/>
      <c r="XY75" s="1"/>
      <c r="XZ75" s="1"/>
      <c r="YA75" s="1"/>
      <c r="YB75" s="1"/>
      <c r="YC75" s="1"/>
      <c r="YD75" s="1"/>
      <c r="YE75" s="1"/>
      <c r="YF75" s="1"/>
      <c r="YG75" s="1"/>
      <c r="YH75" s="1"/>
      <c r="YI75" s="1"/>
      <c r="YJ75" s="1"/>
      <c r="YK75" s="1"/>
      <c r="YL75" s="1"/>
      <c r="YM75" s="1"/>
      <c r="YN75" s="1"/>
      <c r="YO75" s="1"/>
      <c r="YP75" s="1"/>
      <c r="YQ75" s="1"/>
      <c r="YR75" s="1"/>
      <c r="YS75" s="1"/>
      <c r="YT75" s="1"/>
      <c r="YU75" s="1"/>
      <c r="YV75" s="1"/>
      <c r="YW75" s="1"/>
      <c r="YX75" s="1"/>
      <c r="YY75" s="1"/>
      <c r="YZ75" s="1"/>
      <c r="ZA75" s="1"/>
      <c r="ZB75" s="1"/>
      <c r="ZC75" s="1"/>
      <c r="ZD75" s="1"/>
      <c r="ZE75" s="1"/>
      <c r="ZF75" s="1"/>
      <c r="ZG75" s="1"/>
      <c r="ZH75" s="1"/>
      <c r="ZI75" s="1"/>
      <c r="ZJ75" s="1"/>
      <c r="ZK75" s="1"/>
      <c r="ZL75" s="1"/>
      <c r="ZM75" s="1"/>
      <c r="ZN75" s="1"/>
      <c r="ZO75" s="1"/>
      <c r="ZP75" s="1"/>
      <c r="ZQ75" s="1"/>
      <c r="ZR75" s="1"/>
      <c r="ZS75" s="1"/>
      <c r="ZT75" s="1"/>
      <c r="ZU75" s="1"/>
      <c r="ZV75" s="1"/>
      <c r="ZW75" s="1"/>
      <c r="ZX75" s="1"/>
      <c r="ZY75" s="1"/>
      <c r="ZZ75" s="1"/>
      <c r="AAA75" s="1"/>
      <c r="AAB75" s="1"/>
      <c r="AAC75" s="1"/>
      <c r="AAD75" s="1"/>
      <c r="AAE75" s="1"/>
      <c r="AAF75" s="1"/>
      <c r="AAG75" s="1"/>
      <c r="AAH75" s="1"/>
      <c r="AAI75" s="1"/>
      <c r="AAJ75" s="1"/>
      <c r="AAK75" s="1"/>
      <c r="AAL75" s="1"/>
      <c r="AAM75" s="1"/>
      <c r="AAN75" s="1"/>
      <c r="AAO75" s="1"/>
      <c r="AAP75" s="1"/>
      <c r="AAQ75" s="1"/>
      <c r="AAR75" s="1"/>
      <c r="AAS75" s="1"/>
      <c r="AAT75" s="1"/>
      <c r="AAU75" s="1"/>
      <c r="AAV75" s="1"/>
      <c r="AAW75" s="1"/>
      <c r="AAX75" s="1"/>
      <c r="AAY75" s="1"/>
      <c r="AAZ75" s="1"/>
      <c r="ABA75" s="1"/>
      <c r="ABB75" s="1"/>
      <c r="ABC75" s="1"/>
      <c r="ABD75" s="1"/>
      <c r="ABE75" s="1"/>
      <c r="ABF75" s="1"/>
      <c r="ABG75" s="1"/>
      <c r="ABH75" s="1"/>
      <c r="ABI75" s="1"/>
      <c r="ABJ75" s="1"/>
      <c r="ABK75" s="1"/>
      <c r="ABL75" s="1"/>
      <c r="ABM75" s="1"/>
      <c r="ABN75" s="1"/>
      <c r="ABO75" s="1"/>
      <c r="ABP75" s="1"/>
      <c r="ABQ75" s="1"/>
      <c r="ABR75" s="1"/>
      <c r="ABS75" s="1"/>
      <c r="ABT75" s="1"/>
      <c r="ABU75" s="1"/>
      <c r="ABV75" s="1"/>
      <c r="ABW75" s="1"/>
      <c r="ABX75" s="1"/>
      <c r="ABY75" s="1"/>
      <c r="ABZ75" s="1"/>
      <c r="ACA75" s="1"/>
      <c r="ACB75" s="1"/>
      <c r="ACC75" s="1"/>
      <c r="ACD75" s="1"/>
      <c r="ACE75" s="1"/>
      <c r="ACF75" s="1"/>
      <c r="ACG75" s="1"/>
      <c r="ACH75" s="1"/>
      <c r="ACI75" s="1"/>
      <c r="ACJ75" s="1"/>
      <c r="ACK75" s="1"/>
      <c r="ACL75" s="1"/>
      <c r="ACM75" s="1"/>
      <c r="ACN75" s="1"/>
      <c r="ACO75" s="1"/>
      <c r="ACP75" s="1"/>
      <c r="ACQ75" s="1"/>
      <c r="ACR75" s="1"/>
      <c r="ACS75" s="1"/>
      <c r="ACT75" s="1"/>
      <c r="ACU75" s="1"/>
      <c r="ACV75" s="1"/>
      <c r="ACW75" s="1"/>
      <c r="ACX75" s="1"/>
      <c r="ACY75" s="1"/>
      <c r="ACZ75" s="1"/>
      <c r="ADA75" s="1"/>
      <c r="ADB75" s="1"/>
      <c r="ADC75" s="1"/>
      <c r="ADD75" s="1"/>
      <c r="ADE75" s="1"/>
      <c r="ADF75" s="1"/>
      <c r="ADG75" s="1"/>
      <c r="ADH75" s="1"/>
      <c r="ADI75" s="1"/>
      <c r="ADJ75" s="1"/>
      <c r="ADK75" s="1"/>
      <c r="ADL75" s="1"/>
      <c r="ADM75" s="1"/>
      <c r="ADN75" s="1"/>
      <c r="ADO75" s="1"/>
      <c r="ADP75" s="1"/>
      <c r="ADQ75" s="1"/>
      <c r="ADR75" s="1"/>
      <c r="ADS75" s="1"/>
      <c r="ADT75" s="1"/>
      <c r="ADU75" s="1"/>
      <c r="ADV75" s="1"/>
      <c r="ADW75" s="1"/>
      <c r="ADX75" s="1"/>
      <c r="ADY75" s="1"/>
      <c r="ADZ75" s="1"/>
      <c r="AEA75" s="1"/>
      <c r="AEB75" s="1"/>
      <c r="AEC75" s="1"/>
      <c r="AED75" s="1"/>
      <c r="AEE75" s="1"/>
      <c r="AEF75" s="1"/>
      <c r="AEG75" s="1"/>
      <c r="AEH75" s="1"/>
      <c r="AEI75" s="1"/>
      <c r="AEJ75" s="1"/>
      <c r="AEK75" s="1"/>
      <c r="AEL75" s="1"/>
      <c r="AEM75" s="1"/>
      <c r="AEN75" s="1"/>
      <c r="AEO75" s="1"/>
      <c r="AEP75" s="1"/>
      <c r="AEQ75" s="1"/>
      <c r="AER75" s="1"/>
      <c r="AES75" s="1"/>
      <c r="AET75" s="1"/>
      <c r="AEU75" s="1"/>
      <c r="AEV75" s="1"/>
      <c r="AEW75" s="1"/>
      <c r="AEX75" s="1"/>
      <c r="AEY75" s="1"/>
      <c r="AEZ75" s="1"/>
      <c r="AFA75" s="1"/>
      <c r="AFB75" s="1"/>
      <c r="AFC75" s="1"/>
      <c r="AFD75" s="1"/>
      <c r="AFE75" s="1"/>
      <c r="AFF75" s="1"/>
      <c r="AFG75" s="1"/>
      <c r="AFH75" s="1"/>
      <c r="AFI75" s="1"/>
      <c r="AFJ75" s="1"/>
      <c r="AFK75" s="1"/>
      <c r="AFL75" s="1"/>
      <c r="AFM75" s="1"/>
      <c r="AFN75" s="1"/>
      <c r="AFO75" s="1"/>
      <c r="AFP75" s="1"/>
      <c r="AFQ75" s="1"/>
      <c r="AFR75" s="1"/>
      <c r="AFS75" s="1"/>
      <c r="AFT75" s="1"/>
      <c r="AFU75" s="1"/>
      <c r="AFV75" s="1"/>
      <c r="AFW75" s="1"/>
      <c r="AFX75" s="1"/>
      <c r="AFY75" s="1"/>
      <c r="AFZ75" s="1"/>
      <c r="AGA75" s="1"/>
      <c r="AGB75" s="1"/>
      <c r="AGC75" s="1"/>
      <c r="AGD75" s="1"/>
      <c r="AGE75" s="1"/>
      <c r="AGF75" s="1"/>
      <c r="AGG75" s="1"/>
      <c r="AGH75" s="1"/>
      <c r="AGI75" s="1"/>
      <c r="AGJ75" s="1"/>
      <c r="AGK75" s="1"/>
      <c r="AGL75" s="1"/>
      <c r="AGM75" s="1"/>
      <c r="AGN75" s="1"/>
      <c r="AGO75" s="1"/>
      <c r="AGP75" s="1"/>
      <c r="AGQ75" s="1"/>
      <c r="AGR75" s="1"/>
      <c r="AGS75" s="1"/>
      <c r="AGT75" s="1"/>
      <c r="AGU75" s="1"/>
      <c r="AGV75" s="1"/>
      <c r="AGW75" s="1"/>
      <c r="AGX75" s="1"/>
      <c r="AGY75" s="1"/>
      <c r="AGZ75" s="1"/>
      <c r="AHA75" s="1"/>
      <c r="AHB75" s="1"/>
      <c r="AHC75" s="1"/>
      <c r="AHD75" s="1"/>
      <c r="AHE75" s="1"/>
      <c r="AHF75" s="1"/>
      <c r="AHG75" s="1"/>
      <c r="AHH75" s="1"/>
      <c r="AHI75" s="1"/>
      <c r="AHJ75" s="1"/>
      <c r="AHK75" s="1"/>
      <c r="AHL75" s="1"/>
      <c r="AHM75" s="1"/>
      <c r="AHN75" s="1"/>
      <c r="AHO75" s="1"/>
      <c r="AHP75" s="1"/>
      <c r="AHQ75" s="1"/>
      <c r="AHR75" s="1"/>
      <c r="AHS75" s="1"/>
      <c r="AHT75" s="1"/>
      <c r="AHU75" s="1"/>
      <c r="AHV75" s="1"/>
      <c r="AHW75" s="1"/>
      <c r="AHX75" s="1"/>
      <c r="AHY75" s="1"/>
      <c r="AHZ75" s="1"/>
      <c r="AIA75" s="1"/>
      <c r="AIB75" s="1"/>
      <c r="AIC75" s="1"/>
      <c r="AID75" s="1"/>
      <c r="AIE75" s="1"/>
      <c r="AIF75" s="1"/>
      <c r="AIG75" s="1"/>
      <c r="AIH75" s="1"/>
      <c r="AII75" s="1"/>
      <c r="AIJ75" s="1"/>
      <c r="AIK75" s="1"/>
      <c r="AIL75" s="1"/>
      <c r="AIM75" s="1"/>
      <c r="AIN75" s="1"/>
      <c r="AIO75" s="1"/>
      <c r="AIP75" s="1"/>
      <c r="AIQ75" s="1"/>
      <c r="AIR75" s="1"/>
      <c r="AIS75" s="1"/>
      <c r="AIT75" s="1"/>
      <c r="AIU75" s="1"/>
      <c r="AIV75" s="1"/>
      <c r="AIW75" s="1"/>
      <c r="AIX75" s="1"/>
      <c r="AIY75" s="1"/>
      <c r="AIZ75" s="1"/>
      <c r="AJA75" s="1"/>
      <c r="AJB75" s="1"/>
      <c r="AJC75" s="1"/>
      <c r="AJD75" s="1"/>
      <c r="AJE75" s="1"/>
      <c r="AJF75" s="1"/>
      <c r="AJG75" s="1"/>
      <c r="AJH75" s="1"/>
      <c r="AJI75" s="1"/>
      <c r="AJJ75" s="1"/>
      <c r="AJK75" s="1"/>
      <c r="AJL75" s="1"/>
      <c r="AJM75" s="1"/>
      <c r="AJN75" s="1"/>
      <c r="AJO75" s="1"/>
      <c r="AJP75" s="1"/>
      <c r="AJQ75" s="1"/>
      <c r="AJR75" s="1"/>
      <c r="AJS75" s="1"/>
      <c r="AJT75" s="1"/>
      <c r="AJU75" s="1"/>
      <c r="AJV75" s="1"/>
      <c r="AJW75" s="1"/>
      <c r="AJX75" s="1"/>
      <c r="AJY75" s="1"/>
      <c r="AJZ75" s="1"/>
      <c r="AKA75" s="1"/>
      <c r="AKB75" s="1"/>
      <c r="AKC75" s="1"/>
      <c r="AKD75" s="1"/>
      <c r="AKE75" s="1"/>
      <c r="AKF75" s="1"/>
      <c r="AKG75" s="1"/>
      <c r="AKH75" s="1"/>
      <c r="AKI75" s="1"/>
      <c r="AKJ75" s="1"/>
      <c r="AKK75" s="1"/>
      <c r="AKL75" s="1"/>
      <c r="AKM75" s="1"/>
      <c r="AKN75" s="1"/>
      <c r="AKO75" s="1"/>
      <c r="AKP75" s="1"/>
      <c r="AKQ75" s="1"/>
      <c r="AKR75" s="1"/>
      <c r="AKS75" s="1"/>
      <c r="AKT75" s="1"/>
      <c r="AKU75" s="1"/>
      <c r="AKV75" s="1"/>
      <c r="AKW75" s="1"/>
      <c r="AKX75" s="1"/>
      <c r="AKY75" s="1"/>
      <c r="AKZ75" s="1"/>
      <c r="ALA75" s="1"/>
      <c r="ALB75" s="1"/>
      <c r="ALC75" s="1"/>
      <c r="ALD75" s="1"/>
      <c r="ALE75" s="1"/>
      <c r="ALF75" s="1"/>
      <c r="ALG75" s="1"/>
      <c r="ALH75" s="1"/>
      <c r="ALI75" s="1"/>
      <c r="ALJ75" s="1"/>
      <c r="ALK75" s="1"/>
      <c r="ALL75" s="1"/>
      <c r="ALM75" s="1"/>
      <c r="ALN75" s="1"/>
      <c r="ALO75" s="1"/>
      <c r="ALP75" s="1"/>
      <c r="ALQ75" s="1"/>
      <c r="ALR75" s="1"/>
      <c r="ALS75" s="1"/>
      <c r="ALT75" s="1"/>
      <c r="ALU75" s="1"/>
      <c r="ALV75" s="1"/>
      <c r="ALW75" s="1"/>
      <c r="ALX75" s="1"/>
      <c r="ALY75" s="1"/>
      <c r="ALZ75" s="1"/>
      <c r="AMA75" s="1"/>
      <c r="AMB75" s="1"/>
      <c r="AMC75" s="1"/>
      <c r="AMD75" s="1"/>
      <c r="AME75" s="1"/>
      <c r="AMF75" s="1"/>
      <c r="AMG75" s="1"/>
      <c r="AMH75" s="1"/>
      <c r="AMI75" s="1"/>
      <c r="AMJ75" s="1"/>
      <c r="AMK75" s="1"/>
      <c r="AML75" s="1"/>
      <c r="AMM75" s="1"/>
      <c r="AMN75" s="1"/>
      <c r="AMO75" s="1"/>
    </row>
    <row r="76" spans="1:1029" x14ac:dyDescent="0.2">
      <c r="A76" s="3" t="str">
        <f t="shared" si="223"/>
        <v>acm3_rat_4U15</v>
      </c>
      <c r="B76" s="3" t="s">
        <v>910</v>
      </c>
      <c r="C76" s="3" t="s">
        <v>71</v>
      </c>
      <c r="D76" s="3" t="str">
        <f>IFERROR(MID(VLOOKUP($B76,Seqs!$A:$B,2,0),E76,1),"")</f>
        <v>I</v>
      </c>
      <c r="E76" s="3">
        <v>64</v>
      </c>
      <c r="F76" s="3" t="str">
        <f>IFERROR(MID(VLOOKUP($B76,Seqs!$A:$B,2,0),G76,1),"")</f>
        <v>N</v>
      </c>
      <c r="G76" s="3">
        <v>95</v>
      </c>
      <c r="H76" s="3" t="str">
        <f>IFERROR(MID(VLOOKUP($B76,Seqs!$A:$B,2,0),I76,1),"")</f>
        <v>K</v>
      </c>
      <c r="I76" s="23">
        <v>96</v>
      </c>
      <c r="J76" s="3" t="str">
        <f>IFERROR(MID(VLOOKUP($B76,Seqs!$A:$B,2,0),K76,1),"")</f>
        <v>K</v>
      </c>
      <c r="K76" s="23">
        <v>99</v>
      </c>
      <c r="L76" s="3" t="str">
        <f>IFERROR(MID(VLOOKUP($B76,Seqs!$A:$B,2,0),M76,1),"")</f>
        <v>T</v>
      </c>
      <c r="M76" s="3">
        <v>100</v>
      </c>
      <c r="N76" s="3" t="str">
        <f>IFERROR(MID(VLOOKUP($B76,Seqs!$A:$B,2,0),O76,1),"")</f>
        <v>M</v>
      </c>
      <c r="O76" s="3">
        <v>130</v>
      </c>
      <c r="P76" s="3" t="str">
        <f>IFERROR(MID(VLOOKUP($B76,Seqs!$A:$B,2,0),Q76,1),"")</f>
        <v>R</v>
      </c>
      <c r="Q76" s="3">
        <v>132</v>
      </c>
      <c r="R76" s="3" t="str">
        <f>IFERROR(MID(VLOOKUP($B76,Seqs!$A:$B,2,0),S76,1),"")</f>
        <v>L</v>
      </c>
      <c r="S76" s="3">
        <v>135</v>
      </c>
      <c r="T76" s="3" t="str">
        <f>IFERROR(MID(VLOOKUP($B76,Seqs!$A:$B,2,0),U76,1),"")</f>
        <v>G</v>
      </c>
      <c r="U76" s="3">
        <v>136</v>
      </c>
      <c r="V76" s="3" t="str">
        <f>IFERROR(MID(VLOOKUP($B76,Seqs!$A:$B,2,0),W76,1),"")</f>
        <v>R</v>
      </c>
      <c r="W76" s="3">
        <v>171</v>
      </c>
      <c r="X76" s="3" t="str">
        <f>IFERROR(MID(VLOOKUP($B76,Seqs!$A:$B,2,0),Y76,1),"")</f>
        <v>P</v>
      </c>
      <c r="Y76" s="3">
        <v>172</v>
      </c>
      <c r="Z76" s="3" t="str">
        <f>IFERROR(MID(VLOOKUP($B76,Seqs!$A:$B,2,0),AA76,1),"")</f>
        <v>R</v>
      </c>
      <c r="AA76" s="3">
        <v>179</v>
      </c>
      <c r="AB76" s="3" t="str">
        <f>IFERROR(MID(VLOOKUP($B76,Seqs!$A:$B,2,0),AC76,1),"")</f>
        <v>T</v>
      </c>
      <c r="AC76" s="9">
        <v>180</v>
      </c>
      <c r="AD76" s="3" t="str">
        <f>IFERROR(MID(VLOOKUP($B76,Seqs!$A:$B,2,0),AE76,1),"")</f>
        <v>G</v>
      </c>
      <c r="AE76" s="3">
        <v>211</v>
      </c>
      <c r="AF76" s="3" t="str">
        <f>IFERROR(MID(VLOOKUP($B76,Seqs!$A:$B,2,0),AG76,1),"")</f>
        <v>C</v>
      </c>
      <c r="AG76" s="3">
        <v>220</v>
      </c>
      <c r="AH76" s="3" t="str">
        <f>IFERROR(MID(VLOOKUP($B76,Seqs!$A:$B,2,0),AI76,1),"")</f>
        <v>I</v>
      </c>
      <c r="AI76" s="3">
        <v>222</v>
      </c>
      <c r="AJ76" s="3" t="str">
        <f>IFERROR(MID(VLOOKUP($B76,Seqs!$A:$B,2,0),AK76,1),"")</f>
        <v>E</v>
      </c>
      <c r="AK76" s="3">
        <v>227</v>
      </c>
      <c r="AL76" s="3" t="str">
        <f>IFERROR(MID(VLOOKUP($B76,Seqs!$A:$B,2,0),AM76,1),"")</f>
        <v>K</v>
      </c>
      <c r="AM76" s="3">
        <v>259</v>
      </c>
      <c r="AN76" s="3" t="str">
        <f>IFERROR(MID(VLOOKUP($B76,Seqs!$A:$B,2,0),AO76,1),"")</f>
        <v>I</v>
      </c>
      <c r="AO76" s="3">
        <v>483</v>
      </c>
      <c r="AP76" s="3" t="str">
        <f>IFERROR(MID(VLOOKUP($B76,Seqs!$A:$B,2,0),AQ76,1),"")</f>
        <v>C</v>
      </c>
      <c r="AQ76" s="3">
        <v>516</v>
      </c>
      <c r="AR76" s="3" t="str">
        <f>IFERROR(MID(VLOOKUP($B76,Seqs!$A:$B,2,0),AS76,1),"")</f>
        <v>P</v>
      </c>
      <c r="AS76" s="3">
        <v>521</v>
      </c>
      <c r="AT76" s="3" t="str">
        <f>IFERROR(MID(VLOOKUP($B76,Seqs!$A:$B,2,0),AU76,1),"")</f>
        <v>C</v>
      </c>
      <c r="AU76" s="3">
        <v>546</v>
      </c>
      <c r="AV76" s="3" t="str">
        <f>IFERROR(MID(VLOOKUP($B76,Seqs!$A:$B,2,0),AW76,1),"")</f>
        <v>N</v>
      </c>
      <c r="AW76" s="3">
        <v>547</v>
      </c>
      <c r="AX76" s="3" t="str">
        <f>IFERROR(MID(VLOOKUP($B76,Seqs!$A:$B,2,0),AY76,1),"")</f>
        <v>L</v>
      </c>
      <c r="AY76" s="3">
        <v>558</v>
      </c>
      <c r="AZ76" s="77" t="str">
        <f>VLOOKUP(B76,Classification!A:D,2,0)</f>
        <v>A</v>
      </c>
      <c r="BA76" s="94" t="str">
        <f>VLOOKUP(B76,Classification!A:D,4,0)</f>
        <v>Acetylcholine(muscarinic)</v>
      </c>
      <c r="BB76" s="27" t="b">
        <f t="shared" si="224"/>
        <v>1</v>
      </c>
      <c r="BC76" s="23">
        <f t="shared" si="169"/>
        <v>255</v>
      </c>
      <c r="BD76" s="16" t="s">
        <v>1383</v>
      </c>
      <c r="BE76" s="3" t="s">
        <v>1381</v>
      </c>
      <c r="BF76" s="119">
        <v>2.8</v>
      </c>
      <c r="BG76" s="49" t="s">
        <v>1384</v>
      </c>
      <c r="BH76" s="49" t="s">
        <v>1384</v>
      </c>
      <c r="BI76" s="1"/>
      <c r="BJ76" s="70" t="s">
        <v>1293</v>
      </c>
      <c r="BK76" s="57" t="s">
        <v>1293</v>
      </c>
      <c r="BL76" s="57" t="s">
        <v>1293</v>
      </c>
      <c r="BM76" s="57" t="s">
        <v>1293</v>
      </c>
      <c r="BN76" s="57" t="s">
        <v>1293</v>
      </c>
      <c r="BO76" s="57" t="s">
        <v>1293</v>
      </c>
      <c r="BP76" s="57" t="s">
        <v>1293</v>
      </c>
      <c r="BQ76" s="57" t="s">
        <v>1293</v>
      </c>
      <c r="BR76" s="57" t="s">
        <v>1293</v>
      </c>
      <c r="BS76" s="57" t="s">
        <v>1293</v>
      </c>
      <c r="BT76" s="57" t="s">
        <v>1293</v>
      </c>
      <c r="BU76" s="57" t="s">
        <v>1293</v>
      </c>
      <c r="BV76" s="70">
        <f t="shared" si="170"/>
        <v>64</v>
      </c>
      <c r="BW76" s="71">
        <f t="shared" si="171"/>
        <v>96</v>
      </c>
      <c r="BX76" s="72">
        <f t="shared" si="172"/>
        <v>100</v>
      </c>
      <c r="BY76" s="71">
        <f t="shared" si="173"/>
        <v>132</v>
      </c>
      <c r="BZ76" s="72">
        <f t="shared" si="174"/>
        <v>136</v>
      </c>
      <c r="CA76" s="71">
        <f t="shared" si="175"/>
        <v>172</v>
      </c>
      <c r="CB76" s="72">
        <f t="shared" si="176"/>
        <v>180</v>
      </c>
      <c r="CC76" s="71">
        <f t="shared" si="177"/>
        <v>220</v>
      </c>
      <c r="CD76" s="72">
        <f t="shared" si="178"/>
        <v>227</v>
      </c>
      <c r="CE76" s="71">
        <f t="shared" si="179"/>
        <v>483</v>
      </c>
      <c r="CF76" s="72">
        <f t="shared" si="180"/>
        <v>521</v>
      </c>
      <c r="CG76" s="71">
        <f t="shared" si="181"/>
        <v>547</v>
      </c>
      <c r="CH76" s="70">
        <f t="shared" si="182"/>
        <v>95</v>
      </c>
      <c r="CI76" s="71">
        <f t="shared" si="183"/>
        <v>99</v>
      </c>
      <c r="CJ76" s="72">
        <f t="shared" si="184"/>
        <v>130</v>
      </c>
      <c r="CK76" s="72">
        <f t="shared" si="185"/>
        <v>135</v>
      </c>
      <c r="CL76" s="72">
        <f t="shared" si="186"/>
        <v>171</v>
      </c>
      <c r="CM76" s="72">
        <f t="shared" si="187"/>
        <v>179</v>
      </c>
      <c r="CN76" s="72">
        <f t="shared" si="188"/>
        <v>211</v>
      </c>
      <c r="CO76" s="72">
        <f t="shared" si="189"/>
        <v>222</v>
      </c>
      <c r="CP76" s="72">
        <f t="shared" si="190"/>
        <v>259</v>
      </c>
      <c r="CQ76" s="72">
        <f t="shared" si="191"/>
        <v>516</v>
      </c>
      <c r="CR76" s="72">
        <f t="shared" si="192"/>
        <v>546</v>
      </c>
      <c r="CS76" s="72">
        <f t="shared" si="193"/>
        <v>558</v>
      </c>
      <c r="CT76" s="23">
        <f t="shared" si="194"/>
        <v>1</v>
      </c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  <c r="OK76" s="1"/>
      <c r="OL76" s="1"/>
      <c r="OM76" s="1"/>
      <c r="ON76" s="1"/>
      <c r="OO76" s="1"/>
      <c r="OP76" s="1"/>
      <c r="OQ76" s="1"/>
      <c r="OR76" s="1"/>
      <c r="OS76" s="1"/>
      <c r="OT76" s="1"/>
      <c r="OU76" s="1"/>
      <c r="OV76" s="1"/>
      <c r="OW76" s="1"/>
      <c r="OX76" s="1"/>
      <c r="OY76" s="1"/>
      <c r="OZ76" s="1"/>
      <c r="PA76" s="1"/>
      <c r="PB76" s="1"/>
      <c r="PC76" s="1"/>
      <c r="PD76" s="1"/>
      <c r="PE76" s="1"/>
      <c r="PF76" s="1"/>
      <c r="PG76" s="1"/>
      <c r="PH76" s="1"/>
      <c r="PI76" s="1"/>
      <c r="PJ76" s="1"/>
      <c r="PK76" s="1"/>
      <c r="PL76" s="1"/>
      <c r="PM76" s="1"/>
      <c r="PN76" s="1"/>
      <c r="PO76" s="1"/>
      <c r="PP76" s="1"/>
      <c r="PQ76" s="1"/>
      <c r="PR76" s="1"/>
      <c r="PS76" s="1"/>
      <c r="PT76" s="1"/>
      <c r="PU76" s="1"/>
      <c r="PV76" s="1"/>
      <c r="PW76" s="1"/>
      <c r="PX76" s="1"/>
      <c r="PY76" s="1"/>
      <c r="PZ76" s="1"/>
      <c r="QA76" s="1"/>
      <c r="QB76" s="1"/>
      <c r="QC76" s="1"/>
      <c r="QD76" s="1"/>
      <c r="QE76" s="1"/>
      <c r="QF76" s="1"/>
      <c r="QG76" s="1"/>
      <c r="QH76" s="1"/>
      <c r="QI76" s="1"/>
      <c r="QJ76" s="1"/>
      <c r="QK76" s="1"/>
      <c r="QL76" s="1"/>
      <c r="QM76" s="1"/>
      <c r="QN76" s="1"/>
      <c r="QO76" s="1"/>
      <c r="QP76" s="1"/>
      <c r="QQ76" s="1"/>
      <c r="QR76" s="1"/>
      <c r="QS76" s="1"/>
      <c r="QT76" s="1"/>
      <c r="QU76" s="1"/>
      <c r="QV76" s="1"/>
      <c r="QW76" s="1"/>
      <c r="QX76" s="1"/>
      <c r="QY76" s="1"/>
      <c r="QZ76" s="1"/>
      <c r="RA76" s="1"/>
      <c r="RB76" s="1"/>
      <c r="RC76" s="1"/>
      <c r="RD76" s="1"/>
      <c r="RE76" s="1"/>
      <c r="RF76" s="1"/>
      <c r="RG76" s="1"/>
      <c r="RH76" s="1"/>
      <c r="RI76" s="1"/>
      <c r="RJ76" s="1"/>
      <c r="RK76" s="1"/>
      <c r="RL76" s="1"/>
      <c r="RM76" s="1"/>
      <c r="RN76" s="1"/>
      <c r="RO76" s="1"/>
      <c r="RP76" s="1"/>
      <c r="RQ76" s="1"/>
      <c r="RR76" s="1"/>
      <c r="RS76" s="1"/>
      <c r="RT76" s="1"/>
      <c r="RU76" s="1"/>
      <c r="RV76" s="1"/>
      <c r="RW76" s="1"/>
      <c r="RX76" s="1"/>
      <c r="RY76" s="1"/>
      <c r="RZ76" s="1"/>
      <c r="SA76" s="1"/>
      <c r="SB76" s="1"/>
      <c r="SC76" s="1"/>
      <c r="SD76" s="1"/>
      <c r="SE76" s="1"/>
      <c r="SF76" s="1"/>
      <c r="SG76" s="1"/>
      <c r="SH76" s="1"/>
      <c r="SI76" s="1"/>
      <c r="SJ76" s="1"/>
      <c r="SK76" s="1"/>
      <c r="SL76" s="1"/>
      <c r="SM76" s="1"/>
      <c r="SN76" s="1"/>
      <c r="SO76" s="1"/>
      <c r="SP76" s="1"/>
      <c r="SQ76" s="1"/>
      <c r="SR76" s="1"/>
      <c r="SS76" s="1"/>
      <c r="ST76" s="1"/>
      <c r="SU76" s="1"/>
      <c r="SV76" s="1"/>
      <c r="SW76" s="1"/>
      <c r="SX76" s="1"/>
      <c r="SY76" s="1"/>
      <c r="SZ76" s="1"/>
      <c r="TA76" s="1"/>
      <c r="TB76" s="1"/>
      <c r="TC76" s="1"/>
      <c r="TD76" s="1"/>
      <c r="TE76" s="1"/>
      <c r="TF76" s="1"/>
      <c r="TG76" s="1"/>
      <c r="TH76" s="1"/>
      <c r="TI76" s="1"/>
      <c r="TJ76" s="1"/>
      <c r="TK76" s="1"/>
      <c r="TL76" s="1"/>
      <c r="TM76" s="1"/>
      <c r="TN76" s="1"/>
      <c r="TO76" s="1"/>
      <c r="TP76" s="1"/>
      <c r="TQ76" s="1"/>
      <c r="TR76" s="1"/>
      <c r="TS76" s="1"/>
      <c r="TT76" s="1"/>
      <c r="TU76" s="1"/>
      <c r="TV76" s="1"/>
      <c r="TW76" s="1"/>
      <c r="TX76" s="1"/>
      <c r="TY76" s="1"/>
      <c r="TZ76" s="1"/>
      <c r="UA76" s="1"/>
      <c r="UB76" s="1"/>
      <c r="UC76" s="1"/>
      <c r="UD76" s="1"/>
      <c r="UE76" s="1"/>
      <c r="UF76" s="1"/>
      <c r="UG76" s="1"/>
      <c r="UH76" s="1"/>
      <c r="UI76" s="1"/>
      <c r="UJ76" s="1"/>
      <c r="UK76" s="1"/>
      <c r="UL76" s="1"/>
      <c r="UM76" s="1"/>
      <c r="UN76" s="1"/>
      <c r="UO76" s="1"/>
      <c r="UP76" s="1"/>
      <c r="UQ76" s="1"/>
      <c r="UR76" s="1"/>
      <c r="US76" s="1"/>
      <c r="UT76" s="1"/>
      <c r="UU76" s="1"/>
      <c r="UV76" s="1"/>
      <c r="UW76" s="1"/>
      <c r="UX76" s="1"/>
      <c r="UY76" s="1"/>
      <c r="UZ76" s="1"/>
      <c r="VA76" s="1"/>
      <c r="VB76" s="1"/>
      <c r="VC76" s="1"/>
      <c r="VD76" s="1"/>
      <c r="VE76" s="1"/>
      <c r="VF76" s="1"/>
      <c r="VG76" s="1"/>
      <c r="VH76" s="1"/>
      <c r="VI76" s="1"/>
      <c r="VJ76" s="1"/>
      <c r="VK76" s="1"/>
      <c r="VL76" s="1"/>
      <c r="VM76" s="1"/>
      <c r="VN76" s="1"/>
      <c r="VO76" s="1"/>
      <c r="VP76" s="1"/>
      <c r="VQ76" s="1"/>
      <c r="VR76" s="1"/>
      <c r="VS76" s="1"/>
      <c r="VT76" s="1"/>
      <c r="VU76" s="1"/>
      <c r="VV76" s="1"/>
      <c r="VW76" s="1"/>
      <c r="VX76" s="1"/>
      <c r="VY76" s="1"/>
      <c r="VZ76" s="1"/>
      <c r="WA76" s="1"/>
      <c r="WB76" s="1"/>
      <c r="WC76" s="1"/>
      <c r="WD76" s="1"/>
      <c r="WE76" s="1"/>
      <c r="WF76" s="1"/>
      <c r="WG76" s="1"/>
      <c r="WH76" s="1"/>
      <c r="WI76" s="1"/>
      <c r="WJ76" s="1"/>
      <c r="WK76" s="1"/>
      <c r="WL76" s="1"/>
      <c r="WM76" s="1"/>
      <c r="WN76" s="1"/>
      <c r="WO76" s="1"/>
      <c r="WP76" s="1"/>
      <c r="WQ76" s="1"/>
      <c r="WR76" s="1"/>
      <c r="WS76" s="1"/>
      <c r="WT76" s="1"/>
      <c r="WU76" s="1"/>
      <c r="WV76" s="1"/>
      <c r="WW76" s="1"/>
      <c r="WX76" s="1"/>
      <c r="WY76" s="1"/>
      <c r="WZ76" s="1"/>
      <c r="XA76" s="1"/>
      <c r="XB76" s="1"/>
      <c r="XC76" s="1"/>
      <c r="XD76" s="1"/>
      <c r="XE76" s="1"/>
      <c r="XF76" s="1"/>
      <c r="XG76" s="1"/>
      <c r="XH76" s="1"/>
      <c r="XI76" s="1"/>
      <c r="XJ76" s="1"/>
      <c r="XK76" s="1"/>
      <c r="XL76" s="1"/>
      <c r="XM76" s="1"/>
      <c r="XN76" s="1"/>
      <c r="XO76" s="1"/>
      <c r="XP76" s="1"/>
      <c r="XQ76" s="1"/>
      <c r="XR76" s="1"/>
      <c r="XS76" s="1"/>
      <c r="XT76" s="1"/>
      <c r="XU76" s="1"/>
      <c r="XV76" s="1"/>
      <c r="XW76" s="1"/>
      <c r="XX76" s="1"/>
      <c r="XY76" s="1"/>
      <c r="XZ76" s="1"/>
      <c r="YA76" s="1"/>
      <c r="YB76" s="1"/>
      <c r="YC76" s="1"/>
      <c r="YD76" s="1"/>
      <c r="YE76" s="1"/>
      <c r="YF76" s="1"/>
      <c r="YG76" s="1"/>
      <c r="YH76" s="1"/>
      <c r="YI76" s="1"/>
      <c r="YJ76" s="1"/>
      <c r="YK76" s="1"/>
      <c r="YL76" s="1"/>
      <c r="YM76" s="1"/>
      <c r="YN76" s="1"/>
      <c r="YO76" s="1"/>
      <c r="YP76" s="1"/>
      <c r="YQ76" s="1"/>
      <c r="YR76" s="1"/>
      <c r="YS76" s="1"/>
      <c r="YT76" s="1"/>
      <c r="YU76" s="1"/>
      <c r="YV76" s="1"/>
      <c r="YW76" s="1"/>
      <c r="YX76" s="1"/>
      <c r="YY76" s="1"/>
      <c r="YZ76" s="1"/>
      <c r="ZA76" s="1"/>
      <c r="ZB76" s="1"/>
      <c r="ZC76" s="1"/>
      <c r="ZD76" s="1"/>
      <c r="ZE76" s="1"/>
      <c r="ZF76" s="1"/>
      <c r="ZG76" s="1"/>
      <c r="ZH76" s="1"/>
      <c r="ZI76" s="1"/>
      <c r="ZJ76" s="1"/>
      <c r="ZK76" s="1"/>
      <c r="ZL76" s="1"/>
      <c r="ZM76" s="1"/>
      <c r="ZN76" s="1"/>
      <c r="ZO76" s="1"/>
      <c r="ZP76" s="1"/>
      <c r="ZQ76" s="1"/>
      <c r="ZR76" s="1"/>
      <c r="ZS76" s="1"/>
      <c r="ZT76" s="1"/>
      <c r="ZU76" s="1"/>
      <c r="ZV76" s="1"/>
      <c r="ZW76" s="1"/>
      <c r="ZX76" s="1"/>
      <c r="ZY76" s="1"/>
      <c r="ZZ76" s="1"/>
      <c r="AAA76" s="1"/>
      <c r="AAB76" s="1"/>
      <c r="AAC76" s="1"/>
      <c r="AAD76" s="1"/>
      <c r="AAE76" s="1"/>
      <c r="AAF76" s="1"/>
      <c r="AAG76" s="1"/>
      <c r="AAH76" s="1"/>
      <c r="AAI76" s="1"/>
      <c r="AAJ76" s="1"/>
      <c r="AAK76" s="1"/>
      <c r="AAL76" s="1"/>
      <c r="AAM76" s="1"/>
      <c r="AAN76" s="1"/>
      <c r="AAO76" s="1"/>
      <c r="AAP76" s="1"/>
      <c r="AAQ76" s="1"/>
      <c r="AAR76" s="1"/>
      <c r="AAS76" s="1"/>
      <c r="AAT76" s="1"/>
      <c r="AAU76" s="1"/>
      <c r="AAV76" s="1"/>
      <c r="AAW76" s="1"/>
      <c r="AAX76" s="1"/>
      <c r="AAY76" s="1"/>
      <c r="AAZ76" s="1"/>
      <c r="ABA76" s="1"/>
      <c r="ABB76" s="1"/>
      <c r="ABC76" s="1"/>
      <c r="ABD76" s="1"/>
      <c r="ABE76" s="1"/>
      <c r="ABF76" s="1"/>
      <c r="ABG76" s="1"/>
      <c r="ABH76" s="1"/>
      <c r="ABI76" s="1"/>
      <c r="ABJ76" s="1"/>
      <c r="ABK76" s="1"/>
      <c r="ABL76" s="1"/>
      <c r="ABM76" s="1"/>
      <c r="ABN76" s="1"/>
      <c r="ABO76" s="1"/>
      <c r="ABP76" s="1"/>
      <c r="ABQ76" s="1"/>
      <c r="ABR76" s="1"/>
      <c r="ABS76" s="1"/>
      <c r="ABT76" s="1"/>
      <c r="ABU76" s="1"/>
      <c r="ABV76" s="1"/>
      <c r="ABW76" s="1"/>
      <c r="ABX76" s="1"/>
      <c r="ABY76" s="1"/>
      <c r="ABZ76" s="1"/>
      <c r="ACA76" s="1"/>
      <c r="ACB76" s="1"/>
      <c r="ACC76" s="1"/>
      <c r="ACD76" s="1"/>
      <c r="ACE76" s="1"/>
      <c r="ACF76" s="1"/>
      <c r="ACG76" s="1"/>
      <c r="ACH76" s="1"/>
      <c r="ACI76" s="1"/>
      <c r="ACJ76" s="1"/>
      <c r="ACK76" s="1"/>
      <c r="ACL76" s="1"/>
      <c r="ACM76" s="1"/>
      <c r="ACN76" s="1"/>
      <c r="ACO76" s="1"/>
      <c r="ACP76" s="1"/>
      <c r="ACQ76" s="1"/>
      <c r="ACR76" s="1"/>
      <c r="ACS76" s="1"/>
      <c r="ACT76" s="1"/>
      <c r="ACU76" s="1"/>
      <c r="ACV76" s="1"/>
      <c r="ACW76" s="1"/>
      <c r="ACX76" s="1"/>
      <c r="ACY76" s="1"/>
      <c r="ACZ76" s="1"/>
      <c r="ADA76" s="1"/>
      <c r="ADB76" s="1"/>
      <c r="ADC76" s="1"/>
      <c r="ADD76" s="1"/>
      <c r="ADE76" s="1"/>
      <c r="ADF76" s="1"/>
      <c r="ADG76" s="1"/>
      <c r="ADH76" s="1"/>
      <c r="ADI76" s="1"/>
      <c r="ADJ76" s="1"/>
      <c r="ADK76" s="1"/>
      <c r="ADL76" s="1"/>
      <c r="ADM76" s="1"/>
      <c r="ADN76" s="1"/>
      <c r="ADO76" s="1"/>
      <c r="ADP76" s="1"/>
      <c r="ADQ76" s="1"/>
      <c r="ADR76" s="1"/>
      <c r="ADS76" s="1"/>
      <c r="ADT76" s="1"/>
      <c r="ADU76" s="1"/>
      <c r="ADV76" s="1"/>
      <c r="ADW76" s="1"/>
      <c r="ADX76" s="1"/>
      <c r="ADY76" s="1"/>
      <c r="ADZ76" s="1"/>
      <c r="AEA76" s="1"/>
      <c r="AEB76" s="1"/>
      <c r="AEC76" s="1"/>
      <c r="AED76" s="1"/>
      <c r="AEE76" s="1"/>
      <c r="AEF76" s="1"/>
      <c r="AEG76" s="1"/>
      <c r="AEH76" s="1"/>
      <c r="AEI76" s="1"/>
      <c r="AEJ76" s="1"/>
      <c r="AEK76" s="1"/>
      <c r="AEL76" s="1"/>
      <c r="AEM76" s="1"/>
      <c r="AEN76" s="1"/>
      <c r="AEO76" s="1"/>
      <c r="AEP76" s="1"/>
      <c r="AEQ76" s="1"/>
      <c r="AER76" s="1"/>
      <c r="AES76" s="1"/>
      <c r="AET76" s="1"/>
      <c r="AEU76" s="1"/>
      <c r="AEV76" s="1"/>
      <c r="AEW76" s="1"/>
      <c r="AEX76" s="1"/>
      <c r="AEY76" s="1"/>
      <c r="AEZ76" s="1"/>
      <c r="AFA76" s="1"/>
      <c r="AFB76" s="1"/>
      <c r="AFC76" s="1"/>
      <c r="AFD76" s="1"/>
      <c r="AFE76" s="1"/>
      <c r="AFF76" s="1"/>
      <c r="AFG76" s="1"/>
      <c r="AFH76" s="1"/>
      <c r="AFI76" s="1"/>
      <c r="AFJ76" s="1"/>
      <c r="AFK76" s="1"/>
      <c r="AFL76" s="1"/>
      <c r="AFM76" s="1"/>
      <c r="AFN76" s="1"/>
      <c r="AFO76" s="1"/>
      <c r="AFP76" s="1"/>
      <c r="AFQ76" s="1"/>
      <c r="AFR76" s="1"/>
      <c r="AFS76" s="1"/>
      <c r="AFT76" s="1"/>
      <c r="AFU76" s="1"/>
      <c r="AFV76" s="1"/>
      <c r="AFW76" s="1"/>
      <c r="AFX76" s="1"/>
      <c r="AFY76" s="1"/>
      <c r="AFZ76" s="1"/>
      <c r="AGA76" s="1"/>
      <c r="AGB76" s="1"/>
      <c r="AGC76" s="1"/>
      <c r="AGD76" s="1"/>
      <c r="AGE76" s="1"/>
      <c r="AGF76" s="1"/>
      <c r="AGG76" s="1"/>
      <c r="AGH76" s="1"/>
      <c r="AGI76" s="1"/>
      <c r="AGJ76" s="1"/>
      <c r="AGK76" s="1"/>
      <c r="AGL76" s="1"/>
      <c r="AGM76" s="1"/>
      <c r="AGN76" s="1"/>
      <c r="AGO76" s="1"/>
      <c r="AGP76" s="1"/>
      <c r="AGQ76" s="1"/>
      <c r="AGR76" s="1"/>
      <c r="AGS76" s="1"/>
      <c r="AGT76" s="1"/>
      <c r="AGU76" s="1"/>
      <c r="AGV76" s="1"/>
      <c r="AGW76" s="1"/>
      <c r="AGX76" s="1"/>
      <c r="AGY76" s="1"/>
      <c r="AGZ76" s="1"/>
      <c r="AHA76" s="1"/>
      <c r="AHB76" s="1"/>
      <c r="AHC76" s="1"/>
      <c r="AHD76" s="1"/>
      <c r="AHE76" s="1"/>
      <c r="AHF76" s="1"/>
      <c r="AHG76" s="1"/>
      <c r="AHH76" s="1"/>
      <c r="AHI76" s="1"/>
      <c r="AHJ76" s="1"/>
      <c r="AHK76" s="1"/>
      <c r="AHL76" s="1"/>
      <c r="AHM76" s="1"/>
      <c r="AHN76" s="1"/>
      <c r="AHO76" s="1"/>
      <c r="AHP76" s="1"/>
      <c r="AHQ76" s="1"/>
      <c r="AHR76" s="1"/>
      <c r="AHS76" s="1"/>
      <c r="AHT76" s="1"/>
      <c r="AHU76" s="1"/>
      <c r="AHV76" s="1"/>
      <c r="AHW76" s="1"/>
      <c r="AHX76" s="1"/>
      <c r="AHY76" s="1"/>
      <c r="AHZ76" s="1"/>
      <c r="AIA76" s="1"/>
      <c r="AIB76" s="1"/>
      <c r="AIC76" s="1"/>
      <c r="AID76" s="1"/>
      <c r="AIE76" s="1"/>
      <c r="AIF76" s="1"/>
      <c r="AIG76" s="1"/>
      <c r="AIH76" s="1"/>
      <c r="AII76" s="1"/>
      <c r="AIJ76" s="1"/>
      <c r="AIK76" s="1"/>
      <c r="AIL76" s="1"/>
      <c r="AIM76" s="1"/>
      <c r="AIN76" s="1"/>
      <c r="AIO76" s="1"/>
      <c r="AIP76" s="1"/>
      <c r="AIQ76" s="1"/>
      <c r="AIR76" s="1"/>
      <c r="AIS76" s="1"/>
      <c r="AIT76" s="1"/>
      <c r="AIU76" s="1"/>
      <c r="AIV76" s="1"/>
      <c r="AIW76" s="1"/>
      <c r="AIX76" s="1"/>
      <c r="AIY76" s="1"/>
      <c r="AIZ76" s="1"/>
      <c r="AJA76" s="1"/>
      <c r="AJB76" s="1"/>
      <c r="AJC76" s="1"/>
      <c r="AJD76" s="1"/>
      <c r="AJE76" s="1"/>
      <c r="AJF76" s="1"/>
      <c r="AJG76" s="1"/>
      <c r="AJH76" s="1"/>
      <c r="AJI76" s="1"/>
      <c r="AJJ76" s="1"/>
      <c r="AJK76" s="1"/>
      <c r="AJL76" s="1"/>
      <c r="AJM76" s="1"/>
      <c r="AJN76" s="1"/>
      <c r="AJO76" s="1"/>
      <c r="AJP76" s="1"/>
      <c r="AJQ76" s="1"/>
      <c r="AJR76" s="1"/>
      <c r="AJS76" s="1"/>
      <c r="AJT76" s="1"/>
      <c r="AJU76" s="1"/>
      <c r="AJV76" s="1"/>
      <c r="AJW76" s="1"/>
      <c r="AJX76" s="1"/>
      <c r="AJY76" s="1"/>
      <c r="AJZ76" s="1"/>
      <c r="AKA76" s="1"/>
      <c r="AKB76" s="1"/>
      <c r="AKC76" s="1"/>
      <c r="AKD76" s="1"/>
      <c r="AKE76" s="1"/>
      <c r="AKF76" s="1"/>
      <c r="AKG76" s="1"/>
      <c r="AKH76" s="1"/>
      <c r="AKI76" s="1"/>
      <c r="AKJ76" s="1"/>
      <c r="AKK76" s="1"/>
      <c r="AKL76" s="1"/>
      <c r="AKM76" s="1"/>
      <c r="AKN76" s="1"/>
      <c r="AKO76" s="1"/>
      <c r="AKP76" s="1"/>
      <c r="AKQ76" s="1"/>
      <c r="AKR76" s="1"/>
      <c r="AKS76" s="1"/>
      <c r="AKT76" s="1"/>
      <c r="AKU76" s="1"/>
      <c r="AKV76" s="1"/>
      <c r="AKW76" s="1"/>
      <c r="AKX76" s="1"/>
      <c r="AKY76" s="1"/>
      <c r="AKZ76" s="1"/>
      <c r="ALA76" s="1"/>
      <c r="ALB76" s="1"/>
      <c r="ALC76" s="1"/>
      <c r="ALD76" s="1"/>
      <c r="ALE76" s="1"/>
      <c r="ALF76" s="1"/>
      <c r="ALG76" s="1"/>
      <c r="ALH76" s="1"/>
      <c r="ALI76" s="1"/>
      <c r="ALJ76" s="1"/>
      <c r="ALK76" s="1"/>
      <c r="ALL76" s="1"/>
      <c r="ALM76" s="1"/>
      <c r="ALN76" s="1"/>
      <c r="ALO76" s="1"/>
      <c r="ALP76" s="1"/>
      <c r="ALQ76" s="1"/>
      <c r="ALR76" s="1"/>
      <c r="ALS76" s="1"/>
      <c r="ALT76" s="1"/>
      <c r="ALU76" s="1"/>
      <c r="ALV76" s="1"/>
      <c r="ALW76" s="1"/>
      <c r="ALX76" s="1"/>
      <c r="ALY76" s="1"/>
      <c r="ALZ76" s="1"/>
      <c r="AMA76" s="1"/>
      <c r="AMB76" s="1"/>
      <c r="AMC76" s="1"/>
      <c r="AMD76" s="1"/>
      <c r="AME76" s="1"/>
      <c r="AMF76" s="1"/>
      <c r="AMG76" s="1"/>
      <c r="AMH76" s="1"/>
      <c r="AMI76" s="1"/>
      <c r="AMJ76" s="1"/>
      <c r="AMK76" s="1"/>
      <c r="AML76" s="1"/>
      <c r="AMM76" s="1"/>
      <c r="AMN76" s="1"/>
      <c r="AMO76" s="1"/>
    </row>
    <row r="77" spans="1:1029" x14ac:dyDescent="0.2">
      <c r="A77" s="3" t="str">
        <f t="shared" si="223"/>
        <v>acm3_rat_4U16</v>
      </c>
      <c r="B77" s="3" t="s">
        <v>910</v>
      </c>
      <c r="C77" s="3" t="s">
        <v>1054</v>
      </c>
      <c r="D77" s="3" t="str">
        <f>IFERROR(MID(VLOOKUP($B77,Seqs!$A:$B,2,0),E77,1),"")</f>
        <v>I</v>
      </c>
      <c r="E77" s="3">
        <v>64</v>
      </c>
      <c r="F77" s="3" t="str">
        <f>IFERROR(MID(VLOOKUP($B77,Seqs!$A:$B,2,0),G77,1),"")</f>
        <v>N</v>
      </c>
      <c r="G77" s="3">
        <v>95</v>
      </c>
      <c r="H77" s="3" t="str">
        <f>IFERROR(MID(VLOOKUP($B77,Seqs!$A:$B,2,0),I77,1),"")</f>
        <v>K</v>
      </c>
      <c r="I77" s="23">
        <v>96</v>
      </c>
      <c r="J77" s="3" t="str">
        <f>IFERROR(MID(VLOOKUP($B77,Seqs!$A:$B,2,0),K77,1),"")</f>
        <v>K</v>
      </c>
      <c r="K77" s="23">
        <v>99</v>
      </c>
      <c r="L77" s="3" t="str">
        <f>IFERROR(MID(VLOOKUP($B77,Seqs!$A:$B,2,0),M77,1),"")</f>
        <v>T</v>
      </c>
      <c r="M77" s="3">
        <v>100</v>
      </c>
      <c r="N77" s="3" t="str">
        <f>IFERROR(MID(VLOOKUP($B77,Seqs!$A:$B,2,0),O77,1),"")</f>
        <v>M</v>
      </c>
      <c r="O77" s="3">
        <v>130</v>
      </c>
      <c r="P77" s="3" t="str">
        <f>IFERROR(MID(VLOOKUP($B77,Seqs!$A:$B,2,0),Q77,1),"")</f>
        <v>R</v>
      </c>
      <c r="Q77" s="3">
        <v>132</v>
      </c>
      <c r="R77" s="3" t="str">
        <f>IFERROR(MID(VLOOKUP($B77,Seqs!$A:$B,2,0),S77,1),"")</f>
        <v>L</v>
      </c>
      <c r="S77" s="3">
        <v>135</v>
      </c>
      <c r="T77" s="3" t="str">
        <f>IFERROR(MID(VLOOKUP($B77,Seqs!$A:$B,2,0),U77,1),"")</f>
        <v>G</v>
      </c>
      <c r="U77" s="3">
        <v>136</v>
      </c>
      <c r="V77" s="3" t="str">
        <f>IFERROR(MID(VLOOKUP($B77,Seqs!$A:$B,2,0),W77,1),"")</f>
        <v>R</v>
      </c>
      <c r="W77" s="3">
        <v>171</v>
      </c>
      <c r="X77" s="3" t="str">
        <f>IFERROR(MID(VLOOKUP($B77,Seqs!$A:$B,2,0),Y77,1),"")</f>
        <v>P</v>
      </c>
      <c r="Y77" s="3">
        <v>172</v>
      </c>
      <c r="Z77" s="3" t="str">
        <f>IFERROR(MID(VLOOKUP($B77,Seqs!$A:$B,2,0),AA77,1),"")</f>
        <v>R</v>
      </c>
      <c r="AA77" s="3">
        <v>179</v>
      </c>
      <c r="AB77" s="3" t="str">
        <f>IFERROR(MID(VLOOKUP($B77,Seqs!$A:$B,2,0),AC77,1),"")</f>
        <v>T</v>
      </c>
      <c r="AC77" s="9">
        <v>180</v>
      </c>
      <c r="AD77" s="3" t="str">
        <f>IFERROR(MID(VLOOKUP($B77,Seqs!$A:$B,2,0),AE77,1),"")</f>
        <v>G</v>
      </c>
      <c r="AE77" s="3">
        <v>211</v>
      </c>
      <c r="AF77" s="3" t="str">
        <f>IFERROR(MID(VLOOKUP($B77,Seqs!$A:$B,2,0),AG77,1),"")</f>
        <v>C</v>
      </c>
      <c r="AG77" s="3">
        <v>220</v>
      </c>
      <c r="AH77" s="3" t="str">
        <f>IFERROR(MID(VLOOKUP($B77,Seqs!$A:$B,2,0),AI77,1),"")</f>
        <v>I</v>
      </c>
      <c r="AI77" s="3">
        <v>222</v>
      </c>
      <c r="AJ77" s="3" t="str">
        <f>IFERROR(MID(VLOOKUP($B77,Seqs!$A:$B,2,0),AK77,1),"")</f>
        <v>E</v>
      </c>
      <c r="AK77" s="3">
        <v>227</v>
      </c>
      <c r="AL77" s="3" t="str">
        <f>IFERROR(MID(VLOOKUP($B77,Seqs!$A:$B,2,0),AM77,1),"")</f>
        <v>K</v>
      </c>
      <c r="AM77" s="3">
        <v>259</v>
      </c>
      <c r="AN77" s="3" t="str">
        <f>IFERROR(MID(VLOOKUP($B77,Seqs!$A:$B,2,0),AO77,1),"")</f>
        <v>I</v>
      </c>
      <c r="AO77" s="3">
        <v>483</v>
      </c>
      <c r="AP77" s="3" t="str">
        <f>IFERROR(MID(VLOOKUP($B77,Seqs!$A:$B,2,0),AQ77,1),"")</f>
        <v>C</v>
      </c>
      <c r="AQ77" s="3">
        <v>516</v>
      </c>
      <c r="AR77" s="3" t="str">
        <f>IFERROR(MID(VLOOKUP($B77,Seqs!$A:$B,2,0),AS77,1),"")</f>
        <v>P</v>
      </c>
      <c r="AS77" s="3">
        <v>521</v>
      </c>
      <c r="AT77" s="3" t="str">
        <f>IFERROR(MID(VLOOKUP($B77,Seqs!$A:$B,2,0),AU77,1),"")</f>
        <v>C</v>
      </c>
      <c r="AU77" s="3">
        <v>546</v>
      </c>
      <c r="AV77" s="3" t="str">
        <f>IFERROR(MID(VLOOKUP($B77,Seqs!$A:$B,2,0),AW77,1),"")</f>
        <v/>
      </c>
      <c r="AW77" s="3" t="s">
        <v>23</v>
      </c>
      <c r="AX77" s="3" t="str">
        <f>IFERROR(MID(VLOOKUP($B77,Seqs!$A:$B,2,0),AY77,1),"")</f>
        <v/>
      </c>
      <c r="AY77" s="3" t="s">
        <v>23</v>
      </c>
      <c r="AZ77" s="77" t="str">
        <f>VLOOKUP(B77,Classification!A:D,2,0)</f>
        <v>A</v>
      </c>
      <c r="BA77" s="94" t="str">
        <f>VLOOKUP(B77,Classification!A:D,4,0)</f>
        <v>Acetylcholine(muscarinic)</v>
      </c>
      <c r="BB77" s="27" t="b">
        <f t="shared" si="224"/>
        <v>1</v>
      </c>
      <c r="BC77" s="23">
        <f t="shared" si="169"/>
        <v>244</v>
      </c>
      <c r="BD77" s="4" t="s">
        <v>23</v>
      </c>
      <c r="BE77" s="3" t="s">
        <v>1381</v>
      </c>
      <c r="BF77" s="119">
        <v>3.7</v>
      </c>
      <c r="BG77" s="49" t="s">
        <v>1384</v>
      </c>
      <c r="BH77" s="49" t="s">
        <v>1384</v>
      </c>
      <c r="BI77" s="1"/>
      <c r="BJ77" s="70" t="s">
        <v>1293</v>
      </c>
      <c r="BK77" s="57" t="s">
        <v>1293</v>
      </c>
      <c r="BL77" s="57" t="s">
        <v>1293</v>
      </c>
      <c r="BM77" s="57" t="s">
        <v>1293</v>
      </c>
      <c r="BN77" s="57" t="s">
        <v>1293</v>
      </c>
      <c r="BO77" s="57" t="s">
        <v>1293</v>
      </c>
      <c r="BP77" s="57" t="s">
        <v>1293</v>
      </c>
      <c r="BQ77" s="57" t="s">
        <v>1293</v>
      </c>
      <c r="BR77" s="57" t="s">
        <v>1293</v>
      </c>
      <c r="BS77" s="57" t="s">
        <v>1293</v>
      </c>
      <c r="BT77" s="57" t="s">
        <v>1293</v>
      </c>
      <c r="BU77" s="57" t="s">
        <v>1293</v>
      </c>
      <c r="BV77" s="70">
        <f t="shared" si="170"/>
        <v>64</v>
      </c>
      <c r="BW77" s="71">
        <f t="shared" si="171"/>
        <v>96</v>
      </c>
      <c r="BX77" s="72">
        <f t="shared" si="172"/>
        <v>100</v>
      </c>
      <c r="BY77" s="71">
        <f t="shared" si="173"/>
        <v>132</v>
      </c>
      <c r="BZ77" s="72">
        <f t="shared" si="174"/>
        <v>136</v>
      </c>
      <c r="CA77" s="71">
        <f t="shared" si="175"/>
        <v>172</v>
      </c>
      <c r="CB77" s="72">
        <f t="shared" si="176"/>
        <v>180</v>
      </c>
      <c r="CC77" s="71">
        <f t="shared" si="177"/>
        <v>220</v>
      </c>
      <c r="CD77" s="72">
        <f t="shared" si="178"/>
        <v>227</v>
      </c>
      <c r="CE77" s="71">
        <f t="shared" si="179"/>
        <v>483</v>
      </c>
      <c r="CF77" s="72">
        <f t="shared" si="180"/>
        <v>521</v>
      </c>
      <c r="CG77" s="71" t="str">
        <f t="shared" si="181"/>
        <v>-</v>
      </c>
      <c r="CH77" s="70">
        <f t="shared" si="182"/>
        <v>95</v>
      </c>
      <c r="CI77" s="71">
        <f t="shared" si="183"/>
        <v>99</v>
      </c>
      <c r="CJ77" s="72">
        <f t="shared" si="184"/>
        <v>130</v>
      </c>
      <c r="CK77" s="72">
        <f t="shared" si="185"/>
        <v>135</v>
      </c>
      <c r="CL77" s="72">
        <f t="shared" si="186"/>
        <v>171</v>
      </c>
      <c r="CM77" s="72">
        <f t="shared" si="187"/>
        <v>179</v>
      </c>
      <c r="CN77" s="72">
        <f t="shared" si="188"/>
        <v>211</v>
      </c>
      <c r="CO77" s="72">
        <f t="shared" si="189"/>
        <v>222</v>
      </c>
      <c r="CP77" s="72">
        <f t="shared" si="190"/>
        <v>259</v>
      </c>
      <c r="CQ77" s="72">
        <f t="shared" si="191"/>
        <v>516</v>
      </c>
      <c r="CR77" s="72">
        <f t="shared" si="192"/>
        <v>546</v>
      </c>
      <c r="CS77" s="72" t="str">
        <f t="shared" si="193"/>
        <v>-</v>
      </c>
      <c r="CT77" s="23">
        <f t="shared" si="194"/>
        <v>1</v>
      </c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  <c r="OK77" s="1"/>
      <c r="OL77" s="1"/>
      <c r="OM77" s="1"/>
      <c r="ON77" s="1"/>
      <c r="OO77" s="1"/>
      <c r="OP77" s="1"/>
      <c r="OQ77" s="1"/>
      <c r="OR77" s="1"/>
      <c r="OS77" s="1"/>
      <c r="OT77" s="1"/>
      <c r="OU77" s="1"/>
      <c r="OV77" s="1"/>
      <c r="OW77" s="1"/>
      <c r="OX77" s="1"/>
      <c r="OY77" s="1"/>
      <c r="OZ77" s="1"/>
      <c r="PA77" s="1"/>
      <c r="PB77" s="1"/>
      <c r="PC77" s="1"/>
      <c r="PD77" s="1"/>
      <c r="PE77" s="1"/>
      <c r="PF77" s="1"/>
      <c r="PG77" s="1"/>
      <c r="PH77" s="1"/>
      <c r="PI77" s="1"/>
      <c r="PJ77" s="1"/>
      <c r="PK77" s="1"/>
      <c r="PL77" s="1"/>
      <c r="PM77" s="1"/>
      <c r="PN77" s="1"/>
      <c r="PO77" s="1"/>
      <c r="PP77" s="1"/>
      <c r="PQ77" s="1"/>
      <c r="PR77" s="1"/>
      <c r="PS77" s="1"/>
      <c r="PT77" s="1"/>
      <c r="PU77" s="1"/>
      <c r="PV77" s="1"/>
      <c r="PW77" s="1"/>
      <c r="PX77" s="1"/>
      <c r="PY77" s="1"/>
      <c r="PZ77" s="1"/>
      <c r="QA77" s="1"/>
      <c r="QB77" s="1"/>
      <c r="QC77" s="1"/>
      <c r="QD77" s="1"/>
      <c r="QE77" s="1"/>
      <c r="QF77" s="1"/>
      <c r="QG77" s="1"/>
      <c r="QH77" s="1"/>
      <c r="QI77" s="1"/>
      <c r="QJ77" s="1"/>
      <c r="QK77" s="1"/>
      <c r="QL77" s="1"/>
      <c r="QM77" s="1"/>
      <c r="QN77" s="1"/>
      <c r="QO77" s="1"/>
      <c r="QP77" s="1"/>
      <c r="QQ77" s="1"/>
      <c r="QR77" s="1"/>
      <c r="QS77" s="1"/>
      <c r="QT77" s="1"/>
      <c r="QU77" s="1"/>
      <c r="QV77" s="1"/>
      <c r="QW77" s="1"/>
      <c r="QX77" s="1"/>
      <c r="QY77" s="1"/>
      <c r="QZ77" s="1"/>
      <c r="RA77" s="1"/>
      <c r="RB77" s="1"/>
      <c r="RC77" s="1"/>
      <c r="RD77" s="1"/>
      <c r="RE77" s="1"/>
      <c r="RF77" s="1"/>
      <c r="RG77" s="1"/>
      <c r="RH77" s="1"/>
      <c r="RI77" s="1"/>
      <c r="RJ77" s="1"/>
      <c r="RK77" s="1"/>
      <c r="RL77" s="1"/>
      <c r="RM77" s="1"/>
      <c r="RN77" s="1"/>
      <c r="RO77" s="1"/>
      <c r="RP77" s="1"/>
      <c r="RQ77" s="1"/>
      <c r="RR77" s="1"/>
      <c r="RS77" s="1"/>
      <c r="RT77" s="1"/>
      <c r="RU77" s="1"/>
      <c r="RV77" s="1"/>
      <c r="RW77" s="1"/>
      <c r="RX77" s="1"/>
      <c r="RY77" s="1"/>
      <c r="RZ77" s="1"/>
      <c r="SA77" s="1"/>
      <c r="SB77" s="1"/>
      <c r="SC77" s="1"/>
      <c r="SD77" s="1"/>
      <c r="SE77" s="1"/>
      <c r="SF77" s="1"/>
      <c r="SG77" s="1"/>
      <c r="SH77" s="1"/>
      <c r="SI77" s="1"/>
      <c r="SJ77" s="1"/>
      <c r="SK77" s="1"/>
      <c r="SL77" s="1"/>
      <c r="SM77" s="1"/>
      <c r="SN77" s="1"/>
      <c r="SO77" s="1"/>
      <c r="SP77" s="1"/>
      <c r="SQ77" s="1"/>
      <c r="SR77" s="1"/>
      <c r="SS77" s="1"/>
      <c r="ST77" s="1"/>
      <c r="SU77" s="1"/>
      <c r="SV77" s="1"/>
      <c r="SW77" s="1"/>
      <c r="SX77" s="1"/>
      <c r="SY77" s="1"/>
      <c r="SZ77" s="1"/>
      <c r="TA77" s="1"/>
      <c r="TB77" s="1"/>
      <c r="TC77" s="1"/>
      <c r="TD77" s="1"/>
      <c r="TE77" s="1"/>
      <c r="TF77" s="1"/>
      <c r="TG77" s="1"/>
      <c r="TH77" s="1"/>
      <c r="TI77" s="1"/>
      <c r="TJ77" s="1"/>
      <c r="TK77" s="1"/>
      <c r="TL77" s="1"/>
      <c r="TM77" s="1"/>
      <c r="TN77" s="1"/>
      <c r="TO77" s="1"/>
      <c r="TP77" s="1"/>
      <c r="TQ77" s="1"/>
      <c r="TR77" s="1"/>
      <c r="TS77" s="1"/>
      <c r="TT77" s="1"/>
      <c r="TU77" s="1"/>
      <c r="TV77" s="1"/>
      <c r="TW77" s="1"/>
      <c r="TX77" s="1"/>
      <c r="TY77" s="1"/>
      <c r="TZ77" s="1"/>
      <c r="UA77" s="1"/>
      <c r="UB77" s="1"/>
      <c r="UC77" s="1"/>
      <c r="UD77" s="1"/>
      <c r="UE77" s="1"/>
      <c r="UF77" s="1"/>
      <c r="UG77" s="1"/>
      <c r="UH77" s="1"/>
      <c r="UI77" s="1"/>
      <c r="UJ77" s="1"/>
      <c r="UK77" s="1"/>
      <c r="UL77" s="1"/>
      <c r="UM77" s="1"/>
      <c r="UN77" s="1"/>
      <c r="UO77" s="1"/>
      <c r="UP77" s="1"/>
      <c r="UQ77" s="1"/>
      <c r="UR77" s="1"/>
      <c r="US77" s="1"/>
      <c r="UT77" s="1"/>
      <c r="UU77" s="1"/>
      <c r="UV77" s="1"/>
      <c r="UW77" s="1"/>
      <c r="UX77" s="1"/>
      <c r="UY77" s="1"/>
      <c r="UZ77" s="1"/>
      <c r="VA77" s="1"/>
      <c r="VB77" s="1"/>
      <c r="VC77" s="1"/>
      <c r="VD77" s="1"/>
      <c r="VE77" s="1"/>
      <c r="VF77" s="1"/>
      <c r="VG77" s="1"/>
      <c r="VH77" s="1"/>
      <c r="VI77" s="1"/>
      <c r="VJ77" s="1"/>
      <c r="VK77" s="1"/>
      <c r="VL77" s="1"/>
      <c r="VM77" s="1"/>
      <c r="VN77" s="1"/>
      <c r="VO77" s="1"/>
      <c r="VP77" s="1"/>
      <c r="VQ77" s="1"/>
      <c r="VR77" s="1"/>
      <c r="VS77" s="1"/>
      <c r="VT77" s="1"/>
      <c r="VU77" s="1"/>
      <c r="VV77" s="1"/>
      <c r="VW77" s="1"/>
      <c r="VX77" s="1"/>
      <c r="VY77" s="1"/>
      <c r="VZ77" s="1"/>
      <c r="WA77" s="1"/>
      <c r="WB77" s="1"/>
      <c r="WC77" s="1"/>
      <c r="WD77" s="1"/>
      <c r="WE77" s="1"/>
      <c r="WF77" s="1"/>
      <c r="WG77" s="1"/>
      <c r="WH77" s="1"/>
      <c r="WI77" s="1"/>
      <c r="WJ77" s="1"/>
      <c r="WK77" s="1"/>
      <c r="WL77" s="1"/>
      <c r="WM77" s="1"/>
      <c r="WN77" s="1"/>
      <c r="WO77" s="1"/>
      <c r="WP77" s="1"/>
      <c r="WQ77" s="1"/>
      <c r="WR77" s="1"/>
      <c r="WS77" s="1"/>
      <c r="WT77" s="1"/>
      <c r="WU77" s="1"/>
      <c r="WV77" s="1"/>
      <c r="WW77" s="1"/>
      <c r="WX77" s="1"/>
      <c r="WY77" s="1"/>
      <c r="WZ77" s="1"/>
      <c r="XA77" s="1"/>
      <c r="XB77" s="1"/>
      <c r="XC77" s="1"/>
      <c r="XD77" s="1"/>
      <c r="XE77" s="1"/>
      <c r="XF77" s="1"/>
      <c r="XG77" s="1"/>
      <c r="XH77" s="1"/>
      <c r="XI77" s="1"/>
      <c r="XJ77" s="1"/>
      <c r="XK77" s="1"/>
      <c r="XL77" s="1"/>
      <c r="XM77" s="1"/>
      <c r="XN77" s="1"/>
      <c r="XO77" s="1"/>
      <c r="XP77" s="1"/>
      <c r="XQ77" s="1"/>
      <c r="XR77" s="1"/>
      <c r="XS77" s="1"/>
      <c r="XT77" s="1"/>
      <c r="XU77" s="1"/>
      <c r="XV77" s="1"/>
      <c r="XW77" s="1"/>
      <c r="XX77" s="1"/>
      <c r="XY77" s="1"/>
      <c r="XZ77" s="1"/>
      <c r="YA77" s="1"/>
      <c r="YB77" s="1"/>
      <c r="YC77" s="1"/>
      <c r="YD77" s="1"/>
      <c r="YE77" s="1"/>
      <c r="YF77" s="1"/>
      <c r="YG77" s="1"/>
      <c r="YH77" s="1"/>
      <c r="YI77" s="1"/>
      <c r="YJ77" s="1"/>
      <c r="YK77" s="1"/>
      <c r="YL77" s="1"/>
      <c r="YM77" s="1"/>
      <c r="YN77" s="1"/>
      <c r="YO77" s="1"/>
      <c r="YP77" s="1"/>
      <c r="YQ77" s="1"/>
      <c r="YR77" s="1"/>
      <c r="YS77" s="1"/>
      <c r="YT77" s="1"/>
      <c r="YU77" s="1"/>
      <c r="YV77" s="1"/>
      <c r="YW77" s="1"/>
      <c r="YX77" s="1"/>
      <c r="YY77" s="1"/>
      <c r="YZ77" s="1"/>
      <c r="ZA77" s="1"/>
      <c r="ZB77" s="1"/>
      <c r="ZC77" s="1"/>
      <c r="ZD77" s="1"/>
      <c r="ZE77" s="1"/>
      <c r="ZF77" s="1"/>
      <c r="ZG77" s="1"/>
      <c r="ZH77" s="1"/>
      <c r="ZI77" s="1"/>
      <c r="ZJ77" s="1"/>
      <c r="ZK77" s="1"/>
      <c r="ZL77" s="1"/>
      <c r="ZM77" s="1"/>
      <c r="ZN77" s="1"/>
      <c r="ZO77" s="1"/>
      <c r="ZP77" s="1"/>
      <c r="ZQ77" s="1"/>
      <c r="ZR77" s="1"/>
      <c r="ZS77" s="1"/>
      <c r="ZT77" s="1"/>
      <c r="ZU77" s="1"/>
      <c r="ZV77" s="1"/>
      <c r="ZW77" s="1"/>
      <c r="ZX77" s="1"/>
      <c r="ZY77" s="1"/>
      <c r="ZZ77" s="1"/>
      <c r="AAA77" s="1"/>
      <c r="AAB77" s="1"/>
      <c r="AAC77" s="1"/>
      <c r="AAD77" s="1"/>
      <c r="AAE77" s="1"/>
      <c r="AAF77" s="1"/>
      <c r="AAG77" s="1"/>
      <c r="AAH77" s="1"/>
      <c r="AAI77" s="1"/>
      <c r="AAJ77" s="1"/>
      <c r="AAK77" s="1"/>
      <c r="AAL77" s="1"/>
      <c r="AAM77" s="1"/>
      <c r="AAN77" s="1"/>
      <c r="AAO77" s="1"/>
      <c r="AAP77" s="1"/>
      <c r="AAQ77" s="1"/>
      <c r="AAR77" s="1"/>
      <c r="AAS77" s="1"/>
      <c r="AAT77" s="1"/>
      <c r="AAU77" s="1"/>
      <c r="AAV77" s="1"/>
      <c r="AAW77" s="1"/>
      <c r="AAX77" s="1"/>
      <c r="AAY77" s="1"/>
      <c r="AAZ77" s="1"/>
      <c r="ABA77" s="1"/>
      <c r="ABB77" s="1"/>
      <c r="ABC77" s="1"/>
      <c r="ABD77" s="1"/>
      <c r="ABE77" s="1"/>
      <c r="ABF77" s="1"/>
      <c r="ABG77" s="1"/>
      <c r="ABH77" s="1"/>
      <c r="ABI77" s="1"/>
      <c r="ABJ77" s="1"/>
      <c r="ABK77" s="1"/>
      <c r="ABL77" s="1"/>
      <c r="ABM77" s="1"/>
      <c r="ABN77" s="1"/>
      <c r="ABO77" s="1"/>
      <c r="ABP77" s="1"/>
      <c r="ABQ77" s="1"/>
      <c r="ABR77" s="1"/>
      <c r="ABS77" s="1"/>
      <c r="ABT77" s="1"/>
      <c r="ABU77" s="1"/>
      <c r="ABV77" s="1"/>
      <c r="ABW77" s="1"/>
      <c r="ABX77" s="1"/>
      <c r="ABY77" s="1"/>
      <c r="ABZ77" s="1"/>
      <c r="ACA77" s="1"/>
      <c r="ACB77" s="1"/>
      <c r="ACC77" s="1"/>
      <c r="ACD77" s="1"/>
      <c r="ACE77" s="1"/>
      <c r="ACF77" s="1"/>
      <c r="ACG77" s="1"/>
      <c r="ACH77" s="1"/>
      <c r="ACI77" s="1"/>
      <c r="ACJ77" s="1"/>
      <c r="ACK77" s="1"/>
      <c r="ACL77" s="1"/>
      <c r="ACM77" s="1"/>
      <c r="ACN77" s="1"/>
      <c r="ACO77" s="1"/>
      <c r="ACP77" s="1"/>
      <c r="ACQ77" s="1"/>
      <c r="ACR77" s="1"/>
      <c r="ACS77" s="1"/>
      <c r="ACT77" s="1"/>
      <c r="ACU77" s="1"/>
      <c r="ACV77" s="1"/>
      <c r="ACW77" s="1"/>
      <c r="ACX77" s="1"/>
      <c r="ACY77" s="1"/>
      <c r="ACZ77" s="1"/>
      <c r="ADA77" s="1"/>
      <c r="ADB77" s="1"/>
      <c r="ADC77" s="1"/>
      <c r="ADD77" s="1"/>
      <c r="ADE77" s="1"/>
      <c r="ADF77" s="1"/>
      <c r="ADG77" s="1"/>
      <c r="ADH77" s="1"/>
      <c r="ADI77" s="1"/>
      <c r="ADJ77" s="1"/>
      <c r="ADK77" s="1"/>
      <c r="ADL77" s="1"/>
      <c r="ADM77" s="1"/>
      <c r="ADN77" s="1"/>
      <c r="ADO77" s="1"/>
      <c r="ADP77" s="1"/>
      <c r="ADQ77" s="1"/>
      <c r="ADR77" s="1"/>
      <c r="ADS77" s="1"/>
      <c r="ADT77" s="1"/>
      <c r="ADU77" s="1"/>
      <c r="ADV77" s="1"/>
      <c r="ADW77" s="1"/>
      <c r="ADX77" s="1"/>
      <c r="ADY77" s="1"/>
      <c r="ADZ77" s="1"/>
      <c r="AEA77" s="1"/>
      <c r="AEB77" s="1"/>
      <c r="AEC77" s="1"/>
      <c r="AED77" s="1"/>
      <c r="AEE77" s="1"/>
      <c r="AEF77" s="1"/>
      <c r="AEG77" s="1"/>
      <c r="AEH77" s="1"/>
      <c r="AEI77" s="1"/>
      <c r="AEJ77" s="1"/>
      <c r="AEK77" s="1"/>
      <c r="AEL77" s="1"/>
      <c r="AEM77" s="1"/>
      <c r="AEN77" s="1"/>
      <c r="AEO77" s="1"/>
      <c r="AEP77" s="1"/>
      <c r="AEQ77" s="1"/>
      <c r="AER77" s="1"/>
      <c r="AES77" s="1"/>
      <c r="AET77" s="1"/>
      <c r="AEU77" s="1"/>
      <c r="AEV77" s="1"/>
      <c r="AEW77" s="1"/>
      <c r="AEX77" s="1"/>
      <c r="AEY77" s="1"/>
      <c r="AEZ77" s="1"/>
      <c r="AFA77" s="1"/>
      <c r="AFB77" s="1"/>
      <c r="AFC77" s="1"/>
      <c r="AFD77" s="1"/>
      <c r="AFE77" s="1"/>
      <c r="AFF77" s="1"/>
      <c r="AFG77" s="1"/>
      <c r="AFH77" s="1"/>
      <c r="AFI77" s="1"/>
      <c r="AFJ77" s="1"/>
      <c r="AFK77" s="1"/>
      <c r="AFL77" s="1"/>
      <c r="AFM77" s="1"/>
      <c r="AFN77" s="1"/>
      <c r="AFO77" s="1"/>
      <c r="AFP77" s="1"/>
      <c r="AFQ77" s="1"/>
      <c r="AFR77" s="1"/>
      <c r="AFS77" s="1"/>
      <c r="AFT77" s="1"/>
      <c r="AFU77" s="1"/>
      <c r="AFV77" s="1"/>
      <c r="AFW77" s="1"/>
      <c r="AFX77" s="1"/>
      <c r="AFY77" s="1"/>
      <c r="AFZ77" s="1"/>
      <c r="AGA77" s="1"/>
      <c r="AGB77" s="1"/>
      <c r="AGC77" s="1"/>
      <c r="AGD77" s="1"/>
      <c r="AGE77" s="1"/>
      <c r="AGF77" s="1"/>
      <c r="AGG77" s="1"/>
      <c r="AGH77" s="1"/>
      <c r="AGI77" s="1"/>
      <c r="AGJ77" s="1"/>
      <c r="AGK77" s="1"/>
      <c r="AGL77" s="1"/>
      <c r="AGM77" s="1"/>
      <c r="AGN77" s="1"/>
      <c r="AGO77" s="1"/>
      <c r="AGP77" s="1"/>
      <c r="AGQ77" s="1"/>
      <c r="AGR77" s="1"/>
      <c r="AGS77" s="1"/>
      <c r="AGT77" s="1"/>
      <c r="AGU77" s="1"/>
      <c r="AGV77" s="1"/>
      <c r="AGW77" s="1"/>
      <c r="AGX77" s="1"/>
      <c r="AGY77" s="1"/>
      <c r="AGZ77" s="1"/>
      <c r="AHA77" s="1"/>
      <c r="AHB77" s="1"/>
      <c r="AHC77" s="1"/>
      <c r="AHD77" s="1"/>
      <c r="AHE77" s="1"/>
      <c r="AHF77" s="1"/>
      <c r="AHG77" s="1"/>
      <c r="AHH77" s="1"/>
      <c r="AHI77" s="1"/>
      <c r="AHJ77" s="1"/>
      <c r="AHK77" s="1"/>
      <c r="AHL77" s="1"/>
      <c r="AHM77" s="1"/>
      <c r="AHN77" s="1"/>
      <c r="AHO77" s="1"/>
      <c r="AHP77" s="1"/>
      <c r="AHQ77" s="1"/>
      <c r="AHR77" s="1"/>
      <c r="AHS77" s="1"/>
      <c r="AHT77" s="1"/>
      <c r="AHU77" s="1"/>
      <c r="AHV77" s="1"/>
      <c r="AHW77" s="1"/>
      <c r="AHX77" s="1"/>
      <c r="AHY77" s="1"/>
      <c r="AHZ77" s="1"/>
      <c r="AIA77" s="1"/>
      <c r="AIB77" s="1"/>
      <c r="AIC77" s="1"/>
      <c r="AID77" s="1"/>
      <c r="AIE77" s="1"/>
      <c r="AIF77" s="1"/>
      <c r="AIG77" s="1"/>
      <c r="AIH77" s="1"/>
      <c r="AII77" s="1"/>
      <c r="AIJ77" s="1"/>
      <c r="AIK77" s="1"/>
      <c r="AIL77" s="1"/>
      <c r="AIM77" s="1"/>
      <c r="AIN77" s="1"/>
      <c r="AIO77" s="1"/>
      <c r="AIP77" s="1"/>
      <c r="AIQ77" s="1"/>
      <c r="AIR77" s="1"/>
      <c r="AIS77" s="1"/>
      <c r="AIT77" s="1"/>
      <c r="AIU77" s="1"/>
      <c r="AIV77" s="1"/>
      <c r="AIW77" s="1"/>
      <c r="AIX77" s="1"/>
      <c r="AIY77" s="1"/>
      <c r="AIZ77" s="1"/>
      <c r="AJA77" s="1"/>
      <c r="AJB77" s="1"/>
      <c r="AJC77" s="1"/>
      <c r="AJD77" s="1"/>
      <c r="AJE77" s="1"/>
      <c r="AJF77" s="1"/>
      <c r="AJG77" s="1"/>
      <c r="AJH77" s="1"/>
      <c r="AJI77" s="1"/>
      <c r="AJJ77" s="1"/>
      <c r="AJK77" s="1"/>
      <c r="AJL77" s="1"/>
      <c r="AJM77" s="1"/>
      <c r="AJN77" s="1"/>
      <c r="AJO77" s="1"/>
      <c r="AJP77" s="1"/>
      <c r="AJQ77" s="1"/>
      <c r="AJR77" s="1"/>
      <c r="AJS77" s="1"/>
      <c r="AJT77" s="1"/>
      <c r="AJU77" s="1"/>
      <c r="AJV77" s="1"/>
      <c r="AJW77" s="1"/>
      <c r="AJX77" s="1"/>
      <c r="AJY77" s="1"/>
      <c r="AJZ77" s="1"/>
      <c r="AKA77" s="1"/>
      <c r="AKB77" s="1"/>
      <c r="AKC77" s="1"/>
      <c r="AKD77" s="1"/>
      <c r="AKE77" s="1"/>
      <c r="AKF77" s="1"/>
      <c r="AKG77" s="1"/>
      <c r="AKH77" s="1"/>
      <c r="AKI77" s="1"/>
      <c r="AKJ77" s="1"/>
      <c r="AKK77" s="1"/>
      <c r="AKL77" s="1"/>
      <c r="AKM77" s="1"/>
      <c r="AKN77" s="1"/>
      <c r="AKO77" s="1"/>
      <c r="AKP77" s="1"/>
      <c r="AKQ77" s="1"/>
      <c r="AKR77" s="1"/>
      <c r="AKS77" s="1"/>
      <c r="AKT77" s="1"/>
      <c r="AKU77" s="1"/>
      <c r="AKV77" s="1"/>
      <c r="AKW77" s="1"/>
      <c r="AKX77" s="1"/>
      <c r="AKY77" s="1"/>
      <c r="AKZ77" s="1"/>
      <c r="ALA77" s="1"/>
      <c r="ALB77" s="1"/>
      <c r="ALC77" s="1"/>
      <c r="ALD77" s="1"/>
      <c r="ALE77" s="1"/>
      <c r="ALF77" s="1"/>
      <c r="ALG77" s="1"/>
      <c r="ALH77" s="1"/>
      <c r="ALI77" s="1"/>
      <c r="ALJ77" s="1"/>
      <c r="ALK77" s="1"/>
      <c r="ALL77" s="1"/>
      <c r="ALM77" s="1"/>
      <c r="ALN77" s="1"/>
      <c r="ALO77" s="1"/>
      <c r="ALP77" s="1"/>
      <c r="ALQ77" s="1"/>
      <c r="ALR77" s="1"/>
      <c r="ALS77" s="1"/>
      <c r="ALT77" s="1"/>
      <c r="ALU77" s="1"/>
      <c r="ALV77" s="1"/>
      <c r="ALW77" s="1"/>
      <c r="ALX77" s="1"/>
      <c r="ALY77" s="1"/>
      <c r="ALZ77" s="1"/>
      <c r="AMA77" s="1"/>
      <c r="AMB77" s="1"/>
      <c r="AMC77" s="1"/>
      <c r="AMD77" s="1"/>
      <c r="AME77" s="1"/>
      <c r="AMF77" s="1"/>
      <c r="AMG77" s="1"/>
      <c r="AMH77" s="1"/>
      <c r="AMI77" s="1"/>
      <c r="AMJ77" s="1"/>
      <c r="AMK77" s="1"/>
      <c r="AML77" s="1"/>
      <c r="AMM77" s="1"/>
      <c r="AMN77" s="1"/>
      <c r="AMO77" s="1"/>
    </row>
    <row r="78" spans="1:1029" x14ac:dyDescent="0.2">
      <c r="A78" s="3" t="str">
        <f t="shared" si="223"/>
        <v>acm4_human__wt</v>
      </c>
      <c r="B78" s="3" t="s">
        <v>149</v>
      </c>
      <c r="C78" s="3" t="s">
        <v>100</v>
      </c>
      <c r="D78" s="3" t="str">
        <f>IFERROR(MID(VLOOKUP($B78,Seqs!$A:$B,2,0),E78,1),"")</f>
        <v>R</v>
      </c>
      <c r="E78" s="3">
        <v>26</v>
      </c>
      <c r="F78" s="3" t="str">
        <f>IFERROR(MID(VLOOKUP($B78,Seqs!$A:$B,2,0),G78,1),"")</f>
        <v>N</v>
      </c>
      <c r="G78" s="3">
        <v>60</v>
      </c>
      <c r="H78" s="3" t="str">
        <f>IFERROR(MID(VLOOKUP($B78,Seqs!$A:$B,2,0),I78,1),"")</f>
        <v>R</v>
      </c>
      <c r="I78" s="23">
        <v>61</v>
      </c>
      <c r="J78" s="3" t="str">
        <f>IFERROR(MID(VLOOKUP($B78,Seqs!$A:$B,2,0),K78,1),"")</f>
        <v>Q</v>
      </c>
      <c r="K78" s="23">
        <v>64</v>
      </c>
      <c r="L78" s="3" t="str">
        <f>IFERROR(MID(VLOOKUP($B78,Seqs!$A:$B,2,0),M78,1),"")</f>
        <v>T</v>
      </c>
      <c r="M78" s="3">
        <v>65</v>
      </c>
      <c r="N78" s="3" t="str">
        <f>IFERROR(MID(VLOOKUP($B78,Seqs!$A:$B,2,0),O78,1),"")</f>
        <v>K</v>
      </c>
      <c r="O78" s="3">
        <v>95</v>
      </c>
      <c r="P78" s="3" t="str">
        <f>IFERROR(MID(VLOOKUP($B78,Seqs!$A:$B,2,0),Q78,1),"")</f>
        <v>Y</v>
      </c>
      <c r="Q78" s="3">
        <v>97</v>
      </c>
      <c r="R78" s="3" t="str">
        <f>IFERROR(MID(VLOOKUP($B78,Seqs!$A:$B,2,0),S78,1),"")</f>
        <v>L</v>
      </c>
      <c r="S78" s="3">
        <v>100</v>
      </c>
      <c r="T78" s="3" t="str">
        <f>IFERROR(MID(VLOOKUP($B78,Seqs!$A:$B,2,0),U78,1),"")</f>
        <v>G</v>
      </c>
      <c r="U78" s="3">
        <v>101</v>
      </c>
      <c r="V78" s="3" t="str">
        <f>IFERROR(MID(VLOOKUP($B78,Seqs!$A:$B,2,0),W78,1),"")</f>
        <v>K</v>
      </c>
      <c r="W78" s="3">
        <v>136</v>
      </c>
      <c r="X78" s="3" t="str">
        <f>IFERROR(MID(VLOOKUP($B78,Seqs!$A:$B,2,0),Y78,1),"")</f>
        <v>P</v>
      </c>
      <c r="Y78" s="3">
        <v>137</v>
      </c>
      <c r="Z78" s="3" t="str">
        <f>IFERROR(MID(VLOOKUP($B78,Seqs!$A:$B,2,0),AA78,1),"")</f>
        <v>R</v>
      </c>
      <c r="AA78" s="3">
        <v>144</v>
      </c>
      <c r="AB78" s="3" t="str">
        <f>IFERROR(MID(VLOOKUP($B78,Seqs!$A:$B,2,0),AC78,1),"")</f>
        <v>T</v>
      </c>
      <c r="AC78" s="9">
        <v>145</v>
      </c>
      <c r="AD78" s="3" t="str">
        <f>IFERROR(MID(VLOOKUP($B78,Seqs!$A:$B,2,0),AE78,1),"")</f>
        <v>G</v>
      </c>
      <c r="AE78" s="3">
        <v>176</v>
      </c>
      <c r="AF78" s="3" t="str">
        <f>IFERROR(MID(VLOOKUP($B78,Seqs!$A:$B,2,0),AG78,1),"")</f>
        <v>C</v>
      </c>
      <c r="AG78" s="3">
        <v>185</v>
      </c>
      <c r="AH78" s="3" t="str">
        <f>IFERROR(MID(VLOOKUP($B78,Seqs!$A:$B,2,0),AI78,1),"")</f>
        <v>I</v>
      </c>
      <c r="AI78" s="3">
        <v>187</v>
      </c>
      <c r="AJ78" s="3" t="str">
        <f>IFERROR(MID(VLOOKUP($B78,Seqs!$A:$B,2,0),AK78,1),"")</f>
        <v>N</v>
      </c>
      <c r="AK78" s="3">
        <v>192</v>
      </c>
      <c r="AL78" s="3" t="str">
        <f>IFERROR(MID(VLOOKUP($B78,Seqs!$A:$B,2,0),AM78,1),"")</f>
        <v>E</v>
      </c>
      <c r="AM78" s="3">
        <v>232</v>
      </c>
      <c r="AN78" s="3" t="str">
        <f>IFERROR(MID(VLOOKUP($B78,Seqs!$A:$B,2,0),AO78,1),"")</f>
        <v>R</v>
      </c>
      <c r="AO78" s="3">
        <v>389</v>
      </c>
      <c r="AP78" s="3" t="str">
        <f>IFERROR(MID(VLOOKUP($B78,Seqs!$A:$B,2,0),AQ78,1),"")</f>
        <v>C</v>
      </c>
      <c r="AQ78" s="3">
        <v>426</v>
      </c>
      <c r="AR78" s="3" t="str">
        <f>IFERROR(MID(VLOOKUP($B78,Seqs!$A:$B,2,0),AS78,1),"")</f>
        <v>P</v>
      </c>
      <c r="AS78" s="3">
        <v>431</v>
      </c>
      <c r="AT78" s="3" t="str">
        <f>IFERROR(MID(VLOOKUP($B78,Seqs!$A:$B,2,0),AU78,1),"")</f>
        <v>C</v>
      </c>
      <c r="AU78" s="3">
        <v>456</v>
      </c>
      <c r="AV78" s="3" t="str">
        <f>IFERROR(MID(VLOOKUP($B78,Seqs!$A:$B,2,0),AW78,1),"")</f>
        <v>N</v>
      </c>
      <c r="AW78" s="3">
        <v>457</v>
      </c>
      <c r="AX78" s="3" t="str">
        <f>IFERROR(MID(VLOOKUP($B78,Seqs!$A:$B,2,0),AY78,1),"")</f>
        <v>L</v>
      </c>
      <c r="AY78" s="3">
        <v>469</v>
      </c>
      <c r="AZ78" s="77" t="str">
        <f>VLOOKUP(B78,Classification!A:D,2,0)</f>
        <v>A</v>
      </c>
      <c r="BA78" s="94" t="str">
        <f>VLOOKUP(B78,Classification!A:D,4,0)</f>
        <v>Acetylcholine(muscarinic)</v>
      </c>
      <c r="BB78" s="27" t="b">
        <f t="shared" si="224"/>
        <v>1</v>
      </c>
      <c r="BC78" s="23">
        <f t="shared" si="169"/>
        <v>271</v>
      </c>
      <c r="BD78" s="34" t="s">
        <v>1379</v>
      </c>
      <c r="BE78" s="3" t="s">
        <v>23</v>
      </c>
      <c r="BF78" s="119" t="s">
        <v>23</v>
      </c>
      <c r="BG78" s="49" t="s">
        <v>1379</v>
      </c>
      <c r="BH78" s="49" t="s">
        <v>1384</v>
      </c>
      <c r="BI78" s="1"/>
      <c r="BJ78" s="70" t="s">
        <v>1293</v>
      </c>
      <c r="BK78" s="57" t="s">
        <v>1293</v>
      </c>
      <c r="BL78" s="57" t="s">
        <v>1293</v>
      </c>
      <c r="BM78" s="57" t="s">
        <v>1293</v>
      </c>
      <c r="BN78" s="57" t="s">
        <v>1293</v>
      </c>
      <c r="BO78" s="57" t="s">
        <v>1293</v>
      </c>
      <c r="BP78" s="57" t="s">
        <v>1293</v>
      </c>
      <c r="BQ78" s="57" t="s">
        <v>1293</v>
      </c>
      <c r="BR78" s="57" t="s">
        <v>1293</v>
      </c>
      <c r="BS78" s="57" t="s">
        <v>1293</v>
      </c>
      <c r="BT78" s="57" t="s">
        <v>1293</v>
      </c>
      <c r="BU78" s="57" t="s">
        <v>1293</v>
      </c>
      <c r="BV78" s="70">
        <f t="shared" si="170"/>
        <v>26</v>
      </c>
      <c r="BW78" s="71">
        <f t="shared" si="171"/>
        <v>61</v>
      </c>
      <c r="BX78" s="72">
        <f t="shared" si="172"/>
        <v>65</v>
      </c>
      <c r="BY78" s="71">
        <f t="shared" si="173"/>
        <v>97</v>
      </c>
      <c r="BZ78" s="72">
        <f t="shared" si="174"/>
        <v>101</v>
      </c>
      <c r="CA78" s="71">
        <f t="shared" si="175"/>
        <v>137</v>
      </c>
      <c r="CB78" s="72">
        <f t="shared" si="176"/>
        <v>145</v>
      </c>
      <c r="CC78" s="71">
        <f t="shared" si="177"/>
        <v>185</v>
      </c>
      <c r="CD78" s="72">
        <f t="shared" si="178"/>
        <v>192</v>
      </c>
      <c r="CE78" s="71">
        <f t="shared" si="179"/>
        <v>389</v>
      </c>
      <c r="CF78" s="72">
        <f t="shared" si="180"/>
        <v>431</v>
      </c>
      <c r="CG78" s="71">
        <f t="shared" si="181"/>
        <v>457</v>
      </c>
      <c r="CH78" s="70">
        <f t="shared" si="182"/>
        <v>60</v>
      </c>
      <c r="CI78" s="71">
        <f t="shared" si="183"/>
        <v>64</v>
      </c>
      <c r="CJ78" s="72">
        <f t="shared" si="184"/>
        <v>95</v>
      </c>
      <c r="CK78" s="72">
        <f t="shared" si="185"/>
        <v>100</v>
      </c>
      <c r="CL78" s="72">
        <f t="shared" si="186"/>
        <v>136</v>
      </c>
      <c r="CM78" s="72">
        <f t="shared" si="187"/>
        <v>144</v>
      </c>
      <c r="CN78" s="72">
        <f t="shared" si="188"/>
        <v>176</v>
      </c>
      <c r="CO78" s="72">
        <f t="shared" si="189"/>
        <v>187</v>
      </c>
      <c r="CP78" s="72">
        <f t="shared" si="190"/>
        <v>232</v>
      </c>
      <c r="CQ78" s="72">
        <f t="shared" si="191"/>
        <v>426</v>
      </c>
      <c r="CR78" s="72">
        <f t="shared" si="192"/>
        <v>456</v>
      </c>
      <c r="CS78" s="72">
        <f t="shared" si="193"/>
        <v>469</v>
      </c>
      <c r="CT78" s="23">
        <f t="shared" si="194"/>
        <v>1</v>
      </c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  <c r="OK78" s="1"/>
      <c r="OL78" s="1"/>
      <c r="OM78" s="1"/>
      <c r="ON78" s="1"/>
      <c r="OO78" s="1"/>
      <c r="OP78" s="1"/>
      <c r="OQ78" s="1"/>
      <c r="OR78" s="1"/>
      <c r="OS78" s="1"/>
      <c r="OT78" s="1"/>
      <c r="OU78" s="1"/>
      <c r="OV78" s="1"/>
      <c r="OW78" s="1"/>
      <c r="OX78" s="1"/>
      <c r="OY78" s="1"/>
      <c r="OZ78" s="1"/>
      <c r="PA78" s="1"/>
      <c r="PB78" s="1"/>
      <c r="PC78" s="1"/>
      <c r="PD78" s="1"/>
      <c r="PE78" s="1"/>
      <c r="PF78" s="1"/>
      <c r="PG78" s="1"/>
      <c r="PH78" s="1"/>
      <c r="PI78" s="1"/>
      <c r="PJ78" s="1"/>
      <c r="PK78" s="1"/>
      <c r="PL78" s="1"/>
      <c r="PM78" s="1"/>
      <c r="PN78" s="1"/>
      <c r="PO78" s="1"/>
      <c r="PP78" s="1"/>
      <c r="PQ78" s="1"/>
      <c r="PR78" s="1"/>
      <c r="PS78" s="1"/>
      <c r="PT78" s="1"/>
      <c r="PU78" s="1"/>
      <c r="PV78" s="1"/>
      <c r="PW78" s="1"/>
      <c r="PX78" s="1"/>
      <c r="PY78" s="1"/>
      <c r="PZ78" s="1"/>
      <c r="QA78" s="1"/>
      <c r="QB78" s="1"/>
      <c r="QC78" s="1"/>
      <c r="QD78" s="1"/>
      <c r="QE78" s="1"/>
      <c r="QF78" s="1"/>
      <c r="QG78" s="1"/>
      <c r="QH78" s="1"/>
      <c r="QI78" s="1"/>
      <c r="QJ78" s="1"/>
      <c r="QK78" s="1"/>
      <c r="QL78" s="1"/>
      <c r="QM78" s="1"/>
      <c r="QN78" s="1"/>
      <c r="QO78" s="1"/>
      <c r="QP78" s="1"/>
      <c r="QQ78" s="1"/>
      <c r="QR78" s="1"/>
      <c r="QS78" s="1"/>
      <c r="QT78" s="1"/>
      <c r="QU78" s="1"/>
      <c r="QV78" s="1"/>
      <c r="QW78" s="1"/>
      <c r="QX78" s="1"/>
      <c r="QY78" s="1"/>
      <c r="QZ78" s="1"/>
      <c r="RA78" s="1"/>
      <c r="RB78" s="1"/>
      <c r="RC78" s="1"/>
      <c r="RD78" s="1"/>
      <c r="RE78" s="1"/>
      <c r="RF78" s="1"/>
      <c r="RG78" s="1"/>
      <c r="RH78" s="1"/>
      <c r="RI78" s="1"/>
      <c r="RJ78" s="1"/>
      <c r="RK78" s="1"/>
      <c r="RL78" s="1"/>
      <c r="RM78" s="1"/>
      <c r="RN78" s="1"/>
      <c r="RO78" s="1"/>
      <c r="RP78" s="1"/>
      <c r="RQ78" s="1"/>
      <c r="RR78" s="1"/>
      <c r="RS78" s="1"/>
      <c r="RT78" s="1"/>
      <c r="RU78" s="1"/>
      <c r="RV78" s="1"/>
      <c r="RW78" s="1"/>
      <c r="RX78" s="1"/>
      <c r="RY78" s="1"/>
      <c r="RZ78" s="1"/>
      <c r="SA78" s="1"/>
      <c r="SB78" s="1"/>
      <c r="SC78" s="1"/>
      <c r="SD78" s="1"/>
      <c r="SE78" s="1"/>
      <c r="SF78" s="1"/>
      <c r="SG78" s="1"/>
      <c r="SH78" s="1"/>
      <c r="SI78" s="1"/>
      <c r="SJ78" s="1"/>
      <c r="SK78" s="1"/>
      <c r="SL78" s="1"/>
      <c r="SM78" s="1"/>
      <c r="SN78" s="1"/>
      <c r="SO78" s="1"/>
      <c r="SP78" s="1"/>
      <c r="SQ78" s="1"/>
      <c r="SR78" s="1"/>
      <c r="SS78" s="1"/>
      <c r="ST78" s="1"/>
      <c r="SU78" s="1"/>
      <c r="SV78" s="1"/>
      <c r="SW78" s="1"/>
      <c r="SX78" s="1"/>
      <c r="SY78" s="1"/>
      <c r="SZ78" s="1"/>
      <c r="TA78" s="1"/>
      <c r="TB78" s="1"/>
      <c r="TC78" s="1"/>
      <c r="TD78" s="1"/>
      <c r="TE78" s="1"/>
      <c r="TF78" s="1"/>
      <c r="TG78" s="1"/>
      <c r="TH78" s="1"/>
      <c r="TI78" s="1"/>
      <c r="TJ78" s="1"/>
      <c r="TK78" s="1"/>
      <c r="TL78" s="1"/>
      <c r="TM78" s="1"/>
      <c r="TN78" s="1"/>
      <c r="TO78" s="1"/>
      <c r="TP78" s="1"/>
      <c r="TQ78" s="1"/>
      <c r="TR78" s="1"/>
      <c r="TS78" s="1"/>
      <c r="TT78" s="1"/>
      <c r="TU78" s="1"/>
      <c r="TV78" s="1"/>
      <c r="TW78" s="1"/>
      <c r="TX78" s="1"/>
      <c r="TY78" s="1"/>
      <c r="TZ78" s="1"/>
      <c r="UA78" s="1"/>
      <c r="UB78" s="1"/>
      <c r="UC78" s="1"/>
      <c r="UD78" s="1"/>
      <c r="UE78" s="1"/>
      <c r="UF78" s="1"/>
      <c r="UG78" s="1"/>
      <c r="UH78" s="1"/>
      <c r="UI78" s="1"/>
      <c r="UJ78" s="1"/>
      <c r="UK78" s="1"/>
      <c r="UL78" s="1"/>
      <c r="UM78" s="1"/>
      <c r="UN78" s="1"/>
      <c r="UO78" s="1"/>
      <c r="UP78" s="1"/>
      <c r="UQ78" s="1"/>
      <c r="UR78" s="1"/>
      <c r="US78" s="1"/>
      <c r="UT78" s="1"/>
      <c r="UU78" s="1"/>
      <c r="UV78" s="1"/>
      <c r="UW78" s="1"/>
      <c r="UX78" s="1"/>
      <c r="UY78" s="1"/>
      <c r="UZ78" s="1"/>
      <c r="VA78" s="1"/>
      <c r="VB78" s="1"/>
      <c r="VC78" s="1"/>
      <c r="VD78" s="1"/>
      <c r="VE78" s="1"/>
      <c r="VF78" s="1"/>
      <c r="VG78" s="1"/>
      <c r="VH78" s="1"/>
      <c r="VI78" s="1"/>
      <c r="VJ78" s="1"/>
      <c r="VK78" s="1"/>
      <c r="VL78" s="1"/>
      <c r="VM78" s="1"/>
      <c r="VN78" s="1"/>
      <c r="VO78" s="1"/>
      <c r="VP78" s="1"/>
      <c r="VQ78" s="1"/>
      <c r="VR78" s="1"/>
      <c r="VS78" s="1"/>
      <c r="VT78" s="1"/>
      <c r="VU78" s="1"/>
      <c r="VV78" s="1"/>
      <c r="VW78" s="1"/>
      <c r="VX78" s="1"/>
      <c r="VY78" s="1"/>
      <c r="VZ78" s="1"/>
      <c r="WA78" s="1"/>
      <c r="WB78" s="1"/>
      <c r="WC78" s="1"/>
      <c r="WD78" s="1"/>
      <c r="WE78" s="1"/>
      <c r="WF78" s="1"/>
      <c r="WG78" s="1"/>
      <c r="WH78" s="1"/>
      <c r="WI78" s="1"/>
      <c r="WJ78" s="1"/>
      <c r="WK78" s="1"/>
      <c r="WL78" s="1"/>
      <c r="WM78" s="1"/>
      <c r="WN78" s="1"/>
      <c r="WO78" s="1"/>
      <c r="WP78" s="1"/>
      <c r="WQ78" s="1"/>
      <c r="WR78" s="1"/>
      <c r="WS78" s="1"/>
      <c r="WT78" s="1"/>
      <c r="WU78" s="1"/>
      <c r="WV78" s="1"/>
      <c r="WW78" s="1"/>
      <c r="WX78" s="1"/>
      <c r="WY78" s="1"/>
      <c r="WZ78" s="1"/>
      <c r="XA78" s="1"/>
      <c r="XB78" s="1"/>
      <c r="XC78" s="1"/>
      <c r="XD78" s="1"/>
      <c r="XE78" s="1"/>
      <c r="XF78" s="1"/>
      <c r="XG78" s="1"/>
      <c r="XH78" s="1"/>
      <c r="XI78" s="1"/>
      <c r="XJ78" s="1"/>
      <c r="XK78" s="1"/>
      <c r="XL78" s="1"/>
      <c r="XM78" s="1"/>
      <c r="XN78" s="1"/>
      <c r="XO78" s="1"/>
      <c r="XP78" s="1"/>
      <c r="XQ78" s="1"/>
      <c r="XR78" s="1"/>
      <c r="XS78" s="1"/>
      <c r="XT78" s="1"/>
      <c r="XU78" s="1"/>
      <c r="XV78" s="1"/>
      <c r="XW78" s="1"/>
      <c r="XX78" s="1"/>
      <c r="XY78" s="1"/>
      <c r="XZ78" s="1"/>
      <c r="YA78" s="1"/>
      <c r="YB78" s="1"/>
      <c r="YC78" s="1"/>
      <c r="YD78" s="1"/>
      <c r="YE78" s="1"/>
      <c r="YF78" s="1"/>
      <c r="YG78" s="1"/>
      <c r="YH78" s="1"/>
      <c r="YI78" s="1"/>
      <c r="YJ78" s="1"/>
      <c r="YK78" s="1"/>
      <c r="YL78" s="1"/>
      <c r="YM78" s="1"/>
      <c r="YN78" s="1"/>
      <c r="YO78" s="1"/>
      <c r="YP78" s="1"/>
      <c r="YQ78" s="1"/>
      <c r="YR78" s="1"/>
      <c r="YS78" s="1"/>
      <c r="YT78" s="1"/>
      <c r="YU78" s="1"/>
      <c r="YV78" s="1"/>
      <c r="YW78" s="1"/>
      <c r="YX78" s="1"/>
      <c r="YY78" s="1"/>
      <c r="YZ78" s="1"/>
      <c r="ZA78" s="1"/>
      <c r="ZB78" s="1"/>
      <c r="ZC78" s="1"/>
      <c r="ZD78" s="1"/>
      <c r="ZE78" s="1"/>
      <c r="ZF78" s="1"/>
      <c r="ZG78" s="1"/>
      <c r="ZH78" s="1"/>
      <c r="ZI78" s="1"/>
      <c r="ZJ78" s="1"/>
      <c r="ZK78" s="1"/>
      <c r="ZL78" s="1"/>
      <c r="ZM78" s="1"/>
      <c r="ZN78" s="1"/>
      <c r="ZO78" s="1"/>
      <c r="ZP78" s="1"/>
      <c r="ZQ78" s="1"/>
      <c r="ZR78" s="1"/>
      <c r="ZS78" s="1"/>
      <c r="ZT78" s="1"/>
      <c r="ZU78" s="1"/>
      <c r="ZV78" s="1"/>
      <c r="ZW78" s="1"/>
      <c r="ZX78" s="1"/>
      <c r="ZY78" s="1"/>
      <c r="ZZ78" s="1"/>
      <c r="AAA78" s="1"/>
      <c r="AAB78" s="1"/>
      <c r="AAC78" s="1"/>
      <c r="AAD78" s="1"/>
      <c r="AAE78" s="1"/>
      <c r="AAF78" s="1"/>
      <c r="AAG78" s="1"/>
      <c r="AAH78" s="1"/>
      <c r="AAI78" s="1"/>
      <c r="AAJ78" s="1"/>
      <c r="AAK78" s="1"/>
      <c r="AAL78" s="1"/>
      <c r="AAM78" s="1"/>
      <c r="AAN78" s="1"/>
      <c r="AAO78" s="1"/>
      <c r="AAP78" s="1"/>
      <c r="AAQ78" s="1"/>
      <c r="AAR78" s="1"/>
      <c r="AAS78" s="1"/>
      <c r="AAT78" s="1"/>
      <c r="AAU78" s="1"/>
      <c r="AAV78" s="1"/>
      <c r="AAW78" s="1"/>
      <c r="AAX78" s="1"/>
      <c r="AAY78" s="1"/>
      <c r="AAZ78" s="1"/>
      <c r="ABA78" s="1"/>
      <c r="ABB78" s="1"/>
      <c r="ABC78" s="1"/>
      <c r="ABD78" s="1"/>
      <c r="ABE78" s="1"/>
      <c r="ABF78" s="1"/>
      <c r="ABG78" s="1"/>
      <c r="ABH78" s="1"/>
      <c r="ABI78" s="1"/>
      <c r="ABJ78" s="1"/>
      <c r="ABK78" s="1"/>
      <c r="ABL78" s="1"/>
      <c r="ABM78" s="1"/>
      <c r="ABN78" s="1"/>
      <c r="ABO78" s="1"/>
      <c r="ABP78" s="1"/>
      <c r="ABQ78" s="1"/>
      <c r="ABR78" s="1"/>
      <c r="ABS78" s="1"/>
      <c r="ABT78" s="1"/>
      <c r="ABU78" s="1"/>
      <c r="ABV78" s="1"/>
      <c r="ABW78" s="1"/>
      <c r="ABX78" s="1"/>
      <c r="ABY78" s="1"/>
      <c r="ABZ78" s="1"/>
      <c r="ACA78" s="1"/>
      <c r="ACB78" s="1"/>
      <c r="ACC78" s="1"/>
      <c r="ACD78" s="1"/>
      <c r="ACE78" s="1"/>
      <c r="ACF78" s="1"/>
      <c r="ACG78" s="1"/>
      <c r="ACH78" s="1"/>
      <c r="ACI78" s="1"/>
      <c r="ACJ78" s="1"/>
      <c r="ACK78" s="1"/>
      <c r="ACL78" s="1"/>
      <c r="ACM78" s="1"/>
      <c r="ACN78" s="1"/>
      <c r="ACO78" s="1"/>
      <c r="ACP78" s="1"/>
      <c r="ACQ78" s="1"/>
      <c r="ACR78" s="1"/>
      <c r="ACS78" s="1"/>
      <c r="ACT78" s="1"/>
      <c r="ACU78" s="1"/>
      <c r="ACV78" s="1"/>
      <c r="ACW78" s="1"/>
      <c r="ACX78" s="1"/>
      <c r="ACY78" s="1"/>
      <c r="ACZ78" s="1"/>
      <c r="ADA78" s="1"/>
      <c r="ADB78" s="1"/>
      <c r="ADC78" s="1"/>
      <c r="ADD78" s="1"/>
      <c r="ADE78" s="1"/>
      <c r="ADF78" s="1"/>
      <c r="ADG78" s="1"/>
      <c r="ADH78" s="1"/>
      <c r="ADI78" s="1"/>
      <c r="ADJ78" s="1"/>
      <c r="ADK78" s="1"/>
      <c r="ADL78" s="1"/>
      <c r="ADM78" s="1"/>
      <c r="ADN78" s="1"/>
      <c r="ADO78" s="1"/>
      <c r="ADP78" s="1"/>
      <c r="ADQ78" s="1"/>
      <c r="ADR78" s="1"/>
      <c r="ADS78" s="1"/>
      <c r="ADT78" s="1"/>
      <c r="ADU78" s="1"/>
      <c r="ADV78" s="1"/>
      <c r="ADW78" s="1"/>
      <c r="ADX78" s="1"/>
      <c r="ADY78" s="1"/>
      <c r="ADZ78" s="1"/>
      <c r="AEA78" s="1"/>
      <c r="AEB78" s="1"/>
      <c r="AEC78" s="1"/>
      <c r="AED78" s="1"/>
      <c r="AEE78" s="1"/>
      <c r="AEF78" s="1"/>
      <c r="AEG78" s="1"/>
      <c r="AEH78" s="1"/>
      <c r="AEI78" s="1"/>
      <c r="AEJ78" s="1"/>
      <c r="AEK78" s="1"/>
      <c r="AEL78" s="1"/>
      <c r="AEM78" s="1"/>
      <c r="AEN78" s="1"/>
      <c r="AEO78" s="1"/>
      <c r="AEP78" s="1"/>
      <c r="AEQ78" s="1"/>
      <c r="AER78" s="1"/>
      <c r="AES78" s="1"/>
      <c r="AET78" s="1"/>
      <c r="AEU78" s="1"/>
      <c r="AEV78" s="1"/>
      <c r="AEW78" s="1"/>
      <c r="AEX78" s="1"/>
      <c r="AEY78" s="1"/>
      <c r="AEZ78" s="1"/>
      <c r="AFA78" s="1"/>
      <c r="AFB78" s="1"/>
      <c r="AFC78" s="1"/>
      <c r="AFD78" s="1"/>
      <c r="AFE78" s="1"/>
      <c r="AFF78" s="1"/>
      <c r="AFG78" s="1"/>
      <c r="AFH78" s="1"/>
      <c r="AFI78" s="1"/>
      <c r="AFJ78" s="1"/>
      <c r="AFK78" s="1"/>
      <c r="AFL78" s="1"/>
      <c r="AFM78" s="1"/>
      <c r="AFN78" s="1"/>
      <c r="AFO78" s="1"/>
      <c r="AFP78" s="1"/>
      <c r="AFQ78" s="1"/>
      <c r="AFR78" s="1"/>
      <c r="AFS78" s="1"/>
      <c r="AFT78" s="1"/>
      <c r="AFU78" s="1"/>
      <c r="AFV78" s="1"/>
      <c r="AFW78" s="1"/>
      <c r="AFX78" s="1"/>
      <c r="AFY78" s="1"/>
      <c r="AFZ78" s="1"/>
      <c r="AGA78" s="1"/>
      <c r="AGB78" s="1"/>
      <c r="AGC78" s="1"/>
      <c r="AGD78" s="1"/>
      <c r="AGE78" s="1"/>
      <c r="AGF78" s="1"/>
      <c r="AGG78" s="1"/>
      <c r="AGH78" s="1"/>
      <c r="AGI78" s="1"/>
      <c r="AGJ78" s="1"/>
      <c r="AGK78" s="1"/>
      <c r="AGL78" s="1"/>
      <c r="AGM78" s="1"/>
      <c r="AGN78" s="1"/>
      <c r="AGO78" s="1"/>
      <c r="AGP78" s="1"/>
      <c r="AGQ78" s="1"/>
      <c r="AGR78" s="1"/>
      <c r="AGS78" s="1"/>
      <c r="AGT78" s="1"/>
      <c r="AGU78" s="1"/>
      <c r="AGV78" s="1"/>
      <c r="AGW78" s="1"/>
      <c r="AGX78" s="1"/>
      <c r="AGY78" s="1"/>
      <c r="AGZ78" s="1"/>
      <c r="AHA78" s="1"/>
      <c r="AHB78" s="1"/>
      <c r="AHC78" s="1"/>
      <c r="AHD78" s="1"/>
      <c r="AHE78" s="1"/>
      <c r="AHF78" s="1"/>
      <c r="AHG78" s="1"/>
      <c r="AHH78" s="1"/>
      <c r="AHI78" s="1"/>
      <c r="AHJ78" s="1"/>
      <c r="AHK78" s="1"/>
      <c r="AHL78" s="1"/>
      <c r="AHM78" s="1"/>
      <c r="AHN78" s="1"/>
      <c r="AHO78" s="1"/>
      <c r="AHP78" s="1"/>
      <c r="AHQ78" s="1"/>
      <c r="AHR78" s="1"/>
      <c r="AHS78" s="1"/>
      <c r="AHT78" s="1"/>
      <c r="AHU78" s="1"/>
      <c r="AHV78" s="1"/>
      <c r="AHW78" s="1"/>
      <c r="AHX78" s="1"/>
      <c r="AHY78" s="1"/>
      <c r="AHZ78" s="1"/>
      <c r="AIA78" s="1"/>
      <c r="AIB78" s="1"/>
      <c r="AIC78" s="1"/>
      <c r="AID78" s="1"/>
      <c r="AIE78" s="1"/>
      <c r="AIF78" s="1"/>
      <c r="AIG78" s="1"/>
      <c r="AIH78" s="1"/>
      <c r="AII78" s="1"/>
      <c r="AIJ78" s="1"/>
      <c r="AIK78" s="1"/>
      <c r="AIL78" s="1"/>
      <c r="AIM78" s="1"/>
      <c r="AIN78" s="1"/>
      <c r="AIO78" s="1"/>
      <c r="AIP78" s="1"/>
      <c r="AIQ78" s="1"/>
      <c r="AIR78" s="1"/>
      <c r="AIS78" s="1"/>
      <c r="AIT78" s="1"/>
      <c r="AIU78" s="1"/>
      <c r="AIV78" s="1"/>
      <c r="AIW78" s="1"/>
      <c r="AIX78" s="1"/>
      <c r="AIY78" s="1"/>
      <c r="AIZ78" s="1"/>
      <c r="AJA78" s="1"/>
      <c r="AJB78" s="1"/>
      <c r="AJC78" s="1"/>
      <c r="AJD78" s="1"/>
      <c r="AJE78" s="1"/>
      <c r="AJF78" s="1"/>
      <c r="AJG78" s="1"/>
      <c r="AJH78" s="1"/>
      <c r="AJI78" s="1"/>
      <c r="AJJ78" s="1"/>
      <c r="AJK78" s="1"/>
      <c r="AJL78" s="1"/>
      <c r="AJM78" s="1"/>
      <c r="AJN78" s="1"/>
      <c r="AJO78" s="1"/>
      <c r="AJP78" s="1"/>
      <c r="AJQ78" s="1"/>
      <c r="AJR78" s="1"/>
      <c r="AJS78" s="1"/>
      <c r="AJT78" s="1"/>
      <c r="AJU78" s="1"/>
      <c r="AJV78" s="1"/>
      <c r="AJW78" s="1"/>
      <c r="AJX78" s="1"/>
      <c r="AJY78" s="1"/>
      <c r="AJZ78" s="1"/>
      <c r="AKA78" s="1"/>
      <c r="AKB78" s="1"/>
      <c r="AKC78" s="1"/>
      <c r="AKD78" s="1"/>
      <c r="AKE78" s="1"/>
      <c r="AKF78" s="1"/>
      <c r="AKG78" s="1"/>
      <c r="AKH78" s="1"/>
      <c r="AKI78" s="1"/>
      <c r="AKJ78" s="1"/>
      <c r="AKK78" s="1"/>
      <c r="AKL78" s="1"/>
      <c r="AKM78" s="1"/>
      <c r="AKN78" s="1"/>
      <c r="AKO78" s="1"/>
      <c r="AKP78" s="1"/>
      <c r="AKQ78" s="1"/>
      <c r="AKR78" s="1"/>
      <c r="AKS78" s="1"/>
      <c r="AKT78" s="1"/>
      <c r="AKU78" s="1"/>
      <c r="AKV78" s="1"/>
      <c r="AKW78" s="1"/>
      <c r="AKX78" s="1"/>
      <c r="AKY78" s="1"/>
      <c r="AKZ78" s="1"/>
      <c r="ALA78" s="1"/>
      <c r="ALB78" s="1"/>
      <c r="ALC78" s="1"/>
      <c r="ALD78" s="1"/>
      <c r="ALE78" s="1"/>
      <c r="ALF78" s="1"/>
      <c r="ALG78" s="1"/>
      <c r="ALH78" s="1"/>
      <c r="ALI78" s="1"/>
      <c r="ALJ78" s="1"/>
      <c r="ALK78" s="1"/>
      <c r="ALL78" s="1"/>
      <c r="ALM78" s="1"/>
      <c r="ALN78" s="1"/>
      <c r="ALO78" s="1"/>
      <c r="ALP78" s="1"/>
      <c r="ALQ78" s="1"/>
      <c r="ALR78" s="1"/>
      <c r="ALS78" s="1"/>
      <c r="ALT78" s="1"/>
      <c r="ALU78" s="1"/>
      <c r="ALV78" s="1"/>
      <c r="ALW78" s="1"/>
      <c r="ALX78" s="1"/>
      <c r="ALY78" s="1"/>
      <c r="ALZ78" s="1"/>
      <c r="AMA78" s="1"/>
      <c r="AMB78" s="1"/>
      <c r="AMC78" s="1"/>
      <c r="AMD78" s="1"/>
      <c r="AME78" s="1"/>
      <c r="AMF78" s="1"/>
      <c r="AMG78" s="1"/>
      <c r="AMH78" s="1"/>
      <c r="AMI78" s="1"/>
      <c r="AMJ78" s="1"/>
      <c r="AMK78" s="1"/>
      <c r="AML78" s="1"/>
      <c r="AMM78" s="1"/>
      <c r="AMN78" s="1"/>
      <c r="AMO78" s="1"/>
    </row>
    <row r="79" spans="1:1029" x14ac:dyDescent="0.2">
      <c r="A79" s="3" t="str">
        <f t="shared" si="223"/>
        <v>acm4_human_5DSG</v>
      </c>
      <c r="B79" s="3" t="s">
        <v>149</v>
      </c>
      <c r="C79" s="3" t="s">
        <v>61</v>
      </c>
      <c r="D79" s="3" t="str">
        <f>IFERROR(MID(VLOOKUP($B79,Seqs!$A:$B,2,0),E79,1),"")</f>
        <v>R</v>
      </c>
      <c r="E79" s="3">
        <v>26</v>
      </c>
      <c r="F79" s="3" t="str">
        <f>IFERROR(MID(VLOOKUP($B79,Seqs!$A:$B,2,0),G79,1),"")</f>
        <v>N</v>
      </c>
      <c r="G79" s="3">
        <v>60</v>
      </c>
      <c r="H79" s="3" t="str">
        <f>IFERROR(MID(VLOOKUP($B79,Seqs!$A:$B,2,0),I79,1),"")</f>
        <v>R</v>
      </c>
      <c r="I79" s="23">
        <v>61</v>
      </c>
      <c r="J79" s="3" t="str">
        <f>IFERROR(MID(VLOOKUP($B79,Seqs!$A:$B,2,0),K79,1),"")</f>
        <v>Q</v>
      </c>
      <c r="K79" s="23">
        <v>64</v>
      </c>
      <c r="L79" s="3" t="str">
        <f>IFERROR(MID(VLOOKUP($B79,Seqs!$A:$B,2,0),M79,1),"")</f>
        <v>T</v>
      </c>
      <c r="M79" s="3">
        <v>65</v>
      </c>
      <c r="N79" s="3" t="str">
        <f>IFERROR(MID(VLOOKUP($B79,Seqs!$A:$B,2,0),O79,1),"")</f>
        <v>K</v>
      </c>
      <c r="O79" s="3">
        <v>95</v>
      </c>
      <c r="P79" s="3" t="str">
        <f>IFERROR(MID(VLOOKUP($B79,Seqs!$A:$B,2,0),Q79,1),"")</f>
        <v>Y</v>
      </c>
      <c r="Q79" s="3">
        <v>97</v>
      </c>
      <c r="R79" s="3" t="str">
        <f>IFERROR(MID(VLOOKUP($B79,Seqs!$A:$B,2,0),S79,1),"")</f>
        <v>L</v>
      </c>
      <c r="S79" s="3">
        <v>100</v>
      </c>
      <c r="T79" s="3" t="str">
        <f>IFERROR(MID(VLOOKUP($B79,Seqs!$A:$B,2,0),U79,1),"")</f>
        <v>G</v>
      </c>
      <c r="U79" s="3">
        <v>101</v>
      </c>
      <c r="V79" s="3" t="str">
        <f>IFERROR(MID(VLOOKUP($B79,Seqs!$A:$B,2,0),W79,1),"")</f>
        <v>K</v>
      </c>
      <c r="W79" s="3">
        <v>136</v>
      </c>
      <c r="X79" s="3" t="str">
        <f>IFERROR(MID(VLOOKUP($B79,Seqs!$A:$B,2,0),Y79,1),"")</f>
        <v>P</v>
      </c>
      <c r="Y79" s="3">
        <v>137</v>
      </c>
      <c r="Z79" s="3" t="str">
        <f>IFERROR(MID(VLOOKUP($B79,Seqs!$A:$B,2,0),AA79,1),"")</f>
        <v>R</v>
      </c>
      <c r="AA79" s="3">
        <v>144</v>
      </c>
      <c r="AB79" s="3" t="str">
        <f>IFERROR(MID(VLOOKUP($B79,Seqs!$A:$B,2,0),AC79,1),"")</f>
        <v>T</v>
      </c>
      <c r="AC79" s="9">
        <v>145</v>
      </c>
      <c r="AD79" s="3" t="str">
        <f>IFERROR(MID(VLOOKUP($B79,Seqs!$A:$B,2,0),AE79,1),"")</f>
        <v>G</v>
      </c>
      <c r="AE79" s="3">
        <v>176</v>
      </c>
      <c r="AF79" s="3" t="str">
        <f>IFERROR(MID(VLOOKUP($B79,Seqs!$A:$B,2,0),AG79,1),"")</f>
        <v>C</v>
      </c>
      <c r="AG79" s="3">
        <v>185</v>
      </c>
      <c r="AH79" s="3" t="str">
        <f>IFERROR(MID(VLOOKUP($B79,Seqs!$A:$B,2,0),AI79,1),"")</f>
        <v>I</v>
      </c>
      <c r="AI79" s="3">
        <v>187</v>
      </c>
      <c r="AJ79" s="3" t="str">
        <f>IFERROR(MID(VLOOKUP($B79,Seqs!$A:$B,2,0),AK79,1),"")</f>
        <v>N</v>
      </c>
      <c r="AK79" s="3">
        <v>192</v>
      </c>
      <c r="AL79" s="3" t="str">
        <f>IFERROR(MID(VLOOKUP($B79,Seqs!$A:$B,2,0),AM79,1),"")</f>
        <v>L</v>
      </c>
      <c r="AM79" s="3">
        <v>220</v>
      </c>
      <c r="AN79" s="3" t="str">
        <f>IFERROR(MID(VLOOKUP($B79,Seqs!$A:$B,2,0),AO79,1),"")</f>
        <v>R</v>
      </c>
      <c r="AO79" s="3">
        <v>396</v>
      </c>
      <c r="AP79" s="3" t="str">
        <f>IFERROR(MID(VLOOKUP($B79,Seqs!$A:$B,2,0),AQ79,1),"")</f>
        <v>C</v>
      </c>
      <c r="AQ79" s="3">
        <v>426</v>
      </c>
      <c r="AR79" s="3" t="str">
        <f>IFERROR(MID(VLOOKUP($B79,Seqs!$A:$B,2,0),AS79,1),"")</f>
        <v>P</v>
      </c>
      <c r="AS79" s="3">
        <v>431</v>
      </c>
      <c r="AT79" s="3" t="str">
        <f>IFERROR(MID(VLOOKUP($B79,Seqs!$A:$B,2,0),AU79,1),"")</f>
        <v>C</v>
      </c>
      <c r="AU79" s="3">
        <v>456</v>
      </c>
      <c r="AV79" s="3" t="str">
        <f>IFERROR(MID(VLOOKUP($B79,Seqs!$A:$B,2,0),AW79,1),"")</f>
        <v>N</v>
      </c>
      <c r="AW79" s="3">
        <v>457</v>
      </c>
      <c r="AX79" s="3" t="str">
        <f>IFERROR(MID(VLOOKUP($B79,Seqs!$A:$B,2,0),AY79,1),"")</f>
        <v>L</v>
      </c>
      <c r="AY79" s="3">
        <v>469</v>
      </c>
      <c r="AZ79" s="77" t="str">
        <f>VLOOKUP(B79,Classification!A:D,2,0)</f>
        <v>A</v>
      </c>
      <c r="BA79" s="94" t="str">
        <f>VLOOKUP(B79,Classification!A:D,4,0)</f>
        <v>Acetylcholine(muscarinic)</v>
      </c>
      <c r="BB79" s="27" t="b">
        <f t="shared" si="224"/>
        <v>1</v>
      </c>
      <c r="BC79" s="23">
        <f t="shared" si="169"/>
        <v>252</v>
      </c>
      <c r="BD79" s="2" t="s">
        <v>1383</v>
      </c>
      <c r="BE79" s="3" t="s">
        <v>1381</v>
      </c>
      <c r="BF79" s="119">
        <v>2.6</v>
      </c>
      <c r="BG79" s="49" t="s">
        <v>1384</v>
      </c>
      <c r="BH79" s="49" t="s">
        <v>1384</v>
      </c>
      <c r="BI79" s="1"/>
      <c r="BJ79" s="70" t="s">
        <v>1293</v>
      </c>
      <c r="BK79" s="57" t="s">
        <v>1293</v>
      </c>
      <c r="BL79" s="57" t="s">
        <v>1293</v>
      </c>
      <c r="BM79" s="57" t="s">
        <v>1293</v>
      </c>
      <c r="BN79" s="57" t="s">
        <v>1293</v>
      </c>
      <c r="BO79" s="57" t="s">
        <v>1293</v>
      </c>
      <c r="BP79" s="57" t="s">
        <v>1293</v>
      </c>
      <c r="BQ79" s="57" t="s">
        <v>1293</v>
      </c>
      <c r="BR79" s="57" t="s">
        <v>1293</v>
      </c>
      <c r="BS79" s="57" t="s">
        <v>1293</v>
      </c>
      <c r="BT79" s="57" t="s">
        <v>1293</v>
      </c>
      <c r="BU79" s="57" t="s">
        <v>1293</v>
      </c>
      <c r="BV79" s="70">
        <f t="shared" si="170"/>
        <v>26</v>
      </c>
      <c r="BW79" s="71">
        <f t="shared" si="171"/>
        <v>61</v>
      </c>
      <c r="BX79" s="72">
        <f t="shared" si="172"/>
        <v>65</v>
      </c>
      <c r="BY79" s="71">
        <f t="shared" si="173"/>
        <v>97</v>
      </c>
      <c r="BZ79" s="72">
        <f t="shared" si="174"/>
        <v>101</v>
      </c>
      <c r="CA79" s="71">
        <f t="shared" si="175"/>
        <v>137</v>
      </c>
      <c r="CB79" s="72">
        <f t="shared" si="176"/>
        <v>145</v>
      </c>
      <c r="CC79" s="71">
        <f t="shared" si="177"/>
        <v>185</v>
      </c>
      <c r="CD79" s="72">
        <f t="shared" si="178"/>
        <v>192</v>
      </c>
      <c r="CE79" s="71">
        <f t="shared" si="179"/>
        <v>396</v>
      </c>
      <c r="CF79" s="72">
        <f t="shared" si="180"/>
        <v>431</v>
      </c>
      <c r="CG79" s="71">
        <f t="shared" si="181"/>
        <v>457</v>
      </c>
      <c r="CH79" s="70">
        <f t="shared" si="182"/>
        <v>60</v>
      </c>
      <c r="CI79" s="71">
        <f t="shared" si="183"/>
        <v>64</v>
      </c>
      <c r="CJ79" s="72">
        <f t="shared" si="184"/>
        <v>95</v>
      </c>
      <c r="CK79" s="72">
        <f t="shared" si="185"/>
        <v>100</v>
      </c>
      <c r="CL79" s="72">
        <f t="shared" si="186"/>
        <v>136</v>
      </c>
      <c r="CM79" s="72">
        <f t="shared" si="187"/>
        <v>144</v>
      </c>
      <c r="CN79" s="72">
        <f t="shared" si="188"/>
        <v>176</v>
      </c>
      <c r="CO79" s="72">
        <f t="shared" si="189"/>
        <v>187</v>
      </c>
      <c r="CP79" s="72">
        <f t="shared" si="190"/>
        <v>220</v>
      </c>
      <c r="CQ79" s="72">
        <f t="shared" si="191"/>
        <v>426</v>
      </c>
      <c r="CR79" s="72">
        <f t="shared" si="192"/>
        <v>456</v>
      </c>
      <c r="CS79" s="72">
        <f t="shared" si="193"/>
        <v>469</v>
      </c>
      <c r="CT79" s="23">
        <f t="shared" si="194"/>
        <v>1</v>
      </c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  <c r="OK79" s="1"/>
      <c r="OL79" s="1"/>
      <c r="OM79" s="1"/>
      <c r="ON79" s="1"/>
      <c r="OO79" s="1"/>
      <c r="OP79" s="1"/>
      <c r="OQ79" s="1"/>
      <c r="OR79" s="1"/>
      <c r="OS79" s="1"/>
      <c r="OT79" s="1"/>
      <c r="OU79" s="1"/>
      <c r="OV79" s="1"/>
      <c r="OW79" s="1"/>
      <c r="OX79" s="1"/>
      <c r="OY79" s="1"/>
      <c r="OZ79" s="1"/>
      <c r="PA79" s="1"/>
      <c r="PB79" s="1"/>
      <c r="PC79" s="1"/>
      <c r="PD79" s="1"/>
      <c r="PE79" s="1"/>
      <c r="PF79" s="1"/>
      <c r="PG79" s="1"/>
      <c r="PH79" s="1"/>
      <c r="PI79" s="1"/>
      <c r="PJ79" s="1"/>
      <c r="PK79" s="1"/>
      <c r="PL79" s="1"/>
      <c r="PM79" s="1"/>
      <c r="PN79" s="1"/>
      <c r="PO79" s="1"/>
      <c r="PP79" s="1"/>
      <c r="PQ79" s="1"/>
      <c r="PR79" s="1"/>
      <c r="PS79" s="1"/>
      <c r="PT79" s="1"/>
      <c r="PU79" s="1"/>
      <c r="PV79" s="1"/>
      <c r="PW79" s="1"/>
      <c r="PX79" s="1"/>
      <c r="PY79" s="1"/>
      <c r="PZ79" s="1"/>
      <c r="QA79" s="1"/>
      <c r="QB79" s="1"/>
      <c r="QC79" s="1"/>
      <c r="QD79" s="1"/>
      <c r="QE79" s="1"/>
      <c r="QF79" s="1"/>
      <c r="QG79" s="1"/>
      <c r="QH79" s="1"/>
      <c r="QI79" s="1"/>
      <c r="QJ79" s="1"/>
      <c r="QK79" s="1"/>
      <c r="QL79" s="1"/>
      <c r="QM79" s="1"/>
      <c r="QN79" s="1"/>
      <c r="QO79" s="1"/>
      <c r="QP79" s="1"/>
      <c r="QQ79" s="1"/>
      <c r="QR79" s="1"/>
      <c r="QS79" s="1"/>
      <c r="QT79" s="1"/>
      <c r="QU79" s="1"/>
      <c r="QV79" s="1"/>
      <c r="QW79" s="1"/>
      <c r="QX79" s="1"/>
      <c r="QY79" s="1"/>
      <c r="QZ79" s="1"/>
      <c r="RA79" s="1"/>
      <c r="RB79" s="1"/>
      <c r="RC79" s="1"/>
      <c r="RD79" s="1"/>
      <c r="RE79" s="1"/>
      <c r="RF79" s="1"/>
      <c r="RG79" s="1"/>
      <c r="RH79" s="1"/>
      <c r="RI79" s="1"/>
      <c r="RJ79" s="1"/>
      <c r="RK79" s="1"/>
      <c r="RL79" s="1"/>
      <c r="RM79" s="1"/>
      <c r="RN79" s="1"/>
      <c r="RO79" s="1"/>
      <c r="RP79" s="1"/>
      <c r="RQ79" s="1"/>
      <c r="RR79" s="1"/>
      <c r="RS79" s="1"/>
      <c r="RT79" s="1"/>
      <c r="RU79" s="1"/>
      <c r="RV79" s="1"/>
      <c r="RW79" s="1"/>
      <c r="RX79" s="1"/>
      <c r="RY79" s="1"/>
      <c r="RZ79" s="1"/>
      <c r="SA79" s="1"/>
      <c r="SB79" s="1"/>
      <c r="SC79" s="1"/>
      <c r="SD79" s="1"/>
      <c r="SE79" s="1"/>
      <c r="SF79" s="1"/>
      <c r="SG79" s="1"/>
      <c r="SH79" s="1"/>
      <c r="SI79" s="1"/>
      <c r="SJ79" s="1"/>
      <c r="SK79" s="1"/>
      <c r="SL79" s="1"/>
      <c r="SM79" s="1"/>
      <c r="SN79" s="1"/>
      <c r="SO79" s="1"/>
      <c r="SP79" s="1"/>
      <c r="SQ79" s="1"/>
      <c r="SR79" s="1"/>
      <c r="SS79" s="1"/>
      <c r="ST79" s="1"/>
      <c r="SU79" s="1"/>
      <c r="SV79" s="1"/>
      <c r="SW79" s="1"/>
      <c r="SX79" s="1"/>
      <c r="SY79" s="1"/>
      <c r="SZ79" s="1"/>
      <c r="TA79" s="1"/>
      <c r="TB79" s="1"/>
      <c r="TC79" s="1"/>
      <c r="TD79" s="1"/>
      <c r="TE79" s="1"/>
      <c r="TF79" s="1"/>
      <c r="TG79" s="1"/>
      <c r="TH79" s="1"/>
      <c r="TI79" s="1"/>
      <c r="TJ79" s="1"/>
      <c r="TK79" s="1"/>
      <c r="TL79" s="1"/>
      <c r="TM79" s="1"/>
      <c r="TN79" s="1"/>
      <c r="TO79" s="1"/>
      <c r="TP79" s="1"/>
      <c r="TQ79" s="1"/>
      <c r="TR79" s="1"/>
      <c r="TS79" s="1"/>
      <c r="TT79" s="1"/>
      <c r="TU79" s="1"/>
      <c r="TV79" s="1"/>
      <c r="TW79" s="1"/>
      <c r="TX79" s="1"/>
      <c r="TY79" s="1"/>
      <c r="TZ79" s="1"/>
      <c r="UA79" s="1"/>
      <c r="UB79" s="1"/>
      <c r="UC79" s="1"/>
      <c r="UD79" s="1"/>
      <c r="UE79" s="1"/>
      <c r="UF79" s="1"/>
      <c r="UG79" s="1"/>
      <c r="UH79" s="1"/>
      <c r="UI79" s="1"/>
      <c r="UJ79" s="1"/>
      <c r="UK79" s="1"/>
      <c r="UL79" s="1"/>
      <c r="UM79" s="1"/>
      <c r="UN79" s="1"/>
      <c r="UO79" s="1"/>
      <c r="UP79" s="1"/>
      <c r="UQ79" s="1"/>
      <c r="UR79" s="1"/>
      <c r="US79" s="1"/>
      <c r="UT79" s="1"/>
      <c r="UU79" s="1"/>
      <c r="UV79" s="1"/>
      <c r="UW79" s="1"/>
      <c r="UX79" s="1"/>
      <c r="UY79" s="1"/>
      <c r="UZ79" s="1"/>
      <c r="VA79" s="1"/>
      <c r="VB79" s="1"/>
      <c r="VC79" s="1"/>
      <c r="VD79" s="1"/>
      <c r="VE79" s="1"/>
      <c r="VF79" s="1"/>
      <c r="VG79" s="1"/>
      <c r="VH79" s="1"/>
      <c r="VI79" s="1"/>
      <c r="VJ79" s="1"/>
      <c r="VK79" s="1"/>
      <c r="VL79" s="1"/>
      <c r="VM79" s="1"/>
      <c r="VN79" s="1"/>
      <c r="VO79" s="1"/>
      <c r="VP79" s="1"/>
      <c r="VQ79" s="1"/>
      <c r="VR79" s="1"/>
      <c r="VS79" s="1"/>
      <c r="VT79" s="1"/>
      <c r="VU79" s="1"/>
      <c r="VV79" s="1"/>
      <c r="VW79" s="1"/>
      <c r="VX79" s="1"/>
      <c r="VY79" s="1"/>
      <c r="VZ79" s="1"/>
      <c r="WA79" s="1"/>
      <c r="WB79" s="1"/>
      <c r="WC79" s="1"/>
      <c r="WD79" s="1"/>
      <c r="WE79" s="1"/>
      <c r="WF79" s="1"/>
      <c r="WG79" s="1"/>
      <c r="WH79" s="1"/>
      <c r="WI79" s="1"/>
      <c r="WJ79" s="1"/>
      <c r="WK79" s="1"/>
      <c r="WL79" s="1"/>
      <c r="WM79" s="1"/>
      <c r="WN79" s="1"/>
      <c r="WO79" s="1"/>
      <c r="WP79" s="1"/>
      <c r="WQ79" s="1"/>
      <c r="WR79" s="1"/>
      <c r="WS79" s="1"/>
      <c r="WT79" s="1"/>
      <c r="WU79" s="1"/>
      <c r="WV79" s="1"/>
      <c r="WW79" s="1"/>
      <c r="WX79" s="1"/>
      <c r="WY79" s="1"/>
      <c r="WZ79" s="1"/>
      <c r="XA79" s="1"/>
      <c r="XB79" s="1"/>
      <c r="XC79" s="1"/>
      <c r="XD79" s="1"/>
      <c r="XE79" s="1"/>
      <c r="XF79" s="1"/>
      <c r="XG79" s="1"/>
      <c r="XH79" s="1"/>
      <c r="XI79" s="1"/>
      <c r="XJ79" s="1"/>
      <c r="XK79" s="1"/>
      <c r="XL79" s="1"/>
      <c r="XM79" s="1"/>
      <c r="XN79" s="1"/>
      <c r="XO79" s="1"/>
      <c r="XP79" s="1"/>
      <c r="XQ79" s="1"/>
      <c r="XR79" s="1"/>
      <c r="XS79" s="1"/>
      <c r="XT79" s="1"/>
      <c r="XU79" s="1"/>
      <c r="XV79" s="1"/>
      <c r="XW79" s="1"/>
      <c r="XX79" s="1"/>
      <c r="XY79" s="1"/>
      <c r="XZ79" s="1"/>
      <c r="YA79" s="1"/>
      <c r="YB79" s="1"/>
      <c r="YC79" s="1"/>
      <c r="YD79" s="1"/>
      <c r="YE79" s="1"/>
      <c r="YF79" s="1"/>
      <c r="YG79" s="1"/>
      <c r="YH79" s="1"/>
      <c r="YI79" s="1"/>
      <c r="YJ79" s="1"/>
      <c r="YK79" s="1"/>
      <c r="YL79" s="1"/>
      <c r="YM79" s="1"/>
      <c r="YN79" s="1"/>
      <c r="YO79" s="1"/>
      <c r="YP79" s="1"/>
      <c r="YQ79" s="1"/>
      <c r="YR79" s="1"/>
      <c r="YS79" s="1"/>
      <c r="YT79" s="1"/>
      <c r="YU79" s="1"/>
      <c r="YV79" s="1"/>
      <c r="YW79" s="1"/>
      <c r="YX79" s="1"/>
      <c r="YY79" s="1"/>
      <c r="YZ79" s="1"/>
      <c r="ZA79" s="1"/>
      <c r="ZB79" s="1"/>
      <c r="ZC79" s="1"/>
      <c r="ZD79" s="1"/>
      <c r="ZE79" s="1"/>
      <c r="ZF79" s="1"/>
      <c r="ZG79" s="1"/>
      <c r="ZH79" s="1"/>
      <c r="ZI79" s="1"/>
      <c r="ZJ79" s="1"/>
      <c r="ZK79" s="1"/>
      <c r="ZL79" s="1"/>
      <c r="ZM79" s="1"/>
      <c r="ZN79" s="1"/>
      <c r="ZO79" s="1"/>
      <c r="ZP79" s="1"/>
      <c r="ZQ79" s="1"/>
      <c r="ZR79" s="1"/>
      <c r="ZS79" s="1"/>
      <c r="ZT79" s="1"/>
      <c r="ZU79" s="1"/>
      <c r="ZV79" s="1"/>
      <c r="ZW79" s="1"/>
      <c r="ZX79" s="1"/>
      <c r="ZY79" s="1"/>
      <c r="ZZ79" s="1"/>
      <c r="AAA79" s="1"/>
      <c r="AAB79" s="1"/>
      <c r="AAC79" s="1"/>
      <c r="AAD79" s="1"/>
      <c r="AAE79" s="1"/>
      <c r="AAF79" s="1"/>
      <c r="AAG79" s="1"/>
      <c r="AAH79" s="1"/>
      <c r="AAI79" s="1"/>
      <c r="AAJ79" s="1"/>
      <c r="AAK79" s="1"/>
      <c r="AAL79" s="1"/>
      <c r="AAM79" s="1"/>
      <c r="AAN79" s="1"/>
      <c r="AAO79" s="1"/>
      <c r="AAP79" s="1"/>
      <c r="AAQ79" s="1"/>
      <c r="AAR79" s="1"/>
      <c r="AAS79" s="1"/>
      <c r="AAT79" s="1"/>
      <c r="AAU79" s="1"/>
      <c r="AAV79" s="1"/>
      <c r="AAW79" s="1"/>
      <c r="AAX79" s="1"/>
      <c r="AAY79" s="1"/>
      <c r="AAZ79" s="1"/>
      <c r="ABA79" s="1"/>
      <c r="ABB79" s="1"/>
      <c r="ABC79" s="1"/>
      <c r="ABD79" s="1"/>
      <c r="ABE79" s="1"/>
      <c r="ABF79" s="1"/>
      <c r="ABG79" s="1"/>
      <c r="ABH79" s="1"/>
      <c r="ABI79" s="1"/>
      <c r="ABJ79" s="1"/>
      <c r="ABK79" s="1"/>
      <c r="ABL79" s="1"/>
      <c r="ABM79" s="1"/>
      <c r="ABN79" s="1"/>
      <c r="ABO79" s="1"/>
      <c r="ABP79" s="1"/>
      <c r="ABQ79" s="1"/>
      <c r="ABR79" s="1"/>
      <c r="ABS79" s="1"/>
      <c r="ABT79" s="1"/>
      <c r="ABU79" s="1"/>
      <c r="ABV79" s="1"/>
      <c r="ABW79" s="1"/>
      <c r="ABX79" s="1"/>
      <c r="ABY79" s="1"/>
      <c r="ABZ79" s="1"/>
      <c r="ACA79" s="1"/>
      <c r="ACB79" s="1"/>
      <c r="ACC79" s="1"/>
      <c r="ACD79" s="1"/>
      <c r="ACE79" s="1"/>
      <c r="ACF79" s="1"/>
      <c r="ACG79" s="1"/>
      <c r="ACH79" s="1"/>
      <c r="ACI79" s="1"/>
      <c r="ACJ79" s="1"/>
      <c r="ACK79" s="1"/>
      <c r="ACL79" s="1"/>
      <c r="ACM79" s="1"/>
      <c r="ACN79" s="1"/>
      <c r="ACO79" s="1"/>
      <c r="ACP79" s="1"/>
      <c r="ACQ79" s="1"/>
      <c r="ACR79" s="1"/>
      <c r="ACS79" s="1"/>
      <c r="ACT79" s="1"/>
      <c r="ACU79" s="1"/>
      <c r="ACV79" s="1"/>
      <c r="ACW79" s="1"/>
      <c r="ACX79" s="1"/>
      <c r="ACY79" s="1"/>
      <c r="ACZ79" s="1"/>
      <c r="ADA79" s="1"/>
      <c r="ADB79" s="1"/>
      <c r="ADC79" s="1"/>
      <c r="ADD79" s="1"/>
      <c r="ADE79" s="1"/>
      <c r="ADF79" s="1"/>
      <c r="ADG79" s="1"/>
      <c r="ADH79" s="1"/>
      <c r="ADI79" s="1"/>
      <c r="ADJ79" s="1"/>
      <c r="ADK79" s="1"/>
      <c r="ADL79" s="1"/>
      <c r="ADM79" s="1"/>
      <c r="ADN79" s="1"/>
      <c r="ADO79" s="1"/>
      <c r="ADP79" s="1"/>
      <c r="ADQ79" s="1"/>
      <c r="ADR79" s="1"/>
      <c r="ADS79" s="1"/>
      <c r="ADT79" s="1"/>
      <c r="ADU79" s="1"/>
      <c r="ADV79" s="1"/>
      <c r="ADW79" s="1"/>
      <c r="ADX79" s="1"/>
      <c r="ADY79" s="1"/>
      <c r="ADZ79" s="1"/>
      <c r="AEA79" s="1"/>
      <c r="AEB79" s="1"/>
      <c r="AEC79" s="1"/>
      <c r="AED79" s="1"/>
      <c r="AEE79" s="1"/>
      <c r="AEF79" s="1"/>
      <c r="AEG79" s="1"/>
      <c r="AEH79" s="1"/>
      <c r="AEI79" s="1"/>
      <c r="AEJ79" s="1"/>
      <c r="AEK79" s="1"/>
      <c r="AEL79" s="1"/>
      <c r="AEM79" s="1"/>
      <c r="AEN79" s="1"/>
      <c r="AEO79" s="1"/>
      <c r="AEP79" s="1"/>
      <c r="AEQ79" s="1"/>
      <c r="AER79" s="1"/>
      <c r="AES79" s="1"/>
      <c r="AET79" s="1"/>
      <c r="AEU79" s="1"/>
      <c r="AEV79" s="1"/>
      <c r="AEW79" s="1"/>
      <c r="AEX79" s="1"/>
      <c r="AEY79" s="1"/>
      <c r="AEZ79" s="1"/>
      <c r="AFA79" s="1"/>
      <c r="AFB79" s="1"/>
      <c r="AFC79" s="1"/>
      <c r="AFD79" s="1"/>
      <c r="AFE79" s="1"/>
      <c r="AFF79" s="1"/>
      <c r="AFG79" s="1"/>
      <c r="AFH79" s="1"/>
      <c r="AFI79" s="1"/>
      <c r="AFJ79" s="1"/>
      <c r="AFK79" s="1"/>
      <c r="AFL79" s="1"/>
      <c r="AFM79" s="1"/>
      <c r="AFN79" s="1"/>
      <c r="AFO79" s="1"/>
      <c r="AFP79" s="1"/>
      <c r="AFQ79" s="1"/>
      <c r="AFR79" s="1"/>
      <c r="AFS79" s="1"/>
      <c r="AFT79" s="1"/>
      <c r="AFU79" s="1"/>
      <c r="AFV79" s="1"/>
      <c r="AFW79" s="1"/>
      <c r="AFX79" s="1"/>
      <c r="AFY79" s="1"/>
      <c r="AFZ79" s="1"/>
      <c r="AGA79" s="1"/>
      <c r="AGB79" s="1"/>
      <c r="AGC79" s="1"/>
      <c r="AGD79" s="1"/>
      <c r="AGE79" s="1"/>
      <c r="AGF79" s="1"/>
      <c r="AGG79" s="1"/>
      <c r="AGH79" s="1"/>
      <c r="AGI79" s="1"/>
      <c r="AGJ79" s="1"/>
      <c r="AGK79" s="1"/>
      <c r="AGL79" s="1"/>
      <c r="AGM79" s="1"/>
      <c r="AGN79" s="1"/>
      <c r="AGO79" s="1"/>
      <c r="AGP79" s="1"/>
      <c r="AGQ79" s="1"/>
      <c r="AGR79" s="1"/>
      <c r="AGS79" s="1"/>
      <c r="AGT79" s="1"/>
      <c r="AGU79" s="1"/>
      <c r="AGV79" s="1"/>
      <c r="AGW79" s="1"/>
      <c r="AGX79" s="1"/>
      <c r="AGY79" s="1"/>
      <c r="AGZ79" s="1"/>
      <c r="AHA79" s="1"/>
      <c r="AHB79" s="1"/>
      <c r="AHC79" s="1"/>
      <c r="AHD79" s="1"/>
      <c r="AHE79" s="1"/>
      <c r="AHF79" s="1"/>
      <c r="AHG79" s="1"/>
      <c r="AHH79" s="1"/>
      <c r="AHI79" s="1"/>
      <c r="AHJ79" s="1"/>
      <c r="AHK79" s="1"/>
      <c r="AHL79" s="1"/>
      <c r="AHM79" s="1"/>
      <c r="AHN79" s="1"/>
      <c r="AHO79" s="1"/>
      <c r="AHP79" s="1"/>
      <c r="AHQ79" s="1"/>
      <c r="AHR79" s="1"/>
      <c r="AHS79" s="1"/>
      <c r="AHT79" s="1"/>
      <c r="AHU79" s="1"/>
      <c r="AHV79" s="1"/>
      <c r="AHW79" s="1"/>
      <c r="AHX79" s="1"/>
      <c r="AHY79" s="1"/>
      <c r="AHZ79" s="1"/>
      <c r="AIA79" s="1"/>
      <c r="AIB79" s="1"/>
      <c r="AIC79" s="1"/>
      <c r="AID79" s="1"/>
      <c r="AIE79" s="1"/>
      <c r="AIF79" s="1"/>
      <c r="AIG79" s="1"/>
      <c r="AIH79" s="1"/>
      <c r="AII79" s="1"/>
      <c r="AIJ79" s="1"/>
      <c r="AIK79" s="1"/>
      <c r="AIL79" s="1"/>
      <c r="AIM79" s="1"/>
      <c r="AIN79" s="1"/>
      <c r="AIO79" s="1"/>
      <c r="AIP79" s="1"/>
      <c r="AIQ79" s="1"/>
      <c r="AIR79" s="1"/>
      <c r="AIS79" s="1"/>
      <c r="AIT79" s="1"/>
      <c r="AIU79" s="1"/>
      <c r="AIV79" s="1"/>
      <c r="AIW79" s="1"/>
      <c r="AIX79" s="1"/>
      <c r="AIY79" s="1"/>
      <c r="AIZ79" s="1"/>
      <c r="AJA79" s="1"/>
      <c r="AJB79" s="1"/>
      <c r="AJC79" s="1"/>
      <c r="AJD79" s="1"/>
      <c r="AJE79" s="1"/>
      <c r="AJF79" s="1"/>
      <c r="AJG79" s="1"/>
      <c r="AJH79" s="1"/>
      <c r="AJI79" s="1"/>
      <c r="AJJ79" s="1"/>
      <c r="AJK79" s="1"/>
      <c r="AJL79" s="1"/>
      <c r="AJM79" s="1"/>
      <c r="AJN79" s="1"/>
      <c r="AJO79" s="1"/>
      <c r="AJP79" s="1"/>
      <c r="AJQ79" s="1"/>
      <c r="AJR79" s="1"/>
      <c r="AJS79" s="1"/>
      <c r="AJT79" s="1"/>
      <c r="AJU79" s="1"/>
      <c r="AJV79" s="1"/>
      <c r="AJW79" s="1"/>
      <c r="AJX79" s="1"/>
      <c r="AJY79" s="1"/>
      <c r="AJZ79" s="1"/>
      <c r="AKA79" s="1"/>
      <c r="AKB79" s="1"/>
      <c r="AKC79" s="1"/>
      <c r="AKD79" s="1"/>
      <c r="AKE79" s="1"/>
      <c r="AKF79" s="1"/>
      <c r="AKG79" s="1"/>
      <c r="AKH79" s="1"/>
      <c r="AKI79" s="1"/>
      <c r="AKJ79" s="1"/>
      <c r="AKK79" s="1"/>
      <c r="AKL79" s="1"/>
      <c r="AKM79" s="1"/>
      <c r="AKN79" s="1"/>
      <c r="AKO79" s="1"/>
      <c r="AKP79" s="1"/>
      <c r="AKQ79" s="1"/>
      <c r="AKR79" s="1"/>
      <c r="AKS79" s="1"/>
      <c r="AKT79" s="1"/>
      <c r="AKU79" s="1"/>
      <c r="AKV79" s="1"/>
      <c r="AKW79" s="1"/>
      <c r="AKX79" s="1"/>
      <c r="AKY79" s="1"/>
      <c r="AKZ79" s="1"/>
      <c r="ALA79" s="1"/>
      <c r="ALB79" s="1"/>
      <c r="ALC79" s="1"/>
      <c r="ALD79" s="1"/>
      <c r="ALE79" s="1"/>
      <c r="ALF79" s="1"/>
      <c r="ALG79" s="1"/>
      <c r="ALH79" s="1"/>
      <c r="ALI79" s="1"/>
      <c r="ALJ79" s="1"/>
      <c r="ALK79" s="1"/>
      <c r="ALL79" s="1"/>
      <c r="ALM79" s="1"/>
      <c r="ALN79" s="1"/>
      <c r="ALO79" s="1"/>
      <c r="ALP79" s="1"/>
      <c r="ALQ79" s="1"/>
      <c r="ALR79" s="1"/>
      <c r="ALS79" s="1"/>
      <c r="ALT79" s="1"/>
      <c r="ALU79" s="1"/>
      <c r="ALV79" s="1"/>
      <c r="ALW79" s="1"/>
      <c r="ALX79" s="1"/>
      <c r="ALY79" s="1"/>
      <c r="ALZ79" s="1"/>
      <c r="AMA79" s="1"/>
      <c r="AMB79" s="1"/>
      <c r="AMC79" s="1"/>
      <c r="AMD79" s="1"/>
      <c r="AME79" s="1"/>
      <c r="AMF79" s="1"/>
      <c r="AMG79" s="1"/>
      <c r="AMH79" s="1"/>
      <c r="AMI79" s="1"/>
      <c r="AMJ79" s="1"/>
      <c r="AMK79" s="1"/>
      <c r="AML79" s="1"/>
      <c r="AMM79" s="1"/>
      <c r="AMN79" s="1"/>
      <c r="AMO79" s="1"/>
    </row>
    <row r="80" spans="1:1029" x14ac:dyDescent="0.2">
      <c r="A80" s="3" t="str">
        <f t="shared" si="223"/>
        <v>adrb1_melga__wt</v>
      </c>
      <c r="B80" s="3" t="s">
        <v>912</v>
      </c>
      <c r="C80" s="3" t="s">
        <v>100</v>
      </c>
      <c r="D80" s="3" t="str">
        <f>IFERROR(MID(VLOOKUP($B80,Seqs!$A:$B,2,0),E80,1),"")</f>
        <v>A</v>
      </c>
      <c r="E80" s="3">
        <v>33</v>
      </c>
      <c r="F80" s="3" t="str">
        <f>IFERROR(MID(VLOOKUP($B80,Seqs!$A:$B,2,0),G80,1),"")</f>
        <v>T</v>
      </c>
      <c r="G80" s="3">
        <v>69</v>
      </c>
      <c r="H80" s="3" t="str">
        <f>IFERROR(MID(VLOOKUP($B80,Seqs!$A:$B,2,0),I80,1),"")</f>
        <v>Q</v>
      </c>
      <c r="I80" s="23">
        <v>70</v>
      </c>
      <c r="J80" s="3" t="str">
        <f>IFERROR(MID(VLOOKUP($B80,Seqs!$A:$B,2,0),K80,1),"")</f>
        <v>Q</v>
      </c>
      <c r="K80" s="23">
        <v>73</v>
      </c>
      <c r="L80" s="3" t="str">
        <f>IFERROR(MID(VLOOKUP($B80,Seqs!$A:$B,2,0),M80,1),"")</f>
        <v>T</v>
      </c>
      <c r="M80" s="3">
        <v>74</v>
      </c>
      <c r="N80" s="3" t="str">
        <f>IFERROR(MID(VLOOKUP($B80,Seqs!$A:$B,2,0),O80,1),"")</f>
        <v>R</v>
      </c>
      <c r="O80" s="3">
        <v>104</v>
      </c>
      <c r="P80" s="3" t="str">
        <f>IFERROR(MID(VLOOKUP($B80,Seqs!$A:$B,2,0),Q80,1),"")</f>
        <v>T</v>
      </c>
      <c r="Q80" s="3">
        <v>106</v>
      </c>
      <c r="R80" s="3" t="str">
        <f>IFERROR(MID(VLOOKUP($B80,Seqs!$A:$B,2,0),S80,1),"")</f>
        <v>W</v>
      </c>
      <c r="S80" s="3">
        <v>109</v>
      </c>
      <c r="T80" s="3" t="str">
        <f>IFERROR(MID(VLOOKUP($B80,Seqs!$A:$B,2,0),U80,1),"")</f>
        <v>G</v>
      </c>
      <c r="U80" s="3">
        <v>110</v>
      </c>
      <c r="V80" s="3" t="str">
        <f>IFERROR(MID(VLOOKUP($B80,Seqs!$A:$B,2,0),W80,1),"")</f>
        <v>S</v>
      </c>
      <c r="W80" s="3">
        <v>145</v>
      </c>
      <c r="X80" s="3" t="str">
        <f>IFERROR(MID(VLOOKUP($B80,Seqs!$A:$B,2,0),Y80,1),"")</f>
        <v>P</v>
      </c>
      <c r="Y80" s="3">
        <v>146</v>
      </c>
      <c r="Z80" s="3" t="str">
        <f>IFERROR(MID(VLOOKUP($B80,Seqs!$A:$B,2,0),AA80,1),"")</f>
        <v>M</v>
      </c>
      <c r="AA80" s="3">
        <v>153</v>
      </c>
      <c r="AB80" s="3" t="str">
        <f>IFERROR(MID(VLOOKUP($B80,Seqs!$A:$B,2,0),AC80,1),"")</f>
        <v>T</v>
      </c>
      <c r="AC80" s="9">
        <v>154</v>
      </c>
      <c r="AD80" s="3" t="str">
        <f>IFERROR(MID(VLOOKUP($B80,Seqs!$A:$B,2,0),AE80,1),"")</f>
        <v>H</v>
      </c>
      <c r="AE80" s="3">
        <v>180</v>
      </c>
      <c r="AF80" s="3" t="str">
        <f>IFERROR(MID(VLOOKUP($B80,Seqs!$A:$B,2,0),AG80,1),"")</f>
        <v>C</v>
      </c>
      <c r="AG80" s="3">
        <v>199</v>
      </c>
      <c r="AH80" s="3" t="str">
        <f>IFERROR(MID(VLOOKUP($B80,Seqs!$A:$B,2,0),AI80,1),"")</f>
        <v>F</v>
      </c>
      <c r="AI80" s="3">
        <v>201</v>
      </c>
      <c r="AJ80" s="3" t="str">
        <f>IFERROR(MID(VLOOKUP($B80,Seqs!$A:$B,2,0),AK80,1),"")</f>
        <v>N</v>
      </c>
      <c r="AK80" s="3">
        <v>204</v>
      </c>
      <c r="AL80" s="3" t="str">
        <f>IFERROR(MID(VLOOKUP($B80,Seqs!$A:$B,2,0),AM80,1),"")</f>
        <v>E</v>
      </c>
      <c r="AM80" s="3">
        <v>245</v>
      </c>
      <c r="AN80" s="3" t="str">
        <f>IFERROR(MID(VLOOKUP($B80,Seqs!$A:$B,2,0),AO80,1),"")</f>
        <v>R</v>
      </c>
      <c r="AO80" s="3">
        <v>275</v>
      </c>
      <c r="AP80" s="3" t="str">
        <f>IFERROR(MID(VLOOKUP($B80,Seqs!$A:$B,2,0),AQ80,1),"")</f>
        <v>N</v>
      </c>
      <c r="AQ80" s="3">
        <v>316</v>
      </c>
      <c r="AR80" s="3" t="str">
        <f>IFERROR(MID(VLOOKUP($B80,Seqs!$A:$B,2,0),AS80,1),"")</f>
        <v>P</v>
      </c>
      <c r="AS80" s="3">
        <v>321</v>
      </c>
      <c r="AT80" s="3" t="str">
        <f>IFERROR(MID(VLOOKUP($B80,Seqs!$A:$B,2,0),AU80,1),"")</f>
        <v>R</v>
      </c>
      <c r="AU80" s="3">
        <v>345</v>
      </c>
      <c r="AV80" s="3" t="str">
        <f>IFERROR(MID(VLOOKUP($B80,Seqs!$A:$B,2,0),AW80,1),"")</f>
        <v>S</v>
      </c>
      <c r="AW80" s="3">
        <v>346</v>
      </c>
      <c r="AX80" s="3" t="str">
        <f>IFERROR(MID(VLOOKUP($B80,Seqs!$A:$B,2,0),AY80,1),"")</f>
        <v>C</v>
      </c>
      <c r="AY80" s="3">
        <v>358</v>
      </c>
      <c r="AZ80" s="77" t="str">
        <f>VLOOKUP(B80,Classification!A:D,2,0)</f>
        <v>A</v>
      </c>
      <c r="BA80" s="94" t="str">
        <f>VLOOKUP(B80,Classification!A:D,4,0)</f>
        <v>Adrenoceptors</v>
      </c>
      <c r="BB80" s="27" t="b">
        <f t="shared" si="224"/>
        <v>1</v>
      </c>
      <c r="BC80" s="23">
        <f t="shared" si="169"/>
        <v>272</v>
      </c>
      <c r="BD80" s="34" t="s">
        <v>1379</v>
      </c>
      <c r="BE80" s="3" t="s">
        <v>23</v>
      </c>
      <c r="BF80" s="119" t="s">
        <v>23</v>
      </c>
      <c r="BG80" s="49" t="s">
        <v>1379</v>
      </c>
      <c r="BH80" s="49" t="s">
        <v>1384</v>
      </c>
      <c r="BI80" s="3" t="s">
        <v>1166</v>
      </c>
      <c r="BJ80" s="70" t="s">
        <v>1293</v>
      </c>
      <c r="BK80" s="57" t="s">
        <v>1293</v>
      </c>
      <c r="BL80" s="57" t="s">
        <v>1293</v>
      </c>
      <c r="BM80" s="57" t="s">
        <v>1293</v>
      </c>
      <c r="BN80" s="57" t="s">
        <v>1293</v>
      </c>
      <c r="BO80" s="57" t="s">
        <v>1293</v>
      </c>
      <c r="BP80" s="57" t="s">
        <v>1293</v>
      </c>
      <c r="BQ80" s="57" t="s">
        <v>1293</v>
      </c>
      <c r="BR80" s="57" t="s">
        <v>1293</v>
      </c>
      <c r="BS80" s="57" t="s">
        <v>1293</v>
      </c>
      <c r="BT80" s="57" t="s">
        <v>1293</v>
      </c>
      <c r="BU80" s="57" t="s">
        <v>1293</v>
      </c>
      <c r="BV80" s="70">
        <f t="shared" si="170"/>
        <v>33</v>
      </c>
      <c r="BW80" s="71">
        <f t="shared" si="171"/>
        <v>70</v>
      </c>
      <c r="BX80" s="72">
        <f t="shared" si="172"/>
        <v>74</v>
      </c>
      <c r="BY80" s="71">
        <f t="shared" si="173"/>
        <v>106</v>
      </c>
      <c r="BZ80" s="72">
        <f t="shared" si="174"/>
        <v>110</v>
      </c>
      <c r="CA80" s="71">
        <f t="shared" si="175"/>
        <v>146</v>
      </c>
      <c r="CB80" s="72">
        <f t="shared" si="176"/>
        <v>154</v>
      </c>
      <c r="CC80" s="71">
        <f t="shared" si="177"/>
        <v>199</v>
      </c>
      <c r="CD80" s="72">
        <f t="shared" si="178"/>
        <v>204</v>
      </c>
      <c r="CE80" s="71">
        <f t="shared" si="179"/>
        <v>275</v>
      </c>
      <c r="CF80" s="72">
        <f t="shared" si="180"/>
        <v>321</v>
      </c>
      <c r="CG80" s="71">
        <f t="shared" si="181"/>
        <v>346</v>
      </c>
      <c r="CH80" s="70">
        <f t="shared" si="182"/>
        <v>69</v>
      </c>
      <c r="CI80" s="71">
        <f t="shared" si="183"/>
        <v>73</v>
      </c>
      <c r="CJ80" s="72">
        <f t="shared" si="184"/>
        <v>104</v>
      </c>
      <c r="CK80" s="72">
        <f t="shared" si="185"/>
        <v>109</v>
      </c>
      <c r="CL80" s="72">
        <f t="shared" si="186"/>
        <v>145</v>
      </c>
      <c r="CM80" s="72">
        <f t="shared" si="187"/>
        <v>153</v>
      </c>
      <c r="CN80" s="72">
        <f t="shared" si="188"/>
        <v>180</v>
      </c>
      <c r="CO80" s="72">
        <f t="shared" si="189"/>
        <v>201</v>
      </c>
      <c r="CP80" s="72">
        <f t="shared" si="190"/>
        <v>245</v>
      </c>
      <c r="CQ80" s="72">
        <f t="shared" si="191"/>
        <v>316</v>
      </c>
      <c r="CR80" s="72">
        <f t="shared" si="192"/>
        <v>345</v>
      </c>
      <c r="CS80" s="72">
        <f t="shared" si="193"/>
        <v>358</v>
      </c>
      <c r="CT80" s="23">
        <f t="shared" si="194"/>
        <v>1</v>
      </c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  <c r="OK80" s="1"/>
      <c r="OL80" s="1"/>
      <c r="OM80" s="1"/>
      <c r="ON80" s="1"/>
      <c r="OO80" s="1"/>
      <c r="OP80" s="1"/>
      <c r="OQ80" s="1"/>
      <c r="OR80" s="1"/>
      <c r="OS80" s="1"/>
      <c r="OT80" s="1"/>
      <c r="OU80" s="1"/>
      <c r="OV80" s="1"/>
      <c r="OW80" s="1"/>
      <c r="OX80" s="1"/>
      <c r="OY80" s="1"/>
      <c r="OZ80" s="1"/>
      <c r="PA80" s="1"/>
      <c r="PB80" s="1"/>
      <c r="PC80" s="1"/>
      <c r="PD80" s="1"/>
      <c r="PE80" s="1"/>
      <c r="PF80" s="1"/>
      <c r="PG80" s="1"/>
      <c r="PH80" s="1"/>
      <c r="PI80" s="1"/>
      <c r="PJ80" s="1"/>
      <c r="PK80" s="1"/>
      <c r="PL80" s="1"/>
      <c r="PM80" s="1"/>
      <c r="PN80" s="1"/>
      <c r="PO80" s="1"/>
      <c r="PP80" s="1"/>
      <c r="PQ80" s="1"/>
      <c r="PR80" s="1"/>
      <c r="PS80" s="1"/>
      <c r="PT80" s="1"/>
      <c r="PU80" s="1"/>
      <c r="PV80" s="1"/>
      <c r="PW80" s="1"/>
      <c r="PX80" s="1"/>
      <c r="PY80" s="1"/>
      <c r="PZ80" s="1"/>
      <c r="QA80" s="1"/>
      <c r="QB80" s="1"/>
      <c r="QC80" s="1"/>
      <c r="QD80" s="1"/>
      <c r="QE80" s="1"/>
      <c r="QF80" s="1"/>
      <c r="QG80" s="1"/>
      <c r="QH80" s="1"/>
      <c r="QI80" s="1"/>
      <c r="QJ80" s="1"/>
      <c r="QK80" s="1"/>
      <c r="QL80" s="1"/>
      <c r="QM80" s="1"/>
      <c r="QN80" s="1"/>
      <c r="QO80" s="1"/>
      <c r="QP80" s="1"/>
      <c r="QQ80" s="1"/>
      <c r="QR80" s="1"/>
      <c r="QS80" s="1"/>
      <c r="QT80" s="1"/>
      <c r="QU80" s="1"/>
      <c r="QV80" s="1"/>
      <c r="QW80" s="1"/>
      <c r="QX80" s="1"/>
      <c r="QY80" s="1"/>
      <c r="QZ80" s="1"/>
      <c r="RA80" s="1"/>
      <c r="RB80" s="1"/>
      <c r="RC80" s="1"/>
      <c r="RD80" s="1"/>
      <c r="RE80" s="1"/>
      <c r="RF80" s="1"/>
      <c r="RG80" s="1"/>
      <c r="RH80" s="1"/>
      <c r="RI80" s="1"/>
      <c r="RJ80" s="1"/>
      <c r="RK80" s="1"/>
      <c r="RL80" s="1"/>
      <c r="RM80" s="1"/>
      <c r="RN80" s="1"/>
      <c r="RO80" s="1"/>
      <c r="RP80" s="1"/>
      <c r="RQ80" s="1"/>
      <c r="RR80" s="1"/>
      <c r="RS80" s="1"/>
      <c r="RT80" s="1"/>
      <c r="RU80" s="1"/>
      <c r="RV80" s="1"/>
      <c r="RW80" s="1"/>
      <c r="RX80" s="1"/>
      <c r="RY80" s="1"/>
      <c r="RZ80" s="1"/>
      <c r="SA80" s="1"/>
      <c r="SB80" s="1"/>
      <c r="SC80" s="1"/>
      <c r="SD80" s="1"/>
      <c r="SE80" s="1"/>
      <c r="SF80" s="1"/>
      <c r="SG80" s="1"/>
      <c r="SH80" s="1"/>
      <c r="SI80" s="1"/>
      <c r="SJ80" s="1"/>
      <c r="SK80" s="1"/>
      <c r="SL80" s="1"/>
      <c r="SM80" s="1"/>
      <c r="SN80" s="1"/>
      <c r="SO80" s="1"/>
      <c r="SP80" s="1"/>
      <c r="SQ80" s="1"/>
      <c r="SR80" s="1"/>
      <c r="SS80" s="1"/>
      <c r="ST80" s="1"/>
      <c r="SU80" s="1"/>
      <c r="SV80" s="1"/>
      <c r="SW80" s="1"/>
      <c r="SX80" s="1"/>
      <c r="SY80" s="1"/>
      <c r="SZ80" s="1"/>
      <c r="TA80" s="1"/>
      <c r="TB80" s="1"/>
      <c r="TC80" s="1"/>
      <c r="TD80" s="1"/>
      <c r="TE80" s="1"/>
      <c r="TF80" s="1"/>
      <c r="TG80" s="1"/>
      <c r="TH80" s="1"/>
      <c r="TI80" s="1"/>
      <c r="TJ80" s="1"/>
      <c r="TK80" s="1"/>
      <c r="TL80" s="1"/>
      <c r="TM80" s="1"/>
      <c r="TN80" s="1"/>
      <c r="TO80" s="1"/>
      <c r="TP80" s="1"/>
      <c r="TQ80" s="1"/>
      <c r="TR80" s="1"/>
      <c r="TS80" s="1"/>
      <c r="TT80" s="1"/>
      <c r="TU80" s="1"/>
      <c r="TV80" s="1"/>
      <c r="TW80" s="1"/>
      <c r="TX80" s="1"/>
      <c r="TY80" s="1"/>
      <c r="TZ80" s="1"/>
      <c r="UA80" s="1"/>
      <c r="UB80" s="1"/>
      <c r="UC80" s="1"/>
      <c r="UD80" s="1"/>
      <c r="UE80" s="1"/>
      <c r="UF80" s="1"/>
      <c r="UG80" s="1"/>
      <c r="UH80" s="1"/>
      <c r="UI80" s="1"/>
      <c r="UJ80" s="1"/>
      <c r="UK80" s="1"/>
      <c r="UL80" s="1"/>
      <c r="UM80" s="1"/>
      <c r="UN80" s="1"/>
      <c r="UO80" s="1"/>
      <c r="UP80" s="1"/>
      <c r="UQ80" s="1"/>
      <c r="UR80" s="1"/>
      <c r="US80" s="1"/>
      <c r="UT80" s="1"/>
      <c r="UU80" s="1"/>
      <c r="UV80" s="1"/>
      <c r="UW80" s="1"/>
      <c r="UX80" s="1"/>
      <c r="UY80" s="1"/>
      <c r="UZ80" s="1"/>
      <c r="VA80" s="1"/>
      <c r="VB80" s="1"/>
      <c r="VC80" s="1"/>
      <c r="VD80" s="1"/>
      <c r="VE80" s="1"/>
      <c r="VF80" s="1"/>
      <c r="VG80" s="1"/>
      <c r="VH80" s="1"/>
      <c r="VI80" s="1"/>
      <c r="VJ80" s="1"/>
      <c r="VK80" s="1"/>
      <c r="VL80" s="1"/>
      <c r="VM80" s="1"/>
      <c r="VN80" s="1"/>
      <c r="VO80" s="1"/>
      <c r="VP80" s="1"/>
      <c r="VQ80" s="1"/>
      <c r="VR80" s="1"/>
      <c r="VS80" s="1"/>
      <c r="VT80" s="1"/>
      <c r="VU80" s="1"/>
      <c r="VV80" s="1"/>
      <c r="VW80" s="1"/>
      <c r="VX80" s="1"/>
      <c r="VY80" s="1"/>
      <c r="VZ80" s="1"/>
      <c r="WA80" s="1"/>
      <c r="WB80" s="1"/>
      <c r="WC80" s="1"/>
      <c r="WD80" s="1"/>
      <c r="WE80" s="1"/>
      <c r="WF80" s="1"/>
      <c r="WG80" s="1"/>
      <c r="WH80" s="1"/>
      <c r="WI80" s="1"/>
      <c r="WJ80" s="1"/>
      <c r="WK80" s="1"/>
      <c r="WL80" s="1"/>
      <c r="WM80" s="1"/>
      <c r="WN80" s="1"/>
      <c r="WO80" s="1"/>
      <c r="WP80" s="1"/>
      <c r="WQ80" s="1"/>
      <c r="WR80" s="1"/>
      <c r="WS80" s="1"/>
      <c r="WT80" s="1"/>
      <c r="WU80" s="1"/>
      <c r="WV80" s="1"/>
      <c r="WW80" s="1"/>
      <c r="WX80" s="1"/>
      <c r="WY80" s="1"/>
      <c r="WZ80" s="1"/>
      <c r="XA80" s="1"/>
      <c r="XB80" s="1"/>
      <c r="XC80" s="1"/>
      <c r="XD80" s="1"/>
      <c r="XE80" s="1"/>
      <c r="XF80" s="1"/>
      <c r="XG80" s="1"/>
      <c r="XH80" s="1"/>
      <c r="XI80" s="1"/>
      <c r="XJ80" s="1"/>
      <c r="XK80" s="1"/>
      <c r="XL80" s="1"/>
      <c r="XM80" s="1"/>
      <c r="XN80" s="1"/>
      <c r="XO80" s="1"/>
      <c r="XP80" s="1"/>
      <c r="XQ80" s="1"/>
      <c r="XR80" s="1"/>
      <c r="XS80" s="1"/>
      <c r="XT80" s="1"/>
      <c r="XU80" s="1"/>
      <c r="XV80" s="1"/>
      <c r="XW80" s="1"/>
      <c r="XX80" s="1"/>
      <c r="XY80" s="1"/>
      <c r="XZ80" s="1"/>
      <c r="YA80" s="1"/>
      <c r="YB80" s="1"/>
      <c r="YC80" s="1"/>
      <c r="YD80" s="1"/>
      <c r="YE80" s="1"/>
      <c r="YF80" s="1"/>
      <c r="YG80" s="1"/>
      <c r="YH80" s="1"/>
      <c r="YI80" s="1"/>
      <c r="YJ80" s="1"/>
      <c r="YK80" s="1"/>
      <c r="YL80" s="1"/>
      <c r="YM80" s="1"/>
      <c r="YN80" s="1"/>
      <c r="YO80" s="1"/>
      <c r="YP80" s="1"/>
      <c r="YQ80" s="1"/>
      <c r="YR80" s="1"/>
      <c r="YS80" s="1"/>
      <c r="YT80" s="1"/>
      <c r="YU80" s="1"/>
      <c r="YV80" s="1"/>
      <c r="YW80" s="1"/>
      <c r="YX80" s="1"/>
      <c r="YY80" s="1"/>
      <c r="YZ80" s="1"/>
      <c r="ZA80" s="1"/>
      <c r="ZB80" s="1"/>
      <c r="ZC80" s="1"/>
      <c r="ZD80" s="1"/>
      <c r="ZE80" s="1"/>
      <c r="ZF80" s="1"/>
      <c r="ZG80" s="1"/>
      <c r="ZH80" s="1"/>
      <c r="ZI80" s="1"/>
      <c r="ZJ80" s="1"/>
      <c r="ZK80" s="1"/>
      <c r="ZL80" s="1"/>
      <c r="ZM80" s="1"/>
      <c r="ZN80" s="1"/>
      <c r="ZO80" s="1"/>
      <c r="ZP80" s="1"/>
      <c r="ZQ80" s="1"/>
      <c r="ZR80" s="1"/>
      <c r="ZS80" s="1"/>
      <c r="ZT80" s="1"/>
      <c r="ZU80" s="1"/>
      <c r="ZV80" s="1"/>
      <c r="ZW80" s="1"/>
      <c r="ZX80" s="1"/>
      <c r="ZY80" s="1"/>
      <c r="ZZ80" s="1"/>
      <c r="AAA80" s="1"/>
      <c r="AAB80" s="1"/>
      <c r="AAC80" s="1"/>
      <c r="AAD80" s="1"/>
      <c r="AAE80" s="1"/>
      <c r="AAF80" s="1"/>
      <c r="AAG80" s="1"/>
      <c r="AAH80" s="1"/>
      <c r="AAI80" s="1"/>
      <c r="AAJ80" s="1"/>
      <c r="AAK80" s="1"/>
      <c r="AAL80" s="1"/>
      <c r="AAM80" s="1"/>
      <c r="AAN80" s="1"/>
      <c r="AAO80" s="1"/>
      <c r="AAP80" s="1"/>
      <c r="AAQ80" s="1"/>
      <c r="AAR80" s="1"/>
      <c r="AAS80" s="1"/>
      <c r="AAT80" s="1"/>
      <c r="AAU80" s="1"/>
      <c r="AAV80" s="1"/>
      <c r="AAW80" s="1"/>
      <c r="AAX80" s="1"/>
      <c r="AAY80" s="1"/>
      <c r="AAZ80" s="1"/>
      <c r="ABA80" s="1"/>
      <c r="ABB80" s="1"/>
      <c r="ABC80" s="1"/>
      <c r="ABD80" s="1"/>
      <c r="ABE80" s="1"/>
      <c r="ABF80" s="1"/>
      <c r="ABG80" s="1"/>
      <c r="ABH80" s="1"/>
      <c r="ABI80" s="1"/>
      <c r="ABJ80" s="1"/>
      <c r="ABK80" s="1"/>
      <c r="ABL80" s="1"/>
      <c r="ABM80" s="1"/>
      <c r="ABN80" s="1"/>
      <c r="ABO80" s="1"/>
      <c r="ABP80" s="1"/>
      <c r="ABQ80" s="1"/>
      <c r="ABR80" s="1"/>
      <c r="ABS80" s="1"/>
      <c r="ABT80" s="1"/>
      <c r="ABU80" s="1"/>
      <c r="ABV80" s="1"/>
      <c r="ABW80" s="1"/>
      <c r="ABX80" s="1"/>
      <c r="ABY80" s="1"/>
      <c r="ABZ80" s="1"/>
      <c r="ACA80" s="1"/>
      <c r="ACB80" s="1"/>
      <c r="ACC80" s="1"/>
      <c r="ACD80" s="1"/>
      <c r="ACE80" s="1"/>
      <c r="ACF80" s="1"/>
      <c r="ACG80" s="1"/>
      <c r="ACH80" s="1"/>
      <c r="ACI80" s="1"/>
      <c r="ACJ80" s="1"/>
      <c r="ACK80" s="1"/>
      <c r="ACL80" s="1"/>
      <c r="ACM80" s="1"/>
      <c r="ACN80" s="1"/>
      <c r="ACO80" s="1"/>
      <c r="ACP80" s="1"/>
      <c r="ACQ80" s="1"/>
      <c r="ACR80" s="1"/>
      <c r="ACS80" s="1"/>
      <c r="ACT80" s="1"/>
      <c r="ACU80" s="1"/>
      <c r="ACV80" s="1"/>
      <c r="ACW80" s="1"/>
      <c r="ACX80" s="1"/>
      <c r="ACY80" s="1"/>
      <c r="ACZ80" s="1"/>
      <c r="ADA80" s="1"/>
      <c r="ADB80" s="1"/>
      <c r="ADC80" s="1"/>
      <c r="ADD80" s="1"/>
      <c r="ADE80" s="1"/>
      <c r="ADF80" s="1"/>
      <c r="ADG80" s="1"/>
      <c r="ADH80" s="1"/>
      <c r="ADI80" s="1"/>
      <c r="ADJ80" s="1"/>
      <c r="ADK80" s="1"/>
      <c r="ADL80" s="1"/>
      <c r="ADM80" s="1"/>
      <c r="ADN80" s="1"/>
      <c r="ADO80" s="1"/>
      <c r="ADP80" s="1"/>
      <c r="ADQ80" s="1"/>
      <c r="ADR80" s="1"/>
      <c r="ADS80" s="1"/>
      <c r="ADT80" s="1"/>
      <c r="ADU80" s="1"/>
      <c r="ADV80" s="1"/>
      <c r="ADW80" s="1"/>
      <c r="ADX80" s="1"/>
      <c r="ADY80" s="1"/>
      <c r="ADZ80" s="1"/>
      <c r="AEA80" s="1"/>
      <c r="AEB80" s="1"/>
      <c r="AEC80" s="1"/>
      <c r="AED80" s="1"/>
      <c r="AEE80" s="1"/>
      <c r="AEF80" s="1"/>
      <c r="AEG80" s="1"/>
      <c r="AEH80" s="1"/>
      <c r="AEI80" s="1"/>
      <c r="AEJ80" s="1"/>
      <c r="AEK80" s="1"/>
      <c r="AEL80" s="1"/>
      <c r="AEM80" s="1"/>
      <c r="AEN80" s="1"/>
      <c r="AEO80" s="1"/>
      <c r="AEP80" s="1"/>
      <c r="AEQ80" s="1"/>
      <c r="AER80" s="1"/>
      <c r="AES80" s="1"/>
      <c r="AET80" s="1"/>
      <c r="AEU80" s="1"/>
      <c r="AEV80" s="1"/>
      <c r="AEW80" s="1"/>
      <c r="AEX80" s="1"/>
      <c r="AEY80" s="1"/>
      <c r="AEZ80" s="1"/>
      <c r="AFA80" s="1"/>
      <c r="AFB80" s="1"/>
      <c r="AFC80" s="1"/>
      <c r="AFD80" s="1"/>
      <c r="AFE80" s="1"/>
      <c r="AFF80" s="1"/>
      <c r="AFG80" s="1"/>
      <c r="AFH80" s="1"/>
      <c r="AFI80" s="1"/>
      <c r="AFJ80" s="1"/>
      <c r="AFK80" s="1"/>
      <c r="AFL80" s="1"/>
      <c r="AFM80" s="1"/>
      <c r="AFN80" s="1"/>
      <c r="AFO80" s="1"/>
      <c r="AFP80" s="1"/>
      <c r="AFQ80" s="1"/>
      <c r="AFR80" s="1"/>
      <c r="AFS80" s="1"/>
      <c r="AFT80" s="1"/>
      <c r="AFU80" s="1"/>
      <c r="AFV80" s="1"/>
      <c r="AFW80" s="1"/>
      <c r="AFX80" s="1"/>
      <c r="AFY80" s="1"/>
      <c r="AFZ80" s="1"/>
      <c r="AGA80" s="1"/>
      <c r="AGB80" s="1"/>
      <c r="AGC80" s="1"/>
      <c r="AGD80" s="1"/>
      <c r="AGE80" s="1"/>
      <c r="AGF80" s="1"/>
      <c r="AGG80" s="1"/>
      <c r="AGH80" s="1"/>
      <c r="AGI80" s="1"/>
      <c r="AGJ80" s="1"/>
      <c r="AGK80" s="1"/>
      <c r="AGL80" s="1"/>
      <c r="AGM80" s="1"/>
      <c r="AGN80" s="1"/>
      <c r="AGO80" s="1"/>
      <c r="AGP80" s="1"/>
      <c r="AGQ80" s="1"/>
      <c r="AGR80" s="1"/>
      <c r="AGS80" s="1"/>
      <c r="AGT80" s="1"/>
      <c r="AGU80" s="1"/>
      <c r="AGV80" s="1"/>
      <c r="AGW80" s="1"/>
      <c r="AGX80" s="1"/>
      <c r="AGY80" s="1"/>
      <c r="AGZ80" s="1"/>
      <c r="AHA80" s="1"/>
      <c r="AHB80" s="1"/>
      <c r="AHC80" s="1"/>
      <c r="AHD80" s="1"/>
      <c r="AHE80" s="1"/>
      <c r="AHF80" s="1"/>
      <c r="AHG80" s="1"/>
      <c r="AHH80" s="1"/>
      <c r="AHI80" s="1"/>
      <c r="AHJ80" s="1"/>
      <c r="AHK80" s="1"/>
      <c r="AHL80" s="1"/>
      <c r="AHM80" s="1"/>
      <c r="AHN80" s="1"/>
      <c r="AHO80" s="1"/>
      <c r="AHP80" s="1"/>
      <c r="AHQ80" s="1"/>
      <c r="AHR80" s="1"/>
      <c r="AHS80" s="1"/>
      <c r="AHT80" s="1"/>
      <c r="AHU80" s="1"/>
      <c r="AHV80" s="1"/>
      <c r="AHW80" s="1"/>
      <c r="AHX80" s="1"/>
      <c r="AHY80" s="1"/>
      <c r="AHZ80" s="1"/>
      <c r="AIA80" s="1"/>
      <c r="AIB80" s="1"/>
      <c r="AIC80" s="1"/>
      <c r="AID80" s="1"/>
      <c r="AIE80" s="1"/>
      <c r="AIF80" s="1"/>
      <c r="AIG80" s="1"/>
      <c r="AIH80" s="1"/>
      <c r="AII80" s="1"/>
      <c r="AIJ80" s="1"/>
      <c r="AIK80" s="1"/>
      <c r="AIL80" s="1"/>
      <c r="AIM80" s="1"/>
      <c r="AIN80" s="1"/>
      <c r="AIO80" s="1"/>
      <c r="AIP80" s="1"/>
      <c r="AIQ80" s="1"/>
      <c r="AIR80" s="1"/>
      <c r="AIS80" s="1"/>
      <c r="AIT80" s="1"/>
      <c r="AIU80" s="1"/>
      <c r="AIV80" s="1"/>
      <c r="AIW80" s="1"/>
      <c r="AIX80" s="1"/>
      <c r="AIY80" s="1"/>
      <c r="AIZ80" s="1"/>
      <c r="AJA80" s="1"/>
      <c r="AJB80" s="1"/>
      <c r="AJC80" s="1"/>
      <c r="AJD80" s="1"/>
      <c r="AJE80" s="1"/>
      <c r="AJF80" s="1"/>
      <c r="AJG80" s="1"/>
      <c r="AJH80" s="1"/>
      <c r="AJI80" s="1"/>
      <c r="AJJ80" s="1"/>
      <c r="AJK80" s="1"/>
      <c r="AJL80" s="1"/>
      <c r="AJM80" s="1"/>
      <c r="AJN80" s="1"/>
      <c r="AJO80" s="1"/>
      <c r="AJP80" s="1"/>
      <c r="AJQ80" s="1"/>
      <c r="AJR80" s="1"/>
      <c r="AJS80" s="1"/>
      <c r="AJT80" s="1"/>
      <c r="AJU80" s="1"/>
      <c r="AJV80" s="1"/>
      <c r="AJW80" s="1"/>
      <c r="AJX80" s="1"/>
      <c r="AJY80" s="1"/>
      <c r="AJZ80" s="1"/>
      <c r="AKA80" s="1"/>
      <c r="AKB80" s="1"/>
      <c r="AKC80" s="1"/>
      <c r="AKD80" s="1"/>
      <c r="AKE80" s="1"/>
      <c r="AKF80" s="1"/>
      <c r="AKG80" s="1"/>
      <c r="AKH80" s="1"/>
      <c r="AKI80" s="1"/>
      <c r="AKJ80" s="1"/>
      <c r="AKK80" s="1"/>
      <c r="AKL80" s="1"/>
      <c r="AKM80" s="1"/>
      <c r="AKN80" s="1"/>
      <c r="AKO80" s="1"/>
      <c r="AKP80" s="1"/>
      <c r="AKQ80" s="1"/>
      <c r="AKR80" s="1"/>
      <c r="AKS80" s="1"/>
      <c r="AKT80" s="1"/>
      <c r="AKU80" s="1"/>
      <c r="AKV80" s="1"/>
      <c r="AKW80" s="1"/>
      <c r="AKX80" s="1"/>
      <c r="AKY80" s="1"/>
      <c r="AKZ80" s="1"/>
      <c r="ALA80" s="1"/>
      <c r="ALB80" s="1"/>
      <c r="ALC80" s="1"/>
      <c r="ALD80" s="1"/>
      <c r="ALE80" s="1"/>
      <c r="ALF80" s="1"/>
      <c r="ALG80" s="1"/>
      <c r="ALH80" s="1"/>
      <c r="ALI80" s="1"/>
      <c r="ALJ80" s="1"/>
      <c r="ALK80" s="1"/>
      <c r="ALL80" s="1"/>
      <c r="ALM80" s="1"/>
      <c r="ALN80" s="1"/>
      <c r="ALO80" s="1"/>
      <c r="ALP80" s="1"/>
      <c r="ALQ80" s="1"/>
      <c r="ALR80" s="1"/>
      <c r="ALS80" s="1"/>
      <c r="ALT80" s="1"/>
      <c r="ALU80" s="1"/>
      <c r="ALV80" s="1"/>
      <c r="ALW80" s="1"/>
      <c r="ALX80" s="1"/>
      <c r="ALY80" s="1"/>
      <c r="ALZ80" s="1"/>
      <c r="AMA80" s="1"/>
      <c r="AMB80" s="1"/>
      <c r="AMC80" s="1"/>
      <c r="AMD80" s="1"/>
      <c r="AME80" s="1"/>
      <c r="AMF80" s="1"/>
      <c r="AMG80" s="1"/>
      <c r="AMH80" s="1"/>
      <c r="AMI80" s="1"/>
      <c r="AMJ80" s="1"/>
      <c r="AMK80" s="1"/>
      <c r="AML80" s="1"/>
      <c r="AMM80" s="1"/>
      <c r="AMN80" s="1"/>
      <c r="AMO80" s="1"/>
    </row>
    <row r="81" spans="1:1029" x14ac:dyDescent="0.2">
      <c r="A81" s="3" t="str">
        <f t="shared" si="223"/>
        <v>adrb1_melga_2Y00</v>
      </c>
      <c r="B81" s="3" t="s">
        <v>912</v>
      </c>
      <c r="C81" s="3" t="s">
        <v>1023</v>
      </c>
      <c r="D81" s="3" t="str">
        <f>IFERROR(MID(VLOOKUP($B81,Seqs!$A:$B,2,0),E81,1),"")</f>
        <v>A</v>
      </c>
      <c r="E81" s="3">
        <v>33</v>
      </c>
      <c r="F81" s="3" t="str">
        <f>IFERROR(MID(VLOOKUP($B81,Seqs!$A:$B,2,0),G81,1),"")</f>
        <v>T</v>
      </c>
      <c r="G81" s="3">
        <v>69</v>
      </c>
      <c r="H81" s="3" t="str">
        <f>IFERROR(MID(VLOOKUP($B81,Seqs!$A:$B,2,0),I81,1),"")</f>
        <v>Q</v>
      </c>
      <c r="I81" s="23">
        <v>70</v>
      </c>
      <c r="J81" s="3" t="str">
        <f>IFERROR(MID(VLOOKUP($B81,Seqs!$A:$B,2,0),K81,1),"")</f>
        <v>Q</v>
      </c>
      <c r="K81" s="23">
        <v>73</v>
      </c>
      <c r="L81" s="3" t="str">
        <f>IFERROR(MID(VLOOKUP($B81,Seqs!$A:$B,2,0),M81,1),"")</f>
        <v>T</v>
      </c>
      <c r="M81" s="3">
        <v>74</v>
      </c>
      <c r="N81" s="3" t="str">
        <f>IFERROR(MID(VLOOKUP($B81,Seqs!$A:$B,2,0),O81,1),"")</f>
        <v>R</v>
      </c>
      <c r="O81" s="3">
        <v>104</v>
      </c>
      <c r="P81" s="3" t="str">
        <f>IFERROR(MID(VLOOKUP($B81,Seqs!$A:$B,2,0),Q81,1),"")</f>
        <v>T</v>
      </c>
      <c r="Q81" s="3">
        <v>106</v>
      </c>
      <c r="R81" s="3" t="str">
        <f>IFERROR(MID(VLOOKUP($B81,Seqs!$A:$B,2,0),S81,1),"")</f>
        <v>W</v>
      </c>
      <c r="S81" s="3">
        <v>109</v>
      </c>
      <c r="T81" s="3" t="str">
        <f>IFERROR(MID(VLOOKUP($B81,Seqs!$A:$B,2,0),U81,1),"")</f>
        <v>G</v>
      </c>
      <c r="U81" s="3">
        <v>110</v>
      </c>
      <c r="V81" s="3" t="str">
        <f>IFERROR(MID(VLOOKUP($B81,Seqs!$A:$B,2,0),W81,1),"")</f>
        <v>S</v>
      </c>
      <c r="W81" s="3">
        <v>145</v>
      </c>
      <c r="X81" s="3" t="str">
        <f>IFERROR(MID(VLOOKUP($B81,Seqs!$A:$B,2,0),Y81,1),"")</f>
        <v>P</v>
      </c>
      <c r="Y81" s="3">
        <v>146</v>
      </c>
      <c r="Z81" s="3" t="str">
        <f>IFERROR(MID(VLOOKUP($B81,Seqs!$A:$B,2,0),AA81,1),"")</f>
        <v>M</v>
      </c>
      <c r="AA81" s="3">
        <v>153</v>
      </c>
      <c r="AB81" s="3" t="str">
        <f>IFERROR(MID(VLOOKUP($B81,Seqs!$A:$B,2,0),AC81,1),"")</f>
        <v>T</v>
      </c>
      <c r="AC81" s="9">
        <v>154</v>
      </c>
      <c r="AD81" s="3" t="str">
        <f>IFERROR(MID(VLOOKUP($B81,Seqs!$A:$B,2,0),AE81,1),"")</f>
        <v>H</v>
      </c>
      <c r="AE81" s="3">
        <v>180</v>
      </c>
      <c r="AF81" s="3" t="str">
        <f>IFERROR(MID(VLOOKUP($B81,Seqs!$A:$B,2,0),AG81,1),"")</f>
        <v>C</v>
      </c>
      <c r="AG81" s="3">
        <v>199</v>
      </c>
      <c r="AH81" s="3" t="str">
        <f>IFERROR(MID(VLOOKUP($B81,Seqs!$A:$B,2,0),AI81,1),"")</f>
        <v>F</v>
      </c>
      <c r="AI81" s="3">
        <v>201</v>
      </c>
      <c r="AJ81" s="3" t="str">
        <f>IFERROR(MID(VLOOKUP($B81,Seqs!$A:$B,2,0),AK81,1),"")</f>
        <v>N</v>
      </c>
      <c r="AK81" s="3">
        <v>204</v>
      </c>
      <c r="AL81" s="3" t="str">
        <f>IFERROR(MID(VLOOKUP($B81,Seqs!$A:$B,2,0),AM81,1),"")</f>
        <v>I</v>
      </c>
      <c r="AM81" s="3">
        <v>238</v>
      </c>
      <c r="AN81" s="3" t="str">
        <f>IFERROR(MID(VLOOKUP($B81,Seqs!$A:$B,2,0),AO81,1),"")</f>
        <v>R</v>
      </c>
      <c r="AO81" s="3">
        <v>275</v>
      </c>
      <c r="AP81" s="3" t="str">
        <f>IFERROR(MID(VLOOKUP($B81,Seqs!$A:$B,2,0),AQ81,1),"")</f>
        <v>N</v>
      </c>
      <c r="AQ81" s="3">
        <v>316</v>
      </c>
      <c r="AR81" s="3" t="str">
        <f>IFERROR(MID(VLOOKUP($B81,Seqs!$A:$B,2,0),AS81,1),"")</f>
        <v>P</v>
      </c>
      <c r="AS81" s="3">
        <v>321</v>
      </c>
      <c r="AT81" s="3" t="str">
        <f>IFERROR(MID(VLOOKUP($B81,Seqs!$A:$B,2,0),AU81,1),"")</f>
        <v>R</v>
      </c>
      <c r="AU81" s="3">
        <v>345</v>
      </c>
      <c r="AV81" s="3" t="str">
        <f>IFERROR(MID(VLOOKUP($B81,Seqs!$A:$B,2,0),AW81,1),"")</f>
        <v>S</v>
      </c>
      <c r="AW81" s="3">
        <v>346</v>
      </c>
      <c r="AX81" s="3" t="str">
        <f>IFERROR(MID(VLOOKUP($B81,Seqs!$A:$B,2,0),AY81,1),"")</f>
        <v>C</v>
      </c>
      <c r="AY81" s="3">
        <v>358</v>
      </c>
      <c r="AZ81" s="77" t="str">
        <f>VLOOKUP(B81,Classification!A:D,2,0)</f>
        <v>A</v>
      </c>
      <c r="BA81" s="94" t="str">
        <f>VLOOKUP(B81,Classification!A:D,4,0)</f>
        <v>Adrenoceptors</v>
      </c>
      <c r="BB81" s="27" t="b">
        <f t="shared" si="224"/>
        <v>1</v>
      </c>
      <c r="BC81" s="23">
        <f t="shared" si="169"/>
        <v>265</v>
      </c>
      <c r="BD81" s="4" t="s">
        <v>23</v>
      </c>
      <c r="BE81" s="3" t="s">
        <v>1381</v>
      </c>
      <c r="BF81" s="119">
        <v>2.5</v>
      </c>
      <c r="BG81" s="49" t="s">
        <v>1384</v>
      </c>
      <c r="BH81" s="49" t="s">
        <v>1384</v>
      </c>
      <c r="BI81" s="1"/>
      <c r="BJ81" s="70" t="s">
        <v>1293</v>
      </c>
      <c r="BK81" s="57" t="s">
        <v>1293</v>
      </c>
      <c r="BL81" s="57" t="s">
        <v>1293</v>
      </c>
      <c r="BM81" s="57" t="s">
        <v>1293</v>
      </c>
      <c r="BN81" s="57" t="s">
        <v>1293</v>
      </c>
      <c r="BO81" s="57" t="s">
        <v>1293</v>
      </c>
      <c r="BP81" s="57" t="s">
        <v>1293</v>
      </c>
      <c r="BQ81" s="57" t="s">
        <v>1293</v>
      </c>
      <c r="BR81" s="57" t="s">
        <v>1293</v>
      </c>
      <c r="BS81" s="57" t="s">
        <v>1293</v>
      </c>
      <c r="BT81" s="57" t="s">
        <v>1293</v>
      </c>
      <c r="BU81" s="57" t="s">
        <v>1293</v>
      </c>
      <c r="BV81" s="70">
        <f t="shared" si="170"/>
        <v>33</v>
      </c>
      <c r="BW81" s="71">
        <f t="shared" si="171"/>
        <v>70</v>
      </c>
      <c r="BX81" s="72">
        <f t="shared" si="172"/>
        <v>74</v>
      </c>
      <c r="BY81" s="71">
        <f t="shared" si="173"/>
        <v>106</v>
      </c>
      <c r="BZ81" s="72">
        <f t="shared" si="174"/>
        <v>110</v>
      </c>
      <c r="CA81" s="71">
        <f t="shared" si="175"/>
        <v>146</v>
      </c>
      <c r="CB81" s="72">
        <f t="shared" si="176"/>
        <v>154</v>
      </c>
      <c r="CC81" s="71">
        <f t="shared" si="177"/>
        <v>199</v>
      </c>
      <c r="CD81" s="72">
        <f t="shared" si="178"/>
        <v>204</v>
      </c>
      <c r="CE81" s="71">
        <f t="shared" si="179"/>
        <v>275</v>
      </c>
      <c r="CF81" s="72">
        <f t="shared" si="180"/>
        <v>321</v>
      </c>
      <c r="CG81" s="71">
        <f t="shared" si="181"/>
        <v>346</v>
      </c>
      <c r="CH81" s="70">
        <f t="shared" si="182"/>
        <v>69</v>
      </c>
      <c r="CI81" s="71">
        <f t="shared" si="183"/>
        <v>73</v>
      </c>
      <c r="CJ81" s="72">
        <f t="shared" si="184"/>
        <v>104</v>
      </c>
      <c r="CK81" s="72">
        <f t="shared" si="185"/>
        <v>109</v>
      </c>
      <c r="CL81" s="72">
        <f t="shared" si="186"/>
        <v>145</v>
      </c>
      <c r="CM81" s="72">
        <f t="shared" si="187"/>
        <v>153</v>
      </c>
      <c r="CN81" s="72">
        <f t="shared" si="188"/>
        <v>180</v>
      </c>
      <c r="CO81" s="72">
        <f t="shared" si="189"/>
        <v>201</v>
      </c>
      <c r="CP81" s="72">
        <f t="shared" si="190"/>
        <v>238</v>
      </c>
      <c r="CQ81" s="72">
        <f t="shared" si="191"/>
        <v>316</v>
      </c>
      <c r="CR81" s="72">
        <f t="shared" si="192"/>
        <v>345</v>
      </c>
      <c r="CS81" s="72">
        <f t="shared" si="193"/>
        <v>358</v>
      </c>
      <c r="CT81" s="23">
        <f t="shared" si="194"/>
        <v>1</v>
      </c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  <c r="OM81" s="1"/>
      <c r="ON81" s="1"/>
      <c r="OO81" s="1"/>
      <c r="OP81" s="1"/>
      <c r="OQ81" s="1"/>
      <c r="OR81" s="1"/>
      <c r="OS81" s="1"/>
      <c r="OT81" s="1"/>
      <c r="OU81" s="1"/>
      <c r="OV81" s="1"/>
      <c r="OW81" s="1"/>
      <c r="OX81" s="1"/>
      <c r="OY81" s="1"/>
      <c r="OZ81" s="1"/>
      <c r="PA81" s="1"/>
      <c r="PB81" s="1"/>
      <c r="PC81" s="1"/>
      <c r="PD81" s="1"/>
      <c r="PE81" s="1"/>
      <c r="PF81" s="1"/>
      <c r="PG81" s="1"/>
      <c r="PH81" s="1"/>
      <c r="PI81" s="1"/>
      <c r="PJ81" s="1"/>
      <c r="PK81" s="1"/>
      <c r="PL81" s="1"/>
      <c r="PM81" s="1"/>
      <c r="PN81" s="1"/>
      <c r="PO81" s="1"/>
      <c r="PP81" s="1"/>
      <c r="PQ81" s="1"/>
      <c r="PR81" s="1"/>
      <c r="PS81" s="1"/>
      <c r="PT81" s="1"/>
      <c r="PU81" s="1"/>
      <c r="PV81" s="1"/>
      <c r="PW81" s="1"/>
      <c r="PX81" s="1"/>
      <c r="PY81" s="1"/>
      <c r="PZ81" s="1"/>
      <c r="QA81" s="1"/>
      <c r="QB81" s="1"/>
      <c r="QC81" s="1"/>
      <c r="QD81" s="1"/>
      <c r="QE81" s="1"/>
      <c r="QF81" s="1"/>
      <c r="QG81" s="1"/>
      <c r="QH81" s="1"/>
      <c r="QI81" s="1"/>
      <c r="QJ81" s="1"/>
      <c r="QK81" s="1"/>
      <c r="QL81" s="1"/>
      <c r="QM81" s="1"/>
      <c r="QN81" s="1"/>
      <c r="QO81" s="1"/>
      <c r="QP81" s="1"/>
      <c r="QQ81" s="1"/>
      <c r="QR81" s="1"/>
      <c r="QS81" s="1"/>
      <c r="QT81" s="1"/>
      <c r="QU81" s="1"/>
      <c r="QV81" s="1"/>
      <c r="QW81" s="1"/>
      <c r="QX81" s="1"/>
      <c r="QY81" s="1"/>
      <c r="QZ81" s="1"/>
      <c r="RA81" s="1"/>
      <c r="RB81" s="1"/>
      <c r="RC81" s="1"/>
      <c r="RD81" s="1"/>
      <c r="RE81" s="1"/>
      <c r="RF81" s="1"/>
      <c r="RG81" s="1"/>
      <c r="RH81" s="1"/>
      <c r="RI81" s="1"/>
      <c r="RJ81" s="1"/>
      <c r="RK81" s="1"/>
      <c r="RL81" s="1"/>
      <c r="RM81" s="1"/>
      <c r="RN81" s="1"/>
      <c r="RO81" s="1"/>
      <c r="RP81" s="1"/>
      <c r="RQ81" s="1"/>
      <c r="RR81" s="1"/>
      <c r="RS81" s="1"/>
      <c r="RT81" s="1"/>
      <c r="RU81" s="1"/>
      <c r="RV81" s="1"/>
      <c r="RW81" s="1"/>
      <c r="RX81" s="1"/>
      <c r="RY81" s="1"/>
      <c r="RZ81" s="1"/>
      <c r="SA81" s="1"/>
      <c r="SB81" s="1"/>
      <c r="SC81" s="1"/>
      <c r="SD81" s="1"/>
      <c r="SE81" s="1"/>
      <c r="SF81" s="1"/>
      <c r="SG81" s="1"/>
      <c r="SH81" s="1"/>
      <c r="SI81" s="1"/>
      <c r="SJ81" s="1"/>
      <c r="SK81" s="1"/>
      <c r="SL81" s="1"/>
      <c r="SM81" s="1"/>
      <c r="SN81" s="1"/>
      <c r="SO81" s="1"/>
      <c r="SP81" s="1"/>
      <c r="SQ81" s="1"/>
      <c r="SR81" s="1"/>
      <c r="SS81" s="1"/>
      <c r="ST81" s="1"/>
      <c r="SU81" s="1"/>
      <c r="SV81" s="1"/>
      <c r="SW81" s="1"/>
      <c r="SX81" s="1"/>
      <c r="SY81" s="1"/>
      <c r="SZ81" s="1"/>
      <c r="TA81" s="1"/>
      <c r="TB81" s="1"/>
      <c r="TC81" s="1"/>
      <c r="TD81" s="1"/>
      <c r="TE81" s="1"/>
      <c r="TF81" s="1"/>
      <c r="TG81" s="1"/>
      <c r="TH81" s="1"/>
      <c r="TI81" s="1"/>
      <c r="TJ81" s="1"/>
      <c r="TK81" s="1"/>
      <c r="TL81" s="1"/>
      <c r="TM81" s="1"/>
      <c r="TN81" s="1"/>
      <c r="TO81" s="1"/>
      <c r="TP81" s="1"/>
      <c r="TQ81" s="1"/>
      <c r="TR81" s="1"/>
      <c r="TS81" s="1"/>
      <c r="TT81" s="1"/>
      <c r="TU81" s="1"/>
      <c r="TV81" s="1"/>
      <c r="TW81" s="1"/>
      <c r="TX81" s="1"/>
      <c r="TY81" s="1"/>
      <c r="TZ81" s="1"/>
      <c r="UA81" s="1"/>
      <c r="UB81" s="1"/>
      <c r="UC81" s="1"/>
      <c r="UD81" s="1"/>
      <c r="UE81" s="1"/>
      <c r="UF81" s="1"/>
      <c r="UG81" s="1"/>
      <c r="UH81" s="1"/>
      <c r="UI81" s="1"/>
      <c r="UJ81" s="1"/>
      <c r="UK81" s="1"/>
      <c r="UL81" s="1"/>
      <c r="UM81" s="1"/>
      <c r="UN81" s="1"/>
      <c r="UO81" s="1"/>
      <c r="UP81" s="1"/>
      <c r="UQ81" s="1"/>
      <c r="UR81" s="1"/>
      <c r="US81" s="1"/>
      <c r="UT81" s="1"/>
      <c r="UU81" s="1"/>
      <c r="UV81" s="1"/>
      <c r="UW81" s="1"/>
      <c r="UX81" s="1"/>
      <c r="UY81" s="1"/>
      <c r="UZ81" s="1"/>
      <c r="VA81" s="1"/>
      <c r="VB81" s="1"/>
      <c r="VC81" s="1"/>
      <c r="VD81" s="1"/>
      <c r="VE81" s="1"/>
      <c r="VF81" s="1"/>
      <c r="VG81" s="1"/>
      <c r="VH81" s="1"/>
      <c r="VI81" s="1"/>
      <c r="VJ81" s="1"/>
      <c r="VK81" s="1"/>
      <c r="VL81" s="1"/>
      <c r="VM81" s="1"/>
      <c r="VN81" s="1"/>
      <c r="VO81" s="1"/>
      <c r="VP81" s="1"/>
      <c r="VQ81" s="1"/>
      <c r="VR81" s="1"/>
      <c r="VS81" s="1"/>
      <c r="VT81" s="1"/>
      <c r="VU81" s="1"/>
      <c r="VV81" s="1"/>
      <c r="VW81" s="1"/>
      <c r="VX81" s="1"/>
      <c r="VY81" s="1"/>
      <c r="VZ81" s="1"/>
      <c r="WA81" s="1"/>
      <c r="WB81" s="1"/>
      <c r="WC81" s="1"/>
      <c r="WD81" s="1"/>
      <c r="WE81" s="1"/>
      <c r="WF81" s="1"/>
      <c r="WG81" s="1"/>
      <c r="WH81" s="1"/>
      <c r="WI81" s="1"/>
      <c r="WJ81" s="1"/>
      <c r="WK81" s="1"/>
      <c r="WL81" s="1"/>
      <c r="WM81" s="1"/>
      <c r="WN81" s="1"/>
      <c r="WO81" s="1"/>
      <c r="WP81" s="1"/>
      <c r="WQ81" s="1"/>
      <c r="WR81" s="1"/>
      <c r="WS81" s="1"/>
      <c r="WT81" s="1"/>
      <c r="WU81" s="1"/>
      <c r="WV81" s="1"/>
      <c r="WW81" s="1"/>
      <c r="WX81" s="1"/>
      <c r="WY81" s="1"/>
      <c r="WZ81" s="1"/>
      <c r="XA81" s="1"/>
      <c r="XB81" s="1"/>
      <c r="XC81" s="1"/>
      <c r="XD81" s="1"/>
      <c r="XE81" s="1"/>
      <c r="XF81" s="1"/>
      <c r="XG81" s="1"/>
      <c r="XH81" s="1"/>
      <c r="XI81" s="1"/>
      <c r="XJ81" s="1"/>
      <c r="XK81" s="1"/>
      <c r="XL81" s="1"/>
      <c r="XM81" s="1"/>
      <c r="XN81" s="1"/>
      <c r="XO81" s="1"/>
      <c r="XP81" s="1"/>
      <c r="XQ81" s="1"/>
      <c r="XR81" s="1"/>
      <c r="XS81" s="1"/>
      <c r="XT81" s="1"/>
      <c r="XU81" s="1"/>
      <c r="XV81" s="1"/>
      <c r="XW81" s="1"/>
      <c r="XX81" s="1"/>
      <c r="XY81" s="1"/>
      <c r="XZ81" s="1"/>
      <c r="YA81" s="1"/>
      <c r="YB81" s="1"/>
      <c r="YC81" s="1"/>
      <c r="YD81" s="1"/>
      <c r="YE81" s="1"/>
      <c r="YF81" s="1"/>
      <c r="YG81" s="1"/>
      <c r="YH81" s="1"/>
      <c r="YI81" s="1"/>
      <c r="YJ81" s="1"/>
      <c r="YK81" s="1"/>
      <c r="YL81" s="1"/>
      <c r="YM81" s="1"/>
      <c r="YN81" s="1"/>
      <c r="YO81" s="1"/>
      <c r="YP81" s="1"/>
      <c r="YQ81" s="1"/>
      <c r="YR81" s="1"/>
      <c r="YS81" s="1"/>
      <c r="YT81" s="1"/>
      <c r="YU81" s="1"/>
      <c r="YV81" s="1"/>
      <c r="YW81" s="1"/>
      <c r="YX81" s="1"/>
      <c r="YY81" s="1"/>
      <c r="YZ81" s="1"/>
      <c r="ZA81" s="1"/>
      <c r="ZB81" s="1"/>
      <c r="ZC81" s="1"/>
      <c r="ZD81" s="1"/>
      <c r="ZE81" s="1"/>
      <c r="ZF81" s="1"/>
      <c r="ZG81" s="1"/>
      <c r="ZH81" s="1"/>
      <c r="ZI81" s="1"/>
      <c r="ZJ81" s="1"/>
      <c r="ZK81" s="1"/>
      <c r="ZL81" s="1"/>
      <c r="ZM81" s="1"/>
      <c r="ZN81" s="1"/>
      <c r="ZO81" s="1"/>
      <c r="ZP81" s="1"/>
      <c r="ZQ81" s="1"/>
      <c r="ZR81" s="1"/>
      <c r="ZS81" s="1"/>
      <c r="ZT81" s="1"/>
      <c r="ZU81" s="1"/>
      <c r="ZV81" s="1"/>
      <c r="ZW81" s="1"/>
      <c r="ZX81" s="1"/>
      <c r="ZY81" s="1"/>
      <c r="ZZ81" s="1"/>
      <c r="AAA81" s="1"/>
      <c r="AAB81" s="1"/>
      <c r="AAC81" s="1"/>
      <c r="AAD81" s="1"/>
      <c r="AAE81" s="1"/>
      <c r="AAF81" s="1"/>
      <c r="AAG81" s="1"/>
      <c r="AAH81" s="1"/>
      <c r="AAI81" s="1"/>
      <c r="AAJ81" s="1"/>
      <c r="AAK81" s="1"/>
      <c r="AAL81" s="1"/>
      <c r="AAM81" s="1"/>
      <c r="AAN81" s="1"/>
      <c r="AAO81" s="1"/>
      <c r="AAP81" s="1"/>
      <c r="AAQ81" s="1"/>
      <c r="AAR81" s="1"/>
      <c r="AAS81" s="1"/>
      <c r="AAT81" s="1"/>
      <c r="AAU81" s="1"/>
      <c r="AAV81" s="1"/>
      <c r="AAW81" s="1"/>
      <c r="AAX81" s="1"/>
      <c r="AAY81" s="1"/>
      <c r="AAZ81" s="1"/>
      <c r="ABA81" s="1"/>
      <c r="ABB81" s="1"/>
      <c r="ABC81" s="1"/>
      <c r="ABD81" s="1"/>
      <c r="ABE81" s="1"/>
      <c r="ABF81" s="1"/>
      <c r="ABG81" s="1"/>
      <c r="ABH81" s="1"/>
      <c r="ABI81" s="1"/>
      <c r="ABJ81" s="1"/>
      <c r="ABK81" s="1"/>
      <c r="ABL81" s="1"/>
      <c r="ABM81" s="1"/>
      <c r="ABN81" s="1"/>
      <c r="ABO81" s="1"/>
      <c r="ABP81" s="1"/>
      <c r="ABQ81" s="1"/>
      <c r="ABR81" s="1"/>
      <c r="ABS81" s="1"/>
      <c r="ABT81" s="1"/>
      <c r="ABU81" s="1"/>
      <c r="ABV81" s="1"/>
      <c r="ABW81" s="1"/>
      <c r="ABX81" s="1"/>
      <c r="ABY81" s="1"/>
      <c r="ABZ81" s="1"/>
      <c r="ACA81" s="1"/>
      <c r="ACB81" s="1"/>
      <c r="ACC81" s="1"/>
      <c r="ACD81" s="1"/>
      <c r="ACE81" s="1"/>
      <c r="ACF81" s="1"/>
      <c r="ACG81" s="1"/>
      <c r="ACH81" s="1"/>
      <c r="ACI81" s="1"/>
      <c r="ACJ81" s="1"/>
      <c r="ACK81" s="1"/>
      <c r="ACL81" s="1"/>
      <c r="ACM81" s="1"/>
      <c r="ACN81" s="1"/>
      <c r="ACO81" s="1"/>
      <c r="ACP81" s="1"/>
      <c r="ACQ81" s="1"/>
      <c r="ACR81" s="1"/>
      <c r="ACS81" s="1"/>
      <c r="ACT81" s="1"/>
      <c r="ACU81" s="1"/>
      <c r="ACV81" s="1"/>
      <c r="ACW81" s="1"/>
      <c r="ACX81" s="1"/>
      <c r="ACY81" s="1"/>
      <c r="ACZ81" s="1"/>
      <c r="ADA81" s="1"/>
      <c r="ADB81" s="1"/>
      <c r="ADC81" s="1"/>
      <c r="ADD81" s="1"/>
      <c r="ADE81" s="1"/>
      <c r="ADF81" s="1"/>
      <c r="ADG81" s="1"/>
      <c r="ADH81" s="1"/>
      <c r="ADI81" s="1"/>
      <c r="ADJ81" s="1"/>
      <c r="ADK81" s="1"/>
      <c r="ADL81" s="1"/>
      <c r="ADM81" s="1"/>
      <c r="ADN81" s="1"/>
      <c r="ADO81" s="1"/>
      <c r="ADP81" s="1"/>
      <c r="ADQ81" s="1"/>
      <c r="ADR81" s="1"/>
      <c r="ADS81" s="1"/>
      <c r="ADT81" s="1"/>
      <c r="ADU81" s="1"/>
      <c r="ADV81" s="1"/>
      <c r="ADW81" s="1"/>
      <c r="ADX81" s="1"/>
      <c r="ADY81" s="1"/>
      <c r="ADZ81" s="1"/>
      <c r="AEA81" s="1"/>
      <c r="AEB81" s="1"/>
      <c r="AEC81" s="1"/>
      <c r="AED81" s="1"/>
      <c r="AEE81" s="1"/>
      <c r="AEF81" s="1"/>
      <c r="AEG81" s="1"/>
      <c r="AEH81" s="1"/>
      <c r="AEI81" s="1"/>
      <c r="AEJ81" s="1"/>
      <c r="AEK81" s="1"/>
      <c r="AEL81" s="1"/>
      <c r="AEM81" s="1"/>
      <c r="AEN81" s="1"/>
      <c r="AEO81" s="1"/>
      <c r="AEP81" s="1"/>
      <c r="AEQ81" s="1"/>
      <c r="AER81" s="1"/>
      <c r="AES81" s="1"/>
      <c r="AET81" s="1"/>
      <c r="AEU81" s="1"/>
      <c r="AEV81" s="1"/>
      <c r="AEW81" s="1"/>
      <c r="AEX81" s="1"/>
      <c r="AEY81" s="1"/>
      <c r="AEZ81" s="1"/>
      <c r="AFA81" s="1"/>
      <c r="AFB81" s="1"/>
      <c r="AFC81" s="1"/>
      <c r="AFD81" s="1"/>
      <c r="AFE81" s="1"/>
      <c r="AFF81" s="1"/>
      <c r="AFG81" s="1"/>
      <c r="AFH81" s="1"/>
      <c r="AFI81" s="1"/>
      <c r="AFJ81" s="1"/>
      <c r="AFK81" s="1"/>
      <c r="AFL81" s="1"/>
      <c r="AFM81" s="1"/>
      <c r="AFN81" s="1"/>
      <c r="AFO81" s="1"/>
      <c r="AFP81" s="1"/>
      <c r="AFQ81" s="1"/>
      <c r="AFR81" s="1"/>
      <c r="AFS81" s="1"/>
      <c r="AFT81" s="1"/>
      <c r="AFU81" s="1"/>
      <c r="AFV81" s="1"/>
      <c r="AFW81" s="1"/>
      <c r="AFX81" s="1"/>
      <c r="AFY81" s="1"/>
      <c r="AFZ81" s="1"/>
      <c r="AGA81" s="1"/>
      <c r="AGB81" s="1"/>
      <c r="AGC81" s="1"/>
      <c r="AGD81" s="1"/>
      <c r="AGE81" s="1"/>
      <c r="AGF81" s="1"/>
      <c r="AGG81" s="1"/>
      <c r="AGH81" s="1"/>
      <c r="AGI81" s="1"/>
      <c r="AGJ81" s="1"/>
      <c r="AGK81" s="1"/>
      <c r="AGL81" s="1"/>
      <c r="AGM81" s="1"/>
      <c r="AGN81" s="1"/>
      <c r="AGO81" s="1"/>
      <c r="AGP81" s="1"/>
      <c r="AGQ81" s="1"/>
      <c r="AGR81" s="1"/>
      <c r="AGS81" s="1"/>
      <c r="AGT81" s="1"/>
      <c r="AGU81" s="1"/>
      <c r="AGV81" s="1"/>
      <c r="AGW81" s="1"/>
      <c r="AGX81" s="1"/>
      <c r="AGY81" s="1"/>
      <c r="AGZ81" s="1"/>
      <c r="AHA81" s="1"/>
      <c r="AHB81" s="1"/>
      <c r="AHC81" s="1"/>
      <c r="AHD81" s="1"/>
      <c r="AHE81" s="1"/>
      <c r="AHF81" s="1"/>
      <c r="AHG81" s="1"/>
      <c r="AHH81" s="1"/>
      <c r="AHI81" s="1"/>
      <c r="AHJ81" s="1"/>
      <c r="AHK81" s="1"/>
      <c r="AHL81" s="1"/>
      <c r="AHM81" s="1"/>
      <c r="AHN81" s="1"/>
      <c r="AHO81" s="1"/>
      <c r="AHP81" s="1"/>
      <c r="AHQ81" s="1"/>
      <c r="AHR81" s="1"/>
      <c r="AHS81" s="1"/>
      <c r="AHT81" s="1"/>
      <c r="AHU81" s="1"/>
      <c r="AHV81" s="1"/>
      <c r="AHW81" s="1"/>
      <c r="AHX81" s="1"/>
      <c r="AHY81" s="1"/>
      <c r="AHZ81" s="1"/>
      <c r="AIA81" s="1"/>
      <c r="AIB81" s="1"/>
      <c r="AIC81" s="1"/>
      <c r="AID81" s="1"/>
      <c r="AIE81" s="1"/>
      <c r="AIF81" s="1"/>
      <c r="AIG81" s="1"/>
      <c r="AIH81" s="1"/>
      <c r="AII81" s="1"/>
      <c r="AIJ81" s="1"/>
      <c r="AIK81" s="1"/>
      <c r="AIL81" s="1"/>
      <c r="AIM81" s="1"/>
      <c r="AIN81" s="1"/>
      <c r="AIO81" s="1"/>
      <c r="AIP81" s="1"/>
      <c r="AIQ81" s="1"/>
      <c r="AIR81" s="1"/>
      <c r="AIS81" s="1"/>
      <c r="AIT81" s="1"/>
      <c r="AIU81" s="1"/>
      <c r="AIV81" s="1"/>
      <c r="AIW81" s="1"/>
      <c r="AIX81" s="1"/>
      <c r="AIY81" s="1"/>
      <c r="AIZ81" s="1"/>
      <c r="AJA81" s="1"/>
      <c r="AJB81" s="1"/>
      <c r="AJC81" s="1"/>
      <c r="AJD81" s="1"/>
      <c r="AJE81" s="1"/>
      <c r="AJF81" s="1"/>
      <c r="AJG81" s="1"/>
      <c r="AJH81" s="1"/>
      <c r="AJI81" s="1"/>
      <c r="AJJ81" s="1"/>
      <c r="AJK81" s="1"/>
      <c r="AJL81" s="1"/>
      <c r="AJM81" s="1"/>
      <c r="AJN81" s="1"/>
      <c r="AJO81" s="1"/>
      <c r="AJP81" s="1"/>
      <c r="AJQ81" s="1"/>
      <c r="AJR81" s="1"/>
      <c r="AJS81" s="1"/>
      <c r="AJT81" s="1"/>
      <c r="AJU81" s="1"/>
      <c r="AJV81" s="1"/>
      <c r="AJW81" s="1"/>
      <c r="AJX81" s="1"/>
      <c r="AJY81" s="1"/>
      <c r="AJZ81" s="1"/>
      <c r="AKA81" s="1"/>
      <c r="AKB81" s="1"/>
      <c r="AKC81" s="1"/>
      <c r="AKD81" s="1"/>
      <c r="AKE81" s="1"/>
      <c r="AKF81" s="1"/>
      <c r="AKG81" s="1"/>
      <c r="AKH81" s="1"/>
      <c r="AKI81" s="1"/>
      <c r="AKJ81" s="1"/>
      <c r="AKK81" s="1"/>
      <c r="AKL81" s="1"/>
      <c r="AKM81" s="1"/>
      <c r="AKN81" s="1"/>
      <c r="AKO81" s="1"/>
      <c r="AKP81" s="1"/>
      <c r="AKQ81" s="1"/>
      <c r="AKR81" s="1"/>
      <c r="AKS81" s="1"/>
      <c r="AKT81" s="1"/>
      <c r="AKU81" s="1"/>
      <c r="AKV81" s="1"/>
      <c r="AKW81" s="1"/>
      <c r="AKX81" s="1"/>
      <c r="AKY81" s="1"/>
      <c r="AKZ81" s="1"/>
      <c r="ALA81" s="1"/>
      <c r="ALB81" s="1"/>
      <c r="ALC81" s="1"/>
      <c r="ALD81" s="1"/>
      <c r="ALE81" s="1"/>
      <c r="ALF81" s="1"/>
      <c r="ALG81" s="1"/>
      <c r="ALH81" s="1"/>
      <c r="ALI81" s="1"/>
      <c r="ALJ81" s="1"/>
      <c r="ALK81" s="1"/>
      <c r="ALL81" s="1"/>
      <c r="ALM81" s="1"/>
      <c r="ALN81" s="1"/>
      <c r="ALO81" s="1"/>
      <c r="ALP81" s="1"/>
      <c r="ALQ81" s="1"/>
      <c r="ALR81" s="1"/>
      <c r="ALS81" s="1"/>
      <c r="ALT81" s="1"/>
      <c r="ALU81" s="1"/>
      <c r="ALV81" s="1"/>
      <c r="ALW81" s="1"/>
      <c r="ALX81" s="1"/>
      <c r="ALY81" s="1"/>
      <c r="ALZ81" s="1"/>
      <c r="AMA81" s="1"/>
      <c r="AMB81" s="1"/>
      <c r="AMC81" s="1"/>
      <c r="AMD81" s="1"/>
      <c r="AME81" s="1"/>
      <c r="AMF81" s="1"/>
      <c r="AMG81" s="1"/>
      <c r="AMH81" s="1"/>
      <c r="AMI81" s="1"/>
      <c r="AMJ81" s="1"/>
      <c r="AMK81" s="1"/>
      <c r="AML81" s="1"/>
      <c r="AMM81" s="1"/>
      <c r="AMN81" s="1"/>
      <c r="AMO81" s="1"/>
    </row>
    <row r="82" spans="1:1029" x14ac:dyDescent="0.2">
      <c r="A82" s="3" t="str">
        <f t="shared" si="223"/>
        <v>adrb1_melga_2Y02</v>
      </c>
      <c r="B82" s="3" t="s">
        <v>912</v>
      </c>
      <c r="C82" s="3" t="s">
        <v>1024</v>
      </c>
      <c r="D82" s="3" t="str">
        <f>IFERROR(MID(VLOOKUP($B82,Seqs!$A:$B,2,0),E82,1),"")</f>
        <v>A</v>
      </c>
      <c r="E82" s="3">
        <v>33</v>
      </c>
      <c r="F82" s="3" t="str">
        <f>IFERROR(MID(VLOOKUP($B82,Seqs!$A:$B,2,0),G82,1),"")</f>
        <v>T</v>
      </c>
      <c r="G82" s="3">
        <v>69</v>
      </c>
      <c r="H82" s="3" t="str">
        <f>IFERROR(MID(VLOOKUP($B82,Seqs!$A:$B,2,0),I82,1),"")</f>
        <v>Q</v>
      </c>
      <c r="I82" s="23">
        <v>70</v>
      </c>
      <c r="J82" s="3" t="str">
        <f>IFERROR(MID(VLOOKUP($B82,Seqs!$A:$B,2,0),K82,1),"")</f>
        <v>Q</v>
      </c>
      <c r="K82" s="23">
        <v>73</v>
      </c>
      <c r="L82" s="3" t="str">
        <f>IFERROR(MID(VLOOKUP($B82,Seqs!$A:$B,2,0),M82,1),"")</f>
        <v>T</v>
      </c>
      <c r="M82" s="3">
        <v>74</v>
      </c>
      <c r="N82" s="3" t="str">
        <f>IFERROR(MID(VLOOKUP($B82,Seqs!$A:$B,2,0),O82,1),"")</f>
        <v>R</v>
      </c>
      <c r="O82" s="3">
        <v>104</v>
      </c>
      <c r="P82" s="3" t="str">
        <f>IFERROR(MID(VLOOKUP($B82,Seqs!$A:$B,2,0),Q82,1),"")</f>
        <v>T</v>
      </c>
      <c r="Q82" s="3">
        <v>106</v>
      </c>
      <c r="R82" s="3" t="str">
        <f>IFERROR(MID(VLOOKUP($B82,Seqs!$A:$B,2,0),S82,1),"")</f>
        <v>W</v>
      </c>
      <c r="S82" s="3">
        <v>109</v>
      </c>
      <c r="T82" s="3" t="str">
        <f>IFERROR(MID(VLOOKUP($B82,Seqs!$A:$B,2,0),U82,1),"")</f>
        <v>G</v>
      </c>
      <c r="U82" s="3">
        <v>110</v>
      </c>
      <c r="V82" s="3" t="str">
        <f>IFERROR(MID(VLOOKUP($B82,Seqs!$A:$B,2,0),W82,1),"")</f>
        <v>S</v>
      </c>
      <c r="W82" s="3">
        <v>145</v>
      </c>
      <c r="X82" s="3" t="str">
        <f>IFERROR(MID(VLOOKUP($B82,Seqs!$A:$B,2,0),Y82,1),"")</f>
        <v>P</v>
      </c>
      <c r="Y82" s="3">
        <v>146</v>
      </c>
      <c r="Z82" s="3" t="str">
        <f>IFERROR(MID(VLOOKUP($B82,Seqs!$A:$B,2,0),AA82,1),"")</f>
        <v>M</v>
      </c>
      <c r="AA82" s="3">
        <v>153</v>
      </c>
      <c r="AB82" s="3" t="str">
        <f>IFERROR(MID(VLOOKUP($B82,Seqs!$A:$B,2,0),AC82,1),"")</f>
        <v>T</v>
      </c>
      <c r="AC82" s="9">
        <v>154</v>
      </c>
      <c r="AD82" s="3" t="str">
        <f>IFERROR(MID(VLOOKUP($B82,Seqs!$A:$B,2,0),AE82,1),"")</f>
        <v>H</v>
      </c>
      <c r="AE82" s="3">
        <v>180</v>
      </c>
      <c r="AF82" s="3" t="str">
        <f>IFERROR(MID(VLOOKUP($B82,Seqs!$A:$B,2,0),AG82,1),"")</f>
        <v>C</v>
      </c>
      <c r="AG82" s="3">
        <v>199</v>
      </c>
      <c r="AH82" s="3" t="str">
        <f>IFERROR(MID(VLOOKUP($B82,Seqs!$A:$B,2,0),AI82,1),"")</f>
        <v>F</v>
      </c>
      <c r="AI82" s="3">
        <v>201</v>
      </c>
      <c r="AJ82" s="3" t="str">
        <f>IFERROR(MID(VLOOKUP($B82,Seqs!$A:$B,2,0),AK82,1),"")</f>
        <v>N</v>
      </c>
      <c r="AK82" s="3">
        <v>204</v>
      </c>
      <c r="AL82" s="3" t="str">
        <f>IFERROR(MID(VLOOKUP($B82,Seqs!$A:$B,2,0),AM82,1),"")</f>
        <v>I</v>
      </c>
      <c r="AM82" s="3">
        <v>238</v>
      </c>
      <c r="AN82" s="3" t="str">
        <f>IFERROR(MID(VLOOKUP($B82,Seqs!$A:$B,2,0),AO82,1),"")</f>
        <v>R</v>
      </c>
      <c r="AO82" s="3">
        <v>275</v>
      </c>
      <c r="AP82" s="3" t="str">
        <f>IFERROR(MID(VLOOKUP($B82,Seqs!$A:$B,2,0),AQ82,1),"")</f>
        <v>N</v>
      </c>
      <c r="AQ82" s="3">
        <v>316</v>
      </c>
      <c r="AR82" s="3" t="str">
        <f>IFERROR(MID(VLOOKUP($B82,Seqs!$A:$B,2,0),AS82,1),"")</f>
        <v>P</v>
      </c>
      <c r="AS82" s="3">
        <v>321</v>
      </c>
      <c r="AT82" s="3" t="str">
        <f>IFERROR(MID(VLOOKUP($B82,Seqs!$A:$B,2,0),AU82,1),"")</f>
        <v>R</v>
      </c>
      <c r="AU82" s="3">
        <v>345</v>
      </c>
      <c r="AV82" s="3" t="str">
        <f>IFERROR(MID(VLOOKUP($B82,Seqs!$A:$B,2,0),AW82,1),"")</f>
        <v>S</v>
      </c>
      <c r="AW82" s="3">
        <v>346</v>
      </c>
      <c r="AX82" s="3" t="str">
        <f>IFERROR(MID(VLOOKUP($B82,Seqs!$A:$B,2,0),AY82,1),"")</f>
        <v>C</v>
      </c>
      <c r="AY82" s="3">
        <v>358</v>
      </c>
      <c r="AZ82" s="77" t="str">
        <f>VLOOKUP(B82,Classification!A:D,2,0)</f>
        <v>A</v>
      </c>
      <c r="BA82" s="94" t="str">
        <f>VLOOKUP(B82,Classification!A:D,4,0)</f>
        <v>Adrenoceptors</v>
      </c>
      <c r="BB82" s="27" t="b">
        <f t="shared" si="224"/>
        <v>1</v>
      </c>
      <c r="BC82" s="23">
        <f t="shared" si="169"/>
        <v>265</v>
      </c>
      <c r="BD82" s="4" t="s">
        <v>23</v>
      </c>
      <c r="BE82" s="3" t="s">
        <v>1381</v>
      </c>
      <c r="BF82" s="119">
        <v>2.6</v>
      </c>
      <c r="BG82" s="49" t="s">
        <v>1384</v>
      </c>
      <c r="BH82" s="49" t="s">
        <v>1384</v>
      </c>
      <c r="BI82" s="1"/>
      <c r="BJ82" s="70" t="s">
        <v>1293</v>
      </c>
      <c r="BK82" s="57" t="s">
        <v>1293</v>
      </c>
      <c r="BL82" s="57" t="s">
        <v>1293</v>
      </c>
      <c r="BM82" s="57" t="s">
        <v>1293</v>
      </c>
      <c r="BN82" s="57" t="s">
        <v>1293</v>
      </c>
      <c r="BO82" s="57" t="s">
        <v>1293</v>
      </c>
      <c r="BP82" s="57" t="s">
        <v>1293</v>
      </c>
      <c r="BQ82" s="57" t="s">
        <v>1293</v>
      </c>
      <c r="BR82" s="57" t="s">
        <v>1293</v>
      </c>
      <c r="BS82" s="57" t="s">
        <v>1293</v>
      </c>
      <c r="BT82" s="57" t="s">
        <v>1293</v>
      </c>
      <c r="BU82" s="57" t="s">
        <v>1293</v>
      </c>
      <c r="BV82" s="70">
        <f t="shared" si="170"/>
        <v>33</v>
      </c>
      <c r="BW82" s="71">
        <f t="shared" si="171"/>
        <v>70</v>
      </c>
      <c r="BX82" s="72">
        <f t="shared" si="172"/>
        <v>74</v>
      </c>
      <c r="BY82" s="71">
        <f t="shared" si="173"/>
        <v>106</v>
      </c>
      <c r="BZ82" s="72">
        <f t="shared" si="174"/>
        <v>110</v>
      </c>
      <c r="CA82" s="71">
        <f t="shared" si="175"/>
        <v>146</v>
      </c>
      <c r="CB82" s="72">
        <f t="shared" si="176"/>
        <v>154</v>
      </c>
      <c r="CC82" s="71">
        <f t="shared" si="177"/>
        <v>199</v>
      </c>
      <c r="CD82" s="72">
        <f t="shared" si="178"/>
        <v>204</v>
      </c>
      <c r="CE82" s="71">
        <f t="shared" si="179"/>
        <v>275</v>
      </c>
      <c r="CF82" s="72">
        <f t="shared" si="180"/>
        <v>321</v>
      </c>
      <c r="CG82" s="71">
        <f t="shared" si="181"/>
        <v>346</v>
      </c>
      <c r="CH82" s="70">
        <f t="shared" si="182"/>
        <v>69</v>
      </c>
      <c r="CI82" s="71">
        <f t="shared" si="183"/>
        <v>73</v>
      </c>
      <c r="CJ82" s="72">
        <f t="shared" si="184"/>
        <v>104</v>
      </c>
      <c r="CK82" s="72">
        <f t="shared" si="185"/>
        <v>109</v>
      </c>
      <c r="CL82" s="72">
        <f t="shared" si="186"/>
        <v>145</v>
      </c>
      <c r="CM82" s="72">
        <f t="shared" si="187"/>
        <v>153</v>
      </c>
      <c r="CN82" s="72">
        <f t="shared" si="188"/>
        <v>180</v>
      </c>
      <c r="CO82" s="72">
        <f t="shared" si="189"/>
        <v>201</v>
      </c>
      <c r="CP82" s="72">
        <f t="shared" si="190"/>
        <v>238</v>
      </c>
      <c r="CQ82" s="72">
        <f t="shared" si="191"/>
        <v>316</v>
      </c>
      <c r="CR82" s="72">
        <f t="shared" si="192"/>
        <v>345</v>
      </c>
      <c r="CS82" s="72">
        <f t="shared" si="193"/>
        <v>358</v>
      </c>
      <c r="CT82" s="23">
        <f t="shared" si="194"/>
        <v>1</v>
      </c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/>
      <c r="OO82" s="1"/>
      <c r="OP82" s="1"/>
      <c r="OQ82" s="1"/>
      <c r="OR82" s="1"/>
      <c r="OS82" s="1"/>
      <c r="OT82" s="1"/>
      <c r="OU82" s="1"/>
      <c r="OV82" s="1"/>
      <c r="OW82" s="1"/>
      <c r="OX82" s="1"/>
      <c r="OY82" s="1"/>
      <c r="OZ82" s="1"/>
      <c r="PA82" s="1"/>
      <c r="PB82" s="1"/>
      <c r="PC82" s="1"/>
      <c r="PD82" s="1"/>
      <c r="PE82" s="1"/>
      <c r="PF82" s="1"/>
      <c r="PG82" s="1"/>
      <c r="PH82" s="1"/>
      <c r="PI82" s="1"/>
      <c r="PJ82" s="1"/>
      <c r="PK82" s="1"/>
      <c r="PL82" s="1"/>
      <c r="PM82" s="1"/>
      <c r="PN82" s="1"/>
      <c r="PO82" s="1"/>
      <c r="PP82" s="1"/>
      <c r="PQ82" s="1"/>
      <c r="PR82" s="1"/>
      <c r="PS82" s="1"/>
      <c r="PT82" s="1"/>
      <c r="PU82" s="1"/>
      <c r="PV82" s="1"/>
      <c r="PW82" s="1"/>
      <c r="PX82" s="1"/>
      <c r="PY82" s="1"/>
      <c r="PZ82" s="1"/>
      <c r="QA82" s="1"/>
      <c r="QB82" s="1"/>
      <c r="QC82" s="1"/>
      <c r="QD82" s="1"/>
      <c r="QE82" s="1"/>
      <c r="QF82" s="1"/>
      <c r="QG82" s="1"/>
      <c r="QH82" s="1"/>
      <c r="QI82" s="1"/>
      <c r="QJ82" s="1"/>
      <c r="QK82" s="1"/>
      <c r="QL82" s="1"/>
      <c r="QM82" s="1"/>
      <c r="QN82" s="1"/>
      <c r="QO82" s="1"/>
      <c r="QP82" s="1"/>
      <c r="QQ82" s="1"/>
      <c r="QR82" s="1"/>
      <c r="QS82" s="1"/>
      <c r="QT82" s="1"/>
      <c r="QU82" s="1"/>
      <c r="QV82" s="1"/>
      <c r="QW82" s="1"/>
      <c r="QX82" s="1"/>
      <c r="QY82" s="1"/>
      <c r="QZ82" s="1"/>
      <c r="RA82" s="1"/>
      <c r="RB82" s="1"/>
      <c r="RC82" s="1"/>
      <c r="RD82" s="1"/>
      <c r="RE82" s="1"/>
      <c r="RF82" s="1"/>
      <c r="RG82" s="1"/>
      <c r="RH82" s="1"/>
      <c r="RI82" s="1"/>
      <c r="RJ82" s="1"/>
      <c r="RK82" s="1"/>
      <c r="RL82" s="1"/>
      <c r="RM82" s="1"/>
      <c r="RN82" s="1"/>
      <c r="RO82" s="1"/>
      <c r="RP82" s="1"/>
      <c r="RQ82" s="1"/>
      <c r="RR82" s="1"/>
      <c r="RS82" s="1"/>
      <c r="RT82" s="1"/>
      <c r="RU82" s="1"/>
      <c r="RV82" s="1"/>
      <c r="RW82" s="1"/>
      <c r="RX82" s="1"/>
      <c r="RY82" s="1"/>
      <c r="RZ82" s="1"/>
      <c r="SA82" s="1"/>
      <c r="SB82" s="1"/>
      <c r="SC82" s="1"/>
      <c r="SD82" s="1"/>
      <c r="SE82" s="1"/>
      <c r="SF82" s="1"/>
      <c r="SG82" s="1"/>
      <c r="SH82" s="1"/>
      <c r="SI82" s="1"/>
      <c r="SJ82" s="1"/>
      <c r="SK82" s="1"/>
      <c r="SL82" s="1"/>
      <c r="SM82" s="1"/>
      <c r="SN82" s="1"/>
      <c r="SO82" s="1"/>
      <c r="SP82" s="1"/>
      <c r="SQ82" s="1"/>
      <c r="SR82" s="1"/>
      <c r="SS82" s="1"/>
      <c r="ST82" s="1"/>
      <c r="SU82" s="1"/>
      <c r="SV82" s="1"/>
      <c r="SW82" s="1"/>
      <c r="SX82" s="1"/>
      <c r="SY82" s="1"/>
      <c r="SZ82" s="1"/>
      <c r="TA82" s="1"/>
      <c r="TB82" s="1"/>
      <c r="TC82" s="1"/>
      <c r="TD82" s="1"/>
      <c r="TE82" s="1"/>
      <c r="TF82" s="1"/>
      <c r="TG82" s="1"/>
      <c r="TH82" s="1"/>
      <c r="TI82" s="1"/>
      <c r="TJ82" s="1"/>
      <c r="TK82" s="1"/>
      <c r="TL82" s="1"/>
      <c r="TM82" s="1"/>
      <c r="TN82" s="1"/>
      <c r="TO82" s="1"/>
      <c r="TP82" s="1"/>
      <c r="TQ82" s="1"/>
      <c r="TR82" s="1"/>
      <c r="TS82" s="1"/>
      <c r="TT82" s="1"/>
      <c r="TU82" s="1"/>
      <c r="TV82" s="1"/>
      <c r="TW82" s="1"/>
      <c r="TX82" s="1"/>
      <c r="TY82" s="1"/>
      <c r="TZ82" s="1"/>
      <c r="UA82" s="1"/>
      <c r="UB82" s="1"/>
      <c r="UC82" s="1"/>
      <c r="UD82" s="1"/>
      <c r="UE82" s="1"/>
      <c r="UF82" s="1"/>
      <c r="UG82" s="1"/>
      <c r="UH82" s="1"/>
      <c r="UI82" s="1"/>
      <c r="UJ82" s="1"/>
      <c r="UK82" s="1"/>
      <c r="UL82" s="1"/>
      <c r="UM82" s="1"/>
      <c r="UN82" s="1"/>
      <c r="UO82" s="1"/>
      <c r="UP82" s="1"/>
      <c r="UQ82" s="1"/>
      <c r="UR82" s="1"/>
      <c r="US82" s="1"/>
      <c r="UT82" s="1"/>
      <c r="UU82" s="1"/>
      <c r="UV82" s="1"/>
      <c r="UW82" s="1"/>
      <c r="UX82" s="1"/>
      <c r="UY82" s="1"/>
      <c r="UZ82" s="1"/>
      <c r="VA82" s="1"/>
      <c r="VB82" s="1"/>
      <c r="VC82" s="1"/>
      <c r="VD82" s="1"/>
      <c r="VE82" s="1"/>
      <c r="VF82" s="1"/>
      <c r="VG82" s="1"/>
      <c r="VH82" s="1"/>
      <c r="VI82" s="1"/>
      <c r="VJ82" s="1"/>
      <c r="VK82" s="1"/>
      <c r="VL82" s="1"/>
      <c r="VM82" s="1"/>
      <c r="VN82" s="1"/>
      <c r="VO82" s="1"/>
      <c r="VP82" s="1"/>
      <c r="VQ82" s="1"/>
      <c r="VR82" s="1"/>
      <c r="VS82" s="1"/>
      <c r="VT82" s="1"/>
      <c r="VU82" s="1"/>
      <c r="VV82" s="1"/>
      <c r="VW82" s="1"/>
      <c r="VX82" s="1"/>
      <c r="VY82" s="1"/>
      <c r="VZ82" s="1"/>
      <c r="WA82" s="1"/>
      <c r="WB82" s="1"/>
      <c r="WC82" s="1"/>
      <c r="WD82" s="1"/>
      <c r="WE82" s="1"/>
      <c r="WF82" s="1"/>
      <c r="WG82" s="1"/>
      <c r="WH82" s="1"/>
      <c r="WI82" s="1"/>
      <c r="WJ82" s="1"/>
      <c r="WK82" s="1"/>
      <c r="WL82" s="1"/>
      <c r="WM82" s="1"/>
      <c r="WN82" s="1"/>
      <c r="WO82" s="1"/>
      <c r="WP82" s="1"/>
      <c r="WQ82" s="1"/>
      <c r="WR82" s="1"/>
      <c r="WS82" s="1"/>
      <c r="WT82" s="1"/>
      <c r="WU82" s="1"/>
      <c r="WV82" s="1"/>
      <c r="WW82" s="1"/>
      <c r="WX82" s="1"/>
      <c r="WY82" s="1"/>
      <c r="WZ82" s="1"/>
      <c r="XA82" s="1"/>
      <c r="XB82" s="1"/>
      <c r="XC82" s="1"/>
      <c r="XD82" s="1"/>
      <c r="XE82" s="1"/>
      <c r="XF82" s="1"/>
      <c r="XG82" s="1"/>
      <c r="XH82" s="1"/>
      <c r="XI82" s="1"/>
      <c r="XJ82" s="1"/>
      <c r="XK82" s="1"/>
      <c r="XL82" s="1"/>
      <c r="XM82" s="1"/>
      <c r="XN82" s="1"/>
      <c r="XO82" s="1"/>
      <c r="XP82" s="1"/>
      <c r="XQ82" s="1"/>
      <c r="XR82" s="1"/>
      <c r="XS82" s="1"/>
      <c r="XT82" s="1"/>
      <c r="XU82" s="1"/>
      <c r="XV82" s="1"/>
      <c r="XW82" s="1"/>
      <c r="XX82" s="1"/>
      <c r="XY82" s="1"/>
      <c r="XZ82" s="1"/>
      <c r="YA82" s="1"/>
      <c r="YB82" s="1"/>
      <c r="YC82" s="1"/>
      <c r="YD82" s="1"/>
      <c r="YE82" s="1"/>
      <c r="YF82" s="1"/>
      <c r="YG82" s="1"/>
      <c r="YH82" s="1"/>
      <c r="YI82" s="1"/>
      <c r="YJ82" s="1"/>
      <c r="YK82" s="1"/>
      <c r="YL82" s="1"/>
      <c r="YM82" s="1"/>
      <c r="YN82" s="1"/>
      <c r="YO82" s="1"/>
      <c r="YP82" s="1"/>
      <c r="YQ82" s="1"/>
      <c r="YR82" s="1"/>
      <c r="YS82" s="1"/>
      <c r="YT82" s="1"/>
      <c r="YU82" s="1"/>
      <c r="YV82" s="1"/>
      <c r="YW82" s="1"/>
      <c r="YX82" s="1"/>
      <c r="YY82" s="1"/>
      <c r="YZ82" s="1"/>
      <c r="ZA82" s="1"/>
      <c r="ZB82" s="1"/>
      <c r="ZC82" s="1"/>
      <c r="ZD82" s="1"/>
      <c r="ZE82" s="1"/>
      <c r="ZF82" s="1"/>
      <c r="ZG82" s="1"/>
      <c r="ZH82" s="1"/>
      <c r="ZI82" s="1"/>
      <c r="ZJ82" s="1"/>
      <c r="ZK82" s="1"/>
      <c r="ZL82" s="1"/>
      <c r="ZM82" s="1"/>
      <c r="ZN82" s="1"/>
      <c r="ZO82" s="1"/>
      <c r="ZP82" s="1"/>
      <c r="ZQ82" s="1"/>
      <c r="ZR82" s="1"/>
      <c r="ZS82" s="1"/>
      <c r="ZT82" s="1"/>
      <c r="ZU82" s="1"/>
      <c r="ZV82" s="1"/>
      <c r="ZW82" s="1"/>
      <c r="ZX82" s="1"/>
      <c r="ZY82" s="1"/>
      <c r="ZZ82" s="1"/>
      <c r="AAA82" s="1"/>
      <c r="AAB82" s="1"/>
      <c r="AAC82" s="1"/>
      <c r="AAD82" s="1"/>
      <c r="AAE82" s="1"/>
      <c r="AAF82" s="1"/>
      <c r="AAG82" s="1"/>
      <c r="AAH82" s="1"/>
      <c r="AAI82" s="1"/>
      <c r="AAJ82" s="1"/>
      <c r="AAK82" s="1"/>
      <c r="AAL82" s="1"/>
      <c r="AAM82" s="1"/>
      <c r="AAN82" s="1"/>
      <c r="AAO82" s="1"/>
      <c r="AAP82" s="1"/>
      <c r="AAQ82" s="1"/>
      <c r="AAR82" s="1"/>
      <c r="AAS82" s="1"/>
      <c r="AAT82" s="1"/>
      <c r="AAU82" s="1"/>
      <c r="AAV82" s="1"/>
      <c r="AAW82" s="1"/>
      <c r="AAX82" s="1"/>
      <c r="AAY82" s="1"/>
      <c r="AAZ82" s="1"/>
      <c r="ABA82" s="1"/>
      <c r="ABB82" s="1"/>
      <c r="ABC82" s="1"/>
      <c r="ABD82" s="1"/>
      <c r="ABE82" s="1"/>
      <c r="ABF82" s="1"/>
      <c r="ABG82" s="1"/>
      <c r="ABH82" s="1"/>
      <c r="ABI82" s="1"/>
      <c r="ABJ82" s="1"/>
      <c r="ABK82" s="1"/>
      <c r="ABL82" s="1"/>
      <c r="ABM82" s="1"/>
      <c r="ABN82" s="1"/>
      <c r="ABO82" s="1"/>
      <c r="ABP82" s="1"/>
      <c r="ABQ82" s="1"/>
      <c r="ABR82" s="1"/>
      <c r="ABS82" s="1"/>
      <c r="ABT82" s="1"/>
      <c r="ABU82" s="1"/>
      <c r="ABV82" s="1"/>
      <c r="ABW82" s="1"/>
      <c r="ABX82" s="1"/>
      <c r="ABY82" s="1"/>
      <c r="ABZ82" s="1"/>
      <c r="ACA82" s="1"/>
      <c r="ACB82" s="1"/>
      <c r="ACC82" s="1"/>
      <c r="ACD82" s="1"/>
      <c r="ACE82" s="1"/>
      <c r="ACF82" s="1"/>
      <c r="ACG82" s="1"/>
      <c r="ACH82" s="1"/>
      <c r="ACI82" s="1"/>
      <c r="ACJ82" s="1"/>
      <c r="ACK82" s="1"/>
      <c r="ACL82" s="1"/>
      <c r="ACM82" s="1"/>
      <c r="ACN82" s="1"/>
      <c r="ACO82" s="1"/>
      <c r="ACP82" s="1"/>
      <c r="ACQ82" s="1"/>
      <c r="ACR82" s="1"/>
      <c r="ACS82" s="1"/>
      <c r="ACT82" s="1"/>
      <c r="ACU82" s="1"/>
      <c r="ACV82" s="1"/>
      <c r="ACW82" s="1"/>
      <c r="ACX82" s="1"/>
      <c r="ACY82" s="1"/>
      <c r="ACZ82" s="1"/>
      <c r="ADA82" s="1"/>
      <c r="ADB82" s="1"/>
      <c r="ADC82" s="1"/>
      <c r="ADD82" s="1"/>
      <c r="ADE82" s="1"/>
      <c r="ADF82" s="1"/>
      <c r="ADG82" s="1"/>
      <c r="ADH82" s="1"/>
      <c r="ADI82" s="1"/>
      <c r="ADJ82" s="1"/>
      <c r="ADK82" s="1"/>
      <c r="ADL82" s="1"/>
      <c r="ADM82" s="1"/>
      <c r="ADN82" s="1"/>
      <c r="ADO82" s="1"/>
      <c r="ADP82" s="1"/>
      <c r="ADQ82" s="1"/>
      <c r="ADR82" s="1"/>
      <c r="ADS82" s="1"/>
      <c r="ADT82" s="1"/>
      <c r="ADU82" s="1"/>
      <c r="ADV82" s="1"/>
      <c r="ADW82" s="1"/>
      <c r="ADX82" s="1"/>
      <c r="ADY82" s="1"/>
      <c r="ADZ82" s="1"/>
      <c r="AEA82" s="1"/>
      <c r="AEB82" s="1"/>
      <c r="AEC82" s="1"/>
      <c r="AED82" s="1"/>
      <c r="AEE82" s="1"/>
      <c r="AEF82" s="1"/>
      <c r="AEG82" s="1"/>
      <c r="AEH82" s="1"/>
      <c r="AEI82" s="1"/>
      <c r="AEJ82" s="1"/>
      <c r="AEK82" s="1"/>
      <c r="AEL82" s="1"/>
      <c r="AEM82" s="1"/>
      <c r="AEN82" s="1"/>
      <c r="AEO82" s="1"/>
      <c r="AEP82" s="1"/>
      <c r="AEQ82" s="1"/>
      <c r="AER82" s="1"/>
      <c r="AES82" s="1"/>
      <c r="AET82" s="1"/>
      <c r="AEU82" s="1"/>
      <c r="AEV82" s="1"/>
      <c r="AEW82" s="1"/>
      <c r="AEX82" s="1"/>
      <c r="AEY82" s="1"/>
      <c r="AEZ82" s="1"/>
      <c r="AFA82" s="1"/>
      <c r="AFB82" s="1"/>
      <c r="AFC82" s="1"/>
      <c r="AFD82" s="1"/>
      <c r="AFE82" s="1"/>
      <c r="AFF82" s="1"/>
      <c r="AFG82" s="1"/>
      <c r="AFH82" s="1"/>
      <c r="AFI82" s="1"/>
      <c r="AFJ82" s="1"/>
      <c r="AFK82" s="1"/>
      <c r="AFL82" s="1"/>
      <c r="AFM82" s="1"/>
      <c r="AFN82" s="1"/>
      <c r="AFO82" s="1"/>
      <c r="AFP82" s="1"/>
      <c r="AFQ82" s="1"/>
      <c r="AFR82" s="1"/>
      <c r="AFS82" s="1"/>
      <c r="AFT82" s="1"/>
      <c r="AFU82" s="1"/>
      <c r="AFV82" s="1"/>
      <c r="AFW82" s="1"/>
      <c r="AFX82" s="1"/>
      <c r="AFY82" s="1"/>
      <c r="AFZ82" s="1"/>
      <c r="AGA82" s="1"/>
      <c r="AGB82" s="1"/>
      <c r="AGC82" s="1"/>
      <c r="AGD82" s="1"/>
      <c r="AGE82" s="1"/>
      <c r="AGF82" s="1"/>
      <c r="AGG82" s="1"/>
      <c r="AGH82" s="1"/>
      <c r="AGI82" s="1"/>
      <c r="AGJ82" s="1"/>
      <c r="AGK82" s="1"/>
      <c r="AGL82" s="1"/>
      <c r="AGM82" s="1"/>
      <c r="AGN82" s="1"/>
      <c r="AGO82" s="1"/>
      <c r="AGP82" s="1"/>
      <c r="AGQ82" s="1"/>
      <c r="AGR82" s="1"/>
      <c r="AGS82" s="1"/>
      <c r="AGT82" s="1"/>
      <c r="AGU82" s="1"/>
      <c r="AGV82" s="1"/>
      <c r="AGW82" s="1"/>
      <c r="AGX82" s="1"/>
      <c r="AGY82" s="1"/>
      <c r="AGZ82" s="1"/>
      <c r="AHA82" s="1"/>
      <c r="AHB82" s="1"/>
      <c r="AHC82" s="1"/>
      <c r="AHD82" s="1"/>
      <c r="AHE82" s="1"/>
      <c r="AHF82" s="1"/>
      <c r="AHG82" s="1"/>
      <c r="AHH82" s="1"/>
      <c r="AHI82" s="1"/>
      <c r="AHJ82" s="1"/>
      <c r="AHK82" s="1"/>
      <c r="AHL82" s="1"/>
      <c r="AHM82" s="1"/>
      <c r="AHN82" s="1"/>
      <c r="AHO82" s="1"/>
      <c r="AHP82" s="1"/>
      <c r="AHQ82" s="1"/>
      <c r="AHR82" s="1"/>
      <c r="AHS82" s="1"/>
      <c r="AHT82" s="1"/>
      <c r="AHU82" s="1"/>
      <c r="AHV82" s="1"/>
      <c r="AHW82" s="1"/>
      <c r="AHX82" s="1"/>
      <c r="AHY82" s="1"/>
      <c r="AHZ82" s="1"/>
      <c r="AIA82" s="1"/>
      <c r="AIB82" s="1"/>
      <c r="AIC82" s="1"/>
      <c r="AID82" s="1"/>
      <c r="AIE82" s="1"/>
      <c r="AIF82" s="1"/>
      <c r="AIG82" s="1"/>
      <c r="AIH82" s="1"/>
      <c r="AII82" s="1"/>
      <c r="AIJ82" s="1"/>
      <c r="AIK82" s="1"/>
      <c r="AIL82" s="1"/>
      <c r="AIM82" s="1"/>
      <c r="AIN82" s="1"/>
      <c r="AIO82" s="1"/>
      <c r="AIP82" s="1"/>
      <c r="AIQ82" s="1"/>
      <c r="AIR82" s="1"/>
      <c r="AIS82" s="1"/>
      <c r="AIT82" s="1"/>
      <c r="AIU82" s="1"/>
      <c r="AIV82" s="1"/>
      <c r="AIW82" s="1"/>
      <c r="AIX82" s="1"/>
      <c r="AIY82" s="1"/>
      <c r="AIZ82" s="1"/>
      <c r="AJA82" s="1"/>
      <c r="AJB82" s="1"/>
      <c r="AJC82" s="1"/>
      <c r="AJD82" s="1"/>
      <c r="AJE82" s="1"/>
      <c r="AJF82" s="1"/>
      <c r="AJG82" s="1"/>
      <c r="AJH82" s="1"/>
      <c r="AJI82" s="1"/>
      <c r="AJJ82" s="1"/>
      <c r="AJK82" s="1"/>
      <c r="AJL82" s="1"/>
      <c r="AJM82" s="1"/>
      <c r="AJN82" s="1"/>
      <c r="AJO82" s="1"/>
      <c r="AJP82" s="1"/>
      <c r="AJQ82" s="1"/>
      <c r="AJR82" s="1"/>
      <c r="AJS82" s="1"/>
      <c r="AJT82" s="1"/>
      <c r="AJU82" s="1"/>
      <c r="AJV82" s="1"/>
      <c r="AJW82" s="1"/>
      <c r="AJX82" s="1"/>
      <c r="AJY82" s="1"/>
      <c r="AJZ82" s="1"/>
      <c r="AKA82" s="1"/>
      <c r="AKB82" s="1"/>
      <c r="AKC82" s="1"/>
      <c r="AKD82" s="1"/>
      <c r="AKE82" s="1"/>
      <c r="AKF82" s="1"/>
      <c r="AKG82" s="1"/>
      <c r="AKH82" s="1"/>
      <c r="AKI82" s="1"/>
      <c r="AKJ82" s="1"/>
      <c r="AKK82" s="1"/>
      <c r="AKL82" s="1"/>
      <c r="AKM82" s="1"/>
      <c r="AKN82" s="1"/>
      <c r="AKO82" s="1"/>
      <c r="AKP82" s="1"/>
      <c r="AKQ82" s="1"/>
      <c r="AKR82" s="1"/>
      <c r="AKS82" s="1"/>
      <c r="AKT82" s="1"/>
      <c r="AKU82" s="1"/>
      <c r="AKV82" s="1"/>
      <c r="AKW82" s="1"/>
      <c r="AKX82" s="1"/>
      <c r="AKY82" s="1"/>
      <c r="AKZ82" s="1"/>
      <c r="ALA82" s="1"/>
      <c r="ALB82" s="1"/>
      <c r="ALC82" s="1"/>
      <c r="ALD82" s="1"/>
      <c r="ALE82" s="1"/>
      <c r="ALF82" s="1"/>
      <c r="ALG82" s="1"/>
      <c r="ALH82" s="1"/>
      <c r="ALI82" s="1"/>
      <c r="ALJ82" s="1"/>
      <c r="ALK82" s="1"/>
      <c r="ALL82" s="1"/>
      <c r="ALM82" s="1"/>
      <c r="ALN82" s="1"/>
      <c r="ALO82" s="1"/>
      <c r="ALP82" s="1"/>
      <c r="ALQ82" s="1"/>
      <c r="ALR82" s="1"/>
      <c r="ALS82" s="1"/>
      <c r="ALT82" s="1"/>
      <c r="ALU82" s="1"/>
      <c r="ALV82" s="1"/>
      <c r="ALW82" s="1"/>
      <c r="ALX82" s="1"/>
      <c r="ALY82" s="1"/>
      <c r="ALZ82" s="1"/>
      <c r="AMA82" s="1"/>
      <c r="AMB82" s="1"/>
      <c r="AMC82" s="1"/>
      <c r="AMD82" s="1"/>
      <c r="AME82" s="1"/>
      <c r="AMF82" s="1"/>
      <c r="AMG82" s="1"/>
      <c r="AMH82" s="1"/>
      <c r="AMI82" s="1"/>
      <c r="AMJ82" s="1"/>
      <c r="AMK82" s="1"/>
      <c r="AML82" s="1"/>
      <c r="AMM82" s="1"/>
      <c r="AMN82" s="1"/>
      <c r="AMO82" s="1"/>
    </row>
    <row r="83" spans="1:1029" x14ac:dyDescent="0.2">
      <c r="A83" s="3" t="str">
        <f t="shared" si="223"/>
        <v>adrb1_melga_2Y03</v>
      </c>
      <c r="B83" s="3" t="s">
        <v>912</v>
      </c>
      <c r="C83" s="3" t="s">
        <v>1025</v>
      </c>
      <c r="D83" s="3" t="str">
        <f>IFERROR(MID(VLOOKUP($B83,Seqs!$A:$B,2,0),E83,1),"")</f>
        <v>A</v>
      </c>
      <c r="E83" s="3">
        <v>33</v>
      </c>
      <c r="F83" s="3" t="str">
        <f>IFERROR(MID(VLOOKUP($B83,Seqs!$A:$B,2,0),G83,1),"")</f>
        <v>T</v>
      </c>
      <c r="G83" s="3">
        <v>69</v>
      </c>
      <c r="H83" s="3" t="str">
        <f>IFERROR(MID(VLOOKUP($B83,Seqs!$A:$B,2,0),I83,1),"")</f>
        <v>Q</v>
      </c>
      <c r="I83" s="23">
        <v>70</v>
      </c>
      <c r="J83" s="3" t="str">
        <f>IFERROR(MID(VLOOKUP($B83,Seqs!$A:$B,2,0),K83,1),"")</f>
        <v>Q</v>
      </c>
      <c r="K83" s="23">
        <v>73</v>
      </c>
      <c r="L83" s="3" t="str">
        <f>IFERROR(MID(VLOOKUP($B83,Seqs!$A:$B,2,0),M83,1),"")</f>
        <v>T</v>
      </c>
      <c r="M83" s="3">
        <v>74</v>
      </c>
      <c r="N83" s="3" t="str">
        <f>IFERROR(MID(VLOOKUP($B83,Seqs!$A:$B,2,0),O83,1),"")</f>
        <v>R</v>
      </c>
      <c r="O83" s="3">
        <v>104</v>
      </c>
      <c r="P83" s="3" t="str">
        <f>IFERROR(MID(VLOOKUP($B83,Seqs!$A:$B,2,0),Q83,1),"")</f>
        <v>T</v>
      </c>
      <c r="Q83" s="3">
        <v>106</v>
      </c>
      <c r="R83" s="3" t="str">
        <f>IFERROR(MID(VLOOKUP($B83,Seqs!$A:$B,2,0),S83,1),"")</f>
        <v>W</v>
      </c>
      <c r="S83" s="3">
        <v>109</v>
      </c>
      <c r="T83" s="3" t="str">
        <f>IFERROR(MID(VLOOKUP($B83,Seqs!$A:$B,2,0),U83,1),"")</f>
        <v>G</v>
      </c>
      <c r="U83" s="3">
        <v>110</v>
      </c>
      <c r="V83" s="3" t="str">
        <f>IFERROR(MID(VLOOKUP($B83,Seqs!$A:$B,2,0),W83,1),"")</f>
        <v>S</v>
      </c>
      <c r="W83" s="3">
        <v>145</v>
      </c>
      <c r="X83" s="3" t="str">
        <f>IFERROR(MID(VLOOKUP($B83,Seqs!$A:$B,2,0),Y83,1),"")</f>
        <v>P</v>
      </c>
      <c r="Y83" s="3">
        <v>146</v>
      </c>
      <c r="Z83" s="3" t="str">
        <f>IFERROR(MID(VLOOKUP($B83,Seqs!$A:$B,2,0),AA83,1),"")</f>
        <v>M</v>
      </c>
      <c r="AA83" s="3">
        <v>153</v>
      </c>
      <c r="AB83" s="3" t="str">
        <f>IFERROR(MID(VLOOKUP($B83,Seqs!$A:$B,2,0),AC83,1),"")</f>
        <v>T</v>
      </c>
      <c r="AC83" s="9">
        <v>154</v>
      </c>
      <c r="AD83" s="3" t="str">
        <f>IFERROR(MID(VLOOKUP($B83,Seqs!$A:$B,2,0),AE83,1),"")</f>
        <v>H</v>
      </c>
      <c r="AE83" s="3">
        <v>180</v>
      </c>
      <c r="AF83" s="3" t="str">
        <f>IFERROR(MID(VLOOKUP($B83,Seqs!$A:$B,2,0),AG83,1),"")</f>
        <v>C</v>
      </c>
      <c r="AG83" s="3">
        <v>199</v>
      </c>
      <c r="AH83" s="3" t="str">
        <f>IFERROR(MID(VLOOKUP($B83,Seqs!$A:$B,2,0),AI83,1),"")</f>
        <v>F</v>
      </c>
      <c r="AI83" s="3">
        <v>201</v>
      </c>
      <c r="AJ83" s="3" t="str">
        <f>IFERROR(MID(VLOOKUP($B83,Seqs!$A:$B,2,0),AK83,1),"")</f>
        <v>N</v>
      </c>
      <c r="AK83" s="3">
        <v>204</v>
      </c>
      <c r="AL83" s="3" t="str">
        <f>IFERROR(MID(VLOOKUP($B83,Seqs!$A:$B,2,0),AM83,1),"")</f>
        <v>I</v>
      </c>
      <c r="AM83" s="3">
        <v>238</v>
      </c>
      <c r="AN83" s="3" t="str">
        <f>IFERROR(MID(VLOOKUP($B83,Seqs!$A:$B,2,0),AO83,1),"")</f>
        <v>R</v>
      </c>
      <c r="AO83" s="3">
        <v>275</v>
      </c>
      <c r="AP83" s="3" t="str">
        <f>IFERROR(MID(VLOOKUP($B83,Seqs!$A:$B,2,0),AQ83,1),"")</f>
        <v>N</v>
      </c>
      <c r="AQ83" s="3">
        <v>316</v>
      </c>
      <c r="AR83" s="3" t="str">
        <f>IFERROR(MID(VLOOKUP($B83,Seqs!$A:$B,2,0),AS83,1),"")</f>
        <v>P</v>
      </c>
      <c r="AS83" s="3">
        <v>321</v>
      </c>
      <c r="AT83" s="3" t="str">
        <f>IFERROR(MID(VLOOKUP($B83,Seqs!$A:$B,2,0),AU83,1),"")</f>
        <v>R</v>
      </c>
      <c r="AU83" s="3">
        <v>345</v>
      </c>
      <c r="AV83" s="3" t="str">
        <f>IFERROR(MID(VLOOKUP($B83,Seqs!$A:$B,2,0),AW83,1),"")</f>
        <v>S</v>
      </c>
      <c r="AW83" s="3">
        <v>346</v>
      </c>
      <c r="AX83" s="3" t="str">
        <f>IFERROR(MID(VLOOKUP($B83,Seqs!$A:$B,2,0),AY83,1),"")</f>
        <v>C</v>
      </c>
      <c r="AY83" s="3">
        <v>358</v>
      </c>
      <c r="AZ83" s="77" t="str">
        <f>VLOOKUP(B83,Classification!A:D,2,0)</f>
        <v>A</v>
      </c>
      <c r="BA83" s="94" t="str">
        <f>VLOOKUP(B83,Classification!A:D,4,0)</f>
        <v>Adrenoceptors</v>
      </c>
      <c r="BB83" s="27" t="b">
        <f t="shared" si="224"/>
        <v>1</v>
      </c>
      <c r="BC83" s="23">
        <f t="shared" si="169"/>
        <v>265</v>
      </c>
      <c r="BD83" s="4" t="s">
        <v>23</v>
      </c>
      <c r="BE83" s="3" t="s">
        <v>1381</v>
      </c>
      <c r="BF83" s="119">
        <v>2.85</v>
      </c>
      <c r="BG83" s="49" t="s">
        <v>1384</v>
      </c>
      <c r="BH83" s="49" t="s">
        <v>1384</v>
      </c>
      <c r="BI83" s="1"/>
      <c r="BJ83" s="70" t="s">
        <v>1293</v>
      </c>
      <c r="BK83" s="57" t="s">
        <v>1293</v>
      </c>
      <c r="BL83" s="57" t="s">
        <v>1293</v>
      </c>
      <c r="BM83" s="57" t="s">
        <v>1293</v>
      </c>
      <c r="BN83" s="57" t="s">
        <v>1293</v>
      </c>
      <c r="BO83" s="57" t="s">
        <v>1293</v>
      </c>
      <c r="BP83" s="57" t="s">
        <v>1293</v>
      </c>
      <c r="BQ83" s="57" t="s">
        <v>1293</v>
      </c>
      <c r="BR83" s="57" t="s">
        <v>1293</v>
      </c>
      <c r="BS83" s="57" t="s">
        <v>1293</v>
      </c>
      <c r="BT83" s="57" t="s">
        <v>1293</v>
      </c>
      <c r="BU83" s="57" t="s">
        <v>1293</v>
      </c>
      <c r="BV83" s="70">
        <f t="shared" si="170"/>
        <v>33</v>
      </c>
      <c r="BW83" s="71">
        <f t="shared" si="171"/>
        <v>70</v>
      </c>
      <c r="BX83" s="72">
        <f t="shared" si="172"/>
        <v>74</v>
      </c>
      <c r="BY83" s="71">
        <f t="shared" si="173"/>
        <v>106</v>
      </c>
      <c r="BZ83" s="72">
        <f t="shared" si="174"/>
        <v>110</v>
      </c>
      <c r="CA83" s="71">
        <f t="shared" si="175"/>
        <v>146</v>
      </c>
      <c r="CB83" s="72">
        <f t="shared" si="176"/>
        <v>154</v>
      </c>
      <c r="CC83" s="71">
        <f t="shared" si="177"/>
        <v>199</v>
      </c>
      <c r="CD83" s="72">
        <f t="shared" si="178"/>
        <v>204</v>
      </c>
      <c r="CE83" s="71">
        <f t="shared" si="179"/>
        <v>275</v>
      </c>
      <c r="CF83" s="72">
        <f t="shared" si="180"/>
        <v>321</v>
      </c>
      <c r="CG83" s="71">
        <f t="shared" si="181"/>
        <v>346</v>
      </c>
      <c r="CH83" s="70">
        <f t="shared" si="182"/>
        <v>69</v>
      </c>
      <c r="CI83" s="71">
        <f t="shared" si="183"/>
        <v>73</v>
      </c>
      <c r="CJ83" s="72">
        <f t="shared" si="184"/>
        <v>104</v>
      </c>
      <c r="CK83" s="72">
        <f t="shared" si="185"/>
        <v>109</v>
      </c>
      <c r="CL83" s="72">
        <f t="shared" si="186"/>
        <v>145</v>
      </c>
      <c r="CM83" s="72">
        <f t="shared" si="187"/>
        <v>153</v>
      </c>
      <c r="CN83" s="72">
        <f t="shared" si="188"/>
        <v>180</v>
      </c>
      <c r="CO83" s="72">
        <f t="shared" si="189"/>
        <v>201</v>
      </c>
      <c r="CP83" s="72">
        <f t="shared" si="190"/>
        <v>238</v>
      </c>
      <c r="CQ83" s="72">
        <f t="shared" si="191"/>
        <v>316</v>
      </c>
      <c r="CR83" s="72">
        <f t="shared" si="192"/>
        <v>345</v>
      </c>
      <c r="CS83" s="72">
        <f t="shared" si="193"/>
        <v>358</v>
      </c>
      <c r="CT83" s="23">
        <f t="shared" si="194"/>
        <v>1</v>
      </c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  <c r="OK83" s="1"/>
      <c r="OL83" s="1"/>
      <c r="OM83" s="1"/>
      <c r="ON83" s="1"/>
      <c r="OO83" s="1"/>
      <c r="OP83" s="1"/>
      <c r="OQ83" s="1"/>
      <c r="OR83" s="1"/>
      <c r="OS83" s="1"/>
      <c r="OT83" s="1"/>
      <c r="OU83" s="1"/>
      <c r="OV83" s="1"/>
      <c r="OW83" s="1"/>
      <c r="OX83" s="1"/>
      <c r="OY83" s="1"/>
      <c r="OZ83" s="1"/>
      <c r="PA83" s="1"/>
      <c r="PB83" s="1"/>
      <c r="PC83" s="1"/>
      <c r="PD83" s="1"/>
      <c r="PE83" s="1"/>
      <c r="PF83" s="1"/>
      <c r="PG83" s="1"/>
      <c r="PH83" s="1"/>
      <c r="PI83" s="1"/>
      <c r="PJ83" s="1"/>
      <c r="PK83" s="1"/>
      <c r="PL83" s="1"/>
      <c r="PM83" s="1"/>
      <c r="PN83" s="1"/>
      <c r="PO83" s="1"/>
      <c r="PP83" s="1"/>
      <c r="PQ83" s="1"/>
      <c r="PR83" s="1"/>
      <c r="PS83" s="1"/>
      <c r="PT83" s="1"/>
      <c r="PU83" s="1"/>
      <c r="PV83" s="1"/>
      <c r="PW83" s="1"/>
      <c r="PX83" s="1"/>
      <c r="PY83" s="1"/>
      <c r="PZ83" s="1"/>
      <c r="QA83" s="1"/>
      <c r="QB83" s="1"/>
      <c r="QC83" s="1"/>
      <c r="QD83" s="1"/>
      <c r="QE83" s="1"/>
      <c r="QF83" s="1"/>
      <c r="QG83" s="1"/>
      <c r="QH83" s="1"/>
      <c r="QI83" s="1"/>
      <c r="QJ83" s="1"/>
      <c r="QK83" s="1"/>
      <c r="QL83" s="1"/>
      <c r="QM83" s="1"/>
      <c r="QN83" s="1"/>
      <c r="QO83" s="1"/>
      <c r="QP83" s="1"/>
      <c r="QQ83" s="1"/>
      <c r="QR83" s="1"/>
      <c r="QS83" s="1"/>
      <c r="QT83" s="1"/>
      <c r="QU83" s="1"/>
      <c r="QV83" s="1"/>
      <c r="QW83" s="1"/>
      <c r="QX83" s="1"/>
      <c r="QY83" s="1"/>
      <c r="QZ83" s="1"/>
      <c r="RA83" s="1"/>
      <c r="RB83" s="1"/>
      <c r="RC83" s="1"/>
      <c r="RD83" s="1"/>
      <c r="RE83" s="1"/>
      <c r="RF83" s="1"/>
      <c r="RG83" s="1"/>
      <c r="RH83" s="1"/>
      <c r="RI83" s="1"/>
      <c r="RJ83" s="1"/>
      <c r="RK83" s="1"/>
      <c r="RL83" s="1"/>
      <c r="RM83" s="1"/>
      <c r="RN83" s="1"/>
      <c r="RO83" s="1"/>
      <c r="RP83" s="1"/>
      <c r="RQ83" s="1"/>
      <c r="RR83" s="1"/>
      <c r="RS83" s="1"/>
      <c r="RT83" s="1"/>
      <c r="RU83" s="1"/>
      <c r="RV83" s="1"/>
      <c r="RW83" s="1"/>
      <c r="RX83" s="1"/>
      <c r="RY83" s="1"/>
      <c r="RZ83" s="1"/>
      <c r="SA83" s="1"/>
      <c r="SB83" s="1"/>
      <c r="SC83" s="1"/>
      <c r="SD83" s="1"/>
      <c r="SE83" s="1"/>
      <c r="SF83" s="1"/>
      <c r="SG83" s="1"/>
      <c r="SH83" s="1"/>
      <c r="SI83" s="1"/>
      <c r="SJ83" s="1"/>
      <c r="SK83" s="1"/>
      <c r="SL83" s="1"/>
      <c r="SM83" s="1"/>
      <c r="SN83" s="1"/>
      <c r="SO83" s="1"/>
      <c r="SP83" s="1"/>
      <c r="SQ83" s="1"/>
      <c r="SR83" s="1"/>
      <c r="SS83" s="1"/>
      <c r="ST83" s="1"/>
      <c r="SU83" s="1"/>
      <c r="SV83" s="1"/>
      <c r="SW83" s="1"/>
      <c r="SX83" s="1"/>
      <c r="SY83" s="1"/>
      <c r="SZ83" s="1"/>
      <c r="TA83" s="1"/>
      <c r="TB83" s="1"/>
      <c r="TC83" s="1"/>
      <c r="TD83" s="1"/>
      <c r="TE83" s="1"/>
      <c r="TF83" s="1"/>
      <c r="TG83" s="1"/>
      <c r="TH83" s="1"/>
      <c r="TI83" s="1"/>
      <c r="TJ83" s="1"/>
      <c r="TK83" s="1"/>
      <c r="TL83" s="1"/>
      <c r="TM83" s="1"/>
      <c r="TN83" s="1"/>
      <c r="TO83" s="1"/>
      <c r="TP83" s="1"/>
      <c r="TQ83" s="1"/>
      <c r="TR83" s="1"/>
      <c r="TS83" s="1"/>
      <c r="TT83" s="1"/>
      <c r="TU83" s="1"/>
      <c r="TV83" s="1"/>
      <c r="TW83" s="1"/>
      <c r="TX83" s="1"/>
      <c r="TY83" s="1"/>
      <c r="TZ83" s="1"/>
      <c r="UA83" s="1"/>
      <c r="UB83" s="1"/>
      <c r="UC83" s="1"/>
      <c r="UD83" s="1"/>
      <c r="UE83" s="1"/>
      <c r="UF83" s="1"/>
      <c r="UG83" s="1"/>
      <c r="UH83" s="1"/>
      <c r="UI83" s="1"/>
      <c r="UJ83" s="1"/>
      <c r="UK83" s="1"/>
      <c r="UL83" s="1"/>
      <c r="UM83" s="1"/>
      <c r="UN83" s="1"/>
      <c r="UO83" s="1"/>
      <c r="UP83" s="1"/>
      <c r="UQ83" s="1"/>
      <c r="UR83" s="1"/>
      <c r="US83" s="1"/>
      <c r="UT83" s="1"/>
      <c r="UU83" s="1"/>
      <c r="UV83" s="1"/>
      <c r="UW83" s="1"/>
      <c r="UX83" s="1"/>
      <c r="UY83" s="1"/>
      <c r="UZ83" s="1"/>
      <c r="VA83" s="1"/>
      <c r="VB83" s="1"/>
      <c r="VC83" s="1"/>
      <c r="VD83" s="1"/>
      <c r="VE83" s="1"/>
      <c r="VF83" s="1"/>
      <c r="VG83" s="1"/>
      <c r="VH83" s="1"/>
      <c r="VI83" s="1"/>
      <c r="VJ83" s="1"/>
      <c r="VK83" s="1"/>
      <c r="VL83" s="1"/>
      <c r="VM83" s="1"/>
      <c r="VN83" s="1"/>
      <c r="VO83" s="1"/>
      <c r="VP83" s="1"/>
      <c r="VQ83" s="1"/>
      <c r="VR83" s="1"/>
      <c r="VS83" s="1"/>
      <c r="VT83" s="1"/>
      <c r="VU83" s="1"/>
      <c r="VV83" s="1"/>
      <c r="VW83" s="1"/>
      <c r="VX83" s="1"/>
      <c r="VY83" s="1"/>
      <c r="VZ83" s="1"/>
      <c r="WA83" s="1"/>
      <c r="WB83" s="1"/>
      <c r="WC83" s="1"/>
      <c r="WD83" s="1"/>
      <c r="WE83" s="1"/>
      <c r="WF83" s="1"/>
      <c r="WG83" s="1"/>
      <c r="WH83" s="1"/>
      <c r="WI83" s="1"/>
      <c r="WJ83" s="1"/>
      <c r="WK83" s="1"/>
      <c r="WL83" s="1"/>
      <c r="WM83" s="1"/>
      <c r="WN83" s="1"/>
      <c r="WO83" s="1"/>
      <c r="WP83" s="1"/>
      <c r="WQ83" s="1"/>
      <c r="WR83" s="1"/>
      <c r="WS83" s="1"/>
      <c r="WT83" s="1"/>
      <c r="WU83" s="1"/>
      <c r="WV83" s="1"/>
      <c r="WW83" s="1"/>
      <c r="WX83" s="1"/>
      <c r="WY83" s="1"/>
      <c r="WZ83" s="1"/>
      <c r="XA83" s="1"/>
      <c r="XB83" s="1"/>
      <c r="XC83" s="1"/>
      <c r="XD83" s="1"/>
      <c r="XE83" s="1"/>
      <c r="XF83" s="1"/>
      <c r="XG83" s="1"/>
      <c r="XH83" s="1"/>
      <c r="XI83" s="1"/>
      <c r="XJ83" s="1"/>
      <c r="XK83" s="1"/>
      <c r="XL83" s="1"/>
      <c r="XM83" s="1"/>
      <c r="XN83" s="1"/>
      <c r="XO83" s="1"/>
      <c r="XP83" s="1"/>
      <c r="XQ83" s="1"/>
      <c r="XR83" s="1"/>
      <c r="XS83" s="1"/>
      <c r="XT83" s="1"/>
      <c r="XU83" s="1"/>
      <c r="XV83" s="1"/>
      <c r="XW83" s="1"/>
      <c r="XX83" s="1"/>
      <c r="XY83" s="1"/>
      <c r="XZ83" s="1"/>
      <c r="YA83" s="1"/>
      <c r="YB83" s="1"/>
      <c r="YC83" s="1"/>
      <c r="YD83" s="1"/>
      <c r="YE83" s="1"/>
      <c r="YF83" s="1"/>
      <c r="YG83" s="1"/>
      <c r="YH83" s="1"/>
      <c r="YI83" s="1"/>
      <c r="YJ83" s="1"/>
      <c r="YK83" s="1"/>
      <c r="YL83" s="1"/>
      <c r="YM83" s="1"/>
      <c r="YN83" s="1"/>
      <c r="YO83" s="1"/>
      <c r="YP83" s="1"/>
      <c r="YQ83" s="1"/>
      <c r="YR83" s="1"/>
      <c r="YS83" s="1"/>
      <c r="YT83" s="1"/>
      <c r="YU83" s="1"/>
      <c r="YV83" s="1"/>
      <c r="YW83" s="1"/>
      <c r="YX83" s="1"/>
      <c r="YY83" s="1"/>
      <c r="YZ83" s="1"/>
      <c r="ZA83" s="1"/>
      <c r="ZB83" s="1"/>
      <c r="ZC83" s="1"/>
      <c r="ZD83" s="1"/>
      <c r="ZE83" s="1"/>
      <c r="ZF83" s="1"/>
      <c r="ZG83" s="1"/>
      <c r="ZH83" s="1"/>
      <c r="ZI83" s="1"/>
      <c r="ZJ83" s="1"/>
      <c r="ZK83" s="1"/>
      <c r="ZL83" s="1"/>
      <c r="ZM83" s="1"/>
      <c r="ZN83" s="1"/>
      <c r="ZO83" s="1"/>
      <c r="ZP83" s="1"/>
      <c r="ZQ83" s="1"/>
      <c r="ZR83" s="1"/>
      <c r="ZS83" s="1"/>
      <c r="ZT83" s="1"/>
      <c r="ZU83" s="1"/>
      <c r="ZV83" s="1"/>
      <c r="ZW83" s="1"/>
      <c r="ZX83" s="1"/>
      <c r="ZY83" s="1"/>
      <c r="ZZ83" s="1"/>
      <c r="AAA83" s="1"/>
      <c r="AAB83" s="1"/>
      <c r="AAC83" s="1"/>
      <c r="AAD83" s="1"/>
      <c r="AAE83" s="1"/>
      <c r="AAF83" s="1"/>
      <c r="AAG83" s="1"/>
      <c r="AAH83" s="1"/>
      <c r="AAI83" s="1"/>
      <c r="AAJ83" s="1"/>
      <c r="AAK83" s="1"/>
      <c r="AAL83" s="1"/>
      <c r="AAM83" s="1"/>
      <c r="AAN83" s="1"/>
      <c r="AAO83" s="1"/>
      <c r="AAP83" s="1"/>
      <c r="AAQ83" s="1"/>
      <c r="AAR83" s="1"/>
      <c r="AAS83" s="1"/>
      <c r="AAT83" s="1"/>
      <c r="AAU83" s="1"/>
      <c r="AAV83" s="1"/>
      <c r="AAW83" s="1"/>
      <c r="AAX83" s="1"/>
      <c r="AAY83" s="1"/>
      <c r="AAZ83" s="1"/>
      <c r="ABA83" s="1"/>
      <c r="ABB83" s="1"/>
      <c r="ABC83" s="1"/>
      <c r="ABD83" s="1"/>
      <c r="ABE83" s="1"/>
      <c r="ABF83" s="1"/>
      <c r="ABG83" s="1"/>
      <c r="ABH83" s="1"/>
      <c r="ABI83" s="1"/>
      <c r="ABJ83" s="1"/>
      <c r="ABK83" s="1"/>
      <c r="ABL83" s="1"/>
      <c r="ABM83" s="1"/>
      <c r="ABN83" s="1"/>
      <c r="ABO83" s="1"/>
      <c r="ABP83" s="1"/>
      <c r="ABQ83" s="1"/>
      <c r="ABR83" s="1"/>
      <c r="ABS83" s="1"/>
      <c r="ABT83" s="1"/>
      <c r="ABU83" s="1"/>
      <c r="ABV83" s="1"/>
      <c r="ABW83" s="1"/>
      <c r="ABX83" s="1"/>
      <c r="ABY83" s="1"/>
      <c r="ABZ83" s="1"/>
      <c r="ACA83" s="1"/>
      <c r="ACB83" s="1"/>
      <c r="ACC83" s="1"/>
      <c r="ACD83" s="1"/>
      <c r="ACE83" s="1"/>
      <c r="ACF83" s="1"/>
      <c r="ACG83" s="1"/>
      <c r="ACH83" s="1"/>
      <c r="ACI83" s="1"/>
      <c r="ACJ83" s="1"/>
      <c r="ACK83" s="1"/>
      <c r="ACL83" s="1"/>
      <c r="ACM83" s="1"/>
      <c r="ACN83" s="1"/>
      <c r="ACO83" s="1"/>
      <c r="ACP83" s="1"/>
      <c r="ACQ83" s="1"/>
      <c r="ACR83" s="1"/>
      <c r="ACS83" s="1"/>
      <c r="ACT83" s="1"/>
      <c r="ACU83" s="1"/>
      <c r="ACV83" s="1"/>
      <c r="ACW83" s="1"/>
      <c r="ACX83" s="1"/>
      <c r="ACY83" s="1"/>
      <c r="ACZ83" s="1"/>
      <c r="ADA83" s="1"/>
      <c r="ADB83" s="1"/>
      <c r="ADC83" s="1"/>
      <c r="ADD83" s="1"/>
      <c r="ADE83" s="1"/>
      <c r="ADF83" s="1"/>
      <c r="ADG83" s="1"/>
      <c r="ADH83" s="1"/>
      <c r="ADI83" s="1"/>
      <c r="ADJ83" s="1"/>
      <c r="ADK83" s="1"/>
      <c r="ADL83" s="1"/>
      <c r="ADM83" s="1"/>
      <c r="ADN83" s="1"/>
      <c r="ADO83" s="1"/>
      <c r="ADP83" s="1"/>
      <c r="ADQ83" s="1"/>
      <c r="ADR83" s="1"/>
      <c r="ADS83" s="1"/>
      <c r="ADT83" s="1"/>
      <c r="ADU83" s="1"/>
      <c r="ADV83" s="1"/>
      <c r="ADW83" s="1"/>
      <c r="ADX83" s="1"/>
      <c r="ADY83" s="1"/>
      <c r="ADZ83" s="1"/>
      <c r="AEA83" s="1"/>
      <c r="AEB83" s="1"/>
      <c r="AEC83" s="1"/>
      <c r="AED83" s="1"/>
      <c r="AEE83" s="1"/>
      <c r="AEF83" s="1"/>
      <c r="AEG83" s="1"/>
      <c r="AEH83" s="1"/>
      <c r="AEI83" s="1"/>
      <c r="AEJ83" s="1"/>
      <c r="AEK83" s="1"/>
      <c r="AEL83" s="1"/>
      <c r="AEM83" s="1"/>
      <c r="AEN83" s="1"/>
      <c r="AEO83" s="1"/>
      <c r="AEP83" s="1"/>
      <c r="AEQ83" s="1"/>
      <c r="AER83" s="1"/>
      <c r="AES83" s="1"/>
      <c r="AET83" s="1"/>
      <c r="AEU83" s="1"/>
      <c r="AEV83" s="1"/>
      <c r="AEW83" s="1"/>
      <c r="AEX83" s="1"/>
      <c r="AEY83" s="1"/>
      <c r="AEZ83" s="1"/>
      <c r="AFA83" s="1"/>
      <c r="AFB83" s="1"/>
      <c r="AFC83" s="1"/>
      <c r="AFD83" s="1"/>
      <c r="AFE83" s="1"/>
      <c r="AFF83" s="1"/>
      <c r="AFG83" s="1"/>
      <c r="AFH83" s="1"/>
      <c r="AFI83" s="1"/>
      <c r="AFJ83" s="1"/>
      <c r="AFK83" s="1"/>
      <c r="AFL83" s="1"/>
      <c r="AFM83" s="1"/>
      <c r="AFN83" s="1"/>
      <c r="AFO83" s="1"/>
      <c r="AFP83" s="1"/>
      <c r="AFQ83" s="1"/>
      <c r="AFR83" s="1"/>
      <c r="AFS83" s="1"/>
      <c r="AFT83" s="1"/>
      <c r="AFU83" s="1"/>
      <c r="AFV83" s="1"/>
      <c r="AFW83" s="1"/>
      <c r="AFX83" s="1"/>
      <c r="AFY83" s="1"/>
      <c r="AFZ83" s="1"/>
      <c r="AGA83" s="1"/>
      <c r="AGB83" s="1"/>
      <c r="AGC83" s="1"/>
      <c r="AGD83" s="1"/>
      <c r="AGE83" s="1"/>
      <c r="AGF83" s="1"/>
      <c r="AGG83" s="1"/>
      <c r="AGH83" s="1"/>
      <c r="AGI83" s="1"/>
      <c r="AGJ83" s="1"/>
      <c r="AGK83" s="1"/>
      <c r="AGL83" s="1"/>
      <c r="AGM83" s="1"/>
      <c r="AGN83" s="1"/>
      <c r="AGO83" s="1"/>
      <c r="AGP83" s="1"/>
      <c r="AGQ83" s="1"/>
      <c r="AGR83" s="1"/>
      <c r="AGS83" s="1"/>
      <c r="AGT83" s="1"/>
      <c r="AGU83" s="1"/>
      <c r="AGV83" s="1"/>
      <c r="AGW83" s="1"/>
      <c r="AGX83" s="1"/>
      <c r="AGY83" s="1"/>
      <c r="AGZ83" s="1"/>
      <c r="AHA83" s="1"/>
      <c r="AHB83" s="1"/>
      <c r="AHC83" s="1"/>
      <c r="AHD83" s="1"/>
      <c r="AHE83" s="1"/>
      <c r="AHF83" s="1"/>
      <c r="AHG83" s="1"/>
      <c r="AHH83" s="1"/>
      <c r="AHI83" s="1"/>
      <c r="AHJ83" s="1"/>
      <c r="AHK83" s="1"/>
      <c r="AHL83" s="1"/>
      <c r="AHM83" s="1"/>
      <c r="AHN83" s="1"/>
      <c r="AHO83" s="1"/>
      <c r="AHP83" s="1"/>
      <c r="AHQ83" s="1"/>
      <c r="AHR83" s="1"/>
      <c r="AHS83" s="1"/>
      <c r="AHT83" s="1"/>
      <c r="AHU83" s="1"/>
      <c r="AHV83" s="1"/>
      <c r="AHW83" s="1"/>
      <c r="AHX83" s="1"/>
      <c r="AHY83" s="1"/>
      <c r="AHZ83" s="1"/>
      <c r="AIA83" s="1"/>
      <c r="AIB83" s="1"/>
      <c r="AIC83" s="1"/>
      <c r="AID83" s="1"/>
      <c r="AIE83" s="1"/>
      <c r="AIF83" s="1"/>
      <c r="AIG83" s="1"/>
      <c r="AIH83" s="1"/>
      <c r="AII83" s="1"/>
      <c r="AIJ83" s="1"/>
      <c r="AIK83" s="1"/>
      <c r="AIL83" s="1"/>
      <c r="AIM83" s="1"/>
      <c r="AIN83" s="1"/>
      <c r="AIO83" s="1"/>
      <c r="AIP83" s="1"/>
      <c r="AIQ83" s="1"/>
      <c r="AIR83" s="1"/>
      <c r="AIS83" s="1"/>
      <c r="AIT83" s="1"/>
      <c r="AIU83" s="1"/>
      <c r="AIV83" s="1"/>
      <c r="AIW83" s="1"/>
      <c r="AIX83" s="1"/>
      <c r="AIY83" s="1"/>
      <c r="AIZ83" s="1"/>
      <c r="AJA83" s="1"/>
      <c r="AJB83" s="1"/>
      <c r="AJC83" s="1"/>
      <c r="AJD83" s="1"/>
      <c r="AJE83" s="1"/>
      <c r="AJF83" s="1"/>
      <c r="AJG83" s="1"/>
      <c r="AJH83" s="1"/>
      <c r="AJI83" s="1"/>
      <c r="AJJ83" s="1"/>
      <c r="AJK83" s="1"/>
      <c r="AJL83" s="1"/>
      <c r="AJM83" s="1"/>
      <c r="AJN83" s="1"/>
      <c r="AJO83" s="1"/>
      <c r="AJP83" s="1"/>
      <c r="AJQ83" s="1"/>
      <c r="AJR83" s="1"/>
      <c r="AJS83" s="1"/>
      <c r="AJT83" s="1"/>
      <c r="AJU83" s="1"/>
      <c r="AJV83" s="1"/>
      <c r="AJW83" s="1"/>
      <c r="AJX83" s="1"/>
      <c r="AJY83" s="1"/>
      <c r="AJZ83" s="1"/>
      <c r="AKA83" s="1"/>
      <c r="AKB83" s="1"/>
      <c r="AKC83" s="1"/>
      <c r="AKD83" s="1"/>
      <c r="AKE83" s="1"/>
      <c r="AKF83" s="1"/>
      <c r="AKG83" s="1"/>
      <c r="AKH83" s="1"/>
      <c r="AKI83" s="1"/>
      <c r="AKJ83" s="1"/>
      <c r="AKK83" s="1"/>
      <c r="AKL83" s="1"/>
      <c r="AKM83" s="1"/>
      <c r="AKN83" s="1"/>
      <c r="AKO83" s="1"/>
      <c r="AKP83" s="1"/>
      <c r="AKQ83" s="1"/>
      <c r="AKR83" s="1"/>
      <c r="AKS83" s="1"/>
      <c r="AKT83" s="1"/>
      <c r="AKU83" s="1"/>
      <c r="AKV83" s="1"/>
      <c r="AKW83" s="1"/>
      <c r="AKX83" s="1"/>
      <c r="AKY83" s="1"/>
      <c r="AKZ83" s="1"/>
      <c r="ALA83" s="1"/>
      <c r="ALB83" s="1"/>
      <c r="ALC83" s="1"/>
      <c r="ALD83" s="1"/>
      <c r="ALE83" s="1"/>
      <c r="ALF83" s="1"/>
      <c r="ALG83" s="1"/>
      <c r="ALH83" s="1"/>
      <c r="ALI83" s="1"/>
      <c r="ALJ83" s="1"/>
      <c r="ALK83" s="1"/>
      <c r="ALL83" s="1"/>
      <c r="ALM83" s="1"/>
      <c r="ALN83" s="1"/>
      <c r="ALO83" s="1"/>
      <c r="ALP83" s="1"/>
      <c r="ALQ83" s="1"/>
      <c r="ALR83" s="1"/>
      <c r="ALS83" s="1"/>
      <c r="ALT83" s="1"/>
      <c r="ALU83" s="1"/>
      <c r="ALV83" s="1"/>
      <c r="ALW83" s="1"/>
      <c r="ALX83" s="1"/>
      <c r="ALY83" s="1"/>
      <c r="ALZ83" s="1"/>
      <c r="AMA83" s="1"/>
      <c r="AMB83" s="1"/>
      <c r="AMC83" s="1"/>
      <c r="AMD83" s="1"/>
      <c r="AME83" s="1"/>
      <c r="AMF83" s="1"/>
      <c r="AMG83" s="1"/>
      <c r="AMH83" s="1"/>
      <c r="AMI83" s="1"/>
      <c r="AMJ83" s="1"/>
      <c r="AMK83" s="1"/>
      <c r="AML83" s="1"/>
      <c r="AMM83" s="1"/>
      <c r="AMN83" s="1"/>
      <c r="AMO83" s="1"/>
    </row>
    <row r="84" spans="1:1029" x14ac:dyDescent="0.2">
      <c r="A84" s="3" t="str">
        <f t="shared" si="223"/>
        <v>adrb1_melga_2Y04</v>
      </c>
      <c r="B84" s="3" t="s">
        <v>912</v>
      </c>
      <c r="C84" s="3" t="s">
        <v>1026</v>
      </c>
      <c r="D84" s="3" t="str">
        <f>IFERROR(MID(VLOOKUP($B84,Seqs!$A:$B,2,0),E84,1),"")</f>
        <v>A</v>
      </c>
      <c r="E84" s="3">
        <v>33</v>
      </c>
      <c r="F84" s="3" t="str">
        <f>IFERROR(MID(VLOOKUP($B84,Seqs!$A:$B,2,0),G84,1),"")</f>
        <v>T</v>
      </c>
      <c r="G84" s="3">
        <v>69</v>
      </c>
      <c r="H84" s="3" t="str">
        <f>IFERROR(MID(VLOOKUP($B84,Seqs!$A:$B,2,0),I84,1),"")</f>
        <v>Q</v>
      </c>
      <c r="I84" s="23">
        <v>70</v>
      </c>
      <c r="J84" s="3" t="str">
        <f>IFERROR(MID(VLOOKUP($B84,Seqs!$A:$B,2,0),K84,1),"")</f>
        <v>Q</v>
      </c>
      <c r="K84" s="23">
        <v>73</v>
      </c>
      <c r="L84" s="3" t="str">
        <f>IFERROR(MID(VLOOKUP($B84,Seqs!$A:$B,2,0),M84,1),"")</f>
        <v>T</v>
      </c>
      <c r="M84" s="3">
        <v>74</v>
      </c>
      <c r="N84" s="3" t="str">
        <f>IFERROR(MID(VLOOKUP($B84,Seqs!$A:$B,2,0),O84,1),"")</f>
        <v>R</v>
      </c>
      <c r="O84" s="3">
        <v>104</v>
      </c>
      <c r="P84" s="3" t="str">
        <f>IFERROR(MID(VLOOKUP($B84,Seqs!$A:$B,2,0),Q84,1),"")</f>
        <v>T</v>
      </c>
      <c r="Q84" s="3">
        <v>106</v>
      </c>
      <c r="R84" s="3" t="str">
        <f>IFERROR(MID(VLOOKUP($B84,Seqs!$A:$B,2,0),S84,1),"")</f>
        <v>W</v>
      </c>
      <c r="S84" s="3">
        <v>109</v>
      </c>
      <c r="T84" s="3" t="str">
        <f>IFERROR(MID(VLOOKUP($B84,Seqs!$A:$B,2,0),U84,1),"")</f>
        <v>G</v>
      </c>
      <c r="U84" s="3">
        <v>110</v>
      </c>
      <c r="V84" s="3" t="str">
        <f>IFERROR(MID(VLOOKUP($B84,Seqs!$A:$B,2,0),W84,1),"")</f>
        <v>S</v>
      </c>
      <c r="W84" s="3">
        <v>145</v>
      </c>
      <c r="X84" s="3" t="str">
        <f>IFERROR(MID(VLOOKUP($B84,Seqs!$A:$B,2,0),Y84,1),"")</f>
        <v>P</v>
      </c>
      <c r="Y84" s="3">
        <v>146</v>
      </c>
      <c r="Z84" s="3" t="str">
        <f>IFERROR(MID(VLOOKUP($B84,Seqs!$A:$B,2,0),AA84,1),"")</f>
        <v>M</v>
      </c>
      <c r="AA84" s="3">
        <v>153</v>
      </c>
      <c r="AB84" s="3" t="str">
        <f>IFERROR(MID(VLOOKUP($B84,Seqs!$A:$B,2,0),AC84,1),"")</f>
        <v>T</v>
      </c>
      <c r="AC84" s="9">
        <v>154</v>
      </c>
      <c r="AD84" s="3" t="str">
        <f>IFERROR(MID(VLOOKUP($B84,Seqs!$A:$B,2,0),AE84,1),"")</f>
        <v>H</v>
      </c>
      <c r="AE84" s="3">
        <v>180</v>
      </c>
      <c r="AF84" s="3" t="str">
        <f>IFERROR(MID(VLOOKUP($B84,Seqs!$A:$B,2,0),AG84,1),"")</f>
        <v>C</v>
      </c>
      <c r="AG84" s="3">
        <v>199</v>
      </c>
      <c r="AH84" s="3" t="str">
        <f>IFERROR(MID(VLOOKUP($B84,Seqs!$A:$B,2,0),AI84,1),"")</f>
        <v>F</v>
      </c>
      <c r="AI84" s="3">
        <v>201</v>
      </c>
      <c r="AJ84" s="3" t="str">
        <f>IFERROR(MID(VLOOKUP($B84,Seqs!$A:$B,2,0),AK84,1),"")</f>
        <v>N</v>
      </c>
      <c r="AK84" s="3">
        <v>204</v>
      </c>
      <c r="AL84" s="3" t="str">
        <f>IFERROR(MID(VLOOKUP($B84,Seqs!$A:$B,2,0),AM84,1),"")</f>
        <v>I</v>
      </c>
      <c r="AM84" s="3">
        <v>238</v>
      </c>
      <c r="AN84" s="3" t="str">
        <f>IFERROR(MID(VLOOKUP($B84,Seqs!$A:$B,2,0),AO84,1),"")</f>
        <v>R</v>
      </c>
      <c r="AO84" s="3">
        <v>275</v>
      </c>
      <c r="AP84" s="3" t="str">
        <f>IFERROR(MID(VLOOKUP($B84,Seqs!$A:$B,2,0),AQ84,1),"")</f>
        <v>N</v>
      </c>
      <c r="AQ84" s="3">
        <v>316</v>
      </c>
      <c r="AR84" s="3" t="str">
        <f>IFERROR(MID(VLOOKUP($B84,Seqs!$A:$B,2,0),AS84,1),"")</f>
        <v>P</v>
      </c>
      <c r="AS84" s="3">
        <v>321</v>
      </c>
      <c r="AT84" s="3" t="str">
        <f>IFERROR(MID(VLOOKUP($B84,Seqs!$A:$B,2,0),AU84,1),"")</f>
        <v>R</v>
      </c>
      <c r="AU84" s="3">
        <v>345</v>
      </c>
      <c r="AV84" s="3" t="str">
        <f>IFERROR(MID(VLOOKUP($B84,Seqs!$A:$B,2,0),AW84,1),"")</f>
        <v>S</v>
      </c>
      <c r="AW84" s="3">
        <v>346</v>
      </c>
      <c r="AX84" s="3" t="str">
        <f>IFERROR(MID(VLOOKUP($B84,Seqs!$A:$B,2,0),AY84,1),"")</f>
        <v>C</v>
      </c>
      <c r="AY84" s="3">
        <v>358</v>
      </c>
      <c r="AZ84" s="77" t="str">
        <f>VLOOKUP(B84,Classification!A:D,2,0)</f>
        <v>A</v>
      </c>
      <c r="BA84" s="94" t="str">
        <f>VLOOKUP(B84,Classification!A:D,4,0)</f>
        <v>Adrenoceptors</v>
      </c>
      <c r="BB84" s="27" t="b">
        <f t="shared" si="224"/>
        <v>1</v>
      </c>
      <c r="BC84" s="23">
        <f t="shared" si="169"/>
        <v>265</v>
      </c>
      <c r="BD84" s="4" t="s">
        <v>23</v>
      </c>
      <c r="BE84" s="3" t="s">
        <v>1381</v>
      </c>
      <c r="BF84" s="119">
        <v>3.05</v>
      </c>
      <c r="BG84" s="49" t="s">
        <v>1384</v>
      </c>
      <c r="BH84" s="49" t="s">
        <v>1384</v>
      </c>
      <c r="BI84" s="1"/>
      <c r="BJ84" s="70" t="s">
        <v>1293</v>
      </c>
      <c r="BK84" s="57" t="s">
        <v>1293</v>
      </c>
      <c r="BL84" s="57" t="s">
        <v>1293</v>
      </c>
      <c r="BM84" s="57" t="s">
        <v>1293</v>
      </c>
      <c r="BN84" s="57" t="s">
        <v>1293</v>
      </c>
      <c r="BO84" s="57" t="s">
        <v>1293</v>
      </c>
      <c r="BP84" s="57" t="s">
        <v>1293</v>
      </c>
      <c r="BQ84" s="57" t="s">
        <v>1293</v>
      </c>
      <c r="BR84" s="57" t="s">
        <v>1293</v>
      </c>
      <c r="BS84" s="57" t="s">
        <v>1293</v>
      </c>
      <c r="BT84" s="57" t="s">
        <v>1293</v>
      </c>
      <c r="BU84" s="57" t="s">
        <v>1293</v>
      </c>
      <c r="BV84" s="70">
        <f t="shared" si="170"/>
        <v>33</v>
      </c>
      <c r="BW84" s="71">
        <f t="shared" si="171"/>
        <v>70</v>
      </c>
      <c r="BX84" s="72">
        <f t="shared" si="172"/>
        <v>74</v>
      </c>
      <c r="BY84" s="71">
        <f t="shared" si="173"/>
        <v>106</v>
      </c>
      <c r="BZ84" s="72">
        <f t="shared" si="174"/>
        <v>110</v>
      </c>
      <c r="CA84" s="71">
        <f t="shared" si="175"/>
        <v>146</v>
      </c>
      <c r="CB84" s="72">
        <f t="shared" si="176"/>
        <v>154</v>
      </c>
      <c r="CC84" s="71">
        <f t="shared" si="177"/>
        <v>199</v>
      </c>
      <c r="CD84" s="72">
        <f t="shared" si="178"/>
        <v>204</v>
      </c>
      <c r="CE84" s="71">
        <f t="shared" si="179"/>
        <v>275</v>
      </c>
      <c r="CF84" s="72">
        <f t="shared" si="180"/>
        <v>321</v>
      </c>
      <c r="CG84" s="71">
        <f t="shared" si="181"/>
        <v>346</v>
      </c>
      <c r="CH84" s="70">
        <f t="shared" si="182"/>
        <v>69</v>
      </c>
      <c r="CI84" s="71">
        <f t="shared" si="183"/>
        <v>73</v>
      </c>
      <c r="CJ84" s="72">
        <f t="shared" si="184"/>
        <v>104</v>
      </c>
      <c r="CK84" s="72">
        <f t="shared" si="185"/>
        <v>109</v>
      </c>
      <c r="CL84" s="72">
        <f t="shared" si="186"/>
        <v>145</v>
      </c>
      <c r="CM84" s="72">
        <f t="shared" si="187"/>
        <v>153</v>
      </c>
      <c r="CN84" s="72">
        <f t="shared" si="188"/>
        <v>180</v>
      </c>
      <c r="CO84" s="72">
        <f t="shared" si="189"/>
        <v>201</v>
      </c>
      <c r="CP84" s="72">
        <f t="shared" si="190"/>
        <v>238</v>
      </c>
      <c r="CQ84" s="72">
        <f t="shared" si="191"/>
        <v>316</v>
      </c>
      <c r="CR84" s="72">
        <f t="shared" si="192"/>
        <v>345</v>
      </c>
      <c r="CS84" s="72">
        <f t="shared" si="193"/>
        <v>358</v>
      </c>
      <c r="CT84" s="23">
        <f t="shared" si="194"/>
        <v>1</v>
      </c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  <c r="OK84" s="1"/>
      <c r="OL84" s="1"/>
      <c r="OM84" s="1"/>
      <c r="ON84" s="1"/>
      <c r="OO84" s="1"/>
      <c r="OP84" s="1"/>
      <c r="OQ84" s="1"/>
      <c r="OR84" s="1"/>
      <c r="OS84" s="1"/>
      <c r="OT84" s="1"/>
      <c r="OU84" s="1"/>
      <c r="OV84" s="1"/>
      <c r="OW84" s="1"/>
      <c r="OX84" s="1"/>
      <c r="OY84" s="1"/>
      <c r="OZ84" s="1"/>
      <c r="PA84" s="1"/>
      <c r="PB84" s="1"/>
      <c r="PC84" s="1"/>
      <c r="PD84" s="1"/>
      <c r="PE84" s="1"/>
      <c r="PF84" s="1"/>
      <c r="PG84" s="1"/>
      <c r="PH84" s="1"/>
      <c r="PI84" s="1"/>
      <c r="PJ84" s="1"/>
      <c r="PK84" s="1"/>
      <c r="PL84" s="1"/>
      <c r="PM84" s="1"/>
      <c r="PN84" s="1"/>
      <c r="PO84" s="1"/>
      <c r="PP84" s="1"/>
      <c r="PQ84" s="1"/>
      <c r="PR84" s="1"/>
      <c r="PS84" s="1"/>
      <c r="PT84" s="1"/>
      <c r="PU84" s="1"/>
      <c r="PV84" s="1"/>
      <c r="PW84" s="1"/>
      <c r="PX84" s="1"/>
      <c r="PY84" s="1"/>
      <c r="PZ84" s="1"/>
      <c r="QA84" s="1"/>
      <c r="QB84" s="1"/>
      <c r="QC84" s="1"/>
      <c r="QD84" s="1"/>
      <c r="QE84" s="1"/>
      <c r="QF84" s="1"/>
      <c r="QG84" s="1"/>
      <c r="QH84" s="1"/>
      <c r="QI84" s="1"/>
      <c r="QJ84" s="1"/>
      <c r="QK84" s="1"/>
      <c r="QL84" s="1"/>
      <c r="QM84" s="1"/>
      <c r="QN84" s="1"/>
      <c r="QO84" s="1"/>
      <c r="QP84" s="1"/>
      <c r="QQ84" s="1"/>
      <c r="QR84" s="1"/>
      <c r="QS84" s="1"/>
      <c r="QT84" s="1"/>
      <c r="QU84" s="1"/>
      <c r="QV84" s="1"/>
      <c r="QW84" s="1"/>
      <c r="QX84" s="1"/>
      <c r="QY84" s="1"/>
      <c r="QZ84" s="1"/>
      <c r="RA84" s="1"/>
      <c r="RB84" s="1"/>
      <c r="RC84" s="1"/>
      <c r="RD84" s="1"/>
      <c r="RE84" s="1"/>
      <c r="RF84" s="1"/>
      <c r="RG84" s="1"/>
      <c r="RH84" s="1"/>
      <c r="RI84" s="1"/>
      <c r="RJ84" s="1"/>
      <c r="RK84" s="1"/>
      <c r="RL84" s="1"/>
      <c r="RM84" s="1"/>
      <c r="RN84" s="1"/>
      <c r="RO84" s="1"/>
      <c r="RP84" s="1"/>
      <c r="RQ84" s="1"/>
      <c r="RR84" s="1"/>
      <c r="RS84" s="1"/>
      <c r="RT84" s="1"/>
      <c r="RU84" s="1"/>
      <c r="RV84" s="1"/>
      <c r="RW84" s="1"/>
      <c r="RX84" s="1"/>
      <c r="RY84" s="1"/>
      <c r="RZ84" s="1"/>
      <c r="SA84" s="1"/>
      <c r="SB84" s="1"/>
      <c r="SC84" s="1"/>
      <c r="SD84" s="1"/>
      <c r="SE84" s="1"/>
      <c r="SF84" s="1"/>
      <c r="SG84" s="1"/>
      <c r="SH84" s="1"/>
      <c r="SI84" s="1"/>
      <c r="SJ84" s="1"/>
      <c r="SK84" s="1"/>
      <c r="SL84" s="1"/>
      <c r="SM84" s="1"/>
      <c r="SN84" s="1"/>
      <c r="SO84" s="1"/>
      <c r="SP84" s="1"/>
      <c r="SQ84" s="1"/>
      <c r="SR84" s="1"/>
      <c r="SS84" s="1"/>
      <c r="ST84" s="1"/>
      <c r="SU84" s="1"/>
      <c r="SV84" s="1"/>
      <c r="SW84" s="1"/>
      <c r="SX84" s="1"/>
      <c r="SY84" s="1"/>
      <c r="SZ84" s="1"/>
      <c r="TA84" s="1"/>
      <c r="TB84" s="1"/>
      <c r="TC84" s="1"/>
      <c r="TD84" s="1"/>
      <c r="TE84" s="1"/>
      <c r="TF84" s="1"/>
      <c r="TG84" s="1"/>
      <c r="TH84" s="1"/>
      <c r="TI84" s="1"/>
      <c r="TJ84" s="1"/>
      <c r="TK84" s="1"/>
      <c r="TL84" s="1"/>
      <c r="TM84" s="1"/>
      <c r="TN84" s="1"/>
      <c r="TO84" s="1"/>
      <c r="TP84" s="1"/>
      <c r="TQ84" s="1"/>
      <c r="TR84" s="1"/>
      <c r="TS84" s="1"/>
      <c r="TT84" s="1"/>
      <c r="TU84" s="1"/>
      <c r="TV84" s="1"/>
      <c r="TW84" s="1"/>
      <c r="TX84" s="1"/>
      <c r="TY84" s="1"/>
      <c r="TZ84" s="1"/>
      <c r="UA84" s="1"/>
      <c r="UB84" s="1"/>
      <c r="UC84" s="1"/>
      <c r="UD84" s="1"/>
      <c r="UE84" s="1"/>
      <c r="UF84" s="1"/>
      <c r="UG84" s="1"/>
      <c r="UH84" s="1"/>
      <c r="UI84" s="1"/>
      <c r="UJ84" s="1"/>
      <c r="UK84" s="1"/>
      <c r="UL84" s="1"/>
      <c r="UM84" s="1"/>
      <c r="UN84" s="1"/>
      <c r="UO84" s="1"/>
      <c r="UP84" s="1"/>
      <c r="UQ84" s="1"/>
      <c r="UR84" s="1"/>
      <c r="US84" s="1"/>
      <c r="UT84" s="1"/>
      <c r="UU84" s="1"/>
      <c r="UV84" s="1"/>
      <c r="UW84" s="1"/>
      <c r="UX84" s="1"/>
      <c r="UY84" s="1"/>
      <c r="UZ84" s="1"/>
      <c r="VA84" s="1"/>
      <c r="VB84" s="1"/>
      <c r="VC84" s="1"/>
      <c r="VD84" s="1"/>
      <c r="VE84" s="1"/>
      <c r="VF84" s="1"/>
      <c r="VG84" s="1"/>
      <c r="VH84" s="1"/>
      <c r="VI84" s="1"/>
      <c r="VJ84" s="1"/>
      <c r="VK84" s="1"/>
      <c r="VL84" s="1"/>
      <c r="VM84" s="1"/>
      <c r="VN84" s="1"/>
      <c r="VO84" s="1"/>
      <c r="VP84" s="1"/>
      <c r="VQ84" s="1"/>
      <c r="VR84" s="1"/>
      <c r="VS84" s="1"/>
      <c r="VT84" s="1"/>
      <c r="VU84" s="1"/>
      <c r="VV84" s="1"/>
      <c r="VW84" s="1"/>
      <c r="VX84" s="1"/>
      <c r="VY84" s="1"/>
      <c r="VZ84" s="1"/>
      <c r="WA84" s="1"/>
      <c r="WB84" s="1"/>
      <c r="WC84" s="1"/>
      <c r="WD84" s="1"/>
      <c r="WE84" s="1"/>
      <c r="WF84" s="1"/>
      <c r="WG84" s="1"/>
      <c r="WH84" s="1"/>
      <c r="WI84" s="1"/>
      <c r="WJ84" s="1"/>
      <c r="WK84" s="1"/>
      <c r="WL84" s="1"/>
      <c r="WM84" s="1"/>
      <c r="WN84" s="1"/>
      <c r="WO84" s="1"/>
      <c r="WP84" s="1"/>
      <c r="WQ84" s="1"/>
      <c r="WR84" s="1"/>
      <c r="WS84" s="1"/>
      <c r="WT84" s="1"/>
      <c r="WU84" s="1"/>
      <c r="WV84" s="1"/>
      <c r="WW84" s="1"/>
      <c r="WX84" s="1"/>
      <c r="WY84" s="1"/>
      <c r="WZ84" s="1"/>
      <c r="XA84" s="1"/>
      <c r="XB84" s="1"/>
      <c r="XC84" s="1"/>
      <c r="XD84" s="1"/>
      <c r="XE84" s="1"/>
      <c r="XF84" s="1"/>
      <c r="XG84" s="1"/>
      <c r="XH84" s="1"/>
      <c r="XI84" s="1"/>
      <c r="XJ84" s="1"/>
      <c r="XK84" s="1"/>
      <c r="XL84" s="1"/>
      <c r="XM84" s="1"/>
      <c r="XN84" s="1"/>
      <c r="XO84" s="1"/>
      <c r="XP84" s="1"/>
      <c r="XQ84" s="1"/>
      <c r="XR84" s="1"/>
      <c r="XS84" s="1"/>
      <c r="XT84" s="1"/>
      <c r="XU84" s="1"/>
      <c r="XV84" s="1"/>
      <c r="XW84" s="1"/>
      <c r="XX84" s="1"/>
      <c r="XY84" s="1"/>
      <c r="XZ84" s="1"/>
      <c r="YA84" s="1"/>
      <c r="YB84" s="1"/>
      <c r="YC84" s="1"/>
      <c r="YD84" s="1"/>
      <c r="YE84" s="1"/>
      <c r="YF84" s="1"/>
      <c r="YG84" s="1"/>
      <c r="YH84" s="1"/>
      <c r="YI84" s="1"/>
      <c r="YJ84" s="1"/>
      <c r="YK84" s="1"/>
      <c r="YL84" s="1"/>
      <c r="YM84" s="1"/>
      <c r="YN84" s="1"/>
      <c r="YO84" s="1"/>
      <c r="YP84" s="1"/>
      <c r="YQ84" s="1"/>
      <c r="YR84" s="1"/>
      <c r="YS84" s="1"/>
      <c r="YT84" s="1"/>
      <c r="YU84" s="1"/>
      <c r="YV84" s="1"/>
      <c r="YW84" s="1"/>
      <c r="YX84" s="1"/>
      <c r="YY84" s="1"/>
      <c r="YZ84" s="1"/>
      <c r="ZA84" s="1"/>
      <c r="ZB84" s="1"/>
      <c r="ZC84" s="1"/>
      <c r="ZD84" s="1"/>
      <c r="ZE84" s="1"/>
      <c r="ZF84" s="1"/>
      <c r="ZG84" s="1"/>
      <c r="ZH84" s="1"/>
      <c r="ZI84" s="1"/>
      <c r="ZJ84" s="1"/>
      <c r="ZK84" s="1"/>
      <c r="ZL84" s="1"/>
      <c r="ZM84" s="1"/>
      <c r="ZN84" s="1"/>
      <c r="ZO84" s="1"/>
      <c r="ZP84" s="1"/>
      <c r="ZQ84" s="1"/>
      <c r="ZR84" s="1"/>
      <c r="ZS84" s="1"/>
      <c r="ZT84" s="1"/>
      <c r="ZU84" s="1"/>
      <c r="ZV84" s="1"/>
      <c r="ZW84" s="1"/>
      <c r="ZX84" s="1"/>
      <c r="ZY84" s="1"/>
      <c r="ZZ84" s="1"/>
      <c r="AAA84" s="1"/>
      <c r="AAB84" s="1"/>
      <c r="AAC84" s="1"/>
      <c r="AAD84" s="1"/>
      <c r="AAE84" s="1"/>
      <c r="AAF84" s="1"/>
      <c r="AAG84" s="1"/>
      <c r="AAH84" s="1"/>
      <c r="AAI84" s="1"/>
      <c r="AAJ84" s="1"/>
      <c r="AAK84" s="1"/>
      <c r="AAL84" s="1"/>
      <c r="AAM84" s="1"/>
      <c r="AAN84" s="1"/>
      <c r="AAO84" s="1"/>
      <c r="AAP84" s="1"/>
      <c r="AAQ84" s="1"/>
      <c r="AAR84" s="1"/>
      <c r="AAS84" s="1"/>
      <c r="AAT84" s="1"/>
      <c r="AAU84" s="1"/>
      <c r="AAV84" s="1"/>
      <c r="AAW84" s="1"/>
      <c r="AAX84" s="1"/>
      <c r="AAY84" s="1"/>
      <c r="AAZ84" s="1"/>
      <c r="ABA84" s="1"/>
      <c r="ABB84" s="1"/>
      <c r="ABC84" s="1"/>
      <c r="ABD84" s="1"/>
      <c r="ABE84" s="1"/>
      <c r="ABF84" s="1"/>
      <c r="ABG84" s="1"/>
      <c r="ABH84" s="1"/>
      <c r="ABI84" s="1"/>
      <c r="ABJ84" s="1"/>
      <c r="ABK84" s="1"/>
      <c r="ABL84" s="1"/>
      <c r="ABM84" s="1"/>
      <c r="ABN84" s="1"/>
      <c r="ABO84" s="1"/>
      <c r="ABP84" s="1"/>
      <c r="ABQ84" s="1"/>
      <c r="ABR84" s="1"/>
      <c r="ABS84" s="1"/>
      <c r="ABT84" s="1"/>
      <c r="ABU84" s="1"/>
      <c r="ABV84" s="1"/>
      <c r="ABW84" s="1"/>
      <c r="ABX84" s="1"/>
      <c r="ABY84" s="1"/>
      <c r="ABZ84" s="1"/>
      <c r="ACA84" s="1"/>
      <c r="ACB84" s="1"/>
      <c r="ACC84" s="1"/>
      <c r="ACD84" s="1"/>
      <c r="ACE84" s="1"/>
      <c r="ACF84" s="1"/>
      <c r="ACG84" s="1"/>
      <c r="ACH84" s="1"/>
      <c r="ACI84" s="1"/>
      <c r="ACJ84" s="1"/>
      <c r="ACK84" s="1"/>
      <c r="ACL84" s="1"/>
      <c r="ACM84" s="1"/>
      <c r="ACN84" s="1"/>
      <c r="ACO84" s="1"/>
      <c r="ACP84" s="1"/>
      <c r="ACQ84" s="1"/>
      <c r="ACR84" s="1"/>
      <c r="ACS84" s="1"/>
      <c r="ACT84" s="1"/>
      <c r="ACU84" s="1"/>
      <c r="ACV84" s="1"/>
      <c r="ACW84" s="1"/>
      <c r="ACX84" s="1"/>
      <c r="ACY84" s="1"/>
      <c r="ACZ84" s="1"/>
      <c r="ADA84" s="1"/>
      <c r="ADB84" s="1"/>
      <c r="ADC84" s="1"/>
      <c r="ADD84" s="1"/>
      <c r="ADE84" s="1"/>
      <c r="ADF84" s="1"/>
      <c r="ADG84" s="1"/>
      <c r="ADH84" s="1"/>
      <c r="ADI84" s="1"/>
      <c r="ADJ84" s="1"/>
      <c r="ADK84" s="1"/>
      <c r="ADL84" s="1"/>
      <c r="ADM84" s="1"/>
      <c r="ADN84" s="1"/>
      <c r="ADO84" s="1"/>
      <c r="ADP84" s="1"/>
      <c r="ADQ84" s="1"/>
      <c r="ADR84" s="1"/>
      <c r="ADS84" s="1"/>
      <c r="ADT84" s="1"/>
      <c r="ADU84" s="1"/>
      <c r="ADV84" s="1"/>
      <c r="ADW84" s="1"/>
      <c r="ADX84" s="1"/>
      <c r="ADY84" s="1"/>
      <c r="ADZ84" s="1"/>
      <c r="AEA84" s="1"/>
      <c r="AEB84" s="1"/>
      <c r="AEC84" s="1"/>
      <c r="AED84" s="1"/>
      <c r="AEE84" s="1"/>
      <c r="AEF84" s="1"/>
      <c r="AEG84" s="1"/>
      <c r="AEH84" s="1"/>
      <c r="AEI84" s="1"/>
      <c r="AEJ84" s="1"/>
      <c r="AEK84" s="1"/>
      <c r="AEL84" s="1"/>
      <c r="AEM84" s="1"/>
      <c r="AEN84" s="1"/>
      <c r="AEO84" s="1"/>
      <c r="AEP84" s="1"/>
      <c r="AEQ84" s="1"/>
      <c r="AER84" s="1"/>
      <c r="AES84" s="1"/>
      <c r="AET84" s="1"/>
      <c r="AEU84" s="1"/>
      <c r="AEV84" s="1"/>
      <c r="AEW84" s="1"/>
      <c r="AEX84" s="1"/>
      <c r="AEY84" s="1"/>
      <c r="AEZ84" s="1"/>
      <c r="AFA84" s="1"/>
      <c r="AFB84" s="1"/>
      <c r="AFC84" s="1"/>
      <c r="AFD84" s="1"/>
      <c r="AFE84" s="1"/>
      <c r="AFF84" s="1"/>
      <c r="AFG84" s="1"/>
      <c r="AFH84" s="1"/>
      <c r="AFI84" s="1"/>
      <c r="AFJ84" s="1"/>
      <c r="AFK84" s="1"/>
      <c r="AFL84" s="1"/>
      <c r="AFM84" s="1"/>
      <c r="AFN84" s="1"/>
      <c r="AFO84" s="1"/>
      <c r="AFP84" s="1"/>
      <c r="AFQ84" s="1"/>
      <c r="AFR84" s="1"/>
      <c r="AFS84" s="1"/>
      <c r="AFT84" s="1"/>
      <c r="AFU84" s="1"/>
      <c r="AFV84" s="1"/>
      <c r="AFW84" s="1"/>
      <c r="AFX84" s="1"/>
      <c r="AFY84" s="1"/>
      <c r="AFZ84" s="1"/>
      <c r="AGA84" s="1"/>
      <c r="AGB84" s="1"/>
      <c r="AGC84" s="1"/>
      <c r="AGD84" s="1"/>
      <c r="AGE84" s="1"/>
      <c r="AGF84" s="1"/>
      <c r="AGG84" s="1"/>
      <c r="AGH84" s="1"/>
      <c r="AGI84" s="1"/>
      <c r="AGJ84" s="1"/>
      <c r="AGK84" s="1"/>
      <c r="AGL84" s="1"/>
      <c r="AGM84" s="1"/>
      <c r="AGN84" s="1"/>
      <c r="AGO84" s="1"/>
      <c r="AGP84" s="1"/>
      <c r="AGQ84" s="1"/>
      <c r="AGR84" s="1"/>
      <c r="AGS84" s="1"/>
      <c r="AGT84" s="1"/>
      <c r="AGU84" s="1"/>
      <c r="AGV84" s="1"/>
      <c r="AGW84" s="1"/>
      <c r="AGX84" s="1"/>
      <c r="AGY84" s="1"/>
      <c r="AGZ84" s="1"/>
      <c r="AHA84" s="1"/>
      <c r="AHB84" s="1"/>
      <c r="AHC84" s="1"/>
      <c r="AHD84" s="1"/>
      <c r="AHE84" s="1"/>
      <c r="AHF84" s="1"/>
      <c r="AHG84" s="1"/>
      <c r="AHH84" s="1"/>
      <c r="AHI84" s="1"/>
      <c r="AHJ84" s="1"/>
      <c r="AHK84" s="1"/>
      <c r="AHL84" s="1"/>
      <c r="AHM84" s="1"/>
      <c r="AHN84" s="1"/>
      <c r="AHO84" s="1"/>
      <c r="AHP84" s="1"/>
      <c r="AHQ84" s="1"/>
      <c r="AHR84" s="1"/>
      <c r="AHS84" s="1"/>
      <c r="AHT84" s="1"/>
      <c r="AHU84" s="1"/>
      <c r="AHV84" s="1"/>
      <c r="AHW84" s="1"/>
      <c r="AHX84" s="1"/>
      <c r="AHY84" s="1"/>
      <c r="AHZ84" s="1"/>
      <c r="AIA84" s="1"/>
      <c r="AIB84" s="1"/>
      <c r="AIC84" s="1"/>
      <c r="AID84" s="1"/>
      <c r="AIE84" s="1"/>
      <c r="AIF84" s="1"/>
      <c r="AIG84" s="1"/>
      <c r="AIH84" s="1"/>
      <c r="AII84" s="1"/>
      <c r="AIJ84" s="1"/>
      <c r="AIK84" s="1"/>
      <c r="AIL84" s="1"/>
      <c r="AIM84" s="1"/>
      <c r="AIN84" s="1"/>
      <c r="AIO84" s="1"/>
      <c r="AIP84" s="1"/>
      <c r="AIQ84" s="1"/>
      <c r="AIR84" s="1"/>
      <c r="AIS84" s="1"/>
      <c r="AIT84" s="1"/>
      <c r="AIU84" s="1"/>
      <c r="AIV84" s="1"/>
      <c r="AIW84" s="1"/>
      <c r="AIX84" s="1"/>
      <c r="AIY84" s="1"/>
      <c r="AIZ84" s="1"/>
      <c r="AJA84" s="1"/>
      <c r="AJB84" s="1"/>
      <c r="AJC84" s="1"/>
      <c r="AJD84" s="1"/>
      <c r="AJE84" s="1"/>
      <c r="AJF84" s="1"/>
      <c r="AJG84" s="1"/>
      <c r="AJH84" s="1"/>
      <c r="AJI84" s="1"/>
      <c r="AJJ84" s="1"/>
      <c r="AJK84" s="1"/>
      <c r="AJL84" s="1"/>
      <c r="AJM84" s="1"/>
      <c r="AJN84" s="1"/>
      <c r="AJO84" s="1"/>
      <c r="AJP84" s="1"/>
      <c r="AJQ84" s="1"/>
      <c r="AJR84" s="1"/>
      <c r="AJS84" s="1"/>
      <c r="AJT84" s="1"/>
      <c r="AJU84" s="1"/>
      <c r="AJV84" s="1"/>
      <c r="AJW84" s="1"/>
      <c r="AJX84" s="1"/>
      <c r="AJY84" s="1"/>
      <c r="AJZ84" s="1"/>
      <c r="AKA84" s="1"/>
      <c r="AKB84" s="1"/>
      <c r="AKC84" s="1"/>
      <c r="AKD84" s="1"/>
      <c r="AKE84" s="1"/>
      <c r="AKF84" s="1"/>
      <c r="AKG84" s="1"/>
      <c r="AKH84" s="1"/>
      <c r="AKI84" s="1"/>
      <c r="AKJ84" s="1"/>
      <c r="AKK84" s="1"/>
      <c r="AKL84" s="1"/>
      <c r="AKM84" s="1"/>
      <c r="AKN84" s="1"/>
      <c r="AKO84" s="1"/>
      <c r="AKP84" s="1"/>
      <c r="AKQ84" s="1"/>
      <c r="AKR84" s="1"/>
      <c r="AKS84" s="1"/>
      <c r="AKT84" s="1"/>
      <c r="AKU84" s="1"/>
      <c r="AKV84" s="1"/>
      <c r="AKW84" s="1"/>
      <c r="AKX84" s="1"/>
      <c r="AKY84" s="1"/>
      <c r="AKZ84" s="1"/>
      <c r="ALA84" s="1"/>
      <c r="ALB84" s="1"/>
      <c r="ALC84" s="1"/>
      <c r="ALD84" s="1"/>
      <c r="ALE84" s="1"/>
      <c r="ALF84" s="1"/>
      <c r="ALG84" s="1"/>
      <c r="ALH84" s="1"/>
      <c r="ALI84" s="1"/>
      <c r="ALJ84" s="1"/>
      <c r="ALK84" s="1"/>
      <c r="ALL84" s="1"/>
      <c r="ALM84" s="1"/>
      <c r="ALN84" s="1"/>
      <c r="ALO84" s="1"/>
      <c r="ALP84" s="1"/>
      <c r="ALQ84" s="1"/>
      <c r="ALR84" s="1"/>
      <c r="ALS84" s="1"/>
      <c r="ALT84" s="1"/>
      <c r="ALU84" s="1"/>
      <c r="ALV84" s="1"/>
      <c r="ALW84" s="1"/>
      <c r="ALX84" s="1"/>
      <c r="ALY84" s="1"/>
      <c r="ALZ84" s="1"/>
      <c r="AMA84" s="1"/>
      <c r="AMB84" s="1"/>
      <c r="AMC84" s="1"/>
      <c r="AMD84" s="1"/>
      <c r="AME84" s="1"/>
      <c r="AMF84" s="1"/>
      <c r="AMG84" s="1"/>
      <c r="AMH84" s="1"/>
      <c r="AMI84" s="1"/>
      <c r="AMJ84" s="1"/>
      <c r="AMK84" s="1"/>
      <c r="AML84" s="1"/>
      <c r="AMM84" s="1"/>
      <c r="AMN84" s="1"/>
      <c r="AMO84" s="1"/>
    </row>
    <row r="85" spans="1:1029" x14ac:dyDescent="0.2">
      <c r="A85" s="3" t="str">
        <f t="shared" si="223"/>
        <v>adrb1_melga_2YCW</v>
      </c>
      <c r="B85" s="3" t="s">
        <v>912</v>
      </c>
      <c r="C85" s="3" t="s">
        <v>1027</v>
      </c>
      <c r="D85" s="3" t="str">
        <f>IFERROR(MID(VLOOKUP($B85,Seqs!$A:$B,2,0),E85,1),"")</f>
        <v>S</v>
      </c>
      <c r="E85" s="3">
        <v>37</v>
      </c>
      <c r="F85" s="3" t="str">
        <f>IFERROR(MID(VLOOKUP($B85,Seqs!$A:$B,2,0),G85,1),"")</f>
        <v>T</v>
      </c>
      <c r="G85" s="3">
        <v>69</v>
      </c>
      <c r="H85" s="3" t="str">
        <f>IFERROR(MID(VLOOKUP($B85,Seqs!$A:$B,2,0),I85,1),"")</f>
        <v>Q</v>
      </c>
      <c r="I85" s="23">
        <v>70</v>
      </c>
      <c r="J85" s="3" t="str">
        <f>IFERROR(MID(VLOOKUP($B85,Seqs!$A:$B,2,0),K85,1),"")</f>
        <v>Q</v>
      </c>
      <c r="K85" s="23">
        <v>73</v>
      </c>
      <c r="L85" s="3" t="str">
        <f>IFERROR(MID(VLOOKUP($B85,Seqs!$A:$B,2,0),M85,1),"")</f>
        <v>T</v>
      </c>
      <c r="M85" s="3">
        <v>74</v>
      </c>
      <c r="N85" s="3" t="str">
        <f>IFERROR(MID(VLOOKUP($B85,Seqs!$A:$B,2,0),O85,1),"")</f>
        <v>R</v>
      </c>
      <c r="O85" s="3">
        <v>104</v>
      </c>
      <c r="P85" s="3" t="str">
        <f>IFERROR(MID(VLOOKUP($B85,Seqs!$A:$B,2,0),Q85,1),"")</f>
        <v>T</v>
      </c>
      <c r="Q85" s="3">
        <v>106</v>
      </c>
      <c r="R85" s="3" t="str">
        <f>IFERROR(MID(VLOOKUP($B85,Seqs!$A:$B,2,0),S85,1),"")</f>
        <v>W</v>
      </c>
      <c r="S85" s="3">
        <v>109</v>
      </c>
      <c r="T85" s="3" t="str">
        <f>IFERROR(MID(VLOOKUP($B85,Seqs!$A:$B,2,0),U85,1),"")</f>
        <v>G</v>
      </c>
      <c r="U85" s="3">
        <v>110</v>
      </c>
      <c r="V85" s="3" t="str">
        <f>IFERROR(MID(VLOOKUP($B85,Seqs!$A:$B,2,0),W85,1),"")</f>
        <v>S</v>
      </c>
      <c r="W85" s="3">
        <v>145</v>
      </c>
      <c r="X85" s="3" t="str">
        <f>IFERROR(MID(VLOOKUP($B85,Seqs!$A:$B,2,0),Y85,1),"")</f>
        <v>P</v>
      </c>
      <c r="Y85" s="3">
        <v>146</v>
      </c>
      <c r="Z85" s="3" t="str">
        <f>IFERROR(MID(VLOOKUP($B85,Seqs!$A:$B,2,0),AA85,1),"")</f>
        <v>M</v>
      </c>
      <c r="AA85" s="3">
        <v>153</v>
      </c>
      <c r="AB85" s="3" t="str">
        <f>IFERROR(MID(VLOOKUP($B85,Seqs!$A:$B,2,0),AC85,1),"")</f>
        <v>T</v>
      </c>
      <c r="AC85" s="9">
        <v>154</v>
      </c>
      <c r="AD85" s="3" t="str">
        <f>IFERROR(MID(VLOOKUP($B85,Seqs!$A:$B,2,0),AE85,1),"")</f>
        <v>H</v>
      </c>
      <c r="AE85" s="3">
        <v>180</v>
      </c>
      <c r="AF85" s="3" t="str">
        <f>IFERROR(MID(VLOOKUP($B85,Seqs!$A:$B,2,0),AG85,1),"")</f>
        <v>C</v>
      </c>
      <c r="AG85" s="3">
        <v>199</v>
      </c>
      <c r="AH85" s="3" t="str">
        <f>IFERROR(MID(VLOOKUP($B85,Seqs!$A:$B,2,0),AI85,1),"")</f>
        <v>F</v>
      </c>
      <c r="AI85" s="3">
        <v>201</v>
      </c>
      <c r="AJ85" s="3" t="str">
        <f>IFERROR(MID(VLOOKUP($B85,Seqs!$A:$B,2,0),AK85,1),"")</f>
        <v>N</v>
      </c>
      <c r="AK85" s="3">
        <v>204</v>
      </c>
      <c r="AL85" s="3" t="str">
        <f>IFERROR(MID(VLOOKUP($B85,Seqs!$A:$B,2,0),AM85,1),"")</f>
        <v>K</v>
      </c>
      <c r="AM85" s="3">
        <v>240</v>
      </c>
      <c r="AN85" s="3" t="str">
        <f>IFERROR(MID(VLOOKUP($B85,Seqs!$A:$B,2,0),AO85,1),"")</f>
        <v>L</v>
      </c>
      <c r="AO85" s="3">
        <v>289</v>
      </c>
      <c r="AP85" s="3" t="str">
        <f>IFERROR(MID(VLOOKUP($B85,Seqs!$A:$B,2,0),AQ85,1),"")</f>
        <v>N</v>
      </c>
      <c r="AQ85" s="3">
        <v>316</v>
      </c>
      <c r="AR85" s="3" t="str">
        <f>IFERROR(MID(VLOOKUP($B85,Seqs!$A:$B,2,0),AS85,1),"")</f>
        <v>P</v>
      </c>
      <c r="AS85" s="3">
        <v>321</v>
      </c>
      <c r="AT85" s="3" t="str">
        <f>IFERROR(MID(VLOOKUP($B85,Seqs!$A:$B,2,0),AU85,1),"")</f>
        <v>R</v>
      </c>
      <c r="AU85" s="3">
        <v>345</v>
      </c>
      <c r="AV85" s="3" t="str">
        <f>IFERROR(MID(VLOOKUP($B85,Seqs!$A:$B,2,0),AW85,1),"")</f>
        <v>S</v>
      </c>
      <c r="AW85" s="3">
        <v>346</v>
      </c>
      <c r="AX85" s="3" t="str">
        <f>IFERROR(MID(VLOOKUP($B85,Seqs!$A:$B,2,0),AY85,1),"")</f>
        <v>C</v>
      </c>
      <c r="AY85" s="3">
        <v>358</v>
      </c>
      <c r="AZ85" s="77" t="str">
        <f>VLOOKUP(B85,Classification!A:D,2,0)</f>
        <v>A</v>
      </c>
      <c r="BA85" s="94" t="str">
        <f>VLOOKUP(B85,Classification!A:D,4,0)</f>
        <v>Adrenoceptors</v>
      </c>
      <c r="BB85" s="27" t="b">
        <f t="shared" si="224"/>
        <v>1</v>
      </c>
      <c r="BC85" s="23">
        <f t="shared" si="169"/>
        <v>249</v>
      </c>
      <c r="BD85" s="4" t="s">
        <v>23</v>
      </c>
      <c r="BE85" s="3" t="s">
        <v>1381</v>
      </c>
      <c r="BF85" s="119">
        <v>3</v>
      </c>
      <c r="BG85" s="49" t="s">
        <v>1384</v>
      </c>
      <c r="BH85" s="49" t="s">
        <v>1384</v>
      </c>
      <c r="BI85" s="1"/>
      <c r="BJ85" s="70" t="s">
        <v>1293</v>
      </c>
      <c r="BK85" s="57" t="s">
        <v>1293</v>
      </c>
      <c r="BL85" s="57" t="s">
        <v>1293</v>
      </c>
      <c r="BM85" s="57" t="s">
        <v>1293</v>
      </c>
      <c r="BN85" s="57" t="s">
        <v>1293</v>
      </c>
      <c r="BO85" s="57" t="s">
        <v>1293</v>
      </c>
      <c r="BP85" s="57" t="s">
        <v>1293</v>
      </c>
      <c r="BQ85" s="57" t="s">
        <v>1293</v>
      </c>
      <c r="BR85" s="57" t="s">
        <v>1293</v>
      </c>
      <c r="BS85" s="57" t="s">
        <v>1293</v>
      </c>
      <c r="BT85" s="57" t="s">
        <v>1293</v>
      </c>
      <c r="BU85" s="57" t="s">
        <v>1293</v>
      </c>
      <c r="BV85" s="70">
        <f t="shared" si="170"/>
        <v>37</v>
      </c>
      <c r="BW85" s="71">
        <f t="shared" si="171"/>
        <v>70</v>
      </c>
      <c r="BX85" s="72">
        <f t="shared" si="172"/>
        <v>74</v>
      </c>
      <c r="BY85" s="71">
        <f t="shared" si="173"/>
        <v>106</v>
      </c>
      <c r="BZ85" s="72">
        <f t="shared" si="174"/>
        <v>110</v>
      </c>
      <c r="CA85" s="71">
        <f t="shared" si="175"/>
        <v>146</v>
      </c>
      <c r="CB85" s="72">
        <f t="shared" si="176"/>
        <v>154</v>
      </c>
      <c r="CC85" s="71">
        <f t="shared" si="177"/>
        <v>199</v>
      </c>
      <c r="CD85" s="72">
        <f t="shared" si="178"/>
        <v>204</v>
      </c>
      <c r="CE85" s="71">
        <f t="shared" si="179"/>
        <v>289</v>
      </c>
      <c r="CF85" s="72">
        <f t="shared" si="180"/>
        <v>321</v>
      </c>
      <c r="CG85" s="71">
        <f t="shared" si="181"/>
        <v>346</v>
      </c>
      <c r="CH85" s="70">
        <f t="shared" si="182"/>
        <v>69</v>
      </c>
      <c r="CI85" s="71">
        <f t="shared" si="183"/>
        <v>73</v>
      </c>
      <c r="CJ85" s="72">
        <f t="shared" si="184"/>
        <v>104</v>
      </c>
      <c r="CK85" s="72">
        <f t="shared" si="185"/>
        <v>109</v>
      </c>
      <c r="CL85" s="72">
        <f t="shared" si="186"/>
        <v>145</v>
      </c>
      <c r="CM85" s="72">
        <f t="shared" si="187"/>
        <v>153</v>
      </c>
      <c r="CN85" s="72">
        <f t="shared" si="188"/>
        <v>180</v>
      </c>
      <c r="CO85" s="72">
        <f t="shared" si="189"/>
        <v>201</v>
      </c>
      <c r="CP85" s="72">
        <f t="shared" si="190"/>
        <v>240</v>
      </c>
      <c r="CQ85" s="72">
        <f t="shared" si="191"/>
        <v>316</v>
      </c>
      <c r="CR85" s="72">
        <f t="shared" si="192"/>
        <v>345</v>
      </c>
      <c r="CS85" s="72">
        <f t="shared" si="193"/>
        <v>358</v>
      </c>
      <c r="CT85" s="23">
        <f t="shared" si="194"/>
        <v>1</v>
      </c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  <c r="OK85" s="1"/>
      <c r="OL85" s="1"/>
      <c r="OM85" s="1"/>
      <c r="ON85" s="1"/>
      <c r="OO85" s="1"/>
      <c r="OP85" s="1"/>
      <c r="OQ85" s="1"/>
      <c r="OR85" s="1"/>
      <c r="OS85" s="1"/>
      <c r="OT85" s="1"/>
      <c r="OU85" s="1"/>
      <c r="OV85" s="1"/>
      <c r="OW85" s="1"/>
      <c r="OX85" s="1"/>
      <c r="OY85" s="1"/>
      <c r="OZ85" s="1"/>
      <c r="PA85" s="1"/>
      <c r="PB85" s="1"/>
      <c r="PC85" s="1"/>
      <c r="PD85" s="1"/>
      <c r="PE85" s="1"/>
      <c r="PF85" s="1"/>
      <c r="PG85" s="1"/>
      <c r="PH85" s="1"/>
      <c r="PI85" s="1"/>
      <c r="PJ85" s="1"/>
      <c r="PK85" s="1"/>
      <c r="PL85" s="1"/>
      <c r="PM85" s="1"/>
      <c r="PN85" s="1"/>
      <c r="PO85" s="1"/>
      <c r="PP85" s="1"/>
      <c r="PQ85" s="1"/>
      <c r="PR85" s="1"/>
      <c r="PS85" s="1"/>
      <c r="PT85" s="1"/>
      <c r="PU85" s="1"/>
      <c r="PV85" s="1"/>
      <c r="PW85" s="1"/>
      <c r="PX85" s="1"/>
      <c r="PY85" s="1"/>
      <c r="PZ85" s="1"/>
      <c r="QA85" s="1"/>
      <c r="QB85" s="1"/>
      <c r="QC85" s="1"/>
      <c r="QD85" s="1"/>
      <c r="QE85" s="1"/>
      <c r="QF85" s="1"/>
      <c r="QG85" s="1"/>
      <c r="QH85" s="1"/>
      <c r="QI85" s="1"/>
      <c r="QJ85" s="1"/>
      <c r="QK85" s="1"/>
      <c r="QL85" s="1"/>
      <c r="QM85" s="1"/>
      <c r="QN85" s="1"/>
      <c r="QO85" s="1"/>
      <c r="QP85" s="1"/>
      <c r="QQ85" s="1"/>
      <c r="QR85" s="1"/>
      <c r="QS85" s="1"/>
      <c r="QT85" s="1"/>
      <c r="QU85" s="1"/>
      <c r="QV85" s="1"/>
      <c r="QW85" s="1"/>
      <c r="QX85" s="1"/>
      <c r="QY85" s="1"/>
      <c r="QZ85" s="1"/>
      <c r="RA85" s="1"/>
      <c r="RB85" s="1"/>
      <c r="RC85" s="1"/>
      <c r="RD85" s="1"/>
      <c r="RE85" s="1"/>
      <c r="RF85" s="1"/>
      <c r="RG85" s="1"/>
      <c r="RH85" s="1"/>
      <c r="RI85" s="1"/>
      <c r="RJ85" s="1"/>
      <c r="RK85" s="1"/>
      <c r="RL85" s="1"/>
      <c r="RM85" s="1"/>
      <c r="RN85" s="1"/>
      <c r="RO85" s="1"/>
      <c r="RP85" s="1"/>
      <c r="RQ85" s="1"/>
      <c r="RR85" s="1"/>
      <c r="RS85" s="1"/>
      <c r="RT85" s="1"/>
      <c r="RU85" s="1"/>
      <c r="RV85" s="1"/>
      <c r="RW85" s="1"/>
      <c r="RX85" s="1"/>
      <c r="RY85" s="1"/>
      <c r="RZ85" s="1"/>
      <c r="SA85" s="1"/>
      <c r="SB85" s="1"/>
      <c r="SC85" s="1"/>
      <c r="SD85" s="1"/>
      <c r="SE85" s="1"/>
      <c r="SF85" s="1"/>
      <c r="SG85" s="1"/>
      <c r="SH85" s="1"/>
      <c r="SI85" s="1"/>
      <c r="SJ85" s="1"/>
      <c r="SK85" s="1"/>
      <c r="SL85" s="1"/>
      <c r="SM85" s="1"/>
      <c r="SN85" s="1"/>
      <c r="SO85" s="1"/>
      <c r="SP85" s="1"/>
      <c r="SQ85" s="1"/>
      <c r="SR85" s="1"/>
      <c r="SS85" s="1"/>
      <c r="ST85" s="1"/>
      <c r="SU85" s="1"/>
      <c r="SV85" s="1"/>
      <c r="SW85" s="1"/>
      <c r="SX85" s="1"/>
      <c r="SY85" s="1"/>
      <c r="SZ85" s="1"/>
      <c r="TA85" s="1"/>
      <c r="TB85" s="1"/>
      <c r="TC85" s="1"/>
      <c r="TD85" s="1"/>
      <c r="TE85" s="1"/>
      <c r="TF85" s="1"/>
      <c r="TG85" s="1"/>
      <c r="TH85" s="1"/>
      <c r="TI85" s="1"/>
      <c r="TJ85" s="1"/>
      <c r="TK85" s="1"/>
      <c r="TL85" s="1"/>
      <c r="TM85" s="1"/>
      <c r="TN85" s="1"/>
      <c r="TO85" s="1"/>
      <c r="TP85" s="1"/>
      <c r="TQ85" s="1"/>
      <c r="TR85" s="1"/>
      <c r="TS85" s="1"/>
      <c r="TT85" s="1"/>
      <c r="TU85" s="1"/>
      <c r="TV85" s="1"/>
      <c r="TW85" s="1"/>
      <c r="TX85" s="1"/>
      <c r="TY85" s="1"/>
      <c r="TZ85" s="1"/>
      <c r="UA85" s="1"/>
      <c r="UB85" s="1"/>
      <c r="UC85" s="1"/>
      <c r="UD85" s="1"/>
      <c r="UE85" s="1"/>
      <c r="UF85" s="1"/>
      <c r="UG85" s="1"/>
      <c r="UH85" s="1"/>
      <c r="UI85" s="1"/>
      <c r="UJ85" s="1"/>
      <c r="UK85" s="1"/>
      <c r="UL85" s="1"/>
      <c r="UM85" s="1"/>
      <c r="UN85" s="1"/>
      <c r="UO85" s="1"/>
      <c r="UP85" s="1"/>
      <c r="UQ85" s="1"/>
      <c r="UR85" s="1"/>
      <c r="US85" s="1"/>
      <c r="UT85" s="1"/>
      <c r="UU85" s="1"/>
      <c r="UV85" s="1"/>
      <c r="UW85" s="1"/>
      <c r="UX85" s="1"/>
      <c r="UY85" s="1"/>
      <c r="UZ85" s="1"/>
      <c r="VA85" s="1"/>
      <c r="VB85" s="1"/>
      <c r="VC85" s="1"/>
      <c r="VD85" s="1"/>
      <c r="VE85" s="1"/>
      <c r="VF85" s="1"/>
      <c r="VG85" s="1"/>
      <c r="VH85" s="1"/>
      <c r="VI85" s="1"/>
      <c r="VJ85" s="1"/>
      <c r="VK85" s="1"/>
      <c r="VL85" s="1"/>
      <c r="VM85" s="1"/>
      <c r="VN85" s="1"/>
      <c r="VO85" s="1"/>
      <c r="VP85" s="1"/>
      <c r="VQ85" s="1"/>
      <c r="VR85" s="1"/>
      <c r="VS85" s="1"/>
      <c r="VT85" s="1"/>
      <c r="VU85" s="1"/>
      <c r="VV85" s="1"/>
      <c r="VW85" s="1"/>
      <c r="VX85" s="1"/>
      <c r="VY85" s="1"/>
      <c r="VZ85" s="1"/>
      <c r="WA85" s="1"/>
      <c r="WB85" s="1"/>
      <c r="WC85" s="1"/>
      <c r="WD85" s="1"/>
      <c r="WE85" s="1"/>
      <c r="WF85" s="1"/>
      <c r="WG85" s="1"/>
      <c r="WH85" s="1"/>
      <c r="WI85" s="1"/>
      <c r="WJ85" s="1"/>
      <c r="WK85" s="1"/>
      <c r="WL85" s="1"/>
      <c r="WM85" s="1"/>
      <c r="WN85" s="1"/>
      <c r="WO85" s="1"/>
      <c r="WP85" s="1"/>
      <c r="WQ85" s="1"/>
      <c r="WR85" s="1"/>
      <c r="WS85" s="1"/>
      <c r="WT85" s="1"/>
      <c r="WU85" s="1"/>
      <c r="WV85" s="1"/>
      <c r="WW85" s="1"/>
      <c r="WX85" s="1"/>
      <c r="WY85" s="1"/>
      <c r="WZ85" s="1"/>
      <c r="XA85" s="1"/>
      <c r="XB85" s="1"/>
      <c r="XC85" s="1"/>
      <c r="XD85" s="1"/>
      <c r="XE85" s="1"/>
      <c r="XF85" s="1"/>
      <c r="XG85" s="1"/>
      <c r="XH85" s="1"/>
      <c r="XI85" s="1"/>
      <c r="XJ85" s="1"/>
      <c r="XK85" s="1"/>
      <c r="XL85" s="1"/>
      <c r="XM85" s="1"/>
      <c r="XN85" s="1"/>
      <c r="XO85" s="1"/>
      <c r="XP85" s="1"/>
      <c r="XQ85" s="1"/>
      <c r="XR85" s="1"/>
      <c r="XS85" s="1"/>
      <c r="XT85" s="1"/>
      <c r="XU85" s="1"/>
      <c r="XV85" s="1"/>
      <c r="XW85" s="1"/>
      <c r="XX85" s="1"/>
      <c r="XY85" s="1"/>
      <c r="XZ85" s="1"/>
      <c r="YA85" s="1"/>
      <c r="YB85" s="1"/>
      <c r="YC85" s="1"/>
      <c r="YD85" s="1"/>
      <c r="YE85" s="1"/>
      <c r="YF85" s="1"/>
      <c r="YG85" s="1"/>
      <c r="YH85" s="1"/>
      <c r="YI85" s="1"/>
      <c r="YJ85" s="1"/>
      <c r="YK85" s="1"/>
      <c r="YL85" s="1"/>
      <c r="YM85" s="1"/>
      <c r="YN85" s="1"/>
      <c r="YO85" s="1"/>
      <c r="YP85" s="1"/>
      <c r="YQ85" s="1"/>
      <c r="YR85" s="1"/>
      <c r="YS85" s="1"/>
      <c r="YT85" s="1"/>
      <c r="YU85" s="1"/>
      <c r="YV85" s="1"/>
      <c r="YW85" s="1"/>
      <c r="YX85" s="1"/>
      <c r="YY85" s="1"/>
      <c r="YZ85" s="1"/>
      <c r="ZA85" s="1"/>
      <c r="ZB85" s="1"/>
      <c r="ZC85" s="1"/>
      <c r="ZD85" s="1"/>
      <c r="ZE85" s="1"/>
      <c r="ZF85" s="1"/>
      <c r="ZG85" s="1"/>
      <c r="ZH85" s="1"/>
      <c r="ZI85" s="1"/>
      <c r="ZJ85" s="1"/>
      <c r="ZK85" s="1"/>
      <c r="ZL85" s="1"/>
      <c r="ZM85" s="1"/>
      <c r="ZN85" s="1"/>
      <c r="ZO85" s="1"/>
      <c r="ZP85" s="1"/>
      <c r="ZQ85" s="1"/>
      <c r="ZR85" s="1"/>
      <c r="ZS85" s="1"/>
      <c r="ZT85" s="1"/>
      <c r="ZU85" s="1"/>
      <c r="ZV85" s="1"/>
      <c r="ZW85" s="1"/>
      <c r="ZX85" s="1"/>
      <c r="ZY85" s="1"/>
      <c r="ZZ85" s="1"/>
      <c r="AAA85" s="1"/>
      <c r="AAB85" s="1"/>
      <c r="AAC85" s="1"/>
      <c r="AAD85" s="1"/>
      <c r="AAE85" s="1"/>
      <c r="AAF85" s="1"/>
      <c r="AAG85" s="1"/>
      <c r="AAH85" s="1"/>
      <c r="AAI85" s="1"/>
      <c r="AAJ85" s="1"/>
      <c r="AAK85" s="1"/>
      <c r="AAL85" s="1"/>
      <c r="AAM85" s="1"/>
      <c r="AAN85" s="1"/>
      <c r="AAO85" s="1"/>
      <c r="AAP85" s="1"/>
      <c r="AAQ85" s="1"/>
      <c r="AAR85" s="1"/>
      <c r="AAS85" s="1"/>
      <c r="AAT85" s="1"/>
      <c r="AAU85" s="1"/>
      <c r="AAV85" s="1"/>
      <c r="AAW85" s="1"/>
      <c r="AAX85" s="1"/>
      <c r="AAY85" s="1"/>
      <c r="AAZ85" s="1"/>
      <c r="ABA85" s="1"/>
      <c r="ABB85" s="1"/>
      <c r="ABC85" s="1"/>
      <c r="ABD85" s="1"/>
      <c r="ABE85" s="1"/>
      <c r="ABF85" s="1"/>
      <c r="ABG85" s="1"/>
      <c r="ABH85" s="1"/>
      <c r="ABI85" s="1"/>
      <c r="ABJ85" s="1"/>
      <c r="ABK85" s="1"/>
      <c r="ABL85" s="1"/>
      <c r="ABM85" s="1"/>
      <c r="ABN85" s="1"/>
      <c r="ABO85" s="1"/>
      <c r="ABP85" s="1"/>
      <c r="ABQ85" s="1"/>
      <c r="ABR85" s="1"/>
      <c r="ABS85" s="1"/>
      <c r="ABT85" s="1"/>
      <c r="ABU85" s="1"/>
      <c r="ABV85" s="1"/>
      <c r="ABW85" s="1"/>
      <c r="ABX85" s="1"/>
      <c r="ABY85" s="1"/>
      <c r="ABZ85" s="1"/>
      <c r="ACA85" s="1"/>
      <c r="ACB85" s="1"/>
      <c r="ACC85" s="1"/>
      <c r="ACD85" s="1"/>
      <c r="ACE85" s="1"/>
      <c r="ACF85" s="1"/>
      <c r="ACG85" s="1"/>
      <c r="ACH85" s="1"/>
      <c r="ACI85" s="1"/>
      <c r="ACJ85" s="1"/>
      <c r="ACK85" s="1"/>
      <c r="ACL85" s="1"/>
      <c r="ACM85" s="1"/>
      <c r="ACN85" s="1"/>
      <c r="ACO85" s="1"/>
      <c r="ACP85" s="1"/>
      <c r="ACQ85" s="1"/>
      <c r="ACR85" s="1"/>
      <c r="ACS85" s="1"/>
      <c r="ACT85" s="1"/>
      <c r="ACU85" s="1"/>
      <c r="ACV85" s="1"/>
      <c r="ACW85" s="1"/>
      <c r="ACX85" s="1"/>
      <c r="ACY85" s="1"/>
      <c r="ACZ85" s="1"/>
      <c r="ADA85" s="1"/>
      <c r="ADB85" s="1"/>
      <c r="ADC85" s="1"/>
      <c r="ADD85" s="1"/>
      <c r="ADE85" s="1"/>
      <c r="ADF85" s="1"/>
      <c r="ADG85" s="1"/>
      <c r="ADH85" s="1"/>
      <c r="ADI85" s="1"/>
      <c r="ADJ85" s="1"/>
      <c r="ADK85" s="1"/>
      <c r="ADL85" s="1"/>
      <c r="ADM85" s="1"/>
      <c r="ADN85" s="1"/>
      <c r="ADO85" s="1"/>
      <c r="ADP85" s="1"/>
      <c r="ADQ85" s="1"/>
      <c r="ADR85" s="1"/>
      <c r="ADS85" s="1"/>
      <c r="ADT85" s="1"/>
      <c r="ADU85" s="1"/>
      <c r="ADV85" s="1"/>
      <c r="ADW85" s="1"/>
      <c r="ADX85" s="1"/>
      <c r="ADY85" s="1"/>
      <c r="ADZ85" s="1"/>
      <c r="AEA85" s="1"/>
      <c r="AEB85" s="1"/>
      <c r="AEC85" s="1"/>
      <c r="AED85" s="1"/>
      <c r="AEE85" s="1"/>
      <c r="AEF85" s="1"/>
      <c r="AEG85" s="1"/>
      <c r="AEH85" s="1"/>
      <c r="AEI85" s="1"/>
      <c r="AEJ85" s="1"/>
      <c r="AEK85" s="1"/>
      <c r="AEL85" s="1"/>
      <c r="AEM85" s="1"/>
      <c r="AEN85" s="1"/>
      <c r="AEO85" s="1"/>
      <c r="AEP85" s="1"/>
      <c r="AEQ85" s="1"/>
      <c r="AER85" s="1"/>
      <c r="AES85" s="1"/>
      <c r="AET85" s="1"/>
      <c r="AEU85" s="1"/>
      <c r="AEV85" s="1"/>
      <c r="AEW85" s="1"/>
      <c r="AEX85" s="1"/>
      <c r="AEY85" s="1"/>
      <c r="AEZ85" s="1"/>
      <c r="AFA85" s="1"/>
      <c r="AFB85" s="1"/>
      <c r="AFC85" s="1"/>
      <c r="AFD85" s="1"/>
      <c r="AFE85" s="1"/>
      <c r="AFF85" s="1"/>
      <c r="AFG85" s="1"/>
      <c r="AFH85" s="1"/>
      <c r="AFI85" s="1"/>
      <c r="AFJ85" s="1"/>
      <c r="AFK85" s="1"/>
      <c r="AFL85" s="1"/>
      <c r="AFM85" s="1"/>
      <c r="AFN85" s="1"/>
      <c r="AFO85" s="1"/>
      <c r="AFP85" s="1"/>
      <c r="AFQ85" s="1"/>
      <c r="AFR85" s="1"/>
      <c r="AFS85" s="1"/>
      <c r="AFT85" s="1"/>
      <c r="AFU85" s="1"/>
      <c r="AFV85" s="1"/>
      <c r="AFW85" s="1"/>
      <c r="AFX85" s="1"/>
      <c r="AFY85" s="1"/>
      <c r="AFZ85" s="1"/>
      <c r="AGA85" s="1"/>
      <c r="AGB85" s="1"/>
      <c r="AGC85" s="1"/>
      <c r="AGD85" s="1"/>
      <c r="AGE85" s="1"/>
      <c r="AGF85" s="1"/>
      <c r="AGG85" s="1"/>
      <c r="AGH85" s="1"/>
      <c r="AGI85" s="1"/>
      <c r="AGJ85" s="1"/>
      <c r="AGK85" s="1"/>
      <c r="AGL85" s="1"/>
      <c r="AGM85" s="1"/>
      <c r="AGN85" s="1"/>
      <c r="AGO85" s="1"/>
      <c r="AGP85" s="1"/>
      <c r="AGQ85" s="1"/>
      <c r="AGR85" s="1"/>
      <c r="AGS85" s="1"/>
      <c r="AGT85" s="1"/>
      <c r="AGU85" s="1"/>
      <c r="AGV85" s="1"/>
      <c r="AGW85" s="1"/>
      <c r="AGX85" s="1"/>
      <c r="AGY85" s="1"/>
      <c r="AGZ85" s="1"/>
      <c r="AHA85" s="1"/>
      <c r="AHB85" s="1"/>
      <c r="AHC85" s="1"/>
      <c r="AHD85" s="1"/>
      <c r="AHE85" s="1"/>
      <c r="AHF85" s="1"/>
      <c r="AHG85" s="1"/>
      <c r="AHH85" s="1"/>
      <c r="AHI85" s="1"/>
      <c r="AHJ85" s="1"/>
      <c r="AHK85" s="1"/>
      <c r="AHL85" s="1"/>
      <c r="AHM85" s="1"/>
      <c r="AHN85" s="1"/>
      <c r="AHO85" s="1"/>
      <c r="AHP85" s="1"/>
      <c r="AHQ85" s="1"/>
      <c r="AHR85" s="1"/>
      <c r="AHS85" s="1"/>
      <c r="AHT85" s="1"/>
      <c r="AHU85" s="1"/>
      <c r="AHV85" s="1"/>
      <c r="AHW85" s="1"/>
      <c r="AHX85" s="1"/>
      <c r="AHY85" s="1"/>
      <c r="AHZ85" s="1"/>
      <c r="AIA85" s="1"/>
      <c r="AIB85" s="1"/>
      <c r="AIC85" s="1"/>
      <c r="AID85" s="1"/>
      <c r="AIE85" s="1"/>
      <c r="AIF85" s="1"/>
      <c r="AIG85" s="1"/>
      <c r="AIH85" s="1"/>
      <c r="AII85" s="1"/>
      <c r="AIJ85" s="1"/>
      <c r="AIK85" s="1"/>
      <c r="AIL85" s="1"/>
      <c r="AIM85" s="1"/>
      <c r="AIN85" s="1"/>
      <c r="AIO85" s="1"/>
      <c r="AIP85" s="1"/>
      <c r="AIQ85" s="1"/>
      <c r="AIR85" s="1"/>
      <c r="AIS85" s="1"/>
      <c r="AIT85" s="1"/>
      <c r="AIU85" s="1"/>
      <c r="AIV85" s="1"/>
      <c r="AIW85" s="1"/>
      <c r="AIX85" s="1"/>
      <c r="AIY85" s="1"/>
      <c r="AIZ85" s="1"/>
      <c r="AJA85" s="1"/>
      <c r="AJB85" s="1"/>
      <c r="AJC85" s="1"/>
      <c r="AJD85" s="1"/>
      <c r="AJE85" s="1"/>
      <c r="AJF85" s="1"/>
      <c r="AJG85" s="1"/>
      <c r="AJH85" s="1"/>
      <c r="AJI85" s="1"/>
      <c r="AJJ85" s="1"/>
      <c r="AJK85" s="1"/>
      <c r="AJL85" s="1"/>
      <c r="AJM85" s="1"/>
      <c r="AJN85" s="1"/>
      <c r="AJO85" s="1"/>
      <c r="AJP85" s="1"/>
      <c r="AJQ85" s="1"/>
      <c r="AJR85" s="1"/>
      <c r="AJS85" s="1"/>
      <c r="AJT85" s="1"/>
      <c r="AJU85" s="1"/>
      <c r="AJV85" s="1"/>
      <c r="AJW85" s="1"/>
      <c r="AJX85" s="1"/>
      <c r="AJY85" s="1"/>
      <c r="AJZ85" s="1"/>
      <c r="AKA85" s="1"/>
      <c r="AKB85" s="1"/>
      <c r="AKC85" s="1"/>
      <c r="AKD85" s="1"/>
      <c r="AKE85" s="1"/>
      <c r="AKF85" s="1"/>
      <c r="AKG85" s="1"/>
      <c r="AKH85" s="1"/>
      <c r="AKI85" s="1"/>
      <c r="AKJ85" s="1"/>
      <c r="AKK85" s="1"/>
      <c r="AKL85" s="1"/>
      <c r="AKM85" s="1"/>
      <c r="AKN85" s="1"/>
      <c r="AKO85" s="1"/>
      <c r="AKP85" s="1"/>
      <c r="AKQ85" s="1"/>
      <c r="AKR85" s="1"/>
      <c r="AKS85" s="1"/>
      <c r="AKT85" s="1"/>
      <c r="AKU85" s="1"/>
      <c r="AKV85" s="1"/>
      <c r="AKW85" s="1"/>
      <c r="AKX85" s="1"/>
      <c r="AKY85" s="1"/>
      <c r="AKZ85" s="1"/>
      <c r="ALA85" s="1"/>
      <c r="ALB85" s="1"/>
      <c r="ALC85" s="1"/>
      <c r="ALD85" s="1"/>
      <c r="ALE85" s="1"/>
      <c r="ALF85" s="1"/>
      <c r="ALG85" s="1"/>
      <c r="ALH85" s="1"/>
      <c r="ALI85" s="1"/>
      <c r="ALJ85" s="1"/>
      <c r="ALK85" s="1"/>
      <c r="ALL85" s="1"/>
      <c r="ALM85" s="1"/>
      <c r="ALN85" s="1"/>
      <c r="ALO85" s="1"/>
      <c r="ALP85" s="1"/>
      <c r="ALQ85" s="1"/>
      <c r="ALR85" s="1"/>
      <c r="ALS85" s="1"/>
      <c r="ALT85" s="1"/>
      <c r="ALU85" s="1"/>
      <c r="ALV85" s="1"/>
      <c r="ALW85" s="1"/>
      <c r="ALX85" s="1"/>
      <c r="ALY85" s="1"/>
      <c r="ALZ85" s="1"/>
      <c r="AMA85" s="1"/>
      <c r="AMB85" s="1"/>
      <c r="AMC85" s="1"/>
      <c r="AMD85" s="1"/>
      <c r="AME85" s="1"/>
      <c r="AMF85" s="1"/>
      <c r="AMG85" s="1"/>
      <c r="AMH85" s="1"/>
      <c r="AMI85" s="1"/>
      <c r="AMJ85" s="1"/>
      <c r="AMK85" s="1"/>
      <c r="AML85" s="1"/>
      <c r="AMM85" s="1"/>
      <c r="AMN85" s="1"/>
      <c r="AMO85" s="1"/>
    </row>
    <row r="86" spans="1:1029" x14ac:dyDescent="0.2">
      <c r="A86" s="3" t="str">
        <f t="shared" si="223"/>
        <v>adrb1_melga_2YCZ</v>
      </c>
      <c r="B86" s="3" t="s">
        <v>912</v>
      </c>
      <c r="C86" s="3" t="s">
        <v>1028</v>
      </c>
      <c r="D86" s="3" t="str">
        <f>IFERROR(MID(VLOOKUP($B86,Seqs!$A:$B,2,0),E86,1),"")</f>
        <v>A</v>
      </c>
      <c r="E86" s="3">
        <v>33</v>
      </c>
      <c r="F86" s="3" t="str">
        <f>IFERROR(MID(VLOOKUP($B86,Seqs!$A:$B,2,0),G86,1),"")</f>
        <v>T</v>
      </c>
      <c r="G86" s="3">
        <v>69</v>
      </c>
      <c r="H86" s="3" t="str">
        <f>IFERROR(MID(VLOOKUP($B86,Seqs!$A:$B,2,0),I86,1),"")</f>
        <v>Q</v>
      </c>
      <c r="I86" s="23">
        <v>70</v>
      </c>
      <c r="J86" s="3" t="str">
        <f>IFERROR(MID(VLOOKUP($B86,Seqs!$A:$B,2,0),K86,1),"")</f>
        <v>Q</v>
      </c>
      <c r="K86" s="23">
        <v>73</v>
      </c>
      <c r="L86" s="3" t="str">
        <f>IFERROR(MID(VLOOKUP($B86,Seqs!$A:$B,2,0),M86,1),"")</f>
        <v>T</v>
      </c>
      <c r="M86" s="3">
        <v>74</v>
      </c>
      <c r="N86" s="3" t="str">
        <f>IFERROR(MID(VLOOKUP($B86,Seqs!$A:$B,2,0),O86,1),"")</f>
        <v>R</v>
      </c>
      <c r="O86" s="3">
        <v>104</v>
      </c>
      <c r="P86" s="3" t="str">
        <f>IFERROR(MID(VLOOKUP($B86,Seqs!$A:$B,2,0),Q86,1),"")</f>
        <v>T</v>
      </c>
      <c r="Q86" s="3">
        <v>106</v>
      </c>
      <c r="R86" s="3" t="str">
        <f>IFERROR(MID(VLOOKUP($B86,Seqs!$A:$B,2,0),S86,1),"")</f>
        <v>W</v>
      </c>
      <c r="S86" s="3">
        <v>109</v>
      </c>
      <c r="T86" s="3" t="str">
        <f>IFERROR(MID(VLOOKUP($B86,Seqs!$A:$B,2,0),U86,1),"")</f>
        <v>G</v>
      </c>
      <c r="U86" s="3">
        <v>110</v>
      </c>
      <c r="V86" s="3" t="str">
        <f>IFERROR(MID(VLOOKUP($B86,Seqs!$A:$B,2,0),W86,1),"")</f>
        <v>S</v>
      </c>
      <c r="W86" s="3">
        <v>145</v>
      </c>
      <c r="X86" s="3" t="str">
        <f>IFERROR(MID(VLOOKUP($B86,Seqs!$A:$B,2,0),Y86,1),"")</f>
        <v>P</v>
      </c>
      <c r="Y86" s="3">
        <v>146</v>
      </c>
      <c r="Z86" s="3" t="str">
        <f>IFERROR(MID(VLOOKUP($B86,Seqs!$A:$B,2,0),AA86,1),"")</f>
        <v>M</v>
      </c>
      <c r="AA86" s="3">
        <v>153</v>
      </c>
      <c r="AB86" s="3" t="str">
        <f>IFERROR(MID(VLOOKUP($B86,Seqs!$A:$B,2,0),AC86,1),"")</f>
        <v>T</v>
      </c>
      <c r="AC86" s="9">
        <v>154</v>
      </c>
      <c r="AD86" s="3" t="str">
        <f>IFERROR(MID(VLOOKUP($B86,Seqs!$A:$B,2,0),AE86,1),"")</f>
        <v>H</v>
      </c>
      <c r="AE86" s="3">
        <v>180</v>
      </c>
      <c r="AF86" s="3" t="str">
        <f>IFERROR(MID(VLOOKUP($B86,Seqs!$A:$B,2,0),AG86,1),"")</f>
        <v>C</v>
      </c>
      <c r="AG86" s="3">
        <v>199</v>
      </c>
      <c r="AH86" s="3" t="str">
        <f>IFERROR(MID(VLOOKUP($B86,Seqs!$A:$B,2,0),AI86,1),"")</f>
        <v>F</v>
      </c>
      <c r="AI86" s="3">
        <v>201</v>
      </c>
      <c r="AJ86" s="3" t="str">
        <f>IFERROR(MID(VLOOKUP($B86,Seqs!$A:$B,2,0),AK86,1),"")</f>
        <v>N</v>
      </c>
      <c r="AK86" s="3">
        <v>204</v>
      </c>
      <c r="AL86" s="3" t="str">
        <f>IFERROR(MID(VLOOKUP($B86,Seqs!$A:$B,2,0),AM86,1),"")</f>
        <v>K</v>
      </c>
      <c r="AM86" s="3">
        <v>240</v>
      </c>
      <c r="AN86" s="3" t="str">
        <f>IFERROR(MID(VLOOKUP($B86,Seqs!$A:$B,2,0),AO86,1),"")</f>
        <v>A</v>
      </c>
      <c r="AO86" s="3">
        <v>288</v>
      </c>
      <c r="AP86" s="3" t="str">
        <f>IFERROR(MID(VLOOKUP($B86,Seqs!$A:$B,2,0),AQ86,1),"")</f>
        <v>N</v>
      </c>
      <c r="AQ86" s="3">
        <v>316</v>
      </c>
      <c r="AR86" s="3" t="str">
        <f>IFERROR(MID(VLOOKUP($B86,Seqs!$A:$B,2,0),AS86,1),"")</f>
        <v>P</v>
      </c>
      <c r="AS86" s="3">
        <v>321</v>
      </c>
      <c r="AT86" s="3" t="str">
        <f>IFERROR(MID(VLOOKUP($B86,Seqs!$A:$B,2,0),AU86,1),"")</f>
        <v>R</v>
      </c>
      <c r="AU86" s="3">
        <v>345</v>
      </c>
      <c r="AV86" s="3" t="str">
        <f>IFERROR(MID(VLOOKUP($B86,Seqs!$A:$B,2,0),AW86,1),"")</f>
        <v>S</v>
      </c>
      <c r="AW86" s="3">
        <v>346</v>
      </c>
      <c r="AX86" s="3" t="str">
        <f>IFERROR(MID(VLOOKUP($B86,Seqs!$A:$B,2,0),AY86,1),"")</f>
        <v>C</v>
      </c>
      <c r="AY86" s="3">
        <v>358</v>
      </c>
      <c r="AZ86" s="77" t="str">
        <f>VLOOKUP(B86,Classification!A:D,2,0)</f>
        <v>A</v>
      </c>
      <c r="BA86" s="94" t="str">
        <f>VLOOKUP(B86,Classification!A:D,4,0)</f>
        <v>Adrenoceptors</v>
      </c>
      <c r="BB86" s="27" t="b">
        <f t="shared" si="224"/>
        <v>1</v>
      </c>
      <c r="BC86" s="23">
        <f t="shared" si="169"/>
        <v>254</v>
      </c>
      <c r="BD86" s="16" t="s">
        <v>23</v>
      </c>
      <c r="BE86" s="3" t="s">
        <v>1381</v>
      </c>
      <c r="BF86" s="119">
        <v>3.65</v>
      </c>
      <c r="BG86" s="49" t="s">
        <v>1384</v>
      </c>
      <c r="BH86" s="49" t="s">
        <v>1384</v>
      </c>
      <c r="BI86" s="1"/>
      <c r="BJ86" s="70" t="s">
        <v>1293</v>
      </c>
      <c r="BK86" s="57" t="s">
        <v>1293</v>
      </c>
      <c r="BL86" s="57" t="s">
        <v>1293</v>
      </c>
      <c r="BM86" s="57" t="s">
        <v>1293</v>
      </c>
      <c r="BN86" s="57" t="s">
        <v>1293</v>
      </c>
      <c r="BO86" s="57" t="s">
        <v>1293</v>
      </c>
      <c r="BP86" s="57" t="s">
        <v>1293</v>
      </c>
      <c r="BQ86" s="57" t="s">
        <v>1293</v>
      </c>
      <c r="BR86" s="57" t="s">
        <v>1293</v>
      </c>
      <c r="BS86" s="57" t="s">
        <v>1293</v>
      </c>
      <c r="BT86" s="57" t="s">
        <v>1293</v>
      </c>
      <c r="BU86" s="57" t="s">
        <v>1293</v>
      </c>
      <c r="BV86" s="70">
        <f t="shared" si="170"/>
        <v>33</v>
      </c>
      <c r="BW86" s="71">
        <f t="shared" si="171"/>
        <v>70</v>
      </c>
      <c r="BX86" s="72">
        <f t="shared" si="172"/>
        <v>74</v>
      </c>
      <c r="BY86" s="71">
        <f t="shared" si="173"/>
        <v>106</v>
      </c>
      <c r="BZ86" s="72">
        <f t="shared" si="174"/>
        <v>110</v>
      </c>
      <c r="CA86" s="71">
        <f t="shared" si="175"/>
        <v>146</v>
      </c>
      <c r="CB86" s="72">
        <f t="shared" si="176"/>
        <v>154</v>
      </c>
      <c r="CC86" s="71">
        <f t="shared" si="177"/>
        <v>199</v>
      </c>
      <c r="CD86" s="72">
        <f t="shared" si="178"/>
        <v>204</v>
      </c>
      <c r="CE86" s="71">
        <f t="shared" si="179"/>
        <v>288</v>
      </c>
      <c r="CF86" s="72">
        <f t="shared" si="180"/>
        <v>321</v>
      </c>
      <c r="CG86" s="71">
        <f t="shared" si="181"/>
        <v>346</v>
      </c>
      <c r="CH86" s="70">
        <f t="shared" si="182"/>
        <v>69</v>
      </c>
      <c r="CI86" s="71">
        <f t="shared" si="183"/>
        <v>73</v>
      </c>
      <c r="CJ86" s="72">
        <f t="shared" si="184"/>
        <v>104</v>
      </c>
      <c r="CK86" s="72">
        <f t="shared" si="185"/>
        <v>109</v>
      </c>
      <c r="CL86" s="72">
        <f t="shared" si="186"/>
        <v>145</v>
      </c>
      <c r="CM86" s="72">
        <f t="shared" si="187"/>
        <v>153</v>
      </c>
      <c r="CN86" s="72">
        <f t="shared" si="188"/>
        <v>180</v>
      </c>
      <c r="CO86" s="72">
        <f t="shared" si="189"/>
        <v>201</v>
      </c>
      <c r="CP86" s="72">
        <f t="shared" si="190"/>
        <v>240</v>
      </c>
      <c r="CQ86" s="72">
        <f t="shared" si="191"/>
        <v>316</v>
      </c>
      <c r="CR86" s="72">
        <f t="shared" si="192"/>
        <v>345</v>
      </c>
      <c r="CS86" s="72">
        <f t="shared" si="193"/>
        <v>358</v>
      </c>
      <c r="CT86" s="23">
        <f t="shared" si="194"/>
        <v>1</v>
      </c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  <c r="OK86" s="1"/>
      <c r="OL86" s="1"/>
      <c r="OM86" s="1"/>
      <c r="ON86" s="1"/>
      <c r="OO86" s="1"/>
      <c r="OP86" s="1"/>
      <c r="OQ86" s="1"/>
      <c r="OR86" s="1"/>
      <c r="OS86" s="1"/>
      <c r="OT86" s="1"/>
      <c r="OU86" s="1"/>
      <c r="OV86" s="1"/>
      <c r="OW86" s="1"/>
      <c r="OX86" s="1"/>
      <c r="OY86" s="1"/>
      <c r="OZ86" s="1"/>
      <c r="PA86" s="1"/>
      <c r="PB86" s="1"/>
      <c r="PC86" s="1"/>
      <c r="PD86" s="1"/>
      <c r="PE86" s="1"/>
      <c r="PF86" s="1"/>
      <c r="PG86" s="1"/>
      <c r="PH86" s="1"/>
      <c r="PI86" s="1"/>
      <c r="PJ86" s="1"/>
      <c r="PK86" s="1"/>
      <c r="PL86" s="1"/>
      <c r="PM86" s="1"/>
      <c r="PN86" s="1"/>
      <c r="PO86" s="1"/>
      <c r="PP86" s="1"/>
      <c r="PQ86" s="1"/>
      <c r="PR86" s="1"/>
      <c r="PS86" s="1"/>
      <c r="PT86" s="1"/>
      <c r="PU86" s="1"/>
      <c r="PV86" s="1"/>
      <c r="PW86" s="1"/>
      <c r="PX86" s="1"/>
      <c r="PY86" s="1"/>
      <c r="PZ86" s="1"/>
      <c r="QA86" s="1"/>
      <c r="QB86" s="1"/>
      <c r="QC86" s="1"/>
      <c r="QD86" s="1"/>
      <c r="QE86" s="1"/>
      <c r="QF86" s="1"/>
      <c r="QG86" s="1"/>
      <c r="QH86" s="1"/>
      <c r="QI86" s="1"/>
      <c r="QJ86" s="1"/>
      <c r="QK86" s="1"/>
      <c r="QL86" s="1"/>
      <c r="QM86" s="1"/>
      <c r="QN86" s="1"/>
      <c r="QO86" s="1"/>
      <c r="QP86" s="1"/>
      <c r="QQ86" s="1"/>
      <c r="QR86" s="1"/>
      <c r="QS86" s="1"/>
      <c r="QT86" s="1"/>
      <c r="QU86" s="1"/>
      <c r="QV86" s="1"/>
      <c r="QW86" s="1"/>
      <c r="QX86" s="1"/>
      <c r="QY86" s="1"/>
      <c r="QZ86" s="1"/>
      <c r="RA86" s="1"/>
      <c r="RB86" s="1"/>
      <c r="RC86" s="1"/>
      <c r="RD86" s="1"/>
      <c r="RE86" s="1"/>
      <c r="RF86" s="1"/>
      <c r="RG86" s="1"/>
      <c r="RH86" s="1"/>
      <c r="RI86" s="1"/>
      <c r="RJ86" s="1"/>
      <c r="RK86" s="1"/>
      <c r="RL86" s="1"/>
      <c r="RM86" s="1"/>
      <c r="RN86" s="1"/>
      <c r="RO86" s="1"/>
      <c r="RP86" s="1"/>
      <c r="RQ86" s="1"/>
      <c r="RR86" s="1"/>
      <c r="RS86" s="1"/>
      <c r="RT86" s="1"/>
      <c r="RU86" s="1"/>
      <c r="RV86" s="1"/>
      <c r="RW86" s="1"/>
      <c r="RX86" s="1"/>
      <c r="RY86" s="1"/>
      <c r="RZ86" s="1"/>
      <c r="SA86" s="1"/>
      <c r="SB86" s="1"/>
      <c r="SC86" s="1"/>
      <c r="SD86" s="1"/>
      <c r="SE86" s="1"/>
      <c r="SF86" s="1"/>
      <c r="SG86" s="1"/>
      <c r="SH86" s="1"/>
      <c r="SI86" s="1"/>
      <c r="SJ86" s="1"/>
      <c r="SK86" s="1"/>
      <c r="SL86" s="1"/>
      <c r="SM86" s="1"/>
      <c r="SN86" s="1"/>
      <c r="SO86" s="1"/>
      <c r="SP86" s="1"/>
      <c r="SQ86" s="1"/>
      <c r="SR86" s="1"/>
      <c r="SS86" s="1"/>
      <c r="ST86" s="1"/>
      <c r="SU86" s="1"/>
      <c r="SV86" s="1"/>
      <c r="SW86" s="1"/>
      <c r="SX86" s="1"/>
      <c r="SY86" s="1"/>
      <c r="SZ86" s="1"/>
      <c r="TA86" s="1"/>
      <c r="TB86" s="1"/>
      <c r="TC86" s="1"/>
      <c r="TD86" s="1"/>
      <c r="TE86" s="1"/>
      <c r="TF86" s="1"/>
      <c r="TG86" s="1"/>
      <c r="TH86" s="1"/>
      <c r="TI86" s="1"/>
      <c r="TJ86" s="1"/>
      <c r="TK86" s="1"/>
      <c r="TL86" s="1"/>
      <c r="TM86" s="1"/>
      <c r="TN86" s="1"/>
      <c r="TO86" s="1"/>
      <c r="TP86" s="1"/>
      <c r="TQ86" s="1"/>
      <c r="TR86" s="1"/>
      <c r="TS86" s="1"/>
      <c r="TT86" s="1"/>
      <c r="TU86" s="1"/>
      <c r="TV86" s="1"/>
      <c r="TW86" s="1"/>
      <c r="TX86" s="1"/>
      <c r="TY86" s="1"/>
      <c r="TZ86" s="1"/>
      <c r="UA86" s="1"/>
      <c r="UB86" s="1"/>
      <c r="UC86" s="1"/>
      <c r="UD86" s="1"/>
      <c r="UE86" s="1"/>
      <c r="UF86" s="1"/>
      <c r="UG86" s="1"/>
      <c r="UH86" s="1"/>
      <c r="UI86" s="1"/>
      <c r="UJ86" s="1"/>
      <c r="UK86" s="1"/>
      <c r="UL86" s="1"/>
      <c r="UM86" s="1"/>
      <c r="UN86" s="1"/>
      <c r="UO86" s="1"/>
      <c r="UP86" s="1"/>
      <c r="UQ86" s="1"/>
      <c r="UR86" s="1"/>
      <c r="US86" s="1"/>
      <c r="UT86" s="1"/>
      <c r="UU86" s="1"/>
      <c r="UV86" s="1"/>
      <c r="UW86" s="1"/>
      <c r="UX86" s="1"/>
      <c r="UY86" s="1"/>
      <c r="UZ86" s="1"/>
      <c r="VA86" s="1"/>
      <c r="VB86" s="1"/>
      <c r="VC86" s="1"/>
      <c r="VD86" s="1"/>
      <c r="VE86" s="1"/>
      <c r="VF86" s="1"/>
      <c r="VG86" s="1"/>
      <c r="VH86" s="1"/>
      <c r="VI86" s="1"/>
      <c r="VJ86" s="1"/>
      <c r="VK86" s="1"/>
      <c r="VL86" s="1"/>
      <c r="VM86" s="1"/>
      <c r="VN86" s="1"/>
      <c r="VO86" s="1"/>
      <c r="VP86" s="1"/>
      <c r="VQ86" s="1"/>
      <c r="VR86" s="1"/>
      <c r="VS86" s="1"/>
      <c r="VT86" s="1"/>
      <c r="VU86" s="1"/>
      <c r="VV86" s="1"/>
      <c r="VW86" s="1"/>
      <c r="VX86" s="1"/>
      <c r="VY86" s="1"/>
      <c r="VZ86" s="1"/>
      <c r="WA86" s="1"/>
      <c r="WB86" s="1"/>
      <c r="WC86" s="1"/>
      <c r="WD86" s="1"/>
      <c r="WE86" s="1"/>
      <c r="WF86" s="1"/>
      <c r="WG86" s="1"/>
      <c r="WH86" s="1"/>
      <c r="WI86" s="1"/>
      <c r="WJ86" s="1"/>
      <c r="WK86" s="1"/>
      <c r="WL86" s="1"/>
      <c r="WM86" s="1"/>
      <c r="WN86" s="1"/>
      <c r="WO86" s="1"/>
      <c r="WP86" s="1"/>
      <c r="WQ86" s="1"/>
      <c r="WR86" s="1"/>
      <c r="WS86" s="1"/>
      <c r="WT86" s="1"/>
      <c r="WU86" s="1"/>
      <c r="WV86" s="1"/>
      <c r="WW86" s="1"/>
      <c r="WX86" s="1"/>
      <c r="WY86" s="1"/>
      <c r="WZ86" s="1"/>
      <c r="XA86" s="1"/>
      <c r="XB86" s="1"/>
      <c r="XC86" s="1"/>
      <c r="XD86" s="1"/>
      <c r="XE86" s="1"/>
      <c r="XF86" s="1"/>
      <c r="XG86" s="1"/>
      <c r="XH86" s="1"/>
      <c r="XI86" s="1"/>
      <c r="XJ86" s="1"/>
      <c r="XK86" s="1"/>
      <c r="XL86" s="1"/>
      <c r="XM86" s="1"/>
      <c r="XN86" s="1"/>
      <c r="XO86" s="1"/>
      <c r="XP86" s="1"/>
      <c r="XQ86" s="1"/>
      <c r="XR86" s="1"/>
      <c r="XS86" s="1"/>
      <c r="XT86" s="1"/>
      <c r="XU86" s="1"/>
      <c r="XV86" s="1"/>
      <c r="XW86" s="1"/>
      <c r="XX86" s="1"/>
      <c r="XY86" s="1"/>
      <c r="XZ86" s="1"/>
      <c r="YA86" s="1"/>
      <c r="YB86" s="1"/>
      <c r="YC86" s="1"/>
      <c r="YD86" s="1"/>
      <c r="YE86" s="1"/>
      <c r="YF86" s="1"/>
      <c r="YG86" s="1"/>
      <c r="YH86" s="1"/>
      <c r="YI86" s="1"/>
      <c r="YJ86" s="1"/>
      <c r="YK86" s="1"/>
      <c r="YL86" s="1"/>
      <c r="YM86" s="1"/>
      <c r="YN86" s="1"/>
      <c r="YO86" s="1"/>
      <c r="YP86" s="1"/>
      <c r="YQ86" s="1"/>
      <c r="YR86" s="1"/>
      <c r="YS86" s="1"/>
      <c r="YT86" s="1"/>
      <c r="YU86" s="1"/>
      <c r="YV86" s="1"/>
      <c r="YW86" s="1"/>
      <c r="YX86" s="1"/>
      <c r="YY86" s="1"/>
      <c r="YZ86" s="1"/>
      <c r="ZA86" s="1"/>
      <c r="ZB86" s="1"/>
      <c r="ZC86" s="1"/>
      <c r="ZD86" s="1"/>
      <c r="ZE86" s="1"/>
      <c r="ZF86" s="1"/>
      <c r="ZG86" s="1"/>
      <c r="ZH86" s="1"/>
      <c r="ZI86" s="1"/>
      <c r="ZJ86" s="1"/>
      <c r="ZK86" s="1"/>
      <c r="ZL86" s="1"/>
      <c r="ZM86" s="1"/>
      <c r="ZN86" s="1"/>
      <c r="ZO86" s="1"/>
      <c r="ZP86" s="1"/>
      <c r="ZQ86" s="1"/>
      <c r="ZR86" s="1"/>
      <c r="ZS86" s="1"/>
      <c r="ZT86" s="1"/>
      <c r="ZU86" s="1"/>
      <c r="ZV86" s="1"/>
      <c r="ZW86" s="1"/>
      <c r="ZX86" s="1"/>
      <c r="ZY86" s="1"/>
      <c r="ZZ86" s="1"/>
      <c r="AAA86" s="1"/>
      <c r="AAB86" s="1"/>
      <c r="AAC86" s="1"/>
      <c r="AAD86" s="1"/>
      <c r="AAE86" s="1"/>
      <c r="AAF86" s="1"/>
      <c r="AAG86" s="1"/>
      <c r="AAH86" s="1"/>
      <c r="AAI86" s="1"/>
      <c r="AAJ86" s="1"/>
      <c r="AAK86" s="1"/>
      <c r="AAL86" s="1"/>
      <c r="AAM86" s="1"/>
      <c r="AAN86" s="1"/>
      <c r="AAO86" s="1"/>
      <c r="AAP86" s="1"/>
      <c r="AAQ86" s="1"/>
      <c r="AAR86" s="1"/>
      <c r="AAS86" s="1"/>
      <c r="AAT86" s="1"/>
      <c r="AAU86" s="1"/>
      <c r="AAV86" s="1"/>
      <c r="AAW86" s="1"/>
      <c r="AAX86" s="1"/>
      <c r="AAY86" s="1"/>
      <c r="AAZ86" s="1"/>
      <c r="ABA86" s="1"/>
      <c r="ABB86" s="1"/>
      <c r="ABC86" s="1"/>
      <c r="ABD86" s="1"/>
      <c r="ABE86" s="1"/>
      <c r="ABF86" s="1"/>
      <c r="ABG86" s="1"/>
      <c r="ABH86" s="1"/>
      <c r="ABI86" s="1"/>
      <c r="ABJ86" s="1"/>
      <c r="ABK86" s="1"/>
      <c r="ABL86" s="1"/>
      <c r="ABM86" s="1"/>
      <c r="ABN86" s="1"/>
      <c r="ABO86" s="1"/>
      <c r="ABP86" s="1"/>
      <c r="ABQ86" s="1"/>
      <c r="ABR86" s="1"/>
      <c r="ABS86" s="1"/>
      <c r="ABT86" s="1"/>
      <c r="ABU86" s="1"/>
      <c r="ABV86" s="1"/>
      <c r="ABW86" s="1"/>
      <c r="ABX86" s="1"/>
      <c r="ABY86" s="1"/>
      <c r="ABZ86" s="1"/>
      <c r="ACA86" s="1"/>
      <c r="ACB86" s="1"/>
      <c r="ACC86" s="1"/>
      <c r="ACD86" s="1"/>
      <c r="ACE86" s="1"/>
      <c r="ACF86" s="1"/>
      <c r="ACG86" s="1"/>
      <c r="ACH86" s="1"/>
      <c r="ACI86" s="1"/>
      <c r="ACJ86" s="1"/>
      <c r="ACK86" s="1"/>
      <c r="ACL86" s="1"/>
      <c r="ACM86" s="1"/>
      <c r="ACN86" s="1"/>
      <c r="ACO86" s="1"/>
      <c r="ACP86" s="1"/>
      <c r="ACQ86" s="1"/>
      <c r="ACR86" s="1"/>
      <c r="ACS86" s="1"/>
      <c r="ACT86" s="1"/>
      <c r="ACU86" s="1"/>
      <c r="ACV86" s="1"/>
      <c r="ACW86" s="1"/>
      <c r="ACX86" s="1"/>
      <c r="ACY86" s="1"/>
      <c r="ACZ86" s="1"/>
      <c r="ADA86" s="1"/>
      <c r="ADB86" s="1"/>
      <c r="ADC86" s="1"/>
      <c r="ADD86" s="1"/>
      <c r="ADE86" s="1"/>
      <c r="ADF86" s="1"/>
      <c r="ADG86" s="1"/>
      <c r="ADH86" s="1"/>
      <c r="ADI86" s="1"/>
      <c r="ADJ86" s="1"/>
      <c r="ADK86" s="1"/>
      <c r="ADL86" s="1"/>
      <c r="ADM86" s="1"/>
      <c r="ADN86" s="1"/>
      <c r="ADO86" s="1"/>
      <c r="ADP86" s="1"/>
      <c r="ADQ86" s="1"/>
      <c r="ADR86" s="1"/>
      <c r="ADS86" s="1"/>
      <c r="ADT86" s="1"/>
      <c r="ADU86" s="1"/>
      <c r="ADV86" s="1"/>
      <c r="ADW86" s="1"/>
      <c r="ADX86" s="1"/>
      <c r="ADY86" s="1"/>
      <c r="ADZ86" s="1"/>
      <c r="AEA86" s="1"/>
      <c r="AEB86" s="1"/>
      <c r="AEC86" s="1"/>
      <c r="AED86" s="1"/>
      <c r="AEE86" s="1"/>
      <c r="AEF86" s="1"/>
      <c r="AEG86" s="1"/>
      <c r="AEH86" s="1"/>
      <c r="AEI86" s="1"/>
      <c r="AEJ86" s="1"/>
      <c r="AEK86" s="1"/>
      <c r="AEL86" s="1"/>
      <c r="AEM86" s="1"/>
      <c r="AEN86" s="1"/>
      <c r="AEO86" s="1"/>
      <c r="AEP86" s="1"/>
      <c r="AEQ86" s="1"/>
      <c r="AER86" s="1"/>
      <c r="AES86" s="1"/>
      <c r="AET86" s="1"/>
      <c r="AEU86" s="1"/>
      <c r="AEV86" s="1"/>
      <c r="AEW86" s="1"/>
      <c r="AEX86" s="1"/>
      <c r="AEY86" s="1"/>
      <c r="AEZ86" s="1"/>
      <c r="AFA86" s="1"/>
      <c r="AFB86" s="1"/>
      <c r="AFC86" s="1"/>
      <c r="AFD86" s="1"/>
      <c r="AFE86" s="1"/>
      <c r="AFF86" s="1"/>
      <c r="AFG86" s="1"/>
      <c r="AFH86" s="1"/>
      <c r="AFI86" s="1"/>
      <c r="AFJ86" s="1"/>
      <c r="AFK86" s="1"/>
      <c r="AFL86" s="1"/>
      <c r="AFM86" s="1"/>
      <c r="AFN86" s="1"/>
      <c r="AFO86" s="1"/>
      <c r="AFP86" s="1"/>
      <c r="AFQ86" s="1"/>
      <c r="AFR86" s="1"/>
      <c r="AFS86" s="1"/>
      <c r="AFT86" s="1"/>
      <c r="AFU86" s="1"/>
      <c r="AFV86" s="1"/>
      <c r="AFW86" s="1"/>
      <c r="AFX86" s="1"/>
      <c r="AFY86" s="1"/>
      <c r="AFZ86" s="1"/>
      <c r="AGA86" s="1"/>
      <c r="AGB86" s="1"/>
      <c r="AGC86" s="1"/>
      <c r="AGD86" s="1"/>
      <c r="AGE86" s="1"/>
      <c r="AGF86" s="1"/>
      <c r="AGG86" s="1"/>
      <c r="AGH86" s="1"/>
      <c r="AGI86" s="1"/>
      <c r="AGJ86" s="1"/>
      <c r="AGK86" s="1"/>
      <c r="AGL86" s="1"/>
      <c r="AGM86" s="1"/>
      <c r="AGN86" s="1"/>
      <c r="AGO86" s="1"/>
      <c r="AGP86" s="1"/>
      <c r="AGQ86" s="1"/>
      <c r="AGR86" s="1"/>
      <c r="AGS86" s="1"/>
      <c r="AGT86" s="1"/>
      <c r="AGU86" s="1"/>
      <c r="AGV86" s="1"/>
      <c r="AGW86" s="1"/>
      <c r="AGX86" s="1"/>
      <c r="AGY86" s="1"/>
      <c r="AGZ86" s="1"/>
      <c r="AHA86" s="1"/>
      <c r="AHB86" s="1"/>
      <c r="AHC86" s="1"/>
      <c r="AHD86" s="1"/>
      <c r="AHE86" s="1"/>
      <c r="AHF86" s="1"/>
      <c r="AHG86" s="1"/>
      <c r="AHH86" s="1"/>
      <c r="AHI86" s="1"/>
      <c r="AHJ86" s="1"/>
      <c r="AHK86" s="1"/>
      <c r="AHL86" s="1"/>
      <c r="AHM86" s="1"/>
      <c r="AHN86" s="1"/>
      <c r="AHO86" s="1"/>
      <c r="AHP86" s="1"/>
      <c r="AHQ86" s="1"/>
      <c r="AHR86" s="1"/>
      <c r="AHS86" s="1"/>
      <c r="AHT86" s="1"/>
      <c r="AHU86" s="1"/>
      <c r="AHV86" s="1"/>
      <c r="AHW86" s="1"/>
      <c r="AHX86" s="1"/>
      <c r="AHY86" s="1"/>
      <c r="AHZ86" s="1"/>
      <c r="AIA86" s="1"/>
      <c r="AIB86" s="1"/>
      <c r="AIC86" s="1"/>
      <c r="AID86" s="1"/>
      <c r="AIE86" s="1"/>
      <c r="AIF86" s="1"/>
      <c r="AIG86" s="1"/>
      <c r="AIH86" s="1"/>
      <c r="AII86" s="1"/>
      <c r="AIJ86" s="1"/>
      <c r="AIK86" s="1"/>
      <c r="AIL86" s="1"/>
      <c r="AIM86" s="1"/>
      <c r="AIN86" s="1"/>
      <c r="AIO86" s="1"/>
      <c r="AIP86" s="1"/>
      <c r="AIQ86" s="1"/>
      <c r="AIR86" s="1"/>
      <c r="AIS86" s="1"/>
      <c r="AIT86" s="1"/>
      <c r="AIU86" s="1"/>
      <c r="AIV86" s="1"/>
      <c r="AIW86" s="1"/>
      <c r="AIX86" s="1"/>
      <c r="AIY86" s="1"/>
      <c r="AIZ86" s="1"/>
      <c r="AJA86" s="1"/>
      <c r="AJB86" s="1"/>
      <c r="AJC86" s="1"/>
      <c r="AJD86" s="1"/>
      <c r="AJE86" s="1"/>
      <c r="AJF86" s="1"/>
      <c r="AJG86" s="1"/>
      <c r="AJH86" s="1"/>
      <c r="AJI86" s="1"/>
      <c r="AJJ86" s="1"/>
      <c r="AJK86" s="1"/>
      <c r="AJL86" s="1"/>
      <c r="AJM86" s="1"/>
      <c r="AJN86" s="1"/>
      <c r="AJO86" s="1"/>
      <c r="AJP86" s="1"/>
      <c r="AJQ86" s="1"/>
      <c r="AJR86" s="1"/>
      <c r="AJS86" s="1"/>
      <c r="AJT86" s="1"/>
      <c r="AJU86" s="1"/>
      <c r="AJV86" s="1"/>
      <c r="AJW86" s="1"/>
      <c r="AJX86" s="1"/>
      <c r="AJY86" s="1"/>
      <c r="AJZ86" s="1"/>
      <c r="AKA86" s="1"/>
      <c r="AKB86" s="1"/>
      <c r="AKC86" s="1"/>
      <c r="AKD86" s="1"/>
      <c r="AKE86" s="1"/>
      <c r="AKF86" s="1"/>
      <c r="AKG86" s="1"/>
      <c r="AKH86" s="1"/>
      <c r="AKI86" s="1"/>
      <c r="AKJ86" s="1"/>
      <c r="AKK86" s="1"/>
      <c r="AKL86" s="1"/>
      <c r="AKM86" s="1"/>
      <c r="AKN86" s="1"/>
      <c r="AKO86" s="1"/>
      <c r="AKP86" s="1"/>
      <c r="AKQ86" s="1"/>
      <c r="AKR86" s="1"/>
      <c r="AKS86" s="1"/>
      <c r="AKT86" s="1"/>
      <c r="AKU86" s="1"/>
      <c r="AKV86" s="1"/>
      <c r="AKW86" s="1"/>
      <c r="AKX86" s="1"/>
      <c r="AKY86" s="1"/>
      <c r="AKZ86" s="1"/>
      <c r="ALA86" s="1"/>
      <c r="ALB86" s="1"/>
      <c r="ALC86" s="1"/>
      <c r="ALD86" s="1"/>
      <c r="ALE86" s="1"/>
      <c r="ALF86" s="1"/>
      <c r="ALG86" s="1"/>
      <c r="ALH86" s="1"/>
      <c r="ALI86" s="1"/>
      <c r="ALJ86" s="1"/>
      <c r="ALK86" s="1"/>
      <c r="ALL86" s="1"/>
      <c r="ALM86" s="1"/>
      <c r="ALN86" s="1"/>
      <c r="ALO86" s="1"/>
      <c r="ALP86" s="1"/>
      <c r="ALQ86" s="1"/>
      <c r="ALR86" s="1"/>
      <c r="ALS86" s="1"/>
      <c r="ALT86" s="1"/>
      <c r="ALU86" s="1"/>
      <c r="ALV86" s="1"/>
      <c r="ALW86" s="1"/>
      <c r="ALX86" s="1"/>
      <c r="ALY86" s="1"/>
      <c r="ALZ86" s="1"/>
      <c r="AMA86" s="1"/>
      <c r="AMB86" s="1"/>
      <c r="AMC86" s="1"/>
      <c r="AMD86" s="1"/>
      <c r="AME86" s="1"/>
      <c r="AMF86" s="1"/>
      <c r="AMG86" s="1"/>
      <c r="AMH86" s="1"/>
      <c r="AMI86" s="1"/>
      <c r="AMJ86" s="1"/>
      <c r="AMK86" s="1"/>
      <c r="AML86" s="1"/>
      <c r="AMM86" s="1"/>
      <c r="AMN86" s="1"/>
      <c r="AMO86" s="1"/>
    </row>
    <row r="87" spans="1:1029" x14ac:dyDescent="0.2">
      <c r="A87" s="3" t="str">
        <f t="shared" si="223"/>
        <v>adrb1_melga_3ZPQ</v>
      </c>
      <c r="B87" s="3" t="s">
        <v>912</v>
      </c>
      <c r="C87" s="3" t="s">
        <v>1038</v>
      </c>
      <c r="D87" s="3" t="str">
        <f>IFERROR(MID(VLOOKUP($B87,Seqs!$A:$B,2,0),E87,1),"")</f>
        <v>A</v>
      </c>
      <c r="E87" s="3">
        <v>33</v>
      </c>
      <c r="F87" s="3" t="str">
        <f>IFERROR(MID(VLOOKUP($B87,Seqs!$A:$B,2,0),G87,1),"")</f>
        <v>T</v>
      </c>
      <c r="G87" s="3">
        <v>69</v>
      </c>
      <c r="H87" s="3" t="str">
        <f>IFERROR(MID(VLOOKUP($B87,Seqs!$A:$B,2,0),I87,1),"")</f>
        <v>Q</v>
      </c>
      <c r="I87" s="23">
        <v>70</v>
      </c>
      <c r="J87" s="3" t="str">
        <f>IFERROR(MID(VLOOKUP($B87,Seqs!$A:$B,2,0),K87,1),"")</f>
        <v>Q</v>
      </c>
      <c r="K87" s="23">
        <v>73</v>
      </c>
      <c r="L87" s="3" t="str">
        <f>IFERROR(MID(VLOOKUP($B87,Seqs!$A:$B,2,0),M87,1),"")</f>
        <v>T</v>
      </c>
      <c r="M87" s="3">
        <v>74</v>
      </c>
      <c r="N87" s="3" t="str">
        <f>IFERROR(MID(VLOOKUP($B87,Seqs!$A:$B,2,0),O87,1),"")</f>
        <v>R</v>
      </c>
      <c r="O87" s="3">
        <v>104</v>
      </c>
      <c r="P87" s="3" t="str">
        <f>IFERROR(MID(VLOOKUP($B87,Seqs!$A:$B,2,0),Q87,1),"")</f>
        <v>T</v>
      </c>
      <c r="Q87" s="3">
        <v>106</v>
      </c>
      <c r="R87" s="3" t="str">
        <f>IFERROR(MID(VLOOKUP($B87,Seqs!$A:$B,2,0),S87,1),"")</f>
        <v>W</v>
      </c>
      <c r="S87" s="3">
        <v>109</v>
      </c>
      <c r="T87" s="3" t="str">
        <f>IFERROR(MID(VLOOKUP($B87,Seqs!$A:$B,2,0),U87,1),"")</f>
        <v>G</v>
      </c>
      <c r="U87" s="3">
        <v>110</v>
      </c>
      <c r="V87" s="3" t="str">
        <f>IFERROR(MID(VLOOKUP($B87,Seqs!$A:$B,2,0),W87,1),"")</f>
        <v>S</v>
      </c>
      <c r="W87" s="3">
        <v>145</v>
      </c>
      <c r="X87" s="3" t="str">
        <f>IFERROR(MID(VLOOKUP($B87,Seqs!$A:$B,2,0),Y87,1),"")</f>
        <v>P</v>
      </c>
      <c r="Y87" s="3">
        <v>146</v>
      </c>
      <c r="Z87" s="3" t="str">
        <f>IFERROR(MID(VLOOKUP($B87,Seqs!$A:$B,2,0),AA87,1),"")</f>
        <v>M</v>
      </c>
      <c r="AA87" s="3">
        <v>153</v>
      </c>
      <c r="AB87" s="3" t="str">
        <f>IFERROR(MID(VLOOKUP($B87,Seqs!$A:$B,2,0),AC87,1),"")</f>
        <v>T</v>
      </c>
      <c r="AC87" s="9">
        <v>154</v>
      </c>
      <c r="AD87" s="3" t="str">
        <f>IFERROR(MID(VLOOKUP($B87,Seqs!$A:$B,2,0),AE87,1),"")</f>
        <v>H</v>
      </c>
      <c r="AE87" s="3">
        <v>180</v>
      </c>
      <c r="AF87" s="3" t="str">
        <f>IFERROR(MID(VLOOKUP($B87,Seqs!$A:$B,2,0),AG87,1),"")</f>
        <v>C</v>
      </c>
      <c r="AG87" s="3">
        <v>199</v>
      </c>
      <c r="AH87" s="3" t="str">
        <f>IFERROR(MID(VLOOKUP($B87,Seqs!$A:$B,2,0),AI87,1),"")</f>
        <v>F</v>
      </c>
      <c r="AI87" s="3">
        <v>201</v>
      </c>
      <c r="AJ87" s="3" t="str">
        <f>IFERROR(MID(VLOOKUP($B87,Seqs!$A:$B,2,0),AK87,1),"")</f>
        <v>N</v>
      </c>
      <c r="AK87" s="3">
        <v>204</v>
      </c>
      <c r="AL87" s="3" t="str">
        <f>IFERROR(MID(VLOOKUP($B87,Seqs!$A:$B,2,0),AM87,1),"")</f>
        <v>I</v>
      </c>
      <c r="AM87" s="3">
        <v>238</v>
      </c>
      <c r="AN87" s="3" t="str">
        <f>IFERROR(MID(VLOOKUP($B87,Seqs!$A:$B,2,0),AO87,1),"")</f>
        <v>R</v>
      </c>
      <c r="AO87" s="3">
        <v>275</v>
      </c>
      <c r="AP87" s="3" t="str">
        <f>IFERROR(MID(VLOOKUP($B87,Seqs!$A:$B,2,0),AQ87,1),"")</f>
        <v>N</v>
      </c>
      <c r="AQ87" s="3">
        <v>316</v>
      </c>
      <c r="AR87" s="3" t="str">
        <f>IFERROR(MID(VLOOKUP($B87,Seqs!$A:$B,2,0),AS87,1),"")</f>
        <v>P</v>
      </c>
      <c r="AS87" s="3">
        <v>321</v>
      </c>
      <c r="AT87" s="3" t="str">
        <f>IFERROR(MID(VLOOKUP($B87,Seqs!$A:$B,2,0),AU87,1),"")</f>
        <v>R</v>
      </c>
      <c r="AU87" s="3">
        <v>345</v>
      </c>
      <c r="AV87" s="3" t="str">
        <f>IFERROR(MID(VLOOKUP($B87,Seqs!$A:$B,2,0),AW87,1),"")</f>
        <v>S</v>
      </c>
      <c r="AW87" s="3">
        <v>346</v>
      </c>
      <c r="AX87" s="3" t="str">
        <f>IFERROR(MID(VLOOKUP($B87,Seqs!$A:$B,2,0),AY87,1),"")</f>
        <v>C</v>
      </c>
      <c r="AY87" s="3">
        <v>358</v>
      </c>
      <c r="AZ87" s="77" t="str">
        <f>VLOOKUP(B87,Classification!A:D,2,0)</f>
        <v>A</v>
      </c>
      <c r="BA87" s="94" t="str">
        <f>VLOOKUP(B87,Classification!A:D,4,0)</f>
        <v>Adrenoceptors</v>
      </c>
      <c r="BB87" s="27" t="b">
        <f t="shared" si="224"/>
        <v>1</v>
      </c>
      <c r="BC87" s="23">
        <f t="shared" si="169"/>
        <v>265</v>
      </c>
      <c r="BD87" s="4" t="s">
        <v>23</v>
      </c>
      <c r="BE87" s="3" t="s">
        <v>1381</v>
      </c>
      <c r="BF87" s="119">
        <v>2.8</v>
      </c>
      <c r="BG87" s="49" t="s">
        <v>1384</v>
      </c>
      <c r="BH87" s="49" t="s">
        <v>1384</v>
      </c>
      <c r="BI87" s="1"/>
      <c r="BJ87" s="70" t="s">
        <v>1293</v>
      </c>
      <c r="BK87" s="57" t="s">
        <v>1293</v>
      </c>
      <c r="BL87" s="57" t="s">
        <v>1293</v>
      </c>
      <c r="BM87" s="57" t="s">
        <v>1293</v>
      </c>
      <c r="BN87" s="57" t="s">
        <v>1293</v>
      </c>
      <c r="BO87" s="57" t="s">
        <v>1293</v>
      </c>
      <c r="BP87" s="57" t="s">
        <v>1293</v>
      </c>
      <c r="BQ87" s="57" t="s">
        <v>1293</v>
      </c>
      <c r="BR87" s="57" t="s">
        <v>1293</v>
      </c>
      <c r="BS87" s="57" t="s">
        <v>1293</v>
      </c>
      <c r="BT87" s="57" t="s">
        <v>1293</v>
      </c>
      <c r="BU87" s="57" t="s">
        <v>1293</v>
      </c>
      <c r="BV87" s="70">
        <f t="shared" si="170"/>
        <v>33</v>
      </c>
      <c r="BW87" s="71">
        <f t="shared" si="171"/>
        <v>70</v>
      </c>
      <c r="BX87" s="72">
        <f t="shared" si="172"/>
        <v>74</v>
      </c>
      <c r="BY87" s="71">
        <f t="shared" si="173"/>
        <v>106</v>
      </c>
      <c r="BZ87" s="72">
        <f t="shared" si="174"/>
        <v>110</v>
      </c>
      <c r="CA87" s="71">
        <f t="shared" si="175"/>
        <v>146</v>
      </c>
      <c r="CB87" s="72">
        <f t="shared" si="176"/>
        <v>154</v>
      </c>
      <c r="CC87" s="71">
        <f t="shared" si="177"/>
        <v>199</v>
      </c>
      <c r="CD87" s="72">
        <f t="shared" si="178"/>
        <v>204</v>
      </c>
      <c r="CE87" s="71">
        <f t="shared" si="179"/>
        <v>275</v>
      </c>
      <c r="CF87" s="72">
        <f t="shared" si="180"/>
        <v>321</v>
      </c>
      <c r="CG87" s="71">
        <f t="shared" si="181"/>
        <v>346</v>
      </c>
      <c r="CH87" s="70">
        <f t="shared" si="182"/>
        <v>69</v>
      </c>
      <c r="CI87" s="71">
        <f t="shared" si="183"/>
        <v>73</v>
      </c>
      <c r="CJ87" s="72">
        <f t="shared" si="184"/>
        <v>104</v>
      </c>
      <c r="CK87" s="72">
        <f t="shared" si="185"/>
        <v>109</v>
      </c>
      <c r="CL87" s="72">
        <f t="shared" si="186"/>
        <v>145</v>
      </c>
      <c r="CM87" s="72">
        <f t="shared" si="187"/>
        <v>153</v>
      </c>
      <c r="CN87" s="72">
        <f t="shared" si="188"/>
        <v>180</v>
      </c>
      <c r="CO87" s="72">
        <f t="shared" si="189"/>
        <v>201</v>
      </c>
      <c r="CP87" s="72">
        <f t="shared" si="190"/>
        <v>238</v>
      </c>
      <c r="CQ87" s="72">
        <f t="shared" si="191"/>
        <v>316</v>
      </c>
      <c r="CR87" s="72">
        <f t="shared" si="192"/>
        <v>345</v>
      </c>
      <c r="CS87" s="72">
        <f t="shared" si="193"/>
        <v>358</v>
      </c>
      <c r="CT87" s="23">
        <f t="shared" si="194"/>
        <v>1</v>
      </c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  <c r="OK87" s="1"/>
      <c r="OL87" s="1"/>
      <c r="OM87" s="1"/>
      <c r="ON87" s="1"/>
      <c r="OO87" s="1"/>
      <c r="OP87" s="1"/>
      <c r="OQ87" s="1"/>
      <c r="OR87" s="1"/>
      <c r="OS87" s="1"/>
      <c r="OT87" s="1"/>
      <c r="OU87" s="1"/>
      <c r="OV87" s="1"/>
      <c r="OW87" s="1"/>
      <c r="OX87" s="1"/>
      <c r="OY87" s="1"/>
      <c r="OZ87" s="1"/>
      <c r="PA87" s="1"/>
      <c r="PB87" s="1"/>
      <c r="PC87" s="1"/>
      <c r="PD87" s="1"/>
      <c r="PE87" s="1"/>
      <c r="PF87" s="1"/>
      <c r="PG87" s="1"/>
      <c r="PH87" s="1"/>
      <c r="PI87" s="1"/>
      <c r="PJ87" s="1"/>
      <c r="PK87" s="1"/>
      <c r="PL87" s="1"/>
      <c r="PM87" s="1"/>
      <c r="PN87" s="1"/>
      <c r="PO87" s="1"/>
      <c r="PP87" s="1"/>
      <c r="PQ87" s="1"/>
      <c r="PR87" s="1"/>
      <c r="PS87" s="1"/>
      <c r="PT87" s="1"/>
      <c r="PU87" s="1"/>
      <c r="PV87" s="1"/>
      <c r="PW87" s="1"/>
      <c r="PX87" s="1"/>
      <c r="PY87" s="1"/>
      <c r="PZ87" s="1"/>
      <c r="QA87" s="1"/>
      <c r="QB87" s="1"/>
      <c r="QC87" s="1"/>
      <c r="QD87" s="1"/>
      <c r="QE87" s="1"/>
      <c r="QF87" s="1"/>
      <c r="QG87" s="1"/>
      <c r="QH87" s="1"/>
      <c r="QI87" s="1"/>
      <c r="QJ87" s="1"/>
      <c r="QK87" s="1"/>
      <c r="QL87" s="1"/>
      <c r="QM87" s="1"/>
      <c r="QN87" s="1"/>
      <c r="QO87" s="1"/>
      <c r="QP87" s="1"/>
      <c r="QQ87" s="1"/>
      <c r="QR87" s="1"/>
      <c r="QS87" s="1"/>
      <c r="QT87" s="1"/>
      <c r="QU87" s="1"/>
      <c r="QV87" s="1"/>
      <c r="QW87" s="1"/>
      <c r="QX87" s="1"/>
      <c r="QY87" s="1"/>
      <c r="QZ87" s="1"/>
      <c r="RA87" s="1"/>
      <c r="RB87" s="1"/>
      <c r="RC87" s="1"/>
      <c r="RD87" s="1"/>
      <c r="RE87" s="1"/>
      <c r="RF87" s="1"/>
      <c r="RG87" s="1"/>
      <c r="RH87" s="1"/>
      <c r="RI87" s="1"/>
      <c r="RJ87" s="1"/>
      <c r="RK87" s="1"/>
      <c r="RL87" s="1"/>
      <c r="RM87" s="1"/>
      <c r="RN87" s="1"/>
      <c r="RO87" s="1"/>
      <c r="RP87" s="1"/>
      <c r="RQ87" s="1"/>
      <c r="RR87" s="1"/>
      <c r="RS87" s="1"/>
      <c r="RT87" s="1"/>
      <c r="RU87" s="1"/>
      <c r="RV87" s="1"/>
      <c r="RW87" s="1"/>
      <c r="RX87" s="1"/>
      <c r="RY87" s="1"/>
      <c r="RZ87" s="1"/>
      <c r="SA87" s="1"/>
      <c r="SB87" s="1"/>
      <c r="SC87" s="1"/>
      <c r="SD87" s="1"/>
      <c r="SE87" s="1"/>
      <c r="SF87" s="1"/>
      <c r="SG87" s="1"/>
      <c r="SH87" s="1"/>
      <c r="SI87" s="1"/>
      <c r="SJ87" s="1"/>
      <c r="SK87" s="1"/>
      <c r="SL87" s="1"/>
      <c r="SM87" s="1"/>
      <c r="SN87" s="1"/>
      <c r="SO87" s="1"/>
      <c r="SP87" s="1"/>
      <c r="SQ87" s="1"/>
      <c r="SR87" s="1"/>
      <c r="SS87" s="1"/>
      <c r="ST87" s="1"/>
      <c r="SU87" s="1"/>
      <c r="SV87" s="1"/>
      <c r="SW87" s="1"/>
      <c r="SX87" s="1"/>
      <c r="SY87" s="1"/>
      <c r="SZ87" s="1"/>
      <c r="TA87" s="1"/>
      <c r="TB87" s="1"/>
      <c r="TC87" s="1"/>
      <c r="TD87" s="1"/>
      <c r="TE87" s="1"/>
      <c r="TF87" s="1"/>
      <c r="TG87" s="1"/>
      <c r="TH87" s="1"/>
      <c r="TI87" s="1"/>
      <c r="TJ87" s="1"/>
      <c r="TK87" s="1"/>
      <c r="TL87" s="1"/>
      <c r="TM87" s="1"/>
      <c r="TN87" s="1"/>
      <c r="TO87" s="1"/>
      <c r="TP87" s="1"/>
      <c r="TQ87" s="1"/>
      <c r="TR87" s="1"/>
      <c r="TS87" s="1"/>
      <c r="TT87" s="1"/>
      <c r="TU87" s="1"/>
      <c r="TV87" s="1"/>
      <c r="TW87" s="1"/>
      <c r="TX87" s="1"/>
      <c r="TY87" s="1"/>
      <c r="TZ87" s="1"/>
      <c r="UA87" s="1"/>
      <c r="UB87" s="1"/>
      <c r="UC87" s="1"/>
      <c r="UD87" s="1"/>
      <c r="UE87" s="1"/>
      <c r="UF87" s="1"/>
      <c r="UG87" s="1"/>
      <c r="UH87" s="1"/>
      <c r="UI87" s="1"/>
      <c r="UJ87" s="1"/>
      <c r="UK87" s="1"/>
      <c r="UL87" s="1"/>
      <c r="UM87" s="1"/>
      <c r="UN87" s="1"/>
      <c r="UO87" s="1"/>
      <c r="UP87" s="1"/>
      <c r="UQ87" s="1"/>
      <c r="UR87" s="1"/>
      <c r="US87" s="1"/>
      <c r="UT87" s="1"/>
      <c r="UU87" s="1"/>
      <c r="UV87" s="1"/>
      <c r="UW87" s="1"/>
      <c r="UX87" s="1"/>
      <c r="UY87" s="1"/>
      <c r="UZ87" s="1"/>
      <c r="VA87" s="1"/>
      <c r="VB87" s="1"/>
      <c r="VC87" s="1"/>
      <c r="VD87" s="1"/>
      <c r="VE87" s="1"/>
      <c r="VF87" s="1"/>
      <c r="VG87" s="1"/>
      <c r="VH87" s="1"/>
      <c r="VI87" s="1"/>
      <c r="VJ87" s="1"/>
      <c r="VK87" s="1"/>
      <c r="VL87" s="1"/>
      <c r="VM87" s="1"/>
      <c r="VN87" s="1"/>
      <c r="VO87" s="1"/>
      <c r="VP87" s="1"/>
      <c r="VQ87" s="1"/>
      <c r="VR87" s="1"/>
      <c r="VS87" s="1"/>
      <c r="VT87" s="1"/>
      <c r="VU87" s="1"/>
      <c r="VV87" s="1"/>
      <c r="VW87" s="1"/>
      <c r="VX87" s="1"/>
      <c r="VY87" s="1"/>
      <c r="VZ87" s="1"/>
      <c r="WA87" s="1"/>
      <c r="WB87" s="1"/>
      <c r="WC87" s="1"/>
      <c r="WD87" s="1"/>
      <c r="WE87" s="1"/>
      <c r="WF87" s="1"/>
      <c r="WG87" s="1"/>
      <c r="WH87" s="1"/>
      <c r="WI87" s="1"/>
      <c r="WJ87" s="1"/>
      <c r="WK87" s="1"/>
      <c r="WL87" s="1"/>
      <c r="WM87" s="1"/>
      <c r="WN87" s="1"/>
      <c r="WO87" s="1"/>
      <c r="WP87" s="1"/>
      <c r="WQ87" s="1"/>
      <c r="WR87" s="1"/>
      <c r="WS87" s="1"/>
      <c r="WT87" s="1"/>
      <c r="WU87" s="1"/>
      <c r="WV87" s="1"/>
      <c r="WW87" s="1"/>
      <c r="WX87" s="1"/>
      <c r="WY87" s="1"/>
      <c r="WZ87" s="1"/>
      <c r="XA87" s="1"/>
      <c r="XB87" s="1"/>
      <c r="XC87" s="1"/>
      <c r="XD87" s="1"/>
      <c r="XE87" s="1"/>
      <c r="XF87" s="1"/>
      <c r="XG87" s="1"/>
      <c r="XH87" s="1"/>
      <c r="XI87" s="1"/>
      <c r="XJ87" s="1"/>
      <c r="XK87" s="1"/>
      <c r="XL87" s="1"/>
      <c r="XM87" s="1"/>
      <c r="XN87" s="1"/>
      <c r="XO87" s="1"/>
      <c r="XP87" s="1"/>
      <c r="XQ87" s="1"/>
      <c r="XR87" s="1"/>
      <c r="XS87" s="1"/>
      <c r="XT87" s="1"/>
      <c r="XU87" s="1"/>
      <c r="XV87" s="1"/>
      <c r="XW87" s="1"/>
      <c r="XX87" s="1"/>
      <c r="XY87" s="1"/>
      <c r="XZ87" s="1"/>
      <c r="YA87" s="1"/>
      <c r="YB87" s="1"/>
      <c r="YC87" s="1"/>
      <c r="YD87" s="1"/>
      <c r="YE87" s="1"/>
      <c r="YF87" s="1"/>
      <c r="YG87" s="1"/>
      <c r="YH87" s="1"/>
      <c r="YI87" s="1"/>
      <c r="YJ87" s="1"/>
      <c r="YK87" s="1"/>
      <c r="YL87" s="1"/>
      <c r="YM87" s="1"/>
      <c r="YN87" s="1"/>
      <c r="YO87" s="1"/>
      <c r="YP87" s="1"/>
      <c r="YQ87" s="1"/>
      <c r="YR87" s="1"/>
      <c r="YS87" s="1"/>
      <c r="YT87" s="1"/>
      <c r="YU87" s="1"/>
      <c r="YV87" s="1"/>
      <c r="YW87" s="1"/>
      <c r="YX87" s="1"/>
      <c r="YY87" s="1"/>
      <c r="YZ87" s="1"/>
      <c r="ZA87" s="1"/>
      <c r="ZB87" s="1"/>
      <c r="ZC87" s="1"/>
      <c r="ZD87" s="1"/>
      <c r="ZE87" s="1"/>
      <c r="ZF87" s="1"/>
      <c r="ZG87" s="1"/>
      <c r="ZH87" s="1"/>
      <c r="ZI87" s="1"/>
      <c r="ZJ87" s="1"/>
      <c r="ZK87" s="1"/>
      <c r="ZL87" s="1"/>
      <c r="ZM87" s="1"/>
      <c r="ZN87" s="1"/>
      <c r="ZO87" s="1"/>
      <c r="ZP87" s="1"/>
      <c r="ZQ87" s="1"/>
      <c r="ZR87" s="1"/>
      <c r="ZS87" s="1"/>
      <c r="ZT87" s="1"/>
      <c r="ZU87" s="1"/>
      <c r="ZV87" s="1"/>
      <c r="ZW87" s="1"/>
      <c r="ZX87" s="1"/>
      <c r="ZY87" s="1"/>
      <c r="ZZ87" s="1"/>
      <c r="AAA87" s="1"/>
      <c r="AAB87" s="1"/>
      <c r="AAC87" s="1"/>
      <c r="AAD87" s="1"/>
      <c r="AAE87" s="1"/>
      <c r="AAF87" s="1"/>
      <c r="AAG87" s="1"/>
      <c r="AAH87" s="1"/>
      <c r="AAI87" s="1"/>
      <c r="AAJ87" s="1"/>
      <c r="AAK87" s="1"/>
      <c r="AAL87" s="1"/>
      <c r="AAM87" s="1"/>
      <c r="AAN87" s="1"/>
      <c r="AAO87" s="1"/>
      <c r="AAP87" s="1"/>
      <c r="AAQ87" s="1"/>
      <c r="AAR87" s="1"/>
      <c r="AAS87" s="1"/>
      <c r="AAT87" s="1"/>
      <c r="AAU87" s="1"/>
      <c r="AAV87" s="1"/>
      <c r="AAW87" s="1"/>
      <c r="AAX87" s="1"/>
      <c r="AAY87" s="1"/>
      <c r="AAZ87" s="1"/>
      <c r="ABA87" s="1"/>
      <c r="ABB87" s="1"/>
      <c r="ABC87" s="1"/>
      <c r="ABD87" s="1"/>
      <c r="ABE87" s="1"/>
      <c r="ABF87" s="1"/>
      <c r="ABG87" s="1"/>
      <c r="ABH87" s="1"/>
      <c r="ABI87" s="1"/>
      <c r="ABJ87" s="1"/>
      <c r="ABK87" s="1"/>
      <c r="ABL87" s="1"/>
      <c r="ABM87" s="1"/>
      <c r="ABN87" s="1"/>
      <c r="ABO87" s="1"/>
      <c r="ABP87" s="1"/>
      <c r="ABQ87" s="1"/>
      <c r="ABR87" s="1"/>
      <c r="ABS87" s="1"/>
      <c r="ABT87" s="1"/>
      <c r="ABU87" s="1"/>
      <c r="ABV87" s="1"/>
      <c r="ABW87" s="1"/>
      <c r="ABX87" s="1"/>
      <c r="ABY87" s="1"/>
      <c r="ABZ87" s="1"/>
      <c r="ACA87" s="1"/>
      <c r="ACB87" s="1"/>
      <c r="ACC87" s="1"/>
      <c r="ACD87" s="1"/>
      <c r="ACE87" s="1"/>
      <c r="ACF87" s="1"/>
      <c r="ACG87" s="1"/>
      <c r="ACH87" s="1"/>
      <c r="ACI87" s="1"/>
      <c r="ACJ87" s="1"/>
      <c r="ACK87" s="1"/>
      <c r="ACL87" s="1"/>
      <c r="ACM87" s="1"/>
      <c r="ACN87" s="1"/>
      <c r="ACO87" s="1"/>
      <c r="ACP87" s="1"/>
      <c r="ACQ87" s="1"/>
      <c r="ACR87" s="1"/>
      <c r="ACS87" s="1"/>
      <c r="ACT87" s="1"/>
      <c r="ACU87" s="1"/>
      <c r="ACV87" s="1"/>
      <c r="ACW87" s="1"/>
      <c r="ACX87" s="1"/>
      <c r="ACY87" s="1"/>
      <c r="ACZ87" s="1"/>
      <c r="ADA87" s="1"/>
      <c r="ADB87" s="1"/>
      <c r="ADC87" s="1"/>
      <c r="ADD87" s="1"/>
      <c r="ADE87" s="1"/>
      <c r="ADF87" s="1"/>
      <c r="ADG87" s="1"/>
      <c r="ADH87" s="1"/>
      <c r="ADI87" s="1"/>
      <c r="ADJ87" s="1"/>
      <c r="ADK87" s="1"/>
      <c r="ADL87" s="1"/>
      <c r="ADM87" s="1"/>
      <c r="ADN87" s="1"/>
      <c r="ADO87" s="1"/>
      <c r="ADP87" s="1"/>
      <c r="ADQ87" s="1"/>
      <c r="ADR87" s="1"/>
      <c r="ADS87" s="1"/>
      <c r="ADT87" s="1"/>
      <c r="ADU87" s="1"/>
      <c r="ADV87" s="1"/>
      <c r="ADW87" s="1"/>
      <c r="ADX87" s="1"/>
      <c r="ADY87" s="1"/>
      <c r="ADZ87" s="1"/>
      <c r="AEA87" s="1"/>
      <c r="AEB87" s="1"/>
      <c r="AEC87" s="1"/>
      <c r="AED87" s="1"/>
      <c r="AEE87" s="1"/>
      <c r="AEF87" s="1"/>
      <c r="AEG87" s="1"/>
      <c r="AEH87" s="1"/>
      <c r="AEI87" s="1"/>
      <c r="AEJ87" s="1"/>
      <c r="AEK87" s="1"/>
      <c r="AEL87" s="1"/>
      <c r="AEM87" s="1"/>
      <c r="AEN87" s="1"/>
      <c r="AEO87" s="1"/>
      <c r="AEP87" s="1"/>
      <c r="AEQ87" s="1"/>
      <c r="AER87" s="1"/>
      <c r="AES87" s="1"/>
      <c r="AET87" s="1"/>
      <c r="AEU87" s="1"/>
      <c r="AEV87" s="1"/>
      <c r="AEW87" s="1"/>
      <c r="AEX87" s="1"/>
      <c r="AEY87" s="1"/>
      <c r="AEZ87" s="1"/>
      <c r="AFA87" s="1"/>
      <c r="AFB87" s="1"/>
      <c r="AFC87" s="1"/>
      <c r="AFD87" s="1"/>
      <c r="AFE87" s="1"/>
      <c r="AFF87" s="1"/>
      <c r="AFG87" s="1"/>
      <c r="AFH87" s="1"/>
      <c r="AFI87" s="1"/>
      <c r="AFJ87" s="1"/>
      <c r="AFK87" s="1"/>
      <c r="AFL87" s="1"/>
      <c r="AFM87" s="1"/>
      <c r="AFN87" s="1"/>
      <c r="AFO87" s="1"/>
      <c r="AFP87" s="1"/>
      <c r="AFQ87" s="1"/>
      <c r="AFR87" s="1"/>
      <c r="AFS87" s="1"/>
      <c r="AFT87" s="1"/>
      <c r="AFU87" s="1"/>
      <c r="AFV87" s="1"/>
      <c r="AFW87" s="1"/>
      <c r="AFX87" s="1"/>
      <c r="AFY87" s="1"/>
      <c r="AFZ87" s="1"/>
      <c r="AGA87" s="1"/>
      <c r="AGB87" s="1"/>
      <c r="AGC87" s="1"/>
      <c r="AGD87" s="1"/>
      <c r="AGE87" s="1"/>
      <c r="AGF87" s="1"/>
      <c r="AGG87" s="1"/>
      <c r="AGH87" s="1"/>
      <c r="AGI87" s="1"/>
      <c r="AGJ87" s="1"/>
      <c r="AGK87" s="1"/>
      <c r="AGL87" s="1"/>
      <c r="AGM87" s="1"/>
      <c r="AGN87" s="1"/>
      <c r="AGO87" s="1"/>
      <c r="AGP87" s="1"/>
      <c r="AGQ87" s="1"/>
      <c r="AGR87" s="1"/>
      <c r="AGS87" s="1"/>
      <c r="AGT87" s="1"/>
      <c r="AGU87" s="1"/>
      <c r="AGV87" s="1"/>
      <c r="AGW87" s="1"/>
      <c r="AGX87" s="1"/>
      <c r="AGY87" s="1"/>
      <c r="AGZ87" s="1"/>
      <c r="AHA87" s="1"/>
      <c r="AHB87" s="1"/>
      <c r="AHC87" s="1"/>
      <c r="AHD87" s="1"/>
      <c r="AHE87" s="1"/>
      <c r="AHF87" s="1"/>
      <c r="AHG87" s="1"/>
      <c r="AHH87" s="1"/>
      <c r="AHI87" s="1"/>
      <c r="AHJ87" s="1"/>
      <c r="AHK87" s="1"/>
      <c r="AHL87" s="1"/>
      <c r="AHM87" s="1"/>
      <c r="AHN87" s="1"/>
      <c r="AHO87" s="1"/>
      <c r="AHP87" s="1"/>
      <c r="AHQ87" s="1"/>
      <c r="AHR87" s="1"/>
      <c r="AHS87" s="1"/>
      <c r="AHT87" s="1"/>
      <c r="AHU87" s="1"/>
      <c r="AHV87" s="1"/>
      <c r="AHW87" s="1"/>
      <c r="AHX87" s="1"/>
      <c r="AHY87" s="1"/>
      <c r="AHZ87" s="1"/>
      <c r="AIA87" s="1"/>
      <c r="AIB87" s="1"/>
      <c r="AIC87" s="1"/>
      <c r="AID87" s="1"/>
      <c r="AIE87" s="1"/>
      <c r="AIF87" s="1"/>
      <c r="AIG87" s="1"/>
      <c r="AIH87" s="1"/>
      <c r="AII87" s="1"/>
      <c r="AIJ87" s="1"/>
      <c r="AIK87" s="1"/>
      <c r="AIL87" s="1"/>
      <c r="AIM87" s="1"/>
      <c r="AIN87" s="1"/>
      <c r="AIO87" s="1"/>
      <c r="AIP87" s="1"/>
      <c r="AIQ87" s="1"/>
      <c r="AIR87" s="1"/>
      <c r="AIS87" s="1"/>
      <c r="AIT87" s="1"/>
      <c r="AIU87" s="1"/>
      <c r="AIV87" s="1"/>
      <c r="AIW87" s="1"/>
      <c r="AIX87" s="1"/>
      <c r="AIY87" s="1"/>
      <c r="AIZ87" s="1"/>
      <c r="AJA87" s="1"/>
      <c r="AJB87" s="1"/>
      <c r="AJC87" s="1"/>
      <c r="AJD87" s="1"/>
      <c r="AJE87" s="1"/>
      <c r="AJF87" s="1"/>
      <c r="AJG87" s="1"/>
      <c r="AJH87" s="1"/>
      <c r="AJI87" s="1"/>
      <c r="AJJ87" s="1"/>
      <c r="AJK87" s="1"/>
      <c r="AJL87" s="1"/>
      <c r="AJM87" s="1"/>
      <c r="AJN87" s="1"/>
      <c r="AJO87" s="1"/>
      <c r="AJP87" s="1"/>
      <c r="AJQ87" s="1"/>
      <c r="AJR87" s="1"/>
      <c r="AJS87" s="1"/>
      <c r="AJT87" s="1"/>
      <c r="AJU87" s="1"/>
      <c r="AJV87" s="1"/>
      <c r="AJW87" s="1"/>
      <c r="AJX87" s="1"/>
      <c r="AJY87" s="1"/>
      <c r="AJZ87" s="1"/>
      <c r="AKA87" s="1"/>
      <c r="AKB87" s="1"/>
      <c r="AKC87" s="1"/>
      <c r="AKD87" s="1"/>
      <c r="AKE87" s="1"/>
      <c r="AKF87" s="1"/>
      <c r="AKG87" s="1"/>
      <c r="AKH87" s="1"/>
      <c r="AKI87" s="1"/>
      <c r="AKJ87" s="1"/>
      <c r="AKK87" s="1"/>
      <c r="AKL87" s="1"/>
      <c r="AKM87" s="1"/>
      <c r="AKN87" s="1"/>
      <c r="AKO87" s="1"/>
      <c r="AKP87" s="1"/>
      <c r="AKQ87" s="1"/>
      <c r="AKR87" s="1"/>
      <c r="AKS87" s="1"/>
      <c r="AKT87" s="1"/>
      <c r="AKU87" s="1"/>
      <c r="AKV87" s="1"/>
      <c r="AKW87" s="1"/>
      <c r="AKX87" s="1"/>
      <c r="AKY87" s="1"/>
      <c r="AKZ87" s="1"/>
      <c r="ALA87" s="1"/>
      <c r="ALB87" s="1"/>
      <c r="ALC87" s="1"/>
      <c r="ALD87" s="1"/>
      <c r="ALE87" s="1"/>
      <c r="ALF87" s="1"/>
      <c r="ALG87" s="1"/>
      <c r="ALH87" s="1"/>
      <c r="ALI87" s="1"/>
      <c r="ALJ87" s="1"/>
      <c r="ALK87" s="1"/>
      <c r="ALL87" s="1"/>
      <c r="ALM87" s="1"/>
      <c r="ALN87" s="1"/>
      <c r="ALO87" s="1"/>
      <c r="ALP87" s="1"/>
      <c r="ALQ87" s="1"/>
      <c r="ALR87" s="1"/>
      <c r="ALS87" s="1"/>
      <c r="ALT87" s="1"/>
      <c r="ALU87" s="1"/>
      <c r="ALV87" s="1"/>
      <c r="ALW87" s="1"/>
      <c r="ALX87" s="1"/>
      <c r="ALY87" s="1"/>
      <c r="ALZ87" s="1"/>
      <c r="AMA87" s="1"/>
      <c r="AMB87" s="1"/>
      <c r="AMC87" s="1"/>
      <c r="AMD87" s="1"/>
      <c r="AME87" s="1"/>
      <c r="AMF87" s="1"/>
      <c r="AMG87" s="1"/>
      <c r="AMH87" s="1"/>
      <c r="AMI87" s="1"/>
      <c r="AMJ87" s="1"/>
      <c r="AMK87" s="1"/>
      <c r="AML87" s="1"/>
      <c r="AMM87" s="1"/>
      <c r="AMN87" s="1"/>
      <c r="AMO87" s="1"/>
    </row>
    <row r="88" spans="1:1029" x14ac:dyDescent="0.2">
      <c r="A88" s="3" t="str">
        <f t="shared" si="223"/>
        <v>adrb1_melga_3ZPR</v>
      </c>
      <c r="B88" s="3" t="s">
        <v>912</v>
      </c>
      <c r="C88" s="3" t="s">
        <v>1039</v>
      </c>
      <c r="D88" s="3" t="str">
        <f>IFERROR(MID(VLOOKUP($B88,Seqs!$A:$B,2,0),E88,1),"")</f>
        <v>A</v>
      </c>
      <c r="E88" s="3">
        <v>33</v>
      </c>
      <c r="F88" s="3" t="str">
        <f>IFERROR(MID(VLOOKUP($B88,Seqs!$A:$B,2,0),G88,1),"")</f>
        <v>T</v>
      </c>
      <c r="G88" s="3">
        <v>69</v>
      </c>
      <c r="H88" s="3" t="str">
        <f>IFERROR(MID(VLOOKUP($B88,Seqs!$A:$B,2,0),I88,1),"")</f>
        <v>Q</v>
      </c>
      <c r="I88" s="23">
        <v>70</v>
      </c>
      <c r="J88" s="3" t="str">
        <f>IFERROR(MID(VLOOKUP($B88,Seqs!$A:$B,2,0),K88,1),"")</f>
        <v>Q</v>
      </c>
      <c r="K88" s="23">
        <v>73</v>
      </c>
      <c r="L88" s="3" t="str">
        <f>IFERROR(MID(VLOOKUP($B88,Seqs!$A:$B,2,0),M88,1),"")</f>
        <v>T</v>
      </c>
      <c r="M88" s="3">
        <v>74</v>
      </c>
      <c r="N88" s="3" t="str">
        <f>IFERROR(MID(VLOOKUP($B88,Seqs!$A:$B,2,0),O88,1),"")</f>
        <v>R</v>
      </c>
      <c r="O88" s="3">
        <v>104</v>
      </c>
      <c r="P88" s="3" t="str">
        <f>IFERROR(MID(VLOOKUP($B88,Seqs!$A:$B,2,0),Q88,1),"")</f>
        <v>T</v>
      </c>
      <c r="Q88" s="3">
        <v>106</v>
      </c>
      <c r="R88" s="3" t="str">
        <f>IFERROR(MID(VLOOKUP($B88,Seqs!$A:$B,2,0),S88,1),"")</f>
        <v>W</v>
      </c>
      <c r="S88" s="3">
        <v>109</v>
      </c>
      <c r="T88" s="3" t="str">
        <f>IFERROR(MID(VLOOKUP($B88,Seqs!$A:$B,2,0),U88,1),"")</f>
        <v>G</v>
      </c>
      <c r="U88" s="3">
        <v>110</v>
      </c>
      <c r="V88" s="3" t="str">
        <f>IFERROR(MID(VLOOKUP($B88,Seqs!$A:$B,2,0),W88,1),"")</f>
        <v>S</v>
      </c>
      <c r="W88" s="3">
        <v>145</v>
      </c>
      <c r="X88" s="3" t="str">
        <f>IFERROR(MID(VLOOKUP($B88,Seqs!$A:$B,2,0),Y88,1),"")</f>
        <v>P</v>
      </c>
      <c r="Y88" s="3">
        <v>146</v>
      </c>
      <c r="Z88" s="3" t="str">
        <f>IFERROR(MID(VLOOKUP($B88,Seqs!$A:$B,2,0),AA88,1),"")</f>
        <v>M</v>
      </c>
      <c r="AA88" s="3">
        <v>153</v>
      </c>
      <c r="AB88" s="3" t="str">
        <f>IFERROR(MID(VLOOKUP($B88,Seqs!$A:$B,2,0),AC88,1),"")</f>
        <v>T</v>
      </c>
      <c r="AC88" s="9">
        <v>154</v>
      </c>
      <c r="AD88" s="3" t="str">
        <f>IFERROR(MID(VLOOKUP($B88,Seqs!$A:$B,2,0),AE88,1),"")</f>
        <v>H</v>
      </c>
      <c r="AE88" s="3">
        <v>180</v>
      </c>
      <c r="AF88" s="3" t="str">
        <f>IFERROR(MID(VLOOKUP($B88,Seqs!$A:$B,2,0),AG88,1),"")</f>
        <v>C</v>
      </c>
      <c r="AG88" s="3">
        <v>199</v>
      </c>
      <c r="AH88" s="3" t="str">
        <f>IFERROR(MID(VLOOKUP($B88,Seqs!$A:$B,2,0),AI88,1),"")</f>
        <v>F</v>
      </c>
      <c r="AI88" s="3">
        <v>201</v>
      </c>
      <c r="AJ88" s="3" t="str">
        <f>IFERROR(MID(VLOOKUP($B88,Seqs!$A:$B,2,0),AK88,1),"")</f>
        <v>N</v>
      </c>
      <c r="AK88" s="3">
        <v>204</v>
      </c>
      <c r="AL88" s="3" t="str">
        <f>IFERROR(MID(VLOOKUP($B88,Seqs!$A:$B,2,0),AM88,1),"")</f>
        <v>I</v>
      </c>
      <c r="AM88" s="3">
        <v>238</v>
      </c>
      <c r="AN88" s="3" t="str">
        <f>IFERROR(MID(VLOOKUP($B88,Seqs!$A:$B,2,0),AO88,1),"")</f>
        <v>R</v>
      </c>
      <c r="AO88" s="3">
        <v>275</v>
      </c>
      <c r="AP88" s="3" t="str">
        <f>IFERROR(MID(VLOOKUP($B88,Seqs!$A:$B,2,0),AQ88,1),"")</f>
        <v>N</v>
      </c>
      <c r="AQ88" s="3">
        <v>316</v>
      </c>
      <c r="AR88" s="3" t="str">
        <f>IFERROR(MID(VLOOKUP($B88,Seqs!$A:$B,2,0),AS88,1),"")</f>
        <v>P</v>
      </c>
      <c r="AS88" s="3">
        <v>321</v>
      </c>
      <c r="AT88" s="3" t="str">
        <f>IFERROR(MID(VLOOKUP($B88,Seqs!$A:$B,2,0),AU88,1),"")</f>
        <v>R</v>
      </c>
      <c r="AU88" s="3">
        <v>345</v>
      </c>
      <c r="AV88" s="3" t="str">
        <f>IFERROR(MID(VLOOKUP($B88,Seqs!$A:$B,2,0),AW88,1),"")</f>
        <v>S</v>
      </c>
      <c r="AW88" s="3">
        <v>346</v>
      </c>
      <c r="AX88" s="3" t="str">
        <f>IFERROR(MID(VLOOKUP($B88,Seqs!$A:$B,2,0),AY88,1),"")</f>
        <v>C</v>
      </c>
      <c r="AY88" s="3">
        <v>358</v>
      </c>
      <c r="AZ88" s="77" t="str">
        <f>VLOOKUP(B88,Classification!A:D,2,0)</f>
        <v>A</v>
      </c>
      <c r="BA88" s="94" t="str">
        <f>VLOOKUP(B88,Classification!A:D,4,0)</f>
        <v>Adrenoceptors</v>
      </c>
      <c r="BB88" s="27" t="b">
        <f t="shared" si="224"/>
        <v>1</v>
      </c>
      <c r="BC88" s="23">
        <f t="shared" si="169"/>
        <v>265</v>
      </c>
      <c r="BD88" s="4" t="s">
        <v>23</v>
      </c>
      <c r="BE88" s="3" t="s">
        <v>1381</v>
      </c>
      <c r="BF88" s="119">
        <v>2.7</v>
      </c>
      <c r="BG88" s="49" t="s">
        <v>1384</v>
      </c>
      <c r="BH88" s="49" t="s">
        <v>1384</v>
      </c>
      <c r="BI88" s="1"/>
      <c r="BJ88" s="70" t="s">
        <v>1293</v>
      </c>
      <c r="BK88" s="57" t="s">
        <v>1293</v>
      </c>
      <c r="BL88" s="57" t="s">
        <v>1293</v>
      </c>
      <c r="BM88" s="57" t="s">
        <v>1293</v>
      </c>
      <c r="BN88" s="57" t="s">
        <v>1293</v>
      </c>
      <c r="BO88" s="57" t="s">
        <v>1293</v>
      </c>
      <c r="BP88" s="57" t="s">
        <v>1293</v>
      </c>
      <c r="BQ88" s="57" t="s">
        <v>1293</v>
      </c>
      <c r="BR88" s="57" t="s">
        <v>1293</v>
      </c>
      <c r="BS88" s="57" t="s">
        <v>1293</v>
      </c>
      <c r="BT88" s="57" t="s">
        <v>1293</v>
      </c>
      <c r="BU88" s="57" t="s">
        <v>1293</v>
      </c>
      <c r="BV88" s="70">
        <f t="shared" si="170"/>
        <v>33</v>
      </c>
      <c r="BW88" s="71">
        <f t="shared" si="171"/>
        <v>70</v>
      </c>
      <c r="BX88" s="72">
        <f t="shared" si="172"/>
        <v>74</v>
      </c>
      <c r="BY88" s="71">
        <f t="shared" si="173"/>
        <v>106</v>
      </c>
      <c r="BZ88" s="72">
        <f t="shared" si="174"/>
        <v>110</v>
      </c>
      <c r="CA88" s="71">
        <f t="shared" si="175"/>
        <v>146</v>
      </c>
      <c r="CB88" s="72">
        <f t="shared" si="176"/>
        <v>154</v>
      </c>
      <c r="CC88" s="71">
        <f t="shared" si="177"/>
        <v>199</v>
      </c>
      <c r="CD88" s="72">
        <f t="shared" si="178"/>
        <v>204</v>
      </c>
      <c r="CE88" s="71">
        <f t="shared" si="179"/>
        <v>275</v>
      </c>
      <c r="CF88" s="72">
        <f t="shared" si="180"/>
        <v>321</v>
      </c>
      <c r="CG88" s="71">
        <f t="shared" si="181"/>
        <v>346</v>
      </c>
      <c r="CH88" s="70">
        <f t="shared" si="182"/>
        <v>69</v>
      </c>
      <c r="CI88" s="71">
        <f t="shared" si="183"/>
        <v>73</v>
      </c>
      <c r="CJ88" s="72">
        <f t="shared" si="184"/>
        <v>104</v>
      </c>
      <c r="CK88" s="72">
        <f t="shared" si="185"/>
        <v>109</v>
      </c>
      <c r="CL88" s="72">
        <f t="shared" si="186"/>
        <v>145</v>
      </c>
      <c r="CM88" s="72">
        <f t="shared" si="187"/>
        <v>153</v>
      </c>
      <c r="CN88" s="72">
        <f t="shared" si="188"/>
        <v>180</v>
      </c>
      <c r="CO88" s="72">
        <f t="shared" si="189"/>
        <v>201</v>
      </c>
      <c r="CP88" s="72">
        <f t="shared" si="190"/>
        <v>238</v>
      </c>
      <c r="CQ88" s="72">
        <f t="shared" si="191"/>
        <v>316</v>
      </c>
      <c r="CR88" s="72">
        <f t="shared" si="192"/>
        <v>345</v>
      </c>
      <c r="CS88" s="72">
        <f t="shared" si="193"/>
        <v>358</v>
      </c>
      <c r="CT88" s="23">
        <f t="shared" si="194"/>
        <v>1</v>
      </c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  <c r="OK88" s="1"/>
      <c r="OL88" s="1"/>
      <c r="OM88" s="1"/>
      <c r="ON88" s="1"/>
      <c r="OO88" s="1"/>
      <c r="OP88" s="1"/>
      <c r="OQ88" s="1"/>
      <c r="OR88" s="1"/>
      <c r="OS88" s="1"/>
      <c r="OT88" s="1"/>
      <c r="OU88" s="1"/>
      <c r="OV88" s="1"/>
      <c r="OW88" s="1"/>
      <c r="OX88" s="1"/>
      <c r="OY88" s="1"/>
      <c r="OZ88" s="1"/>
      <c r="PA88" s="1"/>
      <c r="PB88" s="1"/>
      <c r="PC88" s="1"/>
      <c r="PD88" s="1"/>
      <c r="PE88" s="1"/>
      <c r="PF88" s="1"/>
      <c r="PG88" s="1"/>
      <c r="PH88" s="1"/>
      <c r="PI88" s="1"/>
      <c r="PJ88" s="1"/>
      <c r="PK88" s="1"/>
      <c r="PL88" s="1"/>
      <c r="PM88" s="1"/>
      <c r="PN88" s="1"/>
      <c r="PO88" s="1"/>
      <c r="PP88" s="1"/>
      <c r="PQ88" s="1"/>
      <c r="PR88" s="1"/>
      <c r="PS88" s="1"/>
      <c r="PT88" s="1"/>
      <c r="PU88" s="1"/>
      <c r="PV88" s="1"/>
      <c r="PW88" s="1"/>
      <c r="PX88" s="1"/>
      <c r="PY88" s="1"/>
      <c r="PZ88" s="1"/>
      <c r="QA88" s="1"/>
      <c r="QB88" s="1"/>
      <c r="QC88" s="1"/>
      <c r="QD88" s="1"/>
      <c r="QE88" s="1"/>
      <c r="QF88" s="1"/>
      <c r="QG88" s="1"/>
      <c r="QH88" s="1"/>
      <c r="QI88" s="1"/>
      <c r="QJ88" s="1"/>
      <c r="QK88" s="1"/>
      <c r="QL88" s="1"/>
      <c r="QM88" s="1"/>
      <c r="QN88" s="1"/>
      <c r="QO88" s="1"/>
      <c r="QP88" s="1"/>
      <c r="QQ88" s="1"/>
      <c r="QR88" s="1"/>
      <c r="QS88" s="1"/>
      <c r="QT88" s="1"/>
      <c r="QU88" s="1"/>
      <c r="QV88" s="1"/>
      <c r="QW88" s="1"/>
      <c r="QX88" s="1"/>
      <c r="QY88" s="1"/>
      <c r="QZ88" s="1"/>
      <c r="RA88" s="1"/>
      <c r="RB88" s="1"/>
      <c r="RC88" s="1"/>
      <c r="RD88" s="1"/>
      <c r="RE88" s="1"/>
      <c r="RF88" s="1"/>
      <c r="RG88" s="1"/>
      <c r="RH88" s="1"/>
      <c r="RI88" s="1"/>
      <c r="RJ88" s="1"/>
      <c r="RK88" s="1"/>
      <c r="RL88" s="1"/>
      <c r="RM88" s="1"/>
      <c r="RN88" s="1"/>
      <c r="RO88" s="1"/>
      <c r="RP88" s="1"/>
      <c r="RQ88" s="1"/>
      <c r="RR88" s="1"/>
      <c r="RS88" s="1"/>
      <c r="RT88" s="1"/>
      <c r="RU88" s="1"/>
      <c r="RV88" s="1"/>
      <c r="RW88" s="1"/>
      <c r="RX88" s="1"/>
      <c r="RY88" s="1"/>
      <c r="RZ88" s="1"/>
      <c r="SA88" s="1"/>
      <c r="SB88" s="1"/>
      <c r="SC88" s="1"/>
      <c r="SD88" s="1"/>
      <c r="SE88" s="1"/>
      <c r="SF88" s="1"/>
      <c r="SG88" s="1"/>
      <c r="SH88" s="1"/>
      <c r="SI88" s="1"/>
      <c r="SJ88" s="1"/>
      <c r="SK88" s="1"/>
      <c r="SL88" s="1"/>
      <c r="SM88" s="1"/>
      <c r="SN88" s="1"/>
      <c r="SO88" s="1"/>
      <c r="SP88" s="1"/>
      <c r="SQ88" s="1"/>
      <c r="SR88" s="1"/>
      <c r="SS88" s="1"/>
      <c r="ST88" s="1"/>
      <c r="SU88" s="1"/>
      <c r="SV88" s="1"/>
      <c r="SW88" s="1"/>
      <c r="SX88" s="1"/>
      <c r="SY88" s="1"/>
      <c r="SZ88" s="1"/>
      <c r="TA88" s="1"/>
      <c r="TB88" s="1"/>
      <c r="TC88" s="1"/>
      <c r="TD88" s="1"/>
      <c r="TE88" s="1"/>
      <c r="TF88" s="1"/>
      <c r="TG88" s="1"/>
      <c r="TH88" s="1"/>
      <c r="TI88" s="1"/>
      <c r="TJ88" s="1"/>
      <c r="TK88" s="1"/>
      <c r="TL88" s="1"/>
      <c r="TM88" s="1"/>
      <c r="TN88" s="1"/>
      <c r="TO88" s="1"/>
      <c r="TP88" s="1"/>
      <c r="TQ88" s="1"/>
      <c r="TR88" s="1"/>
      <c r="TS88" s="1"/>
      <c r="TT88" s="1"/>
      <c r="TU88" s="1"/>
      <c r="TV88" s="1"/>
      <c r="TW88" s="1"/>
      <c r="TX88" s="1"/>
      <c r="TY88" s="1"/>
      <c r="TZ88" s="1"/>
      <c r="UA88" s="1"/>
      <c r="UB88" s="1"/>
      <c r="UC88" s="1"/>
      <c r="UD88" s="1"/>
      <c r="UE88" s="1"/>
      <c r="UF88" s="1"/>
      <c r="UG88" s="1"/>
      <c r="UH88" s="1"/>
      <c r="UI88" s="1"/>
      <c r="UJ88" s="1"/>
      <c r="UK88" s="1"/>
      <c r="UL88" s="1"/>
      <c r="UM88" s="1"/>
      <c r="UN88" s="1"/>
      <c r="UO88" s="1"/>
      <c r="UP88" s="1"/>
      <c r="UQ88" s="1"/>
      <c r="UR88" s="1"/>
      <c r="US88" s="1"/>
      <c r="UT88" s="1"/>
      <c r="UU88" s="1"/>
      <c r="UV88" s="1"/>
      <c r="UW88" s="1"/>
      <c r="UX88" s="1"/>
      <c r="UY88" s="1"/>
      <c r="UZ88" s="1"/>
      <c r="VA88" s="1"/>
      <c r="VB88" s="1"/>
      <c r="VC88" s="1"/>
      <c r="VD88" s="1"/>
      <c r="VE88" s="1"/>
      <c r="VF88" s="1"/>
      <c r="VG88" s="1"/>
      <c r="VH88" s="1"/>
      <c r="VI88" s="1"/>
      <c r="VJ88" s="1"/>
      <c r="VK88" s="1"/>
      <c r="VL88" s="1"/>
      <c r="VM88" s="1"/>
      <c r="VN88" s="1"/>
      <c r="VO88" s="1"/>
      <c r="VP88" s="1"/>
      <c r="VQ88" s="1"/>
      <c r="VR88" s="1"/>
      <c r="VS88" s="1"/>
      <c r="VT88" s="1"/>
      <c r="VU88" s="1"/>
      <c r="VV88" s="1"/>
      <c r="VW88" s="1"/>
      <c r="VX88" s="1"/>
      <c r="VY88" s="1"/>
      <c r="VZ88" s="1"/>
      <c r="WA88" s="1"/>
      <c r="WB88" s="1"/>
      <c r="WC88" s="1"/>
      <c r="WD88" s="1"/>
      <c r="WE88" s="1"/>
      <c r="WF88" s="1"/>
      <c r="WG88" s="1"/>
      <c r="WH88" s="1"/>
      <c r="WI88" s="1"/>
      <c r="WJ88" s="1"/>
      <c r="WK88" s="1"/>
      <c r="WL88" s="1"/>
      <c r="WM88" s="1"/>
      <c r="WN88" s="1"/>
      <c r="WO88" s="1"/>
      <c r="WP88" s="1"/>
      <c r="WQ88" s="1"/>
      <c r="WR88" s="1"/>
      <c r="WS88" s="1"/>
      <c r="WT88" s="1"/>
      <c r="WU88" s="1"/>
      <c r="WV88" s="1"/>
      <c r="WW88" s="1"/>
      <c r="WX88" s="1"/>
      <c r="WY88" s="1"/>
      <c r="WZ88" s="1"/>
      <c r="XA88" s="1"/>
      <c r="XB88" s="1"/>
      <c r="XC88" s="1"/>
      <c r="XD88" s="1"/>
      <c r="XE88" s="1"/>
      <c r="XF88" s="1"/>
      <c r="XG88" s="1"/>
      <c r="XH88" s="1"/>
      <c r="XI88" s="1"/>
      <c r="XJ88" s="1"/>
      <c r="XK88" s="1"/>
      <c r="XL88" s="1"/>
      <c r="XM88" s="1"/>
      <c r="XN88" s="1"/>
      <c r="XO88" s="1"/>
      <c r="XP88" s="1"/>
      <c r="XQ88" s="1"/>
      <c r="XR88" s="1"/>
      <c r="XS88" s="1"/>
      <c r="XT88" s="1"/>
      <c r="XU88" s="1"/>
      <c r="XV88" s="1"/>
      <c r="XW88" s="1"/>
      <c r="XX88" s="1"/>
      <c r="XY88" s="1"/>
      <c r="XZ88" s="1"/>
      <c r="YA88" s="1"/>
      <c r="YB88" s="1"/>
      <c r="YC88" s="1"/>
      <c r="YD88" s="1"/>
      <c r="YE88" s="1"/>
      <c r="YF88" s="1"/>
      <c r="YG88" s="1"/>
      <c r="YH88" s="1"/>
      <c r="YI88" s="1"/>
      <c r="YJ88" s="1"/>
      <c r="YK88" s="1"/>
      <c r="YL88" s="1"/>
      <c r="YM88" s="1"/>
      <c r="YN88" s="1"/>
      <c r="YO88" s="1"/>
      <c r="YP88" s="1"/>
      <c r="YQ88" s="1"/>
      <c r="YR88" s="1"/>
      <c r="YS88" s="1"/>
      <c r="YT88" s="1"/>
      <c r="YU88" s="1"/>
      <c r="YV88" s="1"/>
      <c r="YW88" s="1"/>
      <c r="YX88" s="1"/>
      <c r="YY88" s="1"/>
      <c r="YZ88" s="1"/>
      <c r="ZA88" s="1"/>
      <c r="ZB88" s="1"/>
      <c r="ZC88" s="1"/>
      <c r="ZD88" s="1"/>
      <c r="ZE88" s="1"/>
      <c r="ZF88" s="1"/>
      <c r="ZG88" s="1"/>
      <c r="ZH88" s="1"/>
      <c r="ZI88" s="1"/>
      <c r="ZJ88" s="1"/>
      <c r="ZK88" s="1"/>
      <c r="ZL88" s="1"/>
      <c r="ZM88" s="1"/>
      <c r="ZN88" s="1"/>
      <c r="ZO88" s="1"/>
      <c r="ZP88" s="1"/>
      <c r="ZQ88" s="1"/>
      <c r="ZR88" s="1"/>
      <c r="ZS88" s="1"/>
      <c r="ZT88" s="1"/>
      <c r="ZU88" s="1"/>
      <c r="ZV88" s="1"/>
      <c r="ZW88" s="1"/>
      <c r="ZX88" s="1"/>
      <c r="ZY88" s="1"/>
      <c r="ZZ88" s="1"/>
      <c r="AAA88" s="1"/>
      <c r="AAB88" s="1"/>
      <c r="AAC88" s="1"/>
      <c r="AAD88" s="1"/>
      <c r="AAE88" s="1"/>
      <c r="AAF88" s="1"/>
      <c r="AAG88" s="1"/>
      <c r="AAH88" s="1"/>
      <c r="AAI88" s="1"/>
      <c r="AAJ88" s="1"/>
      <c r="AAK88" s="1"/>
      <c r="AAL88" s="1"/>
      <c r="AAM88" s="1"/>
      <c r="AAN88" s="1"/>
      <c r="AAO88" s="1"/>
      <c r="AAP88" s="1"/>
      <c r="AAQ88" s="1"/>
      <c r="AAR88" s="1"/>
      <c r="AAS88" s="1"/>
      <c r="AAT88" s="1"/>
      <c r="AAU88" s="1"/>
      <c r="AAV88" s="1"/>
      <c r="AAW88" s="1"/>
      <c r="AAX88" s="1"/>
      <c r="AAY88" s="1"/>
      <c r="AAZ88" s="1"/>
      <c r="ABA88" s="1"/>
      <c r="ABB88" s="1"/>
      <c r="ABC88" s="1"/>
      <c r="ABD88" s="1"/>
      <c r="ABE88" s="1"/>
      <c r="ABF88" s="1"/>
      <c r="ABG88" s="1"/>
      <c r="ABH88" s="1"/>
      <c r="ABI88" s="1"/>
      <c r="ABJ88" s="1"/>
      <c r="ABK88" s="1"/>
      <c r="ABL88" s="1"/>
      <c r="ABM88" s="1"/>
      <c r="ABN88" s="1"/>
      <c r="ABO88" s="1"/>
      <c r="ABP88" s="1"/>
      <c r="ABQ88" s="1"/>
      <c r="ABR88" s="1"/>
      <c r="ABS88" s="1"/>
      <c r="ABT88" s="1"/>
      <c r="ABU88" s="1"/>
      <c r="ABV88" s="1"/>
      <c r="ABW88" s="1"/>
      <c r="ABX88" s="1"/>
      <c r="ABY88" s="1"/>
      <c r="ABZ88" s="1"/>
      <c r="ACA88" s="1"/>
      <c r="ACB88" s="1"/>
      <c r="ACC88" s="1"/>
      <c r="ACD88" s="1"/>
      <c r="ACE88" s="1"/>
      <c r="ACF88" s="1"/>
      <c r="ACG88" s="1"/>
      <c r="ACH88" s="1"/>
      <c r="ACI88" s="1"/>
      <c r="ACJ88" s="1"/>
      <c r="ACK88" s="1"/>
      <c r="ACL88" s="1"/>
      <c r="ACM88" s="1"/>
      <c r="ACN88" s="1"/>
      <c r="ACO88" s="1"/>
      <c r="ACP88" s="1"/>
      <c r="ACQ88" s="1"/>
      <c r="ACR88" s="1"/>
      <c r="ACS88" s="1"/>
      <c r="ACT88" s="1"/>
      <c r="ACU88" s="1"/>
      <c r="ACV88" s="1"/>
      <c r="ACW88" s="1"/>
      <c r="ACX88" s="1"/>
      <c r="ACY88" s="1"/>
      <c r="ACZ88" s="1"/>
      <c r="ADA88" s="1"/>
      <c r="ADB88" s="1"/>
      <c r="ADC88" s="1"/>
      <c r="ADD88" s="1"/>
      <c r="ADE88" s="1"/>
      <c r="ADF88" s="1"/>
      <c r="ADG88" s="1"/>
      <c r="ADH88" s="1"/>
      <c r="ADI88" s="1"/>
      <c r="ADJ88" s="1"/>
      <c r="ADK88" s="1"/>
      <c r="ADL88" s="1"/>
      <c r="ADM88" s="1"/>
      <c r="ADN88" s="1"/>
      <c r="ADO88" s="1"/>
      <c r="ADP88" s="1"/>
      <c r="ADQ88" s="1"/>
      <c r="ADR88" s="1"/>
      <c r="ADS88" s="1"/>
      <c r="ADT88" s="1"/>
      <c r="ADU88" s="1"/>
      <c r="ADV88" s="1"/>
      <c r="ADW88" s="1"/>
      <c r="ADX88" s="1"/>
      <c r="ADY88" s="1"/>
      <c r="ADZ88" s="1"/>
      <c r="AEA88" s="1"/>
      <c r="AEB88" s="1"/>
      <c r="AEC88" s="1"/>
      <c r="AED88" s="1"/>
      <c r="AEE88" s="1"/>
      <c r="AEF88" s="1"/>
      <c r="AEG88" s="1"/>
      <c r="AEH88" s="1"/>
      <c r="AEI88" s="1"/>
      <c r="AEJ88" s="1"/>
      <c r="AEK88" s="1"/>
      <c r="AEL88" s="1"/>
      <c r="AEM88" s="1"/>
      <c r="AEN88" s="1"/>
      <c r="AEO88" s="1"/>
      <c r="AEP88" s="1"/>
      <c r="AEQ88" s="1"/>
      <c r="AER88" s="1"/>
      <c r="AES88" s="1"/>
      <c r="AET88" s="1"/>
      <c r="AEU88" s="1"/>
      <c r="AEV88" s="1"/>
      <c r="AEW88" s="1"/>
      <c r="AEX88" s="1"/>
      <c r="AEY88" s="1"/>
      <c r="AEZ88" s="1"/>
      <c r="AFA88" s="1"/>
      <c r="AFB88" s="1"/>
      <c r="AFC88" s="1"/>
      <c r="AFD88" s="1"/>
      <c r="AFE88" s="1"/>
      <c r="AFF88" s="1"/>
      <c r="AFG88" s="1"/>
      <c r="AFH88" s="1"/>
      <c r="AFI88" s="1"/>
      <c r="AFJ88" s="1"/>
      <c r="AFK88" s="1"/>
      <c r="AFL88" s="1"/>
      <c r="AFM88" s="1"/>
      <c r="AFN88" s="1"/>
      <c r="AFO88" s="1"/>
      <c r="AFP88" s="1"/>
      <c r="AFQ88" s="1"/>
      <c r="AFR88" s="1"/>
      <c r="AFS88" s="1"/>
      <c r="AFT88" s="1"/>
      <c r="AFU88" s="1"/>
      <c r="AFV88" s="1"/>
      <c r="AFW88" s="1"/>
      <c r="AFX88" s="1"/>
      <c r="AFY88" s="1"/>
      <c r="AFZ88" s="1"/>
      <c r="AGA88" s="1"/>
      <c r="AGB88" s="1"/>
      <c r="AGC88" s="1"/>
      <c r="AGD88" s="1"/>
      <c r="AGE88" s="1"/>
      <c r="AGF88" s="1"/>
      <c r="AGG88" s="1"/>
      <c r="AGH88" s="1"/>
      <c r="AGI88" s="1"/>
      <c r="AGJ88" s="1"/>
      <c r="AGK88" s="1"/>
      <c r="AGL88" s="1"/>
      <c r="AGM88" s="1"/>
      <c r="AGN88" s="1"/>
      <c r="AGO88" s="1"/>
      <c r="AGP88" s="1"/>
      <c r="AGQ88" s="1"/>
      <c r="AGR88" s="1"/>
      <c r="AGS88" s="1"/>
      <c r="AGT88" s="1"/>
      <c r="AGU88" s="1"/>
      <c r="AGV88" s="1"/>
      <c r="AGW88" s="1"/>
      <c r="AGX88" s="1"/>
      <c r="AGY88" s="1"/>
      <c r="AGZ88" s="1"/>
      <c r="AHA88" s="1"/>
      <c r="AHB88" s="1"/>
      <c r="AHC88" s="1"/>
      <c r="AHD88" s="1"/>
      <c r="AHE88" s="1"/>
      <c r="AHF88" s="1"/>
      <c r="AHG88" s="1"/>
      <c r="AHH88" s="1"/>
      <c r="AHI88" s="1"/>
      <c r="AHJ88" s="1"/>
      <c r="AHK88" s="1"/>
      <c r="AHL88" s="1"/>
      <c r="AHM88" s="1"/>
      <c r="AHN88" s="1"/>
      <c r="AHO88" s="1"/>
      <c r="AHP88" s="1"/>
      <c r="AHQ88" s="1"/>
      <c r="AHR88" s="1"/>
      <c r="AHS88" s="1"/>
      <c r="AHT88" s="1"/>
      <c r="AHU88" s="1"/>
      <c r="AHV88" s="1"/>
      <c r="AHW88" s="1"/>
      <c r="AHX88" s="1"/>
      <c r="AHY88" s="1"/>
      <c r="AHZ88" s="1"/>
      <c r="AIA88" s="1"/>
      <c r="AIB88" s="1"/>
      <c r="AIC88" s="1"/>
      <c r="AID88" s="1"/>
      <c r="AIE88" s="1"/>
      <c r="AIF88" s="1"/>
      <c r="AIG88" s="1"/>
      <c r="AIH88" s="1"/>
      <c r="AII88" s="1"/>
      <c r="AIJ88" s="1"/>
      <c r="AIK88" s="1"/>
      <c r="AIL88" s="1"/>
      <c r="AIM88" s="1"/>
      <c r="AIN88" s="1"/>
      <c r="AIO88" s="1"/>
      <c r="AIP88" s="1"/>
      <c r="AIQ88" s="1"/>
      <c r="AIR88" s="1"/>
      <c r="AIS88" s="1"/>
      <c r="AIT88" s="1"/>
      <c r="AIU88" s="1"/>
      <c r="AIV88" s="1"/>
      <c r="AIW88" s="1"/>
      <c r="AIX88" s="1"/>
      <c r="AIY88" s="1"/>
      <c r="AIZ88" s="1"/>
      <c r="AJA88" s="1"/>
      <c r="AJB88" s="1"/>
      <c r="AJC88" s="1"/>
      <c r="AJD88" s="1"/>
      <c r="AJE88" s="1"/>
      <c r="AJF88" s="1"/>
      <c r="AJG88" s="1"/>
      <c r="AJH88" s="1"/>
      <c r="AJI88" s="1"/>
      <c r="AJJ88" s="1"/>
      <c r="AJK88" s="1"/>
      <c r="AJL88" s="1"/>
      <c r="AJM88" s="1"/>
      <c r="AJN88" s="1"/>
      <c r="AJO88" s="1"/>
      <c r="AJP88" s="1"/>
      <c r="AJQ88" s="1"/>
      <c r="AJR88" s="1"/>
      <c r="AJS88" s="1"/>
      <c r="AJT88" s="1"/>
      <c r="AJU88" s="1"/>
      <c r="AJV88" s="1"/>
      <c r="AJW88" s="1"/>
      <c r="AJX88" s="1"/>
      <c r="AJY88" s="1"/>
      <c r="AJZ88" s="1"/>
      <c r="AKA88" s="1"/>
      <c r="AKB88" s="1"/>
      <c r="AKC88" s="1"/>
      <c r="AKD88" s="1"/>
      <c r="AKE88" s="1"/>
      <c r="AKF88" s="1"/>
      <c r="AKG88" s="1"/>
      <c r="AKH88" s="1"/>
      <c r="AKI88" s="1"/>
      <c r="AKJ88" s="1"/>
      <c r="AKK88" s="1"/>
      <c r="AKL88" s="1"/>
      <c r="AKM88" s="1"/>
      <c r="AKN88" s="1"/>
      <c r="AKO88" s="1"/>
      <c r="AKP88" s="1"/>
      <c r="AKQ88" s="1"/>
      <c r="AKR88" s="1"/>
      <c r="AKS88" s="1"/>
      <c r="AKT88" s="1"/>
      <c r="AKU88" s="1"/>
      <c r="AKV88" s="1"/>
      <c r="AKW88" s="1"/>
      <c r="AKX88" s="1"/>
      <c r="AKY88" s="1"/>
      <c r="AKZ88" s="1"/>
      <c r="ALA88" s="1"/>
      <c r="ALB88" s="1"/>
      <c r="ALC88" s="1"/>
      <c r="ALD88" s="1"/>
      <c r="ALE88" s="1"/>
      <c r="ALF88" s="1"/>
      <c r="ALG88" s="1"/>
      <c r="ALH88" s="1"/>
      <c r="ALI88" s="1"/>
      <c r="ALJ88" s="1"/>
      <c r="ALK88" s="1"/>
      <c r="ALL88" s="1"/>
      <c r="ALM88" s="1"/>
      <c r="ALN88" s="1"/>
      <c r="ALO88" s="1"/>
      <c r="ALP88" s="1"/>
      <c r="ALQ88" s="1"/>
      <c r="ALR88" s="1"/>
      <c r="ALS88" s="1"/>
      <c r="ALT88" s="1"/>
      <c r="ALU88" s="1"/>
      <c r="ALV88" s="1"/>
      <c r="ALW88" s="1"/>
      <c r="ALX88" s="1"/>
      <c r="ALY88" s="1"/>
      <c r="ALZ88" s="1"/>
      <c r="AMA88" s="1"/>
      <c r="AMB88" s="1"/>
      <c r="AMC88" s="1"/>
      <c r="AMD88" s="1"/>
      <c r="AME88" s="1"/>
      <c r="AMF88" s="1"/>
      <c r="AMG88" s="1"/>
      <c r="AMH88" s="1"/>
      <c r="AMI88" s="1"/>
      <c r="AMJ88" s="1"/>
      <c r="AMK88" s="1"/>
      <c r="AML88" s="1"/>
      <c r="AMM88" s="1"/>
      <c r="AMN88" s="1"/>
      <c r="AMO88" s="1"/>
    </row>
    <row r="89" spans="1:1029" x14ac:dyDescent="0.2">
      <c r="A89" s="3" t="str">
        <f t="shared" si="223"/>
        <v>adrb1_melga_4AMI</v>
      </c>
      <c r="B89" s="3" t="s">
        <v>912</v>
      </c>
      <c r="C89" s="3" t="s">
        <v>1040</v>
      </c>
      <c r="D89" s="3" t="str">
        <f>IFERROR(MID(VLOOKUP($B89,Seqs!$A:$B,2,0),E89,1),"")</f>
        <v>A</v>
      </c>
      <c r="E89" s="3">
        <v>33</v>
      </c>
      <c r="F89" s="3" t="str">
        <f>IFERROR(MID(VLOOKUP($B89,Seqs!$A:$B,2,0),G89,1),"")</f>
        <v>T</v>
      </c>
      <c r="G89" s="3">
        <v>69</v>
      </c>
      <c r="H89" s="3" t="str">
        <f>IFERROR(MID(VLOOKUP($B89,Seqs!$A:$B,2,0),I89,1),"")</f>
        <v>Q</v>
      </c>
      <c r="I89" s="23">
        <v>70</v>
      </c>
      <c r="J89" s="3" t="str">
        <f>IFERROR(MID(VLOOKUP($B89,Seqs!$A:$B,2,0),K89,1),"")</f>
        <v>Q</v>
      </c>
      <c r="K89" s="23">
        <v>73</v>
      </c>
      <c r="L89" s="3" t="str">
        <f>IFERROR(MID(VLOOKUP($B89,Seqs!$A:$B,2,0),M89,1),"")</f>
        <v>T</v>
      </c>
      <c r="M89" s="3">
        <v>74</v>
      </c>
      <c r="N89" s="3" t="str">
        <f>IFERROR(MID(VLOOKUP($B89,Seqs!$A:$B,2,0),O89,1),"")</f>
        <v>R</v>
      </c>
      <c r="O89" s="3">
        <v>104</v>
      </c>
      <c r="P89" s="3" t="str">
        <f>IFERROR(MID(VLOOKUP($B89,Seqs!$A:$B,2,0),Q89,1),"")</f>
        <v>T</v>
      </c>
      <c r="Q89" s="3">
        <v>106</v>
      </c>
      <c r="R89" s="3" t="str">
        <f>IFERROR(MID(VLOOKUP($B89,Seqs!$A:$B,2,0),S89,1),"")</f>
        <v>W</v>
      </c>
      <c r="S89" s="3">
        <v>109</v>
      </c>
      <c r="T89" s="3" t="str">
        <f>IFERROR(MID(VLOOKUP($B89,Seqs!$A:$B,2,0),U89,1),"")</f>
        <v>G</v>
      </c>
      <c r="U89" s="3">
        <v>110</v>
      </c>
      <c r="V89" s="3" t="str">
        <f>IFERROR(MID(VLOOKUP($B89,Seqs!$A:$B,2,0),W89,1),"")</f>
        <v>S</v>
      </c>
      <c r="W89" s="3">
        <v>145</v>
      </c>
      <c r="X89" s="3" t="str">
        <f>IFERROR(MID(VLOOKUP($B89,Seqs!$A:$B,2,0),Y89,1),"")</f>
        <v>P</v>
      </c>
      <c r="Y89" s="3">
        <v>146</v>
      </c>
      <c r="Z89" s="3" t="str">
        <f>IFERROR(MID(VLOOKUP($B89,Seqs!$A:$B,2,0),AA89,1),"")</f>
        <v>M</v>
      </c>
      <c r="AA89" s="3">
        <v>153</v>
      </c>
      <c r="AB89" s="3" t="str">
        <f>IFERROR(MID(VLOOKUP($B89,Seqs!$A:$B,2,0),AC89,1),"")</f>
        <v>T</v>
      </c>
      <c r="AC89" s="9">
        <v>154</v>
      </c>
      <c r="AD89" s="3" t="str">
        <f>IFERROR(MID(VLOOKUP($B89,Seqs!$A:$B,2,0),AE89,1),"")</f>
        <v>H</v>
      </c>
      <c r="AE89" s="3">
        <v>180</v>
      </c>
      <c r="AF89" s="3" t="str">
        <f>IFERROR(MID(VLOOKUP($B89,Seqs!$A:$B,2,0),AG89,1),"")</f>
        <v>C</v>
      </c>
      <c r="AG89" s="3">
        <v>199</v>
      </c>
      <c r="AH89" s="3" t="str">
        <f>IFERROR(MID(VLOOKUP($B89,Seqs!$A:$B,2,0),AI89,1),"")</f>
        <v>F</v>
      </c>
      <c r="AI89" s="3">
        <v>201</v>
      </c>
      <c r="AJ89" s="3" t="str">
        <f>IFERROR(MID(VLOOKUP($B89,Seqs!$A:$B,2,0),AK89,1),"")</f>
        <v>N</v>
      </c>
      <c r="AK89" s="3">
        <v>204</v>
      </c>
      <c r="AL89" s="3" t="str">
        <f>IFERROR(MID(VLOOKUP($B89,Seqs!$A:$B,2,0),AM89,1),"")</f>
        <v>E</v>
      </c>
      <c r="AM89" s="3">
        <v>236</v>
      </c>
      <c r="AN89" s="3" t="str">
        <f>IFERROR(MID(VLOOKUP($B89,Seqs!$A:$B,2,0),AO89,1),"")</f>
        <v>A</v>
      </c>
      <c r="AO89" s="3">
        <v>288</v>
      </c>
      <c r="AP89" s="3" t="str">
        <f>IFERROR(MID(VLOOKUP($B89,Seqs!$A:$B,2,0),AQ89,1),"")</f>
        <v>N</v>
      </c>
      <c r="AQ89" s="3">
        <v>316</v>
      </c>
      <c r="AR89" s="3" t="str">
        <f>IFERROR(MID(VLOOKUP($B89,Seqs!$A:$B,2,0),AS89,1),"")</f>
        <v>P</v>
      </c>
      <c r="AS89" s="3">
        <v>321</v>
      </c>
      <c r="AT89" s="3" t="str">
        <f>IFERROR(MID(VLOOKUP($B89,Seqs!$A:$B,2,0),AU89,1),"")</f>
        <v>R</v>
      </c>
      <c r="AU89" s="3">
        <v>345</v>
      </c>
      <c r="AV89" s="3" t="str">
        <f>IFERROR(MID(VLOOKUP($B89,Seqs!$A:$B,2,0),AW89,1),"")</f>
        <v>S</v>
      </c>
      <c r="AW89" s="3">
        <v>346</v>
      </c>
      <c r="AX89" s="3" t="str">
        <f>IFERROR(MID(VLOOKUP($B89,Seqs!$A:$B,2,0),AY89,1),"")</f>
        <v>C</v>
      </c>
      <c r="AY89" s="3">
        <v>358</v>
      </c>
      <c r="AZ89" s="77" t="str">
        <f>VLOOKUP(B89,Classification!A:D,2,0)</f>
        <v>A</v>
      </c>
      <c r="BA89" s="94" t="str">
        <f>VLOOKUP(B89,Classification!A:D,4,0)</f>
        <v>Adrenoceptors</v>
      </c>
      <c r="BB89" s="27" t="b">
        <f t="shared" si="224"/>
        <v>1</v>
      </c>
      <c r="BC89" s="23">
        <f t="shared" si="169"/>
        <v>250</v>
      </c>
      <c r="BD89" s="4" t="s">
        <v>23</v>
      </c>
      <c r="BE89" s="3" t="s">
        <v>1381</v>
      </c>
      <c r="BF89" s="119">
        <v>3.2</v>
      </c>
      <c r="BG89" s="49" t="s">
        <v>1384</v>
      </c>
      <c r="BH89" s="49" t="s">
        <v>1384</v>
      </c>
      <c r="BI89" s="1"/>
      <c r="BJ89" s="70" t="s">
        <v>1293</v>
      </c>
      <c r="BK89" s="57" t="s">
        <v>1293</v>
      </c>
      <c r="BL89" s="57" t="s">
        <v>1293</v>
      </c>
      <c r="BM89" s="57" t="s">
        <v>1293</v>
      </c>
      <c r="BN89" s="57" t="s">
        <v>1293</v>
      </c>
      <c r="BO89" s="57" t="s">
        <v>1293</v>
      </c>
      <c r="BP89" s="57" t="s">
        <v>1293</v>
      </c>
      <c r="BQ89" s="57" t="s">
        <v>1293</v>
      </c>
      <c r="BR89" s="57" t="s">
        <v>1293</v>
      </c>
      <c r="BS89" s="57" t="s">
        <v>1293</v>
      </c>
      <c r="BT89" s="57" t="s">
        <v>1293</v>
      </c>
      <c r="BU89" s="57" t="s">
        <v>1293</v>
      </c>
      <c r="BV89" s="70">
        <f t="shared" si="170"/>
        <v>33</v>
      </c>
      <c r="BW89" s="71">
        <f t="shared" si="171"/>
        <v>70</v>
      </c>
      <c r="BX89" s="72">
        <f t="shared" si="172"/>
        <v>74</v>
      </c>
      <c r="BY89" s="71">
        <f t="shared" si="173"/>
        <v>106</v>
      </c>
      <c r="BZ89" s="72">
        <f t="shared" si="174"/>
        <v>110</v>
      </c>
      <c r="CA89" s="71">
        <f t="shared" si="175"/>
        <v>146</v>
      </c>
      <c r="CB89" s="72">
        <f t="shared" si="176"/>
        <v>154</v>
      </c>
      <c r="CC89" s="71">
        <f t="shared" si="177"/>
        <v>199</v>
      </c>
      <c r="CD89" s="72">
        <f t="shared" si="178"/>
        <v>204</v>
      </c>
      <c r="CE89" s="71">
        <f t="shared" si="179"/>
        <v>288</v>
      </c>
      <c r="CF89" s="72">
        <f t="shared" si="180"/>
        <v>321</v>
      </c>
      <c r="CG89" s="71">
        <f t="shared" si="181"/>
        <v>346</v>
      </c>
      <c r="CH89" s="70">
        <f t="shared" si="182"/>
        <v>69</v>
      </c>
      <c r="CI89" s="71">
        <f t="shared" si="183"/>
        <v>73</v>
      </c>
      <c r="CJ89" s="72">
        <f t="shared" si="184"/>
        <v>104</v>
      </c>
      <c r="CK89" s="72">
        <f t="shared" si="185"/>
        <v>109</v>
      </c>
      <c r="CL89" s="72">
        <f t="shared" si="186"/>
        <v>145</v>
      </c>
      <c r="CM89" s="72">
        <f t="shared" si="187"/>
        <v>153</v>
      </c>
      <c r="CN89" s="72">
        <f t="shared" si="188"/>
        <v>180</v>
      </c>
      <c r="CO89" s="72">
        <f t="shared" si="189"/>
        <v>201</v>
      </c>
      <c r="CP89" s="72">
        <f t="shared" si="190"/>
        <v>236</v>
      </c>
      <c r="CQ89" s="72">
        <f t="shared" si="191"/>
        <v>316</v>
      </c>
      <c r="CR89" s="72">
        <f t="shared" si="192"/>
        <v>345</v>
      </c>
      <c r="CS89" s="72">
        <f t="shared" si="193"/>
        <v>358</v>
      </c>
      <c r="CT89" s="23">
        <f t="shared" si="194"/>
        <v>1</v>
      </c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  <c r="OK89" s="1"/>
      <c r="OL89" s="1"/>
      <c r="OM89" s="1"/>
      <c r="ON89" s="1"/>
      <c r="OO89" s="1"/>
      <c r="OP89" s="1"/>
      <c r="OQ89" s="1"/>
      <c r="OR89" s="1"/>
      <c r="OS89" s="1"/>
      <c r="OT89" s="1"/>
      <c r="OU89" s="1"/>
      <c r="OV89" s="1"/>
      <c r="OW89" s="1"/>
      <c r="OX89" s="1"/>
      <c r="OY89" s="1"/>
      <c r="OZ89" s="1"/>
      <c r="PA89" s="1"/>
      <c r="PB89" s="1"/>
      <c r="PC89" s="1"/>
      <c r="PD89" s="1"/>
      <c r="PE89" s="1"/>
      <c r="PF89" s="1"/>
      <c r="PG89" s="1"/>
      <c r="PH89" s="1"/>
      <c r="PI89" s="1"/>
      <c r="PJ89" s="1"/>
      <c r="PK89" s="1"/>
      <c r="PL89" s="1"/>
      <c r="PM89" s="1"/>
      <c r="PN89" s="1"/>
      <c r="PO89" s="1"/>
      <c r="PP89" s="1"/>
      <c r="PQ89" s="1"/>
      <c r="PR89" s="1"/>
      <c r="PS89" s="1"/>
      <c r="PT89" s="1"/>
      <c r="PU89" s="1"/>
      <c r="PV89" s="1"/>
      <c r="PW89" s="1"/>
      <c r="PX89" s="1"/>
      <c r="PY89" s="1"/>
      <c r="PZ89" s="1"/>
      <c r="QA89" s="1"/>
      <c r="QB89" s="1"/>
      <c r="QC89" s="1"/>
      <c r="QD89" s="1"/>
      <c r="QE89" s="1"/>
      <c r="QF89" s="1"/>
      <c r="QG89" s="1"/>
      <c r="QH89" s="1"/>
      <c r="QI89" s="1"/>
      <c r="QJ89" s="1"/>
      <c r="QK89" s="1"/>
      <c r="QL89" s="1"/>
      <c r="QM89" s="1"/>
      <c r="QN89" s="1"/>
      <c r="QO89" s="1"/>
      <c r="QP89" s="1"/>
      <c r="QQ89" s="1"/>
      <c r="QR89" s="1"/>
      <c r="QS89" s="1"/>
      <c r="QT89" s="1"/>
      <c r="QU89" s="1"/>
      <c r="QV89" s="1"/>
      <c r="QW89" s="1"/>
      <c r="QX89" s="1"/>
      <c r="QY89" s="1"/>
      <c r="QZ89" s="1"/>
      <c r="RA89" s="1"/>
      <c r="RB89" s="1"/>
      <c r="RC89" s="1"/>
      <c r="RD89" s="1"/>
      <c r="RE89" s="1"/>
      <c r="RF89" s="1"/>
      <c r="RG89" s="1"/>
      <c r="RH89" s="1"/>
      <c r="RI89" s="1"/>
      <c r="RJ89" s="1"/>
      <c r="RK89" s="1"/>
      <c r="RL89" s="1"/>
      <c r="RM89" s="1"/>
      <c r="RN89" s="1"/>
      <c r="RO89" s="1"/>
      <c r="RP89" s="1"/>
      <c r="RQ89" s="1"/>
      <c r="RR89" s="1"/>
      <c r="RS89" s="1"/>
      <c r="RT89" s="1"/>
      <c r="RU89" s="1"/>
      <c r="RV89" s="1"/>
      <c r="RW89" s="1"/>
      <c r="RX89" s="1"/>
      <c r="RY89" s="1"/>
      <c r="RZ89" s="1"/>
      <c r="SA89" s="1"/>
      <c r="SB89" s="1"/>
      <c r="SC89" s="1"/>
      <c r="SD89" s="1"/>
      <c r="SE89" s="1"/>
      <c r="SF89" s="1"/>
      <c r="SG89" s="1"/>
      <c r="SH89" s="1"/>
      <c r="SI89" s="1"/>
      <c r="SJ89" s="1"/>
      <c r="SK89" s="1"/>
      <c r="SL89" s="1"/>
      <c r="SM89" s="1"/>
      <c r="SN89" s="1"/>
      <c r="SO89" s="1"/>
      <c r="SP89" s="1"/>
      <c r="SQ89" s="1"/>
      <c r="SR89" s="1"/>
      <c r="SS89" s="1"/>
      <c r="ST89" s="1"/>
      <c r="SU89" s="1"/>
      <c r="SV89" s="1"/>
      <c r="SW89" s="1"/>
      <c r="SX89" s="1"/>
      <c r="SY89" s="1"/>
      <c r="SZ89" s="1"/>
      <c r="TA89" s="1"/>
      <c r="TB89" s="1"/>
      <c r="TC89" s="1"/>
      <c r="TD89" s="1"/>
      <c r="TE89" s="1"/>
      <c r="TF89" s="1"/>
      <c r="TG89" s="1"/>
      <c r="TH89" s="1"/>
      <c r="TI89" s="1"/>
      <c r="TJ89" s="1"/>
      <c r="TK89" s="1"/>
      <c r="TL89" s="1"/>
      <c r="TM89" s="1"/>
      <c r="TN89" s="1"/>
      <c r="TO89" s="1"/>
      <c r="TP89" s="1"/>
      <c r="TQ89" s="1"/>
      <c r="TR89" s="1"/>
      <c r="TS89" s="1"/>
      <c r="TT89" s="1"/>
      <c r="TU89" s="1"/>
      <c r="TV89" s="1"/>
      <c r="TW89" s="1"/>
      <c r="TX89" s="1"/>
      <c r="TY89" s="1"/>
      <c r="TZ89" s="1"/>
      <c r="UA89" s="1"/>
      <c r="UB89" s="1"/>
      <c r="UC89" s="1"/>
      <c r="UD89" s="1"/>
      <c r="UE89" s="1"/>
      <c r="UF89" s="1"/>
      <c r="UG89" s="1"/>
      <c r="UH89" s="1"/>
      <c r="UI89" s="1"/>
      <c r="UJ89" s="1"/>
      <c r="UK89" s="1"/>
      <c r="UL89" s="1"/>
      <c r="UM89" s="1"/>
      <c r="UN89" s="1"/>
      <c r="UO89" s="1"/>
      <c r="UP89" s="1"/>
      <c r="UQ89" s="1"/>
      <c r="UR89" s="1"/>
      <c r="US89" s="1"/>
      <c r="UT89" s="1"/>
      <c r="UU89" s="1"/>
      <c r="UV89" s="1"/>
      <c r="UW89" s="1"/>
      <c r="UX89" s="1"/>
      <c r="UY89" s="1"/>
      <c r="UZ89" s="1"/>
      <c r="VA89" s="1"/>
      <c r="VB89" s="1"/>
      <c r="VC89" s="1"/>
      <c r="VD89" s="1"/>
      <c r="VE89" s="1"/>
      <c r="VF89" s="1"/>
      <c r="VG89" s="1"/>
      <c r="VH89" s="1"/>
      <c r="VI89" s="1"/>
      <c r="VJ89" s="1"/>
      <c r="VK89" s="1"/>
      <c r="VL89" s="1"/>
      <c r="VM89" s="1"/>
      <c r="VN89" s="1"/>
      <c r="VO89" s="1"/>
      <c r="VP89" s="1"/>
      <c r="VQ89" s="1"/>
      <c r="VR89" s="1"/>
      <c r="VS89" s="1"/>
      <c r="VT89" s="1"/>
      <c r="VU89" s="1"/>
      <c r="VV89" s="1"/>
      <c r="VW89" s="1"/>
      <c r="VX89" s="1"/>
      <c r="VY89" s="1"/>
      <c r="VZ89" s="1"/>
      <c r="WA89" s="1"/>
      <c r="WB89" s="1"/>
      <c r="WC89" s="1"/>
      <c r="WD89" s="1"/>
      <c r="WE89" s="1"/>
      <c r="WF89" s="1"/>
      <c r="WG89" s="1"/>
      <c r="WH89" s="1"/>
      <c r="WI89" s="1"/>
      <c r="WJ89" s="1"/>
      <c r="WK89" s="1"/>
      <c r="WL89" s="1"/>
      <c r="WM89" s="1"/>
      <c r="WN89" s="1"/>
      <c r="WO89" s="1"/>
      <c r="WP89" s="1"/>
      <c r="WQ89" s="1"/>
      <c r="WR89" s="1"/>
      <c r="WS89" s="1"/>
      <c r="WT89" s="1"/>
      <c r="WU89" s="1"/>
      <c r="WV89" s="1"/>
      <c r="WW89" s="1"/>
      <c r="WX89" s="1"/>
      <c r="WY89" s="1"/>
      <c r="WZ89" s="1"/>
      <c r="XA89" s="1"/>
      <c r="XB89" s="1"/>
      <c r="XC89" s="1"/>
      <c r="XD89" s="1"/>
      <c r="XE89" s="1"/>
      <c r="XF89" s="1"/>
      <c r="XG89" s="1"/>
      <c r="XH89" s="1"/>
      <c r="XI89" s="1"/>
      <c r="XJ89" s="1"/>
      <c r="XK89" s="1"/>
      <c r="XL89" s="1"/>
      <c r="XM89" s="1"/>
      <c r="XN89" s="1"/>
      <c r="XO89" s="1"/>
      <c r="XP89" s="1"/>
      <c r="XQ89" s="1"/>
      <c r="XR89" s="1"/>
      <c r="XS89" s="1"/>
      <c r="XT89" s="1"/>
      <c r="XU89" s="1"/>
      <c r="XV89" s="1"/>
      <c r="XW89" s="1"/>
      <c r="XX89" s="1"/>
      <c r="XY89" s="1"/>
      <c r="XZ89" s="1"/>
      <c r="YA89" s="1"/>
      <c r="YB89" s="1"/>
      <c r="YC89" s="1"/>
      <c r="YD89" s="1"/>
      <c r="YE89" s="1"/>
      <c r="YF89" s="1"/>
      <c r="YG89" s="1"/>
      <c r="YH89" s="1"/>
      <c r="YI89" s="1"/>
      <c r="YJ89" s="1"/>
      <c r="YK89" s="1"/>
      <c r="YL89" s="1"/>
      <c r="YM89" s="1"/>
      <c r="YN89" s="1"/>
      <c r="YO89" s="1"/>
      <c r="YP89" s="1"/>
      <c r="YQ89" s="1"/>
      <c r="YR89" s="1"/>
      <c r="YS89" s="1"/>
      <c r="YT89" s="1"/>
      <c r="YU89" s="1"/>
      <c r="YV89" s="1"/>
      <c r="YW89" s="1"/>
      <c r="YX89" s="1"/>
      <c r="YY89" s="1"/>
      <c r="YZ89" s="1"/>
      <c r="ZA89" s="1"/>
      <c r="ZB89" s="1"/>
      <c r="ZC89" s="1"/>
      <c r="ZD89" s="1"/>
      <c r="ZE89" s="1"/>
      <c r="ZF89" s="1"/>
      <c r="ZG89" s="1"/>
      <c r="ZH89" s="1"/>
      <c r="ZI89" s="1"/>
      <c r="ZJ89" s="1"/>
      <c r="ZK89" s="1"/>
      <c r="ZL89" s="1"/>
      <c r="ZM89" s="1"/>
      <c r="ZN89" s="1"/>
      <c r="ZO89" s="1"/>
      <c r="ZP89" s="1"/>
      <c r="ZQ89" s="1"/>
      <c r="ZR89" s="1"/>
      <c r="ZS89" s="1"/>
      <c r="ZT89" s="1"/>
      <c r="ZU89" s="1"/>
      <c r="ZV89" s="1"/>
      <c r="ZW89" s="1"/>
      <c r="ZX89" s="1"/>
      <c r="ZY89" s="1"/>
      <c r="ZZ89" s="1"/>
      <c r="AAA89" s="1"/>
      <c r="AAB89" s="1"/>
      <c r="AAC89" s="1"/>
      <c r="AAD89" s="1"/>
      <c r="AAE89" s="1"/>
      <c r="AAF89" s="1"/>
      <c r="AAG89" s="1"/>
      <c r="AAH89" s="1"/>
      <c r="AAI89" s="1"/>
      <c r="AAJ89" s="1"/>
      <c r="AAK89" s="1"/>
      <c r="AAL89" s="1"/>
      <c r="AAM89" s="1"/>
      <c r="AAN89" s="1"/>
      <c r="AAO89" s="1"/>
      <c r="AAP89" s="1"/>
      <c r="AAQ89" s="1"/>
      <c r="AAR89" s="1"/>
      <c r="AAS89" s="1"/>
      <c r="AAT89" s="1"/>
      <c r="AAU89" s="1"/>
      <c r="AAV89" s="1"/>
      <c r="AAW89" s="1"/>
      <c r="AAX89" s="1"/>
      <c r="AAY89" s="1"/>
      <c r="AAZ89" s="1"/>
      <c r="ABA89" s="1"/>
      <c r="ABB89" s="1"/>
      <c r="ABC89" s="1"/>
      <c r="ABD89" s="1"/>
      <c r="ABE89" s="1"/>
      <c r="ABF89" s="1"/>
      <c r="ABG89" s="1"/>
      <c r="ABH89" s="1"/>
      <c r="ABI89" s="1"/>
      <c r="ABJ89" s="1"/>
      <c r="ABK89" s="1"/>
      <c r="ABL89" s="1"/>
      <c r="ABM89" s="1"/>
      <c r="ABN89" s="1"/>
      <c r="ABO89" s="1"/>
      <c r="ABP89" s="1"/>
      <c r="ABQ89" s="1"/>
      <c r="ABR89" s="1"/>
      <c r="ABS89" s="1"/>
      <c r="ABT89" s="1"/>
      <c r="ABU89" s="1"/>
      <c r="ABV89" s="1"/>
      <c r="ABW89" s="1"/>
      <c r="ABX89" s="1"/>
      <c r="ABY89" s="1"/>
      <c r="ABZ89" s="1"/>
      <c r="ACA89" s="1"/>
      <c r="ACB89" s="1"/>
      <c r="ACC89" s="1"/>
      <c r="ACD89" s="1"/>
      <c r="ACE89" s="1"/>
      <c r="ACF89" s="1"/>
      <c r="ACG89" s="1"/>
      <c r="ACH89" s="1"/>
      <c r="ACI89" s="1"/>
      <c r="ACJ89" s="1"/>
      <c r="ACK89" s="1"/>
      <c r="ACL89" s="1"/>
      <c r="ACM89" s="1"/>
      <c r="ACN89" s="1"/>
      <c r="ACO89" s="1"/>
      <c r="ACP89" s="1"/>
      <c r="ACQ89" s="1"/>
      <c r="ACR89" s="1"/>
      <c r="ACS89" s="1"/>
      <c r="ACT89" s="1"/>
      <c r="ACU89" s="1"/>
      <c r="ACV89" s="1"/>
      <c r="ACW89" s="1"/>
      <c r="ACX89" s="1"/>
      <c r="ACY89" s="1"/>
      <c r="ACZ89" s="1"/>
      <c r="ADA89" s="1"/>
      <c r="ADB89" s="1"/>
      <c r="ADC89" s="1"/>
      <c r="ADD89" s="1"/>
      <c r="ADE89" s="1"/>
      <c r="ADF89" s="1"/>
      <c r="ADG89" s="1"/>
      <c r="ADH89" s="1"/>
      <c r="ADI89" s="1"/>
      <c r="ADJ89" s="1"/>
      <c r="ADK89" s="1"/>
      <c r="ADL89" s="1"/>
      <c r="ADM89" s="1"/>
      <c r="ADN89" s="1"/>
      <c r="ADO89" s="1"/>
      <c r="ADP89" s="1"/>
      <c r="ADQ89" s="1"/>
      <c r="ADR89" s="1"/>
      <c r="ADS89" s="1"/>
      <c r="ADT89" s="1"/>
      <c r="ADU89" s="1"/>
      <c r="ADV89" s="1"/>
      <c r="ADW89" s="1"/>
      <c r="ADX89" s="1"/>
      <c r="ADY89" s="1"/>
      <c r="ADZ89" s="1"/>
      <c r="AEA89" s="1"/>
      <c r="AEB89" s="1"/>
      <c r="AEC89" s="1"/>
      <c r="AED89" s="1"/>
      <c r="AEE89" s="1"/>
      <c r="AEF89" s="1"/>
      <c r="AEG89" s="1"/>
      <c r="AEH89" s="1"/>
      <c r="AEI89" s="1"/>
      <c r="AEJ89" s="1"/>
      <c r="AEK89" s="1"/>
      <c r="AEL89" s="1"/>
      <c r="AEM89" s="1"/>
      <c r="AEN89" s="1"/>
      <c r="AEO89" s="1"/>
      <c r="AEP89" s="1"/>
      <c r="AEQ89" s="1"/>
      <c r="AER89" s="1"/>
      <c r="AES89" s="1"/>
      <c r="AET89" s="1"/>
      <c r="AEU89" s="1"/>
      <c r="AEV89" s="1"/>
      <c r="AEW89" s="1"/>
      <c r="AEX89" s="1"/>
      <c r="AEY89" s="1"/>
      <c r="AEZ89" s="1"/>
      <c r="AFA89" s="1"/>
      <c r="AFB89" s="1"/>
      <c r="AFC89" s="1"/>
      <c r="AFD89" s="1"/>
      <c r="AFE89" s="1"/>
      <c r="AFF89" s="1"/>
      <c r="AFG89" s="1"/>
      <c r="AFH89" s="1"/>
      <c r="AFI89" s="1"/>
      <c r="AFJ89" s="1"/>
      <c r="AFK89" s="1"/>
      <c r="AFL89" s="1"/>
      <c r="AFM89" s="1"/>
      <c r="AFN89" s="1"/>
      <c r="AFO89" s="1"/>
      <c r="AFP89" s="1"/>
      <c r="AFQ89" s="1"/>
      <c r="AFR89" s="1"/>
      <c r="AFS89" s="1"/>
      <c r="AFT89" s="1"/>
      <c r="AFU89" s="1"/>
      <c r="AFV89" s="1"/>
      <c r="AFW89" s="1"/>
      <c r="AFX89" s="1"/>
      <c r="AFY89" s="1"/>
      <c r="AFZ89" s="1"/>
      <c r="AGA89" s="1"/>
      <c r="AGB89" s="1"/>
      <c r="AGC89" s="1"/>
      <c r="AGD89" s="1"/>
      <c r="AGE89" s="1"/>
      <c r="AGF89" s="1"/>
      <c r="AGG89" s="1"/>
      <c r="AGH89" s="1"/>
      <c r="AGI89" s="1"/>
      <c r="AGJ89" s="1"/>
      <c r="AGK89" s="1"/>
      <c r="AGL89" s="1"/>
      <c r="AGM89" s="1"/>
      <c r="AGN89" s="1"/>
      <c r="AGO89" s="1"/>
      <c r="AGP89" s="1"/>
      <c r="AGQ89" s="1"/>
      <c r="AGR89" s="1"/>
      <c r="AGS89" s="1"/>
      <c r="AGT89" s="1"/>
      <c r="AGU89" s="1"/>
      <c r="AGV89" s="1"/>
      <c r="AGW89" s="1"/>
      <c r="AGX89" s="1"/>
      <c r="AGY89" s="1"/>
      <c r="AGZ89" s="1"/>
      <c r="AHA89" s="1"/>
      <c r="AHB89" s="1"/>
      <c r="AHC89" s="1"/>
      <c r="AHD89" s="1"/>
      <c r="AHE89" s="1"/>
      <c r="AHF89" s="1"/>
      <c r="AHG89" s="1"/>
      <c r="AHH89" s="1"/>
      <c r="AHI89" s="1"/>
      <c r="AHJ89" s="1"/>
      <c r="AHK89" s="1"/>
      <c r="AHL89" s="1"/>
      <c r="AHM89" s="1"/>
      <c r="AHN89" s="1"/>
      <c r="AHO89" s="1"/>
      <c r="AHP89" s="1"/>
      <c r="AHQ89" s="1"/>
      <c r="AHR89" s="1"/>
      <c r="AHS89" s="1"/>
      <c r="AHT89" s="1"/>
      <c r="AHU89" s="1"/>
      <c r="AHV89" s="1"/>
      <c r="AHW89" s="1"/>
      <c r="AHX89" s="1"/>
      <c r="AHY89" s="1"/>
      <c r="AHZ89" s="1"/>
      <c r="AIA89" s="1"/>
      <c r="AIB89" s="1"/>
      <c r="AIC89" s="1"/>
      <c r="AID89" s="1"/>
      <c r="AIE89" s="1"/>
      <c r="AIF89" s="1"/>
      <c r="AIG89" s="1"/>
      <c r="AIH89" s="1"/>
      <c r="AII89" s="1"/>
      <c r="AIJ89" s="1"/>
      <c r="AIK89" s="1"/>
      <c r="AIL89" s="1"/>
      <c r="AIM89" s="1"/>
      <c r="AIN89" s="1"/>
      <c r="AIO89" s="1"/>
      <c r="AIP89" s="1"/>
      <c r="AIQ89" s="1"/>
      <c r="AIR89" s="1"/>
      <c r="AIS89" s="1"/>
      <c r="AIT89" s="1"/>
      <c r="AIU89" s="1"/>
      <c r="AIV89" s="1"/>
      <c r="AIW89" s="1"/>
      <c r="AIX89" s="1"/>
      <c r="AIY89" s="1"/>
      <c r="AIZ89" s="1"/>
      <c r="AJA89" s="1"/>
      <c r="AJB89" s="1"/>
      <c r="AJC89" s="1"/>
      <c r="AJD89" s="1"/>
      <c r="AJE89" s="1"/>
      <c r="AJF89" s="1"/>
      <c r="AJG89" s="1"/>
      <c r="AJH89" s="1"/>
      <c r="AJI89" s="1"/>
      <c r="AJJ89" s="1"/>
      <c r="AJK89" s="1"/>
      <c r="AJL89" s="1"/>
      <c r="AJM89" s="1"/>
      <c r="AJN89" s="1"/>
      <c r="AJO89" s="1"/>
      <c r="AJP89" s="1"/>
      <c r="AJQ89" s="1"/>
      <c r="AJR89" s="1"/>
      <c r="AJS89" s="1"/>
      <c r="AJT89" s="1"/>
      <c r="AJU89" s="1"/>
      <c r="AJV89" s="1"/>
      <c r="AJW89" s="1"/>
      <c r="AJX89" s="1"/>
      <c r="AJY89" s="1"/>
      <c r="AJZ89" s="1"/>
      <c r="AKA89" s="1"/>
      <c r="AKB89" s="1"/>
      <c r="AKC89" s="1"/>
      <c r="AKD89" s="1"/>
      <c r="AKE89" s="1"/>
      <c r="AKF89" s="1"/>
      <c r="AKG89" s="1"/>
      <c r="AKH89" s="1"/>
      <c r="AKI89" s="1"/>
      <c r="AKJ89" s="1"/>
      <c r="AKK89" s="1"/>
      <c r="AKL89" s="1"/>
      <c r="AKM89" s="1"/>
      <c r="AKN89" s="1"/>
      <c r="AKO89" s="1"/>
      <c r="AKP89" s="1"/>
      <c r="AKQ89" s="1"/>
      <c r="AKR89" s="1"/>
      <c r="AKS89" s="1"/>
      <c r="AKT89" s="1"/>
      <c r="AKU89" s="1"/>
      <c r="AKV89" s="1"/>
      <c r="AKW89" s="1"/>
      <c r="AKX89" s="1"/>
      <c r="AKY89" s="1"/>
      <c r="AKZ89" s="1"/>
      <c r="ALA89" s="1"/>
      <c r="ALB89" s="1"/>
      <c r="ALC89" s="1"/>
      <c r="ALD89" s="1"/>
      <c r="ALE89" s="1"/>
      <c r="ALF89" s="1"/>
      <c r="ALG89" s="1"/>
      <c r="ALH89" s="1"/>
      <c r="ALI89" s="1"/>
      <c r="ALJ89" s="1"/>
      <c r="ALK89" s="1"/>
      <c r="ALL89" s="1"/>
      <c r="ALM89" s="1"/>
      <c r="ALN89" s="1"/>
      <c r="ALO89" s="1"/>
      <c r="ALP89" s="1"/>
      <c r="ALQ89" s="1"/>
      <c r="ALR89" s="1"/>
      <c r="ALS89" s="1"/>
      <c r="ALT89" s="1"/>
      <c r="ALU89" s="1"/>
      <c r="ALV89" s="1"/>
      <c r="ALW89" s="1"/>
      <c r="ALX89" s="1"/>
      <c r="ALY89" s="1"/>
      <c r="ALZ89" s="1"/>
      <c r="AMA89" s="1"/>
      <c r="AMB89" s="1"/>
      <c r="AMC89" s="1"/>
      <c r="AMD89" s="1"/>
      <c r="AME89" s="1"/>
      <c r="AMF89" s="1"/>
      <c r="AMG89" s="1"/>
      <c r="AMH89" s="1"/>
      <c r="AMI89" s="1"/>
      <c r="AMJ89" s="1"/>
      <c r="AMK89" s="1"/>
      <c r="AML89" s="1"/>
      <c r="AMM89" s="1"/>
      <c r="AMN89" s="1"/>
      <c r="AMO89" s="1"/>
    </row>
    <row r="90" spans="1:1029" x14ac:dyDescent="0.2">
      <c r="A90" s="3" t="str">
        <f t="shared" si="223"/>
        <v>adrb1_melga_4AMJ</v>
      </c>
      <c r="B90" s="3" t="s">
        <v>912</v>
      </c>
      <c r="C90" s="3" t="s">
        <v>1041</v>
      </c>
      <c r="D90" s="3" t="str">
        <f>IFERROR(MID(VLOOKUP($B90,Seqs!$A:$B,2,0),E90,1),"")</f>
        <v>A</v>
      </c>
      <c r="E90" s="3">
        <v>33</v>
      </c>
      <c r="F90" s="3" t="str">
        <f>IFERROR(MID(VLOOKUP($B90,Seqs!$A:$B,2,0),G90,1),"")</f>
        <v>T</v>
      </c>
      <c r="G90" s="3">
        <v>69</v>
      </c>
      <c r="H90" s="3" t="str">
        <f>IFERROR(MID(VLOOKUP($B90,Seqs!$A:$B,2,0),I90,1),"")</f>
        <v>Q</v>
      </c>
      <c r="I90" s="23">
        <v>70</v>
      </c>
      <c r="J90" s="3" t="str">
        <f>IFERROR(MID(VLOOKUP($B90,Seqs!$A:$B,2,0),K90,1),"")</f>
        <v>Q</v>
      </c>
      <c r="K90" s="23">
        <v>73</v>
      </c>
      <c r="L90" s="3" t="str">
        <f>IFERROR(MID(VLOOKUP($B90,Seqs!$A:$B,2,0),M90,1),"")</f>
        <v>T</v>
      </c>
      <c r="M90" s="3">
        <v>74</v>
      </c>
      <c r="N90" s="3" t="str">
        <f>IFERROR(MID(VLOOKUP($B90,Seqs!$A:$B,2,0),O90,1),"")</f>
        <v>R</v>
      </c>
      <c r="O90" s="3">
        <v>104</v>
      </c>
      <c r="P90" s="3" t="str">
        <f>IFERROR(MID(VLOOKUP($B90,Seqs!$A:$B,2,0),Q90,1),"")</f>
        <v>T</v>
      </c>
      <c r="Q90" s="3">
        <v>106</v>
      </c>
      <c r="R90" s="3" t="str">
        <f>IFERROR(MID(VLOOKUP($B90,Seqs!$A:$B,2,0),S90,1),"")</f>
        <v>W</v>
      </c>
      <c r="S90" s="3">
        <v>109</v>
      </c>
      <c r="T90" s="3" t="str">
        <f>IFERROR(MID(VLOOKUP($B90,Seqs!$A:$B,2,0),U90,1),"")</f>
        <v>G</v>
      </c>
      <c r="U90" s="3">
        <v>110</v>
      </c>
      <c r="V90" s="3" t="str">
        <f>IFERROR(MID(VLOOKUP($B90,Seqs!$A:$B,2,0),W90,1),"")</f>
        <v>S</v>
      </c>
      <c r="W90" s="3">
        <v>145</v>
      </c>
      <c r="X90" s="3" t="str">
        <f>IFERROR(MID(VLOOKUP($B90,Seqs!$A:$B,2,0),Y90,1),"")</f>
        <v>P</v>
      </c>
      <c r="Y90" s="3">
        <v>146</v>
      </c>
      <c r="Z90" s="3" t="str">
        <f>IFERROR(MID(VLOOKUP($B90,Seqs!$A:$B,2,0),AA90,1),"")</f>
        <v>M</v>
      </c>
      <c r="AA90" s="3">
        <v>153</v>
      </c>
      <c r="AB90" s="3" t="str">
        <f>IFERROR(MID(VLOOKUP($B90,Seqs!$A:$B,2,0),AC90,1),"")</f>
        <v>T</v>
      </c>
      <c r="AC90" s="9">
        <v>154</v>
      </c>
      <c r="AD90" s="3" t="str">
        <f>IFERROR(MID(VLOOKUP($B90,Seqs!$A:$B,2,0),AE90,1),"")</f>
        <v>H</v>
      </c>
      <c r="AE90" s="3">
        <v>180</v>
      </c>
      <c r="AF90" s="3" t="str">
        <f>IFERROR(MID(VLOOKUP($B90,Seqs!$A:$B,2,0),AG90,1),"")</f>
        <v>C</v>
      </c>
      <c r="AG90" s="3">
        <v>199</v>
      </c>
      <c r="AH90" s="3" t="str">
        <f>IFERROR(MID(VLOOKUP($B90,Seqs!$A:$B,2,0),AI90,1),"")</f>
        <v>F</v>
      </c>
      <c r="AI90" s="3">
        <v>201</v>
      </c>
      <c r="AJ90" s="3" t="str">
        <f>IFERROR(MID(VLOOKUP($B90,Seqs!$A:$B,2,0),AK90,1),"")</f>
        <v>N</v>
      </c>
      <c r="AK90" s="3">
        <v>204</v>
      </c>
      <c r="AL90" s="3" t="str">
        <f>IFERROR(MID(VLOOKUP($B90,Seqs!$A:$B,2,0),AM90,1),"")</f>
        <v>I</v>
      </c>
      <c r="AM90" s="3">
        <v>238</v>
      </c>
      <c r="AN90" s="3" t="str">
        <f>IFERROR(MID(VLOOKUP($B90,Seqs!$A:$B,2,0),AO90,1),"")</f>
        <v>R</v>
      </c>
      <c r="AO90" s="3">
        <v>275</v>
      </c>
      <c r="AP90" s="3" t="str">
        <f>IFERROR(MID(VLOOKUP($B90,Seqs!$A:$B,2,0),AQ90,1),"")</f>
        <v>N</v>
      </c>
      <c r="AQ90" s="3">
        <v>316</v>
      </c>
      <c r="AR90" s="3" t="str">
        <f>IFERROR(MID(VLOOKUP($B90,Seqs!$A:$B,2,0),AS90,1),"")</f>
        <v>P</v>
      </c>
      <c r="AS90" s="3">
        <v>321</v>
      </c>
      <c r="AT90" s="3" t="str">
        <f>IFERROR(MID(VLOOKUP($B90,Seqs!$A:$B,2,0),AU90,1),"")</f>
        <v>R</v>
      </c>
      <c r="AU90" s="3">
        <v>345</v>
      </c>
      <c r="AV90" s="3" t="str">
        <f>IFERROR(MID(VLOOKUP($B90,Seqs!$A:$B,2,0),AW90,1),"")</f>
        <v>S</v>
      </c>
      <c r="AW90" s="3">
        <v>346</v>
      </c>
      <c r="AX90" s="3" t="str">
        <f>IFERROR(MID(VLOOKUP($B90,Seqs!$A:$B,2,0),AY90,1),"")</f>
        <v>C</v>
      </c>
      <c r="AY90" s="3">
        <v>358</v>
      </c>
      <c r="AZ90" s="77" t="str">
        <f>VLOOKUP(B90,Classification!A:D,2,0)</f>
        <v>A</v>
      </c>
      <c r="BA90" s="94" t="str">
        <f>VLOOKUP(B90,Classification!A:D,4,0)</f>
        <v>Adrenoceptors</v>
      </c>
      <c r="BB90" s="27" t="b">
        <f t="shared" si="224"/>
        <v>1</v>
      </c>
      <c r="BC90" s="23">
        <f t="shared" si="169"/>
        <v>265</v>
      </c>
      <c r="BD90" s="2" t="s">
        <v>1383</v>
      </c>
      <c r="BE90" s="3" t="s">
        <v>1381</v>
      </c>
      <c r="BF90" s="119">
        <v>2.2999999999999998</v>
      </c>
      <c r="BG90" s="49" t="s">
        <v>1384</v>
      </c>
      <c r="BH90" s="49" t="s">
        <v>1384</v>
      </c>
      <c r="BI90" s="1"/>
      <c r="BJ90" s="70" t="s">
        <v>1293</v>
      </c>
      <c r="BK90" s="57" t="s">
        <v>1293</v>
      </c>
      <c r="BL90" s="57" t="s">
        <v>1293</v>
      </c>
      <c r="BM90" s="57" t="s">
        <v>1293</v>
      </c>
      <c r="BN90" s="57" t="s">
        <v>1293</v>
      </c>
      <c r="BO90" s="57" t="s">
        <v>1293</v>
      </c>
      <c r="BP90" s="57" t="s">
        <v>1293</v>
      </c>
      <c r="BQ90" s="57" t="s">
        <v>1293</v>
      </c>
      <c r="BR90" s="57" t="s">
        <v>1293</v>
      </c>
      <c r="BS90" s="57" t="s">
        <v>1293</v>
      </c>
      <c r="BT90" s="57" t="s">
        <v>1293</v>
      </c>
      <c r="BU90" s="57" t="s">
        <v>1293</v>
      </c>
      <c r="BV90" s="70">
        <f t="shared" si="170"/>
        <v>33</v>
      </c>
      <c r="BW90" s="71">
        <f t="shared" si="171"/>
        <v>70</v>
      </c>
      <c r="BX90" s="72">
        <f t="shared" si="172"/>
        <v>74</v>
      </c>
      <c r="BY90" s="71">
        <f t="shared" si="173"/>
        <v>106</v>
      </c>
      <c r="BZ90" s="72">
        <f t="shared" si="174"/>
        <v>110</v>
      </c>
      <c r="CA90" s="71">
        <f t="shared" si="175"/>
        <v>146</v>
      </c>
      <c r="CB90" s="72">
        <f t="shared" si="176"/>
        <v>154</v>
      </c>
      <c r="CC90" s="71">
        <f t="shared" si="177"/>
        <v>199</v>
      </c>
      <c r="CD90" s="72">
        <f t="shared" si="178"/>
        <v>204</v>
      </c>
      <c r="CE90" s="71">
        <f t="shared" si="179"/>
        <v>275</v>
      </c>
      <c r="CF90" s="72">
        <f t="shared" si="180"/>
        <v>321</v>
      </c>
      <c r="CG90" s="71">
        <f t="shared" si="181"/>
        <v>346</v>
      </c>
      <c r="CH90" s="70">
        <f t="shared" si="182"/>
        <v>69</v>
      </c>
      <c r="CI90" s="71">
        <f t="shared" si="183"/>
        <v>73</v>
      </c>
      <c r="CJ90" s="72">
        <f t="shared" si="184"/>
        <v>104</v>
      </c>
      <c r="CK90" s="72">
        <f t="shared" si="185"/>
        <v>109</v>
      </c>
      <c r="CL90" s="72">
        <f t="shared" si="186"/>
        <v>145</v>
      </c>
      <c r="CM90" s="72">
        <f t="shared" si="187"/>
        <v>153</v>
      </c>
      <c r="CN90" s="72">
        <f t="shared" si="188"/>
        <v>180</v>
      </c>
      <c r="CO90" s="72">
        <f t="shared" si="189"/>
        <v>201</v>
      </c>
      <c r="CP90" s="72">
        <f t="shared" si="190"/>
        <v>238</v>
      </c>
      <c r="CQ90" s="72">
        <f t="shared" si="191"/>
        <v>316</v>
      </c>
      <c r="CR90" s="72">
        <f t="shared" si="192"/>
        <v>345</v>
      </c>
      <c r="CS90" s="72">
        <f t="shared" si="193"/>
        <v>358</v>
      </c>
      <c r="CT90" s="23">
        <f t="shared" si="194"/>
        <v>1</v>
      </c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  <c r="OK90" s="1"/>
      <c r="OL90" s="1"/>
      <c r="OM90" s="1"/>
      <c r="ON90" s="1"/>
      <c r="OO90" s="1"/>
      <c r="OP90" s="1"/>
      <c r="OQ90" s="1"/>
      <c r="OR90" s="1"/>
      <c r="OS90" s="1"/>
      <c r="OT90" s="1"/>
      <c r="OU90" s="1"/>
      <c r="OV90" s="1"/>
      <c r="OW90" s="1"/>
      <c r="OX90" s="1"/>
      <c r="OY90" s="1"/>
      <c r="OZ90" s="1"/>
      <c r="PA90" s="1"/>
      <c r="PB90" s="1"/>
      <c r="PC90" s="1"/>
      <c r="PD90" s="1"/>
      <c r="PE90" s="1"/>
      <c r="PF90" s="1"/>
      <c r="PG90" s="1"/>
      <c r="PH90" s="1"/>
      <c r="PI90" s="1"/>
      <c r="PJ90" s="1"/>
      <c r="PK90" s="1"/>
      <c r="PL90" s="1"/>
      <c r="PM90" s="1"/>
      <c r="PN90" s="1"/>
      <c r="PO90" s="1"/>
      <c r="PP90" s="1"/>
      <c r="PQ90" s="1"/>
      <c r="PR90" s="1"/>
      <c r="PS90" s="1"/>
      <c r="PT90" s="1"/>
      <c r="PU90" s="1"/>
      <c r="PV90" s="1"/>
      <c r="PW90" s="1"/>
      <c r="PX90" s="1"/>
      <c r="PY90" s="1"/>
      <c r="PZ90" s="1"/>
      <c r="QA90" s="1"/>
      <c r="QB90" s="1"/>
      <c r="QC90" s="1"/>
      <c r="QD90" s="1"/>
      <c r="QE90" s="1"/>
      <c r="QF90" s="1"/>
      <c r="QG90" s="1"/>
      <c r="QH90" s="1"/>
      <c r="QI90" s="1"/>
      <c r="QJ90" s="1"/>
      <c r="QK90" s="1"/>
      <c r="QL90" s="1"/>
      <c r="QM90" s="1"/>
      <c r="QN90" s="1"/>
      <c r="QO90" s="1"/>
      <c r="QP90" s="1"/>
      <c r="QQ90" s="1"/>
      <c r="QR90" s="1"/>
      <c r="QS90" s="1"/>
      <c r="QT90" s="1"/>
      <c r="QU90" s="1"/>
      <c r="QV90" s="1"/>
      <c r="QW90" s="1"/>
      <c r="QX90" s="1"/>
      <c r="QY90" s="1"/>
      <c r="QZ90" s="1"/>
      <c r="RA90" s="1"/>
      <c r="RB90" s="1"/>
      <c r="RC90" s="1"/>
      <c r="RD90" s="1"/>
      <c r="RE90" s="1"/>
      <c r="RF90" s="1"/>
      <c r="RG90" s="1"/>
      <c r="RH90" s="1"/>
      <c r="RI90" s="1"/>
      <c r="RJ90" s="1"/>
      <c r="RK90" s="1"/>
      <c r="RL90" s="1"/>
      <c r="RM90" s="1"/>
      <c r="RN90" s="1"/>
      <c r="RO90" s="1"/>
      <c r="RP90" s="1"/>
      <c r="RQ90" s="1"/>
      <c r="RR90" s="1"/>
      <c r="RS90" s="1"/>
      <c r="RT90" s="1"/>
      <c r="RU90" s="1"/>
      <c r="RV90" s="1"/>
      <c r="RW90" s="1"/>
      <c r="RX90" s="1"/>
      <c r="RY90" s="1"/>
      <c r="RZ90" s="1"/>
      <c r="SA90" s="1"/>
      <c r="SB90" s="1"/>
      <c r="SC90" s="1"/>
      <c r="SD90" s="1"/>
      <c r="SE90" s="1"/>
      <c r="SF90" s="1"/>
      <c r="SG90" s="1"/>
      <c r="SH90" s="1"/>
      <c r="SI90" s="1"/>
      <c r="SJ90" s="1"/>
      <c r="SK90" s="1"/>
      <c r="SL90" s="1"/>
      <c r="SM90" s="1"/>
      <c r="SN90" s="1"/>
      <c r="SO90" s="1"/>
      <c r="SP90" s="1"/>
      <c r="SQ90" s="1"/>
      <c r="SR90" s="1"/>
      <c r="SS90" s="1"/>
      <c r="ST90" s="1"/>
      <c r="SU90" s="1"/>
      <c r="SV90" s="1"/>
      <c r="SW90" s="1"/>
      <c r="SX90" s="1"/>
      <c r="SY90" s="1"/>
      <c r="SZ90" s="1"/>
      <c r="TA90" s="1"/>
      <c r="TB90" s="1"/>
      <c r="TC90" s="1"/>
      <c r="TD90" s="1"/>
      <c r="TE90" s="1"/>
      <c r="TF90" s="1"/>
      <c r="TG90" s="1"/>
      <c r="TH90" s="1"/>
      <c r="TI90" s="1"/>
      <c r="TJ90" s="1"/>
      <c r="TK90" s="1"/>
      <c r="TL90" s="1"/>
      <c r="TM90" s="1"/>
      <c r="TN90" s="1"/>
      <c r="TO90" s="1"/>
      <c r="TP90" s="1"/>
      <c r="TQ90" s="1"/>
      <c r="TR90" s="1"/>
      <c r="TS90" s="1"/>
      <c r="TT90" s="1"/>
      <c r="TU90" s="1"/>
      <c r="TV90" s="1"/>
      <c r="TW90" s="1"/>
      <c r="TX90" s="1"/>
      <c r="TY90" s="1"/>
      <c r="TZ90" s="1"/>
      <c r="UA90" s="1"/>
      <c r="UB90" s="1"/>
      <c r="UC90" s="1"/>
      <c r="UD90" s="1"/>
      <c r="UE90" s="1"/>
      <c r="UF90" s="1"/>
      <c r="UG90" s="1"/>
      <c r="UH90" s="1"/>
      <c r="UI90" s="1"/>
      <c r="UJ90" s="1"/>
      <c r="UK90" s="1"/>
      <c r="UL90" s="1"/>
      <c r="UM90" s="1"/>
      <c r="UN90" s="1"/>
      <c r="UO90" s="1"/>
      <c r="UP90" s="1"/>
      <c r="UQ90" s="1"/>
      <c r="UR90" s="1"/>
      <c r="US90" s="1"/>
      <c r="UT90" s="1"/>
      <c r="UU90" s="1"/>
      <c r="UV90" s="1"/>
      <c r="UW90" s="1"/>
      <c r="UX90" s="1"/>
      <c r="UY90" s="1"/>
      <c r="UZ90" s="1"/>
      <c r="VA90" s="1"/>
      <c r="VB90" s="1"/>
      <c r="VC90" s="1"/>
      <c r="VD90" s="1"/>
      <c r="VE90" s="1"/>
      <c r="VF90" s="1"/>
      <c r="VG90" s="1"/>
      <c r="VH90" s="1"/>
      <c r="VI90" s="1"/>
      <c r="VJ90" s="1"/>
      <c r="VK90" s="1"/>
      <c r="VL90" s="1"/>
      <c r="VM90" s="1"/>
      <c r="VN90" s="1"/>
      <c r="VO90" s="1"/>
      <c r="VP90" s="1"/>
      <c r="VQ90" s="1"/>
      <c r="VR90" s="1"/>
      <c r="VS90" s="1"/>
      <c r="VT90" s="1"/>
      <c r="VU90" s="1"/>
      <c r="VV90" s="1"/>
      <c r="VW90" s="1"/>
      <c r="VX90" s="1"/>
      <c r="VY90" s="1"/>
      <c r="VZ90" s="1"/>
      <c r="WA90" s="1"/>
      <c r="WB90" s="1"/>
      <c r="WC90" s="1"/>
      <c r="WD90" s="1"/>
      <c r="WE90" s="1"/>
      <c r="WF90" s="1"/>
      <c r="WG90" s="1"/>
      <c r="WH90" s="1"/>
      <c r="WI90" s="1"/>
      <c r="WJ90" s="1"/>
      <c r="WK90" s="1"/>
      <c r="WL90" s="1"/>
      <c r="WM90" s="1"/>
      <c r="WN90" s="1"/>
      <c r="WO90" s="1"/>
      <c r="WP90" s="1"/>
      <c r="WQ90" s="1"/>
      <c r="WR90" s="1"/>
      <c r="WS90" s="1"/>
      <c r="WT90" s="1"/>
      <c r="WU90" s="1"/>
      <c r="WV90" s="1"/>
      <c r="WW90" s="1"/>
      <c r="WX90" s="1"/>
      <c r="WY90" s="1"/>
      <c r="WZ90" s="1"/>
      <c r="XA90" s="1"/>
      <c r="XB90" s="1"/>
      <c r="XC90" s="1"/>
      <c r="XD90" s="1"/>
      <c r="XE90" s="1"/>
      <c r="XF90" s="1"/>
      <c r="XG90" s="1"/>
      <c r="XH90" s="1"/>
      <c r="XI90" s="1"/>
      <c r="XJ90" s="1"/>
      <c r="XK90" s="1"/>
      <c r="XL90" s="1"/>
      <c r="XM90" s="1"/>
      <c r="XN90" s="1"/>
      <c r="XO90" s="1"/>
      <c r="XP90" s="1"/>
      <c r="XQ90" s="1"/>
      <c r="XR90" s="1"/>
      <c r="XS90" s="1"/>
      <c r="XT90" s="1"/>
      <c r="XU90" s="1"/>
      <c r="XV90" s="1"/>
      <c r="XW90" s="1"/>
      <c r="XX90" s="1"/>
      <c r="XY90" s="1"/>
      <c r="XZ90" s="1"/>
      <c r="YA90" s="1"/>
      <c r="YB90" s="1"/>
      <c r="YC90" s="1"/>
      <c r="YD90" s="1"/>
      <c r="YE90" s="1"/>
      <c r="YF90" s="1"/>
      <c r="YG90" s="1"/>
      <c r="YH90" s="1"/>
      <c r="YI90" s="1"/>
      <c r="YJ90" s="1"/>
      <c r="YK90" s="1"/>
      <c r="YL90" s="1"/>
      <c r="YM90" s="1"/>
      <c r="YN90" s="1"/>
      <c r="YO90" s="1"/>
      <c r="YP90" s="1"/>
      <c r="YQ90" s="1"/>
      <c r="YR90" s="1"/>
      <c r="YS90" s="1"/>
      <c r="YT90" s="1"/>
      <c r="YU90" s="1"/>
      <c r="YV90" s="1"/>
      <c r="YW90" s="1"/>
      <c r="YX90" s="1"/>
      <c r="YY90" s="1"/>
      <c r="YZ90" s="1"/>
      <c r="ZA90" s="1"/>
      <c r="ZB90" s="1"/>
      <c r="ZC90" s="1"/>
      <c r="ZD90" s="1"/>
      <c r="ZE90" s="1"/>
      <c r="ZF90" s="1"/>
      <c r="ZG90" s="1"/>
      <c r="ZH90" s="1"/>
      <c r="ZI90" s="1"/>
      <c r="ZJ90" s="1"/>
      <c r="ZK90" s="1"/>
      <c r="ZL90" s="1"/>
      <c r="ZM90" s="1"/>
      <c r="ZN90" s="1"/>
      <c r="ZO90" s="1"/>
      <c r="ZP90" s="1"/>
      <c r="ZQ90" s="1"/>
      <c r="ZR90" s="1"/>
      <c r="ZS90" s="1"/>
      <c r="ZT90" s="1"/>
      <c r="ZU90" s="1"/>
      <c r="ZV90" s="1"/>
      <c r="ZW90" s="1"/>
      <c r="ZX90" s="1"/>
      <c r="ZY90" s="1"/>
      <c r="ZZ90" s="1"/>
      <c r="AAA90" s="1"/>
      <c r="AAB90" s="1"/>
      <c r="AAC90" s="1"/>
      <c r="AAD90" s="1"/>
      <c r="AAE90" s="1"/>
      <c r="AAF90" s="1"/>
      <c r="AAG90" s="1"/>
      <c r="AAH90" s="1"/>
      <c r="AAI90" s="1"/>
      <c r="AAJ90" s="1"/>
      <c r="AAK90" s="1"/>
      <c r="AAL90" s="1"/>
      <c r="AAM90" s="1"/>
      <c r="AAN90" s="1"/>
      <c r="AAO90" s="1"/>
      <c r="AAP90" s="1"/>
      <c r="AAQ90" s="1"/>
      <c r="AAR90" s="1"/>
      <c r="AAS90" s="1"/>
      <c r="AAT90" s="1"/>
      <c r="AAU90" s="1"/>
      <c r="AAV90" s="1"/>
      <c r="AAW90" s="1"/>
      <c r="AAX90" s="1"/>
      <c r="AAY90" s="1"/>
      <c r="AAZ90" s="1"/>
      <c r="ABA90" s="1"/>
      <c r="ABB90" s="1"/>
      <c r="ABC90" s="1"/>
      <c r="ABD90" s="1"/>
      <c r="ABE90" s="1"/>
      <c r="ABF90" s="1"/>
      <c r="ABG90" s="1"/>
      <c r="ABH90" s="1"/>
      <c r="ABI90" s="1"/>
      <c r="ABJ90" s="1"/>
      <c r="ABK90" s="1"/>
      <c r="ABL90" s="1"/>
      <c r="ABM90" s="1"/>
      <c r="ABN90" s="1"/>
      <c r="ABO90" s="1"/>
      <c r="ABP90" s="1"/>
      <c r="ABQ90" s="1"/>
      <c r="ABR90" s="1"/>
      <c r="ABS90" s="1"/>
      <c r="ABT90" s="1"/>
      <c r="ABU90" s="1"/>
      <c r="ABV90" s="1"/>
      <c r="ABW90" s="1"/>
      <c r="ABX90" s="1"/>
      <c r="ABY90" s="1"/>
      <c r="ABZ90" s="1"/>
      <c r="ACA90" s="1"/>
      <c r="ACB90" s="1"/>
      <c r="ACC90" s="1"/>
      <c r="ACD90" s="1"/>
      <c r="ACE90" s="1"/>
      <c r="ACF90" s="1"/>
      <c r="ACG90" s="1"/>
      <c r="ACH90" s="1"/>
      <c r="ACI90" s="1"/>
      <c r="ACJ90" s="1"/>
      <c r="ACK90" s="1"/>
      <c r="ACL90" s="1"/>
      <c r="ACM90" s="1"/>
      <c r="ACN90" s="1"/>
      <c r="ACO90" s="1"/>
      <c r="ACP90" s="1"/>
      <c r="ACQ90" s="1"/>
      <c r="ACR90" s="1"/>
      <c r="ACS90" s="1"/>
      <c r="ACT90" s="1"/>
      <c r="ACU90" s="1"/>
      <c r="ACV90" s="1"/>
      <c r="ACW90" s="1"/>
      <c r="ACX90" s="1"/>
      <c r="ACY90" s="1"/>
      <c r="ACZ90" s="1"/>
      <c r="ADA90" s="1"/>
      <c r="ADB90" s="1"/>
      <c r="ADC90" s="1"/>
      <c r="ADD90" s="1"/>
      <c r="ADE90" s="1"/>
      <c r="ADF90" s="1"/>
      <c r="ADG90" s="1"/>
      <c r="ADH90" s="1"/>
      <c r="ADI90" s="1"/>
      <c r="ADJ90" s="1"/>
      <c r="ADK90" s="1"/>
      <c r="ADL90" s="1"/>
      <c r="ADM90" s="1"/>
      <c r="ADN90" s="1"/>
      <c r="ADO90" s="1"/>
      <c r="ADP90" s="1"/>
      <c r="ADQ90" s="1"/>
      <c r="ADR90" s="1"/>
      <c r="ADS90" s="1"/>
      <c r="ADT90" s="1"/>
      <c r="ADU90" s="1"/>
      <c r="ADV90" s="1"/>
      <c r="ADW90" s="1"/>
      <c r="ADX90" s="1"/>
      <c r="ADY90" s="1"/>
      <c r="ADZ90" s="1"/>
      <c r="AEA90" s="1"/>
      <c r="AEB90" s="1"/>
      <c r="AEC90" s="1"/>
      <c r="AED90" s="1"/>
      <c r="AEE90" s="1"/>
      <c r="AEF90" s="1"/>
      <c r="AEG90" s="1"/>
      <c r="AEH90" s="1"/>
      <c r="AEI90" s="1"/>
      <c r="AEJ90" s="1"/>
      <c r="AEK90" s="1"/>
      <c r="AEL90" s="1"/>
      <c r="AEM90" s="1"/>
      <c r="AEN90" s="1"/>
      <c r="AEO90" s="1"/>
      <c r="AEP90" s="1"/>
      <c r="AEQ90" s="1"/>
      <c r="AER90" s="1"/>
      <c r="AES90" s="1"/>
      <c r="AET90" s="1"/>
      <c r="AEU90" s="1"/>
      <c r="AEV90" s="1"/>
      <c r="AEW90" s="1"/>
      <c r="AEX90" s="1"/>
      <c r="AEY90" s="1"/>
      <c r="AEZ90" s="1"/>
      <c r="AFA90" s="1"/>
      <c r="AFB90" s="1"/>
      <c r="AFC90" s="1"/>
      <c r="AFD90" s="1"/>
      <c r="AFE90" s="1"/>
      <c r="AFF90" s="1"/>
      <c r="AFG90" s="1"/>
      <c r="AFH90" s="1"/>
      <c r="AFI90" s="1"/>
      <c r="AFJ90" s="1"/>
      <c r="AFK90" s="1"/>
      <c r="AFL90" s="1"/>
      <c r="AFM90" s="1"/>
      <c r="AFN90" s="1"/>
      <c r="AFO90" s="1"/>
      <c r="AFP90" s="1"/>
      <c r="AFQ90" s="1"/>
      <c r="AFR90" s="1"/>
      <c r="AFS90" s="1"/>
      <c r="AFT90" s="1"/>
      <c r="AFU90" s="1"/>
      <c r="AFV90" s="1"/>
      <c r="AFW90" s="1"/>
      <c r="AFX90" s="1"/>
      <c r="AFY90" s="1"/>
      <c r="AFZ90" s="1"/>
      <c r="AGA90" s="1"/>
      <c r="AGB90" s="1"/>
      <c r="AGC90" s="1"/>
      <c r="AGD90" s="1"/>
      <c r="AGE90" s="1"/>
      <c r="AGF90" s="1"/>
      <c r="AGG90" s="1"/>
      <c r="AGH90" s="1"/>
      <c r="AGI90" s="1"/>
      <c r="AGJ90" s="1"/>
      <c r="AGK90" s="1"/>
      <c r="AGL90" s="1"/>
      <c r="AGM90" s="1"/>
      <c r="AGN90" s="1"/>
      <c r="AGO90" s="1"/>
      <c r="AGP90" s="1"/>
      <c r="AGQ90" s="1"/>
      <c r="AGR90" s="1"/>
      <c r="AGS90" s="1"/>
      <c r="AGT90" s="1"/>
      <c r="AGU90" s="1"/>
      <c r="AGV90" s="1"/>
      <c r="AGW90" s="1"/>
      <c r="AGX90" s="1"/>
      <c r="AGY90" s="1"/>
      <c r="AGZ90" s="1"/>
      <c r="AHA90" s="1"/>
      <c r="AHB90" s="1"/>
      <c r="AHC90" s="1"/>
      <c r="AHD90" s="1"/>
      <c r="AHE90" s="1"/>
      <c r="AHF90" s="1"/>
      <c r="AHG90" s="1"/>
      <c r="AHH90" s="1"/>
      <c r="AHI90" s="1"/>
      <c r="AHJ90" s="1"/>
      <c r="AHK90" s="1"/>
      <c r="AHL90" s="1"/>
      <c r="AHM90" s="1"/>
      <c r="AHN90" s="1"/>
      <c r="AHO90" s="1"/>
      <c r="AHP90" s="1"/>
      <c r="AHQ90" s="1"/>
      <c r="AHR90" s="1"/>
      <c r="AHS90" s="1"/>
      <c r="AHT90" s="1"/>
      <c r="AHU90" s="1"/>
      <c r="AHV90" s="1"/>
      <c r="AHW90" s="1"/>
      <c r="AHX90" s="1"/>
      <c r="AHY90" s="1"/>
      <c r="AHZ90" s="1"/>
      <c r="AIA90" s="1"/>
      <c r="AIB90" s="1"/>
      <c r="AIC90" s="1"/>
      <c r="AID90" s="1"/>
      <c r="AIE90" s="1"/>
      <c r="AIF90" s="1"/>
      <c r="AIG90" s="1"/>
      <c r="AIH90" s="1"/>
      <c r="AII90" s="1"/>
      <c r="AIJ90" s="1"/>
      <c r="AIK90" s="1"/>
      <c r="AIL90" s="1"/>
      <c r="AIM90" s="1"/>
      <c r="AIN90" s="1"/>
      <c r="AIO90" s="1"/>
      <c r="AIP90" s="1"/>
      <c r="AIQ90" s="1"/>
      <c r="AIR90" s="1"/>
      <c r="AIS90" s="1"/>
      <c r="AIT90" s="1"/>
      <c r="AIU90" s="1"/>
      <c r="AIV90" s="1"/>
      <c r="AIW90" s="1"/>
      <c r="AIX90" s="1"/>
      <c r="AIY90" s="1"/>
      <c r="AIZ90" s="1"/>
      <c r="AJA90" s="1"/>
      <c r="AJB90" s="1"/>
      <c r="AJC90" s="1"/>
      <c r="AJD90" s="1"/>
      <c r="AJE90" s="1"/>
      <c r="AJF90" s="1"/>
      <c r="AJG90" s="1"/>
      <c r="AJH90" s="1"/>
      <c r="AJI90" s="1"/>
      <c r="AJJ90" s="1"/>
      <c r="AJK90" s="1"/>
      <c r="AJL90" s="1"/>
      <c r="AJM90" s="1"/>
      <c r="AJN90" s="1"/>
      <c r="AJO90" s="1"/>
      <c r="AJP90" s="1"/>
      <c r="AJQ90" s="1"/>
      <c r="AJR90" s="1"/>
      <c r="AJS90" s="1"/>
      <c r="AJT90" s="1"/>
      <c r="AJU90" s="1"/>
      <c r="AJV90" s="1"/>
      <c r="AJW90" s="1"/>
      <c r="AJX90" s="1"/>
      <c r="AJY90" s="1"/>
      <c r="AJZ90" s="1"/>
      <c r="AKA90" s="1"/>
      <c r="AKB90" s="1"/>
      <c r="AKC90" s="1"/>
      <c r="AKD90" s="1"/>
      <c r="AKE90" s="1"/>
      <c r="AKF90" s="1"/>
      <c r="AKG90" s="1"/>
      <c r="AKH90" s="1"/>
      <c r="AKI90" s="1"/>
      <c r="AKJ90" s="1"/>
      <c r="AKK90" s="1"/>
      <c r="AKL90" s="1"/>
      <c r="AKM90" s="1"/>
      <c r="AKN90" s="1"/>
      <c r="AKO90" s="1"/>
      <c r="AKP90" s="1"/>
      <c r="AKQ90" s="1"/>
      <c r="AKR90" s="1"/>
      <c r="AKS90" s="1"/>
      <c r="AKT90" s="1"/>
      <c r="AKU90" s="1"/>
      <c r="AKV90" s="1"/>
      <c r="AKW90" s="1"/>
      <c r="AKX90" s="1"/>
      <c r="AKY90" s="1"/>
      <c r="AKZ90" s="1"/>
      <c r="ALA90" s="1"/>
      <c r="ALB90" s="1"/>
      <c r="ALC90" s="1"/>
      <c r="ALD90" s="1"/>
      <c r="ALE90" s="1"/>
      <c r="ALF90" s="1"/>
      <c r="ALG90" s="1"/>
      <c r="ALH90" s="1"/>
      <c r="ALI90" s="1"/>
      <c r="ALJ90" s="1"/>
      <c r="ALK90" s="1"/>
      <c r="ALL90" s="1"/>
      <c r="ALM90" s="1"/>
      <c r="ALN90" s="1"/>
      <c r="ALO90" s="1"/>
      <c r="ALP90" s="1"/>
      <c r="ALQ90" s="1"/>
      <c r="ALR90" s="1"/>
      <c r="ALS90" s="1"/>
      <c r="ALT90" s="1"/>
      <c r="ALU90" s="1"/>
      <c r="ALV90" s="1"/>
      <c r="ALW90" s="1"/>
      <c r="ALX90" s="1"/>
      <c r="ALY90" s="1"/>
      <c r="ALZ90" s="1"/>
      <c r="AMA90" s="1"/>
      <c r="AMB90" s="1"/>
      <c r="AMC90" s="1"/>
      <c r="AMD90" s="1"/>
      <c r="AME90" s="1"/>
      <c r="AMF90" s="1"/>
      <c r="AMG90" s="1"/>
      <c r="AMH90" s="1"/>
      <c r="AMI90" s="1"/>
      <c r="AMJ90" s="1"/>
      <c r="AMK90" s="1"/>
      <c r="AML90" s="1"/>
      <c r="AMM90" s="1"/>
      <c r="AMN90" s="1"/>
      <c r="AMO90" s="1"/>
    </row>
    <row r="91" spans="1:1029" x14ac:dyDescent="0.2">
      <c r="A91" s="3" t="str">
        <f t="shared" si="223"/>
        <v>adrb1_melga_4BVN</v>
      </c>
      <c r="B91" s="3" t="s">
        <v>912</v>
      </c>
      <c r="C91" s="3" t="s">
        <v>82</v>
      </c>
      <c r="D91" s="3" t="str">
        <f>IFERROR(MID(VLOOKUP($B91,Seqs!$A:$B,2,0),E91,1),"")</f>
        <v>S</v>
      </c>
      <c r="E91" s="3">
        <v>37</v>
      </c>
      <c r="F91" s="3" t="str">
        <f>IFERROR(MID(VLOOKUP($B91,Seqs!$A:$B,2,0),G91,1),"")</f>
        <v>T</v>
      </c>
      <c r="G91" s="3">
        <v>69</v>
      </c>
      <c r="H91" s="3" t="str">
        <f>IFERROR(MID(VLOOKUP($B91,Seqs!$A:$B,2,0),I91,1),"")</f>
        <v>Q</v>
      </c>
      <c r="I91" s="23">
        <v>70</v>
      </c>
      <c r="J91" s="3" t="str">
        <f>IFERROR(MID(VLOOKUP($B91,Seqs!$A:$B,2,0),K91,1),"")</f>
        <v>Q</v>
      </c>
      <c r="K91" s="23">
        <v>73</v>
      </c>
      <c r="L91" s="3" t="str">
        <f>IFERROR(MID(VLOOKUP($B91,Seqs!$A:$B,2,0),M91,1),"")</f>
        <v>T</v>
      </c>
      <c r="M91" s="3">
        <v>74</v>
      </c>
      <c r="N91" s="3" t="str">
        <f>IFERROR(MID(VLOOKUP($B91,Seqs!$A:$B,2,0),O91,1),"")</f>
        <v>R</v>
      </c>
      <c r="O91" s="3">
        <v>104</v>
      </c>
      <c r="P91" s="3" t="str">
        <f>IFERROR(MID(VLOOKUP($B91,Seqs!$A:$B,2,0),Q91,1),"")</f>
        <v>T</v>
      </c>
      <c r="Q91" s="3">
        <v>106</v>
      </c>
      <c r="R91" s="3" t="str">
        <f>IFERROR(MID(VLOOKUP($B91,Seqs!$A:$B,2,0),S91,1),"")</f>
        <v>W</v>
      </c>
      <c r="S91" s="3">
        <v>109</v>
      </c>
      <c r="T91" s="3" t="str">
        <f>IFERROR(MID(VLOOKUP($B91,Seqs!$A:$B,2,0),U91,1),"")</f>
        <v>G</v>
      </c>
      <c r="U91" s="3">
        <v>110</v>
      </c>
      <c r="V91" s="3" t="str">
        <f>IFERROR(MID(VLOOKUP($B91,Seqs!$A:$B,2,0),W91,1),"")</f>
        <v>S</v>
      </c>
      <c r="W91" s="3">
        <v>145</v>
      </c>
      <c r="X91" s="3" t="str">
        <f>IFERROR(MID(VLOOKUP($B91,Seqs!$A:$B,2,0),Y91,1),"")</f>
        <v>P</v>
      </c>
      <c r="Y91" s="3">
        <v>146</v>
      </c>
      <c r="Z91" s="3" t="str">
        <f>IFERROR(MID(VLOOKUP($B91,Seqs!$A:$B,2,0),AA91,1),"")</f>
        <v>M</v>
      </c>
      <c r="AA91" s="3">
        <v>153</v>
      </c>
      <c r="AB91" s="3" t="str">
        <f>IFERROR(MID(VLOOKUP($B91,Seqs!$A:$B,2,0),AC91,1),"")</f>
        <v>T</v>
      </c>
      <c r="AC91" s="9">
        <v>154</v>
      </c>
      <c r="AD91" s="3" t="str">
        <f>IFERROR(MID(VLOOKUP($B91,Seqs!$A:$B,2,0),AE91,1),"")</f>
        <v>H</v>
      </c>
      <c r="AE91" s="3">
        <v>180</v>
      </c>
      <c r="AF91" s="3" t="str">
        <f>IFERROR(MID(VLOOKUP($B91,Seqs!$A:$B,2,0),AG91,1),"")</f>
        <v>C</v>
      </c>
      <c r="AG91" s="3">
        <v>199</v>
      </c>
      <c r="AH91" s="3" t="str">
        <f>IFERROR(MID(VLOOKUP($B91,Seqs!$A:$B,2,0),AI91,1),"")</f>
        <v>F</v>
      </c>
      <c r="AI91" s="3">
        <v>201</v>
      </c>
      <c r="AJ91" s="3" t="str">
        <f>IFERROR(MID(VLOOKUP($B91,Seqs!$A:$B,2,0),AK91,1),"")</f>
        <v>N</v>
      </c>
      <c r="AK91" s="3">
        <v>204</v>
      </c>
      <c r="AL91" s="3" t="str">
        <f>IFERROR(MID(VLOOKUP($B91,Seqs!$A:$B,2,0),AM91,1),"")</f>
        <v>R</v>
      </c>
      <c r="AM91" s="3">
        <v>239</v>
      </c>
      <c r="AN91" s="3" t="str">
        <f>IFERROR(MID(VLOOKUP($B91,Seqs!$A:$B,2,0),AO91,1),"")</f>
        <v>R</v>
      </c>
      <c r="AO91" s="3">
        <v>279</v>
      </c>
      <c r="AP91" s="3" t="str">
        <f>IFERROR(MID(VLOOKUP($B91,Seqs!$A:$B,2,0),AQ91,1),"")</f>
        <v>N</v>
      </c>
      <c r="AQ91" s="3">
        <v>316</v>
      </c>
      <c r="AR91" s="3" t="str">
        <f>IFERROR(MID(VLOOKUP($B91,Seqs!$A:$B,2,0),AS91,1),"")</f>
        <v>P</v>
      </c>
      <c r="AS91" s="3">
        <v>321</v>
      </c>
      <c r="AT91" s="3" t="str">
        <f>IFERROR(MID(VLOOKUP($B91,Seqs!$A:$B,2,0),AU91,1),"")</f>
        <v>R</v>
      </c>
      <c r="AU91" s="3">
        <v>345</v>
      </c>
      <c r="AV91" s="3" t="str">
        <f>IFERROR(MID(VLOOKUP($B91,Seqs!$A:$B,2,0),AW91,1),"")</f>
        <v>S</v>
      </c>
      <c r="AW91" s="3">
        <v>346</v>
      </c>
      <c r="AX91" s="3" t="str">
        <f>IFERROR(MID(VLOOKUP($B91,Seqs!$A:$B,2,0),AY91,1),"")</f>
        <v>C</v>
      </c>
      <c r="AY91" s="3">
        <v>358</v>
      </c>
      <c r="AZ91" s="77" t="str">
        <f>VLOOKUP(B91,Classification!A:D,2,0)</f>
        <v>A</v>
      </c>
      <c r="BA91" s="94" t="str">
        <f>VLOOKUP(B91,Classification!A:D,4,0)</f>
        <v>Adrenoceptors</v>
      </c>
      <c r="BB91" s="27" t="b">
        <f t="shared" si="224"/>
        <v>1</v>
      </c>
      <c r="BC91" s="23">
        <f t="shared" ref="BC91:BC147" si="365">_xlfn.AGGREGATE(9,6,CH91:CS91)-_xlfn.AGGREGATE(9,6,BV91:CG91)+12</f>
        <v>258</v>
      </c>
      <c r="BD91" s="4" t="s">
        <v>23</v>
      </c>
      <c r="BE91" s="3" t="s">
        <v>1381</v>
      </c>
      <c r="BF91" s="119">
        <v>2.1</v>
      </c>
      <c r="BG91" s="49" t="s">
        <v>1384</v>
      </c>
      <c r="BH91" s="49" t="s">
        <v>1384</v>
      </c>
      <c r="BI91" s="1"/>
      <c r="BJ91" s="70" t="s">
        <v>1293</v>
      </c>
      <c r="BK91" s="57" t="s">
        <v>1293</v>
      </c>
      <c r="BL91" s="57" t="s">
        <v>1293</v>
      </c>
      <c r="BM91" s="57" t="s">
        <v>1293</v>
      </c>
      <c r="BN91" s="57" t="s">
        <v>1293</v>
      </c>
      <c r="BO91" s="57" t="s">
        <v>1293</v>
      </c>
      <c r="BP91" s="57" t="s">
        <v>1293</v>
      </c>
      <c r="BQ91" s="57" t="s">
        <v>1293</v>
      </c>
      <c r="BR91" s="57" t="s">
        <v>1293</v>
      </c>
      <c r="BS91" s="57" t="s">
        <v>1293</v>
      </c>
      <c r="BT91" s="57" t="s">
        <v>1293</v>
      </c>
      <c r="BU91" s="57" t="s">
        <v>1293</v>
      </c>
      <c r="BV91" s="70">
        <f t="shared" ref="BV91:BV147" si="366">E91</f>
        <v>37</v>
      </c>
      <c r="BW91" s="71">
        <f t="shared" ref="BW91:BW147" si="367">I91</f>
        <v>70</v>
      </c>
      <c r="BX91" s="72">
        <f t="shared" ref="BX91:BX147" si="368">M91</f>
        <v>74</v>
      </c>
      <c r="BY91" s="71">
        <f t="shared" ref="BY91:BY147" si="369">Q91</f>
        <v>106</v>
      </c>
      <c r="BZ91" s="72">
        <f t="shared" ref="BZ91:BZ147" si="370">U91</f>
        <v>110</v>
      </c>
      <c r="CA91" s="71">
        <f t="shared" ref="CA91:CA147" si="371">Y91</f>
        <v>146</v>
      </c>
      <c r="CB91" s="72">
        <f t="shared" ref="CB91:CB147" si="372">AC91</f>
        <v>154</v>
      </c>
      <c r="CC91" s="71">
        <f t="shared" ref="CC91:CC147" si="373">AG91</f>
        <v>199</v>
      </c>
      <c r="CD91" s="72">
        <f t="shared" ref="CD91:CD147" si="374">AK91</f>
        <v>204</v>
      </c>
      <c r="CE91" s="71">
        <f t="shared" ref="CE91:CE147" si="375">AO91</f>
        <v>279</v>
      </c>
      <c r="CF91" s="72">
        <f t="shared" ref="CF91:CF147" si="376">AS91</f>
        <v>321</v>
      </c>
      <c r="CG91" s="71">
        <f t="shared" ref="CG91:CG147" si="377">AW91</f>
        <v>346</v>
      </c>
      <c r="CH91" s="70">
        <f t="shared" ref="CH91:CH147" si="378">G91</f>
        <v>69</v>
      </c>
      <c r="CI91" s="71">
        <f t="shared" ref="CI91:CI147" si="379">K91</f>
        <v>73</v>
      </c>
      <c r="CJ91" s="72">
        <f t="shared" ref="CJ91:CJ147" si="380">O91</f>
        <v>104</v>
      </c>
      <c r="CK91" s="72">
        <f t="shared" ref="CK91:CK147" si="381">S91</f>
        <v>109</v>
      </c>
      <c r="CL91" s="72">
        <f t="shared" ref="CL91:CL147" si="382">W91</f>
        <v>145</v>
      </c>
      <c r="CM91" s="72">
        <f t="shared" ref="CM91:CM147" si="383">AA91</f>
        <v>153</v>
      </c>
      <c r="CN91" s="72">
        <f t="shared" ref="CN91:CN147" si="384">AE91</f>
        <v>180</v>
      </c>
      <c r="CO91" s="72">
        <f t="shared" ref="CO91:CO147" si="385">AI91</f>
        <v>201</v>
      </c>
      <c r="CP91" s="72">
        <f t="shared" ref="CP91:CP147" si="386">AM91</f>
        <v>239</v>
      </c>
      <c r="CQ91" s="72">
        <f t="shared" ref="CQ91:CQ147" si="387">AQ91</f>
        <v>316</v>
      </c>
      <c r="CR91" s="72">
        <f t="shared" ref="CR91:CR147" si="388">AU91</f>
        <v>345</v>
      </c>
      <c r="CS91" s="72">
        <f t="shared" ref="CS91:CS147" si="389">AY91</f>
        <v>358</v>
      </c>
      <c r="CT91" s="23">
        <f t="shared" ref="CT91:CT147" si="390">M91-K91</f>
        <v>1</v>
      </c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  <c r="OK91" s="1"/>
      <c r="OL91" s="1"/>
      <c r="OM91" s="1"/>
      <c r="ON91" s="1"/>
      <c r="OO91" s="1"/>
      <c r="OP91" s="1"/>
      <c r="OQ91" s="1"/>
      <c r="OR91" s="1"/>
      <c r="OS91" s="1"/>
      <c r="OT91" s="1"/>
      <c r="OU91" s="1"/>
      <c r="OV91" s="1"/>
      <c r="OW91" s="1"/>
      <c r="OX91" s="1"/>
      <c r="OY91" s="1"/>
      <c r="OZ91" s="1"/>
      <c r="PA91" s="1"/>
      <c r="PB91" s="1"/>
      <c r="PC91" s="1"/>
      <c r="PD91" s="1"/>
      <c r="PE91" s="1"/>
      <c r="PF91" s="1"/>
      <c r="PG91" s="1"/>
      <c r="PH91" s="1"/>
      <c r="PI91" s="1"/>
      <c r="PJ91" s="1"/>
      <c r="PK91" s="1"/>
      <c r="PL91" s="1"/>
      <c r="PM91" s="1"/>
      <c r="PN91" s="1"/>
      <c r="PO91" s="1"/>
      <c r="PP91" s="1"/>
      <c r="PQ91" s="1"/>
      <c r="PR91" s="1"/>
      <c r="PS91" s="1"/>
      <c r="PT91" s="1"/>
      <c r="PU91" s="1"/>
      <c r="PV91" s="1"/>
      <c r="PW91" s="1"/>
      <c r="PX91" s="1"/>
      <c r="PY91" s="1"/>
      <c r="PZ91" s="1"/>
      <c r="QA91" s="1"/>
      <c r="QB91" s="1"/>
      <c r="QC91" s="1"/>
      <c r="QD91" s="1"/>
      <c r="QE91" s="1"/>
      <c r="QF91" s="1"/>
      <c r="QG91" s="1"/>
      <c r="QH91" s="1"/>
      <c r="QI91" s="1"/>
      <c r="QJ91" s="1"/>
      <c r="QK91" s="1"/>
      <c r="QL91" s="1"/>
      <c r="QM91" s="1"/>
      <c r="QN91" s="1"/>
      <c r="QO91" s="1"/>
      <c r="QP91" s="1"/>
      <c r="QQ91" s="1"/>
      <c r="QR91" s="1"/>
      <c r="QS91" s="1"/>
      <c r="QT91" s="1"/>
      <c r="QU91" s="1"/>
      <c r="QV91" s="1"/>
      <c r="QW91" s="1"/>
      <c r="QX91" s="1"/>
      <c r="QY91" s="1"/>
      <c r="QZ91" s="1"/>
      <c r="RA91" s="1"/>
      <c r="RB91" s="1"/>
      <c r="RC91" s="1"/>
      <c r="RD91" s="1"/>
      <c r="RE91" s="1"/>
      <c r="RF91" s="1"/>
      <c r="RG91" s="1"/>
      <c r="RH91" s="1"/>
      <c r="RI91" s="1"/>
      <c r="RJ91" s="1"/>
      <c r="RK91" s="1"/>
      <c r="RL91" s="1"/>
      <c r="RM91" s="1"/>
      <c r="RN91" s="1"/>
      <c r="RO91" s="1"/>
      <c r="RP91" s="1"/>
      <c r="RQ91" s="1"/>
      <c r="RR91" s="1"/>
      <c r="RS91" s="1"/>
      <c r="RT91" s="1"/>
      <c r="RU91" s="1"/>
      <c r="RV91" s="1"/>
      <c r="RW91" s="1"/>
      <c r="RX91" s="1"/>
      <c r="RY91" s="1"/>
      <c r="RZ91" s="1"/>
      <c r="SA91" s="1"/>
      <c r="SB91" s="1"/>
      <c r="SC91" s="1"/>
      <c r="SD91" s="1"/>
      <c r="SE91" s="1"/>
      <c r="SF91" s="1"/>
      <c r="SG91" s="1"/>
      <c r="SH91" s="1"/>
      <c r="SI91" s="1"/>
      <c r="SJ91" s="1"/>
      <c r="SK91" s="1"/>
      <c r="SL91" s="1"/>
      <c r="SM91" s="1"/>
      <c r="SN91" s="1"/>
      <c r="SO91" s="1"/>
      <c r="SP91" s="1"/>
      <c r="SQ91" s="1"/>
      <c r="SR91" s="1"/>
      <c r="SS91" s="1"/>
      <c r="ST91" s="1"/>
      <c r="SU91" s="1"/>
      <c r="SV91" s="1"/>
      <c r="SW91" s="1"/>
      <c r="SX91" s="1"/>
      <c r="SY91" s="1"/>
      <c r="SZ91" s="1"/>
      <c r="TA91" s="1"/>
      <c r="TB91" s="1"/>
      <c r="TC91" s="1"/>
      <c r="TD91" s="1"/>
      <c r="TE91" s="1"/>
      <c r="TF91" s="1"/>
      <c r="TG91" s="1"/>
      <c r="TH91" s="1"/>
      <c r="TI91" s="1"/>
      <c r="TJ91" s="1"/>
      <c r="TK91" s="1"/>
      <c r="TL91" s="1"/>
      <c r="TM91" s="1"/>
      <c r="TN91" s="1"/>
      <c r="TO91" s="1"/>
      <c r="TP91" s="1"/>
      <c r="TQ91" s="1"/>
      <c r="TR91" s="1"/>
      <c r="TS91" s="1"/>
      <c r="TT91" s="1"/>
      <c r="TU91" s="1"/>
      <c r="TV91" s="1"/>
      <c r="TW91" s="1"/>
      <c r="TX91" s="1"/>
      <c r="TY91" s="1"/>
      <c r="TZ91" s="1"/>
      <c r="UA91" s="1"/>
      <c r="UB91" s="1"/>
      <c r="UC91" s="1"/>
      <c r="UD91" s="1"/>
      <c r="UE91" s="1"/>
      <c r="UF91" s="1"/>
      <c r="UG91" s="1"/>
      <c r="UH91" s="1"/>
      <c r="UI91" s="1"/>
      <c r="UJ91" s="1"/>
      <c r="UK91" s="1"/>
      <c r="UL91" s="1"/>
      <c r="UM91" s="1"/>
      <c r="UN91" s="1"/>
      <c r="UO91" s="1"/>
      <c r="UP91" s="1"/>
      <c r="UQ91" s="1"/>
      <c r="UR91" s="1"/>
      <c r="US91" s="1"/>
      <c r="UT91" s="1"/>
      <c r="UU91" s="1"/>
      <c r="UV91" s="1"/>
      <c r="UW91" s="1"/>
      <c r="UX91" s="1"/>
      <c r="UY91" s="1"/>
      <c r="UZ91" s="1"/>
      <c r="VA91" s="1"/>
      <c r="VB91" s="1"/>
      <c r="VC91" s="1"/>
      <c r="VD91" s="1"/>
      <c r="VE91" s="1"/>
      <c r="VF91" s="1"/>
      <c r="VG91" s="1"/>
      <c r="VH91" s="1"/>
      <c r="VI91" s="1"/>
      <c r="VJ91" s="1"/>
      <c r="VK91" s="1"/>
      <c r="VL91" s="1"/>
      <c r="VM91" s="1"/>
      <c r="VN91" s="1"/>
      <c r="VO91" s="1"/>
      <c r="VP91" s="1"/>
      <c r="VQ91" s="1"/>
      <c r="VR91" s="1"/>
      <c r="VS91" s="1"/>
      <c r="VT91" s="1"/>
      <c r="VU91" s="1"/>
      <c r="VV91" s="1"/>
      <c r="VW91" s="1"/>
      <c r="VX91" s="1"/>
      <c r="VY91" s="1"/>
      <c r="VZ91" s="1"/>
      <c r="WA91" s="1"/>
      <c r="WB91" s="1"/>
      <c r="WC91" s="1"/>
      <c r="WD91" s="1"/>
      <c r="WE91" s="1"/>
      <c r="WF91" s="1"/>
      <c r="WG91" s="1"/>
      <c r="WH91" s="1"/>
      <c r="WI91" s="1"/>
      <c r="WJ91" s="1"/>
      <c r="WK91" s="1"/>
      <c r="WL91" s="1"/>
      <c r="WM91" s="1"/>
      <c r="WN91" s="1"/>
      <c r="WO91" s="1"/>
      <c r="WP91" s="1"/>
      <c r="WQ91" s="1"/>
      <c r="WR91" s="1"/>
      <c r="WS91" s="1"/>
      <c r="WT91" s="1"/>
      <c r="WU91" s="1"/>
      <c r="WV91" s="1"/>
      <c r="WW91" s="1"/>
      <c r="WX91" s="1"/>
      <c r="WY91" s="1"/>
      <c r="WZ91" s="1"/>
      <c r="XA91" s="1"/>
      <c r="XB91" s="1"/>
      <c r="XC91" s="1"/>
      <c r="XD91" s="1"/>
      <c r="XE91" s="1"/>
      <c r="XF91" s="1"/>
      <c r="XG91" s="1"/>
      <c r="XH91" s="1"/>
      <c r="XI91" s="1"/>
      <c r="XJ91" s="1"/>
      <c r="XK91" s="1"/>
      <c r="XL91" s="1"/>
      <c r="XM91" s="1"/>
      <c r="XN91" s="1"/>
      <c r="XO91" s="1"/>
      <c r="XP91" s="1"/>
      <c r="XQ91" s="1"/>
      <c r="XR91" s="1"/>
      <c r="XS91" s="1"/>
      <c r="XT91" s="1"/>
      <c r="XU91" s="1"/>
      <c r="XV91" s="1"/>
      <c r="XW91" s="1"/>
      <c r="XX91" s="1"/>
      <c r="XY91" s="1"/>
      <c r="XZ91" s="1"/>
      <c r="YA91" s="1"/>
      <c r="YB91" s="1"/>
      <c r="YC91" s="1"/>
      <c r="YD91" s="1"/>
      <c r="YE91" s="1"/>
      <c r="YF91" s="1"/>
      <c r="YG91" s="1"/>
      <c r="YH91" s="1"/>
      <c r="YI91" s="1"/>
      <c r="YJ91" s="1"/>
      <c r="YK91" s="1"/>
      <c r="YL91" s="1"/>
      <c r="YM91" s="1"/>
      <c r="YN91" s="1"/>
      <c r="YO91" s="1"/>
      <c r="YP91" s="1"/>
      <c r="YQ91" s="1"/>
      <c r="YR91" s="1"/>
      <c r="YS91" s="1"/>
      <c r="YT91" s="1"/>
      <c r="YU91" s="1"/>
      <c r="YV91" s="1"/>
      <c r="YW91" s="1"/>
      <c r="YX91" s="1"/>
      <c r="YY91" s="1"/>
      <c r="YZ91" s="1"/>
      <c r="ZA91" s="1"/>
      <c r="ZB91" s="1"/>
      <c r="ZC91" s="1"/>
      <c r="ZD91" s="1"/>
      <c r="ZE91" s="1"/>
      <c r="ZF91" s="1"/>
      <c r="ZG91" s="1"/>
      <c r="ZH91" s="1"/>
      <c r="ZI91" s="1"/>
      <c r="ZJ91" s="1"/>
      <c r="ZK91" s="1"/>
      <c r="ZL91" s="1"/>
      <c r="ZM91" s="1"/>
      <c r="ZN91" s="1"/>
      <c r="ZO91" s="1"/>
      <c r="ZP91" s="1"/>
      <c r="ZQ91" s="1"/>
      <c r="ZR91" s="1"/>
      <c r="ZS91" s="1"/>
      <c r="ZT91" s="1"/>
      <c r="ZU91" s="1"/>
      <c r="ZV91" s="1"/>
      <c r="ZW91" s="1"/>
      <c r="ZX91" s="1"/>
      <c r="ZY91" s="1"/>
      <c r="ZZ91" s="1"/>
      <c r="AAA91" s="1"/>
      <c r="AAB91" s="1"/>
      <c r="AAC91" s="1"/>
      <c r="AAD91" s="1"/>
      <c r="AAE91" s="1"/>
      <c r="AAF91" s="1"/>
      <c r="AAG91" s="1"/>
      <c r="AAH91" s="1"/>
      <c r="AAI91" s="1"/>
      <c r="AAJ91" s="1"/>
      <c r="AAK91" s="1"/>
      <c r="AAL91" s="1"/>
      <c r="AAM91" s="1"/>
      <c r="AAN91" s="1"/>
      <c r="AAO91" s="1"/>
      <c r="AAP91" s="1"/>
      <c r="AAQ91" s="1"/>
      <c r="AAR91" s="1"/>
      <c r="AAS91" s="1"/>
      <c r="AAT91" s="1"/>
      <c r="AAU91" s="1"/>
      <c r="AAV91" s="1"/>
      <c r="AAW91" s="1"/>
      <c r="AAX91" s="1"/>
      <c r="AAY91" s="1"/>
      <c r="AAZ91" s="1"/>
      <c r="ABA91" s="1"/>
      <c r="ABB91" s="1"/>
      <c r="ABC91" s="1"/>
      <c r="ABD91" s="1"/>
      <c r="ABE91" s="1"/>
      <c r="ABF91" s="1"/>
      <c r="ABG91" s="1"/>
      <c r="ABH91" s="1"/>
      <c r="ABI91" s="1"/>
      <c r="ABJ91" s="1"/>
      <c r="ABK91" s="1"/>
      <c r="ABL91" s="1"/>
      <c r="ABM91" s="1"/>
      <c r="ABN91" s="1"/>
      <c r="ABO91" s="1"/>
      <c r="ABP91" s="1"/>
      <c r="ABQ91" s="1"/>
      <c r="ABR91" s="1"/>
      <c r="ABS91" s="1"/>
      <c r="ABT91" s="1"/>
      <c r="ABU91" s="1"/>
      <c r="ABV91" s="1"/>
      <c r="ABW91" s="1"/>
      <c r="ABX91" s="1"/>
      <c r="ABY91" s="1"/>
      <c r="ABZ91" s="1"/>
      <c r="ACA91" s="1"/>
      <c r="ACB91" s="1"/>
      <c r="ACC91" s="1"/>
      <c r="ACD91" s="1"/>
      <c r="ACE91" s="1"/>
      <c r="ACF91" s="1"/>
      <c r="ACG91" s="1"/>
      <c r="ACH91" s="1"/>
      <c r="ACI91" s="1"/>
      <c r="ACJ91" s="1"/>
      <c r="ACK91" s="1"/>
      <c r="ACL91" s="1"/>
      <c r="ACM91" s="1"/>
      <c r="ACN91" s="1"/>
      <c r="ACO91" s="1"/>
      <c r="ACP91" s="1"/>
      <c r="ACQ91" s="1"/>
      <c r="ACR91" s="1"/>
      <c r="ACS91" s="1"/>
      <c r="ACT91" s="1"/>
      <c r="ACU91" s="1"/>
      <c r="ACV91" s="1"/>
      <c r="ACW91" s="1"/>
      <c r="ACX91" s="1"/>
      <c r="ACY91" s="1"/>
      <c r="ACZ91" s="1"/>
      <c r="ADA91" s="1"/>
      <c r="ADB91" s="1"/>
      <c r="ADC91" s="1"/>
      <c r="ADD91" s="1"/>
      <c r="ADE91" s="1"/>
      <c r="ADF91" s="1"/>
      <c r="ADG91" s="1"/>
      <c r="ADH91" s="1"/>
      <c r="ADI91" s="1"/>
      <c r="ADJ91" s="1"/>
      <c r="ADK91" s="1"/>
      <c r="ADL91" s="1"/>
      <c r="ADM91" s="1"/>
      <c r="ADN91" s="1"/>
      <c r="ADO91" s="1"/>
      <c r="ADP91" s="1"/>
      <c r="ADQ91" s="1"/>
      <c r="ADR91" s="1"/>
      <c r="ADS91" s="1"/>
      <c r="ADT91" s="1"/>
      <c r="ADU91" s="1"/>
      <c r="ADV91" s="1"/>
      <c r="ADW91" s="1"/>
      <c r="ADX91" s="1"/>
      <c r="ADY91" s="1"/>
      <c r="ADZ91" s="1"/>
      <c r="AEA91" s="1"/>
      <c r="AEB91" s="1"/>
      <c r="AEC91" s="1"/>
      <c r="AED91" s="1"/>
      <c r="AEE91" s="1"/>
      <c r="AEF91" s="1"/>
      <c r="AEG91" s="1"/>
      <c r="AEH91" s="1"/>
      <c r="AEI91" s="1"/>
      <c r="AEJ91" s="1"/>
      <c r="AEK91" s="1"/>
      <c r="AEL91" s="1"/>
      <c r="AEM91" s="1"/>
      <c r="AEN91" s="1"/>
      <c r="AEO91" s="1"/>
      <c r="AEP91" s="1"/>
      <c r="AEQ91" s="1"/>
      <c r="AER91" s="1"/>
      <c r="AES91" s="1"/>
      <c r="AET91" s="1"/>
      <c r="AEU91" s="1"/>
      <c r="AEV91" s="1"/>
      <c r="AEW91" s="1"/>
      <c r="AEX91" s="1"/>
      <c r="AEY91" s="1"/>
      <c r="AEZ91" s="1"/>
      <c r="AFA91" s="1"/>
      <c r="AFB91" s="1"/>
      <c r="AFC91" s="1"/>
      <c r="AFD91" s="1"/>
      <c r="AFE91" s="1"/>
      <c r="AFF91" s="1"/>
      <c r="AFG91" s="1"/>
      <c r="AFH91" s="1"/>
      <c r="AFI91" s="1"/>
      <c r="AFJ91" s="1"/>
      <c r="AFK91" s="1"/>
      <c r="AFL91" s="1"/>
      <c r="AFM91" s="1"/>
      <c r="AFN91" s="1"/>
      <c r="AFO91" s="1"/>
      <c r="AFP91" s="1"/>
      <c r="AFQ91" s="1"/>
      <c r="AFR91" s="1"/>
      <c r="AFS91" s="1"/>
      <c r="AFT91" s="1"/>
      <c r="AFU91" s="1"/>
      <c r="AFV91" s="1"/>
      <c r="AFW91" s="1"/>
      <c r="AFX91" s="1"/>
      <c r="AFY91" s="1"/>
      <c r="AFZ91" s="1"/>
      <c r="AGA91" s="1"/>
      <c r="AGB91" s="1"/>
      <c r="AGC91" s="1"/>
      <c r="AGD91" s="1"/>
      <c r="AGE91" s="1"/>
      <c r="AGF91" s="1"/>
      <c r="AGG91" s="1"/>
      <c r="AGH91" s="1"/>
      <c r="AGI91" s="1"/>
      <c r="AGJ91" s="1"/>
      <c r="AGK91" s="1"/>
      <c r="AGL91" s="1"/>
      <c r="AGM91" s="1"/>
      <c r="AGN91" s="1"/>
      <c r="AGO91" s="1"/>
      <c r="AGP91" s="1"/>
      <c r="AGQ91" s="1"/>
      <c r="AGR91" s="1"/>
      <c r="AGS91" s="1"/>
      <c r="AGT91" s="1"/>
      <c r="AGU91" s="1"/>
      <c r="AGV91" s="1"/>
      <c r="AGW91" s="1"/>
      <c r="AGX91" s="1"/>
      <c r="AGY91" s="1"/>
      <c r="AGZ91" s="1"/>
      <c r="AHA91" s="1"/>
      <c r="AHB91" s="1"/>
      <c r="AHC91" s="1"/>
      <c r="AHD91" s="1"/>
      <c r="AHE91" s="1"/>
      <c r="AHF91" s="1"/>
      <c r="AHG91" s="1"/>
      <c r="AHH91" s="1"/>
      <c r="AHI91" s="1"/>
      <c r="AHJ91" s="1"/>
      <c r="AHK91" s="1"/>
      <c r="AHL91" s="1"/>
      <c r="AHM91" s="1"/>
      <c r="AHN91" s="1"/>
      <c r="AHO91" s="1"/>
      <c r="AHP91" s="1"/>
      <c r="AHQ91" s="1"/>
      <c r="AHR91" s="1"/>
      <c r="AHS91" s="1"/>
      <c r="AHT91" s="1"/>
      <c r="AHU91" s="1"/>
      <c r="AHV91" s="1"/>
      <c r="AHW91" s="1"/>
      <c r="AHX91" s="1"/>
      <c r="AHY91" s="1"/>
      <c r="AHZ91" s="1"/>
      <c r="AIA91" s="1"/>
      <c r="AIB91" s="1"/>
      <c r="AIC91" s="1"/>
      <c r="AID91" s="1"/>
      <c r="AIE91" s="1"/>
      <c r="AIF91" s="1"/>
      <c r="AIG91" s="1"/>
      <c r="AIH91" s="1"/>
      <c r="AII91" s="1"/>
      <c r="AIJ91" s="1"/>
      <c r="AIK91" s="1"/>
      <c r="AIL91" s="1"/>
      <c r="AIM91" s="1"/>
      <c r="AIN91" s="1"/>
      <c r="AIO91" s="1"/>
      <c r="AIP91" s="1"/>
      <c r="AIQ91" s="1"/>
      <c r="AIR91" s="1"/>
      <c r="AIS91" s="1"/>
      <c r="AIT91" s="1"/>
      <c r="AIU91" s="1"/>
      <c r="AIV91" s="1"/>
      <c r="AIW91" s="1"/>
      <c r="AIX91" s="1"/>
      <c r="AIY91" s="1"/>
      <c r="AIZ91" s="1"/>
      <c r="AJA91" s="1"/>
      <c r="AJB91" s="1"/>
      <c r="AJC91" s="1"/>
      <c r="AJD91" s="1"/>
      <c r="AJE91" s="1"/>
      <c r="AJF91" s="1"/>
      <c r="AJG91" s="1"/>
      <c r="AJH91" s="1"/>
      <c r="AJI91" s="1"/>
      <c r="AJJ91" s="1"/>
      <c r="AJK91" s="1"/>
      <c r="AJL91" s="1"/>
      <c r="AJM91" s="1"/>
      <c r="AJN91" s="1"/>
      <c r="AJO91" s="1"/>
      <c r="AJP91" s="1"/>
      <c r="AJQ91" s="1"/>
      <c r="AJR91" s="1"/>
      <c r="AJS91" s="1"/>
      <c r="AJT91" s="1"/>
      <c r="AJU91" s="1"/>
      <c r="AJV91" s="1"/>
      <c r="AJW91" s="1"/>
      <c r="AJX91" s="1"/>
      <c r="AJY91" s="1"/>
      <c r="AJZ91" s="1"/>
      <c r="AKA91" s="1"/>
      <c r="AKB91" s="1"/>
      <c r="AKC91" s="1"/>
      <c r="AKD91" s="1"/>
      <c r="AKE91" s="1"/>
      <c r="AKF91" s="1"/>
      <c r="AKG91" s="1"/>
      <c r="AKH91" s="1"/>
      <c r="AKI91" s="1"/>
      <c r="AKJ91" s="1"/>
      <c r="AKK91" s="1"/>
      <c r="AKL91" s="1"/>
      <c r="AKM91" s="1"/>
      <c r="AKN91" s="1"/>
      <c r="AKO91" s="1"/>
      <c r="AKP91" s="1"/>
      <c r="AKQ91" s="1"/>
      <c r="AKR91" s="1"/>
      <c r="AKS91" s="1"/>
      <c r="AKT91" s="1"/>
      <c r="AKU91" s="1"/>
      <c r="AKV91" s="1"/>
      <c r="AKW91" s="1"/>
      <c r="AKX91" s="1"/>
      <c r="AKY91" s="1"/>
      <c r="AKZ91" s="1"/>
      <c r="ALA91" s="1"/>
      <c r="ALB91" s="1"/>
      <c r="ALC91" s="1"/>
      <c r="ALD91" s="1"/>
      <c r="ALE91" s="1"/>
      <c r="ALF91" s="1"/>
      <c r="ALG91" s="1"/>
      <c r="ALH91" s="1"/>
      <c r="ALI91" s="1"/>
      <c r="ALJ91" s="1"/>
      <c r="ALK91" s="1"/>
      <c r="ALL91" s="1"/>
      <c r="ALM91" s="1"/>
      <c r="ALN91" s="1"/>
      <c r="ALO91" s="1"/>
      <c r="ALP91" s="1"/>
      <c r="ALQ91" s="1"/>
      <c r="ALR91" s="1"/>
      <c r="ALS91" s="1"/>
      <c r="ALT91" s="1"/>
      <c r="ALU91" s="1"/>
      <c r="ALV91" s="1"/>
      <c r="ALW91" s="1"/>
      <c r="ALX91" s="1"/>
      <c r="ALY91" s="1"/>
      <c r="ALZ91" s="1"/>
      <c r="AMA91" s="1"/>
      <c r="AMB91" s="1"/>
      <c r="AMC91" s="1"/>
      <c r="AMD91" s="1"/>
      <c r="AME91" s="1"/>
      <c r="AMF91" s="1"/>
      <c r="AMG91" s="1"/>
      <c r="AMH91" s="1"/>
      <c r="AMI91" s="1"/>
      <c r="AMJ91" s="1"/>
      <c r="AMK91" s="1"/>
      <c r="AML91" s="1"/>
      <c r="AMM91" s="1"/>
      <c r="AMN91" s="1"/>
      <c r="AMO91" s="1"/>
    </row>
    <row r="92" spans="1:1029" x14ac:dyDescent="0.2">
      <c r="A92" s="3" t="str">
        <f t="shared" si="223"/>
        <v>adrb1_melga_4GPO</v>
      </c>
      <c r="B92" s="3" t="s">
        <v>912</v>
      </c>
      <c r="C92" s="3" t="s">
        <v>1042</v>
      </c>
      <c r="D92" s="3" t="str">
        <f>IFERROR(MID(VLOOKUP($B92,Seqs!$A:$B,2,0),E92,1),"")</f>
        <v>S</v>
      </c>
      <c r="E92" s="3">
        <v>37</v>
      </c>
      <c r="F92" s="3" t="str">
        <f>IFERROR(MID(VLOOKUP($B92,Seqs!$A:$B,2,0),G92,1),"")</f>
        <v>T</v>
      </c>
      <c r="G92" s="3">
        <v>69</v>
      </c>
      <c r="H92" s="3" t="str">
        <f>IFERROR(MID(VLOOKUP($B92,Seqs!$A:$B,2,0),I92,1),"")</f>
        <v>Q</v>
      </c>
      <c r="I92" s="23">
        <v>70</v>
      </c>
      <c r="J92" s="3" t="str">
        <f>IFERROR(MID(VLOOKUP($B92,Seqs!$A:$B,2,0),K92,1),"")</f>
        <v>Q</v>
      </c>
      <c r="K92" s="23">
        <v>73</v>
      </c>
      <c r="L92" s="3" t="str">
        <f>IFERROR(MID(VLOOKUP($B92,Seqs!$A:$B,2,0),M92,1),"")</f>
        <v>T</v>
      </c>
      <c r="M92" s="3">
        <v>74</v>
      </c>
      <c r="N92" s="3" t="str">
        <f>IFERROR(MID(VLOOKUP($B92,Seqs!$A:$B,2,0),O92,1),"")</f>
        <v>R</v>
      </c>
      <c r="O92" s="3">
        <v>104</v>
      </c>
      <c r="P92" s="3" t="str">
        <f>IFERROR(MID(VLOOKUP($B92,Seqs!$A:$B,2,0),Q92,1),"")</f>
        <v>T</v>
      </c>
      <c r="Q92" s="3">
        <v>106</v>
      </c>
      <c r="R92" s="3" t="str">
        <f>IFERROR(MID(VLOOKUP($B92,Seqs!$A:$B,2,0),S92,1),"")</f>
        <v>W</v>
      </c>
      <c r="S92" s="3">
        <v>109</v>
      </c>
      <c r="T92" s="3" t="str">
        <f>IFERROR(MID(VLOOKUP($B92,Seqs!$A:$B,2,0),U92,1),"")</f>
        <v>G</v>
      </c>
      <c r="U92" s="3">
        <v>110</v>
      </c>
      <c r="V92" s="3" t="str">
        <f>IFERROR(MID(VLOOKUP($B92,Seqs!$A:$B,2,0),W92,1),"")</f>
        <v>S</v>
      </c>
      <c r="W92" s="3">
        <v>145</v>
      </c>
      <c r="X92" s="3" t="str">
        <f>IFERROR(MID(VLOOKUP($B92,Seqs!$A:$B,2,0),Y92,1),"")</f>
        <v>P</v>
      </c>
      <c r="Y92" s="3">
        <v>146</v>
      </c>
      <c r="Z92" s="3" t="str">
        <f>IFERROR(MID(VLOOKUP($B92,Seqs!$A:$B,2,0),AA92,1),"")</f>
        <v>M</v>
      </c>
      <c r="AA92" s="3">
        <v>153</v>
      </c>
      <c r="AB92" s="3" t="str">
        <f>IFERROR(MID(VLOOKUP($B92,Seqs!$A:$B,2,0),AC92,1),"")</f>
        <v>T</v>
      </c>
      <c r="AC92" s="9">
        <v>154</v>
      </c>
      <c r="AD92" s="3" t="str">
        <f>IFERROR(MID(VLOOKUP($B92,Seqs!$A:$B,2,0),AE92,1),"")</f>
        <v>H</v>
      </c>
      <c r="AE92" s="3">
        <v>180</v>
      </c>
      <c r="AF92" s="3" t="str">
        <f>IFERROR(MID(VLOOKUP($B92,Seqs!$A:$B,2,0),AG92,1),"")</f>
        <v>C</v>
      </c>
      <c r="AG92" s="3">
        <v>199</v>
      </c>
      <c r="AH92" s="3" t="str">
        <f>IFERROR(MID(VLOOKUP($B92,Seqs!$A:$B,2,0),AI92,1),"")</f>
        <v>F</v>
      </c>
      <c r="AI92" s="3">
        <v>201</v>
      </c>
      <c r="AJ92" s="3" t="str">
        <f>IFERROR(MID(VLOOKUP($B92,Seqs!$A:$B,2,0),AK92,1),"")</f>
        <v>N</v>
      </c>
      <c r="AK92" s="3">
        <v>204</v>
      </c>
      <c r="AL92" s="3" t="str">
        <f>IFERROR(MID(VLOOKUP($B92,Seqs!$A:$B,2,0),AM92,1),"")</f>
        <v>E</v>
      </c>
      <c r="AM92" s="3">
        <v>233</v>
      </c>
      <c r="AN92" s="3" t="str">
        <f>IFERROR(MID(VLOOKUP($B92,Seqs!$A:$B,2,0),AO92,1),"")</f>
        <v>M</v>
      </c>
      <c r="AO92" s="3">
        <v>283</v>
      </c>
      <c r="AP92" s="3" t="str">
        <f>IFERROR(MID(VLOOKUP($B92,Seqs!$A:$B,2,0),AQ92,1),"")</f>
        <v>N</v>
      </c>
      <c r="AQ92" s="3">
        <v>316</v>
      </c>
      <c r="AR92" s="3" t="str">
        <f>IFERROR(MID(VLOOKUP($B92,Seqs!$A:$B,2,0),AS92,1),"")</f>
        <v>P</v>
      </c>
      <c r="AS92" s="3">
        <v>321</v>
      </c>
      <c r="AT92" s="3" t="str">
        <f>IFERROR(MID(VLOOKUP($B92,Seqs!$A:$B,2,0),AU92,1),"")</f>
        <v>R</v>
      </c>
      <c r="AU92" s="3">
        <v>345</v>
      </c>
      <c r="AV92" s="3" t="str">
        <f>IFERROR(MID(VLOOKUP($B92,Seqs!$A:$B,2,0),AW92,1),"")</f>
        <v>S</v>
      </c>
      <c r="AW92" s="3">
        <v>346</v>
      </c>
      <c r="AX92" s="3" t="str">
        <f>IFERROR(MID(VLOOKUP($B92,Seqs!$A:$B,2,0),AY92,1),"")</f>
        <v>L</v>
      </c>
      <c r="AY92" s="3">
        <v>356</v>
      </c>
      <c r="AZ92" s="77" t="str">
        <f>VLOOKUP(B92,Classification!A:D,2,0)</f>
        <v>A</v>
      </c>
      <c r="BA92" s="94" t="str">
        <f>VLOOKUP(B92,Classification!A:D,4,0)</f>
        <v>Adrenoceptors</v>
      </c>
      <c r="BB92" s="27" t="b">
        <f t="shared" si="224"/>
        <v>1</v>
      </c>
      <c r="BC92" s="23">
        <f t="shared" si="365"/>
        <v>246</v>
      </c>
      <c r="BD92" s="4" t="s">
        <v>23</v>
      </c>
      <c r="BE92" s="3" t="s">
        <v>1381</v>
      </c>
      <c r="BF92" s="119">
        <v>3.5</v>
      </c>
      <c r="BG92" s="49" t="s">
        <v>1384</v>
      </c>
      <c r="BH92" s="49" t="s">
        <v>1384</v>
      </c>
      <c r="BI92" s="1"/>
      <c r="BJ92" s="70" t="s">
        <v>1293</v>
      </c>
      <c r="BK92" s="57" t="s">
        <v>1293</v>
      </c>
      <c r="BL92" s="57" t="s">
        <v>1293</v>
      </c>
      <c r="BM92" s="57" t="s">
        <v>1293</v>
      </c>
      <c r="BN92" s="57" t="s">
        <v>1293</v>
      </c>
      <c r="BO92" s="57" t="s">
        <v>1293</v>
      </c>
      <c r="BP92" s="57" t="s">
        <v>1293</v>
      </c>
      <c r="BQ92" s="57" t="s">
        <v>1293</v>
      </c>
      <c r="BR92" s="57" t="s">
        <v>1293</v>
      </c>
      <c r="BS92" s="57" t="s">
        <v>1293</v>
      </c>
      <c r="BT92" s="57" t="s">
        <v>1293</v>
      </c>
      <c r="BU92" s="57" t="s">
        <v>1293</v>
      </c>
      <c r="BV92" s="70">
        <f t="shared" si="366"/>
        <v>37</v>
      </c>
      <c r="BW92" s="71">
        <f t="shared" si="367"/>
        <v>70</v>
      </c>
      <c r="BX92" s="72">
        <f t="shared" si="368"/>
        <v>74</v>
      </c>
      <c r="BY92" s="71">
        <f t="shared" si="369"/>
        <v>106</v>
      </c>
      <c r="BZ92" s="72">
        <f t="shared" si="370"/>
        <v>110</v>
      </c>
      <c r="CA92" s="71">
        <f t="shared" si="371"/>
        <v>146</v>
      </c>
      <c r="CB92" s="72">
        <f t="shared" si="372"/>
        <v>154</v>
      </c>
      <c r="CC92" s="71">
        <f t="shared" si="373"/>
        <v>199</v>
      </c>
      <c r="CD92" s="72">
        <f t="shared" si="374"/>
        <v>204</v>
      </c>
      <c r="CE92" s="71">
        <f t="shared" si="375"/>
        <v>283</v>
      </c>
      <c r="CF92" s="72">
        <f t="shared" si="376"/>
        <v>321</v>
      </c>
      <c r="CG92" s="71">
        <f t="shared" si="377"/>
        <v>346</v>
      </c>
      <c r="CH92" s="70">
        <f t="shared" si="378"/>
        <v>69</v>
      </c>
      <c r="CI92" s="71">
        <f t="shared" si="379"/>
        <v>73</v>
      </c>
      <c r="CJ92" s="72">
        <f t="shared" si="380"/>
        <v>104</v>
      </c>
      <c r="CK92" s="72">
        <f t="shared" si="381"/>
        <v>109</v>
      </c>
      <c r="CL92" s="72">
        <f t="shared" si="382"/>
        <v>145</v>
      </c>
      <c r="CM92" s="72">
        <f t="shared" si="383"/>
        <v>153</v>
      </c>
      <c r="CN92" s="72">
        <f t="shared" si="384"/>
        <v>180</v>
      </c>
      <c r="CO92" s="72">
        <f t="shared" si="385"/>
        <v>201</v>
      </c>
      <c r="CP92" s="72">
        <f t="shared" si="386"/>
        <v>233</v>
      </c>
      <c r="CQ92" s="72">
        <f t="shared" si="387"/>
        <v>316</v>
      </c>
      <c r="CR92" s="72">
        <f t="shared" si="388"/>
        <v>345</v>
      </c>
      <c r="CS92" s="72">
        <f t="shared" si="389"/>
        <v>356</v>
      </c>
      <c r="CT92" s="23">
        <f t="shared" si="390"/>
        <v>1</v>
      </c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  <c r="OK92" s="1"/>
      <c r="OL92" s="1"/>
      <c r="OM92" s="1"/>
      <c r="ON92" s="1"/>
      <c r="OO92" s="1"/>
      <c r="OP92" s="1"/>
      <c r="OQ92" s="1"/>
      <c r="OR92" s="1"/>
      <c r="OS92" s="1"/>
      <c r="OT92" s="1"/>
      <c r="OU92" s="1"/>
      <c r="OV92" s="1"/>
      <c r="OW92" s="1"/>
      <c r="OX92" s="1"/>
      <c r="OY92" s="1"/>
      <c r="OZ92" s="1"/>
      <c r="PA92" s="1"/>
      <c r="PB92" s="1"/>
      <c r="PC92" s="1"/>
      <c r="PD92" s="1"/>
      <c r="PE92" s="1"/>
      <c r="PF92" s="1"/>
      <c r="PG92" s="1"/>
      <c r="PH92" s="1"/>
      <c r="PI92" s="1"/>
      <c r="PJ92" s="1"/>
      <c r="PK92" s="1"/>
      <c r="PL92" s="1"/>
      <c r="PM92" s="1"/>
      <c r="PN92" s="1"/>
      <c r="PO92" s="1"/>
      <c r="PP92" s="1"/>
      <c r="PQ92" s="1"/>
      <c r="PR92" s="1"/>
      <c r="PS92" s="1"/>
      <c r="PT92" s="1"/>
      <c r="PU92" s="1"/>
      <c r="PV92" s="1"/>
      <c r="PW92" s="1"/>
      <c r="PX92" s="1"/>
      <c r="PY92" s="1"/>
      <c r="PZ92" s="1"/>
      <c r="QA92" s="1"/>
      <c r="QB92" s="1"/>
      <c r="QC92" s="1"/>
      <c r="QD92" s="1"/>
      <c r="QE92" s="1"/>
      <c r="QF92" s="1"/>
      <c r="QG92" s="1"/>
      <c r="QH92" s="1"/>
      <c r="QI92" s="1"/>
      <c r="QJ92" s="1"/>
      <c r="QK92" s="1"/>
      <c r="QL92" s="1"/>
      <c r="QM92" s="1"/>
      <c r="QN92" s="1"/>
      <c r="QO92" s="1"/>
      <c r="QP92" s="1"/>
      <c r="QQ92" s="1"/>
      <c r="QR92" s="1"/>
      <c r="QS92" s="1"/>
      <c r="QT92" s="1"/>
      <c r="QU92" s="1"/>
      <c r="QV92" s="1"/>
      <c r="QW92" s="1"/>
      <c r="QX92" s="1"/>
      <c r="QY92" s="1"/>
      <c r="QZ92" s="1"/>
      <c r="RA92" s="1"/>
      <c r="RB92" s="1"/>
      <c r="RC92" s="1"/>
      <c r="RD92" s="1"/>
      <c r="RE92" s="1"/>
      <c r="RF92" s="1"/>
      <c r="RG92" s="1"/>
      <c r="RH92" s="1"/>
      <c r="RI92" s="1"/>
      <c r="RJ92" s="1"/>
      <c r="RK92" s="1"/>
      <c r="RL92" s="1"/>
      <c r="RM92" s="1"/>
      <c r="RN92" s="1"/>
      <c r="RO92" s="1"/>
      <c r="RP92" s="1"/>
      <c r="RQ92" s="1"/>
      <c r="RR92" s="1"/>
      <c r="RS92" s="1"/>
      <c r="RT92" s="1"/>
      <c r="RU92" s="1"/>
      <c r="RV92" s="1"/>
      <c r="RW92" s="1"/>
      <c r="RX92" s="1"/>
      <c r="RY92" s="1"/>
      <c r="RZ92" s="1"/>
      <c r="SA92" s="1"/>
      <c r="SB92" s="1"/>
      <c r="SC92" s="1"/>
      <c r="SD92" s="1"/>
      <c r="SE92" s="1"/>
      <c r="SF92" s="1"/>
      <c r="SG92" s="1"/>
      <c r="SH92" s="1"/>
      <c r="SI92" s="1"/>
      <c r="SJ92" s="1"/>
      <c r="SK92" s="1"/>
      <c r="SL92" s="1"/>
      <c r="SM92" s="1"/>
      <c r="SN92" s="1"/>
      <c r="SO92" s="1"/>
      <c r="SP92" s="1"/>
      <c r="SQ92" s="1"/>
      <c r="SR92" s="1"/>
      <c r="SS92" s="1"/>
      <c r="ST92" s="1"/>
      <c r="SU92" s="1"/>
      <c r="SV92" s="1"/>
      <c r="SW92" s="1"/>
      <c r="SX92" s="1"/>
      <c r="SY92" s="1"/>
      <c r="SZ92" s="1"/>
      <c r="TA92" s="1"/>
      <c r="TB92" s="1"/>
      <c r="TC92" s="1"/>
      <c r="TD92" s="1"/>
      <c r="TE92" s="1"/>
      <c r="TF92" s="1"/>
      <c r="TG92" s="1"/>
      <c r="TH92" s="1"/>
      <c r="TI92" s="1"/>
      <c r="TJ92" s="1"/>
      <c r="TK92" s="1"/>
      <c r="TL92" s="1"/>
      <c r="TM92" s="1"/>
      <c r="TN92" s="1"/>
      <c r="TO92" s="1"/>
      <c r="TP92" s="1"/>
      <c r="TQ92" s="1"/>
      <c r="TR92" s="1"/>
      <c r="TS92" s="1"/>
      <c r="TT92" s="1"/>
      <c r="TU92" s="1"/>
      <c r="TV92" s="1"/>
      <c r="TW92" s="1"/>
      <c r="TX92" s="1"/>
      <c r="TY92" s="1"/>
      <c r="TZ92" s="1"/>
      <c r="UA92" s="1"/>
      <c r="UB92" s="1"/>
      <c r="UC92" s="1"/>
      <c r="UD92" s="1"/>
      <c r="UE92" s="1"/>
      <c r="UF92" s="1"/>
      <c r="UG92" s="1"/>
      <c r="UH92" s="1"/>
      <c r="UI92" s="1"/>
      <c r="UJ92" s="1"/>
      <c r="UK92" s="1"/>
      <c r="UL92" s="1"/>
      <c r="UM92" s="1"/>
      <c r="UN92" s="1"/>
      <c r="UO92" s="1"/>
      <c r="UP92" s="1"/>
      <c r="UQ92" s="1"/>
      <c r="UR92" s="1"/>
      <c r="US92" s="1"/>
      <c r="UT92" s="1"/>
      <c r="UU92" s="1"/>
      <c r="UV92" s="1"/>
      <c r="UW92" s="1"/>
      <c r="UX92" s="1"/>
      <c r="UY92" s="1"/>
      <c r="UZ92" s="1"/>
      <c r="VA92" s="1"/>
      <c r="VB92" s="1"/>
      <c r="VC92" s="1"/>
      <c r="VD92" s="1"/>
      <c r="VE92" s="1"/>
      <c r="VF92" s="1"/>
      <c r="VG92" s="1"/>
      <c r="VH92" s="1"/>
      <c r="VI92" s="1"/>
      <c r="VJ92" s="1"/>
      <c r="VK92" s="1"/>
      <c r="VL92" s="1"/>
      <c r="VM92" s="1"/>
      <c r="VN92" s="1"/>
      <c r="VO92" s="1"/>
      <c r="VP92" s="1"/>
      <c r="VQ92" s="1"/>
      <c r="VR92" s="1"/>
      <c r="VS92" s="1"/>
      <c r="VT92" s="1"/>
      <c r="VU92" s="1"/>
      <c r="VV92" s="1"/>
      <c r="VW92" s="1"/>
      <c r="VX92" s="1"/>
      <c r="VY92" s="1"/>
      <c r="VZ92" s="1"/>
      <c r="WA92" s="1"/>
      <c r="WB92" s="1"/>
      <c r="WC92" s="1"/>
      <c r="WD92" s="1"/>
      <c r="WE92" s="1"/>
      <c r="WF92" s="1"/>
      <c r="WG92" s="1"/>
      <c r="WH92" s="1"/>
      <c r="WI92" s="1"/>
      <c r="WJ92" s="1"/>
      <c r="WK92" s="1"/>
      <c r="WL92" s="1"/>
      <c r="WM92" s="1"/>
      <c r="WN92" s="1"/>
      <c r="WO92" s="1"/>
      <c r="WP92" s="1"/>
      <c r="WQ92" s="1"/>
      <c r="WR92" s="1"/>
      <c r="WS92" s="1"/>
      <c r="WT92" s="1"/>
      <c r="WU92" s="1"/>
      <c r="WV92" s="1"/>
      <c r="WW92" s="1"/>
      <c r="WX92" s="1"/>
      <c r="WY92" s="1"/>
      <c r="WZ92" s="1"/>
      <c r="XA92" s="1"/>
      <c r="XB92" s="1"/>
      <c r="XC92" s="1"/>
      <c r="XD92" s="1"/>
      <c r="XE92" s="1"/>
      <c r="XF92" s="1"/>
      <c r="XG92" s="1"/>
      <c r="XH92" s="1"/>
      <c r="XI92" s="1"/>
      <c r="XJ92" s="1"/>
      <c r="XK92" s="1"/>
      <c r="XL92" s="1"/>
      <c r="XM92" s="1"/>
      <c r="XN92" s="1"/>
      <c r="XO92" s="1"/>
      <c r="XP92" s="1"/>
      <c r="XQ92" s="1"/>
      <c r="XR92" s="1"/>
      <c r="XS92" s="1"/>
      <c r="XT92" s="1"/>
      <c r="XU92" s="1"/>
      <c r="XV92" s="1"/>
      <c r="XW92" s="1"/>
      <c r="XX92" s="1"/>
      <c r="XY92" s="1"/>
      <c r="XZ92" s="1"/>
      <c r="YA92" s="1"/>
      <c r="YB92" s="1"/>
      <c r="YC92" s="1"/>
      <c r="YD92" s="1"/>
      <c r="YE92" s="1"/>
      <c r="YF92" s="1"/>
      <c r="YG92" s="1"/>
      <c r="YH92" s="1"/>
      <c r="YI92" s="1"/>
      <c r="YJ92" s="1"/>
      <c r="YK92" s="1"/>
      <c r="YL92" s="1"/>
      <c r="YM92" s="1"/>
      <c r="YN92" s="1"/>
      <c r="YO92" s="1"/>
      <c r="YP92" s="1"/>
      <c r="YQ92" s="1"/>
      <c r="YR92" s="1"/>
      <c r="YS92" s="1"/>
      <c r="YT92" s="1"/>
      <c r="YU92" s="1"/>
      <c r="YV92" s="1"/>
      <c r="YW92" s="1"/>
      <c r="YX92" s="1"/>
      <c r="YY92" s="1"/>
      <c r="YZ92" s="1"/>
      <c r="ZA92" s="1"/>
      <c r="ZB92" s="1"/>
      <c r="ZC92" s="1"/>
      <c r="ZD92" s="1"/>
      <c r="ZE92" s="1"/>
      <c r="ZF92" s="1"/>
      <c r="ZG92" s="1"/>
      <c r="ZH92" s="1"/>
      <c r="ZI92" s="1"/>
      <c r="ZJ92" s="1"/>
      <c r="ZK92" s="1"/>
      <c r="ZL92" s="1"/>
      <c r="ZM92" s="1"/>
      <c r="ZN92" s="1"/>
      <c r="ZO92" s="1"/>
      <c r="ZP92" s="1"/>
      <c r="ZQ92" s="1"/>
      <c r="ZR92" s="1"/>
      <c r="ZS92" s="1"/>
      <c r="ZT92" s="1"/>
      <c r="ZU92" s="1"/>
      <c r="ZV92" s="1"/>
      <c r="ZW92" s="1"/>
      <c r="ZX92" s="1"/>
      <c r="ZY92" s="1"/>
      <c r="ZZ92" s="1"/>
      <c r="AAA92" s="1"/>
      <c r="AAB92" s="1"/>
      <c r="AAC92" s="1"/>
      <c r="AAD92" s="1"/>
      <c r="AAE92" s="1"/>
      <c r="AAF92" s="1"/>
      <c r="AAG92" s="1"/>
      <c r="AAH92" s="1"/>
      <c r="AAI92" s="1"/>
      <c r="AAJ92" s="1"/>
      <c r="AAK92" s="1"/>
      <c r="AAL92" s="1"/>
      <c r="AAM92" s="1"/>
      <c r="AAN92" s="1"/>
      <c r="AAO92" s="1"/>
      <c r="AAP92" s="1"/>
      <c r="AAQ92" s="1"/>
      <c r="AAR92" s="1"/>
      <c r="AAS92" s="1"/>
      <c r="AAT92" s="1"/>
      <c r="AAU92" s="1"/>
      <c r="AAV92" s="1"/>
      <c r="AAW92" s="1"/>
      <c r="AAX92" s="1"/>
      <c r="AAY92" s="1"/>
      <c r="AAZ92" s="1"/>
      <c r="ABA92" s="1"/>
      <c r="ABB92" s="1"/>
      <c r="ABC92" s="1"/>
      <c r="ABD92" s="1"/>
      <c r="ABE92" s="1"/>
      <c r="ABF92" s="1"/>
      <c r="ABG92" s="1"/>
      <c r="ABH92" s="1"/>
      <c r="ABI92" s="1"/>
      <c r="ABJ92" s="1"/>
      <c r="ABK92" s="1"/>
      <c r="ABL92" s="1"/>
      <c r="ABM92" s="1"/>
      <c r="ABN92" s="1"/>
      <c r="ABO92" s="1"/>
      <c r="ABP92" s="1"/>
      <c r="ABQ92" s="1"/>
      <c r="ABR92" s="1"/>
      <c r="ABS92" s="1"/>
      <c r="ABT92" s="1"/>
      <c r="ABU92" s="1"/>
      <c r="ABV92" s="1"/>
      <c r="ABW92" s="1"/>
      <c r="ABX92" s="1"/>
      <c r="ABY92" s="1"/>
      <c r="ABZ92" s="1"/>
      <c r="ACA92" s="1"/>
      <c r="ACB92" s="1"/>
      <c r="ACC92" s="1"/>
      <c r="ACD92" s="1"/>
      <c r="ACE92" s="1"/>
      <c r="ACF92" s="1"/>
      <c r="ACG92" s="1"/>
      <c r="ACH92" s="1"/>
      <c r="ACI92" s="1"/>
      <c r="ACJ92" s="1"/>
      <c r="ACK92" s="1"/>
      <c r="ACL92" s="1"/>
      <c r="ACM92" s="1"/>
      <c r="ACN92" s="1"/>
      <c r="ACO92" s="1"/>
      <c r="ACP92" s="1"/>
      <c r="ACQ92" s="1"/>
      <c r="ACR92" s="1"/>
      <c r="ACS92" s="1"/>
      <c r="ACT92" s="1"/>
      <c r="ACU92" s="1"/>
      <c r="ACV92" s="1"/>
      <c r="ACW92" s="1"/>
      <c r="ACX92" s="1"/>
      <c r="ACY92" s="1"/>
      <c r="ACZ92" s="1"/>
      <c r="ADA92" s="1"/>
      <c r="ADB92" s="1"/>
      <c r="ADC92" s="1"/>
      <c r="ADD92" s="1"/>
      <c r="ADE92" s="1"/>
      <c r="ADF92" s="1"/>
      <c r="ADG92" s="1"/>
      <c r="ADH92" s="1"/>
      <c r="ADI92" s="1"/>
      <c r="ADJ92" s="1"/>
      <c r="ADK92" s="1"/>
      <c r="ADL92" s="1"/>
      <c r="ADM92" s="1"/>
      <c r="ADN92" s="1"/>
      <c r="ADO92" s="1"/>
      <c r="ADP92" s="1"/>
      <c r="ADQ92" s="1"/>
      <c r="ADR92" s="1"/>
      <c r="ADS92" s="1"/>
      <c r="ADT92" s="1"/>
      <c r="ADU92" s="1"/>
      <c r="ADV92" s="1"/>
      <c r="ADW92" s="1"/>
      <c r="ADX92" s="1"/>
      <c r="ADY92" s="1"/>
      <c r="ADZ92" s="1"/>
      <c r="AEA92" s="1"/>
      <c r="AEB92" s="1"/>
      <c r="AEC92" s="1"/>
      <c r="AED92" s="1"/>
      <c r="AEE92" s="1"/>
      <c r="AEF92" s="1"/>
      <c r="AEG92" s="1"/>
      <c r="AEH92" s="1"/>
      <c r="AEI92" s="1"/>
      <c r="AEJ92" s="1"/>
      <c r="AEK92" s="1"/>
      <c r="AEL92" s="1"/>
      <c r="AEM92" s="1"/>
      <c r="AEN92" s="1"/>
      <c r="AEO92" s="1"/>
      <c r="AEP92" s="1"/>
      <c r="AEQ92" s="1"/>
      <c r="AER92" s="1"/>
      <c r="AES92" s="1"/>
      <c r="AET92" s="1"/>
      <c r="AEU92" s="1"/>
      <c r="AEV92" s="1"/>
      <c r="AEW92" s="1"/>
      <c r="AEX92" s="1"/>
      <c r="AEY92" s="1"/>
      <c r="AEZ92" s="1"/>
      <c r="AFA92" s="1"/>
      <c r="AFB92" s="1"/>
      <c r="AFC92" s="1"/>
      <c r="AFD92" s="1"/>
      <c r="AFE92" s="1"/>
      <c r="AFF92" s="1"/>
      <c r="AFG92" s="1"/>
      <c r="AFH92" s="1"/>
      <c r="AFI92" s="1"/>
      <c r="AFJ92" s="1"/>
      <c r="AFK92" s="1"/>
      <c r="AFL92" s="1"/>
      <c r="AFM92" s="1"/>
      <c r="AFN92" s="1"/>
      <c r="AFO92" s="1"/>
      <c r="AFP92" s="1"/>
      <c r="AFQ92" s="1"/>
      <c r="AFR92" s="1"/>
      <c r="AFS92" s="1"/>
      <c r="AFT92" s="1"/>
      <c r="AFU92" s="1"/>
      <c r="AFV92" s="1"/>
      <c r="AFW92" s="1"/>
      <c r="AFX92" s="1"/>
      <c r="AFY92" s="1"/>
      <c r="AFZ92" s="1"/>
      <c r="AGA92" s="1"/>
      <c r="AGB92" s="1"/>
      <c r="AGC92" s="1"/>
      <c r="AGD92" s="1"/>
      <c r="AGE92" s="1"/>
      <c r="AGF92" s="1"/>
      <c r="AGG92" s="1"/>
      <c r="AGH92" s="1"/>
      <c r="AGI92" s="1"/>
      <c r="AGJ92" s="1"/>
      <c r="AGK92" s="1"/>
      <c r="AGL92" s="1"/>
      <c r="AGM92" s="1"/>
      <c r="AGN92" s="1"/>
      <c r="AGO92" s="1"/>
      <c r="AGP92" s="1"/>
      <c r="AGQ92" s="1"/>
      <c r="AGR92" s="1"/>
      <c r="AGS92" s="1"/>
      <c r="AGT92" s="1"/>
      <c r="AGU92" s="1"/>
      <c r="AGV92" s="1"/>
      <c r="AGW92" s="1"/>
      <c r="AGX92" s="1"/>
      <c r="AGY92" s="1"/>
      <c r="AGZ92" s="1"/>
      <c r="AHA92" s="1"/>
      <c r="AHB92" s="1"/>
      <c r="AHC92" s="1"/>
      <c r="AHD92" s="1"/>
      <c r="AHE92" s="1"/>
      <c r="AHF92" s="1"/>
      <c r="AHG92" s="1"/>
      <c r="AHH92" s="1"/>
      <c r="AHI92" s="1"/>
      <c r="AHJ92" s="1"/>
      <c r="AHK92" s="1"/>
      <c r="AHL92" s="1"/>
      <c r="AHM92" s="1"/>
      <c r="AHN92" s="1"/>
      <c r="AHO92" s="1"/>
      <c r="AHP92" s="1"/>
      <c r="AHQ92" s="1"/>
      <c r="AHR92" s="1"/>
      <c r="AHS92" s="1"/>
      <c r="AHT92" s="1"/>
      <c r="AHU92" s="1"/>
      <c r="AHV92" s="1"/>
      <c r="AHW92" s="1"/>
      <c r="AHX92" s="1"/>
      <c r="AHY92" s="1"/>
      <c r="AHZ92" s="1"/>
      <c r="AIA92" s="1"/>
      <c r="AIB92" s="1"/>
      <c r="AIC92" s="1"/>
      <c r="AID92" s="1"/>
      <c r="AIE92" s="1"/>
      <c r="AIF92" s="1"/>
      <c r="AIG92" s="1"/>
      <c r="AIH92" s="1"/>
      <c r="AII92" s="1"/>
      <c r="AIJ92" s="1"/>
      <c r="AIK92" s="1"/>
      <c r="AIL92" s="1"/>
      <c r="AIM92" s="1"/>
      <c r="AIN92" s="1"/>
      <c r="AIO92" s="1"/>
      <c r="AIP92" s="1"/>
      <c r="AIQ92" s="1"/>
      <c r="AIR92" s="1"/>
      <c r="AIS92" s="1"/>
      <c r="AIT92" s="1"/>
      <c r="AIU92" s="1"/>
      <c r="AIV92" s="1"/>
      <c r="AIW92" s="1"/>
      <c r="AIX92" s="1"/>
      <c r="AIY92" s="1"/>
      <c r="AIZ92" s="1"/>
      <c r="AJA92" s="1"/>
      <c r="AJB92" s="1"/>
      <c r="AJC92" s="1"/>
      <c r="AJD92" s="1"/>
      <c r="AJE92" s="1"/>
      <c r="AJF92" s="1"/>
      <c r="AJG92" s="1"/>
      <c r="AJH92" s="1"/>
      <c r="AJI92" s="1"/>
      <c r="AJJ92" s="1"/>
      <c r="AJK92" s="1"/>
      <c r="AJL92" s="1"/>
      <c r="AJM92" s="1"/>
      <c r="AJN92" s="1"/>
      <c r="AJO92" s="1"/>
      <c r="AJP92" s="1"/>
      <c r="AJQ92" s="1"/>
      <c r="AJR92" s="1"/>
      <c r="AJS92" s="1"/>
      <c r="AJT92" s="1"/>
      <c r="AJU92" s="1"/>
      <c r="AJV92" s="1"/>
      <c r="AJW92" s="1"/>
      <c r="AJX92" s="1"/>
      <c r="AJY92" s="1"/>
      <c r="AJZ92" s="1"/>
      <c r="AKA92" s="1"/>
      <c r="AKB92" s="1"/>
      <c r="AKC92" s="1"/>
      <c r="AKD92" s="1"/>
      <c r="AKE92" s="1"/>
      <c r="AKF92" s="1"/>
      <c r="AKG92" s="1"/>
      <c r="AKH92" s="1"/>
      <c r="AKI92" s="1"/>
      <c r="AKJ92" s="1"/>
      <c r="AKK92" s="1"/>
      <c r="AKL92" s="1"/>
      <c r="AKM92" s="1"/>
      <c r="AKN92" s="1"/>
      <c r="AKO92" s="1"/>
      <c r="AKP92" s="1"/>
      <c r="AKQ92" s="1"/>
      <c r="AKR92" s="1"/>
      <c r="AKS92" s="1"/>
      <c r="AKT92" s="1"/>
      <c r="AKU92" s="1"/>
      <c r="AKV92" s="1"/>
      <c r="AKW92" s="1"/>
      <c r="AKX92" s="1"/>
      <c r="AKY92" s="1"/>
      <c r="AKZ92" s="1"/>
      <c r="ALA92" s="1"/>
      <c r="ALB92" s="1"/>
      <c r="ALC92" s="1"/>
      <c r="ALD92" s="1"/>
      <c r="ALE92" s="1"/>
      <c r="ALF92" s="1"/>
      <c r="ALG92" s="1"/>
      <c r="ALH92" s="1"/>
      <c r="ALI92" s="1"/>
      <c r="ALJ92" s="1"/>
      <c r="ALK92" s="1"/>
      <c r="ALL92" s="1"/>
      <c r="ALM92" s="1"/>
      <c r="ALN92" s="1"/>
      <c r="ALO92" s="1"/>
      <c r="ALP92" s="1"/>
      <c r="ALQ92" s="1"/>
      <c r="ALR92" s="1"/>
      <c r="ALS92" s="1"/>
      <c r="ALT92" s="1"/>
      <c r="ALU92" s="1"/>
      <c r="ALV92" s="1"/>
      <c r="ALW92" s="1"/>
      <c r="ALX92" s="1"/>
      <c r="ALY92" s="1"/>
      <c r="ALZ92" s="1"/>
      <c r="AMA92" s="1"/>
      <c r="AMB92" s="1"/>
      <c r="AMC92" s="1"/>
      <c r="AMD92" s="1"/>
      <c r="AME92" s="1"/>
      <c r="AMF92" s="1"/>
      <c r="AMG92" s="1"/>
      <c r="AMH92" s="1"/>
      <c r="AMI92" s="1"/>
      <c r="AMJ92" s="1"/>
      <c r="AMK92" s="1"/>
      <c r="AML92" s="1"/>
      <c r="AMM92" s="1"/>
      <c r="AMN92" s="1"/>
      <c r="AMO92" s="1"/>
    </row>
    <row r="93" spans="1:1029" x14ac:dyDescent="0.2">
      <c r="A93" s="3" t="str">
        <f t="shared" si="223"/>
        <v>adrb1_melga_5A8E</v>
      </c>
      <c r="B93" s="3" t="s">
        <v>912</v>
      </c>
      <c r="C93" s="3" t="s">
        <v>1059</v>
      </c>
      <c r="D93" s="3" t="str">
        <f>IFERROR(MID(VLOOKUP($B93,Seqs!$A:$B,2,0),E93,1),"")</f>
        <v>S</v>
      </c>
      <c r="E93" s="3">
        <v>37</v>
      </c>
      <c r="F93" s="3" t="str">
        <f>IFERROR(MID(VLOOKUP($B93,Seqs!$A:$B,2,0),G93,1),"")</f>
        <v>T</v>
      </c>
      <c r="G93" s="3">
        <v>69</v>
      </c>
      <c r="H93" s="3" t="str">
        <f>IFERROR(MID(VLOOKUP($B93,Seqs!$A:$B,2,0),I93,1),"")</f>
        <v>Q</v>
      </c>
      <c r="I93" s="23">
        <v>70</v>
      </c>
      <c r="J93" s="3" t="str">
        <f>IFERROR(MID(VLOOKUP($B93,Seqs!$A:$B,2,0),K93,1),"")</f>
        <v>Q</v>
      </c>
      <c r="K93" s="23">
        <v>73</v>
      </c>
      <c r="L93" s="3" t="str">
        <f>IFERROR(MID(VLOOKUP($B93,Seqs!$A:$B,2,0),M93,1),"")</f>
        <v>T</v>
      </c>
      <c r="M93" s="3">
        <v>74</v>
      </c>
      <c r="N93" s="3" t="str">
        <f>IFERROR(MID(VLOOKUP($B93,Seqs!$A:$B,2,0),O93,1),"")</f>
        <v>R</v>
      </c>
      <c r="O93" s="3">
        <v>104</v>
      </c>
      <c r="P93" s="3" t="str">
        <f>IFERROR(MID(VLOOKUP($B93,Seqs!$A:$B,2,0),Q93,1),"")</f>
        <v>T</v>
      </c>
      <c r="Q93" s="3">
        <v>106</v>
      </c>
      <c r="R93" s="3" t="str">
        <f>IFERROR(MID(VLOOKUP($B93,Seqs!$A:$B,2,0),S93,1),"")</f>
        <v>W</v>
      </c>
      <c r="S93" s="3">
        <v>109</v>
      </c>
      <c r="T93" s="3" t="str">
        <f>IFERROR(MID(VLOOKUP($B93,Seqs!$A:$B,2,0),U93,1),"")</f>
        <v>G</v>
      </c>
      <c r="U93" s="3">
        <v>110</v>
      </c>
      <c r="V93" s="3" t="str">
        <f>IFERROR(MID(VLOOKUP($B93,Seqs!$A:$B,2,0),W93,1),"")</f>
        <v>S</v>
      </c>
      <c r="W93" s="3">
        <v>145</v>
      </c>
      <c r="X93" s="3" t="str">
        <f>IFERROR(MID(VLOOKUP($B93,Seqs!$A:$B,2,0),Y93,1),"")</f>
        <v>P</v>
      </c>
      <c r="Y93" s="3">
        <v>146</v>
      </c>
      <c r="Z93" s="3" t="str">
        <f>IFERROR(MID(VLOOKUP($B93,Seqs!$A:$B,2,0),AA93,1),"")</f>
        <v>M</v>
      </c>
      <c r="AA93" s="3">
        <v>153</v>
      </c>
      <c r="AB93" s="3" t="str">
        <f>IFERROR(MID(VLOOKUP($B93,Seqs!$A:$B,2,0),AC93,1),"")</f>
        <v>T</v>
      </c>
      <c r="AC93" s="9">
        <v>154</v>
      </c>
      <c r="AD93" s="3" t="str">
        <f>IFERROR(MID(VLOOKUP($B93,Seqs!$A:$B,2,0),AE93,1),"")</f>
        <v>H</v>
      </c>
      <c r="AE93" s="3">
        <v>180</v>
      </c>
      <c r="AF93" s="3" t="str">
        <f>IFERROR(MID(VLOOKUP($B93,Seqs!$A:$B,2,0),AG93,1),"")</f>
        <v>C</v>
      </c>
      <c r="AG93" s="3">
        <v>199</v>
      </c>
      <c r="AH93" s="3" t="str">
        <f>IFERROR(MID(VLOOKUP($B93,Seqs!$A:$B,2,0),AI93,1),"")</f>
        <v>F</v>
      </c>
      <c r="AI93" s="3">
        <v>201</v>
      </c>
      <c r="AJ93" s="3" t="str">
        <f>IFERROR(MID(VLOOKUP($B93,Seqs!$A:$B,2,0),AK93,1),"")</f>
        <v>N</v>
      </c>
      <c r="AK93" s="3">
        <v>204</v>
      </c>
      <c r="AL93" s="3" t="str">
        <f>IFERROR(MID(VLOOKUP($B93,Seqs!$A:$B,2,0),AM93,1),"")</f>
        <v>R</v>
      </c>
      <c r="AM93" s="3">
        <v>239</v>
      </c>
      <c r="AN93" s="3" t="str">
        <f>IFERROR(MID(VLOOKUP($B93,Seqs!$A:$B,2,0),AO93,1),"")</f>
        <v>R</v>
      </c>
      <c r="AO93" s="3">
        <v>279</v>
      </c>
      <c r="AP93" s="3" t="str">
        <f>IFERROR(MID(VLOOKUP($B93,Seqs!$A:$B,2,0),AQ93,1),"")</f>
        <v>N</v>
      </c>
      <c r="AQ93" s="3">
        <v>316</v>
      </c>
      <c r="AR93" s="3" t="str">
        <f>IFERROR(MID(VLOOKUP($B93,Seqs!$A:$B,2,0),AS93,1),"")</f>
        <v>P</v>
      </c>
      <c r="AS93" s="3">
        <v>321</v>
      </c>
      <c r="AT93" s="3" t="str">
        <f>IFERROR(MID(VLOOKUP($B93,Seqs!$A:$B,2,0),AU93,1),"")</f>
        <v>R</v>
      </c>
      <c r="AU93" s="3">
        <v>345</v>
      </c>
      <c r="AV93" s="3" t="str">
        <f>IFERROR(MID(VLOOKUP($B93,Seqs!$A:$B,2,0),AW93,1),"")</f>
        <v>S</v>
      </c>
      <c r="AW93" s="3">
        <v>346</v>
      </c>
      <c r="AX93" s="3" t="str">
        <f>IFERROR(MID(VLOOKUP($B93,Seqs!$A:$B,2,0),AY93,1),"")</f>
        <v>K</v>
      </c>
      <c r="AY93" s="3">
        <v>354</v>
      </c>
      <c r="AZ93" s="77" t="str">
        <f>VLOOKUP(B93,Classification!A:D,2,0)</f>
        <v>A</v>
      </c>
      <c r="BA93" s="94" t="str">
        <f>VLOOKUP(B93,Classification!A:D,4,0)</f>
        <v>Adrenoceptors</v>
      </c>
      <c r="BB93" s="27" t="b">
        <f t="shared" si="224"/>
        <v>1</v>
      </c>
      <c r="BC93" s="23">
        <f t="shared" si="365"/>
        <v>254</v>
      </c>
      <c r="BD93" s="4" t="s">
        <v>23</v>
      </c>
      <c r="BE93" s="3" t="s">
        <v>1381</v>
      </c>
      <c r="BF93" s="119">
        <v>2.42</v>
      </c>
      <c r="BG93" s="49" t="s">
        <v>1384</v>
      </c>
      <c r="BH93" s="49" t="s">
        <v>1384</v>
      </c>
      <c r="BI93" s="1"/>
      <c r="BJ93" s="70" t="s">
        <v>1293</v>
      </c>
      <c r="BK93" s="57" t="s">
        <v>1293</v>
      </c>
      <c r="BL93" s="57" t="s">
        <v>1293</v>
      </c>
      <c r="BM93" s="57" t="s">
        <v>1293</v>
      </c>
      <c r="BN93" s="57" t="s">
        <v>1293</v>
      </c>
      <c r="BO93" s="57" t="s">
        <v>1293</v>
      </c>
      <c r="BP93" s="57" t="s">
        <v>1293</v>
      </c>
      <c r="BQ93" s="57" t="s">
        <v>1293</v>
      </c>
      <c r="BR93" s="57" t="s">
        <v>1293</v>
      </c>
      <c r="BS93" s="57" t="s">
        <v>1293</v>
      </c>
      <c r="BT93" s="57" t="s">
        <v>1293</v>
      </c>
      <c r="BU93" s="57" t="s">
        <v>1293</v>
      </c>
      <c r="BV93" s="70">
        <f t="shared" si="366"/>
        <v>37</v>
      </c>
      <c r="BW93" s="71">
        <f t="shared" si="367"/>
        <v>70</v>
      </c>
      <c r="BX93" s="72">
        <f t="shared" si="368"/>
        <v>74</v>
      </c>
      <c r="BY93" s="71">
        <f t="shared" si="369"/>
        <v>106</v>
      </c>
      <c r="BZ93" s="72">
        <f t="shared" si="370"/>
        <v>110</v>
      </c>
      <c r="CA93" s="71">
        <f t="shared" si="371"/>
        <v>146</v>
      </c>
      <c r="CB93" s="72">
        <f t="shared" si="372"/>
        <v>154</v>
      </c>
      <c r="CC93" s="71">
        <f t="shared" si="373"/>
        <v>199</v>
      </c>
      <c r="CD93" s="72">
        <f t="shared" si="374"/>
        <v>204</v>
      </c>
      <c r="CE93" s="71">
        <f t="shared" si="375"/>
        <v>279</v>
      </c>
      <c r="CF93" s="72">
        <f t="shared" si="376"/>
        <v>321</v>
      </c>
      <c r="CG93" s="71">
        <f t="shared" si="377"/>
        <v>346</v>
      </c>
      <c r="CH93" s="70">
        <f t="shared" si="378"/>
        <v>69</v>
      </c>
      <c r="CI93" s="71">
        <f t="shared" si="379"/>
        <v>73</v>
      </c>
      <c r="CJ93" s="72">
        <f t="shared" si="380"/>
        <v>104</v>
      </c>
      <c r="CK93" s="72">
        <f t="shared" si="381"/>
        <v>109</v>
      </c>
      <c r="CL93" s="72">
        <f t="shared" si="382"/>
        <v>145</v>
      </c>
      <c r="CM93" s="72">
        <f t="shared" si="383"/>
        <v>153</v>
      </c>
      <c r="CN93" s="72">
        <f t="shared" si="384"/>
        <v>180</v>
      </c>
      <c r="CO93" s="72">
        <f t="shared" si="385"/>
        <v>201</v>
      </c>
      <c r="CP93" s="72">
        <f t="shared" si="386"/>
        <v>239</v>
      </c>
      <c r="CQ93" s="72">
        <f t="shared" si="387"/>
        <v>316</v>
      </c>
      <c r="CR93" s="72">
        <f t="shared" si="388"/>
        <v>345</v>
      </c>
      <c r="CS93" s="72">
        <f t="shared" si="389"/>
        <v>354</v>
      </c>
      <c r="CT93" s="23">
        <f t="shared" si="390"/>
        <v>1</v>
      </c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  <c r="OK93" s="1"/>
      <c r="OL93" s="1"/>
      <c r="OM93" s="1"/>
      <c r="ON93" s="1"/>
      <c r="OO93" s="1"/>
      <c r="OP93" s="1"/>
      <c r="OQ93" s="1"/>
      <c r="OR93" s="1"/>
      <c r="OS93" s="1"/>
      <c r="OT93" s="1"/>
      <c r="OU93" s="1"/>
      <c r="OV93" s="1"/>
      <c r="OW93" s="1"/>
      <c r="OX93" s="1"/>
      <c r="OY93" s="1"/>
      <c r="OZ93" s="1"/>
      <c r="PA93" s="1"/>
      <c r="PB93" s="1"/>
      <c r="PC93" s="1"/>
      <c r="PD93" s="1"/>
      <c r="PE93" s="1"/>
      <c r="PF93" s="1"/>
      <c r="PG93" s="1"/>
      <c r="PH93" s="1"/>
      <c r="PI93" s="1"/>
      <c r="PJ93" s="1"/>
      <c r="PK93" s="1"/>
      <c r="PL93" s="1"/>
      <c r="PM93" s="1"/>
      <c r="PN93" s="1"/>
      <c r="PO93" s="1"/>
      <c r="PP93" s="1"/>
      <c r="PQ93" s="1"/>
      <c r="PR93" s="1"/>
      <c r="PS93" s="1"/>
      <c r="PT93" s="1"/>
      <c r="PU93" s="1"/>
      <c r="PV93" s="1"/>
      <c r="PW93" s="1"/>
      <c r="PX93" s="1"/>
      <c r="PY93" s="1"/>
      <c r="PZ93" s="1"/>
      <c r="QA93" s="1"/>
      <c r="QB93" s="1"/>
      <c r="QC93" s="1"/>
      <c r="QD93" s="1"/>
      <c r="QE93" s="1"/>
      <c r="QF93" s="1"/>
      <c r="QG93" s="1"/>
      <c r="QH93" s="1"/>
      <c r="QI93" s="1"/>
      <c r="QJ93" s="1"/>
      <c r="QK93" s="1"/>
      <c r="QL93" s="1"/>
      <c r="QM93" s="1"/>
      <c r="QN93" s="1"/>
      <c r="QO93" s="1"/>
      <c r="QP93" s="1"/>
      <c r="QQ93" s="1"/>
      <c r="QR93" s="1"/>
      <c r="QS93" s="1"/>
      <c r="QT93" s="1"/>
      <c r="QU93" s="1"/>
      <c r="QV93" s="1"/>
      <c r="QW93" s="1"/>
      <c r="QX93" s="1"/>
      <c r="QY93" s="1"/>
      <c r="QZ93" s="1"/>
      <c r="RA93" s="1"/>
      <c r="RB93" s="1"/>
      <c r="RC93" s="1"/>
      <c r="RD93" s="1"/>
      <c r="RE93" s="1"/>
      <c r="RF93" s="1"/>
      <c r="RG93" s="1"/>
      <c r="RH93" s="1"/>
      <c r="RI93" s="1"/>
      <c r="RJ93" s="1"/>
      <c r="RK93" s="1"/>
      <c r="RL93" s="1"/>
      <c r="RM93" s="1"/>
      <c r="RN93" s="1"/>
      <c r="RO93" s="1"/>
      <c r="RP93" s="1"/>
      <c r="RQ93" s="1"/>
      <c r="RR93" s="1"/>
      <c r="RS93" s="1"/>
      <c r="RT93" s="1"/>
      <c r="RU93" s="1"/>
      <c r="RV93" s="1"/>
      <c r="RW93" s="1"/>
      <c r="RX93" s="1"/>
      <c r="RY93" s="1"/>
      <c r="RZ93" s="1"/>
      <c r="SA93" s="1"/>
      <c r="SB93" s="1"/>
      <c r="SC93" s="1"/>
      <c r="SD93" s="1"/>
      <c r="SE93" s="1"/>
      <c r="SF93" s="1"/>
      <c r="SG93" s="1"/>
      <c r="SH93" s="1"/>
      <c r="SI93" s="1"/>
      <c r="SJ93" s="1"/>
      <c r="SK93" s="1"/>
      <c r="SL93" s="1"/>
      <c r="SM93" s="1"/>
      <c r="SN93" s="1"/>
      <c r="SO93" s="1"/>
      <c r="SP93" s="1"/>
      <c r="SQ93" s="1"/>
      <c r="SR93" s="1"/>
      <c r="SS93" s="1"/>
      <c r="ST93" s="1"/>
      <c r="SU93" s="1"/>
      <c r="SV93" s="1"/>
      <c r="SW93" s="1"/>
      <c r="SX93" s="1"/>
      <c r="SY93" s="1"/>
      <c r="SZ93" s="1"/>
      <c r="TA93" s="1"/>
      <c r="TB93" s="1"/>
      <c r="TC93" s="1"/>
      <c r="TD93" s="1"/>
      <c r="TE93" s="1"/>
      <c r="TF93" s="1"/>
      <c r="TG93" s="1"/>
      <c r="TH93" s="1"/>
      <c r="TI93" s="1"/>
      <c r="TJ93" s="1"/>
      <c r="TK93" s="1"/>
      <c r="TL93" s="1"/>
      <c r="TM93" s="1"/>
      <c r="TN93" s="1"/>
      <c r="TO93" s="1"/>
      <c r="TP93" s="1"/>
      <c r="TQ93" s="1"/>
      <c r="TR93" s="1"/>
      <c r="TS93" s="1"/>
      <c r="TT93" s="1"/>
      <c r="TU93" s="1"/>
      <c r="TV93" s="1"/>
      <c r="TW93" s="1"/>
      <c r="TX93" s="1"/>
      <c r="TY93" s="1"/>
      <c r="TZ93" s="1"/>
      <c r="UA93" s="1"/>
      <c r="UB93" s="1"/>
      <c r="UC93" s="1"/>
      <c r="UD93" s="1"/>
      <c r="UE93" s="1"/>
      <c r="UF93" s="1"/>
      <c r="UG93" s="1"/>
      <c r="UH93" s="1"/>
      <c r="UI93" s="1"/>
      <c r="UJ93" s="1"/>
      <c r="UK93" s="1"/>
      <c r="UL93" s="1"/>
      <c r="UM93" s="1"/>
      <c r="UN93" s="1"/>
      <c r="UO93" s="1"/>
      <c r="UP93" s="1"/>
      <c r="UQ93" s="1"/>
      <c r="UR93" s="1"/>
      <c r="US93" s="1"/>
      <c r="UT93" s="1"/>
      <c r="UU93" s="1"/>
      <c r="UV93" s="1"/>
      <c r="UW93" s="1"/>
      <c r="UX93" s="1"/>
      <c r="UY93" s="1"/>
      <c r="UZ93" s="1"/>
      <c r="VA93" s="1"/>
      <c r="VB93" s="1"/>
      <c r="VC93" s="1"/>
      <c r="VD93" s="1"/>
      <c r="VE93" s="1"/>
      <c r="VF93" s="1"/>
      <c r="VG93" s="1"/>
      <c r="VH93" s="1"/>
      <c r="VI93" s="1"/>
      <c r="VJ93" s="1"/>
      <c r="VK93" s="1"/>
      <c r="VL93" s="1"/>
      <c r="VM93" s="1"/>
      <c r="VN93" s="1"/>
      <c r="VO93" s="1"/>
      <c r="VP93" s="1"/>
      <c r="VQ93" s="1"/>
      <c r="VR93" s="1"/>
      <c r="VS93" s="1"/>
      <c r="VT93" s="1"/>
      <c r="VU93" s="1"/>
      <c r="VV93" s="1"/>
      <c r="VW93" s="1"/>
      <c r="VX93" s="1"/>
      <c r="VY93" s="1"/>
      <c r="VZ93" s="1"/>
      <c r="WA93" s="1"/>
      <c r="WB93" s="1"/>
      <c r="WC93" s="1"/>
      <c r="WD93" s="1"/>
      <c r="WE93" s="1"/>
      <c r="WF93" s="1"/>
      <c r="WG93" s="1"/>
      <c r="WH93" s="1"/>
      <c r="WI93" s="1"/>
      <c r="WJ93" s="1"/>
      <c r="WK93" s="1"/>
      <c r="WL93" s="1"/>
      <c r="WM93" s="1"/>
      <c r="WN93" s="1"/>
      <c r="WO93" s="1"/>
      <c r="WP93" s="1"/>
      <c r="WQ93" s="1"/>
      <c r="WR93" s="1"/>
      <c r="WS93" s="1"/>
      <c r="WT93" s="1"/>
      <c r="WU93" s="1"/>
      <c r="WV93" s="1"/>
      <c r="WW93" s="1"/>
      <c r="WX93" s="1"/>
      <c r="WY93" s="1"/>
      <c r="WZ93" s="1"/>
      <c r="XA93" s="1"/>
      <c r="XB93" s="1"/>
      <c r="XC93" s="1"/>
      <c r="XD93" s="1"/>
      <c r="XE93" s="1"/>
      <c r="XF93" s="1"/>
      <c r="XG93" s="1"/>
      <c r="XH93" s="1"/>
      <c r="XI93" s="1"/>
      <c r="XJ93" s="1"/>
      <c r="XK93" s="1"/>
      <c r="XL93" s="1"/>
      <c r="XM93" s="1"/>
      <c r="XN93" s="1"/>
      <c r="XO93" s="1"/>
      <c r="XP93" s="1"/>
      <c r="XQ93" s="1"/>
      <c r="XR93" s="1"/>
      <c r="XS93" s="1"/>
      <c r="XT93" s="1"/>
      <c r="XU93" s="1"/>
      <c r="XV93" s="1"/>
      <c r="XW93" s="1"/>
      <c r="XX93" s="1"/>
      <c r="XY93" s="1"/>
      <c r="XZ93" s="1"/>
      <c r="YA93" s="1"/>
      <c r="YB93" s="1"/>
      <c r="YC93" s="1"/>
      <c r="YD93" s="1"/>
      <c r="YE93" s="1"/>
      <c r="YF93" s="1"/>
      <c r="YG93" s="1"/>
      <c r="YH93" s="1"/>
      <c r="YI93" s="1"/>
      <c r="YJ93" s="1"/>
      <c r="YK93" s="1"/>
      <c r="YL93" s="1"/>
      <c r="YM93" s="1"/>
      <c r="YN93" s="1"/>
      <c r="YO93" s="1"/>
      <c r="YP93" s="1"/>
      <c r="YQ93" s="1"/>
      <c r="YR93" s="1"/>
      <c r="YS93" s="1"/>
      <c r="YT93" s="1"/>
      <c r="YU93" s="1"/>
      <c r="YV93" s="1"/>
      <c r="YW93" s="1"/>
      <c r="YX93" s="1"/>
      <c r="YY93" s="1"/>
      <c r="YZ93" s="1"/>
      <c r="ZA93" s="1"/>
      <c r="ZB93" s="1"/>
      <c r="ZC93" s="1"/>
      <c r="ZD93" s="1"/>
      <c r="ZE93" s="1"/>
      <c r="ZF93" s="1"/>
      <c r="ZG93" s="1"/>
      <c r="ZH93" s="1"/>
      <c r="ZI93" s="1"/>
      <c r="ZJ93" s="1"/>
      <c r="ZK93" s="1"/>
      <c r="ZL93" s="1"/>
      <c r="ZM93" s="1"/>
      <c r="ZN93" s="1"/>
      <c r="ZO93" s="1"/>
      <c r="ZP93" s="1"/>
      <c r="ZQ93" s="1"/>
      <c r="ZR93" s="1"/>
      <c r="ZS93" s="1"/>
      <c r="ZT93" s="1"/>
      <c r="ZU93" s="1"/>
      <c r="ZV93" s="1"/>
      <c r="ZW93" s="1"/>
      <c r="ZX93" s="1"/>
      <c r="ZY93" s="1"/>
      <c r="ZZ93" s="1"/>
      <c r="AAA93" s="1"/>
      <c r="AAB93" s="1"/>
      <c r="AAC93" s="1"/>
      <c r="AAD93" s="1"/>
      <c r="AAE93" s="1"/>
      <c r="AAF93" s="1"/>
      <c r="AAG93" s="1"/>
      <c r="AAH93" s="1"/>
      <c r="AAI93" s="1"/>
      <c r="AAJ93" s="1"/>
      <c r="AAK93" s="1"/>
      <c r="AAL93" s="1"/>
      <c r="AAM93" s="1"/>
      <c r="AAN93" s="1"/>
      <c r="AAO93" s="1"/>
      <c r="AAP93" s="1"/>
      <c r="AAQ93" s="1"/>
      <c r="AAR93" s="1"/>
      <c r="AAS93" s="1"/>
      <c r="AAT93" s="1"/>
      <c r="AAU93" s="1"/>
      <c r="AAV93" s="1"/>
      <c r="AAW93" s="1"/>
      <c r="AAX93" s="1"/>
      <c r="AAY93" s="1"/>
      <c r="AAZ93" s="1"/>
      <c r="ABA93" s="1"/>
      <c r="ABB93" s="1"/>
      <c r="ABC93" s="1"/>
      <c r="ABD93" s="1"/>
      <c r="ABE93" s="1"/>
      <c r="ABF93" s="1"/>
      <c r="ABG93" s="1"/>
      <c r="ABH93" s="1"/>
      <c r="ABI93" s="1"/>
      <c r="ABJ93" s="1"/>
      <c r="ABK93" s="1"/>
      <c r="ABL93" s="1"/>
      <c r="ABM93" s="1"/>
      <c r="ABN93" s="1"/>
      <c r="ABO93" s="1"/>
      <c r="ABP93" s="1"/>
      <c r="ABQ93" s="1"/>
      <c r="ABR93" s="1"/>
      <c r="ABS93" s="1"/>
      <c r="ABT93" s="1"/>
      <c r="ABU93" s="1"/>
      <c r="ABV93" s="1"/>
      <c r="ABW93" s="1"/>
      <c r="ABX93" s="1"/>
      <c r="ABY93" s="1"/>
      <c r="ABZ93" s="1"/>
      <c r="ACA93" s="1"/>
      <c r="ACB93" s="1"/>
      <c r="ACC93" s="1"/>
      <c r="ACD93" s="1"/>
      <c r="ACE93" s="1"/>
      <c r="ACF93" s="1"/>
      <c r="ACG93" s="1"/>
      <c r="ACH93" s="1"/>
      <c r="ACI93" s="1"/>
      <c r="ACJ93" s="1"/>
      <c r="ACK93" s="1"/>
      <c r="ACL93" s="1"/>
      <c r="ACM93" s="1"/>
      <c r="ACN93" s="1"/>
      <c r="ACO93" s="1"/>
      <c r="ACP93" s="1"/>
      <c r="ACQ93" s="1"/>
      <c r="ACR93" s="1"/>
      <c r="ACS93" s="1"/>
      <c r="ACT93" s="1"/>
      <c r="ACU93" s="1"/>
      <c r="ACV93" s="1"/>
      <c r="ACW93" s="1"/>
      <c r="ACX93" s="1"/>
      <c r="ACY93" s="1"/>
      <c r="ACZ93" s="1"/>
      <c r="ADA93" s="1"/>
      <c r="ADB93" s="1"/>
      <c r="ADC93" s="1"/>
      <c r="ADD93" s="1"/>
      <c r="ADE93" s="1"/>
      <c r="ADF93" s="1"/>
      <c r="ADG93" s="1"/>
      <c r="ADH93" s="1"/>
      <c r="ADI93" s="1"/>
      <c r="ADJ93" s="1"/>
      <c r="ADK93" s="1"/>
      <c r="ADL93" s="1"/>
      <c r="ADM93" s="1"/>
      <c r="ADN93" s="1"/>
      <c r="ADO93" s="1"/>
      <c r="ADP93" s="1"/>
      <c r="ADQ93" s="1"/>
      <c r="ADR93" s="1"/>
      <c r="ADS93" s="1"/>
      <c r="ADT93" s="1"/>
      <c r="ADU93" s="1"/>
      <c r="ADV93" s="1"/>
      <c r="ADW93" s="1"/>
      <c r="ADX93" s="1"/>
      <c r="ADY93" s="1"/>
      <c r="ADZ93" s="1"/>
      <c r="AEA93" s="1"/>
      <c r="AEB93" s="1"/>
      <c r="AEC93" s="1"/>
      <c r="AED93" s="1"/>
      <c r="AEE93" s="1"/>
      <c r="AEF93" s="1"/>
      <c r="AEG93" s="1"/>
      <c r="AEH93" s="1"/>
      <c r="AEI93" s="1"/>
      <c r="AEJ93" s="1"/>
      <c r="AEK93" s="1"/>
      <c r="AEL93" s="1"/>
      <c r="AEM93" s="1"/>
      <c r="AEN93" s="1"/>
      <c r="AEO93" s="1"/>
      <c r="AEP93" s="1"/>
      <c r="AEQ93" s="1"/>
      <c r="AER93" s="1"/>
      <c r="AES93" s="1"/>
      <c r="AET93" s="1"/>
      <c r="AEU93" s="1"/>
      <c r="AEV93" s="1"/>
      <c r="AEW93" s="1"/>
      <c r="AEX93" s="1"/>
      <c r="AEY93" s="1"/>
      <c r="AEZ93" s="1"/>
      <c r="AFA93" s="1"/>
      <c r="AFB93" s="1"/>
      <c r="AFC93" s="1"/>
      <c r="AFD93" s="1"/>
      <c r="AFE93" s="1"/>
      <c r="AFF93" s="1"/>
      <c r="AFG93" s="1"/>
      <c r="AFH93" s="1"/>
      <c r="AFI93" s="1"/>
      <c r="AFJ93" s="1"/>
      <c r="AFK93" s="1"/>
      <c r="AFL93" s="1"/>
      <c r="AFM93" s="1"/>
      <c r="AFN93" s="1"/>
      <c r="AFO93" s="1"/>
      <c r="AFP93" s="1"/>
      <c r="AFQ93" s="1"/>
      <c r="AFR93" s="1"/>
      <c r="AFS93" s="1"/>
      <c r="AFT93" s="1"/>
      <c r="AFU93" s="1"/>
      <c r="AFV93" s="1"/>
      <c r="AFW93" s="1"/>
      <c r="AFX93" s="1"/>
      <c r="AFY93" s="1"/>
      <c r="AFZ93" s="1"/>
      <c r="AGA93" s="1"/>
      <c r="AGB93" s="1"/>
      <c r="AGC93" s="1"/>
      <c r="AGD93" s="1"/>
      <c r="AGE93" s="1"/>
      <c r="AGF93" s="1"/>
      <c r="AGG93" s="1"/>
      <c r="AGH93" s="1"/>
      <c r="AGI93" s="1"/>
      <c r="AGJ93" s="1"/>
      <c r="AGK93" s="1"/>
      <c r="AGL93" s="1"/>
      <c r="AGM93" s="1"/>
      <c r="AGN93" s="1"/>
      <c r="AGO93" s="1"/>
      <c r="AGP93" s="1"/>
      <c r="AGQ93" s="1"/>
      <c r="AGR93" s="1"/>
      <c r="AGS93" s="1"/>
      <c r="AGT93" s="1"/>
      <c r="AGU93" s="1"/>
      <c r="AGV93" s="1"/>
      <c r="AGW93" s="1"/>
      <c r="AGX93" s="1"/>
      <c r="AGY93" s="1"/>
      <c r="AGZ93" s="1"/>
      <c r="AHA93" s="1"/>
      <c r="AHB93" s="1"/>
      <c r="AHC93" s="1"/>
      <c r="AHD93" s="1"/>
      <c r="AHE93" s="1"/>
      <c r="AHF93" s="1"/>
      <c r="AHG93" s="1"/>
      <c r="AHH93" s="1"/>
      <c r="AHI93" s="1"/>
      <c r="AHJ93" s="1"/>
      <c r="AHK93" s="1"/>
      <c r="AHL93" s="1"/>
      <c r="AHM93" s="1"/>
      <c r="AHN93" s="1"/>
      <c r="AHO93" s="1"/>
      <c r="AHP93" s="1"/>
      <c r="AHQ93" s="1"/>
      <c r="AHR93" s="1"/>
      <c r="AHS93" s="1"/>
      <c r="AHT93" s="1"/>
      <c r="AHU93" s="1"/>
      <c r="AHV93" s="1"/>
      <c r="AHW93" s="1"/>
      <c r="AHX93" s="1"/>
      <c r="AHY93" s="1"/>
      <c r="AHZ93" s="1"/>
      <c r="AIA93" s="1"/>
      <c r="AIB93" s="1"/>
      <c r="AIC93" s="1"/>
      <c r="AID93" s="1"/>
      <c r="AIE93" s="1"/>
      <c r="AIF93" s="1"/>
      <c r="AIG93" s="1"/>
      <c r="AIH93" s="1"/>
      <c r="AII93" s="1"/>
      <c r="AIJ93" s="1"/>
      <c r="AIK93" s="1"/>
      <c r="AIL93" s="1"/>
      <c r="AIM93" s="1"/>
      <c r="AIN93" s="1"/>
      <c r="AIO93" s="1"/>
      <c r="AIP93" s="1"/>
      <c r="AIQ93" s="1"/>
      <c r="AIR93" s="1"/>
      <c r="AIS93" s="1"/>
      <c r="AIT93" s="1"/>
      <c r="AIU93" s="1"/>
      <c r="AIV93" s="1"/>
      <c r="AIW93" s="1"/>
      <c r="AIX93" s="1"/>
      <c r="AIY93" s="1"/>
      <c r="AIZ93" s="1"/>
      <c r="AJA93" s="1"/>
      <c r="AJB93" s="1"/>
      <c r="AJC93" s="1"/>
      <c r="AJD93" s="1"/>
      <c r="AJE93" s="1"/>
      <c r="AJF93" s="1"/>
      <c r="AJG93" s="1"/>
      <c r="AJH93" s="1"/>
      <c r="AJI93" s="1"/>
      <c r="AJJ93" s="1"/>
      <c r="AJK93" s="1"/>
      <c r="AJL93" s="1"/>
      <c r="AJM93" s="1"/>
      <c r="AJN93" s="1"/>
      <c r="AJO93" s="1"/>
      <c r="AJP93" s="1"/>
      <c r="AJQ93" s="1"/>
      <c r="AJR93" s="1"/>
      <c r="AJS93" s="1"/>
      <c r="AJT93" s="1"/>
      <c r="AJU93" s="1"/>
      <c r="AJV93" s="1"/>
      <c r="AJW93" s="1"/>
      <c r="AJX93" s="1"/>
      <c r="AJY93" s="1"/>
      <c r="AJZ93" s="1"/>
      <c r="AKA93" s="1"/>
      <c r="AKB93" s="1"/>
      <c r="AKC93" s="1"/>
      <c r="AKD93" s="1"/>
      <c r="AKE93" s="1"/>
      <c r="AKF93" s="1"/>
      <c r="AKG93" s="1"/>
      <c r="AKH93" s="1"/>
      <c r="AKI93" s="1"/>
      <c r="AKJ93" s="1"/>
      <c r="AKK93" s="1"/>
      <c r="AKL93" s="1"/>
      <c r="AKM93" s="1"/>
      <c r="AKN93" s="1"/>
      <c r="AKO93" s="1"/>
      <c r="AKP93" s="1"/>
      <c r="AKQ93" s="1"/>
      <c r="AKR93" s="1"/>
      <c r="AKS93" s="1"/>
      <c r="AKT93" s="1"/>
      <c r="AKU93" s="1"/>
      <c r="AKV93" s="1"/>
      <c r="AKW93" s="1"/>
      <c r="AKX93" s="1"/>
      <c r="AKY93" s="1"/>
      <c r="AKZ93" s="1"/>
      <c r="ALA93" s="1"/>
      <c r="ALB93" s="1"/>
      <c r="ALC93" s="1"/>
      <c r="ALD93" s="1"/>
      <c r="ALE93" s="1"/>
      <c r="ALF93" s="1"/>
      <c r="ALG93" s="1"/>
      <c r="ALH93" s="1"/>
      <c r="ALI93" s="1"/>
      <c r="ALJ93" s="1"/>
      <c r="ALK93" s="1"/>
      <c r="ALL93" s="1"/>
      <c r="ALM93" s="1"/>
      <c r="ALN93" s="1"/>
      <c r="ALO93" s="1"/>
      <c r="ALP93" s="1"/>
      <c r="ALQ93" s="1"/>
      <c r="ALR93" s="1"/>
      <c r="ALS93" s="1"/>
      <c r="ALT93" s="1"/>
      <c r="ALU93" s="1"/>
      <c r="ALV93" s="1"/>
      <c r="ALW93" s="1"/>
      <c r="ALX93" s="1"/>
      <c r="ALY93" s="1"/>
      <c r="ALZ93" s="1"/>
      <c r="AMA93" s="1"/>
      <c r="AMB93" s="1"/>
      <c r="AMC93" s="1"/>
      <c r="AMD93" s="1"/>
      <c r="AME93" s="1"/>
      <c r="AMF93" s="1"/>
      <c r="AMG93" s="1"/>
      <c r="AMH93" s="1"/>
      <c r="AMI93" s="1"/>
      <c r="AMJ93" s="1"/>
      <c r="AMK93" s="1"/>
      <c r="AML93" s="1"/>
      <c r="AMM93" s="1"/>
      <c r="AMN93" s="1"/>
      <c r="AMO93" s="1"/>
    </row>
    <row r="94" spans="1:1029" x14ac:dyDescent="0.2">
      <c r="A94" s="3" t="str">
        <f t="shared" si="223"/>
        <v>adrb1_melga_5F8U</v>
      </c>
      <c r="B94" s="3" t="s">
        <v>912</v>
      </c>
      <c r="C94" s="3" t="s">
        <v>1360</v>
      </c>
      <c r="D94" s="3" t="str">
        <f>IFERROR(MID(VLOOKUP($B94,Seqs!$A:$B,2,0),E94,1),"")</f>
        <v>W</v>
      </c>
      <c r="E94" s="3">
        <v>40</v>
      </c>
      <c r="F94" s="3" t="str">
        <f>IFERROR(MID(VLOOKUP($B94,Seqs!$A:$B,2,0),G94,1),"")</f>
        <v>T</v>
      </c>
      <c r="G94" s="3">
        <v>69</v>
      </c>
      <c r="H94" s="3" t="str">
        <f>IFERROR(MID(VLOOKUP($B94,Seqs!$A:$B,2,0),I94,1),"")</f>
        <v>Q</v>
      </c>
      <c r="I94" s="23">
        <v>70</v>
      </c>
      <c r="J94" s="3" t="str">
        <f>IFERROR(MID(VLOOKUP($B94,Seqs!$A:$B,2,0),K94,1),"")</f>
        <v>Q</v>
      </c>
      <c r="K94" s="23">
        <v>73</v>
      </c>
      <c r="L94" s="3" t="str">
        <f>IFERROR(MID(VLOOKUP($B94,Seqs!$A:$B,2,0),M94,1),"")</f>
        <v>T</v>
      </c>
      <c r="M94" s="3">
        <v>74</v>
      </c>
      <c r="N94" s="3" t="str">
        <f>IFERROR(MID(VLOOKUP($B94,Seqs!$A:$B,2,0),O94,1),"")</f>
        <v>R</v>
      </c>
      <c r="O94" s="3">
        <v>104</v>
      </c>
      <c r="P94" s="3" t="str">
        <f>IFERROR(MID(VLOOKUP($B94,Seqs!$A:$B,2,0),Q94,1),"")</f>
        <v>T</v>
      </c>
      <c r="Q94" s="3">
        <v>106</v>
      </c>
      <c r="R94" s="3" t="str">
        <f>IFERROR(MID(VLOOKUP($B94,Seqs!$A:$B,2,0),S94,1),"")</f>
        <v>W</v>
      </c>
      <c r="S94" s="3">
        <v>109</v>
      </c>
      <c r="T94" s="3" t="str">
        <f>IFERROR(MID(VLOOKUP($B94,Seqs!$A:$B,2,0),U94,1),"")</f>
        <v>G</v>
      </c>
      <c r="U94" s="3">
        <v>110</v>
      </c>
      <c r="V94" s="3" t="str">
        <f>IFERROR(MID(VLOOKUP($B94,Seqs!$A:$B,2,0),W94,1),"")</f>
        <v>S</v>
      </c>
      <c r="W94" s="3">
        <v>145</v>
      </c>
      <c r="X94" s="3" t="str">
        <f>IFERROR(MID(VLOOKUP($B94,Seqs!$A:$B,2,0),Y94,1),"")</f>
        <v>P</v>
      </c>
      <c r="Y94" s="3">
        <v>146</v>
      </c>
      <c r="Z94" s="3" t="str">
        <f>IFERROR(MID(VLOOKUP($B94,Seqs!$A:$B,2,0),AA94,1),"")</f>
        <v>M</v>
      </c>
      <c r="AA94" s="3">
        <v>153</v>
      </c>
      <c r="AB94" s="3" t="str">
        <f>IFERROR(MID(VLOOKUP($B94,Seqs!$A:$B,2,0),AC94,1),"")</f>
        <v>T</v>
      </c>
      <c r="AC94" s="9">
        <v>154</v>
      </c>
      <c r="AD94" s="3" t="str">
        <f>IFERROR(MID(VLOOKUP($B94,Seqs!$A:$B,2,0),AE94,1),"")</f>
        <v>H</v>
      </c>
      <c r="AE94" s="3">
        <v>180</v>
      </c>
      <c r="AF94" s="3" t="str">
        <f>IFERROR(MID(VLOOKUP($B94,Seqs!$A:$B,2,0),AG94,1),"")</f>
        <v>C</v>
      </c>
      <c r="AG94" s="3">
        <v>199</v>
      </c>
      <c r="AH94" s="3" t="str">
        <f>IFERROR(MID(VLOOKUP($B94,Seqs!$A:$B,2,0),AI94,1),"")</f>
        <v>F</v>
      </c>
      <c r="AI94" s="3">
        <v>201</v>
      </c>
      <c r="AJ94" s="3" t="str">
        <f>IFERROR(MID(VLOOKUP($B94,Seqs!$A:$B,2,0),AK94,1),"")</f>
        <v>N</v>
      </c>
      <c r="AK94" s="3">
        <v>204</v>
      </c>
      <c r="AL94" s="3" t="str">
        <f>IFERROR(MID(VLOOKUP($B94,Seqs!$A:$B,2,0),AM94,1),"")</f>
        <v>Q</v>
      </c>
      <c r="AM94" s="3">
        <v>237</v>
      </c>
      <c r="AN94" s="3" t="str">
        <f>IFERROR(MID(VLOOKUP($B94,Seqs!$A:$B,2,0),AO94,1),"")</f>
        <v>R</v>
      </c>
      <c r="AO94" s="3">
        <v>284</v>
      </c>
      <c r="AP94" s="3" t="str">
        <f>IFERROR(MID(VLOOKUP($B94,Seqs!$A:$B,2,0),AQ94,1),"")</f>
        <v>N</v>
      </c>
      <c r="AQ94" s="3">
        <v>316</v>
      </c>
      <c r="AR94" s="3" t="str">
        <f>IFERROR(MID(VLOOKUP($B94,Seqs!$A:$B,2,0),AS94,1),"")</f>
        <v>P</v>
      </c>
      <c r="AS94" s="3">
        <v>321</v>
      </c>
      <c r="AT94" s="3" t="str">
        <f>IFERROR(MID(VLOOKUP($B94,Seqs!$A:$B,2,0),AU94,1),"")</f>
        <v>R</v>
      </c>
      <c r="AU94" s="3">
        <v>345</v>
      </c>
      <c r="AV94" s="3" t="str">
        <f>IFERROR(MID(VLOOKUP($B94,Seqs!$A:$B,2,0),AW94,1),"")</f>
        <v>S</v>
      </c>
      <c r="AW94" s="3">
        <v>346</v>
      </c>
      <c r="AX94" s="3" t="str">
        <f>IFERROR(MID(VLOOKUP($B94,Seqs!$A:$B,2,0),AY94,1),"")</f>
        <v>C</v>
      </c>
      <c r="AY94" s="3">
        <v>358</v>
      </c>
      <c r="AZ94" s="77" t="str">
        <f>VLOOKUP(B94,Classification!A:D,2,0)</f>
        <v>A</v>
      </c>
      <c r="BA94" s="94" t="str">
        <f>VLOOKUP(B94,Classification!A:D,4,0)</f>
        <v>Adrenoceptors</v>
      </c>
      <c r="BB94" s="27" t="b">
        <f t="shared" si="224"/>
        <v>1</v>
      </c>
      <c r="BC94" s="23">
        <f t="shared" si="365"/>
        <v>248</v>
      </c>
      <c r="BD94" s="5" t="s">
        <v>23</v>
      </c>
      <c r="BE94" s="3" t="s">
        <v>1381</v>
      </c>
      <c r="BF94" s="119">
        <v>3.35</v>
      </c>
      <c r="BG94" s="49" t="s">
        <v>1384</v>
      </c>
      <c r="BH94" s="49" t="s">
        <v>1384</v>
      </c>
      <c r="BI94" s="1"/>
      <c r="BJ94" s="70" t="s">
        <v>1293</v>
      </c>
      <c r="BK94" s="57" t="s">
        <v>1293</v>
      </c>
      <c r="BL94" s="57" t="s">
        <v>1293</v>
      </c>
      <c r="BM94" s="57" t="s">
        <v>1293</v>
      </c>
      <c r="BN94" s="57" t="s">
        <v>1293</v>
      </c>
      <c r="BO94" s="57" t="s">
        <v>1293</v>
      </c>
      <c r="BP94" s="57" t="s">
        <v>1293</v>
      </c>
      <c r="BQ94" s="57" t="s">
        <v>1293</v>
      </c>
      <c r="BR94" s="57" t="s">
        <v>1293</v>
      </c>
      <c r="BS94" s="57" t="s">
        <v>1293</v>
      </c>
      <c r="BT94" s="57" t="s">
        <v>1293</v>
      </c>
      <c r="BU94" s="57" t="s">
        <v>1293</v>
      </c>
      <c r="BV94" s="70">
        <f t="shared" si="366"/>
        <v>40</v>
      </c>
      <c r="BW94" s="71">
        <f t="shared" si="367"/>
        <v>70</v>
      </c>
      <c r="BX94" s="72">
        <f t="shared" si="368"/>
        <v>74</v>
      </c>
      <c r="BY94" s="71">
        <f t="shared" si="369"/>
        <v>106</v>
      </c>
      <c r="BZ94" s="72">
        <f t="shared" si="370"/>
        <v>110</v>
      </c>
      <c r="CA94" s="71">
        <f t="shared" si="371"/>
        <v>146</v>
      </c>
      <c r="CB94" s="72">
        <f t="shared" si="372"/>
        <v>154</v>
      </c>
      <c r="CC94" s="71">
        <f t="shared" si="373"/>
        <v>199</v>
      </c>
      <c r="CD94" s="72">
        <f t="shared" si="374"/>
        <v>204</v>
      </c>
      <c r="CE94" s="71">
        <f t="shared" si="375"/>
        <v>284</v>
      </c>
      <c r="CF94" s="72">
        <f t="shared" si="376"/>
        <v>321</v>
      </c>
      <c r="CG94" s="71">
        <f t="shared" si="377"/>
        <v>346</v>
      </c>
      <c r="CH94" s="70">
        <f t="shared" si="378"/>
        <v>69</v>
      </c>
      <c r="CI94" s="71">
        <f t="shared" si="379"/>
        <v>73</v>
      </c>
      <c r="CJ94" s="72">
        <f t="shared" si="380"/>
        <v>104</v>
      </c>
      <c r="CK94" s="72">
        <f t="shared" si="381"/>
        <v>109</v>
      </c>
      <c r="CL94" s="72">
        <f t="shared" si="382"/>
        <v>145</v>
      </c>
      <c r="CM94" s="72">
        <f t="shared" si="383"/>
        <v>153</v>
      </c>
      <c r="CN94" s="72">
        <f t="shared" si="384"/>
        <v>180</v>
      </c>
      <c r="CO94" s="72">
        <f t="shared" si="385"/>
        <v>201</v>
      </c>
      <c r="CP94" s="72">
        <f t="shared" si="386"/>
        <v>237</v>
      </c>
      <c r="CQ94" s="72">
        <f t="shared" si="387"/>
        <v>316</v>
      </c>
      <c r="CR94" s="72">
        <f t="shared" si="388"/>
        <v>345</v>
      </c>
      <c r="CS94" s="72">
        <f t="shared" si="389"/>
        <v>358</v>
      </c>
      <c r="CT94" s="23">
        <f t="shared" si="390"/>
        <v>1</v>
      </c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  <c r="OK94" s="1"/>
      <c r="OL94" s="1"/>
      <c r="OM94" s="1"/>
      <c r="ON94" s="1"/>
      <c r="OO94" s="1"/>
      <c r="OP94" s="1"/>
      <c r="OQ94" s="1"/>
      <c r="OR94" s="1"/>
      <c r="OS94" s="1"/>
      <c r="OT94" s="1"/>
      <c r="OU94" s="1"/>
      <c r="OV94" s="1"/>
      <c r="OW94" s="1"/>
      <c r="OX94" s="1"/>
      <c r="OY94" s="1"/>
      <c r="OZ94" s="1"/>
      <c r="PA94" s="1"/>
      <c r="PB94" s="1"/>
      <c r="PC94" s="1"/>
      <c r="PD94" s="1"/>
      <c r="PE94" s="1"/>
      <c r="PF94" s="1"/>
      <c r="PG94" s="1"/>
      <c r="PH94" s="1"/>
      <c r="PI94" s="1"/>
      <c r="PJ94" s="1"/>
      <c r="PK94" s="1"/>
      <c r="PL94" s="1"/>
      <c r="PM94" s="1"/>
      <c r="PN94" s="1"/>
      <c r="PO94" s="1"/>
      <c r="PP94" s="1"/>
      <c r="PQ94" s="1"/>
      <c r="PR94" s="1"/>
      <c r="PS94" s="1"/>
      <c r="PT94" s="1"/>
      <c r="PU94" s="1"/>
      <c r="PV94" s="1"/>
      <c r="PW94" s="1"/>
      <c r="PX94" s="1"/>
      <c r="PY94" s="1"/>
      <c r="PZ94" s="1"/>
      <c r="QA94" s="1"/>
      <c r="QB94" s="1"/>
      <c r="QC94" s="1"/>
      <c r="QD94" s="1"/>
      <c r="QE94" s="1"/>
      <c r="QF94" s="1"/>
      <c r="QG94" s="1"/>
      <c r="QH94" s="1"/>
      <c r="QI94" s="1"/>
      <c r="QJ94" s="1"/>
      <c r="QK94" s="1"/>
      <c r="QL94" s="1"/>
      <c r="QM94" s="1"/>
      <c r="QN94" s="1"/>
      <c r="QO94" s="1"/>
      <c r="QP94" s="1"/>
      <c r="QQ94" s="1"/>
      <c r="QR94" s="1"/>
      <c r="QS94" s="1"/>
      <c r="QT94" s="1"/>
      <c r="QU94" s="1"/>
      <c r="QV94" s="1"/>
      <c r="QW94" s="1"/>
      <c r="QX94" s="1"/>
      <c r="QY94" s="1"/>
      <c r="QZ94" s="1"/>
      <c r="RA94" s="1"/>
      <c r="RB94" s="1"/>
      <c r="RC94" s="1"/>
      <c r="RD94" s="1"/>
      <c r="RE94" s="1"/>
      <c r="RF94" s="1"/>
      <c r="RG94" s="1"/>
      <c r="RH94" s="1"/>
      <c r="RI94" s="1"/>
      <c r="RJ94" s="1"/>
      <c r="RK94" s="1"/>
      <c r="RL94" s="1"/>
      <c r="RM94" s="1"/>
      <c r="RN94" s="1"/>
      <c r="RO94" s="1"/>
      <c r="RP94" s="1"/>
      <c r="RQ94" s="1"/>
      <c r="RR94" s="1"/>
      <c r="RS94" s="1"/>
      <c r="RT94" s="1"/>
      <c r="RU94" s="1"/>
      <c r="RV94" s="1"/>
      <c r="RW94" s="1"/>
      <c r="RX94" s="1"/>
      <c r="RY94" s="1"/>
      <c r="RZ94" s="1"/>
      <c r="SA94" s="1"/>
      <c r="SB94" s="1"/>
      <c r="SC94" s="1"/>
      <c r="SD94" s="1"/>
      <c r="SE94" s="1"/>
      <c r="SF94" s="1"/>
      <c r="SG94" s="1"/>
      <c r="SH94" s="1"/>
      <c r="SI94" s="1"/>
      <c r="SJ94" s="1"/>
      <c r="SK94" s="1"/>
      <c r="SL94" s="1"/>
      <c r="SM94" s="1"/>
      <c r="SN94" s="1"/>
      <c r="SO94" s="1"/>
      <c r="SP94" s="1"/>
      <c r="SQ94" s="1"/>
      <c r="SR94" s="1"/>
      <c r="SS94" s="1"/>
      <c r="ST94" s="1"/>
      <c r="SU94" s="1"/>
      <c r="SV94" s="1"/>
      <c r="SW94" s="1"/>
      <c r="SX94" s="1"/>
      <c r="SY94" s="1"/>
      <c r="SZ94" s="1"/>
      <c r="TA94" s="1"/>
      <c r="TB94" s="1"/>
      <c r="TC94" s="1"/>
      <c r="TD94" s="1"/>
      <c r="TE94" s="1"/>
      <c r="TF94" s="1"/>
      <c r="TG94" s="1"/>
      <c r="TH94" s="1"/>
      <c r="TI94" s="1"/>
      <c r="TJ94" s="1"/>
      <c r="TK94" s="1"/>
      <c r="TL94" s="1"/>
      <c r="TM94" s="1"/>
      <c r="TN94" s="1"/>
      <c r="TO94" s="1"/>
      <c r="TP94" s="1"/>
      <c r="TQ94" s="1"/>
      <c r="TR94" s="1"/>
      <c r="TS94" s="1"/>
      <c r="TT94" s="1"/>
      <c r="TU94" s="1"/>
      <c r="TV94" s="1"/>
      <c r="TW94" s="1"/>
      <c r="TX94" s="1"/>
      <c r="TY94" s="1"/>
      <c r="TZ94" s="1"/>
      <c r="UA94" s="1"/>
      <c r="UB94" s="1"/>
      <c r="UC94" s="1"/>
      <c r="UD94" s="1"/>
      <c r="UE94" s="1"/>
      <c r="UF94" s="1"/>
      <c r="UG94" s="1"/>
      <c r="UH94" s="1"/>
      <c r="UI94" s="1"/>
      <c r="UJ94" s="1"/>
      <c r="UK94" s="1"/>
      <c r="UL94" s="1"/>
      <c r="UM94" s="1"/>
      <c r="UN94" s="1"/>
      <c r="UO94" s="1"/>
      <c r="UP94" s="1"/>
      <c r="UQ94" s="1"/>
      <c r="UR94" s="1"/>
      <c r="US94" s="1"/>
      <c r="UT94" s="1"/>
      <c r="UU94" s="1"/>
      <c r="UV94" s="1"/>
      <c r="UW94" s="1"/>
      <c r="UX94" s="1"/>
      <c r="UY94" s="1"/>
      <c r="UZ94" s="1"/>
      <c r="VA94" s="1"/>
      <c r="VB94" s="1"/>
      <c r="VC94" s="1"/>
      <c r="VD94" s="1"/>
      <c r="VE94" s="1"/>
      <c r="VF94" s="1"/>
      <c r="VG94" s="1"/>
      <c r="VH94" s="1"/>
      <c r="VI94" s="1"/>
      <c r="VJ94" s="1"/>
      <c r="VK94" s="1"/>
      <c r="VL94" s="1"/>
      <c r="VM94" s="1"/>
      <c r="VN94" s="1"/>
      <c r="VO94" s="1"/>
      <c r="VP94" s="1"/>
      <c r="VQ94" s="1"/>
      <c r="VR94" s="1"/>
      <c r="VS94" s="1"/>
      <c r="VT94" s="1"/>
      <c r="VU94" s="1"/>
      <c r="VV94" s="1"/>
      <c r="VW94" s="1"/>
      <c r="VX94" s="1"/>
      <c r="VY94" s="1"/>
      <c r="VZ94" s="1"/>
      <c r="WA94" s="1"/>
      <c r="WB94" s="1"/>
      <c r="WC94" s="1"/>
      <c r="WD94" s="1"/>
      <c r="WE94" s="1"/>
      <c r="WF94" s="1"/>
      <c r="WG94" s="1"/>
      <c r="WH94" s="1"/>
      <c r="WI94" s="1"/>
      <c r="WJ94" s="1"/>
      <c r="WK94" s="1"/>
      <c r="WL94" s="1"/>
      <c r="WM94" s="1"/>
      <c r="WN94" s="1"/>
      <c r="WO94" s="1"/>
      <c r="WP94" s="1"/>
      <c r="WQ94" s="1"/>
      <c r="WR94" s="1"/>
      <c r="WS94" s="1"/>
      <c r="WT94" s="1"/>
      <c r="WU94" s="1"/>
      <c r="WV94" s="1"/>
      <c r="WW94" s="1"/>
      <c r="WX94" s="1"/>
      <c r="WY94" s="1"/>
      <c r="WZ94" s="1"/>
      <c r="XA94" s="1"/>
      <c r="XB94" s="1"/>
      <c r="XC94" s="1"/>
      <c r="XD94" s="1"/>
      <c r="XE94" s="1"/>
      <c r="XF94" s="1"/>
      <c r="XG94" s="1"/>
      <c r="XH94" s="1"/>
      <c r="XI94" s="1"/>
      <c r="XJ94" s="1"/>
      <c r="XK94" s="1"/>
      <c r="XL94" s="1"/>
      <c r="XM94" s="1"/>
      <c r="XN94" s="1"/>
      <c r="XO94" s="1"/>
      <c r="XP94" s="1"/>
      <c r="XQ94" s="1"/>
      <c r="XR94" s="1"/>
      <c r="XS94" s="1"/>
      <c r="XT94" s="1"/>
      <c r="XU94" s="1"/>
      <c r="XV94" s="1"/>
      <c r="XW94" s="1"/>
      <c r="XX94" s="1"/>
      <c r="XY94" s="1"/>
      <c r="XZ94" s="1"/>
      <c r="YA94" s="1"/>
      <c r="YB94" s="1"/>
      <c r="YC94" s="1"/>
      <c r="YD94" s="1"/>
      <c r="YE94" s="1"/>
      <c r="YF94" s="1"/>
      <c r="YG94" s="1"/>
      <c r="YH94" s="1"/>
      <c r="YI94" s="1"/>
      <c r="YJ94" s="1"/>
      <c r="YK94" s="1"/>
      <c r="YL94" s="1"/>
      <c r="YM94" s="1"/>
      <c r="YN94" s="1"/>
      <c r="YO94" s="1"/>
      <c r="YP94" s="1"/>
      <c r="YQ94" s="1"/>
      <c r="YR94" s="1"/>
      <c r="YS94" s="1"/>
      <c r="YT94" s="1"/>
      <c r="YU94" s="1"/>
      <c r="YV94" s="1"/>
      <c r="YW94" s="1"/>
      <c r="YX94" s="1"/>
      <c r="YY94" s="1"/>
      <c r="YZ94" s="1"/>
      <c r="ZA94" s="1"/>
      <c r="ZB94" s="1"/>
      <c r="ZC94" s="1"/>
      <c r="ZD94" s="1"/>
      <c r="ZE94" s="1"/>
      <c r="ZF94" s="1"/>
      <c r="ZG94" s="1"/>
      <c r="ZH94" s="1"/>
      <c r="ZI94" s="1"/>
      <c r="ZJ94" s="1"/>
      <c r="ZK94" s="1"/>
      <c r="ZL94" s="1"/>
      <c r="ZM94" s="1"/>
      <c r="ZN94" s="1"/>
      <c r="ZO94" s="1"/>
      <c r="ZP94" s="1"/>
      <c r="ZQ94" s="1"/>
      <c r="ZR94" s="1"/>
      <c r="ZS94" s="1"/>
      <c r="ZT94" s="1"/>
      <c r="ZU94" s="1"/>
      <c r="ZV94" s="1"/>
      <c r="ZW94" s="1"/>
      <c r="ZX94" s="1"/>
      <c r="ZY94" s="1"/>
      <c r="ZZ94" s="1"/>
      <c r="AAA94" s="1"/>
      <c r="AAB94" s="1"/>
      <c r="AAC94" s="1"/>
      <c r="AAD94" s="1"/>
      <c r="AAE94" s="1"/>
      <c r="AAF94" s="1"/>
      <c r="AAG94" s="1"/>
      <c r="AAH94" s="1"/>
      <c r="AAI94" s="1"/>
      <c r="AAJ94" s="1"/>
      <c r="AAK94" s="1"/>
      <c r="AAL94" s="1"/>
      <c r="AAM94" s="1"/>
      <c r="AAN94" s="1"/>
      <c r="AAO94" s="1"/>
      <c r="AAP94" s="1"/>
      <c r="AAQ94" s="1"/>
      <c r="AAR94" s="1"/>
      <c r="AAS94" s="1"/>
      <c r="AAT94" s="1"/>
      <c r="AAU94" s="1"/>
      <c r="AAV94" s="1"/>
      <c r="AAW94" s="1"/>
      <c r="AAX94" s="1"/>
      <c r="AAY94" s="1"/>
      <c r="AAZ94" s="1"/>
      <c r="ABA94" s="1"/>
      <c r="ABB94" s="1"/>
      <c r="ABC94" s="1"/>
      <c r="ABD94" s="1"/>
      <c r="ABE94" s="1"/>
      <c r="ABF94" s="1"/>
      <c r="ABG94" s="1"/>
      <c r="ABH94" s="1"/>
      <c r="ABI94" s="1"/>
      <c r="ABJ94" s="1"/>
      <c r="ABK94" s="1"/>
      <c r="ABL94" s="1"/>
      <c r="ABM94" s="1"/>
      <c r="ABN94" s="1"/>
      <c r="ABO94" s="1"/>
      <c r="ABP94" s="1"/>
      <c r="ABQ94" s="1"/>
      <c r="ABR94" s="1"/>
      <c r="ABS94" s="1"/>
      <c r="ABT94" s="1"/>
      <c r="ABU94" s="1"/>
      <c r="ABV94" s="1"/>
      <c r="ABW94" s="1"/>
      <c r="ABX94" s="1"/>
      <c r="ABY94" s="1"/>
      <c r="ABZ94" s="1"/>
      <c r="ACA94" s="1"/>
      <c r="ACB94" s="1"/>
      <c r="ACC94" s="1"/>
      <c r="ACD94" s="1"/>
      <c r="ACE94" s="1"/>
      <c r="ACF94" s="1"/>
      <c r="ACG94" s="1"/>
      <c r="ACH94" s="1"/>
      <c r="ACI94" s="1"/>
      <c r="ACJ94" s="1"/>
      <c r="ACK94" s="1"/>
      <c r="ACL94" s="1"/>
      <c r="ACM94" s="1"/>
      <c r="ACN94" s="1"/>
      <c r="ACO94" s="1"/>
      <c r="ACP94" s="1"/>
      <c r="ACQ94" s="1"/>
      <c r="ACR94" s="1"/>
      <c r="ACS94" s="1"/>
      <c r="ACT94" s="1"/>
      <c r="ACU94" s="1"/>
      <c r="ACV94" s="1"/>
      <c r="ACW94" s="1"/>
      <c r="ACX94" s="1"/>
      <c r="ACY94" s="1"/>
      <c r="ACZ94" s="1"/>
      <c r="ADA94" s="1"/>
      <c r="ADB94" s="1"/>
      <c r="ADC94" s="1"/>
      <c r="ADD94" s="1"/>
      <c r="ADE94" s="1"/>
      <c r="ADF94" s="1"/>
      <c r="ADG94" s="1"/>
      <c r="ADH94" s="1"/>
      <c r="ADI94" s="1"/>
      <c r="ADJ94" s="1"/>
      <c r="ADK94" s="1"/>
      <c r="ADL94" s="1"/>
      <c r="ADM94" s="1"/>
      <c r="ADN94" s="1"/>
      <c r="ADO94" s="1"/>
      <c r="ADP94" s="1"/>
      <c r="ADQ94" s="1"/>
      <c r="ADR94" s="1"/>
      <c r="ADS94" s="1"/>
      <c r="ADT94" s="1"/>
      <c r="ADU94" s="1"/>
      <c r="ADV94" s="1"/>
      <c r="ADW94" s="1"/>
      <c r="ADX94" s="1"/>
      <c r="ADY94" s="1"/>
      <c r="ADZ94" s="1"/>
      <c r="AEA94" s="1"/>
      <c r="AEB94" s="1"/>
      <c r="AEC94" s="1"/>
      <c r="AED94" s="1"/>
      <c r="AEE94" s="1"/>
      <c r="AEF94" s="1"/>
      <c r="AEG94" s="1"/>
      <c r="AEH94" s="1"/>
      <c r="AEI94" s="1"/>
      <c r="AEJ94" s="1"/>
      <c r="AEK94" s="1"/>
      <c r="AEL94" s="1"/>
      <c r="AEM94" s="1"/>
      <c r="AEN94" s="1"/>
      <c r="AEO94" s="1"/>
      <c r="AEP94" s="1"/>
      <c r="AEQ94" s="1"/>
      <c r="AER94" s="1"/>
      <c r="AES94" s="1"/>
      <c r="AET94" s="1"/>
      <c r="AEU94" s="1"/>
      <c r="AEV94" s="1"/>
      <c r="AEW94" s="1"/>
      <c r="AEX94" s="1"/>
      <c r="AEY94" s="1"/>
      <c r="AEZ94" s="1"/>
      <c r="AFA94" s="1"/>
      <c r="AFB94" s="1"/>
      <c r="AFC94" s="1"/>
      <c r="AFD94" s="1"/>
      <c r="AFE94" s="1"/>
      <c r="AFF94" s="1"/>
      <c r="AFG94" s="1"/>
      <c r="AFH94" s="1"/>
      <c r="AFI94" s="1"/>
      <c r="AFJ94" s="1"/>
      <c r="AFK94" s="1"/>
      <c r="AFL94" s="1"/>
      <c r="AFM94" s="1"/>
      <c r="AFN94" s="1"/>
      <c r="AFO94" s="1"/>
      <c r="AFP94" s="1"/>
      <c r="AFQ94" s="1"/>
      <c r="AFR94" s="1"/>
      <c r="AFS94" s="1"/>
      <c r="AFT94" s="1"/>
      <c r="AFU94" s="1"/>
      <c r="AFV94" s="1"/>
      <c r="AFW94" s="1"/>
      <c r="AFX94" s="1"/>
      <c r="AFY94" s="1"/>
      <c r="AFZ94" s="1"/>
      <c r="AGA94" s="1"/>
      <c r="AGB94" s="1"/>
      <c r="AGC94" s="1"/>
      <c r="AGD94" s="1"/>
      <c r="AGE94" s="1"/>
      <c r="AGF94" s="1"/>
      <c r="AGG94" s="1"/>
      <c r="AGH94" s="1"/>
      <c r="AGI94" s="1"/>
      <c r="AGJ94" s="1"/>
      <c r="AGK94" s="1"/>
      <c r="AGL94" s="1"/>
      <c r="AGM94" s="1"/>
      <c r="AGN94" s="1"/>
      <c r="AGO94" s="1"/>
      <c r="AGP94" s="1"/>
      <c r="AGQ94" s="1"/>
      <c r="AGR94" s="1"/>
      <c r="AGS94" s="1"/>
      <c r="AGT94" s="1"/>
      <c r="AGU94" s="1"/>
      <c r="AGV94" s="1"/>
      <c r="AGW94" s="1"/>
      <c r="AGX94" s="1"/>
      <c r="AGY94" s="1"/>
      <c r="AGZ94" s="1"/>
      <c r="AHA94" s="1"/>
      <c r="AHB94" s="1"/>
      <c r="AHC94" s="1"/>
      <c r="AHD94" s="1"/>
      <c r="AHE94" s="1"/>
      <c r="AHF94" s="1"/>
      <c r="AHG94" s="1"/>
      <c r="AHH94" s="1"/>
      <c r="AHI94" s="1"/>
      <c r="AHJ94" s="1"/>
      <c r="AHK94" s="1"/>
      <c r="AHL94" s="1"/>
      <c r="AHM94" s="1"/>
      <c r="AHN94" s="1"/>
      <c r="AHO94" s="1"/>
      <c r="AHP94" s="1"/>
      <c r="AHQ94" s="1"/>
      <c r="AHR94" s="1"/>
      <c r="AHS94" s="1"/>
      <c r="AHT94" s="1"/>
      <c r="AHU94" s="1"/>
      <c r="AHV94" s="1"/>
      <c r="AHW94" s="1"/>
      <c r="AHX94" s="1"/>
      <c r="AHY94" s="1"/>
      <c r="AHZ94" s="1"/>
      <c r="AIA94" s="1"/>
      <c r="AIB94" s="1"/>
      <c r="AIC94" s="1"/>
      <c r="AID94" s="1"/>
      <c r="AIE94" s="1"/>
      <c r="AIF94" s="1"/>
      <c r="AIG94" s="1"/>
      <c r="AIH94" s="1"/>
      <c r="AII94" s="1"/>
      <c r="AIJ94" s="1"/>
      <c r="AIK94" s="1"/>
      <c r="AIL94" s="1"/>
      <c r="AIM94" s="1"/>
      <c r="AIN94" s="1"/>
      <c r="AIO94" s="1"/>
      <c r="AIP94" s="1"/>
      <c r="AIQ94" s="1"/>
      <c r="AIR94" s="1"/>
      <c r="AIS94" s="1"/>
      <c r="AIT94" s="1"/>
      <c r="AIU94" s="1"/>
      <c r="AIV94" s="1"/>
      <c r="AIW94" s="1"/>
      <c r="AIX94" s="1"/>
      <c r="AIY94" s="1"/>
      <c r="AIZ94" s="1"/>
      <c r="AJA94" s="1"/>
      <c r="AJB94" s="1"/>
      <c r="AJC94" s="1"/>
      <c r="AJD94" s="1"/>
      <c r="AJE94" s="1"/>
      <c r="AJF94" s="1"/>
      <c r="AJG94" s="1"/>
      <c r="AJH94" s="1"/>
      <c r="AJI94" s="1"/>
      <c r="AJJ94" s="1"/>
      <c r="AJK94" s="1"/>
      <c r="AJL94" s="1"/>
      <c r="AJM94" s="1"/>
      <c r="AJN94" s="1"/>
      <c r="AJO94" s="1"/>
      <c r="AJP94" s="1"/>
      <c r="AJQ94" s="1"/>
      <c r="AJR94" s="1"/>
      <c r="AJS94" s="1"/>
      <c r="AJT94" s="1"/>
      <c r="AJU94" s="1"/>
      <c r="AJV94" s="1"/>
      <c r="AJW94" s="1"/>
      <c r="AJX94" s="1"/>
      <c r="AJY94" s="1"/>
      <c r="AJZ94" s="1"/>
      <c r="AKA94" s="1"/>
      <c r="AKB94" s="1"/>
      <c r="AKC94" s="1"/>
      <c r="AKD94" s="1"/>
      <c r="AKE94" s="1"/>
      <c r="AKF94" s="1"/>
      <c r="AKG94" s="1"/>
      <c r="AKH94" s="1"/>
      <c r="AKI94" s="1"/>
      <c r="AKJ94" s="1"/>
      <c r="AKK94" s="1"/>
      <c r="AKL94" s="1"/>
      <c r="AKM94" s="1"/>
      <c r="AKN94" s="1"/>
      <c r="AKO94" s="1"/>
      <c r="AKP94" s="1"/>
      <c r="AKQ94" s="1"/>
      <c r="AKR94" s="1"/>
      <c r="AKS94" s="1"/>
      <c r="AKT94" s="1"/>
      <c r="AKU94" s="1"/>
      <c r="AKV94" s="1"/>
      <c r="AKW94" s="1"/>
      <c r="AKX94" s="1"/>
      <c r="AKY94" s="1"/>
      <c r="AKZ94" s="1"/>
      <c r="ALA94" s="1"/>
      <c r="ALB94" s="1"/>
      <c r="ALC94" s="1"/>
      <c r="ALD94" s="1"/>
      <c r="ALE94" s="1"/>
      <c r="ALF94" s="1"/>
      <c r="ALG94" s="1"/>
      <c r="ALH94" s="1"/>
      <c r="ALI94" s="1"/>
      <c r="ALJ94" s="1"/>
      <c r="ALK94" s="1"/>
      <c r="ALL94" s="1"/>
      <c r="ALM94" s="1"/>
      <c r="ALN94" s="1"/>
      <c r="ALO94" s="1"/>
      <c r="ALP94" s="1"/>
      <c r="ALQ94" s="1"/>
      <c r="ALR94" s="1"/>
      <c r="ALS94" s="1"/>
      <c r="ALT94" s="1"/>
      <c r="ALU94" s="1"/>
      <c r="ALV94" s="1"/>
      <c r="ALW94" s="1"/>
      <c r="ALX94" s="1"/>
      <c r="ALY94" s="1"/>
      <c r="ALZ94" s="1"/>
      <c r="AMA94" s="1"/>
      <c r="AMB94" s="1"/>
      <c r="AMC94" s="1"/>
      <c r="AMD94" s="1"/>
      <c r="AME94" s="1"/>
      <c r="AMF94" s="1"/>
      <c r="AMG94" s="1"/>
      <c r="AMH94" s="1"/>
      <c r="AMI94" s="1"/>
      <c r="AMJ94" s="1"/>
      <c r="AMK94" s="1"/>
      <c r="AML94" s="1"/>
      <c r="AMM94" s="1"/>
      <c r="AMN94" s="1"/>
      <c r="AMO94" s="1"/>
    </row>
    <row r="95" spans="1:1029" s="12" customFormat="1" x14ac:dyDescent="0.2">
      <c r="A95" s="9" t="str">
        <f t="shared" ref="A95" si="391">CONCATENATE(B95,"_",C95)</f>
        <v>adrb1_melga_6H7J</v>
      </c>
      <c r="B95" s="9" t="s">
        <v>912</v>
      </c>
      <c r="C95" s="9" t="s">
        <v>1539</v>
      </c>
      <c r="D95" s="9" t="str">
        <f>IFERROR(MID(VLOOKUP($B95,Seqs!$A:$B,2,0),E95,1),"")</f>
        <v>W</v>
      </c>
      <c r="E95" s="9">
        <v>40</v>
      </c>
      <c r="F95" s="9" t="str">
        <f>IFERROR(MID(VLOOKUP($B95,Seqs!$A:$B,2,0),G95,1),"")</f>
        <v>T</v>
      </c>
      <c r="G95" s="9">
        <v>69</v>
      </c>
      <c r="H95" s="9" t="str">
        <f>IFERROR(MID(VLOOKUP($B95,Seqs!$A:$B,2,0),I95,1),"")</f>
        <v>Q</v>
      </c>
      <c r="I95" s="109">
        <v>70</v>
      </c>
      <c r="J95" s="9" t="str">
        <f>IFERROR(MID(VLOOKUP($B95,Seqs!$A:$B,2,0),K95,1),"")</f>
        <v>Q</v>
      </c>
      <c r="K95" s="109">
        <v>73</v>
      </c>
      <c r="L95" s="9" t="str">
        <f>IFERROR(MID(VLOOKUP($B95,Seqs!$A:$B,2,0),M95,1),"")</f>
        <v>T</v>
      </c>
      <c r="M95" s="9">
        <v>74</v>
      </c>
      <c r="N95" s="9" t="str">
        <f>IFERROR(MID(VLOOKUP($B95,Seqs!$A:$B,2,0),O95,1),"")</f>
        <v>R</v>
      </c>
      <c r="O95" s="9">
        <v>104</v>
      </c>
      <c r="P95" s="9" t="str">
        <f>IFERROR(MID(VLOOKUP($B95,Seqs!$A:$B,2,0),Q95,1),"")</f>
        <v>T</v>
      </c>
      <c r="Q95" s="9">
        <v>106</v>
      </c>
      <c r="R95" s="9" t="str">
        <f>IFERROR(MID(VLOOKUP($B95,Seqs!$A:$B,2,0),S95,1),"")</f>
        <v>W</v>
      </c>
      <c r="S95" s="9">
        <v>109</v>
      </c>
      <c r="T95" s="9" t="str">
        <f>IFERROR(MID(VLOOKUP($B95,Seqs!$A:$B,2,0),U95,1),"")</f>
        <v>G</v>
      </c>
      <c r="U95" s="9">
        <v>110</v>
      </c>
      <c r="V95" s="9" t="str">
        <f>IFERROR(MID(VLOOKUP($B95,Seqs!$A:$B,2,0),W95,1),"")</f>
        <v>S</v>
      </c>
      <c r="W95" s="9">
        <v>145</v>
      </c>
      <c r="X95" s="9" t="str">
        <f>IFERROR(MID(VLOOKUP($B95,Seqs!$A:$B,2,0),Y95,1),"")</f>
        <v>P</v>
      </c>
      <c r="Y95" s="9">
        <v>146</v>
      </c>
      <c r="Z95" s="9" t="str">
        <f>IFERROR(MID(VLOOKUP($B95,Seqs!$A:$B,2,0),AA95,1),"")</f>
        <v>M</v>
      </c>
      <c r="AA95" s="9">
        <v>153</v>
      </c>
      <c r="AB95" s="9" t="str">
        <f>IFERROR(MID(VLOOKUP($B95,Seqs!$A:$B,2,0),AC95,1),"")</f>
        <v>T</v>
      </c>
      <c r="AC95" s="9">
        <v>154</v>
      </c>
      <c r="AD95" s="9" t="str">
        <f>IFERROR(MID(VLOOKUP($B95,Seqs!$A:$B,2,0),AE95,1),"")</f>
        <v>H</v>
      </c>
      <c r="AE95" s="9">
        <v>180</v>
      </c>
      <c r="AF95" s="9" t="str">
        <f>IFERROR(MID(VLOOKUP($B95,Seqs!$A:$B,2,0),AG95,1),"")</f>
        <v>C</v>
      </c>
      <c r="AG95" s="9">
        <v>199</v>
      </c>
      <c r="AH95" s="9" t="str">
        <f>IFERROR(MID(VLOOKUP($B95,Seqs!$A:$B,2,0),AI95,1),"")</f>
        <v>F</v>
      </c>
      <c r="AI95" s="9">
        <v>201</v>
      </c>
      <c r="AJ95" s="9" t="str">
        <f>IFERROR(MID(VLOOKUP($B95,Seqs!$A:$B,2,0),AK95,1),"")</f>
        <v>N</v>
      </c>
      <c r="AK95" s="9">
        <v>204</v>
      </c>
      <c r="AL95" s="9" t="str">
        <f>IFERROR(MID(VLOOKUP($B95,Seqs!$A:$B,2,0),AM95,1),"")</f>
        <v>S</v>
      </c>
      <c r="AM95" s="9">
        <v>273</v>
      </c>
      <c r="AN95" s="9" t="str">
        <f>IFERROR(MID(VLOOKUP($B95,Seqs!$A:$B,2,0),AO95,1),"")</f>
        <v>A</v>
      </c>
      <c r="AO95" s="9">
        <v>282</v>
      </c>
      <c r="AP95" s="9" t="str">
        <f>IFERROR(MID(VLOOKUP($B95,Seqs!$A:$B,2,0),AQ95,1),"")</f>
        <v>N</v>
      </c>
      <c r="AQ95" s="9">
        <v>316</v>
      </c>
      <c r="AR95" s="9" t="str">
        <f>IFERROR(MID(VLOOKUP($B95,Seqs!$A:$B,2,0),AS95,1),"")</f>
        <v>P</v>
      </c>
      <c r="AS95" s="9">
        <v>321</v>
      </c>
      <c r="AT95" s="9" t="str">
        <f>IFERROR(MID(VLOOKUP($B95,Seqs!$A:$B,2,0),AU95,1),"")</f>
        <v>R</v>
      </c>
      <c r="AU95" s="9">
        <v>345</v>
      </c>
      <c r="AV95" s="9" t="str">
        <f>IFERROR(MID(VLOOKUP($B95,Seqs!$A:$B,2,0),AW95,1),"")</f>
        <v>S</v>
      </c>
      <c r="AW95" s="9">
        <v>346</v>
      </c>
      <c r="AX95" s="9" t="str">
        <f>IFERROR(MID(VLOOKUP($B95,Seqs!$A:$B,2,0),AY95,1),"")</f>
        <v>L</v>
      </c>
      <c r="AY95" s="9">
        <v>357</v>
      </c>
      <c r="AZ95" s="110" t="str">
        <f>VLOOKUP(B95,Classification!A:D,2,0)</f>
        <v>A</v>
      </c>
      <c r="BA95" s="98" t="str">
        <f>VLOOKUP(B95,Classification!A:D,4,0)</f>
        <v>Adrenoceptors</v>
      </c>
      <c r="BB95" s="36" t="b">
        <f t="shared" ref="BB95" si="392">AND(E95&lt;G95,OR(G95&lt;I95,I95="-"),OR(I95&lt;K95,I95="-"),OR(K95&lt;M95,K95="-"),M95&lt;O95,OR(O95&lt;Q95,Q95="-"),OR(Q95&lt;S95,Q95="-"),OR(S95&lt;U95,S95="-"),U95&lt;W95,OR(W95&lt;Y95,Y95="-"),OR(Y95&lt;AA95,Y95="-"),OR(AA95&lt;AC95,AA95="-"),AC95&lt;AE95,OR(AE95&lt;AG95,AG95="-"),OR(AG95&lt;AI95,AG95="-"),OR(AI95&lt;AK95,AI95="-"),AK95&lt;AM95,AM95&lt;AO95,AO95&lt;AQ95,AQ95&lt;AS95,AS95&lt;AU95,OR(AU95&lt;AW95,AW95="-"),OR(AW95&lt;AY95,AW95="-"))</f>
        <v>1</v>
      </c>
      <c r="BC95" s="109">
        <f t="shared" ref="BC95" si="393">_xlfn.AGGREGATE(9,6,CH95:CS95)-_xlfn.AGGREGATE(9,6,BV95:CG95)+12</f>
        <v>285</v>
      </c>
      <c r="BD95" s="13" t="s">
        <v>23</v>
      </c>
      <c r="BE95" s="9" t="s">
        <v>1297</v>
      </c>
      <c r="BF95" s="120">
        <v>2.8</v>
      </c>
      <c r="BG95" s="51" t="s">
        <v>1</v>
      </c>
      <c r="BH95" s="51" t="s">
        <v>1</v>
      </c>
      <c r="BJ95" s="111" t="s">
        <v>1293</v>
      </c>
      <c r="BK95" s="112" t="s">
        <v>1293</v>
      </c>
      <c r="BL95" s="112" t="s">
        <v>1293</v>
      </c>
      <c r="BM95" s="112" t="s">
        <v>1293</v>
      </c>
      <c r="BN95" s="112" t="s">
        <v>1293</v>
      </c>
      <c r="BO95" s="112" t="s">
        <v>1293</v>
      </c>
      <c r="BP95" s="112" t="s">
        <v>1293</v>
      </c>
      <c r="BQ95" s="112" t="s">
        <v>1293</v>
      </c>
      <c r="BR95" s="112" t="s">
        <v>1293</v>
      </c>
      <c r="BS95" s="112" t="s">
        <v>1293</v>
      </c>
      <c r="BT95" s="112" t="s">
        <v>1293</v>
      </c>
      <c r="BU95" s="112" t="s">
        <v>1293</v>
      </c>
      <c r="BV95" s="111">
        <f t="shared" ref="BV95" si="394">E95</f>
        <v>40</v>
      </c>
      <c r="BW95" s="113">
        <f t="shared" ref="BW95" si="395">I95</f>
        <v>70</v>
      </c>
      <c r="BX95" s="114">
        <f t="shared" ref="BX95" si="396">M95</f>
        <v>74</v>
      </c>
      <c r="BY95" s="113">
        <f t="shared" ref="BY95" si="397">Q95</f>
        <v>106</v>
      </c>
      <c r="BZ95" s="114">
        <f t="shared" ref="BZ95" si="398">U95</f>
        <v>110</v>
      </c>
      <c r="CA95" s="113">
        <f t="shared" ref="CA95" si="399">Y95</f>
        <v>146</v>
      </c>
      <c r="CB95" s="114">
        <f t="shared" ref="CB95" si="400">AC95</f>
        <v>154</v>
      </c>
      <c r="CC95" s="113">
        <f t="shared" ref="CC95" si="401">AG95</f>
        <v>199</v>
      </c>
      <c r="CD95" s="114">
        <f t="shared" ref="CD95" si="402">AK95</f>
        <v>204</v>
      </c>
      <c r="CE95" s="113">
        <f t="shared" ref="CE95" si="403">AO95</f>
        <v>282</v>
      </c>
      <c r="CF95" s="114">
        <f t="shared" ref="CF95" si="404">AS95</f>
        <v>321</v>
      </c>
      <c r="CG95" s="113">
        <f t="shared" ref="CG95" si="405">AW95</f>
        <v>346</v>
      </c>
      <c r="CH95" s="111">
        <f t="shared" ref="CH95" si="406">G95</f>
        <v>69</v>
      </c>
      <c r="CI95" s="113">
        <f t="shared" ref="CI95" si="407">K95</f>
        <v>73</v>
      </c>
      <c r="CJ95" s="114">
        <f t="shared" ref="CJ95" si="408">O95</f>
        <v>104</v>
      </c>
      <c r="CK95" s="114">
        <f t="shared" ref="CK95" si="409">S95</f>
        <v>109</v>
      </c>
      <c r="CL95" s="114">
        <f t="shared" ref="CL95" si="410">W95</f>
        <v>145</v>
      </c>
      <c r="CM95" s="114">
        <f t="shared" ref="CM95" si="411">AA95</f>
        <v>153</v>
      </c>
      <c r="CN95" s="114">
        <f t="shared" ref="CN95" si="412">AE95</f>
        <v>180</v>
      </c>
      <c r="CO95" s="114">
        <f t="shared" ref="CO95" si="413">AI95</f>
        <v>201</v>
      </c>
      <c r="CP95" s="114">
        <f t="shared" ref="CP95" si="414">AM95</f>
        <v>273</v>
      </c>
      <c r="CQ95" s="114">
        <f t="shared" ref="CQ95" si="415">AQ95</f>
        <v>316</v>
      </c>
      <c r="CR95" s="114">
        <f t="shared" ref="CR95" si="416">AU95</f>
        <v>345</v>
      </c>
      <c r="CS95" s="114">
        <f t="shared" ref="CS95" si="417">AY95</f>
        <v>357</v>
      </c>
      <c r="CT95" s="109">
        <f t="shared" ref="CT95" si="418">M95-K95</f>
        <v>1</v>
      </c>
    </row>
    <row r="96" spans="1:1029" s="12" customFormat="1" x14ac:dyDescent="0.2">
      <c r="A96" s="9" t="str">
        <f t="shared" ref="A96" si="419">CONCATENATE(B96,"_",C96)</f>
        <v>adrb1_melga_6H7K</v>
      </c>
      <c r="B96" s="9" t="s">
        <v>912</v>
      </c>
      <c r="C96" s="9" t="s">
        <v>1540</v>
      </c>
      <c r="D96" s="9" t="str">
        <f>IFERROR(MID(VLOOKUP($B96,Seqs!$A:$B,2,0),E96,1),"")</f>
        <v>E</v>
      </c>
      <c r="E96" s="9">
        <v>41</v>
      </c>
      <c r="F96" s="9" t="str">
        <f>IFERROR(MID(VLOOKUP($B96,Seqs!$A:$B,2,0),G96,1),"")</f>
        <v>T</v>
      </c>
      <c r="G96" s="9">
        <v>69</v>
      </c>
      <c r="H96" s="9" t="str">
        <f>IFERROR(MID(VLOOKUP($B96,Seqs!$A:$B,2,0),I96,1),"")</f>
        <v>Q</v>
      </c>
      <c r="I96" s="109">
        <v>70</v>
      </c>
      <c r="J96" s="9" t="str">
        <f>IFERROR(MID(VLOOKUP($B96,Seqs!$A:$B,2,0),K96,1),"")</f>
        <v>Q</v>
      </c>
      <c r="K96" s="109">
        <v>73</v>
      </c>
      <c r="L96" s="9" t="str">
        <f>IFERROR(MID(VLOOKUP($B96,Seqs!$A:$B,2,0),M96,1),"")</f>
        <v>T</v>
      </c>
      <c r="M96" s="9">
        <v>74</v>
      </c>
      <c r="N96" s="9" t="str">
        <f>IFERROR(MID(VLOOKUP($B96,Seqs!$A:$B,2,0),O96,1),"")</f>
        <v>R</v>
      </c>
      <c r="O96" s="9">
        <v>104</v>
      </c>
      <c r="P96" s="9" t="str">
        <f>IFERROR(MID(VLOOKUP($B96,Seqs!$A:$B,2,0),Q96,1),"")</f>
        <v>T</v>
      </c>
      <c r="Q96" s="9">
        <v>106</v>
      </c>
      <c r="R96" s="9" t="str">
        <f>IFERROR(MID(VLOOKUP($B96,Seqs!$A:$B,2,0),S96,1),"")</f>
        <v>W</v>
      </c>
      <c r="S96" s="9">
        <v>109</v>
      </c>
      <c r="T96" s="9" t="str">
        <f>IFERROR(MID(VLOOKUP($B96,Seqs!$A:$B,2,0),U96,1),"")</f>
        <v>G</v>
      </c>
      <c r="U96" s="9">
        <v>110</v>
      </c>
      <c r="V96" s="9" t="str">
        <f>IFERROR(MID(VLOOKUP($B96,Seqs!$A:$B,2,0),W96,1),"")</f>
        <v>S</v>
      </c>
      <c r="W96" s="9">
        <v>145</v>
      </c>
      <c r="X96" s="9" t="str">
        <f>IFERROR(MID(VLOOKUP($B96,Seqs!$A:$B,2,0),Y96,1),"")</f>
        <v>P</v>
      </c>
      <c r="Y96" s="9">
        <v>146</v>
      </c>
      <c r="Z96" s="9" t="str">
        <f>IFERROR(MID(VLOOKUP($B96,Seqs!$A:$B,2,0),AA96,1),"")</f>
        <v>M</v>
      </c>
      <c r="AA96" s="9">
        <v>153</v>
      </c>
      <c r="AB96" s="9" t="str">
        <f>IFERROR(MID(VLOOKUP($B96,Seqs!$A:$B,2,0),AC96,1),"")</f>
        <v>T</v>
      </c>
      <c r="AC96" s="9">
        <v>154</v>
      </c>
      <c r="AD96" s="9" t="str">
        <f>IFERROR(MID(VLOOKUP($B96,Seqs!$A:$B,2,0),AE96,1),"")</f>
        <v>H</v>
      </c>
      <c r="AE96" s="9">
        <v>180</v>
      </c>
      <c r="AF96" s="9" t="str">
        <f>IFERROR(MID(VLOOKUP($B96,Seqs!$A:$B,2,0),AG96,1),"")</f>
        <v>C</v>
      </c>
      <c r="AG96" s="9">
        <v>199</v>
      </c>
      <c r="AH96" s="9" t="str">
        <f>IFERROR(MID(VLOOKUP($B96,Seqs!$A:$B,2,0),AI96,1),"")</f>
        <v>F</v>
      </c>
      <c r="AI96" s="9">
        <v>201</v>
      </c>
      <c r="AJ96" s="9" t="str">
        <f>IFERROR(MID(VLOOKUP($B96,Seqs!$A:$B,2,0),AK96,1),"")</f>
        <v>N</v>
      </c>
      <c r="AK96" s="9">
        <v>204</v>
      </c>
      <c r="AL96" s="9" t="str">
        <f>IFERROR(MID(VLOOKUP($B96,Seqs!$A:$B,2,0),AM96,1),"")</f>
        <v>S</v>
      </c>
      <c r="AM96" s="9">
        <v>273</v>
      </c>
      <c r="AN96" s="9" t="str">
        <f>IFERROR(MID(VLOOKUP($B96,Seqs!$A:$B,2,0),AO96,1),"")</f>
        <v>A</v>
      </c>
      <c r="AO96" s="9">
        <v>282</v>
      </c>
      <c r="AP96" s="9" t="str">
        <f>IFERROR(MID(VLOOKUP($B96,Seqs!$A:$B,2,0),AQ96,1),"")</f>
        <v>N</v>
      </c>
      <c r="AQ96" s="9">
        <v>316</v>
      </c>
      <c r="AR96" s="9" t="str">
        <f>IFERROR(MID(VLOOKUP($B96,Seqs!$A:$B,2,0),AS96,1),"")</f>
        <v>P</v>
      </c>
      <c r="AS96" s="9">
        <v>321</v>
      </c>
      <c r="AT96" s="9" t="str">
        <f>IFERROR(MID(VLOOKUP($B96,Seqs!$A:$B,2,0),AU96,1),"")</f>
        <v>R</v>
      </c>
      <c r="AU96" s="9">
        <v>345</v>
      </c>
      <c r="AV96" s="9" t="str">
        <f>IFERROR(MID(VLOOKUP($B96,Seqs!$A:$B,2,0),AW96,1),"")</f>
        <v>S</v>
      </c>
      <c r="AW96" s="9">
        <v>346</v>
      </c>
      <c r="AX96" s="9" t="str">
        <f>IFERROR(MID(VLOOKUP($B96,Seqs!$A:$B,2,0),AY96,1),"")</f>
        <v>L</v>
      </c>
      <c r="AY96" s="9">
        <v>357</v>
      </c>
      <c r="AZ96" s="110" t="str">
        <f>VLOOKUP(B96,Classification!A:D,2,0)</f>
        <v>A</v>
      </c>
      <c r="BA96" s="98" t="str">
        <f>VLOOKUP(B96,Classification!A:D,4,0)</f>
        <v>Adrenoceptors</v>
      </c>
      <c r="BB96" s="36" t="b">
        <f t="shared" ref="BB96" si="420">AND(E96&lt;G96,OR(G96&lt;I96,I96="-"),OR(I96&lt;K96,I96="-"),OR(K96&lt;M96,K96="-"),M96&lt;O96,OR(O96&lt;Q96,Q96="-"),OR(Q96&lt;S96,Q96="-"),OR(S96&lt;U96,S96="-"),U96&lt;W96,OR(W96&lt;Y96,Y96="-"),OR(Y96&lt;AA96,Y96="-"),OR(AA96&lt;AC96,AA96="-"),AC96&lt;AE96,OR(AE96&lt;AG96,AG96="-"),OR(AG96&lt;AI96,AG96="-"),OR(AI96&lt;AK96,AI96="-"),AK96&lt;AM96,AM96&lt;AO96,AO96&lt;AQ96,AQ96&lt;AS96,AS96&lt;AU96,OR(AU96&lt;AW96,AW96="-"),OR(AW96&lt;AY96,AW96="-"))</f>
        <v>1</v>
      </c>
      <c r="BC96" s="109">
        <f t="shared" ref="BC96" si="421">_xlfn.AGGREGATE(9,6,CH96:CS96)-_xlfn.AGGREGATE(9,6,BV96:CG96)+12</f>
        <v>284</v>
      </c>
      <c r="BD96" s="13" t="s">
        <v>23</v>
      </c>
      <c r="BE96" s="9" t="s">
        <v>1297</v>
      </c>
      <c r="BF96" s="120">
        <v>2.7</v>
      </c>
      <c r="BG96" s="51" t="s">
        <v>1</v>
      </c>
      <c r="BH96" s="51" t="s">
        <v>1</v>
      </c>
      <c r="BJ96" s="111" t="s">
        <v>1293</v>
      </c>
      <c r="BK96" s="112" t="s">
        <v>1293</v>
      </c>
      <c r="BL96" s="112" t="s">
        <v>1293</v>
      </c>
      <c r="BM96" s="112" t="s">
        <v>1293</v>
      </c>
      <c r="BN96" s="112" t="s">
        <v>1293</v>
      </c>
      <c r="BO96" s="112" t="s">
        <v>1293</v>
      </c>
      <c r="BP96" s="112" t="s">
        <v>1293</v>
      </c>
      <c r="BQ96" s="112" t="s">
        <v>1293</v>
      </c>
      <c r="BR96" s="112" t="s">
        <v>1293</v>
      </c>
      <c r="BS96" s="112" t="s">
        <v>1293</v>
      </c>
      <c r="BT96" s="112" t="s">
        <v>1293</v>
      </c>
      <c r="BU96" s="112" t="s">
        <v>1293</v>
      </c>
      <c r="BV96" s="111">
        <f t="shared" ref="BV96" si="422">E96</f>
        <v>41</v>
      </c>
      <c r="BW96" s="113">
        <f t="shared" ref="BW96" si="423">I96</f>
        <v>70</v>
      </c>
      <c r="BX96" s="114">
        <f t="shared" ref="BX96" si="424">M96</f>
        <v>74</v>
      </c>
      <c r="BY96" s="113">
        <f t="shared" ref="BY96" si="425">Q96</f>
        <v>106</v>
      </c>
      <c r="BZ96" s="114">
        <f t="shared" ref="BZ96" si="426">U96</f>
        <v>110</v>
      </c>
      <c r="CA96" s="113">
        <f t="shared" ref="CA96" si="427">Y96</f>
        <v>146</v>
      </c>
      <c r="CB96" s="114">
        <f t="shared" ref="CB96" si="428">AC96</f>
        <v>154</v>
      </c>
      <c r="CC96" s="113">
        <f t="shared" ref="CC96" si="429">AG96</f>
        <v>199</v>
      </c>
      <c r="CD96" s="114">
        <f t="shared" ref="CD96" si="430">AK96</f>
        <v>204</v>
      </c>
      <c r="CE96" s="113">
        <f t="shared" ref="CE96" si="431">AO96</f>
        <v>282</v>
      </c>
      <c r="CF96" s="114">
        <f t="shared" ref="CF96" si="432">AS96</f>
        <v>321</v>
      </c>
      <c r="CG96" s="113">
        <f t="shared" ref="CG96" si="433">AW96</f>
        <v>346</v>
      </c>
      <c r="CH96" s="111">
        <f t="shared" ref="CH96" si="434">G96</f>
        <v>69</v>
      </c>
      <c r="CI96" s="113">
        <f t="shared" ref="CI96" si="435">K96</f>
        <v>73</v>
      </c>
      <c r="CJ96" s="114">
        <f t="shared" ref="CJ96" si="436">O96</f>
        <v>104</v>
      </c>
      <c r="CK96" s="114">
        <f t="shared" ref="CK96" si="437">S96</f>
        <v>109</v>
      </c>
      <c r="CL96" s="114">
        <f t="shared" ref="CL96" si="438">W96</f>
        <v>145</v>
      </c>
      <c r="CM96" s="114">
        <f t="shared" ref="CM96" si="439">AA96</f>
        <v>153</v>
      </c>
      <c r="CN96" s="114">
        <f t="shared" ref="CN96" si="440">AE96</f>
        <v>180</v>
      </c>
      <c r="CO96" s="114">
        <f t="shared" ref="CO96" si="441">AI96</f>
        <v>201</v>
      </c>
      <c r="CP96" s="114">
        <f t="shared" ref="CP96" si="442">AM96</f>
        <v>273</v>
      </c>
      <c r="CQ96" s="114">
        <f t="shared" ref="CQ96" si="443">AQ96</f>
        <v>316</v>
      </c>
      <c r="CR96" s="114">
        <f t="shared" ref="CR96" si="444">AU96</f>
        <v>345</v>
      </c>
      <c r="CS96" s="114">
        <f t="shared" ref="CS96" si="445">AY96</f>
        <v>357</v>
      </c>
      <c r="CT96" s="109">
        <f t="shared" ref="CT96" si="446">M96-K96</f>
        <v>1</v>
      </c>
    </row>
    <row r="97" spans="1:1029" s="12" customFormat="1" x14ac:dyDescent="0.2">
      <c r="A97" s="9" t="str">
        <f t="shared" ref="A97" si="447">CONCATENATE(B97,"_",C97)</f>
        <v>adrb1_melga_6H7L</v>
      </c>
      <c r="B97" s="9" t="s">
        <v>912</v>
      </c>
      <c r="C97" s="9" t="s">
        <v>1541</v>
      </c>
      <c r="D97" s="9" t="str">
        <f>IFERROR(MID(VLOOKUP($B97,Seqs!$A:$B,2,0),E97,1),"")</f>
        <v>W</v>
      </c>
      <c r="E97" s="9">
        <v>40</v>
      </c>
      <c r="F97" s="9" t="str">
        <f>IFERROR(MID(VLOOKUP($B97,Seqs!$A:$B,2,0),G97,1),"")</f>
        <v>T</v>
      </c>
      <c r="G97" s="9">
        <v>69</v>
      </c>
      <c r="H97" s="9" t="str">
        <f>IFERROR(MID(VLOOKUP($B97,Seqs!$A:$B,2,0),I97,1),"")</f>
        <v>Q</v>
      </c>
      <c r="I97" s="109">
        <v>70</v>
      </c>
      <c r="J97" s="9" t="str">
        <f>IFERROR(MID(VLOOKUP($B97,Seqs!$A:$B,2,0),K97,1),"")</f>
        <v>Q</v>
      </c>
      <c r="K97" s="109">
        <v>73</v>
      </c>
      <c r="L97" s="9" t="str">
        <f>IFERROR(MID(VLOOKUP($B97,Seqs!$A:$B,2,0),M97,1),"")</f>
        <v>T</v>
      </c>
      <c r="M97" s="9">
        <v>74</v>
      </c>
      <c r="N97" s="9" t="str">
        <f>IFERROR(MID(VLOOKUP($B97,Seqs!$A:$B,2,0),O97,1),"")</f>
        <v>R</v>
      </c>
      <c r="O97" s="9">
        <v>104</v>
      </c>
      <c r="P97" s="9" t="str">
        <f>IFERROR(MID(VLOOKUP($B97,Seqs!$A:$B,2,0),Q97,1),"")</f>
        <v>T</v>
      </c>
      <c r="Q97" s="9">
        <v>106</v>
      </c>
      <c r="R97" s="9" t="str">
        <f>IFERROR(MID(VLOOKUP($B97,Seqs!$A:$B,2,0),S97,1),"")</f>
        <v>W</v>
      </c>
      <c r="S97" s="9">
        <v>109</v>
      </c>
      <c r="T97" s="9" t="str">
        <f>IFERROR(MID(VLOOKUP($B97,Seqs!$A:$B,2,0),U97,1),"")</f>
        <v>G</v>
      </c>
      <c r="U97" s="9">
        <v>110</v>
      </c>
      <c r="V97" s="9" t="str">
        <f>IFERROR(MID(VLOOKUP($B97,Seqs!$A:$B,2,0),W97,1),"")</f>
        <v>S</v>
      </c>
      <c r="W97" s="9">
        <v>145</v>
      </c>
      <c r="X97" s="9" t="str">
        <f>IFERROR(MID(VLOOKUP($B97,Seqs!$A:$B,2,0),Y97,1),"")</f>
        <v>P</v>
      </c>
      <c r="Y97" s="9">
        <v>146</v>
      </c>
      <c r="Z97" s="9" t="str">
        <f>IFERROR(MID(VLOOKUP($B97,Seqs!$A:$B,2,0),AA97,1),"")</f>
        <v>M</v>
      </c>
      <c r="AA97" s="9">
        <v>153</v>
      </c>
      <c r="AB97" s="9" t="str">
        <f>IFERROR(MID(VLOOKUP($B97,Seqs!$A:$B,2,0),AC97,1),"")</f>
        <v>T</v>
      </c>
      <c r="AC97" s="9">
        <v>154</v>
      </c>
      <c r="AD97" s="9" t="str">
        <f>IFERROR(MID(VLOOKUP($B97,Seqs!$A:$B,2,0),AE97,1),"")</f>
        <v>H</v>
      </c>
      <c r="AE97" s="9">
        <v>180</v>
      </c>
      <c r="AF97" s="9" t="str">
        <f>IFERROR(MID(VLOOKUP($B97,Seqs!$A:$B,2,0),AG97,1),"")</f>
        <v>C</v>
      </c>
      <c r="AG97" s="9">
        <v>199</v>
      </c>
      <c r="AH97" s="9" t="str">
        <f>IFERROR(MID(VLOOKUP($B97,Seqs!$A:$B,2,0),AI97,1),"")</f>
        <v>F</v>
      </c>
      <c r="AI97" s="9">
        <v>201</v>
      </c>
      <c r="AJ97" s="9" t="str">
        <f>IFERROR(MID(VLOOKUP($B97,Seqs!$A:$B,2,0),AK97,1),"")</f>
        <v>N</v>
      </c>
      <c r="AK97" s="9">
        <v>204</v>
      </c>
      <c r="AL97" s="9" t="str">
        <f>IFERROR(MID(VLOOKUP($B97,Seqs!$A:$B,2,0),AM97,1),"")</f>
        <v>S</v>
      </c>
      <c r="AM97" s="9">
        <v>273</v>
      </c>
      <c r="AN97" s="9" t="str">
        <f>IFERROR(MID(VLOOKUP($B97,Seqs!$A:$B,2,0),AO97,1),"")</f>
        <v>A</v>
      </c>
      <c r="AO97" s="9">
        <v>282</v>
      </c>
      <c r="AP97" s="9" t="str">
        <f>IFERROR(MID(VLOOKUP($B97,Seqs!$A:$B,2,0),AQ97,1),"")</f>
        <v>N</v>
      </c>
      <c r="AQ97" s="9">
        <v>316</v>
      </c>
      <c r="AR97" s="9" t="str">
        <f>IFERROR(MID(VLOOKUP($B97,Seqs!$A:$B,2,0),AS97,1),"")</f>
        <v>P</v>
      </c>
      <c r="AS97" s="9">
        <v>321</v>
      </c>
      <c r="AT97" s="9" t="str">
        <f>IFERROR(MID(VLOOKUP($B97,Seqs!$A:$B,2,0),AU97,1),"")</f>
        <v>R</v>
      </c>
      <c r="AU97" s="9">
        <v>345</v>
      </c>
      <c r="AV97" s="9" t="str">
        <f>IFERROR(MID(VLOOKUP($B97,Seqs!$A:$B,2,0),AW97,1),"")</f>
        <v>S</v>
      </c>
      <c r="AW97" s="9">
        <v>346</v>
      </c>
      <c r="AX97" s="9" t="str">
        <f>IFERROR(MID(VLOOKUP($B97,Seqs!$A:$B,2,0),AY97,1),"")</f>
        <v>L</v>
      </c>
      <c r="AY97" s="9">
        <v>357</v>
      </c>
      <c r="AZ97" s="110" t="str">
        <f>VLOOKUP(B97,Classification!A:D,2,0)</f>
        <v>A</v>
      </c>
      <c r="BA97" s="98" t="str">
        <f>VLOOKUP(B97,Classification!A:D,4,0)</f>
        <v>Adrenoceptors</v>
      </c>
      <c r="BB97" s="36" t="b">
        <f t="shared" ref="BB97" si="448">AND(E97&lt;G97,OR(G97&lt;I97,I97="-"),OR(I97&lt;K97,I97="-"),OR(K97&lt;M97,K97="-"),M97&lt;O97,OR(O97&lt;Q97,Q97="-"),OR(Q97&lt;S97,Q97="-"),OR(S97&lt;U97,S97="-"),U97&lt;W97,OR(W97&lt;Y97,Y97="-"),OR(Y97&lt;AA97,Y97="-"),OR(AA97&lt;AC97,AA97="-"),AC97&lt;AE97,OR(AE97&lt;AG97,AG97="-"),OR(AG97&lt;AI97,AG97="-"),OR(AI97&lt;AK97,AI97="-"),AK97&lt;AM97,AM97&lt;AO97,AO97&lt;AQ97,AQ97&lt;AS97,AS97&lt;AU97,OR(AU97&lt;AW97,AW97="-"),OR(AW97&lt;AY97,AW97="-"))</f>
        <v>1</v>
      </c>
      <c r="BC97" s="109">
        <f t="shared" ref="BC97" si="449">_xlfn.AGGREGATE(9,6,CH97:CS97)-_xlfn.AGGREGATE(9,6,BV97:CG97)+12</f>
        <v>285</v>
      </c>
      <c r="BD97" s="13" t="s">
        <v>23</v>
      </c>
      <c r="BE97" s="9" t="s">
        <v>1297</v>
      </c>
      <c r="BF97" s="120">
        <v>2.7</v>
      </c>
      <c r="BG97" s="51" t="s">
        <v>1</v>
      </c>
      <c r="BH97" s="51" t="s">
        <v>1</v>
      </c>
      <c r="BJ97" s="111" t="s">
        <v>1293</v>
      </c>
      <c r="BK97" s="112" t="s">
        <v>1293</v>
      </c>
      <c r="BL97" s="112" t="s">
        <v>1293</v>
      </c>
      <c r="BM97" s="112" t="s">
        <v>1293</v>
      </c>
      <c r="BN97" s="112" t="s">
        <v>1293</v>
      </c>
      <c r="BO97" s="112" t="s">
        <v>1293</v>
      </c>
      <c r="BP97" s="112" t="s">
        <v>1293</v>
      </c>
      <c r="BQ97" s="112" t="s">
        <v>1293</v>
      </c>
      <c r="BR97" s="112" t="s">
        <v>1293</v>
      </c>
      <c r="BS97" s="112" t="s">
        <v>1293</v>
      </c>
      <c r="BT97" s="112" t="s">
        <v>1293</v>
      </c>
      <c r="BU97" s="112" t="s">
        <v>1293</v>
      </c>
      <c r="BV97" s="111">
        <f t="shared" ref="BV97" si="450">E97</f>
        <v>40</v>
      </c>
      <c r="BW97" s="113">
        <f t="shared" ref="BW97" si="451">I97</f>
        <v>70</v>
      </c>
      <c r="BX97" s="114">
        <f t="shared" ref="BX97" si="452">M97</f>
        <v>74</v>
      </c>
      <c r="BY97" s="113">
        <f t="shared" ref="BY97" si="453">Q97</f>
        <v>106</v>
      </c>
      <c r="BZ97" s="114">
        <f t="shared" ref="BZ97" si="454">U97</f>
        <v>110</v>
      </c>
      <c r="CA97" s="113">
        <f t="shared" ref="CA97" si="455">Y97</f>
        <v>146</v>
      </c>
      <c r="CB97" s="114">
        <f t="shared" ref="CB97" si="456">AC97</f>
        <v>154</v>
      </c>
      <c r="CC97" s="113">
        <f t="shared" ref="CC97" si="457">AG97</f>
        <v>199</v>
      </c>
      <c r="CD97" s="114">
        <f t="shared" ref="CD97" si="458">AK97</f>
        <v>204</v>
      </c>
      <c r="CE97" s="113">
        <f t="shared" ref="CE97" si="459">AO97</f>
        <v>282</v>
      </c>
      <c r="CF97" s="114">
        <f t="shared" ref="CF97" si="460">AS97</f>
        <v>321</v>
      </c>
      <c r="CG97" s="113">
        <f t="shared" ref="CG97" si="461">AW97</f>
        <v>346</v>
      </c>
      <c r="CH97" s="111">
        <f t="shared" ref="CH97" si="462">G97</f>
        <v>69</v>
      </c>
      <c r="CI97" s="113">
        <f t="shared" ref="CI97" si="463">K97</f>
        <v>73</v>
      </c>
      <c r="CJ97" s="114">
        <f t="shared" ref="CJ97" si="464">O97</f>
        <v>104</v>
      </c>
      <c r="CK97" s="114">
        <f t="shared" ref="CK97" si="465">S97</f>
        <v>109</v>
      </c>
      <c r="CL97" s="114">
        <f t="shared" ref="CL97" si="466">W97</f>
        <v>145</v>
      </c>
      <c r="CM97" s="114">
        <f t="shared" ref="CM97" si="467">AA97</f>
        <v>153</v>
      </c>
      <c r="CN97" s="114">
        <f t="shared" ref="CN97" si="468">AE97</f>
        <v>180</v>
      </c>
      <c r="CO97" s="114">
        <f t="shared" ref="CO97" si="469">AI97</f>
        <v>201</v>
      </c>
      <c r="CP97" s="114">
        <f t="shared" ref="CP97" si="470">AM97</f>
        <v>273</v>
      </c>
      <c r="CQ97" s="114">
        <f t="shared" ref="CQ97" si="471">AQ97</f>
        <v>316</v>
      </c>
      <c r="CR97" s="114">
        <f t="shared" ref="CR97" si="472">AU97</f>
        <v>345</v>
      </c>
      <c r="CS97" s="114">
        <f t="shared" ref="CS97" si="473">AY97</f>
        <v>357</v>
      </c>
      <c r="CT97" s="109">
        <f t="shared" ref="CT97" si="474">M97-K97</f>
        <v>1</v>
      </c>
    </row>
    <row r="98" spans="1:1029" s="12" customFormat="1" x14ac:dyDescent="0.2">
      <c r="A98" s="9" t="str">
        <f t="shared" ref="A98" si="475">CONCATENATE(B98,"_",C98)</f>
        <v>adrb1_melga_6H7M</v>
      </c>
      <c r="B98" s="9" t="s">
        <v>912</v>
      </c>
      <c r="C98" s="9" t="s">
        <v>1542</v>
      </c>
      <c r="D98" s="9" t="str">
        <f>IFERROR(MID(VLOOKUP($B98,Seqs!$A:$B,2,0),E98,1),"")</f>
        <v>W</v>
      </c>
      <c r="E98" s="9">
        <v>40</v>
      </c>
      <c r="F98" s="9" t="str">
        <f>IFERROR(MID(VLOOKUP($B98,Seqs!$A:$B,2,0),G98,1),"")</f>
        <v>T</v>
      </c>
      <c r="G98" s="9">
        <v>69</v>
      </c>
      <c r="H98" s="9" t="str">
        <f>IFERROR(MID(VLOOKUP($B98,Seqs!$A:$B,2,0),I98,1),"")</f>
        <v>Q</v>
      </c>
      <c r="I98" s="109">
        <v>70</v>
      </c>
      <c r="J98" s="9" t="str">
        <f>IFERROR(MID(VLOOKUP($B98,Seqs!$A:$B,2,0),K98,1),"")</f>
        <v>Q</v>
      </c>
      <c r="K98" s="109">
        <v>73</v>
      </c>
      <c r="L98" s="9" t="str">
        <f>IFERROR(MID(VLOOKUP($B98,Seqs!$A:$B,2,0),M98,1),"")</f>
        <v>T</v>
      </c>
      <c r="M98" s="9">
        <v>74</v>
      </c>
      <c r="N98" s="9" t="str">
        <f>IFERROR(MID(VLOOKUP($B98,Seqs!$A:$B,2,0),O98,1),"")</f>
        <v>R</v>
      </c>
      <c r="O98" s="9">
        <v>104</v>
      </c>
      <c r="P98" s="9" t="str">
        <f>IFERROR(MID(VLOOKUP($B98,Seqs!$A:$B,2,0),Q98,1),"")</f>
        <v>T</v>
      </c>
      <c r="Q98" s="9">
        <v>106</v>
      </c>
      <c r="R98" s="9" t="str">
        <f>IFERROR(MID(VLOOKUP($B98,Seqs!$A:$B,2,0),S98,1),"")</f>
        <v>W</v>
      </c>
      <c r="S98" s="9">
        <v>109</v>
      </c>
      <c r="T98" s="9" t="str">
        <f>IFERROR(MID(VLOOKUP($B98,Seqs!$A:$B,2,0),U98,1),"")</f>
        <v>G</v>
      </c>
      <c r="U98" s="9">
        <v>110</v>
      </c>
      <c r="V98" s="9" t="str">
        <f>IFERROR(MID(VLOOKUP($B98,Seqs!$A:$B,2,0),W98,1),"")</f>
        <v>S</v>
      </c>
      <c r="W98" s="9">
        <v>145</v>
      </c>
      <c r="X98" s="9" t="str">
        <f>IFERROR(MID(VLOOKUP($B98,Seqs!$A:$B,2,0),Y98,1),"")</f>
        <v>P</v>
      </c>
      <c r="Y98" s="9">
        <v>146</v>
      </c>
      <c r="Z98" s="9" t="str">
        <f>IFERROR(MID(VLOOKUP($B98,Seqs!$A:$B,2,0),AA98,1),"")</f>
        <v>M</v>
      </c>
      <c r="AA98" s="9">
        <v>153</v>
      </c>
      <c r="AB98" s="9" t="str">
        <f>IFERROR(MID(VLOOKUP($B98,Seqs!$A:$B,2,0),AC98,1),"")</f>
        <v>T</v>
      </c>
      <c r="AC98" s="9">
        <v>154</v>
      </c>
      <c r="AD98" s="9" t="str">
        <f>IFERROR(MID(VLOOKUP($B98,Seqs!$A:$B,2,0),AE98,1),"")</f>
        <v>H</v>
      </c>
      <c r="AE98" s="9">
        <v>180</v>
      </c>
      <c r="AF98" s="9" t="str">
        <f>IFERROR(MID(VLOOKUP($B98,Seqs!$A:$B,2,0),AG98,1),"")</f>
        <v>C</v>
      </c>
      <c r="AG98" s="9">
        <v>199</v>
      </c>
      <c r="AH98" s="9" t="str">
        <f>IFERROR(MID(VLOOKUP($B98,Seqs!$A:$B,2,0),AI98,1),"")</f>
        <v>F</v>
      </c>
      <c r="AI98" s="9">
        <v>201</v>
      </c>
      <c r="AJ98" s="9" t="str">
        <f>IFERROR(MID(VLOOKUP($B98,Seqs!$A:$B,2,0),AK98,1),"")</f>
        <v>N</v>
      </c>
      <c r="AK98" s="9">
        <v>204</v>
      </c>
      <c r="AL98" s="9" t="str">
        <f>IFERROR(MID(VLOOKUP($B98,Seqs!$A:$B,2,0),AM98,1),"")</f>
        <v>S</v>
      </c>
      <c r="AM98" s="9">
        <v>273</v>
      </c>
      <c r="AN98" s="9" t="str">
        <f>IFERROR(MID(VLOOKUP($B98,Seqs!$A:$B,2,0),AO98,1),"")</f>
        <v>A</v>
      </c>
      <c r="AO98" s="9">
        <v>282</v>
      </c>
      <c r="AP98" s="9" t="str">
        <f>IFERROR(MID(VLOOKUP($B98,Seqs!$A:$B,2,0),AQ98,1),"")</f>
        <v>N</v>
      </c>
      <c r="AQ98" s="9">
        <v>316</v>
      </c>
      <c r="AR98" s="9" t="str">
        <f>IFERROR(MID(VLOOKUP($B98,Seqs!$A:$B,2,0),AS98,1),"")</f>
        <v>P</v>
      </c>
      <c r="AS98" s="9">
        <v>321</v>
      </c>
      <c r="AT98" s="9" t="str">
        <f>IFERROR(MID(VLOOKUP($B98,Seqs!$A:$B,2,0),AU98,1),"")</f>
        <v>R</v>
      </c>
      <c r="AU98" s="9">
        <v>345</v>
      </c>
      <c r="AV98" s="9" t="str">
        <f>IFERROR(MID(VLOOKUP($B98,Seqs!$A:$B,2,0),AW98,1),"")</f>
        <v>S</v>
      </c>
      <c r="AW98" s="9">
        <v>346</v>
      </c>
      <c r="AX98" s="9" t="str">
        <f>IFERROR(MID(VLOOKUP($B98,Seqs!$A:$B,2,0),AY98,1),"")</f>
        <v>L</v>
      </c>
      <c r="AY98" s="9">
        <v>357</v>
      </c>
      <c r="AZ98" s="110" t="str">
        <f>VLOOKUP(B98,Classification!A:D,2,0)</f>
        <v>A</v>
      </c>
      <c r="BA98" s="98" t="str">
        <f>VLOOKUP(B98,Classification!A:D,4,0)</f>
        <v>Adrenoceptors</v>
      </c>
      <c r="BB98" s="36" t="b">
        <f t="shared" ref="BB98" si="476">AND(E98&lt;G98,OR(G98&lt;I98,I98="-"),OR(I98&lt;K98,I98="-"),OR(K98&lt;M98,K98="-"),M98&lt;O98,OR(O98&lt;Q98,Q98="-"),OR(Q98&lt;S98,Q98="-"),OR(S98&lt;U98,S98="-"),U98&lt;W98,OR(W98&lt;Y98,Y98="-"),OR(Y98&lt;AA98,Y98="-"),OR(AA98&lt;AC98,AA98="-"),AC98&lt;AE98,OR(AE98&lt;AG98,AG98="-"),OR(AG98&lt;AI98,AG98="-"),OR(AI98&lt;AK98,AI98="-"),AK98&lt;AM98,AM98&lt;AO98,AO98&lt;AQ98,AQ98&lt;AS98,AS98&lt;AU98,OR(AU98&lt;AW98,AW98="-"),OR(AW98&lt;AY98,AW98="-"))</f>
        <v>1</v>
      </c>
      <c r="BC98" s="109">
        <f t="shared" ref="BC98" si="477">_xlfn.AGGREGATE(9,6,CH98:CS98)-_xlfn.AGGREGATE(9,6,BV98:CG98)+12</f>
        <v>285</v>
      </c>
      <c r="BD98" s="13" t="s">
        <v>23</v>
      </c>
      <c r="BE98" s="9" t="s">
        <v>1297</v>
      </c>
      <c r="BF98" s="120">
        <v>2.76</v>
      </c>
      <c r="BG98" s="51" t="s">
        <v>1</v>
      </c>
      <c r="BH98" s="51" t="s">
        <v>1</v>
      </c>
      <c r="BJ98" s="111" t="s">
        <v>1293</v>
      </c>
      <c r="BK98" s="112" t="s">
        <v>1293</v>
      </c>
      <c r="BL98" s="112" t="s">
        <v>1293</v>
      </c>
      <c r="BM98" s="112" t="s">
        <v>1293</v>
      </c>
      <c r="BN98" s="112" t="s">
        <v>1293</v>
      </c>
      <c r="BO98" s="112" t="s">
        <v>1293</v>
      </c>
      <c r="BP98" s="112" t="s">
        <v>1293</v>
      </c>
      <c r="BQ98" s="112" t="s">
        <v>1293</v>
      </c>
      <c r="BR98" s="112" t="s">
        <v>1293</v>
      </c>
      <c r="BS98" s="112" t="s">
        <v>1293</v>
      </c>
      <c r="BT98" s="112" t="s">
        <v>1293</v>
      </c>
      <c r="BU98" s="112" t="s">
        <v>1293</v>
      </c>
      <c r="BV98" s="111">
        <f t="shared" ref="BV98" si="478">E98</f>
        <v>40</v>
      </c>
      <c r="BW98" s="113">
        <f t="shared" ref="BW98" si="479">I98</f>
        <v>70</v>
      </c>
      <c r="BX98" s="114">
        <f t="shared" ref="BX98" si="480">M98</f>
        <v>74</v>
      </c>
      <c r="BY98" s="113">
        <f t="shared" ref="BY98" si="481">Q98</f>
        <v>106</v>
      </c>
      <c r="BZ98" s="114">
        <f t="shared" ref="BZ98" si="482">U98</f>
        <v>110</v>
      </c>
      <c r="CA98" s="113">
        <f t="shared" ref="CA98" si="483">Y98</f>
        <v>146</v>
      </c>
      <c r="CB98" s="114">
        <f t="shared" ref="CB98" si="484">AC98</f>
        <v>154</v>
      </c>
      <c r="CC98" s="113">
        <f t="shared" ref="CC98" si="485">AG98</f>
        <v>199</v>
      </c>
      <c r="CD98" s="114">
        <f t="shared" ref="CD98" si="486">AK98</f>
        <v>204</v>
      </c>
      <c r="CE98" s="113">
        <f t="shared" ref="CE98" si="487">AO98</f>
        <v>282</v>
      </c>
      <c r="CF98" s="114">
        <f t="shared" ref="CF98" si="488">AS98</f>
        <v>321</v>
      </c>
      <c r="CG98" s="113">
        <f t="shared" ref="CG98" si="489">AW98</f>
        <v>346</v>
      </c>
      <c r="CH98" s="111">
        <f t="shared" ref="CH98" si="490">G98</f>
        <v>69</v>
      </c>
      <c r="CI98" s="113">
        <f t="shared" ref="CI98" si="491">K98</f>
        <v>73</v>
      </c>
      <c r="CJ98" s="114">
        <f t="shared" ref="CJ98" si="492">O98</f>
        <v>104</v>
      </c>
      <c r="CK98" s="114">
        <f t="shared" ref="CK98" si="493">S98</f>
        <v>109</v>
      </c>
      <c r="CL98" s="114">
        <f t="shared" ref="CL98" si="494">W98</f>
        <v>145</v>
      </c>
      <c r="CM98" s="114">
        <f t="shared" ref="CM98" si="495">AA98</f>
        <v>153</v>
      </c>
      <c r="CN98" s="114">
        <f t="shared" ref="CN98" si="496">AE98</f>
        <v>180</v>
      </c>
      <c r="CO98" s="114">
        <f t="shared" ref="CO98" si="497">AI98</f>
        <v>201</v>
      </c>
      <c r="CP98" s="114">
        <f t="shared" ref="CP98" si="498">AM98</f>
        <v>273</v>
      </c>
      <c r="CQ98" s="114">
        <f t="shared" ref="CQ98" si="499">AQ98</f>
        <v>316</v>
      </c>
      <c r="CR98" s="114">
        <f t="shared" ref="CR98" si="500">AU98</f>
        <v>345</v>
      </c>
      <c r="CS98" s="114">
        <f t="shared" ref="CS98" si="501">AY98</f>
        <v>357</v>
      </c>
      <c r="CT98" s="109">
        <f t="shared" ref="CT98" si="502">M98-K98</f>
        <v>1</v>
      </c>
    </row>
    <row r="99" spans="1:1029" s="12" customFormat="1" x14ac:dyDescent="0.2">
      <c r="A99" s="9" t="str">
        <f t="shared" ref="A99" si="503">CONCATENATE(B99,"_",C99)</f>
        <v>adrb1_melga_6H7N</v>
      </c>
      <c r="B99" s="9" t="s">
        <v>912</v>
      </c>
      <c r="C99" s="9" t="s">
        <v>1543</v>
      </c>
      <c r="D99" s="9" t="str">
        <f>IFERROR(MID(VLOOKUP($B99,Seqs!$A:$B,2,0),E99,1),"")</f>
        <v>W</v>
      </c>
      <c r="E99" s="9">
        <v>40</v>
      </c>
      <c r="F99" s="9" t="str">
        <f>IFERROR(MID(VLOOKUP($B99,Seqs!$A:$B,2,0),G99,1),"")</f>
        <v>T</v>
      </c>
      <c r="G99" s="9">
        <v>69</v>
      </c>
      <c r="H99" s="9" t="str">
        <f>IFERROR(MID(VLOOKUP($B99,Seqs!$A:$B,2,0),I99,1),"")</f>
        <v>Q</v>
      </c>
      <c r="I99" s="109">
        <v>70</v>
      </c>
      <c r="J99" s="9" t="str">
        <f>IFERROR(MID(VLOOKUP($B99,Seqs!$A:$B,2,0),K99,1),"")</f>
        <v>Q</v>
      </c>
      <c r="K99" s="109">
        <v>73</v>
      </c>
      <c r="L99" s="9" t="str">
        <f>IFERROR(MID(VLOOKUP($B99,Seqs!$A:$B,2,0),M99,1),"")</f>
        <v>T</v>
      </c>
      <c r="M99" s="9">
        <v>74</v>
      </c>
      <c r="N99" s="9" t="str">
        <f>IFERROR(MID(VLOOKUP($B99,Seqs!$A:$B,2,0),O99,1),"")</f>
        <v>R</v>
      </c>
      <c r="O99" s="9">
        <v>104</v>
      </c>
      <c r="P99" s="9" t="str">
        <f>IFERROR(MID(VLOOKUP($B99,Seqs!$A:$B,2,0),Q99,1),"")</f>
        <v>T</v>
      </c>
      <c r="Q99" s="9">
        <v>106</v>
      </c>
      <c r="R99" s="9" t="str">
        <f>IFERROR(MID(VLOOKUP($B99,Seqs!$A:$B,2,0),S99,1),"")</f>
        <v>W</v>
      </c>
      <c r="S99" s="9">
        <v>109</v>
      </c>
      <c r="T99" s="9" t="str">
        <f>IFERROR(MID(VLOOKUP($B99,Seqs!$A:$B,2,0),U99,1),"")</f>
        <v>G</v>
      </c>
      <c r="U99" s="9">
        <v>110</v>
      </c>
      <c r="V99" s="9" t="str">
        <f>IFERROR(MID(VLOOKUP($B99,Seqs!$A:$B,2,0),W99,1),"")</f>
        <v>S</v>
      </c>
      <c r="W99" s="9">
        <v>145</v>
      </c>
      <c r="X99" s="9" t="str">
        <f>IFERROR(MID(VLOOKUP($B99,Seqs!$A:$B,2,0),Y99,1),"")</f>
        <v>P</v>
      </c>
      <c r="Y99" s="9">
        <v>146</v>
      </c>
      <c r="Z99" s="9" t="str">
        <f>IFERROR(MID(VLOOKUP($B99,Seqs!$A:$B,2,0),AA99,1),"")</f>
        <v>M</v>
      </c>
      <c r="AA99" s="9">
        <v>153</v>
      </c>
      <c r="AB99" s="9" t="str">
        <f>IFERROR(MID(VLOOKUP($B99,Seqs!$A:$B,2,0),AC99,1),"")</f>
        <v>T</v>
      </c>
      <c r="AC99" s="9">
        <v>154</v>
      </c>
      <c r="AD99" s="9" t="str">
        <f>IFERROR(MID(VLOOKUP($B99,Seqs!$A:$B,2,0),AE99,1),"")</f>
        <v>H</v>
      </c>
      <c r="AE99" s="9">
        <v>180</v>
      </c>
      <c r="AF99" s="9" t="str">
        <f>IFERROR(MID(VLOOKUP($B99,Seqs!$A:$B,2,0),AG99,1),"")</f>
        <v>C</v>
      </c>
      <c r="AG99" s="9">
        <v>199</v>
      </c>
      <c r="AH99" s="9" t="str">
        <f>IFERROR(MID(VLOOKUP($B99,Seqs!$A:$B,2,0),AI99,1),"")</f>
        <v>F</v>
      </c>
      <c r="AI99" s="9">
        <v>201</v>
      </c>
      <c r="AJ99" s="9" t="str">
        <f>IFERROR(MID(VLOOKUP($B99,Seqs!$A:$B,2,0),AK99,1),"")</f>
        <v>N</v>
      </c>
      <c r="AK99" s="9">
        <v>204</v>
      </c>
      <c r="AL99" s="9" t="str">
        <f>IFERROR(MID(VLOOKUP($B99,Seqs!$A:$B,2,0),AM99,1),"")</f>
        <v>S</v>
      </c>
      <c r="AM99" s="9">
        <v>273</v>
      </c>
      <c r="AN99" s="9" t="str">
        <f>IFERROR(MID(VLOOKUP($B99,Seqs!$A:$B,2,0),AO99,1),"")</f>
        <v>A</v>
      </c>
      <c r="AO99" s="9">
        <v>282</v>
      </c>
      <c r="AP99" s="9" t="str">
        <f>IFERROR(MID(VLOOKUP($B99,Seqs!$A:$B,2,0),AQ99,1),"")</f>
        <v>N</v>
      </c>
      <c r="AQ99" s="9">
        <v>316</v>
      </c>
      <c r="AR99" s="9" t="str">
        <f>IFERROR(MID(VLOOKUP($B99,Seqs!$A:$B,2,0),AS99,1),"")</f>
        <v>P</v>
      </c>
      <c r="AS99" s="9">
        <v>321</v>
      </c>
      <c r="AT99" s="9" t="str">
        <f>IFERROR(MID(VLOOKUP($B99,Seqs!$A:$B,2,0),AU99,1),"")</f>
        <v>R</v>
      </c>
      <c r="AU99" s="9">
        <v>345</v>
      </c>
      <c r="AV99" s="9" t="str">
        <f>IFERROR(MID(VLOOKUP($B99,Seqs!$A:$B,2,0),AW99,1),"")</f>
        <v>S</v>
      </c>
      <c r="AW99" s="9">
        <v>346</v>
      </c>
      <c r="AX99" s="9" t="str">
        <f>IFERROR(MID(VLOOKUP($B99,Seqs!$A:$B,2,0),AY99,1),"")</f>
        <v>L</v>
      </c>
      <c r="AY99" s="9">
        <v>357</v>
      </c>
      <c r="AZ99" s="110" t="str">
        <f>VLOOKUP(B99,Classification!A:D,2,0)</f>
        <v>A</v>
      </c>
      <c r="BA99" s="98" t="str">
        <f>VLOOKUP(B99,Classification!A:D,4,0)</f>
        <v>Adrenoceptors</v>
      </c>
      <c r="BB99" s="36" t="b">
        <f t="shared" ref="BB99" si="504">AND(E99&lt;G99,OR(G99&lt;I99,I99="-"),OR(I99&lt;K99,I99="-"),OR(K99&lt;M99,K99="-"),M99&lt;O99,OR(O99&lt;Q99,Q99="-"),OR(Q99&lt;S99,Q99="-"),OR(S99&lt;U99,S99="-"),U99&lt;W99,OR(W99&lt;Y99,Y99="-"),OR(Y99&lt;AA99,Y99="-"),OR(AA99&lt;AC99,AA99="-"),AC99&lt;AE99,OR(AE99&lt;AG99,AG99="-"),OR(AG99&lt;AI99,AG99="-"),OR(AI99&lt;AK99,AI99="-"),AK99&lt;AM99,AM99&lt;AO99,AO99&lt;AQ99,AQ99&lt;AS99,AS99&lt;AU99,OR(AU99&lt;AW99,AW99="-"),OR(AW99&lt;AY99,AW99="-"))</f>
        <v>1</v>
      </c>
      <c r="BC99" s="109">
        <f t="shared" ref="BC99" si="505">_xlfn.AGGREGATE(9,6,CH99:CS99)-_xlfn.AGGREGATE(9,6,BV99:CG99)+12</f>
        <v>285</v>
      </c>
      <c r="BD99" s="13" t="s">
        <v>1382</v>
      </c>
      <c r="BE99" s="9" t="s">
        <v>1297</v>
      </c>
      <c r="BF99" s="120">
        <v>2.5</v>
      </c>
      <c r="BG99" s="51" t="s">
        <v>1</v>
      </c>
      <c r="BH99" s="51" t="s">
        <v>1</v>
      </c>
      <c r="BJ99" s="111" t="s">
        <v>1293</v>
      </c>
      <c r="BK99" s="112" t="s">
        <v>1293</v>
      </c>
      <c r="BL99" s="112" t="s">
        <v>1293</v>
      </c>
      <c r="BM99" s="112" t="s">
        <v>1293</v>
      </c>
      <c r="BN99" s="112" t="s">
        <v>1293</v>
      </c>
      <c r="BO99" s="112" t="s">
        <v>1293</v>
      </c>
      <c r="BP99" s="112" t="s">
        <v>1293</v>
      </c>
      <c r="BQ99" s="112" t="s">
        <v>1293</v>
      </c>
      <c r="BR99" s="112" t="s">
        <v>1293</v>
      </c>
      <c r="BS99" s="112" t="s">
        <v>1293</v>
      </c>
      <c r="BT99" s="112" t="s">
        <v>1293</v>
      </c>
      <c r="BU99" s="112" t="s">
        <v>1293</v>
      </c>
      <c r="BV99" s="111">
        <f t="shared" ref="BV99" si="506">E99</f>
        <v>40</v>
      </c>
      <c r="BW99" s="113">
        <f t="shared" ref="BW99" si="507">I99</f>
        <v>70</v>
      </c>
      <c r="BX99" s="114">
        <f t="shared" ref="BX99" si="508">M99</f>
        <v>74</v>
      </c>
      <c r="BY99" s="113">
        <f t="shared" ref="BY99" si="509">Q99</f>
        <v>106</v>
      </c>
      <c r="BZ99" s="114">
        <f t="shared" ref="BZ99" si="510">U99</f>
        <v>110</v>
      </c>
      <c r="CA99" s="113">
        <f t="shared" ref="CA99" si="511">Y99</f>
        <v>146</v>
      </c>
      <c r="CB99" s="114">
        <f t="shared" ref="CB99" si="512">AC99</f>
        <v>154</v>
      </c>
      <c r="CC99" s="113">
        <f t="shared" ref="CC99" si="513">AG99</f>
        <v>199</v>
      </c>
      <c r="CD99" s="114">
        <f t="shared" ref="CD99" si="514">AK99</f>
        <v>204</v>
      </c>
      <c r="CE99" s="113">
        <f t="shared" ref="CE99" si="515">AO99</f>
        <v>282</v>
      </c>
      <c r="CF99" s="114">
        <f t="shared" ref="CF99" si="516">AS99</f>
        <v>321</v>
      </c>
      <c r="CG99" s="113">
        <f t="shared" ref="CG99" si="517">AW99</f>
        <v>346</v>
      </c>
      <c r="CH99" s="111">
        <f t="shared" ref="CH99" si="518">G99</f>
        <v>69</v>
      </c>
      <c r="CI99" s="113">
        <f t="shared" ref="CI99" si="519">K99</f>
        <v>73</v>
      </c>
      <c r="CJ99" s="114">
        <f t="shared" ref="CJ99" si="520">O99</f>
        <v>104</v>
      </c>
      <c r="CK99" s="114">
        <f t="shared" ref="CK99" si="521">S99</f>
        <v>109</v>
      </c>
      <c r="CL99" s="114">
        <f t="shared" ref="CL99" si="522">W99</f>
        <v>145</v>
      </c>
      <c r="CM99" s="114">
        <f t="shared" ref="CM99" si="523">AA99</f>
        <v>153</v>
      </c>
      <c r="CN99" s="114">
        <f t="shared" ref="CN99" si="524">AE99</f>
        <v>180</v>
      </c>
      <c r="CO99" s="114">
        <f t="shared" ref="CO99" si="525">AI99</f>
        <v>201</v>
      </c>
      <c r="CP99" s="114">
        <f t="shared" ref="CP99" si="526">AM99</f>
        <v>273</v>
      </c>
      <c r="CQ99" s="114">
        <f t="shared" ref="CQ99" si="527">AQ99</f>
        <v>316</v>
      </c>
      <c r="CR99" s="114">
        <f t="shared" ref="CR99" si="528">AU99</f>
        <v>345</v>
      </c>
      <c r="CS99" s="114">
        <f t="shared" ref="CS99" si="529">AY99</f>
        <v>357</v>
      </c>
      <c r="CT99" s="109">
        <f t="shared" ref="CT99" si="530">M99-K99</f>
        <v>1</v>
      </c>
    </row>
    <row r="100" spans="1:1029" s="12" customFormat="1" x14ac:dyDescent="0.2">
      <c r="A100" s="9" t="str">
        <f t="shared" ref="A100" si="531">CONCATENATE(B100,"_",C100)</f>
        <v>adrb1_melga_6H7O</v>
      </c>
      <c r="B100" s="9" t="s">
        <v>912</v>
      </c>
      <c r="C100" s="9" t="s">
        <v>1544</v>
      </c>
      <c r="D100" s="9" t="str">
        <f>IFERROR(MID(VLOOKUP($B100,Seqs!$A:$B,2,0),E100,1),"")</f>
        <v>W</v>
      </c>
      <c r="E100" s="9">
        <v>40</v>
      </c>
      <c r="F100" s="9" t="str">
        <f>IFERROR(MID(VLOOKUP($B100,Seqs!$A:$B,2,0),G100,1),"")</f>
        <v>T</v>
      </c>
      <c r="G100" s="9">
        <v>69</v>
      </c>
      <c r="H100" s="9" t="str">
        <f>IFERROR(MID(VLOOKUP($B100,Seqs!$A:$B,2,0),I100,1),"")</f>
        <v>Q</v>
      </c>
      <c r="I100" s="109">
        <v>70</v>
      </c>
      <c r="J100" s="9" t="str">
        <f>IFERROR(MID(VLOOKUP($B100,Seqs!$A:$B,2,0),K100,1),"")</f>
        <v>Q</v>
      </c>
      <c r="K100" s="109">
        <v>73</v>
      </c>
      <c r="L100" s="9" t="str">
        <f>IFERROR(MID(VLOOKUP($B100,Seqs!$A:$B,2,0),M100,1),"")</f>
        <v>T</v>
      </c>
      <c r="M100" s="9">
        <v>74</v>
      </c>
      <c r="N100" s="9" t="str">
        <f>IFERROR(MID(VLOOKUP($B100,Seqs!$A:$B,2,0),O100,1),"")</f>
        <v>R</v>
      </c>
      <c r="O100" s="9">
        <v>104</v>
      </c>
      <c r="P100" s="9" t="str">
        <f>IFERROR(MID(VLOOKUP($B100,Seqs!$A:$B,2,0),Q100,1),"")</f>
        <v>T</v>
      </c>
      <c r="Q100" s="9">
        <v>106</v>
      </c>
      <c r="R100" s="9" t="str">
        <f>IFERROR(MID(VLOOKUP($B100,Seqs!$A:$B,2,0),S100,1),"")</f>
        <v>W</v>
      </c>
      <c r="S100" s="9">
        <v>109</v>
      </c>
      <c r="T100" s="9" t="str">
        <f>IFERROR(MID(VLOOKUP($B100,Seqs!$A:$B,2,0),U100,1),"")</f>
        <v>G</v>
      </c>
      <c r="U100" s="9">
        <v>110</v>
      </c>
      <c r="V100" s="9" t="str">
        <f>IFERROR(MID(VLOOKUP($B100,Seqs!$A:$B,2,0),W100,1),"")</f>
        <v>S</v>
      </c>
      <c r="W100" s="9">
        <v>145</v>
      </c>
      <c r="X100" s="9" t="str">
        <f>IFERROR(MID(VLOOKUP($B100,Seqs!$A:$B,2,0),Y100,1),"")</f>
        <v>P</v>
      </c>
      <c r="Y100" s="9">
        <v>146</v>
      </c>
      <c r="Z100" s="9" t="str">
        <f>IFERROR(MID(VLOOKUP($B100,Seqs!$A:$B,2,0),AA100,1),"")</f>
        <v>M</v>
      </c>
      <c r="AA100" s="9">
        <v>153</v>
      </c>
      <c r="AB100" s="9" t="str">
        <f>IFERROR(MID(VLOOKUP($B100,Seqs!$A:$B,2,0),AC100,1),"")</f>
        <v>T</v>
      </c>
      <c r="AC100" s="9">
        <v>154</v>
      </c>
      <c r="AD100" s="9" t="str">
        <f>IFERROR(MID(VLOOKUP($B100,Seqs!$A:$B,2,0),AE100,1),"")</f>
        <v>H</v>
      </c>
      <c r="AE100" s="9">
        <v>180</v>
      </c>
      <c r="AF100" s="9" t="str">
        <f>IFERROR(MID(VLOOKUP($B100,Seqs!$A:$B,2,0),AG100,1),"")</f>
        <v>C</v>
      </c>
      <c r="AG100" s="9">
        <v>199</v>
      </c>
      <c r="AH100" s="9" t="str">
        <f>IFERROR(MID(VLOOKUP($B100,Seqs!$A:$B,2,0),AI100,1),"")</f>
        <v>F</v>
      </c>
      <c r="AI100" s="9">
        <v>201</v>
      </c>
      <c r="AJ100" s="9" t="str">
        <f>IFERROR(MID(VLOOKUP($B100,Seqs!$A:$B,2,0),AK100,1),"")</f>
        <v>N</v>
      </c>
      <c r="AK100" s="9">
        <v>204</v>
      </c>
      <c r="AL100" s="9" t="str">
        <f>IFERROR(MID(VLOOKUP($B100,Seqs!$A:$B,2,0),AM100,1),"")</f>
        <v>S</v>
      </c>
      <c r="AM100" s="9">
        <v>273</v>
      </c>
      <c r="AN100" s="9" t="str">
        <f>IFERROR(MID(VLOOKUP($B100,Seqs!$A:$B,2,0),AO100,1),"")</f>
        <v>A</v>
      </c>
      <c r="AO100" s="9">
        <v>282</v>
      </c>
      <c r="AP100" s="9" t="str">
        <f>IFERROR(MID(VLOOKUP($B100,Seqs!$A:$B,2,0),AQ100,1),"")</f>
        <v>N</v>
      </c>
      <c r="AQ100" s="9">
        <v>316</v>
      </c>
      <c r="AR100" s="9" t="str">
        <f>IFERROR(MID(VLOOKUP($B100,Seqs!$A:$B,2,0),AS100,1),"")</f>
        <v>P</v>
      </c>
      <c r="AS100" s="9">
        <v>321</v>
      </c>
      <c r="AT100" s="9" t="str">
        <f>IFERROR(MID(VLOOKUP($B100,Seqs!$A:$B,2,0),AU100,1),"")</f>
        <v>R</v>
      </c>
      <c r="AU100" s="9">
        <v>345</v>
      </c>
      <c r="AV100" s="9" t="str">
        <f>IFERROR(MID(VLOOKUP($B100,Seqs!$A:$B,2,0),AW100,1),"")</f>
        <v>S</v>
      </c>
      <c r="AW100" s="9">
        <v>346</v>
      </c>
      <c r="AX100" s="9" t="str">
        <f>IFERROR(MID(VLOOKUP($B100,Seqs!$A:$B,2,0),AY100,1),"")</f>
        <v>L</v>
      </c>
      <c r="AY100" s="9">
        <v>357</v>
      </c>
      <c r="AZ100" s="110" t="str">
        <f>VLOOKUP(B100,Classification!A:D,2,0)</f>
        <v>A</v>
      </c>
      <c r="BA100" s="98" t="str">
        <f>VLOOKUP(B100,Classification!A:D,4,0)</f>
        <v>Adrenoceptors</v>
      </c>
      <c r="BB100" s="36" t="b">
        <f t="shared" ref="BB100" si="532">AND(E100&lt;G100,OR(G100&lt;I100,I100="-"),OR(I100&lt;K100,I100="-"),OR(K100&lt;M100,K100="-"),M100&lt;O100,OR(O100&lt;Q100,Q100="-"),OR(Q100&lt;S100,Q100="-"),OR(S100&lt;U100,S100="-"),U100&lt;W100,OR(W100&lt;Y100,Y100="-"),OR(Y100&lt;AA100,Y100="-"),OR(AA100&lt;AC100,AA100="-"),AC100&lt;AE100,OR(AE100&lt;AG100,AG100="-"),OR(AG100&lt;AI100,AG100="-"),OR(AI100&lt;AK100,AI100="-"),AK100&lt;AM100,AM100&lt;AO100,AO100&lt;AQ100,AQ100&lt;AS100,AS100&lt;AU100,OR(AU100&lt;AW100,AW100="-"),OR(AW100&lt;AY100,AW100="-"))</f>
        <v>1</v>
      </c>
      <c r="BC100" s="109">
        <f t="shared" ref="BC100" si="533">_xlfn.AGGREGATE(9,6,CH100:CS100)-_xlfn.AGGREGATE(9,6,BV100:CG100)+12</f>
        <v>285</v>
      </c>
      <c r="BD100" s="13" t="s">
        <v>23</v>
      </c>
      <c r="BE100" s="9" t="s">
        <v>1297</v>
      </c>
      <c r="BF100" s="120">
        <v>2.8</v>
      </c>
      <c r="BG100" s="51" t="s">
        <v>1</v>
      </c>
      <c r="BH100" s="51" t="s">
        <v>1</v>
      </c>
      <c r="BJ100" s="111" t="s">
        <v>1293</v>
      </c>
      <c r="BK100" s="112" t="s">
        <v>1293</v>
      </c>
      <c r="BL100" s="112" t="s">
        <v>1293</v>
      </c>
      <c r="BM100" s="112" t="s">
        <v>1293</v>
      </c>
      <c r="BN100" s="112" t="s">
        <v>1293</v>
      </c>
      <c r="BO100" s="112" t="s">
        <v>1293</v>
      </c>
      <c r="BP100" s="112" t="s">
        <v>1293</v>
      </c>
      <c r="BQ100" s="112" t="s">
        <v>1293</v>
      </c>
      <c r="BR100" s="112" t="s">
        <v>1293</v>
      </c>
      <c r="BS100" s="112" t="s">
        <v>1293</v>
      </c>
      <c r="BT100" s="112" t="s">
        <v>1293</v>
      </c>
      <c r="BU100" s="112" t="s">
        <v>1293</v>
      </c>
      <c r="BV100" s="111">
        <f t="shared" ref="BV100" si="534">E100</f>
        <v>40</v>
      </c>
      <c r="BW100" s="113">
        <f t="shared" ref="BW100" si="535">I100</f>
        <v>70</v>
      </c>
      <c r="BX100" s="114">
        <f t="shared" ref="BX100" si="536">M100</f>
        <v>74</v>
      </c>
      <c r="BY100" s="113">
        <f t="shared" ref="BY100" si="537">Q100</f>
        <v>106</v>
      </c>
      <c r="BZ100" s="114">
        <f t="shared" ref="BZ100" si="538">U100</f>
        <v>110</v>
      </c>
      <c r="CA100" s="113">
        <f t="shared" ref="CA100" si="539">Y100</f>
        <v>146</v>
      </c>
      <c r="CB100" s="114">
        <f t="shared" ref="CB100" si="540">AC100</f>
        <v>154</v>
      </c>
      <c r="CC100" s="113">
        <f t="shared" ref="CC100" si="541">AG100</f>
        <v>199</v>
      </c>
      <c r="CD100" s="114">
        <f t="shared" ref="CD100" si="542">AK100</f>
        <v>204</v>
      </c>
      <c r="CE100" s="113">
        <f t="shared" ref="CE100" si="543">AO100</f>
        <v>282</v>
      </c>
      <c r="CF100" s="114">
        <f t="shared" ref="CF100" si="544">AS100</f>
        <v>321</v>
      </c>
      <c r="CG100" s="113">
        <f t="shared" ref="CG100" si="545">AW100</f>
        <v>346</v>
      </c>
      <c r="CH100" s="111">
        <f t="shared" ref="CH100" si="546">G100</f>
        <v>69</v>
      </c>
      <c r="CI100" s="113">
        <f t="shared" ref="CI100" si="547">K100</f>
        <v>73</v>
      </c>
      <c r="CJ100" s="114">
        <f t="shared" ref="CJ100" si="548">O100</f>
        <v>104</v>
      </c>
      <c r="CK100" s="114">
        <f t="shared" ref="CK100" si="549">S100</f>
        <v>109</v>
      </c>
      <c r="CL100" s="114">
        <f t="shared" ref="CL100" si="550">W100</f>
        <v>145</v>
      </c>
      <c r="CM100" s="114">
        <f t="shared" ref="CM100" si="551">AA100</f>
        <v>153</v>
      </c>
      <c r="CN100" s="114">
        <f t="shared" ref="CN100" si="552">AE100</f>
        <v>180</v>
      </c>
      <c r="CO100" s="114">
        <f t="shared" ref="CO100" si="553">AI100</f>
        <v>201</v>
      </c>
      <c r="CP100" s="114">
        <f t="shared" ref="CP100" si="554">AM100</f>
        <v>273</v>
      </c>
      <c r="CQ100" s="114">
        <f t="shared" ref="CQ100" si="555">AQ100</f>
        <v>316</v>
      </c>
      <c r="CR100" s="114">
        <f t="shared" ref="CR100" si="556">AU100</f>
        <v>345</v>
      </c>
      <c r="CS100" s="114">
        <f t="shared" ref="CS100" si="557">AY100</f>
        <v>357</v>
      </c>
      <c r="CT100" s="109">
        <f t="shared" ref="CT100" si="558">M100-K100</f>
        <v>1</v>
      </c>
    </row>
    <row r="101" spans="1:1029" x14ac:dyDescent="0.2">
      <c r="A101" s="3" t="str">
        <f t="shared" si="223"/>
        <v>adrb2_human__wt</v>
      </c>
      <c r="B101" s="3" t="s">
        <v>126</v>
      </c>
      <c r="C101" s="3" t="s">
        <v>100</v>
      </c>
      <c r="D101" s="3" t="str">
        <f>IFERROR(MID(VLOOKUP($B101,Seqs!$A:$B,2,0),E101,1),"")</f>
        <v>Q</v>
      </c>
      <c r="E101" s="3">
        <v>26</v>
      </c>
      <c r="F101" s="3" t="str">
        <f>IFERROR(MID(VLOOKUP($B101,Seqs!$A:$B,2,0),G101,1),"")</f>
        <v>F</v>
      </c>
      <c r="G101" s="3">
        <v>61</v>
      </c>
      <c r="H101" s="3" t="str">
        <f>IFERROR(MID(VLOOKUP($B101,Seqs!$A:$B,2,0),I101,1),"")</f>
        <v>E</v>
      </c>
      <c r="I101" s="23">
        <v>62</v>
      </c>
      <c r="J101" s="3" t="str">
        <f>IFERROR(MID(VLOOKUP($B101,Seqs!$A:$B,2,0),K101,1),"")</f>
        <v>Q</v>
      </c>
      <c r="K101" s="23">
        <v>65</v>
      </c>
      <c r="L101" s="3" t="str">
        <f>IFERROR(MID(VLOOKUP($B101,Seqs!$A:$B,2,0),M101,1),"")</f>
        <v>T</v>
      </c>
      <c r="M101" s="3">
        <v>66</v>
      </c>
      <c r="N101" s="3" t="str">
        <f>IFERROR(MID(VLOOKUP($B101,Seqs!$A:$B,2,0),O101,1),"")</f>
        <v>M</v>
      </c>
      <c r="O101" s="3">
        <v>96</v>
      </c>
      <c r="P101" s="3" t="str">
        <f>IFERROR(MID(VLOOKUP($B101,Seqs!$A:$B,2,0),Q101,1),"")</f>
        <v>M</v>
      </c>
      <c r="Q101" s="3">
        <v>98</v>
      </c>
      <c r="R101" s="3" t="str">
        <f>IFERROR(MID(VLOOKUP($B101,Seqs!$A:$B,2,0),S101,1),"")</f>
        <v>F</v>
      </c>
      <c r="S101" s="3">
        <v>101</v>
      </c>
      <c r="T101" s="3" t="str">
        <f>IFERROR(MID(VLOOKUP($B101,Seqs!$A:$B,2,0),U101,1),"")</f>
        <v>G</v>
      </c>
      <c r="U101" s="3">
        <v>102</v>
      </c>
      <c r="V101" s="3" t="str">
        <f>IFERROR(MID(VLOOKUP($B101,Seqs!$A:$B,2,0),W101,1),"")</f>
        <v>S</v>
      </c>
      <c r="W101" s="3">
        <v>137</v>
      </c>
      <c r="X101" s="3" t="str">
        <f>IFERROR(MID(VLOOKUP($B101,Seqs!$A:$B,2,0),Y101,1),"")</f>
        <v>P</v>
      </c>
      <c r="Y101" s="3">
        <v>138</v>
      </c>
      <c r="Z101" s="3" t="str">
        <f>IFERROR(MID(VLOOKUP($B101,Seqs!$A:$B,2,0),AA101,1),"")</f>
        <v>L</v>
      </c>
      <c r="AA101" s="3">
        <v>145</v>
      </c>
      <c r="AB101" s="3" t="str">
        <f>IFERROR(MID(VLOOKUP($B101,Seqs!$A:$B,2,0),AC101,1),"")</f>
        <v>T</v>
      </c>
      <c r="AC101" s="9">
        <v>146</v>
      </c>
      <c r="AD101" s="3" t="str">
        <f>IFERROR(MID(VLOOKUP($B101,Seqs!$A:$B,2,0),AE101,1),"")</f>
        <v>H</v>
      </c>
      <c r="AE101" s="3">
        <v>172</v>
      </c>
      <c r="AF101" s="3" t="str">
        <f>IFERROR(MID(VLOOKUP($B101,Seqs!$A:$B,2,0),AG101,1),"")</f>
        <v>C</v>
      </c>
      <c r="AG101" s="3">
        <v>191</v>
      </c>
      <c r="AH101" s="3" t="str">
        <f>IFERROR(MID(VLOOKUP($B101,Seqs!$A:$B,2,0),AI101,1),"")</f>
        <v>F</v>
      </c>
      <c r="AI101" s="3">
        <v>193</v>
      </c>
      <c r="AJ101" s="3" t="str">
        <f>IFERROR(MID(VLOOKUP($B101,Seqs!$A:$B,2,0),AK101,1),"")</f>
        <v>N</v>
      </c>
      <c r="AK101" s="3">
        <v>196</v>
      </c>
      <c r="AL101" s="3" t="str">
        <f>IFERROR(MID(VLOOKUP($B101,Seqs!$A:$B,2,0),AM101,1),"")</f>
        <v>E</v>
      </c>
      <c r="AM101" s="3">
        <v>237</v>
      </c>
      <c r="AN101" s="3" t="str">
        <f>IFERROR(MID(VLOOKUP($B101,Seqs!$A:$B,2,0),AO101,1),"")</f>
        <v>S</v>
      </c>
      <c r="AO101" s="3">
        <v>262</v>
      </c>
      <c r="AP101" s="3" t="str">
        <f>IFERROR(MID(VLOOKUP($B101,Seqs!$A:$B,2,0),AQ101,1),"")</f>
        <v>Q</v>
      </c>
      <c r="AQ101" s="3">
        <v>299</v>
      </c>
      <c r="AR101" s="3" t="str">
        <f>IFERROR(MID(VLOOKUP($B101,Seqs!$A:$B,2,0),AS101,1),"")</f>
        <v>R</v>
      </c>
      <c r="AS101" s="3">
        <v>304</v>
      </c>
      <c r="AT101" s="3" t="str">
        <f>IFERROR(MID(VLOOKUP($B101,Seqs!$A:$B,2,0),AU101,1),"")</f>
        <v>R</v>
      </c>
      <c r="AU101" s="3">
        <v>328</v>
      </c>
      <c r="AV101" s="3" t="str">
        <f>IFERROR(MID(VLOOKUP($B101,Seqs!$A:$B,2,0),AW101,1),"")</f>
        <v>S</v>
      </c>
      <c r="AW101" s="3">
        <v>329</v>
      </c>
      <c r="AX101" s="3" t="str">
        <f>IFERROR(MID(VLOOKUP($B101,Seqs!$A:$B,2,0),AY101,1),"")</f>
        <v>C</v>
      </c>
      <c r="AY101" s="3">
        <v>341</v>
      </c>
      <c r="AZ101" s="77" t="str">
        <f>VLOOKUP(B101,Classification!A:D,2,0)</f>
        <v>A</v>
      </c>
      <c r="BA101" s="94" t="str">
        <f>VLOOKUP(B101,Classification!A:D,4,0)</f>
        <v>Adrenoceptors</v>
      </c>
      <c r="BB101" s="27" t="b">
        <f t="shared" si="224"/>
        <v>1</v>
      </c>
      <c r="BC101" s="23">
        <f t="shared" si="365"/>
        <v>267</v>
      </c>
      <c r="BD101" s="56" t="s">
        <v>1379</v>
      </c>
      <c r="BE101" s="3" t="s">
        <v>23</v>
      </c>
      <c r="BF101" s="119" t="s">
        <v>23</v>
      </c>
      <c r="BG101" s="49" t="s">
        <v>1379</v>
      </c>
      <c r="BH101" s="49" t="s">
        <v>1384</v>
      </c>
      <c r="BI101" s="3" t="s">
        <v>1166</v>
      </c>
      <c r="BJ101" s="70" t="s">
        <v>1293</v>
      </c>
      <c r="BK101" s="57" t="s">
        <v>1293</v>
      </c>
      <c r="BL101" s="57" t="s">
        <v>1293</v>
      </c>
      <c r="BM101" s="57" t="s">
        <v>1293</v>
      </c>
      <c r="BN101" s="57" t="s">
        <v>1293</v>
      </c>
      <c r="BO101" s="57" t="s">
        <v>1293</v>
      </c>
      <c r="BP101" s="57" t="s">
        <v>1293</v>
      </c>
      <c r="BQ101" s="57" t="s">
        <v>1293</v>
      </c>
      <c r="BR101" s="57" t="s">
        <v>1293</v>
      </c>
      <c r="BS101" s="57" t="s">
        <v>1293</v>
      </c>
      <c r="BT101" s="57" t="s">
        <v>1293</v>
      </c>
      <c r="BU101" s="57" t="s">
        <v>1293</v>
      </c>
      <c r="BV101" s="70">
        <f t="shared" si="366"/>
        <v>26</v>
      </c>
      <c r="BW101" s="71">
        <f t="shared" si="367"/>
        <v>62</v>
      </c>
      <c r="BX101" s="72">
        <f t="shared" si="368"/>
        <v>66</v>
      </c>
      <c r="BY101" s="71">
        <f t="shared" si="369"/>
        <v>98</v>
      </c>
      <c r="BZ101" s="72">
        <f t="shared" si="370"/>
        <v>102</v>
      </c>
      <c r="CA101" s="71">
        <f t="shared" si="371"/>
        <v>138</v>
      </c>
      <c r="CB101" s="72">
        <f t="shared" si="372"/>
        <v>146</v>
      </c>
      <c r="CC101" s="71">
        <f t="shared" si="373"/>
        <v>191</v>
      </c>
      <c r="CD101" s="72">
        <f t="shared" si="374"/>
        <v>196</v>
      </c>
      <c r="CE101" s="71">
        <f t="shared" si="375"/>
        <v>262</v>
      </c>
      <c r="CF101" s="72">
        <f t="shared" si="376"/>
        <v>304</v>
      </c>
      <c r="CG101" s="71">
        <f t="shared" si="377"/>
        <v>329</v>
      </c>
      <c r="CH101" s="70">
        <f t="shared" si="378"/>
        <v>61</v>
      </c>
      <c r="CI101" s="71">
        <f t="shared" si="379"/>
        <v>65</v>
      </c>
      <c r="CJ101" s="72">
        <f t="shared" si="380"/>
        <v>96</v>
      </c>
      <c r="CK101" s="72">
        <f t="shared" si="381"/>
        <v>101</v>
      </c>
      <c r="CL101" s="72">
        <f t="shared" si="382"/>
        <v>137</v>
      </c>
      <c r="CM101" s="72">
        <f t="shared" si="383"/>
        <v>145</v>
      </c>
      <c r="CN101" s="72">
        <f t="shared" si="384"/>
        <v>172</v>
      </c>
      <c r="CO101" s="72">
        <f t="shared" si="385"/>
        <v>193</v>
      </c>
      <c r="CP101" s="72">
        <f t="shared" si="386"/>
        <v>237</v>
      </c>
      <c r="CQ101" s="72">
        <f t="shared" si="387"/>
        <v>299</v>
      </c>
      <c r="CR101" s="72">
        <f t="shared" si="388"/>
        <v>328</v>
      </c>
      <c r="CS101" s="72">
        <f t="shared" si="389"/>
        <v>341</v>
      </c>
      <c r="CT101" s="23">
        <f t="shared" si="390"/>
        <v>1</v>
      </c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  <c r="OK101" s="1"/>
      <c r="OL101" s="1"/>
      <c r="OM101" s="1"/>
      <c r="ON101" s="1"/>
      <c r="OO101" s="1"/>
      <c r="OP101" s="1"/>
      <c r="OQ101" s="1"/>
      <c r="OR101" s="1"/>
      <c r="OS101" s="1"/>
      <c r="OT101" s="1"/>
      <c r="OU101" s="1"/>
      <c r="OV101" s="1"/>
      <c r="OW101" s="1"/>
      <c r="OX101" s="1"/>
      <c r="OY101" s="1"/>
      <c r="OZ101" s="1"/>
      <c r="PA101" s="1"/>
      <c r="PB101" s="1"/>
      <c r="PC101" s="1"/>
      <c r="PD101" s="1"/>
      <c r="PE101" s="1"/>
      <c r="PF101" s="1"/>
      <c r="PG101" s="1"/>
      <c r="PH101" s="1"/>
      <c r="PI101" s="1"/>
      <c r="PJ101" s="1"/>
      <c r="PK101" s="1"/>
      <c r="PL101" s="1"/>
      <c r="PM101" s="1"/>
      <c r="PN101" s="1"/>
      <c r="PO101" s="1"/>
      <c r="PP101" s="1"/>
      <c r="PQ101" s="1"/>
      <c r="PR101" s="1"/>
      <c r="PS101" s="1"/>
      <c r="PT101" s="1"/>
      <c r="PU101" s="1"/>
      <c r="PV101" s="1"/>
      <c r="PW101" s="1"/>
      <c r="PX101" s="1"/>
      <c r="PY101" s="1"/>
      <c r="PZ101" s="1"/>
      <c r="QA101" s="1"/>
      <c r="QB101" s="1"/>
      <c r="QC101" s="1"/>
      <c r="QD101" s="1"/>
      <c r="QE101" s="1"/>
      <c r="QF101" s="1"/>
      <c r="QG101" s="1"/>
      <c r="QH101" s="1"/>
      <c r="QI101" s="1"/>
      <c r="QJ101" s="1"/>
      <c r="QK101" s="1"/>
      <c r="QL101" s="1"/>
      <c r="QM101" s="1"/>
      <c r="QN101" s="1"/>
      <c r="QO101" s="1"/>
      <c r="QP101" s="1"/>
      <c r="QQ101" s="1"/>
      <c r="QR101" s="1"/>
      <c r="QS101" s="1"/>
      <c r="QT101" s="1"/>
      <c r="QU101" s="1"/>
      <c r="QV101" s="1"/>
      <c r="QW101" s="1"/>
      <c r="QX101" s="1"/>
      <c r="QY101" s="1"/>
      <c r="QZ101" s="1"/>
      <c r="RA101" s="1"/>
      <c r="RB101" s="1"/>
      <c r="RC101" s="1"/>
      <c r="RD101" s="1"/>
      <c r="RE101" s="1"/>
      <c r="RF101" s="1"/>
      <c r="RG101" s="1"/>
      <c r="RH101" s="1"/>
      <c r="RI101" s="1"/>
      <c r="RJ101" s="1"/>
      <c r="RK101" s="1"/>
      <c r="RL101" s="1"/>
      <c r="RM101" s="1"/>
      <c r="RN101" s="1"/>
      <c r="RO101" s="1"/>
      <c r="RP101" s="1"/>
      <c r="RQ101" s="1"/>
      <c r="RR101" s="1"/>
      <c r="RS101" s="1"/>
      <c r="RT101" s="1"/>
      <c r="RU101" s="1"/>
      <c r="RV101" s="1"/>
      <c r="RW101" s="1"/>
      <c r="RX101" s="1"/>
      <c r="RY101" s="1"/>
      <c r="RZ101" s="1"/>
      <c r="SA101" s="1"/>
      <c r="SB101" s="1"/>
      <c r="SC101" s="1"/>
      <c r="SD101" s="1"/>
      <c r="SE101" s="1"/>
      <c r="SF101" s="1"/>
      <c r="SG101" s="1"/>
      <c r="SH101" s="1"/>
      <c r="SI101" s="1"/>
      <c r="SJ101" s="1"/>
      <c r="SK101" s="1"/>
      <c r="SL101" s="1"/>
      <c r="SM101" s="1"/>
      <c r="SN101" s="1"/>
      <c r="SO101" s="1"/>
      <c r="SP101" s="1"/>
      <c r="SQ101" s="1"/>
      <c r="SR101" s="1"/>
      <c r="SS101" s="1"/>
      <c r="ST101" s="1"/>
      <c r="SU101" s="1"/>
      <c r="SV101" s="1"/>
      <c r="SW101" s="1"/>
      <c r="SX101" s="1"/>
      <c r="SY101" s="1"/>
      <c r="SZ101" s="1"/>
      <c r="TA101" s="1"/>
      <c r="TB101" s="1"/>
      <c r="TC101" s="1"/>
      <c r="TD101" s="1"/>
      <c r="TE101" s="1"/>
      <c r="TF101" s="1"/>
      <c r="TG101" s="1"/>
      <c r="TH101" s="1"/>
      <c r="TI101" s="1"/>
      <c r="TJ101" s="1"/>
      <c r="TK101" s="1"/>
      <c r="TL101" s="1"/>
      <c r="TM101" s="1"/>
      <c r="TN101" s="1"/>
      <c r="TO101" s="1"/>
      <c r="TP101" s="1"/>
      <c r="TQ101" s="1"/>
      <c r="TR101" s="1"/>
      <c r="TS101" s="1"/>
      <c r="TT101" s="1"/>
      <c r="TU101" s="1"/>
      <c r="TV101" s="1"/>
      <c r="TW101" s="1"/>
      <c r="TX101" s="1"/>
      <c r="TY101" s="1"/>
      <c r="TZ101" s="1"/>
      <c r="UA101" s="1"/>
      <c r="UB101" s="1"/>
      <c r="UC101" s="1"/>
      <c r="UD101" s="1"/>
      <c r="UE101" s="1"/>
      <c r="UF101" s="1"/>
      <c r="UG101" s="1"/>
      <c r="UH101" s="1"/>
      <c r="UI101" s="1"/>
      <c r="UJ101" s="1"/>
      <c r="UK101" s="1"/>
      <c r="UL101" s="1"/>
      <c r="UM101" s="1"/>
      <c r="UN101" s="1"/>
      <c r="UO101" s="1"/>
      <c r="UP101" s="1"/>
      <c r="UQ101" s="1"/>
      <c r="UR101" s="1"/>
      <c r="US101" s="1"/>
      <c r="UT101" s="1"/>
      <c r="UU101" s="1"/>
      <c r="UV101" s="1"/>
      <c r="UW101" s="1"/>
      <c r="UX101" s="1"/>
      <c r="UY101" s="1"/>
      <c r="UZ101" s="1"/>
      <c r="VA101" s="1"/>
      <c r="VB101" s="1"/>
      <c r="VC101" s="1"/>
      <c r="VD101" s="1"/>
      <c r="VE101" s="1"/>
      <c r="VF101" s="1"/>
      <c r="VG101" s="1"/>
      <c r="VH101" s="1"/>
      <c r="VI101" s="1"/>
      <c r="VJ101" s="1"/>
      <c r="VK101" s="1"/>
      <c r="VL101" s="1"/>
      <c r="VM101" s="1"/>
      <c r="VN101" s="1"/>
      <c r="VO101" s="1"/>
      <c r="VP101" s="1"/>
      <c r="VQ101" s="1"/>
      <c r="VR101" s="1"/>
      <c r="VS101" s="1"/>
      <c r="VT101" s="1"/>
      <c r="VU101" s="1"/>
      <c r="VV101" s="1"/>
      <c r="VW101" s="1"/>
      <c r="VX101" s="1"/>
      <c r="VY101" s="1"/>
      <c r="VZ101" s="1"/>
      <c r="WA101" s="1"/>
      <c r="WB101" s="1"/>
      <c r="WC101" s="1"/>
      <c r="WD101" s="1"/>
      <c r="WE101" s="1"/>
      <c r="WF101" s="1"/>
      <c r="WG101" s="1"/>
      <c r="WH101" s="1"/>
      <c r="WI101" s="1"/>
      <c r="WJ101" s="1"/>
      <c r="WK101" s="1"/>
      <c r="WL101" s="1"/>
      <c r="WM101" s="1"/>
      <c r="WN101" s="1"/>
      <c r="WO101" s="1"/>
      <c r="WP101" s="1"/>
      <c r="WQ101" s="1"/>
      <c r="WR101" s="1"/>
      <c r="WS101" s="1"/>
      <c r="WT101" s="1"/>
      <c r="WU101" s="1"/>
      <c r="WV101" s="1"/>
      <c r="WW101" s="1"/>
      <c r="WX101" s="1"/>
      <c r="WY101" s="1"/>
      <c r="WZ101" s="1"/>
      <c r="XA101" s="1"/>
      <c r="XB101" s="1"/>
      <c r="XC101" s="1"/>
      <c r="XD101" s="1"/>
      <c r="XE101" s="1"/>
      <c r="XF101" s="1"/>
      <c r="XG101" s="1"/>
      <c r="XH101" s="1"/>
      <c r="XI101" s="1"/>
      <c r="XJ101" s="1"/>
      <c r="XK101" s="1"/>
      <c r="XL101" s="1"/>
      <c r="XM101" s="1"/>
      <c r="XN101" s="1"/>
      <c r="XO101" s="1"/>
      <c r="XP101" s="1"/>
      <c r="XQ101" s="1"/>
      <c r="XR101" s="1"/>
      <c r="XS101" s="1"/>
      <c r="XT101" s="1"/>
      <c r="XU101" s="1"/>
      <c r="XV101" s="1"/>
      <c r="XW101" s="1"/>
      <c r="XX101" s="1"/>
      <c r="XY101" s="1"/>
      <c r="XZ101" s="1"/>
      <c r="YA101" s="1"/>
      <c r="YB101" s="1"/>
      <c r="YC101" s="1"/>
      <c r="YD101" s="1"/>
      <c r="YE101" s="1"/>
      <c r="YF101" s="1"/>
      <c r="YG101" s="1"/>
      <c r="YH101" s="1"/>
      <c r="YI101" s="1"/>
      <c r="YJ101" s="1"/>
      <c r="YK101" s="1"/>
      <c r="YL101" s="1"/>
      <c r="YM101" s="1"/>
      <c r="YN101" s="1"/>
      <c r="YO101" s="1"/>
      <c r="YP101" s="1"/>
      <c r="YQ101" s="1"/>
      <c r="YR101" s="1"/>
      <c r="YS101" s="1"/>
      <c r="YT101" s="1"/>
      <c r="YU101" s="1"/>
      <c r="YV101" s="1"/>
      <c r="YW101" s="1"/>
      <c r="YX101" s="1"/>
      <c r="YY101" s="1"/>
      <c r="YZ101" s="1"/>
      <c r="ZA101" s="1"/>
      <c r="ZB101" s="1"/>
      <c r="ZC101" s="1"/>
      <c r="ZD101" s="1"/>
      <c r="ZE101" s="1"/>
      <c r="ZF101" s="1"/>
      <c r="ZG101" s="1"/>
      <c r="ZH101" s="1"/>
      <c r="ZI101" s="1"/>
      <c r="ZJ101" s="1"/>
      <c r="ZK101" s="1"/>
      <c r="ZL101" s="1"/>
      <c r="ZM101" s="1"/>
      <c r="ZN101" s="1"/>
      <c r="ZO101" s="1"/>
      <c r="ZP101" s="1"/>
      <c r="ZQ101" s="1"/>
      <c r="ZR101" s="1"/>
      <c r="ZS101" s="1"/>
      <c r="ZT101" s="1"/>
      <c r="ZU101" s="1"/>
      <c r="ZV101" s="1"/>
      <c r="ZW101" s="1"/>
      <c r="ZX101" s="1"/>
      <c r="ZY101" s="1"/>
      <c r="ZZ101" s="1"/>
      <c r="AAA101" s="1"/>
      <c r="AAB101" s="1"/>
      <c r="AAC101" s="1"/>
      <c r="AAD101" s="1"/>
      <c r="AAE101" s="1"/>
      <c r="AAF101" s="1"/>
      <c r="AAG101" s="1"/>
      <c r="AAH101" s="1"/>
      <c r="AAI101" s="1"/>
      <c r="AAJ101" s="1"/>
      <c r="AAK101" s="1"/>
      <c r="AAL101" s="1"/>
      <c r="AAM101" s="1"/>
      <c r="AAN101" s="1"/>
      <c r="AAO101" s="1"/>
      <c r="AAP101" s="1"/>
      <c r="AAQ101" s="1"/>
      <c r="AAR101" s="1"/>
      <c r="AAS101" s="1"/>
      <c r="AAT101" s="1"/>
      <c r="AAU101" s="1"/>
      <c r="AAV101" s="1"/>
      <c r="AAW101" s="1"/>
      <c r="AAX101" s="1"/>
      <c r="AAY101" s="1"/>
      <c r="AAZ101" s="1"/>
      <c r="ABA101" s="1"/>
      <c r="ABB101" s="1"/>
      <c r="ABC101" s="1"/>
      <c r="ABD101" s="1"/>
      <c r="ABE101" s="1"/>
      <c r="ABF101" s="1"/>
      <c r="ABG101" s="1"/>
      <c r="ABH101" s="1"/>
      <c r="ABI101" s="1"/>
      <c r="ABJ101" s="1"/>
      <c r="ABK101" s="1"/>
      <c r="ABL101" s="1"/>
      <c r="ABM101" s="1"/>
      <c r="ABN101" s="1"/>
      <c r="ABO101" s="1"/>
      <c r="ABP101" s="1"/>
      <c r="ABQ101" s="1"/>
      <c r="ABR101" s="1"/>
      <c r="ABS101" s="1"/>
      <c r="ABT101" s="1"/>
      <c r="ABU101" s="1"/>
      <c r="ABV101" s="1"/>
      <c r="ABW101" s="1"/>
      <c r="ABX101" s="1"/>
      <c r="ABY101" s="1"/>
      <c r="ABZ101" s="1"/>
      <c r="ACA101" s="1"/>
      <c r="ACB101" s="1"/>
      <c r="ACC101" s="1"/>
      <c r="ACD101" s="1"/>
      <c r="ACE101" s="1"/>
      <c r="ACF101" s="1"/>
      <c r="ACG101" s="1"/>
      <c r="ACH101" s="1"/>
      <c r="ACI101" s="1"/>
      <c r="ACJ101" s="1"/>
      <c r="ACK101" s="1"/>
      <c r="ACL101" s="1"/>
      <c r="ACM101" s="1"/>
      <c r="ACN101" s="1"/>
      <c r="ACO101" s="1"/>
      <c r="ACP101" s="1"/>
      <c r="ACQ101" s="1"/>
      <c r="ACR101" s="1"/>
      <c r="ACS101" s="1"/>
      <c r="ACT101" s="1"/>
      <c r="ACU101" s="1"/>
      <c r="ACV101" s="1"/>
      <c r="ACW101" s="1"/>
      <c r="ACX101" s="1"/>
      <c r="ACY101" s="1"/>
      <c r="ACZ101" s="1"/>
      <c r="ADA101" s="1"/>
      <c r="ADB101" s="1"/>
      <c r="ADC101" s="1"/>
      <c r="ADD101" s="1"/>
      <c r="ADE101" s="1"/>
      <c r="ADF101" s="1"/>
      <c r="ADG101" s="1"/>
      <c r="ADH101" s="1"/>
      <c r="ADI101" s="1"/>
      <c r="ADJ101" s="1"/>
      <c r="ADK101" s="1"/>
      <c r="ADL101" s="1"/>
      <c r="ADM101" s="1"/>
      <c r="ADN101" s="1"/>
      <c r="ADO101" s="1"/>
      <c r="ADP101" s="1"/>
      <c r="ADQ101" s="1"/>
      <c r="ADR101" s="1"/>
      <c r="ADS101" s="1"/>
      <c r="ADT101" s="1"/>
      <c r="ADU101" s="1"/>
      <c r="ADV101" s="1"/>
      <c r="ADW101" s="1"/>
      <c r="ADX101" s="1"/>
      <c r="ADY101" s="1"/>
      <c r="ADZ101" s="1"/>
      <c r="AEA101" s="1"/>
      <c r="AEB101" s="1"/>
      <c r="AEC101" s="1"/>
      <c r="AED101" s="1"/>
      <c r="AEE101" s="1"/>
      <c r="AEF101" s="1"/>
      <c r="AEG101" s="1"/>
      <c r="AEH101" s="1"/>
      <c r="AEI101" s="1"/>
      <c r="AEJ101" s="1"/>
      <c r="AEK101" s="1"/>
      <c r="AEL101" s="1"/>
      <c r="AEM101" s="1"/>
      <c r="AEN101" s="1"/>
      <c r="AEO101" s="1"/>
      <c r="AEP101" s="1"/>
      <c r="AEQ101" s="1"/>
      <c r="AER101" s="1"/>
      <c r="AES101" s="1"/>
      <c r="AET101" s="1"/>
      <c r="AEU101" s="1"/>
      <c r="AEV101" s="1"/>
      <c r="AEW101" s="1"/>
      <c r="AEX101" s="1"/>
      <c r="AEY101" s="1"/>
      <c r="AEZ101" s="1"/>
      <c r="AFA101" s="1"/>
      <c r="AFB101" s="1"/>
      <c r="AFC101" s="1"/>
      <c r="AFD101" s="1"/>
      <c r="AFE101" s="1"/>
      <c r="AFF101" s="1"/>
      <c r="AFG101" s="1"/>
      <c r="AFH101" s="1"/>
      <c r="AFI101" s="1"/>
      <c r="AFJ101" s="1"/>
      <c r="AFK101" s="1"/>
      <c r="AFL101" s="1"/>
      <c r="AFM101" s="1"/>
      <c r="AFN101" s="1"/>
      <c r="AFO101" s="1"/>
      <c r="AFP101" s="1"/>
      <c r="AFQ101" s="1"/>
      <c r="AFR101" s="1"/>
      <c r="AFS101" s="1"/>
      <c r="AFT101" s="1"/>
      <c r="AFU101" s="1"/>
      <c r="AFV101" s="1"/>
      <c r="AFW101" s="1"/>
      <c r="AFX101" s="1"/>
      <c r="AFY101" s="1"/>
      <c r="AFZ101" s="1"/>
      <c r="AGA101" s="1"/>
      <c r="AGB101" s="1"/>
      <c r="AGC101" s="1"/>
      <c r="AGD101" s="1"/>
      <c r="AGE101" s="1"/>
      <c r="AGF101" s="1"/>
      <c r="AGG101" s="1"/>
      <c r="AGH101" s="1"/>
      <c r="AGI101" s="1"/>
      <c r="AGJ101" s="1"/>
      <c r="AGK101" s="1"/>
      <c r="AGL101" s="1"/>
      <c r="AGM101" s="1"/>
      <c r="AGN101" s="1"/>
      <c r="AGO101" s="1"/>
      <c r="AGP101" s="1"/>
      <c r="AGQ101" s="1"/>
      <c r="AGR101" s="1"/>
      <c r="AGS101" s="1"/>
      <c r="AGT101" s="1"/>
      <c r="AGU101" s="1"/>
      <c r="AGV101" s="1"/>
      <c r="AGW101" s="1"/>
      <c r="AGX101" s="1"/>
      <c r="AGY101" s="1"/>
      <c r="AGZ101" s="1"/>
      <c r="AHA101" s="1"/>
      <c r="AHB101" s="1"/>
      <c r="AHC101" s="1"/>
      <c r="AHD101" s="1"/>
      <c r="AHE101" s="1"/>
      <c r="AHF101" s="1"/>
      <c r="AHG101" s="1"/>
      <c r="AHH101" s="1"/>
      <c r="AHI101" s="1"/>
      <c r="AHJ101" s="1"/>
      <c r="AHK101" s="1"/>
      <c r="AHL101" s="1"/>
      <c r="AHM101" s="1"/>
      <c r="AHN101" s="1"/>
      <c r="AHO101" s="1"/>
      <c r="AHP101" s="1"/>
      <c r="AHQ101" s="1"/>
      <c r="AHR101" s="1"/>
      <c r="AHS101" s="1"/>
      <c r="AHT101" s="1"/>
      <c r="AHU101" s="1"/>
      <c r="AHV101" s="1"/>
      <c r="AHW101" s="1"/>
      <c r="AHX101" s="1"/>
      <c r="AHY101" s="1"/>
      <c r="AHZ101" s="1"/>
      <c r="AIA101" s="1"/>
      <c r="AIB101" s="1"/>
      <c r="AIC101" s="1"/>
      <c r="AID101" s="1"/>
      <c r="AIE101" s="1"/>
      <c r="AIF101" s="1"/>
      <c r="AIG101" s="1"/>
      <c r="AIH101" s="1"/>
      <c r="AII101" s="1"/>
      <c r="AIJ101" s="1"/>
      <c r="AIK101" s="1"/>
      <c r="AIL101" s="1"/>
      <c r="AIM101" s="1"/>
      <c r="AIN101" s="1"/>
      <c r="AIO101" s="1"/>
      <c r="AIP101" s="1"/>
      <c r="AIQ101" s="1"/>
      <c r="AIR101" s="1"/>
      <c r="AIS101" s="1"/>
      <c r="AIT101" s="1"/>
      <c r="AIU101" s="1"/>
      <c r="AIV101" s="1"/>
      <c r="AIW101" s="1"/>
      <c r="AIX101" s="1"/>
      <c r="AIY101" s="1"/>
      <c r="AIZ101" s="1"/>
      <c r="AJA101" s="1"/>
      <c r="AJB101" s="1"/>
      <c r="AJC101" s="1"/>
      <c r="AJD101" s="1"/>
      <c r="AJE101" s="1"/>
      <c r="AJF101" s="1"/>
      <c r="AJG101" s="1"/>
      <c r="AJH101" s="1"/>
      <c r="AJI101" s="1"/>
      <c r="AJJ101" s="1"/>
      <c r="AJK101" s="1"/>
      <c r="AJL101" s="1"/>
      <c r="AJM101" s="1"/>
      <c r="AJN101" s="1"/>
      <c r="AJO101" s="1"/>
      <c r="AJP101" s="1"/>
      <c r="AJQ101" s="1"/>
      <c r="AJR101" s="1"/>
      <c r="AJS101" s="1"/>
      <c r="AJT101" s="1"/>
      <c r="AJU101" s="1"/>
      <c r="AJV101" s="1"/>
      <c r="AJW101" s="1"/>
      <c r="AJX101" s="1"/>
      <c r="AJY101" s="1"/>
      <c r="AJZ101" s="1"/>
      <c r="AKA101" s="1"/>
      <c r="AKB101" s="1"/>
      <c r="AKC101" s="1"/>
      <c r="AKD101" s="1"/>
      <c r="AKE101" s="1"/>
      <c r="AKF101" s="1"/>
      <c r="AKG101" s="1"/>
      <c r="AKH101" s="1"/>
      <c r="AKI101" s="1"/>
      <c r="AKJ101" s="1"/>
      <c r="AKK101" s="1"/>
      <c r="AKL101" s="1"/>
      <c r="AKM101" s="1"/>
      <c r="AKN101" s="1"/>
      <c r="AKO101" s="1"/>
      <c r="AKP101" s="1"/>
      <c r="AKQ101" s="1"/>
      <c r="AKR101" s="1"/>
      <c r="AKS101" s="1"/>
      <c r="AKT101" s="1"/>
      <c r="AKU101" s="1"/>
      <c r="AKV101" s="1"/>
      <c r="AKW101" s="1"/>
      <c r="AKX101" s="1"/>
      <c r="AKY101" s="1"/>
      <c r="AKZ101" s="1"/>
      <c r="ALA101" s="1"/>
      <c r="ALB101" s="1"/>
      <c r="ALC101" s="1"/>
      <c r="ALD101" s="1"/>
      <c r="ALE101" s="1"/>
      <c r="ALF101" s="1"/>
      <c r="ALG101" s="1"/>
      <c r="ALH101" s="1"/>
      <c r="ALI101" s="1"/>
      <c r="ALJ101" s="1"/>
      <c r="ALK101" s="1"/>
      <c r="ALL101" s="1"/>
      <c r="ALM101" s="1"/>
      <c r="ALN101" s="1"/>
      <c r="ALO101" s="1"/>
      <c r="ALP101" s="1"/>
      <c r="ALQ101" s="1"/>
      <c r="ALR101" s="1"/>
      <c r="ALS101" s="1"/>
      <c r="ALT101" s="1"/>
      <c r="ALU101" s="1"/>
      <c r="ALV101" s="1"/>
      <c r="ALW101" s="1"/>
      <c r="ALX101" s="1"/>
      <c r="ALY101" s="1"/>
      <c r="ALZ101" s="1"/>
      <c r="AMA101" s="1"/>
      <c r="AMB101" s="1"/>
      <c r="AMC101" s="1"/>
      <c r="AMD101" s="1"/>
      <c r="AME101" s="1"/>
      <c r="AMF101" s="1"/>
      <c r="AMG101" s="1"/>
      <c r="AMH101" s="1"/>
      <c r="AMI101" s="1"/>
      <c r="AMJ101" s="1"/>
      <c r="AMK101" s="1"/>
      <c r="AML101" s="1"/>
      <c r="AMM101" s="1"/>
      <c r="AMN101" s="1"/>
      <c r="AMO101" s="1"/>
    </row>
    <row r="102" spans="1:1029" x14ac:dyDescent="0.2">
      <c r="A102" s="3" t="str">
        <f t="shared" si="223"/>
        <v>adrb2_human_2RH1</v>
      </c>
      <c r="B102" s="3" t="s">
        <v>126</v>
      </c>
      <c r="C102" s="3" t="s">
        <v>75</v>
      </c>
      <c r="D102" s="3" t="str">
        <f>IFERROR(MID(VLOOKUP($B102,Seqs!$A:$B,2,0),E102,1),"")</f>
        <v>D</v>
      </c>
      <c r="E102" s="3">
        <v>29</v>
      </c>
      <c r="F102" s="3" t="str">
        <f>IFERROR(MID(VLOOKUP($B102,Seqs!$A:$B,2,0),G102,1),"")</f>
        <v>F</v>
      </c>
      <c r="G102" s="3">
        <v>61</v>
      </c>
      <c r="H102" s="3" t="str">
        <f>IFERROR(MID(VLOOKUP($B102,Seqs!$A:$B,2,0),I102,1),"")</f>
        <v>E</v>
      </c>
      <c r="I102" s="23">
        <v>62</v>
      </c>
      <c r="J102" s="3" t="str">
        <f>IFERROR(MID(VLOOKUP($B102,Seqs!$A:$B,2,0),K102,1),"")</f>
        <v>Q</v>
      </c>
      <c r="K102" s="23">
        <v>65</v>
      </c>
      <c r="L102" s="3" t="str">
        <f>IFERROR(MID(VLOOKUP($B102,Seqs!$A:$B,2,0),M102,1),"")</f>
        <v>T</v>
      </c>
      <c r="M102" s="3">
        <v>66</v>
      </c>
      <c r="N102" s="3" t="str">
        <f>IFERROR(MID(VLOOKUP($B102,Seqs!$A:$B,2,0),O102,1),"")</f>
        <v>M</v>
      </c>
      <c r="O102" s="3">
        <v>96</v>
      </c>
      <c r="P102" s="3" t="str">
        <f>IFERROR(MID(VLOOKUP($B102,Seqs!$A:$B,2,0),Q102,1),"")</f>
        <v>M</v>
      </c>
      <c r="Q102" s="3">
        <v>98</v>
      </c>
      <c r="R102" s="3" t="str">
        <f>IFERROR(MID(VLOOKUP($B102,Seqs!$A:$B,2,0),S102,1),"")</f>
        <v>F</v>
      </c>
      <c r="S102" s="3">
        <v>101</v>
      </c>
      <c r="T102" s="3" t="str">
        <f>IFERROR(MID(VLOOKUP($B102,Seqs!$A:$B,2,0),U102,1),"")</f>
        <v>G</v>
      </c>
      <c r="U102" s="3">
        <v>102</v>
      </c>
      <c r="V102" s="3" t="str">
        <f>IFERROR(MID(VLOOKUP($B102,Seqs!$A:$B,2,0),W102,1),"")</f>
        <v>S</v>
      </c>
      <c r="W102" s="3">
        <v>137</v>
      </c>
      <c r="X102" s="3" t="str">
        <f>IFERROR(MID(VLOOKUP($B102,Seqs!$A:$B,2,0),Y102,1),"")</f>
        <v/>
      </c>
      <c r="Y102" s="3" t="s">
        <v>23</v>
      </c>
      <c r="Z102" s="3" t="str">
        <f>IFERROR(MID(VLOOKUP($B102,Seqs!$A:$B,2,0),AA102,1),"")</f>
        <v/>
      </c>
      <c r="AA102" s="3" t="s">
        <v>23</v>
      </c>
      <c r="AB102" s="3" t="str">
        <f>IFERROR(MID(VLOOKUP($B102,Seqs!$A:$B,2,0),AC102,1),"")</f>
        <v>T</v>
      </c>
      <c r="AC102" s="9">
        <v>146</v>
      </c>
      <c r="AD102" s="3" t="str">
        <f>IFERROR(MID(VLOOKUP($B102,Seqs!$A:$B,2,0),AE102,1),"")</f>
        <v>H</v>
      </c>
      <c r="AE102" s="3">
        <v>172</v>
      </c>
      <c r="AF102" s="3" t="str">
        <f>IFERROR(MID(VLOOKUP($B102,Seqs!$A:$B,2,0),AG102,1),"")</f>
        <v>C</v>
      </c>
      <c r="AG102" s="3">
        <v>191</v>
      </c>
      <c r="AH102" s="3" t="str">
        <f>IFERROR(MID(VLOOKUP($B102,Seqs!$A:$B,2,0),AI102,1),"")</f>
        <v>F</v>
      </c>
      <c r="AI102" s="3">
        <v>193</v>
      </c>
      <c r="AJ102" s="3" t="str">
        <f>IFERROR(MID(VLOOKUP($B102,Seqs!$A:$B,2,0),AK102,1),"")</f>
        <v>N</v>
      </c>
      <c r="AK102" s="3">
        <v>196</v>
      </c>
      <c r="AL102" s="3" t="str">
        <f>IFERROR(MID(VLOOKUP($B102,Seqs!$A:$B,2,0),AM102,1),"")</f>
        <v>Q</v>
      </c>
      <c r="AM102" s="3">
        <v>229</v>
      </c>
      <c r="AN102" s="3" t="str">
        <f>IFERROR(MID(VLOOKUP($B102,Seqs!$A:$B,2,0),AO102,1),"")</f>
        <v>K</v>
      </c>
      <c r="AO102" s="3">
        <v>267</v>
      </c>
      <c r="AP102" s="3" t="str">
        <f>IFERROR(MID(VLOOKUP($B102,Seqs!$A:$B,2,0),AQ102,1),"")</f>
        <v>Q</v>
      </c>
      <c r="AQ102" s="3">
        <v>299</v>
      </c>
      <c r="AR102" s="3" t="str">
        <f>IFERROR(MID(VLOOKUP($B102,Seqs!$A:$B,2,0),AS102,1),"")</f>
        <v>R</v>
      </c>
      <c r="AS102" s="3">
        <v>304</v>
      </c>
      <c r="AT102" s="3" t="str">
        <f>IFERROR(MID(VLOOKUP($B102,Seqs!$A:$B,2,0),AU102,1),"")</f>
        <v>R</v>
      </c>
      <c r="AU102" s="3">
        <v>328</v>
      </c>
      <c r="AV102" s="3" t="str">
        <f>IFERROR(MID(VLOOKUP($B102,Seqs!$A:$B,2,0),AW102,1),"")</f>
        <v>S</v>
      </c>
      <c r="AW102" s="3">
        <v>329</v>
      </c>
      <c r="AX102" s="3" t="str">
        <f>IFERROR(MID(VLOOKUP($B102,Seqs!$A:$B,2,0),AY102,1),"")</f>
        <v>C</v>
      </c>
      <c r="AY102" s="3">
        <v>341</v>
      </c>
      <c r="AZ102" s="77" t="str">
        <f>VLOOKUP(B102,Classification!A:D,2,0)</f>
        <v>A</v>
      </c>
      <c r="BA102" s="94" t="str">
        <f>VLOOKUP(B102,Classification!A:D,4,0)</f>
        <v>Adrenoceptors</v>
      </c>
      <c r="BB102" s="27" t="b">
        <f t="shared" si="224"/>
        <v>1</v>
      </c>
      <c r="BC102" s="23">
        <f t="shared" si="365"/>
        <v>244</v>
      </c>
      <c r="BD102" s="4" t="s">
        <v>23</v>
      </c>
      <c r="BE102" s="3" t="s">
        <v>1381</v>
      </c>
      <c r="BF102" s="119">
        <v>2.4</v>
      </c>
      <c r="BG102" s="49" t="s">
        <v>1384</v>
      </c>
      <c r="BH102" s="49" t="s">
        <v>1384</v>
      </c>
      <c r="BI102" s="1"/>
      <c r="BJ102" s="70" t="s">
        <v>1293</v>
      </c>
      <c r="BK102" s="57" t="s">
        <v>1293</v>
      </c>
      <c r="BL102" s="57" t="s">
        <v>1293</v>
      </c>
      <c r="BM102" s="57" t="s">
        <v>1293</v>
      </c>
      <c r="BN102" s="57" t="s">
        <v>1293</v>
      </c>
      <c r="BO102" s="57" t="s">
        <v>1293</v>
      </c>
      <c r="BP102" s="57" t="s">
        <v>1293</v>
      </c>
      <c r="BQ102" s="57" t="s">
        <v>1293</v>
      </c>
      <c r="BR102" s="57" t="s">
        <v>1293</v>
      </c>
      <c r="BS102" s="57" t="s">
        <v>1293</v>
      </c>
      <c r="BT102" s="57" t="s">
        <v>1293</v>
      </c>
      <c r="BU102" s="57" t="s">
        <v>1293</v>
      </c>
      <c r="BV102" s="70">
        <f t="shared" si="366"/>
        <v>29</v>
      </c>
      <c r="BW102" s="71">
        <f t="shared" si="367"/>
        <v>62</v>
      </c>
      <c r="BX102" s="72">
        <f t="shared" si="368"/>
        <v>66</v>
      </c>
      <c r="BY102" s="71">
        <f t="shared" si="369"/>
        <v>98</v>
      </c>
      <c r="BZ102" s="72">
        <f t="shared" si="370"/>
        <v>102</v>
      </c>
      <c r="CA102" s="71" t="str">
        <f t="shared" si="371"/>
        <v>-</v>
      </c>
      <c r="CB102" s="72">
        <f t="shared" si="372"/>
        <v>146</v>
      </c>
      <c r="CC102" s="71">
        <f t="shared" si="373"/>
        <v>191</v>
      </c>
      <c r="CD102" s="72">
        <f t="shared" si="374"/>
        <v>196</v>
      </c>
      <c r="CE102" s="71">
        <f t="shared" si="375"/>
        <v>267</v>
      </c>
      <c r="CF102" s="72">
        <f t="shared" si="376"/>
        <v>304</v>
      </c>
      <c r="CG102" s="71">
        <f t="shared" si="377"/>
        <v>329</v>
      </c>
      <c r="CH102" s="70">
        <f t="shared" si="378"/>
        <v>61</v>
      </c>
      <c r="CI102" s="71">
        <f t="shared" si="379"/>
        <v>65</v>
      </c>
      <c r="CJ102" s="72">
        <f t="shared" si="380"/>
        <v>96</v>
      </c>
      <c r="CK102" s="72">
        <f t="shared" si="381"/>
        <v>101</v>
      </c>
      <c r="CL102" s="72">
        <f t="shared" si="382"/>
        <v>137</v>
      </c>
      <c r="CM102" s="72" t="str">
        <f t="shared" si="383"/>
        <v>-</v>
      </c>
      <c r="CN102" s="72">
        <f t="shared" si="384"/>
        <v>172</v>
      </c>
      <c r="CO102" s="72">
        <f t="shared" si="385"/>
        <v>193</v>
      </c>
      <c r="CP102" s="72">
        <f t="shared" si="386"/>
        <v>229</v>
      </c>
      <c r="CQ102" s="72">
        <f t="shared" si="387"/>
        <v>299</v>
      </c>
      <c r="CR102" s="72">
        <f t="shared" si="388"/>
        <v>328</v>
      </c>
      <c r="CS102" s="72">
        <f t="shared" si="389"/>
        <v>341</v>
      </c>
      <c r="CT102" s="23">
        <f t="shared" si="390"/>
        <v>1</v>
      </c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  <c r="OK102" s="1"/>
      <c r="OL102" s="1"/>
      <c r="OM102" s="1"/>
      <c r="ON102" s="1"/>
      <c r="OO102" s="1"/>
      <c r="OP102" s="1"/>
      <c r="OQ102" s="1"/>
      <c r="OR102" s="1"/>
      <c r="OS102" s="1"/>
      <c r="OT102" s="1"/>
      <c r="OU102" s="1"/>
      <c r="OV102" s="1"/>
      <c r="OW102" s="1"/>
      <c r="OX102" s="1"/>
      <c r="OY102" s="1"/>
      <c r="OZ102" s="1"/>
      <c r="PA102" s="1"/>
      <c r="PB102" s="1"/>
      <c r="PC102" s="1"/>
      <c r="PD102" s="1"/>
      <c r="PE102" s="1"/>
      <c r="PF102" s="1"/>
      <c r="PG102" s="1"/>
      <c r="PH102" s="1"/>
      <c r="PI102" s="1"/>
      <c r="PJ102" s="1"/>
      <c r="PK102" s="1"/>
      <c r="PL102" s="1"/>
      <c r="PM102" s="1"/>
      <c r="PN102" s="1"/>
      <c r="PO102" s="1"/>
      <c r="PP102" s="1"/>
      <c r="PQ102" s="1"/>
      <c r="PR102" s="1"/>
      <c r="PS102" s="1"/>
      <c r="PT102" s="1"/>
      <c r="PU102" s="1"/>
      <c r="PV102" s="1"/>
      <c r="PW102" s="1"/>
      <c r="PX102" s="1"/>
      <c r="PY102" s="1"/>
      <c r="PZ102" s="1"/>
      <c r="QA102" s="1"/>
      <c r="QB102" s="1"/>
      <c r="QC102" s="1"/>
      <c r="QD102" s="1"/>
      <c r="QE102" s="1"/>
      <c r="QF102" s="1"/>
      <c r="QG102" s="1"/>
      <c r="QH102" s="1"/>
      <c r="QI102" s="1"/>
      <c r="QJ102" s="1"/>
      <c r="QK102" s="1"/>
      <c r="QL102" s="1"/>
      <c r="QM102" s="1"/>
      <c r="QN102" s="1"/>
      <c r="QO102" s="1"/>
      <c r="QP102" s="1"/>
      <c r="QQ102" s="1"/>
      <c r="QR102" s="1"/>
      <c r="QS102" s="1"/>
      <c r="QT102" s="1"/>
      <c r="QU102" s="1"/>
      <c r="QV102" s="1"/>
      <c r="QW102" s="1"/>
      <c r="QX102" s="1"/>
      <c r="QY102" s="1"/>
      <c r="QZ102" s="1"/>
      <c r="RA102" s="1"/>
      <c r="RB102" s="1"/>
      <c r="RC102" s="1"/>
      <c r="RD102" s="1"/>
      <c r="RE102" s="1"/>
      <c r="RF102" s="1"/>
      <c r="RG102" s="1"/>
      <c r="RH102" s="1"/>
      <c r="RI102" s="1"/>
      <c r="RJ102" s="1"/>
      <c r="RK102" s="1"/>
      <c r="RL102" s="1"/>
      <c r="RM102" s="1"/>
      <c r="RN102" s="1"/>
      <c r="RO102" s="1"/>
      <c r="RP102" s="1"/>
      <c r="RQ102" s="1"/>
      <c r="RR102" s="1"/>
      <c r="RS102" s="1"/>
      <c r="RT102" s="1"/>
      <c r="RU102" s="1"/>
      <c r="RV102" s="1"/>
      <c r="RW102" s="1"/>
      <c r="RX102" s="1"/>
      <c r="RY102" s="1"/>
      <c r="RZ102" s="1"/>
      <c r="SA102" s="1"/>
      <c r="SB102" s="1"/>
      <c r="SC102" s="1"/>
      <c r="SD102" s="1"/>
      <c r="SE102" s="1"/>
      <c r="SF102" s="1"/>
      <c r="SG102" s="1"/>
      <c r="SH102" s="1"/>
      <c r="SI102" s="1"/>
      <c r="SJ102" s="1"/>
      <c r="SK102" s="1"/>
      <c r="SL102" s="1"/>
      <c r="SM102" s="1"/>
      <c r="SN102" s="1"/>
      <c r="SO102" s="1"/>
      <c r="SP102" s="1"/>
      <c r="SQ102" s="1"/>
      <c r="SR102" s="1"/>
      <c r="SS102" s="1"/>
      <c r="ST102" s="1"/>
      <c r="SU102" s="1"/>
      <c r="SV102" s="1"/>
      <c r="SW102" s="1"/>
      <c r="SX102" s="1"/>
      <c r="SY102" s="1"/>
      <c r="SZ102" s="1"/>
      <c r="TA102" s="1"/>
      <c r="TB102" s="1"/>
      <c r="TC102" s="1"/>
      <c r="TD102" s="1"/>
      <c r="TE102" s="1"/>
      <c r="TF102" s="1"/>
      <c r="TG102" s="1"/>
      <c r="TH102" s="1"/>
      <c r="TI102" s="1"/>
      <c r="TJ102" s="1"/>
      <c r="TK102" s="1"/>
      <c r="TL102" s="1"/>
      <c r="TM102" s="1"/>
      <c r="TN102" s="1"/>
      <c r="TO102" s="1"/>
      <c r="TP102" s="1"/>
      <c r="TQ102" s="1"/>
      <c r="TR102" s="1"/>
      <c r="TS102" s="1"/>
      <c r="TT102" s="1"/>
      <c r="TU102" s="1"/>
      <c r="TV102" s="1"/>
      <c r="TW102" s="1"/>
      <c r="TX102" s="1"/>
      <c r="TY102" s="1"/>
      <c r="TZ102" s="1"/>
      <c r="UA102" s="1"/>
      <c r="UB102" s="1"/>
      <c r="UC102" s="1"/>
      <c r="UD102" s="1"/>
      <c r="UE102" s="1"/>
      <c r="UF102" s="1"/>
      <c r="UG102" s="1"/>
      <c r="UH102" s="1"/>
      <c r="UI102" s="1"/>
      <c r="UJ102" s="1"/>
      <c r="UK102" s="1"/>
      <c r="UL102" s="1"/>
      <c r="UM102" s="1"/>
      <c r="UN102" s="1"/>
      <c r="UO102" s="1"/>
      <c r="UP102" s="1"/>
      <c r="UQ102" s="1"/>
      <c r="UR102" s="1"/>
      <c r="US102" s="1"/>
      <c r="UT102" s="1"/>
      <c r="UU102" s="1"/>
      <c r="UV102" s="1"/>
      <c r="UW102" s="1"/>
      <c r="UX102" s="1"/>
      <c r="UY102" s="1"/>
      <c r="UZ102" s="1"/>
      <c r="VA102" s="1"/>
      <c r="VB102" s="1"/>
      <c r="VC102" s="1"/>
      <c r="VD102" s="1"/>
      <c r="VE102" s="1"/>
      <c r="VF102" s="1"/>
      <c r="VG102" s="1"/>
      <c r="VH102" s="1"/>
      <c r="VI102" s="1"/>
      <c r="VJ102" s="1"/>
      <c r="VK102" s="1"/>
      <c r="VL102" s="1"/>
      <c r="VM102" s="1"/>
      <c r="VN102" s="1"/>
      <c r="VO102" s="1"/>
      <c r="VP102" s="1"/>
      <c r="VQ102" s="1"/>
      <c r="VR102" s="1"/>
      <c r="VS102" s="1"/>
      <c r="VT102" s="1"/>
      <c r="VU102" s="1"/>
      <c r="VV102" s="1"/>
      <c r="VW102" s="1"/>
      <c r="VX102" s="1"/>
      <c r="VY102" s="1"/>
      <c r="VZ102" s="1"/>
      <c r="WA102" s="1"/>
      <c r="WB102" s="1"/>
      <c r="WC102" s="1"/>
      <c r="WD102" s="1"/>
      <c r="WE102" s="1"/>
      <c r="WF102" s="1"/>
      <c r="WG102" s="1"/>
      <c r="WH102" s="1"/>
      <c r="WI102" s="1"/>
      <c r="WJ102" s="1"/>
      <c r="WK102" s="1"/>
      <c r="WL102" s="1"/>
      <c r="WM102" s="1"/>
      <c r="WN102" s="1"/>
      <c r="WO102" s="1"/>
      <c r="WP102" s="1"/>
      <c r="WQ102" s="1"/>
      <c r="WR102" s="1"/>
      <c r="WS102" s="1"/>
      <c r="WT102" s="1"/>
      <c r="WU102" s="1"/>
      <c r="WV102" s="1"/>
      <c r="WW102" s="1"/>
      <c r="WX102" s="1"/>
      <c r="WY102" s="1"/>
      <c r="WZ102" s="1"/>
      <c r="XA102" s="1"/>
      <c r="XB102" s="1"/>
      <c r="XC102" s="1"/>
      <c r="XD102" s="1"/>
      <c r="XE102" s="1"/>
      <c r="XF102" s="1"/>
      <c r="XG102" s="1"/>
      <c r="XH102" s="1"/>
      <c r="XI102" s="1"/>
      <c r="XJ102" s="1"/>
      <c r="XK102" s="1"/>
      <c r="XL102" s="1"/>
      <c r="XM102" s="1"/>
      <c r="XN102" s="1"/>
      <c r="XO102" s="1"/>
      <c r="XP102" s="1"/>
      <c r="XQ102" s="1"/>
      <c r="XR102" s="1"/>
      <c r="XS102" s="1"/>
      <c r="XT102" s="1"/>
      <c r="XU102" s="1"/>
      <c r="XV102" s="1"/>
      <c r="XW102" s="1"/>
      <c r="XX102" s="1"/>
      <c r="XY102" s="1"/>
      <c r="XZ102" s="1"/>
      <c r="YA102" s="1"/>
      <c r="YB102" s="1"/>
      <c r="YC102" s="1"/>
      <c r="YD102" s="1"/>
      <c r="YE102" s="1"/>
      <c r="YF102" s="1"/>
      <c r="YG102" s="1"/>
      <c r="YH102" s="1"/>
      <c r="YI102" s="1"/>
      <c r="YJ102" s="1"/>
      <c r="YK102" s="1"/>
      <c r="YL102" s="1"/>
      <c r="YM102" s="1"/>
      <c r="YN102" s="1"/>
      <c r="YO102" s="1"/>
      <c r="YP102" s="1"/>
      <c r="YQ102" s="1"/>
      <c r="YR102" s="1"/>
      <c r="YS102" s="1"/>
      <c r="YT102" s="1"/>
      <c r="YU102" s="1"/>
      <c r="YV102" s="1"/>
      <c r="YW102" s="1"/>
      <c r="YX102" s="1"/>
      <c r="YY102" s="1"/>
      <c r="YZ102" s="1"/>
      <c r="ZA102" s="1"/>
      <c r="ZB102" s="1"/>
      <c r="ZC102" s="1"/>
      <c r="ZD102" s="1"/>
      <c r="ZE102" s="1"/>
      <c r="ZF102" s="1"/>
      <c r="ZG102" s="1"/>
      <c r="ZH102" s="1"/>
      <c r="ZI102" s="1"/>
      <c r="ZJ102" s="1"/>
      <c r="ZK102" s="1"/>
      <c r="ZL102" s="1"/>
      <c r="ZM102" s="1"/>
      <c r="ZN102" s="1"/>
      <c r="ZO102" s="1"/>
      <c r="ZP102" s="1"/>
      <c r="ZQ102" s="1"/>
      <c r="ZR102" s="1"/>
      <c r="ZS102" s="1"/>
      <c r="ZT102" s="1"/>
      <c r="ZU102" s="1"/>
      <c r="ZV102" s="1"/>
      <c r="ZW102" s="1"/>
      <c r="ZX102" s="1"/>
      <c r="ZY102" s="1"/>
      <c r="ZZ102" s="1"/>
      <c r="AAA102" s="1"/>
      <c r="AAB102" s="1"/>
      <c r="AAC102" s="1"/>
      <c r="AAD102" s="1"/>
      <c r="AAE102" s="1"/>
      <c r="AAF102" s="1"/>
      <c r="AAG102" s="1"/>
      <c r="AAH102" s="1"/>
      <c r="AAI102" s="1"/>
      <c r="AAJ102" s="1"/>
      <c r="AAK102" s="1"/>
      <c r="AAL102" s="1"/>
      <c r="AAM102" s="1"/>
      <c r="AAN102" s="1"/>
      <c r="AAO102" s="1"/>
      <c r="AAP102" s="1"/>
      <c r="AAQ102" s="1"/>
      <c r="AAR102" s="1"/>
      <c r="AAS102" s="1"/>
      <c r="AAT102" s="1"/>
      <c r="AAU102" s="1"/>
      <c r="AAV102" s="1"/>
      <c r="AAW102" s="1"/>
      <c r="AAX102" s="1"/>
      <c r="AAY102" s="1"/>
      <c r="AAZ102" s="1"/>
      <c r="ABA102" s="1"/>
      <c r="ABB102" s="1"/>
      <c r="ABC102" s="1"/>
      <c r="ABD102" s="1"/>
      <c r="ABE102" s="1"/>
      <c r="ABF102" s="1"/>
      <c r="ABG102" s="1"/>
      <c r="ABH102" s="1"/>
      <c r="ABI102" s="1"/>
      <c r="ABJ102" s="1"/>
      <c r="ABK102" s="1"/>
      <c r="ABL102" s="1"/>
      <c r="ABM102" s="1"/>
      <c r="ABN102" s="1"/>
      <c r="ABO102" s="1"/>
      <c r="ABP102" s="1"/>
      <c r="ABQ102" s="1"/>
      <c r="ABR102" s="1"/>
      <c r="ABS102" s="1"/>
      <c r="ABT102" s="1"/>
      <c r="ABU102" s="1"/>
      <c r="ABV102" s="1"/>
      <c r="ABW102" s="1"/>
      <c r="ABX102" s="1"/>
      <c r="ABY102" s="1"/>
      <c r="ABZ102" s="1"/>
      <c r="ACA102" s="1"/>
      <c r="ACB102" s="1"/>
      <c r="ACC102" s="1"/>
      <c r="ACD102" s="1"/>
      <c r="ACE102" s="1"/>
      <c r="ACF102" s="1"/>
      <c r="ACG102" s="1"/>
      <c r="ACH102" s="1"/>
      <c r="ACI102" s="1"/>
      <c r="ACJ102" s="1"/>
      <c r="ACK102" s="1"/>
      <c r="ACL102" s="1"/>
      <c r="ACM102" s="1"/>
      <c r="ACN102" s="1"/>
      <c r="ACO102" s="1"/>
      <c r="ACP102" s="1"/>
      <c r="ACQ102" s="1"/>
      <c r="ACR102" s="1"/>
      <c r="ACS102" s="1"/>
      <c r="ACT102" s="1"/>
      <c r="ACU102" s="1"/>
      <c r="ACV102" s="1"/>
      <c r="ACW102" s="1"/>
      <c r="ACX102" s="1"/>
      <c r="ACY102" s="1"/>
      <c r="ACZ102" s="1"/>
      <c r="ADA102" s="1"/>
      <c r="ADB102" s="1"/>
      <c r="ADC102" s="1"/>
      <c r="ADD102" s="1"/>
      <c r="ADE102" s="1"/>
      <c r="ADF102" s="1"/>
      <c r="ADG102" s="1"/>
      <c r="ADH102" s="1"/>
      <c r="ADI102" s="1"/>
      <c r="ADJ102" s="1"/>
      <c r="ADK102" s="1"/>
      <c r="ADL102" s="1"/>
      <c r="ADM102" s="1"/>
      <c r="ADN102" s="1"/>
      <c r="ADO102" s="1"/>
      <c r="ADP102" s="1"/>
      <c r="ADQ102" s="1"/>
      <c r="ADR102" s="1"/>
      <c r="ADS102" s="1"/>
      <c r="ADT102" s="1"/>
      <c r="ADU102" s="1"/>
      <c r="ADV102" s="1"/>
      <c r="ADW102" s="1"/>
      <c r="ADX102" s="1"/>
      <c r="ADY102" s="1"/>
      <c r="ADZ102" s="1"/>
      <c r="AEA102" s="1"/>
      <c r="AEB102" s="1"/>
      <c r="AEC102" s="1"/>
      <c r="AED102" s="1"/>
      <c r="AEE102" s="1"/>
      <c r="AEF102" s="1"/>
      <c r="AEG102" s="1"/>
      <c r="AEH102" s="1"/>
      <c r="AEI102" s="1"/>
      <c r="AEJ102" s="1"/>
      <c r="AEK102" s="1"/>
      <c r="AEL102" s="1"/>
      <c r="AEM102" s="1"/>
      <c r="AEN102" s="1"/>
      <c r="AEO102" s="1"/>
      <c r="AEP102" s="1"/>
      <c r="AEQ102" s="1"/>
      <c r="AER102" s="1"/>
      <c r="AES102" s="1"/>
      <c r="AET102" s="1"/>
      <c r="AEU102" s="1"/>
      <c r="AEV102" s="1"/>
      <c r="AEW102" s="1"/>
      <c r="AEX102" s="1"/>
      <c r="AEY102" s="1"/>
      <c r="AEZ102" s="1"/>
      <c r="AFA102" s="1"/>
      <c r="AFB102" s="1"/>
      <c r="AFC102" s="1"/>
      <c r="AFD102" s="1"/>
      <c r="AFE102" s="1"/>
      <c r="AFF102" s="1"/>
      <c r="AFG102" s="1"/>
      <c r="AFH102" s="1"/>
      <c r="AFI102" s="1"/>
      <c r="AFJ102" s="1"/>
      <c r="AFK102" s="1"/>
      <c r="AFL102" s="1"/>
      <c r="AFM102" s="1"/>
      <c r="AFN102" s="1"/>
      <c r="AFO102" s="1"/>
      <c r="AFP102" s="1"/>
      <c r="AFQ102" s="1"/>
      <c r="AFR102" s="1"/>
      <c r="AFS102" s="1"/>
      <c r="AFT102" s="1"/>
      <c r="AFU102" s="1"/>
      <c r="AFV102" s="1"/>
      <c r="AFW102" s="1"/>
      <c r="AFX102" s="1"/>
      <c r="AFY102" s="1"/>
      <c r="AFZ102" s="1"/>
      <c r="AGA102" s="1"/>
      <c r="AGB102" s="1"/>
      <c r="AGC102" s="1"/>
      <c r="AGD102" s="1"/>
      <c r="AGE102" s="1"/>
      <c r="AGF102" s="1"/>
      <c r="AGG102" s="1"/>
      <c r="AGH102" s="1"/>
      <c r="AGI102" s="1"/>
      <c r="AGJ102" s="1"/>
      <c r="AGK102" s="1"/>
      <c r="AGL102" s="1"/>
      <c r="AGM102" s="1"/>
      <c r="AGN102" s="1"/>
      <c r="AGO102" s="1"/>
      <c r="AGP102" s="1"/>
      <c r="AGQ102" s="1"/>
      <c r="AGR102" s="1"/>
      <c r="AGS102" s="1"/>
      <c r="AGT102" s="1"/>
      <c r="AGU102" s="1"/>
      <c r="AGV102" s="1"/>
      <c r="AGW102" s="1"/>
      <c r="AGX102" s="1"/>
      <c r="AGY102" s="1"/>
      <c r="AGZ102" s="1"/>
      <c r="AHA102" s="1"/>
      <c r="AHB102" s="1"/>
      <c r="AHC102" s="1"/>
      <c r="AHD102" s="1"/>
      <c r="AHE102" s="1"/>
      <c r="AHF102" s="1"/>
      <c r="AHG102" s="1"/>
      <c r="AHH102" s="1"/>
      <c r="AHI102" s="1"/>
      <c r="AHJ102" s="1"/>
      <c r="AHK102" s="1"/>
      <c r="AHL102" s="1"/>
      <c r="AHM102" s="1"/>
      <c r="AHN102" s="1"/>
      <c r="AHO102" s="1"/>
      <c r="AHP102" s="1"/>
      <c r="AHQ102" s="1"/>
      <c r="AHR102" s="1"/>
      <c r="AHS102" s="1"/>
      <c r="AHT102" s="1"/>
      <c r="AHU102" s="1"/>
      <c r="AHV102" s="1"/>
      <c r="AHW102" s="1"/>
      <c r="AHX102" s="1"/>
      <c r="AHY102" s="1"/>
      <c r="AHZ102" s="1"/>
      <c r="AIA102" s="1"/>
      <c r="AIB102" s="1"/>
      <c r="AIC102" s="1"/>
      <c r="AID102" s="1"/>
      <c r="AIE102" s="1"/>
      <c r="AIF102" s="1"/>
      <c r="AIG102" s="1"/>
      <c r="AIH102" s="1"/>
      <c r="AII102" s="1"/>
      <c r="AIJ102" s="1"/>
      <c r="AIK102" s="1"/>
      <c r="AIL102" s="1"/>
      <c r="AIM102" s="1"/>
      <c r="AIN102" s="1"/>
      <c r="AIO102" s="1"/>
      <c r="AIP102" s="1"/>
      <c r="AIQ102" s="1"/>
      <c r="AIR102" s="1"/>
      <c r="AIS102" s="1"/>
      <c r="AIT102" s="1"/>
      <c r="AIU102" s="1"/>
      <c r="AIV102" s="1"/>
      <c r="AIW102" s="1"/>
      <c r="AIX102" s="1"/>
      <c r="AIY102" s="1"/>
      <c r="AIZ102" s="1"/>
      <c r="AJA102" s="1"/>
      <c r="AJB102" s="1"/>
      <c r="AJC102" s="1"/>
      <c r="AJD102" s="1"/>
      <c r="AJE102" s="1"/>
      <c r="AJF102" s="1"/>
      <c r="AJG102" s="1"/>
      <c r="AJH102" s="1"/>
      <c r="AJI102" s="1"/>
      <c r="AJJ102" s="1"/>
      <c r="AJK102" s="1"/>
      <c r="AJL102" s="1"/>
      <c r="AJM102" s="1"/>
      <c r="AJN102" s="1"/>
      <c r="AJO102" s="1"/>
      <c r="AJP102" s="1"/>
      <c r="AJQ102" s="1"/>
      <c r="AJR102" s="1"/>
      <c r="AJS102" s="1"/>
      <c r="AJT102" s="1"/>
      <c r="AJU102" s="1"/>
      <c r="AJV102" s="1"/>
      <c r="AJW102" s="1"/>
      <c r="AJX102" s="1"/>
      <c r="AJY102" s="1"/>
      <c r="AJZ102" s="1"/>
      <c r="AKA102" s="1"/>
      <c r="AKB102" s="1"/>
      <c r="AKC102" s="1"/>
      <c r="AKD102" s="1"/>
      <c r="AKE102" s="1"/>
      <c r="AKF102" s="1"/>
      <c r="AKG102" s="1"/>
      <c r="AKH102" s="1"/>
      <c r="AKI102" s="1"/>
      <c r="AKJ102" s="1"/>
      <c r="AKK102" s="1"/>
      <c r="AKL102" s="1"/>
      <c r="AKM102" s="1"/>
      <c r="AKN102" s="1"/>
      <c r="AKO102" s="1"/>
      <c r="AKP102" s="1"/>
      <c r="AKQ102" s="1"/>
      <c r="AKR102" s="1"/>
      <c r="AKS102" s="1"/>
      <c r="AKT102" s="1"/>
      <c r="AKU102" s="1"/>
      <c r="AKV102" s="1"/>
      <c r="AKW102" s="1"/>
      <c r="AKX102" s="1"/>
      <c r="AKY102" s="1"/>
      <c r="AKZ102" s="1"/>
      <c r="ALA102" s="1"/>
      <c r="ALB102" s="1"/>
      <c r="ALC102" s="1"/>
      <c r="ALD102" s="1"/>
      <c r="ALE102" s="1"/>
      <c r="ALF102" s="1"/>
      <c r="ALG102" s="1"/>
      <c r="ALH102" s="1"/>
      <c r="ALI102" s="1"/>
      <c r="ALJ102" s="1"/>
      <c r="ALK102" s="1"/>
      <c r="ALL102" s="1"/>
      <c r="ALM102" s="1"/>
      <c r="ALN102" s="1"/>
      <c r="ALO102" s="1"/>
      <c r="ALP102" s="1"/>
      <c r="ALQ102" s="1"/>
      <c r="ALR102" s="1"/>
      <c r="ALS102" s="1"/>
      <c r="ALT102" s="1"/>
      <c r="ALU102" s="1"/>
      <c r="ALV102" s="1"/>
      <c r="ALW102" s="1"/>
      <c r="ALX102" s="1"/>
      <c r="ALY102" s="1"/>
      <c r="ALZ102" s="1"/>
      <c r="AMA102" s="1"/>
      <c r="AMB102" s="1"/>
      <c r="AMC102" s="1"/>
      <c r="AMD102" s="1"/>
      <c r="AME102" s="1"/>
      <c r="AMF102" s="1"/>
      <c r="AMG102" s="1"/>
      <c r="AMH102" s="1"/>
      <c r="AMI102" s="1"/>
      <c r="AMJ102" s="1"/>
      <c r="AMK102" s="1"/>
      <c r="AML102" s="1"/>
      <c r="AMM102" s="1"/>
      <c r="AMN102" s="1"/>
      <c r="AMO102" s="1"/>
    </row>
    <row r="103" spans="1:1029" x14ac:dyDescent="0.2">
      <c r="A103" s="3" t="str">
        <f t="shared" si="223"/>
        <v>adrb2_human_3D4S</v>
      </c>
      <c r="B103" s="3" t="s">
        <v>126</v>
      </c>
      <c r="C103" s="3" t="s">
        <v>76</v>
      </c>
      <c r="D103" s="3" t="str">
        <f>IFERROR(MID(VLOOKUP($B103,Seqs!$A:$B,2,0),E103,1),"")</f>
        <v>W</v>
      </c>
      <c r="E103" s="3">
        <v>32</v>
      </c>
      <c r="F103" s="3" t="str">
        <f>IFERROR(MID(VLOOKUP($B103,Seqs!$A:$B,2,0),G103,1),"")</f>
        <v>F</v>
      </c>
      <c r="G103" s="3">
        <v>61</v>
      </c>
      <c r="H103" s="3" t="str">
        <f>IFERROR(MID(VLOOKUP($B103,Seqs!$A:$B,2,0),I103,1),"")</f>
        <v>E</v>
      </c>
      <c r="I103" s="23">
        <v>62</v>
      </c>
      <c r="J103" s="3" t="str">
        <f>IFERROR(MID(VLOOKUP($B103,Seqs!$A:$B,2,0),K103,1),"")</f>
        <v>Q</v>
      </c>
      <c r="K103" s="23">
        <v>65</v>
      </c>
      <c r="L103" s="3" t="str">
        <f>IFERROR(MID(VLOOKUP($B103,Seqs!$A:$B,2,0),M103,1),"")</f>
        <v>T</v>
      </c>
      <c r="M103" s="3">
        <v>66</v>
      </c>
      <c r="N103" s="3" t="str">
        <f>IFERROR(MID(VLOOKUP($B103,Seqs!$A:$B,2,0),O103,1),"")</f>
        <v>M</v>
      </c>
      <c r="O103" s="3">
        <v>96</v>
      </c>
      <c r="P103" s="3" t="str">
        <f>IFERROR(MID(VLOOKUP($B103,Seqs!$A:$B,2,0),Q103,1),"")</f>
        <v>M</v>
      </c>
      <c r="Q103" s="3">
        <v>98</v>
      </c>
      <c r="R103" s="3" t="str">
        <f>IFERROR(MID(VLOOKUP($B103,Seqs!$A:$B,2,0),S103,1),"")</f>
        <v>F</v>
      </c>
      <c r="S103" s="3">
        <v>101</v>
      </c>
      <c r="T103" s="3" t="str">
        <f>IFERROR(MID(VLOOKUP($B103,Seqs!$A:$B,2,0),U103,1),"")</f>
        <v>G</v>
      </c>
      <c r="U103" s="3">
        <v>102</v>
      </c>
      <c r="V103" s="3" t="str">
        <f>IFERROR(MID(VLOOKUP($B103,Seqs!$A:$B,2,0),W103,1),"")</f>
        <v>S</v>
      </c>
      <c r="W103" s="3">
        <v>137</v>
      </c>
      <c r="X103" s="3" t="str">
        <f>IFERROR(MID(VLOOKUP($B103,Seqs!$A:$B,2,0),Y103,1),"")</f>
        <v/>
      </c>
      <c r="Y103" s="3" t="s">
        <v>23</v>
      </c>
      <c r="Z103" s="3" t="str">
        <f>IFERROR(MID(VLOOKUP($B103,Seqs!$A:$B,2,0),AA103,1),"")</f>
        <v/>
      </c>
      <c r="AA103" s="3" t="s">
        <v>23</v>
      </c>
      <c r="AB103" s="3" t="str">
        <f>IFERROR(MID(VLOOKUP($B103,Seqs!$A:$B,2,0),AC103,1),"")</f>
        <v>T</v>
      </c>
      <c r="AC103" s="9">
        <v>146</v>
      </c>
      <c r="AD103" s="3" t="str">
        <f>IFERROR(MID(VLOOKUP($B103,Seqs!$A:$B,2,0),AE103,1),"")</f>
        <v>H</v>
      </c>
      <c r="AE103" s="3">
        <v>172</v>
      </c>
      <c r="AF103" s="3" t="str">
        <f>IFERROR(MID(VLOOKUP($B103,Seqs!$A:$B,2,0),AG103,1),"")</f>
        <v>C</v>
      </c>
      <c r="AG103" s="3">
        <v>191</v>
      </c>
      <c r="AH103" s="3" t="str">
        <f>IFERROR(MID(VLOOKUP($B103,Seqs!$A:$B,2,0),AI103,1),"")</f>
        <v>F</v>
      </c>
      <c r="AI103" s="3">
        <v>193</v>
      </c>
      <c r="AJ103" s="3" t="str">
        <f>IFERROR(MID(VLOOKUP($B103,Seqs!$A:$B,2,0),AK103,1),"")</f>
        <v>N</v>
      </c>
      <c r="AK103" s="3">
        <v>196</v>
      </c>
      <c r="AL103" s="3" t="str">
        <f>IFERROR(MID(VLOOKUP($B103,Seqs!$A:$B,2,0),AM103,1),"")</f>
        <v>Q</v>
      </c>
      <c r="AM103" s="3">
        <v>229</v>
      </c>
      <c r="AN103" s="3" t="str">
        <f>IFERROR(MID(VLOOKUP($B103,Seqs!$A:$B,2,0),AO103,1),"")</f>
        <v>K</v>
      </c>
      <c r="AO103" s="3">
        <v>267</v>
      </c>
      <c r="AP103" s="3" t="str">
        <f>IFERROR(MID(VLOOKUP($B103,Seqs!$A:$B,2,0),AQ103,1),"")</f>
        <v>Q</v>
      </c>
      <c r="AQ103" s="3">
        <v>299</v>
      </c>
      <c r="AR103" s="3" t="str">
        <f>IFERROR(MID(VLOOKUP($B103,Seqs!$A:$B,2,0),AS103,1),"")</f>
        <v>R</v>
      </c>
      <c r="AS103" s="3">
        <v>304</v>
      </c>
      <c r="AT103" s="3" t="str">
        <f>IFERROR(MID(VLOOKUP($B103,Seqs!$A:$B,2,0),AU103,1),"")</f>
        <v>R</v>
      </c>
      <c r="AU103" s="3">
        <v>328</v>
      </c>
      <c r="AV103" s="3" t="str">
        <f>IFERROR(MID(VLOOKUP($B103,Seqs!$A:$B,2,0),AW103,1),"")</f>
        <v>S</v>
      </c>
      <c r="AW103" s="3">
        <v>329</v>
      </c>
      <c r="AX103" s="3" t="str">
        <f>IFERROR(MID(VLOOKUP($B103,Seqs!$A:$B,2,0),AY103,1),"")</f>
        <v>C</v>
      </c>
      <c r="AY103" s="3">
        <v>341</v>
      </c>
      <c r="AZ103" s="77" t="str">
        <f>VLOOKUP(B103,Classification!A:D,2,0)</f>
        <v>A</v>
      </c>
      <c r="BA103" s="94" t="str">
        <f>VLOOKUP(B103,Classification!A:D,4,0)</f>
        <v>Adrenoceptors</v>
      </c>
      <c r="BB103" s="27" t="b">
        <f t="shared" si="224"/>
        <v>1</v>
      </c>
      <c r="BC103" s="23">
        <f t="shared" si="365"/>
        <v>241</v>
      </c>
      <c r="BD103" s="4" t="s">
        <v>23</v>
      </c>
      <c r="BE103" s="3" t="s">
        <v>1381</v>
      </c>
      <c r="BF103" s="119">
        <v>2.8</v>
      </c>
      <c r="BG103" s="49" t="s">
        <v>1384</v>
      </c>
      <c r="BH103" s="49" t="s">
        <v>1384</v>
      </c>
      <c r="BI103" s="1"/>
      <c r="BJ103" s="70" t="s">
        <v>1293</v>
      </c>
      <c r="BK103" s="57" t="s">
        <v>1293</v>
      </c>
      <c r="BL103" s="57" t="s">
        <v>1293</v>
      </c>
      <c r="BM103" s="57" t="s">
        <v>1293</v>
      </c>
      <c r="BN103" s="57" t="s">
        <v>1293</v>
      </c>
      <c r="BO103" s="57" t="s">
        <v>1293</v>
      </c>
      <c r="BP103" s="57" t="s">
        <v>1293</v>
      </c>
      <c r="BQ103" s="57" t="s">
        <v>1293</v>
      </c>
      <c r="BR103" s="57" t="s">
        <v>1293</v>
      </c>
      <c r="BS103" s="57" t="s">
        <v>1293</v>
      </c>
      <c r="BT103" s="57" t="s">
        <v>1293</v>
      </c>
      <c r="BU103" s="57" t="s">
        <v>1293</v>
      </c>
      <c r="BV103" s="70">
        <f t="shared" si="366"/>
        <v>32</v>
      </c>
      <c r="BW103" s="71">
        <f t="shared" si="367"/>
        <v>62</v>
      </c>
      <c r="BX103" s="72">
        <f t="shared" si="368"/>
        <v>66</v>
      </c>
      <c r="BY103" s="71">
        <f t="shared" si="369"/>
        <v>98</v>
      </c>
      <c r="BZ103" s="72">
        <f t="shared" si="370"/>
        <v>102</v>
      </c>
      <c r="CA103" s="71" t="str">
        <f t="shared" si="371"/>
        <v>-</v>
      </c>
      <c r="CB103" s="72">
        <f t="shared" si="372"/>
        <v>146</v>
      </c>
      <c r="CC103" s="71">
        <f t="shared" si="373"/>
        <v>191</v>
      </c>
      <c r="CD103" s="72">
        <f t="shared" si="374"/>
        <v>196</v>
      </c>
      <c r="CE103" s="71">
        <f t="shared" si="375"/>
        <v>267</v>
      </c>
      <c r="CF103" s="72">
        <f t="shared" si="376"/>
        <v>304</v>
      </c>
      <c r="CG103" s="71">
        <f t="shared" si="377"/>
        <v>329</v>
      </c>
      <c r="CH103" s="70">
        <f t="shared" si="378"/>
        <v>61</v>
      </c>
      <c r="CI103" s="71">
        <f t="shared" si="379"/>
        <v>65</v>
      </c>
      <c r="CJ103" s="72">
        <f t="shared" si="380"/>
        <v>96</v>
      </c>
      <c r="CK103" s="72">
        <f t="shared" si="381"/>
        <v>101</v>
      </c>
      <c r="CL103" s="72">
        <f t="shared" si="382"/>
        <v>137</v>
      </c>
      <c r="CM103" s="72" t="str">
        <f t="shared" si="383"/>
        <v>-</v>
      </c>
      <c r="CN103" s="72">
        <f t="shared" si="384"/>
        <v>172</v>
      </c>
      <c r="CO103" s="72">
        <f t="shared" si="385"/>
        <v>193</v>
      </c>
      <c r="CP103" s="72">
        <f t="shared" si="386"/>
        <v>229</v>
      </c>
      <c r="CQ103" s="72">
        <f t="shared" si="387"/>
        <v>299</v>
      </c>
      <c r="CR103" s="72">
        <f t="shared" si="388"/>
        <v>328</v>
      </c>
      <c r="CS103" s="72">
        <f t="shared" si="389"/>
        <v>341</v>
      </c>
      <c r="CT103" s="23">
        <f t="shared" si="390"/>
        <v>1</v>
      </c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  <c r="OK103" s="1"/>
      <c r="OL103" s="1"/>
      <c r="OM103" s="1"/>
      <c r="ON103" s="1"/>
      <c r="OO103" s="1"/>
      <c r="OP103" s="1"/>
      <c r="OQ103" s="1"/>
      <c r="OR103" s="1"/>
      <c r="OS103" s="1"/>
      <c r="OT103" s="1"/>
      <c r="OU103" s="1"/>
      <c r="OV103" s="1"/>
      <c r="OW103" s="1"/>
      <c r="OX103" s="1"/>
      <c r="OY103" s="1"/>
      <c r="OZ103" s="1"/>
      <c r="PA103" s="1"/>
      <c r="PB103" s="1"/>
      <c r="PC103" s="1"/>
      <c r="PD103" s="1"/>
      <c r="PE103" s="1"/>
      <c r="PF103" s="1"/>
      <c r="PG103" s="1"/>
      <c r="PH103" s="1"/>
      <c r="PI103" s="1"/>
      <c r="PJ103" s="1"/>
      <c r="PK103" s="1"/>
      <c r="PL103" s="1"/>
      <c r="PM103" s="1"/>
      <c r="PN103" s="1"/>
      <c r="PO103" s="1"/>
      <c r="PP103" s="1"/>
      <c r="PQ103" s="1"/>
      <c r="PR103" s="1"/>
      <c r="PS103" s="1"/>
      <c r="PT103" s="1"/>
      <c r="PU103" s="1"/>
      <c r="PV103" s="1"/>
      <c r="PW103" s="1"/>
      <c r="PX103" s="1"/>
      <c r="PY103" s="1"/>
      <c r="PZ103" s="1"/>
      <c r="QA103" s="1"/>
      <c r="QB103" s="1"/>
      <c r="QC103" s="1"/>
      <c r="QD103" s="1"/>
      <c r="QE103" s="1"/>
      <c r="QF103" s="1"/>
      <c r="QG103" s="1"/>
      <c r="QH103" s="1"/>
      <c r="QI103" s="1"/>
      <c r="QJ103" s="1"/>
      <c r="QK103" s="1"/>
      <c r="QL103" s="1"/>
      <c r="QM103" s="1"/>
      <c r="QN103" s="1"/>
      <c r="QO103" s="1"/>
      <c r="QP103" s="1"/>
      <c r="QQ103" s="1"/>
      <c r="QR103" s="1"/>
      <c r="QS103" s="1"/>
      <c r="QT103" s="1"/>
      <c r="QU103" s="1"/>
      <c r="QV103" s="1"/>
      <c r="QW103" s="1"/>
      <c r="QX103" s="1"/>
      <c r="QY103" s="1"/>
      <c r="QZ103" s="1"/>
      <c r="RA103" s="1"/>
      <c r="RB103" s="1"/>
      <c r="RC103" s="1"/>
      <c r="RD103" s="1"/>
      <c r="RE103" s="1"/>
      <c r="RF103" s="1"/>
      <c r="RG103" s="1"/>
      <c r="RH103" s="1"/>
      <c r="RI103" s="1"/>
      <c r="RJ103" s="1"/>
      <c r="RK103" s="1"/>
      <c r="RL103" s="1"/>
      <c r="RM103" s="1"/>
      <c r="RN103" s="1"/>
      <c r="RO103" s="1"/>
      <c r="RP103" s="1"/>
      <c r="RQ103" s="1"/>
      <c r="RR103" s="1"/>
      <c r="RS103" s="1"/>
      <c r="RT103" s="1"/>
      <c r="RU103" s="1"/>
      <c r="RV103" s="1"/>
      <c r="RW103" s="1"/>
      <c r="RX103" s="1"/>
      <c r="RY103" s="1"/>
      <c r="RZ103" s="1"/>
      <c r="SA103" s="1"/>
      <c r="SB103" s="1"/>
      <c r="SC103" s="1"/>
      <c r="SD103" s="1"/>
      <c r="SE103" s="1"/>
      <c r="SF103" s="1"/>
      <c r="SG103" s="1"/>
      <c r="SH103" s="1"/>
      <c r="SI103" s="1"/>
      <c r="SJ103" s="1"/>
      <c r="SK103" s="1"/>
      <c r="SL103" s="1"/>
      <c r="SM103" s="1"/>
      <c r="SN103" s="1"/>
      <c r="SO103" s="1"/>
      <c r="SP103" s="1"/>
      <c r="SQ103" s="1"/>
      <c r="SR103" s="1"/>
      <c r="SS103" s="1"/>
      <c r="ST103" s="1"/>
      <c r="SU103" s="1"/>
      <c r="SV103" s="1"/>
      <c r="SW103" s="1"/>
      <c r="SX103" s="1"/>
      <c r="SY103" s="1"/>
      <c r="SZ103" s="1"/>
      <c r="TA103" s="1"/>
      <c r="TB103" s="1"/>
      <c r="TC103" s="1"/>
      <c r="TD103" s="1"/>
      <c r="TE103" s="1"/>
      <c r="TF103" s="1"/>
      <c r="TG103" s="1"/>
      <c r="TH103" s="1"/>
      <c r="TI103" s="1"/>
      <c r="TJ103" s="1"/>
      <c r="TK103" s="1"/>
      <c r="TL103" s="1"/>
      <c r="TM103" s="1"/>
      <c r="TN103" s="1"/>
      <c r="TO103" s="1"/>
      <c r="TP103" s="1"/>
      <c r="TQ103" s="1"/>
      <c r="TR103" s="1"/>
      <c r="TS103" s="1"/>
      <c r="TT103" s="1"/>
      <c r="TU103" s="1"/>
      <c r="TV103" s="1"/>
      <c r="TW103" s="1"/>
      <c r="TX103" s="1"/>
      <c r="TY103" s="1"/>
      <c r="TZ103" s="1"/>
      <c r="UA103" s="1"/>
      <c r="UB103" s="1"/>
      <c r="UC103" s="1"/>
      <c r="UD103" s="1"/>
      <c r="UE103" s="1"/>
      <c r="UF103" s="1"/>
      <c r="UG103" s="1"/>
      <c r="UH103" s="1"/>
      <c r="UI103" s="1"/>
      <c r="UJ103" s="1"/>
      <c r="UK103" s="1"/>
      <c r="UL103" s="1"/>
      <c r="UM103" s="1"/>
      <c r="UN103" s="1"/>
      <c r="UO103" s="1"/>
      <c r="UP103" s="1"/>
      <c r="UQ103" s="1"/>
      <c r="UR103" s="1"/>
      <c r="US103" s="1"/>
      <c r="UT103" s="1"/>
      <c r="UU103" s="1"/>
      <c r="UV103" s="1"/>
      <c r="UW103" s="1"/>
      <c r="UX103" s="1"/>
      <c r="UY103" s="1"/>
      <c r="UZ103" s="1"/>
      <c r="VA103" s="1"/>
      <c r="VB103" s="1"/>
      <c r="VC103" s="1"/>
      <c r="VD103" s="1"/>
      <c r="VE103" s="1"/>
      <c r="VF103" s="1"/>
      <c r="VG103" s="1"/>
      <c r="VH103" s="1"/>
      <c r="VI103" s="1"/>
      <c r="VJ103" s="1"/>
      <c r="VK103" s="1"/>
      <c r="VL103" s="1"/>
      <c r="VM103" s="1"/>
      <c r="VN103" s="1"/>
      <c r="VO103" s="1"/>
      <c r="VP103" s="1"/>
      <c r="VQ103" s="1"/>
      <c r="VR103" s="1"/>
      <c r="VS103" s="1"/>
      <c r="VT103" s="1"/>
      <c r="VU103" s="1"/>
      <c r="VV103" s="1"/>
      <c r="VW103" s="1"/>
      <c r="VX103" s="1"/>
      <c r="VY103" s="1"/>
      <c r="VZ103" s="1"/>
      <c r="WA103" s="1"/>
      <c r="WB103" s="1"/>
      <c r="WC103" s="1"/>
      <c r="WD103" s="1"/>
      <c r="WE103" s="1"/>
      <c r="WF103" s="1"/>
      <c r="WG103" s="1"/>
      <c r="WH103" s="1"/>
      <c r="WI103" s="1"/>
      <c r="WJ103" s="1"/>
      <c r="WK103" s="1"/>
      <c r="WL103" s="1"/>
      <c r="WM103" s="1"/>
      <c r="WN103" s="1"/>
      <c r="WO103" s="1"/>
      <c r="WP103" s="1"/>
      <c r="WQ103" s="1"/>
      <c r="WR103" s="1"/>
      <c r="WS103" s="1"/>
      <c r="WT103" s="1"/>
      <c r="WU103" s="1"/>
      <c r="WV103" s="1"/>
      <c r="WW103" s="1"/>
      <c r="WX103" s="1"/>
      <c r="WY103" s="1"/>
      <c r="WZ103" s="1"/>
      <c r="XA103" s="1"/>
      <c r="XB103" s="1"/>
      <c r="XC103" s="1"/>
      <c r="XD103" s="1"/>
      <c r="XE103" s="1"/>
      <c r="XF103" s="1"/>
      <c r="XG103" s="1"/>
      <c r="XH103" s="1"/>
      <c r="XI103" s="1"/>
      <c r="XJ103" s="1"/>
      <c r="XK103" s="1"/>
      <c r="XL103" s="1"/>
      <c r="XM103" s="1"/>
      <c r="XN103" s="1"/>
      <c r="XO103" s="1"/>
      <c r="XP103" s="1"/>
      <c r="XQ103" s="1"/>
      <c r="XR103" s="1"/>
      <c r="XS103" s="1"/>
      <c r="XT103" s="1"/>
      <c r="XU103" s="1"/>
      <c r="XV103" s="1"/>
      <c r="XW103" s="1"/>
      <c r="XX103" s="1"/>
      <c r="XY103" s="1"/>
      <c r="XZ103" s="1"/>
      <c r="YA103" s="1"/>
      <c r="YB103" s="1"/>
      <c r="YC103" s="1"/>
      <c r="YD103" s="1"/>
      <c r="YE103" s="1"/>
      <c r="YF103" s="1"/>
      <c r="YG103" s="1"/>
      <c r="YH103" s="1"/>
      <c r="YI103" s="1"/>
      <c r="YJ103" s="1"/>
      <c r="YK103" s="1"/>
      <c r="YL103" s="1"/>
      <c r="YM103" s="1"/>
      <c r="YN103" s="1"/>
      <c r="YO103" s="1"/>
      <c r="YP103" s="1"/>
      <c r="YQ103" s="1"/>
      <c r="YR103" s="1"/>
      <c r="YS103" s="1"/>
      <c r="YT103" s="1"/>
      <c r="YU103" s="1"/>
      <c r="YV103" s="1"/>
      <c r="YW103" s="1"/>
      <c r="YX103" s="1"/>
      <c r="YY103" s="1"/>
      <c r="YZ103" s="1"/>
      <c r="ZA103" s="1"/>
      <c r="ZB103" s="1"/>
      <c r="ZC103" s="1"/>
      <c r="ZD103" s="1"/>
      <c r="ZE103" s="1"/>
      <c r="ZF103" s="1"/>
      <c r="ZG103" s="1"/>
      <c r="ZH103" s="1"/>
      <c r="ZI103" s="1"/>
      <c r="ZJ103" s="1"/>
      <c r="ZK103" s="1"/>
      <c r="ZL103" s="1"/>
      <c r="ZM103" s="1"/>
      <c r="ZN103" s="1"/>
      <c r="ZO103" s="1"/>
      <c r="ZP103" s="1"/>
      <c r="ZQ103" s="1"/>
      <c r="ZR103" s="1"/>
      <c r="ZS103" s="1"/>
      <c r="ZT103" s="1"/>
      <c r="ZU103" s="1"/>
      <c r="ZV103" s="1"/>
      <c r="ZW103" s="1"/>
      <c r="ZX103" s="1"/>
      <c r="ZY103" s="1"/>
      <c r="ZZ103" s="1"/>
      <c r="AAA103" s="1"/>
      <c r="AAB103" s="1"/>
      <c r="AAC103" s="1"/>
      <c r="AAD103" s="1"/>
      <c r="AAE103" s="1"/>
      <c r="AAF103" s="1"/>
      <c r="AAG103" s="1"/>
      <c r="AAH103" s="1"/>
      <c r="AAI103" s="1"/>
      <c r="AAJ103" s="1"/>
      <c r="AAK103" s="1"/>
      <c r="AAL103" s="1"/>
      <c r="AAM103" s="1"/>
      <c r="AAN103" s="1"/>
      <c r="AAO103" s="1"/>
      <c r="AAP103" s="1"/>
      <c r="AAQ103" s="1"/>
      <c r="AAR103" s="1"/>
      <c r="AAS103" s="1"/>
      <c r="AAT103" s="1"/>
      <c r="AAU103" s="1"/>
      <c r="AAV103" s="1"/>
      <c r="AAW103" s="1"/>
      <c r="AAX103" s="1"/>
      <c r="AAY103" s="1"/>
      <c r="AAZ103" s="1"/>
      <c r="ABA103" s="1"/>
      <c r="ABB103" s="1"/>
      <c r="ABC103" s="1"/>
      <c r="ABD103" s="1"/>
      <c r="ABE103" s="1"/>
      <c r="ABF103" s="1"/>
      <c r="ABG103" s="1"/>
      <c r="ABH103" s="1"/>
      <c r="ABI103" s="1"/>
      <c r="ABJ103" s="1"/>
      <c r="ABK103" s="1"/>
      <c r="ABL103" s="1"/>
      <c r="ABM103" s="1"/>
      <c r="ABN103" s="1"/>
      <c r="ABO103" s="1"/>
      <c r="ABP103" s="1"/>
      <c r="ABQ103" s="1"/>
      <c r="ABR103" s="1"/>
      <c r="ABS103" s="1"/>
      <c r="ABT103" s="1"/>
      <c r="ABU103" s="1"/>
      <c r="ABV103" s="1"/>
      <c r="ABW103" s="1"/>
      <c r="ABX103" s="1"/>
      <c r="ABY103" s="1"/>
      <c r="ABZ103" s="1"/>
      <c r="ACA103" s="1"/>
      <c r="ACB103" s="1"/>
      <c r="ACC103" s="1"/>
      <c r="ACD103" s="1"/>
      <c r="ACE103" s="1"/>
      <c r="ACF103" s="1"/>
      <c r="ACG103" s="1"/>
      <c r="ACH103" s="1"/>
      <c r="ACI103" s="1"/>
      <c r="ACJ103" s="1"/>
      <c r="ACK103" s="1"/>
      <c r="ACL103" s="1"/>
      <c r="ACM103" s="1"/>
      <c r="ACN103" s="1"/>
      <c r="ACO103" s="1"/>
      <c r="ACP103" s="1"/>
      <c r="ACQ103" s="1"/>
      <c r="ACR103" s="1"/>
      <c r="ACS103" s="1"/>
      <c r="ACT103" s="1"/>
      <c r="ACU103" s="1"/>
      <c r="ACV103" s="1"/>
      <c r="ACW103" s="1"/>
      <c r="ACX103" s="1"/>
      <c r="ACY103" s="1"/>
      <c r="ACZ103" s="1"/>
      <c r="ADA103" s="1"/>
      <c r="ADB103" s="1"/>
      <c r="ADC103" s="1"/>
      <c r="ADD103" s="1"/>
      <c r="ADE103" s="1"/>
      <c r="ADF103" s="1"/>
      <c r="ADG103" s="1"/>
      <c r="ADH103" s="1"/>
      <c r="ADI103" s="1"/>
      <c r="ADJ103" s="1"/>
      <c r="ADK103" s="1"/>
      <c r="ADL103" s="1"/>
      <c r="ADM103" s="1"/>
      <c r="ADN103" s="1"/>
      <c r="ADO103" s="1"/>
      <c r="ADP103" s="1"/>
      <c r="ADQ103" s="1"/>
      <c r="ADR103" s="1"/>
      <c r="ADS103" s="1"/>
      <c r="ADT103" s="1"/>
      <c r="ADU103" s="1"/>
      <c r="ADV103" s="1"/>
      <c r="ADW103" s="1"/>
      <c r="ADX103" s="1"/>
      <c r="ADY103" s="1"/>
      <c r="ADZ103" s="1"/>
      <c r="AEA103" s="1"/>
      <c r="AEB103" s="1"/>
      <c r="AEC103" s="1"/>
      <c r="AED103" s="1"/>
      <c r="AEE103" s="1"/>
      <c r="AEF103" s="1"/>
      <c r="AEG103" s="1"/>
      <c r="AEH103" s="1"/>
      <c r="AEI103" s="1"/>
      <c r="AEJ103" s="1"/>
      <c r="AEK103" s="1"/>
      <c r="AEL103" s="1"/>
      <c r="AEM103" s="1"/>
      <c r="AEN103" s="1"/>
      <c r="AEO103" s="1"/>
      <c r="AEP103" s="1"/>
      <c r="AEQ103" s="1"/>
      <c r="AER103" s="1"/>
      <c r="AES103" s="1"/>
      <c r="AET103" s="1"/>
      <c r="AEU103" s="1"/>
      <c r="AEV103" s="1"/>
      <c r="AEW103" s="1"/>
      <c r="AEX103" s="1"/>
      <c r="AEY103" s="1"/>
      <c r="AEZ103" s="1"/>
      <c r="AFA103" s="1"/>
      <c r="AFB103" s="1"/>
      <c r="AFC103" s="1"/>
      <c r="AFD103" s="1"/>
      <c r="AFE103" s="1"/>
      <c r="AFF103" s="1"/>
      <c r="AFG103" s="1"/>
      <c r="AFH103" s="1"/>
      <c r="AFI103" s="1"/>
      <c r="AFJ103" s="1"/>
      <c r="AFK103" s="1"/>
      <c r="AFL103" s="1"/>
      <c r="AFM103" s="1"/>
      <c r="AFN103" s="1"/>
      <c r="AFO103" s="1"/>
      <c r="AFP103" s="1"/>
      <c r="AFQ103" s="1"/>
      <c r="AFR103" s="1"/>
      <c r="AFS103" s="1"/>
      <c r="AFT103" s="1"/>
      <c r="AFU103" s="1"/>
      <c r="AFV103" s="1"/>
      <c r="AFW103" s="1"/>
      <c r="AFX103" s="1"/>
      <c r="AFY103" s="1"/>
      <c r="AFZ103" s="1"/>
      <c r="AGA103" s="1"/>
      <c r="AGB103" s="1"/>
      <c r="AGC103" s="1"/>
      <c r="AGD103" s="1"/>
      <c r="AGE103" s="1"/>
      <c r="AGF103" s="1"/>
      <c r="AGG103" s="1"/>
      <c r="AGH103" s="1"/>
      <c r="AGI103" s="1"/>
      <c r="AGJ103" s="1"/>
      <c r="AGK103" s="1"/>
      <c r="AGL103" s="1"/>
      <c r="AGM103" s="1"/>
      <c r="AGN103" s="1"/>
      <c r="AGO103" s="1"/>
      <c r="AGP103" s="1"/>
      <c r="AGQ103" s="1"/>
      <c r="AGR103" s="1"/>
      <c r="AGS103" s="1"/>
      <c r="AGT103" s="1"/>
      <c r="AGU103" s="1"/>
      <c r="AGV103" s="1"/>
      <c r="AGW103" s="1"/>
      <c r="AGX103" s="1"/>
      <c r="AGY103" s="1"/>
      <c r="AGZ103" s="1"/>
      <c r="AHA103" s="1"/>
      <c r="AHB103" s="1"/>
      <c r="AHC103" s="1"/>
      <c r="AHD103" s="1"/>
      <c r="AHE103" s="1"/>
      <c r="AHF103" s="1"/>
      <c r="AHG103" s="1"/>
      <c r="AHH103" s="1"/>
      <c r="AHI103" s="1"/>
      <c r="AHJ103" s="1"/>
      <c r="AHK103" s="1"/>
      <c r="AHL103" s="1"/>
      <c r="AHM103" s="1"/>
      <c r="AHN103" s="1"/>
      <c r="AHO103" s="1"/>
      <c r="AHP103" s="1"/>
      <c r="AHQ103" s="1"/>
      <c r="AHR103" s="1"/>
      <c r="AHS103" s="1"/>
      <c r="AHT103" s="1"/>
      <c r="AHU103" s="1"/>
      <c r="AHV103" s="1"/>
      <c r="AHW103" s="1"/>
      <c r="AHX103" s="1"/>
      <c r="AHY103" s="1"/>
      <c r="AHZ103" s="1"/>
      <c r="AIA103" s="1"/>
      <c r="AIB103" s="1"/>
      <c r="AIC103" s="1"/>
      <c r="AID103" s="1"/>
      <c r="AIE103" s="1"/>
      <c r="AIF103" s="1"/>
      <c r="AIG103" s="1"/>
      <c r="AIH103" s="1"/>
      <c r="AII103" s="1"/>
      <c r="AIJ103" s="1"/>
      <c r="AIK103" s="1"/>
      <c r="AIL103" s="1"/>
      <c r="AIM103" s="1"/>
      <c r="AIN103" s="1"/>
      <c r="AIO103" s="1"/>
      <c r="AIP103" s="1"/>
      <c r="AIQ103" s="1"/>
      <c r="AIR103" s="1"/>
      <c r="AIS103" s="1"/>
      <c r="AIT103" s="1"/>
      <c r="AIU103" s="1"/>
      <c r="AIV103" s="1"/>
      <c r="AIW103" s="1"/>
      <c r="AIX103" s="1"/>
      <c r="AIY103" s="1"/>
      <c r="AIZ103" s="1"/>
      <c r="AJA103" s="1"/>
      <c r="AJB103" s="1"/>
      <c r="AJC103" s="1"/>
      <c r="AJD103" s="1"/>
      <c r="AJE103" s="1"/>
      <c r="AJF103" s="1"/>
      <c r="AJG103" s="1"/>
      <c r="AJH103" s="1"/>
      <c r="AJI103" s="1"/>
      <c r="AJJ103" s="1"/>
      <c r="AJK103" s="1"/>
      <c r="AJL103" s="1"/>
      <c r="AJM103" s="1"/>
      <c r="AJN103" s="1"/>
      <c r="AJO103" s="1"/>
      <c r="AJP103" s="1"/>
      <c r="AJQ103" s="1"/>
      <c r="AJR103" s="1"/>
      <c r="AJS103" s="1"/>
      <c r="AJT103" s="1"/>
      <c r="AJU103" s="1"/>
      <c r="AJV103" s="1"/>
      <c r="AJW103" s="1"/>
      <c r="AJX103" s="1"/>
      <c r="AJY103" s="1"/>
      <c r="AJZ103" s="1"/>
      <c r="AKA103" s="1"/>
      <c r="AKB103" s="1"/>
      <c r="AKC103" s="1"/>
      <c r="AKD103" s="1"/>
      <c r="AKE103" s="1"/>
      <c r="AKF103" s="1"/>
      <c r="AKG103" s="1"/>
      <c r="AKH103" s="1"/>
      <c r="AKI103" s="1"/>
      <c r="AKJ103" s="1"/>
      <c r="AKK103" s="1"/>
      <c r="AKL103" s="1"/>
      <c r="AKM103" s="1"/>
      <c r="AKN103" s="1"/>
      <c r="AKO103" s="1"/>
      <c r="AKP103" s="1"/>
      <c r="AKQ103" s="1"/>
      <c r="AKR103" s="1"/>
      <c r="AKS103" s="1"/>
      <c r="AKT103" s="1"/>
      <c r="AKU103" s="1"/>
      <c r="AKV103" s="1"/>
      <c r="AKW103" s="1"/>
      <c r="AKX103" s="1"/>
      <c r="AKY103" s="1"/>
      <c r="AKZ103" s="1"/>
      <c r="ALA103" s="1"/>
      <c r="ALB103" s="1"/>
      <c r="ALC103" s="1"/>
      <c r="ALD103" s="1"/>
      <c r="ALE103" s="1"/>
      <c r="ALF103" s="1"/>
      <c r="ALG103" s="1"/>
      <c r="ALH103" s="1"/>
      <c r="ALI103" s="1"/>
      <c r="ALJ103" s="1"/>
      <c r="ALK103" s="1"/>
      <c r="ALL103" s="1"/>
      <c r="ALM103" s="1"/>
      <c r="ALN103" s="1"/>
      <c r="ALO103" s="1"/>
      <c r="ALP103" s="1"/>
      <c r="ALQ103" s="1"/>
      <c r="ALR103" s="1"/>
      <c r="ALS103" s="1"/>
      <c r="ALT103" s="1"/>
      <c r="ALU103" s="1"/>
      <c r="ALV103" s="1"/>
      <c r="ALW103" s="1"/>
      <c r="ALX103" s="1"/>
      <c r="ALY103" s="1"/>
      <c r="ALZ103" s="1"/>
      <c r="AMA103" s="1"/>
      <c r="AMB103" s="1"/>
      <c r="AMC103" s="1"/>
      <c r="AMD103" s="1"/>
      <c r="AME103" s="1"/>
      <c r="AMF103" s="1"/>
      <c r="AMG103" s="1"/>
      <c r="AMH103" s="1"/>
      <c r="AMI103" s="1"/>
      <c r="AMJ103" s="1"/>
      <c r="AMK103" s="1"/>
      <c r="AML103" s="1"/>
      <c r="AMM103" s="1"/>
      <c r="AMN103" s="1"/>
      <c r="AMO103" s="1"/>
    </row>
    <row r="104" spans="1:1029" x14ac:dyDescent="0.2">
      <c r="A104" s="3" t="str">
        <f t="shared" si="223"/>
        <v>adrb2_human_3NY8</v>
      </c>
      <c r="B104" s="3" t="s">
        <v>126</v>
      </c>
      <c r="C104" s="3" t="s">
        <v>1339</v>
      </c>
      <c r="D104" s="3" t="str">
        <f>IFERROR(MID(VLOOKUP($B104,Seqs!$A:$B,2,0),E104,1),"")</f>
        <v>W</v>
      </c>
      <c r="E104" s="3">
        <v>32</v>
      </c>
      <c r="F104" s="3" t="str">
        <f>IFERROR(MID(VLOOKUP($B104,Seqs!$A:$B,2,0),G104,1),"")</f>
        <v>F</v>
      </c>
      <c r="G104" s="3">
        <v>61</v>
      </c>
      <c r="H104" s="3" t="str">
        <f>IFERROR(MID(VLOOKUP($B104,Seqs!$A:$B,2,0),I104,1),"")</f>
        <v>E</v>
      </c>
      <c r="I104" s="23">
        <v>62</v>
      </c>
      <c r="J104" s="3" t="str">
        <f>IFERROR(MID(VLOOKUP($B104,Seqs!$A:$B,2,0),K104,1),"")</f>
        <v>Q</v>
      </c>
      <c r="K104" s="23">
        <v>65</v>
      </c>
      <c r="L104" s="3" t="str">
        <f>IFERROR(MID(VLOOKUP($B104,Seqs!$A:$B,2,0),M104,1),"")</f>
        <v>T</v>
      </c>
      <c r="M104" s="3">
        <v>66</v>
      </c>
      <c r="N104" s="3" t="str">
        <f>IFERROR(MID(VLOOKUP($B104,Seqs!$A:$B,2,0),O104,1),"")</f>
        <v>M</v>
      </c>
      <c r="O104" s="3">
        <v>96</v>
      </c>
      <c r="P104" s="3" t="str">
        <f>IFERROR(MID(VLOOKUP($B104,Seqs!$A:$B,2,0),Q104,1),"")</f>
        <v>M</v>
      </c>
      <c r="Q104" s="3">
        <v>98</v>
      </c>
      <c r="R104" s="3" t="str">
        <f>IFERROR(MID(VLOOKUP($B104,Seqs!$A:$B,2,0),S104,1),"")</f>
        <v>F</v>
      </c>
      <c r="S104" s="3">
        <v>101</v>
      </c>
      <c r="T104" s="3" t="str">
        <f>IFERROR(MID(VLOOKUP($B104,Seqs!$A:$B,2,0),U104,1),"")</f>
        <v>G</v>
      </c>
      <c r="U104" s="3">
        <v>102</v>
      </c>
      <c r="V104" s="3" t="str">
        <f>IFERROR(MID(VLOOKUP($B104,Seqs!$A:$B,2,0),W104,1),"")</f>
        <v>S</v>
      </c>
      <c r="W104" s="3">
        <v>137</v>
      </c>
      <c r="X104" s="3" t="str">
        <f>IFERROR(MID(VLOOKUP($B104,Seqs!$A:$B,2,0),Y104,1),"")</f>
        <v/>
      </c>
      <c r="Y104" s="3" t="s">
        <v>23</v>
      </c>
      <c r="Z104" s="3" t="str">
        <f>IFERROR(MID(VLOOKUP($B104,Seqs!$A:$B,2,0),AA104,1),"")</f>
        <v/>
      </c>
      <c r="AA104" s="3" t="s">
        <v>23</v>
      </c>
      <c r="AB104" s="3" t="str">
        <f>IFERROR(MID(VLOOKUP($B104,Seqs!$A:$B,2,0),AC104,1),"")</f>
        <v>T</v>
      </c>
      <c r="AC104" s="9">
        <v>146</v>
      </c>
      <c r="AD104" s="3" t="str">
        <f>IFERROR(MID(VLOOKUP($B104,Seqs!$A:$B,2,0),AE104,1),"")</f>
        <v>H</v>
      </c>
      <c r="AE104" s="3">
        <v>172</v>
      </c>
      <c r="AF104" s="3" t="str">
        <f>IFERROR(MID(VLOOKUP($B104,Seqs!$A:$B,2,0),AG104,1),"")</f>
        <v>C</v>
      </c>
      <c r="AG104" s="3">
        <v>191</v>
      </c>
      <c r="AH104" s="3" t="str">
        <f>IFERROR(MID(VLOOKUP($B104,Seqs!$A:$B,2,0),AI104,1),"")</f>
        <v>F</v>
      </c>
      <c r="AI104" s="3">
        <v>193</v>
      </c>
      <c r="AJ104" s="3" t="str">
        <f>IFERROR(MID(VLOOKUP($B104,Seqs!$A:$B,2,0),AK104,1),"")</f>
        <v>N</v>
      </c>
      <c r="AK104" s="3">
        <v>196</v>
      </c>
      <c r="AL104" s="3" t="str">
        <f>IFERROR(MID(VLOOKUP($B104,Seqs!$A:$B,2,0),AM104,1),"")</f>
        <v>Q</v>
      </c>
      <c r="AM104" s="3">
        <v>229</v>
      </c>
      <c r="AN104" s="3" t="str">
        <f>IFERROR(MID(VLOOKUP($B104,Seqs!$A:$B,2,0),AO104,1),"")</f>
        <v>K</v>
      </c>
      <c r="AO104" s="3">
        <v>267</v>
      </c>
      <c r="AP104" s="3" t="str">
        <f>IFERROR(MID(VLOOKUP($B104,Seqs!$A:$B,2,0),AQ104,1),"")</f>
        <v>Q</v>
      </c>
      <c r="AQ104" s="3">
        <v>299</v>
      </c>
      <c r="AR104" s="3" t="str">
        <f>IFERROR(MID(VLOOKUP($B104,Seqs!$A:$B,2,0),AS104,1),"")</f>
        <v>R</v>
      </c>
      <c r="AS104" s="3">
        <v>304</v>
      </c>
      <c r="AT104" s="3" t="str">
        <f>IFERROR(MID(VLOOKUP($B104,Seqs!$A:$B,2,0),AU104,1),"")</f>
        <v>R</v>
      </c>
      <c r="AU104" s="3">
        <v>328</v>
      </c>
      <c r="AV104" s="3" t="str">
        <f>IFERROR(MID(VLOOKUP($B104,Seqs!$A:$B,2,0),AW104,1),"")</f>
        <v>S</v>
      </c>
      <c r="AW104" s="3">
        <v>329</v>
      </c>
      <c r="AX104" s="3" t="str">
        <f>IFERROR(MID(VLOOKUP($B104,Seqs!$A:$B,2,0),AY104,1),"")</f>
        <v>C</v>
      </c>
      <c r="AY104" s="3">
        <v>341</v>
      </c>
      <c r="AZ104" s="77" t="str">
        <f>VLOOKUP(B104,Classification!A:D,2,0)</f>
        <v>A</v>
      </c>
      <c r="BA104" s="94" t="str">
        <f>VLOOKUP(B104,Classification!A:D,4,0)</f>
        <v>Adrenoceptors</v>
      </c>
      <c r="BB104" s="27" t="b">
        <f t="shared" si="224"/>
        <v>1</v>
      </c>
      <c r="BC104" s="23">
        <f t="shared" si="365"/>
        <v>241</v>
      </c>
      <c r="BD104" s="4" t="s">
        <v>23</v>
      </c>
      <c r="BE104" s="3" t="s">
        <v>1381</v>
      </c>
      <c r="BF104" s="119">
        <v>2.84</v>
      </c>
      <c r="BG104" s="49" t="s">
        <v>1384</v>
      </c>
      <c r="BH104" s="49" t="s">
        <v>1384</v>
      </c>
      <c r="BI104" s="1"/>
      <c r="BJ104" s="70" t="s">
        <v>1293</v>
      </c>
      <c r="BK104" s="57" t="s">
        <v>1293</v>
      </c>
      <c r="BL104" s="57" t="s">
        <v>1293</v>
      </c>
      <c r="BM104" s="57" t="s">
        <v>1293</v>
      </c>
      <c r="BN104" s="57" t="s">
        <v>1293</v>
      </c>
      <c r="BO104" s="57" t="s">
        <v>1293</v>
      </c>
      <c r="BP104" s="57" t="s">
        <v>1293</v>
      </c>
      <c r="BQ104" s="57" t="s">
        <v>1293</v>
      </c>
      <c r="BR104" s="57" t="s">
        <v>1293</v>
      </c>
      <c r="BS104" s="57" t="s">
        <v>1293</v>
      </c>
      <c r="BT104" s="57" t="s">
        <v>1293</v>
      </c>
      <c r="BU104" s="57" t="s">
        <v>1293</v>
      </c>
      <c r="BV104" s="70">
        <f t="shared" si="366"/>
        <v>32</v>
      </c>
      <c r="BW104" s="71">
        <f t="shared" si="367"/>
        <v>62</v>
      </c>
      <c r="BX104" s="72">
        <f t="shared" si="368"/>
        <v>66</v>
      </c>
      <c r="BY104" s="71">
        <f t="shared" si="369"/>
        <v>98</v>
      </c>
      <c r="BZ104" s="72">
        <f t="shared" si="370"/>
        <v>102</v>
      </c>
      <c r="CA104" s="71" t="str">
        <f t="shared" si="371"/>
        <v>-</v>
      </c>
      <c r="CB104" s="72">
        <f t="shared" si="372"/>
        <v>146</v>
      </c>
      <c r="CC104" s="71">
        <f t="shared" si="373"/>
        <v>191</v>
      </c>
      <c r="CD104" s="72">
        <f t="shared" si="374"/>
        <v>196</v>
      </c>
      <c r="CE104" s="71">
        <f t="shared" si="375"/>
        <v>267</v>
      </c>
      <c r="CF104" s="72">
        <f t="shared" si="376"/>
        <v>304</v>
      </c>
      <c r="CG104" s="71">
        <f t="shared" si="377"/>
        <v>329</v>
      </c>
      <c r="CH104" s="70">
        <f t="shared" si="378"/>
        <v>61</v>
      </c>
      <c r="CI104" s="71">
        <f t="shared" si="379"/>
        <v>65</v>
      </c>
      <c r="CJ104" s="72">
        <f t="shared" si="380"/>
        <v>96</v>
      </c>
      <c r="CK104" s="72">
        <f t="shared" si="381"/>
        <v>101</v>
      </c>
      <c r="CL104" s="72">
        <f t="shared" si="382"/>
        <v>137</v>
      </c>
      <c r="CM104" s="72" t="str">
        <f t="shared" si="383"/>
        <v>-</v>
      </c>
      <c r="CN104" s="72">
        <f t="shared" si="384"/>
        <v>172</v>
      </c>
      <c r="CO104" s="72">
        <f t="shared" si="385"/>
        <v>193</v>
      </c>
      <c r="CP104" s="72">
        <f t="shared" si="386"/>
        <v>229</v>
      </c>
      <c r="CQ104" s="72">
        <f t="shared" si="387"/>
        <v>299</v>
      </c>
      <c r="CR104" s="72">
        <f t="shared" si="388"/>
        <v>328</v>
      </c>
      <c r="CS104" s="72">
        <f t="shared" si="389"/>
        <v>341</v>
      </c>
      <c r="CT104" s="23">
        <f t="shared" si="390"/>
        <v>1</v>
      </c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  <c r="OK104" s="1"/>
      <c r="OL104" s="1"/>
      <c r="OM104" s="1"/>
      <c r="ON104" s="1"/>
      <c r="OO104" s="1"/>
      <c r="OP104" s="1"/>
      <c r="OQ104" s="1"/>
      <c r="OR104" s="1"/>
      <c r="OS104" s="1"/>
      <c r="OT104" s="1"/>
      <c r="OU104" s="1"/>
      <c r="OV104" s="1"/>
      <c r="OW104" s="1"/>
      <c r="OX104" s="1"/>
      <c r="OY104" s="1"/>
      <c r="OZ104" s="1"/>
      <c r="PA104" s="1"/>
      <c r="PB104" s="1"/>
      <c r="PC104" s="1"/>
      <c r="PD104" s="1"/>
      <c r="PE104" s="1"/>
      <c r="PF104" s="1"/>
      <c r="PG104" s="1"/>
      <c r="PH104" s="1"/>
      <c r="PI104" s="1"/>
      <c r="PJ104" s="1"/>
      <c r="PK104" s="1"/>
      <c r="PL104" s="1"/>
      <c r="PM104" s="1"/>
      <c r="PN104" s="1"/>
      <c r="PO104" s="1"/>
      <c r="PP104" s="1"/>
      <c r="PQ104" s="1"/>
      <c r="PR104" s="1"/>
      <c r="PS104" s="1"/>
      <c r="PT104" s="1"/>
      <c r="PU104" s="1"/>
      <c r="PV104" s="1"/>
      <c r="PW104" s="1"/>
      <c r="PX104" s="1"/>
      <c r="PY104" s="1"/>
      <c r="PZ104" s="1"/>
      <c r="QA104" s="1"/>
      <c r="QB104" s="1"/>
      <c r="QC104" s="1"/>
      <c r="QD104" s="1"/>
      <c r="QE104" s="1"/>
      <c r="QF104" s="1"/>
      <c r="QG104" s="1"/>
      <c r="QH104" s="1"/>
      <c r="QI104" s="1"/>
      <c r="QJ104" s="1"/>
      <c r="QK104" s="1"/>
      <c r="QL104" s="1"/>
      <c r="QM104" s="1"/>
      <c r="QN104" s="1"/>
      <c r="QO104" s="1"/>
      <c r="QP104" s="1"/>
      <c r="QQ104" s="1"/>
      <c r="QR104" s="1"/>
      <c r="QS104" s="1"/>
      <c r="QT104" s="1"/>
      <c r="QU104" s="1"/>
      <c r="QV104" s="1"/>
      <c r="QW104" s="1"/>
      <c r="QX104" s="1"/>
      <c r="QY104" s="1"/>
      <c r="QZ104" s="1"/>
      <c r="RA104" s="1"/>
      <c r="RB104" s="1"/>
      <c r="RC104" s="1"/>
      <c r="RD104" s="1"/>
      <c r="RE104" s="1"/>
      <c r="RF104" s="1"/>
      <c r="RG104" s="1"/>
      <c r="RH104" s="1"/>
      <c r="RI104" s="1"/>
      <c r="RJ104" s="1"/>
      <c r="RK104" s="1"/>
      <c r="RL104" s="1"/>
      <c r="RM104" s="1"/>
      <c r="RN104" s="1"/>
      <c r="RO104" s="1"/>
      <c r="RP104" s="1"/>
      <c r="RQ104" s="1"/>
      <c r="RR104" s="1"/>
      <c r="RS104" s="1"/>
      <c r="RT104" s="1"/>
      <c r="RU104" s="1"/>
      <c r="RV104" s="1"/>
      <c r="RW104" s="1"/>
      <c r="RX104" s="1"/>
      <c r="RY104" s="1"/>
      <c r="RZ104" s="1"/>
      <c r="SA104" s="1"/>
      <c r="SB104" s="1"/>
      <c r="SC104" s="1"/>
      <c r="SD104" s="1"/>
      <c r="SE104" s="1"/>
      <c r="SF104" s="1"/>
      <c r="SG104" s="1"/>
      <c r="SH104" s="1"/>
      <c r="SI104" s="1"/>
      <c r="SJ104" s="1"/>
      <c r="SK104" s="1"/>
      <c r="SL104" s="1"/>
      <c r="SM104" s="1"/>
      <c r="SN104" s="1"/>
      <c r="SO104" s="1"/>
      <c r="SP104" s="1"/>
      <c r="SQ104" s="1"/>
      <c r="SR104" s="1"/>
      <c r="SS104" s="1"/>
      <c r="ST104" s="1"/>
      <c r="SU104" s="1"/>
      <c r="SV104" s="1"/>
      <c r="SW104" s="1"/>
      <c r="SX104" s="1"/>
      <c r="SY104" s="1"/>
      <c r="SZ104" s="1"/>
      <c r="TA104" s="1"/>
      <c r="TB104" s="1"/>
      <c r="TC104" s="1"/>
      <c r="TD104" s="1"/>
      <c r="TE104" s="1"/>
      <c r="TF104" s="1"/>
      <c r="TG104" s="1"/>
      <c r="TH104" s="1"/>
      <c r="TI104" s="1"/>
      <c r="TJ104" s="1"/>
      <c r="TK104" s="1"/>
      <c r="TL104" s="1"/>
      <c r="TM104" s="1"/>
      <c r="TN104" s="1"/>
      <c r="TO104" s="1"/>
      <c r="TP104" s="1"/>
      <c r="TQ104" s="1"/>
      <c r="TR104" s="1"/>
      <c r="TS104" s="1"/>
      <c r="TT104" s="1"/>
      <c r="TU104" s="1"/>
      <c r="TV104" s="1"/>
      <c r="TW104" s="1"/>
      <c r="TX104" s="1"/>
      <c r="TY104" s="1"/>
      <c r="TZ104" s="1"/>
      <c r="UA104" s="1"/>
      <c r="UB104" s="1"/>
      <c r="UC104" s="1"/>
      <c r="UD104" s="1"/>
      <c r="UE104" s="1"/>
      <c r="UF104" s="1"/>
      <c r="UG104" s="1"/>
      <c r="UH104" s="1"/>
      <c r="UI104" s="1"/>
      <c r="UJ104" s="1"/>
      <c r="UK104" s="1"/>
      <c r="UL104" s="1"/>
      <c r="UM104" s="1"/>
      <c r="UN104" s="1"/>
      <c r="UO104" s="1"/>
      <c r="UP104" s="1"/>
      <c r="UQ104" s="1"/>
      <c r="UR104" s="1"/>
      <c r="US104" s="1"/>
      <c r="UT104" s="1"/>
      <c r="UU104" s="1"/>
      <c r="UV104" s="1"/>
      <c r="UW104" s="1"/>
      <c r="UX104" s="1"/>
      <c r="UY104" s="1"/>
      <c r="UZ104" s="1"/>
      <c r="VA104" s="1"/>
      <c r="VB104" s="1"/>
      <c r="VC104" s="1"/>
      <c r="VD104" s="1"/>
      <c r="VE104" s="1"/>
      <c r="VF104" s="1"/>
      <c r="VG104" s="1"/>
      <c r="VH104" s="1"/>
      <c r="VI104" s="1"/>
      <c r="VJ104" s="1"/>
      <c r="VK104" s="1"/>
      <c r="VL104" s="1"/>
      <c r="VM104" s="1"/>
      <c r="VN104" s="1"/>
      <c r="VO104" s="1"/>
      <c r="VP104" s="1"/>
      <c r="VQ104" s="1"/>
      <c r="VR104" s="1"/>
      <c r="VS104" s="1"/>
      <c r="VT104" s="1"/>
      <c r="VU104" s="1"/>
      <c r="VV104" s="1"/>
      <c r="VW104" s="1"/>
      <c r="VX104" s="1"/>
      <c r="VY104" s="1"/>
      <c r="VZ104" s="1"/>
      <c r="WA104" s="1"/>
      <c r="WB104" s="1"/>
      <c r="WC104" s="1"/>
      <c r="WD104" s="1"/>
      <c r="WE104" s="1"/>
      <c r="WF104" s="1"/>
      <c r="WG104" s="1"/>
      <c r="WH104" s="1"/>
      <c r="WI104" s="1"/>
      <c r="WJ104" s="1"/>
      <c r="WK104" s="1"/>
      <c r="WL104" s="1"/>
      <c r="WM104" s="1"/>
      <c r="WN104" s="1"/>
      <c r="WO104" s="1"/>
      <c r="WP104" s="1"/>
      <c r="WQ104" s="1"/>
      <c r="WR104" s="1"/>
      <c r="WS104" s="1"/>
      <c r="WT104" s="1"/>
      <c r="WU104" s="1"/>
      <c r="WV104" s="1"/>
      <c r="WW104" s="1"/>
      <c r="WX104" s="1"/>
      <c r="WY104" s="1"/>
      <c r="WZ104" s="1"/>
      <c r="XA104" s="1"/>
      <c r="XB104" s="1"/>
      <c r="XC104" s="1"/>
      <c r="XD104" s="1"/>
      <c r="XE104" s="1"/>
      <c r="XF104" s="1"/>
      <c r="XG104" s="1"/>
      <c r="XH104" s="1"/>
      <c r="XI104" s="1"/>
      <c r="XJ104" s="1"/>
      <c r="XK104" s="1"/>
      <c r="XL104" s="1"/>
      <c r="XM104" s="1"/>
      <c r="XN104" s="1"/>
      <c r="XO104" s="1"/>
      <c r="XP104" s="1"/>
      <c r="XQ104" s="1"/>
      <c r="XR104" s="1"/>
      <c r="XS104" s="1"/>
      <c r="XT104" s="1"/>
      <c r="XU104" s="1"/>
      <c r="XV104" s="1"/>
      <c r="XW104" s="1"/>
      <c r="XX104" s="1"/>
      <c r="XY104" s="1"/>
      <c r="XZ104" s="1"/>
      <c r="YA104" s="1"/>
      <c r="YB104" s="1"/>
      <c r="YC104" s="1"/>
      <c r="YD104" s="1"/>
      <c r="YE104" s="1"/>
      <c r="YF104" s="1"/>
      <c r="YG104" s="1"/>
      <c r="YH104" s="1"/>
      <c r="YI104" s="1"/>
      <c r="YJ104" s="1"/>
      <c r="YK104" s="1"/>
      <c r="YL104" s="1"/>
      <c r="YM104" s="1"/>
      <c r="YN104" s="1"/>
      <c r="YO104" s="1"/>
      <c r="YP104" s="1"/>
      <c r="YQ104" s="1"/>
      <c r="YR104" s="1"/>
      <c r="YS104" s="1"/>
      <c r="YT104" s="1"/>
      <c r="YU104" s="1"/>
      <c r="YV104" s="1"/>
      <c r="YW104" s="1"/>
      <c r="YX104" s="1"/>
      <c r="YY104" s="1"/>
      <c r="YZ104" s="1"/>
      <c r="ZA104" s="1"/>
      <c r="ZB104" s="1"/>
      <c r="ZC104" s="1"/>
      <c r="ZD104" s="1"/>
      <c r="ZE104" s="1"/>
      <c r="ZF104" s="1"/>
      <c r="ZG104" s="1"/>
      <c r="ZH104" s="1"/>
      <c r="ZI104" s="1"/>
      <c r="ZJ104" s="1"/>
      <c r="ZK104" s="1"/>
      <c r="ZL104" s="1"/>
      <c r="ZM104" s="1"/>
      <c r="ZN104" s="1"/>
      <c r="ZO104" s="1"/>
      <c r="ZP104" s="1"/>
      <c r="ZQ104" s="1"/>
      <c r="ZR104" s="1"/>
      <c r="ZS104" s="1"/>
      <c r="ZT104" s="1"/>
      <c r="ZU104" s="1"/>
      <c r="ZV104" s="1"/>
      <c r="ZW104" s="1"/>
      <c r="ZX104" s="1"/>
      <c r="ZY104" s="1"/>
      <c r="ZZ104" s="1"/>
      <c r="AAA104" s="1"/>
      <c r="AAB104" s="1"/>
      <c r="AAC104" s="1"/>
      <c r="AAD104" s="1"/>
      <c r="AAE104" s="1"/>
      <c r="AAF104" s="1"/>
      <c r="AAG104" s="1"/>
      <c r="AAH104" s="1"/>
      <c r="AAI104" s="1"/>
      <c r="AAJ104" s="1"/>
      <c r="AAK104" s="1"/>
      <c r="AAL104" s="1"/>
      <c r="AAM104" s="1"/>
      <c r="AAN104" s="1"/>
      <c r="AAO104" s="1"/>
      <c r="AAP104" s="1"/>
      <c r="AAQ104" s="1"/>
      <c r="AAR104" s="1"/>
      <c r="AAS104" s="1"/>
      <c r="AAT104" s="1"/>
      <c r="AAU104" s="1"/>
      <c r="AAV104" s="1"/>
      <c r="AAW104" s="1"/>
      <c r="AAX104" s="1"/>
      <c r="AAY104" s="1"/>
      <c r="AAZ104" s="1"/>
      <c r="ABA104" s="1"/>
      <c r="ABB104" s="1"/>
      <c r="ABC104" s="1"/>
      <c r="ABD104" s="1"/>
      <c r="ABE104" s="1"/>
      <c r="ABF104" s="1"/>
      <c r="ABG104" s="1"/>
      <c r="ABH104" s="1"/>
      <c r="ABI104" s="1"/>
      <c r="ABJ104" s="1"/>
      <c r="ABK104" s="1"/>
      <c r="ABL104" s="1"/>
      <c r="ABM104" s="1"/>
      <c r="ABN104" s="1"/>
      <c r="ABO104" s="1"/>
      <c r="ABP104" s="1"/>
      <c r="ABQ104" s="1"/>
      <c r="ABR104" s="1"/>
      <c r="ABS104" s="1"/>
      <c r="ABT104" s="1"/>
      <c r="ABU104" s="1"/>
      <c r="ABV104" s="1"/>
      <c r="ABW104" s="1"/>
      <c r="ABX104" s="1"/>
      <c r="ABY104" s="1"/>
      <c r="ABZ104" s="1"/>
      <c r="ACA104" s="1"/>
      <c r="ACB104" s="1"/>
      <c r="ACC104" s="1"/>
      <c r="ACD104" s="1"/>
      <c r="ACE104" s="1"/>
      <c r="ACF104" s="1"/>
      <c r="ACG104" s="1"/>
      <c r="ACH104" s="1"/>
      <c r="ACI104" s="1"/>
      <c r="ACJ104" s="1"/>
      <c r="ACK104" s="1"/>
      <c r="ACL104" s="1"/>
      <c r="ACM104" s="1"/>
      <c r="ACN104" s="1"/>
      <c r="ACO104" s="1"/>
      <c r="ACP104" s="1"/>
      <c r="ACQ104" s="1"/>
      <c r="ACR104" s="1"/>
      <c r="ACS104" s="1"/>
      <c r="ACT104" s="1"/>
      <c r="ACU104" s="1"/>
      <c r="ACV104" s="1"/>
      <c r="ACW104" s="1"/>
      <c r="ACX104" s="1"/>
      <c r="ACY104" s="1"/>
      <c r="ACZ104" s="1"/>
      <c r="ADA104" s="1"/>
      <c r="ADB104" s="1"/>
      <c r="ADC104" s="1"/>
      <c r="ADD104" s="1"/>
      <c r="ADE104" s="1"/>
      <c r="ADF104" s="1"/>
      <c r="ADG104" s="1"/>
      <c r="ADH104" s="1"/>
      <c r="ADI104" s="1"/>
      <c r="ADJ104" s="1"/>
      <c r="ADK104" s="1"/>
      <c r="ADL104" s="1"/>
      <c r="ADM104" s="1"/>
      <c r="ADN104" s="1"/>
      <c r="ADO104" s="1"/>
      <c r="ADP104" s="1"/>
      <c r="ADQ104" s="1"/>
      <c r="ADR104" s="1"/>
      <c r="ADS104" s="1"/>
      <c r="ADT104" s="1"/>
      <c r="ADU104" s="1"/>
      <c r="ADV104" s="1"/>
      <c r="ADW104" s="1"/>
      <c r="ADX104" s="1"/>
      <c r="ADY104" s="1"/>
      <c r="ADZ104" s="1"/>
      <c r="AEA104" s="1"/>
      <c r="AEB104" s="1"/>
      <c r="AEC104" s="1"/>
      <c r="AED104" s="1"/>
      <c r="AEE104" s="1"/>
      <c r="AEF104" s="1"/>
      <c r="AEG104" s="1"/>
      <c r="AEH104" s="1"/>
      <c r="AEI104" s="1"/>
      <c r="AEJ104" s="1"/>
      <c r="AEK104" s="1"/>
      <c r="AEL104" s="1"/>
      <c r="AEM104" s="1"/>
      <c r="AEN104" s="1"/>
      <c r="AEO104" s="1"/>
      <c r="AEP104" s="1"/>
      <c r="AEQ104" s="1"/>
      <c r="AER104" s="1"/>
      <c r="AES104" s="1"/>
      <c r="AET104" s="1"/>
      <c r="AEU104" s="1"/>
      <c r="AEV104" s="1"/>
      <c r="AEW104" s="1"/>
      <c r="AEX104" s="1"/>
      <c r="AEY104" s="1"/>
      <c r="AEZ104" s="1"/>
      <c r="AFA104" s="1"/>
      <c r="AFB104" s="1"/>
      <c r="AFC104" s="1"/>
      <c r="AFD104" s="1"/>
      <c r="AFE104" s="1"/>
      <c r="AFF104" s="1"/>
      <c r="AFG104" s="1"/>
      <c r="AFH104" s="1"/>
      <c r="AFI104" s="1"/>
      <c r="AFJ104" s="1"/>
      <c r="AFK104" s="1"/>
      <c r="AFL104" s="1"/>
      <c r="AFM104" s="1"/>
      <c r="AFN104" s="1"/>
      <c r="AFO104" s="1"/>
      <c r="AFP104" s="1"/>
      <c r="AFQ104" s="1"/>
      <c r="AFR104" s="1"/>
      <c r="AFS104" s="1"/>
      <c r="AFT104" s="1"/>
      <c r="AFU104" s="1"/>
      <c r="AFV104" s="1"/>
      <c r="AFW104" s="1"/>
      <c r="AFX104" s="1"/>
      <c r="AFY104" s="1"/>
      <c r="AFZ104" s="1"/>
      <c r="AGA104" s="1"/>
      <c r="AGB104" s="1"/>
      <c r="AGC104" s="1"/>
      <c r="AGD104" s="1"/>
      <c r="AGE104" s="1"/>
      <c r="AGF104" s="1"/>
      <c r="AGG104" s="1"/>
      <c r="AGH104" s="1"/>
      <c r="AGI104" s="1"/>
      <c r="AGJ104" s="1"/>
      <c r="AGK104" s="1"/>
      <c r="AGL104" s="1"/>
      <c r="AGM104" s="1"/>
      <c r="AGN104" s="1"/>
      <c r="AGO104" s="1"/>
      <c r="AGP104" s="1"/>
      <c r="AGQ104" s="1"/>
      <c r="AGR104" s="1"/>
      <c r="AGS104" s="1"/>
      <c r="AGT104" s="1"/>
      <c r="AGU104" s="1"/>
      <c r="AGV104" s="1"/>
      <c r="AGW104" s="1"/>
      <c r="AGX104" s="1"/>
      <c r="AGY104" s="1"/>
      <c r="AGZ104" s="1"/>
      <c r="AHA104" s="1"/>
      <c r="AHB104" s="1"/>
      <c r="AHC104" s="1"/>
      <c r="AHD104" s="1"/>
      <c r="AHE104" s="1"/>
      <c r="AHF104" s="1"/>
      <c r="AHG104" s="1"/>
      <c r="AHH104" s="1"/>
      <c r="AHI104" s="1"/>
      <c r="AHJ104" s="1"/>
      <c r="AHK104" s="1"/>
      <c r="AHL104" s="1"/>
      <c r="AHM104" s="1"/>
      <c r="AHN104" s="1"/>
      <c r="AHO104" s="1"/>
      <c r="AHP104" s="1"/>
      <c r="AHQ104" s="1"/>
      <c r="AHR104" s="1"/>
      <c r="AHS104" s="1"/>
      <c r="AHT104" s="1"/>
      <c r="AHU104" s="1"/>
      <c r="AHV104" s="1"/>
      <c r="AHW104" s="1"/>
      <c r="AHX104" s="1"/>
      <c r="AHY104" s="1"/>
      <c r="AHZ104" s="1"/>
      <c r="AIA104" s="1"/>
      <c r="AIB104" s="1"/>
      <c r="AIC104" s="1"/>
      <c r="AID104" s="1"/>
      <c r="AIE104" s="1"/>
      <c r="AIF104" s="1"/>
      <c r="AIG104" s="1"/>
      <c r="AIH104" s="1"/>
      <c r="AII104" s="1"/>
      <c r="AIJ104" s="1"/>
      <c r="AIK104" s="1"/>
      <c r="AIL104" s="1"/>
      <c r="AIM104" s="1"/>
      <c r="AIN104" s="1"/>
      <c r="AIO104" s="1"/>
      <c r="AIP104" s="1"/>
      <c r="AIQ104" s="1"/>
      <c r="AIR104" s="1"/>
      <c r="AIS104" s="1"/>
      <c r="AIT104" s="1"/>
      <c r="AIU104" s="1"/>
      <c r="AIV104" s="1"/>
      <c r="AIW104" s="1"/>
      <c r="AIX104" s="1"/>
      <c r="AIY104" s="1"/>
      <c r="AIZ104" s="1"/>
      <c r="AJA104" s="1"/>
      <c r="AJB104" s="1"/>
      <c r="AJC104" s="1"/>
      <c r="AJD104" s="1"/>
      <c r="AJE104" s="1"/>
      <c r="AJF104" s="1"/>
      <c r="AJG104" s="1"/>
      <c r="AJH104" s="1"/>
      <c r="AJI104" s="1"/>
      <c r="AJJ104" s="1"/>
      <c r="AJK104" s="1"/>
      <c r="AJL104" s="1"/>
      <c r="AJM104" s="1"/>
      <c r="AJN104" s="1"/>
      <c r="AJO104" s="1"/>
      <c r="AJP104" s="1"/>
      <c r="AJQ104" s="1"/>
      <c r="AJR104" s="1"/>
      <c r="AJS104" s="1"/>
      <c r="AJT104" s="1"/>
      <c r="AJU104" s="1"/>
      <c r="AJV104" s="1"/>
      <c r="AJW104" s="1"/>
      <c r="AJX104" s="1"/>
      <c r="AJY104" s="1"/>
      <c r="AJZ104" s="1"/>
      <c r="AKA104" s="1"/>
      <c r="AKB104" s="1"/>
      <c r="AKC104" s="1"/>
      <c r="AKD104" s="1"/>
      <c r="AKE104" s="1"/>
      <c r="AKF104" s="1"/>
      <c r="AKG104" s="1"/>
      <c r="AKH104" s="1"/>
      <c r="AKI104" s="1"/>
      <c r="AKJ104" s="1"/>
      <c r="AKK104" s="1"/>
      <c r="AKL104" s="1"/>
      <c r="AKM104" s="1"/>
      <c r="AKN104" s="1"/>
      <c r="AKO104" s="1"/>
      <c r="AKP104" s="1"/>
      <c r="AKQ104" s="1"/>
      <c r="AKR104" s="1"/>
      <c r="AKS104" s="1"/>
      <c r="AKT104" s="1"/>
      <c r="AKU104" s="1"/>
      <c r="AKV104" s="1"/>
      <c r="AKW104" s="1"/>
      <c r="AKX104" s="1"/>
      <c r="AKY104" s="1"/>
      <c r="AKZ104" s="1"/>
      <c r="ALA104" s="1"/>
      <c r="ALB104" s="1"/>
      <c r="ALC104" s="1"/>
      <c r="ALD104" s="1"/>
      <c r="ALE104" s="1"/>
      <c r="ALF104" s="1"/>
      <c r="ALG104" s="1"/>
      <c r="ALH104" s="1"/>
      <c r="ALI104" s="1"/>
      <c r="ALJ104" s="1"/>
      <c r="ALK104" s="1"/>
      <c r="ALL104" s="1"/>
      <c r="ALM104" s="1"/>
      <c r="ALN104" s="1"/>
      <c r="ALO104" s="1"/>
      <c r="ALP104" s="1"/>
      <c r="ALQ104" s="1"/>
      <c r="ALR104" s="1"/>
      <c r="ALS104" s="1"/>
      <c r="ALT104" s="1"/>
      <c r="ALU104" s="1"/>
      <c r="ALV104" s="1"/>
      <c r="ALW104" s="1"/>
      <c r="ALX104" s="1"/>
      <c r="ALY104" s="1"/>
      <c r="ALZ104" s="1"/>
      <c r="AMA104" s="1"/>
      <c r="AMB104" s="1"/>
      <c r="AMC104" s="1"/>
      <c r="AMD104" s="1"/>
      <c r="AME104" s="1"/>
      <c r="AMF104" s="1"/>
      <c r="AMG104" s="1"/>
      <c r="AMH104" s="1"/>
      <c r="AMI104" s="1"/>
      <c r="AMJ104" s="1"/>
      <c r="AMK104" s="1"/>
      <c r="AML104" s="1"/>
      <c r="AMM104" s="1"/>
      <c r="AMN104" s="1"/>
      <c r="AMO104" s="1"/>
    </row>
    <row r="105" spans="1:1029" x14ac:dyDescent="0.2">
      <c r="A105" s="3" t="str">
        <f t="shared" si="223"/>
        <v>adrb2_human_3NY9</v>
      </c>
      <c r="B105" s="3" t="s">
        <v>126</v>
      </c>
      <c r="C105" s="3" t="s">
        <v>1030</v>
      </c>
      <c r="D105" s="3" t="str">
        <f>IFERROR(MID(VLOOKUP($B105,Seqs!$A:$B,2,0),E105,1),"")</f>
        <v>W</v>
      </c>
      <c r="E105" s="3">
        <v>32</v>
      </c>
      <c r="F105" s="3" t="str">
        <f>IFERROR(MID(VLOOKUP($B105,Seqs!$A:$B,2,0),G105,1),"")</f>
        <v>F</v>
      </c>
      <c r="G105" s="3">
        <v>61</v>
      </c>
      <c r="H105" s="3" t="str">
        <f>IFERROR(MID(VLOOKUP($B105,Seqs!$A:$B,2,0),I105,1),"")</f>
        <v>E</v>
      </c>
      <c r="I105" s="23">
        <v>62</v>
      </c>
      <c r="J105" s="3" t="str">
        <f>IFERROR(MID(VLOOKUP($B105,Seqs!$A:$B,2,0),K105,1),"")</f>
        <v>Q</v>
      </c>
      <c r="K105" s="23">
        <v>65</v>
      </c>
      <c r="L105" s="3" t="str">
        <f>IFERROR(MID(VLOOKUP($B105,Seqs!$A:$B,2,0),M105,1),"")</f>
        <v>T</v>
      </c>
      <c r="M105" s="3">
        <v>66</v>
      </c>
      <c r="N105" s="3" t="str">
        <f>IFERROR(MID(VLOOKUP($B105,Seqs!$A:$B,2,0),O105,1),"")</f>
        <v>M</v>
      </c>
      <c r="O105" s="3">
        <v>96</v>
      </c>
      <c r="P105" s="3" t="str">
        <f>IFERROR(MID(VLOOKUP($B105,Seqs!$A:$B,2,0),Q105,1),"")</f>
        <v>M</v>
      </c>
      <c r="Q105" s="3">
        <v>98</v>
      </c>
      <c r="R105" s="3" t="str">
        <f>IFERROR(MID(VLOOKUP($B105,Seqs!$A:$B,2,0),S105,1),"")</f>
        <v>F</v>
      </c>
      <c r="S105" s="3">
        <v>101</v>
      </c>
      <c r="T105" s="3" t="str">
        <f>IFERROR(MID(VLOOKUP($B105,Seqs!$A:$B,2,0),U105,1),"")</f>
        <v>G</v>
      </c>
      <c r="U105" s="3">
        <v>102</v>
      </c>
      <c r="V105" s="3" t="str">
        <f>IFERROR(MID(VLOOKUP($B105,Seqs!$A:$B,2,0),W105,1),"")</f>
        <v>S</v>
      </c>
      <c r="W105" s="3">
        <v>137</v>
      </c>
      <c r="X105" s="3" t="str">
        <f>IFERROR(MID(VLOOKUP($B105,Seqs!$A:$B,2,0),Y105,1),"")</f>
        <v/>
      </c>
      <c r="Y105" s="3" t="s">
        <v>23</v>
      </c>
      <c r="Z105" s="3" t="str">
        <f>IFERROR(MID(VLOOKUP($B105,Seqs!$A:$B,2,0),AA105,1),"")</f>
        <v/>
      </c>
      <c r="AA105" s="3" t="s">
        <v>23</v>
      </c>
      <c r="AB105" s="3" t="str">
        <f>IFERROR(MID(VLOOKUP($B105,Seqs!$A:$B,2,0),AC105,1),"")</f>
        <v>T</v>
      </c>
      <c r="AC105" s="9">
        <v>146</v>
      </c>
      <c r="AD105" s="3" t="str">
        <f>IFERROR(MID(VLOOKUP($B105,Seqs!$A:$B,2,0),AE105,1),"")</f>
        <v>H</v>
      </c>
      <c r="AE105" s="3">
        <v>172</v>
      </c>
      <c r="AF105" s="3" t="str">
        <f>IFERROR(MID(VLOOKUP($B105,Seqs!$A:$B,2,0),AG105,1),"")</f>
        <v>C</v>
      </c>
      <c r="AG105" s="3">
        <v>191</v>
      </c>
      <c r="AH105" s="3" t="str">
        <f>IFERROR(MID(VLOOKUP($B105,Seqs!$A:$B,2,0),AI105,1),"")</f>
        <v>F</v>
      </c>
      <c r="AI105" s="3">
        <v>193</v>
      </c>
      <c r="AJ105" s="3" t="str">
        <f>IFERROR(MID(VLOOKUP($B105,Seqs!$A:$B,2,0),AK105,1),"")</f>
        <v>N</v>
      </c>
      <c r="AK105" s="3">
        <v>196</v>
      </c>
      <c r="AL105" s="3" t="str">
        <f>IFERROR(MID(VLOOKUP($B105,Seqs!$A:$B,2,0),AM105,1),"")</f>
        <v>Q</v>
      </c>
      <c r="AM105" s="3">
        <v>229</v>
      </c>
      <c r="AN105" s="3" t="str">
        <f>IFERROR(MID(VLOOKUP($B105,Seqs!$A:$B,2,0),AO105,1),"")</f>
        <v>K</v>
      </c>
      <c r="AO105" s="3">
        <v>267</v>
      </c>
      <c r="AP105" s="3" t="str">
        <f>IFERROR(MID(VLOOKUP($B105,Seqs!$A:$B,2,0),AQ105,1),"")</f>
        <v>Q</v>
      </c>
      <c r="AQ105" s="3">
        <v>299</v>
      </c>
      <c r="AR105" s="3" t="str">
        <f>IFERROR(MID(VLOOKUP($B105,Seqs!$A:$B,2,0),AS105,1),"")</f>
        <v>R</v>
      </c>
      <c r="AS105" s="3">
        <v>304</v>
      </c>
      <c r="AT105" s="3" t="str">
        <f>IFERROR(MID(VLOOKUP($B105,Seqs!$A:$B,2,0),AU105,1),"")</f>
        <v>R</v>
      </c>
      <c r="AU105" s="3">
        <v>328</v>
      </c>
      <c r="AV105" s="3" t="str">
        <f>IFERROR(MID(VLOOKUP($B105,Seqs!$A:$B,2,0),AW105,1),"")</f>
        <v>S</v>
      </c>
      <c r="AW105" s="3">
        <v>329</v>
      </c>
      <c r="AX105" s="3" t="str">
        <f>IFERROR(MID(VLOOKUP($B105,Seqs!$A:$B,2,0),AY105,1),"")</f>
        <v>C</v>
      </c>
      <c r="AY105" s="3">
        <v>341</v>
      </c>
      <c r="AZ105" s="77" t="str">
        <f>VLOOKUP(B105,Classification!A:D,2,0)</f>
        <v>A</v>
      </c>
      <c r="BA105" s="94" t="str">
        <f>VLOOKUP(B105,Classification!A:D,4,0)</f>
        <v>Adrenoceptors</v>
      </c>
      <c r="BB105" s="27" t="b">
        <f t="shared" si="224"/>
        <v>1</v>
      </c>
      <c r="BC105" s="23">
        <f t="shared" si="365"/>
        <v>241</v>
      </c>
      <c r="BD105" s="4" t="s">
        <v>23</v>
      </c>
      <c r="BE105" s="3" t="s">
        <v>1381</v>
      </c>
      <c r="BF105" s="119">
        <v>2.84</v>
      </c>
      <c r="BG105" s="49" t="s">
        <v>1384</v>
      </c>
      <c r="BH105" s="49" t="s">
        <v>1384</v>
      </c>
      <c r="BI105" s="1"/>
      <c r="BJ105" s="70" t="s">
        <v>1293</v>
      </c>
      <c r="BK105" s="57" t="s">
        <v>1293</v>
      </c>
      <c r="BL105" s="57" t="s">
        <v>1293</v>
      </c>
      <c r="BM105" s="57" t="s">
        <v>1293</v>
      </c>
      <c r="BN105" s="57" t="s">
        <v>1293</v>
      </c>
      <c r="BO105" s="57" t="s">
        <v>1293</v>
      </c>
      <c r="BP105" s="57" t="s">
        <v>1293</v>
      </c>
      <c r="BQ105" s="57" t="s">
        <v>1293</v>
      </c>
      <c r="BR105" s="57" t="s">
        <v>1293</v>
      </c>
      <c r="BS105" s="57" t="s">
        <v>1293</v>
      </c>
      <c r="BT105" s="57" t="s">
        <v>1293</v>
      </c>
      <c r="BU105" s="57" t="s">
        <v>1293</v>
      </c>
      <c r="BV105" s="70">
        <f t="shared" si="366"/>
        <v>32</v>
      </c>
      <c r="BW105" s="71">
        <f t="shared" si="367"/>
        <v>62</v>
      </c>
      <c r="BX105" s="72">
        <f t="shared" si="368"/>
        <v>66</v>
      </c>
      <c r="BY105" s="71">
        <f t="shared" si="369"/>
        <v>98</v>
      </c>
      <c r="BZ105" s="72">
        <f t="shared" si="370"/>
        <v>102</v>
      </c>
      <c r="CA105" s="71" t="str">
        <f t="shared" si="371"/>
        <v>-</v>
      </c>
      <c r="CB105" s="72">
        <f t="shared" si="372"/>
        <v>146</v>
      </c>
      <c r="CC105" s="71">
        <f t="shared" si="373"/>
        <v>191</v>
      </c>
      <c r="CD105" s="72">
        <f t="shared" si="374"/>
        <v>196</v>
      </c>
      <c r="CE105" s="71">
        <f t="shared" si="375"/>
        <v>267</v>
      </c>
      <c r="CF105" s="72">
        <f t="shared" si="376"/>
        <v>304</v>
      </c>
      <c r="CG105" s="71">
        <f t="shared" si="377"/>
        <v>329</v>
      </c>
      <c r="CH105" s="70">
        <f t="shared" si="378"/>
        <v>61</v>
      </c>
      <c r="CI105" s="71">
        <f t="shared" si="379"/>
        <v>65</v>
      </c>
      <c r="CJ105" s="72">
        <f t="shared" si="380"/>
        <v>96</v>
      </c>
      <c r="CK105" s="72">
        <f t="shared" si="381"/>
        <v>101</v>
      </c>
      <c r="CL105" s="72">
        <f t="shared" si="382"/>
        <v>137</v>
      </c>
      <c r="CM105" s="72" t="str">
        <f t="shared" si="383"/>
        <v>-</v>
      </c>
      <c r="CN105" s="72">
        <f t="shared" si="384"/>
        <v>172</v>
      </c>
      <c r="CO105" s="72">
        <f t="shared" si="385"/>
        <v>193</v>
      </c>
      <c r="CP105" s="72">
        <f t="shared" si="386"/>
        <v>229</v>
      </c>
      <c r="CQ105" s="72">
        <f t="shared" si="387"/>
        <v>299</v>
      </c>
      <c r="CR105" s="72">
        <f t="shared" si="388"/>
        <v>328</v>
      </c>
      <c r="CS105" s="72">
        <f t="shared" si="389"/>
        <v>341</v>
      </c>
      <c r="CT105" s="23">
        <f t="shared" si="390"/>
        <v>1</v>
      </c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  <c r="OK105" s="1"/>
      <c r="OL105" s="1"/>
      <c r="OM105" s="1"/>
      <c r="ON105" s="1"/>
      <c r="OO105" s="1"/>
      <c r="OP105" s="1"/>
      <c r="OQ105" s="1"/>
      <c r="OR105" s="1"/>
      <c r="OS105" s="1"/>
      <c r="OT105" s="1"/>
      <c r="OU105" s="1"/>
      <c r="OV105" s="1"/>
      <c r="OW105" s="1"/>
      <c r="OX105" s="1"/>
      <c r="OY105" s="1"/>
      <c r="OZ105" s="1"/>
      <c r="PA105" s="1"/>
      <c r="PB105" s="1"/>
      <c r="PC105" s="1"/>
      <c r="PD105" s="1"/>
      <c r="PE105" s="1"/>
      <c r="PF105" s="1"/>
      <c r="PG105" s="1"/>
      <c r="PH105" s="1"/>
      <c r="PI105" s="1"/>
      <c r="PJ105" s="1"/>
      <c r="PK105" s="1"/>
      <c r="PL105" s="1"/>
      <c r="PM105" s="1"/>
      <c r="PN105" s="1"/>
      <c r="PO105" s="1"/>
      <c r="PP105" s="1"/>
      <c r="PQ105" s="1"/>
      <c r="PR105" s="1"/>
      <c r="PS105" s="1"/>
      <c r="PT105" s="1"/>
      <c r="PU105" s="1"/>
      <c r="PV105" s="1"/>
      <c r="PW105" s="1"/>
      <c r="PX105" s="1"/>
      <c r="PY105" s="1"/>
      <c r="PZ105" s="1"/>
      <c r="QA105" s="1"/>
      <c r="QB105" s="1"/>
      <c r="QC105" s="1"/>
      <c r="QD105" s="1"/>
      <c r="QE105" s="1"/>
      <c r="QF105" s="1"/>
      <c r="QG105" s="1"/>
      <c r="QH105" s="1"/>
      <c r="QI105" s="1"/>
      <c r="QJ105" s="1"/>
      <c r="QK105" s="1"/>
      <c r="QL105" s="1"/>
      <c r="QM105" s="1"/>
      <c r="QN105" s="1"/>
      <c r="QO105" s="1"/>
      <c r="QP105" s="1"/>
      <c r="QQ105" s="1"/>
      <c r="QR105" s="1"/>
      <c r="QS105" s="1"/>
      <c r="QT105" s="1"/>
      <c r="QU105" s="1"/>
      <c r="QV105" s="1"/>
      <c r="QW105" s="1"/>
      <c r="QX105" s="1"/>
      <c r="QY105" s="1"/>
      <c r="QZ105" s="1"/>
      <c r="RA105" s="1"/>
      <c r="RB105" s="1"/>
      <c r="RC105" s="1"/>
      <c r="RD105" s="1"/>
      <c r="RE105" s="1"/>
      <c r="RF105" s="1"/>
      <c r="RG105" s="1"/>
      <c r="RH105" s="1"/>
      <c r="RI105" s="1"/>
      <c r="RJ105" s="1"/>
      <c r="RK105" s="1"/>
      <c r="RL105" s="1"/>
      <c r="RM105" s="1"/>
      <c r="RN105" s="1"/>
      <c r="RO105" s="1"/>
      <c r="RP105" s="1"/>
      <c r="RQ105" s="1"/>
      <c r="RR105" s="1"/>
      <c r="RS105" s="1"/>
      <c r="RT105" s="1"/>
      <c r="RU105" s="1"/>
      <c r="RV105" s="1"/>
      <c r="RW105" s="1"/>
      <c r="RX105" s="1"/>
      <c r="RY105" s="1"/>
      <c r="RZ105" s="1"/>
      <c r="SA105" s="1"/>
      <c r="SB105" s="1"/>
      <c r="SC105" s="1"/>
      <c r="SD105" s="1"/>
      <c r="SE105" s="1"/>
      <c r="SF105" s="1"/>
      <c r="SG105" s="1"/>
      <c r="SH105" s="1"/>
      <c r="SI105" s="1"/>
      <c r="SJ105" s="1"/>
      <c r="SK105" s="1"/>
      <c r="SL105" s="1"/>
      <c r="SM105" s="1"/>
      <c r="SN105" s="1"/>
      <c r="SO105" s="1"/>
      <c r="SP105" s="1"/>
      <c r="SQ105" s="1"/>
      <c r="SR105" s="1"/>
      <c r="SS105" s="1"/>
      <c r="ST105" s="1"/>
      <c r="SU105" s="1"/>
      <c r="SV105" s="1"/>
      <c r="SW105" s="1"/>
      <c r="SX105" s="1"/>
      <c r="SY105" s="1"/>
      <c r="SZ105" s="1"/>
      <c r="TA105" s="1"/>
      <c r="TB105" s="1"/>
      <c r="TC105" s="1"/>
      <c r="TD105" s="1"/>
      <c r="TE105" s="1"/>
      <c r="TF105" s="1"/>
      <c r="TG105" s="1"/>
      <c r="TH105" s="1"/>
      <c r="TI105" s="1"/>
      <c r="TJ105" s="1"/>
      <c r="TK105" s="1"/>
      <c r="TL105" s="1"/>
      <c r="TM105" s="1"/>
      <c r="TN105" s="1"/>
      <c r="TO105" s="1"/>
      <c r="TP105" s="1"/>
      <c r="TQ105" s="1"/>
      <c r="TR105" s="1"/>
      <c r="TS105" s="1"/>
      <c r="TT105" s="1"/>
      <c r="TU105" s="1"/>
      <c r="TV105" s="1"/>
      <c r="TW105" s="1"/>
      <c r="TX105" s="1"/>
      <c r="TY105" s="1"/>
      <c r="TZ105" s="1"/>
      <c r="UA105" s="1"/>
      <c r="UB105" s="1"/>
      <c r="UC105" s="1"/>
      <c r="UD105" s="1"/>
      <c r="UE105" s="1"/>
      <c r="UF105" s="1"/>
      <c r="UG105" s="1"/>
      <c r="UH105" s="1"/>
      <c r="UI105" s="1"/>
      <c r="UJ105" s="1"/>
      <c r="UK105" s="1"/>
      <c r="UL105" s="1"/>
      <c r="UM105" s="1"/>
      <c r="UN105" s="1"/>
      <c r="UO105" s="1"/>
      <c r="UP105" s="1"/>
      <c r="UQ105" s="1"/>
      <c r="UR105" s="1"/>
      <c r="US105" s="1"/>
      <c r="UT105" s="1"/>
      <c r="UU105" s="1"/>
      <c r="UV105" s="1"/>
      <c r="UW105" s="1"/>
      <c r="UX105" s="1"/>
      <c r="UY105" s="1"/>
      <c r="UZ105" s="1"/>
      <c r="VA105" s="1"/>
      <c r="VB105" s="1"/>
      <c r="VC105" s="1"/>
      <c r="VD105" s="1"/>
      <c r="VE105" s="1"/>
      <c r="VF105" s="1"/>
      <c r="VG105" s="1"/>
      <c r="VH105" s="1"/>
      <c r="VI105" s="1"/>
      <c r="VJ105" s="1"/>
      <c r="VK105" s="1"/>
      <c r="VL105" s="1"/>
      <c r="VM105" s="1"/>
      <c r="VN105" s="1"/>
      <c r="VO105" s="1"/>
      <c r="VP105" s="1"/>
      <c r="VQ105" s="1"/>
      <c r="VR105" s="1"/>
      <c r="VS105" s="1"/>
      <c r="VT105" s="1"/>
      <c r="VU105" s="1"/>
      <c r="VV105" s="1"/>
      <c r="VW105" s="1"/>
      <c r="VX105" s="1"/>
      <c r="VY105" s="1"/>
      <c r="VZ105" s="1"/>
      <c r="WA105" s="1"/>
      <c r="WB105" s="1"/>
      <c r="WC105" s="1"/>
      <c r="WD105" s="1"/>
      <c r="WE105" s="1"/>
      <c r="WF105" s="1"/>
      <c r="WG105" s="1"/>
      <c r="WH105" s="1"/>
      <c r="WI105" s="1"/>
      <c r="WJ105" s="1"/>
      <c r="WK105" s="1"/>
      <c r="WL105" s="1"/>
      <c r="WM105" s="1"/>
      <c r="WN105" s="1"/>
      <c r="WO105" s="1"/>
      <c r="WP105" s="1"/>
      <c r="WQ105" s="1"/>
      <c r="WR105" s="1"/>
      <c r="WS105" s="1"/>
      <c r="WT105" s="1"/>
      <c r="WU105" s="1"/>
      <c r="WV105" s="1"/>
      <c r="WW105" s="1"/>
      <c r="WX105" s="1"/>
      <c r="WY105" s="1"/>
      <c r="WZ105" s="1"/>
      <c r="XA105" s="1"/>
      <c r="XB105" s="1"/>
      <c r="XC105" s="1"/>
      <c r="XD105" s="1"/>
      <c r="XE105" s="1"/>
      <c r="XF105" s="1"/>
      <c r="XG105" s="1"/>
      <c r="XH105" s="1"/>
      <c r="XI105" s="1"/>
      <c r="XJ105" s="1"/>
      <c r="XK105" s="1"/>
      <c r="XL105" s="1"/>
      <c r="XM105" s="1"/>
      <c r="XN105" s="1"/>
      <c r="XO105" s="1"/>
      <c r="XP105" s="1"/>
      <c r="XQ105" s="1"/>
      <c r="XR105" s="1"/>
      <c r="XS105" s="1"/>
      <c r="XT105" s="1"/>
      <c r="XU105" s="1"/>
      <c r="XV105" s="1"/>
      <c r="XW105" s="1"/>
      <c r="XX105" s="1"/>
      <c r="XY105" s="1"/>
      <c r="XZ105" s="1"/>
      <c r="YA105" s="1"/>
      <c r="YB105" s="1"/>
      <c r="YC105" s="1"/>
      <c r="YD105" s="1"/>
      <c r="YE105" s="1"/>
      <c r="YF105" s="1"/>
      <c r="YG105" s="1"/>
      <c r="YH105" s="1"/>
      <c r="YI105" s="1"/>
      <c r="YJ105" s="1"/>
      <c r="YK105" s="1"/>
      <c r="YL105" s="1"/>
      <c r="YM105" s="1"/>
      <c r="YN105" s="1"/>
      <c r="YO105" s="1"/>
      <c r="YP105" s="1"/>
      <c r="YQ105" s="1"/>
      <c r="YR105" s="1"/>
      <c r="YS105" s="1"/>
      <c r="YT105" s="1"/>
      <c r="YU105" s="1"/>
      <c r="YV105" s="1"/>
      <c r="YW105" s="1"/>
      <c r="YX105" s="1"/>
      <c r="YY105" s="1"/>
      <c r="YZ105" s="1"/>
      <c r="ZA105" s="1"/>
      <c r="ZB105" s="1"/>
      <c r="ZC105" s="1"/>
      <c r="ZD105" s="1"/>
      <c r="ZE105" s="1"/>
      <c r="ZF105" s="1"/>
      <c r="ZG105" s="1"/>
      <c r="ZH105" s="1"/>
      <c r="ZI105" s="1"/>
      <c r="ZJ105" s="1"/>
      <c r="ZK105" s="1"/>
      <c r="ZL105" s="1"/>
      <c r="ZM105" s="1"/>
      <c r="ZN105" s="1"/>
      <c r="ZO105" s="1"/>
      <c r="ZP105" s="1"/>
      <c r="ZQ105" s="1"/>
      <c r="ZR105" s="1"/>
      <c r="ZS105" s="1"/>
      <c r="ZT105" s="1"/>
      <c r="ZU105" s="1"/>
      <c r="ZV105" s="1"/>
      <c r="ZW105" s="1"/>
      <c r="ZX105" s="1"/>
      <c r="ZY105" s="1"/>
      <c r="ZZ105" s="1"/>
      <c r="AAA105" s="1"/>
      <c r="AAB105" s="1"/>
      <c r="AAC105" s="1"/>
      <c r="AAD105" s="1"/>
      <c r="AAE105" s="1"/>
      <c r="AAF105" s="1"/>
      <c r="AAG105" s="1"/>
      <c r="AAH105" s="1"/>
      <c r="AAI105" s="1"/>
      <c r="AAJ105" s="1"/>
      <c r="AAK105" s="1"/>
      <c r="AAL105" s="1"/>
      <c r="AAM105" s="1"/>
      <c r="AAN105" s="1"/>
      <c r="AAO105" s="1"/>
      <c r="AAP105" s="1"/>
      <c r="AAQ105" s="1"/>
      <c r="AAR105" s="1"/>
      <c r="AAS105" s="1"/>
      <c r="AAT105" s="1"/>
      <c r="AAU105" s="1"/>
      <c r="AAV105" s="1"/>
      <c r="AAW105" s="1"/>
      <c r="AAX105" s="1"/>
      <c r="AAY105" s="1"/>
      <c r="AAZ105" s="1"/>
      <c r="ABA105" s="1"/>
      <c r="ABB105" s="1"/>
      <c r="ABC105" s="1"/>
      <c r="ABD105" s="1"/>
      <c r="ABE105" s="1"/>
      <c r="ABF105" s="1"/>
      <c r="ABG105" s="1"/>
      <c r="ABH105" s="1"/>
      <c r="ABI105" s="1"/>
      <c r="ABJ105" s="1"/>
      <c r="ABK105" s="1"/>
      <c r="ABL105" s="1"/>
      <c r="ABM105" s="1"/>
      <c r="ABN105" s="1"/>
      <c r="ABO105" s="1"/>
      <c r="ABP105" s="1"/>
      <c r="ABQ105" s="1"/>
      <c r="ABR105" s="1"/>
      <c r="ABS105" s="1"/>
      <c r="ABT105" s="1"/>
      <c r="ABU105" s="1"/>
      <c r="ABV105" s="1"/>
      <c r="ABW105" s="1"/>
      <c r="ABX105" s="1"/>
      <c r="ABY105" s="1"/>
      <c r="ABZ105" s="1"/>
      <c r="ACA105" s="1"/>
      <c r="ACB105" s="1"/>
      <c r="ACC105" s="1"/>
      <c r="ACD105" s="1"/>
      <c r="ACE105" s="1"/>
      <c r="ACF105" s="1"/>
      <c r="ACG105" s="1"/>
      <c r="ACH105" s="1"/>
      <c r="ACI105" s="1"/>
      <c r="ACJ105" s="1"/>
      <c r="ACK105" s="1"/>
      <c r="ACL105" s="1"/>
      <c r="ACM105" s="1"/>
      <c r="ACN105" s="1"/>
      <c r="ACO105" s="1"/>
      <c r="ACP105" s="1"/>
      <c r="ACQ105" s="1"/>
      <c r="ACR105" s="1"/>
      <c r="ACS105" s="1"/>
      <c r="ACT105" s="1"/>
      <c r="ACU105" s="1"/>
      <c r="ACV105" s="1"/>
      <c r="ACW105" s="1"/>
      <c r="ACX105" s="1"/>
      <c r="ACY105" s="1"/>
      <c r="ACZ105" s="1"/>
      <c r="ADA105" s="1"/>
      <c r="ADB105" s="1"/>
      <c r="ADC105" s="1"/>
      <c r="ADD105" s="1"/>
      <c r="ADE105" s="1"/>
      <c r="ADF105" s="1"/>
      <c r="ADG105" s="1"/>
      <c r="ADH105" s="1"/>
      <c r="ADI105" s="1"/>
      <c r="ADJ105" s="1"/>
      <c r="ADK105" s="1"/>
      <c r="ADL105" s="1"/>
      <c r="ADM105" s="1"/>
      <c r="ADN105" s="1"/>
      <c r="ADO105" s="1"/>
      <c r="ADP105" s="1"/>
      <c r="ADQ105" s="1"/>
      <c r="ADR105" s="1"/>
      <c r="ADS105" s="1"/>
      <c r="ADT105" s="1"/>
      <c r="ADU105" s="1"/>
      <c r="ADV105" s="1"/>
      <c r="ADW105" s="1"/>
      <c r="ADX105" s="1"/>
      <c r="ADY105" s="1"/>
      <c r="ADZ105" s="1"/>
      <c r="AEA105" s="1"/>
      <c r="AEB105" s="1"/>
      <c r="AEC105" s="1"/>
      <c r="AED105" s="1"/>
      <c r="AEE105" s="1"/>
      <c r="AEF105" s="1"/>
      <c r="AEG105" s="1"/>
      <c r="AEH105" s="1"/>
      <c r="AEI105" s="1"/>
      <c r="AEJ105" s="1"/>
      <c r="AEK105" s="1"/>
      <c r="AEL105" s="1"/>
      <c r="AEM105" s="1"/>
      <c r="AEN105" s="1"/>
      <c r="AEO105" s="1"/>
      <c r="AEP105" s="1"/>
      <c r="AEQ105" s="1"/>
      <c r="AER105" s="1"/>
      <c r="AES105" s="1"/>
      <c r="AET105" s="1"/>
      <c r="AEU105" s="1"/>
      <c r="AEV105" s="1"/>
      <c r="AEW105" s="1"/>
      <c r="AEX105" s="1"/>
      <c r="AEY105" s="1"/>
      <c r="AEZ105" s="1"/>
      <c r="AFA105" s="1"/>
      <c r="AFB105" s="1"/>
      <c r="AFC105" s="1"/>
      <c r="AFD105" s="1"/>
      <c r="AFE105" s="1"/>
      <c r="AFF105" s="1"/>
      <c r="AFG105" s="1"/>
      <c r="AFH105" s="1"/>
      <c r="AFI105" s="1"/>
      <c r="AFJ105" s="1"/>
      <c r="AFK105" s="1"/>
      <c r="AFL105" s="1"/>
      <c r="AFM105" s="1"/>
      <c r="AFN105" s="1"/>
      <c r="AFO105" s="1"/>
      <c r="AFP105" s="1"/>
      <c r="AFQ105" s="1"/>
      <c r="AFR105" s="1"/>
      <c r="AFS105" s="1"/>
      <c r="AFT105" s="1"/>
      <c r="AFU105" s="1"/>
      <c r="AFV105" s="1"/>
      <c r="AFW105" s="1"/>
      <c r="AFX105" s="1"/>
      <c r="AFY105" s="1"/>
      <c r="AFZ105" s="1"/>
      <c r="AGA105" s="1"/>
      <c r="AGB105" s="1"/>
      <c r="AGC105" s="1"/>
      <c r="AGD105" s="1"/>
      <c r="AGE105" s="1"/>
      <c r="AGF105" s="1"/>
      <c r="AGG105" s="1"/>
      <c r="AGH105" s="1"/>
      <c r="AGI105" s="1"/>
      <c r="AGJ105" s="1"/>
      <c r="AGK105" s="1"/>
      <c r="AGL105" s="1"/>
      <c r="AGM105" s="1"/>
      <c r="AGN105" s="1"/>
      <c r="AGO105" s="1"/>
      <c r="AGP105" s="1"/>
      <c r="AGQ105" s="1"/>
      <c r="AGR105" s="1"/>
      <c r="AGS105" s="1"/>
      <c r="AGT105" s="1"/>
      <c r="AGU105" s="1"/>
      <c r="AGV105" s="1"/>
      <c r="AGW105" s="1"/>
      <c r="AGX105" s="1"/>
      <c r="AGY105" s="1"/>
      <c r="AGZ105" s="1"/>
      <c r="AHA105" s="1"/>
      <c r="AHB105" s="1"/>
      <c r="AHC105" s="1"/>
      <c r="AHD105" s="1"/>
      <c r="AHE105" s="1"/>
      <c r="AHF105" s="1"/>
      <c r="AHG105" s="1"/>
      <c r="AHH105" s="1"/>
      <c r="AHI105" s="1"/>
      <c r="AHJ105" s="1"/>
      <c r="AHK105" s="1"/>
      <c r="AHL105" s="1"/>
      <c r="AHM105" s="1"/>
      <c r="AHN105" s="1"/>
      <c r="AHO105" s="1"/>
      <c r="AHP105" s="1"/>
      <c r="AHQ105" s="1"/>
      <c r="AHR105" s="1"/>
      <c r="AHS105" s="1"/>
      <c r="AHT105" s="1"/>
      <c r="AHU105" s="1"/>
      <c r="AHV105" s="1"/>
      <c r="AHW105" s="1"/>
      <c r="AHX105" s="1"/>
      <c r="AHY105" s="1"/>
      <c r="AHZ105" s="1"/>
      <c r="AIA105" s="1"/>
      <c r="AIB105" s="1"/>
      <c r="AIC105" s="1"/>
      <c r="AID105" s="1"/>
      <c r="AIE105" s="1"/>
      <c r="AIF105" s="1"/>
      <c r="AIG105" s="1"/>
      <c r="AIH105" s="1"/>
      <c r="AII105" s="1"/>
      <c r="AIJ105" s="1"/>
      <c r="AIK105" s="1"/>
      <c r="AIL105" s="1"/>
      <c r="AIM105" s="1"/>
      <c r="AIN105" s="1"/>
      <c r="AIO105" s="1"/>
      <c r="AIP105" s="1"/>
      <c r="AIQ105" s="1"/>
      <c r="AIR105" s="1"/>
      <c r="AIS105" s="1"/>
      <c r="AIT105" s="1"/>
      <c r="AIU105" s="1"/>
      <c r="AIV105" s="1"/>
      <c r="AIW105" s="1"/>
      <c r="AIX105" s="1"/>
      <c r="AIY105" s="1"/>
      <c r="AIZ105" s="1"/>
      <c r="AJA105" s="1"/>
      <c r="AJB105" s="1"/>
      <c r="AJC105" s="1"/>
      <c r="AJD105" s="1"/>
      <c r="AJE105" s="1"/>
      <c r="AJF105" s="1"/>
      <c r="AJG105" s="1"/>
      <c r="AJH105" s="1"/>
      <c r="AJI105" s="1"/>
      <c r="AJJ105" s="1"/>
      <c r="AJK105" s="1"/>
      <c r="AJL105" s="1"/>
      <c r="AJM105" s="1"/>
      <c r="AJN105" s="1"/>
      <c r="AJO105" s="1"/>
      <c r="AJP105" s="1"/>
      <c r="AJQ105" s="1"/>
      <c r="AJR105" s="1"/>
      <c r="AJS105" s="1"/>
      <c r="AJT105" s="1"/>
      <c r="AJU105" s="1"/>
      <c r="AJV105" s="1"/>
      <c r="AJW105" s="1"/>
      <c r="AJX105" s="1"/>
      <c r="AJY105" s="1"/>
      <c r="AJZ105" s="1"/>
      <c r="AKA105" s="1"/>
      <c r="AKB105" s="1"/>
      <c r="AKC105" s="1"/>
      <c r="AKD105" s="1"/>
      <c r="AKE105" s="1"/>
      <c r="AKF105" s="1"/>
      <c r="AKG105" s="1"/>
      <c r="AKH105" s="1"/>
      <c r="AKI105" s="1"/>
      <c r="AKJ105" s="1"/>
      <c r="AKK105" s="1"/>
      <c r="AKL105" s="1"/>
      <c r="AKM105" s="1"/>
      <c r="AKN105" s="1"/>
      <c r="AKO105" s="1"/>
      <c r="AKP105" s="1"/>
      <c r="AKQ105" s="1"/>
      <c r="AKR105" s="1"/>
      <c r="AKS105" s="1"/>
      <c r="AKT105" s="1"/>
      <c r="AKU105" s="1"/>
      <c r="AKV105" s="1"/>
      <c r="AKW105" s="1"/>
      <c r="AKX105" s="1"/>
      <c r="AKY105" s="1"/>
      <c r="AKZ105" s="1"/>
      <c r="ALA105" s="1"/>
      <c r="ALB105" s="1"/>
      <c r="ALC105" s="1"/>
      <c r="ALD105" s="1"/>
      <c r="ALE105" s="1"/>
      <c r="ALF105" s="1"/>
      <c r="ALG105" s="1"/>
      <c r="ALH105" s="1"/>
      <c r="ALI105" s="1"/>
      <c r="ALJ105" s="1"/>
      <c r="ALK105" s="1"/>
      <c r="ALL105" s="1"/>
      <c r="ALM105" s="1"/>
      <c r="ALN105" s="1"/>
      <c r="ALO105" s="1"/>
      <c r="ALP105" s="1"/>
      <c r="ALQ105" s="1"/>
      <c r="ALR105" s="1"/>
      <c r="ALS105" s="1"/>
      <c r="ALT105" s="1"/>
      <c r="ALU105" s="1"/>
      <c r="ALV105" s="1"/>
      <c r="ALW105" s="1"/>
      <c r="ALX105" s="1"/>
      <c r="ALY105" s="1"/>
      <c r="ALZ105" s="1"/>
      <c r="AMA105" s="1"/>
      <c r="AMB105" s="1"/>
      <c r="AMC105" s="1"/>
      <c r="AMD105" s="1"/>
      <c r="AME105" s="1"/>
      <c r="AMF105" s="1"/>
      <c r="AMG105" s="1"/>
      <c r="AMH105" s="1"/>
      <c r="AMI105" s="1"/>
      <c r="AMJ105" s="1"/>
      <c r="AMK105" s="1"/>
      <c r="AML105" s="1"/>
      <c r="AMM105" s="1"/>
      <c r="AMN105" s="1"/>
      <c r="AMO105" s="1"/>
    </row>
    <row r="106" spans="1:1029" x14ac:dyDescent="0.2">
      <c r="A106" s="3" t="str">
        <f t="shared" si="223"/>
        <v>adrb2_human_3NYA</v>
      </c>
      <c r="B106" s="3" t="s">
        <v>126</v>
      </c>
      <c r="C106" s="3" t="s">
        <v>1340</v>
      </c>
      <c r="D106" s="3" t="str">
        <f>IFERROR(MID(VLOOKUP($B106,Seqs!$A:$B,2,0),E106,1),"")</f>
        <v>W</v>
      </c>
      <c r="E106" s="3">
        <v>32</v>
      </c>
      <c r="F106" s="3" t="str">
        <f>IFERROR(MID(VLOOKUP($B106,Seqs!$A:$B,2,0),G106,1),"")</f>
        <v>F</v>
      </c>
      <c r="G106" s="3">
        <v>61</v>
      </c>
      <c r="H106" s="3" t="str">
        <f>IFERROR(MID(VLOOKUP($B106,Seqs!$A:$B,2,0),I106,1),"")</f>
        <v>E</v>
      </c>
      <c r="I106" s="23">
        <v>62</v>
      </c>
      <c r="J106" s="3" t="str">
        <f>IFERROR(MID(VLOOKUP($B106,Seqs!$A:$B,2,0),K106,1),"")</f>
        <v>Q</v>
      </c>
      <c r="K106" s="23">
        <v>65</v>
      </c>
      <c r="L106" s="3" t="str">
        <f>IFERROR(MID(VLOOKUP($B106,Seqs!$A:$B,2,0),M106,1),"")</f>
        <v>T</v>
      </c>
      <c r="M106" s="3">
        <v>66</v>
      </c>
      <c r="N106" s="3" t="str">
        <f>IFERROR(MID(VLOOKUP($B106,Seqs!$A:$B,2,0),O106,1),"")</f>
        <v>M</v>
      </c>
      <c r="O106" s="3">
        <v>96</v>
      </c>
      <c r="P106" s="3" t="str">
        <f>IFERROR(MID(VLOOKUP($B106,Seqs!$A:$B,2,0),Q106,1),"")</f>
        <v>M</v>
      </c>
      <c r="Q106" s="3">
        <v>98</v>
      </c>
      <c r="R106" s="3" t="str">
        <f>IFERROR(MID(VLOOKUP($B106,Seqs!$A:$B,2,0),S106,1),"")</f>
        <v>F</v>
      </c>
      <c r="S106" s="3">
        <v>101</v>
      </c>
      <c r="T106" s="3" t="str">
        <f>IFERROR(MID(VLOOKUP($B106,Seqs!$A:$B,2,0),U106,1),"")</f>
        <v>G</v>
      </c>
      <c r="U106" s="3">
        <v>102</v>
      </c>
      <c r="V106" s="3" t="str">
        <f>IFERROR(MID(VLOOKUP($B106,Seqs!$A:$B,2,0),W106,1),"")</f>
        <v>S</v>
      </c>
      <c r="W106" s="3">
        <v>137</v>
      </c>
      <c r="X106" s="3" t="str">
        <f>IFERROR(MID(VLOOKUP($B106,Seqs!$A:$B,2,0),Y106,1),"")</f>
        <v/>
      </c>
      <c r="Y106" s="3" t="s">
        <v>23</v>
      </c>
      <c r="Z106" s="3" t="str">
        <f>IFERROR(MID(VLOOKUP($B106,Seqs!$A:$B,2,0),AA106,1),"")</f>
        <v/>
      </c>
      <c r="AA106" s="3" t="s">
        <v>23</v>
      </c>
      <c r="AB106" s="3" t="str">
        <f>IFERROR(MID(VLOOKUP($B106,Seqs!$A:$B,2,0),AC106,1),"")</f>
        <v>T</v>
      </c>
      <c r="AC106" s="9">
        <v>146</v>
      </c>
      <c r="AD106" s="3" t="str">
        <f>IFERROR(MID(VLOOKUP($B106,Seqs!$A:$B,2,0),AE106,1),"")</f>
        <v>H</v>
      </c>
      <c r="AE106" s="3">
        <v>172</v>
      </c>
      <c r="AF106" s="3" t="str">
        <f>IFERROR(MID(VLOOKUP($B106,Seqs!$A:$B,2,0),AG106,1),"")</f>
        <v>C</v>
      </c>
      <c r="AG106" s="3">
        <v>191</v>
      </c>
      <c r="AH106" s="3" t="str">
        <f>IFERROR(MID(VLOOKUP($B106,Seqs!$A:$B,2,0),AI106,1),"")</f>
        <v>F</v>
      </c>
      <c r="AI106" s="3">
        <v>193</v>
      </c>
      <c r="AJ106" s="3" t="str">
        <f>IFERROR(MID(VLOOKUP($B106,Seqs!$A:$B,2,0),AK106,1),"")</f>
        <v>N</v>
      </c>
      <c r="AK106" s="3">
        <v>196</v>
      </c>
      <c r="AL106" s="3" t="str">
        <f>IFERROR(MID(VLOOKUP($B106,Seqs!$A:$B,2,0),AM106,1),"")</f>
        <v>Q</v>
      </c>
      <c r="AM106" s="3">
        <v>229</v>
      </c>
      <c r="AN106" s="3" t="str">
        <f>IFERROR(MID(VLOOKUP($B106,Seqs!$A:$B,2,0),AO106,1),"")</f>
        <v>K</v>
      </c>
      <c r="AO106" s="3">
        <v>267</v>
      </c>
      <c r="AP106" s="3" t="str">
        <f>IFERROR(MID(VLOOKUP($B106,Seqs!$A:$B,2,0),AQ106,1),"")</f>
        <v>Q</v>
      </c>
      <c r="AQ106" s="3">
        <v>299</v>
      </c>
      <c r="AR106" s="3" t="str">
        <f>IFERROR(MID(VLOOKUP($B106,Seqs!$A:$B,2,0),AS106,1),"")</f>
        <v>R</v>
      </c>
      <c r="AS106" s="3">
        <v>304</v>
      </c>
      <c r="AT106" s="3" t="str">
        <f>IFERROR(MID(VLOOKUP($B106,Seqs!$A:$B,2,0),AU106,1),"")</f>
        <v>R</v>
      </c>
      <c r="AU106" s="3">
        <v>328</v>
      </c>
      <c r="AV106" s="3" t="str">
        <f>IFERROR(MID(VLOOKUP($B106,Seqs!$A:$B,2,0),AW106,1),"")</f>
        <v>S</v>
      </c>
      <c r="AW106" s="3">
        <v>329</v>
      </c>
      <c r="AX106" s="3" t="str">
        <f>IFERROR(MID(VLOOKUP($B106,Seqs!$A:$B,2,0),AY106,1),"")</f>
        <v>C</v>
      </c>
      <c r="AY106" s="3">
        <v>341</v>
      </c>
      <c r="AZ106" s="77" t="str">
        <f>VLOOKUP(B106,Classification!A:D,2,0)</f>
        <v>A</v>
      </c>
      <c r="BA106" s="94" t="str">
        <f>VLOOKUP(B106,Classification!A:D,4,0)</f>
        <v>Adrenoceptors</v>
      </c>
      <c r="BB106" s="27" t="b">
        <f t="shared" si="224"/>
        <v>1</v>
      </c>
      <c r="BC106" s="23">
        <f t="shared" si="365"/>
        <v>241</v>
      </c>
      <c r="BD106" s="4" t="s">
        <v>23</v>
      </c>
      <c r="BE106" s="3" t="s">
        <v>1381</v>
      </c>
      <c r="BF106" s="119">
        <v>3.16</v>
      </c>
      <c r="BG106" s="49" t="s">
        <v>1384</v>
      </c>
      <c r="BH106" s="49" t="s">
        <v>1384</v>
      </c>
      <c r="BI106" s="1"/>
      <c r="BJ106" s="70" t="s">
        <v>1293</v>
      </c>
      <c r="BK106" s="57" t="s">
        <v>1293</v>
      </c>
      <c r="BL106" s="57" t="s">
        <v>1293</v>
      </c>
      <c r="BM106" s="57" t="s">
        <v>1293</v>
      </c>
      <c r="BN106" s="57" t="s">
        <v>1293</v>
      </c>
      <c r="BO106" s="57" t="s">
        <v>1293</v>
      </c>
      <c r="BP106" s="57" t="s">
        <v>1293</v>
      </c>
      <c r="BQ106" s="57" t="s">
        <v>1293</v>
      </c>
      <c r="BR106" s="57" t="s">
        <v>1293</v>
      </c>
      <c r="BS106" s="57" t="s">
        <v>1293</v>
      </c>
      <c r="BT106" s="57" t="s">
        <v>1293</v>
      </c>
      <c r="BU106" s="57" t="s">
        <v>1293</v>
      </c>
      <c r="BV106" s="70">
        <f t="shared" si="366"/>
        <v>32</v>
      </c>
      <c r="BW106" s="71">
        <f t="shared" si="367"/>
        <v>62</v>
      </c>
      <c r="BX106" s="72">
        <f t="shared" si="368"/>
        <v>66</v>
      </c>
      <c r="BY106" s="71">
        <f t="shared" si="369"/>
        <v>98</v>
      </c>
      <c r="BZ106" s="72">
        <f t="shared" si="370"/>
        <v>102</v>
      </c>
      <c r="CA106" s="71" t="str">
        <f t="shared" si="371"/>
        <v>-</v>
      </c>
      <c r="CB106" s="72">
        <f t="shared" si="372"/>
        <v>146</v>
      </c>
      <c r="CC106" s="71">
        <f t="shared" si="373"/>
        <v>191</v>
      </c>
      <c r="CD106" s="72">
        <f t="shared" si="374"/>
        <v>196</v>
      </c>
      <c r="CE106" s="71">
        <f t="shared" si="375"/>
        <v>267</v>
      </c>
      <c r="CF106" s="72">
        <f t="shared" si="376"/>
        <v>304</v>
      </c>
      <c r="CG106" s="71">
        <f t="shared" si="377"/>
        <v>329</v>
      </c>
      <c r="CH106" s="70">
        <f t="shared" si="378"/>
        <v>61</v>
      </c>
      <c r="CI106" s="71">
        <f t="shared" si="379"/>
        <v>65</v>
      </c>
      <c r="CJ106" s="72">
        <f t="shared" si="380"/>
        <v>96</v>
      </c>
      <c r="CK106" s="72">
        <f t="shared" si="381"/>
        <v>101</v>
      </c>
      <c r="CL106" s="72">
        <f t="shared" si="382"/>
        <v>137</v>
      </c>
      <c r="CM106" s="72" t="str">
        <f t="shared" si="383"/>
        <v>-</v>
      </c>
      <c r="CN106" s="72">
        <f t="shared" si="384"/>
        <v>172</v>
      </c>
      <c r="CO106" s="72">
        <f t="shared" si="385"/>
        <v>193</v>
      </c>
      <c r="CP106" s="72">
        <f t="shared" si="386"/>
        <v>229</v>
      </c>
      <c r="CQ106" s="72">
        <f t="shared" si="387"/>
        <v>299</v>
      </c>
      <c r="CR106" s="72">
        <f t="shared" si="388"/>
        <v>328</v>
      </c>
      <c r="CS106" s="72">
        <f t="shared" si="389"/>
        <v>341</v>
      </c>
      <c r="CT106" s="23">
        <f t="shared" si="390"/>
        <v>1</v>
      </c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  <c r="OK106" s="1"/>
      <c r="OL106" s="1"/>
      <c r="OM106" s="1"/>
      <c r="ON106" s="1"/>
      <c r="OO106" s="1"/>
      <c r="OP106" s="1"/>
      <c r="OQ106" s="1"/>
      <c r="OR106" s="1"/>
      <c r="OS106" s="1"/>
      <c r="OT106" s="1"/>
      <c r="OU106" s="1"/>
      <c r="OV106" s="1"/>
      <c r="OW106" s="1"/>
      <c r="OX106" s="1"/>
      <c r="OY106" s="1"/>
      <c r="OZ106" s="1"/>
      <c r="PA106" s="1"/>
      <c r="PB106" s="1"/>
      <c r="PC106" s="1"/>
      <c r="PD106" s="1"/>
      <c r="PE106" s="1"/>
      <c r="PF106" s="1"/>
      <c r="PG106" s="1"/>
      <c r="PH106" s="1"/>
      <c r="PI106" s="1"/>
      <c r="PJ106" s="1"/>
      <c r="PK106" s="1"/>
      <c r="PL106" s="1"/>
      <c r="PM106" s="1"/>
      <c r="PN106" s="1"/>
      <c r="PO106" s="1"/>
      <c r="PP106" s="1"/>
      <c r="PQ106" s="1"/>
      <c r="PR106" s="1"/>
      <c r="PS106" s="1"/>
      <c r="PT106" s="1"/>
      <c r="PU106" s="1"/>
      <c r="PV106" s="1"/>
      <c r="PW106" s="1"/>
      <c r="PX106" s="1"/>
      <c r="PY106" s="1"/>
      <c r="PZ106" s="1"/>
      <c r="QA106" s="1"/>
      <c r="QB106" s="1"/>
      <c r="QC106" s="1"/>
      <c r="QD106" s="1"/>
      <c r="QE106" s="1"/>
      <c r="QF106" s="1"/>
      <c r="QG106" s="1"/>
      <c r="QH106" s="1"/>
      <c r="QI106" s="1"/>
      <c r="QJ106" s="1"/>
      <c r="QK106" s="1"/>
      <c r="QL106" s="1"/>
      <c r="QM106" s="1"/>
      <c r="QN106" s="1"/>
      <c r="QO106" s="1"/>
      <c r="QP106" s="1"/>
      <c r="QQ106" s="1"/>
      <c r="QR106" s="1"/>
      <c r="QS106" s="1"/>
      <c r="QT106" s="1"/>
      <c r="QU106" s="1"/>
      <c r="QV106" s="1"/>
      <c r="QW106" s="1"/>
      <c r="QX106" s="1"/>
      <c r="QY106" s="1"/>
      <c r="QZ106" s="1"/>
      <c r="RA106" s="1"/>
      <c r="RB106" s="1"/>
      <c r="RC106" s="1"/>
      <c r="RD106" s="1"/>
      <c r="RE106" s="1"/>
      <c r="RF106" s="1"/>
      <c r="RG106" s="1"/>
      <c r="RH106" s="1"/>
      <c r="RI106" s="1"/>
      <c r="RJ106" s="1"/>
      <c r="RK106" s="1"/>
      <c r="RL106" s="1"/>
      <c r="RM106" s="1"/>
      <c r="RN106" s="1"/>
      <c r="RO106" s="1"/>
      <c r="RP106" s="1"/>
      <c r="RQ106" s="1"/>
      <c r="RR106" s="1"/>
      <c r="RS106" s="1"/>
      <c r="RT106" s="1"/>
      <c r="RU106" s="1"/>
      <c r="RV106" s="1"/>
      <c r="RW106" s="1"/>
      <c r="RX106" s="1"/>
      <c r="RY106" s="1"/>
      <c r="RZ106" s="1"/>
      <c r="SA106" s="1"/>
      <c r="SB106" s="1"/>
      <c r="SC106" s="1"/>
      <c r="SD106" s="1"/>
      <c r="SE106" s="1"/>
      <c r="SF106" s="1"/>
      <c r="SG106" s="1"/>
      <c r="SH106" s="1"/>
      <c r="SI106" s="1"/>
      <c r="SJ106" s="1"/>
      <c r="SK106" s="1"/>
      <c r="SL106" s="1"/>
      <c r="SM106" s="1"/>
      <c r="SN106" s="1"/>
      <c r="SO106" s="1"/>
      <c r="SP106" s="1"/>
      <c r="SQ106" s="1"/>
      <c r="SR106" s="1"/>
      <c r="SS106" s="1"/>
      <c r="ST106" s="1"/>
      <c r="SU106" s="1"/>
      <c r="SV106" s="1"/>
      <c r="SW106" s="1"/>
      <c r="SX106" s="1"/>
      <c r="SY106" s="1"/>
      <c r="SZ106" s="1"/>
      <c r="TA106" s="1"/>
      <c r="TB106" s="1"/>
      <c r="TC106" s="1"/>
      <c r="TD106" s="1"/>
      <c r="TE106" s="1"/>
      <c r="TF106" s="1"/>
      <c r="TG106" s="1"/>
      <c r="TH106" s="1"/>
      <c r="TI106" s="1"/>
      <c r="TJ106" s="1"/>
      <c r="TK106" s="1"/>
      <c r="TL106" s="1"/>
      <c r="TM106" s="1"/>
      <c r="TN106" s="1"/>
      <c r="TO106" s="1"/>
      <c r="TP106" s="1"/>
      <c r="TQ106" s="1"/>
      <c r="TR106" s="1"/>
      <c r="TS106" s="1"/>
      <c r="TT106" s="1"/>
      <c r="TU106" s="1"/>
      <c r="TV106" s="1"/>
      <c r="TW106" s="1"/>
      <c r="TX106" s="1"/>
      <c r="TY106" s="1"/>
      <c r="TZ106" s="1"/>
      <c r="UA106" s="1"/>
      <c r="UB106" s="1"/>
      <c r="UC106" s="1"/>
      <c r="UD106" s="1"/>
      <c r="UE106" s="1"/>
      <c r="UF106" s="1"/>
      <c r="UG106" s="1"/>
      <c r="UH106" s="1"/>
      <c r="UI106" s="1"/>
      <c r="UJ106" s="1"/>
      <c r="UK106" s="1"/>
      <c r="UL106" s="1"/>
      <c r="UM106" s="1"/>
      <c r="UN106" s="1"/>
      <c r="UO106" s="1"/>
      <c r="UP106" s="1"/>
      <c r="UQ106" s="1"/>
      <c r="UR106" s="1"/>
      <c r="US106" s="1"/>
      <c r="UT106" s="1"/>
      <c r="UU106" s="1"/>
      <c r="UV106" s="1"/>
      <c r="UW106" s="1"/>
      <c r="UX106" s="1"/>
      <c r="UY106" s="1"/>
      <c r="UZ106" s="1"/>
      <c r="VA106" s="1"/>
      <c r="VB106" s="1"/>
      <c r="VC106" s="1"/>
      <c r="VD106" s="1"/>
      <c r="VE106" s="1"/>
      <c r="VF106" s="1"/>
      <c r="VG106" s="1"/>
      <c r="VH106" s="1"/>
      <c r="VI106" s="1"/>
      <c r="VJ106" s="1"/>
      <c r="VK106" s="1"/>
      <c r="VL106" s="1"/>
      <c r="VM106" s="1"/>
      <c r="VN106" s="1"/>
      <c r="VO106" s="1"/>
      <c r="VP106" s="1"/>
      <c r="VQ106" s="1"/>
      <c r="VR106" s="1"/>
      <c r="VS106" s="1"/>
      <c r="VT106" s="1"/>
      <c r="VU106" s="1"/>
      <c r="VV106" s="1"/>
      <c r="VW106" s="1"/>
      <c r="VX106" s="1"/>
      <c r="VY106" s="1"/>
      <c r="VZ106" s="1"/>
      <c r="WA106" s="1"/>
      <c r="WB106" s="1"/>
      <c r="WC106" s="1"/>
      <c r="WD106" s="1"/>
      <c r="WE106" s="1"/>
      <c r="WF106" s="1"/>
      <c r="WG106" s="1"/>
      <c r="WH106" s="1"/>
      <c r="WI106" s="1"/>
      <c r="WJ106" s="1"/>
      <c r="WK106" s="1"/>
      <c r="WL106" s="1"/>
      <c r="WM106" s="1"/>
      <c r="WN106" s="1"/>
      <c r="WO106" s="1"/>
      <c r="WP106" s="1"/>
      <c r="WQ106" s="1"/>
      <c r="WR106" s="1"/>
      <c r="WS106" s="1"/>
      <c r="WT106" s="1"/>
      <c r="WU106" s="1"/>
      <c r="WV106" s="1"/>
      <c r="WW106" s="1"/>
      <c r="WX106" s="1"/>
      <c r="WY106" s="1"/>
      <c r="WZ106" s="1"/>
      <c r="XA106" s="1"/>
      <c r="XB106" s="1"/>
      <c r="XC106" s="1"/>
      <c r="XD106" s="1"/>
      <c r="XE106" s="1"/>
      <c r="XF106" s="1"/>
      <c r="XG106" s="1"/>
      <c r="XH106" s="1"/>
      <c r="XI106" s="1"/>
      <c r="XJ106" s="1"/>
      <c r="XK106" s="1"/>
      <c r="XL106" s="1"/>
      <c r="XM106" s="1"/>
      <c r="XN106" s="1"/>
      <c r="XO106" s="1"/>
      <c r="XP106" s="1"/>
      <c r="XQ106" s="1"/>
      <c r="XR106" s="1"/>
      <c r="XS106" s="1"/>
      <c r="XT106" s="1"/>
      <c r="XU106" s="1"/>
      <c r="XV106" s="1"/>
      <c r="XW106" s="1"/>
      <c r="XX106" s="1"/>
      <c r="XY106" s="1"/>
      <c r="XZ106" s="1"/>
      <c r="YA106" s="1"/>
      <c r="YB106" s="1"/>
      <c r="YC106" s="1"/>
      <c r="YD106" s="1"/>
      <c r="YE106" s="1"/>
      <c r="YF106" s="1"/>
      <c r="YG106" s="1"/>
      <c r="YH106" s="1"/>
      <c r="YI106" s="1"/>
      <c r="YJ106" s="1"/>
      <c r="YK106" s="1"/>
      <c r="YL106" s="1"/>
      <c r="YM106" s="1"/>
      <c r="YN106" s="1"/>
      <c r="YO106" s="1"/>
      <c r="YP106" s="1"/>
      <c r="YQ106" s="1"/>
      <c r="YR106" s="1"/>
      <c r="YS106" s="1"/>
      <c r="YT106" s="1"/>
      <c r="YU106" s="1"/>
      <c r="YV106" s="1"/>
      <c r="YW106" s="1"/>
      <c r="YX106" s="1"/>
      <c r="YY106" s="1"/>
      <c r="YZ106" s="1"/>
      <c r="ZA106" s="1"/>
      <c r="ZB106" s="1"/>
      <c r="ZC106" s="1"/>
      <c r="ZD106" s="1"/>
      <c r="ZE106" s="1"/>
      <c r="ZF106" s="1"/>
      <c r="ZG106" s="1"/>
      <c r="ZH106" s="1"/>
      <c r="ZI106" s="1"/>
      <c r="ZJ106" s="1"/>
      <c r="ZK106" s="1"/>
      <c r="ZL106" s="1"/>
      <c r="ZM106" s="1"/>
      <c r="ZN106" s="1"/>
      <c r="ZO106" s="1"/>
      <c r="ZP106" s="1"/>
      <c r="ZQ106" s="1"/>
      <c r="ZR106" s="1"/>
      <c r="ZS106" s="1"/>
      <c r="ZT106" s="1"/>
      <c r="ZU106" s="1"/>
      <c r="ZV106" s="1"/>
      <c r="ZW106" s="1"/>
      <c r="ZX106" s="1"/>
      <c r="ZY106" s="1"/>
      <c r="ZZ106" s="1"/>
      <c r="AAA106" s="1"/>
      <c r="AAB106" s="1"/>
      <c r="AAC106" s="1"/>
      <c r="AAD106" s="1"/>
      <c r="AAE106" s="1"/>
      <c r="AAF106" s="1"/>
      <c r="AAG106" s="1"/>
      <c r="AAH106" s="1"/>
      <c r="AAI106" s="1"/>
      <c r="AAJ106" s="1"/>
      <c r="AAK106" s="1"/>
      <c r="AAL106" s="1"/>
      <c r="AAM106" s="1"/>
      <c r="AAN106" s="1"/>
      <c r="AAO106" s="1"/>
      <c r="AAP106" s="1"/>
      <c r="AAQ106" s="1"/>
      <c r="AAR106" s="1"/>
      <c r="AAS106" s="1"/>
      <c r="AAT106" s="1"/>
      <c r="AAU106" s="1"/>
      <c r="AAV106" s="1"/>
      <c r="AAW106" s="1"/>
      <c r="AAX106" s="1"/>
      <c r="AAY106" s="1"/>
      <c r="AAZ106" s="1"/>
      <c r="ABA106" s="1"/>
      <c r="ABB106" s="1"/>
      <c r="ABC106" s="1"/>
      <c r="ABD106" s="1"/>
      <c r="ABE106" s="1"/>
      <c r="ABF106" s="1"/>
      <c r="ABG106" s="1"/>
      <c r="ABH106" s="1"/>
      <c r="ABI106" s="1"/>
      <c r="ABJ106" s="1"/>
      <c r="ABK106" s="1"/>
      <c r="ABL106" s="1"/>
      <c r="ABM106" s="1"/>
      <c r="ABN106" s="1"/>
      <c r="ABO106" s="1"/>
      <c r="ABP106" s="1"/>
      <c r="ABQ106" s="1"/>
      <c r="ABR106" s="1"/>
      <c r="ABS106" s="1"/>
      <c r="ABT106" s="1"/>
      <c r="ABU106" s="1"/>
      <c r="ABV106" s="1"/>
      <c r="ABW106" s="1"/>
      <c r="ABX106" s="1"/>
      <c r="ABY106" s="1"/>
      <c r="ABZ106" s="1"/>
      <c r="ACA106" s="1"/>
      <c r="ACB106" s="1"/>
      <c r="ACC106" s="1"/>
      <c r="ACD106" s="1"/>
      <c r="ACE106" s="1"/>
      <c r="ACF106" s="1"/>
      <c r="ACG106" s="1"/>
      <c r="ACH106" s="1"/>
      <c r="ACI106" s="1"/>
      <c r="ACJ106" s="1"/>
      <c r="ACK106" s="1"/>
      <c r="ACL106" s="1"/>
      <c r="ACM106" s="1"/>
      <c r="ACN106" s="1"/>
      <c r="ACO106" s="1"/>
      <c r="ACP106" s="1"/>
      <c r="ACQ106" s="1"/>
      <c r="ACR106" s="1"/>
      <c r="ACS106" s="1"/>
      <c r="ACT106" s="1"/>
      <c r="ACU106" s="1"/>
      <c r="ACV106" s="1"/>
      <c r="ACW106" s="1"/>
      <c r="ACX106" s="1"/>
      <c r="ACY106" s="1"/>
      <c r="ACZ106" s="1"/>
      <c r="ADA106" s="1"/>
      <c r="ADB106" s="1"/>
      <c r="ADC106" s="1"/>
      <c r="ADD106" s="1"/>
      <c r="ADE106" s="1"/>
      <c r="ADF106" s="1"/>
      <c r="ADG106" s="1"/>
      <c r="ADH106" s="1"/>
      <c r="ADI106" s="1"/>
      <c r="ADJ106" s="1"/>
      <c r="ADK106" s="1"/>
      <c r="ADL106" s="1"/>
      <c r="ADM106" s="1"/>
      <c r="ADN106" s="1"/>
      <c r="ADO106" s="1"/>
      <c r="ADP106" s="1"/>
      <c r="ADQ106" s="1"/>
      <c r="ADR106" s="1"/>
      <c r="ADS106" s="1"/>
      <c r="ADT106" s="1"/>
      <c r="ADU106" s="1"/>
      <c r="ADV106" s="1"/>
      <c r="ADW106" s="1"/>
      <c r="ADX106" s="1"/>
      <c r="ADY106" s="1"/>
      <c r="ADZ106" s="1"/>
      <c r="AEA106" s="1"/>
      <c r="AEB106" s="1"/>
      <c r="AEC106" s="1"/>
      <c r="AED106" s="1"/>
      <c r="AEE106" s="1"/>
      <c r="AEF106" s="1"/>
      <c r="AEG106" s="1"/>
      <c r="AEH106" s="1"/>
      <c r="AEI106" s="1"/>
      <c r="AEJ106" s="1"/>
      <c r="AEK106" s="1"/>
      <c r="AEL106" s="1"/>
      <c r="AEM106" s="1"/>
      <c r="AEN106" s="1"/>
      <c r="AEO106" s="1"/>
      <c r="AEP106" s="1"/>
      <c r="AEQ106" s="1"/>
      <c r="AER106" s="1"/>
      <c r="AES106" s="1"/>
      <c r="AET106" s="1"/>
      <c r="AEU106" s="1"/>
      <c r="AEV106" s="1"/>
      <c r="AEW106" s="1"/>
      <c r="AEX106" s="1"/>
      <c r="AEY106" s="1"/>
      <c r="AEZ106" s="1"/>
      <c r="AFA106" s="1"/>
      <c r="AFB106" s="1"/>
      <c r="AFC106" s="1"/>
      <c r="AFD106" s="1"/>
      <c r="AFE106" s="1"/>
      <c r="AFF106" s="1"/>
      <c r="AFG106" s="1"/>
      <c r="AFH106" s="1"/>
      <c r="AFI106" s="1"/>
      <c r="AFJ106" s="1"/>
      <c r="AFK106" s="1"/>
      <c r="AFL106" s="1"/>
      <c r="AFM106" s="1"/>
      <c r="AFN106" s="1"/>
      <c r="AFO106" s="1"/>
      <c r="AFP106" s="1"/>
      <c r="AFQ106" s="1"/>
      <c r="AFR106" s="1"/>
      <c r="AFS106" s="1"/>
      <c r="AFT106" s="1"/>
      <c r="AFU106" s="1"/>
      <c r="AFV106" s="1"/>
      <c r="AFW106" s="1"/>
      <c r="AFX106" s="1"/>
      <c r="AFY106" s="1"/>
      <c r="AFZ106" s="1"/>
      <c r="AGA106" s="1"/>
      <c r="AGB106" s="1"/>
      <c r="AGC106" s="1"/>
      <c r="AGD106" s="1"/>
      <c r="AGE106" s="1"/>
      <c r="AGF106" s="1"/>
      <c r="AGG106" s="1"/>
      <c r="AGH106" s="1"/>
      <c r="AGI106" s="1"/>
      <c r="AGJ106" s="1"/>
      <c r="AGK106" s="1"/>
      <c r="AGL106" s="1"/>
      <c r="AGM106" s="1"/>
      <c r="AGN106" s="1"/>
      <c r="AGO106" s="1"/>
      <c r="AGP106" s="1"/>
      <c r="AGQ106" s="1"/>
      <c r="AGR106" s="1"/>
      <c r="AGS106" s="1"/>
      <c r="AGT106" s="1"/>
      <c r="AGU106" s="1"/>
      <c r="AGV106" s="1"/>
      <c r="AGW106" s="1"/>
      <c r="AGX106" s="1"/>
      <c r="AGY106" s="1"/>
      <c r="AGZ106" s="1"/>
      <c r="AHA106" s="1"/>
      <c r="AHB106" s="1"/>
      <c r="AHC106" s="1"/>
      <c r="AHD106" s="1"/>
      <c r="AHE106" s="1"/>
      <c r="AHF106" s="1"/>
      <c r="AHG106" s="1"/>
      <c r="AHH106" s="1"/>
      <c r="AHI106" s="1"/>
      <c r="AHJ106" s="1"/>
      <c r="AHK106" s="1"/>
      <c r="AHL106" s="1"/>
      <c r="AHM106" s="1"/>
      <c r="AHN106" s="1"/>
      <c r="AHO106" s="1"/>
      <c r="AHP106" s="1"/>
      <c r="AHQ106" s="1"/>
      <c r="AHR106" s="1"/>
      <c r="AHS106" s="1"/>
      <c r="AHT106" s="1"/>
      <c r="AHU106" s="1"/>
      <c r="AHV106" s="1"/>
      <c r="AHW106" s="1"/>
      <c r="AHX106" s="1"/>
      <c r="AHY106" s="1"/>
      <c r="AHZ106" s="1"/>
      <c r="AIA106" s="1"/>
      <c r="AIB106" s="1"/>
      <c r="AIC106" s="1"/>
      <c r="AID106" s="1"/>
      <c r="AIE106" s="1"/>
      <c r="AIF106" s="1"/>
      <c r="AIG106" s="1"/>
      <c r="AIH106" s="1"/>
      <c r="AII106" s="1"/>
      <c r="AIJ106" s="1"/>
      <c r="AIK106" s="1"/>
      <c r="AIL106" s="1"/>
      <c r="AIM106" s="1"/>
      <c r="AIN106" s="1"/>
      <c r="AIO106" s="1"/>
      <c r="AIP106" s="1"/>
      <c r="AIQ106" s="1"/>
      <c r="AIR106" s="1"/>
      <c r="AIS106" s="1"/>
      <c r="AIT106" s="1"/>
      <c r="AIU106" s="1"/>
      <c r="AIV106" s="1"/>
      <c r="AIW106" s="1"/>
      <c r="AIX106" s="1"/>
      <c r="AIY106" s="1"/>
      <c r="AIZ106" s="1"/>
      <c r="AJA106" s="1"/>
      <c r="AJB106" s="1"/>
      <c r="AJC106" s="1"/>
      <c r="AJD106" s="1"/>
      <c r="AJE106" s="1"/>
      <c r="AJF106" s="1"/>
      <c r="AJG106" s="1"/>
      <c r="AJH106" s="1"/>
      <c r="AJI106" s="1"/>
      <c r="AJJ106" s="1"/>
      <c r="AJK106" s="1"/>
      <c r="AJL106" s="1"/>
      <c r="AJM106" s="1"/>
      <c r="AJN106" s="1"/>
      <c r="AJO106" s="1"/>
      <c r="AJP106" s="1"/>
      <c r="AJQ106" s="1"/>
      <c r="AJR106" s="1"/>
      <c r="AJS106" s="1"/>
      <c r="AJT106" s="1"/>
      <c r="AJU106" s="1"/>
      <c r="AJV106" s="1"/>
      <c r="AJW106" s="1"/>
      <c r="AJX106" s="1"/>
      <c r="AJY106" s="1"/>
      <c r="AJZ106" s="1"/>
      <c r="AKA106" s="1"/>
      <c r="AKB106" s="1"/>
      <c r="AKC106" s="1"/>
      <c r="AKD106" s="1"/>
      <c r="AKE106" s="1"/>
      <c r="AKF106" s="1"/>
      <c r="AKG106" s="1"/>
      <c r="AKH106" s="1"/>
      <c r="AKI106" s="1"/>
      <c r="AKJ106" s="1"/>
      <c r="AKK106" s="1"/>
      <c r="AKL106" s="1"/>
      <c r="AKM106" s="1"/>
      <c r="AKN106" s="1"/>
      <c r="AKO106" s="1"/>
      <c r="AKP106" s="1"/>
      <c r="AKQ106" s="1"/>
      <c r="AKR106" s="1"/>
      <c r="AKS106" s="1"/>
      <c r="AKT106" s="1"/>
      <c r="AKU106" s="1"/>
      <c r="AKV106" s="1"/>
      <c r="AKW106" s="1"/>
      <c r="AKX106" s="1"/>
      <c r="AKY106" s="1"/>
      <c r="AKZ106" s="1"/>
      <c r="ALA106" s="1"/>
      <c r="ALB106" s="1"/>
      <c r="ALC106" s="1"/>
      <c r="ALD106" s="1"/>
      <c r="ALE106" s="1"/>
      <c r="ALF106" s="1"/>
      <c r="ALG106" s="1"/>
      <c r="ALH106" s="1"/>
      <c r="ALI106" s="1"/>
      <c r="ALJ106" s="1"/>
      <c r="ALK106" s="1"/>
      <c r="ALL106" s="1"/>
      <c r="ALM106" s="1"/>
      <c r="ALN106" s="1"/>
      <c r="ALO106" s="1"/>
      <c r="ALP106" s="1"/>
      <c r="ALQ106" s="1"/>
      <c r="ALR106" s="1"/>
      <c r="ALS106" s="1"/>
      <c r="ALT106" s="1"/>
      <c r="ALU106" s="1"/>
      <c r="ALV106" s="1"/>
      <c r="ALW106" s="1"/>
      <c r="ALX106" s="1"/>
      <c r="ALY106" s="1"/>
      <c r="ALZ106" s="1"/>
      <c r="AMA106" s="1"/>
      <c r="AMB106" s="1"/>
      <c r="AMC106" s="1"/>
      <c r="AMD106" s="1"/>
      <c r="AME106" s="1"/>
      <c r="AMF106" s="1"/>
      <c r="AMG106" s="1"/>
      <c r="AMH106" s="1"/>
      <c r="AMI106" s="1"/>
      <c r="AMJ106" s="1"/>
      <c r="AMK106" s="1"/>
      <c r="AML106" s="1"/>
      <c r="AMM106" s="1"/>
      <c r="AMN106" s="1"/>
      <c r="AMO106" s="1"/>
    </row>
    <row r="107" spans="1:1029" x14ac:dyDescent="0.2">
      <c r="A107" s="3" t="str">
        <f t="shared" si="223"/>
        <v>adrb2_human_3P0G</v>
      </c>
      <c r="B107" s="3" t="s">
        <v>126</v>
      </c>
      <c r="C107" s="3" t="s">
        <v>66</v>
      </c>
      <c r="D107" s="3" t="str">
        <f>IFERROR(MID(VLOOKUP($B107,Seqs!$A:$B,2,0),E107,1),"")</f>
        <v>Q</v>
      </c>
      <c r="E107" s="3">
        <v>26</v>
      </c>
      <c r="F107" s="3" t="str">
        <f>IFERROR(MID(VLOOKUP($B107,Seqs!$A:$B,2,0),G107,1),"")</f>
        <v>F</v>
      </c>
      <c r="G107" s="3">
        <v>61</v>
      </c>
      <c r="H107" s="3" t="str">
        <f>IFERROR(MID(VLOOKUP($B107,Seqs!$A:$B,2,0),I107,1),"")</f>
        <v>E</v>
      </c>
      <c r="I107" s="23">
        <v>62</v>
      </c>
      <c r="J107" s="3" t="str">
        <f>IFERROR(MID(VLOOKUP($B107,Seqs!$A:$B,2,0),K107,1),"")</f>
        <v>Q</v>
      </c>
      <c r="K107" s="23">
        <v>65</v>
      </c>
      <c r="L107" s="3" t="str">
        <f>IFERROR(MID(VLOOKUP($B107,Seqs!$A:$B,2,0),M107,1),"")</f>
        <v>T</v>
      </c>
      <c r="M107" s="3">
        <v>66</v>
      </c>
      <c r="N107" s="3" t="str">
        <f>IFERROR(MID(VLOOKUP($B107,Seqs!$A:$B,2,0),O107,1),"")</f>
        <v>M</v>
      </c>
      <c r="O107" s="3">
        <v>96</v>
      </c>
      <c r="P107" s="3" t="str">
        <f>IFERROR(MID(VLOOKUP($B107,Seqs!$A:$B,2,0),Q107,1),"")</f>
        <v>M</v>
      </c>
      <c r="Q107" s="3">
        <v>98</v>
      </c>
      <c r="R107" s="3" t="str">
        <f>IFERROR(MID(VLOOKUP($B107,Seqs!$A:$B,2,0),S107,1),"")</f>
        <v>F</v>
      </c>
      <c r="S107" s="3">
        <v>101</v>
      </c>
      <c r="T107" s="3" t="str">
        <f>IFERROR(MID(VLOOKUP($B107,Seqs!$A:$B,2,0),U107,1),"")</f>
        <v>G</v>
      </c>
      <c r="U107" s="3">
        <v>102</v>
      </c>
      <c r="V107" s="3" t="str">
        <f>IFERROR(MID(VLOOKUP($B107,Seqs!$A:$B,2,0),W107,1),"")</f>
        <v>S</v>
      </c>
      <c r="W107" s="3">
        <v>137</v>
      </c>
      <c r="X107" s="3" t="str">
        <f>IFERROR(MID(VLOOKUP($B107,Seqs!$A:$B,2,0),Y107,1),"")</f>
        <v>P</v>
      </c>
      <c r="Y107" s="3">
        <v>138</v>
      </c>
      <c r="Z107" s="3" t="str">
        <f>IFERROR(MID(VLOOKUP($B107,Seqs!$A:$B,2,0),AA107,1),"")</f>
        <v>L</v>
      </c>
      <c r="AA107" s="3">
        <v>145</v>
      </c>
      <c r="AB107" s="3" t="str">
        <f>IFERROR(MID(VLOOKUP($B107,Seqs!$A:$B,2,0),AC107,1),"")</f>
        <v>T</v>
      </c>
      <c r="AC107" s="9">
        <v>146</v>
      </c>
      <c r="AD107" s="3" t="str">
        <f>IFERROR(MID(VLOOKUP($B107,Seqs!$A:$B,2,0),AE107,1),"")</f>
        <v>H</v>
      </c>
      <c r="AE107" s="3">
        <v>172</v>
      </c>
      <c r="AF107" s="3" t="str">
        <f>IFERROR(MID(VLOOKUP($B107,Seqs!$A:$B,2,0),AG107,1),"")</f>
        <v>C</v>
      </c>
      <c r="AG107" s="3">
        <v>191</v>
      </c>
      <c r="AH107" s="3" t="str">
        <f>IFERROR(MID(VLOOKUP($B107,Seqs!$A:$B,2,0),AI107,1),"")</f>
        <v>F</v>
      </c>
      <c r="AI107" s="3">
        <v>193</v>
      </c>
      <c r="AJ107" s="3" t="str">
        <f>IFERROR(MID(VLOOKUP($B107,Seqs!$A:$B,2,0),AK107,1),"")</f>
        <v>N</v>
      </c>
      <c r="AK107" s="3">
        <v>196</v>
      </c>
      <c r="AL107" s="3" t="str">
        <f>IFERROR(MID(VLOOKUP($B107,Seqs!$A:$B,2,0),AM107,1),"")</f>
        <v>A</v>
      </c>
      <c r="AM107" s="3">
        <v>226</v>
      </c>
      <c r="AN107" s="3" t="str">
        <f>IFERROR(MID(VLOOKUP($B107,Seqs!$A:$B,2,0),AO107,1),"")</f>
        <v>H</v>
      </c>
      <c r="AO107" s="3">
        <v>269</v>
      </c>
      <c r="AP107" s="3" t="str">
        <f>IFERROR(MID(VLOOKUP($B107,Seqs!$A:$B,2,0),AQ107,1),"")</f>
        <v>Q</v>
      </c>
      <c r="AQ107" s="3">
        <v>299</v>
      </c>
      <c r="AR107" s="3" t="str">
        <f>IFERROR(MID(VLOOKUP($B107,Seqs!$A:$B,2,0),AS107,1),"")</f>
        <v>R</v>
      </c>
      <c r="AS107" s="3">
        <v>304</v>
      </c>
      <c r="AT107" s="3" t="str">
        <f>IFERROR(MID(VLOOKUP($B107,Seqs!$A:$B,2,0),AU107,1),"")</f>
        <v>R</v>
      </c>
      <c r="AU107" s="3">
        <v>328</v>
      </c>
      <c r="AV107" s="3" t="str">
        <f>IFERROR(MID(VLOOKUP($B107,Seqs!$A:$B,2,0),AW107,1),"")</f>
        <v>S</v>
      </c>
      <c r="AW107" s="3">
        <v>329</v>
      </c>
      <c r="AX107" s="3" t="str">
        <f>IFERROR(MID(VLOOKUP($B107,Seqs!$A:$B,2,0),AY107,1),"")</f>
        <v>C</v>
      </c>
      <c r="AY107" s="3">
        <v>341</v>
      </c>
      <c r="AZ107" s="77" t="str">
        <f>VLOOKUP(B107,Classification!A:D,2,0)</f>
        <v>A</v>
      </c>
      <c r="BA107" s="94" t="str">
        <f>VLOOKUP(B107,Classification!A:D,4,0)</f>
        <v>Adrenoceptors</v>
      </c>
      <c r="BB107" s="27" t="b">
        <f t="shared" si="224"/>
        <v>1</v>
      </c>
      <c r="BC107" s="23">
        <f t="shared" si="365"/>
        <v>249</v>
      </c>
      <c r="BD107" s="16" t="s">
        <v>23</v>
      </c>
      <c r="BE107" s="3" t="s">
        <v>1297</v>
      </c>
      <c r="BF107" s="119">
        <v>3.5</v>
      </c>
      <c r="BG107" s="49" t="s">
        <v>1384</v>
      </c>
      <c r="BH107" s="49" t="s">
        <v>1384</v>
      </c>
      <c r="BI107" s="1"/>
      <c r="BJ107" s="70" t="s">
        <v>1293</v>
      </c>
      <c r="BK107" s="57" t="s">
        <v>1293</v>
      </c>
      <c r="BL107" s="57" t="s">
        <v>1293</v>
      </c>
      <c r="BM107" s="57" t="s">
        <v>1293</v>
      </c>
      <c r="BN107" s="57" t="s">
        <v>1293</v>
      </c>
      <c r="BO107" s="57" t="s">
        <v>1293</v>
      </c>
      <c r="BP107" s="57" t="s">
        <v>1293</v>
      </c>
      <c r="BQ107" s="57" t="s">
        <v>1293</v>
      </c>
      <c r="BR107" s="57" t="s">
        <v>1293</v>
      </c>
      <c r="BS107" s="57" t="s">
        <v>1293</v>
      </c>
      <c r="BT107" s="57" t="s">
        <v>1293</v>
      </c>
      <c r="BU107" s="57" t="s">
        <v>1293</v>
      </c>
      <c r="BV107" s="70">
        <f t="shared" si="366"/>
        <v>26</v>
      </c>
      <c r="BW107" s="71">
        <f t="shared" si="367"/>
        <v>62</v>
      </c>
      <c r="BX107" s="72">
        <f t="shared" si="368"/>
        <v>66</v>
      </c>
      <c r="BY107" s="71">
        <f t="shared" si="369"/>
        <v>98</v>
      </c>
      <c r="BZ107" s="72">
        <f t="shared" si="370"/>
        <v>102</v>
      </c>
      <c r="CA107" s="71">
        <f t="shared" si="371"/>
        <v>138</v>
      </c>
      <c r="CB107" s="72">
        <f t="shared" si="372"/>
        <v>146</v>
      </c>
      <c r="CC107" s="71">
        <f t="shared" si="373"/>
        <v>191</v>
      </c>
      <c r="CD107" s="72">
        <f t="shared" si="374"/>
        <v>196</v>
      </c>
      <c r="CE107" s="71">
        <f t="shared" si="375"/>
        <v>269</v>
      </c>
      <c r="CF107" s="72">
        <f t="shared" si="376"/>
        <v>304</v>
      </c>
      <c r="CG107" s="71">
        <f t="shared" si="377"/>
        <v>329</v>
      </c>
      <c r="CH107" s="70">
        <f t="shared" si="378"/>
        <v>61</v>
      </c>
      <c r="CI107" s="71">
        <f t="shared" si="379"/>
        <v>65</v>
      </c>
      <c r="CJ107" s="72">
        <f t="shared" si="380"/>
        <v>96</v>
      </c>
      <c r="CK107" s="72">
        <f t="shared" si="381"/>
        <v>101</v>
      </c>
      <c r="CL107" s="72">
        <f t="shared" si="382"/>
        <v>137</v>
      </c>
      <c r="CM107" s="72">
        <f t="shared" si="383"/>
        <v>145</v>
      </c>
      <c r="CN107" s="72">
        <f t="shared" si="384"/>
        <v>172</v>
      </c>
      <c r="CO107" s="72">
        <f t="shared" si="385"/>
        <v>193</v>
      </c>
      <c r="CP107" s="72">
        <f t="shared" si="386"/>
        <v>226</v>
      </c>
      <c r="CQ107" s="72">
        <f t="shared" si="387"/>
        <v>299</v>
      </c>
      <c r="CR107" s="72">
        <f t="shared" si="388"/>
        <v>328</v>
      </c>
      <c r="CS107" s="72">
        <f t="shared" si="389"/>
        <v>341</v>
      </c>
      <c r="CT107" s="23">
        <f t="shared" si="390"/>
        <v>1</v>
      </c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  <c r="OK107" s="1"/>
      <c r="OL107" s="1"/>
      <c r="OM107" s="1"/>
      <c r="ON107" s="1"/>
      <c r="OO107" s="1"/>
      <c r="OP107" s="1"/>
      <c r="OQ107" s="1"/>
      <c r="OR107" s="1"/>
      <c r="OS107" s="1"/>
      <c r="OT107" s="1"/>
      <c r="OU107" s="1"/>
      <c r="OV107" s="1"/>
      <c r="OW107" s="1"/>
      <c r="OX107" s="1"/>
      <c r="OY107" s="1"/>
      <c r="OZ107" s="1"/>
      <c r="PA107" s="1"/>
      <c r="PB107" s="1"/>
      <c r="PC107" s="1"/>
      <c r="PD107" s="1"/>
      <c r="PE107" s="1"/>
      <c r="PF107" s="1"/>
      <c r="PG107" s="1"/>
      <c r="PH107" s="1"/>
      <c r="PI107" s="1"/>
      <c r="PJ107" s="1"/>
      <c r="PK107" s="1"/>
      <c r="PL107" s="1"/>
      <c r="PM107" s="1"/>
      <c r="PN107" s="1"/>
      <c r="PO107" s="1"/>
      <c r="PP107" s="1"/>
      <c r="PQ107" s="1"/>
      <c r="PR107" s="1"/>
      <c r="PS107" s="1"/>
      <c r="PT107" s="1"/>
      <c r="PU107" s="1"/>
      <c r="PV107" s="1"/>
      <c r="PW107" s="1"/>
      <c r="PX107" s="1"/>
      <c r="PY107" s="1"/>
      <c r="PZ107" s="1"/>
      <c r="QA107" s="1"/>
      <c r="QB107" s="1"/>
      <c r="QC107" s="1"/>
      <c r="QD107" s="1"/>
      <c r="QE107" s="1"/>
      <c r="QF107" s="1"/>
      <c r="QG107" s="1"/>
      <c r="QH107" s="1"/>
      <c r="QI107" s="1"/>
      <c r="QJ107" s="1"/>
      <c r="QK107" s="1"/>
      <c r="QL107" s="1"/>
      <c r="QM107" s="1"/>
      <c r="QN107" s="1"/>
      <c r="QO107" s="1"/>
      <c r="QP107" s="1"/>
      <c r="QQ107" s="1"/>
      <c r="QR107" s="1"/>
      <c r="QS107" s="1"/>
      <c r="QT107" s="1"/>
      <c r="QU107" s="1"/>
      <c r="QV107" s="1"/>
      <c r="QW107" s="1"/>
      <c r="QX107" s="1"/>
      <c r="QY107" s="1"/>
      <c r="QZ107" s="1"/>
      <c r="RA107" s="1"/>
      <c r="RB107" s="1"/>
      <c r="RC107" s="1"/>
      <c r="RD107" s="1"/>
      <c r="RE107" s="1"/>
      <c r="RF107" s="1"/>
      <c r="RG107" s="1"/>
      <c r="RH107" s="1"/>
      <c r="RI107" s="1"/>
      <c r="RJ107" s="1"/>
      <c r="RK107" s="1"/>
      <c r="RL107" s="1"/>
      <c r="RM107" s="1"/>
      <c r="RN107" s="1"/>
      <c r="RO107" s="1"/>
      <c r="RP107" s="1"/>
      <c r="RQ107" s="1"/>
      <c r="RR107" s="1"/>
      <c r="RS107" s="1"/>
      <c r="RT107" s="1"/>
      <c r="RU107" s="1"/>
      <c r="RV107" s="1"/>
      <c r="RW107" s="1"/>
      <c r="RX107" s="1"/>
      <c r="RY107" s="1"/>
      <c r="RZ107" s="1"/>
      <c r="SA107" s="1"/>
      <c r="SB107" s="1"/>
      <c r="SC107" s="1"/>
      <c r="SD107" s="1"/>
      <c r="SE107" s="1"/>
      <c r="SF107" s="1"/>
      <c r="SG107" s="1"/>
      <c r="SH107" s="1"/>
      <c r="SI107" s="1"/>
      <c r="SJ107" s="1"/>
      <c r="SK107" s="1"/>
      <c r="SL107" s="1"/>
      <c r="SM107" s="1"/>
      <c r="SN107" s="1"/>
      <c r="SO107" s="1"/>
      <c r="SP107" s="1"/>
      <c r="SQ107" s="1"/>
      <c r="SR107" s="1"/>
      <c r="SS107" s="1"/>
      <c r="ST107" s="1"/>
      <c r="SU107" s="1"/>
      <c r="SV107" s="1"/>
      <c r="SW107" s="1"/>
      <c r="SX107" s="1"/>
      <c r="SY107" s="1"/>
      <c r="SZ107" s="1"/>
      <c r="TA107" s="1"/>
      <c r="TB107" s="1"/>
      <c r="TC107" s="1"/>
      <c r="TD107" s="1"/>
      <c r="TE107" s="1"/>
      <c r="TF107" s="1"/>
      <c r="TG107" s="1"/>
      <c r="TH107" s="1"/>
      <c r="TI107" s="1"/>
      <c r="TJ107" s="1"/>
      <c r="TK107" s="1"/>
      <c r="TL107" s="1"/>
      <c r="TM107" s="1"/>
      <c r="TN107" s="1"/>
      <c r="TO107" s="1"/>
      <c r="TP107" s="1"/>
      <c r="TQ107" s="1"/>
      <c r="TR107" s="1"/>
      <c r="TS107" s="1"/>
      <c r="TT107" s="1"/>
      <c r="TU107" s="1"/>
      <c r="TV107" s="1"/>
      <c r="TW107" s="1"/>
      <c r="TX107" s="1"/>
      <c r="TY107" s="1"/>
      <c r="TZ107" s="1"/>
      <c r="UA107" s="1"/>
      <c r="UB107" s="1"/>
      <c r="UC107" s="1"/>
      <c r="UD107" s="1"/>
      <c r="UE107" s="1"/>
      <c r="UF107" s="1"/>
      <c r="UG107" s="1"/>
      <c r="UH107" s="1"/>
      <c r="UI107" s="1"/>
      <c r="UJ107" s="1"/>
      <c r="UK107" s="1"/>
      <c r="UL107" s="1"/>
      <c r="UM107" s="1"/>
      <c r="UN107" s="1"/>
      <c r="UO107" s="1"/>
      <c r="UP107" s="1"/>
      <c r="UQ107" s="1"/>
      <c r="UR107" s="1"/>
      <c r="US107" s="1"/>
      <c r="UT107" s="1"/>
      <c r="UU107" s="1"/>
      <c r="UV107" s="1"/>
      <c r="UW107" s="1"/>
      <c r="UX107" s="1"/>
      <c r="UY107" s="1"/>
      <c r="UZ107" s="1"/>
      <c r="VA107" s="1"/>
      <c r="VB107" s="1"/>
      <c r="VC107" s="1"/>
      <c r="VD107" s="1"/>
      <c r="VE107" s="1"/>
      <c r="VF107" s="1"/>
      <c r="VG107" s="1"/>
      <c r="VH107" s="1"/>
      <c r="VI107" s="1"/>
      <c r="VJ107" s="1"/>
      <c r="VK107" s="1"/>
      <c r="VL107" s="1"/>
      <c r="VM107" s="1"/>
      <c r="VN107" s="1"/>
      <c r="VO107" s="1"/>
      <c r="VP107" s="1"/>
      <c r="VQ107" s="1"/>
      <c r="VR107" s="1"/>
      <c r="VS107" s="1"/>
      <c r="VT107" s="1"/>
      <c r="VU107" s="1"/>
      <c r="VV107" s="1"/>
      <c r="VW107" s="1"/>
      <c r="VX107" s="1"/>
      <c r="VY107" s="1"/>
      <c r="VZ107" s="1"/>
      <c r="WA107" s="1"/>
      <c r="WB107" s="1"/>
      <c r="WC107" s="1"/>
      <c r="WD107" s="1"/>
      <c r="WE107" s="1"/>
      <c r="WF107" s="1"/>
      <c r="WG107" s="1"/>
      <c r="WH107" s="1"/>
      <c r="WI107" s="1"/>
      <c r="WJ107" s="1"/>
      <c r="WK107" s="1"/>
      <c r="WL107" s="1"/>
      <c r="WM107" s="1"/>
      <c r="WN107" s="1"/>
      <c r="WO107" s="1"/>
      <c r="WP107" s="1"/>
      <c r="WQ107" s="1"/>
      <c r="WR107" s="1"/>
      <c r="WS107" s="1"/>
      <c r="WT107" s="1"/>
      <c r="WU107" s="1"/>
      <c r="WV107" s="1"/>
      <c r="WW107" s="1"/>
      <c r="WX107" s="1"/>
      <c r="WY107" s="1"/>
      <c r="WZ107" s="1"/>
      <c r="XA107" s="1"/>
      <c r="XB107" s="1"/>
      <c r="XC107" s="1"/>
      <c r="XD107" s="1"/>
      <c r="XE107" s="1"/>
      <c r="XF107" s="1"/>
      <c r="XG107" s="1"/>
      <c r="XH107" s="1"/>
      <c r="XI107" s="1"/>
      <c r="XJ107" s="1"/>
      <c r="XK107" s="1"/>
      <c r="XL107" s="1"/>
      <c r="XM107" s="1"/>
      <c r="XN107" s="1"/>
      <c r="XO107" s="1"/>
      <c r="XP107" s="1"/>
      <c r="XQ107" s="1"/>
      <c r="XR107" s="1"/>
      <c r="XS107" s="1"/>
      <c r="XT107" s="1"/>
      <c r="XU107" s="1"/>
      <c r="XV107" s="1"/>
      <c r="XW107" s="1"/>
      <c r="XX107" s="1"/>
      <c r="XY107" s="1"/>
      <c r="XZ107" s="1"/>
      <c r="YA107" s="1"/>
      <c r="YB107" s="1"/>
      <c r="YC107" s="1"/>
      <c r="YD107" s="1"/>
      <c r="YE107" s="1"/>
      <c r="YF107" s="1"/>
      <c r="YG107" s="1"/>
      <c r="YH107" s="1"/>
      <c r="YI107" s="1"/>
      <c r="YJ107" s="1"/>
      <c r="YK107" s="1"/>
      <c r="YL107" s="1"/>
      <c r="YM107" s="1"/>
      <c r="YN107" s="1"/>
      <c r="YO107" s="1"/>
      <c r="YP107" s="1"/>
      <c r="YQ107" s="1"/>
      <c r="YR107" s="1"/>
      <c r="YS107" s="1"/>
      <c r="YT107" s="1"/>
      <c r="YU107" s="1"/>
      <c r="YV107" s="1"/>
      <c r="YW107" s="1"/>
      <c r="YX107" s="1"/>
      <c r="YY107" s="1"/>
      <c r="YZ107" s="1"/>
      <c r="ZA107" s="1"/>
      <c r="ZB107" s="1"/>
      <c r="ZC107" s="1"/>
      <c r="ZD107" s="1"/>
      <c r="ZE107" s="1"/>
      <c r="ZF107" s="1"/>
      <c r="ZG107" s="1"/>
      <c r="ZH107" s="1"/>
      <c r="ZI107" s="1"/>
      <c r="ZJ107" s="1"/>
      <c r="ZK107" s="1"/>
      <c r="ZL107" s="1"/>
      <c r="ZM107" s="1"/>
      <c r="ZN107" s="1"/>
      <c r="ZO107" s="1"/>
      <c r="ZP107" s="1"/>
      <c r="ZQ107" s="1"/>
      <c r="ZR107" s="1"/>
      <c r="ZS107" s="1"/>
      <c r="ZT107" s="1"/>
      <c r="ZU107" s="1"/>
      <c r="ZV107" s="1"/>
      <c r="ZW107" s="1"/>
      <c r="ZX107" s="1"/>
      <c r="ZY107" s="1"/>
      <c r="ZZ107" s="1"/>
      <c r="AAA107" s="1"/>
      <c r="AAB107" s="1"/>
      <c r="AAC107" s="1"/>
      <c r="AAD107" s="1"/>
      <c r="AAE107" s="1"/>
      <c r="AAF107" s="1"/>
      <c r="AAG107" s="1"/>
      <c r="AAH107" s="1"/>
      <c r="AAI107" s="1"/>
      <c r="AAJ107" s="1"/>
      <c r="AAK107" s="1"/>
      <c r="AAL107" s="1"/>
      <c r="AAM107" s="1"/>
      <c r="AAN107" s="1"/>
      <c r="AAO107" s="1"/>
      <c r="AAP107" s="1"/>
      <c r="AAQ107" s="1"/>
      <c r="AAR107" s="1"/>
      <c r="AAS107" s="1"/>
      <c r="AAT107" s="1"/>
      <c r="AAU107" s="1"/>
      <c r="AAV107" s="1"/>
      <c r="AAW107" s="1"/>
      <c r="AAX107" s="1"/>
      <c r="AAY107" s="1"/>
      <c r="AAZ107" s="1"/>
      <c r="ABA107" s="1"/>
      <c r="ABB107" s="1"/>
      <c r="ABC107" s="1"/>
      <c r="ABD107" s="1"/>
      <c r="ABE107" s="1"/>
      <c r="ABF107" s="1"/>
      <c r="ABG107" s="1"/>
      <c r="ABH107" s="1"/>
      <c r="ABI107" s="1"/>
      <c r="ABJ107" s="1"/>
      <c r="ABK107" s="1"/>
      <c r="ABL107" s="1"/>
      <c r="ABM107" s="1"/>
      <c r="ABN107" s="1"/>
      <c r="ABO107" s="1"/>
      <c r="ABP107" s="1"/>
      <c r="ABQ107" s="1"/>
      <c r="ABR107" s="1"/>
      <c r="ABS107" s="1"/>
      <c r="ABT107" s="1"/>
      <c r="ABU107" s="1"/>
      <c r="ABV107" s="1"/>
      <c r="ABW107" s="1"/>
      <c r="ABX107" s="1"/>
      <c r="ABY107" s="1"/>
      <c r="ABZ107" s="1"/>
      <c r="ACA107" s="1"/>
      <c r="ACB107" s="1"/>
      <c r="ACC107" s="1"/>
      <c r="ACD107" s="1"/>
      <c r="ACE107" s="1"/>
      <c r="ACF107" s="1"/>
      <c r="ACG107" s="1"/>
      <c r="ACH107" s="1"/>
      <c r="ACI107" s="1"/>
      <c r="ACJ107" s="1"/>
      <c r="ACK107" s="1"/>
      <c r="ACL107" s="1"/>
      <c r="ACM107" s="1"/>
      <c r="ACN107" s="1"/>
      <c r="ACO107" s="1"/>
      <c r="ACP107" s="1"/>
      <c r="ACQ107" s="1"/>
      <c r="ACR107" s="1"/>
      <c r="ACS107" s="1"/>
      <c r="ACT107" s="1"/>
      <c r="ACU107" s="1"/>
      <c r="ACV107" s="1"/>
      <c r="ACW107" s="1"/>
      <c r="ACX107" s="1"/>
      <c r="ACY107" s="1"/>
      <c r="ACZ107" s="1"/>
      <c r="ADA107" s="1"/>
      <c r="ADB107" s="1"/>
      <c r="ADC107" s="1"/>
      <c r="ADD107" s="1"/>
      <c r="ADE107" s="1"/>
      <c r="ADF107" s="1"/>
      <c r="ADG107" s="1"/>
      <c r="ADH107" s="1"/>
      <c r="ADI107" s="1"/>
      <c r="ADJ107" s="1"/>
      <c r="ADK107" s="1"/>
      <c r="ADL107" s="1"/>
      <c r="ADM107" s="1"/>
      <c r="ADN107" s="1"/>
      <c r="ADO107" s="1"/>
      <c r="ADP107" s="1"/>
      <c r="ADQ107" s="1"/>
      <c r="ADR107" s="1"/>
      <c r="ADS107" s="1"/>
      <c r="ADT107" s="1"/>
      <c r="ADU107" s="1"/>
      <c r="ADV107" s="1"/>
      <c r="ADW107" s="1"/>
      <c r="ADX107" s="1"/>
      <c r="ADY107" s="1"/>
      <c r="ADZ107" s="1"/>
      <c r="AEA107" s="1"/>
      <c r="AEB107" s="1"/>
      <c r="AEC107" s="1"/>
      <c r="AED107" s="1"/>
      <c r="AEE107" s="1"/>
      <c r="AEF107" s="1"/>
      <c r="AEG107" s="1"/>
      <c r="AEH107" s="1"/>
      <c r="AEI107" s="1"/>
      <c r="AEJ107" s="1"/>
      <c r="AEK107" s="1"/>
      <c r="AEL107" s="1"/>
      <c r="AEM107" s="1"/>
      <c r="AEN107" s="1"/>
      <c r="AEO107" s="1"/>
      <c r="AEP107" s="1"/>
      <c r="AEQ107" s="1"/>
      <c r="AER107" s="1"/>
      <c r="AES107" s="1"/>
      <c r="AET107" s="1"/>
      <c r="AEU107" s="1"/>
      <c r="AEV107" s="1"/>
      <c r="AEW107" s="1"/>
      <c r="AEX107" s="1"/>
      <c r="AEY107" s="1"/>
      <c r="AEZ107" s="1"/>
      <c r="AFA107" s="1"/>
      <c r="AFB107" s="1"/>
      <c r="AFC107" s="1"/>
      <c r="AFD107" s="1"/>
      <c r="AFE107" s="1"/>
      <c r="AFF107" s="1"/>
      <c r="AFG107" s="1"/>
      <c r="AFH107" s="1"/>
      <c r="AFI107" s="1"/>
      <c r="AFJ107" s="1"/>
      <c r="AFK107" s="1"/>
      <c r="AFL107" s="1"/>
      <c r="AFM107" s="1"/>
      <c r="AFN107" s="1"/>
      <c r="AFO107" s="1"/>
      <c r="AFP107" s="1"/>
      <c r="AFQ107" s="1"/>
      <c r="AFR107" s="1"/>
      <c r="AFS107" s="1"/>
      <c r="AFT107" s="1"/>
      <c r="AFU107" s="1"/>
      <c r="AFV107" s="1"/>
      <c r="AFW107" s="1"/>
      <c r="AFX107" s="1"/>
      <c r="AFY107" s="1"/>
      <c r="AFZ107" s="1"/>
      <c r="AGA107" s="1"/>
      <c r="AGB107" s="1"/>
      <c r="AGC107" s="1"/>
      <c r="AGD107" s="1"/>
      <c r="AGE107" s="1"/>
      <c r="AGF107" s="1"/>
      <c r="AGG107" s="1"/>
      <c r="AGH107" s="1"/>
      <c r="AGI107" s="1"/>
      <c r="AGJ107" s="1"/>
      <c r="AGK107" s="1"/>
      <c r="AGL107" s="1"/>
      <c r="AGM107" s="1"/>
      <c r="AGN107" s="1"/>
      <c r="AGO107" s="1"/>
      <c r="AGP107" s="1"/>
      <c r="AGQ107" s="1"/>
      <c r="AGR107" s="1"/>
      <c r="AGS107" s="1"/>
      <c r="AGT107" s="1"/>
      <c r="AGU107" s="1"/>
      <c r="AGV107" s="1"/>
      <c r="AGW107" s="1"/>
      <c r="AGX107" s="1"/>
      <c r="AGY107" s="1"/>
      <c r="AGZ107" s="1"/>
      <c r="AHA107" s="1"/>
      <c r="AHB107" s="1"/>
      <c r="AHC107" s="1"/>
      <c r="AHD107" s="1"/>
      <c r="AHE107" s="1"/>
      <c r="AHF107" s="1"/>
      <c r="AHG107" s="1"/>
      <c r="AHH107" s="1"/>
      <c r="AHI107" s="1"/>
      <c r="AHJ107" s="1"/>
      <c r="AHK107" s="1"/>
      <c r="AHL107" s="1"/>
      <c r="AHM107" s="1"/>
      <c r="AHN107" s="1"/>
      <c r="AHO107" s="1"/>
      <c r="AHP107" s="1"/>
      <c r="AHQ107" s="1"/>
      <c r="AHR107" s="1"/>
      <c r="AHS107" s="1"/>
      <c r="AHT107" s="1"/>
      <c r="AHU107" s="1"/>
      <c r="AHV107" s="1"/>
      <c r="AHW107" s="1"/>
      <c r="AHX107" s="1"/>
      <c r="AHY107" s="1"/>
      <c r="AHZ107" s="1"/>
      <c r="AIA107" s="1"/>
      <c r="AIB107" s="1"/>
      <c r="AIC107" s="1"/>
      <c r="AID107" s="1"/>
      <c r="AIE107" s="1"/>
      <c r="AIF107" s="1"/>
      <c r="AIG107" s="1"/>
      <c r="AIH107" s="1"/>
      <c r="AII107" s="1"/>
      <c r="AIJ107" s="1"/>
      <c r="AIK107" s="1"/>
      <c r="AIL107" s="1"/>
      <c r="AIM107" s="1"/>
      <c r="AIN107" s="1"/>
      <c r="AIO107" s="1"/>
      <c r="AIP107" s="1"/>
      <c r="AIQ107" s="1"/>
      <c r="AIR107" s="1"/>
      <c r="AIS107" s="1"/>
      <c r="AIT107" s="1"/>
      <c r="AIU107" s="1"/>
      <c r="AIV107" s="1"/>
      <c r="AIW107" s="1"/>
      <c r="AIX107" s="1"/>
      <c r="AIY107" s="1"/>
      <c r="AIZ107" s="1"/>
      <c r="AJA107" s="1"/>
      <c r="AJB107" s="1"/>
      <c r="AJC107" s="1"/>
      <c r="AJD107" s="1"/>
      <c r="AJE107" s="1"/>
      <c r="AJF107" s="1"/>
      <c r="AJG107" s="1"/>
      <c r="AJH107" s="1"/>
      <c r="AJI107" s="1"/>
      <c r="AJJ107" s="1"/>
      <c r="AJK107" s="1"/>
      <c r="AJL107" s="1"/>
      <c r="AJM107" s="1"/>
      <c r="AJN107" s="1"/>
      <c r="AJO107" s="1"/>
      <c r="AJP107" s="1"/>
      <c r="AJQ107" s="1"/>
      <c r="AJR107" s="1"/>
      <c r="AJS107" s="1"/>
      <c r="AJT107" s="1"/>
      <c r="AJU107" s="1"/>
      <c r="AJV107" s="1"/>
      <c r="AJW107" s="1"/>
      <c r="AJX107" s="1"/>
      <c r="AJY107" s="1"/>
      <c r="AJZ107" s="1"/>
      <c r="AKA107" s="1"/>
      <c r="AKB107" s="1"/>
      <c r="AKC107" s="1"/>
      <c r="AKD107" s="1"/>
      <c r="AKE107" s="1"/>
      <c r="AKF107" s="1"/>
      <c r="AKG107" s="1"/>
      <c r="AKH107" s="1"/>
      <c r="AKI107" s="1"/>
      <c r="AKJ107" s="1"/>
      <c r="AKK107" s="1"/>
      <c r="AKL107" s="1"/>
      <c r="AKM107" s="1"/>
      <c r="AKN107" s="1"/>
      <c r="AKO107" s="1"/>
      <c r="AKP107" s="1"/>
      <c r="AKQ107" s="1"/>
      <c r="AKR107" s="1"/>
      <c r="AKS107" s="1"/>
      <c r="AKT107" s="1"/>
      <c r="AKU107" s="1"/>
      <c r="AKV107" s="1"/>
      <c r="AKW107" s="1"/>
      <c r="AKX107" s="1"/>
      <c r="AKY107" s="1"/>
      <c r="AKZ107" s="1"/>
      <c r="ALA107" s="1"/>
      <c r="ALB107" s="1"/>
      <c r="ALC107" s="1"/>
      <c r="ALD107" s="1"/>
      <c r="ALE107" s="1"/>
      <c r="ALF107" s="1"/>
      <c r="ALG107" s="1"/>
      <c r="ALH107" s="1"/>
      <c r="ALI107" s="1"/>
      <c r="ALJ107" s="1"/>
      <c r="ALK107" s="1"/>
      <c r="ALL107" s="1"/>
      <c r="ALM107" s="1"/>
      <c r="ALN107" s="1"/>
      <c r="ALO107" s="1"/>
      <c r="ALP107" s="1"/>
      <c r="ALQ107" s="1"/>
      <c r="ALR107" s="1"/>
      <c r="ALS107" s="1"/>
      <c r="ALT107" s="1"/>
      <c r="ALU107" s="1"/>
      <c r="ALV107" s="1"/>
      <c r="ALW107" s="1"/>
      <c r="ALX107" s="1"/>
      <c r="ALY107" s="1"/>
      <c r="ALZ107" s="1"/>
      <c r="AMA107" s="1"/>
      <c r="AMB107" s="1"/>
      <c r="AMC107" s="1"/>
      <c r="AMD107" s="1"/>
      <c r="AME107" s="1"/>
      <c r="AMF107" s="1"/>
      <c r="AMG107" s="1"/>
      <c r="AMH107" s="1"/>
      <c r="AMI107" s="1"/>
      <c r="AMJ107" s="1"/>
      <c r="AMK107" s="1"/>
      <c r="AML107" s="1"/>
      <c r="AMM107" s="1"/>
      <c r="AMN107" s="1"/>
      <c r="AMO107" s="1"/>
    </row>
    <row r="108" spans="1:1029" x14ac:dyDescent="0.2">
      <c r="A108" s="3" t="str">
        <f t="shared" si="223"/>
        <v>adrb2_human_3PDS</v>
      </c>
      <c r="B108" s="3" t="s">
        <v>126</v>
      </c>
      <c r="C108" s="3" t="s">
        <v>1341</v>
      </c>
      <c r="D108" s="3" t="str">
        <f>IFERROR(MID(VLOOKUP($B108,Seqs!$A:$B,2,0),E108,1),"")</f>
        <v>D</v>
      </c>
      <c r="E108" s="3">
        <v>29</v>
      </c>
      <c r="F108" s="3" t="str">
        <f>IFERROR(MID(VLOOKUP($B108,Seqs!$A:$B,2,0),G108,1),"")</f>
        <v>F</v>
      </c>
      <c r="G108" s="3">
        <v>61</v>
      </c>
      <c r="H108" s="3" t="str">
        <f>IFERROR(MID(VLOOKUP($B108,Seqs!$A:$B,2,0),I108,1),"")</f>
        <v>E</v>
      </c>
      <c r="I108" s="23">
        <v>62</v>
      </c>
      <c r="J108" s="3" t="str">
        <f>IFERROR(MID(VLOOKUP($B108,Seqs!$A:$B,2,0),K108,1),"")</f>
        <v>Q</v>
      </c>
      <c r="K108" s="23">
        <v>65</v>
      </c>
      <c r="L108" s="3" t="str">
        <f>IFERROR(MID(VLOOKUP($B108,Seqs!$A:$B,2,0),M108,1),"")</f>
        <v>T</v>
      </c>
      <c r="M108" s="3">
        <v>66</v>
      </c>
      <c r="N108" s="3" t="str">
        <f>IFERROR(MID(VLOOKUP($B108,Seqs!$A:$B,2,0),O108,1),"")</f>
        <v>M</v>
      </c>
      <c r="O108" s="3">
        <v>96</v>
      </c>
      <c r="P108" s="3" t="str">
        <f>IFERROR(MID(VLOOKUP($B108,Seqs!$A:$B,2,0),Q108,1),"")</f>
        <v>M</v>
      </c>
      <c r="Q108" s="3">
        <v>98</v>
      </c>
      <c r="R108" s="3" t="str">
        <f>IFERROR(MID(VLOOKUP($B108,Seqs!$A:$B,2,0),S108,1),"")</f>
        <v>F</v>
      </c>
      <c r="S108" s="3">
        <v>101</v>
      </c>
      <c r="T108" s="3" t="str">
        <f>IFERROR(MID(VLOOKUP($B108,Seqs!$A:$B,2,0),U108,1),"")</f>
        <v>G</v>
      </c>
      <c r="U108" s="3">
        <v>102</v>
      </c>
      <c r="V108" s="3" t="str">
        <f>IFERROR(MID(VLOOKUP($B108,Seqs!$A:$B,2,0),W108,1),"")</f>
        <v>S</v>
      </c>
      <c r="W108" s="3">
        <v>137</v>
      </c>
      <c r="X108" s="3" t="str">
        <f>IFERROR(MID(VLOOKUP($B108,Seqs!$A:$B,2,0),Y108,1),"")</f>
        <v/>
      </c>
      <c r="Y108" s="3" t="s">
        <v>23</v>
      </c>
      <c r="Z108" s="3" t="str">
        <f>IFERROR(MID(VLOOKUP($B108,Seqs!$A:$B,2,0),AA108,1),"")</f>
        <v/>
      </c>
      <c r="AA108" s="3" t="s">
        <v>23</v>
      </c>
      <c r="AB108" s="3" t="str">
        <f>IFERROR(MID(VLOOKUP($B108,Seqs!$A:$B,2,0),AC108,1),"")</f>
        <v>T</v>
      </c>
      <c r="AC108" s="9">
        <v>146</v>
      </c>
      <c r="AD108" s="3" t="str">
        <f>IFERROR(MID(VLOOKUP($B108,Seqs!$A:$B,2,0),AE108,1),"")</f>
        <v>H</v>
      </c>
      <c r="AE108" s="3">
        <v>172</v>
      </c>
      <c r="AF108" s="3" t="str">
        <f>IFERROR(MID(VLOOKUP($B108,Seqs!$A:$B,2,0),AG108,1),"")</f>
        <v>C</v>
      </c>
      <c r="AG108" s="3">
        <v>191</v>
      </c>
      <c r="AH108" s="3" t="str">
        <f>IFERROR(MID(VLOOKUP($B108,Seqs!$A:$B,2,0),AI108,1),"")</f>
        <v>F</v>
      </c>
      <c r="AI108" s="3">
        <v>193</v>
      </c>
      <c r="AJ108" s="3" t="str">
        <f>IFERROR(MID(VLOOKUP($B108,Seqs!$A:$B,2,0),AK108,1),"")</f>
        <v>N</v>
      </c>
      <c r="AK108" s="3">
        <v>196</v>
      </c>
      <c r="AL108" s="3" t="str">
        <f>IFERROR(MID(VLOOKUP($B108,Seqs!$A:$B,2,0),AM108,1),"")</f>
        <v>Q</v>
      </c>
      <c r="AM108" s="3">
        <v>229</v>
      </c>
      <c r="AN108" s="3" t="str">
        <f>IFERROR(MID(VLOOKUP($B108,Seqs!$A:$B,2,0),AO108,1),"")</f>
        <v>L</v>
      </c>
      <c r="AO108" s="3">
        <v>266</v>
      </c>
      <c r="AP108" s="3" t="str">
        <f>IFERROR(MID(VLOOKUP($B108,Seqs!$A:$B,2,0),AQ108,1),"")</f>
        <v>Q</v>
      </c>
      <c r="AQ108" s="3">
        <v>299</v>
      </c>
      <c r="AR108" s="3" t="str">
        <f>IFERROR(MID(VLOOKUP($B108,Seqs!$A:$B,2,0),AS108,1),"")</f>
        <v>R</v>
      </c>
      <c r="AS108" s="3">
        <v>304</v>
      </c>
      <c r="AT108" s="3" t="str">
        <f>IFERROR(MID(VLOOKUP($B108,Seqs!$A:$B,2,0),AU108,1),"")</f>
        <v>R</v>
      </c>
      <c r="AU108" s="3">
        <v>328</v>
      </c>
      <c r="AV108" s="3" t="str">
        <f>IFERROR(MID(VLOOKUP($B108,Seqs!$A:$B,2,0),AW108,1),"")</f>
        <v>S</v>
      </c>
      <c r="AW108" s="3">
        <v>329</v>
      </c>
      <c r="AX108" s="3" t="str">
        <f>IFERROR(MID(VLOOKUP($B108,Seqs!$A:$B,2,0),AY108,1),"")</f>
        <v>C</v>
      </c>
      <c r="AY108" s="3">
        <v>341</v>
      </c>
      <c r="AZ108" s="77" t="str">
        <f>VLOOKUP(B108,Classification!A:D,2,0)</f>
        <v>A</v>
      </c>
      <c r="BA108" s="94" t="str">
        <f>VLOOKUP(B108,Classification!A:D,4,0)</f>
        <v>Adrenoceptors</v>
      </c>
      <c r="BB108" s="27" t="b">
        <f t="shared" si="224"/>
        <v>1</v>
      </c>
      <c r="BC108" s="23">
        <f t="shared" si="365"/>
        <v>245</v>
      </c>
      <c r="BD108" s="5" t="s">
        <v>23</v>
      </c>
      <c r="BE108" s="3" t="s">
        <v>1381</v>
      </c>
      <c r="BF108" s="119">
        <v>3.5</v>
      </c>
      <c r="BG108" s="49" t="s">
        <v>1384</v>
      </c>
      <c r="BH108" s="49" t="s">
        <v>1384</v>
      </c>
      <c r="BI108" s="1"/>
      <c r="BJ108" s="70" t="s">
        <v>1293</v>
      </c>
      <c r="BK108" s="57" t="s">
        <v>1293</v>
      </c>
      <c r="BL108" s="57" t="s">
        <v>1293</v>
      </c>
      <c r="BM108" s="57" t="s">
        <v>1293</v>
      </c>
      <c r="BN108" s="57" t="s">
        <v>1293</v>
      </c>
      <c r="BO108" s="57" t="s">
        <v>1293</v>
      </c>
      <c r="BP108" s="57" t="s">
        <v>1293</v>
      </c>
      <c r="BQ108" s="57" t="s">
        <v>1293</v>
      </c>
      <c r="BR108" s="57" t="s">
        <v>1293</v>
      </c>
      <c r="BS108" s="57" t="s">
        <v>1293</v>
      </c>
      <c r="BT108" s="57" t="s">
        <v>1293</v>
      </c>
      <c r="BU108" s="57" t="s">
        <v>1293</v>
      </c>
      <c r="BV108" s="70">
        <f t="shared" si="366"/>
        <v>29</v>
      </c>
      <c r="BW108" s="71">
        <f t="shared" si="367"/>
        <v>62</v>
      </c>
      <c r="BX108" s="72">
        <f t="shared" si="368"/>
        <v>66</v>
      </c>
      <c r="BY108" s="71">
        <f t="shared" si="369"/>
        <v>98</v>
      </c>
      <c r="BZ108" s="72">
        <f t="shared" si="370"/>
        <v>102</v>
      </c>
      <c r="CA108" s="71" t="str">
        <f t="shared" si="371"/>
        <v>-</v>
      </c>
      <c r="CB108" s="72">
        <f t="shared" si="372"/>
        <v>146</v>
      </c>
      <c r="CC108" s="71">
        <f t="shared" si="373"/>
        <v>191</v>
      </c>
      <c r="CD108" s="72">
        <f t="shared" si="374"/>
        <v>196</v>
      </c>
      <c r="CE108" s="71">
        <f t="shared" si="375"/>
        <v>266</v>
      </c>
      <c r="CF108" s="72">
        <f t="shared" si="376"/>
        <v>304</v>
      </c>
      <c r="CG108" s="71">
        <f t="shared" si="377"/>
        <v>329</v>
      </c>
      <c r="CH108" s="70">
        <f t="shared" si="378"/>
        <v>61</v>
      </c>
      <c r="CI108" s="71">
        <f t="shared" si="379"/>
        <v>65</v>
      </c>
      <c r="CJ108" s="72">
        <f t="shared" si="380"/>
        <v>96</v>
      </c>
      <c r="CK108" s="72">
        <f t="shared" si="381"/>
        <v>101</v>
      </c>
      <c r="CL108" s="72">
        <f t="shared" si="382"/>
        <v>137</v>
      </c>
      <c r="CM108" s="72" t="str">
        <f t="shared" si="383"/>
        <v>-</v>
      </c>
      <c r="CN108" s="72">
        <f t="shared" si="384"/>
        <v>172</v>
      </c>
      <c r="CO108" s="72">
        <f t="shared" si="385"/>
        <v>193</v>
      </c>
      <c r="CP108" s="72">
        <f t="shared" si="386"/>
        <v>229</v>
      </c>
      <c r="CQ108" s="72">
        <f t="shared" si="387"/>
        <v>299</v>
      </c>
      <c r="CR108" s="72">
        <f t="shared" si="388"/>
        <v>328</v>
      </c>
      <c r="CS108" s="72">
        <f t="shared" si="389"/>
        <v>341</v>
      </c>
      <c r="CT108" s="23">
        <f t="shared" si="390"/>
        <v>1</v>
      </c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  <c r="OK108" s="1"/>
      <c r="OL108" s="1"/>
      <c r="OM108" s="1"/>
      <c r="ON108" s="1"/>
      <c r="OO108" s="1"/>
      <c r="OP108" s="1"/>
      <c r="OQ108" s="1"/>
      <c r="OR108" s="1"/>
      <c r="OS108" s="1"/>
      <c r="OT108" s="1"/>
      <c r="OU108" s="1"/>
      <c r="OV108" s="1"/>
      <c r="OW108" s="1"/>
      <c r="OX108" s="1"/>
      <c r="OY108" s="1"/>
      <c r="OZ108" s="1"/>
      <c r="PA108" s="1"/>
      <c r="PB108" s="1"/>
      <c r="PC108" s="1"/>
      <c r="PD108" s="1"/>
      <c r="PE108" s="1"/>
      <c r="PF108" s="1"/>
      <c r="PG108" s="1"/>
      <c r="PH108" s="1"/>
      <c r="PI108" s="1"/>
      <c r="PJ108" s="1"/>
      <c r="PK108" s="1"/>
      <c r="PL108" s="1"/>
      <c r="PM108" s="1"/>
      <c r="PN108" s="1"/>
      <c r="PO108" s="1"/>
      <c r="PP108" s="1"/>
      <c r="PQ108" s="1"/>
      <c r="PR108" s="1"/>
      <c r="PS108" s="1"/>
      <c r="PT108" s="1"/>
      <c r="PU108" s="1"/>
      <c r="PV108" s="1"/>
      <c r="PW108" s="1"/>
      <c r="PX108" s="1"/>
      <c r="PY108" s="1"/>
      <c r="PZ108" s="1"/>
      <c r="QA108" s="1"/>
      <c r="QB108" s="1"/>
      <c r="QC108" s="1"/>
      <c r="QD108" s="1"/>
      <c r="QE108" s="1"/>
      <c r="QF108" s="1"/>
      <c r="QG108" s="1"/>
      <c r="QH108" s="1"/>
      <c r="QI108" s="1"/>
      <c r="QJ108" s="1"/>
      <c r="QK108" s="1"/>
      <c r="QL108" s="1"/>
      <c r="QM108" s="1"/>
      <c r="QN108" s="1"/>
      <c r="QO108" s="1"/>
      <c r="QP108" s="1"/>
      <c r="QQ108" s="1"/>
      <c r="QR108" s="1"/>
      <c r="QS108" s="1"/>
      <c r="QT108" s="1"/>
      <c r="QU108" s="1"/>
      <c r="QV108" s="1"/>
      <c r="QW108" s="1"/>
      <c r="QX108" s="1"/>
      <c r="QY108" s="1"/>
      <c r="QZ108" s="1"/>
      <c r="RA108" s="1"/>
      <c r="RB108" s="1"/>
      <c r="RC108" s="1"/>
      <c r="RD108" s="1"/>
      <c r="RE108" s="1"/>
      <c r="RF108" s="1"/>
      <c r="RG108" s="1"/>
      <c r="RH108" s="1"/>
      <c r="RI108" s="1"/>
      <c r="RJ108" s="1"/>
      <c r="RK108" s="1"/>
      <c r="RL108" s="1"/>
      <c r="RM108" s="1"/>
      <c r="RN108" s="1"/>
      <c r="RO108" s="1"/>
      <c r="RP108" s="1"/>
      <c r="RQ108" s="1"/>
      <c r="RR108" s="1"/>
      <c r="RS108" s="1"/>
      <c r="RT108" s="1"/>
      <c r="RU108" s="1"/>
      <c r="RV108" s="1"/>
      <c r="RW108" s="1"/>
      <c r="RX108" s="1"/>
      <c r="RY108" s="1"/>
      <c r="RZ108" s="1"/>
      <c r="SA108" s="1"/>
      <c r="SB108" s="1"/>
      <c r="SC108" s="1"/>
      <c r="SD108" s="1"/>
      <c r="SE108" s="1"/>
      <c r="SF108" s="1"/>
      <c r="SG108" s="1"/>
      <c r="SH108" s="1"/>
      <c r="SI108" s="1"/>
      <c r="SJ108" s="1"/>
      <c r="SK108" s="1"/>
      <c r="SL108" s="1"/>
      <c r="SM108" s="1"/>
      <c r="SN108" s="1"/>
      <c r="SO108" s="1"/>
      <c r="SP108" s="1"/>
      <c r="SQ108" s="1"/>
      <c r="SR108" s="1"/>
      <c r="SS108" s="1"/>
      <c r="ST108" s="1"/>
      <c r="SU108" s="1"/>
      <c r="SV108" s="1"/>
      <c r="SW108" s="1"/>
      <c r="SX108" s="1"/>
      <c r="SY108" s="1"/>
      <c r="SZ108" s="1"/>
      <c r="TA108" s="1"/>
      <c r="TB108" s="1"/>
      <c r="TC108" s="1"/>
      <c r="TD108" s="1"/>
      <c r="TE108" s="1"/>
      <c r="TF108" s="1"/>
      <c r="TG108" s="1"/>
      <c r="TH108" s="1"/>
      <c r="TI108" s="1"/>
      <c r="TJ108" s="1"/>
      <c r="TK108" s="1"/>
      <c r="TL108" s="1"/>
      <c r="TM108" s="1"/>
      <c r="TN108" s="1"/>
      <c r="TO108" s="1"/>
      <c r="TP108" s="1"/>
      <c r="TQ108" s="1"/>
      <c r="TR108" s="1"/>
      <c r="TS108" s="1"/>
      <c r="TT108" s="1"/>
      <c r="TU108" s="1"/>
      <c r="TV108" s="1"/>
      <c r="TW108" s="1"/>
      <c r="TX108" s="1"/>
      <c r="TY108" s="1"/>
      <c r="TZ108" s="1"/>
      <c r="UA108" s="1"/>
      <c r="UB108" s="1"/>
      <c r="UC108" s="1"/>
      <c r="UD108" s="1"/>
      <c r="UE108" s="1"/>
      <c r="UF108" s="1"/>
      <c r="UG108" s="1"/>
      <c r="UH108" s="1"/>
      <c r="UI108" s="1"/>
      <c r="UJ108" s="1"/>
      <c r="UK108" s="1"/>
      <c r="UL108" s="1"/>
      <c r="UM108" s="1"/>
      <c r="UN108" s="1"/>
      <c r="UO108" s="1"/>
      <c r="UP108" s="1"/>
      <c r="UQ108" s="1"/>
      <c r="UR108" s="1"/>
      <c r="US108" s="1"/>
      <c r="UT108" s="1"/>
      <c r="UU108" s="1"/>
      <c r="UV108" s="1"/>
      <c r="UW108" s="1"/>
      <c r="UX108" s="1"/>
      <c r="UY108" s="1"/>
      <c r="UZ108" s="1"/>
      <c r="VA108" s="1"/>
      <c r="VB108" s="1"/>
      <c r="VC108" s="1"/>
      <c r="VD108" s="1"/>
      <c r="VE108" s="1"/>
      <c r="VF108" s="1"/>
      <c r="VG108" s="1"/>
      <c r="VH108" s="1"/>
      <c r="VI108" s="1"/>
      <c r="VJ108" s="1"/>
      <c r="VK108" s="1"/>
      <c r="VL108" s="1"/>
      <c r="VM108" s="1"/>
      <c r="VN108" s="1"/>
      <c r="VO108" s="1"/>
      <c r="VP108" s="1"/>
      <c r="VQ108" s="1"/>
      <c r="VR108" s="1"/>
      <c r="VS108" s="1"/>
      <c r="VT108" s="1"/>
      <c r="VU108" s="1"/>
      <c r="VV108" s="1"/>
      <c r="VW108" s="1"/>
      <c r="VX108" s="1"/>
      <c r="VY108" s="1"/>
      <c r="VZ108" s="1"/>
      <c r="WA108" s="1"/>
      <c r="WB108" s="1"/>
      <c r="WC108" s="1"/>
      <c r="WD108" s="1"/>
      <c r="WE108" s="1"/>
      <c r="WF108" s="1"/>
      <c r="WG108" s="1"/>
      <c r="WH108" s="1"/>
      <c r="WI108" s="1"/>
      <c r="WJ108" s="1"/>
      <c r="WK108" s="1"/>
      <c r="WL108" s="1"/>
      <c r="WM108" s="1"/>
      <c r="WN108" s="1"/>
      <c r="WO108" s="1"/>
      <c r="WP108" s="1"/>
      <c r="WQ108" s="1"/>
      <c r="WR108" s="1"/>
      <c r="WS108" s="1"/>
      <c r="WT108" s="1"/>
      <c r="WU108" s="1"/>
      <c r="WV108" s="1"/>
      <c r="WW108" s="1"/>
      <c r="WX108" s="1"/>
      <c r="WY108" s="1"/>
      <c r="WZ108" s="1"/>
      <c r="XA108" s="1"/>
      <c r="XB108" s="1"/>
      <c r="XC108" s="1"/>
      <c r="XD108" s="1"/>
      <c r="XE108" s="1"/>
      <c r="XF108" s="1"/>
      <c r="XG108" s="1"/>
      <c r="XH108" s="1"/>
      <c r="XI108" s="1"/>
      <c r="XJ108" s="1"/>
      <c r="XK108" s="1"/>
      <c r="XL108" s="1"/>
      <c r="XM108" s="1"/>
      <c r="XN108" s="1"/>
      <c r="XO108" s="1"/>
      <c r="XP108" s="1"/>
      <c r="XQ108" s="1"/>
      <c r="XR108" s="1"/>
      <c r="XS108" s="1"/>
      <c r="XT108" s="1"/>
      <c r="XU108" s="1"/>
      <c r="XV108" s="1"/>
      <c r="XW108" s="1"/>
      <c r="XX108" s="1"/>
      <c r="XY108" s="1"/>
      <c r="XZ108" s="1"/>
      <c r="YA108" s="1"/>
      <c r="YB108" s="1"/>
      <c r="YC108" s="1"/>
      <c r="YD108" s="1"/>
      <c r="YE108" s="1"/>
      <c r="YF108" s="1"/>
      <c r="YG108" s="1"/>
      <c r="YH108" s="1"/>
      <c r="YI108" s="1"/>
      <c r="YJ108" s="1"/>
      <c r="YK108" s="1"/>
      <c r="YL108" s="1"/>
      <c r="YM108" s="1"/>
      <c r="YN108" s="1"/>
      <c r="YO108" s="1"/>
      <c r="YP108" s="1"/>
      <c r="YQ108" s="1"/>
      <c r="YR108" s="1"/>
      <c r="YS108" s="1"/>
      <c r="YT108" s="1"/>
      <c r="YU108" s="1"/>
      <c r="YV108" s="1"/>
      <c r="YW108" s="1"/>
      <c r="YX108" s="1"/>
      <c r="YY108" s="1"/>
      <c r="YZ108" s="1"/>
      <c r="ZA108" s="1"/>
      <c r="ZB108" s="1"/>
      <c r="ZC108" s="1"/>
      <c r="ZD108" s="1"/>
      <c r="ZE108" s="1"/>
      <c r="ZF108" s="1"/>
      <c r="ZG108" s="1"/>
      <c r="ZH108" s="1"/>
      <c r="ZI108" s="1"/>
      <c r="ZJ108" s="1"/>
      <c r="ZK108" s="1"/>
      <c r="ZL108" s="1"/>
      <c r="ZM108" s="1"/>
      <c r="ZN108" s="1"/>
      <c r="ZO108" s="1"/>
      <c r="ZP108" s="1"/>
      <c r="ZQ108" s="1"/>
      <c r="ZR108" s="1"/>
      <c r="ZS108" s="1"/>
      <c r="ZT108" s="1"/>
      <c r="ZU108" s="1"/>
      <c r="ZV108" s="1"/>
      <c r="ZW108" s="1"/>
      <c r="ZX108" s="1"/>
      <c r="ZY108" s="1"/>
      <c r="ZZ108" s="1"/>
      <c r="AAA108" s="1"/>
      <c r="AAB108" s="1"/>
      <c r="AAC108" s="1"/>
      <c r="AAD108" s="1"/>
      <c r="AAE108" s="1"/>
      <c r="AAF108" s="1"/>
      <c r="AAG108" s="1"/>
      <c r="AAH108" s="1"/>
      <c r="AAI108" s="1"/>
      <c r="AAJ108" s="1"/>
      <c r="AAK108" s="1"/>
      <c r="AAL108" s="1"/>
      <c r="AAM108" s="1"/>
      <c r="AAN108" s="1"/>
      <c r="AAO108" s="1"/>
      <c r="AAP108" s="1"/>
      <c r="AAQ108" s="1"/>
      <c r="AAR108" s="1"/>
      <c r="AAS108" s="1"/>
      <c r="AAT108" s="1"/>
      <c r="AAU108" s="1"/>
      <c r="AAV108" s="1"/>
      <c r="AAW108" s="1"/>
      <c r="AAX108" s="1"/>
      <c r="AAY108" s="1"/>
      <c r="AAZ108" s="1"/>
      <c r="ABA108" s="1"/>
      <c r="ABB108" s="1"/>
      <c r="ABC108" s="1"/>
      <c r="ABD108" s="1"/>
      <c r="ABE108" s="1"/>
      <c r="ABF108" s="1"/>
      <c r="ABG108" s="1"/>
      <c r="ABH108" s="1"/>
      <c r="ABI108" s="1"/>
      <c r="ABJ108" s="1"/>
      <c r="ABK108" s="1"/>
      <c r="ABL108" s="1"/>
      <c r="ABM108" s="1"/>
      <c r="ABN108" s="1"/>
      <c r="ABO108" s="1"/>
      <c r="ABP108" s="1"/>
      <c r="ABQ108" s="1"/>
      <c r="ABR108" s="1"/>
      <c r="ABS108" s="1"/>
      <c r="ABT108" s="1"/>
      <c r="ABU108" s="1"/>
      <c r="ABV108" s="1"/>
      <c r="ABW108" s="1"/>
      <c r="ABX108" s="1"/>
      <c r="ABY108" s="1"/>
      <c r="ABZ108" s="1"/>
      <c r="ACA108" s="1"/>
      <c r="ACB108" s="1"/>
      <c r="ACC108" s="1"/>
      <c r="ACD108" s="1"/>
      <c r="ACE108" s="1"/>
      <c r="ACF108" s="1"/>
      <c r="ACG108" s="1"/>
      <c r="ACH108" s="1"/>
      <c r="ACI108" s="1"/>
      <c r="ACJ108" s="1"/>
      <c r="ACK108" s="1"/>
      <c r="ACL108" s="1"/>
      <c r="ACM108" s="1"/>
      <c r="ACN108" s="1"/>
      <c r="ACO108" s="1"/>
      <c r="ACP108" s="1"/>
      <c r="ACQ108" s="1"/>
      <c r="ACR108" s="1"/>
      <c r="ACS108" s="1"/>
      <c r="ACT108" s="1"/>
      <c r="ACU108" s="1"/>
      <c r="ACV108" s="1"/>
      <c r="ACW108" s="1"/>
      <c r="ACX108" s="1"/>
      <c r="ACY108" s="1"/>
      <c r="ACZ108" s="1"/>
      <c r="ADA108" s="1"/>
      <c r="ADB108" s="1"/>
      <c r="ADC108" s="1"/>
      <c r="ADD108" s="1"/>
      <c r="ADE108" s="1"/>
      <c r="ADF108" s="1"/>
      <c r="ADG108" s="1"/>
      <c r="ADH108" s="1"/>
      <c r="ADI108" s="1"/>
      <c r="ADJ108" s="1"/>
      <c r="ADK108" s="1"/>
      <c r="ADL108" s="1"/>
      <c r="ADM108" s="1"/>
      <c r="ADN108" s="1"/>
      <c r="ADO108" s="1"/>
      <c r="ADP108" s="1"/>
      <c r="ADQ108" s="1"/>
      <c r="ADR108" s="1"/>
      <c r="ADS108" s="1"/>
      <c r="ADT108" s="1"/>
      <c r="ADU108" s="1"/>
      <c r="ADV108" s="1"/>
      <c r="ADW108" s="1"/>
      <c r="ADX108" s="1"/>
      <c r="ADY108" s="1"/>
      <c r="ADZ108" s="1"/>
      <c r="AEA108" s="1"/>
      <c r="AEB108" s="1"/>
      <c r="AEC108" s="1"/>
      <c r="AED108" s="1"/>
      <c r="AEE108" s="1"/>
      <c r="AEF108" s="1"/>
      <c r="AEG108" s="1"/>
      <c r="AEH108" s="1"/>
      <c r="AEI108" s="1"/>
      <c r="AEJ108" s="1"/>
      <c r="AEK108" s="1"/>
      <c r="AEL108" s="1"/>
      <c r="AEM108" s="1"/>
      <c r="AEN108" s="1"/>
      <c r="AEO108" s="1"/>
      <c r="AEP108" s="1"/>
      <c r="AEQ108" s="1"/>
      <c r="AER108" s="1"/>
      <c r="AES108" s="1"/>
      <c r="AET108" s="1"/>
      <c r="AEU108" s="1"/>
      <c r="AEV108" s="1"/>
      <c r="AEW108" s="1"/>
      <c r="AEX108" s="1"/>
      <c r="AEY108" s="1"/>
      <c r="AEZ108" s="1"/>
      <c r="AFA108" s="1"/>
      <c r="AFB108" s="1"/>
      <c r="AFC108" s="1"/>
      <c r="AFD108" s="1"/>
      <c r="AFE108" s="1"/>
      <c r="AFF108" s="1"/>
      <c r="AFG108" s="1"/>
      <c r="AFH108" s="1"/>
      <c r="AFI108" s="1"/>
      <c r="AFJ108" s="1"/>
      <c r="AFK108" s="1"/>
      <c r="AFL108" s="1"/>
      <c r="AFM108" s="1"/>
      <c r="AFN108" s="1"/>
      <c r="AFO108" s="1"/>
      <c r="AFP108" s="1"/>
      <c r="AFQ108" s="1"/>
      <c r="AFR108" s="1"/>
      <c r="AFS108" s="1"/>
      <c r="AFT108" s="1"/>
      <c r="AFU108" s="1"/>
      <c r="AFV108" s="1"/>
      <c r="AFW108" s="1"/>
      <c r="AFX108" s="1"/>
      <c r="AFY108" s="1"/>
      <c r="AFZ108" s="1"/>
      <c r="AGA108" s="1"/>
      <c r="AGB108" s="1"/>
      <c r="AGC108" s="1"/>
      <c r="AGD108" s="1"/>
      <c r="AGE108" s="1"/>
      <c r="AGF108" s="1"/>
      <c r="AGG108" s="1"/>
      <c r="AGH108" s="1"/>
      <c r="AGI108" s="1"/>
      <c r="AGJ108" s="1"/>
      <c r="AGK108" s="1"/>
      <c r="AGL108" s="1"/>
      <c r="AGM108" s="1"/>
      <c r="AGN108" s="1"/>
      <c r="AGO108" s="1"/>
      <c r="AGP108" s="1"/>
      <c r="AGQ108" s="1"/>
      <c r="AGR108" s="1"/>
      <c r="AGS108" s="1"/>
      <c r="AGT108" s="1"/>
      <c r="AGU108" s="1"/>
      <c r="AGV108" s="1"/>
      <c r="AGW108" s="1"/>
      <c r="AGX108" s="1"/>
      <c r="AGY108" s="1"/>
      <c r="AGZ108" s="1"/>
      <c r="AHA108" s="1"/>
      <c r="AHB108" s="1"/>
      <c r="AHC108" s="1"/>
      <c r="AHD108" s="1"/>
      <c r="AHE108" s="1"/>
      <c r="AHF108" s="1"/>
      <c r="AHG108" s="1"/>
      <c r="AHH108" s="1"/>
      <c r="AHI108" s="1"/>
      <c r="AHJ108" s="1"/>
      <c r="AHK108" s="1"/>
      <c r="AHL108" s="1"/>
      <c r="AHM108" s="1"/>
      <c r="AHN108" s="1"/>
      <c r="AHO108" s="1"/>
      <c r="AHP108" s="1"/>
      <c r="AHQ108" s="1"/>
      <c r="AHR108" s="1"/>
      <c r="AHS108" s="1"/>
      <c r="AHT108" s="1"/>
      <c r="AHU108" s="1"/>
      <c r="AHV108" s="1"/>
      <c r="AHW108" s="1"/>
      <c r="AHX108" s="1"/>
      <c r="AHY108" s="1"/>
      <c r="AHZ108" s="1"/>
      <c r="AIA108" s="1"/>
      <c r="AIB108" s="1"/>
      <c r="AIC108" s="1"/>
      <c r="AID108" s="1"/>
      <c r="AIE108" s="1"/>
      <c r="AIF108" s="1"/>
      <c r="AIG108" s="1"/>
      <c r="AIH108" s="1"/>
      <c r="AII108" s="1"/>
      <c r="AIJ108" s="1"/>
      <c r="AIK108" s="1"/>
      <c r="AIL108" s="1"/>
      <c r="AIM108" s="1"/>
      <c r="AIN108" s="1"/>
      <c r="AIO108" s="1"/>
      <c r="AIP108" s="1"/>
      <c r="AIQ108" s="1"/>
      <c r="AIR108" s="1"/>
      <c r="AIS108" s="1"/>
      <c r="AIT108" s="1"/>
      <c r="AIU108" s="1"/>
      <c r="AIV108" s="1"/>
      <c r="AIW108" s="1"/>
      <c r="AIX108" s="1"/>
      <c r="AIY108" s="1"/>
      <c r="AIZ108" s="1"/>
      <c r="AJA108" s="1"/>
      <c r="AJB108" s="1"/>
      <c r="AJC108" s="1"/>
      <c r="AJD108" s="1"/>
      <c r="AJE108" s="1"/>
      <c r="AJF108" s="1"/>
      <c r="AJG108" s="1"/>
      <c r="AJH108" s="1"/>
      <c r="AJI108" s="1"/>
      <c r="AJJ108" s="1"/>
      <c r="AJK108" s="1"/>
      <c r="AJL108" s="1"/>
      <c r="AJM108" s="1"/>
      <c r="AJN108" s="1"/>
      <c r="AJO108" s="1"/>
      <c r="AJP108" s="1"/>
      <c r="AJQ108" s="1"/>
      <c r="AJR108" s="1"/>
      <c r="AJS108" s="1"/>
      <c r="AJT108" s="1"/>
      <c r="AJU108" s="1"/>
      <c r="AJV108" s="1"/>
      <c r="AJW108" s="1"/>
      <c r="AJX108" s="1"/>
      <c r="AJY108" s="1"/>
      <c r="AJZ108" s="1"/>
      <c r="AKA108" s="1"/>
      <c r="AKB108" s="1"/>
      <c r="AKC108" s="1"/>
      <c r="AKD108" s="1"/>
      <c r="AKE108" s="1"/>
      <c r="AKF108" s="1"/>
      <c r="AKG108" s="1"/>
      <c r="AKH108" s="1"/>
      <c r="AKI108" s="1"/>
      <c r="AKJ108" s="1"/>
      <c r="AKK108" s="1"/>
      <c r="AKL108" s="1"/>
      <c r="AKM108" s="1"/>
      <c r="AKN108" s="1"/>
      <c r="AKO108" s="1"/>
      <c r="AKP108" s="1"/>
      <c r="AKQ108" s="1"/>
      <c r="AKR108" s="1"/>
      <c r="AKS108" s="1"/>
      <c r="AKT108" s="1"/>
      <c r="AKU108" s="1"/>
      <c r="AKV108" s="1"/>
      <c r="AKW108" s="1"/>
      <c r="AKX108" s="1"/>
      <c r="AKY108" s="1"/>
      <c r="AKZ108" s="1"/>
      <c r="ALA108" s="1"/>
      <c r="ALB108" s="1"/>
      <c r="ALC108" s="1"/>
      <c r="ALD108" s="1"/>
      <c r="ALE108" s="1"/>
      <c r="ALF108" s="1"/>
      <c r="ALG108" s="1"/>
      <c r="ALH108" s="1"/>
      <c r="ALI108" s="1"/>
      <c r="ALJ108" s="1"/>
      <c r="ALK108" s="1"/>
      <c r="ALL108" s="1"/>
      <c r="ALM108" s="1"/>
      <c r="ALN108" s="1"/>
      <c r="ALO108" s="1"/>
      <c r="ALP108" s="1"/>
      <c r="ALQ108" s="1"/>
      <c r="ALR108" s="1"/>
      <c r="ALS108" s="1"/>
      <c r="ALT108" s="1"/>
      <c r="ALU108" s="1"/>
      <c r="ALV108" s="1"/>
      <c r="ALW108" s="1"/>
      <c r="ALX108" s="1"/>
      <c r="ALY108" s="1"/>
      <c r="ALZ108" s="1"/>
      <c r="AMA108" s="1"/>
      <c r="AMB108" s="1"/>
      <c r="AMC108" s="1"/>
      <c r="AMD108" s="1"/>
      <c r="AME108" s="1"/>
      <c r="AMF108" s="1"/>
      <c r="AMG108" s="1"/>
      <c r="AMH108" s="1"/>
      <c r="AMI108" s="1"/>
      <c r="AMJ108" s="1"/>
      <c r="AMK108" s="1"/>
      <c r="AML108" s="1"/>
      <c r="AMM108" s="1"/>
      <c r="AMN108" s="1"/>
      <c r="AMO108" s="1"/>
    </row>
    <row r="109" spans="1:1029" ht="17" customHeight="1" x14ac:dyDescent="0.2">
      <c r="A109" s="3" t="str">
        <f t="shared" si="223"/>
        <v>adrb2_human_3SN6</v>
      </c>
      <c r="B109" s="3" t="s">
        <v>126</v>
      </c>
      <c r="C109" s="3" t="s">
        <v>85</v>
      </c>
      <c r="D109" s="3" t="str">
        <f>IFERROR(MID(VLOOKUP($B109,Seqs!$A:$B,2,0),E109,1),"")</f>
        <v>D</v>
      </c>
      <c r="E109" s="3">
        <v>29</v>
      </c>
      <c r="F109" s="3" t="str">
        <f>IFERROR(MID(VLOOKUP($B109,Seqs!$A:$B,2,0),G109,1),"")</f>
        <v>F</v>
      </c>
      <c r="G109" s="3">
        <v>61</v>
      </c>
      <c r="H109" s="3" t="str">
        <f>IFERROR(MID(VLOOKUP($B109,Seqs!$A:$B,2,0),I109,1),"")</f>
        <v>E</v>
      </c>
      <c r="I109" s="23">
        <v>62</v>
      </c>
      <c r="J109" s="3" t="str">
        <f>IFERROR(MID(VLOOKUP($B109,Seqs!$A:$B,2,0),K109,1),"")</f>
        <v>Q</v>
      </c>
      <c r="K109" s="23">
        <v>65</v>
      </c>
      <c r="L109" s="3" t="str">
        <f>IFERROR(MID(VLOOKUP($B109,Seqs!$A:$B,2,0),M109,1),"")</f>
        <v>T</v>
      </c>
      <c r="M109" s="3">
        <v>66</v>
      </c>
      <c r="N109" s="3" t="str">
        <f>IFERROR(MID(VLOOKUP($B109,Seqs!$A:$B,2,0),O109,1),"")</f>
        <v>M</v>
      </c>
      <c r="O109" s="3">
        <v>96</v>
      </c>
      <c r="P109" s="3" t="str">
        <f>IFERROR(MID(VLOOKUP($B109,Seqs!$A:$B,2,0),Q109,1),"")</f>
        <v>M</v>
      </c>
      <c r="Q109" s="3">
        <v>98</v>
      </c>
      <c r="R109" s="3" t="str">
        <f>IFERROR(MID(VLOOKUP($B109,Seqs!$A:$B,2,0),S109,1),"")</f>
        <v>F</v>
      </c>
      <c r="S109" s="3">
        <v>101</v>
      </c>
      <c r="T109" s="3" t="str">
        <f>IFERROR(MID(VLOOKUP($B109,Seqs!$A:$B,2,0),U109,1),"")</f>
        <v>G</v>
      </c>
      <c r="U109" s="3">
        <v>102</v>
      </c>
      <c r="V109" s="3" t="str">
        <f>IFERROR(MID(VLOOKUP($B109,Seqs!$A:$B,2,0),W109,1),"")</f>
        <v>S</v>
      </c>
      <c r="W109" s="3">
        <v>137</v>
      </c>
      <c r="X109" s="3" t="str">
        <f>IFERROR(MID(VLOOKUP($B109,Seqs!$A:$B,2,0),Y109,1),"")</f>
        <v>P</v>
      </c>
      <c r="Y109" s="3">
        <v>138</v>
      </c>
      <c r="Z109" s="3" t="str">
        <f>IFERROR(MID(VLOOKUP($B109,Seqs!$A:$B,2,0),AA109,1),"")</f>
        <v>L</v>
      </c>
      <c r="AA109" s="3">
        <v>145</v>
      </c>
      <c r="AB109" s="3" t="str">
        <f>IFERROR(MID(VLOOKUP($B109,Seqs!$A:$B,2,0),AC109,1),"")</f>
        <v>T</v>
      </c>
      <c r="AC109" s="9">
        <v>146</v>
      </c>
      <c r="AD109" s="3" t="str">
        <f>IFERROR(MID(VLOOKUP($B109,Seqs!$A:$B,2,0),AE109,1),"")</f>
        <v>H</v>
      </c>
      <c r="AE109" s="3">
        <v>172</v>
      </c>
      <c r="AF109" s="3" t="str">
        <f>IFERROR(MID(VLOOKUP($B109,Seqs!$A:$B,2,0),AG109,1),"")</f>
        <v>C</v>
      </c>
      <c r="AG109" s="3">
        <v>191</v>
      </c>
      <c r="AH109" s="3" t="str">
        <f>IFERROR(MID(VLOOKUP($B109,Seqs!$A:$B,2,0),AI109,1),"")</f>
        <v>F</v>
      </c>
      <c r="AI109" s="3">
        <v>193</v>
      </c>
      <c r="AJ109" s="3" t="str">
        <f>IFERROR(MID(VLOOKUP($B109,Seqs!$A:$B,2,0),AK109,1),"")</f>
        <v>N</v>
      </c>
      <c r="AK109" s="3">
        <v>196</v>
      </c>
      <c r="AL109" s="3" t="str">
        <f>IFERROR(MID(VLOOKUP($B109,Seqs!$A:$B,2,0),AM109,1),"")</f>
        <v>E</v>
      </c>
      <c r="AM109" s="3">
        <v>237</v>
      </c>
      <c r="AN109" s="3" t="str">
        <f>IFERROR(MID(VLOOKUP($B109,Seqs!$A:$B,2,0),AO109,1),"")</f>
        <v>C</v>
      </c>
      <c r="AO109" s="3">
        <v>265</v>
      </c>
      <c r="AP109" s="3" t="str">
        <f>IFERROR(MID(VLOOKUP($B109,Seqs!$A:$B,2,0),AQ109,1),"")</f>
        <v>Q</v>
      </c>
      <c r="AQ109" s="3">
        <v>299</v>
      </c>
      <c r="AR109" s="3" t="str">
        <f>IFERROR(MID(VLOOKUP($B109,Seqs!$A:$B,2,0),AS109,1),"")</f>
        <v>R</v>
      </c>
      <c r="AS109" s="3">
        <v>304</v>
      </c>
      <c r="AT109" s="3" t="str">
        <f>IFERROR(MID(VLOOKUP($B109,Seqs!$A:$B,2,0),AU109,1),"")</f>
        <v>R</v>
      </c>
      <c r="AU109" s="3">
        <v>328</v>
      </c>
      <c r="AV109" s="3" t="str">
        <f>IFERROR(MID(VLOOKUP($B109,Seqs!$A:$B,2,0),AW109,1),"")</f>
        <v>S</v>
      </c>
      <c r="AW109" s="3">
        <v>329</v>
      </c>
      <c r="AX109" s="3" t="str">
        <f>IFERROR(MID(VLOOKUP($B109,Seqs!$A:$B,2,0),AY109,1),"")</f>
        <v>C</v>
      </c>
      <c r="AY109" s="3">
        <v>341</v>
      </c>
      <c r="AZ109" s="77" t="str">
        <f>VLOOKUP(B109,Classification!A:D,2,0)</f>
        <v>A</v>
      </c>
      <c r="BA109" s="94" t="str">
        <f>VLOOKUP(B109,Classification!A:D,4,0)</f>
        <v>Adrenoceptors</v>
      </c>
      <c r="BB109" s="27" t="b">
        <f t="shared" si="224"/>
        <v>1</v>
      </c>
      <c r="BC109" s="23">
        <f t="shared" si="365"/>
        <v>261</v>
      </c>
      <c r="BD109" s="4" t="s">
        <v>1382</v>
      </c>
      <c r="BE109" s="3" t="s">
        <v>1297</v>
      </c>
      <c r="BF109" s="119">
        <v>3.2</v>
      </c>
      <c r="BG109" s="49" t="s">
        <v>1384</v>
      </c>
      <c r="BH109" s="49" t="s">
        <v>1384</v>
      </c>
      <c r="BI109" s="1"/>
      <c r="BJ109" s="70" t="s">
        <v>1293</v>
      </c>
      <c r="BK109" s="57" t="s">
        <v>1293</v>
      </c>
      <c r="BL109" s="57" t="s">
        <v>1293</v>
      </c>
      <c r="BM109" s="57" t="s">
        <v>1293</v>
      </c>
      <c r="BN109" s="57" t="s">
        <v>1293</v>
      </c>
      <c r="BO109" s="57" t="s">
        <v>1293</v>
      </c>
      <c r="BP109" s="57" t="s">
        <v>1293</v>
      </c>
      <c r="BQ109" s="57" t="s">
        <v>1293</v>
      </c>
      <c r="BR109" s="57" t="s">
        <v>1293</v>
      </c>
      <c r="BS109" s="57" t="s">
        <v>1293</v>
      </c>
      <c r="BT109" s="57" t="s">
        <v>1293</v>
      </c>
      <c r="BU109" s="57" t="s">
        <v>1293</v>
      </c>
      <c r="BV109" s="70">
        <f t="shared" si="366"/>
        <v>29</v>
      </c>
      <c r="BW109" s="71">
        <f t="shared" si="367"/>
        <v>62</v>
      </c>
      <c r="BX109" s="72">
        <f t="shared" si="368"/>
        <v>66</v>
      </c>
      <c r="BY109" s="71">
        <f t="shared" si="369"/>
        <v>98</v>
      </c>
      <c r="BZ109" s="72">
        <f t="shared" si="370"/>
        <v>102</v>
      </c>
      <c r="CA109" s="71">
        <f t="shared" si="371"/>
        <v>138</v>
      </c>
      <c r="CB109" s="72">
        <f t="shared" si="372"/>
        <v>146</v>
      </c>
      <c r="CC109" s="71">
        <f t="shared" si="373"/>
        <v>191</v>
      </c>
      <c r="CD109" s="72">
        <f t="shared" si="374"/>
        <v>196</v>
      </c>
      <c r="CE109" s="71">
        <f t="shared" si="375"/>
        <v>265</v>
      </c>
      <c r="CF109" s="72">
        <f t="shared" si="376"/>
        <v>304</v>
      </c>
      <c r="CG109" s="71">
        <f t="shared" si="377"/>
        <v>329</v>
      </c>
      <c r="CH109" s="70">
        <f t="shared" si="378"/>
        <v>61</v>
      </c>
      <c r="CI109" s="71">
        <f t="shared" si="379"/>
        <v>65</v>
      </c>
      <c r="CJ109" s="72">
        <f t="shared" si="380"/>
        <v>96</v>
      </c>
      <c r="CK109" s="72">
        <f t="shared" si="381"/>
        <v>101</v>
      </c>
      <c r="CL109" s="72">
        <f t="shared" si="382"/>
        <v>137</v>
      </c>
      <c r="CM109" s="72">
        <f t="shared" si="383"/>
        <v>145</v>
      </c>
      <c r="CN109" s="72">
        <f t="shared" si="384"/>
        <v>172</v>
      </c>
      <c r="CO109" s="72">
        <f t="shared" si="385"/>
        <v>193</v>
      </c>
      <c r="CP109" s="72">
        <f t="shared" si="386"/>
        <v>237</v>
      </c>
      <c r="CQ109" s="72">
        <f t="shared" si="387"/>
        <v>299</v>
      </c>
      <c r="CR109" s="72">
        <f t="shared" si="388"/>
        <v>328</v>
      </c>
      <c r="CS109" s="72">
        <f t="shared" si="389"/>
        <v>341</v>
      </c>
      <c r="CT109" s="23">
        <f t="shared" si="390"/>
        <v>1</v>
      </c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U109" s="1"/>
      <c r="OV109" s="1"/>
      <c r="OW109" s="1"/>
      <c r="OX109" s="1"/>
      <c r="OY109" s="1"/>
      <c r="OZ109" s="1"/>
      <c r="PA109" s="1"/>
      <c r="PB109" s="1"/>
      <c r="PC109" s="1"/>
      <c r="PD109" s="1"/>
      <c r="PE109" s="1"/>
      <c r="PF109" s="1"/>
      <c r="PG109" s="1"/>
      <c r="PH109" s="1"/>
      <c r="PI109" s="1"/>
      <c r="PJ109" s="1"/>
      <c r="PK109" s="1"/>
      <c r="PL109" s="1"/>
      <c r="PM109" s="1"/>
      <c r="PN109" s="1"/>
      <c r="PO109" s="1"/>
      <c r="PP109" s="1"/>
      <c r="PQ109" s="1"/>
      <c r="PR109" s="1"/>
      <c r="PS109" s="1"/>
      <c r="PT109" s="1"/>
      <c r="PU109" s="1"/>
      <c r="PV109" s="1"/>
      <c r="PW109" s="1"/>
      <c r="PX109" s="1"/>
      <c r="PY109" s="1"/>
      <c r="PZ109" s="1"/>
      <c r="QA109" s="1"/>
      <c r="QB109" s="1"/>
      <c r="QC109" s="1"/>
      <c r="QD109" s="1"/>
      <c r="QE109" s="1"/>
      <c r="QF109" s="1"/>
      <c r="QG109" s="1"/>
      <c r="QH109" s="1"/>
      <c r="QI109" s="1"/>
      <c r="QJ109" s="1"/>
      <c r="QK109" s="1"/>
      <c r="QL109" s="1"/>
      <c r="QM109" s="1"/>
      <c r="QN109" s="1"/>
      <c r="QO109" s="1"/>
      <c r="QP109" s="1"/>
      <c r="QQ109" s="1"/>
      <c r="QR109" s="1"/>
      <c r="QS109" s="1"/>
      <c r="QT109" s="1"/>
      <c r="QU109" s="1"/>
      <c r="QV109" s="1"/>
      <c r="QW109" s="1"/>
      <c r="QX109" s="1"/>
      <c r="QY109" s="1"/>
      <c r="QZ109" s="1"/>
      <c r="RA109" s="1"/>
      <c r="RB109" s="1"/>
      <c r="RC109" s="1"/>
      <c r="RD109" s="1"/>
      <c r="RE109" s="1"/>
      <c r="RF109" s="1"/>
      <c r="RG109" s="1"/>
      <c r="RH109" s="1"/>
      <c r="RI109" s="1"/>
      <c r="RJ109" s="1"/>
      <c r="RK109" s="1"/>
      <c r="RL109" s="1"/>
      <c r="RM109" s="1"/>
      <c r="RN109" s="1"/>
      <c r="RO109" s="1"/>
      <c r="RP109" s="1"/>
      <c r="RQ109" s="1"/>
      <c r="RR109" s="1"/>
      <c r="RS109" s="1"/>
      <c r="RT109" s="1"/>
      <c r="RU109" s="1"/>
      <c r="RV109" s="1"/>
      <c r="RW109" s="1"/>
      <c r="RX109" s="1"/>
      <c r="RY109" s="1"/>
      <c r="RZ109" s="1"/>
      <c r="SA109" s="1"/>
      <c r="SB109" s="1"/>
      <c r="SC109" s="1"/>
      <c r="SD109" s="1"/>
      <c r="SE109" s="1"/>
      <c r="SF109" s="1"/>
      <c r="SG109" s="1"/>
      <c r="SH109" s="1"/>
      <c r="SI109" s="1"/>
      <c r="SJ109" s="1"/>
      <c r="SK109" s="1"/>
      <c r="SL109" s="1"/>
      <c r="SM109" s="1"/>
      <c r="SN109" s="1"/>
      <c r="SO109" s="1"/>
      <c r="SP109" s="1"/>
      <c r="SQ109" s="1"/>
      <c r="SR109" s="1"/>
      <c r="SS109" s="1"/>
      <c r="ST109" s="1"/>
      <c r="SU109" s="1"/>
      <c r="SV109" s="1"/>
      <c r="SW109" s="1"/>
      <c r="SX109" s="1"/>
      <c r="SY109" s="1"/>
      <c r="SZ109" s="1"/>
      <c r="TA109" s="1"/>
      <c r="TB109" s="1"/>
      <c r="TC109" s="1"/>
      <c r="TD109" s="1"/>
      <c r="TE109" s="1"/>
      <c r="TF109" s="1"/>
      <c r="TG109" s="1"/>
      <c r="TH109" s="1"/>
      <c r="TI109" s="1"/>
      <c r="TJ109" s="1"/>
      <c r="TK109" s="1"/>
      <c r="TL109" s="1"/>
      <c r="TM109" s="1"/>
      <c r="TN109" s="1"/>
      <c r="TO109" s="1"/>
      <c r="TP109" s="1"/>
      <c r="TQ109" s="1"/>
      <c r="TR109" s="1"/>
      <c r="TS109" s="1"/>
      <c r="TT109" s="1"/>
      <c r="TU109" s="1"/>
      <c r="TV109" s="1"/>
      <c r="TW109" s="1"/>
      <c r="TX109" s="1"/>
      <c r="TY109" s="1"/>
      <c r="TZ109" s="1"/>
      <c r="UA109" s="1"/>
      <c r="UB109" s="1"/>
      <c r="UC109" s="1"/>
      <c r="UD109" s="1"/>
      <c r="UE109" s="1"/>
      <c r="UF109" s="1"/>
      <c r="UG109" s="1"/>
      <c r="UH109" s="1"/>
      <c r="UI109" s="1"/>
      <c r="UJ109" s="1"/>
      <c r="UK109" s="1"/>
      <c r="UL109" s="1"/>
      <c r="UM109" s="1"/>
      <c r="UN109" s="1"/>
      <c r="UO109" s="1"/>
      <c r="UP109" s="1"/>
      <c r="UQ109" s="1"/>
      <c r="UR109" s="1"/>
      <c r="US109" s="1"/>
      <c r="UT109" s="1"/>
      <c r="UU109" s="1"/>
      <c r="UV109" s="1"/>
      <c r="UW109" s="1"/>
      <c r="UX109" s="1"/>
      <c r="UY109" s="1"/>
      <c r="UZ109" s="1"/>
      <c r="VA109" s="1"/>
      <c r="VB109" s="1"/>
      <c r="VC109" s="1"/>
      <c r="VD109" s="1"/>
      <c r="VE109" s="1"/>
      <c r="VF109" s="1"/>
      <c r="VG109" s="1"/>
      <c r="VH109" s="1"/>
      <c r="VI109" s="1"/>
      <c r="VJ109" s="1"/>
      <c r="VK109" s="1"/>
      <c r="VL109" s="1"/>
      <c r="VM109" s="1"/>
      <c r="VN109" s="1"/>
      <c r="VO109" s="1"/>
      <c r="VP109" s="1"/>
      <c r="VQ109" s="1"/>
      <c r="VR109" s="1"/>
      <c r="VS109" s="1"/>
      <c r="VT109" s="1"/>
      <c r="VU109" s="1"/>
      <c r="VV109" s="1"/>
      <c r="VW109" s="1"/>
      <c r="VX109" s="1"/>
      <c r="VY109" s="1"/>
      <c r="VZ109" s="1"/>
      <c r="WA109" s="1"/>
      <c r="WB109" s="1"/>
      <c r="WC109" s="1"/>
      <c r="WD109" s="1"/>
      <c r="WE109" s="1"/>
      <c r="WF109" s="1"/>
      <c r="WG109" s="1"/>
      <c r="WH109" s="1"/>
      <c r="WI109" s="1"/>
      <c r="WJ109" s="1"/>
      <c r="WK109" s="1"/>
      <c r="WL109" s="1"/>
      <c r="WM109" s="1"/>
      <c r="WN109" s="1"/>
      <c r="WO109" s="1"/>
      <c r="WP109" s="1"/>
      <c r="WQ109" s="1"/>
      <c r="WR109" s="1"/>
      <c r="WS109" s="1"/>
      <c r="WT109" s="1"/>
      <c r="WU109" s="1"/>
      <c r="WV109" s="1"/>
      <c r="WW109" s="1"/>
      <c r="WX109" s="1"/>
      <c r="WY109" s="1"/>
      <c r="WZ109" s="1"/>
      <c r="XA109" s="1"/>
      <c r="XB109" s="1"/>
      <c r="XC109" s="1"/>
      <c r="XD109" s="1"/>
      <c r="XE109" s="1"/>
      <c r="XF109" s="1"/>
      <c r="XG109" s="1"/>
      <c r="XH109" s="1"/>
      <c r="XI109" s="1"/>
      <c r="XJ109" s="1"/>
      <c r="XK109" s="1"/>
      <c r="XL109" s="1"/>
      <c r="XM109" s="1"/>
      <c r="XN109" s="1"/>
      <c r="XO109" s="1"/>
      <c r="XP109" s="1"/>
      <c r="XQ109" s="1"/>
      <c r="XR109" s="1"/>
      <c r="XS109" s="1"/>
      <c r="XT109" s="1"/>
      <c r="XU109" s="1"/>
      <c r="XV109" s="1"/>
      <c r="XW109" s="1"/>
      <c r="XX109" s="1"/>
      <c r="XY109" s="1"/>
      <c r="XZ109" s="1"/>
      <c r="YA109" s="1"/>
      <c r="YB109" s="1"/>
      <c r="YC109" s="1"/>
      <c r="YD109" s="1"/>
      <c r="YE109" s="1"/>
      <c r="YF109" s="1"/>
      <c r="YG109" s="1"/>
      <c r="YH109" s="1"/>
      <c r="YI109" s="1"/>
      <c r="YJ109" s="1"/>
      <c r="YK109" s="1"/>
      <c r="YL109" s="1"/>
      <c r="YM109" s="1"/>
      <c r="YN109" s="1"/>
      <c r="YO109" s="1"/>
      <c r="YP109" s="1"/>
      <c r="YQ109" s="1"/>
      <c r="YR109" s="1"/>
      <c r="YS109" s="1"/>
      <c r="YT109" s="1"/>
      <c r="YU109" s="1"/>
      <c r="YV109" s="1"/>
      <c r="YW109" s="1"/>
      <c r="YX109" s="1"/>
      <c r="YY109" s="1"/>
      <c r="YZ109" s="1"/>
      <c r="ZA109" s="1"/>
      <c r="ZB109" s="1"/>
      <c r="ZC109" s="1"/>
      <c r="ZD109" s="1"/>
      <c r="ZE109" s="1"/>
      <c r="ZF109" s="1"/>
      <c r="ZG109" s="1"/>
      <c r="ZH109" s="1"/>
      <c r="ZI109" s="1"/>
      <c r="ZJ109" s="1"/>
      <c r="ZK109" s="1"/>
      <c r="ZL109" s="1"/>
      <c r="ZM109" s="1"/>
      <c r="ZN109" s="1"/>
      <c r="ZO109" s="1"/>
      <c r="ZP109" s="1"/>
      <c r="ZQ109" s="1"/>
      <c r="ZR109" s="1"/>
      <c r="ZS109" s="1"/>
      <c r="ZT109" s="1"/>
      <c r="ZU109" s="1"/>
      <c r="ZV109" s="1"/>
      <c r="ZW109" s="1"/>
      <c r="ZX109" s="1"/>
      <c r="ZY109" s="1"/>
      <c r="ZZ109" s="1"/>
      <c r="AAA109" s="1"/>
      <c r="AAB109" s="1"/>
      <c r="AAC109" s="1"/>
      <c r="AAD109" s="1"/>
      <c r="AAE109" s="1"/>
      <c r="AAF109" s="1"/>
      <c r="AAG109" s="1"/>
      <c r="AAH109" s="1"/>
      <c r="AAI109" s="1"/>
      <c r="AAJ109" s="1"/>
      <c r="AAK109" s="1"/>
      <c r="AAL109" s="1"/>
      <c r="AAM109" s="1"/>
      <c r="AAN109" s="1"/>
      <c r="AAO109" s="1"/>
      <c r="AAP109" s="1"/>
      <c r="AAQ109" s="1"/>
      <c r="AAR109" s="1"/>
      <c r="AAS109" s="1"/>
      <c r="AAT109" s="1"/>
      <c r="AAU109" s="1"/>
      <c r="AAV109" s="1"/>
      <c r="AAW109" s="1"/>
      <c r="AAX109" s="1"/>
      <c r="AAY109" s="1"/>
      <c r="AAZ109" s="1"/>
      <c r="ABA109" s="1"/>
      <c r="ABB109" s="1"/>
      <c r="ABC109" s="1"/>
      <c r="ABD109" s="1"/>
      <c r="ABE109" s="1"/>
      <c r="ABF109" s="1"/>
      <c r="ABG109" s="1"/>
      <c r="ABH109" s="1"/>
      <c r="ABI109" s="1"/>
      <c r="ABJ109" s="1"/>
      <c r="ABK109" s="1"/>
      <c r="ABL109" s="1"/>
      <c r="ABM109" s="1"/>
      <c r="ABN109" s="1"/>
      <c r="ABO109" s="1"/>
      <c r="ABP109" s="1"/>
      <c r="ABQ109" s="1"/>
      <c r="ABR109" s="1"/>
      <c r="ABS109" s="1"/>
      <c r="ABT109" s="1"/>
      <c r="ABU109" s="1"/>
      <c r="ABV109" s="1"/>
      <c r="ABW109" s="1"/>
      <c r="ABX109" s="1"/>
      <c r="ABY109" s="1"/>
      <c r="ABZ109" s="1"/>
      <c r="ACA109" s="1"/>
      <c r="ACB109" s="1"/>
      <c r="ACC109" s="1"/>
      <c r="ACD109" s="1"/>
      <c r="ACE109" s="1"/>
      <c r="ACF109" s="1"/>
      <c r="ACG109" s="1"/>
      <c r="ACH109" s="1"/>
      <c r="ACI109" s="1"/>
      <c r="ACJ109" s="1"/>
      <c r="ACK109" s="1"/>
      <c r="ACL109" s="1"/>
      <c r="ACM109" s="1"/>
      <c r="ACN109" s="1"/>
      <c r="ACO109" s="1"/>
      <c r="ACP109" s="1"/>
      <c r="ACQ109" s="1"/>
      <c r="ACR109" s="1"/>
      <c r="ACS109" s="1"/>
      <c r="ACT109" s="1"/>
      <c r="ACU109" s="1"/>
      <c r="ACV109" s="1"/>
      <c r="ACW109" s="1"/>
      <c r="ACX109" s="1"/>
      <c r="ACY109" s="1"/>
      <c r="ACZ109" s="1"/>
      <c r="ADA109" s="1"/>
      <c r="ADB109" s="1"/>
      <c r="ADC109" s="1"/>
      <c r="ADD109" s="1"/>
      <c r="ADE109" s="1"/>
      <c r="ADF109" s="1"/>
      <c r="ADG109" s="1"/>
      <c r="ADH109" s="1"/>
      <c r="ADI109" s="1"/>
      <c r="ADJ109" s="1"/>
      <c r="ADK109" s="1"/>
      <c r="ADL109" s="1"/>
      <c r="ADM109" s="1"/>
      <c r="ADN109" s="1"/>
      <c r="ADO109" s="1"/>
      <c r="ADP109" s="1"/>
      <c r="ADQ109" s="1"/>
      <c r="ADR109" s="1"/>
      <c r="ADS109" s="1"/>
      <c r="ADT109" s="1"/>
      <c r="ADU109" s="1"/>
      <c r="ADV109" s="1"/>
      <c r="ADW109" s="1"/>
      <c r="ADX109" s="1"/>
      <c r="ADY109" s="1"/>
      <c r="ADZ109" s="1"/>
      <c r="AEA109" s="1"/>
      <c r="AEB109" s="1"/>
      <c r="AEC109" s="1"/>
      <c r="AED109" s="1"/>
      <c r="AEE109" s="1"/>
      <c r="AEF109" s="1"/>
      <c r="AEG109" s="1"/>
      <c r="AEH109" s="1"/>
      <c r="AEI109" s="1"/>
      <c r="AEJ109" s="1"/>
      <c r="AEK109" s="1"/>
      <c r="AEL109" s="1"/>
      <c r="AEM109" s="1"/>
      <c r="AEN109" s="1"/>
      <c r="AEO109" s="1"/>
      <c r="AEP109" s="1"/>
      <c r="AEQ109" s="1"/>
      <c r="AER109" s="1"/>
      <c r="AES109" s="1"/>
      <c r="AET109" s="1"/>
      <c r="AEU109" s="1"/>
      <c r="AEV109" s="1"/>
      <c r="AEW109" s="1"/>
      <c r="AEX109" s="1"/>
      <c r="AEY109" s="1"/>
      <c r="AEZ109" s="1"/>
      <c r="AFA109" s="1"/>
      <c r="AFB109" s="1"/>
      <c r="AFC109" s="1"/>
      <c r="AFD109" s="1"/>
      <c r="AFE109" s="1"/>
      <c r="AFF109" s="1"/>
      <c r="AFG109" s="1"/>
      <c r="AFH109" s="1"/>
      <c r="AFI109" s="1"/>
      <c r="AFJ109" s="1"/>
      <c r="AFK109" s="1"/>
      <c r="AFL109" s="1"/>
      <c r="AFM109" s="1"/>
      <c r="AFN109" s="1"/>
      <c r="AFO109" s="1"/>
      <c r="AFP109" s="1"/>
      <c r="AFQ109" s="1"/>
      <c r="AFR109" s="1"/>
      <c r="AFS109" s="1"/>
      <c r="AFT109" s="1"/>
      <c r="AFU109" s="1"/>
      <c r="AFV109" s="1"/>
      <c r="AFW109" s="1"/>
      <c r="AFX109" s="1"/>
      <c r="AFY109" s="1"/>
      <c r="AFZ109" s="1"/>
      <c r="AGA109" s="1"/>
      <c r="AGB109" s="1"/>
      <c r="AGC109" s="1"/>
      <c r="AGD109" s="1"/>
      <c r="AGE109" s="1"/>
      <c r="AGF109" s="1"/>
      <c r="AGG109" s="1"/>
      <c r="AGH109" s="1"/>
      <c r="AGI109" s="1"/>
      <c r="AGJ109" s="1"/>
      <c r="AGK109" s="1"/>
      <c r="AGL109" s="1"/>
      <c r="AGM109" s="1"/>
      <c r="AGN109" s="1"/>
      <c r="AGO109" s="1"/>
      <c r="AGP109" s="1"/>
      <c r="AGQ109" s="1"/>
      <c r="AGR109" s="1"/>
      <c r="AGS109" s="1"/>
      <c r="AGT109" s="1"/>
      <c r="AGU109" s="1"/>
      <c r="AGV109" s="1"/>
      <c r="AGW109" s="1"/>
      <c r="AGX109" s="1"/>
      <c r="AGY109" s="1"/>
      <c r="AGZ109" s="1"/>
      <c r="AHA109" s="1"/>
      <c r="AHB109" s="1"/>
      <c r="AHC109" s="1"/>
      <c r="AHD109" s="1"/>
      <c r="AHE109" s="1"/>
      <c r="AHF109" s="1"/>
      <c r="AHG109" s="1"/>
      <c r="AHH109" s="1"/>
      <c r="AHI109" s="1"/>
      <c r="AHJ109" s="1"/>
      <c r="AHK109" s="1"/>
      <c r="AHL109" s="1"/>
      <c r="AHM109" s="1"/>
      <c r="AHN109" s="1"/>
      <c r="AHO109" s="1"/>
      <c r="AHP109" s="1"/>
      <c r="AHQ109" s="1"/>
      <c r="AHR109" s="1"/>
      <c r="AHS109" s="1"/>
      <c r="AHT109" s="1"/>
      <c r="AHU109" s="1"/>
      <c r="AHV109" s="1"/>
      <c r="AHW109" s="1"/>
      <c r="AHX109" s="1"/>
      <c r="AHY109" s="1"/>
      <c r="AHZ109" s="1"/>
      <c r="AIA109" s="1"/>
      <c r="AIB109" s="1"/>
      <c r="AIC109" s="1"/>
      <c r="AID109" s="1"/>
      <c r="AIE109" s="1"/>
      <c r="AIF109" s="1"/>
      <c r="AIG109" s="1"/>
      <c r="AIH109" s="1"/>
      <c r="AII109" s="1"/>
      <c r="AIJ109" s="1"/>
      <c r="AIK109" s="1"/>
      <c r="AIL109" s="1"/>
      <c r="AIM109" s="1"/>
      <c r="AIN109" s="1"/>
      <c r="AIO109" s="1"/>
      <c r="AIP109" s="1"/>
      <c r="AIQ109" s="1"/>
      <c r="AIR109" s="1"/>
      <c r="AIS109" s="1"/>
      <c r="AIT109" s="1"/>
      <c r="AIU109" s="1"/>
      <c r="AIV109" s="1"/>
      <c r="AIW109" s="1"/>
      <c r="AIX109" s="1"/>
      <c r="AIY109" s="1"/>
      <c r="AIZ109" s="1"/>
      <c r="AJA109" s="1"/>
      <c r="AJB109" s="1"/>
      <c r="AJC109" s="1"/>
      <c r="AJD109" s="1"/>
      <c r="AJE109" s="1"/>
      <c r="AJF109" s="1"/>
      <c r="AJG109" s="1"/>
      <c r="AJH109" s="1"/>
      <c r="AJI109" s="1"/>
      <c r="AJJ109" s="1"/>
      <c r="AJK109" s="1"/>
      <c r="AJL109" s="1"/>
      <c r="AJM109" s="1"/>
      <c r="AJN109" s="1"/>
      <c r="AJO109" s="1"/>
      <c r="AJP109" s="1"/>
      <c r="AJQ109" s="1"/>
      <c r="AJR109" s="1"/>
      <c r="AJS109" s="1"/>
      <c r="AJT109" s="1"/>
      <c r="AJU109" s="1"/>
      <c r="AJV109" s="1"/>
      <c r="AJW109" s="1"/>
      <c r="AJX109" s="1"/>
      <c r="AJY109" s="1"/>
      <c r="AJZ109" s="1"/>
      <c r="AKA109" s="1"/>
      <c r="AKB109" s="1"/>
      <c r="AKC109" s="1"/>
      <c r="AKD109" s="1"/>
      <c r="AKE109" s="1"/>
      <c r="AKF109" s="1"/>
      <c r="AKG109" s="1"/>
      <c r="AKH109" s="1"/>
      <c r="AKI109" s="1"/>
      <c r="AKJ109" s="1"/>
      <c r="AKK109" s="1"/>
      <c r="AKL109" s="1"/>
      <c r="AKM109" s="1"/>
      <c r="AKN109" s="1"/>
      <c r="AKO109" s="1"/>
      <c r="AKP109" s="1"/>
      <c r="AKQ109" s="1"/>
      <c r="AKR109" s="1"/>
      <c r="AKS109" s="1"/>
      <c r="AKT109" s="1"/>
      <c r="AKU109" s="1"/>
      <c r="AKV109" s="1"/>
      <c r="AKW109" s="1"/>
      <c r="AKX109" s="1"/>
      <c r="AKY109" s="1"/>
      <c r="AKZ109" s="1"/>
      <c r="ALA109" s="1"/>
      <c r="ALB109" s="1"/>
      <c r="ALC109" s="1"/>
      <c r="ALD109" s="1"/>
      <c r="ALE109" s="1"/>
      <c r="ALF109" s="1"/>
      <c r="ALG109" s="1"/>
      <c r="ALH109" s="1"/>
      <c r="ALI109" s="1"/>
      <c r="ALJ109" s="1"/>
      <c r="ALK109" s="1"/>
      <c r="ALL109" s="1"/>
      <c r="ALM109" s="1"/>
      <c r="ALN109" s="1"/>
      <c r="ALO109" s="1"/>
      <c r="ALP109" s="1"/>
      <c r="ALQ109" s="1"/>
      <c r="ALR109" s="1"/>
      <c r="ALS109" s="1"/>
      <c r="ALT109" s="1"/>
      <c r="ALU109" s="1"/>
      <c r="ALV109" s="1"/>
      <c r="ALW109" s="1"/>
      <c r="ALX109" s="1"/>
      <c r="ALY109" s="1"/>
      <c r="ALZ109" s="1"/>
      <c r="AMA109" s="1"/>
      <c r="AMB109" s="1"/>
      <c r="AMC109" s="1"/>
      <c r="AMD109" s="1"/>
      <c r="AME109" s="1"/>
      <c r="AMF109" s="1"/>
      <c r="AMG109" s="1"/>
      <c r="AMH109" s="1"/>
      <c r="AMI109" s="1"/>
      <c r="AMJ109" s="1"/>
      <c r="AMK109" s="1"/>
      <c r="AML109" s="1"/>
      <c r="AMM109" s="1"/>
      <c r="AMN109" s="1"/>
      <c r="AMO109" s="1"/>
    </row>
    <row r="110" spans="1:1029" x14ac:dyDescent="0.2">
      <c r="A110" s="3" t="str">
        <f t="shared" ref="A110:A174" si="559">CONCATENATE(B110,"_",C110)</f>
        <v>adrb2_human_4LDE</v>
      </c>
      <c r="B110" s="3" t="s">
        <v>126</v>
      </c>
      <c r="C110" s="3" t="s">
        <v>77</v>
      </c>
      <c r="D110" s="3" t="str">
        <f>IFERROR(MID(VLOOKUP($B110,Seqs!$A:$B,2,0),E110,1),"")</f>
        <v>D</v>
      </c>
      <c r="E110" s="3">
        <v>29</v>
      </c>
      <c r="F110" s="3" t="str">
        <f>IFERROR(MID(VLOOKUP($B110,Seqs!$A:$B,2,0),G110,1),"")</f>
        <v>F</v>
      </c>
      <c r="G110" s="3">
        <v>61</v>
      </c>
      <c r="H110" s="3" t="str">
        <f>IFERROR(MID(VLOOKUP($B110,Seqs!$A:$B,2,0),I110,1),"")</f>
        <v>E</v>
      </c>
      <c r="I110" s="23">
        <v>62</v>
      </c>
      <c r="J110" s="3" t="str">
        <f>IFERROR(MID(VLOOKUP($B110,Seqs!$A:$B,2,0),K110,1),"")</f>
        <v>Q</v>
      </c>
      <c r="K110" s="23">
        <v>65</v>
      </c>
      <c r="L110" s="3" t="str">
        <f>IFERROR(MID(VLOOKUP($B110,Seqs!$A:$B,2,0),M110,1),"")</f>
        <v>T</v>
      </c>
      <c r="M110" s="3">
        <v>66</v>
      </c>
      <c r="N110" s="3" t="str">
        <f>IFERROR(MID(VLOOKUP($B110,Seqs!$A:$B,2,0),O110,1),"")</f>
        <v>M</v>
      </c>
      <c r="O110" s="3">
        <v>96</v>
      </c>
      <c r="P110" s="3" t="str">
        <f>IFERROR(MID(VLOOKUP($B110,Seqs!$A:$B,2,0),Q110,1),"")</f>
        <v>M</v>
      </c>
      <c r="Q110" s="3">
        <v>98</v>
      </c>
      <c r="R110" s="3" t="str">
        <f>IFERROR(MID(VLOOKUP($B110,Seqs!$A:$B,2,0),S110,1),"")</f>
        <v>F</v>
      </c>
      <c r="S110" s="3">
        <v>101</v>
      </c>
      <c r="T110" s="3" t="str">
        <f>IFERROR(MID(VLOOKUP($B110,Seqs!$A:$B,2,0),U110,1),"")</f>
        <v>G</v>
      </c>
      <c r="U110" s="3">
        <v>102</v>
      </c>
      <c r="V110" s="3" t="str">
        <f>IFERROR(MID(VLOOKUP($B110,Seqs!$A:$B,2,0),W110,1),"")</f>
        <v>S</v>
      </c>
      <c r="W110" s="3">
        <v>137</v>
      </c>
      <c r="X110" s="3" t="str">
        <f>IFERROR(MID(VLOOKUP($B110,Seqs!$A:$B,2,0),Y110,1),"")</f>
        <v>P</v>
      </c>
      <c r="Y110" s="3">
        <v>138</v>
      </c>
      <c r="Z110" s="3" t="str">
        <f>IFERROR(MID(VLOOKUP($B110,Seqs!$A:$B,2,0),AA110,1),"")</f>
        <v>L</v>
      </c>
      <c r="AA110" s="3">
        <v>145</v>
      </c>
      <c r="AB110" s="3" t="str">
        <f>IFERROR(MID(VLOOKUP($B110,Seqs!$A:$B,2,0),AC110,1),"")</f>
        <v>T</v>
      </c>
      <c r="AC110" s="9">
        <v>146</v>
      </c>
      <c r="AD110" s="3" t="str">
        <f>IFERROR(MID(VLOOKUP($B110,Seqs!$A:$B,2,0),AE110,1),"")</f>
        <v>H</v>
      </c>
      <c r="AE110" s="3">
        <v>172</v>
      </c>
      <c r="AF110" s="3" t="str">
        <f>IFERROR(MID(VLOOKUP($B110,Seqs!$A:$B,2,0),AG110,1),"")</f>
        <v>C</v>
      </c>
      <c r="AG110" s="3">
        <v>191</v>
      </c>
      <c r="AH110" s="3" t="str">
        <f>IFERROR(MID(VLOOKUP($B110,Seqs!$A:$B,2,0),AI110,1),"")</f>
        <v>F</v>
      </c>
      <c r="AI110" s="3">
        <v>193</v>
      </c>
      <c r="AJ110" s="3" t="str">
        <f>IFERROR(MID(VLOOKUP($B110,Seqs!$A:$B,2,0),AK110,1),"")</f>
        <v>N</v>
      </c>
      <c r="AK110" s="3">
        <v>196</v>
      </c>
      <c r="AL110" s="3" t="str">
        <f>IFERROR(MID(VLOOKUP($B110,Seqs!$A:$B,2,0),AM110,1),"")</f>
        <v>E</v>
      </c>
      <c r="AM110" s="3">
        <v>225</v>
      </c>
      <c r="AN110" s="3" t="str">
        <f>IFERROR(MID(VLOOKUP($B110,Seqs!$A:$B,2,0),AO110,1),"")</f>
        <v>L</v>
      </c>
      <c r="AO110" s="3">
        <v>266</v>
      </c>
      <c r="AP110" s="3" t="str">
        <f>IFERROR(MID(VLOOKUP($B110,Seqs!$A:$B,2,0),AQ110,1),"")</f>
        <v>Q</v>
      </c>
      <c r="AQ110" s="3">
        <v>299</v>
      </c>
      <c r="AR110" s="3" t="str">
        <f>IFERROR(MID(VLOOKUP($B110,Seqs!$A:$B,2,0),AS110,1),"")</f>
        <v>R</v>
      </c>
      <c r="AS110" s="3">
        <v>304</v>
      </c>
      <c r="AT110" s="3" t="str">
        <f>IFERROR(MID(VLOOKUP($B110,Seqs!$A:$B,2,0),AU110,1),"")</f>
        <v>R</v>
      </c>
      <c r="AU110" s="3">
        <v>328</v>
      </c>
      <c r="AV110" s="3" t="str">
        <f>IFERROR(MID(VLOOKUP($B110,Seqs!$A:$B,2,0),AW110,1),"")</f>
        <v>S</v>
      </c>
      <c r="AW110" s="3">
        <v>329</v>
      </c>
      <c r="AX110" s="3" t="str">
        <f>IFERROR(MID(VLOOKUP($B110,Seqs!$A:$B,2,0),AY110,1),"")</f>
        <v>C</v>
      </c>
      <c r="AY110" s="3">
        <v>341</v>
      </c>
      <c r="AZ110" s="77" t="str">
        <f>VLOOKUP(B110,Classification!A:D,2,0)</f>
        <v>A</v>
      </c>
      <c r="BA110" s="94" t="str">
        <f>VLOOKUP(B110,Classification!A:D,4,0)</f>
        <v>Adrenoceptors</v>
      </c>
      <c r="BB110" s="27" t="b">
        <f t="shared" ref="BB110:BB174" si="560">AND(E110&lt;G110,OR(G110&lt;I110,I110="-"),OR(I110&lt;K110,I110="-"),OR(K110&lt;M110,K110="-"),M110&lt;O110,OR(O110&lt;Q110,Q110="-"),OR(Q110&lt;S110,Q110="-"),OR(S110&lt;U110,S110="-"),U110&lt;W110,OR(W110&lt;Y110,Y110="-"),OR(Y110&lt;AA110,Y110="-"),OR(AA110&lt;AC110,AA110="-"),AC110&lt;AE110,OR(AE110&lt;AG110,AG110="-"),OR(AG110&lt;AI110,AG110="-"),OR(AI110&lt;AK110,AI110="-"),AK110&lt;AM110,AM110&lt;AO110,AO110&lt;AQ110,AQ110&lt;AS110,AS110&lt;AU110,OR(AU110&lt;AW110,AW110="-"),OR(AW110&lt;AY110,AW110="-"))</f>
        <v>1</v>
      </c>
      <c r="BC110" s="23">
        <f t="shared" si="365"/>
        <v>248</v>
      </c>
      <c r="BD110" s="4" t="s">
        <v>23</v>
      </c>
      <c r="BE110" s="3" t="s">
        <v>1297</v>
      </c>
      <c r="BF110" s="119">
        <v>2.79</v>
      </c>
      <c r="BG110" s="49" t="s">
        <v>1384</v>
      </c>
      <c r="BH110" s="49" t="s">
        <v>1384</v>
      </c>
      <c r="BI110" s="1"/>
      <c r="BJ110" s="70" t="s">
        <v>1293</v>
      </c>
      <c r="BK110" s="57" t="s">
        <v>1293</v>
      </c>
      <c r="BL110" s="57" t="s">
        <v>1293</v>
      </c>
      <c r="BM110" s="57" t="s">
        <v>1293</v>
      </c>
      <c r="BN110" s="57" t="s">
        <v>1293</v>
      </c>
      <c r="BO110" s="57" t="s">
        <v>1293</v>
      </c>
      <c r="BP110" s="57" t="s">
        <v>1293</v>
      </c>
      <c r="BQ110" s="57" t="s">
        <v>1293</v>
      </c>
      <c r="BR110" s="57" t="s">
        <v>1293</v>
      </c>
      <c r="BS110" s="57" t="s">
        <v>1293</v>
      </c>
      <c r="BT110" s="57" t="s">
        <v>1293</v>
      </c>
      <c r="BU110" s="57" t="s">
        <v>1293</v>
      </c>
      <c r="BV110" s="70">
        <f t="shared" si="366"/>
        <v>29</v>
      </c>
      <c r="BW110" s="71">
        <f t="shared" si="367"/>
        <v>62</v>
      </c>
      <c r="BX110" s="72">
        <f t="shared" si="368"/>
        <v>66</v>
      </c>
      <c r="BY110" s="71">
        <f t="shared" si="369"/>
        <v>98</v>
      </c>
      <c r="BZ110" s="72">
        <f t="shared" si="370"/>
        <v>102</v>
      </c>
      <c r="CA110" s="71">
        <f t="shared" si="371"/>
        <v>138</v>
      </c>
      <c r="CB110" s="72">
        <f t="shared" si="372"/>
        <v>146</v>
      </c>
      <c r="CC110" s="71">
        <f t="shared" si="373"/>
        <v>191</v>
      </c>
      <c r="CD110" s="72">
        <f t="shared" si="374"/>
        <v>196</v>
      </c>
      <c r="CE110" s="71">
        <f t="shared" si="375"/>
        <v>266</v>
      </c>
      <c r="CF110" s="72">
        <f t="shared" si="376"/>
        <v>304</v>
      </c>
      <c r="CG110" s="71">
        <f t="shared" si="377"/>
        <v>329</v>
      </c>
      <c r="CH110" s="70">
        <f t="shared" si="378"/>
        <v>61</v>
      </c>
      <c r="CI110" s="71">
        <f t="shared" si="379"/>
        <v>65</v>
      </c>
      <c r="CJ110" s="72">
        <f t="shared" si="380"/>
        <v>96</v>
      </c>
      <c r="CK110" s="72">
        <f t="shared" si="381"/>
        <v>101</v>
      </c>
      <c r="CL110" s="72">
        <f t="shared" si="382"/>
        <v>137</v>
      </c>
      <c r="CM110" s="72">
        <f t="shared" si="383"/>
        <v>145</v>
      </c>
      <c r="CN110" s="72">
        <f t="shared" si="384"/>
        <v>172</v>
      </c>
      <c r="CO110" s="72">
        <f t="shared" si="385"/>
        <v>193</v>
      </c>
      <c r="CP110" s="72">
        <f t="shared" si="386"/>
        <v>225</v>
      </c>
      <c r="CQ110" s="72">
        <f t="shared" si="387"/>
        <v>299</v>
      </c>
      <c r="CR110" s="72">
        <f t="shared" si="388"/>
        <v>328</v>
      </c>
      <c r="CS110" s="72">
        <f t="shared" si="389"/>
        <v>341</v>
      </c>
      <c r="CT110" s="23">
        <f t="shared" si="390"/>
        <v>1</v>
      </c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/>
      <c r="OP110" s="1"/>
      <c r="OQ110" s="1"/>
      <c r="OR110" s="1"/>
      <c r="OS110" s="1"/>
      <c r="OT110" s="1"/>
      <c r="OU110" s="1"/>
      <c r="OV110" s="1"/>
      <c r="OW110" s="1"/>
      <c r="OX110" s="1"/>
      <c r="OY110" s="1"/>
      <c r="OZ110" s="1"/>
      <c r="PA110" s="1"/>
      <c r="PB110" s="1"/>
      <c r="PC110" s="1"/>
      <c r="PD110" s="1"/>
      <c r="PE110" s="1"/>
      <c r="PF110" s="1"/>
      <c r="PG110" s="1"/>
      <c r="PH110" s="1"/>
      <c r="PI110" s="1"/>
      <c r="PJ110" s="1"/>
      <c r="PK110" s="1"/>
      <c r="PL110" s="1"/>
      <c r="PM110" s="1"/>
      <c r="PN110" s="1"/>
      <c r="PO110" s="1"/>
      <c r="PP110" s="1"/>
      <c r="PQ110" s="1"/>
      <c r="PR110" s="1"/>
      <c r="PS110" s="1"/>
      <c r="PT110" s="1"/>
      <c r="PU110" s="1"/>
      <c r="PV110" s="1"/>
      <c r="PW110" s="1"/>
      <c r="PX110" s="1"/>
      <c r="PY110" s="1"/>
      <c r="PZ110" s="1"/>
      <c r="QA110" s="1"/>
      <c r="QB110" s="1"/>
      <c r="QC110" s="1"/>
      <c r="QD110" s="1"/>
      <c r="QE110" s="1"/>
      <c r="QF110" s="1"/>
      <c r="QG110" s="1"/>
      <c r="QH110" s="1"/>
      <c r="QI110" s="1"/>
      <c r="QJ110" s="1"/>
      <c r="QK110" s="1"/>
      <c r="QL110" s="1"/>
      <c r="QM110" s="1"/>
      <c r="QN110" s="1"/>
      <c r="QO110" s="1"/>
      <c r="QP110" s="1"/>
      <c r="QQ110" s="1"/>
      <c r="QR110" s="1"/>
      <c r="QS110" s="1"/>
      <c r="QT110" s="1"/>
      <c r="QU110" s="1"/>
      <c r="QV110" s="1"/>
      <c r="QW110" s="1"/>
      <c r="QX110" s="1"/>
      <c r="QY110" s="1"/>
      <c r="QZ110" s="1"/>
      <c r="RA110" s="1"/>
      <c r="RB110" s="1"/>
      <c r="RC110" s="1"/>
      <c r="RD110" s="1"/>
      <c r="RE110" s="1"/>
      <c r="RF110" s="1"/>
      <c r="RG110" s="1"/>
      <c r="RH110" s="1"/>
      <c r="RI110" s="1"/>
      <c r="RJ110" s="1"/>
      <c r="RK110" s="1"/>
      <c r="RL110" s="1"/>
      <c r="RM110" s="1"/>
      <c r="RN110" s="1"/>
      <c r="RO110" s="1"/>
      <c r="RP110" s="1"/>
      <c r="RQ110" s="1"/>
      <c r="RR110" s="1"/>
      <c r="RS110" s="1"/>
      <c r="RT110" s="1"/>
      <c r="RU110" s="1"/>
      <c r="RV110" s="1"/>
      <c r="RW110" s="1"/>
      <c r="RX110" s="1"/>
      <c r="RY110" s="1"/>
      <c r="RZ110" s="1"/>
      <c r="SA110" s="1"/>
      <c r="SB110" s="1"/>
      <c r="SC110" s="1"/>
      <c r="SD110" s="1"/>
      <c r="SE110" s="1"/>
      <c r="SF110" s="1"/>
      <c r="SG110" s="1"/>
      <c r="SH110" s="1"/>
      <c r="SI110" s="1"/>
      <c r="SJ110" s="1"/>
      <c r="SK110" s="1"/>
      <c r="SL110" s="1"/>
      <c r="SM110" s="1"/>
      <c r="SN110" s="1"/>
      <c r="SO110" s="1"/>
      <c r="SP110" s="1"/>
      <c r="SQ110" s="1"/>
      <c r="SR110" s="1"/>
      <c r="SS110" s="1"/>
      <c r="ST110" s="1"/>
      <c r="SU110" s="1"/>
      <c r="SV110" s="1"/>
      <c r="SW110" s="1"/>
      <c r="SX110" s="1"/>
      <c r="SY110" s="1"/>
      <c r="SZ110" s="1"/>
      <c r="TA110" s="1"/>
      <c r="TB110" s="1"/>
      <c r="TC110" s="1"/>
      <c r="TD110" s="1"/>
      <c r="TE110" s="1"/>
      <c r="TF110" s="1"/>
      <c r="TG110" s="1"/>
      <c r="TH110" s="1"/>
      <c r="TI110" s="1"/>
      <c r="TJ110" s="1"/>
      <c r="TK110" s="1"/>
      <c r="TL110" s="1"/>
      <c r="TM110" s="1"/>
      <c r="TN110" s="1"/>
      <c r="TO110" s="1"/>
      <c r="TP110" s="1"/>
      <c r="TQ110" s="1"/>
      <c r="TR110" s="1"/>
      <c r="TS110" s="1"/>
      <c r="TT110" s="1"/>
      <c r="TU110" s="1"/>
      <c r="TV110" s="1"/>
      <c r="TW110" s="1"/>
      <c r="TX110" s="1"/>
      <c r="TY110" s="1"/>
      <c r="TZ110" s="1"/>
      <c r="UA110" s="1"/>
      <c r="UB110" s="1"/>
      <c r="UC110" s="1"/>
      <c r="UD110" s="1"/>
      <c r="UE110" s="1"/>
      <c r="UF110" s="1"/>
      <c r="UG110" s="1"/>
      <c r="UH110" s="1"/>
      <c r="UI110" s="1"/>
      <c r="UJ110" s="1"/>
      <c r="UK110" s="1"/>
      <c r="UL110" s="1"/>
      <c r="UM110" s="1"/>
      <c r="UN110" s="1"/>
      <c r="UO110" s="1"/>
      <c r="UP110" s="1"/>
      <c r="UQ110" s="1"/>
      <c r="UR110" s="1"/>
      <c r="US110" s="1"/>
      <c r="UT110" s="1"/>
      <c r="UU110" s="1"/>
      <c r="UV110" s="1"/>
      <c r="UW110" s="1"/>
      <c r="UX110" s="1"/>
      <c r="UY110" s="1"/>
      <c r="UZ110" s="1"/>
      <c r="VA110" s="1"/>
      <c r="VB110" s="1"/>
      <c r="VC110" s="1"/>
      <c r="VD110" s="1"/>
      <c r="VE110" s="1"/>
      <c r="VF110" s="1"/>
      <c r="VG110" s="1"/>
      <c r="VH110" s="1"/>
      <c r="VI110" s="1"/>
      <c r="VJ110" s="1"/>
      <c r="VK110" s="1"/>
      <c r="VL110" s="1"/>
      <c r="VM110" s="1"/>
      <c r="VN110" s="1"/>
      <c r="VO110" s="1"/>
      <c r="VP110" s="1"/>
      <c r="VQ110" s="1"/>
      <c r="VR110" s="1"/>
      <c r="VS110" s="1"/>
      <c r="VT110" s="1"/>
      <c r="VU110" s="1"/>
      <c r="VV110" s="1"/>
      <c r="VW110" s="1"/>
      <c r="VX110" s="1"/>
      <c r="VY110" s="1"/>
      <c r="VZ110" s="1"/>
      <c r="WA110" s="1"/>
      <c r="WB110" s="1"/>
      <c r="WC110" s="1"/>
      <c r="WD110" s="1"/>
      <c r="WE110" s="1"/>
      <c r="WF110" s="1"/>
      <c r="WG110" s="1"/>
      <c r="WH110" s="1"/>
      <c r="WI110" s="1"/>
      <c r="WJ110" s="1"/>
      <c r="WK110" s="1"/>
      <c r="WL110" s="1"/>
      <c r="WM110" s="1"/>
      <c r="WN110" s="1"/>
      <c r="WO110" s="1"/>
      <c r="WP110" s="1"/>
      <c r="WQ110" s="1"/>
      <c r="WR110" s="1"/>
      <c r="WS110" s="1"/>
      <c r="WT110" s="1"/>
      <c r="WU110" s="1"/>
      <c r="WV110" s="1"/>
      <c r="WW110" s="1"/>
      <c r="WX110" s="1"/>
      <c r="WY110" s="1"/>
      <c r="WZ110" s="1"/>
      <c r="XA110" s="1"/>
      <c r="XB110" s="1"/>
      <c r="XC110" s="1"/>
      <c r="XD110" s="1"/>
      <c r="XE110" s="1"/>
      <c r="XF110" s="1"/>
      <c r="XG110" s="1"/>
      <c r="XH110" s="1"/>
      <c r="XI110" s="1"/>
      <c r="XJ110" s="1"/>
      <c r="XK110" s="1"/>
      <c r="XL110" s="1"/>
      <c r="XM110" s="1"/>
      <c r="XN110" s="1"/>
      <c r="XO110" s="1"/>
      <c r="XP110" s="1"/>
      <c r="XQ110" s="1"/>
      <c r="XR110" s="1"/>
      <c r="XS110" s="1"/>
      <c r="XT110" s="1"/>
      <c r="XU110" s="1"/>
      <c r="XV110" s="1"/>
      <c r="XW110" s="1"/>
      <c r="XX110" s="1"/>
      <c r="XY110" s="1"/>
      <c r="XZ110" s="1"/>
      <c r="YA110" s="1"/>
      <c r="YB110" s="1"/>
      <c r="YC110" s="1"/>
      <c r="YD110" s="1"/>
      <c r="YE110" s="1"/>
      <c r="YF110" s="1"/>
      <c r="YG110" s="1"/>
      <c r="YH110" s="1"/>
      <c r="YI110" s="1"/>
      <c r="YJ110" s="1"/>
      <c r="YK110" s="1"/>
      <c r="YL110" s="1"/>
      <c r="YM110" s="1"/>
      <c r="YN110" s="1"/>
      <c r="YO110" s="1"/>
      <c r="YP110" s="1"/>
      <c r="YQ110" s="1"/>
      <c r="YR110" s="1"/>
      <c r="YS110" s="1"/>
      <c r="YT110" s="1"/>
      <c r="YU110" s="1"/>
      <c r="YV110" s="1"/>
      <c r="YW110" s="1"/>
      <c r="YX110" s="1"/>
      <c r="YY110" s="1"/>
      <c r="YZ110" s="1"/>
      <c r="ZA110" s="1"/>
      <c r="ZB110" s="1"/>
      <c r="ZC110" s="1"/>
      <c r="ZD110" s="1"/>
      <c r="ZE110" s="1"/>
      <c r="ZF110" s="1"/>
      <c r="ZG110" s="1"/>
      <c r="ZH110" s="1"/>
      <c r="ZI110" s="1"/>
      <c r="ZJ110" s="1"/>
      <c r="ZK110" s="1"/>
      <c r="ZL110" s="1"/>
      <c r="ZM110" s="1"/>
      <c r="ZN110" s="1"/>
      <c r="ZO110" s="1"/>
      <c r="ZP110" s="1"/>
      <c r="ZQ110" s="1"/>
      <c r="ZR110" s="1"/>
      <c r="ZS110" s="1"/>
      <c r="ZT110" s="1"/>
      <c r="ZU110" s="1"/>
      <c r="ZV110" s="1"/>
      <c r="ZW110" s="1"/>
      <c r="ZX110" s="1"/>
      <c r="ZY110" s="1"/>
      <c r="ZZ110" s="1"/>
      <c r="AAA110" s="1"/>
      <c r="AAB110" s="1"/>
      <c r="AAC110" s="1"/>
      <c r="AAD110" s="1"/>
      <c r="AAE110" s="1"/>
      <c r="AAF110" s="1"/>
      <c r="AAG110" s="1"/>
      <c r="AAH110" s="1"/>
      <c r="AAI110" s="1"/>
      <c r="AAJ110" s="1"/>
      <c r="AAK110" s="1"/>
      <c r="AAL110" s="1"/>
      <c r="AAM110" s="1"/>
      <c r="AAN110" s="1"/>
      <c r="AAO110" s="1"/>
      <c r="AAP110" s="1"/>
      <c r="AAQ110" s="1"/>
      <c r="AAR110" s="1"/>
      <c r="AAS110" s="1"/>
      <c r="AAT110" s="1"/>
      <c r="AAU110" s="1"/>
      <c r="AAV110" s="1"/>
      <c r="AAW110" s="1"/>
      <c r="AAX110" s="1"/>
      <c r="AAY110" s="1"/>
      <c r="AAZ110" s="1"/>
      <c r="ABA110" s="1"/>
      <c r="ABB110" s="1"/>
      <c r="ABC110" s="1"/>
      <c r="ABD110" s="1"/>
      <c r="ABE110" s="1"/>
      <c r="ABF110" s="1"/>
      <c r="ABG110" s="1"/>
      <c r="ABH110" s="1"/>
      <c r="ABI110" s="1"/>
      <c r="ABJ110" s="1"/>
      <c r="ABK110" s="1"/>
      <c r="ABL110" s="1"/>
      <c r="ABM110" s="1"/>
      <c r="ABN110" s="1"/>
      <c r="ABO110" s="1"/>
      <c r="ABP110" s="1"/>
      <c r="ABQ110" s="1"/>
      <c r="ABR110" s="1"/>
      <c r="ABS110" s="1"/>
      <c r="ABT110" s="1"/>
      <c r="ABU110" s="1"/>
      <c r="ABV110" s="1"/>
      <c r="ABW110" s="1"/>
      <c r="ABX110" s="1"/>
      <c r="ABY110" s="1"/>
      <c r="ABZ110" s="1"/>
      <c r="ACA110" s="1"/>
      <c r="ACB110" s="1"/>
      <c r="ACC110" s="1"/>
      <c r="ACD110" s="1"/>
      <c r="ACE110" s="1"/>
      <c r="ACF110" s="1"/>
      <c r="ACG110" s="1"/>
      <c r="ACH110" s="1"/>
      <c r="ACI110" s="1"/>
      <c r="ACJ110" s="1"/>
      <c r="ACK110" s="1"/>
      <c r="ACL110" s="1"/>
      <c r="ACM110" s="1"/>
      <c r="ACN110" s="1"/>
      <c r="ACO110" s="1"/>
      <c r="ACP110" s="1"/>
      <c r="ACQ110" s="1"/>
      <c r="ACR110" s="1"/>
      <c r="ACS110" s="1"/>
      <c r="ACT110" s="1"/>
      <c r="ACU110" s="1"/>
      <c r="ACV110" s="1"/>
      <c r="ACW110" s="1"/>
      <c r="ACX110" s="1"/>
      <c r="ACY110" s="1"/>
      <c r="ACZ110" s="1"/>
      <c r="ADA110" s="1"/>
      <c r="ADB110" s="1"/>
      <c r="ADC110" s="1"/>
      <c r="ADD110" s="1"/>
      <c r="ADE110" s="1"/>
      <c r="ADF110" s="1"/>
      <c r="ADG110" s="1"/>
      <c r="ADH110" s="1"/>
      <c r="ADI110" s="1"/>
      <c r="ADJ110" s="1"/>
      <c r="ADK110" s="1"/>
      <c r="ADL110" s="1"/>
      <c r="ADM110" s="1"/>
      <c r="ADN110" s="1"/>
      <c r="ADO110" s="1"/>
      <c r="ADP110" s="1"/>
      <c r="ADQ110" s="1"/>
      <c r="ADR110" s="1"/>
      <c r="ADS110" s="1"/>
      <c r="ADT110" s="1"/>
      <c r="ADU110" s="1"/>
      <c r="ADV110" s="1"/>
      <c r="ADW110" s="1"/>
      <c r="ADX110" s="1"/>
      <c r="ADY110" s="1"/>
      <c r="ADZ110" s="1"/>
      <c r="AEA110" s="1"/>
      <c r="AEB110" s="1"/>
      <c r="AEC110" s="1"/>
      <c r="AED110" s="1"/>
      <c r="AEE110" s="1"/>
      <c r="AEF110" s="1"/>
      <c r="AEG110" s="1"/>
      <c r="AEH110" s="1"/>
      <c r="AEI110" s="1"/>
      <c r="AEJ110" s="1"/>
      <c r="AEK110" s="1"/>
      <c r="AEL110" s="1"/>
      <c r="AEM110" s="1"/>
      <c r="AEN110" s="1"/>
      <c r="AEO110" s="1"/>
      <c r="AEP110" s="1"/>
      <c r="AEQ110" s="1"/>
      <c r="AER110" s="1"/>
      <c r="AES110" s="1"/>
      <c r="AET110" s="1"/>
      <c r="AEU110" s="1"/>
      <c r="AEV110" s="1"/>
      <c r="AEW110" s="1"/>
      <c r="AEX110" s="1"/>
      <c r="AEY110" s="1"/>
      <c r="AEZ110" s="1"/>
      <c r="AFA110" s="1"/>
      <c r="AFB110" s="1"/>
      <c r="AFC110" s="1"/>
      <c r="AFD110" s="1"/>
      <c r="AFE110" s="1"/>
      <c r="AFF110" s="1"/>
      <c r="AFG110" s="1"/>
      <c r="AFH110" s="1"/>
      <c r="AFI110" s="1"/>
      <c r="AFJ110" s="1"/>
      <c r="AFK110" s="1"/>
      <c r="AFL110" s="1"/>
      <c r="AFM110" s="1"/>
      <c r="AFN110" s="1"/>
      <c r="AFO110" s="1"/>
      <c r="AFP110" s="1"/>
      <c r="AFQ110" s="1"/>
      <c r="AFR110" s="1"/>
      <c r="AFS110" s="1"/>
      <c r="AFT110" s="1"/>
      <c r="AFU110" s="1"/>
      <c r="AFV110" s="1"/>
      <c r="AFW110" s="1"/>
      <c r="AFX110" s="1"/>
      <c r="AFY110" s="1"/>
      <c r="AFZ110" s="1"/>
      <c r="AGA110" s="1"/>
      <c r="AGB110" s="1"/>
      <c r="AGC110" s="1"/>
      <c r="AGD110" s="1"/>
      <c r="AGE110" s="1"/>
      <c r="AGF110" s="1"/>
      <c r="AGG110" s="1"/>
      <c r="AGH110" s="1"/>
      <c r="AGI110" s="1"/>
      <c r="AGJ110" s="1"/>
      <c r="AGK110" s="1"/>
      <c r="AGL110" s="1"/>
      <c r="AGM110" s="1"/>
      <c r="AGN110" s="1"/>
      <c r="AGO110" s="1"/>
      <c r="AGP110" s="1"/>
      <c r="AGQ110" s="1"/>
      <c r="AGR110" s="1"/>
      <c r="AGS110" s="1"/>
      <c r="AGT110" s="1"/>
      <c r="AGU110" s="1"/>
      <c r="AGV110" s="1"/>
      <c r="AGW110" s="1"/>
      <c r="AGX110" s="1"/>
      <c r="AGY110" s="1"/>
      <c r="AGZ110" s="1"/>
      <c r="AHA110" s="1"/>
      <c r="AHB110" s="1"/>
      <c r="AHC110" s="1"/>
      <c r="AHD110" s="1"/>
      <c r="AHE110" s="1"/>
      <c r="AHF110" s="1"/>
      <c r="AHG110" s="1"/>
      <c r="AHH110" s="1"/>
      <c r="AHI110" s="1"/>
      <c r="AHJ110" s="1"/>
      <c r="AHK110" s="1"/>
      <c r="AHL110" s="1"/>
      <c r="AHM110" s="1"/>
      <c r="AHN110" s="1"/>
      <c r="AHO110" s="1"/>
      <c r="AHP110" s="1"/>
      <c r="AHQ110" s="1"/>
      <c r="AHR110" s="1"/>
      <c r="AHS110" s="1"/>
      <c r="AHT110" s="1"/>
      <c r="AHU110" s="1"/>
      <c r="AHV110" s="1"/>
      <c r="AHW110" s="1"/>
      <c r="AHX110" s="1"/>
      <c r="AHY110" s="1"/>
      <c r="AHZ110" s="1"/>
      <c r="AIA110" s="1"/>
      <c r="AIB110" s="1"/>
      <c r="AIC110" s="1"/>
      <c r="AID110" s="1"/>
      <c r="AIE110" s="1"/>
      <c r="AIF110" s="1"/>
      <c r="AIG110" s="1"/>
      <c r="AIH110" s="1"/>
      <c r="AII110" s="1"/>
      <c r="AIJ110" s="1"/>
      <c r="AIK110" s="1"/>
      <c r="AIL110" s="1"/>
      <c r="AIM110" s="1"/>
      <c r="AIN110" s="1"/>
      <c r="AIO110" s="1"/>
      <c r="AIP110" s="1"/>
      <c r="AIQ110" s="1"/>
      <c r="AIR110" s="1"/>
      <c r="AIS110" s="1"/>
      <c r="AIT110" s="1"/>
      <c r="AIU110" s="1"/>
      <c r="AIV110" s="1"/>
      <c r="AIW110" s="1"/>
      <c r="AIX110" s="1"/>
      <c r="AIY110" s="1"/>
      <c r="AIZ110" s="1"/>
      <c r="AJA110" s="1"/>
      <c r="AJB110" s="1"/>
      <c r="AJC110" s="1"/>
      <c r="AJD110" s="1"/>
      <c r="AJE110" s="1"/>
      <c r="AJF110" s="1"/>
      <c r="AJG110" s="1"/>
      <c r="AJH110" s="1"/>
      <c r="AJI110" s="1"/>
      <c r="AJJ110" s="1"/>
      <c r="AJK110" s="1"/>
      <c r="AJL110" s="1"/>
      <c r="AJM110" s="1"/>
      <c r="AJN110" s="1"/>
      <c r="AJO110" s="1"/>
      <c r="AJP110" s="1"/>
      <c r="AJQ110" s="1"/>
      <c r="AJR110" s="1"/>
      <c r="AJS110" s="1"/>
      <c r="AJT110" s="1"/>
      <c r="AJU110" s="1"/>
      <c r="AJV110" s="1"/>
      <c r="AJW110" s="1"/>
      <c r="AJX110" s="1"/>
      <c r="AJY110" s="1"/>
      <c r="AJZ110" s="1"/>
      <c r="AKA110" s="1"/>
      <c r="AKB110" s="1"/>
      <c r="AKC110" s="1"/>
      <c r="AKD110" s="1"/>
      <c r="AKE110" s="1"/>
      <c r="AKF110" s="1"/>
      <c r="AKG110" s="1"/>
      <c r="AKH110" s="1"/>
      <c r="AKI110" s="1"/>
      <c r="AKJ110" s="1"/>
      <c r="AKK110" s="1"/>
      <c r="AKL110" s="1"/>
      <c r="AKM110" s="1"/>
      <c r="AKN110" s="1"/>
      <c r="AKO110" s="1"/>
      <c r="AKP110" s="1"/>
      <c r="AKQ110" s="1"/>
      <c r="AKR110" s="1"/>
      <c r="AKS110" s="1"/>
      <c r="AKT110" s="1"/>
      <c r="AKU110" s="1"/>
      <c r="AKV110" s="1"/>
      <c r="AKW110" s="1"/>
      <c r="AKX110" s="1"/>
      <c r="AKY110" s="1"/>
      <c r="AKZ110" s="1"/>
      <c r="ALA110" s="1"/>
      <c r="ALB110" s="1"/>
      <c r="ALC110" s="1"/>
      <c r="ALD110" s="1"/>
      <c r="ALE110" s="1"/>
      <c r="ALF110" s="1"/>
      <c r="ALG110" s="1"/>
      <c r="ALH110" s="1"/>
      <c r="ALI110" s="1"/>
      <c r="ALJ110" s="1"/>
      <c r="ALK110" s="1"/>
      <c r="ALL110" s="1"/>
      <c r="ALM110" s="1"/>
      <c r="ALN110" s="1"/>
      <c r="ALO110" s="1"/>
      <c r="ALP110" s="1"/>
      <c r="ALQ110" s="1"/>
      <c r="ALR110" s="1"/>
      <c r="ALS110" s="1"/>
      <c r="ALT110" s="1"/>
      <c r="ALU110" s="1"/>
      <c r="ALV110" s="1"/>
      <c r="ALW110" s="1"/>
      <c r="ALX110" s="1"/>
      <c r="ALY110" s="1"/>
      <c r="ALZ110" s="1"/>
      <c r="AMA110" s="1"/>
      <c r="AMB110" s="1"/>
      <c r="AMC110" s="1"/>
      <c r="AMD110" s="1"/>
      <c r="AME110" s="1"/>
      <c r="AMF110" s="1"/>
      <c r="AMG110" s="1"/>
      <c r="AMH110" s="1"/>
      <c r="AMI110" s="1"/>
      <c r="AMJ110" s="1"/>
      <c r="AMK110" s="1"/>
      <c r="AML110" s="1"/>
      <c r="AMM110" s="1"/>
      <c r="AMN110" s="1"/>
      <c r="AMO110" s="1"/>
    </row>
    <row r="111" spans="1:1029" x14ac:dyDescent="0.2">
      <c r="A111" s="3" t="str">
        <f t="shared" si="559"/>
        <v>adrb2_human_4LDL</v>
      </c>
      <c r="B111" s="3" t="s">
        <v>126</v>
      </c>
      <c r="C111" s="3" t="s">
        <v>1045</v>
      </c>
      <c r="D111" s="3" t="str">
        <f>IFERROR(MID(VLOOKUP($B111,Seqs!$A:$B,2,0),E111,1),"")</f>
        <v>D</v>
      </c>
      <c r="E111" s="3">
        <v>29</v>
      </c>
      <c r="F111" s="3" t="str">
        <f>IFERROR(MID(VLOOKUP($B111,Seqs!$A:$B,2,0),G111,1),"")</f>
        <v>F</v>
      </c>
      <c r="G111" s="3">
        <v>61</v>
      </c>
      <c r="H111" s="3" t="str">
        <f>IFERROR(MID(VLOOKUP($B111,Seqs!$A:$B,2,0),I111,1),"")</f>
        <v>E</v>
      </c>
      <c r="I111" s="23">
        <v>62</v>
      </c>
      <c r="J111" s="3" t="str">
        <f>IFERROR(MID(VLOOKUP($B111,Seqs!$A:$B,2,0),K111,1),"")</f>
        <v>Q</v>
      </c>
      <c r="K111" s="23">
        <v>65</v>
      </c>
      <c r="L111" s="3" t="str">
        <f>IFERROR(MID(VLOOKUP($B111,Seqs!$A:$B,2,0),M111,1),"")</f>
        <v>T</v>
      </c>
      <c r="M111" s="3">
        <v>66</v>
      </c>
      <c r="N111" s="3" t="str">
        <f>IFERROR(MID(VLOOKUP($B111,Seqs!$A:$B,2,0),O111,1),"")</f>
        <v>M</v>
      </c>
      <c r="O111" s="3">
        <v>96</v>
      </c>
      <c r="P111" s="3" t="str">
        <f>IFERROR(MID(VLOOKUP($B111,Seqs!$A:$B,2,0),Q111,1),"")</f>
        <v>M</v>
      </c>
      <c r="Q111" s="3">
        <v>98</v>
      </c>
      <c r="R111" s="3" t="str">
        <f>IFERROR(MID(VLOOKUP($B111,Seqs!$A:$B,2,0),S111,1),"")</f>
        <v>F</v>
      </c>
      <c r="S111" s="3">
        <v>101</v>
      </c>
      <c r="T111" s="3" t="str">
        <f>IFERROR(MID(VLOOKUP($B111,Seqs!$A:$B,2,0),U111,1),"")</f>
        <v>G</v>
      </c>
      <c r="U111" s="3">
        <v>102</v>
      </c>
      <c r="V111" s="3" t="str">
        <f>IFERROR(MID(VLOOKUP($B111,Seqs!$A:$B,2,0),W111,1),"")</f>
        <v>S</v>
      </c>
      <c r="W111" s="3">
        <v>137</v>
      </c>
      <c r="X111" s="3" t="str">
        <f>IFERROR(MID(VLOOKUP($B111,Seqs!$A:$B,2,0),Y111,1),"")</f>
        <v>P</v>
      </c>
      <c r="Y111" s="3">
        <v>138</v>
      </c>
      <c r="Z111" s="3" t="str">
        <f>IFERROR(MID(VLOOKUP($B111,Seqs!$A:$B,2,0),AA111,1),"")</f>
        <v>L</v>
      </c>
      <c r="AA111" s="3">
        <v>145</v>
      </c>
      <c r="AB111" s="3" t="str">
        <f>IFERROR(MID(VLOOKUP($B111,Seqs!$A:$B,2,0),AC111,1),"")</f>
        <v>T</v>
      </c>
      <c r="AC111" s="9">
        <v>146</v>
      </c>
      <c r="AD111" s="3" t="str">
        <f>IFERROR(MID(VLOOKUP($B111,Seqs!$A:$B,2,0),AE111,1),"")</f>
        <v>H</v>
      </c>
      <c r="AE111" s="3">
        <v>172</v>
      </c>
      <c r="AF111" s="3" t="str">
        <f>IFERROR(MID(VLOOKUP($B111,Seqs!$A:$B,2,0),AG111,1),"")</f>
        <v>C</v>
      </c>
      <c r="AG111" s="3">
        <v>191</v>
      </c>
      <c r="AH111" s="3" t="str">
        <f>IFERROR(MID(VLOOKUP($B111,Seqs!$A:$B,2,0),AI111,1),"")</f>
        <v>F</v>
      </c>
      <c r="AI111" s="3">
        <v>193</v>
      </c>
      <c r="AJ111" s="3" t="str">
        <f>IFERROR(MID(VLOOKUP($B111,Seqs!$A:$B,2,0),AK111,1),"")</f>
        <v>N</v>
      </c>
      <c r="AK111" s="3">
        <v>196</v>
      </c>
      <c r="AL111" s="3" t="str">
        <f>IFERROR(MID(VLOOKUP($B111,Seqs!$A:$B,2,0),AM111,1),"")</f>
        <v>E</v>
      </c>
      <c r="AM111" s="3">
        <v>225</v>
      </c>
      <c r="AN111" s="3" t="str">
        <f>IFERROR(MID(VLOOKUP($B111,Seqs!$A:$B,2,0),AO111,1),"")</f>
        <v>L</v>
      </c>
      <c r="AO111" s="3">
        <v>266</v>
      </c>
      <c r="AP111" s="3" t="str">
        <f>IFERROR(MID(VLOOKUP($B111,Seqs!$A:$B,2,0),AQ111,1),"")</f>
        <v>Q</v>
      </c>
      <c r="AQ111" s="3">
        <v>299</v>
      </c>
      <c r="AR111" s="3" t="str">
        <f>IFERROR(MID(VLOOKUP($B111,Seqs!$A:$B,2,0),AS111,1),"")</f>
        <v>R</v>
      </c>
      <c r="AS111" s="3">
        <v>304</v>
      </c>
      <c r="AT111" s="3" t="str">
        <f>IFERROR(MID(VLOOKUP($B111,Seqs!$A:$B,2,0),AU111,1),"")</f>
        <v>R</v>
      </c>
      <c r="AU111" s="3">
        <v>328</v>
      </c>
      <c r="AV111" s="3" t="str">
        <f>IFERROR(MID(VLOOKUP($B111,Seqs!$A:$B,2,0),AW111,1),"")</f>
        <v>S</v>
      </c>
      <c r="AW111" s="3">
        <v>329</v>
      </c>
      <c r="AX111" s="3" t="str">
        <f>IFERROR(MID(VLOOKUP($B111,Seqs!$A:$B,2,0),AY111,1),"")</f>
        <v>C</v>
      </c>
      <c r="AY111" s="3">
        <v>341</v>
      </c>
      <c r="AZ111" s="77" t="str">
        <f>VLOOKUP(B111,Classification!A:D,2,0)</f>
        <v>A</v>
      </c>
      <c r="BA111" s="94" t="str">
        <f>VLOOKUP(B111,Classification!A:D,4,0)</f>
        <v>Adrenoceptors</v>
      </c>
      <c r="BB111" s="27" t="b">
        <f t="shared" si="560"/>
        <v>1</v>
      </c>
      <c r="BC111" s="23">
        <f t="shared" si="365"/>
        <v>248</v>
      </c>
      <c r="BD111" s="4" t="s">
        <v>23</v>
      </c>
      <c r="BE111" s="3" t="s">
        <v>1297</v>
      </c>
      <c r="BF111" s="119">
        <v>3.1</v>
      </c>
      <c r="BG111" s="49" t="s">
        <v>1384</v>
      </c>
      <c r="BH111" s="49" t="s">
        <v>1384</v>
      </c>
      <c r="BI111" s="1"/>
      <c r="BJ111" s="70" t="s">
        <v>1293</v>
      </c>
      <c r="BK111" s="57" t="s">
        <v>1293</v>
      </c>
      <c r="BL111" s="57" t="s">
        <v>1293</v>
      </c>
      <c r="BM111" s="57" t="s">
        <v>1293</v>
      </c>
      <c r="BN111" s="57" t="s">
        <v>1293</v>
      </c>
      <c r="BO111" s="57" t="s">
        <v>1293</v>
      </c>
      <c r="BP111" s="57" t="s">
        <v>1293</v>
      </c>
      <c r="BQ111" s="57" t="s">
        <v>1293</v>
      </c>
      <c r="BR111" s="57" t="s">
        <v>1293</v>
      </c>
      <c r="BS111" s="57" t="s">
        <v>1293</v>
      </c>
      <c r="BT111" s="57" t="s">
        <v>1293</v>
      </c>
      <c r="BU111" s="57" t="s">
        <v>1293</v>
      </c>
      <c r="BV111" s="70">
        <f t="shared" si="366"/>
        <v>29</v>
      </c>
      <c r="BW111" s="71">
        <f t="shared" si="367"/>
        <v>62</v>
      </c>
      <c r="BX111" s="72">
        <f t="shared" si="368"/>
        <v>66</v>
      </c>
      <c r="BY111" s="71">
        <f t="shared" si="369"/>
        <v>98</v>
      </c>
      <c r="BZ111" s="72">
        <f t="shared" si="370"/>
        <v>102</v>
      </c>
      <c r="CA111" s="71">
        <f t="shared" si="371"/>
        <v>138</v>
      </c>
      <c r="CB111" s="72">
        <f t="shared" si="372"/>
        <v>146</v>
      </c>
      <c r="CC111" s="71">
        <f t="shared" si="373"/>
        <v>191</v>
      </c>
      <c r="CD111" s="72">
        <f t="shared" si="374"/>
        <v>196</v>
      </c>
      <c r="CE111" s="71">
        <f t="shared" si="375"/>
        <v>266</v>
      </c>
      <c r="CF111" s="72">
        <f t="shared" si="376"/>
        <v>304</v>
      </c>
      <c r="CG111" s="71">
        <f t="shared" si="377"/>
        <v>329</v>
      </c>
      <c r="CH111" s="70">
        <f t="shared" si="378"/>
        <v>61</v>
      </c>
      <c r="CI111" s="71">
        <f t="shared" si="379"/>
        <v>65</v>
      </c>
      <c r="CJ111" s="72">
        <f t="shared" si="380"/>
        <v>96</v>
      </c>
      <c r="CK111" s="72">
        <f t="shared" si="381"/>
        <v>101</v>
      </c>
      <c r="CL111" s="72">
        <f t="shared" si="382"/>
        <v>137</v>
      </c>
      <c r="CM111" s="72">
        <f t="shared" si="383"/>
        <v>145</v>
      </c>
      <c r="CN111" s="72">
        <f t="shared" si="384"/>
        <v>172</v>
      </c>
      <c r="CO111" s="72">
        <f t="shared" si="385"/>
        <v>193</v>
      </c>
      <c r="CP111" s="72">
        <f t="shared" si="386"/>
        <v>225</v>
      </c>
      <c r="CQ111" s="72">
        <f t="shared" si="387"/>
        <v>299</v>
      </c>
      <c r="CR111" s="72">
        <f t="shared" si="388"/>
        <v>328</v>
      </c>
      <c r="CS111" s="72">
        <f t="shared" si="389"/>
        <v>341</v>
      </c>
      <c r="CT111" s="23">
        <f t="shared" si="390"/>
        <v>1</v>
      </c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  <c r="OU111" s="1"/>
      <c r="OV111" s="1"/>
      <c r="OW111" s="1"/>
      <c r="OX111" s="1"/>
      <c r="OY111" s="1"/>
      <c r="OZ111" s="1"/>
      <c r="PA111" s="1"/>
      <c r="PB111" s="1"/>
      <c r="PC111" s="1"/>
      <c r="PD111" s="1"/>
      <c r="PE111" s="1"/>
      <c r="PF111" s="1"/>
      <c r="PG111" s="1"/>
      <c r="PH111" s="1"/>
      <c r="PI111" s="1"/>
      <c r="PJ111" s="1"/>
      <c r="PK111" s="1"/>
      <c r="PL111" s="1"/>
      <c r="PM111" s="1"/>
      <c r="PN111" s="1"/>
      <c r="PO111" s="1"/>
      <c r="PP111" s="1"/>
      <c r="PQ111" s="1"/>
      <c r="PR111" s="1"/>
      <c r="PS111" s="1"/>
      <c r="PT111" s="1"/>
      <c r="PU111" s="1"/>
      <c r="PV111" s="1"/>
      <c r="PW111" s="1"/>
      <c r="PX111" s="1"/>
      <c r="PY111" s="1"/>
      <c r="PZ111" s="1"/>
      <c r="QA111" s="1"/>
      <c r="QB111" s="1"/>
      <c r="QC111" s="1"/>
      <c r="QD111" s="1"/>
      <c r="QE111" s="1"/>
      <c r="QF111" s="1"/>
      <c r="QG111" s="1"/>
      <c r="QH111" s="1"/>
      <c r="QI111" s="1"/>
      <c r="QJ111" s="1"/>
      <c r="QK111" s="1"/>
      <c r="QL111" s="1"/>
      <c r="QM111" s="1"/>
      <c r="QN111" s="1"/>
      <c r="QO111" s="1"/>
      <c r="QP111" s="1"/>
      <c r="QQ111" s="1"/>
      <c r="QR111" s="1"/>
      <c r="QS111" s="1"/>
      <c r="QT111" s="1"/>
      <c r="QU111" s="1"/>
      <c r="QV111" s="1"/>
      <c r="QW111" s="1"/>
      <c r="QX111" s="1"/>
      <c r="QY111" s="1"/>
      <c r="QZ111" s="1"/>
      <c r="RA111" s="1"/>
      <c r="RB111" s="1"/>
      <c r="RC111" s="1"/>
      <c r="RD111" s="1"/>
      <c r="RE111" s="1"/>
      <c r="RF111" s="1"/>
      <c r="RG111" s="1"/>
      <c r="RH111" s="1"/>
      <c r="RI111" s="1"/>
      <c r="RJ111" s="1"/>
      <c r="RK111" s="1"/>
      <c r="RL111" s="1"/>
      <c r="RM111" s="1"/>
      <c r="RN111" s="1"/>
      <c r="RO111" s="1"/>
      <c r="RP111" s="1"/>
      <c r="RQ111" s="1"/>
      <c r="RR111" s="1"/>
      <c r="RS111" s="1"/>
      <c r="RT111" s="1"/>
      <c r="RU111" s="1"/>
      <c r="RV111" s="1"/>
      <c r="RW111" s="1"/>
      <c r="RX111" s="1"/>
      <c r="RY111" s="1"/>
      <c r="RZ111" s="1"/>
      <c r="SA111" s="1"/>
      <c r="SB111" s="1"/>
      <c r="SC111" s="1"/>
      <c r="SD111" s="1"/>
      <c r="SE111" s="1"/>
      <c r="SF111" s="1"/>
      <c r="SG111" s="1"/>
      <c r="SH111" s="1"/>
      <c r="SI111" s="1"/>
      <c r="SJ111" s="1"/>
      <c r="SK111" s="1"/>
      <c r="SL111" s="1"/>
      <c r="SM111" s="1"/>
      <c r="SN111" s="1"/>
      <c r="SO111" s="1"/>
      <c r="SP111" s="1"/>
      <c r="SQ111" s="1"/>
      <c r="SR111" s="1"/>
      <c r="SS111" s="1"/>
      <c r="ST111" s="1"/>
      <c r="SU111" s="1"/>
      <c r="SV111" s="1"/>
      <c r="SW111" s="1"/>
      <c r="SX111" s="1"/>
      <c r="SY111" s="1"/>
      <c r="SZ111" s="1"/>
      <c r="TA111" s="1"/>
      <c r="TB111" s="1"/>
      <c r="TC111" s="1"/>
      <c r="TD111" s="1"/>
      <c r="TE111" s="1"/>
      <c r="TF111" s="1"/>
      <c r="TG111" s="1"/>
      <c r="TH111" s="1"/>
      <c r="TI111" s="1"/>
      <c r="TJ111" s="1"/>
      <c r="TK111" s="1"/>
      <c r="TL111" s="1"/>
      <c r="TM111" s="1"/>
      <c r="TN111" s="1"/>
      <c r="TO111" s="1"/>
      <c r="TP111" s="1"/>
      <c r="TQ111" s="1"/>
      <c r="TR111" s="1"/>
      <c r="TS111" s="1"/>
      <c r="TT111" s="1"/>
      <c r="TU111" s="1"/>
      <c r="TV111" s="1"/>
      <c r="TW111" s="1"/>
      <c r="TX111" s="1"/>
      <c r="TY111" s="1"/>
      <c r="TZ111" s="1"/>
      <c r="UA111" s="1"/>
      <c r="UB111" s="1"/>
      <c r="UC111" s="1"/>
      <c r="UD111" s="1"/>
      <c r="UE111" s="1"/>
      <c r="UF111" s="1"/>
      <c r="UG111" s="1"/>
      <c r="UH111" s="1"/>
      <c r="UI111" s="1"/>
      <c r="UJ111" s="1"/>
      <c r="UK111" s="1"/>
      <c r="UL111" s="1"/>
      <c r="UM111" s="1"/>
      <c r="UN111" s="1"/>
      <c r="UO111" s="1"/>
      <c r="UP111" s="1"/>
      <c r="UQ111" s="1"/>
      <c r="UR111" s="1"/>
      <c r="US111" s="1"/>
      <c r="UT111" s="1"/>
      <c r="UU111" s="1"/>
      <c r="UV111" s="1"/>
      <c r="UW111" s="1"/>
      <c r="UX111" s="1"/>
      <c r="UY111" s="1"/>
      <c r="UZ111" s="1"/>
      <c r="VA111" s="1"/>
      <c r="VB111" s="1"/>
      <c r="VC111" s="1"/>
      <c r="VD111" s="1"/>
      <c r="VE111" s="1"/>
      <c r="VF111" s="1"/>
      <c r="VG111" s="1"/>
      <c r="VH111" s="1"/>
      <c r="VI111" s="1"/>
      <c r="VJ111" s="1"/>
      <c r="VK111" s="1"/>
      <c r="VL111" s="1"/>
      <c r="VM111" s="1"/>
      <c r="VN111" s="1"/>
      <c r="VO111" s="1"/>
      <c r="VP111" s="1"/>
      <c r="VQ111" s="1"/>
      <c r="VR111" s="1"/>
      <c r="VS111" s="1"/>
      <c r="VT111" s="1"/>
      <c r="VU111" s="1"/>
      <c r="VV111" s="1"/>
      <c r="VW111" s="1"/>
      <c r="VX111" s="1"/>
      <c r="VY111" s="1"/>
      <c r="VZ111" s="1"/>
      <c r="WA111" s="1"/>
      <c r="WB111" s="1"/>
      <c r="WC111" s="1"/>
      <c r="WD111" s="1"/>
      <c r="WE111" s="1"/>
      <c r="WF111" s="1"/>
      <c r="WG111" s="1"/>
      <c r="WH111" s="1"/>
      <c r="WI111" s="1"/>
      <c r="WJ111" s="1"/>
      <c r="WK111" s="1"/>
      <c r="WL111" s="1"/>
      <c r="WM111" s="1"/>
      <c r="WN111" s="1"/>
      <c r="WO111" s="1"/>
      <c r="WP111" s="1"/>
      <c r="WQ111" s="1"/>
      <c r="WR111" s="1"/>
      <c r="WS111" s="1"/>
      <c r="WT111" s="1"/>
      <c r="WU111" s="1"/>
      <c r="WV111" s="1"/>
      <c r="WW111" s="1"/>
      <c r="WX111" s="1"/>
      <c r="WY111" s="1"/>
      <c r="WZ111" s="1"/>
      <c r="XA111" s="1"/>
      <c r="XB111" s="1"/>
      <c r="XC111" s="1"/>
      <c r="XD111" s="1"/>
      <c r="XE111" s="1"/>
      <c r="XF111" s="1"/>
      <c r="XG111" s="1"/>
      <c r="XH111" s="1"/>
      <c r="XI111" s="1"/>
      <c r="XJ111" s="1"/>
      <c r="XK111" s="1"/>
      <c r="XL111" s="1"/>
      <c r="XM111" s="1"/>
      <c r="XN111" s="1"/>
      <c r="XO111" s="1"/>
      <c r="XP111" s="1"/>
      <c r="XQ111" s="1"/>
      <c r="XR111" s="1"/>
      <c r="XS111" s="1"/>
      <c r="XT111" s="1"/>
      <c r="XU111" s="1"/>
      <c r="XV111" s="1"/>
      <c r="XW111" s="1"/>
      <c r="XX111" s="1"/>
      <c r="XY111" s="1"/>
      <c r="XZ111" s="1"/>
      <c r="YA111" s="1"/>
      <c r="YB111" s="1"/>
      <c r="YC111" s="1"/>
      <c r="YD111" s="1"/>
      <c r="YE111" s="1"/>
      <c r="YF111" s="1"/>
      <c r="YG111" s="1"/>
      <c r="YH111" s="1"/>
      <c r="YI111" s="1"/>
      <c r="YJ111" s="1"/>
      <c r="YK111" s="1"/>
      <c r="YL111" s="1"/>
      <c r="YM111" s="1"/>
      <c r="YN111" s="1"/>
      <c r="YO111" s="1"/>
      <c r="YP111" s="1"/>
      <c r="YQ111" s="1"/>
      <c r="YR111" s="1"/>
      <c r="YS111" s="1"/>
      <c r="YT111" s="1"/>
      <c r="YU111" s="1"/>
      <c r="YV111" s="1"/>
      <c r="YW111" s="1"/>
      <c r="YX111" s="1"/>
      <c r="YY111" s="1"/>
      <c r="YZ111" s="1"/>
      <c r="ZA111" s="1"/>
      <c r="ZB111" s="1"/>
      <c r="ZC111" s="1"/>
      <c r="ZD111" s="1"/>
      <c r="ZE111" s="1"/>
      <c r="ZF111" s="1"/>
      <c r="ZG111" s="1"/>
      <c r="ZH111" s="1"/>
      <c r="ZI111" s="1"/>
      <c r="ZJ111" s="1"/>
      <c r="ZK111" s="1"/>
      <c r="ZL111" s="1"/>
      <c r="ZM111" s="1"/>
      <c r="ZN111" s="1"/>
      <c r="ZO111" s="1"/>
      <c r="ZP111" s="1"/>
      <c r="ZQ111" s="1"/>
      <c r="ZR111" s="1"/>
      <c r="ZS111" s="1"/>
      <c r="ZT111" s="1"/>
      <c r="ZU111" s="1"/>
      <c r="ZV111" s="1"/>
      <c r="ZW111" s="1"/>
      <c r="ZX111" s="1"/>
      <c r="ZY111" s="1"/>
      <c r="ZZ111" s="1"/>
      <c r="AAA111" s="1"/>
      <c r="AAB111" s="1"/>
      <c r="AAC111" s="1"/>
      <c r="AAD111" s="1"/>
      <c r="AAE111" s="1"/>
      <c r="AAF111" s="1"/>
      <c r="AAG111" s="1"/>
      <c r="AAH111" s="1"/>
      <c r="AAI111" s="1"/>
      <c r="AAJ111" s="1"/>
      <c r="AAK111" s="1"/>
      <c r="AAL111" s="1"/>
      <c r="AAM111" s="1"/>
      <c r="AAN111" s="1"/>
      <c r="AAO111" s="1"/>
      <c r="AAP111" s="1"/>
      <c r="AAQ111" s="1"/>
      <c r="AAR111" s="1"/>
      <c r="AAS111" s="1"/>
      <c r="AAT111" s="1"/>
      <c r="AAU111" s="1"/>
      <c r="AAV111" s="1"/>
      <c r="AAW111" s="1"/>
      <c r="AAX111" s="1"/>
      <c r="AAY111" s="1"/>
      <c r="AAZ111" s="1"/>
      <c r="ABA111" s="1"/>
      <c r="ABB111" s="1"/>
      <c r="ABC111" s="1"/>
      <c r="ABD111" s="1"/>
      <c r="ABE111" s="1"/>
      <c r="ABF111" s="1"/>
      <c r="ABG111" s="1"/>
      <c r="ABH111" s="1"/>
      <c r="ABI111" s="1"/>
      <c r="ABJ111" s="1"/>
      <c r="ABK111" s="1"/>
      <c r="ABL111" s="1"/>
      <c r="ABM111" s="1"/>
      <c r="ABN111" s="1"/>
      <c r="ABO111" s="1"/>
      <c r="ABP111" s="1"/>
      <c r="ABQ111" s="1"/>
      <c r="ABR111" s="1"/>
      <c r="ABS111" s="1"/>
      <c r="ABT111" s="1"/>
      <c r="ABU111" s="1"/>
      <c r="ABV111" s="1"/>
      <c r="ABW111" s="1"/>
      <c r="ABX111" s="1"/>
      <c r="ABY111" s="1"/>
      <c r="ABZ111" s="1"/>
      <c r="ACA111" s="1"/>
      <c r="ACB111" s="1"/>
      <c r="ACC111" s="1"/>
      <c r="ACD111" s="1"/>
      <c r="ACE111" s="1"/>
      <c r="ACF111" s="1"/>
      <c r="ACG111" s="1"/>
      <c r="ACH111" s="1"/>
      <c r="ACI111" s="1"/>
      <c r="ACJ111" s="1"/>
      <c r="ACK111" s="1"/>
      <c r="ACL111" s="1"/>
      <c r="ACM111" s="1"/>
      <c r="ACN111" s="1"/>
      <c r="ACO111" s="1"/>
      <c r="ACP111" s="1"/>
      <c r="ACQ111" s="1"/>
      <c r="ACR111" s="1"/>
      <c r="ACS111" s="1"/>
      <c r="ACT111" s="1"/>
      <c r="ACU111" s="1"/>
      <c r="ACV111" s="1"/>
      <c r="ACW111" s="1"/>
      <c r="ACX111" s="1"/>
      <c r="ACY111" s="1"/>
      <c r="ACZ111" s="1"/>
      <c r="ADA111" s="1"/>
      <c r="ADB111" s="1"/>
      <c r="ADC111" s="1"/>
      <c r="ADD111" s="1"/>
      <c r="ADE111" s="1"/>
      <c r="ADF111" s="1"/>
      <c r="ADG111" s="1"/>
      <c r="ADH111" s="1"/>
      <c r="ADI111" s="1"/>
      <c r="ADJ111" s="1"/>
      <c r="ADK111" s="1"/>
      <c r="ADL111" s="1"/>
      <c r="ADM111" s="1"/>
      <c r="ADN111" s="1"/>
      <c r="ADO111" s="1"/>
      <c r="ADP111" s="1"/>
      <c r="ADQ111" s="1"/>
      <c r="ADR111" s="1"/>
      <c r="ADS111" s="1"/>
      <c r="ADT111" s="1"/>
      <c r="ADU111" s="1"/>
      <c r="ADV111" s="1"/>
      <c r="ADW111" s="1"/>
      <c r="ADX111" s="1"/>
      <c r="ADY111" s="1"/>
      <c r="ADZ111" s="1"/>
      <c r="AEA111" s="1"/>
      <c r="AEB111" s="1"/>
      <c r="AEC111" s="1"/>
      <c r="AED111" s="1"/>
      <c r="AEE111" s="1"/>
      <c r="AEF111" s="1"/>
      <c r="AEG111" s="1"/>
      <c r="AEH111" s="1"/>
      <c r="AEI111" s="1"/>
      <c r="AEJ111" s="1"/>
      <c r="AEK111" s="1"/>
      <c r="AEL111" s="1"/>
      <c r="AEM111" s="1"/>
      <c r="AEN111" s="1"/>
      <c r="AEO111" s="1"/>
      <c r="AEP111" s="1"/>
      <c r="AEQ111" s="1"/>
      <c r="AER111" s="1"/>
      <c r="AES111" s="1"/>
      <c r="AET111" s="1"/>
      <c r="AEU111" s="1"/>
      <c r="AEV111" s="1"/>
      <c r="AEW111" s="1"/>
      <c r="AEX111" s="1"/>
      <c r="AEY111" s="1"/>
      <c r="AEZ111" s="1"/>
      <c r="AFA111" s="1"/>
      <c r="AFB111" s="1"/>
      <c r="AFC111" s="1"/>
      <c r="AFD111" s="1"/>
      <c r="AFE111" s="1"/>
      <c r="AFF111" s="1"/>
      <c r="AFG111" s="1"/>
      <c r="AFH111" s="1"/>
      <c r="AFI111" s="1"/>
      <c r="AFJ111" s="1"/>
      <c r="AFK111" s="1"/>
      <c r="AFL111" s="1"/>
      <c r="AFM111" s="1"/>
      <c r="AFN111" s="1"/>
      <c r="AFO111" s="1"/>
      <c r="AFP111" s="1"/>
      <c r="AFQ111" s="1"/>
      <c r="AFR111" s="1"/>
      <c r="AFS111" s="1"/>
      <c r="AFT111" s="1"/>
      <c r="AFU111" s="1"/>
      <c r="AFV111" s="1"/>
      <c r="AFW111" s="1"/>
      <c r="AFX111" s="1"/>
      <c r="AFY111" s="1"/>
      <c r="AFZ111" s="1"/>
      <c r="AGA111" s="1"/>
      <c r="AGB111" s="1"/>
      <c r="AGC111" s="1"/>
      <c r="AGD111" s="1"/>
      <c r="AGE111" s="1"/>
      <c r="AGF111" s="1"/>
      <c r="AGG111" s="1"/>
      <c r="AGH111" s="1"/>
      <c r="AGI111" s="1"/>
      <c r="AGJ111" s="1"/>
      <c r="AGK111" s="1"/>
      <c r="AGL111" s="1"/>
      <c r="AGM111" s="1"/>
      <c r="AGN111" s="1"/>
      <c r="AGO111" s="1"/>
      <c r="AGP111" s="1"/>
      <c r="AGQ111" s="1"/>
      <c r="AGR111" s="1"/>
      <c r="AGS111" s="1"/>
      <c r="AGT111" s="1"/>
      <c r="AGU111" s="1"/>
      <c r="AGV111" s="1"/>
      <c r="AGW111" s="1"/>
      <c r="AGX111" s="1"/>
      <c r="AGY111" s="1"/>
      <c r="AGZ111" s="1"/>
      <c r="AHA111" s="1"/>
      <c r="AHB111" s="1"/>
      <c r="AHC111" s="1"/>
      <c r="AHD111" s="1"/>
      <c r="AHE111" s="1"/>
      <c r="AHF111" s="1"/>
      <c r="AHG111" s="1"/>
      <c r="AHH111" s="1"/>
      <c r="AHI111" s="1"/>
      <c r="AHJ111" s="1"/>
      <c r="AHK111" s="1"/>
      <c r="AHL111" s="1"/>
      <c r="AHM111" s="1"/>
      <c r="AHN111" s="1"/>
      <c r="AHO111" s="1"/>
      <c r="AHP111" s="1"/>
      <c r="AHQ111" s="1"/>
      <c r="AHR111" s="1"/>
      <c r="AHS111" s="1"/>
      <c r="AHT111" s="1"/>
      <c r="AHU111" s="1"/>
      <c r="AHV111" s="1"/>
      <c r="AHW111" s="1"/>
      <c r="AHX111" s="1"/>
      <c r="AHY111" s="1"/>
      <c r="AHZ111" s="1"/>
      <c r="AIA111" s="1"/>
      <c r="AIB111" s="1"/>
      <c r="AIC111" s="1"/>
      <c r="AID111" s="1"/>
      <c r="AIE111" s="1"/>
      <c r="AIF111" s="1"/>
      <c r="AIG111" s="1"/>
      <c r="AIH111" s="1"/>
      <c r="AII111" s="1"/>
      <c r="AIJ111" s="1"/>
      <c r="AIK111" s="1"/>
      <c r="AIL111" s="1"/>
      <c r="AIM111" s="1"/>
      <c r="AIN111" s="1"/>
      <c r="AIO111" s="1"/>
      <c r="AIP111" s="1"/>
      <c r="AIQ111" s="1"/>
      <c r="AIR111" s="1"/>
      <c r="AIS111" s="1"/>
      <c r="AIT111" s="1"/>
      <c r="AIU111" s="1"/>
      <c r="AIV111" s="1"/>
      <c r="AIW111" s="1"/>
      <c r="AIX111" s="1"/>
      <c r="AIY111" s="1"/>
      <c r="AIZ111" s="1"/>
      <c r="AJA111" s="1"/>
      <c r="AJB111" s="1"/>
      <c r="AJC111" s="1"/>
      <c r="AJD111" s="1"/>
      <c r="AJE111" s="1"/>
      <c r="AJF111" s="1"/>
      <c r="AJG111" s="1"/>
      <c r="AJH111" s="1"/>
      <c r="AJI111" s="1"/>
      <c r="AJJ111" s="1"/>
      <c r="AJK111" s="1"/>
      <c r="AJL111" s="1"/>
      <c r="AJM111" s="1"/>
      <c r="AJN111" s="1"/>
      <c r="AJO111" s="1"/>
      <c r="AJP111" s="1"/>
      <c r="AJQ111" s="1"/>
      <c r="AJR111" s="1"/>
      <c r="AJS111" s="1"/>
      <c r="AJT111" s="1"/>
      <c r="AJU111" s="1"/>
      <c r="AJV111" s="1"/>
      <c r="AJW111" s="1"/>
      <c r="AJX111" s="1"/>
      <c r="AJY111" s="1"/>
      <c r="AJZ111" s="1"/>
      <c r="AKA111" s="1"/>
      <c r="AKB111" s="1"/>
      <c r="AKC111" s="1"/>
      <c r="AKD111" s="1"/>
      <c r="AKE111" s="1"/>
      <c r="AKF111" s="1"/>
      <c r="AKG111" s="1"/>
      <c r="AKH111" s="1"/>
      <c r="AKI111" s="1"/>
      <c r="AKJ111" s="1"/>
      <c r="AKK111" s="1"/>
      <c r="AKL111" s="1"/>
      <c r="AKM111" s="1"/>
      <c r="AKN111" s="1"/>
      <c r="AKO111" s="1"/>
      <c r="AKP111" s="1"/>
      <c r="AKQ111" s="1"/>
      <c r="AKR111" s="1"/>
      <c r="AKS111" s="1"/>
      <c r="AKT111" s="1"/>
      <c r="AKU111" s="1"/>
      <c r="AKV111" s="1"/>
      <c r="AKW111" s="1"/>
      <c r="AKX111" s="1"/>
      <c r="AKY111" s="1"/>
      <c r="AKZ111" s="1"/>
      <c r="ALA111" s="1"/>
      <c r="ALB111" s="1"/>
      <c r="ALC111" s="1"/>
      <c r="ALD111" s="1"/>
      <c r="ALE111" s="1"/>
      <c r="ALF111" s="1"/>
      <c r="ALG111" s="1"/>
      <c r="ALH111" s="1"/>
      <c r="ALI111" s="1"/>
      <c r="ALJ111" s="1"/>
      <c r="ALK111" s="1"/>
      <c r="ALL111" s="1"/>
      <c r="ALM111" s="1"/>
      <c r="ALN111" s="1"/>
      <c r="ALO111" s="1"/>
      <c r="ALP111" s="1"/>
      <c r="ALQ111" s="1"/>
      <c r="ALR111" s="1"/>
      <c r="ALS111" s="1"/>
      <c r="ALT111" s="1"/>
      <c r="ALU111" s="1"/>
      <c r="ALV111" s="1"/>
      <c r="ALW111" s="1"/>
      <c r="ALX111" s="1"/>
      <c r="ALY111" s="1"/>
      <c r="ALZ111" s="1"/>
      <c r="AMA111" s="1"/>
      <c r="AMB111" s="1"/>
      <c r="AMC111" s="1"/>
      <c r="AMD111" s="1"/>
      <c r="AME111" s="1"/>
      <c r="AMF111" s="1"/>
      <c r="AMG111" s="1"/>
      <c r="AMH111" s="1"/>
      <c r="AMI111" s="1"/>
      <c r="AMJ111" s="1"/>
      <c r="AMK111" s="1"/>
      <c r="AML111" s="1"/>
      <c r="AMM111" s="1"/>
      <c r="AMN111" s="1"/>
      <c r="AMO111" s="1"/>
    </row>
    <row r="112" spans="1:1029" ht="17" customHeight="1" x14ac:dyDescent="0.2">
      <c r="A112" s="3" t="str">
        <f t="shared" si="559"/>
        <v>adrb2_human_4LDO</v>
      </c>
      <c r="B112" s="3" t="s">
        <v>126</v>
      </c>
      <c r="C112" s="3" t="s">
        <v>1046</v>
      </c>
      <c r="D112" s="3" t="str">
        <f>IFERROR(MID(VLOOKUP($B112,Seqs!$A:$B,2,0),E112,1),"")</f>
        <v>D</v>
      </c>
      <c r="E112" s="3">
        <v>29</v>
      </c>
      <c r="F112" s="3" t="str">
        <f>IFERROR(MID(VLOOKUP($B112,Seqs!$A:$B,2,0),G112,1),"")</f>
        <v>F</v>
      </c>
      <c r="G112" s="3">
        <v>61</v>
      </c>
      <c r="H112" s="3" t="str">
        <f>IFERROR(MID(VLOOKUP($B112,Seqs!$A:$B,2,0),I112,1),"")</f>
        <v>E</v>
      </c>
      <c r="I112" s="23">
        <v>62</v>
      </c>
      <c r="J112" s="3" t="str">
        <f>IFERROR(MID(VLOOKUP($B112,Seqs!$A:$B,2,0),K112,1),"")</f>
        <v>Q</v>
      </c>
      <c r="K112" s="23">
        <v>65</v>
      </c>
      <c r="L112" s="3" t="str">
        <f>IFERROR(MID(VLOOKUP($B112,Seqs!$A:$B,2,0),M112,1),"")</f>
        <v>T</v>
      </c>
      <c r="M112" s="3">
        <v>66</v>
      </c>
      <c r="N112" s="3" t="str">
        <f>IFERROR(MID(VLOOKUP($B112,Seqs!$A:$B,2,0),O112,1),"")</f>
        <v>M</v>
      </c>
      <c r="O112" s="3">
        <v>96</v>
      </c>
      <c r="P112" s="3" t="str">
        <f>IFERROR(MID(VLOOKUP($B112,Seqs!$A:$B,2,0),Q112,1),"")</f>
        <v>M</v>
      </c>
      <c r="Q112" s="3">
        <v>98</v>
      </c>
      <c r="R112" s="3" t="str">
        <f>IFERROR(MID(VLOOKUP($B112,Seqs!$A:$B,2,0),S112,1),"")</f>
        <v>F</v>
      </c>
      <c r="S112" s="3">
        <v>101</v>
      </c>
      <c r="T112" s="3" t="str">
        <f>IFERROR(MID(VLOOKUP($B112,Seqs!$A:$B,2,0),U112,1),"")</f>
        <v>G</v>
      </c>
      <c r="U112" s="3">
        <v>102</v>
      </c>
      <c r="V112" s="3" t="str">
        <f>IFERROR(MID(VLOOKUP($B112,Seqs!$A:$B,2,0),W112,1),"")</f>
        <v>S</v>
      </c>
      <c r="W112" s="3">
        <v>137</v>
      </c>
      <c r="X112" s="3" t="str">
        <f>IFERROR(MID(VLOOKUP($B112,Seqs!$A:$B,2,0),Y112,1),"")</f>
        <v>P</v>
      </c>
      <c r="Y112" s="3">
        <v>138</v>
      </c>
      <c r="Z112" s="3" t="str">
        <f>IFERROR(MID(VLOOKUP($B112,Seqs!$A:$B,2,0),AA112,1),"")</f>
        <v>L</v>
      </c>
      <c r="AA112" s="3">
        <v>145</v>
      </c>
      <c r="AB112" s="3" t="str">
        <f>IFERROR(MID(VLOOKUP($B112,Seqs!$A:$B,2,0),AC112,1),"")</f>
        <v>T</v>
      </c>
      <c r="AC112" s="9">
        <v>146</v>
      </c>
      <c r="AD112" s="3" t="str">
        <f>IFERROR(MID(VLOOKUP($B112,Seqs!$A:$B,2,0),AE112,1),"")</f>
        <v>H</v>
      </c>
      <c r="AE112" s="3">
        <v>172</v>
      </c>
      <c r="AF112" s="3" t="str">
        <f>IFERROR(MID(VLOOKUP($B112,Seqs!$A:$B,2,0),AG112,1),"")</f>
        <v>C</v>
      </c>
      <c r="AG112" s="3">
        <v>191</v>
      </c>
      <c r="AH112" s="3" t="str">
        <f>IFERROR(MID(VLOOKUP($B112,Seqs!$A:$B,2,0),AI112,1),"")</f>
        <v>F</v>
      </c>
      <c r="AI112" s="3">
        <v>193</v>
      </c>
      <c r="AJ112" s="3" t="str">
        <f>IFERROR(MID(VLOOKUP($B112,Seqs!$A:$B,2,0),AK112,1),"")</f>
        <v>N</v>
      </c>
      <c r="AK112" s="3">
        <v>196</v>
      </c>
      <c r="AL112" s="3" t="str">
        <f>IFERROR(MID(VLOOKUP($B112,Seqs!$A:$B,2,0),AM112,1),"")</f>
        <v>E</v>
      </c>
      <c r="AM112" s="3">
        <v>225</v>
      </c>
      <c r="AN112" s="3" t="str">
        <f>IFERROR(MID(VLOOKUP($B112,Seqs!$A:$B,2,0),AO112,1),"")</f>
        <v>L</v>
      </c>
      <c r="AO112" s="3">
        <v>266</v>
      </c>
      <c r="AP112" s="3" t="str">
        <f>IFERROR(MID(VLOOKUP($B112,Seqs!$A:$B,2,0),AQ112,1),"")</f>
        <v>Q</v>
      </c>
      <c r="AQ112" s="3">
        <v>299</v>
      </c>
      <c r="AR112" s="3" t="str">
        <f>IFERROR(MID(VLOOKUP($B112,Seqs!$A:$B,2,0),AS112,1),"")</f>
        <v>R</v>
      </c>
      <c r="AS112" s="3">
        <v>304</v>
      </c>
      <c r="AT112" s="3" t="str">
        <f>IFERROR(MID(VLOOKUP($B112,Seqs!$A:$B,2,0),AU112,1),"")</f>
        <v>R</v>
      </c>
      <c r="AU112" s="3">
        <v>328</v>
      </c>
      <c r="AV112" s="3" t="str">
        <f>IFERROR(MID(VLOOKUP($B112,Seqs!$A:$B,2,0),AW112,1),"")</f>
        <v>S</v>
      </c>
      <c r="AW112" s="3">
        <v>329</v>
      </c>
      <c r="AX112" s="3" t="str">
        <f>IFERROR(MID(VLOOKUP($B112,Seqs!$A:$B,2,0),AY112,1),"")</f>
        <v>C</v>
      </c>
      <c r="AY112" s="3">
        <v>341</v>
      </c>
      <c r="AZ112" s="77" t="str">
        <f>VLOOKUP(B112,Classification!A:D,2,0)</f>
        <v>A</v>
      </c>
      <c r="BA112" s="94" t="str">
        <f>VLOOKUP(B112,Classification!A:D,4,0)</f>
        <v>Adrenoceptors</v>
      </c>
      <c r="BB112" s="27" t="b">
        <f t="shared" si="560"/>
        <v>1</v>
      </c>
      <c r="BC112" s="23">
        <f t="shared" si="365"/>
        <v>248</v>
      </c>
      <c r="BD112" s="4" t="s">
        <v>23</v>
      </c>
      <c r="BE112" s="3" t="s">
        <v>1297</v>
      </c>
      <c r="BF112" s="119">
        <v>3.2</v>
      </c>
      <c r="BG112" s="49" t="s">
        <v>1384</v>
      </c>
      <c r="BH112" s="49" t="s">
        <v>1384</v>
      </c>
      <c r="BI112" s="1"/>
      <c r="BJ112" s="70" t="s">
        <v>1293</v>
      </c>
      <c r="BK112" s="57" t="s">
        <v>1293</v>
      </c>
      <c r="BL112" s="57" t="s">
        <v>1293</v>
      </c>
      <c r="BM112" s="57" t="s">
        <v>1293</v>
      </c>
      <c r="BN112" s="57" t="s">
        <v>1293</v>
      </c>
      <c r="BO112" s="57" t="s">
        <v>1293</v>
      </c>
      <c r="BP112" s="57" t="s">
        <v>1293</v>
      </c>
      <c r="BQ112" s="57" t="s">
        <v>1293</v>
      </c>
      <c r="BR112" s="57" t="s">
        <v>1293</v>
      </c>
      <c r="BS112" s="57" t="s">
        <v>1293</v>
      </c>
      <c r="BT112" s="57" t="s">
        <v>1293</v>
      </c>
      <c r="BU112" s="57" t="s">
        <v>1293</v>
      </c>
      <c r="BV112" s="70">
        <f t="shared" si="366"/>
        <v>29</v>
      </c>
      <c r="BW112" s="71">
        <f t="shared" si="367"/>
        <v>62</v>
      </c>
      <c r="BX112" s="72">
        <f t="shared" si="368"/>
        <v>66</v>
      </c>
      <c r="BY112" s="71">
        <f t="shared" si="369"/>
        <v>98</v>
      </c>
      <c r="BZ112" s="72">
        <f t="shared" si="370"/>
        <v>102</v>
      </c>
      <c r="CA112" s="71">
        <f t="shared" si="371"/>
        <v>138</v>
      </c>
      <c r="CB112" s="72">
        <f t="shared" si="372"/>
        <v>146</v>
      </c>
      <c r="CC112" s="71">
        <f t="shared" si="373"/>
        <v>191</v>
      </c>
      <c r="CD112" s="72">
        <f t="shared" si="374"/>
        <v>196</v>
      </c>
      <c r="CE112" s="71">
        <f t="shared" si="375"/>
        <v>266</v>
      </c>
      <c r="CF112" s="72">
        <f t="shared" si="376"/>
        <v>304</v>
      </c>
      <c r="CG112" s="71">
        <f t="shared" si="377"/>
        <v>329</v>
      </c>
      <c r="CH112" s="70">
        <f t="shared" si="378"/>
        <v>61</v>
      </c>
      <c r="CI112" s="71">
        <f t="shared" si="379"/>
        <v>65</v>
      </c>
      <c r="CJ112" s="72">
        <f t="shared" si="380"/>
        <v>96</v>
      </c>
      <c r="CK112" s="72">
        <f t="shared" si="381"/>
        <v>101</v>
      </c>
      <c r="CL112" s="72">
        <f t="shared" si="382"/>
        <v>137</v>
      </c>
      <c r="CM112" s="72">
        <f t="shared" si="383"/>
        <v>145</v>
      </c>
      <c r="CN112" s="72">
        <f t="shared" si="384"/>
        <v>172</v>
      </c>
      <c r="CO112" s="72">
        <f t="shared" si="385"/>
        <v>193</v>
      </c>
      <c r="CP112" s="72">
        <f t="shared" si="386"/>
        <v>225</v>
      </c>
      <c r="CQ112" s="72">
        <f t="shared" si="387"/>
        <v>299</v>
      </c>
      <c r="CR112" s="72">
        <f t="shared" si="388"/>
        <v>328</v>
      </c>
      <c r="CS112" s="72">
        <f t="shared" si="389"/>
        <v>341</v>
      </c>
      <c r="CT112" s="23">
        <f t="shared" si="390"/>
        <v>1</v>
      </c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  <c r="OX112" s="1"/>
      <c r="OY112" s="1"/>
      <c r="OZ112" s="1"/>
      <c r="PA112" s="1"/>
      <c r="PB112" s="1"/>
      <c r="PC112" s="1"/>
      <c r="PD112" s="1"/>
      <c r="PE112" s="1"/>
      <c r="PF112" s="1"/>
      <c r="PG112" s="1"/>
      <c r="PH112" s="1"/>
      <c r="PI112" s="1"/>
      <c r="PJ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1"/>
      <c r="QD112" s="1"/>
      <c r="QE112" s="1"/>
      <c r="QF112" s="1"/>
      <c r="QG112" s="1"/>
      <c r="QH112" s="1"/>
      <c r="QI112" s="1"/>
      <c r="QJ112" s="1"/>
      <c r="QK112" s="1"/>
      <c r="QL112" s="1"/>
      <c r="QM112" s="1"/>
      <c r="QN112" s="1"/>
      <c r="QO112" s="1"/>
      <c r="QP112" s="1"/>
      <c r="QQ112" s="1"/>
      <c r="QR112" s="1"/>
      <c r="QS112" s="1"/>
      <c r="QT112" s="1"/>
      <c r="QU112" s="1"/>
      <c r="QV112" s="1"/>
      <c r="QW112" s="1"/>
      <c r="QX112" s="1"/>
      <c r="QY112" s="1"/>
      <c r="QZ112" s="1"/>
      <c r="RA112" s="1"/>
      <c r="RB112" s="1"/>
      <c r="RC112" s="1"/>
      <c r="RD112" s="1"/>
      <c r="RE112" s="1"/>
      <c r="RF112" s="1"/>
      <c r="RG112" s="1"/>
      <c r="RH112" s="1"/>
      <c r="RI112" s="1"/>
      <c r="RJ112" s="1"/>
      <c r="RK112" s="1"/>
      <c r="RL112" s="1"/>
      <c r="RM112" s="1"/>
      <c r="RN112" s="1"/>
      <c r="RO112" s="1"/>
      <c r="RP112" s="1"/>
      <c r="RQ112" s="1"/>
      <c r="RR112" s="1"/>
      <c r="RS112" s="1"/>
      <c r="RT112" s="1"/>
      <c r="RU112" s="1"/>
      <c r="RV112" s="1"/>
      <c r="RW112" s="1"/>
      <c r="RX112" s="1"/>
      <c r="RY112" s="1"/>
      <c r="RZ112" s="1"/>
      <c r="SA112" s="1"/>
      <c r="SB112" s="1"/>
      <c r="SC112" s="1"/>
      <c r="SD112" s="1"/>
      <c r="SE112" s="1"/>
      <c r="SF112" s="1"/>
      <c r="SG112" s="1"/>
      <c r="SH112" s="1"/>
      <c r="SI112" s="1"/>
      <c r="SJ112" s="1"/>
      <c r="SK112" s="1"/>
      <c r="SL112" s="1"/>
      <c r="SM112" s="1"/>
      <c r="SN112" s="1"/>
      <c r="SO112" s="1"/>
      <c r="SP112" s="1"/>
      <c r="SQ112" s="1"/>
      <c r="SR112" s="1"/>
      <c r="SS112" s="1"/>
      <c r="ST112" s="1"/>
      <c r="SU112" s="1"/>
      <c r="SV112" s="1"/>
      <c r="SW112" s="1"/>
      <c r="SX112" s="1"/>
      <c r="SY112" s="1"/>
      <c r="SZ112" s="1"/>
      <c r="TA112" s="1"/>
      <c r="TB112" s="1"/>
      <c r="TC112" s="1"/>
      <c r="TD112" s="1"/>
      <c r="TE112" s="1"/>
      <c r="TF112" s="1"/>
      <c r="TG112" s="1"/>
      <c r="TH112" s="1"/>
      <c r="TI112" s="1"/>
      <c r="TJ112" s="1"/>
      <c r="TK112" s="1"/>
      <c r="TL112" s="1"/>
      <c r="TM112" s="1"/>
      <c r="TN112" s="1"/>
      <c r="TO112" s="1"/>
      <c r="TP112" s="1"/>
      <c r="TQ112" s="1"/>
      <c r="TR112" s="1"/>
      <c r="TS112" s="1"/>
      <c r="TT112" s="1"/>
      <c r="TU112" s="1"/>
      <c r="TV112" s="1"/>
      <c r="TW112" s="1"/>
      <c r="TX112" s="1"/>
      <c r="TY112" s="1"/>
      <c r="TZ112" s="1"/>
      <c r="UA112" s="1"/>
      <c r="UB112" s="1"/>
      <c r="UC112" s="1"/>
      <c r="UD112" s="1"/>
      <c r="UE112" s="1"/>
      <c r="UF112" s="1"/>
      <c r="UG112" s="1"/>
      <c r="UH112" s="1"/>
      <c r="UI112" s="1"/>
      <c r="UJ112" s="1"/>
      <c r="UK112" s="1"/>
      <c r="UL112" s="1"/>
      <c r="UM112" s="1"/>
      <c r="UN112" s="1"/>
      <c r="UO112" s="1"/>
      <c r="UP112" s="1"/>
      <c r="UQ112" s="1"/>
      <c r="UR112" s="1"/>
      <c r="US112" s="1"/>
      <c r="UT112" s="1"/>
      <c r="UU112" s="1"/>
      <c r="UV112" s="1"/>
      <c r="UW112" s="1"/>
      <c r="UX112" s="1"/>
      <c r="UY112" s="1"/>
      <c r="UZ112" s="1"/>
      <c r="VA112" s="1"/>
      <c r="VB112" s="1"/>
      <c r="VC112" s="1"/>
      <c r="VD112" s="1"/>
      <c r="VE112" s="1"/>
      <c r="VF112" s="1"/>
      <c r="VG112" s="1"/>
      <c r="VH112" s="1"/>
      <c r="VI112" s="1"/>
      <c r="VJ112" s="1"/>
      <c r="VK112" s="1"/>
      <c r="VL112" s="1"/>
      <c r="VM112" s="1"/>
      <c r="VN112" s="1"/>
      <c r="VO112" s="1"/>
      <c r="VP112" s="1"/>
      <c r="VQ112" s="1"/>
      <c r="VR112" s="1"/>
      <c r="VS112" s="1"/>
      <c r="VT112" s="1"/>
      <c r="VU112" s="1"/>
      <c r="VV112" s="1"/>
      <c r="VW112" s="1"/>
      <c r="VX112" s="1"/>
      <c r="VY112" s="1"/>
      <c r="VZ112" s="1"/>
      <c r="WA112" s="1"/>
      <c r="WB112" s="1"/>
      <c r="WC112" s="1"/>
      <c r="WD112" s="1"/>
      <c r="WE112" s="1"/>
      <c r="WF112" s="1"/>
      <c r="WG112" s="1"/>
      <c r="WH112" s="1"/>
      <c r="WI112" s="1"/>
      <c r="WJ112" s="1"/>
      <c r="WK112" s="1"/>
      <c r="WL112" s="1"/>
      <c r="WM112" s="1"/>
      <c r="WN112" s="1"/>
      <c r="WO112" s="1"/>
      <c r="WP112" s="1"/>
      <c r="WQ112" s="1"/>
      <c r="WR112" s="1"/>
      <c r="WS112" s="1"/>
      <c r="WT112" s="1"/>
      <c r="WU112" s="1"/>
      <c r="WV112" s="1"/>
      <c r="WW112" s="1"/>
      <c r="WX112" s="1"/>
      <c r="WY112" s="1"/>
      <c r="WZ112" s="1"/>
      <c r="XA112" s="1"/>
      <c r="XB112" s="1"/>
      <c r="XC112" s="1"/>
      <c r="XD112" s="1"/>
      <c r="XE112" s="1"/>
      <c r="XF112" s="1"/>
      <c r="XG112" s="1"/>
      <c r="XH112" s="1"/>
      <c r="XI112" s="1"/>
      <c r="XJ112" s="1"/>
      <c r="XK112" s="1"/>
      <c r="XL112" s="1"/>
      <c r="XM112" s="1"/>
      <c r="XN112" s="1"/>
      <c r="XO112" s="1"/>
      <c r="XP112" s="1"/>
      <c r="XQ112" s="1"/>
      <c r="XR112" s="1"/>
      <c r="XS112" s="1"/>
      <c r="XT112" s="1"/>
      <c r="XU112" s="1"/>
      <c r="XV112" s="1"/>
      <c r="XW112" s="1"/>
      <c r="XX112" s="1"/>
      <c r="XY112" s="1"/>
      <c r="XZ112" s="1"/>
      <c r="YA112" s="1"/>
      <c r="YB112" s="1"/>
      <c r="YC112" s="1"/>
      <c r="YD112" s="1"/>
      <c r="YE112" s="1"/>
      <c r="YF112" s="1"/>
      <c r="YG112" s="1"/>
      <c r="YH112" s="1"/>
      <c r="YI112" s="1"/>
      <c r="YJ112" s="1"/>
      <c r="YK112" s="1"/>
      <c r="YL112" s="1"/>
      <c r="YM112" s="1"/>
      <c r="YN112" s="1"/>
      <c r="YO112" s="1"/>
      <c r="YP112" s="1"/>
      <c r="YQ112" s="1"/>
      <c r="YR112" s="1"/>
      <c r="YS112" s="1"/>
      <c r="YT112" s="1"/>
      <c r="YU112" s="1"/>
      <c r="YV112" s="1"/>
      <c r="YW112" s="1"/>
      <c r="YX112" s="1"/>
      <c r="YY112" s="1"/>
      <c r="YZ112" s="1"/>
      <c r="ZA112" s="1"/>
      <c r="ZB112" s="1"/>
      <c r="ZC112" s="1"/>
      <c r="ZD112" s="1"/>
      <c r="ZE112" s="1"/>
      <c r="ZF112" s="1"/>
      <c r="ZG112" s="1"/>
      <c r="ZH112" s="1"/>
      <c r="ZI112" s="1"/>
      <c r="ZJ112" s="1"/>
      <c r="ZK112" s="1"/>
      <c r="ZL112" s="1"/>
      <c r="ZM112" s="1"/>
      <c r="ZN112" s="1"/>
      <c r="ZO112" s="1"/>
      <c r="ZP112" s="1"/>
      <c r="ZQ112" s="1"/>
      <c r="ZR112" s="1"/>
      <c r="ZS112" s="1"/>
      <c r="ZT112" s="1"/>
      <c r="ZU112" s="1"/>
      <c r="ZV112" s="1"/>
      <c r="ZW112" s="1"/>
      <c r="ZX112" s="1"/>
      <c r="ZY112" s="1"/>
      <c r="ZZ112" s="1"/>
      <c r="AAA112" s="1"/>
      <c r="AAB112" s="1"/>
      <c r="AAC112" s="1"/>
      <c r="AAD112" s="1"/>
      <c r="AAE112" s="1"/>
      <c r="AAF112" s="1"/>
      <c r="AAG112" s="1"/>
      <c r="AAH112" s="1"/>
      <c r="AAI112" s="1"/>
      <c r="AAJ112" s="1"/>
      <c r="AAK112" s="1"/>
      <c r="AAL112" s="1"/>
      <c r="AAM112" s="1"/>
      <c r="AAN112" s="1"/>
      <c r="AAO112" s="1"/>
      <c r="AAP112" s="1"/>
      <c r="AAQ112" s="1"/>
      <c r="AAR112" s="1"/>
      <c r="AAS112" s="1"/>
      <c r="AAT112" s="1"/>
      <c r="AAU112" s="1"/>
      <c r="AAV112" s="1"/>
      <c r="AAW112" s="1"/>
      <c r="AAX112" s="1"/>
      <c r="AAY112" s="1"/>
      <c r="AAZ112" s="1"/>
      <c r="ABA112" s="1"/>
      <c r="ABB112" s="1"/>
      <c r="ABC112" s="1"/>
      <c r="ABD112" s="1"/>
      <c r="ABE112" s="1"/>
      <c r="ABF112" s="1"/>
      <c r="ABG112" s="1"/>
      <c r="ABH112" s="1"/>
      <c r="ABI112" s="1"/>
      <c r="ABJ112" s="1"/>
      <c r="ABK112" s="1"/>
      <c r="ABL112" s="1"/>
      <c r="ABM112" s="1"/>
      <c r="ABN112" s="1"/>
      <c r="ABO112" s="1"/>
      <c r="ABP112" s="1"/>
      <c r="ABQ112" s="1"/>
      <c r="ABR112" s="1"/>
      <c r="ABS112" s="1"/>
      <c r="ABT112" s="1"/>
      <c r="ABU112" s="1"/>
      <c r="ABV112" s="1"/>
      <c r="ABW112" s="1"/>
      <c r="ABX112" s="1"/>
      <c r="ABY112" s="1"/>
      <c r="ABZ112" s="1"/>
      <c r="ACA112" s="1"/>
      <c r="ACB112" s="1"/>
      <c r="ACC112" s="1"/>
      <c r="ACD112" s="1"/>
      <c r="ACE112" s="1"/>
      <c r="ACF112" s="1"/>
      <c r="ACG112" s="1"/>
      <c r="ACH112" s="1"/>
      <c r="ACI112" s="1"/>
      <c r="ACJ112" s="1"/>
      <c r="ACK112" s="1"/>
      <c r="ACL112" s="1"/>
      <c r="ACM112" s="1"/>
      <c r="ACN112" s="1"/>
      <c r="ACO112" s="1"/>
      <c r="ACP112" s="1"/>
      <c r="ACQ112" s="1"/>
      <c r="ACR112" s="1"/>
      <c r="ACS112" s="1"/>
      <c r="ACT112" s="1"/>
      <c r="ACU112" s="1"/>
      <c r="ACV112" s="1"/>
      <c r="ACW112" s="1"/>
      <c r="ACX112" s="1"/>
      <c r="ACY112" s="1"/>
      <c r="ACZ112" s="1"/>
      <c r="ADA112" s="1"/>
      <c r="ADB112" s="1"/>
      <c r="ADC112" s="1"/>
      <c r="ADD112" s="1"/>
      <c r="ADE112" s="1"/>
      <c r="ADF112" s="1"/>
      <c r="ADG112" s="1"/>
      <c r="ADH112" s="1"/>
      <c r="ADI112" s="1"/>
      <c r="ADJ112" s="1"/>
      <c r="ADK112" s="1"/>
      <c r="ADL112" s="1"/>
      <c r="ADM112" s="1"/>
      <c r="ADN112" s="1"/>
      <c r="ADO112" s="1"/>
      <c r="ADP112" s="1"/>
      <c r="ADQ112" s="1"/>
      <c r="ADR112" s="1"/>
      <c r="ADS112" s="1"/>
      <c r="ADT112" s="1"/>
      <c r="ADU112" s="1"/>
      <c r="ADV112" s="1"/>
      <c r="ADW112" s="1"/>
      <c r="ADX112" s="1"/>
      <c r="ADY112" s="1"/>
      <c r="ADZ112" s="1"/>
      <c r="AEA112" s="1"/>
      <c r="AEB112" s="1"/>
      <c r="AEC112" s="1"/>
      <c r="AED112" s="1"/>
      <c r="AEE112" s="1"/>
      <c r="AEF112" s="1"/>
      <c r="AEG112" s="1"/>
      <c r="AEH112" s="1"/>
      <c r="AEI112" s="1"/>
      <c r="AEJ112" s="1"/>
      <c r="AEK112" s="1"/>
      <c r="AEL112" s="1"/>
      <c r="AEM112" s="1"/>
      <c r="AEN112" s="1"/>
      <c r="AEO112" s="1"/>
      <c r="AEP112" s="1"/>
      <c r="AEQ112" s="1"/>
      <c r="AER112" s="1"/>
      <c r="AES112" s="1"/>
      <c r="AET112" s="1"/>
      <c r="AEU112" s="1"/>
      <c r="AEV112" s="1"/>
      <c r="AEW112" s="1"/>
      <c r="AEX112" s="1"/>
      <c r="AEY112" s="1"/>
      <c r="AEZ112" s="1"/>
      <c r="AFA112" s="1"/>
      <c r="AFB112" s="1"/>
      <c r="AFC112" s="1"/>
      <c r="AFD112" s="1"/>
      <c r="AFE112" s="1"/>
      <c r="AFF112" s="1"/>
      <c r="AFG112" s="1"/>
      <c r="AFH112" s="1"/>
      <c r="AFI112" s="1"/>
      <c r="AFJ112" s="1"/>
      <c r="AFK112" s="1"/>
      <c r="AFL112" s="1"/>
      <c r="AFM112" s="1"/>
      <c r="AFN112" s="1"/>
      <c r="AFO112" s="1"/>
      <c r="AFP112" s="1"/>
      <c r="AFQ112" s="1"/>
      <c r="AFR112" s="1"/>
      <c r="AFS112" s="1"/>
      <c r="AFT112" s="1"/>
      <c r="AFU112" s="1"/>
      <c r="AFV112" s="1"/>
      <c r="AFW112" s="1"/>
      <c r="AFX112" s="1"/>
      <c r="AFY112" s="1"/>
      <c r="AFZ112" s="1"/>
      <c r="AGA112" s="1"/>
      <c r="AGB112" s="1"/>
      <c r="AGC112" s="1"/>
      <c r="AGD112" s="1"/>
      <c r="AGE112" s="1"/>
      <c r="AGF112" s="1"/>
      <c r="AGG112" s="1"/>
      <c r="AGH112" s="1"/>
      <c r="AGI112" s="1"/>
      <c r="AGJ112" s="1"/>
      <c r="AGK112" s="1"/>
      <c r="AGL112" s="1"/>
      <c r="AGM112" s="1"/>
      <c r="AGN112" s="1"/>
      <c r="AGO112" s="1"/>
      <c r="AGP112" s="1"/>
      <c r="AGQ112" s="1"/>
      <c r="AGR112" s="1"/>
      <c r="AGS112" s="1"/>
      <c r="AGT112" s="1"/>
      <c r="AGU112" s="1"/>
      <c r="AGV112" s="1"/>
      <c r="AGW112" s="1"/>
      <c r="AGX112" s="1"/>
      <c r="AGY112" s="1"/>
      <c r="AGZ112" s="1"/>
      <c r="AHA112" s="1"/>
      <c r="AHB112" s="1"/>
      <c r="AHC112" s="1"/>
      <c r="AHD112" s="1"/>
      <c r="AHE112" s="1"/>
      <c r="AHF112" s="1"/>
      <c r="AHG112" s="1"/>
      <c r="AHH112" s="1"/>
      <c r="AHI112" s="1"/>
      <c r="AHJ112" s="1"/>
      <c r="AHK112" s="1"/>
      <c r="AHL112" s="1"/>
      <c r="AHM112" s="1"/>
      <c r="AHN112" s="1"/>
      <c r="AHO112" s="1"/>
      <c r="AHP112" s="1"/>
      <c r="AHQ112" s="1"/>
      <c r="AHR112" s="1"/>
      <c r="AHS112" s="1"/>
      <c r="AHT112" s="1"/>
      <c r="AHU112" s="1"/>
      <c r="AHV112" s="1"/>
      <c r="AHW112" s="1"/>
      <c r="AHX112" s="1"/>
      <c r="AHY112" s="1"/>
      <c r="AHZ112" s="1"/>
      <c r="AIA112" s="1"/>
      <c r="AIB112" s="1"/>
      <c r="AIC112" s="1"/>
      <c r="AID112" s="1"/>
      <c r="AIE112" s="1"/>
      <c r="AIF112" s="1"/>
      <c r="AIG112" s="1"/>
      <c r="AIH112" s="1"/>
      <c r="AII112" s="1"/>
      <c r="AIJ112" s="1"/>
      <c r="AIK112" s="1"/>
      <c r="AIL112" s="1"/>
      <c r="AIM112" s="1"/>
      <c r="AIN112" s="1"/>
      <c r="AIO112" s="1"/>
      <c r="AIP112" s="1"/>
      <c r="AIQ112" s="1"/>
      <c r="AIR112" s="1"/>
      <c r="AIS112" s="1"/>
      <c r="AIT112" s="1"/>
      <c r="AIU112" s="1"/>
      <c r="AIV112" s="1"/>
      <c r="AIW112" s="1"/>
      <c r="AIX112" s="1"/>
      <c r="AIY112" s="1"/>
      <c r="AIZ112" s="1"/>
      <c r="AJA112" s="1"/>
      <c r="AJB112" s="1"/>
      <c r="AJC112" s="1"/>
      <c r="AJD112" s="1"/>
      <c r="AJE112" s="1"/>
      <c r="AJF112" s="1"/>
      <c r="AJG112" s="1"/>
      <c r="AJH112" s="1"/>
      <c r="AJI112" s="1"/>
      <c r="AJJ112" s="1"/>
      <c r="AJK112" s="1"/>
      <c r="AJL112" s="1"/>
      <c r="AJM112" s="1"/>
      <c r="AJN112" s="1"/>
      <c r="AJO112" s="1"/>
      <c r="AJP112" s="1"/>
      <c r="AJQ112" s="1"/>
      <c r="AJR112" s="1"/>
      <c r="AJS112" s="1"/>
      <c r="AJT112" s="1"/>
      <c r="AJU112" s="1"/>
      <c r="AJV112" s="1"/>
      <c r="AJW112" s="1"/>
      <c r="AJX112" s="1"/>
      <c r="AJY112" s="1"/>
      <c r="AJZ112" s="1"/>
      <c r="AKA112" s="1"/>
      <c r="AKB112" s="1"/>
      <c r="AKC112" s="1"/>
      <c r="AKD112" s="1"/>
      <c r="AKE112" s="1"/>
      <c r="AKF112" s="1"/>
      <c r="AKG112" s="1"/>
      <c r="AKH112" s="1"/>
      <c r="AKI112" s="1"/>
      <c r="AKJ112" s="1"/>
      <c r="AKK112" s="1"/>
      <c r="AKL112" s="1"/>
      <c r="AKM112" s="1"/>
      <c r="AKN112" s="1"/>
      <c r="AKO112" s="1"/>
      <c r="AKP112" s="1"/>
      <c r="AKQ112" s="1"/>
      <c r="AKR112" s="1"/>
      <c r="AKS112" s="1"/>
      <c r="AKT112" s="1"/>
      <c r="AKU112" s="1"/>
      <c r="AKV112" s="1"/>
      <c r="AKW112" s="1"/>
      <c r="AKX112" s="1"/>
      <c r="AKY112" s="1"/>
      <c r="AKZ112" s="1"/>
      <c r="ALA112" s="1"/>
      <c r="ALB112" s="1"/>
      <c r="ALC112" s="1"/>
      <c r="ALD112" s="1"/>
      <c r="ALE112" s="1"/>
      <c r="ALF112" s="1"/>
      <c r="ALG112" s="1"/>
      <c r="ALH112" s="1"/>
      <c r="ALI112" s="1"/>
      <c r="ALJ112" s="1"/>
      <c r="ALK112" s="1"/>
      <c r="ALL112" s="1"/>
      <c r="ALM112" s="1"/>
      <c r="ALN112" s="1"/>
      <c r="ALO112" s="1"/>
      <c r="ALP112" s="1"/>
      <c r="ALQ112" s="1"/>
      <c r="ALR112" s="1"/>
      <c r="ALS112" s="1"/>
      <c r="ALT112" s="1"/>
      <c r="ALU112" s="1"/>
      <c r="ALV112" s="1"/>
      <c r="ALW112" s="1"/>
      <c r="ALX112" s="1"/>
      <c r="ALY112" s="1"/>
      <c r="ALZ112" s="1"/>
      <c r="AMA112" s="1"/>
      <c r="AMB112" s="1"/>
      <c r="AMC112" s="1"/>
      <c r="AMD112" s="1"/>
      <c r="AME112" s="1"/>
      <c r="AMF112" s="1"/>
      <c r="AMG112" s="1"/>
      <c r="AMH112" s="1"/>
      <c r="AMI112" s="1"/>
      <c r="AMJ112" s="1"/>
      <c r="AMK112" s="1"/>
      <c r="AML112" s="1"/>
      <c r="AMM112" s="1"/>
      <c r="AMN112" s="1"/>
      <c r="AMO112" s="1"/>
    </row>
    <row r="113" spans="1:1029" x14ac:dyDescent="0.2">
      <c r="A113" s="3" t="str">
        <f t="shared" si="559"/>
        <v>adrb2_human_4QKX</v>
      </c>
      <c r="B113" s="3" t="s">
        <v>126</v>
      </c>
      <c r="C113" s="3" t="s">
        <v>78</v>
      </c>
      <c r="D113" s="3" t="str">
        <f>IFERROR(MID(VLOOKUP($B113,Seqs!$A:$B,2,0),E113,1),"")</f>
        <v>D</v>
      </c>
      <c r="E113" s="3">
        <v>29</v>
      </c>
      <c r="F113" s="3" t="str">
        <f>IFERROR(MID(VLOOKUP($B113,Seqs!$A:$B,2,0),G113,1),"")</f>
        <v>F</v>
      </c>
      <c r="G113" s="3">
        <v>61</v>
      </c>
      <c r="H113" s="3" t="str">
        <f>IFERROR(MID(VLOOKUP($B113,Seqs!$A:$B,2,0),I113,1),"")</f>
        <v>E</v>
      </c>
      <c r="I113" s="23">
        <v>62</v>
      </c>
      <c r="J113" s="3" t="str">
        <f>IFERROR(MID(VLOOKUP($B113,Seqs!$A:$B,2,0),K113,1),"")</f>
        <v>Q</v>
      </c>
      <c r="K113" s="23">
        <v>65</v>
      </c>
      <c r="L113" s="3" t="str">
        <f>IFERROR(MID(VLOOKUP($B113,Seqs!$A:$B,2,0),M113,1),"")</f>
        <v>T</v>
      </c>
      <c r="M113" s="3">
        <v>66</v>
      </c>
      <c r="N113" s="3" t="str">
        <f>IFERROR(MID(VLOOKUP($B113,Seqs!$A:$B,2,0),O113,1),"")</f>
        <v>M</v>
      </c>
      <c r="O113" s="3">
        <v>96</v>
      </c>
      <c r="P113" s="3" t="str">
        <f>IFERROR(MID(VLOOKUP($B113,Seqs!$A:$B,2,0),Q113,1),"")</f>
        <v>M</v>
      </c>
      <c r="Q113" s="3">
        <v>98</v>
      </c>
      <c r="R113" s="3" t="str">
        <f>IFERROR(MID(VLOOKUP($B113,Seqs!$A:$B,2,0),S113,1),"")</f>
        <v>F</v>
      </c>
      <c r="S113" s="3">
        <v>101</v>
      </c>
      <c r="T113" s="3" t="str">
        <f>IFERROR(MID(VLOOKUP($B113,Seqs!$A:$B,2,0),U113,1),"")</f>
        <v>G</v>
      </c>
      <c r="U113" s="3">
        <v>102</v>
      </c>
      <c r="V113" s="3" t="str">
        <f>IFERROR(MID(VLOOKUP($B113,Seqs!$A:$B,2,0),W113,1),"")</f>
        <v>S</v>
      </c>
      <c r="W113" s="3">
        <v>137</v>
      </c>
      <c r="X113" s="3" t="str">
        <f>IFERROR(MID(VLOOKUP($B113,Seqs!$A:$B,2,0),Y113,1),"")</f>
        <v>P</v>
      </c>
      <c r="Y113" s="3">
        <v>138</v>
      </c>
      <c r="Z113" s="3" t="str">
        <f>IFERROR(MID(VLOOKUP($B113,Seqs!$A:$B,2,0),AA113,1),"")</f>
        <v>L</v>
      </c>
      <c r="AA113" s="3">
        <v>145</v>
      </c>
      <c r="AB113" s="3" t="str">
        <f>IFERROR(MID(VLOOKUP($B113,Seqs!$A:$B,2,0),AC113,1),"")</f>
        <v>T</v>
      </c>
      <c r="AC113" s="9">
        <v>146</v>
      </c>
      <c r="AD113" s="3" t="str">
        <f>IFERROR(MID(VLOOKUP($B113,Seqs!$A:$B,2,0),AE113,1),"")</f>
        <v>H</v>
      </c>
      <c r="AE113" s="3">
        <v>172</v>
      </c>
      <c r="AF113" s="3" t="str">
        <f>IFERROR(MID(VLOOKUP($B113,Seqs!$A:$B,2,0),AG113,1),"")</f>
        <v>C</v>
      </c>
      <c r="AG113" s="3">
        <v>191</v>
      </c>
      <c r="AH113" s="3" t="str">
        <f>IFERROR(MID(VLOOKUP($B113,Seqs!$A:$B,2,0),AI113,1),"")</f>
        <v>F</v>
      </c>
      <c r="AI113" s="3">
        <v>193</v>
      </c>
      <c r="AJ113" s="3" t="str">
        <f>IFERROR(MID(VLOOKUP($B113,Seqs!$A:$B,2,0),AK113,1),"")</f>
        <v>N</v>
      </c>
      <c r="AK113" s="3">
        <v>196</v>
      </c>
      <c r="AL113" s="3" t="str">
        <f>IFERROR(MID(VLOOKUP($B113,Seqs!$A:$B,2,0),AM113,1),"")</f>
        <v>E</v>
      </c>
      <c r="AM113" s="3">
        <v>225</v>
      </c>
      <c r="AN113" s="3" t="str">
        <f>IFERROR(MID(VLOOKUP($B113,Seqs!$A:$B,2,0),AO113,1),"")</f>
        <v>L</v>
      </c>
      <c r="AO113" s="3">
        <v>266</v>
      </c>
      <c r="AP113" s="3" t="str">
        <f>IFERROR(MID(VLOOKUP($B113,Seqs!$A:$B,2,0),AQ113,1),"")</f>
        <v>Q</v>
      </c>
      <c r="AQ113" s="3">
        <v>299</v>
      </c>
      <c r="AR113" s="3" t="str">
        <f>IFERROR(MID(VLOOKUP($B113,Seqs!$A:$B,2,0),AS113,1),"")</f>
        <v>R</v>
      </c>
      <c r="AS113" s="3">
        <v>304</v>
      </c>
      <c r="AT113" s="3" t="str">
        <f>IFERROR(MID(VLOOKUP($B113,Seqs!$A:$B,2,0),AU113,1),"")</f>
        <v>R</v>
      </c>
      <c r="AU113" s="3">
        <v>328</v>
      </c>
      <c r="AV113" s="3" t="str">
        <f>IFERROR(MID(VLOOKUP($B113,Seqs!$A:$B,2,0),AW113,1),"")</f>
        <v>S</v>
      </c>
      <c r="AW113" s="3">
        <v>329</v>
      </c>
      <c r="AX113" s="3" t="str">
        <f>IFERROR(MID(VLOOKUP($B113,Seqs!$A:$B,2,0),AY113,1),"")</f>
        <v>C</v>
      </c>
      <c r="AY113" s="3">
        <v>341</v>
      </c>
      <c r="AZ113" s="77" t="str">
        <f>VLOOKUP(B113,Classification!A:D,2,0)</f>
        <v>A</v>
      </c>
      <c r="BA113" s="94" t="str">
        <f>VLOOKUP(B113,Classification!A:D,4,0)</f>
        <v>Adrenoceptors</v>
      </c>
      <c r="BB113" s="27" t="b">
        <f t="shared" si="560"/>
        <v>1</v>
      </c>
      <c r="BC113" s="23">
        <f t="shared" si="365"/>
        <v>248</v>
      </c>
      <c r="BD113" s="4" t="s">
        <v>23</v>
      </c>
      <c r="BE113" s="3" t="s">
        <v>1297</v>
      </c>
      <c r="BF113" s="119">
        <v>3.3</v>
      </c>
      <c r="BG113" s="49" t="s">
        <v>1384</v>
      </c>
      <c r="BH113" s="49" t="s">
        <v>1384</v>
      </c>
      <c r="BI113" s="1"/>
      <c r="BJ113" s="70" t="s">
        <v>1293</v>
      </c>
      <c r="BK113" s="57" t="s">
        <v>1293</v>
      </c>
      <c r="BL113" s="57" t="s">
        <v>1293</v>
      </c>
      <c r="BM113" s="57" t="s">
        <v>1293</v>
      </c>
      <c r="BN113" s="57" t="s">
        <v>1293</v>
      </c>
      <c r="BO113" s="57" t="s">
        <v>1293</v>
      </c>
      <c r="BP113" s="57" t="s">
        <v>1293</v>
      </c>
      <c r="BQ113" s="57" t="s">
        <v>1293</v>
      </c>
      <c r="BR113" s="57" t="s">
        <v>1293</v>
      </c>
      <c r="BS113" s="57" t="s">
        <v>1293</v>
      </c>
      <c r="BT113" s="57" t="s">
        <v>1293</v>
      </c>
      <c r="BU113" s="57" t="s">
        <v>1293</v>
      </c>
      <c r="BV113" s="70">
        <f t="shared" si="366"/>
        <v>29</v>
      </c>
      <c r="BW113" s="71">
        <f t="shared" si="367"/>
        <v>62</v>
      </c>
      <c r="BX113" s="72">
        <f t="shared" si="368"/>
        <v>66</v>
      </c>
      <c r="BY113" s="71">
        <f t="shared" si="369"/>
        <v>98</v>
      </c>
      <c r="BZ113" s="72">
        <f t="shared" si="370"/>
        <v>102</v>
      </c>
      <c r="CA113" s="71">
        <f t="shared" si="371"/>
        <v>138</v>
      </c>
      <c r="CB113" s="72">
        <f t="shared" si="372"/>
        <v>146</v>
      </c>
      <c r="CC113" s="71">
        <f t="shared" si="373"/>
        <v>191</v>
      </c>
      <c r="CD113" s="72">
        <f t="shared" si="374"/>
        <v>196</v>
      </c>
      <c r="CE113" s="71">
        <f t="shared" si="375"/>
        <v>266</v>
      </c>
      <c r="CF113" s="72">
        <f t="shared" si="376"/>
        <v>304</v>
      </c>
      <c r="CG113" s="71">
        <f t="shared" si="377"/>
        <v>329</v>
      </c>
      <c r="CH113" s="70">
        <f t="shared" si="378"/>
        <v>61</v>
      </c>
      <c r="CI113" s="71">
        <f t="shared" si="379"/>
        <v>65</v>
      </c>
      <c r="CJ113" s="72">
        <f t="shared" si="380"/>
        <v>96</v>
      </c>
      <c r="CK113" s="72">
        <f t="shared" si="381"/>
        <v>101</v>
      </c>
      <c r="CL113" s="72">
        <f t="shared" si="382"/>
        <v>137</v>
      </c>
      <c r="CM113" s="72">
        <f t="shared" si="383"/>
        <v>145</v>
      </c>
      <c r="CN113" s="72">
        <f t="shared" si="384"/>
        <v>172</v>
      </c>
      <c r="CO113" s="72">
        <f t="shared" si="385"/>
        <v>193</v>
      </c>
      <c r="CP113" s="72">
        <f t="shared" si="386"/>
        <v>225</v>
      </c>
      <c r="CQ113" s="72">
        <f t="shared" si="387"/>
        <v>299</v>
      </c>
      <c r="CR113" s="72">
        <f t="shared" si="388"/>
        <v>328</v>
      </c>
      <c r="CS113" s="72">
        <f t="shared" si="389"/>
        <v>341</v>
      </c>
      <c r="CT113" s="23">
        <f t="shared" si="390"/>
        <v>1</v>
      </c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  <c r="RJ113" s="1"/>
      <c r="RK113" s="1"/>
      <c r="RL113" s="1"/>
      <c r="RM113" s="1"/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  <c r="SG113" s="1"/>
      <c r="SH113" s="1"/>
      <c r="SI113" s="1"/>
      <c r="SJ113" s="1"/>
      <c r="SK113" s="1"/>
      <c r="SL113" s="1"/>
      <c r="SM113" s="1"/>
      <c r="SN113" s="1"/>
      <c r="SO113" s="1"/>
      <c r="SP113" s="1"/>
      <c r="SQ113" s="1"/>
      <c r="SR113" s="1"/>
      <c r="SS113" s="1"/>
      <c r="ST113" s="1"/>
      <c r="SU113" s="1"/>
      <c r="SV113" s="1"/>
      <c r="SW113" s="1"/>
      <c r="SX113" s="1"/>
      <c r="SY113" s="1"/>
      <c r="SZ113" s="1"/>
      <c r="TA113" s="1"/>
      <c r="TB113" s="1"/>
      <c r="TC113" s="1"/>
      <c r="TD113" s="1"/>
      <c r="TE113" s="1"/>
      <c r="TF113" s="1"/>
      <c r="TG113" s="1"/>
      <c r="TH113" s="1"/>
      <c r="TI113" s="1"/>
      <c r="TJ113" s="1"/>
      <c r="TK113" s="1"/>
      <c r="TL113" s="1"/>
      <c r="TM113" s="1"/>
      <c r="TN113" s="1"/>
      <c r="TO113" s="1"/>
      <c r="TP113" s="1"/>
      <c r="TQ113" s="1"/>
      <c r="TR113" s="1"/>
      <c r="TS113" s="1"/>
      <c r="TT113" s="1"/>
      <c r="TU113" s="1"/>
      <c r="TV113" s="1"/>
      <c r="TW113" s="1"/>
      <c r="TX113" s="1"/>
      <c r="TY113" s="1"/>
      <c r="TZ113" s="1"/>
      <c r="UA113" s="1"/>
      <c r="UB113" s="1"/>
      <c r="UC113" s="1"/>
      <c r="UD113" s="1"/>
      <c r="UE113" s="1"/>
      <c r="UF113" s="1"/>
      <c r="UG113" s="1"/>
      <c r="UH113" s="1"/>
      <c r="UI113" s="1"/>
      <c r="UJ113" s="1"/>
      <c r="UK113" s="1"/>
      <c r="UL113" s="1"/>
      <c r="UM113" s="1"/>
      <c r="UN113" s="1"/>
      <c r="UO113" s="1"/>
      <c r="UP113" s="1"/>
      <c r="UQ113" s="1"/>
      <c r="UR113" s="1"/>
      <c r="US113" s="1"/>
      <c r="UT113" s="1"/>
      <c r="UU113" s="1"/>
      <c r="UV113" s="1"/>
      <c r="UW113" s="1"/>
      <c r="UX113" s="1"/>
      <c r="UY113" s="1"/>
      <c r="UZ113" s="1"/>
      <c r="VA113" s="1"/>
      <c r="VB113" s="1"/>
      <c r="VC113" s="1"/>
      <c r="VD113" s="1"/>
      <c r="VE113" s="1"/>
      <c r="VF113" s="1"/>
      <c r="VG113" s="1"/>
      <c r="VH113" s="1"/>
      <c r="VI113" s="1"/>
      <c r="VJ113" s="1"/>
      <c r="VK113" s="1"/>
      <c r="VL113" s="1"/>
      <c r="VM113" s="1"/>
      <c r="VN113" s="1"/>
      <c r="VO113" s="1"/>
      <c r="VP113" s="1"/>
      <c r="VQ113" s="1"/>
      <c r="VR113" s="1"/>
      <c r="VS113" s="1"/>
      <c r="VT113" s="1"/>
      <c r="VU113" s="1"/>
      <c r="VV113" s="1"/>
      <c r="VW113" s="1"/>
      <c r="VX113" s="1"/>
      <c r="VY113" s="1"/>
      <c r="VZ113" s="1"/>
      <c r="WA113" s="1"/>
      <c r="WB113" s="1"/>
      <c r="WC113" s="1"/>
      <c r="WD113" s="1"/>
      <c r="WE113" s="1"/>
      <c r="WF113" s="1"/>
      <c r="WG113" s="1"/>
      <c r="WH113" s="1"/>
      <c r="WI113" s="1"/>
      <c r="WJ113" s="1"/>
      <c r="WK113" s="1"/>
      <c r="WL113" s="1"/>
      <c r="WM113" s="1"/>
      <c r="WN113" s="1"/>
      <c r="WO113" s="1"/>
      <c r="WP113" s="1"/>
      <c r="WQ113" s="1"/>
      <c r="WR113" s="1"/>
      <c r="WS113" s="1"/>
      <c r="WT113" s="1"/>
      <c r="WU113" s="1"/>
      <c r="WV113" s="1"/>
      <c r="WW113" s="1"/>
      <c r="WX113" s="1"/>
      <c r="WY113" s="1"/>
      <c r="WZ113" s="1"/>
      <c r="XA113" s="1"/>
      <c r="XB113" s="1"/>
      <c r="XC113" s="1"/>
      <c r="XD113" s="1"/>
      <c r="XE113" s="1"/>
      <c r="XF113" s="1"/>
      <c r="XG113" s="1"/>
      <c r="XH113" s="1"/>
      <c r="XI113" s="1"/>
      <c r="XJ113" s="1"/>
      <c r="XK113" s="1"/>
      <c r="XL113" s="1"/>
      <c r="XM113" s="1"/>
      <c r="XN113" s="1"/>
      <c r="XO113" s="1"/>
      <c r="XP113" s="1"/>
      <c r="XQ113" s="1"/>
      <c r="XR113" s="1"/>
      <c r="XS113" s="1"/>
      <c r="XT113" s="1"/>
      <c r="XU113" s="1"/>
      <c r="XV113" s="1"/>
      <c r="XW113" s="1"/>
      <c r="XX113" s="1"/>
      <c r="XY113" s="1"/>
      <c r="XZ113" s="1"/>
      <c r="YA113" s="1"/>
      <c r="YB113" s="1"/>
      <c r="YC113" s="1"/>
      <c r="YD113" s="1"/>
      <c r="YE113" s="1"/>
      <c r="YF113" s="1"/>
      <c r="YG113" s="1"/>
      <c r="YH113" s="1"/>
      <c r="YI113" s="1"/>
      <c r="YJ113" s="1"/>
      <c r="YK113" s="1"/>
      <c r="YL113" s="1"/>
      <c r="YM113" s="1"/>
      <c r="YN113" s="1"/>
      <c r="YO113" s="1"/>
      <c r="YP113" s="1"/>
      <c r="YQ113" s="1"/>
      <c r="YR113" s="1"/>
      <c r="YS113" s="1"/>
      <c r="YT113" s="1"/>
      <c r="YU113" s="1"/>
      <c r="YV113" s="1"/>
      <c r="YW113" s="1"/>
      <c r="YX113" s="1"/>
      <c r="YY113" s="1"/>
      <c r="YZ113" s="1"/>
      <c r="ZA113" s="1"/>
      <c r="ZB113" s="1"/>
      <c r="ZC113" s="1"/>
      <c r="ZD113" s="1"/>
      <c r="ZE113" s="1"/>
      <c r="ZF113" s="1"/>
      <c r="ZG113" s="1"/>
      <c r="ZH113" s="1"/>
      <c r="ZI113" s="1"/>
      <c r="ZJ113" s="1"/>
      <c r="ZK113" s="1"/>
      <c r="ZL113" s="1"/>
      <c r="ZM113" s="1"/>
      <c r="ZN113" s="1"/>
      <c r="ZO113" s="1"/>
      <c r="ZP113" s="1"/>
      <c r="ZQ113" s="1"/>
      <c r="ZR113" s="1"/>
      <c r="ZS113" s="1"/>
      <c r="ZT113" s="1"/>
      <c r="ZU113" s="1"/>
      <c r="ZV113" s="1"/>
      <c r="ZW113" s="1"/>
      <c r="ZX113" s="1"/>
      <c r="ZY113" s="1"/>
      <c r="ZZ113" s="1"/>
      <c r="AAA113" s="1"/>
      <c r="AAB113" s="1"/>
      <c r="AAC113" s="1"/>
      <c r="AAD113" s="1"/>
      <c r="AAE113" s="1"/>
      <c r="AAF113" s="1"/>
      <c r="AAG113" s="1"/>
      <c r="AAH113" s="1"/>
      <c r="AAI113" s="1"/>
      <c r="AAJ113" s="1"/>
      <c r="AAK113" s="1"/>
      <c r="AAL113" s="1"/>
      <c r="AAM113" s="1"/>
      <c r="AAN113" s="1"/>
      <c r="AAO113" s="1"/>
      <c r="AAP113" s="1"/>
      <c r="AAQ113" s="1"/>
      <c r="AAR113" s="1"/>
      <c r="AAS113" s="1"/>
      <c r="AAT113" s="1"/>
      <c r="AAU113" s="1"/>
      <c r="AAV113" s="1"/>
      <c r="AAW113" s="1"/>
      <c r="AAX113" s="1"/>
      <c r="AAY113" s="1"/>
      <c r="AAZ113" s="1"/>
      <c r="ABA113" s="1"/>
      <c r="ABB113" s="1"/>
      <c r="ABC113" s="1"/>
      <c r="ABD113" s="1"/>
      <c r="ABE113" s="1"/>
      <c r="ABF113" s="1"/>
      <c r="ABG113" s="1"/>
      <c r="ABH113" s="1"/>
      <c r="ABI113" s="1"/>
      <c r="ABJ113" s="1"/>
      <c r="ABK113" s="1"/>
      <c r="ABL113" s="1"/>
      <c r="ABM113" s="1"/>
      <c r="ABN113" s="1"/>
      <c r="ABO113" s="1"/>
      <c r="ABP113" s="1"/>
      <c r="ABQ113" s="1"/>
      <c r="ABR113" s="1"/>
      <c r="ABS113" s="1"/>
      <c r="ABT113" s="1"/>
      <c r="ABU113" s="1"/>
      <c r="ABV113" s="1"/>
      <c r="ABW113" s="1"/>
      <c r="ABX113" s="1"/>
      <c r="ABY113" s="1"/>
      <c r="ABZ113" s="1"/>
      <c r="ACA113" s="1"/>
      <c r="ACB113" s="1"/>
      <c r="ACC113" s="1"/>
      <c r="ACD113" s="1"/>
      <c r="ACE113" s="1"/>
      <c r="ACF113" s="1"/>
      <c r="ACG113" s="1"/>
      <c r="ACH113" s="1"/>
      <c r="ACI113" s="1"/>
      <c r="ACJ113" s="1"/>
      <c r="ACK113" s="1"/>
      <c r="ACL113" s="1"/>
      <c r="ACM113" s="1"/>
      <c r="ACN113" s="1"/>
      <c r="ACO113" s="1"/>
      <c r="ACP113" s="1"/>
      <c r="ACQ113" s="1"/>
      <c r="ACR113" s="1"/>
      <c r="ACS113" s="1"/>
      <c r="ACT113" s="1"/>
      <c r="ACU113" s="1"/>
      <c r="ACV113" s="1"/>
      <c r="ACW113" s="1"/>
      <c r="ACX113" s="1"/>
      <c r="ACY113" s="1"/>
      <c r="ACZ113" s="1"/>
      <c r="ADA113" s="1"/>
      <c r="ADB113" s="1"/>
      <c r="ADC113" s="1"/>
      <c r="ADD113" s="1"/>
      <c r="ADE113" s="1"/>
      <c r="ADF113" s="1"/>
      <c r="ADG113" s="1"/>
      <c r="ADH113" s="1"/>
      <c r="ADI113" s="1"/>
      <c r="ADJ113" s="1"/>
      <c r="ADK113" s="1"/>
      <c r="ADL113" s="1"/>
      <c r="ADM113" s="1"/>
      <c r="ADN113" s="1"/>
      <c r="ADO113" s="1"/>
      <c r="ADP113" s="1"/>
      <c r="ADQ113" s="1"/>
      <c r="ADR113" s="1"/>
      <c r="ADS113" s="1"/>
      <c r="ADT113" s="1"/>
      <c r="ADU113" s="1"/>
      <c r="ADV113" s="1"/>
      <c r="ADW113" s="1"/>
      <c r="ADX113" s="1"/>
      <c r="ADY113" s="1"/>
      <c r="ADZ113" s="1"/>
      <c r="AEA113" s="1"/>
      <c r="AEB113" s="1"/>
      <c r="AEC113" s="1"/>
      <c r="AED113" s="1"/>
      <c r="AEE113" s="1"/>
      <c r="AEF113" s="1"/>
      <c r="AEG113" s="1"/>
      <c r="AEH113" s="1"/>
      <c r="AEI113" s="1"/>
      <c r="AEJ113" s="1"/>
      <c r="AEK113" s="1"/>
      <c r="AEL113" s="1"/>
      <c r="AEM113" s="1"/>
      <c r="AEN113" s="1"/>
      <c r="AEO113" s="1"/>
      <c r="AEP113" s="1"/>
      <c r="AEQ113" s="1"/>
      <c r="AER113" s="1"/>
      <c r="AES113" s="1"/>
      <c r="AET113" s="1"/>
      <c r="AEU113" s="1"/>
      <c r="AEV113" s="1"/>
      <c r="AEW113" s="1"/>
      <c r="AEX113" s="1"/>
      <c r="AEY113" s="1"/>
      <c r="AEZ113" s="1"/>
      <c r="AFA113" s="1"/>
      <c r="AFB113" s="1"/>
      <c r="AFC113" s="1"/>
      <c r="AFD113" s="1"/>
      <c r="AFE113" s="1"/>
      <c r="AFF113" s="1"/>
      <c r="AFG113" s="1"/>
      <c r="AFH113" s="1"/>
      <c r="AFI113" s="1"/>
      <c r="AFJ113" s="1"/>
      <c r="AFK113" s="1"/>
      <c r="AFL113" s="1"/>
      <c r="AFM113" s="1"/>
      <c r="AFN113" s="1"/>
      <c r="AFO113" s="1"/>
      <c r="AFP113" s="1"/>
      <c r="AFQ113" s="1"/>
      <c r="AFR113" s="1"/>
      <c r="AFS113" s="1"/>
      <c r="AFT113" s="1"/>
      <c r="AFU113" s="1"/>
      <c r="AFV113" s="1"/>
      <c r="AFW113" s="1"/>
      <c r="AFX113" s="1"/>
      <c r="AFY113" s="1"/>
      <c r="AFZ113" s="1"/>
      <c r="AGA113" s="1"/>
      <c r="AGB113" s="1"/>
      <c r="AGC113" s="1"/>
      <c r="AGD113" s="1"/>
      <c r="AGE113" s="1"/>
      <c r="AGF113" s="1"/>
      <c r="AGG113" s="1"/>
      <c r="AGH113" s="1"/>
      <c r="AGI113" s="1"/>
      <c r="AGJ113" s="1"/>
      <c r="AGK113" s="1"/>
      <c r="AGL113" s="1"/>
      <c r="AGM113" s="1"/>
      <c r="AGN113" s="1"/>
      <c r="AGO113" s="1"/>
      <c r="AGP113" s="1"/>
      <c r="AGQ113" s="1"/>
      <c r="AGR113" s="1"/>
      <c r="AGS113" s="1"/>
      <c r="AGT113" s="1"/>
      <c r="AGU113" s="1"/>
      <c r="AGV113" s="1"/>
      <c r="AGW113" s="1"/>
      <c r="AGX113" s="1"/>
      <c r="AGY113" s="1"/>
      <c r="AGZ113" s="1"/>
      <c r="AHA113" s="1"/>
      <c r="AHB113" s="1"/>
      <c r="AHC113" s="1"/>
      <c r="AHD113" s="1"/>
      <c r="AHE113" s="1"/>
      <c r="AHF113" s="1"/>
      <c r="AHG113" s="1"/>
      <c r="AHH113" s="1"/>
      <c r="AHI113" s="1"/>
      <c r="AHJ113" s="1"/>
      <c r="AHK113" s="1"/>
      <c r="AHL113" s="1"/>
      <c r="AHM113" s="1"/>
      <c r="AHN113" s="1"/>
      <c r="AHO113" s="1"/>
      <c r="AHP113" s="1"/>
      <c r="AHQ113" s="1"/>
      <c r="AHR113" s="1"/>
      <c r="AHS113" s="1"/>
      <c r="AHT113" s="1"/>
      <c r="AHU113" s="1"/>
      <c r="AHV113" s="1"/>
      <c r="AHW113" s="1"/>
      <c r="AHX113" s="1"/>
      <c r="AHY113" s="1"/>
      <c r="AHZ113" s="1"/>
      <c r="AIA113" s="1"/>
      <c r="AIB113" s="1"/>
      <c r="AIC113" s="1"/>
      <c r="AID113" s="1"/>
      <c r="AIE113" s="1"/>
      <c r="AIF113" s="1"/>
      <c r="AIG113" s="1"/>
      <c r="AIH113" s="1"/>
      <c r="AII113" s="1"/>
      <c r="AIJ113" s="1"/>
      <c r="AIK113" s="1"/>
      <c r="AIL113" s="1"/>
      <c r="AIM113" s="1"/>
      <c r="AIN113" s="1"/>
      <c r="AIO113" s="1"/>
      <c r="AIP113" s="1"/>
      <c r="AIQ113" s="1"/>
      <c r="AIR113" s="1"/>
      <c r="AIS113" s="1"/>
      <c r="AIT113" s="1"/>
      <c r="AIU113" s="1"/>
      <c r="AIV113" s="1"/>
      <c r="AIW113" s="1"/>
      <c r="AIX113" s="1"/>
      <c r="AIY113" s="1"/>
      <c r="AIZ113" s="1"/>
      <c r="AJA113" s="1"/>
      <c r="AJB113" s="1"/>
      <c r="AJC113" s="1"/>
      <c r="AJD113" s="1"/>
      <c r="AJE113" s="1"/>
      <c r="AJF113" s="1"/>
      <c r="AJG113" s="1"/>
      <c r="AJH113" s="1"/>
      <c r="AJI113" s="1"/>
      <c r="AJJ113" s="1"/>
      <c r="AJK113" s="1"/>
      <c r="AJL113" s="1"/>
      <c r="AJM113" s="1"/>
      <c r="AJN113" s="1"/>
      <c r="AJO113" s="1"/>
      <c r="AJP113" s="1"/>
      <c r="AJQ113" s="1"/>
      <c r="AJR113" s="1"/>
      <c r="AJS113" s="1"/>
      <c r="AJT113" s="1"/>
      <c r="AJU113" s="1"/>
      <c r="AJV113" s="1"/>
      <c r="AJW113" s="1"/>
      <c r="AJX113" s="1"/>
      <c r="AJY113" s="1"/>
      <c r="AJZ113" s="1"/>
      <c r="AKA113" s="1"/>
      <c r="AKB113" s="1"/>
      <c r="AKC113" s="1"/>
      <c r="AKD113" s="1"/>
      <c r="AKE113" s="1"/>
      <c r="AKF113" s="1"/>
      <c r="AKG113" s="1"/>
      <c r="AKH113" s="1"/>
      <c r="AKI113" s="1"/>
      <c r="AKJ113" s="1"/>
      <c r="AKK113" s="1"/>
      <c r="AKL113" s="1"/>
      <c r="AKM113" s="1"/>
      <c r="AKN113" s="1"/>
      <c r="AKO113" s="1"/>
      <c r="AKP113" s="1"/>
      <c r="AKQ113" s="1"/>
      <c r="AKR113" s="1"/>
      <c r="AKS113" s="1"/>
      <c r="AKT113" s="1"/>
      <c r="AKU113" s="1"/>
      <c r="AKV113" s="1"/>
      <c r="AKW113" s="1"/>
      <c r="AKX113" s="1"/>
      <c r="AKY113" s="1"/>
      <c r="AKZ113" s="1"/>
      <c r="ALA113" s="1"/>
      <c r="ALB113" s="1"/>
      <c r="ALC113" s="1"/>
      <c r="ALD113" s="1"/>
      <c r="ALE113" s="1"/>
      <c r="ALF113" s="1"/>
      <c r="ALG113" s="1"/>
      <c r="ALH113" s="1"/>
      <c r="ALI113" s="1"/>
      <c r="ALJ113" s="1"/>
      <c r="ALK113" s="1"/>
      <c r="ALL113" s="1"/>
      <c r="ALM113" s="1"/>
      <c r="ALN113" s="1"/>
      <c r="ALO113" s="1"/>
      <c r="ALP113" s="1"/>
      <c r="ALQ113" s="1"/>
      <c r="ALR113" s="1"/>
      <c r="ALS113" s="1"/>
      <c r="ALT113" s="1"/>
      <c r="ALU113" s="1"/>
      <c r="ALV113" s="1"/>
      <c r="ALW113" s="1"/>
      <c r="ALX113" s="1"/>
      <c r="ALY113" s="1"/>
      <c r="ALZ113" s="1"/>
      <c r="AMA113" s="1"/>
      <c r="AMB113" s="1"/>
      <c r="AMC113" s="1"/>
      <c r="AMD113" s="1"/>
      <c r="AME113" s="1"/>
      <c r="AMF113" s="1"/>
      <c r="AMG113" s="1"/>
      <c r="AMH113" s="1"/>
      <c r="AMI113" s="1"/>
      <c r="AMJ113" s="1"/>
      <c r="AMK113" s="1"/>
      <c r="AML113" s="1"/>
      <c r="AMM113" s="1"/>
      <c r="AMN113" s="1"/>
      <c r="AMO113" s="1"/>
    </row>
    <row r="114" spans="1:1029" x14ac:dyDescent="0.2">
      <c r="A114" s="3" t="str">
        <f t="shared" si="559"/>
        <v>adrb2_human_5D6L</v>
      </c>
      <c r="B114" s="3" t="s">
        <v>126</v>
      </c>
      <c r="C114" s="3" t="s">
        <v>1349</v>
      </c>
      <c r="D114" s="3" t="str">
        <f>IFERROR(MID(VLOOKUP($B114,Seqs!$A:$B,2,0),E114,1),"")</f>
        <v>D</v>
      </c>
      <c r="E114" s="3">
        <v>29</v>
      </c>
      <c r="F114" s="3" t="str">
        <f>IFERROR(MID(VLOOKUP($B114,Seqs!$A:$B,2,0),G114,1),"")</f>
        <v>F</v>
      </c>
      <c r="G114" s="3">
        <v>61</v>
      </c>
      <c r="H114" s="3" t="str">
        <f>IFERROR(MID(VLOOKUP($B114,Seqs!$A:$B,2,0),I114,1),"")</f>
        <v>E</v>
      </c>
      <c r="I114" s="23">
        <v>62</v>
      </c>
      <c r="J114" s="3" t="str">
        <f>IFERROR(MID(VLOOKUP($B114,Seqs!$A:$B,2,0),K114,1),"")</f>
        <v>Q</v>
      </c>
      <c r="K114" s="23">
        <v>65</v>
      </c>
      <c r="L114" s="3" t="str">
        <f>IFERROR(MID(VLOOKUP($B114,Seqs!$A:$B,2,0),M114,1),"")</f>
        <v>T</v>
      </c>
      <c r="M114" s="3">
        <v>66</v>
      </c>
      <c r="N114" s="3" t="str">
        <f>IFERROR(MID(VLOOKUP($B114,Seqs!$A:$B,2,0),O114,1),"")</f>
        <v>M</v>
      </c>
      <c r="O114" s="3">
        <v>96</v>
      </c>
      <c r="P114" s="3" t="str">
        <f>IFERROR(MID(VLOOKUP($B114,Seqs!$A:$B,2,0),Q114,1),"")</f>
        <v>M</v>
      </c>
      <c r="Q114" s="3">
        <v>98</v>
      </c>
      <c r="R114" s="3" t="str">
        <f>IFERROR(MID(VLOOKUP($B114,Seqs!$A:$B,2,0),S114,1),"")</f>
        <v>F</v>
      </c>
      <c r="S114" s="3">
        <v>101</v>
      </c>
      <c r="T114" s="3" t="str">
        <f>IFERROR(MID(VLOOKUP($B114,Seqs!$A:$B,2,0),U114,1),"")</f>
        <v>G</v>
      </c>
      <c r="U114" s="3">
        <v>102</v>
      </c>
      <c r="V114" s="3" t="str">
        <f>IFERROR(MID(VLOOKUP($B114,Seqs!$A:$B,2,0),W114,1),"")</f>
        <v>S</v>
      </c>
      <c r="W114" s="3">
        <v>137</v>
      </c>
      <c r="X114" s="3" t="str">
        <f>IFERROR(MID(VLOOKUP($B114,Seqs!$A:$B,2,0),Y114,1),"")</f>
        <v/>
      </c>
      <c r="Y114" s="3" t="s">
        <v>23</v>
      </c>
      <c r="Z114" s="3" t="str">
        <f>IFERROR(MID(VLOOKUP($B114,Seqs!$A:$B,2,0),AA114,1),"")</f>
        <v/>
      </c>
      <c r="AA114" s="3" t="s">
        <v>23</v>
      </c>
      <c r="AB114" s="3" t="str">
        <f>IFERROR(MID(VLOOKUP($B114,Seqs!$A:$B,2,0),AC114,1),"")</f>
        <v>T</v>
      </c>
      <c r="AC114" s="9">
        <v>146</v>
      </c>
      <c r="AD114" s="3" t="str">
        <f>IFERROR(MID(VLOOKUP($B114,Seqs!$A:$B,2,0),AE114,1),"")</f>
        <v>H</v>
      </c>
      <c r="AE114" s="3">
        <v>172</v>
      </c>
      <c r="AF114" s="3" t="str">
        <f>IFERROR(MID(VLOOKUP($B114,Seqs!$A:$B,2,0),AG114,1),"")</f>
        <v>C</v>
      </c>
      <c r="AG114" s="3">
        <v>191</v>
      </c>
      <c r="AH114" s="3" t="str">
        <f>IFERROR(MID(VLOOKUP($B114,Seqs!$A:$B,2,0),AI114,1),"")</f>
        <v>F</v>
      </c>
      <c r="AI114" s="3">
        <v>193</v>
      </c>
      <c r="AJ114" s="3" t="str">
        <f>IFERROR(MID(VLOOKUP($B114,Seqs!$A:$B,2,0),AK114,1),"")</f>
        <v>N</v>
      </c>
      <c r="AK114" s="3">
        <v>196</v>
      </c>
      <c r="AL114" s="3" t="str">
        <f>IFERROR(MID(VLOOKUP($B114,Seqs!$A:$B,2,0),AM114,1),"")</f>
        <v>Q</v>
      </c>
      <c r="AM114" s="3">
        <v>229</v>
      </c>
      <c r="AN114" s="3" t="str">
        <f>IFERROR(MID(VLOOKUP($B114,Seqs!$A:$B,2,0),AO114,1),"")</f>
        <v>K</v>
      </c>
      <c r="AO114" s="3">
        <v>267</v>
      </c>
      <c r="AP114" s="3" t="str">
        <f>IFERROR(MID(VLOOKUP($B114,Seqs!$A:$B,2,0),AQ114,1),"")</f>
        <v>Q</v>
      </c>
      <c r="AQ114" s="3">
        <v>299</v>
      </c>
      <c r="AR114" s="3" t="str">
        <f>IFERROR(MID(VLOOKUP($B114,Seqs!$A:$B,2,0),AS114,1),"")</f>
        <v>R</v>
      </c>
      <c r="AS114" s="3">
        <v>304</v>
      </c>
      <c r="AT114" s="3" t="str">
        <f>IFERROR(MID(VLOOKUP($B114,Seqs!$A:$B,2,0),AU114,1),"")</f>
        <v>R</v>
      </c>
      <c r="AU114" s="3">
        <v>328</v>
      </c>
      <c r="AV114" s="3" t="str">
        <f>IFERROR(MID(VLOOKUP($B114,Seqs!$A:$B,2,0),AW114,1),"")</f>
        <v>S</v>
      </c>
      <c r="AW114" s="3">
        <v>329</v>
      </c>
      <c r="AX114" s="3" t="str">
        <f>IFERROR(MID(VLOOKUP($B114,Seqs!$A:$B,2,0),AY114,1),"")</f>
        <v>C</v>
      </c>
      <c r="AY114" s="3">
        <v>341</v>
      </c>
      <c r="AZ114" s="77" t="str">
        <f>VLOOKUP(B114,Classification!A:D,2,0)</f>
        <v>A</v>
      </c>
      <c r="BA114" s="94" t="str">
        <f>VLOOKUP(B114,Classification!A:D,4,0)</f>
        <v>Adrenoceptors</v>
      </c>
      <c r="BB114" s="27" t="b">
        <f t="shared" si="560"/>
        <v>1</v>
      </c>
      <c r="BC114" s="23">
        <f t="shared" si="365"/>
        <v>244</v>
      </c>
      <c r="BD114" s="4" t="s">
        <v>23</v>
      </c>
      <c r="BE114" s="3" t="s">
        <v>1381</v>
      </c>
      <c r="BF114" s="119">
        <v>3.2</v>
      </c>
      <c r="BG114" s="49" t="s">
        <v>1</v>
      </c>
      <c r="BH114" s="49" t="s">
        <v>1384</v>
      </c>
      <c r="BI114" s="1"/>
      <c r="BJ114" s="70" t="s">
        <v>1293</v>
      </c>
      <c r="BK114" s="57" t="s">
        <v>1293</v>
      </c>
      <c r="BL114" s="57" t="s">
        <v>1293</v>
      </c>
      <c r="BM114" s="57" t="s">
        <v>1293</v>
      </c>
      <c r="BN114" s="57" t="s">
        <v>1293</v>
      </c>
      <c r="BO114" s="57" t="s">
        <v>1293</v>
      </c>
      <c r="BP114" s="57" t="s">
        <v>1293</v>
      </c>
      <c r="BQ114" s="57" t="s">
        <v>1293</v>
      </c>
      <c r="BR114" s="57" t="s">
        <v>1293</v>
      </c>
      <c r="BS114" s="57" t="s">
        <v>1293</v>
      </c>
      <c r="BT114" s="57" t="s">
        <v>1293</v>
      </c>
      <c r="BU114" s="57" t="s">
        <v>1293</v>
      </c>
      <c r="BV114" s="70">
        <f t="shared" si="366"/>
        <v>29</v>
      </c>
      <c r="BW114" s="71">
        <f t="shared" si="367"/>
        <v>62</v>
      </c>
      <c r="BX114" s="72">
        <f t="shared" si="368"/>
        <v>66</v>
      </c>
      <c r="BY114" s="71">
        <f t="shared" si="369"/>
        <v>98</v>
      </c>
      <c r="BZ114" s="72">
        <f t="shared" si="370"/>
        <v>102</v>
      </c>
      <c r="CA114" s="71" t="str">
        <f t="shared" si="371"/>
        <v>-</v>
      </c>
      <c r="CB114" s="72">
        <f t="shared" si="372"/>
        <v>146</v>
      </c>
      <c r="CC114" s="71">
        <f t="shared" si="373"/>
        <v>191</v>
      </c>
      <c r="CD114" s="72">
        <f t="shared" si="374"/>
        <v>196</v>
      </c>
      <c r="CE114" s="71">
        <f t="shared" si="375"/>
        <v>267</v>
      </c>
      <c r="CF114" s="72">
        <f t="shared" si="376"/>
        <v>304</v>
      </c>
      <c r="CG114" s="71">
        <f t="shared" si="377"/>
        <v>329</v>
      </c>
      <c r="CH114" s="70">
        <f t="shared" si="378"/>
        <v>61</v>
      </c>
      <c r="CI114" s="71">
        <f t="shared" si="379"/>
        <v>65</v>
      </c>
      <c r="CJ114" s="72">
        <f t="shared" si="380"/>
        <v>96</v>
      </c>
      <c r="CK114" s="72">
        <f t="shared" si="381"/>
        <v>101</v>
      </c>
      <c r="CL114" s="72">
        <f t="shared" si="382"/>
        <v>137</v>
      </c>
      <c r="CM114" s="72" t="str">
        <f t="shared" si="383"/>
        <v>-</v>
      </c>
      <c r="CN114" s="72">
        <f t="shared" si="384"/>
        <v>172</v>
      </c>
      <c r="CO114" s="72">
        <f t="shared" si="385"/>
        <v>193</v>
      </c>
      <c r="CP114" s="72">
        <f t="shared" si="386"/>
        <v>229</v>
      </c>
      <c r="CQ114" s="72">
        <f t="shared" si="387"/>
        <v>299</v>
      </c>
      <c r="CR114" s="72">
        <f t="shared" si="388"/>
        <v>328</v>
      </c>
      <c r="CS114" s="72">
        <f t="shared" si="389"/>
        <v>341</v>
      </c>
      <c r="CT114" s="23">
        <f t="shared" si="390"/>
        <v>1</v>
      </c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  <c r="QM114" s="1"/>
      <c r="QN114" s="1"/>
      <c r="QO114" s="1"/>
      <c r="QP114" s="1"/>
      <c r="QQ114" s="1"/>
      <c r="QR114" s="1"/>
      <c r="QS114" s="1"/>
      <c r="QT114" s="1"/>
      <c r="QU114" s="1"/>
      <c r="QV114" s="1"/>
      <c r="QW114" s="1"/>
      <c r="QX114" s="1"/>
      <c r="QY114" s="1"/>
      <c r="QZ114" s="1"/>
      <c r="RA114" s="1"/>
      <c r="RB114" s="1"/>
      <c r="RC114" s="1"/>
      <c r="RD114" s="1"/>
      <c r="RE114" s="1"/>
      <c r="RF114" s="1"/>
      <c r="RG114" s="1"/>
      <c r="RH114" s="1"/>
      <c r="RI114" s="1"/>
      <c r="RJ114" s="1"/>
      <c r="RK114" s="1"/>
      <c r="RL114" s="1"/>
      <c r="RM114" s="1"/>
      <c r="RN114" s="1"/>
      <c r="RO114" s="1"/>
      <c r="RP114" s="1"/>
      <c r="RQ114" s="1"/>
      <c r="RR114" s="1"/>
      <c r="RS114" s="1"/>
      <c r="RT114" s="1"/>
      <c r="RU114" s="1"/>
      <c r="RV114" s="1"/>
      <c r="RW114" s="1"/>
      <c r="RX114" s="1"/>
      <c r="RY114" s="1"/>
      <c r="RZ114" s="1"/>
      <c r="SA114" s="1"/>
      <c r="SB114" s="1"/>
      <c r="SC114" s="1"/>
      <c r="SD114" s="1"/>
      <c r="SE114" s="1"/>
      <c r="SF114" s="1"/>
      <c r="SG114" s="1"/>
      <c r="SH114" s="1"/>
      <c r="SI114" s="1"/>
      <c r="SJ114" s="1"/>
      <c r="SK114" s="1"/>
      <c r="SL114" s="1"/>
      <c r="SM114" s="1"/>
      <c r="SN114" s="1"/>
      <c r="SO114" s="1"/>
      <c r="SP114" s="1"/>
      <c r="SQ114" s="1"/>
      <c r="SR114" s="1"/>
      <c r="SS114" s="1"/>
      <c r="ST114" s="1"/>
      <c r="SU114" s="1"/>
      <c r="SV114" s="1"/>
      <c r="SW114" s="1"/>
      <c r="SX114" s="1"/>
      <c r="SY114" s="1"/>
      <c r="SZ114" s="1"/>
      <c r="TA114" s="1"/>
      <c r="TB114" s="1"/>
      <c r="TC114" s="1"/>
      <c r="TD114" s="1"/>
      <c r="TE114" s="1"/>
      <c r="TF114" s="1"/>
      <c r="TG114" s="1"/>
      <c r="TH114" s="1"/>
      <c r="TI114" s="1"/>
      <c r="TJ114" s="1"/>
      <c r="TK114" s="1"/>
      <c r="TL114" s="1"/>
      <c r="TM114" s="1"/>
      <c r="TN114" s="1"/>
      <c r="TO114" s="1"/>
      <c r="TP114" s="1"/>
      <c r="TQ114" s="1"/>
      <c r="TR114" s="1"/>
      <c r="TS114" s="1"/>
      <c r="TT114" s="1"/>
      <c r="TU114" s="1"/>
      <c r="TV114" s="1"/>
      <c r="TW114" s="1"/>
      <c r="TX114" s="1"/>
      <c r="TY114" s="1"/>
      <c r="TZ114" s="1"/>
      <c r="UA114" s="1"/>
      <c r="UB114" s="1"/>
      <c r="UC114" s="1"/>
      <c r="UD114" s="1"/>
      <c r="UE114" s="1"/>
      <c r="UF114" s="1"/>
      <c r="UG114" s="1"/>
      <c r="UH114" s="1"/>
      <c r="UI114" s="1"/>
      <c r="UJ114" s="1"/>
      <c r="UK114" s="1"/>
      <c r="UL114" s="1"/>
      <c r="UM114" s="1"/>
      <c r="UN114" s="1"/>
      <c r="UO114" s="1"/>
      <c r="UP114" s="1"/>
      <c r="UQ114" s="1"/>
      <c r="UR114" s="1"/>
      <c r="US114" s="1"/>
      <c r="UT114" s="1"/>
      <c r="UU114" s="1"/>
      <c r="UV114" s="1"/>
      <c r="UW114" s="1"/>
      <c r="UX114" s="1"/>
      <c r="UY114" s="1"/>
      <c r="UZ114" s="1"/>
      <c r="VA114" s="1"/>
      <c r="VB114" s="1"/>
      <c r="VC114" s="1"/>
      <c r="VD114" s="1"/>
      <c r="VE114" s="1"/>
      <c r="VF114" s="1"/>
      <c r="VG114" s="1"/>
      <c r="VH114" s="1"/>
      <c r="VI114" s="1"/>
      <c r="VJ114" s="1"/>
      <c r="VK114" s="1"/>
      <c r="VL114" s="1"/>
      <c r="VM114" s="1"/>
      <c r="VN114" s="1"/>
      <c r="VO114" s="1"/>
      <c r="VP114" s="1"/>
      <c r="VQ114" s="1"/>
      <c r="VR114" s="1"/>
      <c r="VS114" s="1"/>
      <c r="VT114" s="1"/>
      <c r="VU114" s="1"/>
      <c r="VV114" s="1"/>
      <c r="VW114" s="1"/>
      <c r="VX114" s="1"/>
      <c r="VY114" s="1"/>
      <c r="VZ114" s="1"/>
      <c r="WA114" s="1"/>
      <c r="WB114" s="1"/>
      <c r="WC114" s="1"/>
      <c r="WD114" s="1"/>
      <c r="WE114" s="1"/>
      <c r="WF114" s="1"/>
      <c r="WG114" s="1"/>
      <c r="WH114" s="1"/>
      <c r="WI114" s="1"/>
      <c r="WJ114" s="1"/>
      <c r="WK114" s="1"/>
      <c r="WL114" s="1"/>
      <c r="WM114" s="1"/>
      <c r="WN114" s="1"/>
      <c r="WO114" s="1"/>
      <c r="WP114" s="1"/>
      <c r="WQ114" s="1"/>
      <c r="WR114" s="1"/>
      <c r="WS114" s="1"/>
      <c r="WT114" s="1"/>
      <c r="WU114" s="1"/>
      <c r="WV114" s="1"/>
      <c r="WW114" s="1"/>
      <c r="WX114" s="1"/>
      <c r="WY114" s="1"/>
      <c r="WZ114" s="1"/>
      <c r="XA114" s="1"/>
      <c r="XB114" s="1"/>
      <c r="XC114" s="1"/>
      <c r="XD114" s="1"/>
      <c r="XE114" s="1"/>
      <c r="XF114" s="1"/>
      <c r="XG114" s="1"/>
      <c r="XH114" s="1"/>
      <c r="XI114" s="1"/>
      <c r="XJ114" s="1"/>
      <c r="XK114" s="1"/>
      <c r="XL114" s="1"/>
      <c r="XM114" s="1"/>
      <c r="XN114" s="1"/>
      <c r="XO114" s="1"/>
      <c r="XP114" s="1"/>
      <c r="XQ114" s="1"/>
      <c r="XR114" s="1"/>
      <c r="XS114" s="1"/>
      <c r="XT114" s="1"/>
      <c r="XU114" s="1"/>
      <c r="XV114" s="1"/>
      <c r="XW114" s="1"/>
      <c r="XX114" s="1"/>
      <c r="XY114" s="1"/>
      <c r="XZ114" s="1"/>
      <c r="YA114" s="1"/>
      <c r="YB114" s="1"/>
      <c r="YC114" s="1"/>
      <c r="YD114" s="1"/>
      <c r="YE114" s="1"/>
      <c r="YF114" s="1"/>
      <c r="YG114" s="1"/>
      <c r="YH114" s="1"/>
      <c r="YI114" s="1"/>
      <c r="YJ114" s="1"/>
      <c r="YK114" s="1"/>
      <c r="YL114" s="1"/>
      <c r="YM114" s="1"/>
      <c r="YN114" s="1"/>
      <c r="YO114" s="1"/>
      <c r="YP114" s="1"/>
      <c r="YQ114" s="1"/>
      <c r="YR114" s="1"/>
      <c r="YS114" s="1"/>
      <c r="YT114" s="1"/>
      <c r="YU114" s="1"/>
      <c r="YV114" s="1"/>
      <c r="YW114" s="1"/>
      <c r="YX114" s="1"/>
      <c r="YY114" s="1"/>
      <c r="YZ114" s="1"/>
      <c r="ZA114" s="1"/>
      <c r="ZB114" s="1"/>
      <c r="ZC114" s="1"/>
      <c r="ZD114" s="1"/>
      <c r="ZE114" s="1"/>
      <c r="ZF114" s="1"/>
      <c r="ZG114" s="1"/>
      <c r="ZH114" s="1"/>
      <c r="ZI114" s="1"/>
      <c r="ZJ114" s="1"/>
      <c r="ZK114" s="1"/>
      <c r="ZL114" s="1"/>
      <c r="ZM114" s="1"/>
      <c r="ZN114" s="1"/>
      <c r="ZO114" s="1"/>
      <c r="ZP114" s="1"/>
      <c r="ZQ114" s="1"/>
      <c r="ZR114" s="1"/>
      <c r="ZS114" s="1"/>
      <c r="ZT114" s="1"/>
      <c r="ZU114" s="1"/>
      <c r="ZV114" s="1"/>
      <c r="ZW114" s="1"/>
      <c r="ZX114" s="1"/>
      <c r="ZY114" s="1"/>
      <c r="ZZ114" s="1"/>
      <c r="AAA114" s="1"/>
      <c r="AAB114" s="1"/>
      <c r="AAC114" s="1"/>
      <c r="AAD114" s="1"/>
      <c r="AAE114" s="1"/>
      <c r="AAF114" s="1"/>
      <c r="AAG114" s="1"/>
      <c r="AAH114" s="1"/>
      <c r="AAI114" s="1"/>
      <c r="AAJ114" s="1"/>
      <c r="AAK114" s="1"/>
      <c r="AAL114" s="1"/>
      <c r="AAM114" s="1"/>
      <c r="AAN114" s="1"/>
      <c r="AAO114" s="1"/>
      <c r="AAP114" s="1"/>
      <c r="AAQ114" s="1"/>
      <c r="AAR114" s="1"/>
      <c r="AAS114" s="1"/>
      <c r="AAT114" s="1"/>
      <c r="AAU114" s="1"/>
      <c r="AAV114" s="1"/>
      <c r="AAW114" s="1"/>
      <c r="AAX114" s="1"/>
      <c r="AAY114" s="1"/>
      <c r="AAZ114" s="1"/>
      <c r="ABA114" s="1"/>
      <c r="ABB114" s="1"/>
      <c r="ABC114" s="1"/>
      <c r="ABD114" s="1"/>
      <c r="ABE114" s="1"/>
      <c r="ABF114" s="1"/>
      <c r="ABG114" s="1"/>
      <c r="ABH114" s="1"/>
      <c r="ABI114" s="1"/>
      <c r="ABJ114" s="1"/>
      <c r="ABK114" s="1"/>
      <c r="ABL114" s="1"/>
      <c r="ABM114" s="1"/>
      <c r="ABN114" s="1"/>
      <c r="ABO114" s="1"/>
      <c r="ABP114" s="1"/>
      <c r="ABQ114" s="1"/>
      <c r="ABR114" s="1"/>
      <c r="ABS114" s="1"/>
      <c r="ABT114" s="1"/>
      <c r="ABU114" s="1"/>
      <c r="ABV114" s="1"/>
      <c r="ABW114" s="1"/>
      <c r="ABX114" s="1"/>
      <c r="ABY114" s="1"/>
      <c r="ABZ114" s="1"/>
      <c r="ACA114" s="1"/>
      <c r="ACB114" s="1"/>
      <c r="ACC114" s="1"/>
      <c r="ACD114" s="1"/>
      <c r="ACE114" s="1"/>
      <c r="ACF114" s="1"/>
      <c r="ACG114" s="1"/>
      <c r="ACH114" s="1"/>
      <c r="ACI114" s="1"/>
      <c r="ACJ114" s="1"/>
      <c r="ACK114" s="1"/>
      <c r="ACL114" s="1"/>
      <c r="ACM114" s="1"/>
      <c r="ACN114" s="1"/>
      <c r="ACO114" s="1"/>
      <c r="ACP114" s="1"/>
      <c r="ACQ114" s="1"/>
      <c r="ACR114" s="1"/>
      <c r="ACS114" s="1"/>
      <c r="ACT114" s="1"/>
      <c r="ACU114" s="1"/>
      <c r="ACV114" s="1"/>
      <c r="ACW114" s="1"/>
      <c r="ACX114" s="1"/>
      <c r="ACY114" s="1"/>
      <c r="ACZ114" s="1"/>
      <c r="ADA114" s="1"/>
      <c r="ADB114" s="1"/>
      <c r="ADC114" s="1"/>
      <c r="ADD114" s="1"/>
      <c r="ADE114" s="1"/>
      <c r="ADF114" s="1"/>
      <c r="ADG114" s="1"/>
      <c r="ADH114" s="1"/>
      <c r="ADI114" s="1"/>
      <c r="ADJ114" s="1"/>
      <c r="ADK114" s="1"/>
      <c r="ADL114" s="1"/>
      <c r="ADM114" s="1"/>
      <c r="ADN114" s="1"/>
      <c r="ADO114" s="1"/>
      <c r="ADP114" s="1"/>
      <c r="ADQ114" s="1"/>
      <c r="ADR114" s="1"/>
      <c r="ADS114" s="1"/>
      <c r="ADT114" s="1"/>
      <c r="ADU114" s="1"/>
      <c r="ADV114" s="1"/>
      <c r="ADW114" s="1"/>
      <c r="ADX114" s="1"/>
      <c r="ADY114" s="1"/>
      <c r="ADZ114" s="1"/>
      <c r="AEA114" s="1"/>
      <c r="AEB114" s="1"/>
      <c r="AEC114" s="1"/>
      <c r="AED114" s="1"/>
      <c r="AEE114" s="1"/>
      <c r="AEF114" s="1"/>
      <c r="AEG114" s="1"/>
      <c r="AEH114" s="1"/>
      <c r="AEI114" s="1"/>
      <c r="AEJ114" s="1"/>
      <c r="AEK114" s="1"/>
      <c r="AEL114" s="1"/>
      <c r="AEM114" s="1"/>
      <c r="AEN114" s="1"/>
      <c r="AEO114" s="1"/>
      <c r="AEP114" s="1"/>
      <c r="AEQ114" s="1"/>
      <c r="AER114" s="1"/>
      <c r="AES114" s="1"/>
      <c r="AET114" s="1"/>
      <c r="AEU114" s="1"/>
      <c r="AEV114" s="1"/>
      <c r="AEW114" s="1"/>
      <c r="AEX114" s="1"/>
      <c r="AEY114" s="1"/>
      <c r="AEZ114" s="1"/>
      <c r="AFA114" s="1"/>
      <c r="AFB114" s="1"/>
      <c r="AFC114" s="1"/>
      <c r="AFD114" s="1"/>
      <c r="AFE114" s="1"/>
      <c r="AFF114" s="1"/>
      <c r="AFG114" s="1"/>
      <c r="AFH114" s="1"/>
      <c r="AFI114" s="1"/>
      <c r="AFJ114" s="1"/>
      <c r="AFK114" s="1"/>
      <c r="AFL114" s="1"/>
      <c r="AFM114" s="1"/>
      <c r="AFN114" s="1"/>
      <c r="AFO114" s="1"/>
      <c r="AFP114" s="1"/>
      <c r="AFQ114" s="1"/>
      <c r="AFR114" s="1"/>
      <c r="AFS114" s="1"/>
      <c r="AFT114" s="1"/>
      <c r="AFU114" s="1"/>
      <c r="AFV114" s="1"/>
      <c r="AFW114" s="1"/>
      <c r="AFX114" s="1"/>
      <c r="AFY114" s="1"/>
      <c r="AFZ114" s="1"/>
      <c r="AGA114" s="1"/>
      <c r="AGB114" s="1"/>
      <c r="AGC114" s="1"/>
      <c r="AGD114" s="1"/>
      <c r="AGE114" s="1"/>
      <c r="AGF114" s="1"/>
      <c r="AGG114" s="1"/>
      <c r="AGH114" s="1"/>
      <c r="AGI114" s="1"/>
      <c r="AGJ114" s="1"/>
      <c r="AGK114" s="1"/>
      <c r="AGL114" s="1"/>
      <c r="AGM114" s="1"/>
      <c r="AGN114" s="1"/>
      <c r="AGO114" s="1"/>
      <c r="AGP114" s="1"/>
      <c r="AGQ114" s="1"/>
      <c r="AGR114" s="1"/>
      <c r="AGS114" s="1"/>
      <c r="AGT114" s="1"/>
      <c r="AGU114" s="1"/>
      <c r="AGV114" s="1"/>
      <c r="AGW114" s="1"/>
      <c r="AGX114" s="1"/>
      <c r="AGY114" s="1"/>
      <c r="AGZ114" s="1"/>
      <c r="AHA114" s="1"/>
      <c r="AHB114" s="1"/>
      <c r="AHC114" s="1"/>
      <c r="AHD114" s="1"/>
      <c r="AHE114" s="1"/>
      <c r="AHF114" s="1"/>
      <c r="AHG114" s="1"/>
      <c r="AHH114" s="1"/>
      <c r="AHI114" s="1"/>
      <c r="AHJ114" s="1"/>
      <c r="AHK114" s="1"/>
      <c r="AHL114" s="1"/>
      <c r="AHM114" s="1"/>
      <c r="AHN114" s="1"/>
      <c r="AHO114" s="1"/>
      <c r="AHP114" s="1"/>
      <c r="AHQ114" s="1"/>
      <c r="AHR114" s="1"/>
      <c r="AHS114" s="1"/>
      <c r="AHT114" s="1"/>
      <c r="AHU114" s="1"/>
      <c r="AHV114" s="1"/>
      <c r="AHW114" s="1"/>
      <c r="AHX114" s="1"/>
      <c r="AHY114" s="1"/>
      <c r="AHZ114" s="1"/>
      <c r="AIA114" s="1"/>
      <c r="AIB114" s="1"/>
      <c r="AIC114" s="1"/>
      <c r="AID114" s="1"/>
      <c r="AIE114" s="1"/>
      <c r="AIF114" s="1"/>
      <c r="AIG114" s="1"/>
      <c r="AIH114" s="1"/>
      <c r="AII114" s="1"/>
      <c r="AIJ114" s="1"/>
      <c r="AIK114" s="1"/>
      <c r="AIL114" s="1"/>
      <c r="AIM114" s="1"/>
      <c r="AIN114" s="1"/>
      <c r="AIO114" s="1"/>
      <c r="AIP114" s="1"/>
      <c r="AIQ114" s="1"/>
      <c r="AIR114" s="1"/>
      <c r="AIS114" s="1"/>
      <c r="AIT114" s="1"/>
      <c r="AIU114" s="1"/>
      <c r="AIV114" s="1"/>
      <c r="AIW114" s="1"/>
      <c r="AIX114" s="1"/>
      <c r="AIY114" s="1"/>
      <c r="AIZ114" s="1"/>
      <c r="AJA114" s="1"/>
      <c r="AJB114" s="1"/>
      <c r="AJC114" s="1"/>
      <c r="AJD114" s="1"/>
      <c r="AJE114" s="1"/>
      <c r="AJF114" s="1"/>
      <c r="AJG114" s="1"/>
      <c r="AJH114" s="1"/>
      <c r="AJI114" s="1"/>
      <c r="AJJ114" s="1"/>
      <c r="AJK114" s="1"/>
      <c r="AJL114" s="1"/>
      <c r="AJM114" s="1"/>
      <c r="AJN114" s="1"/>
      <c r="AJO114" s="1"/>
      <c r="AJP114" s="1"/>
      <c r="AJQ114" s="1"/>
      <c r="AJR114" s="1"/>
      <c r="AJS114" s="1"/>
      <c r="AJT114" s="1"/>
      <c r="AJU114" s="1"/>
      <c r="AJV114" s="1"/>
      <c r="AJW114" s="1"/>
      <c r="AJX114" s="1"/>
      <c r="AJY114" s="1"/>
      <c r="AJZ114" s="1"/>
      <c r="AKA114" s="1"/>
      <c r="AKB114" s="1"/>
      <c r="AKC114" s="1"/>
      <c r="AKD114" s="1"/>
      <c r="AKE114" s="1"/>
      <c r="AKF114" s="1"/>
      <c r="AKG114" s="1"/>
      <c r="AKH114" s="1"/>
      <c r="AKI114" s="1"/>
      <c r="AKJ114" s="1"/>
      <c r="AKK114" s="1"/>
      <c r="AKL114" s="1"/>
      <c r="AKM114" s="1"/>
      <c r="AKN114" s="1"/>
      <c r="AKO114" s="1"/>
      <c r="AKP114" s="1"/>
      <c r="AKQ114" s="1"/>
      <c r="AKR114" s="1"/>
      <c r="AKS114" s="1"/>
      <c r="AKT114" s="1"/>
      <c r="AKU114" s="1"/>
      <c r="AKV114" s="1"/>
      <c r="AKW114" s="1"/>
      <c r="AKX114" s="1"/>
      <c r="AKY114" s="1"/>
      <c r="AKZ114" s="1"/>
      <c r="ALA114" s="1"/>
      <c r="ALB114" s="1"/>
      <c r="ALC114" s="1"/>
      <c r="ALD114" s="1"/>
      <c r="ALE114" s="1"/>
      <c r="ALF114" s="1"/>
      <c r="ALG114" s="1"/>
      <c r="ALH114" s="1"/>
      <c r="ALI114" s="1"/>
      <c r="ALJ114" s="1"/>
      <c r="ALK114" s="1"/>
      <c r="ALL114" s="1"/>
      <c r="ALM114" s="1"/>
      <c r="ALN114" s="1"/>
      <c r="ALO114" s="1"/>
      <c r="ALP114" s="1"/>
      <c r="ALQ114" s="1"/>
      <c r="ALR114" s="1"/>
      <c r="ALS114" s="1"/>
      <c r="ALT114" s="1"/>
      <c r="ALU114" s="1"/>
      <c r="ALV114" s="1"/>
      <c r="ALW114" s="1"/>
      <c r="ALX114" s="1"/>
      <c r="ALY114" s="1"/>
      <c r="ALZ114" s="1"/>
      <c r="AMA114" s="1"/>
      <c r="AMB114" s="1"/>
      <c r="AMC114" s="1"/>
      <c r="AMD114" s="1"/>
      <c r="AME114" s="1"/>
      <c r="AMF114" s="1"/>
      <c r="AMG114" s="1"/>
      <c r="AMH114" s="1"/>
      <c r="AMI114" s="1"/>
      <c r="AMJ114" s="1"/>
      <c r="AMK114" s="1"/>
      <c r="AML114" s="1"/>
      <c r="AMM114" s="1"/>
      <c r="AMN114" s="1"/>
      <c r="AMO114" s="1"/>
    </row>
    <row r="115" spans="1:1029" x14ac:dyDescent="0.2">
      <c r="A115" s="3" t="str">
        <f t="shared" si="559"/>
        <v>adrb2_human_5JQH</v>
      </c>
      <c r="B115" s="3" t="s">
        <v>126</v>
      </c>
      <c r="C115" s="3" t="s">
        <v>1350</v>
      </c>
      <c r="D115" s="3" t="str">
        <f>IFERROR(MID(VLOOKUP($B115,Seqs!$A:$B,2,0),E115,1),"")</f>
        <v>D</v>
      </c>
      <c r="E115" s="3">
        <v>23</v>
      </c>
      <c r="F115" s="3" t="str">
        <f>IFERROR(MID(VLOOKUP($B115,Seqs!$A:$B,2,0),G115,1),"")</f>
        <v>F</v>
      </c>
      <c r="G115" s="3">
        <v>61</v>
      </c>
      <c r="H115" s="3" t="str">
        <f>IFERROR(MID(VLOOKUP($B115,Seqs!$A:$B,2,0),I115,1),"")</f>
        <v>E</v>
      </c>
      <c r="I115" s="23">
        <v>62</v>
      </c>
      <c r="J115" s="3" t="str">
        <f>IFERROR(MID(VLOOKUP($B115,Seqs!$A:$B,2,0),K115,1),"")</f>
        <v>Q</v>
      </c>
      <c r="K115" s="23">
        <v>65</v>
      </c>
      <c r="L115" s="3" t="str">
        <f>IFERROR(MID(VLOOKUP($B115,Seqs!$A:$B,2,0),M115,1),"")</f>
        <v>T</v>
      </c>
      <c r="M115" s="3">
        <v>66</v>
      </c>
      <c r="N115" s="3" t="str">
        <f>IFERROR(MID(VLOOKUP($B115,Seqs!$A:$B,2,0),O115,1),"")</f>
        <v>M</v>
      </c>
      <c r="O115" s="3">
        <v>96</v>
      </c>
      <c r="P115" s="3" t="str">
        <f>IFERROR(MID(VLOOKUP($B115,Seqs!$A:$B,2,0),Q115,1),"")</f>
        <v>M</v>
      </c>
      <c r="Q115" s="3">
        <v>98</v>
      </c>
      <c r="R115" s="3" t="str">
        <f>IFERROR(MID(VLOOKUP($B115,Seqs!$A:$B,2,0),S115,1),"")</f>
        <v>F</v>
      </c>
      <c r="S115" s="3">
        <v>101</v>
      </c>
      <c r="T115" s="3" t="str">
        <f>IFERROR(MID(VLOOKUP($B115,Seqs!$A:$B,2,0),U115,1),"")</f>
        <v>G</v>
      </c>
      <c r="U115" s="3">
        <v>102</v>
      </c>
      <c r="V115" s="3" t="str">
        <f>IFERROR(MID(VLOOKUP($B115,Seqs!$A:$B,2,0),W115,1),"")</f>
        <v>S</v>
      </c>
      <c r="W115" s="3">
        <v>137</v>
      </c>
      <c r="X115" s="3" t="str">
        <f>IFERROR(MID(VLOOKUP($B115,Seqs!$A:$B,2,0),Y115,1),"")</f>
        <v/>
      </c>
      <c r="Y115" s="3" t="s">
        <v>23</v>
      </c>
      <c r="Z115" s="3" t="str">
        <f>IFERROR(MID(VLOOKUP($B115,Seqs!$A:$B,2,0),AA115,1),"")</f>
        <v/>
      </c>
      <c r="AA115" s="3" t="s">
        <v>23</v>
      </c>
      <c r="AB115" s="3" t="str">
        <f>IFERROR(MID(VLOOKUP($B115,Seqs!$A:$B,2,0),AC115,1),"")</f>
        <v>T</v>
      </c>
      <c r="AC115" s="9">
        <v>146</v>
      </c>
      <c r="AD115" s="3" t="str">
        <f>IFERROR(MID(VLOOKUP($B115,Seqs!$A:$B,2,0),AE115,1),"")</f>
        <v>H</v>
      </c>
      <c r="AE115" s="3">
        <v>172</v>
      </c>
      <c r="AF115" s="3" t="str">
        <f>IFERROR(MID(VLOOKUP($B115,Seqs!$A:$B,2,0),AG115,1),"")</f>
        <v>C</v>
      </c>
      <c r="AG115" s="3">
        <v>191</v>
      </c>
      <c r="AH115" s="3" t="str">
        <f>IFERROR(MID(VLOOKUP($B115,Seqs!$A:$B,2,0),AI115,1),"")</f>
        <v>F</v>
      </c>
      <c r="AI115" s="3">
        <v>193</v>
      </c>
      <c r="AJ115" s="3" t="str">
        <f>IFERROR(MID(VLOOKUP($B115,Seqs!$A:$B,2,0),AK115,1),"")</f>
        <v>N</v>
      </c>
      <c r="AK115" s="3">
        <v>196</v>
      </c>
      <c r="AL115" s="3" t="str">
        <f>IFERROR(MID(VLOOKUP($B115,Seqs!$A:$B,2,0),AM115,1),"")</f>
        <v>L</v>
      </c>
      <c r="AM115" s="3">
        <v>230</v>
      </c>
      <c r="AN115" s="3" t="str">
        <f>IFERROR(MID(VLOOKUP($B115,Seqs!$A:$B,2,0),AO115,1),"")</f>
        <v>A</v>
      </c>
      <c r="AO115" s="3">
        <v>271</v>
      </c>
      <c r="AP115" s="3" t="str">
        <f>IFERROR(MID(VLOOKUP($B115,Seqs!$A:$B,2,0),AQ115,1),"")</f>
        <v>Q</v>
      </c>
      <c r="AQ115" s="3">
        <v>299</v>
      </c>
      <c r="AR115" s="3" t="str">
        <f>IFERROR(MID(VLOOKUP($B115,Seqs!$A:$B,2,0),AS115,1),"")</f>
        <v>R</v>
      </c>
      <c r="AS115" s="3">
        <v>304</v>
      </c>
      <c r="AT115" s="3" t="str">
        <f>IFERROR(MID(VLOOKUP($B115,Seqs!$A:$B,2,0),AU115,1),"")</f>
        <v>R</v>
      </c>
      <c r="AU115" s="3">
        <v>328</v>
      </c>
      <c r="AV115" s="3" t="str">
        <f>IFERROR(MID(VLOOKUP($B115,Seqs!$A:$B,2,0),AW115,1),"")</f>
        <v>S</v>
      </c>
      <c r="AW115" s="3">
        <v>329</v>
      </c>
      <c r="AX115" s="3" t="str">
        <f>IFERROR(MID(VLOOKUP($B115,Seqs!$A:$B,2,0),AY115,1),"")</f>
        <v>C</v>
      </c>
      <c r="AY115" s="3">
        <v>341</v>
      </c>
      <c r="AZ115" s="77" t="str">
        <f>VLOOKUP(B115,Classification!A:D,2,0)</f>
        <v>A</v>
      </c>
      <c r="BA115" s="94" t="str">
        <f>VLOOKUP(B115,Classification!A:D,4,0)</f>
        <v>Adrenoceptors</v>
      </c>
      <c r="BB115" s="27" t="b">
        <f t="shared" si="560"/>
        <v>1</v>
      </c>
      <c r="BC115" s="23">
        <f t="shared" si="365"/>
        <v>247</v>
      </c>
      <c r="BD115" s="74" t="s">
        <v>23</v>
      </c>
      <c r="BE115" s="3" t="s">
        <v>1381</v>
      </c>
      <c r="BF115" s="119">
        <v>3.2</v>
      </c>
      <c r="BG115" s="49" t="s">
        <v>1287</v>
      </c>
      <c r="BH115" s="49" t="s">
        <v>1384</v>
      </c>
      <c r="BI115" s="1"/>
      <c r="BJ115" s="70" t="s">
        <v>1293</v>
      </c>
      <c r="BK115" s="57" t="s">
        <v>1293</v>
      </c>
      <c r="BL115" s="57" t="s">
        <v>1293</v>
      </c>
      <c r="BM115" s="57" t="s">
        <v>1293</v>
      </c>
      <c r="BN115" s="57" t="s">
        <v>1293</v>
      </c>
      <c r="BO115" s="57" t="s">
        <v>1293</v>
      </c>
      <c r="BP115" s="57" t="s">
        <v>1293</v>
      </c>
      <c r="BQ115" s="57" t="s">
        <v>1293</v>
      </c>
      <c r="BR115" s="57" t="s">
        <v>1293</v>
      </c>
      <c r="BS115" s="57" t="s">
        <v>1293</v>
      </c>
      <c r="BT115" s="57" t="s">
        <v>1293</v>
      </c>
      <c r="BU115" s="57" t="s">
        <v>1293</v>
      </c>
      <c r="BV115" s="70">
        <f t="shared" si="366"/>
        <v>23</v>
      </c>
      <c r="BW115" s="71">
        <f t="shared" si="367"/>
        <v>62</v>
      </c>
      <c r="BX115" s="72">
        <f t="shared" si="368"/>
        <v>66</v>
      </c>
      <c r="BY115" s="71">
        <f t="shared" si="369"/>
        <v>98</v>
      </c>
      <c r="BZ115" s="72">
        <f t="shared" si="370"/>
        <v>102</v>
      </c>
      <c r="CA115" s="71" t="str">
        <f t="shared" si="371"/>
        <v>-</v>
      </c>
      <c r="CB115" s="72">
        <f t="shared" si="372"/>
        <v>146</v>
      </c>
      <c r="CC115" s="71">
        <f t="shared" si="373"/>
        <v>191</v>
      </c>
      <c r="CD115" s="72">
        <f t="shared" si="374"/>
        <v>196</v>
      </c>
      <c r="CE115" s="71">
        <f t="shared" si="375"/>
        <v>271</v>
      </c>
      <c r="CF115" s="72">
        <f t="shared" si="376"/>
        <v>304</v>
      </c>
      <c r="CG115" s="71">
        <f t="shared" si="377"/>
        <v>329</v>
      </c>
      <c r="CH115" s="70">
        <f t="shared" si="378"/>
        <v>61</v>
      </c>
      <c r="CI115" s="71">
        <f t="shared" si="379"/>
        <v>65</v>
      </c>
      <c r="CJ115" s="72">
        <f t="shared" si="380"/>
        <v>96</v>
      </c>
      <c r="CK115" s="72">
        <f t="shared" si="381"/>
        <v>101</v>
      </c>
      <c r="CL115" s="72">
        <f t="shared" si="382"/>
        <v>137</v>
      </c>
      <c r="CM115" s="72" t="str">
        <f t="shared" si="383"/>
        <v>-</v>
      </c>
      <c r="CN115" s="72">
        <f t="shared" si="384"/>
        <v>172</v>
      </c>
      <c r="CO115" s="72">
        <f t="shared" si="385"/>
        <v>193</v>
      </c>
      <c r="CP115" s="72">
        <f t="shared" si="386"/>
        <v>230</v>
      </c>
      <c r="CQ115" s="72">
        <f t="shared" si="387"/>
        <v>299</v>
      </c>
      <c r="CR115" s="72">
        <f t="shared" si="388"/>
        <v>328</v>
      </c>
      <c r="CS115" s="72">
        <f t="shared" si="389"/>
        <v>341</v>
      </c>
      <c r="CT115" s="23">
        <f t="shared" si="390"/>
        <v>1</v>
      </c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/>
      <c r="PD115" s="1"/>
      <c r="PE115" s="1"/>
      <c r="PF115" s="1"/>
      <c r="PG115" s="1"/>
      <c r="PH115" s="1"/>
      <c r="PI115" s="1"/>
      <c r="PJ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1"/>
      <c r="QD115" s="1"/>
      <c r="QE115" s="1"/>
      <c r="QF115" s="1"/>
      <c r="QG115" s="1"/>
      <c r="QH115" s="1"/>
      <c r="QI115" s="1"/>
      <c r="QJ115" s="1"/>
      <c r="QK115" s="1"/>
      <c r="QL115" s="1"/>
      <c r="QM115" s="1"/>
      <c r="QN115" s="1"/>
      <c r="QO115" s="1"/>
      <c r="QP115" s="1"/>
      <c r="QQ115" s="1"/>
      <c r="QR115" s="1"/>
      <c r="QS115" s="1"/>
      <c r="QT115" s="1"/>
      <c r="QU115" s="1"/>
      <c r="QV115" s="1"/>
      <c r="QW115" s="1"/>
      <c r="QX115" s="1"/>
      <c r="QY115" s="1"/>
      <c r="QZ115" s="1"/>
      <c r="RA115" s="1"/>
      <c r="RB115" s="1"/>
      <c r="RC115" s="1"/>
      <c r="RD115" s="1"/>
      <c r="RE115" s="1"/>
      <c r="RF115" s="1"/>
      <c r="RG115" s="1"/>
      <c r="RH115" s="1"/>
      <c r="RI115" s="1"/>
      <c r="RJ115" s="1"/>
      <c r="RK115" s="1"/>
      <c r="RL115" s="1"/>
      <c r="RM115" s="1"/>
      <c r="RN115" s="1"/>
      <c r="RO115" s="1"/>
      <c r="RP115" s="1"/>
      <c r="RQ115" s="1"/>
      <c r="RR115" s="1"/>
      <c r="RS115" s="1"/>
      <c r="RT115" s="1"/>
      <c r="RU115" s="1"/>
      <c r="RV115" s="1"/>
      <c r="RW115" s="1"/>
      <c r="RX115" s="1"/>
      <c r="RY115" s="1"/>
      <c r="RZ115" s="1"/>
      <c r="SA115" s="1"/>
      <c r="SB115" s="1"/>
      <c r="SC115" s="1"/>
      <c r="SD115" s="1"/>
      <c r="SE115" s="1"/>
      <c r="SF115" s="1"/>
      <c r="SG115" s="1"/>
      <c r="SH115" s="1"/>
      <c r="SI115" s="1"/>
      <c r="SJ115" s="1"/>
      <c r="SK115" s="1"/>
      <c r="SL115" s="1"/>
      <c r="SM115" s="1"/>
      <c r="SN115" s="1"/>
      <c r="SO115" s="1"/>
      <c r="SP115" s="1"/>
      <c r="SQ115" s="1"/>
      <c r="SR115" s="1"/>
      <c r="SS115" s="1"/>
      <c r="ST115" s="1"/>
      <c r="SU115" s="1"/>
      <c r="SV115" s="1"/>
      <c r="SW115" s="1"/>
      <c r="SX115" s="1"/>
      <c r="SY115" s="1"/>
      <c r="SZ115" s="1"/>
      <c r="TA115" s="1"/>
      <c r="TB115" s="1"/>
      <c r="TC115" s="1"/>
      <c r="TD115" s="1"/>
      <c r="TE115" s="1"/>
      <c r="TF115" s="1"/>
      <c r="TG115" s="1"/>
      <c r="TH115" s="1"/>
      <c r="TI115" s="1"/>
      <c r="TJ115" s="1"/>
      <c r="TK115" s="1"/>
      <c r="TL115" s="1"/>
      <c r="TM115" s="1"/>
      <c r="TN115" s="1"/>
      <c r="TO115" s="1"/>
      <c r="TP115" s="1"/>
      <c r="TQ115" s="1"/>
      <c r="TR115" s="1"/>
      <c r="TS115" s="1"/>
      <c r="TT115" s="1"/>
      <c r="TU115" s="1"/>
      <c r="TV115" s="1"/>
      <c r="TW115" s="1"/>
      <c r="TX115" s="1"/>
      <c r="TY115" s="1"/>
      <c r="TZ115" s="1"/>
      <c r="UA115" s="1"/>
      <c r="UB115" s="1"/>
      <c r="UC115" s="1"/>
      <c r="UD115" s="1"/>
      <c r="UE115" s="1"/>
      <c r="UF115" s="1"/>
      <c r="UG115" s="1"/>
      <c r="UH115" s="1"/>
      <c r="UI115" s="1"/>
      <c r="UJ115" s="1"/>
      <c r="UK115" s="1"/>
      <c r="UL115" s="1"/>
      <c r="UM115" s="1"/>
      <c r="UN115" s="1"/>
      <c r="UO115" s="1"/>
      <c r="UP115" s="1"/>
      <c r="UQ115" s="1"/>
      <c r="UR115" s="1"/>
      <c r="US115" s="1"/>
      <c r="UT115" s="1"/>
      <c r="UU115" s="1"/>
      <c r="UV115" s="1"/>
      <c r="UW115" s="1"/>
      <c r="UX115" s="1"/>
      <c r="UY115" s="1"/>
      <c r="UZ115" s="1"/>
      <c r="VA115" s="1"/>
      <c r="VB115" s="1"/>
      <c r="VC115" s="1"/>
      <c r="VD115" s="1"/>
      <c r="VE115" s="1"/>
      <c r="VF115" s="1"/>
      <c r="VG115" s="1"/>
      <c r="VH115" s="1"/>
      <c r="VI115" s="1"/>
      <c r="VJ115" s="1"/>
      <c r="VK115" s="1"/>
      <c r="VL115" s="1"/>
      <c r="VM115" s="1"/>
      <c r="VN115" s="1"/>
      <c r="VO115" s="1"/>
      <c r="VP115" s="1"/>
      <c r="VQ115" s="1"/>
      <c r="VR115" s="1"/>
      <c r="VS115" s="1"/>
      <c r="VT115" s="1"/>
      <c r="VU115" s="1"/>
      <c r="VV115" s="1"/>
      <c r="VW115" s="1"/>
      <c r="VX115" s="1"/>
      <c r="VY115" s="1"/>
      <c r="VZ115" s="1"/>
      <c r="WA115" s="1"/>
      <c r="WB115" s="1"/>
      <c r="WC115" s="1"/>
      <c r="WD115" s="1"/>
      <c r="WE115" s="1"/>
      <c r="WF115" s="1"/>
      <c r="WG115" s="1"/>
      <c r="WH115" s="1"/>
      <c r="WI115" s="1"/>
      <c r="WJ115" s="1"/>
      <c r="WK115" s="1"/>
      <c r="WL115" s="1"/>
      <c r="WM115" s="1"/>
      <c r="WN115" s="1"/>
      <c r="WO115" s="1"/>
      <c r="WP115" s="1"/>
      <c r="WQ115" s="1"/>
      <c r="WR115" s="1"/>
      <c r="WS115" s="1"/>
      <c r="WT115" s="1"/>
      <c r="WU115" s="1"/>
      <c r="WV115" s="1"/>
      <c r="WW115" s="1"/>
      <c r="WX115" s="1"/>
      <c r="WY115" s="1"/>
      <c r="WZ115" s="1"/>
      <c r="XA115" s="1"/>
      <c r="XB115" s="1"/>
      <c r="XC115" s="1"/>
      <c r="XD115" s="1"/>
      <c r="XE115" s="1"/>
      <c r="XF115" s="1"/>
      <c r="XG115" s="1"/>
      <c r="XH115" s="1"/>
      <c r="XI115" s="1"/>
      <c r="XJ115" s="1"/>
      <c r="XK115" s="1"/>
      <c r="XL115" s="1"/>
      <c r="XM115" s="1"/>
      <c r="XN115" s="1"/>
      <c r="XO115" s="1"/>
      <c r="XP115" s="1"/>
      <c r="XQ115" s="1"/>
      <c r="XR115" s="1"/>
      <c r="XS115" s="1"/>
      <c r="XT115" s="1"/>
      <c r="XU115" s="1"/>
      <c r="XV115" s="1"/>
      <c r="XW115" s="1"/>
      <c r="XX115" s="1"/>
      <c r="XY115" s="1"/>
      <c r="XZ115" s="1"/>
      <c r="YA115" s="1"/>
      <c r="YB115" s="1"/>
      <c r="YC115" s="1"/>
      <c r="YD115" s="1"/>
      <c r="YE115" s="1"/>
      <c r="YF115" s="1"/>
      <c r="YG115" s="1"/>
      <c r="YH115" s="1"/>
      <c r="YI115" s="1"/>
      <c r="YJ115" s="1"/>
      <c r="YK115" s="1"/>
      <c r="YL115" s="1"/>
      <c r="YM115" s="1"/>
      <c r="YN115" s="1"/>
      <c r="YO115" s="1"/>
      <c r="YP115" s="1"/>
      <c r="YQ115" s="1"/>
      <c r="YR115" s="1"/>
      <c r="YS115" s="1"/>
      <c r="YT115" s="1"/>
      <c r="YU115" s="1"/>
      <c r="YV115" s="1"/>
      <c r="YW115" s="1"/>
      <c r="YX115" s="1"/>
      <c r="YY115" s="1"/>
      <c r="YZ115" s="1"/>
      <c r="ZA115" s="1"/>
      <c r="ZB115" s="1"/>
      <c r="ZC115" s="1"/>
      <c r="ZD115" s="1"/>
      <c r="ZE115" s="1"/>
      <c r="ZF115" s="1"/>
      <c r="ZG115" s="1"/>
      <c r="ZH115" s="1"/>
      <c r="ZI115" s="1"/>
      <c r="ZJ115" s="1"/>
      <c r="ZK115" s="1"/>
      <c r="ZL115" s="1"/>
      <c r="ZM115" s="1"/>
      <c r="ZN115" s="1"/>
      <c r="ZO115" s="1"/>
      <c r="ZP115" s="1"/>
      <c r="ZQ115" s="1"/>
      <c r="ZR115" s="1"/>
      <c r="ZS115" s="1"/>
      <c r="ZT115" s="1"/>
      <c r="ZU115" s="1"/>
      <c r="ZV115" s="1"/>
      <c r="ZW115" s="1"/>
      <c r="ZX115" s="1"/>
      <c r="ZY115" s="1"/>
      <c r="ZZ115" s="1"/>
      <c r="AAA115" s="1"/>
      <c r="AAB115" s="1"/>
      <c r="AAC115" s="1"/>
      <c r="AAD115" s="1"/>
      <c r="AAE115" s="1"/>
      <c r="AAF115" s="1"/>
      <c r="AAG115" s="1"/>
      <c r="AAH115" s="1"/>
      <c r="AAI115" s="1"/>
      <c r="AAJ115" s="1"/>
      <c r="AAK115" s="1"/>
      <c r="AAL115" s="1"/>
      <c r="AAM115" s="1"/>
      <c r="AAN115" s="1"/>
      <c r="AAO115" s="1"/>
      <c r="AAP115" s="1"/>
      <c r="AAQ115" s="1"/>
      <c r="AAR115" s="1"/>
      <c r="AAS115" s="1"/>
      <c r="AAT115" s="1"/>
      <c r="AAU115" s="1"/>
      <c r="AAV115" s="1"/>
      <c r="AAW115" s="1"/>
      <c r="AAX115" s="1"/>
      <c r="AAY115" s="1"/>
      <c r="AAZ115" s="1"/>
      <c r="ABA115" s="1"/>
      <c r="ABB115" s="1"/>
      <c r="ABC115" s="1"/>
      <c r="ABD115" s="1"/>
      <c r="ABE115" s="1"/>
      <c r="ABF115" s="1"/>
      <c r="ABG115" s="1"/>
      <c r="ABH115" s="1"/>
      <c r="ABI115" s="1"/>
      <c r="ABJ115" s="1"/>
      <c r="ABK115" s="1"/>
      <c r="ABL115" s="1"/>
      <c r="ABM115" s="1"/>
      <c r="ABN115" s="1"/>
      <c r="ABO115" s="1"/>
      <c r="ABP115" s="1"/>
      <c r="ABQ115" s="1"/>
      <c r="ABR115" s="1"/>
      <c r="ABS115" s="1"/>
      <c r="ABT115" s="1"/>
      <c r="ABU115" s="1"/>
      <c r="ABV115" s="1"/>
      <c r="ABW115" s="1"/>
      <c r="ABX115" s="1"/>
      <c r="ABY115" s="1"/>
      <c r="ABZ115" s="1"/>
      <c r="ACA115" s="1"/>
      <c r="ACB115" s="1"/>
      <c r="ACC115" s="1"/>
      <c r="ACD115" s="1"/>
      <c r="ACE115" s="1"/>
      <c r="ACF115" s="1"/>
      <c r="ACG115" s="1"/>
      <c r="ACH115" s="1"/>
      <c r="ACI115" s="1"/>
      <c r="ACJ115" s="1"/>
      <c r="ACK115" s="1"/>
      <c r="ACL115" s="1"/>
      <c r="ACM115" s="1"/>
      <c r="ACN115" s="1"/>
      <c r="ACO115" s="1"/>
      <c r="ACP115" s="1"/>
      <c r="ACQ115" s="1"/>
      <c r="ACR115" s="1"/>
      <c r="ACS115" s="1"/>
      <c r="ACT115" s="1"/>
      <c r="ACU115" s="1"/>
      <c r="ACV115" s="1"/>
      <c r="ACW115" s="1"/>
      <c r="ACX115" s="1"/>
      <c r="ACY115" s="1"/>
      <c r="ACZ115" s="1"/>
      <c r="ADA115" s="1"/>
      <c r="ADB115" s="1"/>
      <c r="ADC115" s="1"/>
      <c r="ADD115" s="1"/>
      <c r="ADE115" s="1"/>
      <c r="ADF115" s="1"/>
      <c r="ADG115" s="1"/>
      <c r="ADH115" s="1"/>
      <c r="ADI115" s="1"/>
      <c r="ADJ115" s="1"/>
      <c r="ADK115" s="1"/>
      <c r="ADL115" s="1"/>
      <c r="ADM115" s="1"/>
      <c r="ADN115" s="1"/>
      <c r="ADO115" s="1"/>
      <c r="ADP115" s="1"/>
      <c r="ADQ115" s="1"/>
      <c r="ADR115" s="1"/>
      <c r="ADS115" s="1"/>
      <c r="ADT115" s="1"/>
      <c r="ADU115" s="1"/>
      <c r="ADV115" s="1"/>
      <c r="ADW115" s="1"/>
      <c r="ADX115" s="1"/>
      <c r="ADY115" s="1"/>
      <c r="ADZ115" s="1"/>
      <c r="AEA115" s="1"/>
      <c r="AEB115" s="1"/>
      <c r="AEC115" s="1"/>
      <c r="AED115" s="1"/>
      <c r="AEE115" s="1"/>
      <c r="AEF115" s="1"/>
      <c r="AEG115" s="1"/>
      <c r="AEH115" s="1"/>
      <c r="AEI115" s="1"/>
      <c r="AEJ115" s="1"/>
      <c r="AEK115" s="1"/>
      <c r="AEL115" s="1"/>
      <c r="AEM115" s="1"/>
      <c r="AEN115" s="1"/>
      <c r="AEO115" s="1"/>
      <c r="AEP115" s="1"/>
      <c r="AEQ115" s="1"/>
      <c r="AER115" s="1"/>
      <c r="AES115" s="1"/>
      <c r="AET115" s="1"/>
      <c r="AEU115" s="1"/>
      <c r="AEV115" s="1"/>
      <c r="AEW115" s="1"/>
      <c r="AEX115" s="1"/>
      <c r="AEY115" s="1"/>
      <c r="AEZ115" s="1"/>
      <c r="AFA115" s="1"/>
      <c r="AFB115" s="1"/>
      <c r="AFC115" s="1"/>
      <c r="AFD115" s="1"/>
      <c r="AFE115" s="1"/>
      <c r="AFF115" s="1"/>
      <c r="AFG115" s="1"/>
      <c r="AFH115" s="1"/>
      <c r="AFI115" s="1"/>
      <c r="AFJ115" s="1"/>
      <c r="AFK115" s="1"/>
      <c r="AFL115" s="1"/>
      <c r="AFM115" s="1"/>
      <c r="AFN115" s="1"/>
      <c r="AFO115" s="1"/>
      <c r="AFP115" s="1"/>
      <c r="AFQ115" s="1"/>
      <c r="AFR115" s="1"/>
      <c r="AFS115" s="1"/>
      <c r="AFT115" s="1"/>
      <c r="AFU115" s="1"/>
      <c r="AFV115" s="1"/>
      <c r="AFW115" s="1"/>
      <c r="AFX115" s="1"/>
      <c r="AFY115" s="1"/>
      <c r="AFZ115" s="1"/>
      <c r="AGA115" s="1"/>
      <c r="AGB115" s="1"/>
      <c r="AGC115" s="1"/>
      <c r="AGD115" s="1"/>
      <c r="AGE115" s="1"/>
      <c r="AGF115" s="1"/>
      <c r="AGG115" s="1"/>
      <c r="AGH115" s="1"/>
      <c r="AGI115" s="1"/>
      <c r="AGJ115" s="1"/>
      <c r="AGK115" s="1"/>
      <c r="AGL115" s="1"/>
      <c r="AGM115" s="1"/>
      <c r="AGN115" s="1"/>
      <c r="AGO115" s="1"/>
      <c r="AGP115" s="1"/>
      <c r="AGQ115" s="1"/>
      <c r="AGR115" s="1"/>
      <c r="AGS115" s="1"/>
      <c r="AGT115" s="1"/>
      <c r="AGU115" s="1"/>
      <c r="AGV115" s="1"/>
      <c r="AGW115" s="1"/>
      <c r="AGX115" s="1"/>
      <c r="AGY115" s="1"/>
      <c r="AGZ115" s="1"/>
      <c r="AHA115" s="1"/>
      <c r="AHB115" s="1"/>
      <c r="AHC115" s="1"/>
      <c r="AHD115" s="1"/>
      <c r="AHE115" s="1"/>
      <c r="AHF115" s="1"/>
      <c r="AHG115" s="1"/>
      <c r="AHH115" s="1"/>
      <c r="AHI115" s="1"/>
      <c r="AHJ115" s="1"/>
      <c r="AHK115" s="1"/>
      <c r="AHL115" s="1"/>
      <c r="AHM115" s="1"/>
      <c r="AHN115" s="1"/>
      <c r="AHO115" s="1"/>
      <c r="AHP115" s="1"/>
      <c r="AHQ115" s="1"/>
      <c r="AHR115" s="1"/>
      <c r="AHS115" s="1"/>
      <c r="AHT115" s="1"/>
      <c r="AHU115" s="1"/>
      <c r="AHV115" s="1"/>
      <c r="AHW115" s="1"/>
      <c r="AHX115" s="1"/>
      <c r="AHY115" s="1"/>
      <c r="AHZ115" s="1"/>
      <c r="AIA115" s="1"/>
      <c r="AIB115" s="1"/>
      <c r="AIC115" s="1"/>
      <c r="AID115" s="1"/>
      <c r="AIE115" s="1"/>
      <c r="AIF115" s="1"/>
      <c r="AIG115" s="1"/>
      <c r="AIH115" s="1"/>
      <c r="AII115" s="1"/>
      <c r="AIJ115" s="1"/>
      <c r="AIK115" s="1"/>
      <c r="AIL115" s="1"/>
      <c r="AIM115" s="1"/>
      <c r="AIN115" s="1"/>
      <c r="AIO115" s="1"/>
      <c r="AIP115" s="1"/>
      <c r="AIQ115" s="1"/>
      <c r="AIR115" s="1"/>
      <c r="AIS115" s="1"/>
      <c r="AIT115" s="1"/>
      <c r="AIU115" s="1"/>
      <c r="AIV115" s="1"/>
      <c r="AIW115" s="1"/>
      <c r="AIX115" s="1"/>
      <c r="AIY115" s="1"/>
      <c r="AIZ115" s="1"/>
      <c r="AJA115" s="1"/>
      <c r="AJB115" s="1"/>
      <c r="AJC115" s="1"/>
      <c r="AJD115" s="1"/>
      <c r="AJE115" s="1"/>
      <c r="AJF115" s="1"/>
      <c r="AJG115" s="1"/>
      <c r="AJH115" s="1"/>
      <c r="AJI115" s="1"/>
      <c r="AJJ115" s="1"/>
      <c r="AJK115" s="1"/>
      <c r="AJL115" s="1"/>
      <c r="AJM115" s="1"/>
      <c r="AJN115" s="1"/>
      <c r="AJO115" s="1"/>
      <c r="AJP115" s="1"/>
      <c r="AJQ115" s="1"/>
      <c r="AJR115" s="1"/>
      <c r="AJS115" s="1"/>
      <c r="AJT115" s="1"/>
      <c r="AJU115" s="1"/>
      <c r="AJV115" s="1"/>
      <c r="AJW115" s="1"/>
      <c r="AJX115" s="1"/>
      <c r="AJY115" s="1"/>
      <c r="AJZ115" s="1"/>
      <c r="AKA115" s="1"/>
      <c r="AKB115" s="1"/>
      <c r="AKC115" s="1"/>
      <c r="AKD115" s="1"/>
      <c r="AKE115" s="1"/>
      <c r="AKF115" s="1"/>
      <c r="AKG115" s="1"/>
      <c r="AKH115" s="1"/>
      <c r="AKI115" s="1"/>
      <c r="AKJ115" s="1"/>
      <c r="AKK115" s="1"/>
      <c r="AKL115" s="1"/>
      <c r="AKM115" s="1"/>
      <c r="AKN115" s="1"/>
      <c r="AKO115" s="1"/>
      <c r="AKP115" s="1"/>
      <c r="AKQ115" s="1"/>
      <c r="AKR115" s="1"/>
      <c r="AKS115" s="1"/>
      <c r="AKT115" s="1"/>
      <c r="AKU115" s="1"/>
      <c r="AKV115" s="1"/>
      <c r="AKW115" s="1"/>
      <c r="AKX115" s="1"/>
      <c r="AKY115" s="1"/>
      <c r="AKZ115" s="1"/>
      <c r="ALA115" s="1"/>
      <c r="ALB115" s="1"/>
      <c r="ALC115" s="1"/>
      <c r="ALD115" s="1"/>
      <c r="ALE115" s="1"/>
      <c r="ALF115" s="1"/>
      <c r="ALG115" s="1"/>
      <c r="ALH115" s="1"/>
      <c r="ALI115" s="1"/>
      <c r="ALJ115" s="1"/>
      <c r="ALK115" s="1"/>
      <c r="ALL115" s="1"/>
      <c r="ALM115" s="1"/>
      <c r="ALN115" s="1"/>
      <c r="ALO115" s="1"/>
      <c r="ALP115" s="1"/>
      <c r="ALQ115" s="1"/>
      <c r="ALR115" s="1"/>
      <c r="ALS115" s="1"/>
      <c r="ALT115" s="1"/>
      <c r="ALU115" s="1"/>
      <c r="ALV115" s="1"/>
      <c r="ALW115" s="1"/>
      <c r="ALX115" s="1"/>
      <c r="ALY115" s="1"/>
      <c r="ALZ115" s="1"/>
      <c r="AMA115" s="1"/>
      <c r="AMB115" s="1"/>
      <c r="AMC115" s="1"/>
      <c r="AMD115" s="1"/>
      <c r="AME115" s="1"/>
      <c r="AMF115" s="1"/>
      <c r="AMG115" s="1"/>
      <c r="AMH115" s="1"/>
      <c r="AMI115" s="1"/>
      <c r="AMJ115" s="1"/>
      <c r="AMK115" s="1"/>
      <c r="AML115" s="1"/>
      <c r="AMM115" s="1"/>
      <c r="AMN115" s="1"/>
      <c r="AMO115" s="1"/>
    </row>
    <row r="116" spans="1:1029" x14ac:dyDescent="0.2">
      <c r="A116" s="3" t="str">
        <f>CONCATENATE(B116,"_",C116)</f>
        <v>adrb2_human_5X7D</v>
      </c>
      <c r="B116" s="3" t="s">
        <v>126</v>
      </c>
      <c r="C116" s="3" t="s">
        <v>1448</v>
      </c>
      <c r="D116" s="3" t="str">
        <f>IFERROR(MID(VLOOKUP($B116,Seqs!$A:$B,2,0),E116,1),"")</f>
        <v>V</v>
      </c>
      <c r="E116" s="3">
        <v>33</v>
      </c>
      <c r="F116" s="3" t="str">
        <f>IFERROR(MID(VLOOKUP($B116,Seqs!$A:$B,2,0),G116,1),"")</f>
        <v>F</v>
      </c>
      <c r="G116" s="3">
        <v>61</v>
      </c>
      <c r="H116" s="3" t="str">
        <f>IFERROR(MID(VLOOKUP($B116,Seqs!$A:$B,2,0),I116,1),"")</f>
        <v>E</v>
      </c>
      <c r="I116" s="23">
        <v>62</v>
      </c>
      <c r="J116" s="3" t="str">
        <f>IFERROR(MID(VLOOKUP($B116,Seqs!$A:$B,2,0),K116,1),"")</f>
        <v>Q</v>
      </c>
      <c r="K116" s="23">
        <v>65</v>
      </c>
      <c r="L116" s="3" t="str">
        <f>IFERROR(MID(VLOOKUP($B116,Seqs!$A:$B,2,0),M116,1),"")</f>
        <v>T</v>
      </c>
      <c r="M116" s="3">
        <v>66</v>
      </c>
      <c r="N116" s="3" t="str">
        <f>IFERROR(MID(VLOOKUP($B116,Seqs!$A:$B,2,0),O116,1),"")</f>
        <v>M</v>
      </c>
      <c r="O116" s="3">
        <v>96</v>
      </c>
      <c r="P116" s="3" t="str">
        <f>IFERROR(MID(VLOOKUP($B116,Seqs!$A:$B,2,0),Q116,1),"")</f>
        <v>M</v>
      </c>
      <c r="Q116" s="3">
        <v>98</v>
      </c>
      <c r="R116" s="3" t="str">
        <f>IFERROR(MID(VLOOKUP($B116,Seqs!$A:$B,2,0),S116,1),"")</f>
        <v>F</v>
      </c>
      <c r="S116" s="3">
        <v>101</v>
      </c>
      <c r="T116" s="3" t="str">
        <f>IFERROR(MID(VLOOKUP($B116,Seqs!$A:$B,2,0),U116,1),"")</f>
        <v>G</v>
      </c>
      <c r="U116" s="3">
        <v>102</v>
      </c>
      <c r="V116" s="3" t="str">
        <f>IFERROR(MID(VLOOKUP($B116,Seqs!$A:$B,2,0),W116,1),"")</f>
        <v>T</v>
      </c>
      <c r="W116" s="3">
        <v>136</v>
      </c>
      <c r="X116" s="3" t="str">
        <f>IFERROR(MID(VLOOKUP($B116,Seqs!$A:$B,2,0),Y116,1),"")</f>
        <v/>
      </c>
      <c r="Y116" s="3" t="s">
        <v>23</v>
      </c>
      <c r="Z116" s="3" t="str">
        <f>IFERROR(MID(VLOOKUP($B116,Seqs!$A:$B,2,0),AA116,1),"")</f>
        <v/>
      </c>
      <c r="AA116" s="3" t="s">
        <v>23</v>
      </c>
      <c r="AB116" s="3" t="str">
        <f>IFERROR(MID(VLOOKUP($B116,Seqs!$A:$B,2,0),AC116,1),"")</f>
        <v>T</v>
      </c>
      <c r="AC116" s="3">
        <v>146</v>
      </c>
      <c r="AD116" s="3" t="str">
        <f>IFERROR(MID(VLOOKUP($B116,Seqs!$A:$B,2,0),AE116,1),"")</f>
        <v>H</v>
      </c>
      <c r="AE116" s="3">
        <v>172</v>
      </c>
      <c r="AF116" s="3" t="str">
        <f>IFERROR(MID(VLOOKUP($B116,Seqs!$A:$B,2,0),AG116,1),"")</f>
        <v>C</v>
      </c>
      <c r="AG116" s="3">
        <v>191</v>
      </c>
      <c r="AH116" s="3" t="str">
        <f>IFERROR(MID(VLOOKUP($B116,Seqs!$A:$B,2,0),AI116,1),"")</f>
        <v>F</v>
      </c>
      <c r="AI116" s="3">
        <v>193</v>
      </c>
      <c r="AJ116" s="3" t="str">
        <f>IFERROR(MID(VLOOKUP($B116,Seqs!$A:$B,2,0),AK116,1),"")</f>
        <v>N</v>
      </c>
      <c r="AK116" s="3">
        <v>196</v>
      </c>
      <c r="AL116" s="3" t="str">
        <f>IFERROR(MID(VLOOKUP($B116,Seqs!$A:$B,2,0),AM116,1),"")</f>
        <v>L</v>
      </c>
      <c r="AM116" s="3">
        <v>230</v>
      </c>
      <c r="AN116" s="3" t="str">
        <f>IFERROR(MID(VLOOKUP($B116,Seqs!$A:$B,2,0),AO116,1),"")</f>
        <v>A</v>
      </c>
      <c r="AO116" s="3">
        <v>271</v>
      </c>
      <c r="AP116" s="3" t="str">
        <f>IFERROR(MID(VLOOKUP($B116,Seqs!$A:$B,2,0),AQ116,1),"")</f>
        <v>Q</v>
      </c>
      <c r="AQ116" s="3">
        <v>299</v>
      </c>
      <c r="AR116" s="3" t="str">
        <f>IFERROR(MID(VLOOKUP($B116,Seqs!$A:$B,2,0),AS116,1),"")</f>
        <v>R</v>
      </c>
      <c r="AS116" s="3">
        <v>304</v>
      </c>
      <c r="AT116" s="3" t="str">
        <f>IFERROR(MID(VLOOKUP($B116,Seqs!$A:$B,2,0),AU116,1),"")</f>
        <v>R</v>
      </c>
      <c r="AU116" s="3">
        <v>328</v>
      </c>
      <c r="AV116" s="3" t="str">
        <f>IFERROR(MID(VLOOKUP($B116,Seqs!$A:$B,2,0),AW116,1),"")</f>
        <v>S</v>
      </c>
      <c r="AW116" s="3">
        <v>329</v>
      </c>
      <c r="AX116" s="3" t="str">
        <f>IFERROR(MID(VLOOKUP($B116,Seqs!$A:$B,2,0),AY116,1),"")</f>
        <v>C</v>
      </c>
      <c r="AY116" s="3">
        <v>341</v>
      </c>
      <c r="AZ116" s="77" t="str">
        <f>VLOOKUP(B116,Classification!A:D,2,0)</f>
        <v>A</v>
      </c>
      <c r="BA116" s="94" t="str">
        <f>VLOOKUP(B116,Classification!A:D,4,0)</f>
        <v>Adrenoceptors</v>
      </c>
      <c r="BB116" s="27" t="b">
        <f>AND(E116&lt;G116,OR(G116&lt;I116,I116="-"),OR(I116&lt;K116,I116="-"),OR(K116&lt;M116,K116="-"),M116&lt;O116,OR(O116&lt;Q116,Q116="-"),OR(Q116&lt;S116,Q116="-"),OR(S116&lt;U116,S116="-"),U116&lt;W116,OR(W116&lt;Y116,Y116="-"),OR(Y116&lt;AA116,Y116="-"),OR(AA116&lt;AC116,AA116="-"),AC116&lt;AE116,OR(AE116&lt;AG116,AG116="-"),OR(AG116&lt;AI116,AG116="-"),OR(AI116&lt;AK116,AI116="-"),AK116&lt;AM116,AM116&lt;AO116,AO116&lt;AQ116,AQ116&lt;AS116,AS116&lt;AU116,OR(AU116&lt;AW116,AW116="-"),OR(AW116&lt;AY116,AW116="-"))</f>
        <v>1</v>
      </c>
      <c r="BC116" s="23">
        <f>_xlfn.AGGREGATE(9,6,CH116:CS116)-_xlfn.AGGREGATE(9,6,BV116:CG116)+12</f>
        <v>236</v>
      </c>
      <c r="BD116" s="74" t="s">
        <v>23</v>
      </c>
      <c r="BE116" s="3" t="s">
        <v>1381</v>
      </c>
      <c r="BF116" s="119">
        <v>4.2</v>
      </c>
      <c r="BG116" s="49" t="s">
        <v>1287</v>
      </c>
      <c r="BH116" s="49" t="s">
        <v>1384</v>
      </c>
      <c r="BI116" s="1"/>
      <c r="BJ116" s="70" t="s">
        <v>1293</v>
      </c>
      <c r="BK116" s="57" t="s">
        <v>1293</v>
      </c>
      <c r="BL116" s="57" t="s">
        <v>1293</v>
      </c>
      <c r="BM116" s="57" t="s">
        <v>1293</v>
      </c>
      <c r="BN116" s="57" t="s">
        <v>1293</v>
      </c>
      <c r="BO116" s="57" t="s">
        <v>1293</v>
      </c>
      <c r="BP116" s="57" t="s">
        <v>1293</v>
      </c>
      <c r="BQ116" s="57" t="s">
        <v>1293</v>
      </c>
      <c r="BR116" s="57" t="s">
        <v>1293</v>
      </c>
      <c r="BS116" s="57" t="s">
        <v>1293</v>
      </c>
      <c r="BT116" s="57" t="s">
        <v>1293</v>
      </c>
      <c r="BU116" s="57" t="s">
        <v>1293</v>
      </c>
      <c r="BV116" s="70">
        <f>E116</f>
        <v>33</v>
      </c>
      <c r="BW116" s="71">
        <f>I116</f>
        <v>62</v>
      </c>
      <c r="BX116" s="72">
        <f>M116</f>
        <v>66</v>
      </c>
      <c r="BY116" s="71">
        <f>Q116</f>
        <v>98</v>
      </c>
      <c r="BZ116" s="72">
        <f>U116</f>
        <v>102</v>
      </c>
      <c r="CA116" s="71" t="str">
        <f>Y116</f>
        <v>-</v>
      </c>
      <c r="CB116" s="72">
        <f>AC116</f>
        <v>146</v>
      </c>
      <c r="CC116" s="71">
        <f>AG116</f>
        <v>191</v>
      </c>
      <c r="CD116" s="72">
        <f>AK116</f>
        <v>196</v>
      </c>
      <c r="CE116" s="71">
        <f>AO116</f>
        <v>271</v>
      </c>
      <c r="CF116" s="72">
        <f>AS116</f>
        <v>304</v>
      </c>
      <c r="CG116" s="71">
        <f>AW116</f>
        <v>329</v>
      </c>
      <c r="CH116" s="70">
        <f>G116</f>
        <v>61</v>
      </c>
      <c r="CI116" s="71">
        <f>K116</f>
        <v>65</v>
      </c>
      <c r="CJ116" s="72">
        <f>O116</f>
        <v>96</v>
      </c>
      <c r="CK116" s="72">
        <f>S116</f>
        <v>101</v>
      </c>
      <c r="CL116" s="72">
        <f>W116</f>
        <v>136</v>
      </c>
      <c r="CM116" s="72" t="str">
        <f>AA116</f>
        <v>-</v>
      </c>
      <c r="CN116" s="72">
        <f>AE116</f>
        <v>172</v>
      </c>
      <c r="CO116" s="72">
        <f>AI116</f>
        <v>193</v>
      </c>
      <c r="CP116" s="72">
        <f>AM116</f>
        <v>230</v>
      </c>
      <c r="CQ116" s="72">
        <f>AQ116</f>
        <v>299</v>
      </c>
      <c r="CR116" s="72">
        <f>AU116</f>
        <v>328</v>
      </c>
      <c r="CS116" s="72">
        <f>AY116</f>
        <v>341</v>
      </c>
      <c r="CT116" s="23">
        <f>M116-K116</f>
        <v>1</v>
      </c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1"/>
      <c r="SE116" s="1"/>
      <c r="SF116" s="1"/>
      <c r="SG116" s="1"/>
      <c r="SH116" s="1"/>
      <c r="SI116" s="1"/>
      <c r="SJ116" s="1"/>
      <c r="SK116" s="1"/>
      <c r="SL116" s="1"/>
      <c r="SM116" s="1"/>
      <c r="SN116" s="1"/>
      <c r="SO116" s="1"/>
      <c r="SP116" s="1"/>
      <c r="SQ116" s="1"/>
      <c r="SR116" s="1"/>
      <c r="SS116" s="1"/>
      <c r="ST116" s="1"/>
      <c r="SU116" s="1"/>
      <c r="SV116" s="1"/>
      <c r="SW116" s="1"/>
      <c r="SX116" s="1"/>
      <c r="SY116" s="1"/>
      <c r="SZ116" s="1"/>
      <c r="TA116" s="1"/>
      <c r="TB116" s="1"/>
      <c r="TC116" s="1"/>
      <c r="TD116" s="1"/>
      <c r="TE116" s="1"/>
      <c r="TF116" s="1"/>
      <c r="TG116" s="1"/>
      <c r="TH116" s="1"/>
      <c r="TI116" s="1"/>
      <c r="TJ116" s="1"/>
      <c r="TK116" s="1"/>
      <c r="TL116" s="1"/>
      <c r="TM116" s="1"/>
      <c r="TN116" s="1"/>
      <c r="TO116" s="1"/>
      <c r="TP116" s="1"/>
      <c r="TQ116" s="1"/>
      <c r="TR116" s="1"/>
      <c r="TS116" s="1"/>
      <c r="TT116" s="1"/>
      <c r="TU116" s="1"/>
      <c r="TV116" s="1"/>
      <c r="TW116" s="1"/>
      <c r="TX116" s="1"/>
      <c r="TY116" s="1"/>
      <c r="TZ116" s="1"/>
      <c r="UA116" s="1"/>
      <c r="UB116" s="1"/>
      <c r="UC116" s="1"/>
      <c r="UD116" s="1"/>
      <c r="UE116" s="1"/>
      <c r="UF116" s="1"/>
      <c r="UG116" s="1"/>
      <c r="UH116" s="1"/>
      <c r="UI116" s="1"/>
      <c r="UJ116" s="1"/>
      <c r="UK116" s="1"/>
      <c r="UL116" s="1"/>
      <c r="UM116" s="1"/>
      <c r="UN116" s="1"/>
      <c r="UO116" s="1"/>
      <c r="UP116" s="1"/>
      <c r="UQ116" s="1"/>
      <c r="UR116" s="1"/>
      <c r="US116" s="1"/>
      <c r="UT116" s="1"/>
      <c r="UU116" s="1"/>
      <c r="UV116" s="1"/>
      <c r="UW116" s="1"/>
      <c r="UX116" s="1"/>
      <c r="UY116" s="1"/>
      <c r="UZ116" s="1"/>
      <c r="VA116" s="1"/>
      <c r="VB116" s="1"/>
      <c r="VC116" s="1"/>
      <c r="VD116" s="1"/>
      <c r="VE116" s="1"/>
      <c r="VF116" s="1"/>
      <c r="VG116" s="1"/>
      <c r="VH116" s="1"/>
      <c r="VI116" s="1"/>
      <c r="VJ116" s="1"/>
      <c r="VK116" s="1"/>
      <c r="VL116" s="1"/>
      <c r="VM116" s="1"/>
      <c r="VN116" s="1"/>
      <c r="VO116" s="1"/>
      <c r="VP116" s="1"/>
      <c r="VQ116" s="1"/>
      <c r="VR116" s="1"/>
      <c r="VS116" s="1"/>
      <c r="VT116" s="1"/>
      <c r="VU116" s="1"/>
      <c r="VV116" s="1"/>
      <c r="VW116" s="1"/>
      <c r="VX116" s="1"/>
      <c r="VY116" s="1"/>
      <c r="VZ116" s="1"/>
      <c r="WA116" s="1"/>
      <c r="WB116" s="1"/>
      <c r="WC116" s="1"/>
      <c r="WD116" s="1"/>
      <c r="WE116" s="1"/>
      <c r="WF116" s="1"/>
      <c r="WG116" s="1"/>
      <c r="WH116" s="1"/>
      <c r="WI116" s="1"/>
      <c r="WJ116" s="1"/>
      <c r="WK116" s="1"/>
      <c r="WL116" s="1"/>
      <c r="WM116" s="1"/>
      <c r="WN116" s="1"/>
      <c r="WO116" s="1"/>
      <c r="WP116" s="1"/>
      <c r="WQ116" s="1"/>
      <c r="WR116" s="1"/>
      <c r="WS116" s="1"/>
      <c r="WT116" s="1"/>
      <c r="WU116" s="1"/>
      <c r="WV116" s="1"/>
      <c r="WW116" s="1"/>
      <c r="WX116" s="1"/>
      <c r="WY116" s="1"/>
      <c r="WZ116" s="1"/>
      <c r="XA116" s="1"/>
      <c r="XB116" s="1"/>
      <c r="XC116" s="1"/>
      <c r="XD116" s="1"/>
      <c r="XE116" s="1"/>
      <c r="XF116" s="1"/>
      <c r="XG116" s="1"/>
      <c r="XH116" s="1"/>
      <c r="XI116" s="1"/>
      <c r="XJ116" s="1"/>
      <c r="XK116" s="1"/>
      <c r="XL116" s="1"/>
      <c r="XM116" s="1"/>
      <c r="XN116" s="1"/>
      <c r="XO116" s="1"/>
      <c r="XP116" s="1"/>
      <c r="XQ116" s="1"/>
      <c r="XR116" s="1"/>
      <c r="XS116" s="1"/>
      <c r="XT116" s="1"/>
      <c r="XU116" s="1"/>
      <c r="XV116" s="1"/>
      <c r="XW116" s="1"/>
      <c r="XX116" s="1"/>
      <c r="XY116" s="1"/>
      <c r="XZ116" s="1"/>
      <c r="YA116" s="1"/>
      <c r="YB116" s="1"/>
      <c r="YC116" s="1"/>
      <c r="YD116" s="1"/>
      <c r="YE116" s="1"/>
      <c r="YF116" s="1"/>
      <c r="YG116" s="1"/>
      <c r="YH116" s="1"/>
      <c r="YI116" s="1"/>
      <c r="YJ116" s="1"/>
      <c r="YK116" s="1"/>
      <c r="YL116" s="1"/>
      <c r="YM116" s="1"/>
      <c r="YN116" s="1"/>
      <c r="YO116" s="1"/>
      <c r="YP116" s="1"/>
      <c r="YQ116" s="1"/>
      <c r="YR116" s="1"/>
      <c r="YS116" s="1"/>
      <c r="YT116" s="1"/>
      <c r="YU116" s="1"/>
      <c r="YV116" s="1"/>
      <c r="YW116" s="1"/>
      <c r="YX116" s="1"/>
      <c r="YY116" s="1"/>
      <c r="YZ116" s="1"/>
      <c r="ZA116" s="1"/>
      <c r="ZB116" s="1"/>
      <c r="ZC116" s="1"/>
      <c r="ZD116" s="1"/>
      <c r="ZE116" s="1"/>
      <c r="ZF116" s="1"/>
      <c r="ZG116" s="1"/>
      <c r="ZH116" s="1"/>
      <c r="ZI116" s="1"/>
      <c r="ZJ116" s="1"/>
      <c r="ZK116" s="1"/>
      <c r="ZL116" s="1"/>
      <c r="ZM116" s="1"/>
      <c r="ZN116" s="1"/>
      <c r="ZO116" s="1"/>
      <c r="ZP116" s="1"/>
      <c r="ZQ116" s="1"/>
      <c r="ZR116" s="1"/>
      <c r="ZS116" s="1"/>
      <c r="ZT116" s="1"/>
      <c r="ZU116" s="1"/>
      <c r="ZV116" s="1"/>
      <c r="ZW116" s="1"/>
      <c r="ZX116" s="1"/>
      <c r="ZY116" s="1"/>
      <c r="ZZ116" s="1"/>
      <c r="AAA116" s="1"/>
      <c r="AAB116" s="1"/>
      <c r="AAC116" s="1"/>
      <c r="AAD116" s="1"/>
      <c r="AAE116" s="1"/>
      <c r="AAF116" s="1"/>
      <c r="AAG116" s="1"/>
      <c r="AAH116" s="1"/>
      <c r="AAI116" s="1"/>
      <c r="AAJ116" s="1"/>
      <c r="AAK116" s="1"/>
      <c r="AAL116" s="1"/>
      <c r="AAM116" s="1"/>
      <c r="AAN116" s="1"/>
      <c r="AAO116" s="1"/>
      <c r="AAP116" s="1"/>
      <c r="AAQ116" s="1"/>
      <c r="AAR116" s="1"/>
      <c r="AAS116" s="1"/>
      <c r="AAT116" s="1"/>
      <c r="AAU116" s="1"/>
      <c r="AAV116" s="1"/>
      <c r="AAW116" s="1"/>
      <c r="AAX116" s="1"/>
      <c r="AAY116" s="1"/>
      <c r="AAZ116" s="1"/>
      <c r="ABA116" s="1"/>
      <c r="ABB116" s="1"/>
      <c r="ABC116" s="1"/>
      <c r="ABD116" s="1"/>
      <c r="ABE116" s="1"/>
      <c r="ABF116" s="1"/>
      <c r="ABG116" s="1"/>
      <c r="ABH116" s="1"/>
      <c r="ABI116" s="1"/>
      <c r="ABJ116" s="1"/>
      <c r="ABK116" s="1"/>
      <c r="ABL116" s="1"/>
      <c r="ABM116" s="1"/>
      <c r="ABN116" s="1"/>
      <c r="ABO116" s="1"/>
      <c r="ABP116" s="1"/>
      <c r="ABQ116" s="1"/>
      <c r="ABR116" s="1"/>
      <c r="ABS116" s="1"/>
      <c r="ABT116" s="1"/>
      <c r="ABU116" s="1"/>
      <c r="ABV116" s="1"/>
      <c r="ABW116" s="1"/>
      <c r="ABX116" s="1"/>
      <c r="ABY116" s="1"/>
      <c r="ABZ116" s="1"/>
      <c r="ACA116" s="1"/>
      <c r="ACB116" s="1"/>
      <c r="ACC116" s="1"/>
      <c r="ACD116" s="1"/>
      <c r="ACE116" s="1"/>
      <c r="ACF116" s="1"/>
      <c r="ACG116" s="1"/>
      <c r="ACH116" s="1"/>
      <c r="ACI116" s="1"/>
      <c r="ACJ116" s="1"/>
      <c r="ACK116" s="1"/>
      <c r="ACL116" s="1"/>
      <c r="ACM116" s="1"/>
      <c r="ACN116" s="1"/>
      <c r="ACO116" s="1"/>
      <c r="ACP116" s="1"/>
      <c r="ACQ116" s="1"/>
      <c r="ACR116" s="1"/>
      <c r="ACS116" s="1"/>
      <c r="ACT116" s="1"/>
      <c r="ACU116" s="1"/>
      <c r="ACV116" s="1"/>
      <c r="ACW116" s="1"/>
      <c r="ACX116" s="1"/>
      <c r="ACY116" s="1"/>
      <c r="ACZ116" s="1"/>
      <c r="ADA116" s="1"/>
      <c r="ADB116" s="1"/>
      <c r="ADC116" s="1"/>
      <c r="ADD116" s="1"/>
      <c r="ADE116" s="1"/>
      <c r="ADF116" s="1"/>
      <c r="ADG116" s="1"/>
      <c r="ADH116" s="1"/>
      <c r="ADI116" s="1"/>
      <c r="ADJ116" s="1"/>
      <c r="ADK116" s="1"/>
      <c r="ADL116" s="1"/>
      <c r="ADM116" s="1"/>
      <c r="ADN116" s="1"/>
      <c r="ADO116" s="1"/>
      <c r="ADP116" s="1"/>
      <c r="ADQ116" s="1"/>
      <c r="ADR116" s="1"/>
      <c r="ADS116" s="1"/>
      <c r="ADT116" s="1"/>
      <c r="ADU116" s="1"/>
      <c r="ADV116" s="1"/>
      <c r="ADW116" s="1"/>
      <c r="ADX116" s="1"/>
      <c r="ADY116" s="1"/>
      <c r="ADZ116" s="1"/>
      <c r="AEA116" s="1"/>
      <c r="AEB116" s="1"/>
      <c r="AEC116" s="1"/>
      <c r="AED116" s="1"/>
      <c r="AEE116" s="1"/>
      <c r="AEF116" s="1"/>
      <c r="AEG116" s="1"/>
      <c r="AEH116" s="1"/>
      <c r="AEI116" s="1"/>
      <c r="AEJ116" s="1"/>
      <c r="AEK116" s="1"/>
      <c r="AEL116" s="1"/>
      <c r="AEM116" s="1"/>
      <c r="AEN116" s="1"/>
      <c r="AEO116" s="1"/>
      <c r="AEP116" s="1"/>
      <c r="AEQ116" s="1"/>
      <c r="AER116" s="1"/>
      <c r="AES116" s="1"/>
      <c r="AET116" s="1"/>
      <c r="AEU116" s="1"/>
      <c r="AEV116" s="1"/>
      <c r="AEW116" s="1"/>
      <c r="AEX116" s="1"/>
      <c r="AEY116" s="1"/>
      <c r="AEZ116" s="1"/>
      <c r="AFA116" s="1"/>
      <c r="AFB116" s="1"/>
      <c r="AFC116" s="1"/>
      <c r="AFD116" s="1"/>
      <c r="AFE116" s="1"/>
      <c r="AFF116" s="1"/>
      <c r="AFG116" s="1"/>
      <c r="AFH116" s="1"/>
      <c r="AFI116" s="1"/>
      <c r="AFJ116" s="1"/>
      <c r="AFK116" s="1"/>
      <c r="AFL116" s="1"/>
      <c r="AFM116" s="1"/>
      <c r="AFN116" s="1"/>
      <c r="AFO116" s="1"/>
      <c r="AFP116" s="1"/>
      <c r="AFQ116" s="1"/>
      <c r="AFR116" s="1"/>
      <c r="AFS116" s="1"/>
      <c r="AFT116" s="1"/>
      <c r="AFU116" s="1"/>
      <c r="AFV116" s="1"/>
      <c r="AFW116" s="1"/>
      <c r="AFX116" s="1"/>
      <c r="AFY116" s="1"/>
      <c r="AFZ116" s="1"/>
      <c r="AGA116" s="1"/>
      <c r="AGB116" s="1"/>
      <c r="AGC116" s="1"/>
      <c r="AGD116" s="1"/>
      <c r="AGE116" s="1"/>
      <c r="AGF116" s="1"/>
      <c r="AGG116" s="1"/>
      <c r="AGH116" s="1"/>
      <c r="AGI116" s="1"/>
      <c r="AGJ116" s="1"/>
      <c r="AGK116" s="1"/>
      <c r="AGL116" s="1"/>
      <c r="AGM116" s="1"/>
      <c r="AGN116" s="1"/>
      <c r="AGO116" s="1"/>
      <c r="AGP116" s="1"/>
      <c r="AGQ116" s="1"/>
      <c r="AGR116" s="1"/>
      <c r="AGS116" s="1"/>
      <c r="AGT116" s="1"/>
      <c r="AGU116" s="1"/>
      <c r="AGV116" s="1"/>
      <c r="AGW116" s="1"/>
      <c r="AGX116" s="1"/>
      <c r="AGY116" s="1"/>
      <c r="AGZ116" s="1"/>
      <c r="AHA116" s="1"/>
      <c r="AHB116" s="1"/>
      <c r="AHC116" s="1"/>
      <c r="AHD116" s="1"/>
      <c r="AHE116" s="1"/>
      <c r="AHF116" s="1"/>
      <c r="AHG116" s="1"/>
      <c r="AHH116" s="1"/>
      <c r="AHI116" s="1"/>
      <c r="AHJ116" s="1"/>
      <c r="AHK116" s="1"/>
      <c r="AHL116" s="1"/>
      <c r="AHM116" s="1"/>
      <c r="AHN116" s="1"/>
      <c r="AHO116" s="1"/>
      <c r="AHP116" s="1"/>
      <c r="AHQ116" s="1"/>
      <c r="AHR116" s="1"/>
      <c r="AHS116" s="1"/>
      <c r="AHT116" s="1"/>
      <c r="AHU116" s="1"/>
      <c r="AHV116" s="1"/>
      <c r="AHW116" s="1"/>
      <c r="AHX116" s="1"/>
      <c r="AHY116" s="1"/>
      <c r="AHZ116" s="1"/>
      <c r="AIA116" s="1"/>
      <c r="AIB116" s="1"/>
      <c r="AIC116" s="1"/>
      <c r="AID116" s="1"/>
      <c r="AIE116" s="1"/>
      <c r="AIF116" s="1"/>
      <c r="AIG116" s="1"/>
      <c r="AIH116" s="1"/>
      <c r="AII116" s="1"/>
      <c r="AIJ116" s="1"/>
      <c r="AIK116" s="1"/>
      <c r="AIL116" s="1"/>
      <c r="AIM116" s="1"/>
      <c r="AIN116" s="1"/>
      <c r="AIO116" s="1"/>
      <c r="AIP116" s="1"/>
      <c r="AIQ116" s="1"/>
      <c r="AIR116" s="1"/>
      <c r="AIS116" s="1"/>
      <c r="AIT116" s="1"/>
      <c r="AIU116" s="1"/>
      <c r="AIV116" s="1"/>
      <c r="AIW116" s="1"/>
      <c r="AIX116" s="1"/>
      <c r="AIY116" s="1"/>
      <c r="AIZ116" s="1"/>
      <c r="AJA116" s="1"/>
      <c r="AJB116" s="1"/>
      <c r="AJC116" s="1"/>
      <c r="AJD116" s="1"/>
      <c r="AJE116" s="1"/>
      <c r="AJF116" s="1"/>
      <c r="AJG116" s="1"/>
      <c r="AJH116" s="1"/>
      <c r="AJI116" s="1"/>
      <c r="AJJ116" s="1"/>
      <c r="AJK116" s="1"/>
      <c r="AJL116" s="1"/>
      <c r="AJM116" s="1"/>
      <c r="AJN116" s="1"/>
      <c r="AJO116" s="1"/>
      <c r="AJP116" s="1"/>
      <c r="AJQ116" s="1"/>
      <c r="AJR116" s="1"/>
      <c r="AJS116" s="1"/>
      <c r="AJT116" s="1"/>
      <c r="AJU116" s="1"/>
      <c r="AJV116" s="1"/>
      <c r="AJW116" s="1"/>
      <c r="AJX116" s="1"/>
      <c r="AJY116" s="1"/>
      <c r="AJZ116" s="1"/>
      <c r="AKA116" s="1"/>
      <c r="AKB116" s="1"/>
      <c r="AKC116" s="1"/>
      <c r="AKD116" s="1"/>
      <c r="AKE116" s="1"/>
      <c r="AKF116" s="1"/>
      <c r="AKG116" s="1"/>
      <c r="AKH116" s="1"/>
      <c r="AKI116" s="1"/>
      <c r="AKJ116" s="1"/>
      <c r="AKK116" s="1"/>
      <c r="AKL116" s="1"/>
      <c r="AKM116" s="1"/>
      <c r="AKN116" s="1"/>
      <c r="AKO116" s="1"/>
      <c r="AKP116" s="1"/>
      <c r="AKQ116" s="1"/>
      <c r="AKR116" s="1"/>
      <c r="AKS116" s="1"/>
      <c r="AKT116" s="1"/>
      <c r="AKU116" s="1"/>
      <c r="AKV116" s="1"/>
      <c r="AKW116" s="1"/>
      <c r="AKX116" s="1"/>
      <c r="AKY116" s="1"/>
      <c r="AKZ116" s="1"/>
      <c r="ALA116" s="1"/>
      <c r="ALB116" s="1"/>
      <c r="ALC116" s="1"/>
      <c r="ALD116" s="1"/>
      <c r="ALE116" s="1"/>
      <c r="ALF116" s="1"/>
      <c r="ALG116" s="1"/>
      <c r="ALH116" s="1"/>
      <c r="ALI116" s="1"/>
      <c r="ALJ116" s="1"/>
      <c r="ALK116" s="1"/>
      <c r="ALL116" s="1"/>
      <c r="ALM116" s="1"/>
      <c r="ALN116" s="1"/>
      <c r="ALO116" s="1"/>
      <c r="ALP116" s="1"/>
      <c r="ALQ116" s="1"/>
      <c r="ALR116" s="1"/>
      <c r="ALS116" s="1"/>
      <c r="ALT116" s="1"/>
      <c r="ALU116" s="1"/>
      <c r="ALV116" s="1"/>
      <c r="ALW116" s="1"/>
      <c r="ALX116" s="1"/>
      <c r="ALY116" s="1"/>
      <c r="ALZ116" s="1"/>
      <c r="AMA116" s="1"/>
      <c r="AMB116" s="1"/>
      <c r="AMC116" s="1"/>
      <c r="AMD116" s="1"/>
      <c r="AME116" s="1"/>
      <c r="AMF116" s="1"/>
      <c r="AMG116" s="1"/>
      <c r="AMH116" s="1"/>
      <c r="AMI116" s="1"/>
      <c r="AMJ116" s="1"/>
      <c r="AMK116" s="1"/>
      <c r="AML116" s="1"/>
      <c r="AMM116" s="1"/>
      <c r="AMN116" s="1"/>
      <c r="AMO116" s="1"/>
    </row>
    <row r="117" spans="1:1029" s="12" customFormat="1" x14ac:dyDescent="0.2">
      <c r="A117" s="9" t="str">
        <f>CONCATENATE(B117,"_",C117)</f>
        <v>adrb2_human_6MXT</v>
      </c>
      <c r="B117" s="9" t="s">
        <v>126</v>
      </c>
      <c r="C117" s="9" t="s">
        <v>1547</v>
      </c>
      <c r="D117" s="9" t="str">
        <f>IFERROR(MID(VLOOKUP($B117,Seqs!$A:$B,2,0),E117,1),"")</f>
        <v>D</v>
      </c>
      <c r="E117" s="9">
        <v>29</v>
      </c>
      <c r="F117" s="9" t="str">
        <f>IFERROR(MID(VLOOKUP($B117,Seqs!$A:$B,2,0),G117,1),"")</f>
        <v>F</v>
      </c>
      <c r="G117" s="9">
        <v>61</v>
      </c>
      <c r="H117" s="9" t="str">
        <f>IFERROR(MID(VLOOKUP($B117,Seqs!$A:$B,2,0),I117,1),"")</f>
        <v>E</v>
      </c>
      <c r="I117" s="109">
        <v>62</v>
      </c>
      <c r="J117" s="9" t="str">
        <f>IFERROR(MID(VLOOKUP($B117,Seqs!$A:$B,2,0),K117,1),"")</f>
        <v>Q</v>
      </c>
      <c r="K117" s="109">
        <v>65</v>
      </c>
      <c r="L117" s="9" t="str">
        <f>IFERROR(MID(VLOOKUP($B117,Seqs!$A:$B,2,0),M117,1),"")</f>
        <v>T</v>
      </c>
      <c r="M117" s="9">
        <v>66</v>
      </c>
      <c r="N117" s="9" t="str">
        <f>IFERROR(MID(VLOOKUP($B117,Seqs!$A:$B,2,0),O117,1),"")</f>
        <v>M</v>
      </c>
      <c r="O117" s="9">
        <v>96</v>
      </c>
      <c r="P117" s="9" t="str">
        <f>IFERROR(MID(VLOOKUP($B117,Seqs!$A:$B,2,0),Q117,1),"")</f>
        <v>M</v>
      </c>
      <c r="Q117" s="9">
        <v>98</v>
      </c>
      <c r="R117" s="9" t="str">
        <f>IFERROR(MID(VLOOKUP($B117,Seqs!$A:$B,2,0),S117,1),"")</f>
        <v>F</v>
      </c>
      <c r="S117" s="9">
        <v>101</v>
      </c>
      <c r="T117" s="9" t="str">
        <f>IFERROR(MID(VLOOKUP($B117,Seqs!$A:$B,2,0),U117,1),"")</f>
        <v>G</v>
      </c>
      <c r="U117" s="9">
        <v>102</v>
      </c>
      <c r="V117" s="9" t="str">
        <f>IFERROR(MID(VLOOKUP($B117,Seqs!$A:$B,2,0),W117,1),"")</f>
        <v>S</v>
      </c>
      <c r="W117" s="9">
        <v>137</v>
      </c>
      <c r="X117" s="9" t="str">
        <f>IFERROR(MID(VLOOKUP($B117,Seqs!$A:$B,2,0),Y117,1),"")</f>
        <v>P</v>
      </c>
      <c r="Y117" s="9">
        <v>138</v>
      </c>
      <c r="Z117" s="9" t="str">
        <f>IFERROR(MID(VLOOKUP($B117,Seqs!$A:$B,2,0),AA117,1),"")</f>
        <v>L</v>
      </c>
      <c r="AA117" s="9">
        <v>145</v>
      </c>
      <c r="AB117" s="9" t="str">
        <f>IFERROR(MID(VLOOKUP($B117,Seqs!$A:$B,2,0),AC117,1),"")</f>
        <v>T</v>
      </c>
      <c r="AC117" s="9">
        <v>146</v>
      </c>
      <c r="AD117" s="9" t="str">
        <f>IFERROR(MID(VLOOKUP($B117,Seqs!$A:$B,2,0),AE117,1),"")</f>
        <v>H</v>
      </c>
      <c r="AE117" s="9">
        <v>172</v>
      </c>
      <c r="AF117" s="9" t="str">
        <f>IFERROR(MID(VLOOKUP($B117,Seqs!$A:$B,2,0),AG117,1),"")</f>
        <v>C</v>
      </c>
      <c r="AG117" s="9">
        <v>191</v>
      </c>
      <c r="AH117" s="9" t="str">
        <f>IFERROR(MID(VLOOKUP($B117,Seqs!$A:$B,2,0),AI117,1),"")</f>
        <v>F</v>
      </c>
      <c r="AI117" s="9">
        <v>193</v>
      </c>
      <c r="AJ117" s="9" t="str">
        <f>IFERROR(MID(VLOOKUP($B117,Seqs!$A:$B,2,0),AK117,1),"")</f>
        <v>N</v>
      </c>
      <c r="AK117" s="9">
        <v>196</v>
      </c>
      <c r="AL117" s="9" t="str">
        <f>IFERROR(MID(VLOOKUP($B117,Seqs!$A:$B,2,0),AM117,1),"")</f>
        <v>K</v>
      </c>
      <c r="AM117" s="9">
        <v>232</v>
      </c>
      <c r="AN117" s="9" t="str">
        <f>IFERROR(MID(VLOOKUP($B117,Seqs!$A:$B,2,0),AO117,1),"")</f>
        <v>C</v>
      </c>
      <c r="AO117" s="9">
        <v>265</v>
      </c>
      <c r="AP117" s="9" t="str">
        <f>IFERROR(MID(VLOOKUP($B117,Seqs!$A:$B,2,0),AQ117,1),"")</f>
        <v>Q</v>
      </c>
      <c r="AQ117" s="9">
        <v>299</v>
      </c>
      <c r="AR117" s="9" t="str">
        <f>IFERROR(MID(VLOOKUP($B117,Seqs!$A:$B,2,0),AS117,1),"")</f>
        <v>R</v>
      </c>
      <c r="AS117" s="9">
        <v>304</v>
      </c>
      <c r="AT117" s="9" t="str">
        <f>IFERROR(MID(VLOOKUP($B117,Seqs!$A:$B,2,0),AU117,1),"")</f>
        <v>Y</v>
      </c>
      <c r="AU117" s="9">
        <v>326</v>
      </c>
      <c r="AV117" s="9" t="str">
        <f>IFERROR(MID(VLOOKUP($B117,Seqs!$A:$B,2,0),AW117,1),"")</f>
        <v>S</v>
      </c>
      <c r="AW117" s="9">
        <v>329</v>
      </c>
      <c r="AX117" s="9" t="str">
        <f>IFERROR(MID(VLOOKUP($B117,Seqs!$A:$B,2,0),AY117,1),"")</f>
        <v>L</v>
      </c>
      <c r="AY117" s="9">
        <v>342</v>
      </c>
      <c r="AZ117" s="110" t="str">
        <f>VLOOKUP(B117,Classification!A:D,2,0)</f>
        <v>A</v>
      </c>
      <c r="BA117" s="98" t="str">
        <f>VLOOKUP(B117,Classification!A:D,4,0)</f>
        <v>Adrenoceptors</v>
      </c>
      <c r="BB117" s="36" t="b">
        <f>AND(E117&lt;G117,OR(G117&lt;I117,I117="-"),OR(I117&lt;K117,I117="-"),OR(K117&lt;M117,K117="-"),M117&lt;O117,OR(O117&lt;Q117,Q117="-"),OR(Q117&lt;S117,Q117="-"),OR(S117&lt;U117,S117="-"),U117&lt;W117,OR(W117&lt;Y117,Y117="-"),OR(Y117&lt;AA117,Y117="-"),OR(AA117&lt;AC117,AA117="-"),AC117&lt;AE117,OR(AE117&lt;AG117,AG117="-"),OR(AG117&lt;AI117,AG117="-"),OR(AI117&lt;AK117,AI117="-"),AK117&lt;AM117,AM117&lt;AO117,AO117&lt;AQ117,AQ117&lt;AS117,AS117&lt;AU117,OR(AU117&lt;AW117,AW117="-"),OR(AW117&lt;AY117,AW117="-"))</f>
        <v>1</v>
      </c>
      <c r="BC117" s="109">
        <f>_xlfn.AGGREGATE(9,6,CH117:CS117)-_xlfn.AGGREGATE(9,6,BV117:CG117)+12</f>
        <v>255</v>
      </c>
      <c r="BD117" s="126" t="s">
        <v>23</v>
      </c>
      <c r="BE117" s="9" t="s">
        <v>1297</v>
      </c>
      <c r="BF117" s="120">
        <v>2.96</v>
      </c>
      <c r="BG117" s="51" t="s">
        <v>1</v>
      </c>
      <c r="BH117" s="51" t="s">
        <v>1</v>
      </c>
      <c r="BJ117" s="111" t="s">
        <v>1293</v>
      </c>
      <c r="BK117" s="112" t="s">
        <v>1293</v>
      </c>
      <c r="BL117" s="112" t="s">
        <v>1293</v>
      </c>
      <c r="BM117" s="112" t="s">
        <v>1293</v>
      </c>
      <c r="BN117" s="112" t="s">
        <v>1293</v>
      </c>
      <c r="BO117" s="112" t="s">
        <v>1293</v>
      </c>
      <c r="BP117" s="112" t="s">
        <v>1293</v>
      </c>
      <c r="BQ117" s="112" t="s">
        <v>1293</v>
      </c>
      <c r="BR117" s="112" t="s">
        <v>1293</v>
      </c>
      <c r="BS117" s="112" t="s">
        <v>1293</v>
      </c>
      <c r="BT117" s="112" t="s">
        <v>1293</v>
      </c>
      <c r="BU117" s="112" t="s">
        <v>1293</v>
      </c>
      <c r="BV117" s="111">
        <f>E117</f>
        <v>29</v>
      </c>
      <c r="BW117" s="113">
        <f>I117</f>
        <v>62</v>
      </c>
      <c r="BX117" s="114">
        <f>M117</f>
        <v>66</v>
      </c>
      <c r="BY117" s="113">
        <f>Q117</f>
        <v>98</v>
      </c>
      <c r="BZ117" s="114">
        <f>U117</f>
        <v>102</v>
      </c>
      <c r="CA117" s="113">
        <f>Y117</f>
        <v>138</v>
      </c>
      <c r="CB117" s="114">
        <f>AC117</f>
        <v>146</v>
      </c>
      <c r="CC117" s="113">
        <f>AG117</f>
        <v>191</v>
      </c>
      <c r="CD117" s="114">
        <f>AK117</f>
        <v>196</v>
      </c>
      <c r="CE117" s="113">
        <f>AO117</f>
        <v>265</v>
      </c>
      <c r="CF117" s="114">
        <f>AS117</f>
        <v>304</v>
      </c>
      <c r="CG117" s="113">
        <f>AW117</f>
        <v>329</v>
      </c>
      <c r="CH117" s="111">
        <f>G117</f>
        <v>61</v>
      </c>
      <c r="CI117" s="113">
        <f>K117</f>
        <v>65</v>
      </c>
      <c r="CJ117" s="114">
        <f>O117</f>
        <v>96</v>
      </c>
      <c r="CK117" s="114">
        <f>S117</f>
        <v>101</v>
      </c>
      <c r="CL117" s="114">
        <f>W117</f>
        <v>137</v>
      </c>
      <c r="CM117" s="114">
        <f>AA117</f>
        <v>145</v>
      </c>
      <c r="CN117" s="114">
        <f>AE117</f>
        <v>172</v>
      </c>
      <c r="CO117" s="114">
        <f>AI117</f>
        <v>193</v>
      </c>
      <c r="CP117" s="114">
        <f>AM117</f>
        <v>232</v>
      </c>
      <c r="CQ117" s="114">
        <f>AQ117</f>
        <v>299</v>
      </c>
      <c r="CR117" s="114">
        <f>AU117</f>
        <v>326</v>
      </c>
      <c r="CS117" s="114">
        <f>AY117</f>
        <v>342</v>
      </c>
      <c r="CT117" s="109">
        <f>M117-K117</f>
        <v>1</v>
      </c>
    </row>
    <row r="118" spans="1:1029" x14ac:dyDescent="0.2">
      <c r="A118" s="3" t="str">
        <f t="shared" si="559"/>
        <v>agtr1_human__wt</v>
      </c>
      <c r="B118" s="3" t="s">
        <v>158</v>
      </c>
      <c r="C118" s="3" t="s">
        <v>100</v>
      </c>
      <c r="D118" s="3" t="str">
        <f>IFERROR(MID(VLOOKUP($B118,Seqs!$A:$B,2,0),E118,1),"")</f>
        <v>Y</v>
      </c>
      <c r="E118" s="3">
        <v>26</v>
      </c>
      <c r="F118" s="3" t="str">
        <f>IFERROR(MID(VLOOKUP($B118,Seqs!$A:$B,2,0),G118,1),"")</f>
        <v>Y</v>
      </c>
      <c r="G118" s="3">
        <v>56</v>
      </c>
      <c r="H118" s="3" t="str">
        <f>IFERROR(MID(VLOOKUP($B118,Seqs!$A:$B,2,0),I118,1),"")</f>
        <v>M</v>
      </c>
      <c r="I118" s="23">
        <v>57</v>
      </c>
      <c r="J118" s="3" t="str">
        <f>IFERROR(MID(VLOOKUP($B118,Seqs!$A:$B,2,0),K118,1),"")</f>
        <v>K</v>
      </c>
      <c r="K118" s="23">
        <v>60</v>
      </c>
      <c r="L118" s="3" t="str">
        <f>IFERROR(MID(VLOOKUP($B118,Seqs!$A:$B,2,0),M118,1),"")</f>
        <v>T</v>
      </c>
      <c r="M118" s="3">
        <v>61</v>
      </c>
      <c r="N118" s="3" t="str">
        <f>IFERROR(MID(VLOOKUP($B118,Seqs!$A:$B,2,0),O118,1),"")</f>
        <v>M</v>
      </c>
      <c r="O118" s="3">
        <v>90</v>
      </c>
      <c r="P118" s="3" t="str">
        <f>IFERROR(MID(VLOOKUP($B118,Seqs!$A:$B,2,0),Q118,1),"")</f>
        <v>R</v>
      </c>
      <c r="Q118" s="3">
        <v>93</v>
      </c>
      <c r="R118" s="3" t="str">
        <f>IFERROR(MID(VLOOKUP($B118,Seqs!$A:$B,2,0),S118,1),"")</f>
        <v>F</v>
      </c>
      <c r="S118" s="3">
        <v>96</v>
      </c>
      <c r="T118" s="3" t="str">
        <f>IFERROR(MID(VLOOKUP($B118,Seqs!$A:$B,2,0),U118,1),"")</f>
        <v>G</v>
      </c>
      <c r="U118" s="3">
        <v>97</v>
      </c>
      <c r="V118" s="3" t="str">
        <f>IFERROR(MID(VLOOKUP($B118,Seqs!$A:$B,2,0),W118,1),"")</f>
        <v>H</v>
      </c>
      <c r="W118" s="3">
        <v>132</v>
      </c>
      <c r="X118" s="3" t="str">
        <f>IFERROR(MID(VLOOKUP($B118,Seqs!$A:$B,2,0),Y118,1),"")</f>
        <v>P</v>
      </c>
      <c r="Y118" s="3">
        <v>133</v>
      </c>
      <c r="Z118" s="3" t="str">
        <f>IFERROR(MID(VLOOKUP($B118,Seqs!$A:$B,2,0),AA118,1),"")</f>
        <v>R</v>
      </c>
      <c r="AA118" s="3">
        <v>140</v>
      </c>
      <c r="AB118" s="3" t="str">
        <f>IFERROR(MID(VLOOKUP($B118,Seqs!$A:$B,2,0),AC118,1),"")</f>
        <v>T</v>
      </c>
      <c r="AC118" s="9">
        <v>141</v>
      </c>
      <c r="AD118" s="3" t="str">
        <f>IFERROR(MID(VLOOKUP($B118,Seqs!$A:$B,2,0),AE118,1),"")</f>
        <v>R</v>
      </c>
      <c r="AE118" s="3">
        <v>167</v>
      </c>
      <c r="AF118" s="3" t="str">
        <f>IFERROR(MID(VLOOKUP($B118,Seqs!$A:$B,2,0),AG118,1),"")</f>
        <v>C</v>
      </c>
      <c r="AG118" s="3">
        <v>180</v>
      </c>
      <c r="AH118" s="3" t="str">
        <f>IFERROR(MID(VLOOKUP($B118,Seqs!$A:$B,2,0),AI118,1),"")</f>
        <v>F</v>
      </c>
      <c r="AI118" s="3">
        <v>182</v>
      </c>
      <c r="AJ118" s="3" t="str">
        <f>IFERROR(MID(VLOOKUP($B118,Seqs!$A:$B,2,0),AK118,1),"")</f>
        <v>L</v>
      </c>
      <c r="AK118" s="3">
        <v>191</v>
      </c>
      <c r="AL118" s="3" t="str">
        <f>IFERROR(MID(VLOOKUP($B118,Seqs!$A:$B,2,0),AM118,1),"")</f>
        <v>A</v>
      </c>
      <c r="AM118" s="3">
        <v>225</v>
      </c>
      <c r="AN118" s="3" t="str">
        <f>IFERROR(MID(VLOOKUP($B118,Seqs!$A:$B,2,0),AO118,1),"")</f>
        <v>P</v>
      </c>
      <c r="AO118" s="3">
        <v>233</v>
      </c>
      <c r="AP118" s="3" t="str">
        <f>IFERROR(MID(VLOOKUP($B118,Seqs!$A:$B,2,0),AQ118,1),"")</f>
        <v>G</v>
      </c>
      <c r="AQ118" s="3">
        <v>269</v>
      </c>
      <c r="AR118" s="3" t="str">
        <f>IFERROR(MID(VLOOKUP($B118,Seqs!$A:$B,2,0),AS118,1),"")</f>
        <v>D</v>
      </c>
      <c r="AS118" s="3">
        <v>273</v>
      </c>
      <c r="AT118" s="3" t="str">
        <f>IFERROR(MID(VLOOKUP($B118,Seqs!$A:$B,2,0),AU118,1),"")</f>
        <v>L</v>
      </c>
      <c r="AU118" s="3">
        <v>305</v>
      </c>
      <c r="AV118" s="3" t="str">
        <f>IFERROR(MID(VLOOKUP($B118,Seqs!$A:$B,2,0),AW118,1),"")</f>
        <v>G</v>
      </c>
      <c r="AW118" s="3">
        <v>306</v>
      </c>
      <c r="AX118" s="3" t="str">
        <f>IFERROR(MID(VLOOKUP($B118,Seqs!$A:$B,2,0),AY118,1),"")</f>
        <v>I</v>
      </c>
      <c r="AY118" s="3">
        <v>320</v>
      </c>
      <c r="AZ118" s="77" t="str">
        <f>VLOOKUP(B118,Classification!A:D,2,0)</f>
        <v>A</v>
      </c>
      <c r="BA118" s="94" t="str">
        <f>VLOOKUP(B118,Classification!A:D,4,0)</f>
        <v>Angiotensin</v>
      </c>
      <c r="BB118" s="27" t="b">
        <f t="shared" si="560"/>
        <v>1</v>
      </c>
      <c r="BC118" s="23">
        <f t="shared" si="365"/>
        <v>263</v>
      </c>
      <c r="BD118" s="56" t="s">
        <v>1379</v>
      </c>
      <c r="BE118" s="3" t="s">
        <v>23</v>
      </c>
      <c r="BF118" s="119" t="s">
        <v>23</v>
      </c>
      <c r="BG118" s="49" t="s">
        <v>1379</v>
      </c>
      <c r="BH118" s="49" t="s">
        <v>1384</v>
      </c>
      <c r="BI118" s="1"/>
      <c r="BJ118" s="70" t="s">
        <v>1293</v>
      </c>
      <c r="BK118" s="57" t="s">
        <v>1293</v>
      </c>
      <c r="BL118" s="57" t="s">
        <v>1293</v>
      </c>
      <c r="BM118" s="57" t="s">
        <v>1293</v>
      </c>
      <c r="BN118" s="57" t="s">
        <v>1293</v>
      </c>
      <c r="BO118" s="57" t="s">
        <v>1293</v>
      </c>
      <c r="BP118" s="57" t="s">
        <v>1293</v>
      </c>
      <c r="BQ118" s="57" t="s">
        <v>1293</v>
      </c>
      <c r="BR118" s="57" t="s">
        <v>1293</v>
      </c>
      <c r="BS118" s="57" t="s">
        <v>1293</v>
      </c>
      <c r="BT118" s="57" t="s">
        <v>1293</v>
      </c>
      <c r="BU118" s="57" t="s">
        <v>1293</v>
      </c>
      <c r="BV118" s="70">
        <f t="shared" si="366"/>
        <v>26</v>
      </c>
      <c r="BW118" s="71">
        <f t="shared" si="367"/>
        <v>57</v>
      </c>
      <c r="BX118" s="72">
        <f t="shared" si="368"/>
        <v>61</v>
      </c>
      <c r="BY118" s="71">
        <f t="shared" si="369"/>
        <v>93</v>
      </c>
      <c r="BZ118" s="72">
        <f t="shared" si="370"/>
        <v>97</v>
      </c>
      <c r="CA118" s="71">
        <f t="shared" si="371"/>
        <v>133</v>
      </c>
      <c r="CB118" s="72">
        <f t="shared" si="372"/>
        <v>141</v>
      </c>
      <c r="CC118" s="71">
        <f t="shared" si="373"/>
        <v>180</v>
      </c>
      <c r="CD118" s="72">
        <f t="shared" si="374"/>
        <v>191</v>
      </c>
      <c r="CE118" s="71">
        <f t="shared" si="375"/>
        <v>233</v>
      </c>
      <c r="CF118" s="72">
        <f t="shared" si="376"/>
        <v>273</v>
      </c>
      <c r="CG118" s="71">
        <f t="shared" si="377"/>
        <v>306</v>
      </c>
      <c r="CH118" s="70">
        <f t="shared" si="378"/>
        <v>56</v>
      </c>
      <c r="CI118" s="71">
        <f t="shared" si="379"/>
        <v>60</v>
      </c>
      <c r="CJ118" s="72">
        <f t="shared" si="380"/>
        <v>90</v>
      </c>
      <c r="CK118" s="72">
        <f t="shared" si="381"/>
        <v>96</v>
      </c>
      <c r="CL118" s="72">
        <f t="shared" si="382"/>
        <v>132</v>
      </c>
      <c r="CM118" s="72">
        <f t="shared" si="383"/>
        <v>140</v>
      </c>
      <c r="CN118" s="72">
        <f t="shared" si="384"/>
        <v>167</v>
      </c>
      <c r="CO118" s="72">
        <f t="shared" si="385"/>
        <v>182</v>
      </c>
      <c r="CP118" s="72">
        <f t="shared" si="386"/>
        <v>225</v>
      </c>
      <c r="CQ118" s="72">
        <f t="shared" si="387"/>
        <v>269</v>
      </c>
      <c r="CR118" s="72">
        <f t="shared" si="388"/>
        <v>305</v>
      </c>
      <c r="CS118" s="72">
        <f t="shared" si="389"/>
        <v>320</v>
      </c>
      <c r="CT118" s="23">
        <f t="shared" si="390"/>
        <v>1</v>
      </c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  <c r="JA118" s="2"/>
      <c r="JB118" s="2"/>
      <c r="JC118" s="2"/>
      <c r="JD118" s="2"/>
      <c r="JE118" s="2"/>
      <c r="JF118" s="2"/>
      <c r="JG118" s="2"/>
      <c r="JH118" s="2"/>
      <c r="JI118" s="2"/>
      <c r="JJ118" s="2"/>
      <c r="JK118" s="2"/>
      <c r="JL118" s="2"/>
      <c r="JM118" s="2"/>
      <c r="JN118" s="2"/>
      <c r="JO118" s="2"/>
      <c r="JP118" s="2"/>
      <c r="JQ118" s="2"/>
      <c r="JR118" s="2"/>
      <c r="JS118" s="2"/>
      <c r="JT118" s="2"/>
      <c r="JU118" s="2"/>
      <c r="JV118" s="2"/>
      <c r="JW118" s="2"/>
      <c r="JX118" s="2"/>
      <c r="JY118" s="2"/>
      <c r="JZ118" s="2"/>
      <c r="KA118" s="2"/>
      <c r="KB118" s="2"/>
      <c r="KC118" s="2"/>
      <c r="KD118" s="2"/>
      <c r="KE118" s="2"/>
      <c r="KF118" s="2"/>
      <c r="KG118" s="2"/>
      <c r="KH118" s="2"/>
      <c r="KI118" s="2"/>
      <c r="KJ118" s="2"/>
      <c r="KK118" s="2"/>
      <c r="KL118" s="2"/>
      <c r="KM118" s="2"/>
      <c r="KN118" s="2"/>
      <c r="KO118" s="2"/>
      <c r="KP118" s="2"/>
      <c r="KQ118" s="2"/>
      <c r="KR118" s="2"/>
      <c r="KS118" s="2"/>
      <c r="KT118" s="2"/>
      <c r="KU118" s="2"/>
      <c r="KV118" s="2"/>
      <c r="KW118" s="2"/>
      <c r="KX118" s="2"/>
      <c r="KY118" s="2"/>
      <c r="KZ118" s="2"/>
      <c r="LA118" s="2"/>
      <c r="LB118" s="2"/>
      <c r="LC118" s="2"/>
      <c r="LD118" s="2"/>
      <c r="LE118" s="2"/>
      <c r="LF118" s="2"/>
      <c r="LG118" s="2"/>
      <c r="LH118" s="2"/>
      <c r="LI118" s="2"/>
      <c r="LJ118" s="2"/>
      <c r="LK118" s="2"/>
      <c r="LL118" s="2"/>
      <c r="LM118" s="2"/>
      <c r="LN118" s="2"/>
      <c r="LO118" s="2"/>
      <c r="LP118" s="2"/>
      <c r="LQ118" s="2"/>
      <c r="LR118" s="2"/>
      <c r="LS118" s="2"/>
      <c r="LT118" s="2"/>
      <c r="LU118" s="2"/>
      <c r="LV118" s="2"/>
      <c r="LW118" s="2"/>
      <c r="LX118" s="2"/>
      <c r="LY118" s="2"/>
      <c r="LZ118" s="2"/>
      <c r="MA118" s="2"/>
      <c r="MB118" s="2"/>
      <c r="MC118" s="2"/>
      <c r="MD118" s="2"/>
      <c r="ME118" s="2"/>
      <c r="MF118" s="2"/>
      <c r="MG118" s="2"/>
      <c r="MH118" s="2"/>
      <c r="MI118" s="2"/>
      <c r="MJ118" s="2"/>
      <c r="MK118" s="2"/>
      <c r="ML118" s="2"/>
      <c r="MM118" s="2"/>
      <c r="MN118" s="2"/>
      <c r="MO118" s="2"/>
      <c r="MP118" s="2"/>
      <c r="MQ118" s="2"/>
      <c r="MR118" s="2"/>
      <c r="MS118" s="2"/>
      <c r="MT118" s="2"/>
      <c r="MU118" s="2"/>
      <c r="MV118" s="2"/>
      <c r="MW118" s="2"/>
      <c r="MX118" s="2"/>
      <c r="MY118" s="2"/>
      <c r="MZ118" s="2"/>
      <c r="NA118" s="2"/>
      <c r="NB118" s="2"/>
      <c r="NC118" s="2"/>
      <c r="ND118" s="2"/>
      <c r="NE118" s="2"/>
      <c r="NF118" s="2"/>
      <c r="NG118" s="2"/>
      <c r="NH118" s="2"/>
      <c r="NI118" s="2"/>
      <c r="NJ118" s="2"/>
      <c r="NK118" s="2"/>
      <c r="NL118" s="2"/>
      <c r="NM118" s="2"/>
      <c r="NN118" s="2"/>
      <c r="NO118" s="2"/>
      <c r="NP118" s="2"/>
      <c r="NQ118" s="2"/>
      <c r="NR118" s="2"/>
      <c r="NS118" s="2"/>
      <c r="NT118" s="2"/>
      <c r="NU118" s="2"/>
      <c r="NV118" s="2"/>
      <c r="NW118" s="2"/>
      <c r="NX118" s="2"/>
      <c r="NY118" s="2"/>
      <c r="NZ118" s="2"/>
      <c r="OA118" s="2"/>
      <c r="OB118" s="2"/>
      <c r="OC118" s="2"/>
      <c r="OD118" s="2"/>
      <c r="OE118" s="2"/>
      <c r="OF118" s="2"/>
      <c r="OG118" s="2"/>
      <c r="OH118" s="2"/>
      <c r="OI118" s="2"/>
      <c r="OJ118" s="2"/>
      <c r="OK118" s="2"/>
      <c r="OL118" s="2"/>
      <c r="OM118" s="2"/>
      <c r="ON118" s="2"/>
      <c r="OO118" s="2"/>
      <c r="OP118" s="2"/>
      <c r="OQ118" s="2"/>
      <c r="OR118" s="2"/>
      <c r="OS118" s="2"/>
      <c r="OT118" s="2"/>
      <c r="OU118" s="2"/>
      <c r="OV118" s="2"/>
      <c r="OW118" s="2"/>
      <c r="OX118" s="2"/>
      <c r="OY118" s="2"/>
      <c r="OZ118" s="2"/>
      <c r="PA118" s="2"/>
      <c r="PB118" s="2"/>
      <c r="PC118" s="2"/>
      <c r="PD118" s="2"/>
      <c r="PE118" s="2"/>
      <c r="PF118" s="2"/>
      <c r="PG118" s="2"/>
      <c r="PH118" s="2"/>
      <c r="PI118" s="2"/>
      <c r="PJ118" s="2"/>
      <c r="PK118" s="2"/>
      <c r="PL118" s="2"/>
      <c r="PM118" s="2"/>
      <c r="PN118" s="2"/>
      <c r="PO118" s="2"/>
      <c r="PP118" s="2"/>
      <c r="PQ118" s="2"/>
      <c r="PR118" s="2"/>
      <c r="PS118" s="2"/>
      <c r="PT118" s="2"/>
      <c r="PU118" s="2"/>
      <c r="PV118" s="2"/>
      <c r="PW118" s="2"/>
      <c r="PX118" s="2"/>
      <c r="PY118" s="2"/>
      <c r="PZ118" s="2"/>
      <c r="QA118" s="2"/>
      <c r="QB118" s="2"/>
      <c r="QC118" s="2"/>
      <c r="QD118" s="2"/>
      <c r="QE118" s="2"/>
      <c r="QF118" s="2"/>
      <c r="QG118" s="2"/>
      <c r="QH118" s="2"/>
      <c r="QI118" s="2"/>
      <c r="QJ118" s="2"/>
      <c r="QK118" s="2"/>
      <c r="QL118" s="2"/>
      <c r="QM118" s="2"/>
      <c r="QN118" s="2"/>
      <c r="QO118" s="2"/>
      <c r="QP118" s="2"/>
      <c r="QQ118" s="2"/>
      <c r="QR118" s="2"/>
      <c r="QS118" s="2"/>
      <c r="QT118" s="2"/>
      <c r="QU118" s="2"/>
      <c r="QV118" s="2"/>
      <c r="QW118" s="2"/>
      <c r="QX118" s="2"/>
      <c r="QY118" s="2"/>
      <c r="QZ118" s="2"/>
      <c r="RA118" s="2"/>
      <c r="RB118" s="2"/>
      <c r="RC118" s="2"/>
      <c r="RD118" s="2"/>
      <c r="RE118" s="2"/>
      <c r="RF118" s="2"/>
      <c r="RG118" s="2"/>
      <c r="RH118" s="2"/>
      <c r="RI118" s="2"/>
      <c r="RJ118" s="2"/>
      <c r="RK118" s="2"/>
      <c r="RL118" s="2"/>
      <c r="RM118" s="2"/>
      <c r="RN118" s="2"/>
      <c r="RO118" s="2"/>
      <c r="RP118" s="2"/>
      <c r="RQ118" s="2"/>
      <c r="RR118" s="2"/>
      <c r="RS118" s="2"/>
      <c r="RT118" s="2"/>
      <c r="RU118" s="2"/>
      <c r="RV118" s="2"/>
      <c r="RW118" s="2"/>
      <c r="RX118" s="2"/>
      <c r="RY118" s="2"/>
      <c r="RZ118" s="2"/>
      <c r="SA118" s="2"/>
      <c r="SB118" s="2"/>
      <c r="SC118" s="2"/>
      <c r="SD118" s="2"/>
      <c r="SE118" s="2"/>
      <c r="SF118" s="2"/>
      <c r="SG118" s="2"/>
      <c r="SH118" s="2"/>
      <c r="SI118" s="2"/>
      <c r="SJ118" s="2"/>
      <c r="SK118" s="2"/>
      <c r="SL118" s="2"/>
      <c r="SM118" s="2"/>
      <c r="SN118" s="2"/>
      <c r="SO118" s="2"/>
      <c r="SP118" s="2"/>
      <c r="SQ118" s="2"/>
      <c r="SR118" s="2"/>
      <c r="SS118" s="2"/>
      <c r="ST118" s="2"/>
      <c r="SU118" s="2"/>
      <c r="SV118" s="2"/>
      <c r="SW118" s="2"/>
      <c r="SX118" s="2"/>
      <c r="SY118" s="2"/>
      <c r="SZ118" s="2"/>
      <c r="TA118" s="2"/>
      <c r="TB118" s="2"/>
      <c r="TC118" s="2"/>
      <c r="TD118" s="2"/>
      <c r="TE118" s="2"/>
      <c r="TF118" s="2"/>
      <c r="TG118" s="2"/>
      <c r="TH118" s="2"/>
      <c r="TI118" s="2"/>
      <c r="TJ118" s="2"/>
      <c r="TK118" s="2"/>
      <c r="TL118" s="2"/>
      <c r="TM118" s="2"/>
      <c r="TN118" s="2"/>
      <c r="TO118" s="2"/>
      <c r="TP118" s="2"/>
      <c r="TQ118" s="2"/>
      <c r="TR118" s="2"/>
      <c r="TS118" s="2"/>
      <c r="TT118" s="2"/>
      <c r="TU118" s="2"/>
      <c r="TV118" s="2"/>
      <c r="TW118" s="2"/>
      <c r="TX118" s="2"/>
      <c r="TY118" s="2"/>
      <c r="TZ118" s="2"/>
      <c r="UA118" s="2"/>
      <c r="UB118" s="2"/>
      <c r="UC118" s="2"/>
      <c r="UD118" s="2"/>
      <c r="UE118" s="2"/>
      <c r="UF118" s="2"/>
      <c r="UG118" s="2"/>
      <c r="UH118" s="2"/>
      <c r="UI118" s="2"/>
      <c r="UJ118" s="2"/>
      <c r="UK118" s="2"/>
      <c r="UL118" s="2"/>
      <c r="UM118" s="2"/>
      <c r="UN118" s="2"/>
      <c r="UO118" s="2"/>
      <c r="UP118" s="2"/>
      <c r="UQ118" s="2"/>
      <c r="UR118" s="2"/>
      <c r="US118" s="2"/>
      <c r="UT118" s="2"/>
      <c r="UU118" s="2"/>
      <c r="UV118" s="2"/>
      <c r="UW118" s="2"/>
      <c r="UX118" s="2"/>
      <c r="UY118" s="2"/>
      <c r="UZ118" s="2"/>
      <c r="VA118" s="2"/>
      <c r="VB118" s="2"/>
      <c r="VC118" s="2"/>
      <c r="VD118" s="2"/>
      <c r="VE118" s="2"/>
      <c r="VF118" s="2"/>
      <c r="VG118" s="2"/>
      <c r="VH118" s="2"/>
      <c r="VI118" s="2"/>
      <c r="VJ118" s="2"/>
      <c r="VK118" s="2"/>
      <c r="VL118" s="2"/>
      <c r="VM118" s="2"/>
      <c r="VN118" s="2"/>
      <c r="VO118" s="2"/>
      <c r="VP118" s="2"/>
      <c r="VQ118" s="2"/>
      <c r="VR118" s="2"/>
      <c r="VS118" s="2"/>
      <c r="VT118" s="2"/>
      <c r="VU118" s="2"/>
      <c r="VV118" s="2"/>
      <c r="VW118" s="2"/>
      <c r="VX118" s="2"/>
      <c r="VY118" s="2"/>
      <c r="VZ118" s="2"/>
      <c r="WA118" s="2"/>
      <c r="WB118" s="2"/>
      <c r="WC118" s="2"/>
      <c r="WD118" s="2"/>
      <c r="WE118" s="2"/>
      <c r="WF118" s="2"/>
      <c r="WG118" s="2"/>
      <c r="WH118" s="2"/>
      <c r="WI118" s="2"/>
      <c r="WJ118" s="2"/>
      <c r="WK118" s="2"/>
      <c r="WL118" s="2"/>
      <c r="WM118" s="2"/>
      <c r="WN118" s="2"/>
      <c r="WO118" s="2"/>
      <c r="WP118" s="2"/>
      <c r="WQ118" s="2"/>
      <c r="WR118" s="2"/>
      <c r="WS118" s="2"/>
      <c r="WT118" s="2"/>
      <c r="WU118" s="2"/>
      <c r="WV118" s="2"/>
      <c r="WW118" s="2"/>
      <c r="WX118" s="2"/>
      <c r="WY118" s="2"/>
      <c r="WZ118" s="2"/>
      <c r="XA118" s="2"/>
      <c r="XB118" s="2"/>
      <c r="XC118" s="2"/>
      <c r="XD118" s="2"/>
      <c r="XE118" s="2"/>
      <c r="XF118" s="2"/>
      <c r="XG118" s="2"/>
      <c r="XH118" s="2"/>
      <c r="XI118" s="2"/>
      <c r="XJ118" s="2"/>
      <c r="XK118" s="2"/>
      <c r="XL118" s="2"/>
      <c r="XM118" s="2"/>
      <c r="XN118" s="2"/>
      <c r="XO118" s="2"/>
      <c r="XP118" s="2"/>
      <c r="XQ118" s="2"/>
      <c r="XR118" s="2"/>
      <c r="XS118" s="2"/>
      <c r="XT118" s="2"/>
      <c r="XU118" s="2"/>
      <c r="XV118" s="2"/>
      <c r="XW118" s="2"/>
      <c r="XX118" s="2"/>
      <c r="XY118" s="2"/>
      <c r="XZ118" s="2"/>
      <c r="YA118" s="2"/>
      <c r="YB118" s="2"/>
      <c r="YC118" s="2"/>
      <c r="YD118" s="2"/>
      <c r="YE118" s="2"/>
      <c r="YF118" s="2"/>
      <c r="YG118" s="2"/>
      <c r="YH118" s="2"/>
      <c r="YI118" s="2"/>
      <c r="YJ118" s="2"/>
      <c r="YK118" s="2"/>
      <c r="YL118" s="2"/>
      <c r="YM118" s="2"/>
      <c r="YN118" s="2"/>
      <c r="YO118" s="2"/>
      <c r="YP118" s="2"/>
      <c r="YQ118" s="2"/>
      <c r="YR118" s="2"/>
      <c r="YS118" s="2"/>
      <c r="YT118" s="2"/>
      <c r="YU118" s="2"/>
      <c r="YV118" s="2"/>
      <c r="YW118" s="2"/>
      <c r="YX118" s="2"/>
      <c r="YY118" s="2"/>
      <c r="YZ118" s="2"/>
      <c r="ZA118" s="2"/>
      <c r="ZB118" s="2"/>
      <c r="ZC118" s="2"/>
      <c r="ZD118" s="2"/>
      <c r="ZE118" s="2"/>
      <c r="ZF118" s="2"/>
      <c r="ZG118" s="2"/>
      <c r="ZH118" s="2"/>
      <c r="ZI118" s="2"/>
      <c r="ZJ118" s="2"/>
      <c r="ZK118" s="2"/>
      <c r="ZL118" s="2"/>
      <c r="ZM118" s="2"/>
      <c r="ZN118" s="2"/>
      <c r="ZO118" s="2"/>
      <c r="ZP118" s="2"/>
      <c r="ZQ118" s="2"/>
      <c r="ZR118" s="2"/>
      <c r="ZS118" s="2"/>
      <c r="ZT118" s="2"/>
      <c r="ZU118" s="2"/>
      <c r="ZV118" s="2"/>
      <c r="ZW118" s="2"/>
      <c r="ZX118" s="2"/>
      <c r="ZY118" s="2"/>
      <c r="ZZ118" s="2"/>
      <c r="AAA118" s="2"/>
      <c r="AAB118" s="2"/>
      <c r="AAC118" s="2"/>
      <c r="AAD118" s="2"/>
      <c r="AAE118" s="2"/>
      <c r="AAF118" s="2"/>
      <c r="AAG118" s="2"/>
      <c r="AAH118" s="2"/>
      <c r="AAI118" s="2"/>
      <c r="AAJ118" s="2"/>
      <c r="AAK118" s="2"/>
      <c r="AAL118" s="2"/>
      <c r="AAM118" s="2"/>
      <c r="AAN118" s="2"/>
      <c r="AAO118" s="2"/>
      <c r="AAP118" s="2"/>
      <c r="AAQ118" s="2"/>
      <c r="AAR118" s="2"/>
      <c r="AAS118" s="2"/>
      <c r="AAT118" s="2"/>
      <c r="AAU118" s="2"/>
      <c r="AAV118" s="2"/>
      <c r="AAW118" s="2"/>
      <c r="AAX118" s="2"/>
      <c r="AAY118" s="2"/>
      <c r="AAZ118" s="2"/>
      <c r="ABA118" s="2"/>
      <c r="ABB118" s="2"/>
      <c r="ABC118" s="2"/>
      <c r="ABD118" s="2"/>
      <c r="ABE118" s="2"/>
      <c r="ABF118" s="2"/>
      <c r="ABG118" s="2"/>
      <c r="ABH118" s="2"/>
      <c r="ABI118" s="2"/>
      <c r="ABJ118" s="2"/>
      <c r="ABK118" s="2"/>
      <c r="ABL118" s="2"/>
      <c r="ABM118" s="2"/>
      <c r="ABN118" s="2"/>
      <c r="ABO118" s="2"/>
      <c r="ABP118" s="2"/>
      <c r="ABQ118" s="2"/>
      <c r="ABR118" s="2"/>
      <c r="ABS118" s="2"/>
      <c r="ABT118" s="2"/>
      <c r="ABU118" s="2"/>
      <c r="ABV118" s="2"/>
      <c r="ABW118" s="2"/>
      <c r="ABX118" s="2"/>
      <c r="ABY118" s="2"/>
      <c r="ABZ118" s="2"/>
      <c r="ACA118" s="2"/>
      <c r="ACB118" s="2"/>
      <c r="ACC118" s="2"/>
      <c r="ACD118" s="2"/>
      <c r="ACE118" s="2"/>
      <c r="ACF118" s="2"/>
      <c r="ACG118" s="2"/>
      <c r="ACH118" s="2"/>
      <c r="ACI118" s="2"/>
      <c r="ACJ118" s="2"/>
      <c r="ACK118" s="2"/>
      <c r="ACL118" s="2"/>
      <c r="ACM118" s="2"/>
      <c r="ACN118" s="2"/>
      <c r="ACO118" s="2"/>
      <c r="ACP118" s="2"/>
      <c r="ACQ118" s="2"/>
      <c r="ACR118" s="2"/>
      <c r="ACS118" s="2"/>
      <c r="ACT118" s="2"/>
      <c r="ACU118" s="2"/>
      <c r="ACV118" s="2"/>
      <c r="ACW118" s="2"/>
      <c r="ACX118" s="2"/>
      <c r="ACY118" s="2"/>
      <c r="ACZ118" s="2"/>
      <c r="ADA118" s="2"/>
      <c r="ADB118" s="2"/>
      <c r="ADC118" s="2"/>
      <c r="ADD118" s="2"/>
      <c r="ADE118" s="2"/>
      <c r="ADF118" s="2"/>
      <c r="ADG118" s="2"/>
      <c r="ADH118" s="2"/>
      <c r="ADI118" s="2"/>
      <c r="ADJ118" s="2"/>
      <c r="ADK118" s="2"/>
      <c r="ADL118" s="2"/>
      <c r="ADM118" s="2"/>
      <c r="ADN118" s="2"/>
      <c r="ADO118" s="2"/>
      <c r="ADP118" s="2"/>
      <c r="ADQ118" s="2"/>
      <c r="ADR118" s="2"/>
      <c r="ADS118" s="2"/>
      <c r="ADT118" s="2"/>
      <c r="ADU118" s="2"/>
      <c r="ADV118" s="2"/>
      <c r="ADW118" s="2"/>
      <c r="ADX118" s="2"/>
      <c r="ADY118" s="2"/>
      <c r="ADZ118" s="2"/>
      <c r="AEA118" s="2"/>
      <c r="AEB118" s="2"/>
      <c r="AEC118" s="2"/>
      <c r="AED118" s="2"/>
      <c r="AEE118" s="2"/>
      <c r="AEF118" s="2"/>
      <c r="AEG118" s="2"/>
      <c r="AEH118" s="2"/>
      <c r="AEI118" s="2"/>
      <c r="AEJ118" s="2"/>
      <c r="AEK118" s="2"/>
      <c r="AEL118" s="2"/>
      <c r="AEM118" s="2"/>
      <c r="AEN118" s="2"/>
      <c r="AEO118" s="2"/>
      <c r="AEP118" s="2"/>
      <c r="AEQ118" s="2"/>
      <c r="AER118" s="2"/>
      <c r="AES118" s="2"/>
      <c r="AET118" s="2"/>
      <c r="AEU118" s="2"/>
      <c r="AEV118" s="2"/>
      <c r="AEW118" s="2"/>
      <c r="AEX118" s="2"/>
      <c r="AEY118" s="2"/>
      <c r="AEZ118" s="2"/>
      <c r="AFA118" s="2"/>
      <c r="AFB118" s="2"/>
      <c r="AFC118" s="2"/>
      <c r="AFD118" s="2"/>
      <c r="AFE118" s="2"/>
      <c r="AFF118" s="2"/>
      <c r="AFG118" s="2"/>
      <c r="AFH118" s="2"/>
      <c r="AFI118" s="2"/>
      <c r="AFJ118" s="2"/>
      <c r="AFK118" s="2"/>
      <c r="AFL118" s="2"/>
      <c r="AFM118" s="2"/>
      <c r="AFN118" s="2"/>
      <c r="AFO118" s="2"/>
      <c r="AFP118" s="2"/>
      <c r="AFQ118" s="2"/>
      <c r="AFR118" s="2"/>
      <c r="AFS118" s="2"/>
      <c r="AFT118" s="2"/>
      <c r="AFU118" s="2"/>
      <c r="AFV118" s="2"/>
      <c r="AFW118" s="2"/>
      <c r="AFX118" s="2"/>
      <c r="AFY118" s="2"/>
      <c r="AFZ118" s="2"/>
      <c r="AGA118" s="2"/>
      <c r="AGB118" s="2"/>
      <c r="AGC118" s="2"/>
      <c r="AGD118" s="2"/>
      <c r="AGE118" s="2"/>
      <c r="AGF118" s="2"/>
      <c r="AGG118" s="2"/>
      <c r="AGH118" s="2"/>
      <c r="AGI118" s="2"/>
      <c r="AGJ118" s="2"/>
      <c r="AGK118" s="2"/>
      <c r="AGL118" s="2"/>
      <c r="AGM118" s="2"/>
      <c r="AGN118" s="2"/>
      <c r="AGO118" s="2"/>
      <c r="AGP118" s="2"/>
      <c r="AGQ118" s="2"/>
      <c r="AGR118" s="2"/>
      <c r="AGS118" s="2"/>
      <c r="AGT118" s="2"/>
      <c r="AGU118" s="2"/>
      <c r="AGV118" s="2"/>
      <c r="AGW118" s="2"/>
      <c r="AGX118" s="2"/>
      <c r="AGY118" s="2"/>
      <c r="AGZ118" s="2"/>
      <c r="AHA118" s="2"/>
      <c r="AHB118" s="2"/>
      <c r="AHC118" s="2"/>
      <c r="AHD118" s="2"/>
      <c r="AHE118" s="2"/>
      <c r="AHF118" s="2"/>
      <c r="AHG118" s="2"/>
      <c r="AHH118" s="2"/>
      <c r="AHI118" s="2"/>
      <c r="AHJ118" s="2"/>
      <c r="AHK118" s="2"/>
      <c r="AHL118" s="2"/>
      <c r="AHM118" s="2"/>
      <c r="AHN118" s="2"/>
      <c r="AHO118" s="2"/>
      <c r="AHP118" s="2"/>
      <c r="AHQ118" s="2"/>
      <c r="AHR118" s="2"/>
      <c r="AHS118" s="2"/>
      <c r="AHT118" s="2"/>
      <c r="AHU118" s="2"/>
      <c r="AHV118" s="2"/>
      <c r="AHW118" s="2"/>
      <c r="AHX118" s="2"/>
      <c r="AHY118" s="2"/>
      <c r="AHZ118" s="2"/>
      <c r="AIA118" s="2"/>
      <c r="AIB118" s="2"/>
      <c r="AIC118" s="2"/>
      <c r="AID118" s="2"/>
      <c r="AIE118" s="2"/>
      <c r="AIF118" s="2"/>
      <c r="AIG118" s="2"/>
      <c r="AIH118" s="2"/>
      <c r="AII118" s="2"/>
      <c r="AIJ118" s="2"/>
      <c r="AIK118" s="2"/>
      <c r="AIL118" s="2"/>
      <c r="AIM118" s="2"/>
      <c r="AIN118" s="2"/>
      <c r="AIO118" s="2"/>
      <c r="AIP118" s="2"/>
      <c r="AIQ118" s="2"/>
      <c r="AIR118" s="2"/>
      <c r="AIS118" s="2"/>
      <c r="AIT118" s="2"/>
      <c r="AIU118" s="2"/>
      <c r="AIV118" s="2"/>
      <c r="AIW118" s="2"/>
      <c r="AIX118" s="2"/>
      <c r="AIY118" s="2"/>
      <c r="AIZ118" s="2"/>
      <c r="AJA118" s="2"/>
      <c r="AJB118" s="2"/>
      <c r="AJC118" s="2"/>
      <c r="AJD118" s="2"/>
      <c r="AJE118" s="2"/>
      <c r="AJF118" s="2"/>
      <c r="AJG118" s="2"/>
      <c r="AJH118" s="2"/>
      <c r="AJI118" s="2"/>
      <c r="AJJ118" s="2"/>
      <c r="AJK118" s="2"/>
      <c r="AJL118" s="2"/>
      <c r="AJM118" s="2"/>
      <c r="AJN118" s="2"/>
      <c r="AJO118" s="2"/>
      <c r="AJP118" s="2"/>
      <c r="AJQ118" s="2"/>
      <c r="AJR118" s="2"/>
      <c r="AJS118" s="2"/>
      <c r="AJT118" s="2"/>
      <c r="AJU118" s="2"/>
      <c r="AJV118" s="2"/>
      <c r="AJW118" s="2"/>
      <c r="AJX118" s="2"/>
      <c r="AJY118" s="2"/>
      <c r="AJZ118" s="2"/>
      <c r="AKA118" s="2"/>
      <c r="AKB118" s="2"/>
      <c r="AKC118" s="2"/>
      <c r="AKD118" s="2"/>
      <c r="AKE118" s="2"/>
      <c r="AKF118" s="2"/>
      <c r="AKG118" s="2"/>
      <c r="AKH118" s="2"/>
      <c r="AKI118" s="2"/>
      <c r="AKJ118" s="2"/>
      <c r="AKK118" s="2"/>
      <c r="AKL118" s="2"/>
      <c r="AKM118" s="2"/>
      <c r="AKN118" s="2"/>
      <c r="AKO118" s="2"/>
      <c r="AKP118" s="2"/>
      <c r="AKQ118" s="2"/>
      <c r="AKR118" s="2"/>
      <c r="AKS118" s="2"/>
      <c r="AKT118" s="2"/>
      <c r="AKU118" s="2"/>
      <c r="AKV118" s="2"/>
      <c r="AKW118" s="2"/>
      <c r="AKX118" s="2"/>
      <c r="AKY118" s="2"/>
      <c r="AKZ118" s="2"/>
      <c r="ALA118" s="2"/>
      <c r="ALB118" s="2"/>
      <c r="ALC118" s="2"/>
      <c r="ALD118" s="2"/>
      <c r="ALE118" s="2"/>
      <c r="ALF118" s="2"/>
      <c r="ALG118" s="2"/>
      <c r="ALH118" s="2"/>
      <c r="ALI118" s="2"/>
      <c r="ALJ118" s="2"/>
      <c r="ALK118" s="2"/>
      <c r="ALL118" s="2"/>
      <c r="ALM118" s="2"/>
      <c r="ALN118" s="2"/>
      <c r="ALO118" s="2"/>
      <c r="ALP118" s="2"/>
      <c r="ALQ118" s="2"/>
      <c r="ALR118" s="2"/>
      <c r="ALS118" s="2"/>
      <c r="ALT118" s="2"/>
      <c r="ALU118" s="2"/>
      <c r="ALV118" s="2"/>
      <c r="ALW118" s="2"/>
      <c r="ALX118" s="2"/>
      <c r="ALY118" s="2"/>
      <c r="ALZ118" s="2"/>
      <c r="AMA118" s="2"/>
      <c r="AMB118" s="2"/>
      <c r="AMC118" s="2"/>
      <c r="AMD118" s="2"/>
      <c r="AME118" s="2"/>
      <c r="AMF118" s="2"/>
      <c r="AMG118" s="2"/>
      <c r="AMH118" s="2"/>
      <c r="AMI118" s="2"/>
      <c r="AMJ118" s="2"/>
      <c r="AMK118" s="2"/>
      <c r="AML118" s="2"/>
      <c r="AMM118" s="2"/>
      <c r="AMN118" s="2"/>
      <c r="AMO118" s="2"/>
    </row>
    <row r="119" spans="1:1029" x14ac:dyDescent="0.2">
      <c r="A119" s="3" t="str">
        <f t="shared" si="559"/>
        <v>agtr1_human_4YAY</v>
      </c>
      <c r="B119" s="3" t="s">
        <v>158</v>
      </c>
      <c r="C119" s="3" t="s">
        <v>69</v>
      </c>
      <c r="D119" s="3" t="str">
        <f>IFERROR(MID(VLOOKUP($B119,Seqs!$A:$B,2,0),E119,1),"")</f>
        <v>Y</v>
      </c>
      <c r="E119" s="3">
        <v>26</v>
      </c>
      <c r="F119" s="3" t="str">
        <f>IFERROR(MID(VLOOKUP($B119,Seqs!$A:$B,2,0),G119,1),"")</f>
        <v>Y</v>
      </c>
      <c r="G119" s="3">
        <v>56</v>
      </c>
      <c r="H119" s="3" t="str">
        <f>IFERROR(MID(VLOOKUP($B119,Seqs!$A:$B,2,0),I119,1),"")</f>
        <v>M</v>
      </c>
      <c r="I119" s="23">
        <v>57</v>
      </c>
      <c r="J119" s="3" t="str">
        <f>IFERROR(MID(VLOOKUP($B119,Seqs!$A:$B,2,0),K119,1),"")</f>
        <v>K</v>
      </c>
      <c r="K119" s="23">
        <v>60</v>
      </c>
      <c r="L119" s="3" t="str">
        <f>IFERROR(MID(VLOOKUP($B119,Seqs!$A:$B,2,0),M119,1),"")</f>
        <v>T</v>
      </c>
      <c r="M119" s="3">
        <v>61</v>
      </c>
      <c r="N119" s="3" t="str">
        <f>IFERROR(MID(VLOOKUP($B119,Seqs!$A:$B,2,0),O119,1),"")</f>
        <v>M</v>
      </c>
      <c r="O119" s="3">
        <v>90</v>
      </c>
      <c r="P119" s="3" t="str">
        <f>IFERROR(MID(VLOOKUP($B119,Seqs!$A:$B,2,0),Q119,1),"")</f>
        <v>R</v>
      </c>
      <c r="Q119" s="3">
        <v>93</v>
      </c>
      <c r="R119" s="3" t="str">
        <f>IFERROR(MID(VLOOKUP($B119,Seqs!$A:$B,2,0),S119,1),"")</f>
        <v>F</v>
      </c>
      <c r="S119" s="3">
        <v>96</v>
      </c>
      <c r="T119" s="3" t="str">
        <f>IFERROR(MID(VLOOKUP($B119,Seqs!$A:$B,2,0),U119,1),"")</f>
        <v>G</v>
      </c>
      <c r="U119" s="3">
        <v>97</v>
      </c>
      <c r="V119" s="3" t="str">
        <f>IFERROR(MID(VLOOKUP($B119,Seqs!$A:$B,2,0),W119,1),"")</f>
        <v>H</v>
      </c>
      <c r="W119" s="3">
        <v>132</v>
      </c>
      <c r="X119" s="3" t="str">
        <f>IFERROR(MID(VLOOKUP($B119,Seqs!$A:$B,2,0),Y119,1),"")</f>
        <v/>
      </c>
      <c r="Y119" s="3" t="s">
        <v>23</v>
      </c>
      <c r="Z119" s="3" t="str">
        <f>IFERROR(MID(VLOOKUP($B119,Seqs!$A:$B,2,0),AA119,1),"")</f>
        <v/>
      </c>
      <c r="AA119" s="3" t="s">
        <v>23</v>
      </c>
      <c r="AB119" s="3" t="str">
        <f>IFERROR(MID(VLOOKUP($B119,Seqs!$A:$B,2,0),AC119,1),"")</f>
        <v>R</v>
      </c>
      <c r="AC119" s="9">
        <v>137</v>
      </c>
      <c r="AD119" s="3" t="str">
        <f>IFERROR(MID(VLOOKUP($B119,Seqs!$A:$B,2,0),AE119,1),"")</f>
        <v>R</v>
      </c>
      <c r="AE119" s="3">
        <v>167</v>
      </c>
      <c r="AF119" s="3" t="str">
        <f>IFERROR(MID(VLOOKUP($B119,Seqs!$A:$B,2,0),AG119,1),"")</f>
        <v>C</v>
      </c>
      <c r="AG119" s="3">
        <v>180</v>
      </c>
      <c r="AH119" s="3" t="str">
        <f>IFERROR(MID(VLOOKUP($B119,Seqs!$A:$B,2,0),AI119,1),"")</f>
        <v>F</v>
      </c>
      <c r="AI119" s="3">
        <v>182</v>
      </c>
      <c r="AJ119" s="3" t="str">
        <f>IFERROR(MID(VLOOKUP($B119,Seqs!$A:$B,2,0),AK119,1),"")</f>
        <v>L</v>
      </c>
      <c r="AK119" s="3">
        <v>191</v>
      </c>
      <c r="AL119" s="3" t="str">
        <f>IFERROR(MID(VLOOKUP($B119,Seqs!$A:$B,2,0),AM119,1),"")</f>
        <v>L</v>
      </c>
      <c r="AM119" s="3">
        <v>222</v>
      </c>
      <c r="AN119" s="3" t="str">
        <f>IFERROR(MID(VLOOKUP($B119,Seqs!$A:$B,2,0),AO119,1),"")</f>
        <v>N</v>
      </c>
      <c r="AO119" s="3">
        <v>235</v>
      </c>
      <c r="AP119" s="3" t="str">
        <f>IFERROR(MID(VLOOKUP($B119,Seqs!$A:$B,2,0),AQ119,1),"")</f>
        <v>G</v>
      </c>
      <c r="AQ119" s="3">
        <v>269</v>
      </c>
      <c r="AR119" s="3" t="str">
        <f>IFERROR(MID(VLOOKUP($B119,Seqs!$A:$B,2,0),AS119,1),"")</f>
        <v>D</v>
      </c>
      <c r="AS119" s="3">
        <v>273</v>
      </c>
      <c r="AT119" s="3" t="str">
        <f>IFERROR(MID(VLOOKUP($B119,Seqs!$A:$B,2,0),AU119,1),"")</f>
        <v>N</v>
      </c>
      <c r="AU119" s="3">
        <v>298</v>
      </c>
      <c r="AV119" s="3" t="str">
        <f>IFERROR(MID(VLOOKUP($B119,Seqs!$A:$B,2,0),AW119,1),"")</f>
        <v/>
      </c>
      <c r="AW119" s="3" t="s">
        <v>23</v>
      </c>
      <c r="AX119" s="3" t="str">
        <f>IFERROR(MID(VLOOKUP($B119,Seqs!$A:$B,2,0),AY119,1),"")</f>
        <v/>
      </c>
      <c r="AY119" s="3" t="s">
        <v>23</v>
      </c>
      <c r="AZ119" s="77" t="str">
        <f>VLOOKUP(B119,Classification!A:D,2,0)</f>
        <v>A</v>
      </c>
      <c r="BA119" s="94" t="str">
        <f>VLOOKUP(B119,Classification!A:D,4,0)</f>
        <v>Angiotensin</v>
      </c>
      <c r="BB119" s="27" t="b">
        <f t="shared" si="560"/>
        <v>1</v>
      </c>
      <c r="BC119" s="23">
        <f t="shared" si="365"/>
        <v>234</v>
      </c>
      <c r="BD119" s="4" t="s">
        <v>23</v>
      </c>
      <c r="BE119" s="3" t="s">
        <v>1381</v>
      </c>
      <c r="BF119" s="119">
        <v>2.9</v>
      </c>
      <c r="BG119" s="49" t="s">
        <v>1384</v>
      </c>
      <c r="BH119" s="49" t="s">
        <v>1384</v>
      </c>
      <c r="BI119" s="1"/>
      <c r="BJ119" s="70" t="s">
        <v>1293</v>
      </c>
      <c r="BK119" s="57" t="s">
        <v>1293</v>
      </c>
      <c r="BL119" s="57" t="s">
        <v>1293</v>
      </c>
      <c r="BM119" s="57" t="s">
        <v>1293</v>
      </c>
      <c r="BN119" s="57" t="s">
        <v>1293</v>
      </c>
      <c r="BO119" s="57" t="s">
        <v>1293</v>
      </c>
      <c r="BP119" s="57" t="s">
        <v>1293</v>
      </c>
      <c r="BQ119" s="57" t="s">
        <v>1293</v>
      </c>
      <c r="BR119" s="57" t="s">
        <v>1293</v>
      </c>
      <c r="BS119" s="57" t="s">
        <v>1293</v>
      </c>
      <c r="BT119" s="57" t="s">
        <v>1293</v>
      </c>
      <c r="BU119" s="57" t="s">
        <v>1293</v>
      </c>
      <c r="BV119" s="70">
        <f t="shared" si="366"/>
        <v>26</v>
      </c>
      <c r="BW119" s="71">
        <f t="shared" si="367"/>
        <v>57</v>
      </c>
      <c r="BX119" s="72">
        <f t="shared" si="368"/>
        <v>61</v>
      </c>
      <c r="BY119" s="71">
        <f t="shared" si="369"/>
        <v>93</v>
      </c>
      <c r="BZ119" s="72">
        <f t="shared" si="370"/>
        <v>97</v>
      </c>
      <c r="CA119" s="71" t="str">
        <f t="shared" si="371"/>
        <v>-</v>
      </c>
      <c r="CB119" s="72">
        <f t="shared" si="372"/>
        <v>137</v>
      </c>
      <c r="CC119" s="71">
        <f t="shared" si="373"/>
        <v>180</v>
      </c>
      <c r="CD119" s="72">
        <f t="shared" si="374"/>
        <v>191</v>
      </c>
      <c r="CE119" s="71">
        <f t="shared" si="375"/>
        <v>235</v>
      </c>
      <c r="CF119" s="72">
        <f t="shared" si="376"/>
        <v>273</v>
      </c>
      <c r="CG119" s="71" t="str">
        <f t="shared" si="377"/>
        <v>-</v>
      </c>
      <c r="CH119" s="70">
        <f t="shared" si="378"/>
        <v>56</v>
      </c>
      <c r="CI119" s="71">
        <f t="shared" si="379"/>
        <v>60</v>
      </c>
      <c r="CJ119" s="72">
        <f t="shared" si="380"/>
        <v>90</v>
      </c>
      <c r="CK119" s="72">
        <f t="shared" si="381"/>
        <v>96</v>
      </c>
      <c r="CL119" s="72">
        <f t="shared" si="382"/>
        <v>132</v>
      </c>
      <c r="CM119" s="72" t="str">
        <f t="shared" si="383"/>
        <v>-</v>
      </c>
      <c r="CN119" s="72">
        <f t="shared" si="384"/>
        <v>167</v>
      </c>
      <c r="CO119" s="72">
        <f t="shared" si="385"/>
        <v>182</v>
      </c>
      <c r="CP119" s="72">
        <f t="shared" si="386"/>
        <v>222</v>
      </c>
      <c r="CQ119" s="72">
        <f t="shared" si="387"/>
        <v>269</v>
      </c>
      <c r="CR119" s="72">
        <f t="shared" si="388"/>
        <v>298</v>
      </c>
      <c r="CS119" s="72" t="str">
        <f t="shared" si="389"/>
        <v>-</v>
      </c>
      <c r="CT119" s="23">
        <f t="shared" si="390"/>
        <v>1</v>
      </c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  <c r="JA119" s="2"/>
      <c r="JB119" s="2"/>
      <c r="JC119" s="2"/>
      <c r="JD119" s="2"/>
      <c r="JE119" s="2"/>
      <c r="JF119" s="2"/>
      <c r="JG119" s="2"/>
      <c r="JH119" s="2"/>
      <c r="JI119" s="2"/>
      <c r="JJ119" s="2"/>
      <c r="JK119" s="2"/>
      <c r="JL119" s="2"/>
      <c r="JM119" s="2"/>
      <c r="JN119" s="2"/>
      <c r="JO119" s="2"/>
      <c r="JP119" s="2"/>
      <c r="JQ119" s="2"/>
      <c r="JR119" s="2"/>
      <c r="JS119" s="2"/>
      <c r="JT119" s="2"/>
      <c r="JU119" s="2"/>
      <c r="JV119" s="2"/>
      <c r="JW119" s="2"/>
      <c r="JX119" s="2"/>
      <c r="JY119" s="2"/>
      <c r="JZ119" s="2"/>
      <c r="KA119" s="2"/>
      <c r="KB119" s="2"/>
      <c r="KC119" s="2"/>
      <c r="KD119" s="2"/>
      <c r="KE119" s="2"/>
      <c r="KF119" s="2"/>
      <c r="KG119" s="2"/>
      <c r="KH119" s="2"/>
      <c r="KI119" s="2"/>
      <c r="KJ119" s="2"/>
      <c r="KK119" s="2"/>
      <c r="KL119" s="2"/>
      <c r="KM119" s="2"/>
      <c r="KN119" s="2"/>
      <c r="KO119" s="2"/>
      <c r="KP119" s="2"/>
      <c r="KQ119" s="2"/>
      <c r="KR119" s="2"/>
      <c r="KS119" s="2"/>
      <c r="KT119" s="2"/>
      <c r="KU119" s="2"/>
      <c r="KV119" s="2"/>
      <c r="KW119" s="2"/>
      <c r="KX119" s="2"/>
      <c r="KY119" s="2"/>
      <c r="KZ119" s="2"/>
      <c r="LA119" s="2"/>
      <c r="LB119" s="2"/>
      <c r="LC119" s="2"/>
      <c r="LD119" s="2"/>
      <c r="LE119" s="2"/>
      <c r="LF119" s="2"/>
      <c r="LG119" s="2"/>
      <c r="LH119" s="2"/>
      <c r="LI119" s="2"/>
      <c r="LJ119" s="2"/>
      <c r="LK119" s="2"/>
      <c r="LL119" s="2"/>
      <c r="LM119" s="2"/>
      <c r="LN119" s="2"/>
      <c r="LO119" s="2"/>
      <c r="LP119" s="2"/>
      <c r="LQ119" s="2"/>
      <c r="LR119" s="2"/>
      <c r="LS119" s="2"/>
      <c r="LT119" s="2"/>
      <c r="LU119" s="2"/>
      <c r="LV119" s="2"/>
      <c r="LW119" s="2"/>
      <c r="LX119" s="2"/>
      <c r="LY119" s="2"/>
      <c r="LZ119" s="2"/>
      <c r="MA119" s="2"/>
      <c r="MB119" s="2"/>
      <c r="MC119" s="2"/>
      <c r="MD119" s="2"/>
      <c r="ME119" s="2"/>
      <c r="MF119" s="2"/>
      <c r="MG119" s="2"/>
      <c r="MH119" s="2"/>
      <c r="MI119" s="2"/>
      <c r="MJ119" s="2"/>
      <c r="MK119" s="2"/>
      <c r="ML119" s="2"/>
      <c r="MM119" s="2"/>
      <c r="MN119" s="2"/>
      <c r="MO119" s="2"/>
      <c r="MP119" s="2"/>
      <c r="MQ119" s="2"/>
      <c r="MR119" s="2"/>
      <c r="MS119" s="2"/>
      <c r="MT119" s="2"/>
      <c r="MU119" s="2"/>
      <c r="MV119" s="2"/>
      <c r="MW119" s="2"/>
      <c r="MX119" s="2"/>
      <c r="MY119" s="2"/>
      <c r="MZ119" s="2"/>
      <c r="NA119" s="2"/>
      <c r="NB119" s="2"/>
      <c r="NC119" s="2"/>
      <c r="ND119" s="2"/>
      <c r="NE119" s="2"/>
      <c r="NF119" s="2"/>
      <c r="NG119" s="2"/>
      <c r="NH119" s="2"/>
      <c r="NI119" s="2"/>
      <c r="NJ119" s="2"/>
      <c r="NK119" s="2"/>
      <c r="NL119" s="2"/>
      <c r="NM119" s="2"/>
      <c r="NN119" s="2"/>
      <c r="NO119" s="2"/>
      <c r="NP119" s="2"/>
      <c r="NQ119" s="2"/>
      <c r="NR119" s="2"/>
      <c r="NS119" s="2"/>
      <c r="NT119" s="2"/>
      <c r="NU119" s="2"/>
      <c r="NV119" s="2"/>
      <c r="NW119" s="2"/>
      <c r="NX119" s="2"/>
      <c r="NY119" s="2"/>
      <c r="NZ119" s="2"/>
      <c r="OA119" s="2"/>
      <c r="OB119" s="2"/>
      <c r="OC119" s="2"/>
      <c r="OD119" s="2"/>
      <c r="OE119" s="2"/>
      <c r="OF119" s="2"/>
      <c r="OG119" s="2"/>
      <c r="OH119" s="2"/>
      <c r="OI119" s="2"/>
      <c r="OJ119" s="2"/>
      <c r="OK119" s="2"/>
      <c r="OL119" s="2"/>
      <c r="OM119" s="2"/>
      <c r="ON119" s="2"/>
      <c r="OO119" s="2"/>
      <c r="OP119" s="2"/>
      <c r="OQ119" s="2"/>
      <c r="OR119" s="2"/>
      <c r="OS119" s="2"/>
      <c r="OT119" s="2"/>
      <c r="OU119" s="2"/>
      <c r="OV119" s="2"/>
      <c r="OW119" s="2"/>
      <c r="OX119" s="2"/>
      <c r="OY119" s="2"/>
      <c r="OZ119" s="2"/>
      <c r="PA119" s="2"/>
      <c r="PB119" s="2"/>
      <c r="PC119" s="2"/>
      <c r="PD119" s="2"/>
      <c r="PE119" s="2"/>
      <c r="PF119" s="2"/>
      <c r="PG119" s="2"/>
      <c r="PH119" s="2"/>
      <c r="PI119" s="2"/>
      <c r="PJ119" s="2"/>
      <c r="PK119" s="2"/>
      <c r="PL119" s="2"/>
      <c r="PM119" s="2"/>
      <c r="PN119" s="2"/>
      <c r="PO119" s="2"/>
      <c r="PP119" s="2"/>
      <c r="PQ119" s="2"/>
      <c r="PR119" s="2"/>
      <c r="PS119" s="2"/>
      <c r="PT119" s="2"/>
      <c r="PU119" s="2"/>
      <c r="PV119" s="2"/>
      <c r="PW119" s="2"/>
      <c r="PX119" s="2"/>
      <c r="PY119" s="2"/>
      <c r="PZ119" s="2"/>
      <c r="QA119" s="2"/>
      <c r="QB119" s="2"/>
      <c r="QC119" s="2"/>
      <c r="QD119" s="2"/>
      <c r="QE119" s="2"/>
      <c r="QF119" s="2"/>
      <c r="QG119" s="2"/>
      <c r="QH119" s="2"/>
      <c r="QI119" s="2"/>
      <c r="QJ119" s="2"/>
      <c r="QK119" s="2"/>
      <c r="QL119" s="2"/>
      <c r="QM119" s="2"/>
      <c r="QN119" s="2"/>
      <c r="QO119" s="2"/>
      <c r="QP119" s="2"/>
      <c r="QQ119" s="2"/>
      <c r="QR119" s="2"/>
      <c r="QS119" s="2"/>
      <c r="QT119" s="2"/>
      <c r="QU119" s="2"/>
      <c r="QV119" s="2"/>
      <c r="QW119" s="2"/>
      <c r="QX119" s="2"/>
      <c r="QY119" s="2"/>
      <c r="QZ119" s="2"/>
      <c r="RA119" s="2"/>
      <c r="RB119" s="2"/>
      <c r="RC119" s="2"/>
      <c r="RD119" s="2"/>
      <c r="RE119" s="2"/>
      <c r="RF119" s="2"/>
      <c r="RG119" s="2"/>
      <c r="RH119" s="2"/>
      <c r="RI119" s="2"/>
      <c r="RJ119" s="2"/>
      <c r="RK119" s="2"/>
      <c r="RL119" s="2"/>
      <c r="RM119" s="2"/>
      <c r="RN119" s="2"/>
      <c r="RO119" s="2"/>
      <c r="RP119" s="2"/>
      <c r="RQ119" s="2"/>
      <c r="RR119" s="2"/>
      <c r="RS119" s="2"/>
      <c r="RT119" s="2"/>
      <c r="RU119" s="2"/>
      <c r="RV119" s="2"/>
      <c r="RW119" s="2"/>
      <c r="RX119" s="2"/>
      <c r="RY119" s="2"/>
      <c r="RZ119" s="2"/>
      <c r="SA119" s="2"/>
      <c r="SB119" s="2"/>
      <c r="SC119" s="2"/>
      <c r="SD119" s="2"/>
      <c r="SE119" s="2"/>
      <c r="SF119" s="2"/>
      <c r="SG119" s="2"/>
      <c r="SH119" s="2"/>
      <c r="SI119" s="2"/>
      <c r="SJ119" s="2"/>
      <c r="SK119" s="2"/>
      <c r="SL119" s="2"/>
      <c r="SM119" s="2"/>
      <c r="SN119" s="2"/>
      <c r="SO119" s="2"/>
      <c r="SP119" s="2"/>
      <c r="SQ119" s="2"/>
      <c r="SR119" s="2"/>
      <c r="SS119" s="2"/>
      <c r="ST119" s="2"/>
      <c r="SU119" s="2"/>
      <c r="SV119" s="2"/>
      <c r="SW119" s="2"/>
      <c r="SX119" s="2"/>
      <c r="SY119" s="2"/>
      <c r="SZ119" s="2"/>
      <c r="TA119" s="2"/>
      <c r="TB119" s="2"/>
      <c r="TC119" s="2"/>
      <c r="TD119" s="2"/>
      <c r="TE119" s="2"/>
      <c r="TF119" s="2"/>
      <c r="TG119" s="2"/>
      <c r="TH119" s="2"/>
      <c r="TI119" s="2"/>
      <c r="TJ119" s="2"/>
      <c r="TK119" s="2"/>
      <c r="TL119" s="2"/>
      <c r="TM119" s="2"/>
      <c r="TN119" s="2"/>
      <c r="TO119" s="2"/>
      <c r="TP119" s="2"/>
      <c r="TQ119" s="2"/>
      <c r="TR119" s="2"/>
      <c r="TS119" s="2"/>
      <c r="TT119" s="2"/>
      <c r="TU119" s="2"/>
      <c r="TV119" s="2"/>
      <c r="TW119" s="2"/>
      <c r="TX119" s="2"/>
      <c r="TY119" s="2"/>
      <c r="TZ119" s="2"/>
      <c r="UA119" s="2"/>
      <c r="UB119" s="2"/>
      <c r="UC119" s="2"/>
      <c r="UD119" s="2"/>
      <c r="UE119" s="2"/>
      <c r="UF119" s="2"/>
      <c r="UG119" s="2"/>
      <c r="UH119" s="2"/>
      <c r="UI119" s="2"/>
      <c r="UJ119" s="2"/>
      <c r="UK119" s="2"/>
      <c r="UL119" s="2"/>
      <c r="UM119" s="2"/>
      <c r="UN119" s="2"/>
      <c r="UO119" s="2"/>
      <c r="UP119" s="2"/>
      <c r="UQ119" s="2"/>
      <c r="UR119" s="2"/>
      <c r="US119" s="2"/>
      <c r="UT119" s="2"/>
      <c r="UU119" s="2"/>
      <c r="UV119" s="2"/>
      <c r="UW119" s="2"/>
      <c r="UX119" s="2"/>
      <c r="UY119" s="2"/>
      <c r="UZ119" s="2"/>
      <c r="VA119" s="2"/>
      <c r="VB119" s="2"/>
      <c r="VC119" s="2"/>
      <c r="VD119" s="2"/>
      <c r="VE119" s="2"/>
      <c r="VF119" s="2"/>
      <c r="VG119" s="2"/>
      <c r="VH119" s="2"/>
      <c r="VI119" s="2"/>
      <c r="VJ119" s="2"/>
      <c r="VK119" s="2"/>
      <c r="VL119" s="2"/>
      <c r="VM119" s="2"/>
      <c r="VN119" s="2"/>
      <c r="VO119" s="2"/>
      <c r="VP119" s="2"/>
      <c r="VQ119" s="2"/>
      <c r="VR119" s="2"/>
      <c r="VS119" s="2"/>
      <c r="VT119" s="2"/>
      <c r="VU119" s="2"/>
      <c r="VV119" s="2"/>
      <c r="VW119" s="2"/>
      <c r="VX119" s="2"/>
      <c r="VY119" s="2"/>
      <c r="VZ119" s="2"/>
      <c r="WA119" s="2"/>
      <c r="WB119" s="2"/>
      <c r="WC119" s="2"/>
      <c r="WD119" s="2"/>
      <c r="WE119" s="2"/>
      <c r="WF119" s="2"/>
      <c r="WG119" s="2"/>
      <c r="WH119" s="2"/>
      <c r="WI119" s="2"/>
      <c r="WJ119" s="2"/>
      <c r="WK119" s="2"/>
      <c r="WL119" s="2"/>
      <c r="WM119" s="2"/>
      <c r="WN119" s="2"/>
      <c r="WO119" s="2"/>
      <c r="WP119" s="2"/>
      <c r="WQ119" s="2"/>
      <c r="WR119" s="2"/>
      <c r="WS119" s="2"/>
      <c r="WT119" s="2"/>
      <c r="WU119" s="2"/>
      <c r="WV119" s="2"/>
      <c r="WW119" s="2"/>
      <c r="WX119" s="2"/>
      <c r="WY119" s="2"/>
      <c r="WZ119" s="2"/>
      <c r="XA119" s="2"/>
      <c r="XB119" s="2"/>
      <c r="XC119" s="2"/>
      <c r="XD119" s="2"/>
      <c r="XE119" s="2"/>
      <c r="XF119" s="2"/>
      <c r="XG119" s="2"/>
      <c r="XH119" s="2"/>
      <c r="XI119" s="2"/>
      <c r="XJ119" s="2"/>
      <c r="XK119" s="2"/>
      <c r="XL119" s="2"/>
      <c r="XM119" s="2"/>
      <c r="XN119" s="2"/>
      <c r="XO119" s="2"/>
      <c r="XP119" s="2"/>
      <c r="XQ119" s="2"/>
      <c r="XR119" s="2"/>
      <c r="XS119" s="2"/>
      <c r="XT119" s="2"/>
      <c r="XU119" s="2"/>
      <c r="XV119" s="2"/>
      <c r="XW119" s="2"/>
      <c r="XX119" s="2"/>
      <c r="XY119" s="2"/>
      <c r="XZ119" s="2"/>
      <c r="YA119" s="2"/>
      <c r="YB119" s="2"/>
      <c r="YC119" s="2"/>
      <c r="YD119" s="2"/>
      <c r="YE119" s="2"/>
      <c r="YF119" s="2"/>
      <c r="YG119" s="2"/>
      <c r="YH119" s="2"/>
      <c r="YI119" s="2"/>
      <c r="YJ119" s="2"/>
      <c r="YK119" s="2"/>
      <c r="YL119" s="2"/>
      <c r="YM119" s="2"/>
      <c r="YN119" s="2"/>
      <c r="YO119" s="2"/>
      <c r="YP119" s="2"/>
      <c r="YQ119" s="2"/>
      <c r="YR119" s="2"/>
      <c r="YS119" s="2"/>
      <c r="YT119" s="2"/>
      <c r="YU119" s="2"/>
      <c r="YV119" s="2"/>
      <c r="YW119" s="2"/>
      <c r="YX119" s="2"/>
      <c r="YY119" s="2"/>
      <c r="YZ119" s="2"/>
      <c r="ZA119" s="2"/>
      <c r="ZB119" s="2"/>
      <c r="ZC119" s="2"/>
      <c r="ZD119" s="2"/>
      <c r="ZE119" s="2"/>
      <c r="ZF119" s="2"/>
      <c r="ZG119" s="2"/>
      <c r="ZH119" s="2"/>
      <c r="ZI119" s="2"/>
      <c r="ZJ119" s="2"/>
      <c r="ZK119" s="2"/>
      <c r="ZL119" s="2"/>
      <c r="ZM119" s="2"/>
      <c r="ZN119" s="2"/>
      <c r="ZO119" s="2"/>
      <c r="ZP119" s="2"/>
      <c r="ZQ119" s="2"/>
      <c r="ZR119" s="2"/>
      <c r="ZS119" s="2"/>
      <c r="ZT119" s="2"/>
      <c r="ZU119" s="2"/>
      <c r="ZV119" s="2"/>
      <c r="ZW119" s="2"/>
      <c r="ZX119" s="2"/>
      <c r="ZY119" s="2"/>
      <c r="ZZ119" s="2"/>
      <c r="AAA119" s="2"/>
      <c r="AAB119" s="2"/>
      <c r="AAC119" s="2"/>
      <c r="AAD119" s="2"/>
      <c r="AAE119" s="2"/>
      <c r="AAF119" s="2"/>
      <c r="AAG119" s="2"/>
      <c r="AAH119" s="2"/>
      <c r="AAI119" s="2"/>
      <c r="AAJ119" s="2"/>
      <c r="AAK119" s="2"/>
      <c r="AAL119" s="2"/>
      <c r="AAM119" s="2"/>
      <c r="AAN119" s="2"/>
      <c r="AAO119" s="2"/>
      <c r="AAP119" s="2"/>
      <c r="AAQ119" s="2"/>
      <c r="AAR119" s="2"/>
      <c r="AAS119" s="2"/>
      <c r="AAT119" s="2"/>
      <c r="AAU119" s="2"/>
      <c r="AAV119" s="2"/>
      <c r="AAW119" s="2"/>
      <c r="AAX119" s="2"/>
      <c r="AAY119" s="2"/>
      <c r="AAZ119" s="2"/>
      <c r="ABA119" s="2"/>
      <c r="ABB119" s="2"/>
      <c r="ABC119" s="2"/>
      <c r="ABD119" s="2"/>
      <c r="ABE119" s="2"/>
      <c r="ABF119" s="2"/>
      <c r="ABG119" s="2"/>
      <c r="ABH119" s="2"/>
      <c r="ABI119" s="2"/>
      <c r="ABJ119" s="2"/>
      <c r="ABK119" s="2"/>
      <c r="ABL119" s="2"/>
      <c r="ABM119" s="2"/>
      <c r="ABN119" s="2"/>
      <c r="ABO119" s="2"/>
      <c r="ABP119" s="2"/>
      <c r="ABQ119" s="2"/>
      <c r="ABR119" s="2"/>
      <c r="ABS119" s="2"/>
      <c r="ABT119" s="2"/>
      <c r="ABU119" s="2"/>
      <c r="ABV119" s="2"/>
      <c r="ABW119" s="2"/>
      <c r="ABX119" s="2"/>
      <c r="ABY119" s="2"/>
      <c r="ABZ119" s="2"/>
      <c r="ACA119" s="2"/>
      <c r="ACB119" s="2"/>
      <c r="ACC119" s="2"/>
      <c r="ACD119" s="2"/>
      <c r="ACE119" s="2"/>
      <c r="ACF119" s="2"/>
      <c r="ACG119" s="2"/>
      <c r="ACH119" s="2"/>
      <c r="ACI119" s="2"/>
      <c r="ACJ119" s="2"/>
      <c r="ACK119" s="2"/>
      <c r="ACL119" s="2"/>
      <c r="ACM119" s="2"/>
      <c r="ACN119" s="2"/>
      <c r="ACO119" s="2"/>
      <c r="ACP119" s="2"/>
      <c r="ACQ119" s="2"/>
      <c r="ACR119" s="2"/>
      <c r="ACS119" s="2"/>
      <c r="ACT119" s="2"/>
      <c r="ACU119" s="2"/>
      <c r="ACV119" s="2"/>
      <c r="ACW119" s="2"/>
      <c r="ACX119" s="2"/>
      <c r="ACY119" s="2"/>
      <c r="ACZ119" s="2"/>
      <c r="ADA119" s="2"/>
      <c r="ADB119" s="2"/>
      <c r="ADC119" s="2"/>
      <c r="ADD119" s="2"/>
      <c r="ADE119" s="2"/>
      <c r="ADF119" s="2"/>
      <c r="ADG119" s="2"/>
      <c r="ADH119" s="2"/>
      <c r="ADI119" s="2"/>
      <c r="ADJ119" s="2"/>
      <c r="ADK119" s="2"/>
      <c r="ADL119" s="2"/>
      <c r="ADM119" s="2"/>
      <c r="ADN119" s="2"/>
      <c r="ADO119" s="2"/>
      <c r="ADP119" s="2"/>
      <c r="ADQ119" s="2"/>
      <c r="ADR119" s="2"/>
      <c r="ADS119" s="2"/>
      <c r="ADT119" s="2"/>
      <c r="ADU119" s="2"/>
      <c r="ADV119" s="2"/>
      <c r="ADW119" s="2"/>
      <c r="ADX119" s="2"/>
      <c r="ADY119" s="2"/>
      <c r="ADZ119" s="2"/>
      <c r="AEA119" s="2"/>
      <c r="AEB119" s="2"/>
      <c r="AEC119" s="2"/>
      <c r="AED119" s="2"/>
      <c r="AEE119" s="2"/>
      <c r="AEF119" s="2"/>
      <c r="AEG119" s="2"/>
      <c r="AEH119" s="2"/>
      <c r="AEI119" s="2"/>
      <c r="AEJ119" s="2"/>
      <c r="AEK119" s="2"/>
      <c r="AEL119" s="2"/>
      <c r="AEM119" s="2"/>
      <c r="AEN119" s="2"/>
      <c r="AEO119" s="2"/>
      <c r="AEP119" s="2"/>
      <c r="AEQ119" s="2"/>
      <c r="AER119" s="2"/>
      <c r="AES119" s="2"/>
      <c r="AET119" s="2"/>
      <c r="AEU119" s="2"/>
      <c r="AEV119" s="2"/>
      <c r="AEW119" s="2"/>
      <c r="AEX119" s="2"/>
      <c r="AEY119" s="2"/>
      <c r="AEZ119" s="2"/>
      <c r="AFA119" s="2"/>
      <c r="AFB119" s="2"/>
      <c r="AFC119" s="2"/>
      <c r="AFD119" s="2"/>
      <c r="AFE119" s="2"/>
      <c r="AFF119" s="2"/>
      <c r="AFG119" s="2"/>
      <c r="AFH119" s="2"/>
      <c r="AFI119" s="2"/>
      <c r="AFJ119" s="2"/>
      <c r="AFK119" s="2"/>
      <c r="AFL119" s="2"/>
      <c r="AFM119" s="2"/>
      <c r="AFN119" s="2"/>
      <c r="AFO119" s="2"/>
      <c r="AFP119" s="2"/>
      <c r="AFQ119" s="2"/>
      <c r="AFR119" s="2"/>
      <c r="AFS119" s="2"/>
      <c r="AFT119" s="2"/>
      <c r="AFU119" s="2"/>
      <c r="AFV119" s="2"/>
      <c r="AFW119" s="2"/>
      <c r="AFX119" s="2"/>
      <c r="AFY119" s="2"/>
      <c r="AFZ119" s="2"/>
      <c r="AGA119" s="2"/>
      <c r="AGB119" s="2"/>
      <c r="AGC119" s="2"/>
      <c r="AGD119" s="2"/>
      <c r="AGE119" s="2"/>
      <c r="AGF119" s="2"/>
      <c r="AGG119" s="2"/>
      <c r="AGH119" s="2"/>
      <c r="AGI119" s="2"/>
      <c r="AGJ119" s="2"/>
      <c r="AGK119" s="2"/>
      <c r="AGL119" s="2"/>
      <c r="AGM119" s="2"/>
      <c r="AGN119" s="2"/>
      <c r="AGO119" s="2"/>
      <c r="AGP119" s="2"/>
      <c r="AGQ119" s="2"/>
      <c r="AGR119" s="2"/>
      <c r="AGS119" s="2"/>
      <c r="AGT119" s="2"/>
      <c r="AGU119" s="2"/>
      <c r="AGV119" s="2"/>
      <c r="AGW119" s="2"/>
      <c r="AGX119" s="2"/>
      <c r="AGY119" s="2"/>
      <c r="AGZ119" s="2"/>
      <c r="AHA119" s="2"/>
      <c r="AHB119" s="2"/>
      <c r="AHC119" s="2"/>
      <c r="AHD119" s="2"/>
      <c r="AHE119" s="2"/>
      <c r="AHF119" s="2"/>
      <c r="AHG119" s="2"/>
      <c r="AHH119" s="2"/>
      <c r="AHI119" s="2"/>
      <c r="AHJ119" s="2"/>
      <c r="AHK119" s="2"/>
      <c r="AHL119" s="2"/>
      <c r="AHM119" s="2"/>
      <c r="AHN119" s="2"/>
      <c r="AHO119" s="2"/>
      <c r="AHP119" s="2"/>
      <c r="AHQ119" s="2"/>
      <c r="AHR119" s="2"/>
      <c r="AHS119" s="2"/>
      <c r="AHT119" s="2"/>
      <c r="AHU119" s="2"/>
      <c r="AHV119" s="2"/>
      <c r="AHW119" s="2"/>
      <c r="AHX119" s="2"/>
      <c r="AHY119" s="2"/>
      <c r="AHZ119" s="2"/>
      <c r="AIA119" s="2"/>
      <c r="AIB119" s="2"/>
      <c r="AIC119" s="2"/>
      <c r="AID119" s="2"/>
      <c r="AIE119" s="2"/>
      <c r="AIF119" s="2"/>
      <c r="AIG119" s="2"/>
      <c r="AIH119" s="2"/>
      <c r="AII119" s="2"/>
      <c r="AIJ119" s="2"/>
      <c r="AIK119" s="2"/>
      <c r="AIL119" s="2"/>
      <c r="AIM119" s="2"/>
      <c r="AIN119" s="2"/>
      <c r="AIO119" s="2"/>
      <c r="AIP119" s="2"/>
      <c r="AIQ119" s="2"/>
      <c r="AIR119" s="2"/>
      <c r="AIS119" s="2"/>
      <c r="AIT119" s="2"/>
      <c r="AIU119" s="2"/>
      <c r="AIV119" s="2"/>
      <c r="AIW119" s="2"/>
      <c r="AIX119" s="2"/>
      <c r="AIY119" s="2"/>
      <c r="AIZ119" s="2"/>
      <c r="AJA119" s="2"/>
      <c r="AJB119" s="2"/>
      <c r="AJC119" s="2"/>
      <c r="AJD119" s="2"/>
      <c r="AJE119" s="2"/>
      <c r="AJF119" s="2"/>
      <c r="AJG119" s="2"/>
      <c r="AJH119" s="2"/>
      <c r="AJI119" s="2"/>
      <c r="AJJ119" s="2"/>
      <c r="AJK119" s="2"/>
      <c r="AJL119" s="2"/>
      <c r="AJM119" s="2"/>
      <c r="AJN119" s="2"/>
      <c r="AJO119" s="2"/>
      <c r="AJP119" s="2"/>
      <c r="AJQ119" s="2"/>
      <c r="AJR119" s="2"/>
      <c r="AJS119" s="2"/>
      <c r="AJT119" s="2"/>
      <c r="AJU119" s="2"/>
      <c r="AJV119" s="2"/>
      <c r="AJW119" s="2"/>
      <c r="AJX119" s="2"/>
      <c r="AJY119" s="2"/>
      <c r="AJZ119" s="2"/>
      <c r="AKA119" s="2"/>
      <c r="AKB119" s="2"/>
      <c r="AKC119" s="2"/>
      <c r="AKD119" s="2"/>
      <c r="AKE119" s="2"/>
      <c r="AKF119" s="2"/>
      <c r="AKG119" s="2"/>
      <c r="AKH119" s="2"/>
      <c r="AKI119" s="2"/>
      <c r="AKJ119" s="2"/>
      <c r="AKK119" s="2"/>
      <c r="AKL119" s="2"/>
      <c r="AKM119" s="2"/>
      <c r="AKN119" s="2"/>
      <c r="AKO119" s="2"/>
      <c r="AKP119" s="2"/>
      <c r="AKQ119" s="2"/>
      <c r="AKR119" s="2"/>
      <c r="AKS119" s="2"/>
      <c r="AKT119" s="2"/>
      <c r="AKU119" s="2"/>
      <c r="AKV119" s="2"/>
      <c r="AKW119" s="2"/>
      <c r="AKX119" s="2"/>
      <c r="AKY119" s="2"/>
      <c r="AKZ119" s="2"/>
      <c r="ALA119" s="2"/>
      <c r="ALB119" s="2"/>
      <c r="ALC119" s="2"/>
      <c r="ALD119" s="2"/>
      <c r="ALE119" s="2"/>
      <c r="ALF119" s="2"/>
      <c r="ALG119" s="2"/>
      <c r="ALH119" s="2"/>
      <c r="ALI119" s="2"/>
      <c r="ALJ119" s="2"/>
      <c r="ALK119" s="2"/>
      <c r="ALL119" s="2"/>
      <c r="ALM119" s="2"/>
      <c r="ALN119" s="2"/>
      <c r="ALO119" s="2"/>
      <c r="ALP119" s="2"/>
      <c r="ALQ119" s="2"/>
      <c r="ALR119" s="2"/>
      <c r="ALS119" s="2"/>
      <c r="ALT119" s="2"/>
      <c r="ALU119" s="2"/>
      <c r="ALV119" s="2"/>
      <c r="ALW119" s="2"/>
      <c r="ALX119" s="2"/>
      <c r="ALY119" s="2"/>
      <c r="ALZ119" s="2"/>
      <c r="AMA119" s="2"/>
      <c r="AMB119" s="2"/>
      <c r="AMC119" s="2"/>
      <c r="AMD119" s="2"/>
      <c r="AME119" s="2"/>
      <c r="AMF119" s="2"/>
      <c r="AMG119" s="2"/>
      <c r="AMH119" s="2"/>
      <c r="AMI119" s="2"/>
      <c r="AMJ119" s="2"/>
      <c r="AMK119" s="2"/>
      <c r="AML119" s="2"/>
      <c r="AMM119" s="2"/>
      <c r="AMN119" s="2"/>
      <c r="AMO119" s="2"/>
    </row>
    <row r="120" spans="1:1029" x14ac:dyDescent="0.2">
      <c r="A120" s="3" t="str">
        <f t="shared" si="559"/>
        <v>agtr1_human_4YAY_dist</v>
      </c>
      <c r="B120" s="3" t="s">
        <v>158</v>
      </c>
      <c r="C120" s="3" t="s">
        <v>1160</v>
      </c>
      <c r="D120" s="3" t="str">
        <f>IFERROR(MID(VLOOKUP($B120,Seqs!$A:$B,2,0),E120,1),"")</f>
        <v>Y</v>
      </c>
      <c r="E120" s="3">
        <v>26</v>
      </c>
      <c r="F120" s="3" t="str">
        <f>IFERROR(MID(VLOOKUP($B120,Seqs!$A:$B,2,0),G120,1),"")</f>
        <v>Y</v>
      </c>
      <c r="G120" s="3">
        <v>56</v>
      </c>
      <c r="H120" s="3" t="str">
        <f>IFERROR(MID(VLOOKUP($B120,Seqs!$A:$B,2,0),I120,1),"")</f>
        <v>M</v>
      </c>
      <c r="I120" s="23">
        <v>57</v>
      </c>
      <c r="J120" s="3" t="str">
        <f>IFERROR(MID(VLOOKUP($B120,Seqs!$A:$B,2,0),K120,1),"")</f>
        <v>K</v>
      </c>
      <c r="K120" s="23">
        <v>60</v>
      </c>
      <c r="L120" s="3" t="str">
        <f>IFERROR(MID(VLOOKUP($B120,Seqs!$A:$B,2,0),M120,1),"")</f>
        <v>T</v>
      </c>
      <c r="M120" s="3">
        <v>61</v>
      </c>
      <c r="N120" s="3" t="str">
        <f>IFERROR(MID(VLOOKUP($B120,Seqs!$A:$B,2,0),O120,1),"")</f>
        <v>M</v>
      </c>
      <c r="O120" s="3">
        <v>90</v>
      </c>
      <c r="P120" s="3" t="str">
        <f>IFERROR(MID(VLOOKUP($B120,Seqs!$A:$B,2,0),Q120,1),"")</f>
        <v>R</v>
      </c>
      <c r="Q120" s="3">
        <v>93</v>
      </c>
      <c r="R120" s="3" t="str">
        <f>IFERROR(MID(VLOOKUP($B120,Seqs!$A:$B,2,0),S120,1),"")</f>
        <v>F</v>
      </c>
      <c r="S120" s="3">
        <v>96</v>
      </c>
      <c r="T120" s="3" t="str">
        <f>IFERROR(MID(VLOOKUP($B120,Seqs!$A:$B,2,0),U120,1),"")</f>
        <v>G</v>
      </c>
      <c r="U120" s="3">
        <v>97</v>
      </c>
      <c r="V120" s="3" t="str">
        <f>IFERROR(MID(VLOOKUP($B120,Seqs!$A:$B,2,0),W120,1),"")</f>
        <v>H</v>
      </c>
      <c r="W120" s="3">
        <v>132</v>
      </c>
      <c r="X120" s="3" t="str">
        <f>IFERROR(MID(VLOOKUP($B120,Seqs!$A:$B,2,0),Y120,1),"")</f>
        <v/>
      </c>
      <c r="Y120" s="3" t="s">
        <v>23</v>
      </c>
      <c r="Z120" s="3" t="str">
        <f>IFERROR(MID(VLOOKUP($B120,Seqs!$A:$B,2,0),AA120,1),"")</f>
        <v/>
      </c>
      <c r="AA120" s="3" t="s">
        <v>23</v>
      </c>
      <c r="AB120" s="3" t="str">
        <f>IFERROR(MID(VLOOKUP($B120,Seqs!$A:$B,2,0),AC120,1),"")</f>
        <v>R</v>
      </c>
      <c r="AC120" s="9">
        <v>137</v>
      </c>
      <c r="AD120" s="3" t="str">
        <f>IFERROR(MID(VLOOKUP($B120,Seqs!$A:$B,2,0),AE120,1),"")</f>
        <v>R</v>
      </c>
      <c r="AE120" s="3">
        <v>167</v>
      </c>
      <c r="AF120" s="3" t="str">
        <f>IFERROR(MID(VLOOKUP($B120,Seqs!$A:$B,2,0),AG120,1),"")</f>
        <v>C</v>
      </c>
      <c r="AG120" s="3">
        <v>180</v>
      </c>
      <c r="AH120" s="3" t="str">
        <f>IFERROR(MID(VLOOKUP($B120,Seqs!$A:$B,2,0),AI120,1),"")</f>
        <v>F</v>
      </c>
      <c r="AI120" s="3">
        <v>182</v>
      </c>
      <c r="AJ120" s="3" t="str">
        <f>IFERROR(MID(VLOOKUP($B120,Seqs!$A:$B,2,0),AK120,1),"")</f>
        <v>L</v>
      </c>
      <c r="AK120" s="3">
        <v>191</v>
      </c>
      <c r="AL120" s="3" t="str">
        <f>IFERROR(MID(VLOOKUP($B120,Seqs!$A:$B,2,0),AM120,1),"")</f>
        <v>L</v>
      </c>
      <c r="AM120" s="3">
        <v>222</v>
      </c>
      <c r="AN120" s="3" t="str">
        <f>IFERROR(MID(VLOOKUP($B120,Seqs!$A:$B,2,0),AO120,1),"")</f>
        <v>N</v>
      </c>
      <c r="AO120" s="3">
        <v>235</v>
      </c>
      <c r="AP120" s="3" t="str">
        <f>IFERROR(MID(VLOOKUP($B120,Seqs!$A:$B,2,0),AQ120,1),"")</f>
        <v>G</v>
      </c>
      <c r="AQ120" s="3">
        <v>269</v>
      </c>
      <c r="AR120" s="3" t="str">
        <f>IFERROR(MID(VLOOKUP($B120,Seqs!$A:$B,2,0),AS120,1),"")</f>
        <v>D</v>
      </c>
      <c r="AS120" s="3">
        <v>273</v>
      </c>
      <c r="AT120" s="3" t="str">
        <f>IFERROR(MID(VLOOKUP($B120,Seqs!$A:$B,2,0),AU120,1),"")</f>
        <v>F</v>
      </c>
      <c r="AU120" s="3">
        <v>304</v>
      </c>
      <c r="AV120" s="3" t="str">
        <f>IFERROR(MID(VLOOKUP($B120,Seqs!$A:$B,2,0),AW120,1),"")</f>
        <v>G</v>
      </c>
      <c r="AW120" s="3">
        <v>306</v>
      </c>
      <c r="AX120" s="3" t="str">
        <f>IFERROR(MID(VLOOKUP($B120,Seqs!$A:$B,2,0),AY120,1),"")</f>
        <v>L</v>
      </c>
      <c r="AY120" s="3">
        <v>317</v>
      </c>
      <c r="AZ120" s="77" t="str">
        <f>VLOOKUP(B120,Classification!A:D,2,0)</f>
        <v>A</v>
      </c>
      <c r="BA120" s="94" t="str">
        <f>VLOOKUP(B120,Classification!A:D,4,0)</f>
        <v>Angiotensin</v>
      </c>
      <c r="BB120" s="27" t="b">
        <f t="shared" si="560"/>
        <v>1</v>
      </c>
      <c r="BC120" s="23">
        <f t="shared" si="365"/>
        <v>251</v>
      </c>
      <c r="BD120" s="5"/>
      <c r="BE120" s="3" t="s">
        <v>1381</v>
      </c>
      <c r="BF120" s="119">
        <v>2.9</v>
      </c>
      <c r="BG120" s="49" t="s">
        <v>1384</v>
      </c>
      <c r="BH120" s="49" t="s">
        <v>1384</v>
      </c>
      <c r="BI120" s="1"/>
      <c r="BJ120" s="70" t="s">
        <v>1293</v>
      </c>
      <c r="BK120" s="57" t="s">
        <v>1293</v>
      </c>
      <c r="BL120" s="57" t="s">
        <v>1293</v>
      </c>
      <c r="BM120" s="57" t="s">
        <v>1293</v>
      </c>
      <c r="BN120" s="57" t="s">
        <v>1293</v>
      </c>
      <c r="BO120" s="57" t="s">
        <v>1293</v>
      </c>
      <c r="BP120" s="57" t="s">
        <v>1293</v>
      </c>
      <c r="BQ120" s="57" t="s">
        <v>1293</v>
      </c>
      <c r="BR120" s="57" t="s">
        <v>1293</v>
      </c>
      <c r="BS120" s="57" t="s">
        <v>1293</v>
      </c>
      <c r="BT120" s="57" t="s">
        <v>1293</v>
      </c>
      <c r="BU120" s="57" t="s">
        <v>1293</v>
      </c>
      <c r="BV120" s="70">
        <f t="shared" si="366"/>
        <v>26</v>
      </c>
      <c r="BW120" s="71">
        <f t="shared" si="367"/>
        <v>57</v>
      </c>
      <c r="BX120" s="72">
        <f t="shared" si="368"/>
        <v>61</v>
      </c>
      <c r="BY120" s="71">
        <f t="shared" si="369"/>
        <v>93</v>
      </c>
      <c r="BZ120" s="72">
        <f t="shared" si="370"/>
        <v>97</v>
      </c>
      <c r="CA120" s="71" t="str">
        <f t="shared" si="371"/>
        <v>-</v>
      </c>
      <c r="CB120" s="72">
        <f t="shared" si="372"/>
        <v>137</v>
      </c>
      <c r="CC120" s="71">
        <f t="shared" si="373"/>
        <v>180</v>
      </c>
      <c r="CD120" s="72">
        <f t="shared" si="374"/>
        <v>191</v>
      </c>
      <c r="CE120" s="71">
        <f t="shared" si="375"/>
        <v>235</v>
      </c>
      <c r="CF120" s="72">
        <f t="shared" si="376"/>
        <v>273</v>
      </c>
      <c r="CG120" s="71">
        <f t="shared" si="377"/>
        <v>306</v>
      </c>
      <c r="CH120" s="70">
        <f t="shared" si="378"/>
        <v>56</v>
      </c>
      <c r="CI120" s="71">
        <f t="shared" si="379"/>
        <v>60</v>
      </c>
      <c r="CJ120" s="72">
        <f t="shared" si="380"/>
        <v>90</v>
      </c>
      <c r="CK120" s="72">
        <f t="shared" si="381"/>
        <v>96</v>
      </c>
      <c r="CL120" s="72">
        <f t="shared" si="382"/>
        <v>132</v>
      </c>
      <c r="CM120" s="72" t="str">
        <f t="shared" si="383"/>
        <v>-</v>
      </c>
      <c r="CN120" s="72">
        <f t="shared" si="384"/>
        <v>167</v>
      </c>
      <c r="CO120" s="72">
        <f t="shared" si="385"/>
        <v>182</v>
      </c>
      <c r="CP120" s="72">
        <f t="shared" si="386"/>
        <v>222</v>
      </c>
      <c r="CQ120" s="72">
        <f t="shared" si="387"/>
        <v>269</v>
      </c>
      <c r="CR120" s="72">
        <f t="shared" si="388"/>
        <v>304</v>
      </c>
      <c r="CS120" s="72">
        <f t="shared" si="389"/>
        <v>317</v>
      </c>
      <c r="CT120" s="23">
        <f t="shared" si="390"/>
        <v>1</v>
      </c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  <c r="JA120" s="2"/>
      <c r="JB120" s="2"/>
      <c r="JC120" s="2"/>
      <c r="JD120" s="2"/>
      <c r="JE120" s="2"/>
      <c r="JF120" s="2"/>
      <c r="JG120" s="2"/>
      <c r="JH120" s="2"/>
      <c r="JI120" s="2"/>
      <c r="JJ120" s="2"/>
      <c r="JK120" s="2"/>
      <c r="JL120" s="2"/>
      <c r="JM120" s="2"/>
      <c r="JN120" s="2"/>
      <c r="JO120" s="2"/>
      <c r="JP120" s="2"/>
      <c r="JQ120" s="2"/>
      <c r="JR120" s="2"/>
      <c r="JS120" s="2"/>
      <c r="JT120" s="2"/>
      <c r="JU120" s="2"/>
      <c r="JV120" s="2"/>
      <c r="JW120" s="2"/>
      <c r="JX120" s="2"/>
      <c r="JY120" s="2"/>
      <c r="JZ120" s="2"/>
      <c r="KA120" s="2"/>
      <c r="KB120" s="2"/>
      <c r="KC120" s="2"/>
      <c r="KD120" s="2"/>
      <c r="KE120" s="2"/>
      <c r="KF120" s="2"/>
      <c r="KG120" s="2"/>
      <c r="KH120" s="2"/>
      <c r="KI120" s="2"/>
      <c r="KJ120" s="2"/>
      <c r="KK120" s="2"/>
      <c r="KL120" s="2"/>
      <c r="KM120" s="2"/>
      <c r="KN120" s="2"/>
      <c r="KO120" s="2"/>
      <c r="KP120" s="2"/>
      <c r="KQ120" s="2"/>
      <c r="KR120" s="2"/>
      <c r="KS120" s="2"/>
      <c r="KT120" s="2"/>
      <c r="KU120" s="2"/>
      <c r="KV120" s="2"/>
      <c r="KW120" s="2"/>
      <c r="KX120" s="2"/>
      <c r="KY120" s="2"/>
      <c r="KZ120" s="2"/>
      <c r="LA120" s="2"/>
      <c r="LB120" s="2"/>
      <c r="LC120" s="2"/>
      <c r="LD120" s="2"/>
      <c r="LE120" s="2"/>
      <c r="LF120" s="2"/>
      <c r="LG120" s="2"/>
      <c r="LH120" s="2"/>
      <c r="LI120" s="2"/>
      <c r="LJ120" s="2"/>
      <c r="LK120" s="2"/>
      <c r="LL120" s="2"/>
      <c r="LM120" s="2"/>
      <c r="LN120" s="2"/>
      <c r="LO120" s="2"/>
      <c r="LP120" s="2"/>
      <c r="LQ120" s="2"/>
      <c r="LR120" s="2"/>
      <c r="LS120" s="2"/>
      <c r="LT120" s="2"/>
      <c r="LU120" s="2"/>
      <c r="LV120" s="2"/>
      <c r="LW120" s="2"/>
      <c r="LX120" s="2"/>
      <c r="LY120" s="2"/>
      <c r="LZ120" s="2"/>
      <c r="MA120" s="2"/>
      <c r="MB120" s="2"/>
      <c r="MC120" s="2"/>
      <c r="MD120" s="2"/>
      <c r="ME120" s="2"/>
      <c r="MF120" s="2"/>
      <c r="MG120" s="2"/>
      <c r="MH120" s="2"/>
      <c r="MI120" s="2"/>
      <c r="MJ120" s="2"/>
      <c r="MK120" s="2"/>
      <c r="ML120" s="2"/>
      <c r="MM120" s="2"/>
      <c r="MN120" s="2"/>
      <c r="MO120" s="2"/>
      <c r="MP120" s="2"/>
      <c r="MQ120" s="2"/>
      <c r="MR120" s="2"/>
      <c r="MS120" s="2"/>
      <c r="MT120" s="2"/>
      <c r="MU120" s="2"/>
      <c r="MV120" s="2"/>
      <c r="MW120" s="2"/>
      <c r="MX120" s="2"/>
      <c r="MY120" s="2"/>
      <c r="MZ120" s="2"/>
      <c r="NA120" s="2"/>
      <c r="NB120" s="2"/>
      <c r="NC120" s="2"/>
      <c r="ND120" s="2"/>
      <c r="NE120" s="2"/>
      <c r="NF120" s="2"/>
      <c r="NG120" s="2"/>
      <c r="NH120" s="2"/>
      <c r="NI120" s="2"/>
      <c r="NJ120" s="2"/>
      <c r="NK120" s="2"/>
      <c r="NL120" s="2"/>
      <c r="NM120" s="2"/>
      <c r="NN120" s="2"/>
      <c r="NO120" s="2"/>
      <c r="NP120" s="2"/>
      <c r="NQ120" s="2"/>
      <c r="NR120" s="2"/>
      <c r="NS120" s="2"/>
      <c r="NT120" s="2"/>
      <c r="NU120" s="2"/>
      <c r="NV120" s="2"/>
      <c r="NW120" s="2"/>
      <c r="NX120" s="2"/>
      <c r="NY120" s="2"/>
      <c r="NZ120" s="2"/>
      <c r="OA120" s="2"/>
      <c r="OB120" s="2"/>
      <c r="OC120" s="2"/>
      <c r="OD120" s="2"/>
      <c r="OE120" s="2"/>
      <c r="OF120" s="2"/>
      <c r="OG120" s="2"/>
      <c r="OH120" s="2"/>
      <c r="OI120" s="2"/>
      <c r="OJ120" s="2"/>
      <c r="OK120" s="2"/>
      <c r="OL120" s="2"/>
      <c r="OM120" s="2"/>
      <c r="ON120" s="2"/>
      <c r="OO120" s="2"/>
      <c r="OP120" s="2"/>
      <c r="OQ120" s="2"/>
      <c r="OR120" s="2"/>
      <c r="OS120" s="2"/>
      <c r="OT120" s="2"/>
      <c r="OU120" s="2"/>
      <c r="OV120" s="2"/>
      <c r="OW120" s="2"/>
      <c r="OX120" s="2"/>
      <c r="OY120" s="2"/>
      <c r="OZ120" s="2"/>
      <c r="PA120" s="2"/>
      <c r="PB120" s="2"/>
      <c r="PC120" s="2"/>
      <c r="PD120" s="2"/>
      <c r="PE120" s="2"/>
      <c r="PF120" s="2"/>
      <c r="PG120" s="2"/>
      <c r="PH120" s="2"/>
      <c r="PI120" s="2"/>
      <c r="PJ120" s="2"/>
      <c r="PK120" s="2"/>
      <c r="PL120" s="2"/>
      <c r="PM120" s="2"/>
      <c r="PN120" s="2"/>
      <c r="PO120" s="2"/>
      <c r="PP120" s="2"/>
      <c r="PQ120" s="2"/>
      <c r="PR120" s="2"/>
      <c r="PS120" s="2"/>
      <c r="PT120" s="2"/>
      <c r="PU120" s="2"/>
      <c r="PV120" s="2"/>
      <c r="PW120" s="2"/>
      <c r="PX120" s="2"/>
      <c r="PY120" s="2"/>
      <c r="PZ120" s="2"/>
      <c r="QA120" s="2"/>
      <c r="QB120" s="2"/>
      <c r="QC120" s="2"/>
      <c r="QD120" s="2"/>
      <c r="QE120" s="2"/>
      <c r="QF120" s="2"/>
      <c r="QG120" s="2"/>
      <c r="QH120" s="2"/>
      <c r="QI120" s="2"/>
      <c r="QJ120" s="2"/>
      <c r="QK120" s="2"/>
      <c r="QL120" s="2"/>
      <c r="QM120" s="2"/>
      <c r="QN120" s="2"/>
      <c r="QO120" s="2"/>
      <c r="QP120" s="2"/>
      <c r="QQ120" s="2"/>
      <c r="QR120" s="2"/>
      <c r="QS120" s="2"/>
      <c r="QT120" s="2"/>
      <c r="QU120" s="2"/>
      <c r="QV120" s="2"/>
      <c r="QW120" s="2"/>
      <c r="QX120" s="2"/>
      <c r="QY120" s="2"/>
      <c r="QZ120" s="2"/>
      <c r="RA120" s="2"/>
      <c r="RB120" s="2"/>
      <c r="RC120" s="2"/>
      <c r="RD120" s="2"/>
      <c r="RE120" s="2"/>
      <c r="RF120" s="2"/>
      <c r="RG120" s="2"/>
      <c r="RH120" s="2"/>
      <c r="RI120" s="2"/>
      <c r="RJ120" s="2"/>
      <c r="RK120" s="2"/>
      <c r="RL120" s="2"/>
      <c r="RM120" s="2"/>
      <c r="RN120" s="2"/>
      <c r="RO120" s="2"/>
      <c r="RP120" s="2"/>
      <c r="RQ120" s="2"/>
      <c r="RR120" s="2"/>
      <c r="RS120" s="2"/>
      <c r="RT120" s="2"/>
      <c r="RU120" s="2"/>
      <c r="RV120" s="2"/>
      <c r="RW120" s="2"/>
      <c r="RX120" s="2"/>
      <c r="RY120" s="2"/>
      <c r="RZ120" s="2"/>
      <c r="SA120" s="2"/>
      <c r="SB120" s="2"/>
      <c r="SC120" s="2"/>
      <c r="SD120" s="2"/>
      <c r="SE120" s="2"/>
      <c r="SF120" s="2"/>
      <c r="SG120" s="2"/>
      <c r="SH120" s="2"/>
      <c r="SI120" s="2"/>
      <c r="SJ120" s="2"/>
      <c r="SK120" s="2"/>
      <c r="SL120" s="2"/>
      <c r="SM120" s="2"/>
      <c r="SN120" s="2"/>
      <c r="SO120" s="2"/>
      <c r="SP120" s="2"/>
      <c r="SQ120" s="2"/>
      <c r="SR120" s="2"/>
      <c r="SS120" s="2"/>
      <c r="ST120" s="2"/>
      <c r="SU120" s="2"/>
      <c r="SV120" s="2"/>
      <c r="SW120" s="2"/>
      <c r="SX120" s="2"/>
      <c r="SY120" s="2"/>
      <c r="SZ120" s="2"/>
      <c r="TA120" s="2"/>
      <c r="TB120" s="2"/>
      <c r="TC120" s="2"/>
      <c r="TD120" s="2"/>
      <c r="TE120" s="2"/>
      <c r="TF120" s="2"/>
      <c r="TG120" s="2"/>
      <c r="TH120" s="2"/>
      <c r="TI120" s="2"/>
      <c r="TJ120" s="2"/>
      <c r="TK120" s="2"/>
      <c r="TL120" s="2"/>
      <c r="TM120" s="2"/>
      <c r="TN120" s="2"/>
      <c r="TO120" s="2"/>
      <c r="TP120" s="2"/>
      <c r="TQ120" s="2"/>
      <c r="TR120" s="2"/>
      <c r="TS120" s="2"/>
      <c r="TT120" s="2"/>
      <c r="TU120" s="2"/>
      <c r="TV120" s="2"/>
      <c r="TW120" s="2"/>
      <c r="TX120" s="2"/>
      <c r="TY120" s="2"/>
      <c r="TZ120" s="2"/>
      <c r="UA120" s="2"/>
      <c r="UB120" s="2"/>
      <c r="UC120" s="2"/>
      <c r="UD120" s="2"/>
      <c r="UE120" s="2"/>
      <c r="UF120" s="2"/>
      <c r="UG120" s="2"/>
      <c r="UH120" s="2"/>
      <c r="UI120" s="2"/>
      <c r="UJ120" s="2"/>
      <c r="UK120" s="2"/>
      <c r="UL120" s="2"/>
      <c r="UM120" s="2"/>
      <c r="UN120" s="2"/>
      <c r="UO120" s="2"/>
      <c r="UP120" s="2"/>
      <c r="UQ120" s="2"/>
      <c r="UR120" s="2"/>
      <c r="US120" s="2"/>
      <c r="UT120" s="2"/>
      <c r="UU120" s="2"/>
      <c r="UV120" s="2"/>
      <c r="UW120" s="2"/>
      <c r="UX120" s="2"/>
      <c r="UY120" s="2"/>
      <c r="UZ120" s="2"/>
      <c r="VA120" s="2"/>
      <c r="VB120" s="2"/>
      <c r="VC120" s="2"/>
      <c r="VD120" s="2"/>
      <c r="VE120" s="2"/>
      <c r="VF120" s="2"/>
      <c r="VG120" s="2"/>
      <c r="VH120" s="2"/>
      <c r="VI120" s="2"/>
      <c r="VJ120" s="2"/>
      <c r="VK120" s="2"/>
      <c r="VL120" s="2"/>
      <c r="VM120" s="2"/>
      <c r="VN120" s="2"/>
      <c r="VO120" s="2"/>
      <c r="VP120" s="2"/>
      <c r="VQ120" s="2"/>
      <c r="VR120" s="2"/>
      <c r="VS120" s="2"/>
      <c r="VT120" s="2"/>
      <c r="VU120" s="2"/>
      <c r="VV120" s="2"/>
      <c r="VW120" s="2"/>
      <c r="VX120" s="2"/>
      <c r="VY120" s="2"/>
      <c r="VZ120" s="2"/>
      <c r="WA120" s="2"/>
      <c r="WB120" s="2"/>
      <c r="WC120" s="2"/>
      <c r="WD120" s="2"/>
      <c r="WE120" s="2"/>
      <c r="WF120" s="2"/>
      <c r="WG120" s="2"/>
      <c r="WH120" s="2"/>
      <c r="WI120" s="2"/>
      <c r="WJ120" s="2"/>
      <c r="WK120" s="2"/>
      <c r="WL120" s="2"/>
      <c r="WM120" s="2"/>
      <c r="WN120" s="2"/>
      <c r="WO120" s="2"/>
      <c r="WP120" s="2"/>
      <c r="WQ120" s="2"/>
      <c r="WR120" s="2"/>
      <c r="WS120" s="2"/>
      <c r="WT120" s="2"/>
      <c r="WU120" s="2"/>
      <c r="WV120" s="2"/>
      <c r="WW120" s="2"/>
      <c r="WX120" s="2"/>
      <c r="WY120" s="2"/>
      <c r="WZ120" s="2"/>
      <c r="XA120" s="2"/>
      <c r="XB120" s="2"/>
      <c r="XC120" s="2"/>
      <c r="XD120" s="2"/>
      <c r="XE120" s="2"/>
      <c r="XF120" s="2"/>
      <c r="XG120" s="2"/>
      <c r="XH120" s="2"/>
      <c r="XI120" s="2"/>
      <c r="XJ120" s="2"/>
      <c r="XK120" s="2"/>
      <c r="XL120" s="2"/>
      <c r="XM120" s="2"/>
      <c r="XN120" s="2"/>
      <c r="XO120" s="2"/>
      <c r="XP120" s="2"/>
      <c r="XQ120" s="2"/>
      <c r="XR120" s="2"/>
      <c r="XS120" s="2"/>
      <c r="XT120" s="2"/>
      <c r="XU120" s="2"/>
      <c r="XV120" s="2"/>
      <c r="XW120" s="2"/>
      <c r="XX120" s="2"/>
      <c r="XY120" s="2"/>
      <c r="XZ120" s="2"/>
      <c r="YA120" s="2"/>
      <c r="YB120" s="2"/>
      <c r="YC120" s="2"/>
      <c r="YD120" s="2"/>
      <c r="YE120" s="2"/>
      <c r="YF120" s="2"/>
      <c r="YG120" s="2"/>
      <c r="YH120" s="2"/>
      <c r="YI120" s="2"/>
      <c r="YJ120" s="2"/>
      <c r="YK120" s="2"/>
      <c r="YL120" s="2"/>
      <c r="YM120" s="2"/>
      <c r="YN120" s="2"/>
      <c r="YO120" s="2"/>
      <c r="YP120" s="2"/>
      <c r="YQ120" s="2"/>
      <c r="YR120" s="2"/>
      <c r="YS120" s="2"/>
      <c r="YT120" s="2"/>
      <c r="YU120" s="2"/>
      <c r="YV120" s="2"/>
      <c r="YW120" s="2"/>
      <c r="YX120" s="2"/>
      <c r="YY120" s="2"/>
      <c r="YZ120" s="2"/>
      <c r="ZA120" s="2"/>
      <c r="ZB120" s="2"/>
      <c r="ZC120" s="2"/>
      <c r="ZD120" s="2"/>
      <c r="ZE120" s="2"/>
      <c r="ZF120" s="2"/>
      <c r="ZG120" s="2"/>
      <c r="ZH120" s="2"/>
      <c r="ZI120" s="2"/>
      <c r="ZJ120" s="2"/>
      <c r="ZK120" s="2"/>
      <c r="ZL120" s="2"/>
      <c r="ZM120" s="2"/>
      <c r="ZN120" s="2"/>
      <c r="ZO120" s="2"/>
      <c r="ZP120" s="2"/>
      <c r="ZQ120" s="2"/>
      <c r="ZR120" s="2"/>
      <c r="ZS120" s="2"/>
      <c r="ZT120" s="2"/>
      <c r="ZU120" s="2"/>
      <c r="ZV120" s="2"/>
      <c r="ZW120" s="2"/>
      <c r="ZX120" s="2"/>
      <c r="ZY120" s="2"/>
      <c r="ZZ120" s="2"/>
      <c r="AAA120" s="2"/>
      <c r="AAB120" s="2"/>
      <c r="AAC120" s="2"/>
      <c r="AAD120" s="2"/>
      <c r="AAE120" s="2"/>
      <c r="AAF120" s="2"/>
      <c r="AAG120" s="2"/>
      <c r="AAH120" s="2"/>
      <c r="AAI120" s="2"/>
      <c r="AAJ120" s="2"/>
      <c r="AAK120" s="2"/>
      <c r="AAL120" s="2"/>
      <c r="AAM120" s="2"/>
      <c r="AAN120" s="2"/>
      <c r="AAO120" s="2"/>
      <c r="AAP120" s="2"/>
      <c r="AAQ120" s="2"/>
      <c r="AAR120" s="2"/>
      <c r="AAS120" s="2"/>
      <c r="AAT120" s="2"/>
      <c r="AAU120" s="2"/>
      <c r="AAV120" s="2"/>
      <c r="AAW120" s="2"/>
      <c r="AAX120" s="2"/>
      <c r="AAY120" s="2"/>
      <c r="AAZ120" s="2"/>
      <c r="ABA120" s="2"/>
      <c r="ABB120" s="2"/>
      <c r="ABC120" s="2"/>
      <c r="ABD120" s="2"/>
      <c r="ABE120" s="2"/>
      <c r="ABF120" s="2"/>
      <c r="ABG120" s="2"/>
      <c r="ABH120" s="2"/>
      <c r="ABI120" s="2"/>
      <c r="ABJ120" s="2"/>
      <c r="ABK120" s="2"/>
      <c r="ABL120" s="2"/>
      <c r="ABM120" s="2"/>
      <c r="ABN120" s="2"/>
      <c r="ABO120" s="2"/>
      <c r="ABP120" s="2"/>
      <c r="ABQ120" s="2"/>
      <c r="ABR120" s="2"/>
      <c r="ABS120" s="2"/>
      <c r="ABT120" s="2"/>
      <c r="ABU120" s="2"/>
      <c r="ABV120" s="2"/>
      <c r="ABW120" s="2"/>
      <c r="ABX120" s="2"/>
      <c r="ABY120" s="2"/>
      <c r="ABZ120" s="2"/>
      <c r="ACA120" s="2"/>
      <c r="ACB120" s="2"/>
      <c r="ACC120" s="2"/>
      <c r="ACD120" s="2"/>
      <c r="ACE120" s="2"/>
      <c r="ACF120" s="2"/>
      <c r="ACG120" s="2"/>
      <c r="ACH120" s="2"/>
      <c r="ACI120" s="2"/>
      <c r="ACJ120" s="2"/>
      <c r="ACK120" s="2"/>
      <c r="ACL120" s="2"/>
      <c r="ACM120" s="2"/>
      <c r="ACN120" s="2"/>
      <c r="ACO120" s="2"/>
      <c r="ACP120" s="2"/>
      <c r="ACQ120" s="2"/>
      <c r="ACR120" s="2"/>
      <c r="ACS120" s="2"/>
      <c r="ACT120" s="2"/>
      <c r="ACU120" s="2"/>
      <c r="ACV120" s="2"/>
      <c r="ACW120" s="2"/>
      <c r="ACX120" s="2"/>
      <c r="ACY120" s="2"/>
      <c r="ACZ120" s="2"/>
      <c r="ADA120" s="2"/>
      <c r="ADB120" s="2"/>
      <c r="ADC120" s="2"/>
      <c r="ADD120" s="2"/>
      <c r="ADE120" s="2"/>
      <c r="ADF120" s="2"/>
      <c r="ADG120" s="2"/>
      <c r="ADH120" s="2"/>
      <c r="ADI120" s="2"/>
      <c r="ADJ120" s="2"/>
      <c r="ADK120" s="2"/>
      <c r="ADL120" s="2"/>
      <c r="ADM120" s="2"/>
      <c r="ADN120" s="2"/>
      <c r="ADO120" s="2"/>
      <c r="ADP120" s="2"/>
      <c r="ADQ120" s="2"/>
      <c r="ADR120" s="2"/>
      <c r="ADS120" s="2"/>
      <c r="ADT120" s="2"/>
      <c r="ADU120" s="2"/>
      <c r="ADV120" s="2"/>
      <c r="ADW120" s="2"/>
      <c r="ADX120" s="2"/>
      <c r="ADY120" s="2"/>
      <c r="ADZ120" s="2"/>
      <c r="AEA120" s="2"/>
      <c r="AEB120" s="2"/>
      <c r="AEC120" s="2"/>
      <c r="AED120" s="2"/>
      <c r="AEE120" s="2"/>
      <c r="AEF120" s="2"/>
      <c r="AEG120" s="2"/>
      <c r="AEH120" s="2"/>
      <c r="AEI120" s="2"/>
      <c r="AEJ120" s="2"/>
      <c r="AEK120" s="2"/>
      <c r="AEL120" s="2"/>
      <c r="AEM120" s="2"/>
      <c r="AEN120" s="2"/>
      <c r="AEO120" s="2"/>
      <c r="AEP120" s="2"/>
      <c r="AEQ120" s="2"/>
      <c r="AER120" s="2"/>
      <c r="AES120" s="2"/>
      <c r="AET120" s="2"/>
      <c r="AEU120" s="2"/>
      <c r="AEV120" s="2"/>
      <c r="AEW120" s="2"/>
      <c r="AEX120" s="2"/>
      <c r="AEY120" s="2"/>
      <c r="AEZ120" s="2"/>
      <c r="AFA120" s="2"/>
      <c r="AFB120" s="2"/>
      <c r="AFC120" s="2"/>
      <c r="AFD120" s="2"/>
      <c r="AFE120" s="2"/>
      <c r="AFF120" s="2"/>
      <c r="AFG120" s="2"/>
      <c r="AFH120" s="2"/>
      <c r="AFI120" s="2"/>
      <c r="AFJ120" s="2"/>
      <c r="AFK120" s="2"/>
      <c r="AFL120" s="2"/>
      <c r="AFM120" s="2"/>
      <c r="AFN120" s="2"/>
      <c r="AFO120" s="2"/>
      <c r="AFP120" s="2"/>
      <c r="AFQ120" s="2"/>
      <c r="AFR120" s="2"/>
      <c r="AFS120" s="2"/>
      <c r="AFT120" s="2"/>
      <c r="AFU120" s="2"/>
      <c r="AFV120" s="2"/>
      <c r="AFW120" s="2"/>
      <c r="AFX120" s="2"/>
      <c r="AFY120" s="2"/>
      <c r="AFZ120" s="2"/>
      <c r="AGA120" s="2"/>
      <c r="AGB120" s="2"/>
      <c r="AGC120" s="2"/>
      <c r="AGD120" s="2"/>
      <c r="AGE120" s="2"/>
      <c r="AGF120" s="2"/>
      <c r="AGG120" s="2"/>
      <c r="AGH120" s="2"/>
      <c r="AGI120" s="2"/>
      <c r="AGJ120" s="2"/>
      <c r="AGK120" s="2"/>
      <c r="AGL120" s="2"/>
      <c r="AGM120" s="2"/>
      <c r="AGN120" s="2"/>
      <c r="AGO120" s="2"/>
      <c r="AGP120" s="2"/>
      <c r="AGQ120" s="2"/>
      <c r="AGR120" s="2"/>
      <c r="AGS120" s="2"/>
      <c r="AGT120" s="2"/>
      <c r="AGU120" s="2"/>
      <c r="AGV120" s="2"/>
      <c r="AGW120" s="2"/>
      <c r="AGX120" s="2"/>
      <c r="AGY120" s="2"/>
      <c r="AGZ120" s="2"/>
      <c r="AHA120" s="2"/>
      <c r="AHB120" s="2"/>
      <c r="AHC120" s="2"/>
      <c r="AHD120" s="2"/>
      <c r="AHE120" s="2"/>
      <c r="AHF120" s="2"/>
      <c r="AHG120" s="2"/>
      <c r="AHH120" s="2"/>
      <c r="AHI120" s="2"/>
      <c r="AHJ120" s="2"/>
      <c r="AHK120" s="2"/>
      <c r="AHL120" s="2"/>
      <c r="AHM120" s="2"/>
      <c r="AHN120" s="2"/>
      <c r="AHO120" s="2"/>
      <c r="AHP120" s="2"/>
      <c r="AHQ120" s="2"/>
      <c r="AHR120" s="2"/>
      <c r="AHS120" s="2"/>
      <c r="AHT120" s="2"/>
      <c r="AHU120" s="2"/>
      <c r="AHV120" s="2"/>
      <c r="AHW120" s="2"/>
      <c r="AHX120" s="2"/>
      <c r="AHY120" s="2"/>
      <c r="AHZ120" s="2"/>
      <c r="AIA120" s="2"/>
      <c r="AIB120" s="2"/>
      <c r="AIC120" s="2"/>
      <c r="AID120" s="2"/>
      <c r="AIE120" s="2"/>
      <c r="AIF120" s="2"/>
      <c r="AIG120" s="2"/>
      <c r="AIH120" s="2"/>
      <c r="AII120" s="2"/>
      <c r="AIJ120" s="2"/>
      <c r="AIK120" s="2"/>
      <c r="AIL120" s="2"/>
      <c r="AIM120" s="2"/>
      <c r="AIN120" s="2"/>
      <c r="AIO120" s="2"/>
      <c r="AIP120" s="2"/>
      <c r="AIQ120" s="2"/>
      <c r="AIR120" s="2"/>
      <c r="AIS120" s="2"/>
      <c r="AIT120" s="2"/>
      <c r="AIU120" s="2"/>
      <c r="AIV120" s="2"/>
      <c r="AIW120" s="2"/>
      <c r="AIX120" s="2"/>
      <c r="AIY120" s="2"/>
      <c r="AIZ120" s="2"/>
      <c r="AJA120" s="2"/>
      <c r="AJB120" s="2"/>
      <c r="AJC120" s="2"/>
      <c r="AJD120" s="2"/>
      <c r="AJE120" s="2"/>
      <c r="AJF120" s="2"/>
      <c r="AJG120" s="2"/>
      <c r="AJH120" s="2"/>
      <c r="AJI120" s="2"/>
      <c r="AJJ120" s="2"/>
      <c r="AJK120" s="2"/>
      <c r="AJL120" s="2"/>
      <c r="AJM120" s="2"/>
      <c r="AJN120" s="2"/>
      <c r="AJO120" s="2"/>
      <c r="AJP120" s="2"/>
      <c r="AJQ120" s="2"/>
      <c r="AJR120" s="2"/>
      <c r="AJS120" s="2"/>
      <c r="AJT120" s="2"/>
      <c r="AJU120" s="2"/>
      <c r="AJV120" s="2"/>
      <c r="AJW120" s="2"/>
      <c r="AJX120" s="2"/>
      <c r="AJY120" s="2"/>
      <c r="AJZ120" s="2"/>
      <c r="AKA120" s="2"/>
      <c r="AKB120" s="2"/>
      <c r="AKC120" s="2"/>
      <c r="AKD120" s="2"/>
      <c r="AKE120" s="2"/>
      <c r="AKF120" s="2"/>
      <c r="AKG120" s="2"/>
      <c r="AKH120" s="2"/>
      <c r="AKI120" s="2"/>
      <c r="AKJ120" s="2"/>
      <c r="AKK120" s="2"/>
      <c r="AKL120" s="2"/>
      <c r="AKM120" s="2"/>
      <c r="AKN120" s="2"/>
      <c r="AKO120" s="2"/>
      <c r="AKP120" s="2"/>
      <c r="AKQ120" s="2"/>
      <c r="AKR120" s="2"/>
      <c r="AKS120" s="2"/>
      <c r="AKT120" s="2"/>
      <c r="AKU120" s="2"/>
      <c r="AKV120" s="2"/>
      <c r="AKW120" s="2"/>
      <c r="AKX120" s="2"/>
      <c r="AKY120" s="2"/>
      <c r="AKZ120" s="2"/>
      <c r="ALA120" s="2"/>
      <c r="ALB120" s="2"/>
      <c r="ALC120" s="2"/>
      <c r="ALD120" s="2"/>
      <c r="ALE120" s="2"/>
      <c r="ALF120" s="2"/>
      <c r="ALG120" s="2"/>
      <c r="ALH120" s="2"/>
      <c r="ALI120" s="2"/>
      <c r="ALJ120" s="2"/>
      <c r="ALK120" s="2"/>
      <c r="ALL120" s="2"/>
      <c r="ALM120" s="2"/>
      <c r="ALN120" s="2"/>
      <c r="ALO120" s="2"/>
      <c r="ALP120" s="2"/>
      <c r="ALQ120" s="2"/>
      <c r="ALR120" s="2"/>
      <c r="ALS120" s="2"/>
      <c r="ALT120" s="2"/>
      <c r="ALU120" s="2"/>
      <c r="ALV120" s="2"/>
      <c r="ALW120" s="2"/>
      <c r="ALX120" s="2"/>
      <c r="ALY120" s="2"/>
      <c r="ALZ120" s="2"/>
      <c r="AMA120" s="2"/>
      <c r="AMB120" s="2"/>
      <c r="AMC120" s="2"/>
      <c r="AMD120" s="2"/>
      <c r="AME120" s="2"/>
      <c r="AMF120" s="2"/>
      <c r="AMG120" s="2"/>
      <c r="AMH120" s="2"/>
      <c r="AMI120" s="2"/>
      <c r="AMJ120" s="2"/>
      <c r="AMK120" s="2"/>
      <c r="AML120" s="2"/>
      <c r="AMM120" s="2"/>
      <c r="AMN120" s="2"/>
      <c r="AMO120" s="2"/>
    </row>
    <row r="121" spans="1:1029" x14ac:dyDescent="0.2">
      <c r="A121" s="3" t="str">
        <f t="shared" si="559"/>
        <v>agtr1_human_4ZUD</v>
      </c>
      <c r="B121" s="3" t="s">
        <v>158</v>
      </c>
      <c r="C121" s="3" t="s">
        <v>1342</v>
      </c>
      <c r="D121" s="3" t="str">
        <f>IFERROR(MID(VLOOKUP($B121,Seqs!$A:$B,2,0),E121,1),"")</f>
        <v>Y</v>
      </c>
      <c r="E121" s="3">
        <v>26</v>
      </c>
      <c r="F121" s="3" t="str">
        <f>IFERROR(MID(VLOOKUP($B121,Seqs!$A:$B,2,0),G121,1),"")</f>
        <v>Y</v>
      </c>
      <c r="G121" s="3">
        <v>56</v>
      </c>
      <c r="H121" s="3" t="str">
        <f>IFERROR(MID(VLOOKUP($B121,Seqs!$A:$B,2,0),I121,1),"")</f>
        <v>M</v>
      </c>
      <c r="I121" s="23">
        <v>57</v>
      </c>
      <c r="J121" s="3" t="str">
        <f>IFERROR(MID(VLOOKUP($B121,Seqs!$A:$B,2,0),K121,1),"")</f>
        <v>K</v>
      </c>
      <c r="K121" s="23">
        <v>60</v>
      </c>
      <c r="L121" s="3" t="str">
        <f>IFERROR(MID(VLOOKUP($B121,Seqs!$A:$B,2,0),M121,1),"")</f>
        <v>T</v>
      </c>
      <c r="M121" s="3">
        <v>61</v>
      </c>
      <c r="N121" s="3" t="str">
        <f>IFERROR(MID(VLOOKUP($B121,Seqs!$A:$B,2,0),O121,1),"")</f>
        <v>M</v>
      </c>
      <c r="O121" s="3">
        <v>90</v>
      </c>
      <c r="P121" s="3" t="str">
        <f>IFERROR(MID(VLOOKUP($B121,Seqs!$A:$B,2,0),Q121,1),"")</f>
        <v>R</v>
      </c>
      <c r="Q121" s="3">
        <v>93</v>
      </c>
      <c r="R121" s="3" t="str">
        <f>IFERROR(MID(VLOOKUP($B121,Seqs!$A:$B,2,0),S121,1),"")</f>
        <v>F</v>
      </c>
      <c r="S121" s="3">
        <v>96</v>
      </c>
      <c r="T121" s="3" t="str">
        <f>IFERROR(MID(VLOOKUP($B121,Seqs!$A:$B,2,0),U121,1),"")</f>
        <v>G</v>
      </c>
      <c r="U121" s="3">
        <v>97</v>
      </c>
      <c r="V121" s="3" t="str">
        <f>IFERROR(MID(VLOOKUP($B121,Seqs!$A:$B,2,0),W121,1),"")</f>
        <v>H</v>
      </c>
      <c r="W121" s="3">
        <v>132</v>
      </c>
      <c r="X121" s="3" t="str">
        <f>IFERROR(MID(VLOOKUP($B121,Seqs!$A:$B,2,0),Y121,1),"")</f>
        <v/>
      </c>
      <c r="Y121" s="3" t="s">
        <v>23</v>
      </c>
      <c r="Z121" s="3" t="str">
        <f>IFERROR(MID(VLOOKUP($B121,Seqs!$A:$B,2,0),AA121,1),"")</f>
        <v/>
      </c>
      <c r="AA121" s="3" t="s">
        <v>23</v>
      </c>
      <c r="AB121" s="3" t="str">
        <f>IFERROR(MID(VLOOKUP($B121,Seqs!$A:$B,2,0),AC121,1),"")</f>
        <v>M</v>
      </c>
      <c r="AC121" s="9">
        <v>142</v>
      </c>
      <c r="AD121" s="3" t="str">
        <f>IFERROR(MID(VLOOKUP($B121,Seqs!$A:$B,2,0),AE121,1),"")</f>
        <v>R</v>
      </c>
      <c r="AE121" s="3">
        <v>167</v>
      </c>
      <c r="AF121" s="3" t="str">
        <f>IFERROR(MID(VLOOKUP($B121,Seqs!$A:$B,2,0),AG121,1),"")</f>
        <v>C</v>
      </c>
      <c r="AG121" s="3">
        <v>180</v>
      </c>
      <c r="AH121" s="3" t="str">
        <f>IFERROR(MID(VLOOKUP($B121,Seqs!$A:$B,2,0),AI121,1),"")</f>
        <v>F</v>
      </c>
      <c r="AI121" s="3">
        <v>182</v>
      </c>
      <c r="AJ121" s="3" t="str">
        <f>IFERROR(MID(VLOOKUP($B121,Seqs!$A:$B,2,0),AK121,1),"")</f>
        <v>L</v>
      </c>
      <c r="AK121" s="3">
        <v>191</v>
      </c>
      <c r="AL121" s="3" t="str">
        <f>IFERROR(MID(VLOOKUP($B121,Seqs!$A:$B,2,0),AM121,1),"")</f>
        <v>L</v>
      </c>
      <c r="AM121" s="3">
        <v>222</v>
      </c>
      <c r="AN121" s="3" t="str">
        <f>IFERROR(MID(VLOOKUP($B121,Seqs!$A:$B,2,0),AO121,1),"")</f>
        <v>D</v>
      </c>
      <c r="AO121" s="3">
        <v>236</v>
      </c>
      <c r="AP121" s="3" t="str">
        <f>IFERROR(MID(VLOOKUP($B121,Seqs!$A:$B,2,0),AQ121,1),"")</f>
        <v>G</v>
      </c>
      <c r="AQ121" s="3">
        <v>269</v>
      </c>
      <c r="AR121" s="3" t="str">
        <f>IFERROR(MID(VLOOKUP($B121,Seqs!$A:$B,2,0),AS121,1),"")</f>
        <v>D</v>
      </c>
      <c r="AS121" s="3">
        <v>273</v>
      </c>
      <c r="AT121" s="3" t="str">
        <f>IFERROR(MID(VLOOKUP($B121,Seqs!$A:$B,2,0),AU121,1),"")</f>
        <v>F</v>
      </c>
      <c r="AU121" s="3">
        <v>304</v>
      </c>
      <c r="AV121" s="3" t="str">
        <f>IFERROR(MID(VLOOKUP($B121,Seqs!$A:$B,2,0),AW121,1),"")</f>
        <v/>
      </c>
      <c r="AW121" s="3" t="s">
        <v>23</v>
      </c>
      <c r="AX121" s="3" t="str">
        <f>IFERROR(MID(VLOOKUP($B121,Seqs!$A:$B,2,0),AY121,1),"")</f>
        <v/>
      </c>
      <c r="AY121" s="3" t="s">
        <v>23</v>
      </c>
      <c r="AZ121" s="77" t="str">
        <f>VLOOKUP(B121,Classification!A:D,2,0)</f>
        <v>A</v>
      </c>
      <c r="BA121" s="94" t="str">
        <f>VLOOKUP(B121,Classification!A:D,4,0)</f>
        <v>Angiotensin</v>
      </c>
      <c r="BB121" s="27" t="b">
        <f t="shared" si="560"/>
        <v>1</v>
      </c>
      <c r="BC121" s="23">
        <f t="shared" si="365"/>
        <v>234</v>
      </c>
      <c r="BD121" s="2" t="s">
        <v>1383</v>
      </c>
      <c r="BE121" s="3" t="s">
        <v>1381</v>
      </c>
      <c r="BF121" s="119">
        <v>2.8</v>
      </c>
      <c r="BG121" s="49" t="s">
        <v>1384</v>
      </c>
      <c r="BH121" s="49" t="s">
        <v>1384</v>
      </c>
      <c r="BI121" s="1"/>
      <c r="BJ121" s="70" t="s">
        <v>1293</v>
      </c>
      <c r="BK121" s="57" t="s">
        <v>1293</v>
      </c>
      <c r="BL121" s="57" t="s">
        <v>1293</v>
      </c>
      <c r="BM121" s="57" t="s">
        <v>1293</v>
      </c>
      <c r="BN121" s="57" t="s">
        <v>1293</v>
      </c>
      <c r="BO121" s="57" t="s">
        <v>1293</v>
      </c>
      <c r="BP121" s="57" t="s">
        <v>1293</v>
      </c>
      <c r="BQ121" s="57" t="s">
        <v>1293</v>
      </c>
      <c r="BR121" s="57" t="s">
        <v>1293</v>
      </c>
      <c r="BS121" s="57" t="s">
        <v>1293</v>
      </c>
      <c r="BT121" s="57" t="s">
        <v>1293</v>
      </c>
      <c r="BU121" s="57" t="s">
        <v>1293</v>
      </c>
      <c r="BV121" s="70">
        <f t="shared" si="366"/>
        <v>26</v>
      </c>
      <c r="BW121" s="71">
        <f t="shared" si="367"/>
        <v>57</v>
      </c>
      <c r="BX121" s="72">
        <f t="shared" si="368"/>
        <v>61</v>
      </c>
      <c r="BY121" s="71">
        <f t="shared" si="369"/>
        <v>93</v>
      </c>
      <c r="BZ121" s="72">
        <f t="shared" si="370"/>
        <v>97</v>
      </c>
      <c r="CA121" s="71" t="str">
        <f t="shared" si="371"/>
        <v>-</v>
      </c>
      <c r="CB121" s="72">
        <f t="shared" si="372"/>
        <v>142</v>
      </c>
      <c r="CC121" s="71">
        <f t="shared" si="373"/>
        <v>180</v>
      </c>
      <c r="CD121" s="72">
        <f t="shared" si="374"/>
        <v>191</v>
      </c>
      <c r="CE121" s="71">
        <f t="shared" si="375"/>
        <v>236</v>
      </c>
      <c r="CF121" s="72">
        <f t="shared" si="376"/>
        <v>273</v>
      </c>
      <c r="CG121" s="71" t="str">
        <f t="shared" si="377"/>
        <v>-</v>
      </c>
      <c r="CH121" s="70">
        <f t="shared" si="378"/>
        <v>56</v>
      </c>
      <c r="CI121" s="71">
        <f t="shared" si="379"/>
        <v>60</v>
      </c>
      <c r="CJ121" s="72">
        <f t="shared" si="380"/>
        <v>90</v>
      </c>
      <c r="CK121" s="72">
        <f t="shared" si="381"/>
        <v>96</v>
      </c>
      <c r="CL121" s="72">
        <f t="shared" si="382"/>
        <v>132</v>
      </c>
      <c r="CM121" s="72" t="str">
        <f t="shared" si="383"/>
        <v>-</v>
      </c>
      <c r="CN121" s="72">
        <f t="shared" si="384"/>
        <v>167</v>
      </c>
      <c r="CO121" s="72">
        <f t="shared" si="385"/>
        <v>182</v>
      </c>
      <c r="CP121" s="72">
        <f t="shared" si="386"/>
        <v>222</v>
      </c>
      <c r="CQ121" s="72">
        <f t="shared" si="387"/>
        <v>269</v>
      </c>
      <c r="CR121" s="72">
        <f t="shared" si="388"/>
        <v>304</v>
      </c>
      <c r="CS121" s="72" t="str">
        <f t="shared" si="389"/>
        <v>-</v>
      </c>
      <c r="CT121" s="23">
        <f t="shared" si="390"/>
        <v>1</v>
      </c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  <c r="OK121" s="1"/>
      <c r="OL121" s="1"/>
      <c r="OM121" s="1"/>
      <c r="ON121" s="1"/>
      <c r="OO121" s="1"/>
      <c r="OP121" s="1"/>
      <c r="OQ121" s="1"/>
      <c r="OR121" s="1"/>
      <c r="OS121" s="1"/>
      <c r="OT121" s="1"/>
      <c r="OU121" s="1"/>
      <c r="OV121" s="1"/>
      <c r="OW121" s="1"/>
      <c r="OX121" s="1"/>
      <c r="OY121" s="1"/>
      <c r="OZ121" s="1"/>
      <c r="PA121" s="1"/>
      <c r="PB121" s="1"/>
      <c r="PC121" s="1"/>
      <c r="PD121" s="1"/>
      <c r="PE121" s="1"/>
      <c r="PF121" s="1"/>
      <c r="PG121" s="1"/>
      <c r="PH121" s="1"/>
      <c r="PI121" s="1"/>
      <c r="PJ121" s="1"/>
      <c r="PK121" s="1"/>
      <c r="PL121" s="1"/>
      <c r="PM121" s="1"/>
      <c r="PN121" s="1"/>
      <c r="PO121" s="1"/>
      <c r="PP121" s="1"/>
      <c r="PQ121" s="1"/>
      <c r="PR121" s="1"/>
      <c r="PS121" s="1"/>
      <c r="PT121" s="1"/>
      <c r="PU121" s="1"/>
      <c r="PV121" s="1"/>
      <c r="PW121" s="1"/>
      <c r="PX121" s="1"/>
      <c r="PY121" s="1"/>
      <c r="PZ121" s="1"/>
      <c r="QA121" s="1"/>
      <c r="QB121" s="1"/>
      <c r="QC121" s="1"/>
      <c r="QD121" s="1"/>
      <c r="QE121" s="1"/>
      <c r="QF121" s="1"/>
      <c r="QG121" s="1"/>
      <c r="QH121" s="1"/>
      <c r="QI121" s="1"/>
      <c r="QJ121" s="1"/>
      <c r="QK121" s="1"/>
      <c r="QL121" s="1"/>
      <c r="QM121" s="1"/>
      <c r="QN121" s="1"/>
      <c r="QO121" s="1"/>
      <c r="QP121" s="1"/>
      <c r="QQ121" s="1"/>
      <c r="QR121" s="1"/>
      <c r="QS121" s="1"/>
      <c r="QT121" s="1"/>
      <c r="QU121" s="1"/>
      <c r="QV121" s="1"/>
      <c r="QW121" s="1"/>
      <c r="QX121" s="1"/>
      <c r="QY121" s="1"/>
      <c r="QZ121" s="1"/>
      <c r="RA121" s="1"/>
      <c r="RB121" s="1"/>
      <c r="RC121" s="1"/>
      <c r="RD121" s="1"/>
      <c r="RE121" s="1"/>
      <c r="RF121" s="1"/>
      <c r="RG121" s="1"/>
      <c r="RH121" s="1"/>
      <c r="RI121" s="1"/>
      <c r="RJ121" s="1"/>
      <c r="RK121" s="1"/>
      <c r="RL121" s="1"/>
      <c r="RM121" s="1"/>
      <c r="RN121" s="1"/>
      <c r="RO121" s="1"/>
      <c r="RP121" s="1"/>
      <c r="RQ121" s="1"/>
      <c r="RR121" s="1"/>
      <c r="RS121" s="1"/>
      <c r="RT121" s="1"/>
      <c r="RU121" s="1"/>
      <c r="RV121" s="1"/>
      <c r="RW121" s="1"/>
      <c r="RX121" s="1"/>
      <c r="RY121" s="1"/>
      <c r="RZ121" s="1"/>
      <c r="SA121" s="1"/>
      <c r="SB121" s="1"/>
      <c r="SC121" s="1"/>
      <c r="SD121" s="1"/>
      <c r="SE121" s="1"/>
      <c r="SF121" s="1"/>
      <c r="SG121" s="1"/>
      <c r="SH121" s="1"/>
      <c r="SI121" s="1"/>
      <c r="SJ121" s="1"/>
      <c r="SK121" s="1"/>
      <c r="SL121" s="1"/>
      <c r="SM121" s="1"/>
      <c r="SN121" s="1"/>
      <c r="SO121" s="1"/>
      <c r="SP121" s="1"/>
      <c r="SQ121" s="1"/>
      <c r="SR121" s="1"/>
      <c r="SS121" s="1"/>
      <c r="ST121" s="1"/>
      <c r="SU121" s="1"/>
      <c r="SV121" s="1"/>
      <c r="SW121" s="1"/>
      <c r="SX121" s="1"/>
      <c r="SY121" s="1"/>
      <c r="SZ121" s="1"/>
      <c r="TA121" s="1"/>
      <c r="TB121" s="1"/>
      <c r="TC121" s="1"/>
      <c r="TD121" s="1"/>
      <c r="TE121" s="1"/>
      <c r="TF121" s="1"/>
      <c r="TG121" s="1"/>
      <c r="TH121" s="1"/>
      <c r="TI121" s="1"/>
      <c r="TJ121" s="1"/>
      <c r="TK121" s="1"/>
      <c r="TL121" s="1"/>
      <c r="TM121" s="1"/>
      <c r="TN121" s="1"/>
      <c r="TO121" s="1"/>
      <c r="TP121" s="1"/>
      <c r="TQ121" s="1"/>
      <c r="TR121" s="1"/>
      <c r="TS121" s="1"/>
      <c r="TT121" s="1"/>
      <c r="TU121" s="1"/>
      <c r="TV121" s="1"/>
      <c r="TW121" s="1"/>
      <c r="TX121" s="1"/>
      <c r="TY121" s="1"/>
      <c r="TZ121" s="1"/>
      <c r="UA121" s="1"/>
      <c r="UB121" s="1"/>
      <c r="UC121" s="1"/>
      <c r="UD121" s="1"/>
      <c r="UE121" s="1"/>
      <c r="UF121" s="1"/>
      <c r="UG121" s="1"/>
      <c r="UH121" s="1"/>
      <c r="UI121" s="1"/>
      <c r="UJ121" s="1"/>
      <c r="UK121" s="1"/>
      <c r="UL121" s="1"/>
      <c r="UM121" s="1"/>
      <c r="UN121" s="1"/>
      <c r="UO121" s="1"/>
      <c r="UP121" s="1"/>
      <c r="UQ121" s="1"/>
      <c r="UR121" s="1"/>
      <c r="US121" s="1"/>
      <c r="UT121" s="1"/>
      <c r="UU121" s="1"/>
      <c r="UV121" s="1"/>
      <c r="UW121" s="1"/>
      <c r="UX121" s="1"/>
      <c r="UY121" s="1"/>
      <c r="UZ121" s="1"/>
      <c r="VA121" s="1"/>
      <c r="VB121" s="1"/>
      <c r="VC121" s="1"/>
      <c r="VD121" s="1"/>
      <c r="VE121" s="1"/>
      <c r="VF121" s="1"/>
      <c r="VG121" s="1"/>
      <c r="VH121" s="1"/>
      <c r="VI121" s="1"/>
      <c r="VJ121" s="1"/>
      <c r="VK121" s="1"/>
      <c r="VL121" s="1"/>
      <c r="VM121" s="1"/>
      <c r="VN121" s="1"/>
      <c r="VO121" s="1"/>
      <c r="VP121" s="1"/>
      <c r="VQ121" s="1"/>
      <c r="VR121" s="1"/>
      <c r="VS121" s="1"/>
      <c r="VT121" s="1"/>
      <c r="VU121" s="1"/>
      <c r="VV121" s="1"/>
      <c r="VW121" s="1"/>
      <c r="VX121" s="1"/>
      <c r="VY121" s="1"/>
      <c r="VZ121" s="1"/>
      <c r="WA121" s="1"/>
      <c r="WB121" s="1"/>
      <c r="WC121" s="1"/>
      <c r="WD121" s="1"/>
      <c r="WE121" s="1"/>
      <c r="WF121" s="1"/>
      <c r="WG121" s="1"/>
      <c r="WH121" s="1"/>
      <c r="WI121" s="1"/>
      <c r="WJ121" s="1"/>
      <c r="WK121" s="1"/>
      <c r="WL121" s="1"/>
      <c r="WM121" s="1"/>
      <c r="WN121" s="1"/>
      <c r="WO121" s="1"/>
      <c r="WP121" s="1"/>
      <c r="WQ121" s="1"/>
      <c r="WR121" s="1"/>
      <c r="WS121" s="1"/>
      <c r="WT121" s="1"/>
      <c r="WU121" s="1"/>
      <c r="WV121" s="1"/>
      <c r="WW121" s="1"/>
      <c r="WX121" s="1"/>
      <c r="WY121" s="1"/>
      <c r="WZ121" s="1"/>
      <c r="XA121" s="1"/>
      <c r="XB121" s="1"/>
      <c r="XC121" s="1"/>
      <c r="XD121" s="1"/>
      <c r="XE121" s="1"/>
      <c r="XF121" s="1"/>
      <c r="XG121" s="1"/>
      <c r="XH121" s="1"/>
      <c r="XI121" s="1"/>
      <c r="XJ121" s="1"/>
      <c r="XK121" s="1"/>
      <c r="XL121" s="1"/>
      <c r="XM121" s="1"/>
      <c r="XN121" s="1"/>
      <c r="XO121" s="1"/>
      <c r="XP121" s="1"/>
      <c r="XQ121" s="1"/>
      <c r="XR121" s="1"/>
      <c r="XS121" s="1"/>
      <c r="XT121" s="1"/>
      <c r="XU121" s="1"/>
      <c r="XV121" s="1"/>
      <c r="XW121" s="1"/>
      <c r="XX121" s="1"/>
      <c r="XY121" s="1"/>
      <c r="XZ121" s="1"/>
      <c r="YA121" s="1"/>
      <c r="YB121" s="1"/>
      <c r="YC121" s="1"/>
      <c r="YD121" s="1"/>
      <c r="YE121" s="1"/>
      <c r="YF121" s="1"/>
      <c r="YG121" s="1"/>
      <c r="YH121" s="1"/>
      <c r="YI121" s="1"/>
      <c r="YJ121" s="1"/>
      <c r="YK121" s="1"/>
      <c r="YL121" s="1"/>
      <c r="YM121" s="1"/>
      <c r="YN121" s="1"/>
      <c r="YO121" s="1"/>
      <c r="YP121" s="1"/>
      <c r="YQ121" s="1"/>
      <c r="YR121" s="1"/>
      <c r="YS121" s="1"/>
      <c r="YT121" s="1"/>
      <c r="YU121" s="1"/>
      <c r="YV121" s="1"/>
      <c r="YW121" s="1"/>
      <c r="YX121" s="1"/>
      <c r="YY121" s="1"/>
      <c r="YZ121" s="1"/>
      <c r="ZA121" s="1"/>
      <c r="ZB121" s="1"/>
      <c r="ZC121" s="1"/>
      <c r="ZD121" s="1"/>
      <c r="ZE121" s="1"/>
      <c r="ZF121" s="1"/>
      <c r="ZG121" s="1"/>
      <c r="ZH121" s="1"/>
      <c r="ZI121" s="1"/>
      <c r="ZJ121" s="1"/>
      <c r="ZK121" s="1"/>
      <c r="ZL121" s="1"/>
      <c r="ZM121" s="1"/>
      <c r="ZN121" s="1"/>
      <c r="ZO121" s="1"/>
      <c r="ZP121" s="1"/>
      <c r="ZQ121" s="1"/>
      <c r="ZR121" s="1"/>
      <c r="ZS121" s="1"/>
      <c r="ZT121" s="1"/>
      <c r="ZU121" s="1"/>
      <c r="ZV121" s="1"/>
      <c r="ZW121" s="1"/>
      <c r="ZX121" s="1"/>
      <c r="ZY121" s="1"/>
      <c r="ZZ121" s="1"/>
      <c r="AAA121" s="1"/>
      <c r="AAB121" s="1"/>
      <c r="AAC121" s="1"/>
      <c r="AAD121" s="1"/>
      <c r="AAE121" s="1"/>
      <c r="AAF121" s="1"/>
      <c r="AAG121" s="1"/>
      <c r="AAH121" s="1"/>
      <c r="AAI121" s="1"/>
      <c r="AAJ121" s="1"/>
      <c r="AAK121" s="1"/>
      <c r="AAL121" s="1"/>
      <c r="AAM121" s="1"/>
      <c r="AAN121" s="1"/>
      <c r="AAO121" s="1"/>
      <c r="AAP121" s="1"/>
      <c r="AAQ121" s="1"/>
      <c r="AAR121" s="1"/>
      <c r="AAS121" s="1"/>
      <c r="AAT121" s="1"/>
      <c r="AAU121" s="1"/>
      <c r="AAV121" s="1"/>
      <c r="AAW121" s="1"/>
      <c r="AAX121" s="1"/>
      <c r="AAY121" s="1"/>
      <c r="AAZ121" s="1"/>
      <c r="ABA121" s="1"/>
      <c r="ABB121" s="1"/>
      <c r="ABC121" s="1"/>
      <c r="ABD121" s="1"/>
      <c r="ABE121" s="1"/>
      <c r="ABF121" s="1"/>
      <c r="ABG121" s="1"/>
      <c r="ABH121" s="1"/>
      <c r="ABI121" s="1"/>
      <c r="ABJ121" s="1"/>
      <c r="ABK121" s="1"/>
      <c r="ABL121" s="1"/>
      <c r="ABM121" s="1"/>
      <c r="ABN121" s="1"/>
      <c r="ABO121" s="1"/>
      <c r="ABP121" s="1"/>
      <c r="ABQ121" s="1"/>
      <c r="ABR121" s="1"/>
      <c r="ABS121" s="1"/>
      <c r="ABT121" s="1"/>
      <c r="ABU121" s="1"/>
      <c r="ABV121" s="1"/>
      <c r="ABW121" s="1"/>
      <c r="ABX121" s="1"/>
      <c r="ABY121" s="1"/>
      <c r="ABZ121" s="1"/>
      <c r="ACA121" s="1"/>
      <c r="ACB121" s="1"/>
      <c r="ACC121" s="1"/>
      <c r="ACD121" s="1"/>
      <c r="ACE121" s="1"/>
      <c r="ACF121" s="1"/>
      <c r="ACG121" s="1"/>
      <c r="ACH121" s="1"/>
      <c r="ACI121" s="1"/>
      <c r="ACJ121" s="1"/>
      <c r="ACK121" s="1"/>
      <c r="ACL121" s="1"/>
      <c r="ACM121" s="1"/>
      <c r="ACN121" s="1"/>
      <c r="ACO121" s="1"/>
      <c r="ACP121" s="1"/>
      <c r="ACQ121" s="1"/>
      <c r="ACR121" s="1"/>
      <c r="ACS121" s="1"/>
      <c r="ACT121" s="1"/>
      <c r="ACU121" s="1"/>
      <c r="ACV121" s="1"/>
      <c r="ACW121" s="1"/>
      <c r="ACX121" s="1"/>
      <c r="ACY121" s="1"/>
      <c r="ACZ121" s="1"/>
      <c r="ADA121" s="1"/>
      <c r="ADB121" s="1"/>
      <c r="ADC121" s="1"/>
      <c r="ADD121" s="1"/>
      <c r="ADE121" s="1"/>
      <c r="ADF121" s="1"/>
      <c r="ADG121" s="1"/>
      <c r="ADH121" s="1"/>
      <c r="ADI121" s="1"/>
      <c r="ADJ121" s="1"/>
      <c r="ADK121" s="1"/>
      <c r="ADL121" s="1"/>
      <c r="ADM121" s="1"/>
      <c r="ADN121" s="1"/>
      <c r="ADO121" s="1"/>
      <c r="ADP121" s="1"/>
      <c r="ADQ121" s="1"/>
      <c r="ADR121" s="1"/>
      <c r="ADS121" s="1"/>
      <c r="ADT121" s="1"/>
      <c r="ADU121" s="1"/>
      <c r="ADV121" s="1"/>
      <c r="ADW121" s="1"/>
      <c r="ADX121" s="1"/>
      <c r="ADY121" s="1"/>
      <c r="ADZ121" s="1"/>
      <c r="AEA121" s="1"/>
      <c r="AEB121" s="1"/>
      <c r="AEC121" s="1"/>
      <c r="AED121" s="1"/>
      <c r="AEE121" s="1"/>
      <c r="AEF121" s="1"/>
      <c r="AEG121" s="1"/>
      <c r="AEH121" s="1"/>
      <c r="AEI121" s="1"/>
      <c r="AEJ121" s="1"/>
      <c r="AEK121" s="1"/>
      <c r="AEL121" s="1"/>
      <c r="AEM121" s="1"/>
      <c r="AEN121" s="1"/>
      <c r="AEO121" s="1"/>
      <c r="AEP121" s="1"/>
      <c r="AEQ121" s="1"/>
      <c r="AER121" s="1"/>
      <c r="AES121" s="1"/>
      <c r="AET121" s="1"/>
      <c r="AEU121" s="1"/>
      <c r="AEV121" s="1"/>
      <c r="AEW121" s="1"/>
      <c r="AEX121" s="1"/>
      <c r="AEY121" s="1"/>
      <c r="AEZ121" s="1"/>
      <c r="AFA121" s="1"/>
      <c r="AFB121" s="1"/>
      <c r="AFC121" s="1"/>
      <c r="AFD121" s="1"/>
      <c r="AFE121" s="1"/>
      <c r="AFF121" s="1"/>
      <c r="AFG121" s="1"/>
      <c r="AFH121" s="1"/>
      <c r="AFI121" s="1"/>
      <c r="AFJ121" s="1"/>
      <c r="AFK121" s="1"/>
      <c r="AFL121" s="1"/>
      <c r="AFM121" s="1"/>
      <c r="AFN121" s="1"/>
      <c r="AFO121" s="1"/>
      <c r="AFP121" s="1"/>
      <c r="AFQ121" s="1"/>
      <c r="AFR121" s="1"/>
      <c r="AFS121" s="1"/>
      <c r="AFT121" s="1"/>
      <c r="AFU121" s="1"/>
      <c r="AFV121" s="1"/>
      <c r="AFW121" s="1"/>
      <c r="AFX121" s="1"/>
      <c r="AFY121" s="1"/>
      <c r="AFZ121" s="1"/>
      <c r="AGA121" s="1"/>
      <c r="AGB121" s="1"/>
      <c r="AGC121" s="1"/>
      <c r="AGD121" s="1"/>
      <c r="AGE121" s="1"/>
      <c r="AGF121" s="1"/>
      <c r="AGG121" s="1"/>
      <c r="AGH121" s="1"/>
      <c r="AGI121" s="1"/>
      <c r="AGJ121" s="1"/>
      <c r="AGK121" s="1"/>
      <c r="AGL121" s="1"/>
      <c r="AGM121" s="1"/>
      <c r="AGN121" s="1"/>
      <c r="AGO121" s="1"/>
      <c r="AGP121" s="1"/>
      <c r="AGQ121" s="1"/>
      <c r="AGR121" s="1"/>
      <c r="AGS121" s="1"/>
      <c r="AGT121" s="1"/>
      <c r="AGU121" s="1"/>
      <c r="AGV121" s="1"/>
      <c r="AGW121" s="1"/>
      <c r="AGX121" s="1"/>
      <c r="AGY121" s="1"/>
      <c r="AGZ121" s="1"/>
      <c r="AHA121" s="1"/>
      <c r="AHB121" s="1"/>
      <c r="AHC121" s="1"/>
      <c r="AHD121" s="1"/>
      <c r="AHE121" s="1"/>
      <c r="AHF121" s="1"/>
      <c r="AHG121" s="1"/>
      <c r="AHH121" s="1"/>
      <c r="AHI121" s="1"/>
      <c r="AHJ121" s="1"/>
      <c r="AHK121" s="1"/>
      <c r="AHL121" s="1"/>
      <c r="AHM121" s="1"/>
      <c r="AHN121" s="1"/>
      <c r="AHO121" s="1"/>
      <c r="AHP121" s="1"/>
      <c r="AHQ121" s="1"/>
      <c r="AHR121" s="1"/>
      <c r="AHS121" s="1"/>
      <c r="AHT121" s="1"/>
      <c r="AHU121" s="1"/>
      <c r="AHV121" s="1"/>
      <c r="AHW121" s="1"/>
      <c r="AHX121" s="1"/>
      <c r="AHY121" s="1"/>
      <c r="AHZ121" s="1"/>
      <c r="AIA121" s="1"/>
      <c r="AIB121" s="1"/>
      <c r="AIC121" s="1"/>
      <c r="AID121" s="1"/>
      <c r="AIE121" s="1"/>
      <c r="AIF121" s="1"/>
      <c r="AIG121" s="1"/>
      <c r="AIH121" s="1"/>
      <c r="AII121" s="1"/>
      <c r="AIJ121" s="1"/>
      <c r="AIK121" s="1"/>
      <c r="AIL121" s="1"/>
      <c r="AIM121" s="1"/>
      <c r="AIN121" s="1"/>
      <c r="AIO121" s="1"/>
      <c r="AIP121" s="1"/>
      <c r="AIQ121" s="1"/>
      <c r="AIR121" s="1"/>
      <c r="AIS121" s="1"/>
      <c r="AIT121" s="1"/>
      <c r="AIU121" s="1"/>
      <c r="AIV121" s="1"/>
      <c r="AIW121" s="1"/>
      <c r="AIX121" s="1"/>
      <c r="AIY121" s="1"/>
      <c r="AIZ121" s="1"/>
      <c r="AJA121" s="1"/>
      <c r="AJB121" s="1"/>
      <c r="AJC121" s="1"/>
      <c r="AJD121" s="1"/>
      <c r="AJE121" s="1"/>
      <c r="AJF121" s="1"/>
      <c r="AJG121" s="1"/>
      <c r="AJH121" s="1"/>
      <c r="AJI121" s="1"/>
      <c r="AJJ121" s="1"/>
      <c r="AJK121" s="1"/>
      <c r="AJL121" s="1"/>
      <c r="AJM121" s="1"/>
      <c r="AJN121" s="1"/>
      <c r="AJO121" s="1"/>
      <c r="AJP121" s="1"/>
      <c r="AJQ121" s="1"/>
      <c r="AJR121" s="1"/>
      <c r="AJS121" s="1"/>
      <c r="AJT121" s="1"/>
      <c r="AJU121" s="1"/>
      <c r="AJV121" s="1"/>
      <c r="AJW121" s="1"/>
      <c r="AJX121" s="1"/>
      <c r="AJY121" s="1"/>
      <c r="AJZ121" s="1"/>
      <c r="AKA121" s="1"/>
      <c r="AKB121" s="1"/>
      <c r="AKC121" s="1"/>
      <c r="AKD121" s="1"/>
      <c r="AKE121" s="1"/>
      <c r="AKF121" s="1"/>
      <c r="AKG121" s="1"/>
      <c r="AKH121" s="1"/>
      <c r="AKI121" s="1"/>
      <c r="AKJ121" s="1"/>
      <c r="AKK121" s="1"/>
      <c r="AKL121" s="1"/>
      <c r="AKM121" s="1"/>
      <c r="AKN121" s="1"/>
      <c r="AKO121" s="1"/>
      <c r="AKP121" s="1"/>
      <c r="AKQ121" s="1"/>
      <c r="AKR121" s="1"/>
      <c r="AKS121" s="1"/>
      <c r="AKT121" s="1"/>
      <c r="AKU121" s="1"/>
      <c r="AKV121" s="1"/>
      <c r="AKW121" s="1"/>
      <c r="AKX121" s="1"/>
      <c r="AKY121" s="1"/>
      <c r="AKZ121" s="1"/>
      <c r="ALA121" s="1"/>
      <c r="ALB121" s="1"/>
      <c r="ALC121" s="1"/>
      <c r="ALD121" s="1"/>
      <c r="ALE121" s="1"/>
      <c r="ALF121" s="1"/>
      <c r="ALG121" s="1"/>
      <c r="ALH121" s="1"/>
      <c r="ALI121" s="1"/>
      <c r="ALJ121" s="1"/>
      <c r="ALK121" s="1"/>
      <c r="ALL121" s="1"/>
      <c r="ALM121" s="1"/>
      <c r="ALN121" s="1"/>
      <c r="ALO121" s="1"/>
      <c r="ALP121" s="1"/>
      <c r="ALQ121" s="1"/>
      <c r="ALR121" s="1"/>
      <c r="ALS121" s="1"/>
      <c r="ALT121" s="1"/>
      <c r="ALU121" s="1"/>
      <c r="ALV121" s="1"/>
      <c r="ALW121" s="1"/>
      <c r="ALX121" s="1"/>
      <c r="ALY121" s="1"/>
      <c r="ALZ121" s="1"/>
      <c r="AMA121" s="1"/>
      <c r="AMB121" s="1"/>
      <c r="AMC121" s="1"/>
      <c r="AMD121" s="1"/>
      <c r="AME121" s="1"/>
      <c r="AMF121" s="1"/>
      <c r="AMG121" s="1"/>
      <c r="AMH121" s="1"/>
      <c r="AMI121" s="1"/>
      <c r="AMJ121" s="1"/>
      <c r="AMK121" s="1"/>
      <c r="AML121" s="1"/>
      <c r="AMM121" s="1"/>
      <c r="AMN121" s="1"/>
      <c r="AMO121" s="1"/>
    </row>
    <row r="122" spans="1:1029" x14ac:dyDescent="0.2">
      <c r="A122" s="3" t="str">
        <f t="shared" ref="A122:A132" si="561">CONCATENATE(B122,"_",C122)</f>
        <v>agtr2_human__wt</v>
      </c>
      <c r="B122" s="3" t="s">
        <v>159</v>
      </c>
      <c r="C122" s="3" t="s">
        <v>100</v>
      </c>
      <c r="D122" s="3" t="str">
        <f>IFERROR(MID(VLOOKUP($B122,Seqs!$A:$B,2,0),E122,1),"")</f>
        <v>D</v>
      </c>
      <c r="E122" s="3">
        <v>45</v>
      </c>
      <c r="F122" s="3" t="str">
        <f>IFERROR(MID(VLOOKUP($B122,Seqs!$A:$B,2,0),G122,1),"")</f>
        <v>Q</v>
      </c>
      <c r="G122" s="3">
        <v>72</v>
      </c>
      <c r="H122" s="3" t="str">
        <f>IFERROR(MID(VLOOKUP($B122,Seqs!$A:$B,2,0),I122,1),"")</f>
        <v/>
      </c>
      <c r="I122" s="23" t="s">
        <v>23</v>
      </c>
      <c r="J122" s="3" t="str">
        <f>IFERROR(MID(VLOOKUP($B122,Seqs!$A:$B,2,0),K122,1),"")</f>
        <v/>
      </c>
      <c r="K122" s="23" t="s">
        <v>23</v>
      </c>
      <c r="L122" s="3" t="str">
        <f>IFERROR(MID(VLOOKUP($B122,Seqs!$A:$B,2,0),M122,1),"")</f>
        <v>V</v>
      </c>
      <c r="M122" s="3">
        <v>78</v>
      </c>
      <c r="N122" s="3" t="str">
        <f>IFERROR(MID(VLOOKUP($B122,Seqs!$A:$B,2,0),O122,1),"")</f>
        <v>Y</v>
      </c>
      <c r="O122" s="3">
        <v>106</v>
      </c>
      <c r="P122" s="3" t="str">
        <f>IFERROR(MID(VLOOKUP($B122,Seqs!$A:$B,2,0),Q122,1),"")</f>
        <v>R</v>
      </c>
      <c r="Q122" s="3">
        <v>107</v>
      </c>
      <c r="R122" s="3" t="str">
        <f>IFERROR(MID(VLOOKUP($B122,Seqs!$A:$B,2,0),S122,1),"")</f>
        <v>F</v>
      </c>
      <c r="S122" s="3">
        <v>112</v>
      </c>
      <c r="T122" s="3" t="str">
        <f>IFERROR(MID(VLOOKUP($B122,Seqs!$A:$B,2,0),U122,1),"")</f>
        <v>G</v>
      </c>
      <c r="U122" s="3">
        <v>113</v>
      </c>
      <c r="V122" s="3" t="str">
        <f>IFERROR(MID(VLOOKUP($B122,Seqs!$A:$B,2,0),W122,1),"")</f>
        <v>Y</v>
      </c>
      <c r="W122" s="3">
        <v>148</v>
      </c>
      <c r="X122" s="3" t="str">
        <f>IFERROR(MID(VLOOKUP($B122,Seqs!$A:$B,2,0),Y122,1),"")</f>
        <v>P</v>
      </c>
      <c r="Y122" s="3">
        <v>149</v>
      </c>
      <c r="Z122" s="3" t="str">
        <f>IFERROR(MID(VLOOKUP($B122,Seqs!$A:$B,2,0),AA122,1),"")</f>
        <v>R</v>
      </c>
      <c r="AA122" s="3">
        <v>155</v>
      </c>
      <c r="AB122" s="3" t="str">
        <f>IFERROR(MID(VLOOKUP($B122,Seqs!$A:$B,2,0),AC122,1),"")</f>
        <v>N</v>
      </c>
      <c r="AC122" s="3">
        <v>156</v>
      </c>
      <c r="AD122" s="3" t="str">
        <f>IFERROR(MID(VLOOKUP($B122,Seqs!$A:$B,2,0),AE122,1),"")</f>
        <v>R</v>
      </c>
      <c r="AE122" s="3">
        <v>182</v>
      </c>
      <c r="AF122" s="3" t="str">
        <f>IFERROR(MID(VLOOKUP($B122,Seqs!$A:$B,2,0),AG122,1),"")</f>
        <v>C</v>
      </c>
      <c r="AG122" s="3">
        <v>195</v>
      </c>
      <c r="AH122" s="3" t="str">
        <f>IFERROR(MID(VLOOKUP($B122,Seqs!$A:$B,2,0),AI122,1),"")</f>
        <v>M</v>
      </c>
      <c r="AI122" s="3">
        <v>197</v>
      </c>
      <c r="AJ122" s="3" t="str">
        <f>IFERROR(MID(VLOOKUP($B122,Seqs!$A:$B,2,0),AK122,1),"")</f>
        <v>K</v>
      </c>
      <c r="AK122" s="3">
        <v>203</v>
      </c>
      <c r="AL122" s="3" t="str">
        <f>IFERROR(MID(VLOOKUP($B122,Seqs!$A:$B,2,0),AM122,1),"")</f>
        <v>T</v>
      </c>
      <c r="AM122" s="3">
        <v>241</v>
      </c>
      <c r="AN122" s="3" t="str">
        <f>IFERROR(MID(VLOOKUP($B122,Seqs!$A:$B,2,0),AO122,1),"")</f>
        <v>G</v>
      </c>
      <c r="AO122" s="3">
        <v>245</v>
      </c>
      <c r="AP122" s="3" t="str">
        <f>IFERROR(MID(VLOOKUP($B122,Seqs!$A:$B,2,0),AQ122,1),"")</f>
        <v>G</v>
      </c>
      <c r="AQ122" s="3">
        <v>285</v>
      </c>
      <c r="AR122" s="3" t="str">
        <f>IFERROR(MID(VLOOKUP($B122,Seqs!$A:$B,2,0),AS122,1),"")</f>
        <v>S</v>
      </c>
      <c r="AS122" s="3">
        <v>289</v>
      </c>
      <c r="AT122" s="3" t="str">
        <f>IFERROR(MID(VLOOKUP($B122,Seqs!$A:$B,2,0),AU122,1),"")</f>
        <v>V</v>
      </c>
      <c r="AU122" s="3">
        <v>321</v>
      </c>
      <c r="AV122" s="3" t="str">
        <f>IFERROR(MID(VLOOKUP($B122,Seqs!$A:$B,2,0),AW122,1),"")</f>
        <v>G</v>
      </c>
      <c r="AW122" s="3">
        <v>322</v>
      </c>
      <c r="AX122" s="3" t="str">
        <f>IFERROR(MID(VLOOKUP($B122,Seqs!$A:$B,2,0),AY122,1),"")</f>
        <v>P</v>
      </c>
      <c r="AY122" s="3">
        <v>336</v>
      </c>
      <c r="AZ122" s="77" t="str">
        <f>VLOOKUP(B122,Classification!A:D,2,0)</f>
        <v>A</v>
      </c>
      <c r="BA122" s="94" t="str">
        <f>VLOOKUP(B122,Classification!A:D,4,0)</f>
        <v>Angiotensin</v>
      </c>
      <c r="BB122" s="27" t="b">
        <f t="shared" ref="BB122:BB132" si="562">AND(E122&lt;G122,OR(G122&lt;I122,I122="-"),OR(I122&lt;K122,I122="-"),OR(K122&lt;M122,K122="-"),M122&lt;O122,OR(O122&lt;Q122,Q122="-"),OR(Q122&lt;S122,Q122="-"),OR(S122&lt;U122,S122="-"),U122&lt;W122,OR(W122&lt;Y122,Y122="-"),OR(Y122&lt;AA122,Y122="-"),OR(AA122&lt;AC122,AA122="-"),AC122&lt;AE122,OR(AE122&lt;AG122,AG122="-"),OR(AG122&lt;AI122,AG122="-"),OR(AI122&lt;AK122,AI122="-"),AK122&lt;AM122,AM122&lt;AO122,AO122&lt;AQ122,AQ122&lt;AS122,AS122&lt;AU122,OR(AU122&lt;AW122,AW122="-"),OR(AW122&lt;AY122,AW122="-"))</f>
        <v>1</v>
      </c>
      <c r="BC122" s="23">
        <f t="shared" ref="BC122:BC132" si="563">_xlfn.AGGREGATE(9,6,CH122:CS122)-_xlfn.AGGREGATE(9,6,BV122:CG122)+12</f>
        <v>265</v>
      </c>
      <c r="BD122" s="2" t="s">
        <v>23</v>
      </c>
      <c r="BE122" s="3" t="s">
        <v>23</v>
      </c>
      <c r="BF122" s="119" t="s">
        <v>23</v>
      </c>
      <c r="BG122" s="49" t="s">
        <v>1384</v>
      </c>
      <c r="BH122" s="49" t="s">
        <v>1384</v>
      </c>
      <c r="BI122" s="1"/>
      <c r="BJ122" s="70" t="s">
        <v>1293</v>
      </c>
      <c r="BK122" s="57" t="s">
        <v>1293</v>
      </c>
      <c r="BL122" s="57" t="s">
        <v>1293</v>
      </c>
      <c r="BM122" s="57" t="s">
        <v>1293</v>
      </c>
      <c r="BN122" s="57" t="s">
        <v>1293</v>
      </c>
      <c r="BO122" s="57" t="s">
        <v>1293</v>
      </c>
      <c r="BP122" s="57" t="s">
        <v>1293</v>
      </c>
      <c r="BQ122" s="57" t="s">
        <v>1293</v>
      </c>
      <c r="BR122" s="57" t="s">
        <v>1293</v>
      </c>
      <c r="BS122" s="57" t="s">
        <v>1293</v>
      </c>
      <c r="BT122" s="57" t="s">
        <v>1293</v>
      </c>
      <c r="BU122" s="57" t="s">
        <v>1293</v>
      </c>
      <c r="BV122" s="70">
        <f t="shared" ref="BV122:BV132" si="564">E122</f>
        <v>45</v>
      </c>
      <c r="BW122" s="71" t="str">
        <f t="shared" ref="BW122:BW132" si="565">I122</f>
        <v>-</v>
      </c>
      <c r="BX122" s="72">
        <f t="shared" ref="BX122:BX132" si="566">M122</f>
        <v>78</v>
      </c>
      <c r="BY122" s="71">
        <f t="shared" ref="BY122:BY132" si="567">Q122</f>
        <v>107</v>
      </c>
      <c r="BZ122" s="72">
        <f t="shared" ref="BZ122:BZ132" si="568">U122</f>
        <v>113</v>
      </c>
      <c r="CA122" s="71">
        <f t="shared" ref="CA122:CA132" si="569">Y122</f>
        <v>149</v>
      </c>
      <c r="CB122" s="72">
        <f t="shared" ref="CB122:CB132" si="570">AC122</f>
        <v>156</v>
      </c>
      <c r="CC122" s="71">
        <f t="shared" ref="CC122:CC132" si="571">AG122</f>
        <v>195</v>
      </c>
      <c r="CD122" s="72">
        <f t="shared" ref="CD122:CD132" si="572">AK122</f>
        <v>203</v>
      </c>
      <c r="CE122" s="71">
        <f t="shared" ref="CE122:CE132" si="573">AO122</f>
        <v>245</v>
      </c>
      <c r="CF122" s="72">
        <f t="shared" ref="CF122:CF132" si="574">AS122</f>
        <v>289</v>
      </c>
      <c r="CG122" s="71">
        <f t="shared" ref="CG122:CG132" si="575">AW122</f>
        <v>322</v>
      </c>
      <c r="CH122" s="70">
        <f t="shared" ref="CH122:CH132" si="576">G122</f>
        <v>72</v>
      </c>
      <c r="CI122" s="71" t="str">
        <f t="shared" ref="CI122:CI132" si="577">K122</f>
        <v>-</v>
      </c>
      <c r="CJ122" s="72">
        <f t="shared" ref="CJ122:CJ132" si="578">O122</f>
        <v>106</v>
      </c>
      <c r="CK122" s="72">
        <f t="shared" ref="CK122:CK132" si="579">S122</f>
        <v>112</v>
      </c>
      <c r="CL122" s="72">
        <f t="shared" ref="CL122:CL132" si="580">W122</f>
        <v>148</v>
      </c>
      <c r="CM122" s="72">
        <f t="shared" ref="CM122:CM132" si="581">AA122</f>
        <v>155</v>
      </c>
      <c r="CN122" s="72">
        <f t="shared" ref="CN122:CN132" si="582">AE122</f>
        <v>182</v>
      </c>
      <c r="CO122" s="72">
        <f t="shared" ref="CO122:CO132" si="583">AI122</f>
        <v>197</v>
      </c>
      <c r="CP122" s="72">
        <f t="shared" ref="CP122:CP132" si="584">AM122</f>
        <v>241</v>
      </c>
      <c r="CQ122" s="72">
        <f t="shared" ref="CQ122:CQ132" si="585">AQ122</f>
        <v>285</v>
      </c>
      <c r="CR122" s="72">
        <f t="shared" ref="CR122:CR132" si="586">AU122</f>
        <v>321</v>
      </c>
      <c r="CS122" s="72">
        <f t="shared" ref="CS122:CS132" si="587">AY122</f>
        <v>336</v>
      </c>
      <c r="CT122" s="23" t="e">
        <f t="shared" ref="CT122:CT132" si="588">M122-K122</f>
        <v>#VALUE!</v>
      </c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  <c r="OK122" s="1"/>
      <c r="OL122" s="1"/>
      <c r="OM122" s="1"/>
      <c r="ON122" s="1"/>
      <c r="OO122" s="1"/>
      <c r="OP122" s="1"/>
      <c r="OQ122" s="1"/>
      <c r="OR122" s="1"/>
      <c r="OS122" s="1"/>
      <c r="OT122" s="1"/>
      <c r="OU122" s="1"/>
      <c r="OV122" s="1"/>
      <c r="OW122" s="1"/>
      <c r="OX122" s="1"/>
      <c r="OY122" s="1"/>
      <c r="OZ122" s="1"/>
      <c r="PA122" s="1"/>
      <c r="PB122" s="1"/>
      <c r="PC122" s="1"/>
      <c r="PD122" s="1"/>
      <c r="PE122" s="1"/>
      <c r="PF122" s="1"/>
      <c r="PG122" s="1"/>
      <c r="PH122" s="1"/>
      <c r="PI122" s="1"/>
      <c r="PJ122" s="1"/>
      <c r="PK122" s="1"/>
      <c r="PL122" s="1"/>
      <c r="PM122" s="1"/>
      <c r="PN122" s="1"/>
      <c r="PO122" s="1"/>
      <c r="PP122" s="1"/>
      <c r="PQ122" s="1"/>
      <c r="PR122" s="1"/>
      <c r="PS122" s="1"/>
      <c r="PT122" s="1"/>
      <c r="PU122" s="1"/>
      <c r="PV122" s="1"/>
      <c r="PW122" s="1"/>
      <c r="PX122" s="1"/>
      <c r="PY122" s="1"/>
      <c r="PZ122" s="1"/>
      <c r="QA122" s="1"/>
      <c r="QB122" s="1"/>
      <c r="QC122" s="1"/>
      <c r="QD122" s="1"/>
      <c r="QE122" s="1"/>
      <c r="QF122" s="1"/>
      <c r="QG122" s="1"/>
      <c r="QH122" s="1"/>
      <c r="QI122" s="1"/>
      <c r="QJ122" s="1"/>
      <c r="QK122" s="1"/>
      <c r="QL122" s="1"/>
      <c r="QM122" s="1"/>
      <c r="QN122" s="1"/>
      <c r="QO122" s="1"/>
      <c r="QP122" s="1"/>
      <c r="QQ122" s="1"/>
      <c r="QR122" s="1"/>
      <c r="QS122" s="1"/>
      <c r="QT122" s="1"/>
      <c r="QU122" s="1"/>
      <c r="QV122" s="1"/>
      <c r="QW122" s="1"/>
      <c r="QX122" s="1"/>
      <c r="QY122" s="1"/>
      <c r="QZ122" s="1"/>
      <c r="RA122" s="1"/>
      <c r="RB122" s="1"/>
      <c r="RC122" s="1"/>
      <c r="RD122" s="1"/>
      <c r="RE122" s="1"/>
      <c r="RF122" s="1"/>
      <c r="RG122" s="1"/>
      <c r="RH122" s="1"/>
      <c r="RI122" s="1"/>
      <c r="RJ122" s="1"/>
      <c r="RK122" s="1"/>
      <c r="RL122" s="1"/>
      <c r="RM122" s="1"/>
      <c r="RN122" s="1"/>
      <c r="RO122" s="1"/>
      <c r="RP122" s="1"/>
      <c r="RQ122" s="1"/>
      <c r="RR122" s="1"/>
      <c r="RS122" s="1"/>
      <c r="RT122" s="1"/>
      <c r="RU122" s="1"/>
      <c r="RV122" s="1"/>
      <c r="RW122" s="1"/>
      <c r="RX122" s="1"/>
      <c r="RY122" s="1"/>
      <c r="RZ122" s="1"/>
      <c r="SA122" s="1"/>
      <c r="SB122" s="1"/>
      <c r="SC122" s="1"/>
      <c r="SD122" s="1"/>
      <c r="SE122" s="1"/>
      <c r="SF122" s="1"/>
      <c r="SG122" s="1"/>
      <c r="SH122" s="1"/>
      <c r="SI122" s="1"/>
      <c r="SJ122" s="1"/>
      <c r="SK122" s="1"/>
      <c r="SL122" s="1"/>
      <c r="SM122" s="1"/>
      <c r="SN122" s="1"/>
      <c r="SO122" s="1"/>
      <c r="SP122" s="1"/>
      <c r="SQ122" s="1"/>
      <c r="SR122" s="1"/>
      <c r="SS122" s="1"/>
      <c r="ST122" s="1"/>
      <c r="SU122" s="1"/>
      <c r="SV122" s="1"/>
      <c r="SW122" s="1"/>
      <c r="SX122" s="1"/>
      <c r="SY122" s="1"/>
      <c r="SZ122" s="1"/>
      <c r="TA122" s="1"/>
      <c r="TB122" s="1"/>
      <c r="TC122" s="1"/>
      <c r="TD122" s="1"/>
      <c r="TE122" s="1"/>
      <c r="TF122" s="1"/>
      <c r="TG122" s="1"/>
      <c r="TH122" s="1"/>
      <c r="TI122" s="1"/>
      <c r="TJ122" s="1"/>
      <c r="TK122" s="1"/>
      <c r="TL122" s="1"/>
      <c r="TM122" s="1"/>
      <c r="TN122" s="1"/>
      <c r="TO122" s="1"/>
      <c r="TP122" s="1"/>
      <c r="TQ122" s="1"/>
      <c r="TR122" s="1"/>
      <c r="TS122" s="1"/>
      <c r="TT122" s="1"/>
      <c r="TU122" s="1"/>
      <c r="TV122" s="1"/>
      <c r="TW122" s="1"/>
      <c r="TX122" s="1"/>
      <c r="TY122" s="1"/>
      <c r="TZ122" s="1"/>
      <c r="UA122" s="1"/>
      <c r="UB122" s="1"/>
      <c r="UC122" s="1"/>
      <c r="UD122" s="1"/>
      <c r="UE122" s="1"/>
      <c r="UF122" s="1"/>
      <c r="UG122" s="1"/>
      <c r="UH122" s="1"/>
      <c r="UI122" s="1"/>
      <c r="UJ122" s="1"/>
      <c r="UK122" s="1"/>
      <c r="UL122" s="1"/>
      <c r="UM122" s="1"/>
      <c r="UN122" s="1"/>
      <c r="UO122" s="1"/>
      <c r="UP122" s="1"/>
      <c r="UQ122" s="1"/>
      <c r="UR122" s="1"/>
      <c r="US122" s="1"/>
      <c r="UT122" s="1"/>
      <c r="UU122" s="1"/>
      <c r="UV122" s="1"/>
      <c r="UW122" s="1"/>
      <c r="UX122" s="1"/>
      <c r="UY122" s="1"/>
      <c r="UZ122" s="1"/>
      <c r="VA122" s="1"/>
      <c r="VB122" s="1"/>
      <c r="VC122" s="1"/>
      <c r="VD122" s="1"/>
      <c r="VE122" s="1"/>
      <c r="VF122" s="1"/>
      <c r="VG122" s="1"/>
      <c r="VH122" s="1"/>
      <c r="VI122" s="1"/>
      <c r="VJ122" s="1"/>
      <c r="VK122" s="1"/>
      <c r="VL122" s="1"/>
      <c r="VM122" s="1"/>
      <c r="VN122" s="1"/>
      <c r="VO122" s="1"/>
      <c r="VP122" s="1"/>
      <c r="VQ122" s="1"/>
      <c r="VR122" s="1"/>
      <c r="VS122" s="1"/>
      <c r="VT122" s="1"/>
      <c r="VU122" s="1"/>
      <c r="VV122" s="1"/>
      <c r="VW122" s="1"/>
      <c r="VX122" s="1"/>
      <c r="VY122" s="1"/>
      <c r="VZ122" s="1"/>
      <c r="WA122" s="1"/>
      <c r="WB122" s="1"/>
      <c r="WC122" s="1"/>
      <c r="WD122" s="1"/>
      <c r="WE122" s="1"/>
      <c r="WF122" s="1"/>
      <c r="WG122" s="1"/>
      <c r="WH122" s="1"/>
      <c r="WI122" s="1"/>
      <c r="WJ122" s="1"/>
      <c r="WK122" s="1"/>
      <c r="WL122" s="1"/>
      <c r="WM122" s="1"/>
      <c r="WN122" s="1"/>
      <c r="WO122" s="1"/>
      <c r="WP122" s="1"/>
      <c r="WQ122" s="1"/>
      <c r="WR122" s="1"/>
      <c r="WS122" s="1"/>
      <c r="WT122" s="1"/>
      <c r="WU122" s="1"/>
      <c r="WV122" s="1"/>
      <c r="WW122" s="1"/>
      <c r="WX122" s="1"/>
      <c r="WY122" s="1"/>
      <c r="WZ122" s="1"/>
      <c r="XA122" s="1"/>
      <c r="XB122" s="1"/>
      <c r="XC122" s="1"/>
      <c r="XD122" s="1"/>
      <c r="XE122" s="1"/>
      <c r="XF122" s="1"/>
      <c r="XG122" s="1"/>
      <c r="XH122" s="1"/>
      <c r="XI122" s="1"/>
      <c r="XJ122" s="1"/>
      <c r="XK122" s="1"/>
      <c r="XL122" s="1"/>
      <c r="XM122" s="1"/>
      <c r="XN122" s="1"/>
      <c r="XO122" s="1"/>
      <c r="XP122" s="1"/>
      <c r="XQ122" s="1"/>
      <c r="XR122" s="1"/>
      <c r="XS122" s="1"/>
      <c r="XT122" s="1"/>
      <c r="XU122" s="1"/>
      <c r="XV122" s="1"/>
      <c r="XW122" s="1"/>
      <c r="XX122" s="1"/>
      <c r="XY122" s="1"/>
      <c r="XZ122" s="1"/>
      <c r="YA122" s="1"/>
      <c r="YB122" s="1"/>
      <c r="YC122" s="1"/>
      <c r="YD122" s="1"/>
      <c r="YE122" s="1"/>
      <c r="YF122" s="1"/>
      <c r="YG122" s="1"/>
      <c r="YH122" s="1"/>
      <c r="YI122" s="1"/>
      <c r="YJ122" s="1"/>
      <c r="YK122" s="1"/>
      <c r="YL122" s="1"/>
      <c r="YM122" s="1"/>
      <c r="YN122" s="1"/>
      <c r="YO122" s="1"/>
      <c r="YP122" s="1"/>
      <c r="YQ122" s="1"/>
      <c r="YR122" s="1"/>
      <c r="YS122" s="1"/>
      <c r="YT122" s="1"/>
      <c r="YU122" s="1"/>
      <c r="YV122" s="1"/>
      <c r="YW122" s="1"/>
      <c r="YX122" s="1"/>
      <c r="YY122" s="1"/>
      <c r="YZ122" s="1"/>
      <c r="ZA122" s="1"/>
      <c r="ZB122" s="1"/>
      <c r="ZC122" s="1"/>
      <c r="ZD122" s="1"/>
      <c r="ZE122" s="1"/>
      <c r="ZF122" s="1"/>
      <c r="ZG122" s="1"/>
      <c r="ZH122" s="1"/>
      <c r="ZI122" s="1"/>
      <c r="ZJ122" s="1"/>
      <c r="ZK122" s="1"/>
      <c r="ZL122" s="1"/>
      <c r="ZM122" s="1"/>
      <c r="ZN122" s="1"/>
      <c r="ZO122" s="1"/>
      <c r="ZP122" s="1"/>
      <c r="ZQ122" s="1"/>
      <c r="ZR122" s="1"/>
      <c r="ZS122" s="1"/>
      <c r="ZT122" s="1"/>
      <c r="ZU122" s="1"/>
      <c r="ZV122" s="1"/>
      <c r="ZW122" s="1"/>
      <c r="ZX122" s="1"/>
      <c r="ZY122" s="1"/>
      <c r="ZZ122" s="1"/>
      <c r="AAA122" s="1"/>
      <c r="AAB122" s="1"/>
      <c r="AAC122" s="1"/>
      <c r="AAD122" s="1"/>
      <c r="AAE122" s="1"/>
      <c r="AAF122" s="1"/>
      <c r="AAG122" s="1"/>
      <c r="AAH122" s="1"/>
      <c r="AAI122" s="1"/>
      <c r="AAJ122" s="1"/>
      <c r="AAK122" s="1"/>
      <c r="AAL122" s="1"/>
      <c r="AAM122" s="1"/>
      <c r="AAN122" s="1"/>
      <c r="AAO122" s="1"/>
      <c r="AAP122" s="1"/>
      <c r="AAQ122" s="1"/>
      <c r="AAR122" s="1"/>
      <c r="AAS122" s="1"/>
      <c r="AAT122" s="1"/>
      <c r="AAU122" s="1"/>
      <c r="AAV122" s="1"/>
      <c r="AAW122" s="1"/>
      <c r="AAX122" s="1"/>
      <c r="AAY122" s="1"/>
      <c r="AAZ122" s="1"/>
      <c r="ABA122" s="1"/>
      <c r="ABB122" s="1"/>
      <c r="ABC122" s="1"/>
      <c r="ABD122" s="1"/>
      <c r="ABE122" s="1"/>
      <c r="ABF122" s="1"/>
      <c r="ABG122" s="1"/>
      <c r="ABH122" s="1"/>
      <c r="ABI122" s="1"/>
      <c r="ABJ122" s="1"/>
      <c r="ABK122" s="1"/>
      <c r="ABL122" s="1"/>
      <c r="ABM122" s="1"/>
      <c r="ABN122" s="1"/>
      <c r="ABO122" s="1"/>
      <c r="ABP122" s="1"/>
      <c r="ABQ122" s="1"/>
      <c r="ABR122" s="1"/>
      <c r="ABS122" s="1"/>
      <c r="ABT122" s="1"/>
      <c r="ABU122" s="1"/>
      <c r="ABV122" s="1"/>
      <c r="ABW122" s="1"/>
      <c r="ABX122" s="1"/>
      <c r="ABY122" s="1"/>
      <c r="ABZ122" s="1"/>
      <c r="ACA122" s="1"/>
      <c r="ACB122" s="1"/>
      <c r="ACC122" s="1"/>
      <c r="ACD122" s="1"/>
      <c r="ACE122" s="1"/>
      <c r="ACF122" s="1"/>
      <c r="ACG122" s="1"/>
      <c r="ACH122" s="1"/>
      <c r="ACI122" s="1"/>
      <c r="ACJ122" s="1"/>
      <c r="ACK122" s="1"/>
      <c r="ACL122" s="1"/>
      <c r="ACM122" s="1"/>
      <c r="ACN122" s="1"/>
      <c r="ACO122" s="1"/>
      <c r="ACP122" s="1"/>
      <c r="ACQ122" s="1"/>
      <c r="ACR122" s="1"/>
      <c r="ACS122" s="1"/>
      <c r="ACT122" s="1"/>
      <c r="ACU122" s="1"/>
      <c r="ACV122" s="1"/>
      <c r="ACW122" s="1"/>
      <c r="ACX122" s="1"/>
      <c r="ACY122" s="1"/>
      <c r="ACZ122" s="1"/>
      <c r="ADA122" s="1"/>
      <c r="ADB122" s="1"/>
      <c r="ADC122" s="1"/>
      <c r="ADD122" s="1"/>
      <c r="ADE122" s="1"/>
      <c r="ADF122" s="1"/>
      <c r="ADG122" s="1"/>
      <c r="ADH122" s="1"/>
      <c r="ADI122" s="1"/>
      <c r="ADJ122" s="1"/>
      <c r="ADK122" s="1"/>
      <c r="ADL122" s="1"/>
      <c r="ADM122" s="1"/>
      <c r="ADN122" s="1"/>
      <c r="ADO122" s="1"/>
      <c r="ADP122" s="1"/>
      <c r="ADQ122" s="1"/>
      <c r="ADR122" s="1"/>
      <c r="ADS122" s="1"/>
      <c r="ADT122" s="1"/>
      <c r="ADU122" s="1"/>
      <c r="ADV122" s="1"/>
      <c r="ADW122" s="1"/>
      <c r="ADX122" s="1"/>
      <c r="ADY122" s="1"/>
      <c r="ADZ122" s="1"/>
      <c r="AEA122" s="1"/>
      <c r="AEB122" s="1"/>
      <c r="AEC122" s="1"/>
      <c r="AED122" s="1"/>
      <c r="AEE122" s="1"/>
      <c r="AEF122" s="1"/>
      <c r="AEG122" s="1"/>
      <c r="AEH122" s="1"/>
      <c r="AEI122" s="1"/>
      <c r="AEJ122" s="1"/>
      <c r="AEK122" s="1"/>
      <c r="AEL122" s="1"/>
      <c r="AEM122" s="1"/>
      <c r="AEN122" s="1"/>
      <c r="AEO122" s="1"/>
      <c r="AEP122" s="1"/>
      <c r="AEQ122" s="1"/>
      <c r="AER122" s="1"/>
      <c r="AES122" s="1"/>
      <c r="AET122" s="1"/>
      <c r="AEU122" s="1"/>
      <c r="AEV122" s="1"/>
      <c r="AEW122" s="1"/>
      <c r="AEX122" s="1"/>
      <c r="AEY122" s="1"/>
      <c r="AEZ122" s="1"/>
      <c r="AFA122" s="1"/>
      <c r="AFB122" s="1"/>
      <c r="AFC122" s="1"/>
      <c r="AFD122" s="1"/>
      <c r="AFE122" s="1"/>
      <c r="AFF122" s="1"/>
      <c r="AFG122" s="1"/>
      <c r="AFH122" s="1"/>
      <c r="AFI122" s="1"/>
      <c r="AFJ122" s="1"/>
      <c r="AFK122" s="1"/>
      <c r="AFL122" s="1"/>
      <c r="AFM122" s="1"/>
      <c r="AFN122" s="1"/>
      <c r="AFO122" s="1"/>
      <c r="AFP122" s="1"/>
      <c r="AFQ122" s="1"/>
      <c r="AFR122" s="1"/>
      <c r="AFS122" s="1"/>
      <c r="AFT122" s="1"/>
      <c r="AFU122" s="1"/>
      <c r="AFV122" s="1"/>
      <c r="AFW122" s="1"/>
      <c r="AFX122" s="1"/>
      <c r="AFY122" s="1"/>
      <c r="AFZ122" s="1"/>
      <c r="AGA122" s="1"/>
      <c r="AGB122" s="1"/>
      <c r="AGC122" s="1"/>
      <c r="AGD122" s="1"/>
      <c r="AGE122" s="1"/>
      <c r="AGF122" s="1"/>
      <c r="AGG122" s="1"/>
      <c r="AGH122" s="1"/>
      <c r="AGI122" s="1"/>
      <c r="AGJ122" s="1"/>
      <c r="AGK122" s="1"/>
      <c r="AGL122" s="1"/>
      <c r="AGM122" s="1"/>
      <c r="AGN122" s="1"/>
      <c r="AGO122" s="1"/>
      <c r="AGP122" s="1"/>
      <c r="AGQ122" s="1"/>
      <c r="AGR122" s="1"/>
      <c r="AGS122" s="1"/>
      <c r="AGT122" s="1"/>
      <c r="AGU122" s="1"/>
      <c r="AGV122" s="1"/>
      <c r="AGW122" s="1"/>
      <c r="AGX122" s="1"/>
      <c r="AGY122" s="1"/>
      <c r="AGZ122" s="1"/>
      <c r="AHA122" s="1"/>
      <c r="AHB122" s="1"/>
      <c r="AHC122" s="1"/>
      <c r="AHD122" s="1"/>
      <c r="AHE122" s="1"/>
      <c r="AHF122" s="1"/>
      <c r="AHG122" s="1"/>
      <c r="AHH122" s="1"/>
      <c r="AHI122" s="1"/>
      <c r="AHJ122" s="1"/>
      <c r="AHK122" s="1"/>
      <c r="AHL122" s="1"/>
      <c r="AHM122" s="1"/>
      <c r="AHN122" s="1"/>
      <c r="AHO122" s="1"/>
      <c r="AHP122" s="1"/>
      <c r="AHQ122" s="1"/>
      <c r="AHR122" s="1"/>
      <c r="AHS122" s="1"/>
      <c r="AHT122" s="1"/>
      <c r="AHU122" s="1"/>
      <c r="AHV122" s="1"/>
      <c r="AHW122" s="1"/>
      <c r="AHX122" s="1"/>
      <c r="AHY122" s="1"/>
      <c r="AHZ122" s="1"/>
      <c r="AIA122" s="1"/>
      <c r="AIB122" s="1"/>
      <c r="AIC122" s="1"/>
      <c r="AID122" s="1"/>
      <c r="AIE122" s="1"/>
      <c r="AIF122" s="1"/>
      <c r="AIG122" s="1"/>
      <c r="AIH122" s="1"/>
      <c r="AII122" s="1"/>
      <c r="AIJ122" s="1"/>
      <c r="AIK122" s="1"/>
      <c r="AIL122" s="1"/>
      <c r="AIM122" s="1"/>
      <c r="AIN122" s="1"/>
      <c r="AIO122" s="1"/>
      <c r="AIP122" s="1"/>
      <c r="AIQ122" s="1"/>
      <c r="AIR122" s="1"/>
      <c r="AIS122" s="1"/>
      <c r="AIT122" s="1"/>
      <c r="AIU122" s="1"/>
      <c r="AIV122" s="1"/>
      <c r="AIW122" s="1"/>
      <c r="AIX122" s="1"/>
      <c r="AIY122" s="1"/>
      <c r="AIZ122" s="1"/>
      <c r="AJA122" s="1"/>
      <c r="AJB122" s="1"/>
      <c r="AJC122" s="1"/>
      <c r="AJD122" s="1"/>
      <c r="AJE122" s="1"/>
      <c r="AJF122" s="1"/>
      <c r="AJG122" s="1"/>
      <c r="AJH122" s="1"/>
      <c r="AJI122" s="1"/>
      <c r="AJJ122" s="1"/>
      <c r="AJK122" s="1"/>
      <c r="AJL122" s="1"/>
      <c r="AJM122" s="1"/>
      <c r="AJN122" s="1"/>
      <c r="AJO122" s="1"/>
      <c r="AJP122" s="1"/>
      <c r="AJQ122" s="1"/>
      <c r="AJR122" s="1"/>
      <c r="AJS122" s="1"/>
      <c r="AJT122" s="1"/>
      <c r="AJU122" s="1"/>
      <c r="AJV122" s="1"/>
      <c r="AJW122" s="1"/>
      <c r="AJX122" s="1"/>
      <c r="AJY122" s="1"/>
      <c r="AJZ122" s="1"/>
      <c r="AKA122" s="1"/>
      <c r="AKB122" s="1"/>
      <c r="AKC122" s="1"/>
      <c r="AKD122" s="1"/>
      <c r="AKE122" s="1"/>
      <c r="AKF122" s="1"/>
      <c r="AKG122" s="1"/>
      <c r="AKH122" s="1"/>
      <c r="AKI122" s="1"/>
      <c r="AKJ122" s="1"/>
      <c r="AKK122" s="1"/>
      <c r="AKL122" s="1"/>
      <c r="AKM122" s="1"/>
      <c r="AKN122" s="1"/>
      <c r="AKO122" s="1"/>
      <c r="AKP122" s="1"/>
      <c r="AKQ122" s="1"/>
      <c r="AKR122" s="1"/>
      <c r="AKS122" s="1"/>
      <c r="AKT122" s="1"/>
      <c r="AKU122" s="1"/>
      <c r="AKV122" s="1"/>
      <c r="AKW122" s="1"/>
      <c r="AKX122" s="1"/>
      <c r="AKY122" s="1"/>
      <c r="AKZ122" s="1"/>
      <c r="ALA122" s="1"/>
      <c r="ALB122" s="1"/>
      <c r="ALC122" s="1"/>
      <c r="ALD122" s="1"/>
      <c r="ALE122" s="1"/>
      <c r="ALF122" s="1"/>
      <c r="ALG122" s="1"/>
      <c r="ALH122" s="1"/>
      <c r="ALI122" s="1"/>
      <c r="ALJ122" s="1"/>
      <c r="ALK122" s="1"/>
      <c r="ALL122" s="1"/>
      <c r="ALM122" s="1"/>
      <c r="ALN122" s="1"/>
      <c r="ALO122" s="1"/>
      <c r="ALP122" s="1"/>
      <c r="ALQ122" s="1"/>
      <c r="ALR122" s="1"/>
      <c r="ALS122" s="1"/>
      <c r="ALT122" s="1"/>
      <c r="ALU122" s="1"/>
      <c r="ALV122" s="1"/>
      <c r="ALW122" s="1"/>
      <c r="ALX122" s="1"/>
      <c r="ALY122" s="1"/>
      <c r="ALZ122" s="1"/>
      <c r="AMA122" s="1"/>
      <c r="AMB122" s="1"/>
      <c r="AMC122" s="1"/>
      <c r="AMD122" s="1"/>
      <c r="AME122" s="1"/>
      <c r="AMF122" s="1"/>
      <c r="AMG122" s="1"/>
      <c r="AMH122" s="1"/>
      <c r="AMI122" s="1"/>
      <c r="AMJ122" s="1"/>
      <c r="AMK122" s="1"/>
      <c r="AML122" s="1"/>
      <c r="AMM122" s="1"/>
      <c r="AMN122" s="1"/>
      <c r="AMO122" s="1"/>
    </row>
    <row r="123" spans="1:1029" x14ac:dyDescent="0.2">
      <c r="A123" s="3" t="str">
        <f t="shared" si="561"/>
        <v>agtr2_human_5UNF</v>
      </c>
      <c r="B123" s="3" t="s">
        <v>159</v>
      </c>
      <c r="C123" s="3" t="s">
        <v>1399</v>
      </c>
      <c r="D123" s="3" t="str">
        <f>IFERROR(MID(VLOOKUP($B123,Seqs!$A:$B,2,0),E123,1),"")</f>
        <v>A</v>
      </c>
      <c r="E123" s="3">
        <v>46</v>
      </c>
      <c r="F123" s="3" t="str">
        <f>IFERROR(MID(VLOOKUP($B123,Seqs!$A:$B,2,0),G123,1),"")</f>
        <v>Q</v>
      </c>
      <c r="G123" s="3">
        <v>72</v>
      </c>
      <c r="H123" s="3" t="str">
        <f>IFERROR(MID(VLOOKUP($B123,Seqs!$A:$B,2,0),I123,1),"")</f>
        <v/>
      </c>
      <c r="I123" s="23" t="s">
        <v>23</v>
      </c>
      <c r="J123" s="3" t="str">
        <f>IFERROR(MID(VLOOKUP($B123,Seqs!$A:$B,2,0),K123,1),"")</f>
        <v/>
      </c>
      <c r="K123" s="23" t="s">
        <v>23</v>
      </c>
      <c r="L123" s="3" t="str">
        <f>IFERROR(MID(VLOOKUP($B123,Seqs!$A:$B,2,0),M123,1),"")</f>
        <v>V</v>
      </c>
      <c r="M123" s="3">
        <v>78</v>
      </c>
      <c r="N123" s="3" t="str">
        <f>IFERROR(MID(VLOOKUP($B123,Seqs!$A:$B,2,0),O123,1),"")</f>
        <v>Y</v>
      </c>
      <c r="O123" s="3">
        <v>106</v>
      </c>
      <c r="P123" s="3" t="str">
        <f>IFERROR(MID(VLOOKUP($B123,Seqs!$A:$B,2,0),Q123,1),"")</f>
        <v>R</v>
      </c>
      <c r="Q123" s="3">
        <v>107</v>
      </c>
      <c r="R123" s="3" t="str">
        <f>IFERROR(MID(VLOOKUP($B123,Seqs!$A:$B,2,0),S123,1),"")</f>
        <v>F</v>
      </c>
      <c r="S123" s="3">
        <v>112</v>
      </c>
      <c r="T123" s="3" t="str">
        <f>IFERROR(MID(VLOOKUP($B123,Seqs!$A:$B,2,0),U123,1),"")</f>
        <v>G</v>
      </c>
      <c r="U123" s="3">
        <v>113</v>
      </c>
      <c r="V123" s="3" t="str">
        <f>IFERROR(MID(VLOOKUP($B123,Seqs!$A:$B,2,0),W123,1),"")</f>
        <v>Y</v>
      </c>
      <c r="W123" s="3">
        <v>148</v>
      </c>
      <c r="X123" s="3" t="str">
        <f>IFERROR(MID(VLOOKUP($B123,Seqs!$A:$B,2,0),Y123,1),"")</f>
        <v/>
      </c>
      <c r="Y123" s="3" t="s">
        <v>23</v>
      </c>
      <c r="Z123" s="3" t="str">
        <f>IFERROR(MID(VLOOKUP($B123,Seqs!$A:$B,2,0),AA123,1),"")</f>
        <v/>
      </c>
      <c r="AA123" s="3" t="s">
        <v>23</v>
      </c>
      <c r="AB123" s="3" t="str">
        <f>IFERROR(MID(VLOOKUP($B123,Seqs!$A:$B,2,0),AC123,1),"")</f>
        <v>W</v>
      </c>
      <c r="AC123" s="3">
        <v>158</v>
      </c>
      <c r="AD123" s="3" t="str">
        <f>IFERROR(MID(VLOOKUP($B123,Seqs!$A:$B,2,0),AE123,1),"")</f>
        <v>R</v>
      </c>
      <c r="AE123" s="3">
        <v>182</v>
      </c>
      <c r="AF123" s="3" t="str">
        <f>IFERROR(MID(VLOOKUP($B123,Seqs!$A:$B,2,0),AG123,1),"")</f>
        <v>C</v>
      </c>
      <c r="AG123" s="3">
        <v>195</v>
      </c>
      <c r="AH123" s="3" t="str">
        <f>IFERROR(MID(VLOOKUP($B123,Seqs!$A:$B,2,0),AI123,1),"")</f>
        <v>M</v>
      </c>
      <c r="AI123" s="3">
        <v>197</v>
      </c>
      <c r="AJ123" s="3" t="str">
        <f>IFERROR(MID(VLOOKUP($B123,Seqs!$A:$B,2,0),AK123,1),"")</f>
        <v>Y</v>
      </c>
      <c r="AK123" s="3">
        <v>204</v>
      </c>
      <c r="AL123" s="3" t="str">
        <f>IFERROR(MID(VLOOKUP($B123,Seqs!$A:$B,2,0),AM123,1),"")</f>
        <v>T</v>
      </c>
      <c r="AM123" s="3">
        <v>241</v>
      </c>
      <c r="AN123" s="3" t="str">
        <f>IFERROR(MID(VLOOKUP($B123,Seqs!$A:$B,2,0),AO123,1),"")</f>
        <v>G</v>
      </c>
      <c r="AO123" s="3">
        <v>245</v>
      </c>
      <c r="AP123" s="3" t="str">
        <f>IFERROR(MID(VLOOKUP($B123,Seqs!$A:$B,2,0),AQ123,1),"")</f>
        <v>G</v>
      </c>
      <c r="AQ123" s="3">
        <v>285</v>
      </c>
      <c r="AR123" s="3" t="str">
        <f>IFERROR(MID(VLOOKUP($B123,Seqs!$A:$B,2,0),AS123,1),"")</f>
        <v>C</v>
      </c>
      <c r="AS123" s="3">
        <v>290</v>
      </c>
      <c r="AT123" s="3" t="str">
        <f>IFERROR(MID(VLOOKUP($B123,Seqs!$A:$B,2,0),AU123,1),"")</f>
        <v>V</v>
      </c>
      <c r="AU123" s="3">
        <v>321</v>
      </c>
      <c r="AV123" s="3" t="str">
        <f>IFERROR(MID(VLOOKUP($B123,Seqs!$A:$B,2,0),AW123,1),"")</f>
        <v>G</v>
      </c>
      <c r="AW123" s="3">
        <v>322</v>
      </c>
      <c r="AX123" s="3" t="str">
        <f>IFERROR(MID(VLOOKUP($B123,Seqs!$A:$B,2,0),AY123,1),"")</f>
        <v>R</v>
      </c>
      <c r="AY123" s="3">
        <v>334</v>
      </c>
      <c r="AZ123" s="77"/>
      <c r="BA123" s="94" t="str">
        <f>VLOOKUP(B123,Classification!A:D,4,0)</f>
        <v>Angiotensin</v>
      </c>
      <c r="BB123" s="27" t="b">
        <f t="shared" si="562"/>
        <v>1</v>
      </c>
      <c r="BC123" s="23">
        <f t="shared" si="563"/>
        <v>252</v>
      </c>
      <c r="BD123" s="2" t="s">
        <v>23</v>
      </c>
      <c r="BE123" s="3" t="s">
        <v>1297</v>
      </c>
      <c r="BF123" s="119">
        <v>2.8</v>
      </c>
      <c r="BG123" s="49" t="s">
        <v>1384</v>
      </c>
      <c r="BH123" s="49" t="s">
        <v>1</v>
      </c>
      <c r="BI123" s="1"/>
      <c r="BJ123" s="70" t="s">
        <v>1293</v>
      </c>
      <c r="BK123" s="57" t="s">
        <v>1293</v>
      </c>
      <c r="BL123" s="57" t="s">
        <v>1293</v>
      </c>
      <c r="BM123" s="57" t="s">
        <v>1293</v>
      </c>
      <c r="BN123" s="57" t="s">
        <v>1293</v>
      </c>
      <c r="BO123" s="57" t="s">
        <v>1293</v>
      </c>
      <c r="BP123" s="57" t="s">
        <v>1293</v>
      </c>
      <c r="BQ123" s="57" t="s">
        <v>1293</v>
      </c>
      <c r="BR123" s="57" t="s">
        <v>1293</v>
      </c>
      <c r="BS123" s="57" t="s">
        <v>1293</v>
      </c>
      <c r="BT123" s="57" t="s">
        <v>1293</v>
      </c>
      <c r="BU123" s="57" t="s">
        <v>1293</v>
      </c>
      <c r="BV123" s="70">
        <f t="shared" si="564"/>
        <v>46</v>
      </c>
      <c r="BW123" s="71" t="str">
        <f t="shared" si="565"/>
        <v>-</v>
      </c>
      <c r="BX123" s="72">
        <f t="shared" si="566"/>
        <v>78</v>
      </c>
      <c r="BY123" s="71">
        <f t="shared" si="567"/>
        <v>107</v>
      </c>
      <c r="BZ123" s="72">
        <f t="shared" si="568"/>
        <v>113</v>
      </c>
      <c r="CA123" s="71" t="str">
        <f t="shared" si="569"/>
        <v>-</v>
      </c>
      <c r="CB123" s="72">
        <f t="shared" si="570"/>
        <v>158</v>
      </c>
      <c r="CC123" s="71">
        <f t="shared" si="571"/>
        <v>195</v>
      </c>
      <c r="CD123" s="72">
        <f t="shared" si="572"/>
        <v>204</v>
      </c>
      <c r="CE123" s="71">
        <f t="shared" si="573"/>
        <v>245</v>
      </c>
      <c r="CF123" s="72">
        <f t="shared" si="574"/>
        <v>290</v>
      </c>
      <c r="CG123" s="71">
        <f t="shared" si="575"/>
        <v>322</v>
      </c>
      <c r="CH123" s="70">
        <f t="shared" si="576"/>
        <v>72</v>
      </c>
      <c r="CI123" s="71" t="str">
        <f t="shared" si="577"/>
        <v>-</v>
      </c>
      <c r="CJ123" s="72">
        <f t="shared" si="578"/>
        <v>106</v>
      </c>
      <c r="CK123" s="72">
        <f t="shared" si="579"/>
        <v>112</v>
      </c>
      <c r="CL123" s="72">
        <f t="shared" si="580"/>
        <v>148</v>
      </c>
      <c r="CM123" s="72" t="str">
        <f t="shared" si="581"/>
        <v>-</v>
      </c>
      <c r="CN123" s="72">
        <f t="shared" si="582"/>
        <v>182</v>
      </c>
      <c r="CO123" s="72">
        <f t="shared" si="583"/>
        <v>197</v>
      </c>
      <c r="CP123" s="72">
        <f t="shared" si="584"/>
        <v>241</v>
      </c>
      <c r="CQ123" s="72">
        <f t="shared" si="585"/>
        <v>285</v>
      </c>
      <c r="CR123" s="72">
        <f t="shared" si="586"/>
        <v>321</v>
      </c>
      <c r="CS123" s="72">
        <f t="shared" si="587"/>
        <v>334</v>
      </c>
      <c r="CT123" s="23" t="e">
        <f t="shared" si="588"/>
        <v>#VALUE!</v>
      </c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  <c r="OK123" s="1"/>
      <c r="OL123" s="1"/>
      <c r="OM123" s="1"/>
      <c r="ON123" s="1"/>
      <c r="OO123" s="1"/>
      <c r="OP123" s="1"/>
      <c r="OQ123" s="1"/>
      <c r="OR123" s="1"/>
      <c r="OS123" s="1"/>
      <c r="OT123" s="1"/>
      <c r="OU123" s="1"/>
      <c r="OV123" s="1"/>
      <c r="OW123" s="1"/>
      <c r="OX123" s="1"/>
      <c r="OY123" s="1"/>
      <c r="OZ123" s="1"/>
      <c r="PA123" s="1"/>
      <c r="PB123" s="1"/>
      <c r="PC123" s="1"/>
      <c r="PD123" s="1"/>
      <c r="PE123" s="1"/>
      <c r="PF123" s="1"/>
      <c r="PG123" s="1"/>
      <c r="PH123" s="1"/>
      <c r="PI123" s="1"/>
      <c r="PJ123" s="1"/>
      <c r="PK123" s="1"/>
      <c r="PL123" s="1"/>
      <c r="PM123" s="1"/>
      <c r="PN123" s="1"/>
      <c r="PO123" s="1"/>
      <c r="PP123" s="1"/>
      <c r="PQ123" s="1"/>
      <c r="PR123" s="1"/>
      <c r="PS123" s="1"/>
      <c r="PT123" s="1"/>
      <c r="PU123" s="1"/>
      <c r="PV123" s="1"/>
      <c r="PW123" s="1"/>
      <c r="PX123" s="1"/>
      <c r="PY123" s="1"/>
      <c r="PZ123" s="1"/>
      <c r="QA123" s="1"/>
      <c r="QB123" s="1"/>
      <c r="QC123" s="1"/>
      <c r="QD123" s="1"/>
      <c r="QE123" s="1"/>
      <c r="QF123" s="1"/>
      <c r="QG123" s="1"/>
      <c r="QH123" s="1"/>
      <c r="QI123" s="1"/>
      <c r="QJ123" s="1"/>
      <c r="QK123" s="1"/>
      <c r="QL123" s="1"/>
      <c r="QM123" s="1"/>
      <c r="QN123" s="1"/>
      <c r="QO123" s="1"/>
      <c r="QP123" s="1"/>
      <c r="QQ123" s="1"/>
      <c r="QR123" s="1"/>
      <c r="QS123" s="1"/>
      <c r="QT123" s="1"/>
      <c r="QU123" s="1"/>
      <c r="QV123" s="1"/>
      <c r="QW123" s="1"/>
      <c r="QX123" s="1"/>
      <c r="QY123" s="1"/>
      <c r="QZ123" s="1"/>
      <c r="RA123" s="1"/>
      <c r="RB123" s="1"/>
      <c r="RC123" s="1"/>
      <c r="RD123" s="1"/>
      <c r="RE123" s="1"/>
      <c r="RF123" s="1"/>
      <c r="RG123" s="1"/>
      <c r="RH123" s="1"/>
      <c r="RI123" s="1"/>
      <c r="RJ123" s="1"/>
      <c r="RK123" s="1"/>
      <c r="RL123" s="1"/>
      <c r="RM123" s="1"/>
      <c r="RN123" s="1"/>
      <c r="RO123" s="1"/>
      <c r="RP123" s="1"/>
      <c r="RQ123" s="1"/>
      <c r="RR123" s="1"/>
      <c r="RS123" s="1"/>
      <c r="RT123" s="1"/>
      <c r="RU123" s="1"/>
      <c r="RV123" s="1"/>
      <c r="RW123" s="1"/>
      <c r="RX123" s="1"/>
      <c r="RY123" s="1"/>
      <c r="RZ123" s="1"/>
      <c r="SA123" s="1"/>
      <c r="SB123" s="1"/>
      <c r="SC123" s="1"/>
      <c r="SD123" s="1"/>
      <c r="SE123" s="1"/>
      <c r="SF123" s="1"/>
      <c r="SG123" s="1"/>
      <c r="SH123" s="1"/>
      <c r="SI123" s="1"/>
      <c r="SJ123" s="1"/>
      <c r="SK123" s="1"/>
      <c r="SL123" s="1"/>
      <c r="SM123" s="1"/>
      <c r="SN123" s="1"/>
      <c r="SO123" s="1"/>
      <c r="SP123" s="1"/>
      <c r="SQ123" s="1"/>
      <c r="SR123" s="1"/>
      <c r="SS123" s="1"/>
      <c r="ST123" s="1"/>
      <c r="SU123" s="1"/>
      <c r="SV123" s="1"/>
      <c r="SW123" s="1"/>
      <c r="SX123" s="1"/>
      <c r="SY123" s="1"/>
      <c r="SZ123" s="1"/>
      <c r="TA123" s="1"/>
      <c r="TB123" s="1"/>
      <c r="TC123" s="1"/>
      <c r="TD123" s="1"/>
      <c r="TE123" s="1"/>
      <c r="TF123" s="1"/>
      <c r="TG123" s="1"/>
      <c r="TH123" s="1"/>
      <c r="TI123" s="1"/>
      <c r="TJ123" s="1"/>
      <c r="TK123" s="1"/>
      <c r="TL123" s="1"/>
      <c r="TM123" s="1"/>
      <c r="TN123" s="1"/>
      <c r="TO123" s="1"/>
      <c r="TP123" s="1"/>
      <c r="TQ123" s="1"/>
      <c r="TR123" s="1"/>
      <c r="TS123" s="1"/>
      <c r="TT123" s="1"/>
      <c r="TU123" s="1"/>
      <c r="TV123" s="1"/>
      <c r="TW123" s="1"/>
      <c r="TX123" s="1"/>
      <c r="TY123" s="1"/>
      <c r="TZ123" s="1"/>
      <c r="UA123" s="1"/>
      <c r="UB123" s="1"/>
      <c r="UC123" s="1"/>
      <c r="UD123" s="1"/>
      <c r="UE123" s="1"/>
      <c r="UF123" s="1"/>
      <c r="UG123" s="1"/>
      <c r="UH123" s="1"/>
      <c r="UI123" s="1"/>
      <c r="UJ123" s="1"/>
      <c r="UK123" s="1"/>
      <c r="UL123" s="1"/>
      <c r="UM123" s="1"/>
      <c r="UN123" s="1"/>
      <c r="UO123" s="1"/>
      <c r="UP123" s="1"/>
      <c r="UQ123" s="1"/>
      <c r="UR123" s="1"/>
      <c r="US123" s="1"/>
      <c r="UT123" s="1"/>
      <c r="UU123" s="1"/>
      <c r="UV123" s="1"/>
      <c r="UW123" s="1"/>
      <c r="UX123" s="1"/>
      <c r="UY123" s="1"/>
      <c r="UZ123" s="1"/>
      <c r="VA123" s="1"/>
      <c r="VB123" s="1"/>
      <c r="VC123" s="1"/>
      <c r="VD123" s="1"/>
      <c r="VE123" s="1"/>
      <c r="VF123" s="1"/>
      <c r="VG123" s="1"/>
      <c r="VH123" s="1"/>
      <c r="VI123" s="1"/>
      <c r="VJ123" s="1"/>
      <c r="VK123" s="1"/>
      <c r="VL123" s="1"/>
      <c r="VM123" s="1"/>
      <c r="VN123" s="1"/>
      <c r="VO123" s="1"/>
      <c r="VP123" s="1"/>
      <c r="VQ123" s="1"/>
      <c r="VR123" s="1"/>
      <c r="VS123" s="1"/>
      <c r="VT123" s="1"/>
      <c r="VU123" s="1"/>
      <c r="VV123" s="1"/>
      <c r="VW123" s="1"/>
      <c r="VX123" s="1"/>
      <c r="VY123" s="1"/>
      <c r="VZ123" s="1"/>
      <c r="WA123" s="1"/>
      <c r="WB123" s="1"/>
      <c r="WC123" s="1"/>
      <c r="WD123" s="1"/>
      <c r="WE123" s="1"/>
      <c r="WF123" s="1"/>
      <c r="WG123" s="1"/>
      <c r="WH123" s="1"/>
      <c r="WI123" s="1"/>
      <c r="WJ123" s="1"/>
      <c r="WK123" s="1"/>
      <c r="WL123" s="1"/>
      <c r="WM123" s="1"/>
      <c r="WN123" s="1"/>
      <c r="WO123" s="1"/>
      <c r="WP123" s="1"/>
      <c r="WQ123" s="1"/>
      <c r="WR123" s="1"/>
      <c r="WS123" s="1"/>
      <c r="WT123" s="1"/>
      <c r="WU123" s="1"/>
      <c r="WV123" s="1"/>
      <c r="WW123" s="1"/>
      <c r="WX123" s="1"/>
      <c r="WY123" s="1"/>
      <c r="WZ123" s="1"/>
      <c r="XA123" s="1"/>
      <c r="XB123" s="1"/>
      <c r="XC123" s="1"/>
      <c r="XD123" s="1"/>
      <c r="XE123" s="1"/>
      <c r="XF123" s="1"/>
      <c r="XG123" s="1"/>
      <c r="XH123" s="1"/>
      <c r="XI123" s="1"/>
      <c r="XJ123" s="1"/>
      <c r="XK123" s="1"/>
      <c r="XL123" s="1"/>
      <c r="XM123" s="1"/>
      <c r="XN123" s="1"/>
      <c r="XO123" s="1"/>
      <c r="XP123" s="1"/>
      <c r="XQ123" s="1"/>
      <c r="XR123" s="1"/>
      <c r="XS123" s="1"/>
      <c r="XT123" s="1"/>
      <c r="XU123" s="1"/>
      <c r="XV123" s="1"/>
      <c r="XW123" s="1"/>
      <c r="XX123" s="1"/>
      <c r="XY123" s="1"/>
      <c r="XZ123" s="1"/>
      <c r="YA123" s="1"/>
      <c r="YB123" s="1"/>
      <c r="YC123" s="1"/>
      <c r="YD123" s="1"/>
      <c r="YE123" s="1"/>
      <c r="YF123" s="1"/>
      <c r="YG123" s="1"/>
      <c r="YH123" s="1"/>
      <c r="YI123" s="1"/>
      <c r="YJ123" s="1"/>
      <c r="YK123" s="1"/>
      <c r="YL123" s="1"/>
      <c r="YM123" s="1"/>
      <c r="YN123" s="1"/>
      <c r="YO123" s="1"/>
      <c r="YP123" s="1"/>
      <c r="YQ123" s="1"/>
      <c r="YR123" s="1"/>
      <c r="YS123" s="1"/>
      <c r="YT123" s="1"/>
      <c r="YU123" s="1"/>
      <c r="YV123" s="1"/>
      <c r="YW123" s="1"/>
      <c r="YX123" s="1"/>
      <c r="YY123" s="1"/>
      <c r="YZ123" s="1"/>
      <c r="ZA123" s="1"/>
      <c r="ZB123" s="1"/>
      <c r="ZC123" s="1"/>
      <c r="ZD123" s="1"/>
      <c r="ZE123" s="1"/>
      <c r="ZF123" s="1"/>
      <c r="ZG123" s="1"/>
      <c r="ZH123" s="1"/>
      <c r="ZI123" s="1"/>
      <c r="ZJ123" s="1"/>
      <c r="ZK123" s="1"/>
      <c r="ZL123" s="1"/>
      <c r="ZM123" s="1"/>
      <c r="ZN123" s="1"/>
      <c r="ZO123" s="1"/>
      <c r="ZP123" s="1"/>
      <c r="ZQ123" s="1"/>
      <c r="ZR123" s="1"/>
      <c r="ZS123" s="1"/>
      <c r="ZT123" s="1"/>
      <c r="ZU123" s="1"/>
      <c r="ZV123" s="1"/>
      <c r="ZW123" s="1"/>
      <c r="ZX123" s="1"/>
      <c r="ZY123" s="1"/>
      <c r="ZZ123" s="1"/>
      <c r="AAA123" s="1"/>
      <c r="AAB123" s="1"/>
      <c r="AAC123" s="1"/>
      <c r="AAD123" s="1"/>
      <c r="AAE123" s="1"/>
      <c r="AAF123" s="1"/>
      <c r="AAG123" s="1"/>
      <c r="AAH123" s="1"/>
      <c r="AAI123" s="1"/>
      <c r="AAJ123" s="1"/>
      <c r="AAK123" s="1"/>
      <c r="AAL123" s="1"/>
      <c r="AAM123" s="1"/>
      <c r="AAN123" s="1"/>
      <c r="AAO123" s="1"/>
      <c r="AAP123" s="1"/>
      <c r="AAQ123" s="1"/>
      <c r="AAR123" s="1"/>
      <c r="AAS123" s="1"/>
      <c r="AAT123" s="1"/>
      <c r="AAU123" s="1"/>
      <c r="AAV123" s="1"/>
      <c r="AAW123" s="1"/>
      <c r="AAX123" s="1"/>
      <c r="AAY123" s="1"/>
      <c r="AAZ123" s="1"/>
      <c r="ABA123" s="1"/>
      <c r="ABB123" s="1"/>
      <c r="ABC123" s="1"/>
      <c r="ABD123" s="1"/>
      <c r="ABE123" s="1"/>
      <c r="ABF123" s="1"/>
      <c r="ABG123" s="1"/>
      <c r="ABH123" s="1"/>
      <c r="ABI123" s="1"/>
      <c r="ABJ123" s="1"/>
      <c r="ABK123" s="1"/>
      <c r="ABL123" s="1"/>
      <c r="ABM123" s="1"/>
      <c r="ABN123" s="1"/>
      <c r="ABO123" s="1"/>
      <c r="ABP123" s="1"/>
      <c r="ABQ123" s="1"/>
      <c r="ABR123" s="1"/>
      <c r="ABS123" s="1"/>
      <c r="ABT123" s="1"/>
      <c r="ABU123" s="1"/>
      <c r="ABV123" s="1"/>
      <c r="ABW123" s="1"/>
      <c r="ABX123" s="1"/>
      <c r="ABY123" s="1"/>
      <c r="ABZ123" s="1"/>
      <c r="ACA123" s="1"/>
      <c r="ACB123" s="1"/>
      <c r="ACC123" s="1"/>
      <c r="ACD123" s="1"/>
      <c r="ACE123" s="1"/>
      <c r="ACF123" s="1"/>
      <c r="ACG123" s="1"/>
      <c r="ACH123" s="1"/>
      <c r="ACI123" s="1"/>
      <c r="ACJ123" s="1"/>
      <c r="ACK123" s="1"/>
      <c r="ACL123" s="1"/>
      <c r="ACM123" s="1"/>
      <c r="ACN123" s="1"/>
      <c r="ACO123" s="1"/>
      <c r="ACP123" s="1"/>
      <c r="ACQ123" s="1"/>
      <c r="ACR123" s="1"/>
      <c r="ACS123" s="1"/>
      <c r="ACT123" s="1"/>
      <c r="ACU123" s="1"/>
      <c r="ACV123" s="1"/>
      <c r="ACW123" s="1"/>
      <c r="ACX123" s="1"/>
      <c r="ACY123" s="1"/>
      <c r="ACZ123" s="1"/>
      <c r="ADA123" s="1"/>
      <c r="ADB123" s="1"/>
      <c r="ADC123" s="1"/>
      <c r="ADD123" s="1"/>
      <c r="ADE123" s="1"/>
      <c r="ADF123" s="1"/>
      <c r="ADG123" s="1"/>
      <c r="ADH123" s="1"/>
      <c r="ADI123" s="1"/>
      <c r="ADJ123" s="1"/>
      <c r="ADK123" s="1"/>
      <c r="ADL123" s="1"/>
      <c r="ADM123" s="1"/>
      <c r="ADN123" s="1"/>
      <c r="ADO123" s="1"/>
      <c r="ADP123" s="1"/>
      <c r="ADQ123" s="1"/>
      <c r="ADR123" s="1"/>
      <c r="ADS123" s="1"/>
      <c r="ADT123" s="1"/>
      <c r="ADU123" s="1"/>
      <c r="ADV123" s="1"/>
      <c r="ADW123" s="1"/>
      <c r="ADX123" s="1"/>
      <c r="ADY123" s="1"/>
      <c r="ADZ123" s="1"/>
      <c r="AEA123" s="1"/>
      <c r="AEB123" s="1"/>
      <c r="AEC123" s="1"/>
      <c r="AED123" s="1"/>
      <c r="AEE123" s="1"/>
      <c r="AEF123" s="1"/>
      <c r="AEG123" s="1"/>
      <c r="AEH123" s="1"/>
      <c r="AEI123" s="1"/>
      <c r="AEJ123" s="1"/>
      <c r="AEK123" s="1"/>
      <c r="AEL123" s="1"/>
      <c r="AEM123" s="1"/>
      <c r="AEN123" s="1"/>
      <c r="AEO123" s="1"/>
      <c r="AEP123" s="1"/>
      <c r="AEQ123" s="1"/>
      <c r="AER123" s="1"/>
      <c r="AES123" s="1"/>
      <c r="AET123" s="1"/>
      <c r="AEU123" s="1"/>
      <c r="AEV123" s="1"/>
      <c r="AEW123" s="1"/>
      <c r="AEX123" s="1"/>
      <c r="AEY123" s="1"/>
      <c r="AEZ123" s="1"/>
      <c r="AFA123" s="1"/>
      <c r="AFB123" s="1"/>
      <c r="AFC123" s="1"/>
      <c r="AFD123" s="1"/>
      <c r="AFE123" s="1"/>
      <c r="AFF123" s="1"/>
      <c r="AFG123" s="1"/>
      <c r="AFH123" s="1"/>
      <c r="AFI123" s="1"/>
      <c r="AFJ123" s="1"/>
      <c r="AFK123" s="1"/>
      <c r="AFL123" s="1"/>
      <c r="AFM123" s="1"/>
      <c r="AFN123" s="1"/>
      <c r="AFO123" s="1"/>
      <c r="AFP123" s="1"/>
      <c r="AFQ123" s="1"/>
      <c r="AFR123" s="1"/>
      <c r="AFS123" s="1"/>
      <c r="AFT123" s="1"/>
      <c r="AFU123" s="1"/>
      <c r="AFV123" s="1"/>
      <c r="AFW123" s="1"/>
      <c r="AFX123" s="1"/>
      <c r="AFY123" s="1"/>
      <c r="AFZ123" s="1"/>
      <c r="AGA123" s="1"/>
      <c r="AGB123" s="1"/>
      <c r="AGC123" s="1"/>
      <c r="AGD123" s="1"/>
      <c r="AGE123" s="1"/>
      <c r="AGF123" s="1"/>
      <c r="AGG123" s="1"/>
      <c r="AGH123" s="1"/>
      <c r="AGI123" s="1"/>
      <c r="AGJ123" s="1"/>
      <c r="AGK123" s="1"/>
      <c r="AGL123" s="1"/>
      <c r="AGM123" s="1"/>
      <c r="AGN123" s="1"/>
      <c r="AGO123" s="1"/>
      <c r="AGP123" s="1"/>
      <c r="AGQ123" s="1"/>
      <c r="AGR123" s="1"/>
      <c r="AGS123" s="1"/>
      <c r="AGT123" s="1"/>
      <c r="AGU123" s="1"/>
      <c r="AGV123" s="1"/>
      <c r="AGW123" s="1"/>
      <c r="AGX123" s="1"/>
      <c r="AGY123" s="1"/>
      <c r="AGZ123" s="1"/>
      <c r="AHA123" s="1"/>
      <c r="AHB123" s="1"/>
      <c r="AHC123" s="1"/>
      <c r="AHD123" s="1"/>
      <c r="AHE123" s="1"/>
      <c r="AHF123" s="1"/>
      <c r="AHG123" s="1"/>
      <c r="AHH123" s="1"/>
      <c r="AHI123" s="1"/>
      <c r="AHJ123" s="1"/>
      <c r="AHK123" s="1"/>
      <c r="AHL123" s="1"/>
      <c r="AHM123" s="1"/>
      <c r="AHN123" s="1"/>
      <c r="AHO123" s="1"/>
      <c r="AHP123" s="1"/>
      <c r="AHQ123" s="1"/>
      <c r="AHR123" s="1"/>
      <c r="AHS123" s="1"/>
      <c r="AHT123" s="1"/>
      <c r="AHU123" s="1"/>
      <c r="AHV123" s="1"/>
      <c r="AHW123" s="1"/>
      <c r="AHX123" s="1"/>
      <c r="AHY123" s="1"/>
      <c r="AHZ123" s="1"/>
      <c r="AIA123" s="1"/>
      <c r="AIB123" s="1"/>
      <c r="AIC123" s="1"/>
      <c r="AID123" s="1"/>
      <c r="AIE123" s="1"/>
      <c r="AIF123" s="1"/>
      <c r="AIG123" s="1"/>
      <c r="AIH123" s="1"/>
      <c r="AII123" s="1"/>
      <c r="AIJ123" s="1"/>
      <c r="AIK123" s="1"/>
      <c r="AIL123" s="1"/>
      <c r="AIM123" s="1"/>
      <c r="AIN123" s="1"/>
      <c r="AIO123" s="1"/>
      <c r="AIP123" s="1"/>
      <c r="AIQ123" s="1"/>
      <c r="AIR123" s="1"/>
      <c r="AIS123" s="1"/>
      <c r="AIT123" s="1"/>
      <c r="AIU123" s="1"/>
      <c r="AIV123" s="1"/>
      <c r="AIW123" s="1"/>
      <c r="AIX123" s="1"/>
      <c r="AIY123" s="1"/>
      <c r="AIZ123" s="1"/>
      <c r="AJA123" s="1"/>
      <c r="AJB123" s="1"/>
      <c r="AJC123" s="1"/>
      <c r="AJD123" s="1"/>
      <c r="AJE123" s="1"/>
      <c r="AJF123" s="1"/>
      <c r="AJG123" s="1"/>
      <c r="AJH123" s="1"/>
      <c r="AJI123" s="1"/>
      <c r="AJJ123" s="1"/>
      <c r="AJK123" s="1"/>
      <c r="AJL123" s="1"/>
      <c r="AJM123" s="1"/>
      <c r="AJN123" s="1"/>
      <c r="AJO123" s="1"/>
      <c r="AJP123" s="1"/>
      <c r="AJQ123" s="1"/>
      <c r="AJR123" s="1"/>
      <c r="AJS123" s="1"/>
      <c r="AJT123" s="1"/>
      <c r="AJU123" s="1"/>
      <c r="AJV123" s="1"/>
      <c r="AJW123" s="1"/>
      <c r="AJX123" s="1"/>
      <c r="AJY123" s="1"/>
      <c r="AJZ123" s="1"/>
      <c r="AKA123" s="1"/>
      <c r="AKB123" s="1"/>
      <c r="AKC123" s="1"/>
      <c r="AKD123" s="1"/>
      <c r="AKE123" s="1"/>
      <c r="AKF123" s="1"/>
      <c r="AKG123" s="1"/>
      <c r="AKH123" s="1"/>
      <c r="AKI123" s="1"/>
      <c r="AKJ123" s="1"/>
      <c r="AKK123" s="1"/>
      <c r="AKL123" s="1"/>
      <c r="AKM123" s="1"/>
      <c r="AKN123" s="1"/>
      <c r="AKO123" s="1"/>
      <c r="AKP123" s="1"/>
      <c r="AKQ123" s="1"/>
      <c r="AKR123" s="1"/>
      <c r="AKS123" s="1"/>
      <c r="AKT123" s="1"/>
      <c r="AKU123" s="1"/>
      <c r="AKV123" s="1"/>
      <c r="AKW123" s="1"/>
      <c r="AKX123" s="1"/>
      <c r="AKY123" s="1"/>
      <c r="AKZ123" s="1"/>
      <c r="ALA123" s="1"/>
      <c r="ALB123" s="1"/>
      <c r="ALC123" s="1"/>
      <c r="ALD123" s="1"/>
      <c r="ALE123" s="1"/>
      <c r="ALF123" s="1"/>
      <c r="ALG123" s="1"/>
      <c r="ALH123" s="1"/>
      <c r="ALI123" s="1"/>
      <c r="ALJ123" s="1"/>
      <c r="ALK123" s="1"/>
      <c r="ALL123" s="1"/>
      <c r="ALM123" s="1"/>
      <c r="ALN123" s="1"/>
      <c r="ALO123" s="1"/>
      <c r="ALP123" s="1"/>
      <c r="ALQ123" s="1"/>
      <c r="ALR123" s="1"/>
      <c r="ALS123" s="1"/>
      <c r="ALT123" s="1"/>
      <c r="ALU123" s="1"/>
      <c r="ALV123" s="1"/>
      <c r="ALW123" s="1"/>
      <c r="ALX123" s="1"/>
      <c r="ALY123" s="1"/>
      <c r="ALZ123" s="1"/>
      <c r="AMA123" s="1"/>
      <c r="AMB123" s="1"/>
      <c r="AMC123" s="1"/>
      <c r="AMD123" s="1"/>
      <c r="AME123" s="1"/>
      <c r="AMF123" s="1"/>
      <c r="AMG123" s="1"/>
      <c r="AMH123" s="1"/>
      <c r="AMI123" s="1"/>
      <c r="AMJ123" s="1"/>
      <c r="AMK123" s="1"/>
      <c r="AML123" s="1"/>
      <c r="AMM123" s="1"/>
      <c r="AMN123" s="1"/>
      <c r="AMO123" s="1"/>
    </row>
    <row r="124" spans="1:1029" x14ac:dyDescent="0.2">
      <c r="A124" s="3" t="str">
        <f t="shared" si="561"/>
        <v>agtr2_human_5UNG</v>
      </c>
      <c r="B124" s="3" t="s">
        <v>159</v>
      </c>
      <c r="C124" s="3" t="s">
        <v>1401</v>
      </c>
      <c r="D124" s="3" t="str">
        <f>IFERROR(MID(VLOOKUP($B124,Seqs!$A:$B,2,0),E124,1),"")</f>
        <v>D</v>
      </c>
      <c r="E124" s="3">
        <v>45</v>
      </c>
      <c r="F124" s="3" t="str">
        <f>IFERROR(MID(VLOOKUP($B124,Seqs!$A:$B,2,0),G124,1),"")</f>
        <v>C</v>
      </c>
      <c r="G124" s="3">
        <v>71</v>
      </c>
      <c r="H124" s="3" t="str">
        <f>IFERROR(MID(VLOOKUP($B124,Seqs!$A:$B,2,0),I124,1),"")</f>
        <v/>
      </c>
      <c r="I124" s="23" t="s">
        <v>23</v>
      </c>
      <c r="J124" s="3" t="str">
        <f>IFERROR(MID(VLOOKUP($B124,Seqs!$A:$B,2,0),K124,1),"")</f>
        <v/>
      </c>
      <c r="K124" s="23" t="s">
        <v>23</v>
      </c>
      <c r="L124" s="3" t="str">
        <f>IFERROR(MID(VLOOKUP($B124,Seqs!$A:$B,2,0),M124,1),"")</f>
        <v>V</v>
      </c>
      <c r="M124" s="3">
        <v>78</v>
      </c>
      <c r="N124" s="3" t="str">
        <f>IFERROR(MID(VLOOKUP($B124,Seqs!$A:$B,2,0),O124,1),"")</f>
        <v>Y</v>
      </c>
      <c r="O124" s="3">
        <v>106</v>
      </c>
      <c r="P124" s="3" t="str">
        <f>IFERROR(MID(VLOOKUP($B124,Seqs!$A:$B,2,0),Q124,1),"")</f>
        <v>R</v>
      </c>
      <c r="Q124" s="3">
        <v>107</v>
      </c>
      <c r="R124" s="3" t="str">
        <f>IFERROR(MID(VLOOKUP($B124,Seqs!$A:$B,2,0),S124,1),"")</f>
        <v>F</v>
      </c>
      <c r="S124" s="3">
        <v>112</v>
      </c>
      <c r="T124" s="3" t="str">
        <f>IFERROR(MID(VLOOKUP($B124,Seqs!$A:$B,2,0),U124,1),"")</f>
        <v>G</v>
      </c>
      <c r="U124" s="3">
        <v>113</v>
      </c>
      <c r="V124" s="3" t="str">
        <f>IFERROR(MID(VLOOKUP($B124,Seqs!$A:$B,2,0),W124,1),"")</f>
        <v>Y</v>
      </c>
      <c r="W124" s="3">
        <v>148</v>
      </c>
      <c r="X124" s="3" t="str">
        <f>IFERROR(MID(VLOOKUP($B124,Seqs!$A:$B,2,0),Y124,1),"")</f>
        <v/>
      </c>
      <c r="Y124" s="3" t="s">
        <v>23</v>
      </c>
      <c r="Z124" s="3" t="str">
        <f>IFERROR(MID(VLOOKUP($B124,Seqs!$A:$B,2,0),AA124,1),"")</f>
        <v/>
      </c>
      <c r="AA124" s="3" t="s">
        <v>23</v>
      </c>
      <c r="AB124" s="3" t="str">
        <f>IFERROR(MID(VLOOKUP($B124,Seqs!$A:$B,2,0),AC124,1),"")</f>
        <v>Q</v>
      </c>
      <c r="AC124" s="3">
        <v>159</v>
      </c>
      <c r="AD124" s="3" t="str">
        <f>IFERROR(MID(VLOOKUP($B124,Seqs!$A:$B,2,0),AE124,1),"")</f>
        <v>R</v>
      </c>
      <c r="AE124" s="3">
        <v>182</v>
      </c>
      <c r="AF124" s="3" t="str">
        <f>IFERROR(MID(VLOOKUP($B124,Seqs!$A:$B,2,0),AG124,1),"")</f>
        <v>C</v>
      </c>
      <c r="AG124" s="3">
        <v>195</v>
      </c>
      <c r="AH124" s="3" t="str">
        <f>IFERROR(MID(VLOOKUP($B124,Seqs!$A:$B,2,0),AI124,1),"")</f>
        <v>M</v>
      </c>
      <c r="AI124" s="3">
        <v>197</v>
      </c>
      <c r="AJ124" s="3" t="str">
        <f>IFERROR(MID(VLOOKUP($B124,Seqs!$A:$B,2,0),AK124,1),"")</f>
        <v>K</v>
      </c>
      <c r="AK124" s="3">
        <v>203</v>
      </c>
      <c r="AL124" s="3" t="str">
        <f>IFERROR(MID(VLOOKUP($B124,Seqs!$A:$B,2,0),AM124,1),"")</f>
        <v>T</v>
      </c>
      <c r="AM124" s="3">
        <v>241</v>
      </c>
      <c r="AN124" s="3" t="str">
        <f>IFERROR(MID(VLOOKUP($B124,Seqs!$A:$B,2,0),AO124,1),"")</f>
        <v>G</v>
      </c>
      <c r="AO124" s="3">
        <v>245</v>
      </c>
      <c r="AP124" s="3" t="str">
        <f>IFERROR(MID(VLOOKUP($B124,Seqs!$A:$B,2,0),AQ124,1),"")</f>
        <v>G</v>
      </c>
      <c r="AQ124" s="3">
        <v>285</v>
      </c>
      <c r="AR124" s="3" t="str">
        <f>IFERROR(MID(VLOOKUP($B124,Seqs!$A:$B,2,0),AS124,1),"")</f>
        <v>S</v>
      </c>
      <c r="AS124" s="3">
        <v>289</v>
      </c>
      <c r="AT124" s="3" t="str">
        <f>IFERROR(MID(VLOOKUP($B124,Seqs!$A:$B,2,0),AU124,1),"")</f>
        <v>V</v>
      </c>
      <c r="AU124" s="3">
        <v>321</v>
      </c>
      <c r="AV124" s="3" t="str">
        <f>IFERROR(MID(VLOOKUP($B124,Seqs!$A:$B,2,0),AW124,1),"")</f>
        <v>G</v>
      </c>
      <c r="AW124" s="3">
        <v>322</v>
      </c>
      <c r="AX124" s="3" t="str">
        <f>IFERROR(MID(VLOOKUP($B124,Seqs!$A:$B,2,0),AY124,1),"")</f>
        <v>R</v>
      </c>
      <c r="AY124" s="3">
        <v>334</v>
      </c>
      <c r="AZ124" s="77" t="str">
        <f>VLOOKUP(B124,Classification!A:D,2,0)</f>
        <v>A</v>
      </c>
      <c r="BA124" s="94" t="str">
        <f>VLOOKUP(B124,Classification!A:D,4,0)</f>
        <v>Angiotensin</v>
      </c>
      <c r="BB124" s="27" t="b">
        <f t="shared" si="562"/>
        <v>1</v>
      </c>
      <c r="BC124" s="23">
        <f t="shared" si="563"/>
        <v>253</v>
      </c>
      <c r="BD124" s="2" t="s">
        <v>1382</v>
      </c>
      <c r="BE124" s="3" t="s">
        <v>1297</v>
      </c>
      <c r="BF124" s="119">
        <v>2.8</v>
      </c>
      <c r="BG124" s="49" t="s">
        <v>1384</v>
      </c>
      <c r="BH124" s="49" t="s">
        <v>1287</v>
      </c>
      <c r="BI124" s="1"/>
      <c r="BJ124" s="70" t="s">
        <v>1293</v>
      </c>
      <c r="BK124" s="57" t="s">
        <v>1293</v>
      </c>
      <c r="BL124" s="57" t="s">
        <v>1293</v>
      </c>
      <c r="BM124" s="57" t="s">
        <v>1293</v>
      </c>
      <c r="BN124" s="57" t="s">
        <v>1293</v>
      </c>
      <c r="BO124" s="57" t="s">
        <v>1293</v>
      </c>
      <c r="BP124" s="57" t="s">
        <v>1293</v>
      </c>
      <c r="BQ124" s="57" t="s">
        <v>1293</v>
      </c>
      <c r="BR124" s="57" t="s">
        <v>1293</v>
      </c>
      <c r="BS124" s="57" t="s">
        <v>1293</v>
      </c>
      <c r="BT124" s="57" t="s">
        <v>1293</v>
      </c>
      <c r="BU124" s="57" t="s">
        <v>1293</v>
      </c>
      <c r="BV124" s="70">
        <f t="shared" si="564"/>
        <v>45</v>
      </c>
      <c r="BW124" s="71" t="str">
        <f t="shared" si="565"/>
        <v>-</v>
      </c>
      <c r="BX124" s="72">
        <f t="shared" si="566"/>
        <v>78</v>
      </c>
      <c r="BY124" s="71">
        <f t="shared" si="567"/>
        <v>107</v>
      </c>
      <c r="BZ124" s="72">
        <f t="shared" si="568"/>
        <v>113</v>
      </c>
      <c r="CA124" s="71" t="str">
        <f t="shared" si="569"/>
        <v>-</v>
      </c>
      <c r="CB124" s="72">
        <f t="shared" si="570"/>
        <v>159</v>
      </c>
      <c r="CC124" s="71">
        <f t="shared" si="571"/>
        <v>195</v>
      </c>
      <c r="CD124" s="72">
        <f t="shared" si="572"/>
        <v>203</v>
      </c>
      <c r="CE124" s="71">
        <f t="shared" si="573"/>
        <v>245</v>
      </c>
      <c r="CF124" s="72">
        <f t="shared" si="574"/>
        <v>289</v>
      </c>
      <c r="CG124" s="71">
        <f t="shared" si="575"/>
        <v>322</v>
      </c>
      <c r="CH124" s="70">
        <f t="shared" si="576"/>
        <v>71</v>
      </c>
      <c r="CI124" s="71" t="str">
        <f t="shared" si="577"/>
        <v>-</v>
      </c>
      <c r="CJ124" s="72">
        <f t="shared" si="578"/>
        <v>106</v>
      </c>
      <c r="CK124" s="72">
        <f t="shared" si="579"/>
        <v>112</v>
      </c>
      <c r="CL124" s="72">
        <f t="shared" si="580"/>
        <v>148</v>
      </c>
      <c r="CM124" s="72" t="str">
        <f t="shared" si="581"/>
        <v>-</v>
      </c>
      <c r="CN124" s="72">
        <f t="shared" si="582"/>
        <v>182</v>
      </c>
      <c r="CO124" s="72">
        <f t="shared" si="583"/>
        <v>197</v>
      </c>
      <c r="CP124" s="72">
        <f t="shared" si="584"/>
        <v>241</v>
      </c>
      <c r="CQ124" s="72">
        <f t="shared" si="585"/>
        <v>285</v>
      </c>
      <c r="CR124" s="72">
        <f t="shared" si="586"/>
        <v>321</v>
      </c>
      <c r="CS124" s="72">
        <f t="shared" si="587"/>
        <v>334</v>
      </c>
      <c r="CT124" s="23" t="e">
        <f t="shared" si="588"/>
        <v>#VALUE!</v>
      </c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  <c r="OK124" s="1"/>
      <c r="OL124" s="1"/>
      <c r="OM124" s="1"/>
      <c r="ON124" s="1"/>
      <c r="OO124" s="1"/>
      <c r="OP124" s="1"/>
      <c r="OQ124" s="1"/>
      <c r="OR124" s="1"/>
      <c r="OS124" s="1"/>
      <c r="OT124" s="1"/>
      <c r="OU124" s="1"/>
      <c r="OV124" s="1"/>
      <c r="OW124" s="1"/>
      <c r="OX124" s="1"/>
      <c r="OY124" s="1"/>
      <c r="OZ124" s="1"/>
      <c r="PA124" s="1"/>
      <c r="PB124" s="1"/>
      <c r="PC124" s="1"/>
      <c r="PD124" s="1"/>
      <c r="PE124" s="1"/>
      <c r="PF124" s="1"/>
      <c r="PG124" s="1"/>
      <c r="PH124" s="1"/>
      <c r="PI124" s="1"/>
      <c r="PJ124" s="1"/>
      <c r="PK124" s="1"/>
      <c r="PL124" s="1"/>
      <c r="PM124" s="1"/>
      <c r="PN124" s="1"/>
      <c r="PO124" s="1"/>
      <c r="PP124" s="1"/>
      <c r="PQ124" s="1"/>
      <c r="PR124" s="1"/>
      <c r="PS124" s="1"/>
      <c r="PT124" s="1"/>
      <c r="PU124" s="1"/>
      <c r="PV124" s="1"/>
      <c r="PW124" s="1"/>
      <c r="PX124" s="1"/>
      <c r="PY124" s="1"/>
      <c r="PZ124" s="1"/>
      <c r="QA124" s="1"/>
      <c r="QB124" s="1"/>
      <c r="QC124" s="1"/>
      <c r="QD124" s="1"/>
      <c r="QE124" s="1"/>
      <c r="QF124" s="1"/>
      <c r="QG124" s="1"/>
      <c r="QH124" s="1"/>
      <c r="QI124" s="1"/>
      <c r="QJ124" s="1"/>
      <c r="QK124" s="1"/>
      <c r="QL124" s="1"/>
      <c r="QM124" s="1"/>
      <c r="QN124" s="1"/>
      <c r="QO124" s="1"/>
      <c r="QP124" s="1"/>
      <c r="QQ124" s="1"/>
      <c r="QR124" s="1"/>
      <c r="QS124" s="1"/>
      <c r="QT124" s="1"/>
      <c r="QU124" s="1"/>
      <c r="QV124" s="1"/>
      <c r="QW124" s="1"/>
      <c r="QX124" s="1"/>
      <c r="QY124" s="1"/>
      <c r="QZ124" s="1"/>
      <c r="RA124" s="1"/>
      <c r="RB124" s="1"/>
      <c r="RC124" s="1"/>
      <c r="RD124" s="1"/>
      <c r="RE124" s="1"/>
      <c r="RF124" s="1"/>
      <c r="RG124" s="1"/>
      <c r="RH124" s="1"/>
      <c r="RI124" s="1"/>
      <c r="RJ124" s="1"/>
      <c r="RK124" s="1"/>
      <c r="RL124" s="1"/>
      <c r="RM124" s="1"/>
      <c r="RN124" s="1"/>
      <c r="RO124" s="1"/>
      <c r="RP124" s="1"/>
      <c r="RQ124" s="1"/>
      <c r="RR124" s="1"/>
      <c r="RS124" s="1"/>
      <c r="RT124" s="1"/>
      <c r="RU124" s="1"/>
      <c r="RV124" s="1"/>
      <c r="RW124" s="1"/>
      <c r="RX124" s="1"/>
      <c r="RY124" s="1"/>
      <c r="RZ124" s="1"/>
      <c r="SA124" s="1"/>
      <c r="SB124" s="1"/>
      <c r="SC124" s="1"/>
      <c r="SD124" s="1"/>
      <c r="SE124" s="1"/>
      <c r="SF124" s="1"/>
      <c r="SG124" s="1"/>
      <c r="SH124" s="1"/>
      <c r="SI124" s="1"/>
      <c r="SJ124" s="1"/>
      <c r="SK124" s="1"/>
      <c r="SL124" s="1"/>
      <c r="SM124" s="1"/>
      <c r="SN124" s="1"/>
      <c r="SO124" s="1"/>
      <c r="SP124" s="1"/>
      <c r="SQ124" s="1"/>
      <c r="SR124" s="1"/>
      <c r="SS124" s="1"/>
      <c r="ST124" s="1"/>
      <c r="SU124" s="1"/>
      <c r="SV124" s="1"/>
      <c r="SW124" s="1"/>
      <c r="SX124" s="1"/>
      <c r="SY124" s="1"/>
      <c r="SZ124" s="1"/>
      <c r="TA124" s="1"/>
      <c r="TB124" s="1"/>
      <c r="TC124" s="1"/>
      <c r="TD124" s="1"/>
      <c r="TE124" s="1"/>
      <c r="TF124" s="1"/>
      <c r="TG124" s="1"/>
      <c r="TH124" s="1"/>
      <c r="TI124" s="1"/>
      <c r="TJ124" s="1"/>
      <c r="TK124" s="1"/>
      <c r="TL124" s="1"/>
      <c r="TM124" s="1"/>
      <c r="TN124" s="1"/>
      <c r="TO124" s="1"/>
      <c r="TP124" s="1"/>
      <c r="TQ124" s="1"/>
      <c r="TR124" s="1"/>
      <c r="TS124" s="1"/>
      <c r="TT124" s="1"/>
      <c r="TU124" s="1"/>
      <c r="TV124" s="1"/>
      <c r="TW124" s="1"/>
      <c r="TX124" s="1"/>
      <c r="TY124" s="1"/>
      <c r="TZ124" s="1"/>
      <c r="UA124" s="1"/>
      <c r="UB124" s="1"/>
      <c r="UC124" s="1"/>
      <c r="UD124" s="1"/>
      <c r="UE124" s="1"/>
      <c r="UF124" s="1"/>
      <c r="UG124" s="1"/>
      <c r="UH124" s="1"/>
      <c r="UI124" s="1"/>
      <c r="UJ124" s="1"/>
      <c r="UK124" s="1"/>
      <c r="UL124" s="1"/>
      <c r="UM124" s="1"/>
      <c r="UN124" s="1"/>
      <c r="UO124" s="1"/>
      <c r="UP124" s="1"/>
      <c r="UQ124" s="1"/>
      <c r="UR124" s="1"/>
      <c r="US124" s="1"/>
      <c r="UT124" s="1"/>
      <c r="UU124" s="1"/>
      <c r="UV124" s="1"/>
      <c r="UW124" s="1"/>
      <c r="UX124" s="1"/>
      <c r="UY124" s="1"/>
      <c r="UZ124" s="1"/>
      <c r="VA124" s="1"/>
      <c r="VB124" s="1"/>
      <c r="VC124" s="1"/>
      <c r="VD124" s="1"/>
      <c r="VE124" s="1"/>
      <c r="VF124" s="1"/>
      <c r="VG124" s="1"/>
      <c r="VH124" s="1"/>
      <c r="VI124" s="1"/>
      <c r="VJ124" s="1"/>
      <c r="VK124" s="1"/>
      <c r="VL124" s="1"/>
      <c r="VM124" s="1"/>
      <c r="VN124" s="1"/>
      <c r="VO124" s="1"/>
      <c r="VP124" s="1"/>
      <c r="VQ124" s="1"/>
      <c r="VR124" s="1"/>
      <c r="VS124" s="1"/>
      <c r="VT124" s="1"/>
      <c r="VU124" s="1"/>
      <c r="VV124" s="1"/>
      <c r="VW124" s="1"/>
      <c r="VX124" s="1"/>
      <c r="VY124" s="1"/>
      <c r="VZ124" s="1"/>
      <c r="WA124" s="1"/>
      <c r="WB124" s="1"/>
      <c r="WC124" s="1"/>
      <c r="WD124" s="1"/>
      <c r="WE124" s="1"/>
      <c r="WF124" s="1"/>
      <c r="WG124" s="1"/>
      <c r="WH124" s="1"/>
      <c r="WI124" s="1"/>
      <c r="WJ124" s="1"/>
      <c r="WK124" s="1"/>
      <c r="WL124" s="1"/>
      <c r="WM124" s="1"/>
      <c r="WN124" s="1"/>
      <c r="WO124" s="1"/>
      <c r="WP124" s="1"/>
      <c r="WQ124" s="1"/>
      <c r="WR124" s="1"/>
      <c r="WS124" s="1"/>
      <c r="WT124" s="1"/>
      <c r="WU124" s="1"/>
      <c r="WV124" s="1"/>
      <c r="WW124" s="1"/>
      <c r="WX124" s="1"/>
      <c r="WY124" s="1"/>
      <c r="WZ124" s="1"/>
      <c r="XA124" s="1"/>
      <c r="XB124" s="1"/>
      <c r="XC124" s="1"/>
      <c r="XD124" s="1"/>
      <c r="XE124" s="1"/>
      <c r="XF124" s="1"/>
      <c r="XG124" s="1"/>
      <c r="XH124" s="1"/>
      <c r="XI124" s="1"/>
      <c r="XJ124" s="1"/>
      <c r="XK124" s="1"/>
      <c r="XL124" s="1"/>
      <c r="XM124" s="1"/>
      <c r="XN124" s="1"/>
      <c r="XO124" s="1"/>
      <c r="XP124" s="1"/>
      <c r="XQ124" s="1"/>
      <c r="XR124" s="1"/>
      <c r="XS124" s="1"/>
      <c r="XT124" s="1"/>
      <c r="XU124" s="1"/>
      <c r="XV124" s="1"/>
      <c r="XW124" s="1"/>
      <c r="XX124" s="1"/>
      <c r="XY124" s="1"/>
      <c r="XZ124" s="1"/>
      <c r="YA124" s="1"/>
      <c r="YB124" s="1"/>
      <c r="YC124" s="1"/>
      <c r="YD124" s="1"/>
      <c r="YE124" s="1"/>
      <c r="YF124" s="1"/>
      <c r="YG124" s="1"/>
      <c r="YH124" s="1"/>
      <c r="YI124" s="1"/>
      <c r="YJ124" s="1"/>
      <c r="YK124" s="1"/>
      <c r="YL124" s="1"/>
      <c r="YM124" s="1"/>
      <c r="YN124" s="1"/>
      <c r="YO124" s="1"/>
      <c r="YP124" s="1"/>
      <c r="YQ124" s="1"/>
      <c r="YR124" s="1"/>
      <c r="YS124" s="1"/>
      <c r="YT124" s="1"/>
      <c r="YU124" s="1"/>
      <c r="YV124" s="1"/>
      <c r="YW124" s="1"/>
      <c r="YX124" s="1"/>
      <c r="YY124" s="1"/>
      <c r="YZ124" s="1"/>
      <c r="ZA124" s="1"/>
      <c r="ZB124" s="1"/>
      <c r="ZC124" s="1"/>
      <c r="ZD124" s="1"/>
      <c r="ZE124" s="1"/>
      <c r="ZF124" s="1"/>
      <c r="ZG124" s="1"/>
      <c r="ZH124" s="1"/>
      <c r="ZI124" s="1"/>
      <c r="ZJ124" s="1"/>
      <c r="ZK124" s="1"/>
      <c r="ZL124" s="1"/>
      <c r="ZM124" s="1"/>
      <c r="ZN124" s="1"/>
      <c r="ZO124" s="1"/>
      <c r="ZP124" s="1"/>
      <c r="ZQ124" s="1"/>
      <c r="ZR124" s="1"/>
      <c r="ZS124" s="1"/>
      <c r="ZT124" s="1"/>
      <c r="ZU124" s="1"/>
      <c r="ZV124" s="1"/>
      <c r="ZW124" s="1"/>
      <c r="ZX124" s="1"/>
      <c r="ZY124" s="1"/>
      <c r="ZZ124" s="1"/>
      <c r="AAA124" s="1"/>
      <c r="AAB124" s="1"/>
      <c r="AAC124" s="1"/>
      <c r="AAD124" s="1"/>
      <c r="AAE124" s="1"/>
      <c r="AAF124" s="1"/>
      <c r="AAG124" s="1"/>
      <c r="AAH124" s="1"/>
      <c r="AAI124" s="1"/>
      <c r="AAJ124" s="1"/>
      <c r="AAK124" s="1"/>
      <c r="AAL124" s="1"/>
      <c r="AAM124" s="1"/>
      <c r="AAN124" s="1"/>
      <c r="AAO124" s="1"/>
      <c r="AAP124" s="1"/>
      <c r="AAQ124" s="1"/>
      <c r="AAR124" s="1"/>
      <c r="AAS124" s="1"/>
      <c r="AAT124" s="1"/>
      <c r="AAU124" s="1"/>
      <c r="AAV124" s="1"/>
      <c r="AAW124" s="1"/>
      <c r="AAX124" s="1"/>
      <c r="AAY124" s="1"/>
      <c r="AAZ124" s="1"/>
      <c r="ABA124" s="1"/>
      <c r="ABB124" s="1"/>
      <c r="ABC124" s="1"/>
      <c r="ABD124" s="1"/>
      <c r="ABE124" s="1"/>
      <c r="ABF124" s="1"/>
      <c r="ABG124" s="1"/>
      <c r="ABH124" s="1"/>
      <c r="ABI124" s="1"/>
      <c r="ABJ124" s="1"/>
      <c r="ABK124" s="1"/>
      <c r="ABL124" s="1"/>
      <c r="ABM124" s="1"/>
      <c r="ABN124" s="1"/>
      <c r="ABO124" s="1"/>
      <c r="ABP124" s="1"/>
      <c r="ABQ124" s="1"/>
      <c r="ABR124" s="1"/>
      <c r="ABS124" s="1"/>
      <c r="ABT124" s="1"/>
      <c r="ABU124" s="1"/>
      <c r="ABV124" s="1"/>
      <c r="ABW124" s="1"/>
      <c r="ABX124" s="1"/>
      <c r="ABY124" s="1"/>
      <c r="ABZ124" s="1"/>
      <c r="ACA124" s="1"/>
      <c r="ACB124" s="1"/>
      <c r="ACC124" s="1"/>
      <c r="ACD124" s="1"/>
      <c r="ACE124" s="1"/>
      <c r="ACF124" s="1"/>
      <c r="ACG124" s="1"/>
      <c r="ACH124" s="1"/>
      <c r="ACI124" s="1"/>
      <c r="ACJ124" s="1"/>
      <c r="ACK124" s="1"/>
      <c r="ACL124" s="1"/>
      <c r="ACM124" s="1"/>
      <c r="ACN124" s="1"/>
      <c r="ACO124" s="1"/>
      <c r="ACP124" s="1"/>
      <c r="ACQ124" s="1"/>
      <c r="ACR124" s="1"/>
      <c r="ACS124" s="1"/>
      <c r="ACT124" s="1"/>
      <c r="ACU124" s="1"/>
      <c r="ACV124" s="1"/>
      <c r="ACW124" s="1"/>
      <c r="ACX124" s="1"/>
      <c r="ACY124" s="1"/>
      <c r="ACZ124" s="1"/>
      <c r="ADA124" s="1"/>
      <c r="ADB124" s="1"/>
      <c r="ADC124" s="1"/>
      <c r="ADD124" s="1"/>
      <c r="ADE124" s="1"/>
      <c r="ADF124" s="1"/>
      <c r="ADG124" s="1"/>
      <c r="ADH124" s="1"/>
      <c r="ADI124" s="1"/>
      <c r="ADJ124" s="1"/>
      <c r="ADK124" s="1"/>
      <c r="ADL124" s="1"/>
      <c r="ADM124" s="1"/>
      <c r="ADN124" s="1"/>
      <c r="ADO124" s="1"/>
      <c r="ADP124" s="1"/>
      <c r="ADQ124" s="1"/>
      <c r="ADR124" s="1"/>
      <c r="ADS124" s="1"/>
      <c r="ADT124" s="1"/>
      <c r="ADU124" s="1"/>
      <c r="ADV124" s="1"/>
      <c r="ADW124" s="1"/>
      <c r="ADX124" s="1"/>
      <c r="ADY124" s="1"/>
      <c r="ADZ124" s="1"/>
      <c r="AEA124" s="1"/>
      <c r="AEB124" s="1"/>
      <c r="AEC124" s="1"/>
      <c r="AED124" s="1"/>
      <c r="AEE124" s="1"/>
      <c r="AEF124" s="1"/>
      <c r="AEG124" s="1"/>
      <c r="AEH124" s="1"/>
      <c r="AEI124" s="1"/>
      <c r="AEJ124" s="1"/>
      <c r="AEK124" s="1"/>
      <c r="AEL124" s="1"/>
      <c r="AEM124" s="1"/>
      <c r="AEN124" s="1"/>
      <c r="AEO124" s="1"/>
      <c r="AEP124" s="1"/>
      <c r="AEQ124" s="1"/>
      <c r="AER124" s="1"/>
      <c r="AES124" s="1"/>
      <c r="AET124" s="1"/>
      <c r="AEU124" s="1"/>
      <c r="AEV124" s="1"/>
      <c r="AEW124" s="1"/>
      <c r="AEX124" s="1"/>
      <c r="AEY124" s="1"/>
      <c r="AEZ124" s="1"/>
      <c r="AFA124" s="1"/>
      <c r="AFB124" s="1"/>
      <c r="AFC124" s="1"/>
      <c r="AFD124" s="1"/>
      <c r="AFE124" s="1"/>
      <c r="AFF124" s="1"/>
      <c r="AFG124" s="1"/>
      <c r="AFH124" s="1"/>
      <c r="AFI124" s="1"/>
      <c r="AFJ124" s="1"/>
      <c r="AFK124" s="1"/>
      <c r="AFL124" s="1"/>
      <c r="AFM124" s="1"/>
      <c r="AFN124" s="1"/>
      <c r="AFO124" s="1"/>
      <c r="AFP124" s="1"/>
      <c r="AFQ124" s="1"/>
      <c r="AFR124" s="1"/>
      <c r="AFS124" s="1"/>
      <c r="AFT124" s="1"/>
      <c r="AFU124" s="1"/>
      <c r="AFV124" s="1"/>
      <c r="AFW124" s="1"/>
      <c r="AFX124" s="1"/>
      <c r="AFY124" s="1"/>
      <c r="AFZ124" s="1"/>
      <c r="AGA124" s="1"/>
      <c r="AGB124" s="1"/>
      <c r="AGC124" s="1"/>
      <c r="AGD124" s="1"/>
      <c r="AGE124" s="1"/>
      <c r="AGF124" s="1"/>
      <c r="AGG124" s="1"/>
      <c r="AGH124" s="1"/>
      <c r="AGI124" s="1"/>
      <c r="AGJ124" s="1"/>
      <c r="AGK124" s="1"/>
      <c r="AGL124" s="1"/>
      <c r="AGM124" s="1"/>
      <c r="AGN124" s="1"/>
      <c r="AGO124" s="1"/>
      <c r="AGP124" s="1"/>
      <c r="AGQ124" s="1"/>
      <c r="AGR124" s="1"/>
      <c r="AGS124" s="1"/>
      <c r="AGT124" s="1"/>
      <c r="AGU124" s="1"/>
      <c r="AGV124" s="1"/>
      <c r="AGW124" s="1"/>
      <c r="AGX124" s="1"/>
      <c r="AGY124" s="1"/>
      <c r="AGZ124" s="1"/>
      <c r="AHA124" s="1"/>
      <c r="AHB124" s="1"/>
      <c r="AHC124" s="1"/>
      <c r="AHD124" s="1"/>
      <c r="AHE124" s="1"/>
      <c r="AHF124" s="1"/>
      <c r="AHG124" s="1"/>
      <c r="AHH124" s="1"/>
      <c r="AHI124" s="1"/>
      <c r="AHJ124" s="1"/>
      <c r="AHK124" s="1"/>
      <c r="AHL124" s="1"/>
      <c r="AHM124" s="1"/>
      <c r="AHN124" s="1"/>
      <c r="AHO124" s="1"/>
      <c r="AHP124" s="1"/>
      <c r="AHQ124" s="1"/>
      <c r="AHR124" s="1"/>
      <c r="AHS124" s="1"/>
      <c r="AHT124" s="1"/>
      <c r="AHU124" s="1"/>
      <c r="AHV124" s="1"/>
      <c r="AHW124" s="1"/>
      <c r="AHX124" s="1"/>
      <c r="AHY124" s="1"/>
      <c r="AHZ124" s="1"/>
      <c r="AIA124" s="1"/>
      <c r="AIB124" s="1"/>
      <c r="AIC124" s="1"/>
      <c r="AID124" s="1"/>
      <c r="AIE124" s="1"/>
      <c r="AIF124" s="1"/>
      <c r="AIG124" s="1"/>
      <c r="AIH124" s="1"/>
      <c r="AII124" s="1"/>
      <c r="AIJ124" s="1"/>
      <c r="AIK124" s="1"/>
      <c r="AIL124" s="1"/>
      <c r="AIM124" s="1"/>
      <c r="AIN124" s="1"/>
      <c r="AIO124" s="1"/>
      <c r="AIP124" s="1"/>
      <c r="AIQ124" s="1"/>
      <c r="AIR124" s="1"/>
      <c r="AIS124" s="1"/>
      <c r="AIT124" s="1"/>
      <c r="AIU124" s="1"/>
      <c r="AIV124" s="1"/>
      <c r="AIW124" s="1"/>
      <c r="AIX124" s="1"/>
      <c r="AIY124" s="1"/>
      <c r="AIZ124" s="1"/>
      <c r="AJA124" s="1"/>
      <c r="AJB124" s="1"/>
      <c r="AJC124" s="1"/>
      <c r="AJD124" s="1"/>
      <c r="AJE124" s="1"/>
      <c r="AJF124" s="1"/>
      <c r="AJG124" s="1"/>
      <c r="AJH124" s="1"/>
      <c r="AJI124" s="1"/>
      <c r="AJJ124" s="1"/>
      <c r="AJK124" s="1"/>
      <c r="AJL124" s="1"/>
      <c r="AJM124" s="1"/>
      <c r="AJN124" s="1"/>
      <c r="AJO124" s="1"/>
      <c r="AJP124" s="1"/>
      <c r="AJQ124" s="1"/>
      <c r="AJR124" s="1"/>
      <c r="AJS124" s="1"/>
      <c r="AJT124" s="1"/>
      <c r="AJU124" s="1"/>
      <c r="AJV124" s="1"/>
      <c r="AJW124" s="1"/>
      <c r="AJX124" s="1"/>
      <c r="AJY124" s="1"/>
      <c r="AJZ124" s="1"/>
      <c r="AKA124" s="1"/>
      <c r="AKB124" s="1"/>
      <c r="AKC124" s="1"/>
      <c r="AKD124" s="1"/>
      <c r="AKE124" s="1"/>
      <c r="AKF124" s="1"/>
      <c r="AKG124" s="1"/>
      <c r="AKH124" s="1"/>
      <c r="AKI124" s="1"/>
      <c r="AKJ124" s="1"/>
      <c r="AKK124" s="1"/>
      <c r="AKL124" s="1"/>
      <c r="AKM124" s="1"/>
      <c r="AKN124" s="1"/>
      <c r="AKO124" s="1"/>
      <c r="AKP124" s="1"/>
      <c r="AKQ124" s="1"/>
      <c r="AKR124" s="1"/>
      <c r="AKS124" s="1"/>
      <c r="AKT124" s="1"/>
      <c r="AKU124" s="1"/>
      <c r="AKV124" s="1"/>
      <c r="AKW124" s="1"/>
      <c r="AKX124" s="1"/>
      <c r="AKY124" s="1"/>
      <c r="AKZ124" s="1"/>
      <c r="ALA124" s="1"/>
      <c r="ALB124" s="1"/>
      <c r="ALC124" s="1"/>
      <c r="ALD124" s="1"/>
      <c r="ALE124" s="1"/>
      <c r="ALF124" s="1"/>
      <c r="ALG124" s="1"/>
      <c r="ALH124" s="1"/>
      <c r="ALI124" s="1"/>
      <c r="ALJ124" s="1"/>
      <c r="ALK124" s="1"/>
      <c r="ALL124" s="1"/>
      <c r="ALM124" s="1"/>
      <c r="ALN124" s="1"/>
      <c r="ALO124" s="1"/>
      <c r="ALP124" s="1"/>
      <c r="ALQ124" s="1"/>
      <c r="ALR124" s="1"/>
      <c r="ALS124" s="1"/>
      <c r="ALT124" s="1"/>
      <c r="ALU124" s="1"/>
      <c r="ALV124" s="1"/>
      <c r="ALW124" s="1"/>
      <c r="ALX124" s="1"/>
      <c r="ALY124" s="1"/>
      <c r="ALZ124" s="1"/>
      <c r="AMA124" s="1"/>
      <c r="AMB124" s="1"/>
      <c r="AMC124" s="1"/>
      <c r="AMD124" s="1"/>
      <c r="AME124" s="1"/>
      <c r="AMF124" s="1"/>
      <c r="AMG124" s="1"/>
      <c r="AMH124" s="1"/>
      <c r="AMI124" s="1"/>
      <c r="AMJ124" s="1"/>
      <c r="AMK124" s="1"/>
      <c r="AML124" s="1"/>
      <c r="AMM124" s="1"/>
      <c r="AMN124" s="1"/>
      <c r="AMO124" s="1"/>
    </row>
    <row r="125" spans="1:1029" x14ac:dyDescent="0.2">
      <c r="A125" s="3" t="str">
        <f t="shared" si="561"/>
        <v>agtr2_human_5UNH</v>
      </c>
      <c r="B125" s="3" t="s">
        <v>159</v>
      </c>
      <c r="C125" s="3" t="s">
        <v>1402</v>
      </c>
      <c r="D125" s="3" t="str">
        <f>IFERROR(MID(VLOOKUP($B125,Seqs!$A:$B,2,0),E125,1),"")</f>
        <v>D</v>
      </c>
      <c r="E125" s="3">
        <v>45</v>
      </c>
      <c r="F125" s="3" t="str">
        <f>IFERROR(MID(VLOOKUP($B125,Seqs!$A:$B,2,0),G125,1),"")</f>
        <v>C</v>
      </c>
      <c r="G125" s="3">
        <v>70</v>
      </c>
      <c r="H125" s="3" t="str">
        <f>IFERROR(MID(VLOOKUP($B125,Seqs!$A:$B,2,0),I125,1),"")</f>
        <v/>
      </c>
      <c r="I125" s="23" t="s">
        <v>23</v>
      </c>
      <c r="J125" s="3" t="str">
        <f>IFERROR(MID(VLOOKUP($B125,Seqs!$A:$B,2,0),K125,1),"")</f>
        <v/>
      </c>
      <c r="K125" s="23" t="s">
        <v>23</v>
      </c>
      <c r="L125" s="3" t="str">
        <f>IFERROR(MID(VLOOKUP($B125,Seqs!$A:$B,2,0),M125,1),"")</f>
        <v>K</v>
      </c>
      <c r="M125" s="3">
        <v>77</v>
      </c>
      <c r="N125" s="3" t="str">
        <f>IFERROR(MID(VLOOKUP($B125,Seqs!$A:$B,2,0),O125,1),"")</f>
        <v>Y</v>
      </c>
      <c r="O125" s="3">
        <v>106</v>
      </c>
      <c r="P125" s="3" t="str">
        <f>IFERROR(MID(VLOOKUP($B125,Seqs!$A:$B,2,0),Q125,1),"")</f>
        <v>R</v>
      </c>
      <c r="Q125" s="3">
        <v>107</v>
      </c>
      <c r="R125" s="3" t="str">
        <f>IFERROR(MID(VLOOKUP($B125,Seqs!$A:$B,2,0),S125,1),"")</f>
        <v>F</v>
      </c>
      <c r="S125" s="3">
        <v>112</v>
      </c>
      <c r="T125" s="3" t="str">
        <f>IFERROR(MID(VLOOKUP($B125,Seqs!$A:$B,2,0),U125,1),"")</f>
        <v>G</v>
      </c>
      <c r="U125" s="3">
        <v>113</v>
      </c>
      <c r="V125" s="3" t="str">
        <f>IFERROR(MID(VLOOKUP($B125,Seqs!$A:$B,2,0),W125,1),"")</f>
        <v>Y</v>
      </c>
      <c r="W125" s="3">
        <v>148</v>
      </c>
      <c r="X125" s="3" t="str">
        <f>IFERROR(MID(VLOOKUP($B125,Seqs!$A:$B,2,0),Y125,1),"")</f>
        <v/>
      </c>
      <c r="Y125" s="3" t="s">
        <v>23</v>
      </c>
      <c r="Z125" s="3" t="str">
        <f>IFERROR(MID(VLOOKUP($B125,Seqs!$A:$B,2,0),AA125,1),"")</f>
        <v/>
      </c>
      <c r="AA125" s="3" t="s">
        <v>23</v>
      </c>
      <c r="AB125" s="3" t="str">
        <f>IFERROR(MID(VLOOKUP($B125,Seqs!$A:$B,2,0),AC125,1),"")</f>
        <v>Y</v>
      </c>
      <c r="AC125" s="3">
        <v>162</v>
      </c>
      <c r="AD125" s="3" t="str">
        <f>IFERROR(MID(VLOOKUP($B125,Seqs!$A:$B,2,0),AE125,1),"")</f>
        <v>R</v>
      </c>
      <c r="AE125" s="3">
        <v>182</v>
      </c>
      <c r="AF125" s="3" t="str">
        <f>IFERROR(MID(VLOOKUP($B125,Seqs!$A:$B,2,0),AG125,1),"")</f>
        <v>C</v>
      </c>
      <c r="AG125" s="3">
        <v>195</v>
      </c>
      <c r="AH125" s="3" t="str">
        <f>IFERROR(MID(VLOOKUP($B125,Seqs!$A:$B,2,0),AI125,1),"")</f>
        <v>M</v>
      </c>
      <c r="AI125" s="3">
        <v>197</v>
      </c>
      <c r="AJ125" s="3" t="str">
        <f>IFERROR(MID(VLOOKUP($B125,Seqs!$A:$B,2,0),AK125,1),"")</f>
        <v>Y</v>
      </c>
      <c r="AK125" s="3">
        <v>204</v>
      </c>
      <c r="AL125" s="3" t="str">
        <f>IFERROR(MID(VLOOKUP($B125,Seqs!$A:$B,2,0),AM125,1),"")</f>
        <v>T</v>
      </c>
      <c r="AM125" s="3">
        <v>241</v>
      </c>
      <c r="AN125" s="3" t="str">
        <f>IFERROR(MID(VLOOKUP($B125,Seqs!$A:$B,2,0),AO125,1),"")</f>
        <v>G</v>
      </c>
      <c r="AO125" s="3">
        <v>245</v>
      </c>
      <c r="AP125" s="3" t="str">
        <f>IFERROR(MID(VLOOKUP($B125,Seqs!$A:$B,2,0),AQ125,1),"")</f>
        <v>G</v>
      </c>
      <c r="AQ125" s="3">
        <v>285</v>
      </c>
      <c r="AR125" s="3" t="str">
        <f>IFERROR(MID(VLOOKUP($B125,Seqs!$A:$B,2,0),AS125,1),"")</f>
        <v>S</v>
      </c>
      <c r="AS125" s="3">
        <v>289</v>
      </c>
      <c r="AT125" s="3" t="str">
        <f>IFERROR(MID(VLOOKUP($B125,Seqs!$A:$B,2,0),AU125,1),"")</f>
        <v>V</v>
      </c>
      <c r="AU125" s="3">
        <v>321</v>
      </c>
      <c r="AV125" s="3" t="str">
        <f>IFERROR(MID(VLOOKUP($B125,Seqs!$A:$B,2,0),AW125,1),"")</f>
        <v>G</v>
      </c>
      <c r="AW125" s="3">
        <v>322</v>
      </c>
      <c r="AX125" s="3" t="str">
        <f>IFERROR(MID(VLOOKUP($B125,Seqs!$A:$B,2,0),AY125,1),"")</f>
        <v>V</v>
      </c>
      <c r="AY125" s="3">
        <v>332</v>
      </c>
      <c r="AZ125" s="77" t="str">
        <f>VLOOKUP(B125,Classification!A:D,2,0)</f>
        <v>A</v>
      </c>
      <c r="BA125" s="94" t="str">
        <f>VLOOKUP(B125,Classification!A:D,4,0)</f>
        <v>Angiotensin</v>
      </c>
      <c r="BB125" s="27" t="b">
        <f t="shared" si="562"/>
        <v>1</v>
      </c>
      <c r="BC125" s="23">
        <f t="shared" si="563"/>
        <v>247</v>
      </c>
      <c r="BD125" s="2" t="s">
        <v>23</v>
      </c>
      <c r="BE125" s="3" t="s">
        <v>1297</v>
      </c>
      <c r="BF125" s="119">
        <v>2.9</v>
      </c>
      <c r="BG125" s="49" t="s">
        <v>1384</v>
      </c>
      <c r="BH125" s="49" t="s">
        <v>1287</v>
      </c>
      <c r="BI125" s="1"/>
      <c r="BJ125" s="70" t="s">
        <v>1293</v>
      </c>
      <c r="BK125" s="57" t="s">
        <v>1293</v>
      </c>
      <c r="BL125" s="57" t="s">
        <v>1293</v>
      </c>
      <c r="BM125" s="57" t="s">
        <v>1293</v>
      </c>
      <c r="BN125" s="57" t="s">
        <v>1293</v>
      </c>
      <c r="BO125" s="57" t="s">
        <v>1293</v>
      </c>
      <c r="BP125" s="57" t="s">
        <v>1293</v>
      </c>
      <c r="BQ125" s="57" t="s">
        <v>1293</v>
      </c>
      <c r="BR125" s="57" t="s">
        <v>1293</v>
      </c>
      <c r="BS125" s="57" t="s">
        <v>1293</v>
      </c>
      <c r="BT125" s="57" t="s">
        <v>1293</v>
      </c>
      <c r="BU125" s="57" t="s">
        <v>1293</v>
      </c>
      <c r="BV125" s="70">
        <f t="shared" si="564"/>
        <v>45</v>
      </c>
      <c r="BW125" s="71" t="str">
        <f t="shared" si="565"/>
        <v>-</v>
      </c>
      <c r="BX125" s="72">
        <f t="shared" si="566"/>
        <v>77</v>
      </c>
      <c r="BY125" s="71">
        <f t="shared" si="567"/>
        <v>107</v>
      </c>
      <c r="BZ125" s="72">
        <f t="shared" si="568"/>
        <v>113</v>
      </c>
      <c r="CA125" s="71" t="str">
        <f t="shared" si="569"/>
        <v>-</v>
      </c>
      <c r="CB125" s="72">
        <f t="shared" si="570"/>
        <v>162</v>
      </c>
      <c r="CC125" s="71">
        <f t="shared" si="571"/>
        <v>195</v>
      </c>
      <c r="CD125" s="72">
        <f t="shared" si="572"/>
        <v>204</v>
      </c>
      <c r="CE125" s="71">
        <f t="shared" si="573"/>
        <v>245</v>
      </c>
      <c r="CF125" s="72">
        <f t="shared" si="574"/>
        <v>289</v>
      </c>
      <c r="CG125" s="71">
        <f t="shared" si="575"/>
        <v>322</v>
      </c>
      <c r="CH125" s="70">
        <f t="shared" si="576"/>
        <v>70</v>
      </c>
      <c r="CI125" s="71" t="str">
        <f t="shared" si="577"/>
        <v>-</v>
      </c>
      <c r="CJ125" s="72">
        <f t="shared" si="578"/>
        <v>106</v>
      </c>
      <c r="CK125" s="72">
        <f t="shared" si="579"/>
        <v>112</v>
      </c>
      <c r="CL125" s="72">
        <f t="shared" si="580"/>
        <v>148</v>
      </c>
      <c r="CM125" s="72" t="str">
        <f t="shared" si="581"/>
        <v>-</v>
      </c>
      <c r="CN125" s="72">
        <f t="shared" si="582"/>
        <v>182</v>
      </c>
      <c r="CO125" s="72">
        <f t="shared" si="583"/>
        <v>197</v>
      </c>
      <c r="CP125" s="72">
        <f t="shared" si="584"/>
        <v>241</v>
      </c>
      <c r="CQ125" s="72">
        <f t="shared" si="585"/>
        <v>285</v>
      </c>
      <c r="CR125" s="72">
        <f t="shared" si="586"/>
        <v>321</v>
      </c>
      <c r="CS125" s="72">
        <f t="shared" si="587"/>
        <v>332</v>
      </c>
      <c r="CT125" s="23" t="e">
        <f t="shared" si="588"/>
        <v>#VALUE!</v>
      </c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  <c r="OK125" s="1"/>
      <c r="OL125" s="1"/>
      <c r="OM125" s="1"/>
      <c r="ON125" s="1"/>
      <c r="OO125" s="1"/>
      <c r="OP125" s="1"/>
      <c r="OQ125" s="1"/>
      <c r="OR125" s="1"/>
      <c r="OS125" s="1"/>
      <c r="OT125" s="1"/>
      <c r="OU125" s="1"/>
      <c r="OV125" s="1"/>
      <c r="OW125" s="1"/>
      <c r="OX125" s="1"/>
      <c r="OY125" s="1"/>
      <c r="OZ125" s="1"/>
      <c r="PA125" s="1"/>
      <c r="PB125" s="1"/>
      <c r="PC125" s="1"/>
      <c r="PD125" s="1"/>
      <c r="PE125" s="1"/>
      <c r="PF125" s="1"/>
      <c r="PG125" s="1"/>
      <c r="PH125" s="1"/>
      <c r="PI125" s="1"/>
      <c r="PJ125" s="1"/>
      <c r="PK125" s="1"/>
      <c r="PL125" s="1"/>
      <c r="PM125" s="1"/>
      <c r="PN125" s="1"/>
      <c r="PO125" s="1"/>
      <c r="PP125" s="1"/>
      <c r="PQ125" s="1"/>
      <c r="PR125" s="1"/>
      <c r="PS125" s="1"/>
      <c r="PT125" s="1"/>
      <c r="PU125" s="1"/>
      <c r="PV125" s="1"/>
      <c r="PW125" s="1"/>
      <c r="PX125" s="1"/>
      <c r="PY125" s="1"/>
      <c r="PZ125" s="1"/>
      <c r="QA125" s="1"/>
      <c r="QB125" s="1"/>
      <c r="QC125" s="1"/>
      <c r="QD125" s="1"/>
      <c r="QE125" s="1"/>
      <c r="QF125" s="1"/>
      <c r="QG125" s="1"/>
      <c r="QH125" s="1"/>
      <c r="QI125" s="1"/>
      <c r="QJ125" s="1"/>
      <c r="QK125" s="1"/>
      <c r="QL125" s="1"/>
      <c r="QM125" s="1"/>
      <c r="QN125" s="1"/>
      <c r="QO125" s="1"/>
      <c r="QP125" s="1"/>
      <c r="QQ125" s="1"/>
      <c r="QR125" s="1"/>
      <c r="QS125" s="1"/>
      <c r="QT125" s="1"/>
      <c r="QU125" s="1"/>
      <c r="QV125" s="1"/>
      <c r="QW125" s="1"/>
      <c r="QX125" s="1"/>
      <c r="QY125" s="1"/>
      <c r="QZ125" s="1"/>
      <c r="RA125" s="1"/>
      <c r="RB125" s="1"/>
      <c r="RC125" s="1"/>
      <c r="RD125" s="1"/>
      <c r="RE125" s="1"/>
      <c r="RF125" s="1"/>
      <c r="RG125" s="1"/>
      <c r="RH125" s="1"/>
      <c r="RI125" s="1"/>
      <c r="RJ125" s="1"/>
      <c r="RK125" s="1"/>
      <c r="RL125" s="1"/>
      <c r="RM125" s="1"/>
      <c r="RN125" s="1"/>
      <c r="RO125" s="1"/>
      <c r="RP125" s="1"/>
      <c r="RQ125" s="1"/>
      <c r="RR125" s="1"/>
      <c r="RS125" s="1"/>
      <c r="RT125" s="1"/>
      <c r="RU125" s="1"/>
      <c r="RV125" s="1"/>
      <c r="RW125" s="1"/>
      <c r="RX125" s="1"/>
      <c r="RY125" s="1"/>
      <c r="RZ125" s="1"/>
      <c r="SA125" s="1"/>
      <c r="SB125" s="1"/>
      <c r="SC125" s="1"/>
      <c r="SD125" s="1"/>
      <c r="SE125" s="1"/>
      <c r="SF125" s="1"/>
      <c r="SG125" s="1"/>
      <c r="SH125" s="1"/>
      <c r="SI125" s="1"/>
      <c r="SJ125" s="1"/>
      <c r="SK125" s="1"/>
      <c r="SL125" s="1"/>
      <c r="SM125" s="1"/>
      <c r="SN125" s="1"/>
      <c r="SO125" s="1"/>
      <c r="SP125" s="1"/>
      <c r="SQ125" s="1"/>
      <c r="SR125" s="1"/>
      <c r="SS125" s="1"/>
      <c r="ST125" s="1"/>
      <c r="SU125" s="1"/>
      <c r="SV125" s="1"/>
      <c r="SW125" s="1"/>
      <c r="SX125" s="1"/>
      <c r="SY125" s="1"/>
      <c r="SZ125" s="1"/>
      <c r="TA125" s="1"/>
      <c r="TB125" s="1"/>
      <c r="TC125" s="1"/>
      <c r="TD125" s="1"/>
      <c r="TE125" s="1"/>
      <c r="TF125" s="1"/>
      <c r="TG125" s="1"/>
      <c r="TH125" s="1"/>
      <c r="TI125" s="1"/>
      <c r="TJ125" s="1"/>
      <c r="TK125" s="1"/>
      <c r="TL125" s="1"/>
      <c r="TM125" s="1"/>
      <c r="TN125" s="1"/>
      <c r="TO125" s="1"/>
      <c r="TP125" s="1"/>
      <c r="TQ125" s="1"/>
      <c r="TR125" s="1"/>
      <c r="TS125" s="1"/>
      <c r="TT125" s="1"/>
      <c r="TU125" s="1"/>
      <c r="TV125" s="1"/>
      <c r="TW125" s="1"/>
      <c r="TX125" s="1"/>
      <c r="TY125" s="1"/>
      <c r="TZ125" s="1"/>
      <c r="UA125" s="1"/>
      <c r="UB125" s="1"/>
      <c r="UC125" s="1"/>
      <c r="UD125" s="1"/>
      <c r="UE125" s="1"/>
      <c r="UF125" s="1"/>
      <c r="UG125" s="1"/>
      <c r="UH125" s="1"/>
      <c r="UI125" s="1"/>
      <c r="UJ125" s="1"/>
      <c r="UK125" s="1"/>
      <c r="UL125" s="1"/>
      <c r="UM125" s="1"/>
      <c r="UN125" s="1"/>
      <c r="UO125" s="1"/>
      <c r="UP125" s="1"/>
      <c r="UQ125" s="1"/>
      <c r="UR125" s="1"/>
      <c r="US125" s="1"/>
      <c r="UT125" s="1"/>
      <c r="UU125" s="1"/>
      <c r="UV125" s="1"/>
      <c r="UW125" s="1"/>
      <c r="UX125" s="1"/>
      <c r="UY125" s="1"/>
      <c r="UZ125" s="1"/>
      <c r="VA125" s="1"/>
      <c r="VB125" s="1"/>
      <c r="VC125" s="1"/>
      <c r="VD125" s="1"/>
      <c r="VE125" s="1"/>
      <c r="VF125" s="1"/>
      <c r="VG125" s="1"/>
      <c r="VH125" s="1"/>
      <c r="VI125" s="1"/>
      <c r="VJ125" s="1"/>
      <c r="VK125" s="1"/>
      <c r="VL125" s="1"/>
      <c r="VM125" s="1"/>
      <c r="VN125" s="1"/>
      <c r="VO125" s="1"/>
      <c r="VP125" s="1"/>
      <c r="VQ125" s="1"/>
      <c r="VR125" s="1"/>
      <c r="VS125" s="1"/>
      <c r="VT125" s="1"/>
      <c r="VU125" s="1"/>
      <c r="VV125" s="1"/>
      <c r="VW125" s="1"/>
      <c r="VX125" s="1"/>
      <c r="VY125" s="1"/>
      <c r="VZ125" s="1"/>
      <c r="WA125" s="1"/>
      <c r="WB125" s="1"/>
      <c r="WC125" s="1"/>
      <c r="WD125" s="1"/>
      <c r="WE125" s="1"/>
      <c r="WF125" s="1"/>
      <c r="WG125" s="1"/>
      <c r="WH125" s="1"/>
      <c r="WI125" s="1"/>
      <c r="WJ125" s="1"/>
      <c r="WK125" s="1"/>
      <c r="WL125" s="1"/>
      <c r="WM125" s="1"/>
      <c r="WN125" s="1"/>
      <c r="WO125" s="1"/>
      <c r="WP125" s="1"/>
      <c r="WQ125" s="1"/>
      <c r="WR125" s="1"/>
      <c r="WS125" s="1"/>
      <c r="WT125" s="1"/>
      <c r="WU125" s="1"/>
      <c r="WV125" s="1"/>
      <c r="WW125" s="1"/>
      <c r="WX125" s="1"/>
      <c r="WY125" s="1"/>
      <c r="WZ125" s="1"/>
      <c r="XA125" s="1"/>
      <c r="XB125" s="1"/>
      <c r="XC125" s="1"/>
      <c r="XD125" s="1"/>
      <c r="XE125" s="1"/>
      <c r="XF125" s="1"/>
      <c r="XG125" s="1"/>
      <c r="XH125" s="1"/>
      <c r="XI125" s="1"/>
      <c r="XJ125" s="1"/>
      <c r="XK125" s="1"/>
      <c r="XL125" s="1"/>
      <c r="XM125" s="1"/>
      <c r="XN125" s="1"/>
      <c r="XO125" s="1"/>
      <c r="XP125" s="1"/>
      <c r="XQ125" s="1"/>
      <c r="XR125" s="1"/>
      <c r="XS125" s="1"/>
      <c r="XT125" s="1"/>
      <c r="XU125" s="1"/>
      <c r="XV125" s="1"/>
      <c r="XW125" s="1"/>
      <c r="XX125" s="1"/>
      <c r="XY125" s="1"/>
      <c r="XZ125" s="1"/>
      <c r="YA125" s="1"/>
      <c r="YB125" s="1"/>
      <c r="YC125" s="1"/>
      <c r="YD125" s="1"/>
      <c r="YE125" s="1"/>
      <c r="YF125" s="1"/>
      <c r="YG125" s="1"/>
      <c r="YH125" s="1"/>
      <c r="YI125" s="1"/>
      <c r="YJ125" s="1"/>
      <c r="YK125" s="1"/>
      <c r="YL125" s="1"/>
      <c r="YM125" s="1"/>
      <c r="YN125" s="1"/>
      <c r="YO125" s="1"/>
      <c r="YP125" s="1"/>
      <c r="YQ125" s="1"/>
      <c r="YR125" s="1"/>
      <c r="YS125" s="1"/>
      <c r="YT125" s="1"/>
      <c r="YU125" s="1"/>
      <c r="YV125" s="1"/>
      <c r="YW125" s="1"/>
      <c r="YX125" s="1"/>
      <c r="YY125" s="1"/>
      <c r="YZ125" s="1"/>
      <c r="ZA125" s="1"/>
      <c r="ZB125" s="1"/>
      <c r="ZC125" s="1"/>
      <c r="ZD125" s="1"/>
      <c r="ZE125" s="1"/>
      <c r="ZF125" s="1"/>
      <c r="ZG125" s="1"/>
      <c r="ZH125" s="1"/>
      <c r="ZI125" s="1"/>
      <c r="ZJ125" s="1"/>
      <c r="ZK125" s="1"/>
      <c r="ZL125" s="1"/>
      <c r="ZM125" s="1"/>
      <c r="ZN125" s="1"/>
      <c r="ZO125" s="1"/>
      <c r="ZP125" s="1"/>
      <c r="ZQ125" s="1"/>
      <c r="ZR125" s="1"/>
      <c r="ZS125" s="1"/>
      <c r="ZT125" s="1"/>
      <c r="ZU125" s="1"/>
      <c r="ZV125" s="1"/>
      <c r="ZW125" s="1"/>
      <c r="ZX125" s="1"/>
      <c r="ZY125" s="1"/>
      <c r="ZZ125" s="1"/>
      <c r="AAA125" s="1"/>
      <c r="AAB125" s="1"/>
      <c r="AAC125" s="1"/>
      <c r="AAD125" s="1"/>
      <c r="AAE125" s="1"/>
      <c r="AAF125" s="1"/>
      <c r="AAG125" s="1"/>
      <c r="AAH125" s="1"/>
      <c r="AAI125" s="1"/>
      <c r="AAJ125" s="1"/>
      <c r="AAK125" s="1"/>
      <c r="AAL125" s="1"/>
      <c r="AAM125" s="1"/>
      <c r="AAN125" s="1"/>
      <c r="AAO125" s="1"/>
      <c r="AAP125" s="1"/>
      <c r="AAQ125" s="1"/>
      <c r="AAR125" s="1"/>
      <c r="AAS125" s="1"/>
      <c r="AAT125" s="1"/>
      <c r="AAU125" s="1"/>
      <c r="AAV125" s="1"/>
      <c r="AAW125" s="1"/>
      <c r="AAX125" s="1"/>
      <c r="AAY125" s="1"/>
      <c r="AAZ125" s="1"/>
      <c r="ABA125" s="1"/>
      <c r="ABB125" s="1"/>
      <c r="ABC125" s="1"/>
      <c r="ABD125" s="1"/>
      <c r="ABE125" s="1"/>
      <c r="ABF125" s="1"/>
      <c r="ABG125" s="1"/>
      <c r="ABH125" s="1"/>
      <c r="ABI125" s="1"/>
      <c r="ABJ125" s="1"/>
      <c r="ABK125" s="1"/>
      <c r="ABL125" s="1"/>
      <c r="ABM125" s="1"/>
      <c r="ABN125" s="1"/>
      <c r="ABO125" s="1"/>
      <c r="ABP125" s="1"/>
      <c r="ABQ125" s="1"/>
      <c r="ABR125" s="1"/>
      <c r="ABS125" s="1"/>
      <c r="ABT125" s="1"/>
      <c r="ABU125" s="1"/>
      <c r="ABV125" s="1"/>
      <c r="ABW125" s="1"/>
      <c r="ABX125" s="1"/>
      <c r="ABY125" s="1"/>
      <c r="ABZ125" s="1"/>
      <c r="ACA125" s="1"/>
      <c r="ACB125" s="1"/>
      <c r="ACC125" s="1"/>
      <c r="ACD125" s="1"/>
      <c r="ACE125" s="1"/>
      <c r="ACF125" s="1"/>
      <c r="ACG125" s="1"/>
      <c r="ACH125" s="1"/>
      <c r="ACI125" s="1"/>
      <c r="ACJ125" s="1"/>
      <c r="ACK125" s="1"/>
      <c r="ACL125" s="1"/>
      <c r="ACM125" s="1"/>
      <c r="ACN125" s="1"/>
      <c r="ACO125" s="1"/>
      <c r="ACP125" s="1"/>
      <c r="ACQ125" s="1"/>
      <c r="ACR125" s="1"/>
      <c r="ACS125" s="1"/>
      <c r="ACT125" s="1"/>
      <c r="ACU125" s="1"/>
      <c r="ACV125" s="1"/>
      <c r="ACW125" s="1"/>
      <c r="ACX125" s="1"/>
      <c r="ACY125" s="1"/>
      <c r="ACZ125" s="1"/>
      <c r="ADA125" s="1"/>
      <c r="ADB125" s="1"/>
      <c r="ADC125" s="1"/>
      <c r="ADD125" s="1"/>
      <c r="ADE125" s="1"/>
      <c r="ADF125" s="1"/>
      <c r="ADG125" s="1"/>
      <c r="ADH125" s="1"/>
      <c r="ADI125" s="1"/>
      <c r="ADJ125" s="1"/>
      <c r="ADK125" s="1"/>
      <c r="ADL125" s="1"/>
      <c r="ADM125" s="1"/>
      <c r="ADN125" s="1"/>
      <c r="ADO125" s="1"/>
      <c r="ADP125" s="1"/>
      <c r="ADQ125" s="1"/>
      <c r="ADR125" s="1"/>
      <c r="ADS125" s="1"/>
      <c r="ADT125" s="1"/>
      <c r="ADU125" s="1"/>
      <c r="ADV125" s="1"/>
      <c r="ADW125" s="1"/>
      <c r="ADX125" s="1"/>
      <c r="ADY125" s="1"/>
      <c r="ADZ125" s="1"/>
      <c r="AEA125" s="1"/>
      <c r="AEB125" s="1"/>
      <c r="AEC125" s="1"/>
      <c r="AED125" s="1"/>
      <c r="AEE125" s="1"/>
      <c r="AEF125" s="1"/>
      <c r="AEG125" s="1"/>
      <c r="AEH125" s="1"/>
      <c r="AEI125" s="1"/>
      <c r="AEJ125" s="1"/>
      <c r="AEK125" s="1"/>
      <c r="AEL125" s="1"/>
      <c r="AEM125" s="1"/>
      <c r="AEN125" s="1"/>
      <c r="AEO125" s="1"/>
      <c r="AEP125" s="1"/>
      <c r="AEQ125" s="1"/>
      <c r="AER125" s="1"/>
      <c r="AES125" s="1"/>
      <c r="AET125" s="1"/>
      <c r="AEU125" s="1"/>
      <c r="AEV125" s="1"/>
      <c r="AEW125" s="1"/>
      <c r="AEX125" s="1"/>
      <c r="AEY125" s="1"/>
      <c r="AEZ125" s="1"/>
      <c r="AFA125" s="1"/>
      <c r="AFB125" s="1"/>
      <c r="AFC125" s="1"/>
      <c r="AFD125" s="1"/>
      <c r="AFE125" s="1"/>
      <c r="AFF125" s="1"/>
      <c r="AFG125" s="1"/>
      <c r="AFH125" s="1"/>
      <c r="AFI125" s="1"/>
      <c r="AFJ125" s="1"/>
      <c r="AFK125" s="1"/>
      <c r="AFL125" s="1"/>
      <c r="AFM125" s="1"/>
      <c r="AFN125" s="1"/>
      <c r="AFO125" s="1"/>
      <c r="AFP125" s="1"/>
      <c r="AFQ125" s="1"/>
      <c r="AFR125" s="1"/>
      <c r="AFS125" s="1"/>
      <c r="AFT125" s="1"/>
      <c r="AFU125" s="1"/>
      <c r="AFV125" s="1"/>
      <c r="AFW125" s="1"/>
      <c r="AFX125" s="1"/>
      <c r="AFY125" s="1"/>
      <c r="AFZ125" s="1"/>
      <c r="AGA125" s="1"/>
      <c r="AGB125" s="1"/>
      <c r="AGC125" s="1"/>
      <c r="AGD125" s="1"/>
      <c r="AGE125" s="1"/>
      <c r="AGF125" s="1"/>
      <c r="AGG125" s="1"/>
      <c r="AGH125" s="1"/>
      <c r="AGI125" s="1"/>
      <c r="AGJ125" s="1"/>
      <c r="AGK125" s="1"/>
      <c r="AGL125" s="1"/>
      <c r="AGM125" s="1"/>
      <c r="AGN125" s="1"/>
      <c r="AGO125" s="1"/>
      <c r="AGP125" s="1"/>
      <c r="AGQ125" s="1"/>
      <c r="AGR125" s="1"/>
      <c r="AGS125" s="1"/>
      <c r="AGT125" s="1"/>
      <c r="AGU125" s="1"/>
      <c r="AGV125" s="1"/>
      <c r="AGW125" s="1"/>
      <c r="AGX125" s="1"/>
      <c r="AGY125" s="1"/>
      <c r="AGZ125" s="1"/>
      <c r="AHA125" s="1"/>
      <c r="AHB125" s="1"/>
      <c r="AHC125" s="1"/>
      <c r="AHD125" s="1"/>
      <c r="AHE125" s="1"/>
      <c r="AHF125" s="1"/>
      <c r="AHG125" s="1"/>
      <c r="AHH125" s="1"/>
      <c r="AHI125" s="1"/>
      <c r="AHJ125" s="1"/>
      <c r="AHK125" s="1"/>
      <c r="AHL125" s="1"/>
      <c r="AHM125" s="1"/>
      <c r="AHN125" s="1"/>
      <c r="AHO125" s="1"/>
      <c r="AHP125" s="1"/>
      <c r="AHQ125" s="1"/>
      <c r="AHR125" s="1"/>
      <c r="AHS125" s="1"/>
      <c r="AHT125" s="1"/>
      <c r="AHU125" s="1"/>
      <c r="AHV125" s="1"/>
      <c r="AHW125" s="1"/>
      <c r="AHX125" s="1"/>
      <c r="AHY125" s="1"/>
      <c r="AHZ125" s="1"/>
      <c r="AIA125" s="1"/>
      <c r="AIB125" s="1"/>
      <c r="AIC125" s="1"/>
      <c r="AID125" s="1"/>
      <c r="AIE125" s="1"/>
      <c r="AIF125" s="1"/>
      <c r="AIG125" s="1"/>
      <c r="AIH125" s="1"/>
      <c r="AII125" s="1"/>
      <c r="AIJ125" s="1"/>
      <c r="AIK125" s="1"/>
      <c r="AIL125" s="1"/>
      <c r="AIM125" s="1"/>
      <c r="AIN125" s="1"/>
      <c r="AIO125" s="1"/>
      <c r="AIP125" s="1"/>
      <c r="AIQ125" s="1"/>
      <c r="AIR125" s="1"/>
      <c r="AIS125" s="1"/>
      <c r="AIT125" s="1"/>
      <c r="AIU125" s="1"/>
      <c r="AIV125" s="1"/>
      <c r="AIW125" s="1"/>
      <c r="AIX125" s="1"/>
      <c r="AIY125" s="1"/>
      <c r="AIZ125" s="1"/>
      <c r="AJA125" s="1"/>
      <c r="AJB125" s="1"/>
      <c r="AJC125" s="1"/>
      <c r="AJD125" s="1"/>
      <c r="AJE125" s="1"/>
      <c r="AJF125" s="1"/>
      <c r="AJG125" s="1"/>
      <c r="AJH125" s="1"/>
      <c r="AJI125" s="1"/>
      <c r="AJJ125" s="1"/>
      <c r="AJK125" s="1"/>
      <c r="AJL125" s="1"/>
      <c r="AJM125" s="1"/>
      <c r="AJN125" s="1"/>
      <c r="AJO125" s="1"/>
      <c r="AJP125" s="1"/>
      <c r="AJQ125" s="1"/>
      <c r="AJR125" s="1"/>
      <c r="AJS125" s="1"/>
      <c r="AJT125" s="1"/>
      <c r="AJU125" s="1"/>
      <c r="AJV125" s="1"/>
      <c r="AJW125" s="1"/>
      <c r="AJX125" s="1"/>
      <c r="AJY125" s="1"/>
      <c r="AJZ125" s="1"/>
      <c r="AKA125" s="1"/>
      <c r="AKB125" s="1"/>
      <c r="AKC125" s="1"/>
      <c r="AKD125" s="1"/>
      <c r="AKE125" s="1"/>
      <c r="AKF125" s="1"/>
      <c r="AKG125" s="1"/>
      <c r="AKH125" s="1"/>
      <c r="AKI125" s="1"/>
      <c r="AKJ125" s="1"/>
      <c r="AKK125" s="1"/>
      <c r="AKL125" s="1"/>
      <c r="AKM125" s="1"/>
      <c r="AKN125" s="1"/>
      <c r="AKO125" s="1"/>
      <c r="AKP125" s="1"/>
      <c r="AKQ125" s="1"/>
      <c r="AKR125" s="1"/>
      <c r="AKS125" s="1"/>
      <c r="AKT125" s="1"/>
      <c r="AKU125" s="1"/>
      <c r="AKV125" s="1"/>
      <c r="AKW125" s="1"/>
      <c r="AKX125" s="1"/>
      <c r="AKY125" s="1"/>
      <c r="AKZ125" s="1"/>
      <c r="ALA125" s="1"/>
      <c r="ALB125" s="1"/>
      <c r="ALC125" s="1"/>
      <c r="ALD125" s="1"/>
      <c r="ALE125" s="1"/>
      <c r="ALF125" s="1"/>
      <c r="ALG125" s="1"/>
      <c r="ALH125" s="1"/>
      <c r="ALI125" s="1"/>
      <c r="ALJ125" s="1"/>
      <c r="ALK125" s="1"/>
      <c r="ALL125" s="1"/>
      <c r="ALM125" s="1"/>
      <c r="ALN125" s="1"/>
      <c r="ALO125" s="1"/>
      <c r="ALP125" s="1"/>
      <c r="ALQ125" s="1"/>
      <c r="ALR125" s="1"/>
      <c r="ALS125" s="1"/>
      <c r="ALT125" s="1"/>
      <c r="ALU125" s="1"/>
      <c r="ALV125" s="1"/>
      <c r="ALW125" s="1"/>
      <c r="ALX125" s="1"/>
      <c r="ALY125" s="1"/>
      <c r="ALZ125" s="1"/>
      <c r="AMA125" s="1"/>
      <c r="AMB125" s="1"/>
      <c r="AMC125" s="1"/>
      <c r="AMD125" s="1"/>
      <c r="AME125" s="1"/>
      <c r="AMF125" s="1"/>
      <c r="AMG125" s="1"/>
      <c r="AMH125" s="1"/>
      <c r="AMI125" s="1"/>
      <c r="AMJ125" s="1"/>
      <c r="AMK125" s="1"/>
      <c r="AML125" s="1"/>
      <c r="AMM125" s="1"/>
      <c r="AMN125" s="1"/>
      <c r="AMO125" s="1"/>
    </row>
    <row r="126" spans="1:1029" s="12" customFormat="1" x14ac:dyDescent="0.2">
      <c r="A126" s="9" t="str">
        <f t="shared" ref="A126" si="589">CONCATENATE(B126,"_",C126)</f>
        <v>agtr2_human_5XJM</v>
      </c>
      <c r="B126" s="9" t="s">
        <v>159</v>
      </c>
      <c r="C126" s="9" t="s">
        <v>1529</v>
      </c>
      <c r="D126" s="9" t="str">
        <f>IFERROR(MID(VLOOKUP($B126,Seqs!$A:$B,2,0),E126,1),"")</f>
        <v>A</v>
      </c>
      <c r="E126" s="9">
        <v>46</v>
      </c>
      <c r="F126" s="9" t="str">
        <f>IFERROR(MID(VLOOKUP($B126,Seqs!$A:$B,2,0),G126,1),"")</f>
        <v>K</v>
      </c>
      <c r="G126" s="9">
        <v>73</v>
      </c>
      <c r="H126" s="9" t="str">
        <f>IFERROR(MID(VLOOKUP($B126,Seqs!$A:$B,2,0),I126,1),"")</f>
        <v/>
      </c>
      <c r="I126" s="109" t="s">
        <v>23</v>
      </c>
      <c r="J126" s="9" t="str">
        <f>IFERROR(MID(VLOOKUP($B126,Seqs!$A:$B,2,0),K126,1),"")</f>
        <v/>
      </c>
      <c r="K126" s="109" t="s">
        <v>23</v>
      </c>
      <c r="L126" s="9" t="str">
        <f>IFERROR(MID(VLOOKUP($B126,Seqs!$A:$B,2,0),M126,1),"")</f>
        <v>V</v>
      </c>
      <c r="M126" s="9">
        <v>78</v>
      </c>
      <c r="N126" s="9" t="str">
        <f>IFERROR(MID(VLOOKUP($B126,Seqs!$A:$B,2,0),O126,1),"")</f>
        <v>Y</v>
      </c>
      <c r="O126" s="9">
        <v>106</v>
      </c>
      <c r="P126" s="9" t="str">
        <f>IFERROR(MID(VLOOKUP($B126,Seqs!$A:$B,2,0),Q126,1),"")</f>
        <v>R</v>
      </c>
      <c r="Q126" s="9">
        <v>107</v>
      </c>
      <c r="R126" s="9" t="str">
        <f>IFERROR(MID(VLOOKUP($B126,Seqs!$A:$B,2,0),S126,1),"")</f>
        <v>F</v>
      </c>
      <c r="S126" s="9">
        <v>112</v>
      </c>
      <c r="T126" s="9" t="str">
        <f>IFERROR(MID(VLOOKUP($B126,Seqs!$A:$B,2,0),U126,1),"")</f>
        <v>G</v>
      </c>
      <c r="U126" s="9">
        <v>113</v>
      </c>
      <c r="V126" s="9" t="str">
        <f>IFERROR(MID(VLOOKUP($B126,Seqs!$A:$B,2,0),W126,1),"")</f>
        <v>Y</v>
      </c>
      <c r="W126" s="9">
        <v>148</v>
      </c>
      <c r="X126" s="9" t="str">
        <f>IFERROR(MID(VLOOKUP($B126,Seqs!$A:$B,2,0),Y126,1),"")</f>
        <v/>
      </c>
      <c r="Y126" s="9" t="s">
        <v>23</v>
      </c>
      <c r="Z126" s="9" t="str">
        <f>IFERROR(MID(VLOOKUP($B126,Seqs!$A:$B,2,0),AA126,1),"")</f>
        <v/>
      </c>
      <c r="AA126" s="9" t="s">
        <v>23</v>
      </c>
      <c r="AB126" s="9" t="str">
        <f>IFERROR(MID(VLOOKUP($B126,Seqs!$A:$B,2,0),AC126,1),"")</f>
        <v>R</v>
      </c>
      <c r="AC126" s="9">
        <v>155</v>
      </c>
      <c r="AD126" s="9" t="str">
        <f>IFERROR(MID(VLOOKUP($B126,Seqs!$A:$B,2,0),AE126,1),"")</f>
        <v>F</v>
      </c>
      <c r="AE126" s="9">
        <v>181</v>
      </c>
      <c r="AF126" s="9" t="str">
        <f>IFERROR(MID(VLOOKUP($B126,Seqs!$A:$B,2,0),AG126,1),"")</f>
        <v>C</v>
      </c>
      <c r="AG126" s="9">
        <v>195</v>
      </c>
      <c r="AH126" s="9" t="str">
        <f>IFERROR(MID(VLOOKUP($B126,Seqs!$A:$B,2,0),AI126,1),"")</f>
        <v>M</v>
      </c>
      <c r="AI126" s="9">
        <v>197</v>
      </c>
      <c r="AJ126" s="9" t="str">
        <f>IFERROR(MID(VLOOKUP($B126,Seqs!$A:$B,2,0),AK126,1),"")</f>
        <v>K</v>
      </c>
      <c r="AK126" s="9">
        <v>203</v>
      </c>
      <c r="AL126" s="9" t="str">
        <f>IFERROR(MID(VLOOKUP($B126,Seqs!$A:$B,2,0),AM126,1),"")</f>
        <v>N</v>
      </c>
      <c r="AM126" s="9">
        <v>242</v>
      </c>
      <c r="AN126" s="9" t="str">
        <f>IFERROR(MID(VLOOKUP($B126,Seqs!$A:$B,2,0),AO126,1),"")</f>
        <v>N</v>
      </c>
      <c r="AO126" s="9">
        <v>247</v>
      </c>
      <c r="AP126" s="9" t="str">
        <f>IFERROR(MID(VLOOKUP($B126,Seqs!$A:$B,2,0),AQ126,1),"")</f>
        <v>G</v>
      </c>
      <c r="AQ126" s="9">
        <v>285</v>
      </c>
      <c r="AR126" s="9" t="str">
        <f>IFERROR(MID(VLOOKUP($B126,Seqs!$A:$B,2,0),AS126,1),"")</f>
        <v>S</v>
      </c>
      <c r="AS126" s="9">
        <v>289</v>
      </c>
      <c r="AT126" s="9" t="str">
        <f>IFERROR(MID(VLOOKUP($B126,Seqs!$A:$B,2,0),AU126,1),"")</f>
        <v>F</v>
      </c>
      <c r="AU126" s="9">
        <v>320</v>
      </c>
      <c r="AV126" s="9" t="str">
        <f>IFERROR(MID(VLOOKUP($B126,Seqs!$A:$B,2,0),AW126,1),"")</f>
        <v/>
      </c>
      <c r="AW126" s="9" t="s">
        <v>23</v>
      </c>
      <c r="AX126" s="9" t="str">
        <f>IFERROR(MID(VLOOKUP($B126,Seqs!$A:$B,2,0),AY126,1),"")</f>
        <v/>
      </c>
      <c r="AY126" s="9" t="s">
        <v>23</v>
      </c>
      <c r="AZ126" s="110" t="str">
        <f>VLOOKUP(B126,Classification!A:D,2,0)</f>
        <v>A</v>
      </c>
      <c r="BA126" s="98" t="str">
        <f>VLOOKUP(B126,Classification!A:D,4,0)</f>
        <v>Angiotensin</v>
      </c>
      <c r="BB126" s="36" t="b">
        <f t="shared" ref="BB126" si="590">AND(E126&lt;G126,OR(G126&lt;I126,I126="-"),OR(I126&lt;K126,I126="-"),OR(K126&lt;M126,K126="-"),M126&lt;O126,OR(O126&lt;Q126,Q126="-"),OR(Q126&lt;S126,Q126="-"),OR(S126&lt;U126,S126="-"),U126&lt;W126,OR(W126&lt;Y126,Y126="-"),OR(Y126&lt;AA126,Y126="-"),OR(AA126&lt;AC126,AA126="-"),AC126&lt;AE126,OR(AE126&lt;AG126,AG126="-"),OR(AG126&lt;AI126,AG126="-"),OR(AI126&lt;AK126,AI126="-"),AK126&lt;AM126,AM126&lt;AO126,AO126&lt;AQ126,AQ126&lt;AS126,AS126&lt;AU126,OR(AU126&lt;AW126,AW126="-"),OR(AW126&lt;AY126,AW126="-"))</f>
        <v>1</v>
      </c>
      <c r="BC126" s="109">
        <f t="shared" ref="BC126" si="591">_xlfn.AGGREGATE(9,6,CH126:CS126)-_xlfn.AGGREGATE(9,6,BV126:CG126)+12</f>
        <v>243</v>
      </c>
      <c r="BD126" s="40" t="s">
        <v>23</v>
      </c>
      <c r="BE126" s="9" t="s">
        <v>1297</v>
      </c>
      <c r="BF126" s="120">
        <v>3.2</v>
      </c>
      <c r="BG126" s="51" t="s">
        <v>1</v>
      </c>
      <c r="BH126" s="51" t="s">
        <v>1</v>
      </c>
      <c r="BJ126" s="111" t="s">
        <v>1293</v>
      </c>
      <c r="BK126" s="112" t="s">
        <v>1293</v>
      </c>
      <c r="BL126" s="112" t="s">
        <v>1293</v>
      </c>
      <c r="BM126" s="112" t="s">
        <v>1293</v>
      </c>
      <c r="BN126" s="112" t="s">
        <v>1293</v>
      </c>
      <c r="BO126" s="112" t="s">
        <v>1293</v>
      </c>
      <c r="BP126" s="112" t="s">
        <v>1293</v>
      </c>
      <c r="BQ126" s="112" t="s">
        <v>1293</v>
      </c>
      <c r="BR126" s="112" t="s">
        <v>1293</v>
      </c>
      <c r="BS126" s="112" t="s">
        <v>1293</v>
      </c>
      <c r="BT126" s="112" t="s">
        <v>1293</v>
      </c>
      <c r="BU126" s="112" t="s">
        <v>1293</v>
      </c>
      <c r="BV126" s="111">
        <f t="shared" ref="BV126" si="592">E126</f>
        <v>46</v>
      </c>
      <c r="BW126" s="113" t="str">
        <f t="shared" ref="BW126" si="593">I126</f>
        <v>-</v>
      </c>
      <c r="BX126" s="114">
        <f t="shared" ref="BX126" si="594">M126</f>
        <v>78</v>
      </c>
      <c r="BY126" s="113">
        <f t="shared" ref="BY126" si="595">Q126</f>
        <v>107</v>
      </c>
      <c r="BZ126" s="114">
        <f t="shared" ref="BZ126" si="596">U126</f>
        <v>113</v>
      </c>
      <c r="CA126" s="113" t="str">
        <f t="shared" ref="CA126" si="597">Y126</f>
        <v>-</v>
      </c>
      <c r="CB126" s="114">
        <f t="shared" ref="CB126" si="598">AC126</f>
        <v>155</v>
      </c>
      <c r="CC126" s="113">
        <f t="shared" ref="CC126" si="599">AG126</f>
        <v>195</v>
      </c>
      <c r="CD126" s="114">
        <f t="shared" ref="CD126" si="600">AK126</f>
        <v>203</v>
      </c>
      <c r="CE126" s="113">
        <f t="shared" ref="CE126" si="601">AO126</f>
        <v>247</v>
      </c>
      <c r="CF126" s="114">
        <f t="shared" ref="CF126" si="602">AS126</f>
        <v>289</v>
      </c>
      <c r="CG126" s="113" t="str">
        <f t="shared" ref="CG126" si="603">AW126</f>
        <v>-</v>
      </c>
      <c r="CH126" s="111">
        <f t="shared" ref="CH126" si="604">G126</f>
        <v>73</v>
      </c>
      <c r="CI126" s="113" t="str">
        <f t="shared" ref="CI126" si="605">K126</f>
        <v>-</v>
      </c>
      <c r="CJ126" s="114">
        <f t="shared" ref="CJ126" si="606">O126</f>
        <v>106</v>
      </c>
      <c r="CK126" s="114">
        <f t="shared" ref="CK126" si="607">S126</f>
        <v>112</v>
      </c>
      <c r="CL126" s="114">
        <f t="shared" ref="CL126" si="608">W126</f>
        <v>148</v>
      </c>
      <c r="CM126" s="114" t="str">
        <f t="shared" ref="CM126" si="609">AA126</f>
        <v>-</v>
      </c>
      <c r="CN126" s="114">
        <f t="shared" ref="CN126" si="610">AE126</f>
        <v>181</v>
      </c>
      <c r="CO126" s="114">
        <f t="shared" ref="CO126" si="611">AI126</f>
        <v>197</v>
      </c>
      <c r="CP126" s="114">
        <f t="shared" ref="CP126" si="612">AM126</f>
        <v>242</v>
      </c>
      <c r="CQ126" s="114">
        <f t="shared" ref="CQ126" si="613">AQ126</f>
        <v>285</v>
      </c>
      <c r="CR126" s="114">
        <f t="shared" ref="CR126" si="614">AU126</f>
        <v>320</v>
      </c>
      <c r="CS126" s="114" t="str">
        <f t="shared" ref="CS126" si="615">AY126</f>
        <v>-</v>
      </c>
      <c r="CT126" s="109" t="e">
        <f t="shared" ref="CT126" si="616">M126-K126</f>
        <v>#VALUE!</v>
      </c>
    </row>
    <row r="127" spans="1:1029" x14ac:dyDescent="0.2">
      <c r="A127" s="3" t="str">
        <f t="shared" si="561"/>
        <v>apj_human__wt</v>
      </c>
      <c r="B127" s="3" t="s">
        <v>160</v>
      </c>
      <c r="C127" s="3" t="s">
        <v>100</v>
      </c>
      <c r="D127" s="3" t="str">
        <f>IFERROR(MID(VLOOKUP($B127,Seqs!$A:$B,2,0),E127,1),"")</f>
        <v>A</v>
      </c>
      <c r="E127" s="3">
        <v>29</v>
      </c>
      <c r="F127" s="3" t="str">
        <f>IFERROR(MID(VLOOKUP($B127,Seqs!$A:$B,2,0),G127,1),"")</f>
        <v>S</v>
      </c>
      <c r="G127" s="3">
        <v>56</v>
      </c>
      <c r="H127" s="3" t="str">
        <f>IFERROR(MID(VLOOKUP($B127,Seqs!$A:$B,2,0),I127,1),"")</f>
        <v>S</v>
      </c>
      <c r="I127" s="23">
        <v>57</v>
      </c>
      <c r="J127" s="3" t="str">
        <f>IFERROR(MID(VLOOKUP($B127,Seqs!$A:$B,2,0),K127,1),"")</f>
        <v>R</v>
      </c>
      <c r="K127" s="23">
        <v>61</v>
      </c>
      <c r="L127" s="3" t="str">
        <f>IFERROR(MID(VLOOKUP($B127,Seqs!$A:$B,2,0),M127,1),"")</f>
        <v>R</v>
      </c>
      <c r="M127" s="3">
        <v>62</v>
      </c>
      <c r="N127" s="3" t="str">
        <f>IFERROR(MID(VLOOKUP($B127,Seqs!$A:$B,2,0),O127,1),"")</f>
        <v>D</v>
      </c>
      <c r="O127" s="3">
        <v>92</v>
      </c>
      <c r="P127" s="3" t="str">
        <f>IFERROR(MID(VLOOKUP($B127,Seqs!$A:$B,2,0),Q127,1),"")</f>
        <v>D</v>
      </c>
      <c r="Q127" s="3">
        <v>94</v>
      </c>
      <c r="R127" s="3" t="str">
        <f>IFERROR(MID(VLOOKUP($B127,Seqs!$A:$B,2,0),S127,1),"")</f>
        <v>F</v>
      </c>
      <c r="S127" s="3">
        <v>97</v>
      </c>
      <c r="T127" s="3" t="str">
        <f>IFERROR(MID(VLOOKUP($B127,Seqs!$A:$B,2,0),U127,1),"")</f>
        <v>G</v>
      </c>
      <c r="U127" s="3">
        <v>98</v>
      </c>
      <c r="V127" s="3" t="str">
        <f>IFERROR(MID(VLOOKUP($B127,Seqs!$A:$B,2,0),W127,1),"")</f>
        <v>R</v>
      </c>
      <c r="W127" s="3">
        <v>133</v>
      </c>
      <c r="X127" s="3" t="str">
        <f>IFERROR(MID(VLOOKUP($B127,Seqs!$A:$B,2,0),Y127,1),"")</f>
        <v>P</v>
      </c>
      <c r="Y127" s="3">
        <v>134</v>
      </c>
      <c r="Z127" s="3" t="str">
        <f>IFERROR(MID(VLOOKUP($B127,Seqs!$A:$B,2,0),AA127,1),"")</f>
        <v>R</v>
      </c>
      <c r="AA127" s="3">
        <v>141</v>
      </c>
      <c r="AB127" s="3" t="str">
        <f>IFERROR(MID(VLOOKUP($B127,Seqs!$A:$B,2,0),AC127,1),"")</f>
        <v>L</v>
      </c>
      <c r="AC127" s="3">
        <v>142</v>
      </c>
      <c r="AD127" s="3" t="str">
        <f>IFERROR(MID(VLOOKUP($B127,Seqs!$A:$B,2,0),AE127,1),"")</f>
        <v>R</v>
      </c>
      <c r="AE127" s="3">
        <v>168</v>
      </c>
      <c r="AF127" s="3" t="str">
        <f>IFERROR(MID(VLOOKUP($B127,Seqs!$A:$B,2,0),AG127,1),"")</f>
        <v>C</v>
      </c>
      <c r="AG127" s="3">
        <v>181</v>
      </c>
      <c r="AH127" s="3" t="str">
        <f>IFERROR(MID(VLOOKUP($B127,Seqs!$A:$B,2,0),AI127,1),"")</f>
        <v>M</v>
      </c>
      <c r="AI127" s="3">
        <v>183</v>
      </c>
      <c r="AJ127" s="3" t="str">
        <f>IFERROR(MID(VLOOKUP($B127,Seqs!$A:$B,2,0),AK127,1),"")</f>
        <v>S</v>
      </c>
      <c r="AK127" s="3">
        <v>193</v>
      </c>
      <c r="AL127" s="3" t="str">
        <f>IFERROR(MID(VLOOKUP($B127,Seqs!$A:$B,2,0),AM127,1),"")</f>
        <v>E</v>
      </c>
      <c r="AM127" s="3">
        <v>235</v>
      </c>
      <c r="AN127" s="3" t="str">
        <f>IFERROR(MID(VLOOKUP($B127,Seqs!$A:$B,2,0),AO127,1),"")</f>
        <v>K</v>
      </c>
      <c r="AO127" s="3">
        <v>242</v>
      </c>
      <c r="AP127" s="3" t="str">
        <f>IFERROR(MID(VLOOKUP($B127,Seqs!$A:$B,2,0),AQ127,1),"")</f>
        <v>L</v>
      </c>
      <c r="AQ127" s="3">
        <v>276</v>
      </c>
      <c r="AR127" s="3" t="str">
        <f>IFERROR(MID(VLOOKUP($B127,Seqs!$A:$B,2,0),AS127,1),"")</f>
        <v>P</v>
      </c>
      <c r="AS127" s="3">
        <v>280</v>
      </c>
      <c r="AT127" s="3" t="str">
        <f>IFERROR(MID(VLOOKUP($B127,Seqs!$A:$B,2,0),AU127,1),"")</f>
        <v>F</v>
      </c>
      <c r="AU127" s="3">
        <v>312</v>
      </c>
      <c r="AV127" s="3" t="str">
        <f>IFERROR(MID(VLOOKUP($B127,Seqs!$A:$B,2,0),AW127,1),"")</f>
        <v>D</v>
      </c>
      <c r="AW127" s="3">
        <v>313</v>
      </c>
      <c r="AX127" s="3" t="str">
        <f>IFERROR(MID(VLOOKUP($B127,Seqs!$A:$B,2,0),AY127,1),"")</f>
        <v>G</v>
      </c>
      <c r="AY127" s="3">
        <v>327</v>
      </c>
      <c r="AZ127" s="77" t="str">
        <f>VLOOKUP(B127,Classification!A:D,2,0)</f>
        <v>A</v>
      </c>
      <c r="BA127" s="94" t="str">
        <f>VLOOKUP(B127,Classification!A:D,4,0)</f>
        <v>Apelin</v>
      </c>
      <c r="BB127" s="27" t="b">
        <f t="shared" si="562"/>
        <v>1</v>
      </c>
      <c r="BC127" s="23">
        <f t="shared" si="563"/>
        <v>268</v>
      </c>
      <c r="BD127" s="2"/>
      <c r="BE127" s="3" t="s">
        <v>23</v>
      </c>
      <c r="BF127" s="119" t="s">
        <v>23</v>
      </c>
      <c r="BG127" s="49" t="s">
        <v>1287</v>
      </c>
      <c r="BH127" s="49" t="s">
        <v>1287</v>
      </c>
      <c r="BI127" s="1"/>
      <c r="BJ127" s="70" t="s">
        <v>1293</v>
      </c>
      <c r="BK127" s="57" t="s">
        <v>1293</v>
      </c>
      <c r="BL127" s="57" t="s">
        <v>1293</v>
      </c>
      <c r="BM127" s="57" t="s">
        <v>1293</v>
      </c>
      <c r="BN127" s="57" t="s">
        <v>1293</v>
      </c>
      <c r="BO127" s="57" t="s">
        <v>1293</v>
      </c>
      <c r="BP127" s="57" t="s">
        <v>1293</v>
      </c>
      <c r="BQ127" s="57" t="s">
        <v>1293</v>
      </c>
      <c r="BR127" s="57" t="s">
        <v>1293</v>
      </c>
      <c r="BS127" s="57" t="s">
        <v>1293</v>
      </c>
      <c r="BT127" s="57" t="s">
        <v>1293</v>
      </c>
      <c r="BU127" s="57" t="s">
        <v>1293</v>
      </c>
      <c r="BV127" s="70">
        <f t="shared" si="564"/>
        <v>29</v>
      </c>
      <c r="BW127" s="71">
        <f t="shared" si="565"/>
        <v>57</v>
      </c>
      <c r="BX127" s="72">
        <f t="shared" si="566"/>
        <v>62</v>
      </c>
      <c r="BY127" s="71">
        <f t="shared" si="567"/>
        <v>94</v>
      </c>
      <c r="BZ127" s="72">
        <f t="shared" si="568"/>
        <v>98</v>
      </c>
      <c r="CA127" s="71">
        <f t="shared" si="569"/>
        <v>134</v>
      </c>
      <c r="CB127" s="72">
        <f t="shared" si="570"/>
        <v>142</v>
      </c>
      <c r="CC127" s="71">
        <f t="shared" si="571"/>
        <v>181</v>
      </c>
      <c r="CD127" s="72">
        <f t="shared" si="572"/>
        <v>193</v>
      </c>
      <c r="CE127" s="71">
        <f t="shared" si="573"/>
        <v>242</v>
      </c>
      <c r="CF127" s="72">
        <f t="shared" si="574"/>
        <v>280</v>
      </c>
      <c r="CG127" s="71">
        <f t="shared" si="575"/>
        <v>313</v>
      </c>
      <c r="CH127" s="70">
        <f t="shared" si="576"/>
        <v>56</v>
      </c>
      <c r="CI127" s="71">
        <f t="shared" si="577"/>
        <v>61</v>
      </c>
      <c r="CJ127" s="72">
        <f t="shared" si="578"/>
        <v>92</v>
      </c>
      <c r="CK127" s="72">
        <f t="shared" si="579"/>
        <v>97</v>
      </c>
      <c r="CL127" s="72">
        <f t="shared" si="580"/>
        <v>133</v>
      </c>
      <c r="CM127" s="72">
        <f t="shared" si="581"/>
        <v>141</v>
      </c>
      <c r="CN127" s="72">
        <f t="shared" si="582"/>
        <v>168</v>
      </c>
      <c r="CO127" s="72">
        <f t="shared" si="583"/>
        <v>183</v>
      </c>
      <c r="CP127" s="72">
        <f t="shared" si="584"/>
        <v>235</v>
      </c>
      <c r="CQ127" s="72">
        <f t="shared" si="585"/>
        <v>276</v>
      </c>
      <c r="CR127" s="72">
        <f t="shared" si="586"/>
        <v>312</v>
      </c>
      <c r="CS127" s="72">
        <f t="shared" si="587"/>
        <v>327</v>
      </c>
      <c r="CT127" s="23">
        <f t="shared" si="588"/>
        <v>1</v>
      </c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  <c r="OK127" s="1"/>
      <c r="OL127" s="1"/>
      <c r="OM127" s="1"/>
      <c r="ON127" s="1"/>
      <c r="OO127" s="1"/>
      <c r="OP127" s="1"/>
      <c r="OQ127" s="1"/>
      <c r="OR127" s="1"/>
      <c r="OS127" s="1"/>
      <c r="OT127" s="1"/>
      <c r="OU127" s="1"/>
      <c r="OV127" s="1"/>
      <c r="OW127" s="1"/>
      <c r="OX127" s="1"/>
      <c r="OY127" s="1"/>
      <c r="OZ127" s="1"/>
      <c r="PA127" s="1"/>
      <c r="PB127" s="1"/>
      <c r="PC127" s="1"/>
      <c r="PD127" s="1"/>
      <c r="PE127" s="1"/>
      <c r="PF127" s="1"/>
      <c r="PG127" s="1"/>
      <c r="PH127" s="1"/>
      <c r="PI127" s="1"/>
      <c r="PJ127" s="1"/>
      <c r="PK127" s="1"/>
      <c r="PL127" s="1"/>
      <c r="PM127" s="1"/>
      <c r="PN127" s="1"/>
      <c r="PO127" s="1"/>
      <c r="PP127" s="1"/>
      <c r="PQ127" s="1"/>
      <c r="PR127" s="1"/>
      <c r="PS127" s="1"/>
      <c r="PT127" s="1"/>
      <c r="PU127" s="1"/>
      <c r="PV127" s="1"/>
      <c r="PW127" s="1"/>
      <c r="PX127" s="1"/>
      <c r="PY127" s="1"/>
      <c r="PZ127" s="1"/>
      <c r="QA127" s="1"/>
      <c r="QB127" s="1"/>
      <c r="QC127" s="1"/>
      <c r="QD127" s="1"/>
      <c r="QE127" s="1"/>
      <c r="QF127" s="1"/>
      <c r="QG127" s="1"/>
      <c r="QH127" s="1"/>
      <c r="QI127" s="1"/>
      <c r="QJ127" s="1"/>
      <c r="QK127" s="1"/>
      <c r="QL127" s="1"/>
      <c r="QM127" s="1"/>
      <c r="QN127" s="1"/>
      <c r="QO127" s="1"/>
      <c r="QP127" s="1"/>
      <c r="QQ127" s="1"/>
      <c r="QR127" s="1"/>
      <c r="QS127" s="1"/>
      <c r="QT127" s="1"/>
      <c r="QU127" s="1"/>
      <c r="QV127" s="1"/>
      <c r="QW127" s="1"/>
      <c r="QX127" s="1"/>
      <c r="QY127" s="1"/>
      <c r="QZ127" s="1"/>
      <c r="RA127" s="1"/>
      <c r="RB127" s="1"/>
      <c r="RC127" s="1"/>
      <c r="RD127" s="1"/>
      <c r="RE127" s="1"/>
      <c r="RF127" s="1"/>
      <c r="RG127" s="1"/>
      <c r="RH127" s="1"/>
      <c r="RI127" s="1"/>
      <c r="RJ127" s="1"/>
      <c r="RK127" s="1"/>
      <c r="RL127" s="1"/>
      <c r="RM127" s="1"/>
      <c r="RN127" s="1"/>
      <c r="RO127" s="1"/>
      <c r="RP127" s="1"/>
      <c r="RQ127" s="1"/>
      <c r="RR127" s="1"/>
      <c r="RS127" s="1"/>
      <c r="RT127" s="1"/>
      <c r="RU127" s="1"/>
      <c r="RV127" s="1"/>
      <c r="RW127" s="1"/>
      <c r="RX127" s="1"/>
      <c r="RY127" s="1"/>
      <c r="RZ127" s="1"/>
      <c r="SA127" s="1"/>
      <c r="SB127" s="1"/>
      <c r="SC127" s="1"/>
      <c r="SD127" s="1"/>
      <c r="SE127" s="1"/>
      <c r="SF127" s="1"/>
      <c r="SG127" s="1"/>
      <c r="SH127" s="1"/>
      <c r="SI127" s="1"/>
      <c r="SJ127" s="1"/>
      <c r="SK127" s="1"/>
      <c r="SL127" s="1"/>
      <c r="SM127" s="1"/>
      <c r="SN127" s="1"/>
      <c r="SO127" s="1"/>
      <c r="SP127" s="1"/>
      <c r="SQ127" s="1"/>
      <c r="SR127" s="1"/>
      <c r="SS127" s="1"/>
      <c r="ST127" s="1"/>
      <c r="SU127" s="1"/>
      <c r="SV127" s="1"/>
      <c r="SW127" s="1"/>
      <c r="SX127" s="1"/>
      <c r="SY127" s="1"/>
      <c r="SZ127" s="1"/>
      <c r="TA127" s="1"/>
      <c r="TB127" s="1"/>
      <c r="TC127" s="1"/>
      <c r="TD127" s="1"/>
      <c r="TE127" s="1"/>
      <c r="TF127" s="1"/>
      <c r="TG127" s="1"/>
      <c r="TH127" s="1"/>
      <c r="TI127" s="1"/>
      <c r="TJ127" s="1"/>
      <c r="TK127" s="1"/>
      <c r="TL127" s="1"/>
      <c r="TM127" s="1"/>
      <c r="TN127" s="1"/>
      <c r="TO127" s="1"/>
      <c r="TP127" s="1"/>
      <c r="TQ127" s="1"/>
      <c r="TR127" s="1"/>
      <c r="TS127" s="1"/>
      <c r="TT127" s="1"/>
      <c r="TU127" s="1"/>
      <c r="TV127" s="1"/>
      <c r="TW127" s="1"/>
      <c r="TX127" s="1"/>
      <c r="TY127" s="1"/>
      <c r="TZ127" s="1"/>
      <c r="UA127" s="1"/>
      <c r="UB127" s="1"/>
      <c r="UC127" s="1"/>
      <c r="UD127" s="1"/>
      <c r="UE127" s="1"/>
      <c r="UF127" s="1"/>
      <c r="UG127" s="1"/>
      <c r="UH127" s="1"/>
      <c r="UI127" s="1"/>
      <c r="UJ127" s="1"/>
      <c r="UK127" s="1"/>
      <c r="UL127" s="1"/>
      <c r="UM127" s="1"/>
      <c r="UN127" s="1"/>
      <c r="UO127" s="1"/>
      <c r="UP127" s="1"/>
      <c r="UQ127" s="1"/>
      <c r="UR127" s="1"/>
      <c r="US127" s="1"/>
      <c r="UT127" s="1"/>
      <c r="UU127" s="1"/>
      <c r="UV127" s="1"/>
      <c r="UW127" s="1"/>
      <c r="UX127" s="1"/>
      <c r="UY127" s="1"/>
      <c r="UZ127" s="1"/>
      <c r="VA127" s="1"/>
      <c r="VB127" s="1"/>
      <c r="VC127" s="1"/>
      <c r="VD127" s="1"/>
      <c r="VE127" s="1"/>
      <c r="VF127" s="1"/>
      <c r="VG127" s="1"/>
      <c r="VH127" s="1"/>
      <c r="VI127" s="1"/>
      <c r="VJ127" s="1"/>
      <c r="VK127" s="1"/>
      <c r="VL127" s="1"/>
      <c r="VM127" s="1"/>
      <c r="VN127" s="1"/>
      <c r="VO127" s="1"/>
      <c r="VP127" s="1"/>
      <c r="VQ127" s="1"/>
      <c r="VR127" s="1"/>
      <c r="VS127" s="1"/>
      <c r="VT127" s="1"/>
      <c r="VU127" s="1"/>
      <c r="VV127" s="1"/>
      <c r="VW127" s="1"/>
      <c r="VX127" s="1"/>
      <c r="VY127" s="1"/>
      <c r="VZ127" s="1"/>
      <c r="WA127" s="1"/>
      <c r="WB127" s="1"/>
      <c r="WC127" s="1"/>
      <c r="WD127" s="1"/>
      <c r="WE127" s="1"/>
      <c r="WF127" s="1"/>
      <c r="WG127" s="1"/>
      <c r="WH127" s="1"/>
      <c r="WI127" s="1"/>
      <c r="WJ127" s="1"/>
      <c r="WK127" s="1"/>
      <c r="WL127" s="1"/>
      <c r="WM127" s="1"/>
      <c r="WN127" s="1"/>
      <c r="WO127" s="1"/>
      <c r="WP127" s="1"/>
      <c r="WQ127" s="1"/>
      <c r="WR127" s="1"/>
      <c r="WS127" s="1"/>
      <c r="WT127" s="1"/>
      <c r="WU127" s="1"/>
      <c r="WV127" s="1"/>
      <c r="WW127" s="1"/>
      <c r="WX127" s="1"/>
      <c r="WY127" s="1"/>
      <c r="WZ127" s="1"/>
      <c r="XA127" s="1"/>
      <c r="XB127" s="1"/>
      <c r="XC127" s="1"/>
      <c r="XD127" s="1"/>
      <c r="XE127" s="1"/>
      <c r="XF127" s="1"/>
      <c r="XG127" s="1"/>
      <c r="XH127" s="1"/>
      <c r="XI127" s="1"/>
      <c r="XJ127" s="1"/>
      <c r="XK127" s="1"/>
      <c r="XL127" s="1"/>
      <c r="XM127" s="1"/>
      <c r="XN127" s="1"/>
      <c r="XO127" s="1"/>
      <c r="XP127" s="1"/>
      <c r="XQ127" s="1"/>
      <c r="XR127" s="1"/>
      <c r="XS127" s="1"/>
      <c r="XT127" s="1"/>
      <c r="XU127" s="1"/>
      <c r="XV127" s="1"/>
      <c r="XW127" s="1"/>
      <c r="XX127" s="1"/>
      <c r="XY127" s="1"/>
      <c r="XZ127" s="1"/>
      <c r="YA127" s="1"/>
      <c r="YB127" s="1"/>
      <c r="YC127" s="1"/>
      <c r="YD127" s="1"/>
      <c r="YE127" s="1"/>
      <c r="YF127" s="1"/>
      <c r="YG127" s="1"/>
      <c r="YH127" s="1"/>
      <c r="YI127" s="1"/>
      <c r="YJ127" s="1"/>
      <c r="YK127" s="1"/>
      <c r="YL127" s="1"/>
      <c r="YM127" s="1"/>
      <c r="YN127" s="1"/>
      <c r="YO127" s="1"/>
      <c r="YP127" s="1"/>
      <c r="YQ127" s="1"/>
      <c r="YR127" s="1"/>
      <c r="YS127" s="1"/>
      <c r="YT127" s="1"/>
      <c r="YU127" s="1"/>
      <c r="YV127" s="1"/>
      <c r="YW127" s="1"/>
      <c r="YX127" s="1"/>
      <c r="YY127" s="1"/>
      <c r="YZ127" s="1"/>
      <c r="ZA127" s="1"/>
      <c r="ZB127" s="1"/>
      <c r="ZC127" s="1"/>
      <c r="ZD127" s="1"/>
      <c r="ZE127" s="1"/>
      <c r="ZF127" s="1"/>
      <c r="ZG127" s="1"/>
      <c r="ZH127" s="1"/>
      <c r="ZI127" s="1"/>
      <c r="ZJ127" s="1"/>
      <c r="ZK127" s="1"/>
      <c r="ZL127" s="1"/>
      <c r="ZM127" s="1"/>
      <c r="ZN127" s="1"/>
      <c r="ZO127" s="1"/>
      <c r="ZP127" s="1"/>
      <c r="ZQ127" s="1"/>
      <c r="ZR127" s="1"/>
      <c r="ZS127" s="1"/>
      <c r="ZT127" s="1"/>
      <c r="ZU127" s="1"/>
      <c r="ZV127" s="1"/>
      <c r="ZW127" s="1"/>
      <c r="ZX127" s="1"/>
      <c r="ZY127" s="1"/>
      <c r="ZZ127" s="1"/>
      <c r="AAA127" s="1"/>
      <c r="AAB127" s="1"/>
      <c r="AAC127" s="1"/>
      <c r="AAD127" s="1"/>
      <c r="AAE127" s="1"/>
      <c r="AAF127" s="1"/>
      <c r="AAG127" s="1"/>
      <c r="AAH127" s="1"/>
      <c r="AAI127" s="1"/>
      <c r="AAJ127" s="1"/>
      <c r="AAK127" s="1"/>
      <c r="AAL127" s="1"/>
      <c r="AAM127" s="1"/>
      <c r="AAN127" s="1"/>
      <c r="AAO127" s="1"/>
      <c r="AAP127" s="1"/>
      <c r="AAQ127" s="1"/>
      <c r="AAR127" s="1"/>
      <c r="AAS127" s="1"/>
      <c r="AAT127" s="1"/>
      <c r="AAU127" s="1"/>
      <c r="AAV127" s="1"/>
      <c r="AAW127" s="1"/>
      <c r="AAX127" s="1"/>
      <c r="AAY127" s="1"/>
      <c r="AAZ127" s="1"/>
      <c r="ABA127" s="1"/>
      <c r="ABB127" s="1"/>
      <c r="ABC127" s="1"/>
      <c r="ABD127" s="1"/>
      <c r="ABE127" s="1"/>
      <c r="ABF127" s="1"/>
      <c r="ABG127" s="1"/>
      <c r="ABH127" s="1"/>
      <c r="ABI127" s="1"/>
      <c r="ABJ127" s="1"/>
      <c r="ABK127" s="1"/>
      <c r="ABL127" s="1"/>
      <c r="ABM127" s="1"/>
      <c r="ABN127" s="1"/>
      <c r="ABO127" s="1"/>
      <c r="ABP127" s="1"/>
      <c r="ABQ127" s="1"/>
      <c r="ABR127" s="1"/>
      <c r="ABS127" s="1"/>
      <c r="ABT127" s="1"/>
      <c r="ABU127" s="1"/>
      <c r="ABV127" s="1"/>
      <c r="ABW127" s="1"/>
      <c r="ABX127" s="1"/>
      <c r="ABY127" s="1"/>
      <c r="ABZ127" s="1"/>
      <c r="ACA127" s="1"/>
      <c r="ACB127" s="1"/>
      <c r="ACC127" s="1"/>
      <c r="ACD127" s="1"/>
      <c r="ACE127" s="1"/>
      <c r="ACF127" s="1"/>
      <c r="ACG127" s="1"/>
      <c r="ACH127" s="1"/>
      <c r="ACI127" s="1"/>
      <c r="ACJ127" s="1"/>
      <c r="ACK127" s="1"/>
      <c r="ACL127" s="1"/>
      <c r="ACM127" s="1"/>
      <c r="ACN127" s="1"/>
      <c r="ACO127" s="1"/>
      <c r="ACP127" s="1"/>
      <c r="ACQ127" s="1"/>
      <c r="ACR127" s="1"/>
      <c r="ACS127" s="1"/>
      <c r="ACT127" s="1"/>
      <c r="ACU127" s="1"/>
      <c r="ACV127" s="1"/>
      <c r="ACW127" s="1"/>
      <c r="ACX127" s="1"/>
      <c r="ACY127" s="1"/>
      <c r="ACZ127" s="1"/>
      <c r="ADA127" s="1"/>
      <c r="ADB127" s="1"/>
      <c r="ADC127" s="1"/>
      <c r="ADD127" s="1"/>
      <c r="ADE127" s="1"/>
      <c r="ADF127" s="1"/>
      <c r="ADG127" s="1"/>
      <c r="ADH127" s="1"/>
      <c r="ADI127" s="1"/>
      <c r="ADJ127" s="1"/>
      <c r="ADK127" s="1"/>
      <c r="ADL127" s="1"/>
      <c r="ADM127" s="1"/>
      <c r="ADN127" s="1"/>
      <c r="ADO127" s="1"/>
      <c r="ADP127" s="1"/>
      <c r="ADQ127" s="1"/>
      <c r="ADR127" s="1"/>
      <c r="ADS127" s="1"/>
      <c r="ADT127" s="1"/>
      <c r="ADU127" s="1"/>
      <c r="ADV127" s="1"/>
      <c r="ADW127" s="1"/>
      <c r="ADX127" s="1"/>
      <c r="ADY127" s="1"/>
      <c r="ADZ127" s="1"/>
      <c r="AEA127" s="1"/>
      <c r="AEB127" s="1"/>
      <c r="AEC127" s="1"/>
      <c r="AED127" s="1"/>
      <c r="AEE127" s="1"/>
      <c r="AEF127" s="1"/>
      <c r="AEG127" s="1"/>
      <c r="AEH127" s="1"/>
      <c r="AEI127" s="1"/>
      <c r="AEJ127" s="1"/>
      <c r="AEK127" s="1"/>
      <c r="AEL127" s="1"/>
      <c r="AEM127" s="1"/>
      <c r="AEN127" s="1"/>
      <c r="AEO127" s="1"/>
      <c r="AEP127" s="1"/>
      <c r="AEQ127" s="1"/>
      <c r="AER127" s="1"/>
      <c r="AES127" s="1"/>
      <c r="AET127" s="1"/>
      <c r="AEU127" s="1"/>
      <c r="AEV127" s="1"/>
      <c r="AEW127" s="1"/>
      <c r="AEX127" s="1"/>
      <c r="AEY127" s="1"/>
      <c r="AEZ127" s="1"/>
      <c r="AFA127" s="1"/>
      <c r="AFB127" s="1"/>
      <c r="AFC127" s="1"/>
      <c r="AFD127" s="1"/>
      <c r="AFE127" s="1"/>
      <c r="AFF127" s="1"/>
      <c r="AFG127" s="1"/>
      <c r="AFH127" s="1"/>
      <c r="AFI127" s="1"/>
      <c r="AFJ127" s="1"/>
      <c r="AFK127" s="1"/>
      <c r="AFL127" s="1"/>
      <c r="AFM127" s="1"/>
      <c r="AFN127" s="1"/>
      <c r="AFO127" s="1"/>
      <c r="AFP127" s="1"/>
      <c r="AFQ127" s="1"/>
      <c r="AFR127" s="1"/>
      <c r="AFS127" s="1"/>
      <c r="AFT127" s="1"/>
      <c r="AFU127" s="1"/>
      <c r="AFV127" s="1"/>
      <c r="AFW127" s="1"/>
      <c r="AFX127" s="1"/>
      <c r="AFY127" s="1"/>
      <c r="AFZ127" s="1"/>
      <c r="AGA127" s="1"/>
      <c r="AGB127" s="1"/>
      <c r="AGC127" s="1"/>
      <c r="AGD127" s="1"/>
      <c r="AGE127" s="1"/>
      <c r="AGF127" s="1"/>
      <c r="AGG127" s="1"/>
      <c r="AGH127" s="1"/>
      <c r="AGI127" s="1"/>
      <c r="AGJ127" s="1"/>
      <c r="AGK127" s="1"/>
      <c r="AGL127" s="1"/>
      <c r="AGM127" s="1"/>
      <c r="AGN127" s="1"/>
      <c r="AGO127" s="1"/>
      <c r="AGP127" s="1"/>
      <c r="AGQ127" s="1"/>
      <c r="AGR127" s="1"/>
      <c r="AGS127" s="1"/>
      <c r="AGT127" s="1"/>
      <c r="AGU127" s="1"/>
      <c r="AGV127" s="1"/>
      <c r="AGW127" s="1"/>
      <c r="AGX127" s="1"/>
      <c r="AGY127" s="1"/>
      <c r="AGZ127" s="1"/>
      <c r="AHA127" s="1"/>
      <c r="AHB127" s="1"/>
      <c r="AHC127" s="1"/>
      <c r="AHD127" s="1"/>
      <c r="AHE127" s="1"/>
      <c r="AHF127" s="1"/>
      <c r="AHG127" s="1"/>
      <c r="AHH127" s="1"/>
      <c r="AHI127" s="1"/>
      <c r="AHJ127" s="1"/>
      <c r="AHK127" s="1"/>
      <c r="AHL127" s="1"/>
      <c r="AHM127" s="1"/>
      <c r="AHN127" s="1"/>
      <c r="AHO127" s="1"/>
      <c r="AHP127" s="1"/>
      <c r="AHQ127" s="1"/>
      <c r="AHR127" s="1"/>
      <c r="AHS127" s="1"/>
      <c r="AHT127" s="1"/>
      <c r="AHU127" s="1"/>
      <c r="AHV127" s="1"/>
      <c r="AHW127" s="1"/>
      <c r="AHX127" s="1"/>
      <c r="AHY127" s="1"/>
      <c r="AHZ127" s="1"/>
      <c r="AIA127" s="1"/>
      <c r="AIB127" s="1"/>
      <c r="AIC127" s="1"/>
      <c r="AID127" s="1"/>
      <c r="AIE127" s="1"/>
      <c r="AIF127" s="1"/>
      <c r="AIG127" s="1"/>
      <c r="AIH127" s="1"/>
      <c r="AII127" s="1"/>
      <c r="AIJ127" s="1"/>
      <c r="AIK127" s="1"/>
      <c r="AIL127" s="1"/>
      <c r="AIM127" s="1"/>
      <c r="AIN127" s="1"/>
      <c r="AIO127" s="1"/>
      <c r="AIP127" s="1"/>
      <c r="AIQ127" s="1"/>
      <c r="AIR127" s="1"/>
      <c r="AIS127" s="1"/>
      <c r="AIT127" s="1"/>
      <c r="AIU127" s="1"/>
      <c r="AIV127" s="1"/>
      <c r="AIW127" s="1"/>
      <c r="AIX127" s="1"/>
      <c r="AIY127" s="1"/>
      <c r="AIZ127" s="1"/>
      <c r="AJA127" s="1"/>
      <c r="AJB127" s="1"/>
      <c r="AJC127" s="1"/>
      <c r="AJD127" s="1"/>
      <c r="AJE127" s="1"/>
      <c r="AJF127" s="1"/>
      <c r="AJG127" s="1"/>
      <c r="AJH127" s="1"/>
      <c r="AJI127" s="1"/>
      <c r="AJJ127" s="1"/>
      <c r="AJK127" s="1"/>
      <c r="AJL127" s="1"/>
      <c r="AJM127" s="1"/>
      <c r="AJN127" s="1"/>
      <c r="AJO127" s="1"/>
      <c r="AJP127" s="1"/>
      <c r="AJQ127" s="1"/>
      <c r="AJR127" s="1"/>
      <c r="AJS127" s="1"/>
      <c r="AJT127" s="1"/>
      <c r="AJU127" s="1"/>
      <c r="AJV127" s="1"/>
      <c r="AJW127" s="1"/>
      <c r="AJX127" s="1"/>
      <c r="AJY127" s="1"/>
      <c r="AJZ127" s="1"/>
      <c r="AKA127" s="1"/>
      <c r="AKB127" s="1"/>
      <c r="AKC127" s="1"/>
      <c r="AKD127" s="1"/>
      <c r="AKE127" s="1"/>
      <c r="AKF127" s="1"/>
      <c r="AKG127" s="1"/>
      <c r="AKH127" s="1"/>
      <c r="AKI127" s="1"/>
      <c r="AKJ127" s="1"/>
      <c r="AKK127" s="1"/>
      <c r="AKL127" s="1"/>
      <c r="AKM127" s="1"/>
      <c r="AKN127" s="1"/>
      <c r="AKO127" s="1"/>
      <c r="AKP127" s="1"/>
      <c r="AKQ127" s="1"/>
      <c r="AKR127" s="1"/>
      <c r="AKS127" s="1"/>
      <c r="AKT127" s="1"/>
      <c r="AKU127" s="1"/>
      <c r="AKV127" s="1"/>
      <c r="AKW127" s="1"/>
      <c r="AKX127" s="1"/>
      <c r="AKY127" s="1"/>
      <c r="AKZ127" s="1"/>
      <c r="ALA127" s="1"/>
      <c r="ALB127" s="1"/>
      <c r="ALC127" s="1"/>
      <c r="ALD127" s="1"/>
      <c r="ALE127" s="1"/>
      <c r="ALF127" s="1"/>
      <c r="ALG127" s="1"/>
      <c r="ALH127" s="1"/>
      <c r="ALI127" s="1"/>
      <c r="ALJ127" s="1"/>
      <c r="ALK127" s="1"/>
      <c r="ALL127" s="1"/>
      <c r="ALM127" s="1"/>
      <c r="ALN127" s="1"/>
      <c r="ALO127" s="1"/>
      <c r="ALP127" s="1"/>
      <c r="ALQ127" s="1"/>
      <c r="ALR127" s="1"/>
      <c r="ALS127" s="1"/>
      <c r="ALT127" s="1"/>
      <c r="ALU127" s="1"/>
      <c r="ALV127" s="1"/>
      <c r="ALW127" s="1"/>
      <c r="ALX127" s="1"/>
      <c r="ALY127" s="1"/>
      <c r="ALZ127" s="1"/>
      <c r="AMA127" s="1"/>
      <c r="AMB127" s="1"/>
      <c r="AMC127" s="1"/>
      <c r="AMD127" s="1"/>
      <c r="AME127" s="1"/>
      <c r="AMF127" s="1"/>
      <c r="AMG127" s="1"/>
      <c r="AMH127" s="1"/>
      <c r="AMI127" s="1"/>
      <c r="AMJ127" s="1"/>
      <c r="AMK127" s="1"/>
      <c r="AML127" s="1"/>
      <c r="AMM127" s="1"/>
      <c r="AMN127" s="1"/>
      <c r="AMO127" s="1"/>
    </row>
    <row r="128" spans="1:1029" x14ac:dyDescent="0.2">
      <c r="A128" s="3" t="str">
        <f t="shared" si="561"/>
        <v>apj_human_5VBL</v>
      </c>
      <c r="B128" s="3" t="s">
        <v>160</v>
      </c>
      <c r="C128" s="3" t="s">
        <v>1424</v>
      </c>
      <c r="D128" s="3" t="str">
        <f>IFERROR(MID(VLOOKUP($B128,Seqs!$A:$B,2,0),E128,1),"")</f>
        <v>A</v>
      </c>
      <c r="E128" s="3">
        <v>29</v>
      </c>
      <c r="F128" s="3" t="str">
        <f>IFERROR(MID(VLOOKUP($B128,Seqs!$A:$B,2,0),G128,1),"")</f>
        <v>S</v>
      </c>
      <c r="G128" s="3">
        <v>56</v>
      </c>
      <c r="H128" s="3" t="str">
        <f>IFERROR(MID(VLOOKUP($B128,Seqs!$A:$B,2,0),I128,1),"")</f>
        <v>S</v>
      </c>
      <c r="I128" s="23">
        <v>57</v>
      </c>
      <c r="J128" s="3" t="str">
        <f>IFERROR(MID(VLOOKUP($B128,Seqs!$A:$B,2,0),K128,1),"")</f>
        <v>R</v>
      </c>
      <c r="K128" s="23">
        <v>61</v>
      </c>
      <c r="L128" s="3" t="str">
        <f>IFERROR(MID(VLOOKUP($B128,Seqs!$A:$B,2,0),M128,1),"")</f>
        <v>R</v>
      </c>
      <c r="M128" s="3">
        <v>62</v>
      </c>
      <c r="N128" s="3" t="str">
        <f>IFERROR(MID(VLOOKUP($B128,Seqs!$A:$B,2,0),O128,1),"")</f>
        <v>D</v>
      </c>
      <c r="O128" s="3">
        <v>92</v>
      </c>
      <c r="P128" s="3" t="str">
        <f>IFERROR(MID(VLOOKUP($B128,Seqs!$A:$B,2,0),Q128,1),"")</f>
        <v>D</v>
      </c>
      <c r="Q128" s="3">
        <v>94</v>
      </c>
      <c r="R128" s="3" t="str">
        <f>IFERROR(MID(VLOOKUP($B128,Seqs!$A:$B,2,0),S128,1),"")</f>
        <v>F</v>
      </c>
      <c r="S128" s="3">
        <v>97</v>
      </c>
      <c r="T128" s="3" t="str">
        <f>IFERROR(MID(VLOOKUP($B128,Seqs!$A:$B,2,0),U128,1),"")</f>
        <v>G</v>
      </c>
      <c r="U128" s="3">
        <v>98</v>
      </c>
      <c r="V128" s="3" t="str">
        <f>IFERROR(MID(VLOOKUP($B128,Seqs!$A:$B,2,0),W128,1),"")</f>
        <v>R</v>
      </c>
      <c r="W128" s="3">
        <v>133</v>
      </c>
      <c r="X128" s="3" t="str">
        <f>IFERROR(MID(VLOOKUP($B128,Seqs!$A:$B,2,0),Y128,1),"")</f>
        <v/>
      </c>
      <c r="Y128" s="3" t="s">
        <v>23</v>
      </c>
      <c r="Z128" s="3" t="str">
        <f>IFERROR(MID(VLOOKUP($B128,Seqs!$A:$B,2,0),AA128,1),"")</f>
        <v/>
      </c>
      <c r="AA128" s="3" t="s">
        <v>23</v>
      </c>
      <c r="AB128" s="3" t="str">
        <f>IFERROR(MID(VLOOKUP($B128,Seqs!$A:$B,2,0),AC128,1),"")</f>
        <v>R</v>
      </c>
      <c r="AC128" s="3">
        <v>141</v>
      </c>
      <c r="AD128" s="3" t="str">
        <f>IFERROR(MID(VLOOKUP($B128,Seqs!$A:$B,2,0),AE128,1),"")</f>
        <v>R</v>
      </c>
      <c r="AE128" s="3">
        <v>168</v>
      </c>
      <c r="AF128" s="3" t="str">
        <f>IFERROR(MID(VLOOKUP($B128,Seqs!$A:$B,2,0),AG128,1),"")</f>
        <v>C</v>
      </c>
      <c r="AG128" s="3">
        <v>181</v>
      </c>
      <c r="AH128" s="3" t="str">
        <f>IFERROR(MID(VLOOKUP($B128,Seqs!$A:$B,2,0),AI128,1),"")</f>
        <v>M</v>
      </c>
      <c r="AI128" s="3">
        <v>183</v>
      </c>
      <c r="AJ128" s="3" t="str">
        <f>IFERROR(MID(VLOOKUP($B128,Seqs!$A:$B,2,0),AK128,1),"")</f>
        <v>S</v>
      </c>
      <c r="AK128" s="3">
        <v>193</v>
      </c>
      <c r="AL128" s="3" t="str">
        <f>IFERROR(MID(VLOOKUP($B128,Seqs!$A:$B,2,0),AM128,1),"")</f>
        <v>A</v>
      </c>
      <c r="AM128" s="3">
        <v>229</v>
      </c>
      <c r="AN128" s="3" t="str">
        <f>IFERROR(MID(VLOOKUP($B128,Seqs!$A:$B,2,0),AO128,1),"")</f>
        <v>R</v>
      </c>
      <c r="AO128" s="3">
        <v>244</v>
      </c>
      <c r="AP128" s="3" t="str">
        <f>IFERROR(MID(VLOOKUP($B128,Seqs!$A:$B,2,0),AQ128,1),"")</f>
        <v>L</v>
      </c>
      <c r="AQ128" s="3">
        <v>276</v>
      </c>
      <c r="AR128" s="3" t="str">
        <f>IFERROR(MID(VLOOKUP($B128,Seqs!$A:$B,2,0),AS128,1),"")</f>
        <v>P</v>
      </c>
      <c r="AS128" s="3">
        <v>280</v>
      </c>
      <c r="AT128" s="3" t="str">
        <f>IFERROR(MID(VLOOKUP($B128,Seqs!$A:$B,2,0),AU128,1),"")</f>
        <v>F</v>
      </c>
      <c r="AU128" s="3">
        <v>312</v>
      </c>
      <c r="AV128" s="3" t="str">
        <f>IFERROR(MID(VLOOKUP($B128,Seqs!$A:$B,2,0),AW128,1),"")</f>
        <v>D</v>
      </c>
      <c r="AW128" s="3">
        <v>313</v>
      </c>
      <c r="AX128" s="3" t="str">
        <f>IFERROR(MID(VLOOKUP($B128,Seqs!$A:$B,2,0),AY128,1),"")</f>
        <v>G</v>
      </c>
      <c r="AY128" s="3">
        <v>327</v>
      </c>
      <c r="AZ128" s="77" t="str">
        <f>VLOOKUP(B128,Classification!A:D,2,0)</f>
        <v>A</v>
      </c>
      <c r="BA128" s="94" t="str">
        <f>VLOOKUP(B128,Classification!A:D,4,0)</f>
        <v>Apelin</v>
      </c>
      <c r="BB128" s="27" t="b">
        <f t="shared" si="562"/>
        <v>1</v>
      </c>
      <c r="BC128" s="23">
        <f t="shared" si="563"/>
        <v>254</v>
      </c>
      <c r="BD128" s="2" t="s">
        <v>1383</v>
      </c>
      <c r="BE128" s="3" t="s">
        <v>1381</v>
      </c>
      <c r="BF128" s="119">
        <v>2.6</v>
      </c>
      <c r="BG128" s="49" t="s">
        <v>1287</v>
      </c>
      <c r="BH128" s="49" t="s">
        <v>1287</v>
      </c>
      <c r="BI128" s="1"/>
      <c r="BJ128" s="70" t="s">
        <v>1293</v>
      </c>
      <c r="BK128" s="57" t="s">
        <v>1293</v>
      </c>
      <c r="BL128" s="57" t="s">
        <v>1293</v>
      </c>
      <c r="BM128" s="57" t="s">
        <v>1293</v>
      </c>
      <c r="BN128" s="57" t="s">
        <v>1293</v>
      </c>
      <c r="BO128" s="57" t="s">
        <v>1293</v>
      </c>
      <c r="BP128" s="57" t="s">
        <v>1293</v>
      </c>
      <c r="BQ128" s="57" t="s">
        <v>1293</v>
      </c>
      <c r="BR128" s="57" t="s">
        <v>1293</v>
      </c>
      <c r="BS128" s="57" t="s">
        <v>1293</v>
      </c>
      <c r="BT128" s="57" t="s">
        <v>1293</v>
      </c>
      <c r="BU128" s="57" t="s">
        <v>1293</v>
      </c>
      <c r="BV128" s="70">
        <f t="shared" si="564"/>
        <v>29</v>
      </c>
      <c r="BW128" s="71">
        <f t="shared" si="565"/>
        <v>57</v>
      </c>
      <c r="BX128" s="72">
        <f t="shared" si="566"/>
        <v>62</v>
      </c>
      <c r="BY128" s="71">
        <f t="shared" si="567"/>
        <v>94</v>
      </c>
      <c r="BZ128" s="72">
        <f t="shared" si="568"/>
        <v>98</v>
      </c>
      <c r="CA128" s="71" t="str">
        <f t="shared" si="569"/>
        <v>-</v>
      </c>
      <c r="CB128" s="72">
        <f t="shared" si="570"/>
        <v>141</v>
      </c>
      <c r="CC128" s="71">
        <f t="shared" si="571"/>
        <v>181</v>
      </c>
      <c r="CD128" s="72">
        <f t="shared" si="572"/>
        <v>193</v>
      </c>
      <c r="CE128" s="71">
        <f t="shared" si="573"/>
        <v>244</v>
      </c>
      <c r="CF128" s="72">
        <f t="shared" si="574"/>
        <v>280</v>
      </c>
      <c r="CG128" s="71">
        <f t="shared" si="575"/>
        <v>313</v>
      </c>
      <c r="CH128" s="70">
        <f t="shared" si="576"/>
        <v>56</v>
      </c>
      <c r="CI128" s="71">
        <f t="shared" si="577"/>
        <v>61</v>
      </c>
      <c r="CJ128" s="72">
        <f t="shared" si="578"/>
        <v>92</v>
      </c>
      <c r="CK128" s="72">
        <f t="shared" si="579"/>
        <v>97</v>
      </c>
      <c r="CL128" s="72">
        <f t="shared" si="580"/>
        <v>133</v>
      </c>
      <c r="CM128" s="72" t="str">
        <f t="shared" si="581"/>
        <v>-</v>
      </c>
      <c r="CN128" s="72">
        <f t="shared" si="582"/>
        <v>168</v>
      </c>
      <c r="CO128" s="72">
        <f t="shared" si="583"/>
        <v>183</v>
      </c>
      <c r="CP128" s="72">
        <f t="shared" si="584"/>
        <v>229</v>
      </c>
      <c r="CQ128" s="72">
        <f t="shared" si="585"/>
        <v>276</v>
      </c>
      <c r="CR128" s="72">
        <f t="shared" si="586"/>
        <v>312</v>
      </c>
      <c r="CS128" s="72">
        <f t="shared" si="587"/>
        <v>327</v>
      </c>
      <c r="CT128" s="23">
        <f t="shared" si="588"/>
        <v>1</v>
      </c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  <c r="OK128" s="1"/>
      <c r="OL128" s="1"/>
      <c r="OM128" s="1"/>
      <c r="ON128" s="1"/>
      <c r="OO128" s="1"/>
      <c r="OP128" s="1"/>
      <c r="OQ128" s="1"/>
      <c r="OR128" s="1"/>
      <c r="OS128" s="1"/>
      <c r="OT128" s="1"/>
      <c r="OU128" s="1"/>
      <c r="OV128" s="1"/>
      <c r="OW128" s="1"/>
      <c r="OX128" s="1"/>
      <c r="OY128" s="1"/>
      <c r="OZ128" s="1"/>
      <c r="PA128" s="1"/>
      <c r="PB128" s="1"/>
      <c r="PC128" s="1"/>
      <c r="PD128" s="1"/>
      <c r="PE128" s="1"/>
      <c r="PF128" s="1"/>
      <c r="PG128" s="1"/>
      <c r="PH128" s="1"/>
      <c r="PI128" s="1"/>
      <c r="PJ128" s="1"/>
      <c r="PK128" s="1"/>
      <c r="PL128" s="1"/>
      <c r="PM128" s="1"/>
      <c r="PN128" s="1"/>
      <c r="PO128" s="1"/>
      <c r="PP128" s="1"/>
      <c r="PQ128" s="1"/>
      <c r="PR128" s="1"/>
      <c r="PS128" s="1"/>
      <c r="PT128" s="1"/>
      <c r="PU128" s="1"/>
      <c r="PV128" s="1"/>
      <c r="PW128" s="1"/>
      <c r="PX128" s="1"/>
      <c r="PY128" s="1"/>
      <c r="PZ128" s="1"/>
      <c r="QA128" s="1"/>
      <c r="QB128" s="1"/>
      <c r="QC128" s="1"/>
      <c r="QD128" s="1"/>
      <c r="QE128" s="1"/>
      <c r="QF128" s="1"/>
      <c r="QG128" s="1"/>
      <c r="QH128" s="1"/>
      <c r="QI128" s="1"/>
      <c r="QJ128" s="1"/>
      <c r="QK128" s="1"/>
      <c r="QL128" s="1"/>
      <c r="QM128" s="1"/>
      <c r="QN128" s="1"/>
      <c r="QO128" s="1"/>
      <c r="QP128" s="1"/>
      <c r="QQ128" s="1"/>
      <c r="QR128" s="1"/>
      <c r="QS128" s="1"/>
      <c r="QT128" s="1"/>
      <c r="QU128" s="1"/>
      <c r="QV128" s="1"/>
      <c r="QW128" s="1"/>
      <c r="QX128" s="1"/>
      <c r="QY128" s="1"/>
      <c r="QZ128" s="1"/>
      <c r="RA128" s="1"/>
      <c r="RB128" s="1"/>
      <c r="RC128" s="1"/>
      <c r="RD128" s="1"/>
      <c r="RE128" s="1"/>
      <c r="RF128" s="1"/>
      <c r="RG128" s="1"/>
      <c r="RH128" s="1"/>
      <c r="RI128" s="1"/>
      <c r="RJ128" s="1"/>
      <c r="RK128" s="1"/>
      <c r="RL128" s="1"/>
      <c r="RM128" s="1"/>
      <c r="RN128" s="1"/>
      <c r="RO128" s="1"/>
      <c r="RP128" s="1"/>
      <c r="RQ128" s="1"/>
      <c r="RR128" s="1"/>
      <c r="RS128" s="1"/>
      <c r="RT128" s="1"/>
      <c r="RU128" s="1"/>
      <c r="RV128" s="1"/>
      <c r="RW128" s="1"/>
      <c r="RX128" s="1"/>
      <c r="RY128" s="1"/>
      <c r="RZ128" s="1"/>
      <c r="SA128" s="1"/>
      <c r="SB128" s="1"/>
      <c r="SC128" s="1"/>
      <c r="SD128" s="1"/>
      <c r="SE128" s="1"/>
      <c r="SF128" s="1"/>
      <c r="SG128" s="1"/>
      <c r="SH128" s="1"/>
      <c r="SI128" s="1"/>
      <c r="SJ128" s="1"/>
      <c r="SK128" s="1"/>
      <c r="SL128" s="1"/>
      <c r="SM128" s="1"/>
      <c r="SN128" s="1"/>
      <c r="SO128" s="1"/>
      <c r="SP128" s="1"/>
      <c r="SQ128" s="1"/>
      <c r="SR128" s="1"/>
      <c r="SS128" s="1"/>
      <c r="ST128" s="1"/>
      <c r="SU128" s="1"/>
      <c r="SV128" s="1"/>
      <c r="SW128" s="1"/>
      <c r="SX128" s="1"/>
      <c r="SY128" s="1"/>
      <c r="SZ128" s="1"/>
      <c r="TA128" s="1"/>
      <c r="TB128" s="1"/>
      <c r="TC128" s="1"/>
      <c r="TD128" s="1"/>
      <c r="TE128" s="1"/>
      <c r="TF128" s="1"/>
      <c r="TG128" s="1"/>
      <c r="TH128" s="1"/>
      <c r="TI128" s="1"/>
      <c r="TJ128" s="1"/>
      <c r="TK128" s="1"/>
      <c r="TL128" s="1"/>
      <c r="TM128" s="1"/>
      <c r="TN128" s="1"/>
      <c r="TO128" s="1"/>
      <c r="TP128" s="1"/>
      <c r="TQ128" s="1"/>
      <c r="TR128" s="1"/>
      <c r="TS128" s="1"/>
      <c r="TT128" s="1"/>
      <c r="TU128" s="1"/>
      <c r="TV128" s="1"/>
      <c r="TW128" s="1"/>
      <c r="TX128" s="1"/>
      <c r="TY128" s="1"/>
      <c r="TZ128" s="1"/>
      <c r="UA128" s="1"/>
      <c r="UB128" s="1"/>
      <c r="UC128" s="1"/>
      <c r="UD128" s="1"/>
      <c r="UE128" s="1"/>
      <c r="UF128" s="1"/>
      <c r="UG128" s="1"/>
      <c r="UH128" s="1"/>
      <c r="UI128" s="1"/>
      <c r="UJ128" s="1"/>
      <c r="UK128" s="1"/>
      <c r="UL128" s="1"/>
      <c r="UM128" s="1"/>
      <c r="UN128" s="1"/>
      <c r="UO128" s="1"/>
      <c r="UP128" s="1"/>
      <c r="UQ128" s="1"/>
      <c r="UR128" s="1"/>
      <c r="US128" s="1"/>
      <c r="UT128" s="1"/>
      <c r="UU128" s="1"/>
      <c r="UV128" s="1"/>
      <c r="UW128" s="1"/>
      <c r="UX128" s="1"/>
      <c r="UY128" s="1"/>
      <c r="UZ128" s="1"/>
      <c r="VA128" s="1"/>
      <c r="VB128" s="1"/>
      <c r="VC128" s="1"/>
      <c r="VD128" s="1"/>
      <c r="VE128" s="1"/>
      <c r="VF128" s="1"/>
      <c r="VG128" s="1"/>
      <c r="VH128" s="1"/>
      <c r="VI128" s="1"/>
      <c r="VJ128" s="1"/>
      <c r="VK128" s="1"/>
      <c r="VL128" s="1"/>
      <c r="VM128" s="1"/>
      <c r="VN128" s="1"/>
      <c r="VO128" s="1"/>
      <c r="VP128" s="1"/>
      <c r="VQ128" s="1"/>
      <c r="VR128" s="1"/>
      <c r="VS128" s="1"/>
      <c r="VT128" s="1"/>
      <c r="VU128" s="1"/>
      <c r="VV128" s="1"/>
      <c r="VW128" s="1"/>
      <c r="VX128" s="1"/>
      <c r="VY128" s="1"/>
      <c r="VZ128" s="1"/>
      <c r="WA128" s="1"/>
      <c r="WB128" s="1"/>
      <c r="WC128" s="1"/>
      <c r="WD128" s="1"/>
      <c r="WE128" s="1"/>
      <c r="WF128" s="1"/>
      <c r="WG128" s="1"/>
      <c r="WH128" s="1"/>
      <c r="WI128" s="1"/>
      <c r="WJ128" s="1"/>
      <c r="WK128" s="1"/>
      <c r="WL128" s="1"/>
      <c r="WM128" s="1"/>
      <c r="WN128" s="1"/>
      <c r="WO128" s="1"/>
      <c r="WP128" s="1"/>
      <c r="WQ128" s="1"/>
      <c r="WR128" s="1"/>
      <c r="WS128" s="1"/>
      <c r="WT128" s="1"/>
      <c r="WU128" s="1"/>
      <c r="WV128" s="1"/>
      <c r="WW128" s="1"/>
      <c r="WX128" s="1"/>
      <c r="WY128" s="1"/>
      <c r="WZ128" s="1"/>
      <c r="XA128" s="1"/>
      <c r="XB128" s="1"/>
      <c r="XC128" s="1"/>
      <c r="XD128" s="1"/>
      <c r="XE128" s="1"/>
      <c r="XF128" s="1"/>
      <c r="XG128" s="1"/>
      <c r="XH128" s="1"/>
      <c r="XI128" s="1"/>
      <c r="XJ128" s="1"/>
      <c r="XK128" s="1"/>
      <c r="XL128" s="1"/>
      <c r="XM128" s="1"/>
      <c r="XN128" s="1"/>
      <c r="XO128" s="1"/>
      <c r="XP128" s="1"/>
      <c r="XQ128" s="1"/>
      <c r="XR128" s="1"/>
      <c r="XS128" s="1"/>
      <c r="XT128" s="1"/>
      <c r="XU128" s="1"/>
      <c r="XV128" s="1"/>
      <c r="XW128" s="1"/>
      <c r="XX128" s="1"/>
      <c r="XY128" s="1"/>
      <c r="XZ128" s="1"/>
      <c r="YA128" s="1"/>
      <c r="YB128" s="1"/>
      <c r="YC128" s="1"/>
      <c r="YD128" s="1"/>
      <c r="YE128" s="1"/>
      <c r="YF128" s="1"/>
      <c r="YG128" s="1"/>
      <c r="YH128" s="1"/>
      <c r="YI128" s="1"/>
      <c r="YJ128" s="1"/>
      <c r="YK128" s="1"/>
      <c r="YL128" s="1"/>
      <c r="YM128" s="1"/>
      <c r="YN128" s="1"/>
      <c r="YO128" s="1"/>
      <c r="YP128" s="1"/>
      <c r="YQ128" s="1"/>
      <c r="YR128" s="1"/>
      <c r="YS128" s="1"/>
      <c r="YT128" s="1"/>
      <c r="YU128" s="1"/>
      <c r="YV128" s="1"/>
      <c r="YW128" s="1"/>
      <c r="YX128" s="1"/>
      <c r="YY128" s="1"/>
      <c r="YZ128" s="1"/>
      <c r="ZA128" s="1"/>
      <c r="ZB128" s="1"/>
      <c r="ZC128" s="1"/>
      <c r="ZD128" s="1"/>
      <c r="ZE128" s="1"/>
      <c r="ZF128" s="1"/>
      <c r="ZG128" s="1"/>
      <c r="ZH128" s="1"/>
      <c r="ZI128" s="1"/>
      <c r="ZJ128" s="1"/>
      <c r="ZK128" s="1"/>
      <c r="ZL128" s="1"/>
      <c r="ZM128" s="1"/>
      <c r="ZN128" s="1"/>
      <c r="ZO128" s="1"/>
      <c r="ZP128" s="1"/>
      <c r="ZQ128" s="1"/>
      <c r="ZR128" s="1"/>
      <c r="ZS128" s="1"/>
      <c r="ZT128" s="1"/>
      <c r="ZU128" s="1"/>
      <c r="ZV128" s="1"/>
      <c r="ZW128" s="1"/>
      <c r="ZX128" s="1"/>
      <c r="ZY128" s="1"/>
      <c r="ZZ128" s="1"/>
      <c r="AAA128" s="1"/>
      <c r="AAB128" s="1"/>
      <c r="AAC128" s="1"/>
      <c r="AAD128" s="1"/>
      <c r="AAE128" s="1"/>
      <c r="AAF128" s="1"/>
      <c r="AAG128" s="1"/>
      <c r="AAH128" s="1"/>
      <c r="AAI128" s="1"/>
      <c r="AAJ128" s="1"/>
      <c r="AAK128" s="1"/>
      <c r="AAL128" s="1"/>
      <c r="AAM128" s="1"/>
      <c r="AAN128" s="1"/>
      <c r="AAO128" s="1"/>
      <c r="AAP128" s="1"/>
      <c r="AAQ128" s="1"/>
      <c r="AAR128" s="1"/>
      <c r="AAS128" s="1"/>
      <c r="AAT128" s="1"/>
      <c r="AAU128" s="1"/>
      <c r="AAV128" s="1"/>
      <c r="AAW128" s="1"/>
      <c r="AAX128" s="1"/>
      <c r="AAY128" s="1"/>
      <c r="AAZ128" s="1"/>
      <c r="ABA128" s="1"/>
      <c r="ABB128" s="1"/>
      <c r="ABC128" s="1"/>
      <c r="ABD128" s="1"/>
      <c r="ABE128" s="1"/>
      <c r="ABF128" s="1"/>
      <c r="ABG128" s="1"/>
      <c r="ABH128" s="1"/>
      <c r="ABI128" s="1"/>
      <c r="ABJ128" s="1"/>
      <c r="ABK128" s="1"/>
      <c r="ABL128" s="1"/>
      <c r="ABM128" s="1"/>
      <c r="ABN128" s="1"/>
      <c r="ABO128" s="1"/>
      <c r="ABP128" s="1"/>
      <c r="ABQ128" s="1"/>
      <c r="ABR128" s="1"/>
      <c r="ABS128" s="1"/>
      <c r="ABT128" s="1"/>
      <c r="ABU128" s="1"/>
      <c r="ABV128" s="1"/>
      <c r="ABW128" s="1"/>
      <c r="ABX128" s="1"/>
      <c r="ABY128" s="1"/>
      <c r="ABZ128" s="1"/>
      <c r="ACA128" s="1"/>
      <c r="ACB128" s="1"/>
      <c r="ACC128" s="1"/>
      <c r="ACD128" s="1"/>
      <c r="ACE128" s="1"/>
      <c r="ACF128" s="1"/>
      <c r="ACG128" s="1"/>
      <c r="ACH128" s="1"/>
      <c r="ACI128" s="1"/>
      <c r="ACJ128" s="1"/>
      <c r="ACK128" s="1"/>
      <c r="ACL128" s="1"/>
      <c r="ACM128" s="1"/>
      <c r="ACN128" s="1"/>
      <c r="ACO128" s="1"/>
      <c r="ACP128" s="1"/>
      <c r="ACQ128" s="1"/>
      <c r="ACR128" s="1"/>
      <c r="ACS128" s="1"/>
      <c r="ACT128" s="1"/>
      <c r="ACU128" s="1"/>
      <c r="ACV128" s="1"/>
      <c r="ACW128" s="1"/>
      <c r="ACX128" s="1"/>
      <c r="ACY128" s="1"/>
      <c r="ACZ128" s="1"/>
      <c r="ADA128" s="1"/>
      <c r="ADB128" s="1"/>
      <c r="ADC128" s="1"/>
      <c r="ADD128" s="1"/>
      <c r="ADE128" s="1"/>
      <c r="ADF128" s="1"/>
      <c r="ADG128" s="1"/>
      <c r="ADH128" s="1"/>
      <c r="ADI128" s="1"/>
      <c r="ADJ128" s="1"/>
      <c r="ADK128" s="1"/>
      <c r="ADL128" s="1"/>
      <c r="ADM128" s="1"/>
      <c r="ADN128" s="1"/>
      <c r="ADO128" s="1"/>
      <c r="ADP128" s="1"/>
      <c r="ADQ128" s="1"/>
      <c r="ADR128" s="1"/>
      <c r="ADS128" s="1"/>
      <c r="ADT128" s="1"/>
      <c r="ADU128" s="1"/>
      <c r="ADV128" s="1"/>
      <c r="ADW128" s="1"/>
      <c r="ADX128" s="1"/>
      <c r="ADY128" s="1"/>
      <c r="ADZ128" s="1"/>
      <c r="AEA128" s="1"/>
      <c r="AEB128" s="1"/>
      <c r="AEC128" s="1"/>
      <c r="AED128" s="1"/>
      <c r="AEE128" s="1"/>
      <c r="AEF128" s="1"/>
      <c r="AEG128" s="1"/>
      <c r="AEH128" s="1"/>
      <c r="AEI128" s="1"/>
      <c r="AEJ128" s="1"/>
      <c r="AEK128" s="1"/>
      <c r="AEL128" s="1"/>
      <c r="AEM128" s="1"/>
      <c r="AEN128" s="1"/>
      <c r="AEO128" s="1"/>
      <c r="AEP128" s="1"/>
      <c r="AEQ128" s="1"/>
      <c r="AER128" s="1"/>
      <c r="AES128" s="1"/>
      <c r="AET128" s="1"/>
      <c r="AEU128" s="1"/>
      <c r="AEV128" s="1"/>
      <c r="AEW128" s="1"/>
      <c r="AEX128" s="1"/>
      <c r="AEY128" s="1"/>
      <c r="AEZ128" s="1"/>
      <c r="AFA128" s="1"/>
      <c r="AFB128" s="1"/>
      <c r="AFC128" s="1"/>
      <c r="AFD128" s="1"/>
      <c r="AFE128" s="1"/>
      <c r="AFF128" s="1"/>
      <c r="AFG128" s="1"/>
      <c r="AFH128" s="1"/>
      <c r="AFI128" s="1"/>
      <c r="AFJ128" s="1"/>
      <c r="AFK128" s="1"/>
      <c r="AFL128" s="1"/>
      <c r="AFM128" s="1"/>
      <c r="AFN128" s="1"/>
      <c r="AFO128" s="1"/>
      <c r="AFP128" s="1"/>
      <c r="AFQ128" s="1"/>
      <c r="AFR128" s="1"/>
      <c r="AFS128" s="1"/>
      <c r="AFT128" s="1"/>
      <c r="AFU128" s="1"/>
      <c r="AFV128" s="1"/>
      <c r="AFW128" s="1"/>
      <c r="AFX128" s="1"/>
      <c r="AFY128" s="1"/>
      <c r="AFZ128" s="1"/>
      <c r="AGA128" s="1"/>
      <c r="AGB128" s="1"/>
      <c r="AGC128" s="1"/>
      <c r="AGD128" s="1"/>
      <c r="AGE128" s="1"/>
      <c r="AGF128" s="1"/>
      <c r="AGG128" s="1"/>
      <c r="AGH128" s="1"/>
      <c r="AGI128" s="1"/>
      <c r="AGJ128" s="1"/>
      <c r="AGK128" s="1"/>
      <c r="AGL128" s="1"/>
      <c r="AGM128" s="1"/>
      <c r="AGN128" s="1"/>
      <c r="AGO128" s="1"/>
      <c r="AGP128" s="1"/>
      <c r="AGQ128" s="1"/>
      <c r="AGR128" s="1"/>
      <c r="AGS128" s="1"/>
      <c r="AGT128" s="1"/>
      <c r="AGU128" s="1"/>
      <c r="AGV128" s="1"/>
      <c r="AGW128" s="1"/>
      <c r="AGX128" s="1"/>
      <c r="AGY128" s="1"/>
      <c r="AGZ128" s="1"/>
      <c r="AHA128" s="1"/>
      <c r="AHB128" s="1"/>
      <c r="AHC128" s="1"/>
      <c r="AHD128" s="1"/>
      <c r="AHE128" s="1"/>
      <c r="AHF128" s="1"/>
      <c r="AHG128" s="1"/>
      <c r="AHH128" s="1"/>
      <c r="AHI128" s="1"/>
      <c r="AHJ128" s="1"/>
      <c r="AHK128" s="1"/>
      <c r="AHL128" s="1"/>
      <c r="AHM128" s="1"/>
      <c r="AHN128" s="1"/>
      <c r="AHO128" s="1"/>
      <c r="AHP128" s="1"/>
      <c r="AHQ128" s="1"/>
      <c r="AHR128" s="1"/>
      <c r="AHS128" s="1"/>
      <c r="AHT128" s="1"/>
      <c r="AHU128" s="1"/>
      <c r="AHV128" s="1"/>
      <c r="AHW128" s="1"/>
      <c r="AHX128" s="1"/>
      <c r="AHY128" s="1"/>
      <c r="AHZ128" s="1"/>
      <c r="AIA128" s="1"/>
      <c r="AIB128" s="1"/>
      <c r="AIC128" s="1"/>
      <c r="AID128" s="1"/>
      <c r="AIE128" s="1"/>
      <c r="AIF128" s="1"/>
      <c r="AIG128" s="1"/>
      <c r="AIH128" s="1"/>
      <c r="AII128" s="1"/>
      <c r="AIJ128" s="1"/>
      <c r="AIK128" s="1"/>
      <c r="AIL128" s="1"/>
      <c r="AIM128" s="1"/>
      <c r="AIN128" s="1"/>
      <c r="AIO128" s="1"/>
      <c r="AIP128" s="1"/>
      <c r="AIQ128" s="1"/>
      <c r="AIR128" s="1"/>
      <c r="AIS128" s="1"/>
      <c r="AIT128" s="1"/>
      <c r="AIU128" s="1"/>
      <c r="AIV128" s="1"/>
      <c r="AIW128" s="1"/>
      <c r="AIX128" s="1"/>
      <c r="AIY128" s="1"/>
      <c r="AIZ128" s="1"/>
      <c r="AJA128" s="1"/>
      <c r="AJB128" s="1"/>
      <c r="AJC128" s="1"/>
      <c r="AJD128" s="1"/>
      <c r="AJE128" s="1"/>
      <c r="AJF128" s="1"/>
      <c r="AJG128" s="1"/>
      <c r="AJH128" s="1"/>
      <c r="AJI128" s="1"/>
      <c r="AJJ128" s="1"/>
      <c r="AJK128" s="1"/>
      <c r="AJL128" s="1"/>
      <c r="AJM128" s="1"/>
      <c r="AJN128" s="1"/>
      <c r="AJO128" s="1"/>
      <c r="AJP128" s="1"/>
      <c r="AJQ128" s="1"/>
      <c r="AJR128" s="1"/>
      <c r="AJS128" s="1"/>
      <c r="AJT128" s="1"/>
      <c r="AJU128" s="1"/>
      <c r="AJV128" s="1"/>
      <c r="AJW128" s="1"/>
      <c r="AJX128" s="1"/>
      <c r="AJY128" s="1"/>
      <c r="AJZ128" s="1"/>
      <c r="AKA128" s="1"/>
      <c r="AKB128" s="1"/>
      <c r="AKC128" s="1"/>
      <c r="AKD128" s="1"/>
      <c r="AKE128" s="1"/>
      <c r="AKF128" s="1"/>
      <c r="AKG128" s="1"/>
      <c r="AKH128" s="1"/>
      <c r="AKI128" s="1"/>
      <c r="AKJ128" s="1"/>
      <c r="AKK128" s="1"/>
      <c r="AKL128" s="1"/>
      <c r="AKM128" s="1"/>
      <c r="AKN128" s="1"/>
      <c r="AKO128" s="1"/>
      <c r="AKP128" s="1"/>
      <c r="AKQ128" s="1"/>
      <c r="AKR128" s="1"/>
      <c r="AKS128" s="1"/>
      <c r="AKT128" s="1"/>
      <c r="AKU128" s="1"/>
      <c r="AKV128" s="1"/>
      <c r="AKW128" s="1"/>
      <c r="AKX128" s="1"/>
      <c r="AKY128" s="1"/>
      <c r="AKZ128" s="1"/>
      <c r="ALA128" s="1"/>
      <c r="ALB128" s="1"/>
      <c r="ALC128" s="1"/>
      <c r="ALD128" s="1"/>
      <c r="ALE128" s="1"/>
      <c r="ALF128" s="1"/>
      <c r="ALG128" s="1"/>
      <c r="ALH128" s="1"/>
      <c r="ALI128" s="1"/>
      <c r="ALJ128" s="1"/>
      <c r="ALK128" s="1"/>
      <c r="ALL128" s="1"/>
      <c r="ALM128" s="1"/>
      <c r="ALN128" s="1"/>
      <c r="ALO128" s="1"/>
      <c r="ALP128" s="1"/>
      <c r="ALQ128" s="1"/>
      <c r="ALR128" s="1"/>
      <c r="ALS128" s="1"/>
      <c r="ALT128" s="1"/>
      <c r="ALU128" s="1"/>
      <c r="ALV128" s="1"/>
      <c r="ALW128" s="1"/>
      <c r="ALX128" s="1"/>
      <c r="ALY128" s="1"/>
      <c r="ALZ128" s="1"/>
      <c r="AMA128" s="1"/>
      <c r="AMB128" s="1"/>
      <c r="AMC128" s="1"/>
      <c r="AMD128" s="1"/>
      <c r="AME128" s="1"/>
      <c r="AMF128" s="1"/>
      <c r="AMG128" s="1"/>
      <c r="AMH128" s="1"/>
      <c r="AMI128" s="1"/>
      <c r="AMJ128" s="1"/>
      <c r="AMK128" s="1"/>
      <c r="AML128" s="1"/>
      <c r="AMM128" s="1"/>
      <c r="AMN128" s="1"/>
      <c r="AMO128" s="1"/>
    </row>
    <row r="129" spans="1:1030" x14ac:dyDescent="0.2">
      <c r="A129" s="3" t="str">
        <f t="shared" si="561"/>
        <v>c5ar1_human__wt</v>
      </c>
      <c r="B129" s="3" t="s">
        <v>165</v>
      </c>
      <c r="C129" s="3" t="s">
        <v>100</v>
      </c>
      <c r="D129" s="3" t="str">
        <f>IFERROR(MID(VLOOKUP($B129,Seqs!$A:$B,2,0),E129,1),"")</f>
        <v>R</v>
      </c>
      <c r="E129" s="3">
        <v>34</v>
      </c>
      <c r="F129" s="3" t="str">
        <f>IFERROR(MID(VLOOKUP($B129,Seqs!$A:$B,2,0),G129,1),"")</f>
        <v>E</v>
      </c>
      <c r="G129" s="3">
        <v>65</v>
      </c>
      <c r="H129" s="3" t="str">
        <f>IFERROR(MID(VLOOKUP($B129,Seqs!$A:$B,2,0),I129,1),"")</f>
        <v/>
      </c>
      <c r="I129" s="23" t="s">
        <v>23</v>
      </c>
      <c r="J129" s="3" t="str">
        <f>IFERROR(MID(VLOOKUP($B129,Seqs!$A:$B,2,0),K129,1),"")</f>
        <v/>
      </c>
      <c r="K129" s="23" t="s">
        <v>23</v>
      </c>
      <c r="L129" s="3" t="str">
        <f>IFERROR(MID(VLOOKUP($B129,Seqs!$A:$B,2,0),M129,1),"")</f>
        <v>T</v>
      </c>
      <c r="M129" s="3">
        <v>69</v>
      </c>
      <c r="N129" s="3" t="str">
        <f>IFERROR(MID(VLOOKUP($B129,Seqs!$A:$B,2,0),O129,1),"")</f>
        <v>H</v>
      </c>
      <c r="O129" s="3">
        <v>99</v>
      </c>
      <c r="P129" s="3" t="str">
        <f>IFERROR(MID(VLOOKUP($B129,Seqs!$A:$B,2,0),Q129,1),"")</f>
        <v>H</v>
      </c>
      <c r="Q129" s="3">
        <v>101</v>
      </c>
      <c r="R129" s="3" t="str">
        <f>IFERROR(MID(VLOOKUP($B129,Seqs!$A:$B,2,0),S129,1),"")</f>
        <v>F</v>
      </c>
      <c r="S129" s="3">
        <v>104</v>
      </c>
      <c r="T129" s="3" t="str">
        <f>IFERROR(MID(VLOOKUP($B129,Seqs!$A:$B,2,0),U129,1),"")</f>
        <v>G</v>
      </c>
      <c r="U129" s="3">
        <v>105</v>
      </c>
      <c r="V129" s="3" t="str">
        <f>IFERROR(MID(VLOOKUP($B129,Seqs!$A:$B,2,0),W129,1),"")</f>
        <v>K</v>
      </c>
      <c r="W129" s="3">
        <v>140</v>
      </c>
      <c r="X129" s="3" t="str">
        <f>IFERROR(MID(VLOOKUP($B129,Seqs!$A:$B,2,0),Y129,1),"")</f>
        <v>P</v>
      </c>
      <c r="Y129" s="3">
        <v>141</v>
      </c>
      <c r="Z129" s="3" t="str">
        <f>IFERROR(MID(VLOOKUP($B129,Seqs!$A:$B,2,0),AA129,1),"")</f>
        <v>R</v>
      </c>
      <c r="AA129" s="3">
        <v>148</v>
      </c>
      <c r="AB129" s="3" t="str">
        <f>IFERROR(MID(VLOOKUP($B129,Seqs!$A:$B,2,0),AC129,1),"")</f>
        <v>G</v>
      </c>
      <c r="AC129" s="3">
        <v>149</v>
      </c>
      <c r="AD129" s="3" t="str">
        <f>IFERROR(MID(VLOOKUP($B129,Seqs!$A:$B,2,0),AE129,1),"")</f>
        <v>R</v>
      </c>
      <c r="AE129" s="3">
        <v>175</v>
      </c>
      <c r="AF129" s="3" t="str">
        <f>IFERROR(MID(VLOOKUP($B129,Seqs!$A:$B,2,0),AG129,1),"")</f>
        <v>C</v>
      </c>
      <c r="AG129" s="3">
        <v>188</v>
      </c>
      <c r="AH129" s="3" t="str">
        <f>IFERROR(MID(VLOOKUP($B129,Seqs!$A:$B,2,0),AI129,1),"")</f>
        <v>V</v>
      </c>
      <c r="AI129" s="3">
        <v>190</v>
      </c>
      <c r="AJ129" s="3" t="str">
        <f>IFERROR(MID(VLOOKUP($B129,Seqs!$A:$B,2,0),AK129,1),"")</f>
        <v>D</v>
      </c>
      <c r="AK129" s="3">
        <v>195</v>
      </c>
      <c r="AL129" s="3" t="str">
        <f>IFERROR(MID(VLOOKUP($B129,Seqs!$A:$B,2,0),AM129,1),"")</f>
        <v>R</v>
      </c>
      <c r="AM129" s="3">
        <v>232</v>
      </c>
      <c r="AN129" s="3" t="str">
        <f>IFERROR(MID(VLOOKUP($B129,Seqs!$A:$B,2,0),AO129,1),"")</f>
        <v>T</v>
      </c>
      <c r="AO129" s="3">
        <v>238</v>
      </c>
      <c r="AP129" s="3" t="str">
        <f>IFERROR(MID(VLOOKUP($B129,Seqs!$A:$B,2,0),AQ129,1),"")</f>
        <v>L</v>
      </c>
      <c r="AQ129" s="3">
        <v>268</v>
      </c>
      <c r="AR129" s="3" t="str">
        <f>IFERROR(MID(VLOOKUP($B129,Seqs!$A:$B,2,0),AS129,1),"")</f>
        <v>S</v>
      </c>
      <c r="AS129" s="3">
        <v>272</v>
      </c>
      <c r="AT129" s="3" t="str">
        <f>IFERROR(MID(VLOOKUP($B129,Seqs!$A:$B,2,0),AU129,1),"")</f>
        <v>A</v>
      </c>
      <c r="AU129" s="3">
        <v>303</v>
      </c>
      <c r="AV129" s="3" t="str">
        <f>IFERROR(MID(VLOOKUP($B129,Seqs!$A:$B,2,0),AW129,1),"")</f>
        <v>G</v>
      </c>
      <c r="AW129" s="3">
        <v>304</v>
      </c>
      <c r="AX129" s="3" t="str">
        <f>IFERROR(MID(VLOOKUP($B129,Seqs!$A:$B,2,0),AY129,1),"")</f>
        <v>K</v>
      </c>
      <c r="AY129" s="3">
        <v>313</v>
      </c>
      <c r="AZ129" s="77" t="str">
        <f>VLOOKUP(B129,Classification!A:D,2,0)</f>
        <v>A</v>
      </c>
      <c r="BA129" s="94" t="str">
        <f>VLOOKUP(B129,Classification!A:D,4,0)</f>
        <v>Complementpeptide</v>
      </c>
      <c r="BB129" s="27" t="b">
        <f t="shared" si="562"/>
        <v>1</v>
      </c>
      <c r="BC129" s="23">
        <f t="shared" si="563"/>
        <v>253</v>
      </c>
      <c r="BD129" s="2" t="s">
        <v>23</v>
      </c>
      <c r="BE129" s="3" t="s">
        <v>1381</v>
      </c>
      <c r="BF129" s="119" t="s">
        <v>23</v>
      </c>
      <c r="BI129" s="1"/>
      <c r="BJ129" s="70" t="s">
        <v>1293</v>
      </c>
      <c r="BK129" s="57" t="s">
        <v>1293</v>
      </c>
      <c r="BL129" s="57" t="s">
        <v>1293</v>
      </c>
      <c r="BM129" s="57" t="s">
        <v>1293</v>
      </c>
      <c r="BN129" s="57" t="s">
        <v>1293</v>
      </c>
      <c r="BO129" s="57" t="s">
        <v>1293</v>
      </c>
      <c r="BP129" s="57" t="s">
        <v>1293</v>
      </c>
      <c r="BQ129" s="57" t="s">
        <v>1293</v>
      </c>
      <c r="BR129" s="57" t="s">
        <v>1293</v>
      </c>
      <c r="BS129" s="57" t="s">
        <v>1293</v>
      </c>
      <c r="BT129" s="57" t="s">
        <v>1293</v>
      </c>
      <c r="BU129" s="57" t="s">
        <v>1293</v>
      </c>
      <c r="BV129" s="70">
        <f t="shared" si="564"/>
        <v>34</v>
      </c>
      <c r="BW129" s="71" t="str">
        <f t="shared" si="565"/>
        <v>-</v>
      </c>
      <c r="BX129" s="72">
        <f t="shared" si="566"/>
        <v>69</v>
      </c>
      <c r="BY129" s="71">
        <f t="shared" si="567"/>
        <v>101</v>
      </c>
      <c r="BZ129" s="72">
        <f t="shared" si="568"/>
        <v>105</v>
      </c>
      <c r="CA129" s="71">
        <f t="shared" si="569"/>
        <v>141</v>
      </c>
      <c r="CB129" s="72">
        <f t="shared" si="570"/>
        <v>149</v>
      </c>
      <c r="CC129" s="71">
        <f t="shared" si="571"/>
        <v>188</v>
      </c>
      <c r="CD129" s="72">
        <f t="shared" si="572"/>
        <v>195</v>
      </c>
      <c r="CE129" s="71">
        <f t="shared" si="573"/>
        <v>238</v>
      </c>
      <c r="CF129" s="72">
        <f t="shared" si="574"/>
        <v>272</v>
      </c>
      <c r="CG129" s="71">
        <f t="shared" si="575"/>
        <v>304</v>
      </c>
      <c r="CH129" s="70">
        <f t="shared" si="576"/>
        <v>65</v>
      </c>
      <c r="CI129" s="71" t="str">
        <f t="shared" si="577"/>
        <v>-</v>
      </c>
      <c r="CJ129" s="72">
        <f t="shared" si="578"/>
        <v>99</v>
      </c>
      <c r="CK129" s="72">
        <f t="shared" si="579"/>
        <v>104</v>
      </c>
      <c r="CL129" s="72">
        <f t="shared" si="580"/>
        <v>140</v>
      </c>
      <c r="CM129" s="72">
        <f t="shared" si="581"/>
        <v>148</v>
      </c>
      <c r="CN129" s="72">
        <f t="shared" si="582"/>
        <v>175</v>
      </c>
      <c r="CO129" s="72">
        <f t="shared" si="583"/>
        <v>190</v>
      </c>
      <c r="CP129" s="72">
        <f t="shared" si="584"/>
        <v>232</v>
      </c>
      <c r="CQ129" s="72">
        <f t="shared" si="585"/>
        <v>268</v>
      </c>
      <c r="CR129" s="72">
        <f t="shared" si="586"/>
        <v>303</v>
      </c>
      <c r="CS129" s="72">
        <f t="shared" si="587"/>
        <v>313</v>
      </c>
      <c r="CT129" s="23" t="e">
        <f t="shared" si="588"/>
        <v>#VALUE!</v>
      </c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  <c r="OK129" s="1"/>
      <c r="OL129" s="1"/>
      <c r="OM129" s="1"/>
      <c r="ON129" s="1"/>
      <c r="OO129" s="1"/>
      <c r="OP129" s="1"/>
      <c r="OQ129" s="1"/>
      <c r="OR129" s="1"/>
      <c r="OS129" s="1"/>
      <c r="OT129" s="1"/>
      <c r="OU129" s="1"/>
      <c r="OV129" s="1"/>
      <c r="OW129" s="1"/>
      <c r="OX129" s="1"/>
      <c r="OY129" s="1"/>
      <c r="OZ129" s="1"/>
      <c r="PA129" s="1"/>
      <c r="PB129" s="1"/>
      <c r="PC129" s="1"/>
      <c r="PD129" s="1"/>
      <c r="PE129" s="1"/>
      <c r="PF129" s="1"/>
      <c r="PG129" s="1"/>
      <c r="PH129" s="1"/>
      <c r="PI129" s="1"/>
      <c r="PJ129" s="1"/>
      <c r="PK129" s="1"/>
      <c r="PL129" s="1"/>
      <c r="PM129" s="1"/>
      <c r="PN129" s="1"/>
      <c r="PO129" s="1"/>
      <c r="PP129" s="1"/>
      <c r="PQ129" s="1"/>
      <c r="PR129" s="1"/>
      <c r="PS129" s="1"/>
      <c r="PT129" s="1"/>
      <c r="PU129" s="1"/>
      <c r="PV129" s="1"/>
      <c r="PW129" s="1"/>
      <c r="PX129" s="1"/>
      <c r="PY129" s="1"/>
      <c r="PZ129" s="1"/>
      <c r="QA129" s="1"/>
      <c r="QB129" s="1"/>
      <c r="QC129" s="1"/>
      <c r="QD129" s="1"/>
      <c r="QE129" s="1"/>
      <c r="QF129" s="1"/>
      <c r="QG129" s="1"/>
      <c r="QH129" s="1"/>
      <c r="QI129" s="1"/>
      <c r="QJ129" s="1"/>
      <c r="QK129" s="1"/>
      <c r="QL129" s="1"/>
      <c r="QM129" s="1"/>
      <c r="QN129" s="1"/>
      <c r="QO129" s="1"/>
      <c r="QP129" s="1"/>
      <c r="QQ129" s="1"/>
      <c r="QR129" s="1"/>
      <c r="QS129" s="1"/>
      <c r="QT129" s="1"/>
      <c r="QU129" s="1"/>
      <c r="QV129" s="1"/>
      <c r="QW129" s="1"/>
      <c r="QX129" s="1"/>
      <c r="QY129" s="1"/>
      <c r="QZ129" s="1"/>
      <c r="RA129" s="1"/>
      <c r="RB129" s="1"/>
      <c r="RC129" s="1"/>
      <c r="RD129" s="1"/>
      <c r="RE129" s="1"/>
      <c r="RF129" s="1"/>
      <c r="RG129" s="1"/>
      <c r="RH129" s="1"/>
      <c r="RI129" s="1"/>
      <c r="RJ129" s="1"/>
      <c r="RK129" s="1"/>
      <c r="RL129" s="1"/>
      <c r="RM129" s="1"/>
      <c r="RN129" s="1"/>
      <c r="RO129" s="1"/>
      <c r="RP129" s="1"/>
      <c r="RQ129" s="1"/>
      <c r="RR129" s="1"/>
      <c r="RS129" s="1"/>
      <c r="RT129" s="1"/>
      <c r="RU129" s="1"/>
      <c r="RV129" s="1"/>
      <c r="RW129" s="1"/>
      <c r="RX129" s="1"/>
      <c r="RY129" s="1"/>
      <c r="RZ129" s="1"/>
      <c r="SA129" s="1"/>
      <c r="SB129" s="1"/>
      <c r="SC129" s="1"/>
      <c r="SD129" s="1"/>
      <c r="SE129" s="1"/>
      <c r="SF129" s="1"/>
      <c r="SG129" s="1"/>
      <c r="SH129" s="1"/>
      <c r="SI129" s="1"/>
      <c r="SJ129" s="1"/>
      <c r="SK129" s="1"/>
      <c r="SL129" s="1"/>
      <c r="SM129" s="1"/>
      <c r="SN129" s="1"/>
      <c r="SO129" s="1"/>
      <c r="SP129" s="1"/>
      <c r="SQ129" s="1"/>
      <c r="SR129" s="1"/>
      <c r="SS129" s="1"/>
      <c r="ST129" s="1"/>
      <c r="SU129" s="1"/>
      <c r="SV129" s="1"/>
      <c r="SW129" s="1"/>
      <c r="SX129" s="1"/>
      <c r="SY129" s="1"/>
      <c r="SZ129" s="1"/>
      <c r="TA129" s="1"/>
      <c r="TB129" s="1"/>
      <c r="TC129" s="1"/>
      <c r="TD129" s="1"/>
      <c r="TE129" s="1"/>
      <c r="TF129" s="1"/>
      <c r="TG129" s="1"/>
      <c r="TH129" s="1"/>
      <c r="TI129" s="1"/>
      <c r="TJ129" s="1"/>
      <c r="TK129" s="1"/>
      <c r="TL129" s="1"/>
      <c r="TM129" s="1"/>
      <c r="TN129" s="1"/>
      <c r="TO129" s="1"/>
      <c r="TP129" s="1"/>
      <c r="TQ129" s="1"/>
      <c r="TR129" s="1"/>
      <c r="TS129" s="1"/>
      <c r="TT129" s="1"/>
      <c r="TU129" s="1"/>
      <c r="TV129" s="1"/>
      <c r="TW129" s="1"/>
      <c r="TX129" s="1"/>
      <c r="TY129" s="1"/>
      <c r="TZ129" s="1"/>
      <c r="UA129" s="1"/>
      <c r="UB129" s="1"/>
      <c r="UC129" s="1"/>
      <c r="UD129" s="1"/>
      <c r="UE129" s="1"/>
      <c r="UF129" s="1"/>
      <c r="UG129" s="1"/>
      <c r="UH129" s="1"/>
      <c r="UI129" s="1"/>
      <c r="UJ129" s="1"/>
      <c r="UK129" s="1"/>
      <c r="UL129" s="1"/>
      <c r="UM129" s="1"/>
      <c r="UN129" s="1"/>
      <c r="UO129" s="1"/>
      <c r="UP129" s="1"/>
      <c r="UQ129" s="1"/>
      <c r="UR129" s="1"/>
      <c r="US129" s="1"/>
      <c r="UT129" s="1"/>
      <c r="UU129" s="1"/>
      <c r="UV129" s="1"/>
      <c r="UW129" s="1"/>
      <c r="UX129" s="1"/>
      <c r="UY129" s="1"/>
      <c r="UZ129" s="1"/>
      <c r="VA129" s="1"/>
      <c r="VB129" s="1"/>
      <c r="VC129" s="1"/>
      <c r="VD129" s="1"/>
      <c r="VE129" s="1"/>
      <c r="VF129" s="1"/>
      <c r="VG129" s="1"/>
      <c r="VH129" s="1"/>
      <c r="VI129" s="1"/>
      <c r="VJ129" s="1"/>
      <c r="VK129" s="1"/>
      <c r="VL129" s="1"/>
      <c r="VM129" s="1"/>
      <c r="VN129" s="1"/>
      <c r="VO129" s="1"/>
      <c r="VP129" s="1"/>
      <c r="VQ129" s="1"/>
      <c r="VR129" s="1"/>
      <c r="VS129" s="1"/>
      <c r="VT129" s="1"/>
      <c r="VU129" s="1"/>
      <c r="VV129" s="1"/>
      <c r="VW129" s="1"/>
      <c r="VX129" s="1"/>
      <c r="VY129" s="1"/>
      <c r="VZ129" s="1"/>
      <c r="WA129" s="1"/>
      <c r="WB129" s="1"/>
      <c r="WC129" s="1"/>
      <c r="WD129" s="1"/>
      <c r="WE129" s="1"/>
      <c r="WF129" s="1"/>
      <c r="WG129" s="1"/>
      <c r="WH129" s="1"/>
      <c r="WI129" s="1"/>
      <c r="WJ129" s="1"/>
      <c r="WK129" s="1"/>
      <c r="WL129" s="1"/>
      <c r="WM129" s="1"/>
      <c r="WN129" s="1"/>
      <c r="WO129" s="1"/>
      <c r="WP129" s="1"/>
      <c r="WQ129" s="1"/>
      <c r="WR129" s="1"/>
      <c r="WS129" s="1"/>
      <c r="WT129" s="1"/>
      <c r="WU129" s="1"/>
      <c r="WV129" s="1"/>
      <c r="WW129" s="1"/>
      <c r="WX129" s="1"/>
      <c r="WY129" s="1"/>
      <c r="WZ129" s="1"/>
      <c r="XA129" s="1"/>
      <c r="XB129" s="1"/>
      <c r="XC129" s="1"/>
      <c r="XD129" s="1"/>
      <c r="XE129" s="1"/>
      <c r="XF129" s="1"/>
      <c r="XG129" s="1"/>
      <c r="XH129" s="1"/>
      <c r="XI129" s="1"/>
      <c r="XJ129" s="1"/>
      <c r="XK129" s="1"/>
      <c r="XL129" s="1"/>
      <c r="XM129" s="1"/>
      <c r="XN129" s="1"/>
      <c r="XO129" s="1"/>
      <c r="XP129" s="1"/>
      <c r="XQ129" s="1"/>
      <c r="XR129" s="1"/>
      <c r="XS129" s="1"/>
      <c r="XT129" s="1"/>
      <c r="XU129" s="1"/>
      <c r="XV129" s="1"/>
      <c r="XW129" s="1"/>
      <c r="XX129" s="1"/>
      <c r="XY129" s="1"/>
      <c r="XZ129" s="1"/>
      <c r="YA129" s="1"/>
      <c r="YB129" s="1"/>
      <c r="YC129" s="1"/>
      <c r="YD129" s="1"/>
      <c r="YE129" s="1"/>
      <c r="YF129" s="1"/>
      <c r="YG129" s="1"/>
      <c r="YH129" s="1"/>
      <c r="YI129" s="1"/>
      <c r="YJ129" s="1"/>
      <c r="YK129" s="1"/>
      <c r="YL129" s="1"/>
      <c r="YM129" s="1"/>
      <c r="YN129" s="1"/>
      <c r="YO129" s="1"/>
      <c r="YP129" s="1"/>
      <c r="YQ129" s="1"/>
      <c r="YR129" s="1"/>
      <c r="YS129" s="1"/>
      <c r="YT129" s="1"/>
      <c r="YU129" s="1"/>
      <c r="YV129" s="1"/>
      <c r="YW129" s="1"/>
      <c r="YX129" s="1"/>
      <c r="YY129" s="1"/>
      <c r="YZ129" s="1"/>
      <c r="ZA129" s="1"/>
      <c r="ZB129" s="1"/>
      <c r="ZC129" s="1"/>
      <c r="ZD129" s="1"/>
      <c r="ZE129" s="1"/>
      <c r="ZF129" s="1"/>
      <c r="ZG129" s="1"/>
      <c r="ZH129" s="1"/>
      <c r="ZI129" s="1"/>
      <c r="ZJ129" s="1"/>
      <c r="ZK129" s="1"/>
      <c r="ZL129" s="1"/>
      <c r="ZM129" s="1"/>
      <c r="ZN129" s="1"/>
      <c r="ZO129" s="1"/>
      <c r="ZP129" s="1"/>
      <c r="ZQ129" s="1"/>
      <c r="ZR129" s="1"/>
      <c r="ZS129" s="1"/>
      <c r="ZT129" s="1"/>
      <c r="ZU129" s="1"/>
      <c r="ZV129" s="1"/>
      <c r="ZW129" s="1"/>
      <c r="ZX129" s="1"/>
      <c r="ZY129" s="1"/>
      <c r="ZZ129" s="1"/>
      <c r="AAA129" s="1"/>
      <c r="AAB129" s="1"/>
      <c r="AAC129" s="1"/>
      <c r="AAD129" s="1"/>
      <c r="AAE129" s="1"/>
      <c r="AAF129" s="1"/>
      <c r="AAG129" s="1"/>
      <c r="AAH129" s="1"/>
      <c r="AAI129" s="1"/>
      <c r="AAJ129" s="1"/>
      <c r="AAK129" s="1"/>
      <c r="AAL129" s="1"/>
      <c r="AAM129" s="1"/>
      <c r="AAN129" s="1"/>
      <c r="AAO129" s="1"/>
      <c r="AAP129" s="1"/>
      <c r="AAQ129" s="1"/>
      <c r="AAR129" s="1"/>
      <c r="AAS129" s="1"/>
      <c r="AAT129" s="1"/>
      <c r="AAU129" s="1"/>
      <c r="AAV129" s="1"/>
      <c r="AAW129" s="1"/>
      <c r="AAX129" s="1"/>
      <c r="AAY129" s="1"/>
      <c r="AAZ129" s="1"/>
      <c r="ABA129" s="1"/>
      <c r="ABB129" s="1"/>
      <c r="ABC129" s="1"/>
      <c r="ABD129" s="1"/>
      <c r="ABE129" s="1"/>
      <c r="ABF129" s="1"/>
      <c r="ABG129" s="1"/>
      <c r="ABH129" s="1"/>
      <c r="ABI129" s="1"/>
      <c r="ABJ129" s="1"/>
      <c r="ABK129" s="1"/>
      <c r="ABL129" s="1"/>
      <c r="ABM129" s="1"/>
      <c r="ABN129" s="1"/>
      <c r="ABO129" s="1"/>
      <c r="ABP129" s="1"/>
      <c r="ABQ129" s="1"/>
      <c r="ABR129" s="1"/>
      <c r="ABS129" s="1"/>
      <c r="ABT129" s="1"/>
      <c r="ABU129" s="1"/>
      <c r="ABV129" s="1"/>
      <c r="ABW129" s="1"/>
      <c r="ABX129" s="1"/>
      <c r="ABY129" s="1"/>
      <c r="ABZ129" s="1"/>
      <c r="ACA129" s="1"/>
      <c r="ACB129" s="1"/>
      <c r="ACC129" s="1"/>
      <c r="ACD129" s="1"/>
      <c r="ACE129" s="1"/>
      <c r="ACF129" s="1"/>
      <c r="ACG129" s="1"/>
      <c r="ACH129" s="1"/>
      <c r="ACI129" s="1"/>
      <c r="ACJ129" s="1"/>
      <c r="ACK129" s="1"/>
      <c r="ACL129" s="1"/>
      <c r="ACM129" s="1"/>
      <c r="ACN129" s="1"/>
      <c r="ACO129" s="1"/>
      <c r="ACP129" s="1"/>
      <c r="ACQ129" s="1"/>
      <c r="ACR129" s="1"/>
      <c r="ACS129" s="1"/>
      <c r="ACT129" s="1"/>
      <c r="ACU129" s="1"/>
      <c r="ACV129" s="1"/>
      <c r="ACW129" s="1"/>
      <c r="ACX129" s="1"/>
      <c r="ACY129" s="1"/>
      <c r="ACZ129" s="1"/>
      <c r="ADA129" s="1"/>
      <c r="ADB129" s="1"/>
      <c r="ADC129" s="1"/>
      <c r="ADD129" s="1"/>
      <c r="ADE129" s="1"/>
      <c r="ADF129" s="1"/>
      <c r="ADG129" s="1"/>
      <c r="ADH129" s="1"/>
      <c r="ADI129" s="1"/>
      <c r="ADJ129" s="1"/>
      <c r="ADK129" s="1"/>
      <c r="ADL129" s="1"/>
      <c r="ADM129" s="1"/>
      <c r="ADN129" s="1"/>
      <c r="ADO129" s="1"/>
      <c r="ADP129" s="1"/>
      <c r="ADQ129" s="1"/>
      <c r="ADR129" s="1"/>
      <c r="ADS129" s="1"/>
      <c r="ADT129" s="1"/>
      <c r="ADU129" s="1"/>
      <c r="ADV129" s="1"/>
      <c r="ADW129" s="1"/>
      <c r="ADX129" s="1"/>
      <c r="ADY129" s="1"/>
      <c r="ADZ129" s="1"/>
      <c r="AEA129" s="1"/>
      <c r="AEB129" s="1"/>
      <c r="AEC129" s="1"/>
      <c r="AED129" s="1"/>
      <c r="AEE129" s="1"/>
      <c r="AEF129" s="1"/>
      <c r="AEG129" s="1"/>
      <c r="AEH129" s="1"/>
      <c r="AEI129" s="1"/>
      <c r="AEJ129" s="1"/>
      <c r="AEK129" s="1"/>
      <c r="AEL129" s="1"/>
      <c r="AEM129" s="1"/>
      <c r="AEN129" s="1"/>
      <c r="AEO129" s="1"/>
      <c r="AEP129" s="1"/>
      <c r="AEQ129" s="1"/>
      <c r="AER129" s="1"/>
      <c r="AES129" s="1"/>
      <c r="AET129" s="1"/>
      <c r="AEU129" s="1"/>
      <c r="AEV129" s="1"/>
      <c r="AEW129" s="1"/>
      <c r="AEX129" s="1"/>
      <c r="AEY129" s="1"/>
      <c r="AEZ129" s="1"/>
      <c r="AFA129" s="1"/>
      <c r="AFB129" s="1"/>
      <c r="AFC129" s="1"/>
      <c r="AFD129" s="1"/>
      <c r="AFE129" s="1"/>
      <c r="AFF129" s="1"/>
      <c r="AFG129" s="1"/>
      <c r="AFH129" s="1"/>
      <c r="AFI129" s="1"/>
      <c r="AFJ129" s="1"/>
      <c r="AFK129" s="1"/>
      <c r="AFL129" s="1"/>
      <c r="AFM129" s="1"/>
      <c r="AFN129" s="1"/>
      <c r="AFO129" s="1"/>
      <c r="AFP129" s="1"/>
      <c r="AFQ129" s="1"/>
      <c r="AFR129" s="1"/>
      <c r="AFS129" s="1"/>
      <c r="AFT129" s="1"/>
      <c r="AFU129" s="1"/>
      <c r="AFV129" s="1"/>
      <c r="AFW129" s="1"/>
      <c r="AFX129" s="1"/>
      <c r="AFY129" s="1"/>
      <c r="AFZ129" s="1"/>
      <c r="AGA129" s="1"/>
      <c r="AGB129" s="1"/>
      <c r="AGC129" s="1"/>
      <c r="AGD129" s="1"/>
      <c r="AGE129" s="1"/>
      <c r="AGF129" s="1"/>
      <c r="AGG129" s="1"/>
      <c r="AGH129" s="1"/>
      <c r="AGI129" s="1"/>
      <c r="AGJ129" s="1"/>
      <c r="AGK129" s="1"/>
      <c r="AGL129" s="1"/>
      <c r="AGM129" s="1"/>
      <c r="AGN129" s="1"/>
      <c r="AGO129" s="1"/>
      <c r="AGP129" s="1"/>
      <c r="AGQ129" s="1"/>
      <c r="AGR129" s="1"/>
      <c r="AGS129" s="1"/>
      <c r="AGT129" s="1"/>
      <c r="AGU129" s="1"/>
      <c r="AGV129" s="1"/>
      <c r="AGW129" s="1"/>
      <c r="AGX129" s="1"/>
      <c r="AGY129" s="1"/>
      <c r="AGZ129" s="1"/>
      <c r="AHA129" s="1"/>
      <c r="AHB129" s="1"/>
      <c r="AHC129" s="1"/>
      <c r="AHD129" s="1"/>
      <c r="AHE129" s="1"/>
      <c r="AHF129" s="1"/>
      <c r="AHG129" s="1"/>
      <c r="AHH129" s="1"/>
      <c r="AHI129" s="1"/>
      <c r="AHJ129" s="1"/>
      <c r="AHK129" s="1"/>
      <c r="AHL129" s="1"/>
      <c r="AHM129" s="1"/>
      <c r="AHN129" s="1"/>
      <c r="AHO129" s="1"/>
      <c r="AHP129" s="1"/>
      <c r="AHQ129" s="1"/>
      <c r="AHR129" s="1"/>
      <c r="AHS129" s="1"/>
      <c r="AHT129" s="1"/>
      <c r="AHU129" s="1"/>
      <c r="AHV129" s="1"/>
      <c r="AHW129" s="1"/>
      <c r="AHX129" s="1"/>
      <c r="AHY129" s="1"/>
      <c r="AHZ129" s="1"/>
      <c r="AIA129" s="1"/>
      <c r="AIB129" s="1"/>
      <c r="AIC129" s="1"/>
      <c r="AID129" s="1"/>
      <c r="AIE129" s="1"/>
      <c r="AIF129" s="1"/>
      <c r="AIG129" s="1"/>
      <c r="AIH129" s="1"/>
      <c r="AII129" s="1"/>
      <c r="AIJ129" s="1"/>
      <c r="AIK129" s="1"/>
      <c r="AIL129" s="1"/>
      <c r="AIM129" s="1"/>
      <c r="AIN129" s="1"/>
      <c r="AIO129" s="1"/>
      <c r="AIP129" s="1"/>
      <c r="AIQ129" s="1"/>
      <c r="AIR129" s="1"/>
      <c r="AIS129" s="1"/>
      <c r="AIT129" s="1"/>
      <c r="AIU129" s="1"/>
      <c r="AIV129" s="1"/>
      <c r="AIW129" s="1"/>
      <c r="AIX129" s="1"/>
      <c r="AIY129" s="1"/>
      <c r="AIZ129" s="1"/>
      <c r="AJA129" s="1"/>
      <c r="AJB129" s="1"/>
      <c r="AJC129" s="1"/>
      <c r="AJD129" s="1"/>
      <c r="AJE129" s="1"/>
      <c r="AJF129" s="1"/>
      <c r="AJG129" s="1"/>
      <c r="AJH129" s="1"/>
      <c r="AJI129" s="1"/>
      <c r="AJJ129" s="1"/>
      <c r="AJK129" s="1"/>
      <c r="AJL129" s="1"/>
      <c r="AJM129" s="1"/>
      <c r="AJN129" s="1"/>
      <c r="AJO129" s="1"/>
      <c r="AJP129" s="1"/>
      <c r="AJQ129" s="1"/>
      <c r="AJR129" s="1"/>
      <c r="AJS129" s="1"/>
      <c r="AJT129" s="1"/>
      <c r="AJU129" s="1"/>
      <c r="AJV129" s="1"/>
      <c r="AJW129" s="1"/>
      <c r="AJX129" s="1"/>
      <c r="AJY129" s="1"/>
      <c r="AJZ129" s="1"/>
      <c r="AKA129" s="1"/>
      <c r="AKB129" s="1"/>
      <c r="AKC129" s="1"/>
      <c r="AKD129" s="1"/>
      <c r="AKE129" s="1"/>
      <c r="AKF129" s="1"/>
      <c r="AKG129" s="1"/>
      <c r="AKH129" s="1"/>
      <c r="AKI129" s="1"/>
      <c r="AKJ129" s="1"/>
      <c r="AKK129" s="1"/>
      <c r="AKL129" s="1"/>
      <c r="AKM129" s="1"/>
      <c r="AKN129" s="1"/>
      <c r="AKO129" s="1"/>
      <c r="AKP129" s="1"/>
      <c r="AKQ129" s="1"/>
      <c r="AKR129" s="1"/>
      <c r="AKS129" s="1"/>
      <c r="AKT129" s="1"/>
      <c r="AKU129" s="1"/>
      <c r="AKV129" s="1"/>
      <c r="AKW129" s="1"/>
      <c r="AKX129" s="1"/>
      <c r="AKY129" s="1"/>
      <c r="AKZ129" s="1"/>
      <c r="ALA129" s="1"/>
      <c r="ALB129" s="1"/>
      <c r="ALC129" s="1"/>
      <c r="ALD129" s="1"/>
      <c r="ALE129" s="1"/>
      <c r="ALF129" s="1"/>
      <c r="ALG129" s="1"/>
      <c r="ALH129" s="1"/>
      <c r="ALI129" s="1"/>
      <c r="ALJ129" s="1"/>
      <c r="ALK129" s="1"/>
      <c r="ALL129" s="1"/>
      <c r="ALM129" s="1"/>
      <c r="ALN129" s="1"/>
      <c r="ALO129" s="1"/>
      <c r="ALP129" s="1"/>
      <c r="ALQ129" s="1"/>
      <c r="ALR129" s="1"/>
      <c r="ALS129" s="1"/>
      <c r="ALT129" s="1"/>
      <c r="ALU129" s="1"/>
      <c r="ALV129" s="1"/>
      <c r="ALW129" s="1"/>
      <c r="ALX129" s="1"/>
      <c r="ALY129" s="1"/>
      <c r="ALZ129" s="1"/>
      <c r="AMA129" s="1"/>
      <c r="AMB129" s="1"/>
      <c r="AMC129" s="1"/>
      <c r="AMD129" s="1"/>
      <c r="AME129" s="1"/>
      <c r="AMF129" s="1"/>
      <c r="AMG129" s="1"/>
      <c r="AMH129" s="1"/>
      <c r="AMI129" s="1"/>
      <c r="AMJ129" s="1"/>
      <c r="AMK129" s="1"/>
      <c r="AML129" s="1"/>
      <c r="AMM129" s="1"/>
      <c r="AMN129" s="1"/>
      <c r="AMO129" s="1"/>
    </row>
    <row r="130" spans="1:1030" x14ac:dyDescent="0.2">
      <c r="A130" s="3" t="str">
        <f t="shared" si="561"/>
        <v>c5ar1_human_5O9H</v>
      </c>
      <c r="B130" s="3" t="s">
        <v>165</v>
      </c>
      <c r="C130" s="3" t="s">
        <v>1492</v>
      </c>
      <c r="D130" s="3" t="str">
        <f>IFERROR(MID(VLOOKUP($B130,Seqs!$A:$B,2,0),E130,1),"")</f>
        <v>R</v>
      </c>
      <c r="E130" s="3">
        <v>34</v>
      </c>
      <c r="F130" s="3" t="str">
        <f>IFERROR(MID(VLOOKUP($B130,Seqs!$A:$B,2,0),G130,1),"")</f>
        <v>E</v>
      </c>
      <c r="G130" s="3">
        <v>65</v>
      </c>
      <c r="H130" s="3" t="str">
        <f>IFERROR(MID(VLOOKUP($B130,Seqs!$A:$B,2,0),I130,1),"")</f>
        <v/>
      </c>
      <c r="I130" s="23" t="s">
        <v>23</v>
      </c>
      <c r="J130" s="3" t="str">
        <f>IFERROR(MID(VLOOKUP($B130,Seqs!$A:$B,2,0),K130,1),"")</f>
        <v/>
      </c>
      <c r="K130" s="23" t="s">
        <v>23</v>
      </c>
      <c r="L130" s="3" t="str">
        <f>IFERROR(MID(VLOOKUP($B130,Seqs!$A:$B,2,0),M130,1),"")</f>
        <v>T</v>
      </c>
      <c r="M130" s="3">
        <v>69</v>
      </c>
      <c r="N130" s="3" t="str">
        <f>IFERROR(MID(VLOOKUP($B130,Seqs!$A:$B,2,0),O130,1),"")</f>
        <v>H</v>
      </c>
      <c r="O130" s="3">
        <v>99</v>
      </c>
      <c r="P130" s="3" t="str">
        <f>IFERROR(MID(VLOOKUP($B130,Seqs!$A:$B,2,0),Q130,1),"")</f>
        <v>H</v>
      </c>
      <c r="Q130" s="3">
        <v>101</v>
      </c>
      <c r="R130" s="3" t="str">
        <f>IFERROR(MID(VLOOKUP($B130,Seqs!$A:$B,2,0),S130,1),"")</f>
        <v>F</v>
      </c>
      <c r="S130" s="3">
        <v>104</v>
      </c>
      <c r="T130" s="3" t="str">
        <f>IFERROR(MID(VLOOKUP($B130,Seqs!$A:$B,2,0),U130,1),"")</f>
        <v>G</v>
      </c>
      <c r="U130" s="3">
        <v>105</v>
      </c>
      <c r="V130" s="3" t="str">
        <f>IFERROR(MID(VLOOKUP($B130,Seqs!$A:$B,2,0),W130,1),"")</f>
        <v>K</v>
      </c>
      <c r="W130" s="3">
        <v>140</v>
      </c>
      <c r="X130" s="3" t="str">
        <f>IFERROR(MID(VLOOKUP($B130,Seqs!$A:$B,2,0),Y130,1),"")</f>
        <v>P</v>
      </c>
      <c r="Y130" s="3">
        <v>141</v>
      </c>
      <c r="Z130" s="3" t="str">
        <f>IFERROR(MID(VLOOKUP($B130,Seqs!$A:$B,2,0),AA130,1),"")</f>
        <v>R</v>
      </c>
      <c r="AA130" s="3">
        <v>148</v>
      </c>
      <c r="AB130" s="3" t="str">
        <f>IFERROR(MID(VLOOKUP($B130,Seqs!$A:$B,2,0),AC130,1),"")</f>
        <v>G</v>
      </c>
      <c r="AC130" s="3">
        <v>149</v>
      </c>
      <c r="AD130" s="3" t="str">
        <f>IFERROR(MID(VLOOKUP($B130,Seqs!$A:$B,2,0),AE130,1),"")</f>
        <v>R</v>
      </c>
      <c r="AE130" s="3">
        <v>175</v>
      </c>
      <c r="AF130" s="3" t="str">
        <f>IFERROR(MID(VLOOKUP($B130,Seqs!$A:$B,2,0),AG130,1),"")</f>
        <v>C</v>
      </c>
      <c r="AG130" s="3">
        <v>188</v>
      </c>
      <c r="AH130" s="3" t="str">
        <f>IFERROR(MID(VLOOKUP($B130,Seqs!$A:$B,2,0),AI130,1),"")</f>
        <v>V</v>
      </c>
      <c r="AI130" s="3">
        <v>190</v>
      </c>
      <c r="AJ130" s="3" t="str">
        <f>IFERROR(MID(VLOOKUP($B130,Seqs!$A:$B,2,0),AK130,1),"")</f>
        <v>D</v>
      </c>
      <c r="AK130" s="3">
        <v>195</v>
      </c>
      <c r="AL130" s="3" t="str">
        <f>IFERROR(MID(VLOOKUP($B130,Seqs!$A:$B,2,0),AM130,1),"")</f>
        <v>R</v>
      </c>
      <c r="AM130" s="3">
        <v>232</v>
      </c>
      <c r="AN130" s="3" t="str">
        <f>IFERROR(MID(VLOOKUP($B130,Seqs!$A:$B,2,0),AO130,1),"")</f>
        <v>T</v>
      </c>
      <c r="AO130" s="3">
        <v>238</v>
      </c>
      <c r="AP130" s="3" t="str">
        <f>IFERROR(MID(VLOOKUP($B130,Seqs!$A:$B,2,0),AQ130,1),"")</f>
        <v>L</v>
      </c>
      <c r="AQ130" s="3">
        <v>268</v>
      </c>
      <c r="AR130" s="3" t="str">
        <f>IFERROR(MID(VLOOKUP($B130,Seqs!$A:$B,2,0),AS130,1),"")</f>
        <v>S</v>
      </c>
      <c r="AS130" s="3">
        <v>272</v>
      </c>
      <c r="AT130" s="3" t="str">
        <f>IFERROR(MID(VLOOKUP($B130,Seqs!$A:$B,2,0),AU130,1),"")</f>
        <v>F</v>
      </c>
      <c r="AU130" s="3">
        <v>307</v>
      </c>
      <c r="AV130" s="3" t="str">
        <f>IFERROR(MID(VLOOKUP($B130,Seqs!$A:$B,2,0),AW130,1),"")</f>
        <v/>
      </c>
      <c r="AW130" s="3" t="s">
        <v>23</v>
      </c>
      <c r="AX130" s="3" t="str">
        <f>IFERROR(MID(VLOOKUP($B130,Seqs!$A:$B,2,0),AY130,1),"")</f>
        <v/>
      </c>
      <c r="AY130" s="3" t="s">
        <v>23</v>
      </c>
      <c r="AZ130" s="77" t="str">
        <f>VLOOKUP(B130,Classification!A:D,2,0)</f>
        <v>A</v>
      </c>
      <c r="BA130" s="94" t="str">
        <f>VLOOKUP(B130,Classification!A:D,4,0)</f>
        <v>Complementpeptide</v>
      </c>
      <c r="BB130" s="27" t="b">
        <f t="shared" si="562"/>
        <v>1</v>
      </c>
      <c r="BC130" s="23">
        <f t="shared" si="563"/>
        <v>248</v>
      </c>
      <c r="BD130" s="2" t="s">
        <v>1383</v>
      </c>
      <c r="BE130" s="3" t="s">
        <v>1381</v>
      </c>
      <c r="BF130" s="119">
        <v>2.7</v>
      </c>
      <c r="BG130" s="49" t="s">
        <v>1</v>
      </c>
      <c r="BH130" s="49" t="s">
        <v>1</v>
      </c>
      <c r="BI130" s="1"/>
      <c r="BJ130" s="70" t="s">
        <v>1293</v>
      </c>
      <c r="BK130" s="57" t="s">
        <v>1293</v>
      </c>
      <c r="BL130" s="57" t="s">
        <v>1293</v>
      </c>
      <c r="BM130" s="57" t="s">
        <v>1293</v>
      </c>
      <c r="BN130" s="57" t="s">
        <v>1293</v>
      </c>
      <c r="BO130" s="57" t="s">
        <v>1293</v>
      </c>
      <c r="BP130" s="57" t="s">
        <v>1293</v>
      </c>
      <c r="BQ130" s="57" t="s">
        <v>1293</v>
      </c>
      <c r="BR130" s="57" t="s">
        <v>1293</v>
      </c>
      <c r="BS130" s="57" t="s">
        <v>1293</v>
      </c>
      <c r="BT130" s="57" t="s">
        <v>1293</v>
      </c>
      <c r="BU130" s="57" t="s">
        <v>1293</v>
      </c>
      <c r="BV130" s="70">
        <f t="shared" si="564"/>
        <v>34</v>
      </c>
      <c r="BW130" s="71" t="str">
        <f t="shared" si="565"/>
        <v>-</v>
      </c>
      <c r="BX130" s="72">
        <f t="shared" si="566"/>
        <v>69</v>
      </c>
      <c r="BY130" s="71">
        <f t="shared" si="567"/>
        <v>101</v>
      </c>
      <c r="BZ130" s="72">
        <f t="shared" si="568"/>
        <v>105</v>
      </c>
      <c r="CA130" s="71">
        <f t="shared" si="569"/>
        <v>141</v>
      </c>
      <c r="CB130" s="72">
        <f t="shared" si="570"/>
        <v>149</v>
      </c>
      <c r="CC130" s="71">
        <f t="shared" si="571"/>
        <v>188</v>
      </c>
      <c r="CD130" s="72">
        <f t="shared" si="572"/>
        <v>195</v>
      </c>
      <c r="CE130" s="71">
        <f t="shared" si="573"/>
        <v>238</v>
      </c>
      <c r="CF130" s="72">
        <f t="shared" si="574"/>
        <v>272</v>
      </c>
      <c r="CG130" s="71" t="str">
        <f t="shared" si="575"/>
        <v>-</v>
      </c>
      <c r="CH130" s="70">
        <f t="shared" si="576"/>
        <v>65</v>
      </c>
      <c r="CI130" s="71" t="str">
        <f t="shared" si="577"/>
        <v>-</v>
      </c>
      <c r="CJ130" s="72">
        <f t="shared" si="578"/>
        <v>99</v>
      </c>
      <c r="CK130" s="72">
        <f t="shared" si="579"/>
        <v>104</v>
      </c>
      <c r="CL130" s="72">
        <f t="shared" si="580"/>
        <v>140</v>
      </c>
      <c r="CM130" s="72">
        <f t="shared" si="581"/>
        <v>148</v>
      </c>
      <c r="CN130" s="72">
        <f t="shared" si="582"/>
        <v>175</v>
      </c>
      <c r="CO130" s="72">
        <f t="shared" si="583"/>
        <v>190</v>
      </c>
      <c r="CP130" s="72">
        <f t="shared" si="584"/>
        <v>232</v>
      </c>
      <c r="CQ130" s="72">
        <f t="shared" si="585"/>
        <v>268</v>
      </c>
      <c r="CR130" s="72">
        <f t="shared" si="586"/>
        <v>307</v>
      </c>
      <c r="CS130" s="72" t="str">
        <f t="shared" si="587"/>
        <v>-</v>
      </c>
      <c r="CT130" s="23" t="e">
        <f t="shared" si="588"/>
        <v>#VALUE!</v>
      </c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  <c r="OK130" s="1"/>
      <c r="OL130" s="1"/>
      <c r="OM130" s="1"/>
      <c r="ON130" s="1"/>
      <c r="OO130" s="1"/>
      <c r="OP130" s="1"/>
      <c r="OQ130" s="1"/>
      <c r="OR130" s="1"/>
      <c r="OS130" s="1"/>
      <c r="OT130" s="1"/>
      <c r="OU130" s="1"/>
      <c r="OV130" s="1"/>
      <c r="OW130" s="1"/>
      <c r="OX130" s="1"/>
      <c r="OY130" s="1"/>
      <c r="OZ130" s="1"/>
      <c r="PA130" s="1"/>
      <c r="PB130" s="1"/>
      <c r="PC130" s="1"/>
      <c r="PD130" s="1"/>
      <c r="PE130" s="1"/>
      <c r="PF130" s="1"/>
      <c r="PG130" s="1"/>
      <c r="PH130" s="1"/>
      <c r="PI130" s="1"/>
      <c r="PJ130" s="1"/>
      <c r="PK130" s="1"/>
      <c r="PL130" s="1"/>
      <c r="PM130" s="1"/>
      <c r="PN130" s="1"/>
      <c r="PO130" s="1"/>
      <c r="PP130" s="1"/>
      <c r="PQ130" s="1"/>
      <c r="PR130" s="1"/>
      <c r="PS130" s="1"/>
      <c r="PT130" s="1"/>
      <c r="PU130" s="1"/>
      <c r="PV130" s="1"/>
      <c r="PW130" s="1"/>
      <c r="PX130" s="1"/>
      <c r="PY130" s="1"/>
      <c r="PZ130" s="1"/>
      <c r="QA130" s="1"/>
      <c r="QB130" s="1"/>
      <c r="QC130" s="1"/>
      <c r="QD130" s="1"/>
      <c r="QE130" s="1"/>
      <c r="QF130" s="1"/>
      <c r="QG130" s="1"/>
      <c r="QH130" s="1"/>
      <c r="QI130" s="1"/>
      <c r="QJ130" s="1"/>
      <c r="QK130" s="1"/>
      <c r="QL130" s="1"/>
      <c r="QM130" s="1"/>
      <c r="QN130" s="1"/>
      <c r="QO130" s="1"/>
      <c r="QP130" s="1"/>
      <c r="QQ130" s="1"/>
      <c r="QR130" s="1"/>
      <c r="QS130" s="1"/>
      <c r="QT130" s="1"/>
      <c r="QU130" s="1"/>
      <c r="QV130" s="1"/>
      <c r="QW130" s="1"/>
      <c r="QX130" s="1"/>
      <c r="QY130" s="1"/>
      <c r="QZ130" s="1"/>
      <c r="RA130" s="1"/>
      <c r="RB130" s="1"/>
      <c r="RC130" s="1"/>
      <c r="RD130" s="1"/>
      <c r="RE130" s="1"/>
      <c r="RF130" s="1"/>
      <c r="RG130" s="1"/>
      <c r="RH130" s="1"/>
      <c r="RI130" s="1"/>
      <c r="RJ130" s="1"/>
      <c r="RK130" s="1"/>
      <c r="RL130" s="1"/>
      <c r="RM130" s="1"/>
      <c r="RN130" s="1"/>
      <c r="RO130" s="1"/>
      <c r="RP130" s="1"/>
      <c r="RQ130" s="1"/>
      <c r="RR130" s="1"/>
      <c r="RS130" s="1"/>
      <c r="RT130" s="1"/>
      <c r="RU130" s="1"/>
      <c r="RV130" s="1"/>
      <c r="RW130" s="1"/>
      <c r="RX130" s="1"/>
      <c r="RY130" s="1"/>
      <c r="RZ130" s="1"/>
      <c r="SA130" s="1"/>
      <c r="SB130" s="1"/>
      <c r="SC130" s="1"/>
      <c r="SD130" s="1"/>
      <c r="SE130" s="1"/>
      <c r="SF130" s="1"/>
      <c r="SG130" s="1"/>
      <c r="SH130" s="1"/>
      <c r="SI130" s="1"/>
      <c r="SJ130" s="1"/>
      <c r="SK130" s="1"/>
      <c r="SL130" s="1"/>
      <c r="SM130" s="1"/>
      <c r="SN130" s="1"/>
      <c r="SO130" s="1"/>
      <c r="SP130" s="1"/>
      <c r="SQ130" s="1"/>
      <c r="SR130" s="1"/>
      <c r="SS130" s="1"/>
      <c r="ST130" s="1"/>
      <c r="SU130" s="1"/>
      <c r="SV130" s="1"/>
      <c r="SW130" s="1"/>
      <c r="SX130" s="1"/>
      <c r="SY130" s="1"/>
      <c r="SZ130" s="1"/>
      <c r="TA130" s="1"/>
      <c r="TB130" s="1"/>
      <c r="TC130" s="1"/>
      <c r="TD130" s="1"/>
      <c r="TE130" s="1"/>
      <c r="TF130" s="1"/>
      <c r="TG130" s="1"/>
      <c r="TH130" s="1"/>
      <c r="TI130" s="1"/>
      <c r="TJ130" s="1"/>
      <c r="TK130" s="1"/>
      <c r="TL130" s="1"/>
      <c r="TM130" s="1"/>
      <c r="TN130" s="1"/>
      <c r="TO130" s="1"/>
      <c r="TP130" s="1"/>
      <c r="TQ130" s="1"/>
      <c r="TR130" s="1"/>
      <c r="TS130" s="1"/>
      <c r="TT130" s="1"/>
      <c r="TU130" s="1"/>
      <c r="TV130" s="1"/>
      <c r="TW130" s="1"/>
      <c r="TX130" s="1"/>
      <c r="TY130" s="1"/>
      <c r="TZ130" s="1"/>
      <c r="UA130" s="1"/>
      <c r="UB130" s="1"/>
      <c r="UC130" s="1"/>
      <c r="UD130" s="1"/>
      <c r="UE130" s="1"/>
      <c r="UF130" s="1"/>
      <c r="UG130" s="1"/>
      <c r="UH130" s="1"/>
      <c r="UI130" s="1"/>
      <c r="UJ130" s="1"/>
      <c r="UK130" s="1"/>
      <c r="UL130" s="1"/>
      <c r="UM130" s="1"/>
      <c r="UN130" s="1"/>
      <c r="UO130" s="1"/>
      <c r="UP130" s="1"/>
      <c r="UQ130" s="1"/>
      <c r="UR130" s="1"/>
      <c r="US130" s="1"/>
      <c r="UT130" s="1"/>
      <c r="UU130" s="1"/>
      <c r="UV130" s="1"/>
      <c r="UW130" s="1"/>
      <c r="UX130" s="1"/>
      <c r="UY130" s="1"/>
      <c r="UZ130" s="1"/>
      <c r="VA130" s="1"/>
      <c r="VB130" s="1"/>
      <c r="VC130" s="1"/>
      <c r="VD130" s="1"/>
      <c r="VE130" s="1"/>
      <c r="VF130" s="1"/>
      <c r="VG130" s="1"/>
      <c r="VH130" s="1"/>
      <c r="VI130" s="1"/>
      <c r="VJ130" s="1"/>
      <c r="VK130" s="1"/>
      <c r="VL130" s="1"/>
      <c r="VM130" s="1"/>
      <c r="VN130" s="1"/>
      <c r="VO130" s="1"/>
      <c r="VP130" s="1"/>
      <c r="VQ130" s="1"/>
      <c r="VR130" s="1"/>
      <c r="VS130" s="1"/>
      <c r="VT130" s="1"/>
      <c r="VU130" s="1"/>
      <c r="VV130" s="1"/>
      <c r="VW130" s="1"/>
      <c r="VX130" s="1"/>
      <c r="VY130" s="1"/>
      <c r="VZ130" s="1"/>
      <c r="WA130" s="1"/>
      <c r="WB130" s="1"/>
      <c r="WC130" s="1"/>
      <c r="WD130" s="1"/>
      <c r="WE130" s="1"/>
      <c r="WF130" s="1"/>
      <c r="WG130" s="1"/>
      <c r="WH130" s="1"/>
      <c r="WI130" s="1"/>
      <c r="WJ130" s="1"/>
      <c r="WK130" s="1"/>
      <c r="WL130" s="1"/>
      <c r="WM130" s="1"/>
      <c r="WN130" s="1"/>
      <c r="WO130" s="1"/>
      <c r="WP130" s="1"/>
      <c r="WQ130" s="1"/>
      <c r="WR130" s="1"/>
      <c r="WS130" s="1"/>
      <c r="WT130" s="1"/>
      <c r="WU130" s="1"/>
      <c r="WV130" s="1"/>
      <c r="WW130" s="1"/>
      <c r="WX130" s="1"/>
      <c r="WY130" s="1"/>
      <c r="WZ130" s="1"/>
      <c r="XA130" s="1"/>
      <c r="XB130" s="1"/>
      <c r="XC130" s="1"/>
      <c r="XD130" s="1"/>
      <c r="XE130" s="1"/>
      <c r="XF130" s="1"/>
      <c r="XG130" s="1"/>
      <c r="XH130" s="1"/>
      <c r="XI130" s="1"/>
      <c r="XJ130" s="1"/>
      <c r="XK130" s="1"/>
      <c r="XL130" s="1"/>
      <c r="XM130" s="1"/>
      <c r="XN130" s="1"/>
      <c r="XO130" s="1"/>
      <c r="XP130" s="1"/>
      <c r="XQ130" s="1"/>
      <c r="XR130" s="1"/>
      <c r="XS130" s="1"/>
      <c r="XT130" s="1"/>
      <c r="XU130" s="1"/>
      <c r="XV130" s="1"/>
      <c r="XW130" s="1"/>
      <c r="XX130" s="1"/>
      <c r="XY130" s="1"/>
      <c r="XZ130" s="1"/>
      <c r="YA130" s="1"/>
      <c r="YB130" s="1"/>
      <c r="YC130" s="1"/>
      <c r="YD130" s="1"/>
      <c r="YE130" s="1"/>
      <c r="YF130" s="1"/>
      <c r="YG130" s="1"/>
      <c r="YH130" s="1"/>
      <c r="YI130" s="1"/>
      <c r="YJ130" s="1"/>
      <c r="YK130" s="1"/>
      <c r="YL130" s="1"/>
      <c r="YM130" s="1"/>
      <c r="YN130" s="1"/>
      <c r="YO130" s="1"/>
      <c r="YP130" s="1"/>
      <c r="YQ130" s="1"/>
      <c r="YR130" s="1"/>
      <c r="YS130" s="1"/>
      <c r="YT130" s="1"/>
      <c r="YU130" s="1"/>
      <c r="YV130" s="1"/>
      <c r="YW130" s="1"/>
      <c r="YX130" s="1"/>
      <c r="YY130" s="1"/>
      <c r="YZ130" s="1"/>
      <c r="ZA130" s="1"/>
      <c r="ZB130" s="1"/>
      <c r="ZC130" s="1"/>
      <c r="ZD130" s="1"/>
      <c r="ZE130" s="1"/>
      <c r="ZF130" s="1"/>
      <c r="ZG130" s="1"/>
      <c r="ZH130" s="1"/>
      <c r="ZI130" s="1"/>
      <c r="ZJ130" s="1"/>
      <c r="ZK130" s="1"/>
      <c r="ZL130" s="1"/>
      <c r="ZM130" s="1"/>
      <c r="ZN130" s="1"/>
      <c r="ZO130" s="1"/>
      <c r="ZP130" s="1"/>
      <c r="ZQ130" s="1"/>
      <c r="ZR130" s="1"/>
      <c r="ZS130" s="1"/>
      <c r="ZT130" s="1"/>
      <c r="ZU130" s="1"/>
      <c r="ZV130" s="1"/>
      <c r="ZW130" s="1"/>
      <c r="ZX130" s="1"/>
      <c r="ZY130" s="1"/>
      <c r="ZZ130" s="1"/>
      <c r="AAA130" s="1"/>
      <c r="AAB130" s="1"/>
      <c r="AAC130" s="1"/>
      <c r="AAD130" s="1"/>
      <c r="AAE130" s="1"/>
      <c r="AAF130" s="1"/>
      <c r="AAG130" s="1"/>
      <c r="AAH130" s="1"/>
      <c r="AAI130" s="1"/>
      <c r="AAJ130" s="1"/>
      <c r="AAK130" s="1"/>
      <c r="AAL130" s="1"/>
      <c r="AAM130" s="1"/>
      <c r="AAN130" s="1"/>
      <c r="AAO130" s="1"/>
      <c r="AAP130" s="1"/>
      <c r="AAQ130" s="1"/>
      <c r="AAR130" s="1"/>
      <c r="AAS130" s="1"/>
      <c r="AAT130" s="1"/>
      <c r="AAU130" s="1"/>
      <c r="AAV130" s="1"/>
      <c r="AAW130" s="1"/>
      <c r="AAX130" s="1"/>
      <c r="AAY130" s="1"/>
      <c r="AAZ130" s="1"/>
      <c r="ABA130" s="1"/>
      <c r="ABB130" s="1"/>
      <c r="ABC130" s="1"/>
      <c r="ABD130" s="1"/>
      <c r="ABE130" s="1"/>
      <c r="ABF130" s="1"/>
      <c r="ABG130" s="1"/>
      <c r="ABH130" s="1"/>
      <c r="ABI130" s="1"/>
      <c r="ABJ130" s="1"/>
      <c r="ABK130" s="1"/>
      <c r="ABL130" s="1"/>
      <c r="ABM130" s="1"/>
      <c r="ABN130" s="1"/>
      <c r="ABO130" s="1"/>
      <c r="ABP130" s="1"/>
      <c r="ABQ130" s="1"/>
      <c r="ABR130" s="1"/>
      <c r="ABS130" s="1"/>
      <c r="ABT130" s="1"/>
      <c r="ABU130" s="1"/>
      <c r="ABV130" s="1"/>
      <c r="ABW130" s="1"/>
      <c r="ABX130" s="1"/>
      <c r="ABY130" s="1"/>
      <c r="ABZ130" s="1"/>
      <c r="ACA130" s="1"/>
      <c r="ACB130" s="1"/>
      <c r="ACC130" s="1"/>
      <c r="ACD130" s="1"/>
      <c r="ACE130" s="1"/>
      <c r="ACF130" s="1"/>
      <c r="ACG130" s="1"/>
      <c r="ACH130" s="1"/>
      <c r="ACI130" s="1"/>
      <c r="ACJ130" s="1"/>
      <c r="ACK130" s="1"/>
      <c r="ACL130" s="1"/>
      <c r="ACM130" s="1"/>
      <c r="ACN130" s="1"/>
      <c r="ACO130" s="1"/>
      <c r="ACP130" s="1"/>
      <c r="ACQ130" s="1"/>
      <c r="ACR130" s="1"/>
      <c r="ACS130" s="1"/>
      <c r="ACT130" s="1"/>
      <c r="ACU130" s="1"/>
      <c r="ACV130" s="1"/>
      <c r="ACW130" s="1"/>
      <c r="ACX130" s="1"/>
      <c r="ACY130" s="1"/>
      <c r="ACZ130" s="1"/>
      <c r="ADA130" s="1"/>
      <c r="ADB130" s="1"/>
      <c r="ADC130" s="1"/>
      <c r="ADD130" s="1"/>
      <c r="ADE130" s="1"/>
      <c r="ADF130" s="1"/>
      <c r="ADG130" s="1"/>
      <c r="ADH130" s="1"/>
      <c r="ADI130" s="1"/>
      <c r="ADJ130" s="1"/>
      <c r="ADK130" s="1"/>
      <c r="ADL130" s="1"/>
      <c r="ADM130" s="1"/>
      <c r="ADN130" s="1"/>
      <c r="ADO130" s="1"/>
      <c r="ADP130" s="1"/>
      <c r="ADQ130" s="1"/>
      <c r="ADR130" s="1"/>
      <c r="ADS130" s="1"/>
      <c r="ADT130" s="1"/>
      <c r="ADU130" s="1"/>
      <c r="ADV130" s="1"/>
      <c r="ADW130" s="1"/>
      <c r="ADX130" s="1"/>
      <c r="ADY130" s="1"/>
      <c r="ADZ130" s="1"/>
      <c r="AEA130" s="1"/>
      <c r="AEB130" s="1"/>
      <c r="AEC130" s="1"/>
      <c r="AED130" s="1"/>
      <c r="AEE130" s="1"/>
      <c r="AEF130" s="1"/>
      <c r="AEG130" s="1"/>
      <c r="AEH130" s="1"/>
      <c r="AEI130" s="1"/>
      <c r="AEJ130" s="1"/>
      <c r="AEK130" s="1"/>
      <c r="AEL130" s="1"/>
      <c r="AEM130" s="1"/>
      <c r="AEN130" s="1"/>
      <c r="AEO130" s="1"/>
      <c r="AEP130" s="1"/>
      <c r="AEQ130" s="1"/>
      <c r="AER130" s="1"/>
      <c r="AES130" s="1"/>
      <c r="AET130" s="1"/>
      <c r="AEU130" s="1"/>
      <c r="AEV130" s="1"/>
      <c r="AEW130" s="1"/>
      <c r="AEX130" s="1"/>
      <c r="AEY130" s="1"/>
      <c r="AEZ130" s="1"/>
      <c r="AFA130" s="1"/>
      <c r="AFB130" s="1"/>
      <c r="AFC130" s="1"/>
      <c r="AFD130" s="1"/>
      <c r="AFE130" s="1"/>
      <c r="AFF130" s="1"/>
      <c r="AFG130" s="1"/>
      <c r="AFH130" s="1"/>
      <c r="AFI130" s="1"/>
      <c r="AFJ130" s="1"/>
      <c r="AFK130" s="1"/>
      <c r="AFL130" s="1"/>
      <c r="AFM130" s="1"/>
      <c r="AFN130" s="1"/>
      <c r="AFO130" s="1"/>
      <c r="AFP130" s="1"/>
      <c r="AFQ130" s="1"/>
      <c r="AFR130" s="1"/>
      <c r="AFS130" s="1"/>
      <c r="AFT130" s="1"/>
      <c r="AFU130" s="1"/>
      <c r="AFV130" s="1"/>
      <c r="AFW130" s="1"/>
      <c r="AFX130" s="1"/>
      <c r="AFY130" s="1"/>
      <c r="AFZ130" s="1"/>
      <c r="AGA130" s="1"/>
      <c r="AGB130" s="1"/>
      <c r="AGC130" s="1"/>
      <c r="AGD130" s="1"/>
      <c r="AGE130" s="1"/>
      <c r="AGF130" s="1"/>
      <c r="AGG130" s="1"/>
      <c r="AGH130" s="1"/>
      <c r="AGI130" s="1"/>
      <c r="AGJ130" s="1"/>
      <c r="AGK130" s="1"/>
      <c r="AGL130" s="1"/>
      <c r="AGM130" s="1"/>
      <c r="AGN130" s="1"/>
      <c r="AGO130" s="1"/>
      <c r="AGP130" s="1"/>
      <c r="AGQ130" s="1"/>
      <c r="AGR130" s="1"/>
      <c r="AGS130" s="1"/>
      <c r="AGT130" s="1"/>
      <c r="AGU130" s="1"/>
      <c r="AGV130" s="1"/>
      <c r="AGW130" s="1"/>
      <c r="AGX130" s="1"/>
      <c r="AGY130" s="1"/>
      <c r="AGZ130" s="1"/>
      <c r="AHA130" s="1"/>
      <c r="AHB130" s="1"/>
      <c r="AHC130" s="1"/>
      <c r="AHD130" s="1"/>
      <c r="AHE130" s="1"/>
      <c r="AHF130" s="1"/>
      <c r="AHG130" s="1"/>
      <c r="AHH130" s="1"/>
      <c r="AHI130" s="1"/>
      <c r="AHJ130" s="1"/>
      <c r="AHK130" s="1"/>
      <c r="AHL130" s="1"/>
      <c r="AHM130" s="1"/>
      <c r="AHN130" s="1"/>
      <c r="AHO130" s="1"/>
      <c r="AHP130" s="1"/>
      <c r="AHQ130" s="1"/>
      <c r="AHR130" s="1"/>
      <c r="AHS130" s="1"/>
      <c r="AHT130" s="1"/>
      <c r="AHU130" s="1"/>
      <c r="AHV130" s="1"/>
      <c r="AHW130" s="1"/>
      <c r="AHX130" s="1"/>
      <c r="AHY130" s="1"/>
      <c r="AHZ130" s="1"/>
      <c r="AIA130" s="1"/>
      <c r="AIB130" s="1"/>
      <c r="AIC130" s="1"/>
      <c r="AID130" s="1"/>
      <c r="AIE130" s="1"/>
      <c r="AIF130" s="1"/>
      <c r="AIG130" s="1"/>
      <c r="AIH130" s="1"/>
      <c r="AII130" s="1"/>
      <c r="AIJ130" s="1"/>
      <c r="AIK130" s="1"/>
      <c r="AIL130" s="1"/>
      <c r="AIM130" s="1"/>
      <c r="AIN130" s="1"/>
      <c r="AIO130" s="1"/>
      <c r="AIP130" s="1"/>
      <c r="AIQ130" s="1"/>
      <c r="AIR130" s="1"/>
      <c r="AIS130" s="1"/>
      <c r="AIT130" s="1"/>
      <c r="AIU130" s="1"/>
      <c r="AIV130" s="1"/>
      <c r="AIW130" s="1"/>
      <c r="AIX130" s="1"/>
      <c r="AIY130" s="1"/>
      <c r="AIZ130" s="1"/>
      <c r="AJA130" s="1"/>
      <c r="AJB130" s="1"/>
      <c r="AJC130" s="1"/>
      <c r="AJD130" s="1"/>
      <c r="AJE130" s="1"/>
      <c r="AJF130" s="1"/>
      <c r="AJG130" s="1"/>
      <c r="AJH130" s="1"/>
      <c r="AJI130" s="1"/>
      <c r="AJJ130" s="1"/>
      <c r="AJK130" s="1"/>
      <c r="AJL130" s="1"/>
      <c r="AJM130" s="1"/>
      <c r="AJN130" s="1"/>
      <c r="AJO130" s="1"/>
      <c r="AJP130" s="1"/>
      <c r="AJQ130" s="1"/>
      <c r="AJR130" s="1"/>
      <c r="AJS130" s="1"/>
      <c r="AJT130" s="1"/>
      <c r="AJU130" s="1"/>
      <c r="AJV130" s="1"/>
      <c r="AJW130" s="1"/>
      <c r="AJX130" s="1"/>
      <c r="AJY130" s="1"/>
      <c r="AJZ130" s="1"/>
      <c r="AKA130" s="1"/>
      <c r="AKB130" s="1"/>
      <c r="AKC130" s="1"/>
      <c r="AKD130" s="1"/>
      <c r="AKE130" s="1"/>
      <c r="AKF130" s="1"/>
      <c r="AKG130" s="1"/>
      <c r="AKH130" s="1"/>
      <c r="AKI130" s="1"/>
      <c r="AKJ130" s="1"/>
      <c r="AKK130" s="1"/>
      <c r="AKL130" s="1"/>
      <c r="AKM130" s="1"/>
      <c r="AKN130" s="1"/>
      <c r="AKO130" s="1"/>
      <c r="AKP130" s="1"/>
      <c r="AKQ130" s="1"/>
      <c r="AKR130" s="1"/>
      <c r="AKS130" s="1"/>
      <c r="AKT130" s="1"/>
      <c r="AKU130" s="1"/>
      <c r="AKV130" s="1"/>
      <c r="AKW130" s="1"/>
      <c r="AKX130" s="1"/>
      <c r="AKY130" s="1"/>
      <c r="AKZ130" s="1"/>
      <c r="ALA130" s="1"/>
      <c r="ALB130" s="1"/>
      <c r="ALC130" s="1"/>
      <c r="ALD130" s="1"/>
      <c r="ALE130" s="1"/>
      <c r="ALF130" s="1"/>
      <c r="ALG130" s="1"/>
      <c r="ALH130" s="1"/>
      <c r="ALI130" s="1"/>
      <c r="ALJ130" s="1"/>
      <c r="ALK130" s="1"/>
      <c r="ALL130" s="1"/>
      <c r="ALM130" s="1"/>
      <c r="ALN130" s="1"/>
      <c r="ALO130" s="1"/>
      <c r="ALP130" s="1"/>
      <c r="ALQ130" s="1"/>
      <c r="ALR130" s="1"/>
      <c r="ALS130" s="1"/>
      <c r="ALT130" s="1"/>
      <c r="ALU130" s="1"/>
      <c r="ALV130" s="1"/>
      <c r="ALW130" s="1"/>
      <c r="ALX130" s="1"/>
      <c r="ALY130" s="1"/>
      <c r="ALZ130" s="1"/>
      <c r="AMA130" s="1"/>
      <c r="AMB130" s="1"/>
      <c r="AMC130" s="1"/>
      <c r="AMD130" s="1"/>
      <c r="AME130" s="1"/>
      <c r="AMF130" s="1"/>
      <c r="AMG130" s="1"/>
      <c r="AMH130" s="1"/>
      <c r="AMI130" s="1"/>
      <c r="AMJ130" s="1"/>
      <c r="AMK130" s="1"/>
      <c r="AML130" s="1"/>
      <c r="AMM130" s="1"/>
      <c r="AMN130" s="1"/>
      <c r="AMO130" s="1"/>
    </row>
    <row r="131" spans="1:1030" s="12" customFormat="1" x14ac:dyDescent="0.2">
      <c r="A131" s="9" t="str">
        <f t="shared" si="561"/>
        <v>c5ar1_human_6C1Q</v>
      </c>
      <c r="B131" s="9" t="s">
        <v>165</v>
      </c>
      <c r="C131" s="9" t="s">
        <v>1514</v>
      </c>
      <c r="D131" s="9" t="str">
        <f>IFERROR(MID(VLOOKUP($B131,Seqs!$A:$B,2,0),E131,1),"")</f>
        <v>R</v>
      </c>
      <c r="E131" s="9">
        <v>34</v>
      </c>
      <c r="F131" s="9" t="str">
        <f>IFERROR(MID(VLOOKUP($B131,Seqs!$A:$B,2,0),G131,1),"")</f>
        <v>E</v>
      </c>
      <c r="G131" s="9">
        <v>65</v>
      </c>
      <c r="H131" s="9" t="str">
        <f>IFERROR(MID(VLOOKUP($B131,Seqs!$A:$B,2,0),I131,1),"")</f>
        <v/>
      </c>
      <c r="I131" s="109" t="s">
        <v>23</v>
      </c>
      <c r="J131" s="9" t="str">
        <f>IFERROR(MID(VLOOKUP($B131,Seqs!$A:$B,2,0),K131,1),"")</f>
        <v/>
      </c>
      <c r="K131" s="109" t="s">
        <v>23</v>
      </c>
      <c r="L131" s="9" t="str">
        <f>IFERROR(MID(VLOOKUP($B131,Seqs!$A:$B,2,0),M131,1),"")</f>
        <v>T</v>
      </c>
      <c r="M131" s="9">
        <v>69</v>
      </c>
      <c r="N131" s="9" t="str">
        <f>IFERROR(MID(VLOOKUP($B131,Seqs!$A:$B,2,0),O131,1),"")</f>
        <v>H</v>
      </c>
      <c r="O131" s="9">
        <v>99</v>
      </c>
      <c r="P131" s="9" t="str">
        <f>IFERROR(MID(VLOOKUP($B131,Seqs!$A:$B,2,0),Q131,1),"")</f>
        <v>H</v>
      </c>
      <c r="Q131" s="9">
        <v>101</v>
      </c>
      <c r="R131" s="9" t="str">
        <f>IFERROR(MID(VLOOKUP($B131,Seqs!$A:$B,2,0),S131,1),"")</f>
        <v>F</v>
      </c>
      <c r="S131" s="9">
        <v>104</v>
      </c>
      <c r="T131" s="9" t="str">
        <f>IFERROR(MID(VLOOKUP($B131,Seqs!$A:$B,2,0),U131,1),"")</f>
        <v>G</v>
      </c>
      <c r="U131" s="9">
        <v>105</v>
      </c>
      <c r="V131" s="9" t="str">
        <f>IFERROR(MID(VLOOKUP($B131,Seqs!$A:$B,2,0),W131,1),"")</f>
        <v>K</v>
      </c>
      <c r="W131" s="9">
        <v>140</v>
      </c>
      <c r="X131" s="9" t="str">
        <f>IFERROR(MID(VLOOKUP($B131,Seqs!$A:$B,2,0),Y131,1),"")</f>
        <v>P</v>
      </c>
      <c r="Y131" s="9">
        <v>141</v>
      </c>
      <c r="Z131" s="9" t="str">
        <f>IFERROR(MID(VLOOKUP($B131,Seqs!$A:$B,2,0),AA131,1),"")</f>
        <v>R</v>
      </c>
      <c r="AA131" s="9">
        <v>148</v>
      </c>
      <c r="AB131" s="9" t="str">
        <f>IFERROR(MID(VLOOKUP($B131,Seqs!$A:$B,2,0),AC131,1),"")</f>
        <v>G</v>
      </c>
      <c r="AC131" s="9">
        <v>149</v>
      </c>
      <c r="AD131" s="9" t="str">
        <f>IFERROR(MID(VLOOKUP($B131,Seqs!$A:$B,2,0),AE131,1),"")</f>
        <v>R</v>
      </c>
      <c r="AE131" s="9">
        <v>175</v>
      </c>
      <c r="AF131" s="9" t="str">
        <f>IFERROR(MID(VLOOKUP($B131,Seqs!$A:$B,2,0),AG131,1),"")</f>
        <v>C</v>
      </c>
      <c r="AG131" s="9">
        <v>188</v>
      </c>
      <c r="AH131" s="9" t="str">
        <f>IFERROR(MID(VLOOKUP($B131,Seqs!$A:$B,2,0),AI131,1),"")</f>
        <v>V</v>
      </c>
      <c r="AI131" s="9">
        <v>190</v>
      </c>
      <c r="AJ131" s="9" t="str">
        <f>IFERROR(MID(VLOOKUP($B131,Seqs!$A:$B,2,0),AK131,1),"")</f>
        <v>D</v>
      </c>
      <c r="AK131" s="9">
        <v>195</v>
      </c>
      <c r="AL131" s="9" t="str">
        <f>IFERROR(MID(VLOOKUP($B131,Seqs!$A:$B,2,0),AM131,1),"")</f>
        <v>R</v>
      </c>
      <c r="AM131" s="9">
        <v>232</v>
      </c>
      <c r="AN131" s="9" t="str">
        <f>IFERROR(MID(VLOOKUP($B131,Seqs!$A:$B,2,0),AO131,1),"")</f>
        <v>S</v>
      </c>
      <c r="AO131" s="9">
        <v>237</v>
      </c>
      <c r="AP131" s="9" t="str">
        <f>IFERROR(MID(VLOOKUP($B131,Seqs!$A:$B,2,0),AQ131,1),"")</f>
        <v>E</v>
      </c>
      <c r="AQ131" s="9">
        <v>269</v>
      </c>
      <c r="AR131" s="9" t="str">
        <f>IFERROR(MID(VLOOKUP($B131,Seqs!$A:$B,2,0),AS131,1),"")</f>
        <v>P</v>
      </c>
      <c r="AS131" s="9">
        <v>273</v>
      </c>
      <c r="AT131" s="9" t="str">
        <f>IFERROR(MID(VLOOKUP($B131,Seqs!$A:$B,2,0),AU131,1),"")</f>
        <v>Q</v>
      </c>
      <c r="AU131" s="9">
        <v>308</v>
      </c>
      <c r="AV131" s="9" t="str">
        <f>IFERROR(MID(VLOOKUP($B131,Seqs!$A:$B,2,0),AW131,1),"")</f>
        <v/>
      </c>
      <c r="AW131" s="9" t="s">
        <v>23</v>
      </c>
      <c r="AX131" s="9" t="str">
        <f>IFERROR(MID(VLOOKUP($B131,Seqs!$A:$B,2,0),AY131,1),"")</f>
        <v/>
      </c>
      <c r="AY131" s="9" t="s">
        <v>23</v>
      </c>
      <c r="AZ131" s="110" t="str">
        <f>VLOOKUP(B131,Classification!A:D,2,0)</f>
        <v>A</v>
      </c>
      <c r="BA131" s="98" t="str">
        <f>VLOOKUP(B131,Classification!A:D,4,0)</f>
        <v>Complementpeptide</v>
      </c>
      <c r="BB131" s="36" t="b">
        <f t="shared" si="562"/>
        <v>1</v>
      </c>
      <c r="BC131" s="109">
        <f t="shared" si="563"/>
        <v>250</v>
      </c>
      <c r="BD131" s="40" t="s">
        <v>23</v>
      </c>
      <c r="BE131" s="9" t="s">
        <v>1381</v>
      </c>
      <c r="BF131" s="120">
        <v>2.9</v>
      </c>
      <c r="BG131" s="51" t="s">
        <v>1287</v>
      </c>
      <c r="BH131" s="51" t="s">
        <v>1287</v>
      </c>
      <c r="BJ131" s="111" t="s">
        <v>1293</v>
      </c>
      <c r="BK131" s="112" t="s">
        <v>1293</v>
      </c>
      <c r="BL131" s="112" t="s">
        <v>1293</v>
      </c>
      <c r="BM131" s="112" t="s">
        <v>1293</v>
      </c>
      <c r="BN131" s="112" t="s">
        <v>1293</v>
      </c>
      <c r="BO131" s="112" t="s">
        <v>1293</v>
      </c>
      <c r="BP131" s="112" t="s">
        <v>1293</v>
      </c>
      <c r="BQ131" s="112" t="s">
        <v>1293</v>
      </c>
      <c r="BR131" s="112" t="s">
        <v>1293</v>
      </c>
      <c r="BS131" s="112" t="s">
        <v>1293</v>
      </c>
      <c r="BT131" s="112" t="s">
        <v>1293</v>
      </c>
      <c r="BU131" s="112" t="s">
        <v>1293</v>
      </c>
      <c r="BV131" s="111">
        <f t="shared" si="564"/>
        <v>34</v>
      </c>
      <c r="BW131" s="113" t="str">
        <f t="shared" si="565"/>
        <v>-</v>
      </c>
      <c r="BX131" s="114">
        <f t="shared" si="566"/>
        <v>69</v>
      </c>
      <c r="BY131" s="113">
        <f t="shared" si="567"/>
        <v>101</v>
      </c>
      <c r="BZ131" s="114">
        <f t="shared" si="568"/>
        <v>105</v>
      </c>
      <c r="CA131" s="113">
        <f t="shared" si="569"/>
        <v>141</v>
      </c>
      <c r="CB131" s="114">
        <f t="shared" si="570"/>
        <v>149</v>
      </c>
      <c r="CC131" s="113">
        <f t="shared" si="571"/>
        <v>188</v>
      </c>
      <c r="CD131" s="114">
        <f t="shared" si="572"/>
        <v>195</v>
      </c>
      <c r="CE131" s="113">
        <f t="shared" si="573"/>
        <v>237</v>
      </c>
      <c r="CF131" s="114">
        <f t="shared" si="574"/>
        <v>273</v>
      </c>
      <c r="CG131" s="113" t="str">
        <f t="shared" si="575"/>
        <v>-</v>
      </c>
      <c r="CH131" s="111">
        <f t="shared" si="576"/>
        <v>65</v>
      </c>
      <c r="CI131" s="113" t="str">
        <f t="shared" si="577"/>
        <v>-</v>
      </c>
      <c r="CJ131" s="114">
        <f t="shared" si="578"/>
        <v>99</v>
      </c>
      <c r="CK131" s="114">
        <f t="shared" si="579"/>
        <v>104</v>
      </c>
      <c r="CL131" s="114">
        <f t="shared" si="580"/>
        <v>140</v>
      </c>
      <c r="CM131" s="114">
        <f t="shared" si="581"/>
        <v>148</v>
      </c>
      <c r="CN131" s="114">
        <f t="shared" si="582"/>
        <v>175</v>
      </c>
      <c r="CO131" s="114">
        <f t="shared" si="583"/>
        <v>190</v>
      </c>
      <c r="CP131" s="114">
        <f t="shared" si="584"/>
        <v>232</v>
      </c>
      <c r="CQ131" s="114">
        <f t="shared" si="585"/>
        <v>269</v>
      </c>
      <c r="CR131" s="114">
        <f t="shared" si="586"/>
        <v>308</v>
      </c>
      <c r="CS131" s="114" t="str">
        <f t="shared" si="587"/>
        <v>-</v>
      </c>
      <c r="CT131" s="109" t="e">
        <f t="shared" si="588"/>
        <v>#VALUE!</v>
      </c>
    </row>
    <row r="132" spans="1:1030" s="12" customFormat="1" x14ac:dyDescent="0.2">
      <c r="A132" s="9" t="str">
        <f t="shared" si="561"/>
        <v>c5ar1_human_6C1R</v>
      </c>
      <c r="B132" s="9" t="s">
        <v>165</v>
      </c>
      <c r="C132" s="9" t="s">
        <v>1515</v>
      </c>
      <c r="D132" s="9" t="str">
        <f>IFERROR(MID(VLOOKUP($B132,Seqs!$A:$B,2,0),E132,1),"")</f>
        <v>R</v>
      </c>
      <c r="E132" s="9">
        <v>34</v>
      </c>
      <c r="F132" s="9" t="str">
        <f>IFERROR(MID(VLOOKUP($B132,Seqs!$A:$B,2,0),G132,1),"")</f>
        <v>E</v>
      </c>
      <c r="G132" s="9">
        <v>65</v>
      </c>
      <c r="H132" s="9" t="str">
        <f>IFERROR(MID(VLOOKUP($B132,Seqs!$A:$B,2,0),I132,1),"")</f>
        <v/>
      </c>
      <c r="I132" s="109" t="s">
        <v>23</v>
      </c>
      <c r="J132" s="9" t="str">
        <f>IFERROR(MID(VLOOKUP($B132,Seqs!$A:$B,2,0),K132,1),"")</f>
        <v/>
      </c>
      <c r="K132" s="109" t="s">
        <v>23</v>
      </c>
      <c r="L132" s="9" t="str">
        <f>IFERROR(MID(VLOOKUP($B132,Seqs!$A:$B,2,0),M132,1),"")</f>
        <v>T</v>
      </c>
      <c r="M132" s="9">
        <v>69</v>
      </c>
      <c r="N132" s="9" t="str">
        <f>IFERROR(MID(VLOOKUP($B132,Seqs!$A:$B,2,0),O132,1),"")</f>
        <v>H</v>
      </c>
      <c r="O132" s="9">
        <v>99</v>
      </c>
      <c r="P132" s="9" t="str">
        <f>IFERROR(MID(VLOOKUP($B132,Seqs!$A:$B,2,0),Q132,1),"")</f>
        <v>H</v>
      </c>
      <c r="Q132" s="9">
        <v>101</v>
      </c>
      <c r="R132" s="9" t="str">
        <f>IFERROR(MID(VLOOKUP($B132,Seqs!$A:$B,2,0),S132,1),"")</f>
        <v>F</v>
      </c>
      <c r="S132" s="9">
        <v>104</v>
      </c>
      <c r="T132" s="9" t="str">
        <f>IFERROR(MID(VLOOKUP($B132,Seqs!$A:$B,2,0),U132,1),"")</f>
        <v>G</v>
      </c>
      <c r="U132" s="9">
        <v>105</v>
      </c>
      <c r="V132" s="9" t="str">
        <f>IFERROR(MID(VLOOKUP($B132,Seqs!$A:$B,2,0),W132,1),"")</f>
        <v>K</v>
      </c>
      <c r="W132" s="9">
        <v>140</v>
      </c>
      <c r="X132" s="9" t="str">
        <f>IFERROR(MID(VLOOKUP($B132,Seqs!$A:$B,2,0),Y132,1),"")</f>
        <v>P</v>
      </c>
      <c r="Y132" s="9">
        <v>141</v>
      </c>
      <c r="Z132" s="9" t="str">
        <f>IFERROR(MID(VLOOKUP($B132,Seqs!$A:$B,2,0),AA132,1),"")</f>
        <v>R</v>
      </c>
      <c r="AA132" s="9">
        <v>148</v>
      </c>
      <c r="AB132" s="9" t="str">
        <f>IFERROR(MID(VLOOKUP($B132,Seqs!$A:$B,2,0),AC132,1),"")</f>
        <v>G</v>
      </c>
      <c r="AC132" s="9">
        <v>149</v>
      </c>
      <c r="AD132" s="9" t="str">
        <f>IFERROR(MID(VLOOKUP($B132,Seqs!$A:$B,2,0),AE132,1),"")</f>
        <v>R</v>
      </c>
      <c r="AE132" s="9">
        <v>175</v>
      </c>
      <c r="AF132" s="9" t="str">
        <f>IFERROR(MID(VLOOKUP($B132,Seqs!$A:$B,2,0),AG132,1),"")</f>
        <v>C</v>
      </c>
      <c r="AG132" s="9">
        <v>188</v>
      </c>
      <c r="AH132" s="9" t="str">
        <f>IFERROR(MID(VLOOKUP($B132,Seqs!$A:$B,2,0),AI132,1),"")</f>
        <v>V</v>
      </c>
      <c r="AI132" s="9">
        <v>190</v>
      </c>
      <c r="AJ132" s="9" t="str">
        <f>IFERROR(MID(VLOOKUP($B132,Seqs!$A:$B,2,0),AK132,1),"")</f>
        <v>D</v>
      </c>
      <c r="AK132" s="9">
        <v>195</v>
      </c>
      <c r="AL132" s="9" t="str">
        <f>IFERROR(MID(VLOOKUP($B132,Seqs!$A:$B,2,0),AM132,1),"")</f>
        <v>R</v>
      </c>
      <c r="AM132" s="9">
        <v>232</v>
      </c>
      <c r="AN132" s="9" t="str">
        <f>IFERROR(MID(VLOOKUP($B132,Seqs!$A:$B,2,0),AO132,1),"")</f>
        <v>S</v>
      </c>
      <c r="AO132" s="9">
        <v>237</v>
      </c>
      <c r="AP132" s="9" t="str">
        <f>IFERROR(MID(VLOOKUP($B132,Seqs!$A:$B,2,0),AQ132,1),"")</f>
        <v>E</v>
      </c>
      <c r="AQ132" s="9">
        <v>269</v>
      </c>
      <c r="AR132" s="9" t="str">
        <f>IFERROR(MID(VLOOKUP($B132,Seqs!$A:$B,2,0),AS132,1),"")</f>
        <v>P</v>
      </c>
      <c r="AS132" s="9">
        <v>273</v>
      </c>
      <c r="AT132" s="9" t="str">
        <f>IFERROR(MID(VLOOKUP($B132,Seqs!$A:$B,2,0),AU132,1),"")</f>
        <v>Q</v>
      </c>
      <c r="AU132" s="9">
        <v>308</v>
      </c>
      <c r="AV132" s="9" t="str">
        <f>IFERROR(MID(VLOOKUP($B132,Seqs!$A:$B,2,0),AW132,1),"")</f>
        <v/>
      </c>
      <c r="AW132" s="9" t="s">
        <v>23</v>
      </c>
      <c r="AX132" s="9" t="str">
        <f>IFERROR(MID(VLOOKUP($B132,Seqs!$A:$B,2,0),AY132,1),"")</f>
        <v/>
      </c>
      <c r="AY132" s="9" t="s">
        <v>23</v>
      </c>
      <c r="AZ132" s="110" t="str">
        <f>VLOOKUP(B132,Classification!A:D,2,0)</f>
        <v>A</v>
      </c>
      <c r="BA132" s="98" t="str">
        <f>VLOOKUP(B132,Classification!A:D,4,0)</f>
        <v>Complementpeptide</v>
      </c>
      <c r="BB132" s="36" t="b">
        <f t="shared" si="562"/>
        <v>1</v>
      </c>
      <c r="BC132" s="109">
        <f t="shared" si="563"/>
        <v>250</v>
      </c>
      <c r="BD132" s="40" t="s">
        <v>23</v>
      </c>
      <c r="BE132" s="9" t="s">
        <v>1381</v>
      </c>
      <c r="BF132" s="120">
        <v>2.2000000000000002</v>
      </c>
      <c r="BG132" s="51" t="s">
        <v>1287</v>
      </c>
      <c r="BH132" s="51" t="s">
        <v>1287</v>
      </c>
      <c r="BJ132" s="111" t="s">
        <v>1293</v>
      </c>
      <c r="BK132" s="112" t="s">
        <v>1293</v>
      </c>
      <c r="BL132" s="112" t="s">
        <v>1293</v>
      </c>
      <c r="BM132" s="112" t="s">
        <v>1293</v>
      </c>
      <c r="BN132" s="112" t="s">
        <v>1293</v>
      </c>
      <c r="BO132" s="112" t="s">
        <v>1293</v>
      </c>
      <c r="BP132" s="112" t="s">
        <v>1293</v>
      </c>
      <c r="BQ132" s="112" t="s">
        <v>1293</v>
      </c>
      <c r="BR132" s="112" t="s">
        <v>1293</v>
      </c>
      <c r="BS132" s="112" t="s">
        <v>1293</v>
      </c>
      <c r="BT132" s="112" t="s">
        <v>1293</v>
      </c>
      <c r="BU132" s="112" t="s">
        <v>1293</v>
      </c>
      <c r="BV132" s="111">
        <f t="shared" si="564"/>
        <v>34</v>
      </c>
      <c r="BW132" s="113" t="str">
        <f t="shared" si="565"/>
        <v>-</v>
      </c>
      <c r="BX132" s="114">
        <f t="shared" si="566"/>
        <v>69</v>
      </c>
      <c r="BY132" s="113">
        <f t="shared" si="567"/>
        <v>101</v>
      </c>
      <c r="BZ132" s="114">
        <f t="shared" si="568"/>
        <v>105</v>
      </c>
      <c r="CA132" s="113">
        <f t="shared" si="569"/>
        <v>141</v>
      </c>
      <c r="CB132" s="114">
        <f t="shared" si="570"/>
        <v>149</v>
      </c>
      <c r="CC132" s="113">
        <f t="shared" si="571"/>
        <v>188</v>
      </c>
      <c r="CD132" s="114">
        <f t="shared" si="572"/>
        <v>195</v>
      </c>
      <c r="CE132" s="113">
        <f t="shared" si="573"/>
        <v>237</v>
      </c>
      <c r="CF132" s="114">
        <f t="shared" si="574"/>
        <v>273</v>
      </c>
      <c r="CG132" s="113" t="str">
        <f t="shared" si="575"/>
        <v>-</v>
      </c>
      <c r="CH132" s="111">
        <f t="shared" si="576"/>
        <v>65</v>
      </c>
      <c r="CI132" s="113" t="str">
        <f t="shared" si="577"/>
        <v>-</v>
      </c>
      <c r="CJ132" s="114">
        <f t="shared" si="578"/>
        <v>99</v>
      </c>
      <c r="CK132" s="114">
        <f t="shared" si="579"/>
        <v>104</v>
      </c>
      <c r="CL132" s="114">
        <f t="shared" si="580"/>
        <v>140</v>
      </c>
      <c r="CM132" s="114">
        <f t="shared" si="581"/>
        <v>148</v>
      </c>
      <c r="CN132" s="114">
        <f t="shared" si="582"/>
        <v>175</v>
      </c>
      <c r="CO132" s="114">
        <f t="shared" si="583"/>
        <v>190</v>
      </c>
      <c r="CP132" s="114">
        <f t="shared" si="584"/>
        <v>232</v>
      </c>
      <c r="CQ132" s="114">
        <f t="shared" si="585"/>
        <v>269</v>
      </c>
      <c r="CR132" s="114">
        <f t="shared" si="586"/>
        <v>308</v>
      </c>
      <c r="CS132" s="114" t="str">
        <f t="shared" si="587"/>
        <v>-</v>
      </c>
      <c r="CT132" s="109" t="e">
        <f t="shared" si="588"/>
        <v>#VALUE!</v>
      </c>
    </row>
    <row r="133" spans="1:1030" x14ac:dyDescent="0.2">
      <c r="A133" s="3" t="str">
        <f t="shared" si="559"/>
        <v>ccr2_human__wt</v>
      </c>
      <c r="B133" s="3" t="s">
        <v>170</v>
      </c>
      <c r="C133" s="3" t="s">
        <v>100</v>
      </c>
      <c r="D133" s="3" t="str">
        <f>IFERROR(MID(VLOOKUP($B133,Seqs!$A:$B,2,0),E133,1),"")</f>
        <v>V</v>
      </c>
      <c r="E133" s="3">
        <v>37</v>
      </c>
      <c r="F133" s="3" t="str">
        <f>IFERROR(MID(VLOOKUP($B133,Seqs!$A:$B,2,0),G133,1),"")</f>
        <v>C</v>
      </c>
      <c r="G133" s="3">
        <v>70</v>
      </c>
      <c r="H133" s="3" t="str">
        <f>IFERROR(MID(VLOOKUP($B133,Seqs!$A:$B,2,0),I133,1),"")</f>
        <v>K</v>
      </c>
      <c r="I133" s="23">
        <v>71</v>
      </c>
      <c r="J133" s="3" t="str">
        <f>IFERROR(MID(VLOOKUP($B133,Seqs!$A:$B,2,0),K133,1),"")</f>
        <v>K</v>
      </c>
      <c r="K133" s="23">
        <v>74</v>
      </c>
      <c r="L133" s="3" t="str">
        <f>IFERROR(MID(VLOOKUP($B133,Seqs!$A:$B,2,0),M133,1),"")</f>
        <v>C</v>
      </c>
      <c r="M133" s="3">
        <v>75</v>
      </c>
      <c r="N133" s="3" t="str">
        <f>IFERROR(MID(VLOOKUP($B133,Seqs!$A:$B,2,0),O133,1),"")</f>
        <v>N</v>
      </c>
      <c r="O133" s="3">
        <v>104</v>
      </c>
      <c r="P133" s="3" t="str">
        <f>IFERROR(MID(VLOOKUP($B133,Seqs!$A:$B,2,0),Q133,1),"")</f>
        <v>E</v>
      </c>
      <c r="Q133" s="3">
        <v>105</v>
      </c>
      <c r="R133" s="3" t="str">
        <f>IFERROR(MID(VLOOKUP($B133,Seqs!$A:$B,2,0),S133,1),"")</f>
        <v>F</v>
      </c>
      <c r="S133" s="3">
        <v>108</v>
      </c>
      <c r="T133" s="3" t="str">
        <f>IFERROR(MID(VLOOKUP($B133,Seqs!$A:$B,2,0),U133,1),"")</f>
        <v>G</v>
      </c>
      <c r="U133" s="3">
        <v>109</v>
      </c>
      <c r="V133" s="3" t="str">
        <f>IFERROR(MID(VLOOKUP($B133,Seqs!$A:$B,2,0),W133,1),"")</f>
        <v>H</v>
      </c>
      <c r="W133" s="3">
        <v>144</v>
      </c>
      <c r="X133" s="3" t="str">
        <f>IFERROR(MID(VLOOKUP($B133,Seqs!$A:$B,2,0),Y133,1),"")</f>
        <v>A</v>
      </c>
      <c r="Y133" s="3">
        <v>145</v>
      </c>
      <c r="Z133" s="3" t="str">
        <f>IFERROR(MID(VLOOKUP($B133,Seqs!$A:$B,2,0),AA133,1),"")</f>
        <v>R</v>
      </c>
      <c r="AA133" s="3">
        <v>152</v>
      </c>
      <c r="AB133" s="3" t="str">
        <f>IFERROR(MID(VLOOKUP($B133,Seqs!$A:$B,2,0),AC133,1),"")</f>
        <v>T</v>
      </c>
      <c r="AC133" s="9">
        <v>153</v>
      </c>
      <c r="AD133" s="3" t="str">
        <f>IFERROR(MID(VLOOKUP($B133,Seqs!$A:$B,2,0),AE133,1),"")</f>
        <v>T</v>
      </c>
      <c r="AE133" s="3">
        <v>179</v>
      </c>
      <c r="AF133" s="3" t="str">
        <f>IFERROR(MID(VLOOKUP($B133,Seqs!$A:$B,2,0),AG133,1),"")</f>
        <v>C</v>
      </c>
      <c r="AG133" s="3">
        <v>190</v>
      </c>
      <c r="AH133" s="3" t="str">
        <f>IFERROR(MID(VLOOKUP($B133,Seqs!$A:$B,2,0),AI133,1),"")</f>
        <v>P</v>
      </c>
      <c r="AI133" s="3">
        <v>192</v>
      </c>
      <c r="AJ133" s="3" t="str">
        <f>IFERROR(MID(VLOOKUP($B133,Seqs!$A:$B,2,0),AK133,1),"")</f>
        <v>P</v>
      </c>
      <c r="AK133" s="3">
        <v>195</v>
      </c>
      <c r="AL133" s="3" t="str">
        <f>IFERROR(MID(VLOOKUP($B133,Seqs!$A:$B,2,0),AM133,1),"")</f>
        <v>C</v>
      </c>
      <c r="AM133" s="3">
        <v>232</v>
      </c>
      <c r="AN133" s="3" t="str">
        <f>IFERROR(MID(VLOOKUP($B133,Seqs!$A:$B,2,0),AO133,1),"")</f>
        <v>K</v>
      </c>
      <c r="AO133" s="3">
        <v>236</v>
      </c>
      <c r="AP133" s="3" t="str">
        <f>IFERROR(MID(VLOOKUP($B133,Seqs!$A:$B,2,0),AQ133,1),"")</f>
        <v>G</v>
      </c>
      <c r="AQ133" s="3">
        <v>273</v>
      </c>
      <c r="AR133" s="3" t="str">
        <f>IFERROR(MID(VLOOKUP($B133,Seqs!$A:$B,2,0),AS133,1),"")</f>
        <v>E</v>
      </c>
      <c r="AS133" s="3">
        <v>278</v>
      </c>
      <c r="AT133" s="3" t="str">
        <f>IFERROR(MID(VLOOKUP($B133,Seqs!$A:$B,2,0),AU133,1),"")</f>
        <v>V</v>
      </c>
      <c r="AU133" s="3">
        <v>308</v>
      </c>
      <c r="AV133" s="3" t="str">
        <f>IFERROR(MID(VLOOKUP($B133,Seqs!$A:$B,2,0),AW133,1),"")</f>
        <v>G</v>
      </c>
      <c r="AW133" s="3">
        <v>309</v>
      </c>
      <c r="AX133" s="3" t="str">
        <f>IFERROR(MID(VLOOKUP($B133,Seqs!$A:$B,2,0),AY133,1),"")</f>
        <v>L</v>
      </c>
      <c r="AY133" s="3">
        <v>320</v>
      </c>
      <c r="AZ133" s="77" t="str">
        <f>VLOOKUP(B133,Classification!A:D,2,0)</f>
        <v>A</v>
      </c>
      <c r="BA133" s="94" t="str">
        <f>VLOOKUP(B133,Classification!A:D,4,0)</f>
        <v>Chemokine</v>
      </c>
      <c r="BB133" s="27" t="b">
        <f t="shared" si="560"/>
        <v>1</v>
      </c>
      <c r="BC133" s="23">
        <f t="shared" si="365"/>
        <v>265</v>
      </c>
      <c r="BD133" s="2" t="s">
        <v>23</v>
      </c>
      <c r="BE133" s="3" t="s">
        <v>23</v>
      </c>
      <c r="BF133" s="119" t="s">
        <v>23</v>
      </c>
      <c r="BG133" s="49" t="s">
        <v>1379</v>
      </c>
      <c r="BH133" s="49" t="s">
        <v>1384</v>
      </c>
      <c r="BI133" s="1"/>
      <c r="BJ133" s="70" t="s">
        <v>1293</v>
      </c>
      <c r="BK133" s="57" t="s">
        <v>1293</v>
      </c>
      <c r="BL133" s="57" t="s">
        <v>1293</v>
      </c>
      <c r="BM133" s="57" t="s">
        <v>1293</v>
      </c>
      <c r="BN133" s="57" t="s">
        <v>1293</v>
      </c>
      <c r="BO133" s="57" t="s">
        <v>1293</v>
      </c>
      <c r="BP133" s="57" t="s">
        <v>1293</v>
      </c>
      <c r="BQ133" s="57" t="s">
        <v>1293</v>
      </c>
      <c r="BR133" s="57" t="s">
        <v>1293</v>
      </c>
      <c r="BS133" s="57" t="s">
        <v>1293</v>
      </c>
      <c r="BT133" s="57" t="s">
        <v>1293</v>
      </c>
      <c r="BU133" s="57" t="s">
        <v>1293</v>
      </c>
      <c r="BV133" s="70">
        <f t="shared" si="366"/>
        <v>37</v>
      </c>
      <c r="BW133" s="71">
        <f t="shared" si="367"/>
        <v>71</v>
      </c>
      <c r="BX133" s="72">
        <f t="shared" si="368"/>
        <v>75</v>
      </c>
      <c r="BY133" s="71">
        <f t="shared" si="369"/>
        <v>105</v>
      </c>
      <c r="BZ133" s="72">
        <f t="shared" si="370"/>
        <v>109</v>
      </c>
      <c r="CA133" s="71">
        <f t="shared" si="371"/>
        <v>145</v>
      </c>
      <c r="CB133" s="72">
        <f t="shared" si="372"/>
        <v>153</v>
      </c>
      <c r="CC133" s="71">
        <f t="shared" si="373"/>
        <v>190</v>
      </c>
      <c r="CD133" s="72">
        <f t="shared" si="374"/>
        <v>195</v>
      </c>
      <c r="CE133" s="71">
        <f t="shared" si="375"/>
        <v>236</v>
      </c>
      <c r="CF133" s="72">
        <f t="shared" si="376"/>
        <v>278</v>
      </c>
      <c r="CG133" s="71">
        <f t="shared" si="377"/>
        <v>309</v>
      </c>
      <c r="CH133" s="70">
        <f t="shared" si="378"/>
        <v>70</v>
      </c>
      <c r="CI133" s="71">
        <f t="shared" si="379"/>
        <v>74</v>
      </c>
      <c r="CJ133" s="72">
        <f t="shared" si="380"/>
        <v>104</v>
      </c>
      <c r="CK133" s="72">
        <f t="shared" si="381"/>
        <v>108</v>
      </c>
      <c r="CL133" s="72">
        <f t="shared" si="382"/>
        <v>144</v>
      </c>
      <c r="CM133" s="72">
        <f t="shared" si="383"/>
        <v>152</v>
      </c>
      <c r="CN133" s="72">
        <f t="shared" si="384"/>
        <v>179</v>
      </c>
      <c r="CO133" s="72">
        <f t="shared" si="385"/>
        <v>192</v>
      </c>
      <c r="CP133" s="72">
        <f t="shared" si="386"/>
        <v>232</v>
      </c>
      <c r="CQ133" s="72">
        <f t="shared" si="387"/>
        <v>273</v>
      </c>
      <c r="CR133" s="72">
        <f t="shared" si="388"/>
        <v>308</v>
      </c>
      <c r="CS133" s="72">
        <f t="shared" si="389"/>
        <v>320</v>
      </c>
      <c r="CT133" s="23">
        <f t="shared" si="390"/>
        <v>1</v>
      </c>
      <c r="CU133" s="6"/>
      <c r="CV133" s="6"/>
      <c r="CW133" s="6"/>
      <c r="CX133" s="6"/>
      <c r="CY133" s="6"/>
      <c r="CZ133" s="6"/>
      <c r="DA133" s="6"/>
      <c r="DB133" s="6"/>
      <c r="DC133" s="6"/>
      <c r="DD133" s="6"/>
      <c r="DE133" s="6"/>
      <c r="DF133" s="6"/>
      <c r="DG133" s="6"/>
      <c r="DH133" s="6"/>
      <c r="DI133" s="6"/>
      <c r="DJ133" s="6"/>
      <c r="DK133" s="6"/>
      <c r="DL133" s="6"/>
      <c r="DM133" s="6"/>
      <c r="DN133" s="6"/>
      <c r="DO133" s="6"/>
      <c r="DP133" s="6"/>
      <c r="DQ133" s="6"/>
      <c r="DR133" s="6"/>
      <c r="DS133" s="6"/>
      <c r="DT133" s="6"/>
      <c r="DU133" s="6"/>
      <c r="DV133" s="6"/>
      <c r="DW133" s="6"/>
      <c r="DX133" s="6"/>
      <c r="DY133" s="6"/>
      <c r="DZ133" s="6"/>
      <c r="EA133" s="6"/>
      <c r="EB133" s="6"/>
      <c r="EC133" s="6"/>
      <c r="ED133" s="6"/>
      <c r="EE133" s="6"/>
      <c r="EF133" s="6"/>
      <c r="EG133" s="6"/>
      <c r="EH133" s="6"/>
      <c r="EI133" s="6"/>
      <c r="EJ133" s="6"/>
      <c r="EK133" s="6"/>
      <c r="EL133" s="6"/>
      <c r="EM133" s="6"/>
      <c r="EN133" s="6"/>
      <c r="EO133" s="6"/>
      <c r="EP133" s="6"/>
      <c r="EQ133" s="6"/>
      <c r="ER133" s="6"/>
      <c r="ES133" s="6"/>
      <c r="ET133" s="6"/>
      <c r="EU133" s="6"/>
      <c r="EV133" s="6"/>
      <c r="EW133" s="6"/>
      <c r="EX133" s="6"/>
      <c r="EY133" s="6"/>
      <c r="EZ133" s="6"/>
      <c r="FA133" s="6"/>
      <c r="FB133" s="6"/>
      <c r="FC133" s="6"/>
      <c r="FD133" s="6"/>
      <c r="FE133" s="6"/>
      <c r="FF133" s="6"/>
      <c r="FG133" s="6"/>
      <c r="FH133" s="6"/>
      <c r="FI133" s="6"/>
      <c r="FJ133" s="6"/>
      <c r="FK133" s="6"/>
      <c r="FL133" s="6"/>
      <c r="FM133" s="6"/>
      <c r="FN133" s="6"/>
      <c r="FO133" s="6"/>
      <c r="FP133" s="6"/>
      <c r="FQ133" s="6"/>
      <c r="FR133" s="6"/>
      <c r="FS133" s="6"/>
      <c r="FT133" s="6"/>
      <c r="FU133" s="6"/>
      <c r="FV133" s="6"/>
      <c r="FW133" s="6"/>
      <c r="FX133" s="6"/>
      <c r="FY133" s="6"/>
      <c r="FZ133" s="6"/>
      <c r="GA133" s="6"/>
      <c r="GB133" s="6"/>
      <c r="GC133" s="6"/>
      <c r="GD133" s="6"/>
      <c r="GE133" s="6"/>
      <c r="GF133" s="6"/>
      <c r="GG133" s="6"/>
      <c r="GH133" s="6"/>
      <c r="GI133" s="6"/>
      <c r="GJ133" s="6"/>
      <c r="GK133" s="6"/>
      <c r="GL133" s="6"/>
      <c r="GM133" s="6"/>
      <c r="GN133" s="6"/>
      <c r="GO133" s="6"/>
      <c r="GP133" s="6"/>
      <c r="GQ133" s="6"/>
      <c r="GR133" s="6"/>
      <c r="GS133" s="6"/>
      <c r="GT133" s="6"/>
      <c r="GU133" s="6"/>
      <c r="GV133" s="6"/>
      <c r="GW133" s="6"/>
      <c r="GX133" s="6"/>
      <c r="GY133" s="6"/>
      <c r="GZ133" s="6"/>
      <c r="HA133" s="6"/>
      <c r="HB133" s="6"/>
      <c r="HC133" s="6"/>
      <c r="HD133" s="6"/>
      <c r="HE133" s="6"/>
      <c r="HF133" s="6"/>
      <c r="HG133" s="6"/>
      <c r="HH133" s="6"/>
      <c r="HI133" s="6"/>
      <c r="HJ133" s="6"/>
      <c r="HK133" s="6"/>
      <c r="HL133" s="6"/>
      <c r="HM133" s="6"/>
      <c r="HN133" s="6"/>
      <c r="HO133" s="6"/>
      <c r="HP133" s="6"/>
      <c r="HQ133" s="6"/>
      <c r="HR133" s="6"/>
      <c r="HS133" s="6"/>
      <c r="HT133" s="6"/>
      <c r="HU133" s="6"/>
      <c r="HV133" s="6"/>
      <c r="HW133" s="6"/>
      <c r="HX133" s="6"/>
      <c r="HY133" s="6"/>
      <c r="HZ133" s="6"/>
      <c r="IA133" s="6"/>
      <c r="IB133" s="6"/>
      <c r="IC133" s="6"/>
      <c r="ID133" s="6"/>
      <c r="IE133" s="6"/>
      <c r="IF133" s="6"/>
      <c r="IG133" s="6"/>
      <c r="IH133" s="6"/>
      <c r="II133" s="6"/>
      <c r="IJ133" s="6"/>
      <c r="IK133" s="6"/>
      <c r="IL133" s="6"/>
      <c r="IM133" s="6"/>
      <c r="IN133" s="6"/>
      <c r="IO133" s="6"/>
      <c r="IP133" s="6"/>
      <c r="IQ133" s="6"/>
      <c r="IR133" s="6"/>
      <c r="IS133" s="6"/>
      <c r="IT133" s="6"/>
      <c r="IU133" s="6"/>
      <c r="IV133" s="6"/>
      <c r="IW133" s="6"/>
      <c r="IX133" s="6"/>
      <c r="IY133" s="6"/>
      <c r="IZ133" s="6"/>
      <c r="JA133" s="6"/>
      <c r="JB133" s="6"/>
      <c r="JC133" s="6"/>
      <c r="JD133" s="6"/>
      <c r="JE133" s="6"/>
      <c r="JF133" s="6"/>
      <c r="JG133" s="6"/>
      <c r="JH133" s="6"/>
      <c r="JI133" s="6"/>
      <c r="JJ133" s="6"/>
      <c r="JK133" s="6"/>
      <c r="JL133" s="6"/>
      <c r="JM133" s="6"/>
      <c r="JN133" s="6"/>
      <c r="JO133" s="6"/>
      <c r="JP133" s="6"/>
      <c r="JQ133" s="6"/>
      <c r="JR133" s="6"/>
      <c r="JS133" s="6"/>
      <c r="JT133" s="6"/>
      <c r="JU133" s="6"/>
      <c r="JV133" s="6"/>
      <c r="JW133" s="6"/>
      <c r="JX133" s="6"/>
      <c r="JY133" s="6"/>
      <c r="JZ133" s="6"/>
      <c r="KA133" s="6"/>
      <c r="KB133" s="6"/>
      <c r="KC133" s="6"/>
      <c r="KD133" s="6"/>
      <c r="KE133" s="6"/>
      <c r="KF133" s="6"/>
      <c r="KG133" s="6"/>
      <c r="KH133" s="6"/>
      <c r="KI133" s="6"/>
      <c r="KJ133" s="6"/>
      <c r="KK133" s="6"/>
      <c r="KL133" s="6"/>
      <c r="KM133" s="6"/>
      <c r="KN133" s="6"/>
      <c r="KO133" s="6"/>
      <c r="KP133" s="6"/>
      <c r="KQ133" s="6"/>
      <c r="KR133" s="6"/>
      <c r="KS133" s="6"/>
      <c r="KT133" s="6"/>
      <c r="KU133" s="6"/>
      <c r="KV133" s="6"/>
      <c r="KW133" s="6"/>
      <c r="KX133" s="6"/>
      <c r="KY133" s="6"/>
      <c r="KZ133" s="6"/>
      <c r="LA133" s="6"/>
      <c r="LB133" s="6"/>
      <c r="LC133" s="6"/>
      <c r="LD133" s="6"/>
      <c r="LE133" s="6"/>
      <c r="LF133" s="6"/>
      <c r="LG133" s="6"/>
      <c r="LH133" s="6"/>
      <c r="LI133" s="6"/>
      <c r="LJ133" s="6"/>
      <c r="LK133" s="6"/>
      <c r="LL133" s="6"/>
      <c r="LM133" s="6"/>
      <c r="LN133" s="6"/>
      <c r="LO133" s="6"/>
      <c r="LP133" s="6"/>
      <c r="LQ133" s="6"/>
      <c r="LR133" s="6"/>
      <c r="LS133" s="6"/>
      <c r="LT133" s="6"/>
      <c r="LU133" s="6"/>
      <c r="LV133" s="6"/>
      <c r="LW133" s="6"/>
      <c r="LX133" s="6"/>
      <c r="LY133" s="6"/>
      <c r="LZ133" s="6"/>
      <c r="MA133" s="6"/>
      <c r="MB133" s="6"/>
      <c r="MC133" s="6"/>
      <c r="MD133" s="6"/>
      <c r="ME133" s="6"/>
      <c r="MF133" s="6"/>
      <c r="MG133" s="6"/>
      <c r="MH133" s="6"/>
      <c r="MI133" s="6"/>
      <c r="MJ133" s="6"/>
      <c r="MK133" s="6"/>
      <c r="ML133" s="6"/>
      <c r="MM133" s="6"/>
      <c r="MN133" s="6"/>
      <c r="MO133" s="6"/>
      <c r="MP133" s="6"/>
      <c r="MQ133" s="6"/>
      <c r="MR133" s="6"/>
      <c r="MS133" s="6"/>
      <c r="MT133" s="6"/>
      <c r="MU133" s="6"/>
      <c r="MV133" s="6"/>
      <c r="MW133" s="6"/>
      <c r="MX133" s="6"/>
      <c r="MY133" s="6"/>
      <c r="MZ133" s="6"/>
      <c r="NA133" s="6"/>
      <c r="NB133" s="6"/>
      <c r="NC133" s="6"/>
      <c r="ND133" s="6"/>
      <c r="NE133" s="6"/>
      <c r="NF133" s="6"/>
      <c r="NG133" s="6"/>
      <c r="NH133" s="6"/>
      <c r="NI133" s="6"/>
      <c r="NJ133" s="6"/>
      <c r="NK133" s="6"/>
      <c r="NL133" s="6"/>
      <c r="NM133" s="6"/>
      <c r="NN133" s="6"/>
      <c r="NO133" s="6"/>
      <c r="NP133" s="6"/>
      <c r="NQ133" s="6"/>
      <c r="NR133" s="6"/>
      <c r="NS133" s="6"/>
      <c r="NT133" s="6"/>
      <c r="NU133" s="6"/>
      <c r="NV133" s="6"/>
      <c r="NW133" s="6"/>
      <c r="NX133" s="6"/>
      <c r="NY133" s="6"/>
      <c r="NZ133" s="6"/>
      <c r="OA133" s="6"/>
      <c r="OB133" s="6"/>
      <c r="OC133" s="6"/>
      <c r="OD133" s="6"/>
      <c r="OE133" s="6"/>
      <c r="OF133" s="6"/>
      <c r="OG133" s="6"/>
      <c r="OH133" s="6"/>
      <c r="OI133" s="6"/>
      <c r="OJ133" s="6"/>
      <c r="OK133" s="6"/>
      <c r="OL133" s="6"/>
      <c r="OM133" s="6"/>
      <c r="ON133" s="6"/>
      <c r="OO133" s="6"/>
      <c r="OP133" s="6"/>
      <c r="OQ133" s="6"/>
      <c r="OR133" s="6"/>
      <c r="OS133" s="6"/>
      <c r="OT133" s="6"/>
      <c r="OU133" s="6"/>
      <c r="OV133" s="6"/>
      <c r="OW133" s="6"/>
      <c r="OX133" s="6"/>
      <c r="OY133" s="6"/>
      <c r="OZ133" s="6"/>
      <c r="PA133" s="6"/>
      <c r="PB133" s="6"/>
      <c r="PC133" s="6"/>
      <c r="PD133" s="6"/>
      <c r="PE133" s="6"/>
      <c r="PF133" s="6"/>
      <c r="PG133" s="6"/>
      <c r="PH133" s="6"/>
      <c r="PI133" s="6"/>
      <c r="PJ133" s="6"/>
      <c r="PK133" s="6"/>
      <c r="PL133" s="6"/>
      <c r="PM133" s="6"/>
      <c r="PN133" s="6"/>
      <c r="PO133" s="6"/>
      <c r="PP133" s="6"/>
      <c r="PQ133" s="6"/>
      <c r="PR133" s="6"/>
      <c r="PS133" s="6"/>
      <c r="PT133" s="6"/>
      <c r="PU133" s="6"/>
      <c r="PV133" s="6"/>
      <c r="PW133" s="6"/>
      <c r="PX133" s="6"/>
      <c r="PY133" s="6"/>
      <c r="PZ133" s="6"/>
      <c r="QA133" s="6"/>
      <c r="QB133" s="6"/>
      <c r="QC133" s="6"/>
      <c r="QD133" s="6"/>
      <c r="QE133" s="6"/>
      <c r="QF133" s="6"/>
      <c r="QG133" s="6"/>
      <c r="QH133" s="6"/>
      <c r="QI133" s="6"/>
      <c r="QJ133" s="6"/>
      <c r="QK133" s="6"/>
      <c r="QL133" s="6"/>
      <c r="QM133" s="6"/>
      <c r="QN133" s="6"/>
      <c r="QO133" s="6"/>
      <c r="QP133" s="6"/>
      <c r="QQ133" s="6"/>
      <c r="QR133" s="6"/>
      <c r="QS133" s="6"/>
      <c r="QT133" s="6"/>
      <c r="QU133" s="6"/>
      <c r="QV133" s="6"/>
      <c r="QW133" s="6"/>
      <c r="QX133" s="6"/>
      <c r="QY133" s="6"/>
      <c r="QZ133" s="6"/>
      <c r="RA133" s="6"/>
      <c r="RB133" s="6"/>
      <c r="RC133" s="6"/>
      <c r="RD133" s="6"/>
      <c r="RE133" s="6"/>
      <c r="RF133" s="6"/>
      <c r="RG133" s="6"/>
      <c r="RH133" s="6"/>
      <c r="RI133" s="6"/>
      <c r="RJ133" s="6"/>
      <c r="RK133" s="6"/>
      <c r="RL133" s="6"/>
      <c r="RM133" s="6"/>
      <c r="RN133" s="6"/>
      <c r="RO133" s="6"/>
      <c r="RP133" s="6"/>
      <c r="RQ133" s="6"/>
      <c r="RR133" s="6"/>
      <c r="RS133" s="6"/>
      <c r="RT133" s="6"/>
      <c r="RU133" s="6"/>
      <c r="RV133" s="6"/>
      <c r="RW133" s="6"/>
      <c r="RX133" s="6"/>
      <c r="RY133" s="6"/>
      <c r="RZ133" s="6"/>
      <c r="SA133" s="6"/>
      <c r="SB133" s="6"/>
      <c r="SC133" s="6"/>
      <c r="SD133" s="6"/>
      <c r="SE133" s="6"/>
      <c r="SF133" s="6"/>
      <c r="SG133" s="6"/>
      <c r="SH133" s="6"/>
      <c r="SI133" s="6"/>
      <c r="SJ133" s="6"/>
      <c r="SK133" s="6"/>
      <c r="SL133" s="6"/>
      <c r="SM133" s="6"/>
      <c r="SN133" s="6"/>
      <c r="SO133" s="6"/>
      <c r="SP133" s="6"/>
      <c r="SQ133" s="6"/>
      <c r="SR133" s="6"/>
      <c r="SS133" s="6"/>
      <c r="ST133" s="6"/>
      <c r="SU133" s="6"/>
      <c r="SV133" s="6"/>
      <c r="SW133" s="6"/>
      <c r="SX133" s="6"/>
      <c r="SY133" s="6"/>
      <c r="SZ133" s="6"/>
      <c r="TA133" s="6"/>
      <c r="TB133" s="6"/>
      <c r="TC133" s="6"/>
      <c r="TD133" s="6"/>
      <c r="TE133" s="6"/>
      <c r="TF133" s="6"/>
      <c r="TG133" s="6"/>
      <c r="TH133" s="6"/>
      <c r="TI133" s="6"/>
      <c r="TJ133" s="6"/>
      <c r="TK133" s="6"/>
      <c r="TL133" s="6"/>
      <c r="TM133" s="6"/>
      <c r="TN133" s="6"/>
      <c r="TO133" s="6"/>
      <c r="TP133" s="6"/>
      <c r="TQ133" s="6"/>
      <c r="TR133" s="6"/>
      <c r="TS133" s="6"/>
      <c r="TT133" s="6"/>
      <c r="TU133" s="6"/>
      <c r="TV133" s="6"/>
      <c r="TW133" s="6"/>
      <c r="TX133" s="6"/>
      <c r="TY133" s="6"/>
      <c r="TZ133" s="6"/>
      <c r="UA133" s="6"/>
      <c r="UB133" s="6"/>
      <c r="UC133" s="6"/>
      <c r="UD133" s="6"/>
      <c r="UE133" s="6"/>
      <c r="UF133" s="6"/>
      <c r="UG133" s="6"/>
      <c r="UH133" s="6"/>
      <c r="UI133" s="6"/>
      <c r="UJ133" s="6"/>
      <c r="UK133" s="6"/>
      <c r="UL133" s="6"/>
      <c r="UM133" s="6"/>
      <c r="UN133" s="6"/>
      <c r="UO133" s="6"/>
      <c r="UP133" s="6"/>
      <c r="UQ133" s="6"/>
      <c r="UR133" s="6"/>
      <c r="US133" s="6"/>
      <c r="UT133" s="6"/>
      <c r="UU133" s="6"/>
      <c r="UV133" s="6"/>
      <c r="UW133" s="6"/>
      <c r="UX133" s="6"/>
      <c r="UY133" s="6"/>
      <c r="UZ133" s="6"/>
      <c r="VA133" s="6"/>
      <c r="VB133" s="6"/>
      <c r="VC133" s="6"/>
      <c r="VD133" s="6"/>
      <c r="VE133" s="6"/>
      <c r="VF133" s="6"/>
      <c r="VG133" s="6"/>
      <c r="VH133" s="6"/>
      <c r="VI133" s="6"/>
      <c r="VJ133" s="6"/>
      <c r="VK133" s="6"/>
      <c r="VL133" s="6"/>
      <c r="VM133" s="6"/>
      <c r="VN133" s="6"/>
      <c r="VO133" s="6"/>
      <c r="VP133" s="6"/>
      <c r="VQ133" s="6"/>
      <c r="VR133" s="6"/>
      <c r="VS133" s="6"/>
      <c r="VT133" s="6"/>
      <c r="VU133" s="6"/>
      <c r="VV133" s="6"/>
      <c r="VW133" s="6"/>
      <c r="VX133" s="6"/>
      <c r="VY133" s="6"/>
      <c r="VZ133" s="6"/>
      <c r="WA133" s="6"/>
      <c r="WB133" s="6"/>
      <c r="WC133" s="6"/>
      <c r="WD133" s="6"/>
      <c r="WE133" s="6"/>
      <c r="WF133" s="6"/>
      <c r="WG133" s="6"/>
      <c r="WH133" s="6"/>
      <c r="WI133" s="6"/>
      <c r="WJ133" s="6"/>
      <c r="WK133" s="6"/>
      <c r="WL133" s="6"/>
      <c r="WM133" s="6"/>
      <c r="WN133" s="6"/>
      <c r="WO133" s="6"/>
      <c r="WP133" s="6"/>
      <c r="WQ133" s="6"/>
      <c r="WR133" s="6"/>
      <c r="WS133" s="6"/>
      <c r="WT133" s="6"/>
      <c r="WU133" s="6"/>
      <c r="WV133" s="6"/>
      <c r="WW133" s="6"/>
      <c r="WX133" s="6"/>
      <c r="WY133" s="6"/>
      <c r="WZ133" s="6"/>
      <c r="XA133" s="6"/>
      <c r="XB133" s="6"/>
      <c r="XC133" s="6"/>
      <c r="XD133" s="6"/>
      <c r="XE133" s="6"/>
      <c r="XF133" s="6"/>
      <c r="XG133" s="6"/>
      <c r="XH133" s="6"/>
      <c r="XI133" s="6"/>
      <c r="XJ133" s="6"/>
      <c r="XK133" s="6"/>
      <c r="XL133" s="6"/>
      <c r="XM133" s="6"/>
      <c r="XN133" s="6"/>
      <c r="XO133" s="6"/>
      <c r="XP133" s="6"/>
      <c r="XQ133" s="6"/>
      <c r="XR133" s="6"/>
      <c r="XS133" s="6"/>
      <c r="XT133" s="6"/>
      <c r="XU133" s="6"/>
      <c r="XV133" s="6"/>
      <c r="XW133" s="6"/>
      <c r="XX133" s="6"/>
      <c r="XY133" s="6"/>
      <c r="XZ133" s="6"/>
      <c r="YA133" s="6"/>
      <c r="YB133" s="6"/>
      <c r="YC133" s="6"/>
      <c r="YD133" s="6"/>
      <c r="YE133" s="6"/>
      <c r="YF133" s="6"/>
      <c r="YG133" s="6"/>
      <c r="YH133" s="6"/>
      <c r="YI133" s="6"/>
      <c r="YJ133" s="6"/>
      <c r="YK133" s="6"/>
      <c r="YL133" s="6"/>
      <c r="YM133" s="6"/>
      <c r="YN133" s="6"/>
      <c r="YO133" s="6"/>
      <c r="YP133" s="6"/>
      <c r="YQ133" s="6"/>
      <c r="YR133" s="6"/>
      <c r="YS133" s="6"/>
      <c r="YT133" s="6"/>
      <c r="YU133" s="6"/>
      <c r="YV133" s="6"/>
      <c r="YW133" s="6"/>
      <c r="YX133" s="6"/>
      <c r="YY133" s="6"/>
      <c r="YZ133" s="6"/>
      <c r="ZA133" s="6"/>
      <c r="ZB133" s="6"/>
      <c r="ZC133" s="6"/>
      <c r="ZD133" s="6"/>
      <c r="ZE133" s="6"/>
      <c r="ZF133" s="6"/>
      <c r="ZG133" s="6"/>
      <c r="ZH133" s="6"/>
      <c r="ZI133" s="6"/>
      <c r="ZJ133" s="6"/>
      <c r="ZK133" s="6"/>
      <c r="ZL133" s="6"/>
      <c r="ZM133" s="6"/>
      <c r="ZN133" s="6"/>
      <c r="ZO133" s="6"/>
      <c r="ZP133" s="6"/>
      <c r="ZQ133" s="6"/>
      <c r="ZR133" s="6"/>
      <c r="ZS133" s="6"/>
      <c r="ZT133" s="6"/>
      <c r="ZU133" s="6"/>
      <c r="ZV133" s="6"/>
      <c r="ZW133" s="6"/>
      <c r="ZX133" s="6"/>
      <c r="ZY133" s="6"/>
      <c r="ZZ133" s="6"/>
      <c r="AAA133" s="6"/>
      <c r="AAB133" s="6"/>
      <c r="AAC133" s="6"/>
      <c r="AAD133" s="6"/>
      <c r="AAE133" s="6"/>
      <c r="AAF133" s="6"/>
      <c r="AAG133" s="6"/>
      <c r="AAH133" s="6"/>
      <c r="AAI133" s="6"/>
      <c r="AAJ133" s="6"/>
      <c r="AAK133" s="6"/>
      <c r="AAL133" s="6"/>
      <c r="AAM133" s="6"/>
      <c r="AAN133" s="6"/>
      <c r="AAO133" s="6"/>
      <c r="AAP133" s="6"/>
      <c r="AAQ133" s="6"/>
      <c r="AAR133" s="6"/>
      <c r="AAS133" s="6"/>
      <c r="AAT133" s="6"/>
      <c r="AAU133" s="6"/>
      <c r="AAV133" s="6"/>
      <c r="AAW133" s="6"/>
      <c r="AAX133" s="6"/>
      <c r="AAY133" s="6"/>
      <c r="AAZ133" s="6"/>
      <c r="ABA133" s="6"/>
      <c r="ABB133" s="6"/>
      <c r="ABC133" s="6"/>
      <c r="ABD133" s="6"/>
      <c r="ABE133" s="6"/>
      <c r="ABF133" s="6"/>
      <c r="ABG133" s="6"/>
      <c r="ABH133" s="6"/>
      <c r="ABI133" s="6"/>
      <c r="ABJ133" s="6"/>
      <c r="ABK133" s="6"/>
      <c r="ABL133" s="6"/>
      <c r="ABM133" s="6"/>
      <c r="ABN133" s="6"/>
      <c r="ABO133" s="6"/>
      <c r="ABP133" s="6"/>
      <c r="ABQ133" s="6"/>
      <c r="ABR133" s="6"/>
      <c r="ABS133" s="6"/>
      <c r="ABT133" s="6"/>
      <c r="ABU133" s="6"/>
      <c r="ABV133" s="6"/>
      <c r="ABW133" s="6"/>
      <c r="ABX133" s="6"/>
      <c r="ABY133" s="6"/>
      <c r="ABZ133" s="6"/>
      <c r="ACA133" s="6"/>
      <c r="ACB133" s="6"/>
      <c r="ACC133" s="6"/>
      <c r="ACD133" s="6"/>
      <c r="ACE133" s="6"/>
      <c r="ACF133" s="6"/>
      <c r="ACG133" s="6"/>
      <c r="ACH133" s="6"/>
      <c r="ACI133" s="6"/>
      <c r="ACJ133" s="6"/>
      <c r="ACK133" s="6"/>
      <c r="ACL133" s="6"/>
      <c r="ACM133" s="6"/>
      <c r="ACN133" s="6"/>
      <c r="ACO133" s="6"/>
      <c r="ACP133" s="6"/>
      <c r="ACQ133" s="6"/>
      <c r="ACR133" s="6"/>
      <c r="ACS133" s="6"/>
      <c r="ACT133" s="6"/>
      <c r="ACU133" s="6"/>
      <c r="ACV133" s="6"/>
      <c r="ACW133" s="6"/>
      <c r="ACX133" s="6"/>
      <c r="ACY133" s="6"/>
      <c r="ACZ133" s="6"/>
      <c r="ADA133" s="6"/>
      <c r="ADB133" s="6"/>
      <c r="ADC133" s="6"/>
      <c r="ADD133" s="6"/>
      <c r="ADE133" s="6"/>
      <c r="ADF133" s="6"/>
      <c r="ADG133" s="6"/>
      <c r="ADH133" s="6"/>
      <c r="ADI133" s="6"/>
      <c r="ADJ133" s="6"/>
      <c r="ADK133" s="6"/>
      <c r="ADL133" s="6"/>
      <c r="ADM133" s="6"/>
      <c r="ADN133" s="6"/>
      <c r="ADO133" s="6"/>
      <c r="ADP133" s="6"/>
      <c r="ADQ133" s="6"/>
      <c r="ADR133" s="6"/>
      <c r="ADS133" s="6"/>
      <c r="ADT133" s="6"/>
      <c r="ADU133" s="6"/>
      <c r="ADV133" s="6"/>
      <c r="ADW133" s="6"/>
      <c r="ADX133" s="6"/>
      <c r="ADY133" s="6"/>
      <c r="ADZ133" s="6"/>
      <c r="AEA133" s="6"/>
      <c r="AEB133" s="6"/>
      <c r="AEC133" s="6"/>
      <c r="AED133" s="6"/>
      <c r="AEE133" s="6"/>
      <c r="AEF133" s="6"/>
      <c r="AEG133" s="6"/>
      <c r="AEH133" s="6"/>
      <c r="AEI133" s="6"/>
      <c r="AEJ133" s="6"/>
      <c r="AEK133" s="6"/>
      <c r="AEL133" s="6"/>
      <c r="AEM133" s="6"/>
      <c r="AEN133" s="6"/>
      <c r="AEO133" s="6"/>
      <c r="AEP133" s="6"/>
      <c r="AEQ133" s="6"/>
      <c r="AER133" s="6"/>
      <c r="AES133" s="6"/>
      <c r="AET133" s="6"/>
      <c r="AEU133" s="6"/>
      <c r="AEV133" s="6"/>
      <c r="AEW133" s="6"/>
      <c r="AEX133" s="6"/>
      <c r="AEY133" s="6"/>
      <c r="AEZ133" s="6"/>
      <c r="AFA133" s="6"/>
      <c r="AFB133" s="6"/>
      <c r="AFC133" s="6"/>
      <c r="AFD133" s="6"/>
      <c r="AFE133" s="6"/>
      <c r="AFF133" s="6"/>
      <c r="AFG133" s="6"/>
      <c r="AFH133" s="6"/>
      <c r="AFI133" s="6"/>
      <c r="AFJ133" s="6"/>
      <c r="AFK133" s="6"/>
      <c r="AFL133" s="6"/>
      <c r="AFM133" s="6"/>
      <c r="AFN133" s="6"/>
      <c r="AFO133" s="6"/>
      <c r="AFP133" s="6"/>
      <c r="AFQ133" s="6"/>
      <c r="AFR133" s="6"/>
      <c r="AFS133" s="6"/>
      <c r="AFT133" s="6"/>
      <c r="AFU133" s="6"/>
      <c r="AFV133" s="6"/>
      <c r="AFW133" s="6"/>
      <c r="AFX133" s="6"/>
      <c r="AFY133" s="6"/>
      <c r="AFZ133" s="6"/>
      <c r="AGA133" s="6"/>
      <c r="AGB133" s="6"/>
      <c r="AGC133" s="6"/>
      <c r="AGD133" s="6"/>
      <c r="AGE133" s="6"/>
      <c r="AGF133" s="6"/>
      <c r="AGG133" s="6"/>
      <c r="AGH133" s="6"/>
      <c r="AGI133" s="6"/>
      <c r="AGJ133" s="6"/>
      <c r="AGK133" s="6"/>
      <c r="AGL133" s="6"/>
      <c r="AGM133" s="6"/>
      <c r="AGN133" s="6"/>
      <c r="AGO133" s="6"/>
      <c r="AGP133" s="6"/>
      <c r="AGQ133" s="6"/>
      <c r="AGR133" s="6"/>
      <c r="AGS133" s="6"/>
      <c r="AGT133" s="6"/>
      <c r="AGU133" s="6"/>
      <c r="AGV133" s="6"/>
      <c r="AGW133" s="6"/>
      <c r="AGX133" s="6"/>
      <c r="AGY133" s="6"/>
      <c r="AGZ133" s="6"/>
      <c r="AHA133" s="6"/>
      <c r="AHB133" s="6"/>
      <c r="AHC133" s="6"/>
      <c r="AHD133" s="6"/>
      <c r="AHE133" s="6"/>
      <c r="AHF133" s="6"/>
      <c r="AHG133" s="6"/>
      <c r="AHH133" s="6"/>
      <c r="AHI133" s="6"/>
      <c r="AHJ133" s="6"/>
      <c r="AHK133" s="6"/>
      <c r="AHL133" s="6"/>
      <c r="AHM133" s="6"/>
      <c r="AHN133" s="6"/>
      <c r="AHO133" s="6"/>
      <c r="AHP133" s="6"/>
      <c r="AHQ133" s="6"/>
      <c r="AHR133" s="6"/>
      <c r="AHS133" s="6"/>
      <c r="AHT133" s="6"/>
      <c r="AHU133" s="6"/>
      <c r="AHV133" s="6"/>
      <c r="AHW133" s="6"/>
      <c r="AHX133" s="6"/>
      <c r="AHY133" s="6"/>
      <c r="AHZ133" s="6"/>
      <c r="AIA133" s="6"/>
      <c r="AIB133" s="6"/>
      <c r="AIC133" s="6"/>
      <c r="AID133" s="6"/>
      <c r="AIE133" s="6"/>
      <c r="AIF133" s="6"/>
      <c r="AIG133" s="6"/>
      <c r="AIH133" s="6"/>
      <c r="AII133" s="6"/>
      <c r="AIJ133" s="6"/>
      <c r="AIK133" s="6"/>
      <c r="AIL133" s="6"/>
      <c r="AIM133" s="6"/>
      <c r="AIN133" s="6"/>
      <c r="AIO133" s="6"/>
      <c r="AIP133" s="6"/>
      <c r="AIQ133" s="6"/>
      <c r="AIR133" s="6"/>
      <c r="AIS133" s="6"/>
      <c r="AIT133" s="6"/>
      <c r="AIU133" s="6"/>
      <c r="AIV133" s="6"/>
      <c r="AIW133" s="6"/>
      <c r="AIX133" s="6"/>
      <c r="AIY133" s="6"/>
      <c r="AIZ133" s="6"/>
      <c r="AJA133" s="6"/>
      <c r="AJB133" s="6"/>
      <c r="AJC133" s="6"/>
      <c r="AJD133" s="6"/>
      <c r="AJE133" s="6"/>
      <c r="AJF133" s="6"/>
      <c r="AJG133" s="6"/>
      <c r="AJH133" s="6"/>
      <c r="AJI133" s="6"/>
      <c r="AJJ133" s="6"/>
      <c r="AJK133" s="6"/>
      <c r="AJL133" s="6"/>
      <c r="AJM133" s="6"/>
      <c r="AJN133" s="6"/>
      <c r="AJO133" s="6"/>
      <c r="AJP133" s="6"/>
      <c r="AJQ133" s="6"/>
      <c r="AJR133" s="6"/>
      <c r="AJS133" s="6"/>
      <c r="AJT133" s="6"/>
      <c r="AJU133" s="6"/>
      <c r="AJV133" s="6"/>
      <c r="AJW133" s="6"/>
      <c r="AJX133" s="6"/>
      <c r="AJY133" s="6"/>
      <c r="AJZ133" s="6"/>
      <c r="AKA133" s="6"/>
      <c r="AKB133" s="6"/>
      <c r="AKC133" s="6"/>
      <c r="AKD133" s="6"/>
      <c r="AKE133" s="6"/>
      <c r="AKF133" s="6"/>
      <c r="AKG133" s="6"/>
      <c r="AKH133" s="6"/>
      <c r="AKI133" s="6"/>
      <c r="AKJ133" s="6"/>
      <c r="AKK133" s="6"/>
      <c r="AKL133" s="6"/>
      <c r="AKM133" s="6"/>
      <c r="AKN133" s="6"/>
      <c r="AKO133" s="6"/>
      <c r="AKP133" s="6"/>
      <c r="AKQ133" s="6"/>
      <c r="AKR133" s="6"/>
      <c r="AKS133" s="6"/>
      <c r="AKT133" s="6"/>
      <c r="AKU133" s="6"/>
      <c r="AKV133" s="6"/>
      <c r="AKW133" s="6"/>
      <c r="AKX133" s="6"/>
      <c r="AKY133" s="6"/>
      <c r="AKZ133" s="6"/>
      <c r="ALA133" s="6"/>
      <c r="ALB133" s="6"/>
      <c r="ALC133" s="6"/>
      <c r="ALD133" s="6"/>
      <c r="ALE133" s="6"/>
      <c r="ALF133" s="6"/>
      <c r="ALG133" s="6"/>
      <c r="ALH133" s="6"/>
      <c r="ALI133" s="6"/>
      <c r="ALJ133" s="6"/>
      <c r="ALK133" s="6"/>
      <c r="ALL133" s="6"/>
      <c r="ALM133" s="6"/>
      <c r="ALN133" s="6"/>
      <c r="ALO133" s="6"/>
      <c r="ALP133" s="6"/>
      <c r="ALQ133" s="6"/>
      <c r="ALR133" s="6"/>
      <c r="ALS133" s="6"/>
      <c r="ALT133" s="6"/>
      <c r="ALU133" s="6"/>
      <c r="ALV133" s="6"/>
      <c r="ALW133" s="6"/>
      <c r="ALX133" s="6"/>
      <c r="ALY133" s="6"/>
      <c r="ALZ133" s="6"/>
      <c r="AMA133" s="6"/>
      <c r="AMB133" s="6"/>
      <c r="AMC133" s="6"/>
      <c r="AMD133" s="6"/>
      <c r="AME133" s="6"/>
      <c r="AMF133" s="6"/>
      <c r="AMG133" s="6"/>
      <c r="AMH133" s="6"/>
      <c r="AMI133" s="6"/>
      <c r="AMJ133" s="6"/>
      <c r="AMK133" s="6"/>
      <c r="AML133" s="6"/>
      <c r="AMM133" s="6"/>
      <c r="AMN133" s="6"/>
      <c r="AMO133" s="6"/>
      <c r="AMP133" s="6"/>
    </row>
    <row r="134" spans="1:1030" x14ac:dyDescent="0.2">
      <c r="A134" s="3" t="str">
        <f t="shared" si="559"/>
        <v>ccr2_human_5T1A</v>
      </c>
      <c r="B134" s="3" t="s">
        <v>170</v>
      </c>
      <c r="C134" s="3" t="s">
        <v>1385</v>
      </c>
      <c r="D134" s="3" t="str">
        <f>IFERROR(MID(VLOOKUP($B134,Seqs!$A:$B,2,0),E134,1),"")</f>
        <v>V</v>
      </c>
      <c r="E134" s="3">
        <v>37</v>
      </c>
      <c r="F134" s="3" t="str">
        <f>IFERROR(MID(VLOOKUP($B134,Seqs!$A:$B,2,0),G134,1),"")</f>
        <v>C</v>
      </c>
      <c r="G134" s="3">
        <v>70</v>
      </c>
      <c r="H134" s="3" t="str">
        <f>IFERROR(MID(VLOOKUP($B134,Seqs!$A:$B,2,0),I134,1),"")</f>
        <v/>
      </c>
      <c r="I134" s="23" t="s">
        <v>23</v>
      </c>
      <c r="J134" s="3" t="str">
        <f>IFERROR(MID(VLOOKUP($B134,Seqs!$A:$B,2,0),K134,1),"")</f>
        <v/>
      </c>
      <c r="K134" s="23" t="s">
        <v>23</v>
      </c>
      <c r="L134" s="3" t="str">
        <f>IFERROR(MID(VLOOKUP($B134,Seqs!$A:$B,2,0),M134,1),"")</f>
        <v>C</v>
      </c>
      <c r="M134" s="3">
        <v>75</v>
      </c>
      <c r="N134" s="3" t="str">
        <f>IFERROR(MID(VLOOKUP($B134,Seqs!$A:$B,2,0),O134,1),"")</f>
        <v>N</v>
      </c>
      <c r="O134" s="3">
        <v>104</v>
      </c>
      <c r="P134" s="3" t="str">
        <f>IFERROR(MID(VLOOKUP($B134,Seqs!$A:$B,2,0),Q134,1),"")</f>
        <v>E</v>
      </c>
      <c r="Q134" s="3">
        <v>105</v>
      </c>
      <c r="R134" s="3" t="str">
        <f>IFERROR(MID(VLOOKUP($B134,Seqs!$A:$B,2,0),S134,1),"")</f>
        <v>F</v>
      </c>
      <c r="S134" s="3">
        <v>108</v>
      </c>
      <c r="T134" s="3" t="str">
        <f>IFERROR(MID(VLOOKUP($B134,Seqs!$A:$B,2,0),U134,1),"")</f>
        <v>G</v>
      </c>
      <c r="U134" s="3">
        <v>109</v>
      </c>
      <c r="V134" s="3" t="str">
        <f>IFERROR(MID(VLOOKUP($B134,Seqs!$A:$B,2,0),W134,1),"")</f>
        <v>H</v>
      </c>
      <c r="W134" s="3">
        <v>144</v>
      </c>
      <c r="X134" s="3" t="str">
        <f>IFERROR(MID(VLOOKUP($B134,Seqs!$A:$B,2,0),Y134,1),"")</f>
        <v>A</v>
      </c>
      <c r="Y134" s="3">
        <v>145</v>
      </c>
      <c r="Z134" s="3" t="str">
        <f>IFERROR(MID(VLOOKUP($B134,Seqs!$A:$B,2,0),AA134,1),"")</f>
        <v>R</v>
      </c>
      <c r="AA134" s="3">
        <v>152</v>
      </c>
      <c r="AB134" s="3" t="str">
        <f>IFERROR(MID(VLOOKUP($B134,Seqs!$A:$B,2,0),AC134,1),"")</f>
        <v>T</v>
      </c>
      <c r="AC134" s="9">
        <v>153</v>
      </c>
      <c r="AD134" s="3" t="str">
        <f>IFERROR(MID(VLOOKUP($B134,Seqs!$A:$B,2,0),AE134,1),"")</f>
        <v>T</v>
      </c>
      <c r="AE134" s="3">
        <v>179</v>
      </c>
      <c r="AF134" s="3" t="str">
        <f>IFERROR(MID(VLOOKUP($B134,Seqs!$A:$B,2,0),AG134,1),"")</f>
        <v>C</v>
      </c>
      <c r="AG134" s="3">
        <v>190</v>
      </c>
      <c r="AH134" s="3" t="str">
        <f>IFERROR(MID(VLOOKUP($B134,Seqs!$A:$B,2,0),AI134,1),"")</f>
        <v>P</v>
      </c>
      <c r="AI134" s="3">
        <v>192</v>
      </c>
      <c r="AJ134" s="3" t="str">
        <f>IFERROR(MID(VLOOKUP($B134,Seqs!$A:$B,2,0),AK134,1),"")</f>
        <v>P</v>
      </c>
      <c r="AK134" s="3">
        <v>195</v>
      </c>
      <c r="AL134" s="3" t="str">
        <f>IFERROR(MID(VLOOKUP($B134,Seqs!$A:$B,2,0),AM134,1),"")</f>
        <v>T</v>
      </c>
      <c r="AM134" s="3">
        <v>228</v>
      </c>
      <c r="AN134" s="3" t="str">
        <f>IFERROR(MID(VLOOKUP($B134,Seqs!$A:$B,2,0),AO134,1),"")</f>
        <v>K</v>
      </c>
      <c r="AO134" s="3">
        <v>236</v>
      </c>
      <c r="AP134" s="3" t="str">
        <f>IFERROR(MID(VLOOKUP($B134,Seqs!$A:$B,2,0),AQ134,1),"")</f>
        <v>G</v>
      </c>
      <c r="AQ134" s="3">
        <v>273</v>
      </c>
      <c r="AR134" s="3" t="str">
        <f>IFERROR(MID(VLOOKUP($B134,Seqs!$A:$B,2,0),AS134,1),"")</f>
        <v>E</v>
      </c>
      <c r="AS134" s="3">
        <v>278</v>
      </c>
      <c r="AT134" s="3" t="str">
        <f>IFERROR(MID(VLOOKUP($B134,Seqs!$A:$B,2,0),AU134,1),"")</f>
        <v>V</v>
      </c>
      <c r="AU134" s="3">
        <v>308</v>
      </c>
      <c r="AV134" s="3" t="str">
        <f>IFERROR(MID(VLOOKUP($B134,Seqs!$A:$B,2,0),AW134,1),"")</f>
        <v>G</v>
      </c>
      <c r="AW134" s="3">
        <v>309</v>
      </c>
      <c r="AX134" s="3" t="str">
        <f>IFERROR(MID(VLOOKUP($B134,Seqs!$A:$B,2,0),AY134,1),"")</f>
        <v>L</v>
      </c>
      <c r="AY134" s="3">
        <v>320</v>
      </c>
      <c r="AZ134" s="77" t="str">
        <f>VLOOKUP(B134,Classification!A:D,2,0)</f>
        <v>A</v>
      </c>
      <c r="BA134" s="94" t="str">
        <f>VLOOKUP(B134,Classification!A:D,4,0)</f>
        <v>Chemokine</v>
      </c>
      <c r="BB134" s="27" t="b">
        <f t="shared" si="560"/>
        <v>1</v>
      </c>
      <c r="BC134" s="23">
        <f t="shared" si="365"/>
        <v>258</v>
      </c>
      <c r="BD134" s="16" t="s">
        <v>1383</v>
      </c>
      <c r="BE134" s="3" t="s">
        <v>1381</v>
      </c>
      <c r="BF134" s="119">
        <v>2.81</v>
      </c>
      <c r="BG134" s="49" t="s">
        <v>1</v>
      </c>
      <c r="BH134" s="49" t="s">
        <v>1384</v>
      </c>
      <c r="BI134" s="1"/>
      <c r="BJ134" s="70" t="s">
        <v>1293</v>
      </c>
      <c r="BK134" s="57" t="s">
        <v>1293</v>
      </c>
      <c r="BL134" s="57" t="s">
        <v>1293</v>
      </c>
      <c r="BM134" s="57" t="s">
        <v>1293</v>
      </c>
      <c r="BN134" s="57" t="s">
        <v>1293</v>
      </c>
      <c r="BO134" s="57" t="s">
        <v>1293</v>
      </c>
      <c r="BP134" s="57" t="s">
        <v>1293</v>
      </c>
      <c r="BQ134" s="57" t="s">
        <v>1293</v>
      </c>
      <c r="BR134" s="57" t="s">
        <v>1293</v>
      </c>
      <c r="BS134" s="57" t="s">
        <v>1293</v>
      </c>
      <c r="BT134" s="57" t="s">
        <v>1293</v>
      </c>
      <c r="BU134" s="57" t="s">
        <v>1293</v>
      </c>
      <c r="BV134" s="70">
        <f t="shared" si="366"/>
        <v>37</v>
      </c>
      <c r="BW134" s="71" t="str">
        <f t="shared" si="367"/>
        <v>-</v>
      </c>
      <c r="BX134" s="72">
        <f t="shared" si="368"/>
        <v>75</v>
      </c>
      <c r="BY134" s="71">
        <f t="shared" si="369"/>
        <v>105</v>
      </c>
      <c r="BZ134" s="72">
        <f t="shared" si="370"/>
        <v>109</v>
      </c>
      <c r="CA134" s="71">
        <f t="shared" si="371"/>
        <v>145</v>
      </c>
      <c r="CB134" s="72">
        <f t="shared" si="372"/>
        <v>153</v>
      </c>
      <c r="CC134" s="71">
        <f t="shared" si="373"/>
        <v>190</v>
      </c>
      <c r="CD134" s="72">
        <f t="shared" si="374"/>
        <v>195</v>
      </c>
      <c r="CE134" s="71">
        <f t="shared" si="375"/>
        <v>236</v>
      </c>
      <c r="CF134" s="72">
        <f t="shared" si="376"/>
        <v>278</v>
      </c>
      <c r="CG134" s="71">
        <f t="shared" si="377"/>
        <v>309</v>
      </c>
      <c r="CH134" s="70">
        <f t="shared" si="378"/>
        <v>70</v>
      </c>
      <c r="CI134" s="71" t="str">
        <f t="shared" si="379"/>
        <v>-</v>
      </c>
      <c r="CJ134" s="72">
        <f t="shared" si="380"/>
        <v>104</v>
      </c>
      <c r="CK134" s="72">
        <f t="shared" si="381"/>
        <v>108</v>
      </c>
      <c r="CL134" s="72">
        <f t="shared" si="382"/>
        <v>144</v>
      </c>
      <c r="CM134" s="72">
        <f t="shared" si="383"/>
        <v>152</v>
      </c>
      <c r="CN134" s="72">
        <f t="shared" si="384"/>
        <v>179</v>
      </c>
      <c r="CO134" s="72">
        <f t="shared" si="385"/>
        <v>192</v>
      </c>
      <c r="CP134" s="72">
        <f t="shared" si="386"/>
        <v>228</v>
      </c>
      <c r="CQ134" s="72">
        <f t="shared" si="387"/>
        <v>273</v>
      </c>
      <c r="CR134" s="72">
        <f t="shared" si="388"/>
        <v>308</v>
      </c>
      <c r="CS134" s="72">
        <f t="shared" si="389"/>
        <v>320</v>
      </c>
      <c r="CT134" s="23" t="e">
        <f t="shared" si="390"/>
        <v>#VALUE!</v>
      </c>
      <c r="CU134" s="6"/>
      <c r="CV134" s="6"/>
      <c r="CW134" s="6"/>
      <c r="CX134" s="6"/>
      <c r="CY134" s="6"/>
      <c r="CZ134" s="6"/>
      <c r="DA134" s="6"/>
      <c r="DB134" s="6"/>
      <c r="DC134" s="6"/>
      <c r="DD134" s="6"/>
      <c r="DE134" s="6"/>
      <c r="DF134" s="6"/>
      <c r="DG134" s="6"/>
      <c r="DH134" s="6"/>
      <c r="DI134" s="6"/>
      <c r="DJ134" s="6"/>
      <c r="DK134" s="6"/>
      <c r="DL134" s="6"/>
      <c r="DM134" s="6"/>
      <c r="DN134" s="6"/>
      <c r="DO134" s="6"/>
      <c r="DP134" s="6"/>
      <c r="DQ134" s="6"/>
      <c r="DR134" s="6"/>
      <c r="DS134" s="6"/>
      <c r="DT134" s="6"/>
      <c r="DU134" s="6"/>
      <c r="DV134" s="6"/>
      <c r="DW134" s="6"/>
      <c r="DX134" s="6"/>
      <c r="DY134" s="6"/>
      <c r="DZ134" s="6"/>
      <c r="EA134" s="6"/>
      <c r="EB134" s="6"/>
      <c r="EC134" s="6"/>
      <c r="ED134" s="6"/>
      <c r="EE134" s="6"/>
      <c r="EF134" s="6"/>
      <c r="EG134" s="6"/>
      <c r="EH134" s="6"/>
      <c r="EI134" s="6"/>
      <c r="EJ134" s="6"/>
      <c r="EK134" s="6"/>
      <c r="EL134" s="6"/>
      <c r="EM134" s="6"/>
      <c r="EN134" s="6"/>
      <c r="EO134" s="6"/>
      <c r="EP134" s="6"/>
      <c r="EQ134" s="6"/>
      <c r="ER134" s="6"/>
      <c r="ES134" s="6"/>
      <c r="ET134" s="6"/>
      <c r="EU134" s="6"/>
      <c r="EV134" s="6"/>
      <c r="EW134" s="6"/>
      <c r="EX134" s="6"/>
      <c r="EY134" s="6"/>
      <c r="EZ134" s="6"/>
      <c r="FA134" s="6"/>
      <c r="FB134" s="6"/>
      <c r="FC134" s="6"/>
      <c r="FD134" s="6"/>
      <c r="FE134" s="6"/>
      <c r="FF134" s="6"/>
      <c r="FG134" s="6"/>
      <c r="FH134" s="6"/>
      <c r="FI134" s="6"/>
      <c r="FJ134" s="6"/>
      <c r="FK134" s="6"/>
      <c r="FL134" s="6"/>
      <c r="FM134" s="6"/>
      <c r="FN134" s="6"/>
      <c r="FO134" s="6"/>
      <c r="FP134" s="6"/>
      <c r="FQ134" s="6"/>
      <c r="FR134" s="6"/>
      <c r="FS134" s="6"/>
      <c r="FT134" s="6"/>
      <c r="FU134" s="6"/>
      <c r="FV134" s="6"/>
      <c r="FW134" s="6"/>
      <c r="FX134" s="6"/>
      <c r="FY134" s="6"/>
      <c r="FZ134" s="6"/>
      <c r="GA134" s="6"/>
      <c r="GB134" s="6"/>
      <c r="GC134" s="6"/>
      <c r="GD134" s="6"/>
      <c r="GE134" s="6"/>
      <c r="GF134" s="6"/>
      <c r="GG134" s="6"/>
      <c r="GH134" s="6"/>
      <c r="GI134" s="6"/>
      <c r="GJ134" s="6"/>
      <c r="GK134" s="6"/>
      <c r="GL134" s="6"/>
      <c r="GM134" s="6"/>
      <c r="GN134" s="6"/>
      <c r="GO134" s="6"/>
      <c r="GP134" s="6"/>
      <c r="GQ134" s="6"/>
      <c r="GR134" s="6"/>
      <c r="GS134" s="6"/>
      <c r="GT134" s="6"/>
      <c r="GU134" s="6"/>
      <c r="GV134" s="6"/>
      <c r="GW134" s="6"/>
      <c r="GX134" s="6"/>
      <c r="GY134" s="6"/>
      <c r="GZ134" s="6"/>
      <c r="HA134" s="6"/>
      <c r="HB134" s="6"/>
      <c r="HC134" s="6"/>
      <c r="HD134" s="6"/>
      <c r="HE134" s="6"/>
      <c r="HF134" s="6"/>
      <c r="HG134" s="6"/>
      <c r="HH134" s="6"/>
      <c r="HI134" s="6"/>
      <c r="HJ134" s="6"/>
      <c r="HK134" s="6"/>
      <c r="HL134" s="6"/>
      <c r="HM134" s="6"/>
      <c r="HN134" s="6"/>
      <c r="HO134" s="6"/>
      <c r="HP134" s="6"/>
      <c r="HQ134" s="6"/>
      <c r="HR134" s="6"/>
      <c r="HS134" s="6"/>
      <c r="HT134" s="6"/>
      <c r="HU134" s="6"/>
      <c r="HV134" s="6"/>
      <c r="HW134" s="6"/>
      <c r="HX134" s="6"/>
      <c r="HY134" s="6"/>
      <c r="HZ134" s="6"/>
      <c r="IA134" s="6"/>
      <c r="IB134" s="6"/>
      <c r="IC134" s="6"/>
      <c r="ID134" s="6"/>
      <c r="IE134" s="6"/>
      <c r="IF134" s="6"/>
      <c r="IG134" s="6"/>
      <c r="IH134" s="6"/>
      <c r="II134" s="6"/>
      <c r="IJ134" s="6"/>
      <c r="IK134" s="6"/>
      <c r="IL134" s="6"/>
      <c r="IM134" s="6"/>
      <c r="IN134" s="6"/>
      <c r="IO134" s="6"/>
      <c r="IP134" s="6"/>
      <c r="IQ134" s="6"/>
      <c r="IR134" s="6"/>
      <c r="IS134" s="6"/>
      <c r="IT134" s="6"/>
      <c r="IU134" s="6"/>
      <c r="IV134" s="6"/>
      <c r="IW134" s="6"/>
      <c r="IX134" s="6"/>
      <c r="IY134" s="6"/>
      <c r="IZ134" s="6"/>
      <c r="JA134" s="6"/>
      <c r="JB134" s="6"/>
      <c r="JC134" s="6"/>
      <c r="JD134" s="6"/>
      <c r="JE134" s="6"/>
      <c r="JF134" s="6"/>
      <c r="JG134" s="6"/>
      <c r="JH134" s="6"/>
      <c r="JI134" s="6"/>
      <c r="JJ134" s="6"/>
      <c r="JK134" s="6"/>
      <c r="JL134" s="6"/>
      <c r="JM134" s="6"/>
      <c r="JN134" s="6"/>
      <c r="JO134" s="6"/>
      <c r="JP134" s="6"/>
      <c r="JQ134" s="6"/>
      <c r="JR134" s="6"/>
      <c r="JS134" s="6"/>
      <c r="JT134" s="6"/>
      <c r="JU134" s="6"/>
      <c r="JV134" s="6"/>
      <c r="JW134" s="6"/>
      <c r="JX134" s="6"/>
      <c r="JY134" s="6"/>
      <c r="JZ134" s="6"/>
      <c r="KA134" s="6"/>
      <c r="KB134" s="6"/>
      <c r="KC134" s="6"/>
      <c r="KD134" s="6"/>
      <c r="KE134" s="6"/>
      <c r="KF134" s="6"/>
      <c r="KG134" s="6"/>
      <c r="KH134" s="6"/>
      <c r="KI134" s="6"/>
      <c r="KJ134" s="6"/>
      <c r="KK134" s="6"/>
      <c r="KL134" s="6"/>
      <c r="KM134" s="6"/>
      <c r="KN134" s="6"/>
      <c r="KO134" s="6"/>
      <c r="KP134" s="6"/>
      <c r="KQ134" s="6"/>
      <c r="KR134" s="6"/>
      <c r="KS134" s="6"/>
      <c r="KT134" s="6"/>
      <c r="KU134" s="6"/>
      <c r="KV134" s="6"/>
      <c r="KW134" s="6"/>
      <c r="KX134" s="6"/>
      <c r="KY134" s="6"/>
      <c r="KZ134" s="6"/>
      <c r="LA134" s="6"/>
      <c r="LB134" s="6"/>
      <c r="LC134" s="6"/>
      <c r="LD134" s="6"/>
      <c r="LE134" s="6"/>
      <c r="LF134" s="6"/>
      <c r="LG134" s="6"/>
      <c r="LH134" s="6"/>
      <c r="LI134" s="6"/>
      <c r="LJ134" s="6"/>
      <c r="LK134" s="6"/>
      <c r="LL134" s="6"/>
      <c r="LM134" s="6"/>
      <c r="LN134" s="6"/>
      <c r="LO134" s="6"/>
      <c r="LP134" s="6"/>
      <c r="LQ134" s="6"/>
      <c r="LR134" s="6"/>
      <c r="LS134" s="6"/>
      <c r="LT134" s="6"/>
      <c r="LU134" s="6"/>
      <c r="LV134" s="6"/>
      <c r="LW134" s="6"/>
      <c r="LX134" s="6"/>
      <c r="LY134" s="6"/>
      <c r="LZ134" s="6"/>
      <c r="MA134" s="6"/>
      <c r="MB134" s="6"/>
      <c r="MC134" s="6"/>
      <c r="MD134" s="6"/>
      <c r="ME134" s="6"/>
      <c r="MF134" s="6"/>
      <c r="MG134" s="6"/>
      <c r="MH134" s="6"/>
      <c r="MI134" s="6"/>
      <c r="MJ134" s="6"/>
      <c r="MK134" s="6"/>
      <c r="ML134" s="6"/>
      <c r="MM134" s="6"/>
      <c r="MN134" s="6"/>
      <c r="MO134" s="6"/>
      <c r="MP134" s="6"/>
      <c r="MQ134" s="6"/>
      <c r="MR134" s="6"/>
      <c r="MS134" s="6"/>
      <c r="MT134" s="6"/>
      <c r="MU134" s="6"/>
      <c r="MV134" s="6"/>
      <c r="MW134" s="6"/>
      <c r="MX134" s="6"/>
      <c r="MY134" s="6"/>
      <c r="MZ134" s="6"/>
      <c r="NA134" s="6"/>
      <c r="NB134" s="6"/>
      <c r="NC134" s="6"/>
      <c r="ND134" s="6"/>
      <c r="NE134" s="6"/>
      <c r="NF134" s="6"/>
      <c r="NG134" s="6"/>
      <c r="NH134" s="6"/>
      <c r="NI134" s="6"/>
      <c r="NJ134" s="6"/>
      <c r="NK134" s="6"/>
      <c r="NL134" s="6"/>
      <c r="NM134" s="6"/>
      <c r="NN134" s="6"/>
      <c r="NO134" s="6"/>
      <c r="NP134" s="6"/>
      <c r="NQ134" s="6"/>
      <c r="NR134" s="6"/>
      <c r="NS134" s="6"/>
      <c r="NT134" s="6"/>
      <c r="NU134" s="6"/>
      <c r="NV134" s="6"/>
      <c r="NW134" s="6"/>
      <c r="NX134" s="6"/>
      <c r="NY134" s="6"/>
      <c r="NZ134" s="6"/>
      <c r="OA134" s="6"/>
      <c r="OB134" s="6"/>
      <c r="OC134" s="6"/>
      <c r="OD134" s="6"/>
      <c r="OE134" s="6"/>
      <c r="OF134" s="6"/>
      <c r="OG134" s="6"/>
      <c r="OH134" s="6"/>
      <c r="OI134" s="6"/>
      <c r="OJ134" s="6"/>
      <c r="OK134" s="6"/>
      <c r="OL134" s="6"/>
      <c r="OM134" s="6"/>
      <c r="ON134" s="6"/>
      <c r="OO134" s="6"/>
      <c r="OP134" s="6"/>
      <c r="OQ134" s="6"/>
      <c r="OR134" s="6"/>
      <c r="OS134" s="6"/>
      <c r="OT134" s="6"/>
      <c r="OU134" s="6"/>
      <c r="OV134" s="6"/>
      <c r="OW134" s="6"/>
      <c r="OX134" s="6"/>
      <c r="OY134" s="6"/>
      <c r="OZ134" s="6"/>
      <c r="PA134" s="6"/>
      <c r="PB134" s="6"/>
      <c r="PC134" s="6"/>
      <c r="PD134" s="6"/>
      <c r="PE134" s="6"/>
      <c r="PF134" s="6"/>
      <c r="PG134" s="6"/>
      <c r="PH134" s="6"/>
      <c r="PI134" s="6"/>
      <c r="PJ134" s="6"/>
      <c r="PK134" s="6"/>
      <c r="PL134" s="6"/>
      <c r="PM134" s="6"/>
      <c r="PN134" s="6"/>
      <c r="PO134" s="6"/>
      <c r="PP134" s="6"/>
      <c r="PQ134" s="6"/>
      <c r="PR134" s="6"/>
      <c r="PS134" s="6"/>
      <c r="PT134" s="6"/>
      <c r="PU134" s="6"/>
      <c r="PV134" s="6"/>
      <c r="PW134" s="6"/>
      <c r="PX134" s="6"/>
      <c r="PY134" s="6"/>
      <c r="PZ134" s="6"/>
      <c r="QA134" s="6"/>
      <c r="QB134" s="6"/>
      <c r="QC134" s="6"/>
      <c r="QD134" s="6"/>
      <c r="QE134" s="6"/>
      <c r="QF134" s="6"/>
      <c r="QG134" s="6"/>
      <c r="QH134" s="6"/>
      <c r="QI134" s="6"/>
      <c r="QJ134" s="6"/>
      <c r="QK134" s="6"/>
      <c r="QL134" s="6"/>
      <c r="QM134" s="6"/>
      <c r="QN134" s="6"/>
      <c r="QO134" s="6"/>
      <c r="QP134" s="6"/>
      <c r="QQ134" s="6"/>
      <c r="QR134" s="6"/>
      <c r="QS134" s="6"/>
      <c r="QT134" s="6"/>
      <c r="QU134" s="6"/>
      <c r="QV134" s="6"/>
      <c r="QW134" s="6"/>
      <c r="QX134" s="6"/>
      <c r="QY134" s="6"/>
      <c r="QZ134" s="6"/>
      <c r="RA134" s="6"/>
      <c r="RB134" s="6"/>
      <c r="RC134" s="6"/>
      <c r="RD134" s="6"/>
      <c r="RE134" s="6"/>
      <c r="RF134" s="6"/>
      <c r="RG134" s="6"/>
      <c r="RH134" s="6"/>
      <c r="RI134" s="6"/>
      <c r="RJ134" s="6"/>
      <c r="RK134" s="6"/>
      <c r="RL134" s="6"/>
      <c r="RM134" s="6"/>
      <c r="RN134" s="6"/>
      <c r="RO134" s="6"/>
      <c r="RP134" s="6"/>
      <c r="RQ134" s="6"/>
      <c r="RR134" s="6"/>
      <c r="RS134" s="6"/>
      <c r="RT134" s="6"/>
      <c r="RU134" s="6"/>
      <c r="RV134" s="6"/>
      <c r="RW134" s="6"/>
      <c r="RX134" s="6"/>
      <c r="RY134" s="6"/>
      <c r="RZ134" s="6"/>
      <c r="SA134" s="6"/>
      <c r="SB134" s="6"/>
      <c r="SC134" s="6"/>
      <c r="SD134" s="6"/>
      <c r="SE134" s="6"/>
      <c r="SF134" s="6"/>
      <c r="SG134" s="6"/>
      <c r="SH134" s="6"/>
      <c r="SI134" s="6"/>
      <c r="SJ134" s="6"/>
      <c r="SK134" s="6"/>
      <c r="SL134" s="6"/>
      <c r="SM134" s="6"/>
      <c r="SN134" s="6"/>
      <c r="SO134" s="6"/>
      <c r="SP134" s="6"/>
      <c r="SQ134" s="6"/>
      <c r="SR134" s="6"/>
      <c r="SS134" s="6"/>
      <c r="ST134" s="6"/>
      <c r="SU134" s="6"/>
      <c r="SV134" s="6"/>
      <c r="SW134" s="6"/>
      <c r="SX134" s="6"/>
      <c r="SY134" s="6"/>
      <c r="SZ134" s="6"/>
      <c r="TA134" s="6"/>
      <c r="TB134" s="6"/>
      <c r="TC134" s="6"/>
      <c r="TD134" s="6"/>
      <c r="TE134" s="6"/>
      <c r="TF134" s="6"/>
      <c r="TG134" s="6"/>
      <c r="TH134" s="6"/>
      <c r="TI134" s="6"/>
      <c r="TJ134" s="6"/>
      <c r="TK134" s="6"/>
      <c r="TL134" s="6"/>
      <c r="TM134" s="6"/>
      <c r="TN134" s="6"/>
      <c r="TO134" s="6"/>
      <c r="TP134" s="6"/>
      <c r="TQ134" s="6"/>
      <c r="TR134" s="6"/>
      <c r="TS134" s="6"/>
      <c r="TT134" s="6"/>
      <c r="TU134" s="6"/>
      <c r="TV134" s="6"/>
      <c r="TW134" s="6"/>
      <c r="TX134" s="6"/>
      <c r="TY134" s="6"/>
      <c r="TZ134" s="6"/>
      <c r="UA134" s="6"/>
      <c r="UB134" s="6"/>
      <c r="UC134" s="6"/>
      <c r="UD134" s="6"/>
      <c r="UE134" s="6"/>
      <c r="UF134" s="6"/>
      <c r="UG134" s="6"/>
      <c r="UH134" s="6"/>
      <c r="UI134" s="6"/>
      <c r="UJ134" s="6"/>
      <c r="UK134" s="6"/>
      <c r="UL134" s="6"/>
      <c r="UM134" s="6"/>
      <c r="UN134" s="6"/>
      <c r="UO134" s="6"/>
      <c r="UP134" s="6"/>
      <c r="UQ134" s="6"/>
      <c r="UR134" s="6"/>
      <c r="US134" s="6"/>
      <c r="UT134" s="6"/>
      <c r="UU134" s="6"/>
      <c r="UV134" s="6"/>
      <c r="UW134" s="6"/>
      <c r="UX134" s="6"/>
      <c r="UY134" s="6"/>
      <c r="UZ134" s="6"/>
      <c r="VA134" s="6"/>
      <c r="VB134" s="6"/>
      <c r="VC134" s="6"/>
      <c r="VD134" s="6"/>
      <c r="VE134" s="6"/>
      <c r="VF134" s="6"/>
      <c r="VG134" s="6"/>
      <c r="VH134" s="6"/>
      <c r="VI134" s="6"/>
      <c r="VJ134" s="6"/>
      <c r="VK134" s="6"/>
      <c r="VL134" s="6"/>
      <c r="VM134" s="6"/>
      <c r="VN134" s="6"/>
      <c r="VO134" s="6"/>
      <c r="VP134" s="6"/>
      <c r="VQ134" s="6"/>
      <c r="VR134" s="6"/>
      <c r="VS134" s="6"/>
      <c r="VT134" s="6"/>
      <c r="VU134" s="6"/>
      <c r="VV134" s="6"/>
      <c r="VW134" s="6"/>
      <c r="VX134" s="6"/>
      <c r="VY134" s="6"/>
      <c r="VZ134" s="6"/>
      <c r="WA134" s="6"/>
      <c r="WB134" s="6"/>
      <c r="WC134" s="6"/>
      <c r="WD134" s="6"/>
      <c r="WE134" s="6"/>
      <c r="WF134" s="6"/>
      <c r="WG134" s="6"/>
      <c r="WH134" s="6"/>
      <c r="WI134" s="6"/>
      <c r="WJ134" s="6"/>
      <c r="WK134" s="6"/>
      <c r="WL134" s="6"/>
      <c r="WM134" s="6"/>
      <c r="WN134" s="6"/>
      <c r="WO134" s="6"/>
      <c r="WP134" s="6"/>
      <c r="WQ134" s="6"/>
      <c r="WR134" s="6"/>
      <c r="WS134" s="6"/>
      <c r="WT134" s="6"/>
      <c r="WU134" s="6"/>
      <c r="WV134" s="6"/>
      <c r="WW134" s="6"/>
      <c r="WX134" s="6"/>
      <c r="WY134" s="6"/>
      <c r="WZ134" s="6"/>
      <c r="XA134" s="6"/>
      <c r="XB134" s="6"/>
      <c r="XC134" s="6"/>
      <c r="XD134" s="6"/>
      <c r="XE134" s="6"/>
      <c r="XF134" s="6"/>
      <c r="XG134" s="6"/>
      <c r="XH134" s="6"/>
      <c r="XI134" s="6"/>
      <c r="XJ134" s="6"/>
      <c r="XK134" s="6"/>
      <c r="XL134" s="6"/>
      <c r="XM134" s="6"/>
      <c r="XN134" s="6"/>
      <c r="XO134" s="6"/>
      <c r="XP134" s="6"/>
      <c r="XQ134" s="6"/>
      <c r="XR134" s="6"/>
      <c r="XS134" s="6"/>
      <c r="XT134" s="6"/>
      <c r="XU134" s="6"/>
      <c r="XV134" s="6"/>
      <c r="XW134" s="6"/>
      <c r="XX134" s="6"/>
      <c r="XY134" s="6"/>
      <c r="XZ134" s="6"/>
      <c r="YA134" s="6"/>
      <c r="YB134" s="6"/>
      <c r="YC134" s="6"/>
      <c r="YD134" s="6"/>
      <c r="YE134" s="6"/>
      <c r="YF134" s="6"/>
      <c r="YG134" s="6"/>
      <c r="YH134" s="6"/>
      <c r="YI134" s="6"/>
      <c r="YJ134" s="6"/>
      <c r="YK134" s="6"/>
      <c r="YL134" s="6"/>
      <c r="YM134" s="6"/>
      <c r="YN134" s="6"/>
      <c r="YO134" s="6"/>
      <c r="YP134" s="6"/>
      <c r="YQ134" s="6"/>
      <c r="YR134" s="6"/>
      <c r="YS134" s="6"/>
      <c r="YT134" s="6"/>
      <c r="YU134" s="6"/>
      <c r="YV134" s="6"/>
      <c r="YW134" s="6"/>
      <c r="YX134" s="6"/>
      <c r="YY134" s="6"/>
      <c r="YZ134" s="6"/>
      <c r="ZA134" s="6"/>
      <c r="ZB134" s="6"/>
      <c r="ZC134" s="6"/>
      <c r="ZD134" s="6"/>
      <c r="ZE134" s="6"/>
      <c r="ZF134" s="6"/>
      <c r="ZG134" s="6"/>
      <c r="ZH134" s="6"/>
      <c r="ZI134" s="6"/>
      <c r="ZJ134" s="6"/>
      <c r="ZK134" s="6"/>
      <c r="ZL134" s="6"/>
      <c r="ZM134" s="6"/>
      <c r="ZN134" s="6"/>
      <c r="ZO134" s="6"/>
      <c r="ZP134" s="6"/>
      <c r="ZQ134" s="6"/>
      <c r="ZR134" s="6"/>
      <c r="ZS134" s="6"/>
      <c r="ZT134" s="6"/>
      <c r="ZU134" s="6"/>
      <c r="ZV134" s="6"/>
      <c r="ZW134" s="6"/>
      <c r="ZX134" s="6"/>
      <c r="ZY134" s="6"/>
      <c r="ZZ134" s="6"/>
      <c r="AAA134" s="6"/>
      <c r="AAB134" s="6"/>
      <c r="AAC134" s="6"/>
      <c r="AAD134" s="6"/>
      <c r="AAE134" s="6"/>
      <c r="AAF134" s="6"/>
      <c r="AAG134" s="6"/>
      <c r="AAH134" s="6"/>
      <c r="AAI134" s="6"/>
      <c r="AAJ134" s="6"/>
      <c r="AAK134" s="6"/>
      <c r="AAL134" s="6"/>
      <c r="AAM134" s="6"/>
      <c r="AAN134" s="6"/>
      <c r="AAO134" s="6"/>
      <c r="AAP134" s="6"/>
      <c r="AAQ134" s="6"/>
      <c r="AAR134" s="6"/>
      <c r="AAS134" s="6"/>
      <c r="AAT134" s="6"/>
      <c r="AAU134" s="6"/>
      <c r="AAV134" s="6"/>
      <c r="AAW134" s="6"/>
      <c r="AAX134" s="6"/>
      <c r="AAY134" s="6"/>
      <c r="AAZ134" s="6"/>
      <c r="ABA134" s="6"/>
      <c r="ABB134" s="6"/>
      <c r="ABC134" s="6"/>
      <c r="ABD134" s="6"/>
      <c r="ABE134" s="6"/>
      <c r="ABF134" s="6"/>
      <c r="ABG134" s="6"/>
      <c r="ABH134" s="6"/>
      <c r="ABI134" s="6"/>
      <c r="ABJ134" s="6"/>
      <c r="ABK134" s="6"/>
      <c r="ABL134" s="6"/>
      <c r="ABM134" s="6"/>
      <c r="ABN134" s="6"/>
      <c r="ABO134" s="6"/>
      <c r="ABP134" s="6"/>
      <c r="ABQ134" s="6"/>
      <c r="ABR134" s="6"/>
      <c r="ABS134" s="6"/>
      <c r="ABT134" s="6"/>
      <c r="ABU134" s="6"/>
      <c r="ABV134" s="6"/>
      <c r="ABW134" s="6"/>
      <c r="ABX134" s="6"/>
      <c r="ABY134" s="6"/>
      <c r="ABZ134" s="6"/>
      <c r="ACA134" s="6"/>
      <c r="ACB134" s="6"/>
      <c r="ACC134" s="6"/>
      <c r="ACD134" s="6"/>
      <c r="ACE134" s="6"/>
      <c r="ACF134" s="6"/>
      <c r="ACG134" s="6"/>
      <c r="ACH134" s="6"/>
      <c r="ACI134" s="6"/>
      <c r="ACJ134" s="6"/>
      <c r="ACK134" s="6"/>
      <c r="ACL134" s="6"/>
      <c r="ACM134" s="6"/>
      <c r="ACN134" s="6"/>
      <c r="ACO134" s="6"/>
      <c r="ACP134" s="6"/>
      <c r="ACQ134" s="6"/>
      <c r="ACR134" s="6"/>
      <c r="ACS134" s="6"/>
      <c r="ACT134" s="6"/>
      <c r="ACU134" s="6"/>
      <c r="ACV134" s="6"/>
      <c r="ACW134" s="6"/>
      <c r="ACX134" s="6"/>
      <c r="ACY134" s="6"/>
      <c r="ACZ134" s="6"/>
      <c r="ADA134" s="6"/>
      <c r="ADB134" s="6"/>
      <c r="ADC134" s="6"/>
      <c r="ADD134" s="6"/>
      <c r="ADE134" s="6"/>
      <c r="ADF134" s="6"/>
      <c r="ADG134" s="6"/>
      <c r="ADH134" s="6"/>
      <c r="ADI134" s="6"/>
      <c r="ADJ134" s="6"/>
      <c r="ADK134" s="6"/>
      <c r="ADL134" s="6"/>
      <c r="ADM134" s="6"/>
      <c r="ADN134" s="6"/>
      <c r="ADO134" s="6"/>
      <c r="ADP134" s="6"/>
      <c r="ADQ134" s="6"/>
      <c r="ADR134" s="6"/>
      <c r="ADS134" s="6"/>
      <c r="ADT134" s="6"/>
      <c r="ADU134" s="6"/>
      <c r="ADV134" s="6"/>
      <c r="ADW134" s="6"/>
      <c r="ADX134" s="6"/>
      <c r="ADY134" s="6"/>
      <c r="ADZ134" s="6"/>
      <c r="AEA134" s="6"/>
      <c r="AEB134" s="6"/>
      <c r="AEC134" s="6"/>
      <c r="AED134" s="6"/>
      <c r="AEE134" s="6"/>
      <c r="AEF134" s="6"/>
      <c r="AEG134" s="6"/>
      <c r="AEH134" s="6"/>
      <c r="AEI134" s="6"/>
      <c r="AEJ134" s="6"/>
      <c r="AEK134" s="6"/>
      <c r="AEL134" s="6"/>
      <c r="AEM134" s="6"/>
      <c r="AEN134" s="6"/>
      <c r="AEO134" s="6"/>
      <c r="AEP134" s="6"/>
      <c r="AEQ134" s="6"/>
      <c r="AER134" s="6"/>
      <c r="AES134" s="6"/>
      <c r="AET134" s="6"/>
      <c r="AEU134" s="6"/>
      <c r="AEV134" s="6"/>
      <c r="AEW134" s="6"/>
      <c r="AEX134" s="6"/>
      <c r="AEY134" s="6"/>
      <c r="AEZ134" s="6"/>
      <c r="AFA134" s="6"/>
      <c r="AFB134" s="6"/>
      <c r="AFC134" s="6"/>
      <c r="AFD134" s="6"/>
      <c r="AFE134" s="6"/>
      <c r="AFF134" s="6"/>
      <c r="AFG134" s="6"/>
      <c r="AFH134" s="6"/>
      <c r="AFI134" s="6"/>
      <c r="AFJ134" s="6"/>
      <c r="AFK134" s="6"/>
      <c r="AFL134" s="6"/>
      <c r="AFM134" s="6"/>
      <c r="AFN134" s="6"/>
      <c r="AFO134" s="6"/>
      <c r="AFP134" s="6"/>
      <c r="AFQ134" s="6"/>
      <c r="AFR134" s="6"/>
      <c r="AFS134" s="6"/>
      <c r="AFT134" s="6"/>
      <c r="AFU134" s="6"/>
      <c r="AFV134" s="6"/>
      <c r="AFW134" s="6"/>
      <c r="AFX134" s="6"/>
      <c r="AFY134" s="6"/>
      <c r="AFZ134" s="6"/>
      <c r="AGA134" s="6"/>
      <c r="AGB134" s="6"/>
      <c r="AGC134" s="6"/>
      <c r="AGD134" s="6"/>
      <c r="AGE134" s="6"/>
      <c r="AGF134" s="6"/>
      <c r="AGG134" s="6"/>
      <c r="AGH134" s="6"/>
      <c r="AGI134" s="6"/>
      <c r="AGJ134" s="6"/>
      <c r="AGK134" s="6"/>
      <c r="AGL134" s="6"/>
      <c r="AGM134" s="6"/>
      <c r="AGN134" s="6"/>
      <c r="AGO134" s="6"/>
      <c r="AGP134" s="6"/>
      <c r="AGQ134" s="6"/>
      <c r="AGR134" s="6"/>
      <c r="AGS134" s="6"/>
      <c r="AGT134" s="6"/>
      <c r="AGU134" s="6"/>
      <c r="AGV134" s="6"/>
      <c r="AGW134" s="6"/>
      <c r="AGX134" s="6"/>
      <c r="AGY134" s="6"/>
      <c r="AGZ134" s="6"/>
      <c r="AHA134" s="6"/>
      <c r="AHB134" s="6"/>
      <c r="AHC134" s="6"/>
      <c r="AHD134" s="6"/>
      <c r="AHE134" s="6"/>
      <c r="AHF134" s="6"/>
      <c r="AHG134" s="6"/>
      <c r="AHH134" s="6"/>
      <c r="AHI134" s="6"/>
      <c r="AHJ134" s="6"/>
      <c r="AHK134" s="6"/>
      <c r="AHL134" s="6"/>
      <c r="AHM134" s="6"/>
      <c r="AHN134" s="6"/>
      <c r="AHO134" s="6"/>
      <c r="AHP134" s="6"/>
      <c r="AHQ134" s="6"/>
      <c r="AHR134" s="6"/>
      <c r="AHS134" s="6"/>
      <c r="AHT134" s="6"/>
      <c r="AHU134" s="6"/>
      <c r="AHV134" s="6"/>
      <c r="AHW134" s="6"/>
      <c r="AHX134" s="6"/>
      <c r="AHY134" s="6"/>
      <c r="AHZ134" s="6"/>
      <c r="AIA134" s="6"/>
      <c r="AIB134" s="6"/>
      <c r="AIC134" s="6"/>
      <c r="AID134" s="6"/>
      <c r="AIE134" s="6"/>
      <c r="AIF134" s="6"/>
      <c r="AIG134" s="6"/>
      <c r="AIH134" s="6"/>
      <c r="AII134" s="6"/>
      <c r="AIJ134" s="6"/>
      <c r="AIK134" s="6"/>
      <c r="AIL134" s="6"/>
      <c r="AIM134" s="6"/>
      <c r="AIN134" s="6"/>
      <c r="AIO134" s="6"/>
      <c r="AIP134" s="6"/>
      <c r="AIQ134" s="6"/>
      <c r="AIR134" s="6"/>
      <c r="AIS134" s="6"/>
      <c r="AIT134" s="6"/>
      <c r="AIU134" s="6"/>
      <c r="AIV134" s="6"/>
      <c r="AIW134" s="6"/>
      <c r="AIX134" s="6"/>
      <c r="AIY134" s="6"/>
      <c r="AIZ134" s="6"/>
      <c r="AJA134" s="6"/>
      <c r="AJB134" s="6"/>
      <c r="AJC134" s="6"/>
      <c r="AJD134" s="6"/>
      <c r="AJE134" s="6"/>
      <c r="AJF134" s="6"/>
      <c r="AJG134" s="6"/>
      <c r="AJH134" s="6"/>
      <c r="AJI134" s="6"/>
      <c r="AJJ134" s="6"/>
      <c r="AJK134" s="6"/>
      <c r="AJL134" s="6"/>
      <c r="AJM134" s="6"/>
      <c r="AJN134" s="6"/>
      <c r="AJO134" s="6"/>
      <c r="AJP134" s="6"/>
      <c r="AJQ134" s="6"/>
      <c r="AJR134" s="6"/>
      <c r="AJS134" s="6"/>
      <c r="AJT134" s="6"/>
      <c r="AJU134" s="6"/>
      <c r="AJV134" s="6"/>
      <c r="AJW134" s="6"/>
      <c r="AJX134" s="6"/>
      <c r="AJY134" s="6"/>
      <c r="AJZ134" s="6"/>
      <c r="AKA134" s="6"/>
      <c r="AKB134" s="6"/>
      <c r="AKC134" s="6"/>
      <c r="AKD134" s="6"/>
      <c r="AKE134" s="6"/>
      <c r="AKF134" s="6"/>
      <c r="AKG134" s="6"/>
      <c r="AKH134" s="6"/>
      <c r="AKI134" s="6"/>
      <c r="AKJ134" s="6"/>
      <c r="AKK134" s="6"/>
      <c r="AKL134" s="6"/>
      <c r="AKM134" s="6"/>
      <c r="AKN134" s="6"/>
      <c r="AKO134" s="6"/>
      <c r="AKP134" s="6"/>
      <c r="AKQ134" s="6"/>
      <c r="AKR134" s="6"/>
      <c r="AKS134" s="6"/>
      <c r="AKT134" s="6"/>
      <c r="AKU134" s="6"/>
      <c r="AKV134" s="6"/>
      <c r="AKW134" s="6"/>
      <c r="AKX134" s="6"/>
      <c r="AKY134" s="6"/>
      <c r="AKZ134" s="6"/>
      <c r="ALA134" s="6"/>
      <c r="ALB134" s="6"/>
      <c r="ALC134" s="6"/>
      <c r="ALD134" s="6"/>
      <c r="ALE134" s="6"/>
      <c r="ALF134" s="6"/>
      <c r="ALG134" s="6"/>
      <c r="ALH134" s="6"/>
      <c r="ALI134" s="6"/>
      <c r="ALJ134" s="6"/>
      <c r="ALK134" s="6"/>
      <c r="ALL134" s="6"/>
      <c r="ALM134" s="6"/>
      <c r="ALN134" s="6"/>
      <c r="ALO134" s="6"/>
      <c r="ALP134" s="6"/>
      <c r="ALQ134" s="6"/>
      <c r="ALR134" s="6"/>
      <c r="ALS134" s="6"/>
      <c r="ALT134" s="6"/>
      <c r="ALU134" s="6"/>
      <c r="ALV134" s="6"/>
      <c r="ALW134" s="6"/>
      <c r="ALX134" s="6"/>
      <c r="ALY134" s="6"/>
      <c r="ALZ134" s="6"/>
      <c r="AMA134" s="6"/>
      <c r="AMB134" s="6"/>
      <c r="AMC134" s="6"/>
      <c r="AMD134" s="6"/>
      <c r="AME134" s="6"/>
      <c r="AMF134" s="6"/>
      <c r="AMG134" s="6"/>
      <c r="AMH134" s="6"/>
      <c r="AMI134" s="6"/>
      <c r="AMJ134" s="6"/>
      <c r="AMK134" s="6"/>
      <c r="AML134" s="6"/>
      <c r="AMM134" s="6"/>
      <c r="AMN134" s="6"/>
      <c r="AMO134" s="6"/>
      <c r="AMP134" s="6"/>
    </row>
    <row r="135" spans="1:1030" x14ac:dyDescent="0.2">
      <c r="A135" s="3" t="str">
        <f t="shared" si="559"/>
        <v>ccr5_human__wt</v>
      </c>
      <c r="B135" s="3" t="s">
        <v>173</v>
      </c>
      <c r="C135" s="3" t="s">
        <v>100</v>
      </c>
      <c r="D135" s="3" t="str">
        <f>IFERROR(MID(VLOOKUP($B135,Seqs!$A:$B,2,0),E135,1),"")</f>
        <v>K</v>
      </c>
      <c r="E135" s="3">
        <v>22</v>
      </c>
      <c r="F135" s="3" t="str">
        <f>IFERROR(MID(VLOOKUP($B135,Seqs!$A:$B,2,0),G135,1),"")</f>
        <v>C</v>
      </c>
      <c r="G135" s="3">
        <v>58</v>
      </c>
      <c r="H135" s="3" t="str">
        <f>IFERROR(MID(VLOOKUP($B135,Seqs!$A:$B,2,0),I135,1),"")</f>
        <v>K</v>
      </c>
      <c r="I135" s="23">
        <v>59</v>
      </c>
      <c r="J135" s="3" t="str">
        <f>IFERROR(MID(VLOOKUP($B135,Seqs!$A:$B,2,0),K135,1),"")</f>
        <v>K</v>
      </c>
      <c r="K135" s="23">
        <v>62</v>
      </c>
      <c r="L135" s="3" t="str">
        <f>IFERROR(MID(VLOOKUP($B135,Seqs!$A:$B,2,0),M135,1),"")</f>
        <v>S</v>
      </c>
      <c r="M135" s="3">
        <v>63</v>
      </c>
      <c r="N135" s="3" t="str">
        <f>IFERROR(MID(VLOOKUP($B135,Seqs!$A:$B,2,0),O135,1),"")</f>
        <v>A</v>
      </c>
      <c r="O135" s="3">
        <v>92</v>
      </c>
      <c r="P135" s="3" t="str">
        <f>IFERROR(MID(VLOOKUP($B135,Seqs!$A:$B,2,0),Q135,1),"")</f>
        <v>Q</v>
      </c>
      <c r="Q135" s="3">
        <v>93</v>
      </c>
      <c r="R135" s="3" t="str">
        <f>IFERROR(MID(VLOOKUP($B135,Seqs!$A:$B,2,0),S135,1),"")</f>
        <v>F</v>
      </c>
      <c r="S135" s="3">
        <v>96</v>
      </c>
      <c r="T135" s="3" t="str">
        <f>IFERROR(MID(VLOOKUP($B135,Seqs!$A:$B,2,0),U135,1),"")</f>
        <v>G</v>
      </c>
      <c r="U135" s="3">
        <v>97</v>
      </c>
      <c r="V135" s="3" t="str">
        <f>IFERROR(MID(VLOOKUP($B135,Seqs!$A:$B,2,0),W135,1),"")</f>
        <v>H</v>
      </c>
      <c r="W135" s="3">
        <v>132</v>
      </c>
      <c r="X135" s="3" t="str">
        <f>IFERROR(MID(VLOOKUP($B135,Seqs!$A:$B,2,0),Y135,1),"")</f>
        <v>A</v>
      </c>
      <c r="Y135" s="3">
        <v>133</v>
      </c>
      <c r="Z135" s="3" t="str">
        <f>IFERROR(MID(VLOOKUP($B135,Seqs!$A:$B,2,0),AA135,1),"")</f>
        <v>R</v>
      </c>
      <c r="AA135" s="3">
        <v>140</v>
      </c>
      <c r="AB135" s="3" t="str">
        <f>IFERROR(MID(VLOOKUP($B135,Seqs!$A:$B,2,0),AC135,1),"")</f>
        <v>T</v>
      </c>
      <c r="AC135" s="9">
        <v>141</v>
      </c>
      <c r="AD135" s="3" t="str">
        <f>IFERROR(MID(VLOOKUP($B135,Seqs!$A:$B,2,0),AE135,1),"")</f>
        <v>T</v>
      </c>
      <c r="AE135" s="3">
        <v>167</v>
      </c>
      <c r="AF135" s="3" t="str">
        <f>IFERROR(MID(VLOOKUP($B135,Seqs!$A:$B,2,0),AG135,1),"")</f>
        <v>C</v>
      </c>
      <c r="AG135" s="3">
        <v>178</v>
      </c>
      <c r="AH135" s="3" t="str">
        <f>IFERROR(MID(VLOOKUP($B135,Seqs!$A:$B,2,0),AI135,1),"")</f>
        <v>S</v>
      </c>
      <c r="AI135" s="3">
        <v>180</v>
      </c>
      <c r="AJ135" s="3" t="str">
        <f>IFERROR(MID(VLOOKUP($B135,Seqs!$A:$B,2,0),AK135,1),"")</f>
        <v>Q</v>
      </c>
      <c r="AK135" s="3">
        <v>186</v>
      </c>
      <c r="AL135" s="3" t="str">
        <f>IFERROR(MID(VLOOKUP($B135,Seqs!$A:$B,2,0),AM135,1),"")</f>
        <v>C</v>
      </c>
      <c r="AM135" s="3">
        <v>224</v>
      </c>
      <c r="AN135" s="3" t="str">
        <f>IFERROR(MID(VLOOKUP($B135,Seqs!$A:$B,2,0),AO135,1),"")</f>
        <v>K</v>
      </c>
      <c r="AO135" s="3">
        <v>228</v>
      </c>
      <c r="AP135" s="3" t="str">
        <f>IFERROR(MID(VLOOKUP($B135,Seqs!$A:$B,2,0),AQ135,1),"")</f>
        <v>G</v>
      </c>
      <c r="AQ135" s="3">
        <v>265</v>
      </c>
      <c r="AR135" s="3" t="str">
        <f>IFERROR(MID(VLOOKUP($B135,Seqs!$A:$B,2,0),AS135,1),"")</f>
        <v>N</v>
      </c>
      <c r="AS135" s="3">
        <v>268</v>
      </c>
      <c r="AT135" s="3" t="str">
        <f>IFERROR(MID(VLOOKUP($B135,Seqs!$A:$B,2,0),AU135,1),"")</f>
        <v>V</v>
      </c>
      <c r="AU135" s="3">
        <v>300</v>
      </c>
      <c r="AV135" s="3" t="str">
        <f>IFERROR(MID(VLOOKUP($B135,Seqs!$A:$B,2,0),AW135,1),"")</f>
        <v>G</v>
      </c>
      <c r="AW135" s="3">
        <v>301</v>
      </c>
      <c r="AX135" s="3" t="str">
        <f>IFERROR(MID(VLOOKUP($B135,Seqs!$A:$B,2,0),AY135,1),"")</f>
        <v>Q</v>
      </c>
      <c r="AY135" s="3">
        <v>313</v>
      </c>
      <c r="AZ135" s="77" t="str">
        <f>VLOOKUP(B135,Classification!A:D,2,0)</f>
        <v>A</v>
      </c>
      <c r="BA135" s="94" t="str">
        <f>VLOOKUP(B135,Classification!A:D,4,0)</f>
        <v>Chemokine</v>
      </c>
      <c r="BB135" s="27" t="b">
        <f t="shared" si="560"/>
        <v>1</v>
      </c>
      <c r="BC135" s="23">
        <f t="shared" si="365"/>
        <v>272</v>
      </c>
      <c r="BD135" s="34" t="s">
        <v>1379</v>
      </c>
      <c r="BE135" s="3" t="s">
        <v>23</v>
      </c>
      <c r="BF135" s="119" t="s">
        <v>23</v>
      </c>
      <c r="BG135" s="49" t="s">
        <v>1379</v>
      </c>
      <c r="BH135" s="49" t="s">
        <v>1384</v>
      </c>
      <c r="BI135" s="1"/>
      <c r="BJ135" s="70" t="s">
        <v>1293</v>
      </c>
      <c r="BK135" s="57" t="s">
        <v>1293</v>
      </c>
      <c r="BL135" s="57" t="s">
        <v>1293</v>
      </c>
      <c r="BM135" s="57" t="s">
        <v>1293</v>
      </c>
      <c r="BN135" s="57" t="s">
        <v>1293</v>
      </c>
      <c r="BO135" s="57" t="s">
        <v>1293</v>
      </c>
      <c r="BP135" s="57" t="s">
        <v>1293</v>
      </c>
      <c r="BQ135" s="57" t="s">
        <v>1293</v>
      </c>
      <c r="BR135" s="57" t="s">
        <v>1293</v>
      </c>
      <c r="BS135" s="57" t="s">
        <v>1293</v>
      </c>
      <c r="BT135" s="57" t="s">
        <v>1293</v>
      </c>
      <c r="BU135" s="57" t="s">
        <v>1293</v>
      </c>
      <c r="BV135" s="70">
        <f t="shared" si="366"/>
        <v>22</v>
      </c>
      <c r="BW135" s="71">
        <f t="shared" si="367"/>
        <v>59</v>
      </c>
      <c r="BX135" s="72">
        <f t="shared" si="368"/>
        <v>63</v>
      </c>
      <c r="BY135" s="71">
        <f t="shared" si="369"/>
        <v>93</v>
      </c>
      <c r="BZ135" s="72">
        <f t="shared" si="370"/>
        <v>97</v>
      </c>
      <c r="CA135" s="71">
        <f t="shared" si="371"/>
        <v>133</v>
      </c>
      <c r="CB135" s="72">
        <f t="shared" si="372"/>
        <v>141</v>
      </c>
      <c r="CC135" s="71">
        <f t="shared" si="373"/>
        <v>178</v>
      </c>
      <c r="CD135" s="72">
        <f t="shared" si="374"/>
        <v>186</v>
      </c>
      <c r="CE135" s="71">
        <f t="shared" si="375"/>
        <v>228</v>
      </c>
      <c r="CF135" s="72">
        <f t="shared" si="376"/>
        <v>268</v>
      </c>
      <c r="CG135" s="71">
        <f t="shared" si="377"/>
        <v>301</v>
      </c>
      <c r="CH135" s="70">
        <f t="shared" si="378"/>
        <v>58</v>
      </c>
      <c r="CI135" s="71">
        <f t="shared" si="379"/>
        <v>62</v>
      </c>
      <c r="CJ135" s="72">
        <f t="shared" si="380"/>
        <v>92</v>
      </c>
      <c r="CK135" s="72">
        <f t="shared" si="381"/>
        <v>96</v>
      </c>
      <c r="CL135" s="72">
        <f t="shared" si="382"/>
        <v>132</v>
      </c>
      <c r="CM135" s="72">
        <f t="shared" si="383"/>
        <v>140</v>
      </c>
      <c r="CN135" s="72">
        <f t="shared" si="384"/>
        <v>167</v>
      </c>
      <c r="CO135" s="72">
        <f t="shared" si="385"/>
        <v>180</v>
      </c>
      <c r="CP135" s="72">
        <f t="shared" si="386"/>
        <v>224</v>
      </c>
      <c r="CQ135" s="72">
        <f t="shared" si="387"/>
        <v>265</v>
      </c>
      <c r="CR135" s="72">
        <f t="shared" si="388"/>
        <v>300</v>
      </c>
      <c r="CS135" s="72">
        <f t="shared" si="389"/>
        <v>313</v>
      </c>
      <c r="CT135" s="23">
        <f t="shared" si="390"/>
        <v>1</v>
      </c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  <c r="OK135" s="1"/>
      <c r="OL135" s="1"/>
      <c r="OM135" s="1"/>
      <c r="ON135" s="1"/>
      <c r="OO135" s="1"/>
      <c r="OP135" s="1"/>
      <c r="OQ135" s="1"/>
      <c r="OR135" s="1"/>
      <c r="OS135" s="1"/>
      <c r="OT135" s="1"/>
      <c r="OU135" s="1"/>
      <c r="OV135" s="1"/>
      <c r="OW135" s="1"/>
      <c r="OX135" s="1"/>
      <c r="OY135" s="1"/>
      <c r="OZ135" s="1"/>
      <c r="PA135" s="1"/>
      <c r="PB135" s="1"/>
      <c r="PC135" s="1"/>
      <c r="PD135" s="1"/>
      <c r="PE135" s="1"/>
      <c r="PF135" s="1"/>
      <c r="PG135" s="1"/>
      <c r="PH135" s="1"/>
      <c r="PI135" s="1"/>
      <c r="PJ135" s="1"/>
      <c r="PK135" s="1"/>
      <c r="PL135" s="1"/>
      <c r="PM135" s="1"/>
      <c r="PN135" s="1"/>
      <c r="PO135" s="1"/>
      <c r="PP135" s="1"/>
      <c r="PQ135" s="1"/>
      <c r="PR135" s="1"/>
      <c r="PS135" s="1"/>
      <c r="PT135" s="1"/>
      <c r="PU135" s="1"/>
      <c r="PV135" s="1"/>
      <c r="PW135" s="1"/>
      <c r="PX135" s="1"/>
      <c r="PY135" s="1"/>
      <c r="PZ135" s="1"/>
      <c r="QA135" s="1"/>
      <c r="QB135" s="1"/>
      <c r="QC135" s="1"/>
      <c r="QD135" s="1"/>
      <c r="QE135" s="1"/>
      <c r="QF135" s="1"/>
      <c r="QG135" s="1"/>
      <c r="QH135" s="1"/>
      <c r="QI135" s="1"/>
      <c r="QJ135" s="1"/>
      <c r="QK135" s="1"/>
      <c r="QL135" s="1"/>
      <c r="QM135" s="1"/>
      <c r="QN135" s="1"/>
      <c r="QO135" s="1"/>
      <c r="QP135" s="1"/>
      <c r="QQ135" s="1"/>
      <c r="QR135" s="1"/>
      <c r="QS135" s="1"/>
      <c r="QT135" s="1"/>
      <c r="QU135" s="1"/>
      <c r="QV135" s="1"/>
      <c r="QW135" s="1"/>
      <c r="QX135" s="1"/>
      <c r="QY135" s="1"/>
      <c r="QZ135" s="1"/>
      <c r="RA135" s="1"/>
      <c r="RB135" s="1"/>
      <c r="RC135" s="1"/>
      <c r="RD135" s="1"/>
      <c r="RE135" s="1"/>
      <c r="RF135" s="1"/>
      <c r="RG135" s="1"/>
      <c r="RH135" s="1"/>
      <c r="RI135" s="1"/>
      <c r="RJ135" s="1"/>
      <c r="RK135" s="1"/>
      <c r="RL135" s="1"/>
      <c r="RM135" s="1"/>
      <c r="RN135" s="1"/>
      <c r="RO135" s="1"/>
      <c r="RP135" s="1"/>
      <c r="RQ135" s="1"/>
      <c r="RR135" s="1"/>
      <c r="RS135" s="1"/>
      <c r="RT135" s="1"/>
      <c r="RU135" s="1"/>
      <c r="RV135" s="1"/>
      <c r="RW135" s="1"/>
      <c r="RX135" s="1"/>
      <c r="RY135" s="1"/>
      <c r="RZ135" s="1"/>
      <c r="SA135" s="1"/>
      <c r="SB135" s="1"/>
      <c r="SC135" s="1"/>
      <c r="SD135" s="1"/>
      <c r="SE135" s="1"/>
      <c r="SF135" s="1"/>
      <c r="SG135" s="1"/>
      <c r="SH135" s="1"/>
      <c r="SI135" s="1"/>
      <c r="SJ135" s="1"/>
      <c r="SK135" s="1"/>
      <c r="SL135" s="1"/>
      <c r="SM135" s="1"/>
      <c r="SN135" s="1"/>
      <c r="SO135" s="1"/>
      <c r="SP135" s="1"/>
      <c r="SQ135" s="1"/>
      <c r="SR135" s="1"/>
      <c r="SS135" s="1"/>
      <c r="ST135" s="1"/>
      <c r="SU135" s="1"/>
      <c r="SV135" s="1"/>
      <c r="SW135" s="1"/>
      <c r="SX135" s="1"/>
      <c r="SY135" s="1"/>
      <c r="SZ135" s="1"/>
      <c r="TA135" s="1"/>
      <c r="TB135" s="1"/>
      <c r="TC135" s="1"/>
      <c r="TD135" s="1"/>
      <c r="TE135" s="1"/>
      <c r="TF135" s="1"/>
      <c r="TG135" s="1"/>
      <c r="TH135" s="1"/>
      <c r="TI135" s="1"/>
      <c r="TJ135" s="1"/>
      <c r="TK135" s="1"/>
      <c r="TL135" s="1"/>
      <c r="TM135" s="1"/>
      <c r="TN135" s="1"/>
      <c r="TO135" s="1"/>
      <c r="TP135" s="1"/>
      <c r="TQ135" s="1"/>
      <c r="TR135" s="1"/>
      <c r="TS135" s="1"/>
      <c r="TT135" s="1"/>
      <c r="TU135" s="1"/>
      <c r="TV135" s="1"/>
      <c r="TW135" s="1"/>
      <c r="TX135" s="1"/>
      <c r="TY135" s="1"/>
      <c r="TZ135" s="1"/>
      <c r="UA135" s="1"/>
      <c r="UB135" s="1"/>
      <c r="UC135" s="1"/>
      <c r="UD135" s="1"/>
      <c r="UE135" s="1"/>
      <c r="UF135" s="1"/>
      <c r="UG135" s="1"/>
      <c r="UH135" s="1"/>
      <c r="UI135" s="1"/>
      <c r="UJ135" s="1"/>
      <c r="UK135" s="1"/>
      <c r="UL135" s="1"/>
      <c r="UM135" s="1"/>
      <c r="UN135" s="1"/>
      <c r="UO135" s="1"/>
      <c r="UP135" s="1"/>
      <c r="UQ135" s="1"/>
      <c r="UR135" s="1"/>
      <c r="US135" s="1"/>
      <c r="UT135" s="1"/>
      <c r="UU135" s="1"/>
      <c r="UV135" s="1"/>
      <c r="UW135" s="1"/>
      <c r="UX135" s="1"/>
      <c r="UY135" s="1"/>
      <c r="UZ135" s="1"/>
      <c r="VA135" s="1"/>
      <c r="VB135" s="1"/>
      <c r="VC135" s="1"/>
      <c r="VD135" s="1"/>
      <c r="VE135" s="1"/>
      <c r="VF135" s="1"/>
      <c r="VG135" s="1"/>
      <c r="VH135" s="1"/>
      <c r="VI135" s="1"/>
      <c r="VJ135" s="1"/>
      <c r="VK135" s="1"/>
      <c r="VL135" s="1"/>
      <c r="VM135" s="1"/>
      <c r="VN135" s="1"/>
      <c r="VO135" s="1"/>
      <c r="VP135" s="1"/>
      <c r="VQ135" s="1"/>
      <c r="VR135" s="1"/>
      <c r="VS135" s="1"/>
      <c r="VT135" s="1"/>
      <c r="VU135" s="1"/>
      <c r="VV135" s="1"/>
      <c r="VW135" s="1"/>
      <c r="VX135" s="1"/>
      <c r="VY135" s="1"/>
      <c r="VZ135" s="1"/>
      <c r="WA135" s="1"/>
      <c r="WB135" s="1"/>
      <c r="WC135" s="1"/>
      <c r="WD135" s="1"/>
      <c r="WE135" s="1"/>
      <c r="WF135" s="1"/>
      <c r="WG135" s="1"/>
      <c r="WH135" s="1"/>
      <c r="WI135" s="1"/>
      <c r="WJ135" s="1"/>
      <c r="WK135" s="1"/>
      <c r="WL135" s="1"/>
      <c r="WM135" s="1"/>
      <c r="WN135" s="1"/>
      <c r="WO135" s="1"/>
      <c r="WP135" s="1"/>
      <c r="WQ135" s="1"/>
      <c r="WR135" s="1"/>
      <c r="WS135" s="1"/>
      <c r="WT135" s="1"/>
      <c r="WU135" s="1"/>
      <c r="WV135" s="1"/>
      <c r="WW135" s="1"/>
      <c r="WX135" s="1"/>
      <c r="WY135" s="1"/>
      <c r="WZ135" s="1"/>
      <c r="XA135" s="1"/>
      <c r="XB135" s="1"/>
      <c r="XC135" s="1"/>
      <c r="XD135" s="1"/>
      <c r="XE135" s="1"/>
      <c r="XF135" s="1"/>
      <c r="XG135" s="1"/>
      <c r="XH135" s="1"/>
      <c r="XI135" s="1"/>
      <c r="XJ135" s="1"/>
      <c r="XK135" s="1"/>
      <c r="XL135" s="1"/>
      <c r="XM135" s="1"/>
      <c r="XN135" s="1"/>
      <c r="XO135" s="1"/>
      <c r="XP135" s="1"/>
      <c r="XQ135" s="1"/>
      <c r="XR135" s="1"/>
      <c r="XS135" s="1"/>
      <c r="XT135" s="1"/>
      <c r="XU135" s="1"/>
      <c r="XV135" s="1"/>
      <c r="XW135" s="1"/>
      <c r="XX135" s="1"/>
      <c r="XY135" s="1"/>
      <c r="XZ135" s="1"/>
      <c r="YA135" s="1"/>
      <c r="YB135" s="1"/>
      <c r="YC135" s="1"/>
      <c r="YD135" s="1"/>
      <c r="YE135" s="1"/>
      <c r="YF135" s="1"/>
      <c r="YG135" s="1"/>
      <c r="YH135" s="1"/>
      <c r="YI135" s="1"/>
      <c r="YJ135" s="1"/>
      <c r="YK135" s="1"/>
      <c r="YL135" s="1"/>
      <c r="YM135" s="1"/>
      <c r="YN135" s="1"/>
      <c r="YO135" s="1"/>
      <c r="YP135" s="1"/>
      <c r="YQ135" s="1"/>
      <c r="YR135" s="1"/>
      <c r="YS135" s="1"/>
      <c r="YT135" s="1"/>
      <c r="YU135" s="1"/>
      <c r="YV135" s="1"/>
      <c r="YW135" s="1"/>
      <c r="YX135" s="1"/>
      <c r="YY135" s="1"/>
      <c r="YZ135" s="1"/>
      <c r="ZA135" s="1"/>
      <c r="ZB135" s="1"/>
      <c r="ZC135" s="1"/>
      <c r="ZD135" s="1"/>
      <c r="ZE135" s="1"/>
      <c r="ZF135" s="1"/>
      <c r="ZG135" s="1"/>
      <c r="ZH135" s="1"/>
      <c r="ZI135" s="1"/>
      <c r="ZJ135" s="1"/>
      <c r="ZK135" s="1"/>
      <c r="ZL135" s="1"/>
      <c r="ZM135" s="1"/>
      <c r="ZN135" s="1"/>
      <c r="ZO135" s="1"/>
      <c r="ZP135" s="1"/>
      <c r="ZQ135" s="1"/>
      <c r="ZR135" s="1"/>
      <c r="ZS135" s="1"/>
      <c r="ZT135" s="1"/>
      <c r="ZU135" s="1"/>
      <c r="ZV135" s="1"/>
      <c r="ZW135" s="1"/>
      <c r="ZX135" s="1"/>
      <c r="ZY135" s="1"/>
      <c r="ZZ135" s="1"/>
      <c r="AAA135" s="1"/>
      <c r="AAB135" s="1"/>
      <c r="AAC135" s="1"/>
      <c r="AAD135" s="1"/>
      <c r="AAE135" s="1"/>
      <c r="AAF135" s="1"/>
      <c r="AAG135" s="1"/>
      <c r="AAH135" s="1"/>
      <c r="AAI135" s="1"/>
      <c r="AAJ135" s="1"/>
      <c r="AAK135" s="1"/>
      <c r="AAL135" s="1"/>
      <c r="AAM135" s="1"/>
      <c r="AAN135" s="1"/>
      <c r="AAO135" s="1"/>
      <c r="AAP135" s="1"/>
      <c r="AAQ135" s="1"/>
      <c r="AAR135" s="1"/>
      <c r="AAS135" s="1"/>
      <c r="AAT135" s="1"/>
      <c r="AAU135" s="1"/>
      <c r="AAV135" s="1"/>
      <c r="AAW135" s="1"/>
      <c r="AAX135" s="1"/>
      <c r="AAY135" s="1"/>
      <c r="AAZ135" s="1"/>
      <c r="ABA135" s="1"/>
      <c r="ABB135" s="1"/>
      <c r="ABC135" s="1"/>
      <c r="ABD135" s="1"/>
      <c r="ABE135" s="1"/>
      <c r="ABF135" s="1"/>
      <c r="ABG135" s="1"/>
      <c r="ABH135" s="1"/>
      <c r="ABI135" s="1"/>
      <c r="ABJ135" s="1"/>
      <c r="ABK135" s="1"/>
      <c r="ABL135" s="1"/>
      <c r="ABM135" s="1"/>
      <c r="ABN135" s="1"/>
      <c r="ABO135" s="1"/>
      <c r="ABP135" s="1"/>
      <c r="ABQ135" s="1"/>
      <c r="ABR135" s="1"/>
      <c r="ABS135" s="1"/>
      <c r="ABT135" s="1"/>
      <c r="ABU135" s="1"/>
      <c r="ABV135" s="1"/>
      <c r="ABW135" s="1"/>
      <c r="ABX135" s="1"/>
      <c r="ABY135" s="1"/>
      <c r="ABZ135" s="1"/>
      <c r="ACA135" s="1"/>
      <c r="ACB135" s="1"/>
      <c r="ACC135" s="1"/>
      <c r="ACD135" s="1"/>
      <c r="ACE135" s="1"/>
      <c r="ACF135" s="1"/>
      <c r="ACG135" s="1"/>
      <c r="ACH135" s="1"/>
      <c r="ACI135" s="1"/>
      <c r="ACJ135" s="1"/>
      <c r="ACK135" s="1"/>
      <c r="ACL135" s="1"/>
      <c r="ACM135" s="1"/>
      <c r="ACN135" s="1"/>
      <c r="ACO135" s="1"/>
      <c r="ACP135" s="1"/>
      <c r="ACQ135" s="1"/>
      <c r="ACR135" s="1"/>
      <c r="ACS135" s="1"/>
      <c r="ACT135" s="1"/>
      <c r="ACU135" s="1"/>
      <c r="ACV135" s="1"/>
      <c r="ACW135" s="1"/>
      <c r="ACX135" s="1"/>
      <c r="ACY135" s="1"/>
      <c r="ACZ135" s="1"/>
      <c r="ADA135" s="1"/>
      <c r="ADB135" s="1"/>
      <c r="ADC135" s="1"/>
      <c r="ADD135" s="1"/>
      <c r="ADE135" s="1"/>
      <c r="ADF135" s="1"/>
      <c r="ADG135" s="1"/>
      <c r="ADH135" s="1"/>
      <c r="ADI135" s="1"/>
      <c r="ADJ135" s="1"/>
      <c r="ADK135" s="1"/>
      <c r="ADL135" s="1"/>
      <c r="ADM135" s="1"/>
      <c r="ADN135" s="1"/>
      <c r="ADO135" s="1"/>
      <c r="ADP135" s="1"/>
      <c r="ADQ135" s="1"/>
      <c r="ADR135" s="1"/>
      <c r="ADS135" s="1"/>
      <c r="ADT135" s="1"/>
      <c r="ADU135" s="1"/>
      <c r="ADV135" s="1"/>
      <c r="ADW135" s="1"/>
      <c r="ADX135" s="1"/>
      <c r="ADY135" s="1"/>
      <c r="ADZ135" s="1"/>
      <c r="AEA135" s="1"/>
      <c r="AEB135" s="1"/>
      <c r="AEC135" s="1"/>
      <c r="AED135" s="1"/>
      <c r="AEE135" s="1"/>
      <c r="AEF135" s="1"/>
      <c r="AEG135" s="1"/>
      <c r="AEH135" s="1"/>
      <c r="AEI135" s="1"/>
      <c r="AEJ135" s="1"/>
      <c r="AEK135" s="1"/>
      <c r="AEL135" s="1"/>
      <c r="AEM135" s="1"/>
      <c r="AEN135" s="1"/>
      <c r="AEO135" s="1"/>
      <c r="AEP135" s="1"/>
      <c r="AEQ135" s="1"/>
      <c r="AER135" s="1"/>
      <c r="AES135" s="1"/>
      <c r="AET135" s="1"/>
      <c r="AEU135" s="1"/>
      <c r="AEV135" s="1"/>
      <c r="AEW135" s="1"/>
      <c r="AEX135" s="1"/>
      <c r="AEY135" s="1"/>
      <c r="AEZ135" s="1"/>
      <c r="AFA135" s="1"/>
      <c r="AFB135" s="1"/>
      <c r="AFC135" s="1"/>
      <c r="AFD135" s="1"/>
      <c r="AFE135" s="1"/>
      <c r="AFF135" s="1"/>
      <c r="AFG135" s="1"/>
      <c r="AFH135" s="1"/>
      <c r="AFI135" s="1"/>
      <c r="AFJ135" s="1"/>
      <c r="AFK135" s="1"/>
      <c r="AFL135" s="1"/>
      <c r="AFM135" s="1"/>
      <c r="AFN135" s="1"/>
      <c r="AFO135" s="1"/>
      <c r="AFP135" s="1"/>
      <c r="AFQ135" s="1"/>
      <c r="AFR135" s="1"/>
      <c r="AFS135" s="1"/>
      <c r="AFT135" s="1"/>
      <c r="AFU135" s="1"/>
      <c r="AFV135" s="1"/>
      <c r="AFW135" s="1"/>
      <c r="AFX135" s="1"/>
      <c r="AFY135" s="1"/>
      <c r="AFZ135" s="1"/>
      <c r="AGA135" s="1"/>
      <c r="AGB135" s="1"/>
      <c r="AGC135" s="1"/>
      <c r="AGD135" s="1"/>
      <c r="AGE135" s="1"/>
      <c r="AGF135" s="1"/>
      <c r="AGG135" s="1"/>
      <c r="AGH135" s="1"/>
      <c r="AGI135" s="1"/>
      <c r="AGJ135" s="1"/>
      <c r="AGK135" s="1"/>
      <c r="AGL135" s="1"/>
      <c r="AGM135" s="1"/>
      <c r="AGN135" s="1"/>
      <c r="AGO135" s="1"/>
      <c r="AGP135" s="1"/>
      <c r="AGQ135" s="1"/>
      <c r="AGR135" s="1"/>
      <c r="AGS135" s="1"/>
      <c r="AGT135" s="1"/>
      <c r="AGU135" s="1"/>
      <c r="AGV135" s="1"/>
      <c r="AGW135" s="1"/>
      <c r="AGX135" s="1"/>
      <c r="AGY135" s="1"/>
      <c r="AGZ135" s="1"/>
      <c r="AHA135" s="1"/>
      <c r="AHB135" s="1"/>
      <c r="AHC135" s="1"/>
      <c r="AHD135" s="1"/>
      <c r="AHE135" s="1"/>
      <c r="AHF135" s="1"/>
      <c r="AHG135" s="1"/>
      <c r="AHH135" s="1"/>
      <c r="AHI135" s="1"/>
      <c r="AHJ135" s="1"/>
      <c r="AHK135" s="1"/>
      <c r="AHL135" s="1"/>
      <c r="AHM135" s="1"/>
      <c r="AHN135" s="1"/>
      <c r="AHO135" s="1"/>
      <c r="AHP135" s="1"/>
      <c r="AHQ135" s="1"/>
      <c r="AHR135" s="1"/>
      <c r="AHS135" s="1"/>
      <c r="AHT135" s="1"/>
      <c r="AHU135" s="1"/>
      <c r="AHV135" s="1"/>
      <c r="AHW135" s="1"/>
      <c r="AHX135" s="1"/>
      <c r="AHY135" s="1"/>
      <c r="AHZ135" s="1"/>
      <c r="AIA135" s="1"/>
      <c r="AIB135" s="1"/>
      <c r="AIC135" s="1"/>
      <c r="AID135" s="1"/>
      <c r="AIE135" s="1"/>
      <c r="AIF135" s="1"/>
      <c r="AIG135" s="1"/>
      <c r="AIH135" s="1"/>
      <c r="AII135" s="1"/>
      <c r="AIJ135" s="1"/>
      <c r="AIK135" s="1"/>
      <c r="AIL135" s="1"/>
      <c r="AIM135" s="1"/>
      <c r="AIN135" s="1"/>
      <c r="AIO135" s="1"/>
      <c r="AIP135" s="1"/>
      <c r="AIQ135" s="1"/>
      <c r="AIR135" s="1"/>
      <c r="AIS135" s="1"/>
      <c r="AIT135" s="1"/>
      <c r="AIU135" s="1"/>
      <c r="AIV135" s="1"/>
      <c r="AIW135" s="1"/>
      <c r="AIX135" s="1"/>
      <c r="AIY135" s="1"/>
      <c r="AIZ135" s="1"/>
      <c r="AJA135" s="1"/>
      <c r="AJB135" s="1"/>
      <c r="AJC135" s="1"/>
      <c r="AJD135" s="1"/>
      <c r="AJE135" s="1"/>
      <c r="AJF135" s="1"/>
      <c r="AJG135" s="1"/>
      <c r="AJH135" s="1"/>
      <c r="AJI135" s="1"/>
      <c r="AJJ135" s="1"/>
      <c r="AJK135" s="1"/>
      <c r="AJL135" s="1"/>
      <c r="AJM135" s="1"/>
      <c r="AJN135" s="1"/>
      <c r="AJO135" s="1"/>
      <c r="AJP135" s="1"/>
      <c r="AJQ135" s="1"/>
      <c r="AJR135" s="1"/>
      <c r="AJS135" s="1"/>
      <c r="AJT135" s="1"/>
      <c r="AJU135" s="1"/>
      <c r="AJV135" s="1"/>
      <c r="AJW135" s="1"/>
      <c r="AJX135" s="1"/>
      <c r="AJY135" s="1"/>
      <c r="AJZ135" s="1"/>
      <c r="AKA135" s="1"/>
      <c r="AKB135" s="1"/>
      <c r="AKC135" s="1"/>
      <c r="AKD135" s="1"/>
      <c r="AKE135" s="1"/>
      <c r="AKF135" s="1"/>
      <c r="AKG135" s="1"/>
      <c r="AKH135" s="1"/>
      <c r="AKI135" s="1"/>
      <c r="AKJ135" s="1"/>
      <c r="AKK135" s="1"/>
      <c r="AKL135" s="1"/>
      <c r="AKM135" s="1"/>
      <c r="AKN135" s="1"/>
      <c r="AKO135" s="1"/>
      <c r="AKP135" s="1"/>
      <c r="AKQ135" s="1"/>
      <c r="AKR135" s="1"/>
      <c r="AKS135" s="1"/>
      <c r="AKT135" s="1"/>
      <c r="AKU135" s="1"/>
      <c r="AKV135" s="1"/>
      <c r="AKW135" s="1"/>
      <c r="AKX135" s="1"/>
      <c r="AKY135" s="1"/>
      <c r="AKZ135" s="1"/>
      <c r="ALA135" s="1"/>
      <c r="ALB135" s="1"/>
      <c r="ALC135" s="1"/>
      <c r="ALD135" s="1"/>
      <c r="ALE135" s="1"/>
      <c r="ALF135" s="1"/>
      <c r="ALG135" s="1"/>
      <c r="ALH135" s="1"/>
      <c r="ALI135" s="1"/>
      <c r="ALJ135" s="1"/>
      <c r="ALK135" s="1"/>
      <c r="ALL135" s="1"/>
      <c r="ALM135" s="1"/>
      <c r="ALN135" s="1"/>
      <c r="ALO135" s="1"/>
      <c r="ALP135" s="1"/>
      <c r="ALQ135" s="1"/>
      <c r="ALR135" s="1"/>
      <c r="ALS135" s="1"/>
      <c r="ALT135" s="1"/>
      <c r="ALU135" s="1"/>
      <c r="ALV135" s="1"/>
      <c r="ALW135" s="1"/>
      <c r="ALX135" s="1"/>
      <c r="ALY135" s="1"/>
      <c r="ALZ135" s="1"/>
      <c r="AMA135" s="1"/>
      <c r="AMB135" s="1"/>
      <c r="AMC135" s="1"/>
      <c r="AMD135" s="1"/>
      <c r="AME135" s="1"/>
      <c r="AMF135" s="1"/>
      <c r="AMG135" s="1"/>
      <c r="AMH135" s="1"/>
      <c r="AMI135" s="1"/>
      <c r="AMJ135" s="1"/>
      <c r="AMK135" s="1"/>
      <c r="AML135" s="1"/>
      <c r="AMM135" s="1"/>
      <c r="AMN135" s="1"/>
      <c r="AMO135" s="1"/>
    </row>
    <row r="136" spans="1:1030" x14ac:dyDescent="0.2">
      <c r="A136" s="3" t="str">
        <f t="shared" si="559"/>
        <v>ccr5_human_4MBS</v>
      </c>
      <c r="B136" s="3" t="s">
        <v>173</v>
      </c>
      <c r="C136" s="3" t="s">
        <v>74</v>
      </c>
      <c r="D136" s="3" t="str">
        <f>IFERROR(MID(VLOOKUP($B136,Seqs!$A:$B,2,0),E136,1),"")</f>
        <v>V</v>
      </c>
      <c r="E136" s="3">
        <v>25</v>
      </c>
      <c r="F136" s="3" t="str">
        <f>IFERROR(MID(VLOOKUP($B136,Seqs!$A:$B,2,0),G136,1),"")</f>
        <v>C</v>
      </c>
      <c r="G136" s="3">
        <v>58</v>
      </c>
      <c r="H136" s="3" t="str">
        <f>IFERROR(MID(VLOOKUP($B136,Seqs!$A:$B,2,0),I136,1),"")</f>
        <v/>
      </c>
      <c r="I136" s="23" t="s">
        <v>23</v>
      </c>
      <c r="J136" s="3" t="str">
        <f>IFERROR(MID(VLOOKUP($B136,Seqs!$A:$B,2,0),K136,1),"")</f>
        <v/>
      </c>
      <c r="K136" s="23" t="s">
        <v>23</v>
      </c>
      <c r="L136" s="3" t="str">
        <f>IFERROR(MID(VLOOKUP($B136,Seqs!$A:$B,2,0),M136,1),"")</f>
        <v>S</v>
      </c>
      <c r="M136" s="3">
        <v>63</v>
      </c>
      <c r="N136" s="3" t="str">
        <f>IFERROR(MID(VLOOKUP($B136,Seqs!$A:$B,2,0),O136,1),"")</f>
        <v>A</v>
      </c>
      <c r="O136" s="3">
        <v>92</v>
      </c>
      <c r="P136" s="3" t="str">
        <f>IFERROR(MID(VLOOKUP($B136,Seqs!$A:$B,2,0),Q136,1),"")</f>
        <v>Q</v>
      </c>
      <c r="Q136" s="3">
        <v>93</v>
      </c>
      <c r="R136" s="3" t="str">
        <f>IFERROR(MID(VLOOKUP($B136,Seqs!$A:$B,2,0),S136,1),"")</f>
        <v>F</v>
      </c>
      <c r="S136" s="3">
        <v>96</v>
      </c>
      <c r="T136" s="3" t="str">
        <f>IFERROR(MID(VLOOKUP($B136,Seqs!$A:$B,2,0),U136,1),"")</f>
        <v>G</v>
      </c>
      <c r="U136" s="3">
        <v>97</v>
      </c>
      <c r="V136" s="3" t="str">
        <f>IFERROR(MID(VLOOKUP($B136,Seqs!$A:$B,2,0),W136,1),"")</f>
        <v>H</v>
      </c>
      <c r="W136" s="3">
        <v>132</v>
      </c>
      <c r="X136" s="3" t="str">
        <f>IFERROR(MID(VLOOKUP($B136,Seqs!$A:$B,2,0),Y136,1),"")</f>
        <v>A</v>
      </c>
      <c r="Y136" s="3">
        <v>133</v>
      </c>
      <c r="Z136" s="3" t="str">
        <f>IFERROR(MID(VLOOKUP($B136,Seqs!$A:$B,2,0),AA136,1),"")</f>
        <v>R</v>
      </c>
      <c r="AA136" s="3">
        <v>140</v>
      </c>
      <c r="AB136" s="3" t="str">
        <f>IFERROR(MID(VLOOKUP($B136,Seqs!$A:$B,2,0),AC136,1),"")</f>
        <v>T</v>
      </c>
      <c r="AC136" s="9">
        <v>141</v>
      </c>
      <c r="AD136" s="3" t="str">
        <f>IFERROR(MID(VLOOKUP($B136,Seqs!$A:$B,2,0),AE136,1),"")</f>
        <v>T</v>
      </c>
      <c r="AE136" s="3">
        <v>167</v>
      </c>
      <c r="AF136" s="3" t="str">
        <f>IFERROR(MID(VLOOKUP($B136,Seqs!$A:$B,2,0),AG136,1),"")</f>
        <v>C</v>
      </c>
      <c r="AG136" s="3">
        <v>178</v>
      </c>
      <c r="AH136" s="3" t="str">
        <f>IFERROR(MID(VLOOKUP($B136,Seqs!$A:$B,2,0),AI136,1),"")</f>
        <v>S</v>
      </c>
      <c r="AI136" s="3">
        <v>180</v>
      </c>
      <c r="AJ136" s="3" t="str">
        <f>IFERROR(MID(VLOOKUP($B136,Seqs!$A:$B,2,0),AK136,1),"")</f>
        <v>Q</v>
      </c>
      <c r="AK136" s="3">
        <v>186</v>
      </c>
      <c r="AL136" s="3" t="str">
        <f>IFERROR(MID(VLOOKUP($B136,Seqs!$A:$B,2,0),AM136,1),"")</f>
        <v>R</v>
      </c>
      <c r="AM136" s="3">
        <v>223</v>
      </c>
      <c r="AN136" s="3" t="str">
        <f>IFERROR(MID(VLOOKUP($B136,Seqs!$A:$B,2,0),AO136,1),"")</f>
        <v>K</v>
      </c>
      <c r="AO136" s="3">
        <v>228</v>
      </c>
      <c r="AP136" s="3" t="str">
        <f>IFERROR(MID(VLOOKUP($B136,Seqs!$A:$B,2,0),AQ136,1),"")</f>
        <v>G</v>
      </c>
      <c r="AQ136" s="3">
        <v>265</v>
      </c>
      <c r="AR136" s="3" t="str">
        <f>IFERROR(MID(VLOOKUP($B136,Seqs!$A:$B,2,0),AS136,1),"")</f>
        <v>N</v>
      </c>
      <c r="AS136" s="3">
        <v>268</v>
      </c>
      <c r="AT136" s="3" t="str">
        <f>IFERROR(MID(VLOOKUP($B136,Seqs!$A:$B,2,0),AU136,1),"")</f>
        <v>V</v>
      </c>
      <c r="AU136" s="3">
        <v>300</v>
      </c>
      <c r="AV136" s="3" t="str">
        <f>IFERROR(MID(VLOOKUP($B136,Seqs!$A:$B,2,0),AW136,1),"")</f>
        <v>G</v>
      </c>
      <c r="AW136" s="3">
        <v>301</v>
      </c>
      <c r="AX136" s="3" t="str">
        <f>IFERROR(MID(VLOOKUP($B136,Seqs!$A:$B,2,0),AY136,1),"")</f>
        <v>Q</v>
      </c>
      <c r="AY136" s="3">
        <v>313</v>
      </c>
      <c r="AZ136" s="77" t="str">
        <f>VLOOKUP(B136,Classification!A:D,2,0)</f>
        <v>A</v>
      </c>
      <c r="BA136" s="94" t="str">
        <f>VLOOKUP(B136,Classification!A:D,4,0)</f>
        <v>Chemokine</v>
      </c>
      <c r="BB136" s="27" t="b">
        <f t="shared" si="560"/>
        <v>1</v>
      </c>
      <c r="BC136" s="23">
        <f t="shared" si="365"/>
        <v>265</v>
      </c>
      <c r="BD136" s="2" t="s">
        <v>23</v>
      </c>
      <c r="BE136" s="3" t="s">
        <v>1381</v>
      </c>
      <c r="BF136" s="119">
        <v>2.71</v>
      </c>
      <c r="BG136" s="49" t="s">
        <v>1384</v>
      </c>
      <c r="BH136" s="49" t="s">
        <v>1384</v>
      </c>
      <c r="BI136" s="1"/>
      <c r="BJ136" s="70" t="s">
        <v>1293</v>
      </c>
      <c r="BK136" s="57" t="s">
        <v>1293</v>
      </c>
      <c r="BL136" s="57" t="s">
        <v>1293</v>
      </c>
      <c r="BM136" s="57" t="s">
        <v>1293</v>
      </c>
      <c r="BN136" s="57" t="s">
        <v>1293</v>
      </c>
      <c r="BO136" s="57" t="s">
        <v>1293</v>
      </c>
      <c r="BP136" s="57" t="s">
        <v>1293</v>
      </c>
      <c r="BQ136" s="57" t="s">
        <v>1293</v>
      </c>
      <c r="BR136" s="57" t="s">
        <v>1293</v>
      </c>
      <c r="BS136" s="57" t="s">
        <v>1293</v>
      </c>
      <c r="BT136" s="57" t="s">
        <v>1293</v>
      </c>
      <c r="BU136" s="57" t="s">
        <v>1293</v>
      </c>
      <c r="BV136" s="70">
        <f t="shared" si="366"/>
        <v>25</v>
      </c>
      <c r="BW136" s="71" t="str">
        <f t="shared" si="367"/>
        <v>-</v>
      </c>
      <c r="BX136" s="72">
        <f t="shared" si="368"/>
        <v>63</v>
      </c>
      <c r="BY136" s="71">
        <f t="shared" si="369"/>
        <v>93</v>
      </c>
      <c r="BZ136" s="72">
        <f t="shared" si="370"/>
        <v>97</v>
      </c>
      <c r="CA136" s="71">
        <f t="shared" si="371"/>
        <v>133</v>
      </c>
      <c r="CB136" s="72">
        <f t="shared" si="372"/>
        <v>141</v>
      </c>
      <c r="CC136" s="71">
        <f t="shared" si="373"/>
        <v>178</v>
      </c>
      <c r="CD136" s="72">
        <f t="shared" si="374"/>
        <v>186</v>
      </c>
      <c r="CE136" s="71">
        <f t="shared" si="375"/>
        <v>228</v>
      </c>
      <c r="CF136" s="72">
        <f t="shared" si="376"/>
        <v>268</v>
      </c>
      <c r="CG136" s="71">
        <f t="shared" si="377"/>
        <v>301</v>
      </c>
      <c r="CH136" s="70">
        <f t="shared" si="378"/>
        <v>58</v>
      </c>
      <c r="CI136" s="71" t="str">
        <f t="shared" si="379"/>
        <v>-</v>
      </c>
      <c r="CJ136" s="72">
        <f t="shared" si="380"/>
        <v>92</v>
      </c>
      <c r="CK136" s="72">
        <f t="shared" si="381"/>
        <v>96</v>
      </c>
      <c r="CL136" s="72">
        <f t="shared" si="382"/>
        <v>132</v>
      </c>
      <c r="CM136" s="72">
        <f t="shared" si="383"/>
        <v>140</v>
      </c>
      <c r="CN136" s="72">
        <f t="shared" si="384"/>
        <v>167</v>
      </c>
      <c r="CO136" s="72">
        <f t="shared" si="385"/>
        <v>180</v>
      </c>
      <c r="CP136" s="72">
        <f t="shared" si="386"/>
        <v>223</v>
      </c>
      <c r="CQ136" s="72">
        <f t="shared" si="387"/>
        <v>265</v>
      </c>
      <c r="CR136" s="72">
        <f t="shared" si="388"/>
        <v>300</v>
      </c>
      <c r="CS136" s="72">
        <f t="shared" si="389"/>
        <v>313</v>
      </c>
      <c r="CT136" s="23" t="e">
        <f t="shared" si="390"/>
        <v>#VALUE!</v>
      </c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  <c r="OK136" s="1"/>
      <c r="OL136" s="1"/>
      <c r="OM136" s="1"/>
      <c r="ON136" s="1"/>
      <c r="OO136" s="1"/>
      <c r="OP136" s="1"/>
      <c r="OQ136" s="1"/>
      <c r="OR136" s="1"/>
      <c r="OS136" s="1"/>
      <c r="OT136" s="1"/>
      <c r="OU136" s="1"/>
      <c r="OV136" s="1"/>
      <c r="OW136" s="1"/>
      <c r="OX136" s="1"/>
      <c r="OY136" s="1"/>
      <c r="OZ136" s="1"/>
      <c r="PA136" s="1"/>
      <c r="PB136" s="1"/>
      <c r="PC136" s="1"/>
      <c r="PD136" s="1"/>
      <c r="PE136" s="1"/>
      <c r="PF136" s="1"/>
      <c r="PG136" s="1"/>
      <c r="PH136" s="1"/>
      <c r="PI136" s="1"/>
      <c r="PJ136" s="1"/>
      <c r="PK136" s="1"/>
      <c r="PL136" s="1"/>
      <c r="PM136" s="1"/>
      <c r="PN136" s="1"/>
      <c r="PO136" s="1"/>
      <c r="PP136" s="1"/>
      <c r="PQ136" s="1"/>
      <c r="PR136" s="1"/>
      <c r="PS136" s="1"/>
      <c r="PT136" s="1"/>
      <c r="PU136" s="1"/>
      <c r="PV136" s="1"/>
      <c r="PW136" s="1"/>
      <c r="PX136" s="1"/>
      <c r="PY136" s="1"/>
      <c r="PZ136" s="1"/>
      <c r="QA136" s="1"/>
      <c r="QB136" s="1"/>
      <c r="QC136" s="1"/>
      <c r="QD136" s="1"/>
      <c r="QE136" s="1"/>
      <c r="QF136" s="1"/>
      <c r="QG136" s="1"/>
      <c r="QH136" s="1"/>
      <c r="QI136" s="1"/>
      <c r="QJ136" s="1"/>
      <c r="QK136" s="1"/>
      <c r="QL136" s="1"/>
      <c r="QM136" s="1"/>
      <c r="QN136" s="1"/>
      <c r="QO136" s="1"/>
      <c r="QP136" s="1"/>
      <c r="QQ136" s="1"/>
      <c r="QR136" s="1"/>
      <c r="QS136" s="1"/>
      <c r="QT136" s="1"/>
      <c r="QU136" s="1"/>
      <c r="QV136" s="1"/>
      <c r="QW136" s="1"/>
      <c r="QX136" s="1"/>
      <c r="QY136" s="1"/>
      <c r="QZ136" s="1"/>
      <c r="RA136" s="1"/>
      <c r="RB136" s="1"/>
      <c r="RC136" s="1"/>
      <c r="RD136" s="1"/>
      <c r="RE136" s="1"/>
      <c r="RF136" s="1"/>
      <c r="RG136" s="1"/>
      <c r="RH136" s="1"/>
      <c r="RI136" s="1"/>
      <c r="RJ136" s="1"/>
      <c r="RK136" s="1"/>
      <c r="RL136" s="1"/>
      <c r="RM136" s="1"/>
      <c r="RN136" s="1"/>
      <c r="RO136" s="1"/>
      <c r="RP136" s="1"/>
      <c r="RQ136" s="1"/>
      <c r="RR136" s="1"/>
      <c r="RS136" s="1"/>
      <c r="RT136" s="1"/>
      <c r="RU136" s="1"/>
      <c r="RV136" s="1"/>
      <c r="RW136" s="1"/>
      <c r="RX136" s="1"/>
      <c r="RY136" s="1"/>
      <c r="RZ136" s="1"/>
      <c r="SA136" s="1"/>
      <c r="SB136" s="1"/>
      <c r="SC136" s="1"/>
      <c r="SD136" s="1"/>
      <c r="SE136" s="1"/>
      <c r="SF136" s="1"/>
      <c r="SG136" s="1"/>
      <c r="SH136" s="1"/>
      <c r="SI136" s="1"/>
      <c r="SJ136" s="1"/>
      <c r="SK136" s="1"/>
      <c r="SL136" s="1"/>
      <c r="SM136" s="1"/>
      <c r="SN136" s="1"/>
      <c r="SO136" s="1"/>
      <c r="SP136" s="1"/>
      <c r="SQ136" s="1"/>
      <c r="SR136" s="1"/>
      <c r="SS136" s="1"/>
      <c r="ST136" s="1"/>
      <c r="SU136" s="1"/>
      <c r="SV136" s="1"/>
      <c r="SW136" s="1"/>
      <c r="SX136" s="1"/>
      <c r="SY136" s="1"/>
      <c r="SZ136" s="1"/>
      <c r="TA136" s="1"/>
      <c r="TB136" s="1"/>
      <c r="TC136" s="1"/>
      <c r="TD136" s="1"/>
      <c r="TE136" s="1"/>
      <c r="TF136" s="1"/>
      <c r="TG136" s="1"/>
      <c r="TH136" s="1"/>
      <c r="TI136" s="1"/>
      <c r="TJ136" s="1"/>
      <c r="TK136" s="1"/>
      <c r="TL136" s="1"/>
      <c r="TM136" s="1"/>
      <c r="TN136" s="1"/>
      <c r="TO136" s="1"/>
      <c r="TP136" s="1"/>
      <c r="TQ136" s="1"/>
      <c r="TR136" s="1"/>
      <c r="TS136" s="1"/>
      <c r="TT136" s="1"/>
      <c r="TU136" s="1"/>
      <c r="TV136" s="1"/>
      <c r="TW136" s="1"/>
      <c r="TX136" s="1"/>
      <c r="TY136" s="1"/>
      <c r="TZ136" s="1"/>
      <c r="UA136" s="1"/>
      <c r="UB136" s="1"/>
      <c r="UC136" s="1"/>
      <c r="UD136" s="1"/>
      <c r="UE136" s="1"/>
      <c r="UF136" s="1"/>
      <c r="UG136" s="1"/>
      <c r="UH136" s="1"/>
      <c r="UI136" s="1"/>
      <c r="UJ136" s="1"/>
      <c r="UK136" s="1"/>
      <c r="UL136" s="1"/>
      <c r="UM136" s="1"/>
      <c r="UN136" s="1"/>
      <c r="UO136" s="1"/>
      <c r="UP136" s="1"/>
      <c r="UQ136" s="1"/>
      <c r="UR136" s="1"/>
      <c r="US136" s="1"/>
      <c r="UT136" s="1"/>
      <c r="UU136" s="1"/>
      <c r="UV136" s="1"/>
      <c r="UW136" s="1"/>
      <c r="UX136" s="1"/>
      <c r="UY136" s="1"/>
      <c r="UZ136" s="1"/>
      <c r="VA136" s="1"/>
      <c r="VB136" s="1"/>
      <c r="VC136" s="1"/>
      <c r="VD136" s="1"/>
      <c r="VE136" s="1"/>
      <c r="VF136" s="1"/>
      <c r="VG136" s="1"/>
      <c r="VH136" s="1"/>
      <c r="VI136" s="1"/>
      <c r="VJ136" s="1"/>
      <c r="VK136" s="1"/>
      <c r="VL136" s="1"/>
      <c r="VM136" s="1"/>
      <c r="VN136" s="1"/>
      <c r="VO136" s="1"/>
      <c r="VP136" s="1"/>
      <c r="VQ136" s="1"/>
      <c r="VR136" s="1"/>
      <c r="VS136" s="1"/>
      <c r="VT136" s="1"/>
      <c r="VU136" s="1"/>
      <c r="VV136" s="1"/>
      <c r="VW136" s="1"/>
      <c r="VX136" s="1"/>
      <c r="VY136" s="1"/>
      <c r="VZ136" s="1"/>
      <c r="WA136" s="1"/>
      <c r="WB136" s="1"/>
      <c r="WC136" s="1"/>
      <c r="WD136" s="1"/>
      <c r="WE136" s="1"/>
      <c r="WF136" s="1"/>
      <c r="WG136" s="1"/>
      <c r="WH136" s="1"/>
      <c r="WI136" s="1"/>
      <c r="WJ136" s="1"/>
      <c r="WK136" s="1"/>
      <c r="WL136" s="1"/>
      <c r="WM136" s="1"/>
      <c r="WN136" s="1"/>
      <c r="WO136" s="1"/>
      <c r="WP136" s="1"/>
      <c r="WQ136" s="1"/>
      <c r="WR136" s="1"/>
      <c r="WS136" s="1"/>
      <c r="WT136" s="1"/>
      <c r="WU136" s="1"/>
      <c r="WV136" s="1"/>
      <c r="WW136" s="1"/>
      <c r="WX136" s="1"/>
      <c r="WY136" s="1"/>
      <c r="WZ136" s="1"/>
      <c r="XA136" s="1"/>
      <c r="XB136" s="1"/>
      <c r="XC136" s="1"/>
      <c r="XD136" s="1"/>
      <c r="XE136" s="1"/>
      <c r="XF136" s="1"/>
      <c r="XG136" s="1"/>
      <c r="XH136" s="1"/>
      <c r="XI136" s="1"/>
      <c r="XJ136" s="1"/>
      <c r="XK136" s="1"/>
      <c r="XL136" s="1"/>
      <c r="XM136" s="1"/>
      <c r="XN136" s="1"/>
      <c r="XO136" s="1"/>
      <c r="XP136" s="1"/>
      <c r="XQ136" s="1"/>
      <c r="XR136" s="1"/>
      <c r="XS136" s="1"/>
      <c r="XT136" s="1"/>
      <c r="XU136" s="1"/>
      <c r="XV136" s="1"/>
      <c r="XW136" s="1"/>
      <c r="XX136" s="1"/>
      <c r="XY136" s="1"/>
      <c r="XZ136" s="1"/>
      <c r="YA136" s="1"/>
      <c r="YB136" s="1"/>
      <c r="YC136" s="1"/>
      <c r="YD136" s="1"/>
      <c r="YE136" s="1"/>
      <c r="YF136" s="1"/>
      <c r="YG136" s="1"/>
      <c r="YH136" s="1"/>
      <c r="YI136" s="1"/>
      <c r="YJ136" s="1"/>
      <c r="YK136" s="1"/>
      <c r="YL136" s="1"/>
      <c r="YM136" s="1"/>
      <c r="YN136" s="1"/>
      <c r="YO136" s="1"/>
      <c r="YP136" s="1"/>
      <c r="YQ136" s="1"/>
      <c r="YR136" s="1"/>
      <c r="YS136" s="1"/>
      <c r="YT136" s="1"/>
      <c r="YU136" s="1"/>
      <c r="YV136" s="1"/>
      <c r="YW136" s="1"/>
      <c r="YX136" s="1"/>
      <c r="YY136" s="1"/>
      <c r="YZ136" s="1"/>
      <c r="ZA136" s="1"/>
      <c r="ZB136" s="1"/>
      <c r="ZC136" s="1"/>
      <c r="ZD136" s="1"/>
      <c r="ZE136" s="1"/>
      <c r="ZF136" s="1"/>
      <c r="ZG136" s="1"/>
      <c r="ZH136" s="1"/>
      <c r="ZI136" s="1"/>
      <c r="ZJ136" s="1"/>
      <c r="ZK136" s="1"/>
      <c r="ZL136" s="1"/>
      <c r="ZM136" s="1"/>
      <c r="ZN136" s="1"/>
      <c r="ZO136" s="1"/>
      <c r="ZP136" s="1"/>
      <c r="ZQ136" s="1"/>
      <c r="ZR136" s="1"/>
      <c r="ZS136" s="1"/>
      <c r="ZT136" s="1"/>
      <c r="ZU136" s="1"/>
      <c r="ZV136" s="1"/>
      <c r="ZW136" s="1"/>
      <c r="ZX136" s="1"/>
      <c r="ZY136" s="1"/>
      <c r="ZZ136" s="1"/>
      <c r="AAA136" s="1"/>
      <c r="AAB136" s="1"/>
      <c r="AAC136" s="1"/>
      <c r="AAD136" s="1"/>
      <c r="AAE136" s="1"/>
      <c r="AAF136" s="1"/>
      <c r="AAG136" s="1"/>
      <c r="AAH136" s="1"/>
      <c r="AAI136" s="1"/>
      <c r="AAJ136" s="1"/>
      <c r="AAK136" s="1"/>
      <c r="AAL136" s="1"/>
      <c r="AAM136" s="1"/>
      <c r="AAN136" s="1"/>
      <c r="AAO136" s="1"/>
      <c r="AAP136" s="1"/>
      <c r="AAQ136" s="1"/>
      <c r="AAR136" s="1"/>
      <c r="AAS136" s="1"/>
      <c r="AAT136" s="1"/>
      <c r="AAU136" s="1"/>
      <c r="AAV136" s="1"/>
      <c r="AAW136" s="1"/>
      <c r="AAX136" s="1"/>
      <c r="AAY136" s="1"/>
      <c r="AAZ136" s="1"/>
      <c r="ABA136" s="1"/>
      <c r="ABB136" s="1"/>
      <c r="ABC136" s="1"/>
      <c r="ABD136" s="1"/>
      <c r="ABE136" s="1"/>
      <c r="ABF136" s="1"/>
      <c r="ABG136" s="1"/>
      <c r="ABH136" s="1"/>
      <c r="ABI136" s="1"/>
      <c r="ABJ136" s="1"/>
      <c r="ABK136" s="1"/>
      <c r="ABL136" s="1"/>
      <c r="ABM136" s="1"/>
      <c r="ABN136" s="1"/>
      <c r="ABO136" s="1"/>
      <c r="ABP136" s="1"/>
      <c r="ABQ136" s="1"/>
      <c r="ABR136" s="1"/>
      <c r="ABS136" s="1"/>
      <c r="ABT136" s="1"/>
      <c r="ABU136" s="1"/>
      <c r="ABV136" s="1"/>
      <c r="ABW136" s="1"/>
      <c r="ABX136" s="1"/>
      <c r="ABY136" s="1"/>
      <c r="ABZ136" s="1"/>
      <c r="ACA136" s="1"/>
      <c r="ACB136" s="1"/>
      <c r="ACC136" s="1"/>
      <c r="ACD136" s="1"/>
      <c r="ACE136" s="1"/>
      <c r="ACF136" s="1"/>
      <c r="ACG136" s="1"/>
      <c r="ACH136" s="1"/>
      <c r="ACI136" s="1"/>
      <c r="ACJ136" s="1"/>
      <c r="ACK136" s="1"/>
      <c r="ACL136" s="1"/>
      <c r="ACM136" s="1"/>
      <c r="ACN136" s="1"/>
      <c r="ACO136" s="1"/>
      <c r="ACP136" s="1"/>
      <c r="ACQ136" s="1"/>
      <c r="ACR136" s="1"/>
      <c r="ACS136" s="1"/>
      <c r="ACT136" s="1"/>
      <c r="ACU136" s="1"/>
      <c r="ACV136" s="1"/>
      <c r="ACW136" s="1"/>
      <c r="ACX136" s="1"/>
      <c r="ACY136" s="1"/>
      <c r="ACZ136" s="1"/>
      <c r="ADA136" s="1"/>
      <c r="ADB136" s="1"/>
      <c r="ADC136" s="1"/>
      <c r="ADD136" s="1"/>
      <c r="ADE136" s="1"/>
      <c r="ADF136" s="1"/>
      <c r="ADG136" s="1"/>
      <c r="ADH136" s="1"/>
      <c r="ADI136" s="1"/>
      <c r="ADJ136" s="1"/>
      <c r="ADK136" s="1"/>
      <c r="ADL136" s="1"/>
      <c r="ADM136" s="1"/>
      <c r="ADN136" s="1"/>
      <c r="ADO136" s="1"/>
      <c r="ADP136" s="1"/>
      <c r="ADQ136" s="1"/>
      <c r="ADR136" s="1"/>
      <c r="ADS136" s="1"/>
      <c r="ADT136" s="1"/>
      <c r="ADU136" s="1"/>
      <c r="ADV136" s="1"/>
      <c r="ADW136" s="1"/>
      <c r="ADX136" s="1"/>
      <c r="ADY136" s="1"/>
      <c r="ADZ136" s="1"/>
      <c r="AEA136" s="1"/>
      <c r="AEB136" s="1"/>
      <c r="AEC136" s="1"/>
      <c r="AED136" s="1"/>
      <c r="AEE136" s="1"/>
      <c r="AEF136" s="1"/>
      <c r="AEG136" s="1"/>
      <c r="AEH136" s="1"/>
      <c r="AEI136" s="1"/>
      <c r="AEJ136" s="1"/>
      <c r="AEK136" s="1"/>
      <c r="AEL136" s="1"/>
      <c r="AEM136" s="1"/>
      <c r="AEN136" s="1"/>
      <c r="AEO136" s="1"/>
      <c r="AEP136" s="1"/>
      <c r="AEQ136" s="1"/>
      <c r="AER136" s="1"/>
      <c r="AES136" s="1"/>
      <c r="AET136" s="1"/>
      <c r="AEU136" s="1"/>
      <c r="AEV136" s="1"/>
      <c r="AEW136" s="1"/>
      <c r="AEX136" s="1"/>
      <c r="AEY136" s="1"/>
      <c r="AEZ136" s="1"/>
      <c r="AFA136" s="1"/>
      <c r="AFB136" s="1"/>
      <c r="AFC136" s="1"/>
      <c r="AFD136" s="1"/>
      <c r="AFE136" s="1"/>
      <c r="AFF136" s="1"/>
      <c r="AFG136" s="1"/>
      <c r="AFH136" s="1"/>
      <c r="AFI136" s="1"/>
      <c r="AFJ136" s="1"/>
      <c r="AFK136" s="1"/>
      <c r="AFL136" s="1"/>
      <c r="AFM136" s="1"/>
      <c r="AFN136" s="1"/>
      <c r="AFO136" s="1"/>
      <c r="AFP136" s="1"/>
      <c r="AFQ136" s="1"/>
      <c r="AFR136" s="1"/>
      <c r="AFS136" s="1"/>
      <c r="AFT136" s="1"/>
      <c r="AFU136" s="1"/>
      <c r="AFV136" s="1"/>
      <c r="AFW136" s="1"/>
      <c r="AFX136" s="1"/>
      <c r="AFY136" s="1"/>
      <c r="AFZ136" s="1"/>
      <c r="AGA136" s="1"/>
      <c r="AGB136" s="1"/>
      <c r="AGC136" s="1"/>
      <c r="AGD136" s="1"/>
      <c r="AGE136" s="1"/>
      <c r="AGF136" s="1"/>
      <c r="AGG136" s="1"/>
      <c r="AGH136" s="1"/>
      <c r="AGI136" s="1"/>
      <c r="AGJ136" s="1"/>
      <c r="AGK136" s="1"/>
      <c r="AGL136" s="1"/>
      <c r="AGM136" s="1"/>
      <c r="AGN136" s="1"/>
      <c r="AGO136" s="1"/>
      <c r="AGP136" s="1"/>
      <c r="AGQ136" s="1"/>
      <c r="AGR136" s="1"/>
      <c r="AGS136" s="1"/>
      <c r="AGT136" s="1"/>
      <c r="AGU136" s="1"/>
      <c r="AGV136" s="1"/>
      <c r="AGW136" s="1"/>
      <c r="AGX136" s="1"/>
      <c r="AGY136" s="1"/>
      <c r="AGZ136" s="1"/>
      <c r="AHA136" s="1"/>
      <c r="AHB136" s="1"/>
      <c r="AHC136" s="1"/>
      <c r="AHD136" s="1"/>
      <c r="AHE136" s="1"/>
      <c r="AHF136" s="1"/>
      <c r="AHG136" s="1"/>
      <c r="AHH136" s="1"/>
      <c r="AHI136" s="1"/>
      <c r="AHJ136" s="1"/>
      <c r="AHK136" s="1"/>
      <c r="AHL136" s="1"/>
      <c r="AHM136" s="1"/>
      <c r="AHN136" s="1"/>
      <c r="AHO136" s="1"/>
      <c r="AHP136" s="1"/>
      <c r="AHQ136" s="1"/>
      <c r="AHR136" s="1"/>
      <c r="AHS136" s="1"/>
      <c r="AHT136" s="1"/>
      <c r="AHU136" s="1"/>
      <c r="AHV136" s="1"/>
      <c r="AHW136" s="1"/>
      <c r="AHX136" s="1"/>
      <c r="AHY136" s="1"/>
      <c r="AHZ136" s="1"/>
      <c r="AIA136" s="1"/>
      <c r="AIB136" s="1"/>
      <c r="AIC136" s="1"/>
      <c r="AID136" s="1"/>
      <c r="AIE136" s="1"/>
      <c r="AIF136" s="1"/>
      <c r="AIG136" s="1"/>
      <c r="AIH136" s="1"/>
      <c r="AII136" s="1"/>
      <c r="AIJ136" s="1"/>
      <c r="AIK136" s="1"/>
      <c r="AIL136" s="1"/>
      <c r="AIM136" s="1"/>
      <c r="AIN136" s="1"/>
      <c r="AIO136" s="1"/>
      <c r="AIP136" s="1"/>
      <c r="AIQ136" s="1"/>
      <c r="AIR136" s="1"/>
      <c r="AIS136" s="1"/>
      <c r="AIT136" s="1"/>
      <c r="AIU136" s="1"/>
      <c r="AIV136" s="1"/>
      <c r="AIW136" s="1"/>
      <c r="AIX136" s="1"/>
      <c r="AIY136" s="1"/>
      <c r="AIZ136" s="1"/>
      <c r="AJA136" s="1"/>
      <c r="AJB136" s="1"/>
      <c r="AJC136" s="1"/>
      <c r="AJD136" s="1"/>
      <c r="AJE136" s="1"/>
      <c r="AJF136" s="1"/>
      <c r="AJG136" s="1"/>
      <c r="AJH136" s="1"/>
      <c r="AJI136" s="1"/>
      <c r="AJJ136" s="1"/>
      <c r="AJK136" s="1"/>
      <c r="AJL136" s="1"/>
      <c r="AJM136" s="1"/>
      <c r="AJN136" s="1"/>
      <c r="AJO136" s="1"/>
      <c r="AJP136" s="1"/>
      <c r="AJQ136" s="1"/>
      <c r="AJR136" s="1"/>
      <c r="AJS136" s="1"/>
      <c r="AJT136" s="1"/>
      <c r="AJU136" s="1"/>
      <c r="AJV136" s="1"/>
      <c r="AJW136" s="1"/>
      <c r="AJX136" s="1"/>
      <c r="AJY136" s="1"/>
      <c r="AJZ136" s="1"/>
      <c r="AKA136" s="1"/>
      <c r="AKB136" s="1"/>
      <c r="AKC136" s="1"/>
      <c r="AKD136" s="1"/>
      <c r="AKE136" s="1"/>
      <c r="AKF136" s="1"/>
      <c r="AKG136" s="1"/>
      <c r="AKH136" s="1"/>
      <c r="AKI136" s="1"/>
      <c r="AKJ136" s="1"/>
      <c r="AKK136" s="1"/>
      <c r="AKL136" s="1"/>
      <c r="AKM136" s="1"/>
      <c r="AKN136" s="1"/>
      <c r="AKO136" s="1"/>
      <c r="AKP136" s="1"/>
      <c r="AKQ136" s="1"/>
      <c r="AKR136" s="1"/>
      <c r="AKS136" s="1"/>
      <c r="AKT136" s="1"/>
      <c r="AKU136" s="1"/>
      <c r="AKV136" s="1"/>
      <c r="AKW136" s="1"/>
      <c r="AKX136" s="1"/>
      <c r="AKY136" s="1"/>
      <c r="AKZ136" s="1"/>
      <c r="ALA136" s="1"/>
      <c r="ALB136" s="1"/>
      <c r="ALC136" s="1"/>
      <c r="ALD136" s="1"/>
      <c r="ALE136" s="1"/>
      <c r="ALF136" s="1"/>
      <c r="ALG136" s="1"/>
      <c r="ALH136" s="1"/>
      <c r="ALI136" s="1"/>
      <c r="ALJ136" s="1"/>
      <c r="ALK136" s="1"/>
      <c r="ALL136" s="1"/>
      <c r="ALM136" s="1"/>
      <c r="ALN136" s="1"/>
      <c r="ALO136" s="1"/>
      <c r="ALP136" s="1"/>
      <c r="ALQ136" s="1"/>
      <c r="ALR136" s="1"/>
      <c r="ALS136" s="1"/>
      <c r="ALT136" s="1"/>
      <c r="ALU136" s="1"/>
      <c r="ALV136" s="1"/>
      <c r="ALW136" s="1"/>
      <c r="ALX136" s="1"/>
      <c r="ALY136" s="1"/>
      <c r="ALZ136" s="1"/>
      <c r="AMA136" s="1"/>
      <c r="AMB136" s="1"/>
      <c r="AMC136" s="1"/>
      <c r="AMD136" s="1"/>
      <c r="AME136" s="1"/>
      <c r="AMF136" s="1"/>
      <c r="AMG136" s="1"/>
      <c r="AMH136" s="1"/>
      <c r="AMI136" s="1"/>
      <c r="AMJ136" s="1"/>
      <c r="AMK136" s="1"/>
      <c r="AML136" s="1"/>
      <c r="AMM136" s="1"/>
      <c r="AMN136" s="1"/>
      <c r="AMO136" s="1"/>
    </row>
    <row r="137" spans="1:1030" x14ac:dyDescent="0.2">
      <c r="A137" s="3" t="str">
        <f>CONCATENATE(B137,"_",C137)</f>
        <v>ccr5_human_5UIW</v>
      </c>
      <c r="B137" s="3" t="s">
        <v>173</v>
      </c>
      <c r="C137" s="3" t="s">
        <v>1434</v>
      </c>
      <c r="D137" s="3" t="str">
        <f>IFERROR(MID(VLOOKUP($B137,Seqs!$A:$B,2,0),E137,1),"")</f>
        <v>K</v>
      </c>
      <c r="E137" s="3">
        <v>22</v>
      </c>
      <c r="F137" s="3" t="str">
        <f>IFERROR(MID(VLOOKUP($B137,Seqs!$A:$B,2,0),G137,1),"")</f>
        <v>C</v>
      </c>
      <c r="G137" s="3">
        <v>58</v>
      </c>
      <c r="H137" s="3" t="str">
        <f>IFERROR(MID(VLOOKUP($B137,Seqs!$A:$B,2,0),I137,1),"")</f>
        <v/>
      </c>
      <c r="I137" s="23" t="s">
        <v>23</v>
      </c>
      <c r="J137" s="3" t="str">
        <f>IFERROR(MID(VLOOKUP($B137,Seqs!$A:$B,2,0),K137,1),"")</f>
        <v/>
      </c>
      <c r="K137" s="23" t="s">
        <v>23</v>
      </c>
      <c r="L137" s="3" t="str">
        <f>IFERROR(MID(VLOOKUP($B137,Seqs!$A:$B,2,0),M137,1),"")</f>
        <v>S</v>
      </c>
      <c r="M137" s="3">
        <v>63</v>
      </c>
      <c r="N137" s="3" t="str">
        <f>IFERROR(MID(VLOOKUP($B137,Seqs!$A:$B,2,0),O137,1),"")</f>
        <v>A</v>
      </c>
      <c r="O137" s="3">
        <v>92</v>
      </c>
      <c r="P137" s="3" t="str">
        <f>IFERROR(MID(VLOOKUP($B137,Seqs!$A:$B,2,0),Q137,1),"")</f>
        <v>Q</v>
      </c>
      <c r="Q137" s="3">
        <v>93</v>
      </c>
      <c r="R137" s="3" t="str">
        <f>IFERROR(MID(VLOOKUP($B137,Seqs!$A:$B,2,0),S137,1),"")</f>
        <v>F</v>
      </c>
      <c r="S137" s="3">
        <v>96</v>
      </c>
      <c r="T137" s="3" t="str">
        <f>IFERROR(MID(VLOOKUP($B137,Seqs!$A:$B,2,0),U137,1),"")</f>
        <v>G</v>
      </c>
      <c r="U137" s="3">
        <v>97</v>
      </c>
      <c r="V137" s="3" t="str">
        <f>IFERROR(MID(VLOOKUP($B137,Seqs!$A:$B,2,0),W137,1),"")</f>
        <v>H</v>
      </c>
      <c r="W137" s="3">
        <v>132</v>
      </c>
      <c r="X137" s="3" t="str">
        <f>IFERROR(MID(VLOOKUP($B137,Seqs!$A:$B,2,0),Y137,1),"")</f>
        <v>A</v>
      </c>
      <c r="Y137" s="3">
        <v>133</v>
      </c>
      <c r="Z137" s="3" t="str">
        <f>IFERROR(MID(VLOOKUP($B137,Seqs!$A:$B,2,0),AA137,1),"")</f>
        <v>R</v>
      </c>
      <c r="AA137" s="3">
        <v>140</v>
      </c>
      <c r="AB137" s="3" t="str">
        <f>IFERROR(MID(VLOOKUP($B137,Seqs!$A:$B,2,0),AC137,1),"")</f>
        <v>T</v>
      </c>
      <c r="AC137" s="3">
        <v>141</v>
      </c>
      <c r="AD137" s="3" t="str">
        <f>IFERROR(MID(VLOOKUP($B137,Seqs!$A:$B,2,0),AE137,1),"")</f>
        <v>T</v>
      </c>
      <c r="AE137" s="3">
        <v>167</v>
      </c>
      <c r="AF137" s="3" t="str">
        <f>IFERROR(MID(VLOOKUP($B137,Seqs!$A:$B,2,0),AG137,1),"")</f>
        <v>C</v>
      </c>
      <c r="AG137" s="3">
        <v>178</v>
      </c>
      <c r="AH137" s="3" t="str">
        <f>IFERROR(MID(VLOOKUP($B137,Seqs!$A:$B,2,0),AI137,1),"")</f>
        <v>S</v>
      </c>
      <c r="AI137" s="3">
        <v>180</v>
      </c>
      <c r="AJ137" s="3" t="str">
        <f>IFERROR(MID(VLOOKUP($B137,Seqs!$A:$B,2,0),AK137,1),"")</f>
        <v>Q</v>
      </c>
      <c r="AK137" s="3">
        <v>186</v>
      </c>
      <c r="AL137" s="3" t="str">
        <f>IFERROR(MID(VLOOKUP($B137,Seqs!$A:$B,2,0),AM137,1),"")</f>
        <v>R</v>
      </c>
      <c r="AM137" s="3">
        <v>223</v>
      </c>
      <c r="AN137" s="3" t="str">
        <f>IFERROR(MID(VLOOKUP($B137,Seqs!$A:$B,2,0),AO137,1),"")</f>
        <v>E</v>
      </c>
      <c r="AO137" s="3">
        <v>227</v>
      </c>
      <c r="AP137" s="3" t="str">
        <f>IFERROR(MID(VLOOKUP($B137,Seqs!$A:$B,2,0),AQ137,1),"")</f>
        <v>Q</v>
      </c>
      <c r="AQ137" s="3">
        <v>261</v>
      </c>
      <c r="AR137" s="3" t="str">
        <f>IFERROR(MID(VLOOKUP($B137,Seqs!$A:$B,2,0),AS137,1),"")</f>
        <v>N</v>
      </c>
      <c r="AS137" s="3">
        <v>268</v>
      </c>
      <c r="AT137" s="3" t="str">
        <f>IFERROR(MID(VLOOKUP($B137,Seqs!$A:$B,2,0),AU137,1),"")</f>
        <v>V</v>
      </c>
      <c r="AU137" s="3">
        <v>300</v>
      </c>
      <c r="AV137" s="3" t="str">
        <f>IFERROR(MID(VLOOKUP($B137,Seqs!$A:$B,2,0),AW137,1),"")</f>
        <v>G</v>
      </c>
      <c r="AW137" s="3">
        <v>301</v>
      </c>
      <c r="AX137" s="3" t="str">
        <f>IFERROR(MID(VLOOKUP($B137,Seqs!$A:$B,2,0),AY137,1),"")</f>
        <v>I</v>
      </c>
      <c r="AY137" s="3">
        <v>316</v>
      </c>
      <c r="AZ137" s="77" t="str">
        <f>VLOOKUP(B137,Classification!A:D,2,0)</f>
        <v>A</v>
      </c>
      <c r="BA137" s="94" t="str">
        <f>VLOOKUP(B137,Classification!A:D,4,0)</f>
        <v>Chemokine</v>
      </c>
      <c r="BB137" s="27" t="b">
        <f>AND(E137&lt;G137,OR(G137&lt;I137,I137="-"),OR(I137&lt;K137,I137="-"),OR(K137&lt;M137,K137="-"),M137&lt;O137,OR(O137&lt;Q137,Q137="-"),OR(Q137&lt;S137,Q137="-"),OR(S137&lt;U137,S137="-"),U137&lt;W137,OR(W137&lt;Y137,Y137="-"),OR(Y137&lt;AA137,Y137="-"),OR(AA137&lt;AC137,AA137="-"),AC137&lt;AE137,OR(AE137&lt;AG137,AG137="-"),OR(AG137&lt;AI137,AG137="-"),OR(AI137&lt;AK137,AI137="-"),AK137&lt;AM137,AM137&lt;AO137,AO137&lt;AQ137,AQ137&lt;AS137,AS137&lt;AU137,OR(AU137&lt;AW137,AW137="-"),OR(AW137&lt;AY137,AW137="-"))</f>
        <v>1</v>
      </c>
      <c r="BC137" s="23">
        <f>_xlfn.AGGREGATE(9,6,CH137:CS137)-_xlfn.AGGREGATE(9,6,BV137:CG137)+12</f>
        <v>268</v>
      </c>
      <c r="BD137" s="2" t="s">
        <v>1383</v>
      </c>
      <c r="BE137" s="3" t="s">
        <v>1381</v>
      </c>
      <c r="BF137" s="119">
        <v>2.2000000000000002</v>
      </c>
      <c r="BG137" s="49" t="s">
        <v>1384</v>
      </c>
      <c r="BH137" s="49" t="s">
        <v>1384</v>
      </c>
      <c r="BI137" s="1"/>
      <c r="BJ137" s="70" t="s">
        <v>1293</v>
      </c>
      <c r="BK137" s="57" t="s">
        <v>1293</v>
      </c>
      <c r="BL137" s="57" t="s">
        <v>1293</v>
      </c>
      <c r="BM137" s="57" t="s">
        <v>1293</v>
      </c>
      <c r="BN137" s="57" t="s">
        <v>1293</v>
      </c>
      <c r="BO137" s="57" t="s">
        <v>1293</v>
      </c>
      <c r="BP137" s="57" t="s">
        <v>1293</v>
      </c>
      <c r="BQ137" s="57" t="s">
        <v>1293</v>
      </c>
      <c r="BR137" s="57" t="s">
        <v>1293</v>
      </c>
      <c r="BS137" s="57" t="s">
        <v>1293</v>
      </c>
      <c r="BT137" s="57" t="s">
        <v>1293</v>
      </c>
      <c r="BU137" s="57" t="s">
        <v>1293</v>
      </c>
      <c r="BV137" s="70">
        <f>E137</f>
        <v>22</v>
      </c>
      <c r="BW137" s="71" t="str">
        <f>I137</f>
        <v>-</v>
      </c>
      <c r="BX137" s="72">
        <f>M137</f>
        <v>63</v>
      </c>
      <c r="BY137" s="71">
        <f>Q137</f>
        <v>93</v>
      </c>
      <c r="BZ137" s="72">
        <f>U137</f>
        <v>97</v>
      </c>
      <c r="CA137" s="71">
        <f>Y137</f>
        <v>133</v>
      </c>
      <c r="CB137" s="72">
        <f>AC137</f>
        <v>141</v>
      </c>
      <c r="CC137" s="71">
        <f>AG137</f>
        <v>178</v>
      </c>
      <c r="CD137" s="72">
        <f>AK137</f>
        <v>186</v>
      </c>
      <c r="CE137" s="71">
        <f>AO137</f>
        <v>227</v>
      </c>
      <c r="CF137" s="72">
        <f>AS137</f>
        <v>268</v>
      </c>
      <c r="CG137" s="71">
        <f>AW137</f>
        <v>301</v>
      </c>
      <c r="CH137" s="70">
        <f>G137</f>
        <v>58</v>
      </c>
      <c r="CI137" s="71" t="str">
        <f>K137</f>
        <v>-</v>
      </c>
      <c r="CJ137" s="72">
        <f>O137</f>
        <v>92</v>
      </c>
      <c r="CK137" s="72">
        <f>S137</f>
        <v>96</v>
      </c>
      <c r="CL137" s="72">
        <f>W137</f>
        <v>132</v>
      </c>
      <c r="CM137" s="72">
        <f>AA137</f>
        <v>140</v>
      </c>
      <c r="CN137" s="72">
        <f>AE137</f>
        <v>167</v>
      </c>
      <c r="CO137" s="72">
        <f>AI137</f>
        <v>180</v>
      </c>
      <c r="CP137" s="72">
        <f>AM137</f>
        <v>223</v>
      </c>
      <c r="CQ137" s="72">
        <f>AQ137</f>
        <v>261</v>
      </c>
      <c r="CR137" s="72">
        <f>AU137</f>
        <v>300</v>
      </c>
      <c r="CS137" s="72">
        <f>AY137</f>
        <v>316</v>
      </c>
      <c r="CT137" s="23" t="e">
        <f>M137-K137</f>
        <v>#VALUE!</v>
      </c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  <c r="OK137" s="1"/>
      <c r="OL137" s="1"/>
      <c r="OM137" s="1"/>
      <c r="ON137" s="1"/>
      <c r="OO137" s="1"/>
      <c r="OP137" s="1"/>
      <c r="OQ137" s="1"/>
      <c r="OR137" s="1"/>
      <c r="OS137" s="1"/>
      <c r="OT137" s="1"/>
      <c r="OU137" s="1"/>
      <c r="OV137" s="1"/>
      <c r="OW137" s="1"/>
      <c r="OX137" s="1"/>
      <c r="OY137" s="1"/>
      <c r="OZ137" s="1"/>
      <c r="PA137" s="1"/>
      <c r="PB137" s="1"/>
      <c r="PC137" s="1"/>
      <c r="PD137" s="1"/>
      <c r="PE137" s="1"/>
      <c r="PF137" s="1"/>
      <c r="PG137" s="1"/>
      <c r="PH137" s="1"/>
      <c r="PI137" s="1"/>
      <c r="PJ137" s="1"/>
      <c r="PK137" s="1"/>
      <c r="PL137" s="1"/>
      <c r="PM137" s="1"/>
      <c r="PN137" s="1"/>
      <c r="PO137" s="1"/>
      <c r="PP137" s="1"/>
      <c r="PQ137" s="1"/>
      <c r="PR137" s="1"/>
      <c r="PS137" s="1"/>
      <c r="PT137" s="1"/>
      <c r="PU137" s="1"/>
      <c r="PV137" s="1"/>
      <c r="PW137" s="1"/>
      <c r="PX137" s="1"/>
      <c r="PY137" s="1"/>
      <c r="PZ137" s="1"/>
      <c r="QA137" s="1"/>
      <c r="QB137" s="1"/>
      <c r="QC137" s="1"/>
      <c r="QD137" s="1"/>
      <c r="QE137" s="1"/>
      <c r="QF137" s="1"/>
      <c r="QG137" s="1"/>
      <c r="QH137" s="1"/>
      <c r="QI137" s="1"/>
      <c r="QJ137" s="1"/>
      <c r="QK137" s="1"/>
      <c r="QL137" s="1"/>
      <c r="QM137" s="1"/>
      <c r="QN137" s="1"/>
      <c r="QO137" s="1"/>
      <c r="QP137" s="1"/>
      <c r="QQ137" s="1"/>
      <c r="QR137" s="1"/>
      <c r="QS137" s="1"/>
      <c r="QT137" s="1"/>
      <c r="QU137" s="1"/>
      <c r="QV137" s="1"/>
      <c r="QW137" s="1"/>
      <c r="QX137" s="1"/>
      <c r="QY137" s="1"/>
      <c r="QZ137" s="1"/>
      <c r="RA137" s="1"/>
      <c r="RB137" s="1"/>
      <c r="RC137" s="1"/>
      <c r="RD137" s="1"/>
      <c r="RE137" s="1"/>
      <c r="RF137" s="1"/>
      <c r="RG137" s="1"/>
      <c r="RH137" s="1"/>
      <c r="RI137" s="1"/>
      <c r="RJ137" s="1"/>
      <c r="RK137" s="1"/>
      <c r="RL137" s="1"/>
      <c r="RM137" s="1"/>
      <c r="RN137" s="1"/>
      <c r="RO137" s="1"/>
      <c r="RP137" s="1"/>
      <c r="RQ137" s="1"/>
      <c r="RR137" s="1"/>
      <c r="RS137" s="1"/>
      <c r="RT137" s="1"/>
      <c r="RU137" s="1"/>
      <c r="RV137" s="1"/>
      <c r="RW137" s="1"/>
      <c r="RX137" s="1"/>
      <c r="RY137" s="1"/>
      <c r="RZ137" s="1"/>
      <c r="SA137" s="1"/>
      <c r="SB137" s="1"/>
      <c r="SC137" s="1"/>
      <c r="SD137" s="1"/>
      <c r="SE137" s="1"/>
      <c r="SF137" s="1"/>
      <c r="SG137" s="1"/>
      <c r="SH137" s="1"/>
      <c r="SI137" s="1"/>
      <c r="SJ137" s="1"/>
      <c r="SK137" s="1"/>
      <c r="SL137" s="1"/>
      <c r="SM137" s="1"/>
      <c r="SN137" s="1"/>
      <c r="SO137" s="1"/>
      <c r="SP137" s="1"/>
      <c r="SQ137" s="1"/>
      <c r="SR137" s="1"/>
      <c r="SS137" s="1"/>
      <c r="ST137" s="1"/>
      <c r="SU137" s="1"/>
      <c r="SV137" s="1"/>
      <c r="SW137" s="1"/>
      <c r="SX137" s="1"/>
      <c r="SY137" s="1"/>
      <c r="SZ137" s="1"/>
      <c r="TA137" s="1"/>
      <c r="TB137" s="1"/>
      <c r="TC137" s="1"/>
      <c r="TD137" s="1"/>
      <c r="TE137" s="1"/>
      <c r="TF137" s="1"/>
      <c r="TG137" s="1"/>
      <c r="TH137" s="1"/>
      <c r="TI137" s="1"/>
      <c r="TJ137" s="1"/>
      <c r="TK137" s="1"/>
      <c r="TL137" s="1"/>
      <c r="TM137" s="1"/>
      <c r="TN137" s="1"/>
      <c r="TO137" s="1"/>
      <c r="TP137" s="1"/>
      <c r="TQ137" s="1"/>
      <c r="TR137" s="1"/>
      <c r="TS137" s="1"/>
      <c r="TT137" s="1"/>
      <c r="TU137" s="1"/>
      <c r="TV137" s="1"/>
      <c r="TW137" s="1"/>
      <c r="TX137" s="1"/>
      <c r="TY137" s="1"/>
      <c r="TZ137" s="1"/>
      <c r="UA137" s="1"/>
      <c r="UB137" s="1"/>
      <c r="UC137" s="1"/>
      <c r="UD137" s="1"/>
      <c r="UE137" s="1"/>
      <c r="UF137" s="1"/>
      <c r="UG137" s="1"/>
      <c r="UH137" s="1"/>
      <c r="UI137" s="1"/>
      <c r="UJ137" s="1"/>
      <c r="UK137" s="1"/>
      <c r="UL137" s="1"/>
      <c r="UM137" s="1"/>
      <c r="UN137" s="1"/>
      <c r="UO137" s="1"/>
      <c r="UP137" s="1"/>
      <c r="UQ137" s="1"/>
      <c r="UR137" s="1"/>
      <c r="US137" s="1"/>
      <c r="UT137" s="1"/>
      <c r="UU137" s="1"/>
      <c r="UV137" s="1"/>
      <c r="UW137" s="1"/>
      <c r="UX137" s="1"/>
      <c r="UY137" s="1"/>
      <c r="UZ137" s="1"/>
      <c r="VA137" s="1"/>
      <c r="VB137" s="1"/>
      <c r="VC137" s="1"/>
      <c r="VD137" s="1"/>
      <c r="VE137" s="1"/>
      <c r="VF137" s="1"/>
      <c r="VG137" s="1"/>
      <c r="VH137" s="1"/>
      <c r="VI137" s="1"/>
      <c r="VJ137" s="1"/>
      <c r="VK137" s="1"/>
      <c r="VL137" s="1"/>
      <c r="VM137" s="1"/>
      <c r="VN137" s="1"/>
      <c r="VO137" s="1"/>
      <c r="VP137" s="1"/>
      <c r="VQ137" s="1"/>
      <c r="VR137" s="1"/>
      <c r="VS137" s="1"/>
      <c r="VT137" s="1"/>
      <c r="VU137" s="1"/>
      <c r="VV137" s="1"/>
      <c r="VW137" s="1"/>
      <c r="VX137" s="1"/>
      <c r="VY137" s="1"/>
      <c r="VZ137" s="1"/>
      <c r="WA137" s="1"/>
      <c r="WB137" s="1"/>
      <c r="WC137" s="1"/>
      <c r="WD137" s="1"/>
      <c r="WE137" s="1"/>
      <c r="WF137" s="1"/>
      <c r="WG137" s="1"/>
      <c r="WH137" s="1"/>
      <c r="WI137" s="1"/>
      <c r="WJ137" s="1"/>
      <c r="WK137" s="1"/>
      <c r="WL137" s="1"/>
      <c r="WM137" s="1"/>
      <c r="WN137" s="1"/>
      <c r="WO137" s="1"/>
      <c r="WP137" s="1"/>
      <c r="WQ137" s="1"/>
      <c r="WR137" s="1"/>
      <c r="WS137" s="1"/>
      <c r="WT137" s="1"/>
      <c r="WU137" s="1"/>
      <c r="WV137" s="1"/>
      <c r="WW137" s="1"/>
      <c r="WX137" s="1"/>
      <c r="WY137" s="1"/>
      <c r="WZ137" s="1"/>
      <c r="XA137" s="1"/>
      <c r="XB137" s="1"/>
      <c r="XC137" s="1"/>
      <c r="XD137" s="1"/>
      <c r="XE137" s="1"/>
      <c r="XF137" s="1"/>
      <c r="XG137" s="1"/>
      <c r="XH137" s="1"/>
      <c r="XI137" s="1"/>
      <c r="XJ137" s="1"/>
      <c r="XK137" s="1"/>
      <c r="XL137" s="1"/>
      <c r="XM137" s="1"/>
      <c r="XN137" s="1"/>
      <c r="XO137" s="1"/>
      <c r="XP137" s="1"/>
      <c r="XQ137" s="1"/>
      <c r="XR137" s="1"/>
      <c r="XS137" s="1"/>
      <c r="XT137" s="1"/>
      <c r="XU137" s="1"/>
      <c r="XV137" s="1"/>
      <c r="XW137" s="1"/>
      <c r="XX137" s="1"/>
      <c r="XY137" s="1"/>
      <c r="XZ137" s="1"/>
      <c r="YA137" s="1"/>
      <c r="YB137" s="1"/>
      <c r="YC137" s="1"/>
      <c r="YD137" s="1"/>
      <c r="YE137" s="1"/>
      <c r="YF137" s="1"/>
      <c r="YG137" s="1"/>
      <c r="YH137" s="1"/>
      <c r="YI137" s="1"/>
      <c r="YJ137" s="1"/>
      <c r="YK137" s="1"/>
      <c r="YL137" s="1"/>
      <c r="YM137" s="1"/>
      <c r="YN137" s="1"/>
      <c r="YO137" s="1"/>
      <c r="YP137" s="1"/>
      <c r="YQ137" s="1"/>
      <c r="YR137" s="1"/>
      <c r="YS137" s="1"/>
      <c r="YT137" s="1"/>
      <c r="YU137" s="1"/>
      <c r="YV137" s="1"/>
      <c r="YW137" s="1"/>
      <c r="YX137" s="1"/>
      <c r="YY137" s="1"/>
      <c r="YZ137" s="1"/>
      <c r="ZA137" s="1"/>
      <c r="ZB137" s="1"/>
      <c r="ZC137" s="1"/>
      <c r="ZD137" s="1"/>
      <c r="ZE137" s="1"/>
      <c r="ZF137" s="1"/>
      <c r="ZG137" s="1"/>
      <c r="ZH137" s="1"/>
      <c r="ZI137" s="1"/>
      <c r="ZJ137" s="1"/>
      <c r="ZK137" s="1"/>
      <c r="ZL137" s="1"/>
      <c r="ZM137" s="1"/>
      <c r="ZN137" s="1"/>
      <c r="ZO137" s="1"/>
      <c r="ZP137" s="1"/>
      <c r="ZQ137" s="1"/>
      <c r="ZR137" s="1"/>
      <c r="ZS137" s="1"/>
      <c r="ZT137" s="1"/>
      <c r="ZU137" s="1"/>
      <c r="ZV137" s="1"/>
      <c r="ZW137" s="1"/>
      <c r="ZX137" s="1"/>
      <c r="ZY137" s="1"/>
      <c r="ZZ137" s="1"/>
      <c r="AAA137" s="1"/>
      <c r="AAB137" s="1"/>
      <c r="AAC137" s="1"/>
      <c r="AAD137" s="1"/>
      <c r="AAE137" s="1"/>
      <c r="AAF137" s="1"/>
      <c r="AAG137" s="1"/>
      <c r="AAH137" s="1"/>
      <c r="AAI137" s="1"/>
      <c r="AAJ137" s="1"/>
      <c r="AAK137" s="1"/>
      <c r="AAL137" s="1"/>
      <c r="AAM137" s="1"/>
      <c r="AAN137" s="1"/>
      <c r="AAO137" s="1"/>
      <c r="AAP137" s="1"/>
      <c r="AAQ137" s="1"/>
      <c r="AAR137" s="1"/>
      <c r="AAS137" s="1"/>
      <c r="AAT137" s="1"/>
      <c r="AAU137" s="1"/>
      <c r="AAV137" s="1"/>
      <c r="AAW137" s="1"/>
      <c r="AAX137" s="1"/>
      <c r="AAY137" s="1"/>
      <c r="AAZ137" s="1"/>
      <c r="ABA137" s="1"/>
      <c r="ABB137" s="1"/>
      <c r="ABC137" s="1"/>
      <c r="ABD137" s="1"/>
      <c r="ABE137" s="1"/>
      <c r="ABF137" s="1"/>
      <c r="ABG137" s="1"/>
      <c r="ABH137" s="1"/>
      <c r="ABI137" s="1"/>
      <c r="ABJ137" s="1"/>
      <c r="ABK137" s="1"/>
      <c r="ABL137" s="1"/>
      <c r="ABM137" s="1"/>
      <c r="ABN137" s="1"/>
      <c r="ABO137" s="1"/>
      <c r="ABP137" s="1"/>
      <c r="ABQ137" s="1"/>
      <c r="ABR137" s="1"/>
      <c r="ABS137" s="1"/>
      <c r="ABT137" s="1"/>
      <c r="ABU137" s="1"/>
      <c r="ABV137" s="1"/>
      <c r="ABW137" s="1"/>
      <c r="ABX137" s="1"/>
      <c r="ABY137" s="1"/>
      <c r="ABZ137" s="1"/>
      <c r="ACA137" s="1"/>
      <c r="ACB137" s="1"/>
      <c r="ACC137" s="1"/>
      <c r="ACD137" s="1"/>
      <c r="ACE137" s="1"/>
      <c r="ACF137" s="1"/>
      <c r="ACG137" s="1"/>
      <c r="ACH137" s="1"/>
      <c r="ACI137" s="1"/>
      <c r="ACJ137" s="1"/>
      <c r="ACK137" s="1"/>
      <c r="ACL137" s="1"/>
      <c r="ACM137" s="1"/>
      <c r="ACN137" s="1"/>
      <c r="ACO137" s="1"/>
      <c r="ACP137" s="1"/>
      <c r="ACQ137" s="1"/>
      <c r="ACR137" s="1"/>
      <c r="ACS137" s="1"/>
      <c r="ACT137" s="1"/>
      <c r="ACU137" s="1"/>
      <c r="ACV137" s="1"/>
      <c r="ACW137" s="1"/>
      <c r="ACX137" s="1"/>
      <c r="ACY137" s="1"/>
      <c r="ACZ137" s="1"/>
      <c r="ADA137" s="1"/>
      <c r="ADB137" s="1"/>
      <c r="ADC137" s="1"/>
      <c r="ADD137" s="1"/>
      <c r="ADE137" s="1"/>
      <c r="ADF137" s="1"/>
      <c r="ADG137" s="1"/>
      <c r="ADH137" s="1"/>
      <c r="ADI137" s="1"/>
      <c r="ADJ137" s="1"/>
      <c r="ADK137" s="1"/>
      <c r="ADL137" s="1"/>
      <c r="ADM137" s="1"/>
      <c r="ADN137" s="1"/>
      <c r="ADO137" s="1"/>
      <c r="ADP137" s="1"/>
      <c r="ADQ137" s="1"/>
      <c r="ADR137" s="1"/>
      <c r="ADS137" s="1"/>
      <c r="ADT137" s="1"/>
      <c r="ADU137" s="1"/>
      <c r="ADV137" s="1"/>
      <c r="ADW137" s="1"/>
      <c r="ADX137" s="1"/>
      <c r="ADY137" s="1"/>
      <c r="ADZ137" s="1"/>
      <c r="AEA137" s="1"/>
      <c r="AEB137" s="1"/>
      <c r="AEC137" s="1"/>
      <c r="AED137" s="1"/>
      <c r="AEE137" s="1"/>
      <c r="AEF137" s="1"/>
      <c r="AEG137" s="1"/>
      <c r="AEH137" s="1"/>
      <c r="AEI137" s="1"/>
      <c r="AEJ137" s="1"/>
      <c r="AEK137" s="1"/>
      <c r="AEL137" s="1"/>
      <c r="AEM137" s="1"/>
      <c r="AEN137" s="1"/>
      <c r="AEO137" s="1"/>
      <c r="AEP137" s="1"/>
      <c r="AEQ137" s="1"/>
      <c r="AER137" s="1"/>
      <c r="AES137" s="1"/>
      <c r="AET137" s="1"/>
      <c r="AEU137" s="1"/>
      <c r="AEV137" s="1"/>
      <c r="AEW137" s="1"/>
      <c r="AEX137" s="1"/>
      <c r="AEY137" s="1"/>
      <c r="AEZ137" s="1"/>
      <c r="AFA137" s="1"/>
      <c r="AFB137" s="1"/>
      <c r="AFC137" s="1"/>
      <c r="AFD137" s="1"/>
      <c r="AFE137" s="1"/>
      <c r="AFF137" s="1"/>
      <c r="AFG137" s="1"/>
      <c r="AFH137" s="1"/>
      <c r="AFI137" s="1"/>
      <c r="AFJ137" s="1"/>
      <c r="AFK137" s="1"/>
      <c r="AFL137" s="1"/>
      <c r="AFM137" s="1"/>
      <c r="AFN137" s="1"/>
      <c r="AFO137" s="1"/>
      <c r="AFP137" s="1"/>
      <c r="AFQ137" s="1"/>
      <c r="AFR137" s="1"/>
      <c r="AFS137" s="1"/>
      <c r="AFT137" s="1"/>
      <c r="AFU137" s="1"/>
      <c r="AFV137" s="1"/>
      <c r="AFW137" s="1"/>
      <c r="AFX137" s="1"/>
      <c r="AFY137" s="1"/>
      <c r="AFZ137" s="1"/>
      <c r="AGA137" s="1"/>
      <c r="AGB137" s="1"/>
      <c r="AGC137" s="1"/>
      <c r="AGD137" s="1"/>
      <c r="AGE137" s="1"/>
      <c r="AGF137" s="1"/>
      <c r="AGG137" s="1"/>
      <c r="AGH137" s="1"/>
      <c r="AGI137" s="1"/>
      <c r="AGJ137" s="1"/>
      <c r="AGK137" s="1"/>
      <c r="AGL137" s="1"/>
      <c r="AGM137" s="1"/>
      <c r="AGN137" s="1"/>
      <c r="AGO137" s="1"/>
      <c r="AGP137" s="1"/>
      <c r="AGQ137" s="1"/>
      <c r="AGR137" s="1"/>
      <c r="AGS137" s="1"/>
      <c r="AGT137" s="1"/>
      <c r="AGU137" s="1"/>
      <c r="AGV137" s="1"/>
      <c r="AGW137" s="1"/>
      <c r="AGX137" s="1"/>
      <c r="AGY137" s="1"/>
      <c r="AGZ137" s="1"/>
      <c r="AHA137" s="1"/>
      <c r="AHB137" s="1"/>
      <c r="AHC137" s="1"/>
      <c r="AHD137" s="1"/>
      <c r="AHE137" s="1"/>
      <c r="AHF137" s="1"/>
      <c r="AHG137" s="1"/>
      <c r="AHH137" s="1"/>
      <c r="AHI137" s="1"/>
      <c r="AHJ137" s="1"/>
      <c r="AHK137" s="1"/>
      <c r="AHL137" s="1"/>
      <c r="AHM137" s="1"/>
      <c r="AHN137" s="1"/>
      <c r="AHO137" s="1"/>
      <c r="AHP137" s="1"/>
      <c r="AHQ137" s="1"/>
      <c r="AHR137" s="1"/>
      <c r="AHS137" s="1"/>
      <c r="AHT137" s="1"/>
      <c r="AHU137" s="1"/>
      <c r="AHV137" s="1"/>
      <c r="AHW137" s="1"/>
      <c r="AHX137" s="1"/>
      <c r="AHY137" s="1"/>
      <c r="AHZ137" s="1"/>
      <c r="AIA137" s="1"/>
      <c r="AIB137" s="1"/>
      <c r="AIC137" s="1"/>
      <c r="AID137" s="1"/>
      <c r="AIE137" s="1"/>
      <c r="AIF137" s="1"/>
      <c r="AIG137" s="1"/>
      <c r="AIH137" s="1"/>
      <c r="AII137" s="1"/>
      <c r="AIJ137" s="1"/>
      <c r="AIK137" s="1"/>
      <c r="AIL137" s="1"/>
      <c r="AIM137" s="1"/>
      <c r="AIN137" s="1"/>
      <c r="AIO137" s="1"/>
      <c r="AIP137" s="1"/>
      <c r="AIQ137" s="1"/>
      <c r="AIR137" s="1"/>
      <c r="AIS137" s="1"/>
      <c r="AIT137" s="1"/>
      <c r="AIU137" s="1"/>
      <c r="AIV137" s="1"/>
      <c r="AIW137" s="1"/>
      <c r="AIX137" s="1"/>
      <c r="AIY137" s="1"/>
      <c r="AIZ137" s="1"/>
      <c r="AJA137" s="1"/>
      <c r="AJB137" s="1"/>
      <c r="AJC137" s="1"/>
      <c r="AJD137" s="1"/>
      <c r="AJE137" s="1"/>
      <c r="AJF137" s="1"/>
      <c r="AJG137" s="1"/>
      <c r="AJH137" s="1"/>
      <c r="AJI137" s="1"/>
      <c r="AJJ137" s="1"/>
      <c r="AJK137" s="1"/>
      <c r="AJL137" s="1"/>
      <c r="AJM137" s="1"/>
      <c r="AJN137" s="1"/>
      <c r="AJO137" s="1"/>
      <c r="AJP137" s="1"/>
      <c r="AJQ137" s="1"/>
      <c r="AJR137" s="1"/>
      <c r="AJS137" s="1"/>
      <c r="AJT137" s="1"/>
      <c r="AJU137" s="1"/>
      <c r="AJV137" s="1"/>
      <c r="AJW137" s="1"/>
      <c r="AJX137" s="1"/>
      <c r="AJY137" s="1"/>
      <c r="AJZ137" s="1"/>
      <c r="AKA137" s="1"/>
      <c r="AKB137" s="1"/>
      <c r="AKC137" s="1"/>
      <c r="AKD137" s="1"/>
      <c r="AKE137" s="1"/>
      <c r="AKF137" s="1"/>
      <c r="AKG137" s="1"/>
      <c r="AKH137" s="1"/>
      <c r="AKI137" s="1"/>
      <c r="AKJ137" s="1"/>
      <c r="AKK137" s="1"/>
      <c r="AKL137" s="1"/>
      <c r="AKM137" s="1"/>
      <c r="AKN137" s="1"/>
      <c r="AKO137" s="1"/>
      <c r="AKP137" s="1"/>
      <c r="AKQ137" s="1"/>
      <c r="AKR137" s="1"/>
      <c r="AKS137" s="1"/>
      <c r="AKT137" s="1"/>
      <c r="AKU137" s="1"/>
      <c r="AKV137" s="1"/>
      <c r="AKW137" s="1"/>
      <c r="AKX137" s="1"/>
      <c r="AKY137" s="1"/>
      <c r="AKZ137" s="1"/>
      <c r="ALA137" s="1"/>
      <c r="ALB137" s="1"/>
      <c r="ALC137" s="1"/>
      <c r="ALD137" s="1"/>
      <c r="ALE137" s="1"/>
      <c r="ALF137" s="1"/>
      <c r="ALG137" s="1"/>
      <c r="ALH137" s="1"/>
      <c r="ALI137" s="1"/>
      <c r="ALJ137" s="1"/>
      <c r="ALK137" s="1"/>
      <c r="ALL137" s="1"/>
      <c r="ALM137" s="1"/>
      <c r="ALN137" s="1"/>
      <c r="ALO137" s="1"/>
      <c r="ALP137" s="1"/>
      <c r="ALQ137" s="1"/>
      <c r="ALR137" s="1"/>
      <c r="ALS137" s="1"/>
      <c r="ALT137" s="1"/>
      <c r="ALU137" s="1"/>
      <c r="ALV137" s="1"/>
      <c r="ALW137" s="1"/>
      <c r="ALX137" s="1"/>
      <c r="ALY137" s="1"/>
      <c r="ALZ137" s="1"/>
      <c r="AMA137" s="1"/>
      <c r="AMB137" s="1"/>
      <c r="AMC137" s="1"/>
      <c r="AMD137" s="1"/>
      <c r="AME137" s="1"/>
      <c r="AMF137" s="1"/>
      <c r="AMG137" s="1"/>
      <c r="AMH137" s="1"/>
      <c r="AMI137" s="1"/>
      <c r="AMJ137" s="1"/>
      <c r="AMK137" s="1"/>
      <c r="AML137" s="1"/>
      <c r="AMM137" s="1"/>
      <c r="AMN137" s="1"/>
      <c r="AMO137" s="1"/>
    </row>
    <row r="138" spans="1:1030" s="12" customFormat="1" x14ac:dyDescent="0.2">
      <c r="A138" s="9" t="str">
        <f>CONCATENATE(B138,"_",C138)</f>
        <v>ccr5_human_6AKX</v>
      </c>
      <c r="B138" s="9" t="s">
        <v>173</v>
      </c>
      <c r="C138" s="9" t="s">
        <v>1545</v>
      </c>
      <c r="D138" s="9" t="str">
        <f>IFERROR(MID(VLOOKUP($B138,Seqs!$A:$B,2,0),E138,1),"")</f>
        <v>V</v>
      </c>
      <c r="E138" s="9">
        <v>25</v>
      </c>
      <c r="F138" s="9" t="str">
        <f>IFERROR(MID(VLOOKUP($B138,Seqs!$A:$B,2,0),G138,1),"")</f>
        <v>C</v>
      </c>
      <c r="G138" s="9">
        <v>58</v>
      </c>
      <c r="H138" s="9" t="str">
        <f>IFERROR(MID(VLOOKUP($B138,Seqs!$A:$B,2,0),I138,1),"")</f>
        <v/>
      </c>
      <c r="I138" s="109" t="s">
        <v>23</v>
      </c>
      <c r="J138" s="9" t="str">
        <f>IFERROR(MID(VLOOKUP($B138,Seqs!$A:$B,2,0),K138,1),"")</f>
        <v/>
      </c>
      <c r="K138" s="109" t="s">
        <v>23</v>
      </c>
      <c r="L138" s="9" t="str">
        <f>IFERROR(MID(VLOOKUP($B138,Seqs!$A:$B,2,0),M138,1),"")</f>
        <v>S</v>
      </c>
      <c r="M138" s="9">
        <v>63</v>
      </c>
      <c r="N138" s="9" t="str">
        <f>IFERROR(MID(VLOOKUP($B138,Seqs!$A:$B,2,0),O138,1),"")</f>
        <v>A</v>
      </c>
      <c r="O138" s="9">
        <v>92</v>
      </c>
      <c r="P138" s="9" t="str">
        <f>IFERROR(MID(VLOOKUP($B138,Seqs!$A:$B,2,0),Q138,1),"")</f>
        <v>Q</v>
      </c>
      <c r="Q138" s="9">
        <v>93</v>
      </c>
      <c r="R138" s="9" t="str">
        <f>IFERROR(MID(VLOOKUP($B138,Seqs!$A:$B,2,0),S138,1),"")</f>
        <v>F</v>
      </c>
      <c r="S138" s="9">
        <v>96</v>
      </c>
      <c r="T138" s="9" t="str">
        <f>IFERROR(MID(VLOOKUP($B138,Seqs!$A:$B,2,0),U138,1),"")</f>
        <v>G</v>
      </c>
      <c r="U138" s="9">
        <v>97</v>
      </c>
      <c r="V138" s="9" t="str">
        <f>IFERROR(MID(VLOOKUP($B138,Seqs!$A:$B,2,0),W138,1),"")</f>
        <v>H</v>
      </c>
      <c r="W138" s="9">
        <v>132</v>
      </c>
      <c r="X138" s="9" t="str">
        <f>IFERROR(MID(VLOOKUP($B138,Seqs!$A:$B,2,0),Y138,1),"")</f>
        <v>A</v>
      </c>
      <c r="Y138" s="9">
        <v>133</v>
      </c>
      <c r="Z138" s="9" t="str">
        <f>IFERROR(MID(VLOOKUP($B138,Seqs!$A:$B,2,0),AA138,1),"")</f>
        <v>R</v>
      </c>
      <c r="AA138" s="9">
        <v>140</v>
      </c>
      <c r="AB138" s="9" t="str">
        <f>IFERROR(MID(VLOOKUP($B138,Seqs!$A:$B,2,0),AC138,1),"")</f>
        <v>T</v>
      </c>
      <c r="AC138" s="9">
        <v>141</v>
      </c>
      <c r="AD138" s="9" t="str">
        <f>IFERROR(MID(VLOOKUP($B138,Seqs!$A:$B,2,0),AE138,1),"")</f>
        <v>T</v>
      </c>
      <c r="AE138" s="9">
        <v>167</v>
      </c>
      <c r="AF138" s="9" t="str">
        <f>IFERROR(MID(VLOOKUP($B138,Seqs!$A:$B,2,0),AG138,1),"")</f>
        <v>C</v>
      </c>
      <c r="AG138" s="9">
        <v>178</v>
      </c>
      <c r="AH138" s="9" t="str">
        <f>IFERROR(MID(VLOOKUP($B138,Seqs!$A:$B,2,0),AI138,1),"")</f>
        <v>S</v>
      </c>
      <c r="AI138" s="9">
        <v>180</v>
      </c>
      <c r="AJ138" s="9" t="str">
        <f>IFERROR(MID(VLOOKUP($B138,Seqs!$A:$B,2,0),AK138,1),"")</f>
        <v>Q</v>
      </c>
      <c r="AK138" s="9">
        <v>186</v>
      </c>
      <c r="AL138" s="9" t="str">
        <f>IFERROR(MID(VLOOKUP($B138,Seqs!$A:$B,2,0),AM138,1),"")</f>
        <v>R</v>
      </c>
      <c r="AM138" s="9">
        <v>223</v>
      </c>
      <c r="AN138" s="9" t="str">
        <f>IFERROR(MID(VLOOKUP($B138,Seqs!$A:$B,2,0),AO138,1),"")</f>
        <v>K</v>
      </c>
      <c r="AO138" s="9">
        <v>228</v>
      </c>
      <c r="AP138" s="9" t="str">
        <f>IFERROR(MID(VLOOKUP($B138,Seqs!$A:$B,2,0),AQ138,1),"")</f>
        <v>G</v>
      </c>
      <c r="AQ138" s="9">
        <v>265</v>
      </c>
      <c r="AR138" s="9" t="str">
        <f>IFERROR(MID(VLOOKUP($B138,Seqs!$A:$B,2,0),AS138,1),"")</f>
        <v>N</v>
      </c>
      <c r="AS138" s="9">
        <v>268</v>
      </c>
      <c r="AT138" s="9" t="str">
        <f>IFERROR(MID(VLOOKUP($B138,Seqs!$A:$B,2,0),AU138,1),"")</f>
        <v>V</v>
      </c>
      <c r="AU138" s="9">
        <v>300</v>
      </c>
      <c r="AV138" s="9" t="str">
        <f>IFERROR(MID(VLOOKUP($B138,Seqs!$A:$B,2,0),AW138,1),"")</f>
        <v>G</v>
      </c>
      <c r="AW138" s="9">
        <v>301</v>
      </c>
      <c r="AX138" s="9" t="str">
        <f>IFERROR(MID(VLOOKUP($B138,Seqs!$A:$B,2,0),AY138,1),"")</f>
        <v>Q</v>
      </c>
      <c r="AY138" s="9">
        <v>313</v>
      </c>
      <c r="AZ138" s="110" t="str">
        <f>VLOOKUP(B138,Classification!A:D,2,0)</f>
        <v>A</v>
      </c>
      <c r="BA138" s="98" t="str">
        <f>VLOOKUP(B138,Classification!A:D,4,0)</f>
        <v>Chemokine</v>
      </c>
      <c r="BB138" s="36" t="b">
        <f>AND(E138&lt;G138,OR(G138&lt;I138,I138="-"),OR(I138&lt;K138,I138="-"),OR(K138&lt;M138,K138="-"),M138&lt;O138,OR(O138&lt;Q138,Q138="-"),OR(Q138&lt;S138,Q138="-"),OR(S138&lt;U138,S138="-"),U138&lt;W138,OR(W138&lt;Y138,Y138="-"),OR(Y138&lt;AA138,Y138="-"),OR(AA138&lt;AC138,AA138="-"),AC138&lt;AE138,OR(AE138&lt;AG138,AG138="-"),OR(AG138&lt;AI138,AG138="-"),OR(AI138&lt;AK138,AI138="-"),AK138&lt;AM138,AM138&lt;AO138,AO138&lt;AQ138,AQ138&lt;AS138,AS138&lt;AU138,OR(AU138&lt;AW138,AW138="-"),OR(AW138&lt;AY138,AW138="-"))</f>
        <v>1</v>
      </c>
      <c r="BC138" s="109">
        <f>_xlfn.AGGREGATE(9,6,CH138:CS138)-_xlfn.AGGREGATE(9,6,BV138:CG138)+12</f>
        <v>265</v>
      </c>
      <c r="BD138" s="40" t="s">
        <v>23</v>
      </c>
      <c r="BE138" s="9" t="s">
        <v>1381</v>
      </c>
      <c r="BF138" s="120">
        <v>2.8</v>
      </c>
      <c r="BG138" s="51" t="s">
        <v>1287</v>
      </c>
      <c r="BH138" s="51" t="s">
        <v>1287</v>
      </c>
      <c r="BJ138" s="111" t="s">
        <v>1293</v>
      </c>
      <c r="BK138" s="112" t="s">
        <v>1293</v>
      </c>
      <c r="BL138" s="112" t="s">
        <v>1293</v>
      </c>
      <c r="BM138" s="112" t="s">
        <v>1293</v>
      </c>
      <c r="BN138" s="112" t="s">
        <v>1293</v>
      </c>
      <c r="BO138" s="112" t="s">
        <v>1293</v>
      </c>
      <c r="BP138" s="112" t="s">
        <v>1293</v>
      </c>
      <c r="BQ138" s="112" t="s">
        <v>1293</v>
      </c>
      <c r="BR138" s="112" t="s">
        <v>1293</v>
      </c>
      <c r="BS138" s="112" t="s">
        <v>1293</v>
      </c>
      <c r="BT138" s="112" t="s">
        <v>1293</v>
      </c>
      <c r="BU138" s="112" t="s">
        <v>1293</v>
      </c>
      <c r="BV138" s="111">
        <f>E138</f>
        <v>25</v>
      </c>
      <c r="BW138" s="113" t="str">
        <f>I138</f>
        <v>-</v>
      </c>
      <c r="BX138" s="114">
        <f>M138</f>
        <v>63</v>
      </c>
      <c r="BY138" s="113">
        <f>Q138</f>
        <v>93</v>
      </c>
      <c r="BZ138" s="114">
        <f>U138</f>
        <v>97</v>
      </c>
      <c r="CA138" s="113">
        <f>Y138</f>
        <v>133</v>
      </c>
      <c r="CB138" s="114">
        <f>AC138</f>
        <v>141</v>
      </c>
      <c r="CC138" s="113">
        <f>AG138</f>
        <v>178</v>
      </c>
      <c r="CD138" s="114">
        <f>AK138</f>
        <v>186</v>
      </c>
      <c r="CE138" s="113">
        <f>AO138</f>
        <v>228</v>
      </c>
      <c r="CF138" s="114">
        <f>AS138</f>
        <v>268</v>
      </c>
      <c r="CG138" s="113">
        <f>AW138</f>
        <v>301</v>
      </c>
      <c r="CH138" s="111">
        <f>G138</f>
        <v>58</v>
      </c>
      <c r="CI138" s="113" t="str">
        <f>K138</f>
        <v>-</v>
      </c>
      <c r="CJ138" s="114">
        <f>O138</f>
        <v>92</v>
      </c>
      <c r="CK138" s="114">
        <f>S138</f>
        <v>96</v>
      </c>
      <c r="CL138" s="114">
        <f>W138</f>
        <v>132</v>
      </c>
      <c r="CM138" s="114">
        <f>AA138</f>
        <v>140</v>
      </c>
      <c r="CN138" s="114">
        <f>AE138</f>
        <v>167</v>
      </c>
      <c r="CO138" s="114">
        <f>AI138</f>
        <v>180</v>
      </c>
      <c r="CP138" s="114">
        <f>AM138</f>
        <v>223</v>
      </c>
      <c r="CQ138" s="114">
        <f>AQ138</f>
        <v>265</v>
      </c>
      <c r="CR138" s="114">
        <f>AU138</f>
        <v>300</v>
      </c>
      <c r="CS138" s="114">
        <f>AY138</f>
        <v>313</v>
      </c>
      <c r="CT138" s="109" t="e">
        <f>M138-K138</f>
        <v>#VALUE!</v>
      </c>
    </row>
    <row r="139" spans="1:1030" s="12" customFormat="1" x14ac:dyDescent="0.2">
      <c r="A139" s="9" t="str">
        <f>CONCATENATE(B139,"_",C139)</f>
        <v>ccr5_human_6AKY</v>
      </c>
      <c r="B139" s="9" t="s">
        <v>173</v>
      </c>
      <c r="C139" s="9" t="s">
        <v>1546</v>
      </c>
      <c r="D139" s="9" t="str">
        <f>IFERROR(MID(VLOOKUP($B139,Seqs!$A:$B,2,0),E139,1),"")</f>
        <v>V</v>
      </c>
      <c r="E139" s="9">
        <v>25</v>
      </c>
      <c r="F139" s="9" t="str">
        <f>IFERROR(MID(VLOOKUP($B139,Seqs!$A:$B,2,0),G139,1),"")</f>
        <v>C</v>
      </c>
      <c r="G139" s="9">
        <v>58</v>
      </c>
      <c r="H139" s="9" t="str">
        <f>IFERROR(MID(VLOOKUP($B139,Seqs!$A:$B,2,0),I139,1),"")</f>
        <v/>
      </c>
      <c r="I139" s="109" t="s">
        <v>23</v>
      </c>
      <c r="J139" s="9" t="str">
        <f>IFERROR(MID(VLOOKUP($B139,Seqs!$A:$B,2,0),K139,1),"")</f>
        <v/>
      </c>
      <c r="K139" s="109" t="s">
        <v>23</v>
      </c>
      <c r="L139" s="9" t="str">
        <f>IFERROR(MID(VLOOKUP($B139,Seqs!$A:$B,2,0),M139,1),"")</f>
        <v>S</v>
      </c>
      <c r="M139" s="9">
        <v>63</v>
      </c>
      <c r="N139" s="9" t="str">
        <f>IFERROR(MID(VLOOKUP($B139,Seqs!$A:$B,2,0),O139,1),"")</f>
        <v>A</v>
      </c>
      <c r="O139" s="9">
        <v>92</v>
      </c>
      <c r="P139" s="9" t="str">
        <f>IFERROR(MID(VLOOKUP($B139,Seqs!$A:$B,2,0),Q139,1),"")</f>
        <v>Q</v>
      </c>
      <c r="Q139" s="9">
        <v>93</v>
      </c>
      <c r="R139" s="9" t="str">
        <f>IFERROR(MID(VLOOKUP($B139,Seqs!$A:$B,2,0),S139,1),"")</f>
        <v>F</v>
      </c>
      <c r="S139" s="9">
        <v>96</v>
      </c>
      <c r="T139" s="9" t="str">
        <f>IFERROR(MID(VLOOKUP($B139,Seqs!$A:$B,2,0),U139,1),"")</f>
        <v>G</v>
      </c>
      <c r="U139" s="9">
        <v>97</v>
      </c>
      <c r="V139" s="9" t="str">
        <f>IFERROR(MID(VLOOKUP($B139,Seqs!$A:$B,2,0),W139,1),"")</f>
        <v>H</v>
      </c>
      <c r="W139" s="9">
        <v>132</v>
      </c>
      <c r="X139" s="9" t="str">
        <f>IFERROR(MID(VLOOKUP($B139,Seqs!$A:$B,2,0),Y139,1),"")</f>
        <v>A</v>
      </c>
      <c r="Y139" s="9">
        <v>133</v>
      </c>
      <c r="Z139" s="9" t="str">
        <f>IFERROR(MID(VLOOKUP($B139,Seqs!$A:$B,2,0),AA139,1),"")</f>
        <v>R</v>
      </c>
      <c r="AA139" s="9">
        <v>140</v>
      </c>
      <c r="AB139" s="9" t="str">
        <f>IFERROR(MID(VLOOKUP($B139,Seqs!$A:$B,2,0),AC139,1),"")</f>
        <v>T</v>
      </c>
      <c r="AC139" s="9">
        <v>141</v>
      </c>
      <c r="AD139" s="9" t="str">
        <f>IFERROR(MID(VLOOKUP($B139,Seqs!$A:$B,2,0),AE139,1),"")</f>
        <v>T</v>
      </c>
      <c r="AE139" s="9">
        <v>167</v>
      </c>
      <c r="AF139" s="9" t="str">
        <f>IFERROR(MID(VLOOKUP($B139,Seqs!$A:$B,2,0),AG139,1),"")</f>
        <v>C</v>
      </c>
      <c r="AG139" s="9">
        <v>178</v>
      </c>
      <c r="AH139" s="9" t="str">
        <f>IFERROR(MID(VLOOKUP($B139,Seqs!$A:$B,2,0),AI139,1),"")</f>
        <v>S</v>
      </c>
      <c r="AI139" s="9">
        <v>180</v>
      </c>
      <c r="AJ139" s="9" t="str">
        <f>IFERROR(MID(VLOOKUP($B139,Seqs!$A:$B,2,0),AK139,1),"")</f>
        <v>Q</v>
      </c>
      <c r="AK139" s="9">
        <v>186</v>
      </c>
      <c r="AL139" s="9" t="str">
        <f>IFERROR(MID(VLOOKUP($B139,Seqs!$A:$B,2,0),AM139,1),"")</f>
        <v>R</v>
      </c>
      <c r="AM139" s="9">
        <v>223</v>
      </c>
      <c r="AN139" s="9" t="str">
        <f>IFERROR(MID(VLOOKUP($B139,Seqs!$A:$B,2,0),AO139,1),"")</f>
        <v>H</v>
      </c>
      <c r="AO139" s="9">
        <v>231</v>
      </c>
      <c r="AP139" s="9" t="str">
        <f>IFERROR(MID(VLOOKUP($B139,Seqs!$A:$B,2,0),AQ139,1),"")</f>
        <v>F</v>
      </c>
      <c r="AQ139" s="9">
        <v>260</v>
      </c>
      <c r="AR139" s="9" t="str">
        <f>IFERROR(MID(VLOOKUP($B139,Seqs!$A:$B,2,0),AS139,1),"")</f>
        <v>N</v>
      </c>
      <c r="AS139" s="9">
        <v>268</v>
      </c>
      <c r="AT139" s="9" t="str">
        <f>IFERROR(MID(VLOOKUP($B139,Seqs!$A:$B,2,0),AU139,1),"")</f>
        <v>V</v>
      </c>
      <c r="AU139" s="9">
        <v>300</v>
      </c>
      <c r="AV139" s="9" t="str">
        <f>IFERROR(MID(VLOOKUP($B139,Seqs!$A:$B,2,0),AW139,1),"")</f>
        <v>G</v>
      </c>
      <c r="AW139" s="9">
        <v>301</v>
      </c>
      <c r="AX139" s="9" t="str">
        <f>IFERROR(MID(VLOOKUP($B139,Seqs!$A:$B,2,0),AY139,1),"")</f>
        <v>L</v>
      </c>
      <c r="AY139" s="9">
        <v>308</v>
      </c>
      <c r="AZ139" s="110" t="str">
        <f>VLOOKUP(B139,Classification!A:D,2,0)</f>
        <v>A</v>
      </c>
      <c r="BA139" s="98" t="str">
        <f>VLOOKUP(B139,Classification!A:D,4,0)</f>
        <v>Chemokine</v>
      </c>
      <c r="BB139" s="36" t="b">
        <f>AND(E139&lt;G139,OR(G139&lt;I139,I139="-"),OR(I139&lt;K139,I139="-"),OR(K139&lt;M139,K139="-"),M139&lt;O139,OR(O139&lt;Q139,Q139="-"),OR(Q139&lt;S139,Q139="-"),OR(S139&lt;U139,S139="-"),U139&lt;W139,OR(W139&lt;Y139,Y139="-"),OR(Y139&lt;AA139,Y139="-"),OR(AA139&lt;AC139,AA139="-"),AC139&lt;AE139,OR(AE139&lt;AG139,AG139="-"),OR(AG139&lt;AI139,AG139="-"),OR(AI139&lt;AK139,AI139="-"),AK139&lt;AM139,AM139&lt;AO139,AO139&lt;AQ139,AQ139&lt;AS139,AS139&lt;AU139,OR(AU139&lt;AW139,AW139="-"),OR(AW139&lt;AY139,AW139="-"))</f>
        <v>1</v>
      </c>
      <c r="BC139" s="109">
        <f>_xlfn.AGGREGATE(9,6,CH139:CS139)-_xlfn.AGGREGATE(9,6,BV139:CG139)+12</f>
        <v>252</v>
      </c>
      <c r="BD139" s="40" t="s">
        <v>23</v>
      </c>
      <c r="BE139" s="9" t="s">
        <v>1381</v>
      </c>
      <c r="BF139" s="120">
        <v>2.8</v>
      </c>
      <c r="BG139" s="51" t="s">
        <v>1287</v>
      </c>
      <c r="BH139" s="51" t="s">
        <v>1287</v>
      </c>
      <c r="BJ139" s="111" t="s">
        <v>1293</v>
      </c>
      <c r="BK139" s="112" t="s">
        <v>1293</v>
      </c>
      <c r="BL139" s="112" t="s">
        <v>1293</v>
      </c>
      <c r="BM139" s="112" t="s">
        <v>1293</v>
      </c>
      <c r="BN139" s="112" t="s">
        <v>1293</v>
      </c>
      <c r="BO139" s="112" t="s">
        <v>1293</v>
      </c>
      <c r="BP139" s="112" t="s">
        <v>1293</v>
      </c>
      <c r="BQ139" s="112" t="s">
        <v>1293</v>
      </c>
      <c r="BR139" s="112" t="s">
        <v>1293</v>
      </c>
      <c r="BS139" s="112" t="s">
        <v>1293</v>
      </c>
      <c r="BT139" s="112" t="s">
        <v>1293</v>
      </c>
      <c r="BU139" s="112" t="s">
        <v>1293</v>
      </c>
      <c r="BV139" s="111">
        <f>E139</f>
        <v>25</v>
      </c>
      <c r="BW139" s="113" t="str">
        <f>I139</f>
        <v>-</v>
      </c>
      <c r="BX139" s="114">
        <f>M139</f>
        <v>63</v>
      </c>
      <c r="BY139" s="113">
        <f>Q139</f>
        <v>93</v>
      </c>
      <c r="BZ139" s="114">
        <f>U139</f>
        <v>97</v>
      </c>
      <c r="CA139" s="113">
        <f>Y139</f>
        <v>133</v>
      </c>
      <c r="CB139" s="114">
        <f>AC139</f>
        <v>141</v>
      </c>
      <c r="CC139" s="113">
        <f>AG139</f>
        <v>178</v>
      </c>
      <c r="CD139" s="114">
        <f>AK139</f>
        <v>186</v>
      </c>
      <c r="CE139" s="113">
        <f>AO139</f>
        <v>231</v>
      </c>
      <c r="CF139" s="114">
        <f>AS139</f>
        <v>268</v>
      </c>
      <c r="CG139" s="113">
        <f>AW139</f>
        <v>301</v>
      </c>
      <c r="CH139" s="111">
        <f>G139</f>
        <v>58</v>
      </c>
      <c r="CI139" s="113" t="str">
        <f>K139</f>
        <v>-</v>
      </c>
      <c r="CJ139" s="114">
        <f>O139</f>
        <v>92</v>
      </c>
      <c r="CK139" s="114">
        <f>S139</f>
        <v>96</v>
      </c>
      <c r="CL139" s="114">
        <f>W139</f>
        <v>132</v>
      </c>
      <c r="CM139" s="114">
        <f>AA139</f>
        <v>140</v>
      </c>
      <c r="CN139" s="114">
        <f>AE139</f>
        <v>167</v>
      </c>
      <c r="CO139" s="114">
        <f>AI139</f>
        <v>180</v>
      </c>
      <c r="CP139" s="114">
        <f>AM139</f>
        <v>223</v>
      </c>
      <c r="CQ139" s="114">
        <f>AQ139</f>
        <v>260</v>
      </c>
      <c r="CR139" s="114">
        <f>AU139</f>
        <v>300</v>
      </c>
      <c r="CS139" s="114">
        <f>AY139</f>
        <v>308</v>
      </c>
      <c r="CT139" s="109" t="e">
        <f>M139-K139</f>
        <v>#VALUE!</v>
      </c>
    </row>
    <row r="140" spans="1:1030" s="12" customFormat="1" x14ac:dyDescent="0.2">
      <c r="A140" s="9" t="str">
        <f>CONCATENATE(B140,"_",C140)</f>
        <v>ccr5_human_6MEO</v>
      </c>
      <c r="B140" s="9" t="s">
        <v>173</v>
      </c>
      <c r="C140" s="9" t="s">
        <v>1565</v>
      </c>
      <c r="D140" s="9" t="str">
        <f>IFERROR(MID(VLOOKUP($B140,Seqs!$A:$B,2,0),E140,1),"")</f>
        <v>K</v>
      </c>
      <c r="E140" s="9">
        <v>26</v>
      </c>
      <c r="F140" s="9" t="str">
        <f>IFERROR(MID(VLOOKUP($B140,Seqs!$A:$B,2,0),G140,1),"")</f>
        <v>R</v>
      </c>
      <c r="G140" s="9">
        <v>60</v>
      </c>
      <c r="H140" s="9" t="str">
        <f>IFERROR(MID(VLOOKUP($B140,Seqs!$A:$B,2,0),I140,1),"")</f>
        <v/>
      </c>
      <c r="I140" s="109" t="s">
        <v>23</v>
      </c>
      <c r="J140" s="9" t="str">
        <f>IFERROR(MID(VLOOKUP($B140,Seqs!$A:$B,2,0),K140,1),"")</f>
        <v/>
      </c>
      <c r="K140" s="109" t="s">
        <v>23</v>
      </c>
      <c r="L140" s="9" t="str">
        <f>IFERROR(MID(VLOOKUP($B140,Seqs!$A:$B,2,0),M140,1),"")</f>
        <v>S</v>
      </c>
      <c r="M140" s="9">
        <v>63</v>
      </c>
      <c r="N140" s="9" t="str">
        <f>IFERROR(MID(VLOOKUP($B140,Seqs!$A:$B,2,0),O140,1),"")</f>
        <v>A</v>
      </c>
      <c r="O140" s="9">
        <v>90</v>
      </c>
      <c r="P140" s="9" t="str">
        <f>IFERROR(MID(VLOOKUP($B140,Seqs!$A:$B,2,0),Q140,1),"")</f>
        <v>Q</v>
      </c>
      <c r="Q140" s="9">
        <v>93</v>
      </c>
      <c r="R140" s="9" t="str">
        <f>IFERROR(MID(VLOOKUP($B140,Seqs!$A:$B,2,0),S140,1),"")</f>
        <v>F</v>
      </c>
      <c r="S140" s="9">
        <v>96</v>
      </c>
      <c r="T140" s="9" t="str">
        <f>IFERROR(MID(VLOOKUP($B140,Seqs!$A:$B,2,0),U140,1),"")</f>
        <v>M</v>
      </c>
      <c r="U140" s="9">
        <v>100</v>
      </c>
      <c r="V140" s="9" t="str">
        <f>IFERROR(MID(VLOOKUP($B140,Seqs!$A:$B,2,0),W140,1),"")</f>
        <v>H</v>
      </c>
      <c r="W140" s="9">
        <v>132</v>
      </c>
      <c r="X140" s="9" t="str">
        <f>IFERROR(MID(VLOOKUP($B140,Seqs!$A:$B,2,0),Y140,1),"")</f>
        <v>A</v>
      </c>
      <c r="Y140" s="9">
        <v>133</v>
      </c>
      <c r="Z140" s="9" t="str">
        <f>IFERROR(MID(VLOOKUP($B140,Seqs!$A:$B,2,0),AA140,1),"")</f>
        <v>R</v>
      </c>
      <c r="AA140" s="9">
        <v>140</v>
      </c>
      <c r="AB140" s="9" t="str">
        <f>IFERROR(MID(VLOOKUP($B140,Seqs!$A:$B,2,0),AC140,1),"")</f>
        <v>T</v>
      </c>
      <c r="AC140" s="9">
        <v>141</v>
      </c>
      <c r="AD140" s="9" t="str">
        <f>IFERROR(MID(VLOOKUP($B140,Seqs!$A:$B,2,0),AE140,1),"")</f>
        <v>I</v>
      </c>
      <c r="AE140" s="9">
        <v>165</v>
      </c>
      <c r="AF140" s="9" t="str">
        <f>IFERROR(MID(VLOOKUP($B140,Seqs!$A:$B,2,0),AG140,1),"")</f>
        <v>C</v>
      </c>
      <c r="AG140" s="9">
        <v>178</v>
      </c>
      <c r="AH140" s="9" t="str">
        <f>IFERROR(MID(VLOOKUP($B140,Seqs!$A:$B,2,0),AI140,1),"")</f>
        <v>S</v>
      </c>
      <c r="AI140" s="9">
        <v>180</v>
      </c>
      <c r="AJ140" s="9" t="str">
        <f>IFERROR(MID(VLOOKUP($B140,Seqs!$A:$B,2,0),AK140,1),"")</f>
        <v>Q</v>
      </c>
      <c r="AK140" s="9">
        <v>186</v>
      </c>
      <c r="AL140" s="9" t="str">
        <f>IFERROR(MID(VLOOKUP($B140,Seqs!$A:$B,2,0),AM140,1),"")</f>
        <v>C</v>
      </c>
      <c r="AM140" s="9">
        <v>224</v>
      </c>
      <c r="AN140" s="9" t="str">
        <f>IFERROR(MID(VLOOKUP($B140,Seqs!$A:$B,2,0),AO140,1),"")</f>
        <v>K</v>
      </c>
      <c r="AO140" s="9">
        <v>228</v>
      </c>
      <c r="AP140" s="9" t="str">
        <f>IFERROR(MID(VLOOKUP($B140,Seqs!$A:$B,2,0),AQ140,1),"")</f>
        <v>F</v>
      </c>
      <c r="AQ140" s="9">
        <v>260</v>
      </c>
      <c r="AR140" s="9" t="str">
        <f>IFERROR(MID(VLOOKUP($B140,Seqs!$A:$B,2,0),AS140,1),"")</f>
        <v>N</v>
      </c>
      <c r="AS140" s="9">
        <v>268</v>
      </c>
      <c r="AT140" s="9" t="str">
        <f>IFERROR(MID(VLOOKUP($B140,Seqs!$A:$B,2,0),AU140,1),"")</f>
        <v>V</v>
      </c>
      <c r="AU140" s="9">
        <v>300</v>
      </c>
      <c r="AV140" s="9" t="str">
        <f>IFERROR(MID(VLOOKUP($B140,Seqs!$A:$B,2,0),AW140,1),"")</f>
        <v/>
      </c>
      <c r="AW140" s="9" t="s">
        <v>23</v>
      </c>
      <c r="AX140" s="9" t="str">
        <f>IFERROR(MID(VLOOKUP($B140,Seqs!$A:$B,2,0),AY140,1),"")</f>
        <v/>
      </c>
      <c r="AY140" s="9" t="s">
        <v>23</v>
      </c>
      <c r="AZ140" s="110" t="str">
        <f>VLOOKUP(B140,Classification!A:D,2,0)</f>
        <v>A</v>
      </c>
      <c r="BA140" s="98" t="str">
        <f>VLOOKUP(B140,Classification!A:D,4,0)</f>
        <v>Chemokine</v>
      </c>
      <c r="BB140" s="36" t="b">
        <f>AND(E140&lt;G140,OR(G140&lt;I140,I140="-"),OR(I140&lt;K140,I140="-"),OR(K140&lt;M140,K140="-"),M140&lt;O140,OR(O140&lt;Q140,Q140="-"),OR(Q140&lt;S140,Q140="-"),OR(S140&lt;U140,S140="-"),U140&lt;W140,OR(W140&lt;Y140,Y140="-"),OR(Y140&lt;AA140,Y140="-"),OR(AA140&lt;AC140,AA140="-"),AC140&lt;AE140,OR(AE140&lt;AG140,AG140="-"),OR(AG140&lt;AI140,AG140="-"),OR(AI140&lt;AK140,AI140="-"),AK140&lt;AM140,AM140&lt;AO140,AO140&lt;AQ140,AQ140&lt;AS140,AS140&lt;AU140,OR(AU140&lt;AW140,AW140="-"),OR(AW140&lt;AY140,AW140="-"))</f>
        <v>1</v>
      </c>
      <c r="BC140" s="109">
        <f>_xlfn.AGGREGATE(9,6,CH140:CS140)-_xlfn.AGGREGATE(9,6,BV140:CG140)+12</f>
        <v>243</v>
      </c>
      <c r="BD140" s="40" t="s">
        <v>23</v>
      </c>
      <c r="BE140" s="9" t="s">
        <v>1381</v>
      </c>
      <c r="BF140" s="120">
        <v>3.9</v>
      </c>
      <c r="BG140" s="51" t="s">
        <v>1287</v>
      </c>
      <c r="BH140" s="51" t="s">
        <v>1287</v>
      </c>
      <c r="BJ140" s="111" t="s">
        <v>1293</v>
      </c>
      <c r="BK140" s="112" t="s">
        <v>1293</v>
      </c>
      <c r="BL140" s="112" t="s">
        <v>1293</v>
      </c>
      <c r="BM140" s="112" t="s">
        <v>1293</v>
      </c>
      <c r="BN140" s="112" t="s">
        <v>1293</v>
      </c>
      <c r="BO140" s="112" t="s">
        <v>1293</v>
      </c>
      <c r="BP140" s="112" t="s">
        <v>1293</v>
      </c>
      <c r="BQ140" s="112" t="s">
        <v>1293</v>
      </c>
      <c r="BR140" s="112" t="s">
        <v>1293</v>
      </c>
      <c r="BS140" s="112" t="s">
        <v>1293</v>
      </c>
      <c r="BT140" s="112" t="s">
        <v>1293</v>
      </c>
      <c r="BU140" s="112" t="s">
        <v>1293</v>
      </c>
      <c r="BV140" s="111">
        <f>E140</f>
        <v>26</v>
      </c>
      <c r="BW140" s="113" t="str">
        <f>I140</f>
        <v>-</v>
      </c>
      <c r="BX140" s="114">
        <f>M140</f>
        <v>63</v>
      </c>
      <c r="BY140" s="113">
        <f>Q140</f>
        <v>93</v>
      </c>
      <c r="BZ140" s="114">
        <f>U140</f>
        <v>100</v>
      </c>
      <c r="CA140" s="113">
        <f>Y140</f>
        <v>133</v>
      </c>
      <c r="CB140" s="114">
        <f>AC140</f>
        <v>141</v>
      </c>
      <c r="CC140" s="113">
        <f>AG140</f>
        <v>178</v>
      </c>
      <c r="CD140" s="114">
        <f>AK140</f>
        <v>186</v>
      </c>
      <c r="CE140" s="113">
        <f>AO140</f>
        <v>228</v>
      </c>
      <c r="CF140" s="114">
        <f>AS140</f>
        <v>268</v>
      </c>
      <c r="CG140" s="113" t="str">
        <f>AW140</f>
        <v>-</v>
      </c>
      <c r="CH140" s="111">
        <f>G140</f>
        <v>60</v>
      </c>
      <c r="CI140" s="113" t="str">
        <f>K140</f>
        <v>-</v>
      </c>
      <c r="CJ140" s="114">
        <f>O140</f>
        <v>90</v>
      </c>
      <c r="CK140" s="114">
        <f>S140</f>
        <v>96</v>
      </c>
      <c r="CL140" s="114">
        <f>W140</f>
        <v>132</v>
      </c>
      <c r="CM140" s="114">
        <f>AA140</f>
        <v>140</v>
      </c>
      <c r="CN140" s="114">
        <f>AE140</f>
        <v>165</v>
      </c>
      <c r="CO140" s="114">
        <f>AI140</f>
        <v>180</v>
      </c>
      <c r="CP140" s="114">
        <f>AM140</f>
        <v>224</v>
      </c>
      <c r="CQ140" s="114">
        <f>AQ140</f>
        <v>260</v>
      </c>
      <c r="CR140" s="114">
        <f>AU140</f>
        <v>300</v>
      </c>
      <c r="CS140" s="114" t="str">
        <f>AY140</f>
        <v>-</v>
      </c>
      <c r="CT140" s="109" t="e">
        <f>M140-K140</f>
        <v>#VALUE!</v>
      </c>
    </row>
    <row r="141" spans="1:1030" s="12" customFormat="1" x14ac:dyDescent="0.2">
      <c r="A141" s="9" t="str">
        <f>CONCATENATE(B141,"_",C141)</f>
        <v>ccr5_human_6MET</v>
      </c>
      <c r="B141" s="9" t="s">
        <v>173</v>
      </c>
      <c r="C141" s="9" t="s">
        <v>1564</v>
      </c>
      <c r="D141" s="9" t="str">
        <f>IFERROR(MID(VLOOKUP($B141,Seqs!$A:$B,2,0),E141,1),"")</f>
        <v>K</v>
      </c>
      <c r="E141" s="9">
        <v>26</v>
      </c>
      <c r="F141" s="9" t="str">
        <f>IFERROR(MID(VLOOKUP($B141,Seqs!$A:$B,2,0),G141,1),"")</f>
        <v>R</v>
      </c>
      <c r="G141" s="9">
        <v>60</v>
      </c>
      <c r="H141" s="9" t="str">
        <f>IFERROR(MID(VLOOKUP($B141,Seqs!$A:$B,2,0),I141,1),"")</f>
        <v/>
      </c>
      <c r="I141" s="109" t="s">
        <v>23</v>
      </c>
      <c r="J141" s="9" t="str">
        <f>IFERROR(MID(VLOOKUP($B141,Seqs!$A:$B,2,0),K141,1),"")</f>
        <v/>
      </c>
      <c r="K141" s="109" t="s">
        <v>23</v>
      </c>
      <c r="L141" s="9" t="str">
        <f>IFERROR(MID(VLOOKUP($B141,Seqs!$A:$B,2,0),M141,1),"")</f>
        <v>S</v>
      </c>
      <c r="M141" s="9">
        <v>63</v>
      </c>
      <c r="N141" s="9" t="str">
        <f>IFERROR(MID(VLOOKUP($B141,Seqs!$A:$B,2,0),O141,1),"")</f>
        <v>A</v>
      </c>
      <c r="O141" s="9">
        <v>90</v>
      </c>
      <c r="P141" s="9" t="str">
        <f>IFERROR(MID(VLOOKUP($B141,Seqs!$A:$B,2,0),Q141,1),"")</f>
        <v>Q</v>
      </c>
      <c r="Q141" s="9">
        <v>93</v>
      </c>
      <c r="R141" s="9" t="str">
        <f>IFERROR(MID(VLOOKUP($B141,Seqs!$A:$B,2,0),S141,1),"")</f>
        <v>F</v>
      </c>
      <c r="S141" s="9">
        <v>96</v>
      </c>
      <c r="T141" s="9" t="str">
        <f>IFERROR(MID(VLOOKUP($B141,Seqs!$A:$B,2,0),U141,1),"")</f>
        <v>M</v>
      </c>
      <c r="U141" s="9">
        <v>100</v>
      </c>
      <c r="V141" s="9" t="str">
        <f>IFERROR(MID(VLOOKUP($B141,Seqs!$A:$B,2,0),W141,1),"")</f>
        <v>H</v>
      </c>
      <c r="W141" s="9">
        <v>132</v>
      </c>
      <c r="X141" s="9" t="str">
        <f>IFERROR(MID(VLOOKUP($B141,Seqs!$A:$B,2,0),Y141,1),"")</f>
        <v>A</v>
      </c>
      <c r="Y141" s="9">
        <v>133</v>
      </c>
      <c r="Z141" s="9" t="str">
        <f>IFERROR(MID(VLOOKUP($B141,Seqs!$A:$B,2,0),AA141,1),"")</f>
        <v>R</v>
      </c>
      <c r="AA141" s="9">
        <v>140</v>
      </c>
      <c r="AB141" s="9" t="str">
        <f>IFERROR(MID(VLOOKUP($B141,Seqs!$A:$B,2,0),AC141,1),"")</f>
        <v>T</v>
      </c>
      <c r="AC141" s="9">
        <v>141</v>
      </c>
      <c r="AD141" s="9" t="str">
        <f>IFERROR(MID(VLOOKUP($B141,Seqs!$A:$B,2,0),AE141,1),"")</f>
        <v>I</v>
      </c>
      <c r="AE141" s="9">
        <v>165</v>
      </c>
      <c r="AF141" s="9" t="str">
        <f>IFERROR(MID(VLOOKUP($B141,Seqs!$A:$B,2,0),AG141,1),"")</f>
        <v>C</v>
      </c>
      <c r="AG141" s="9">
        <v>178</v>
      </c>
      <c r="AH141" s="9" t="str">
        <f>IFERROR(MID(VLOOKUP($B141,Seqs!$A:$B,2,0),AI141,1),"")</f>
        <v>S</v>
      </c>
      <c r="AI141" s="9">
        <v>180</v>
      </c>
      <c r="AJ141" s="9" t="str">
        <f>IFERROR(MID(VLOOKUP($B141,Seqs!$A:$B,2,0),AK141,1),"")</f>
        <v>Q</v>
      </c>
      <c r="AK141" s="9">
        <v>186</v>
      </c>
      <c r="AL141" s="9" t="str">
        <f>IFERROR(MID(VLOOKUP($B141,Seqs!$A:$B,2,0),AM141,1),"")</f>
        <v>C</v>
      </c>
      <c r="AM141" s="9">
        <v>224</v>
      </c>
      <c r="AN141" s="9" t="str">
        <f>IFERROR(MID(VLOOKUP($B141,Seqs!$A:$B,2,0),AO141,1),"")</f>
        <v>K</v>
      </c>
      <c r="AO141" s="9">
        <v>228</v>
      </c>
      <c r="AP141" s="9" t="str">
        <f>IFERROR(MID(VLOOKUP($B141,Seqs!$A:$B,2,0),AQ141,1),"")</f>
        <v>F</v>
      </c>
      <c r="AQ141" s="9">
        <v>260</v>
      </c>
      <c r="AR141" s="9" t="str">
        <f>IFERROR(MID(VLOOKUP($B141,Seqs!$A:$B,2,0),AS141,1),"")</f>
        <v>N</v>
      </c>
      <c r="AS141" s="9">
        <v>268</v>
      </c>
      <c r="AT141" s="9" t="str">
        <f>IFERROR(MID(VLOOKUP($B141,Seqs!$A:$B,2,0),AU141,1),"")</f>
        <v>V</v>
      </c>
      <c r="AU141" s="9">
        <v>300</v>
      </c>
      <c r="AV141" s="9" t="str">
        <f>IFERROR(MID(VLOOKUP($B141,Seqs!$A:$B,2,0),AW141,1),"")</f>
        <v/>
      </c>
      <c r="AW141" s="9" t="s">
        <v>23</v>
      </c>
      <c r="AX141" s="9" t="str">
        <f>IFERROR(MID(VLOOKUP($B141,Seqs!$A:$B,2,0),AY141,1),"")</f>
        <v/>
      </c>
      <c r="AY141" s="9" t="s">
        <v>23</v>
      </c>
      <c r="AZ141" s="110" t="str">
        <f>VLOOKUP(B141,Classification!A:D,2,0)</f>
        <v>A</v>
      </c>
      <c r="BA141" s="98" t="str">
        <f>VLOOKUP(B141,Classification!A:D,4,0)</f>
        <v>Chemokine</v>
      </c>
      <c r="BB141" s="36" t="b">
        <f>AND(E141&lt;G141,OR(G141&lt;I141,I141="-"),OR(I141&lt;K141,I141="-"),OR(K141&lt;M141,K141="-"),M141&lt;O141,OR(O141&lt;Q141,Q141="-"),OR(Q141&lt;S141,Q141="-"),OR(S141&lt;U141,S141="-"),U141&lt;W141,OR(W141&lt;Y141,Y141="-"),OR(Y141&lt;AA141,Y141="-"),OR(AA141&lt;AC141,AA141="-"),AC141&lt;AE141,OR(AE141&lt;AG141,AG141="-"),OR(AG141&lt;AI141,AG141="-"),OR(AI141&lt;AK141,AI141="-"),AK141&lt;AM141,AM141&lt;AO141,AO141&lt;AQ141,AQ141&lt;AS141,AS141&lt;AU141,OR(AU141&lt;AW141,AW141="-"),OR(AW141&lt;AY141,AW141="-"))</f>
        <v>1</v>
      </c>
      <c r="BC141" s="109">
        <f>_xlfn.AGGREGATE(9,6,CH141:CS141)-_xlfn.AGGREGATE(9,6,BV141:CG141)+12</f>
        <v>243</v>
      </c>
      <c r="BD141" s="40" t="s">
        <v>23</v>
      </c>
      <c r="BE141" s="9" t="s">
        <v>1381</v>
      </c>
      <c r="BF141" s="120">
        <v>4.5</v>
      </c>
      <c r="BG141" s="51" t="s">
        <v>1287</v>
      </c>
      <c r="BH141" s="51" t="s">
        <v>1287</v>
      </c>
      <c r="BJ141" s="111" t="s">
        <v>1293</v>
      </c>
      <c r="BK141" s="112" t="s">
        <v>1293</v>
      </c>
      <c r="BL141" s="112" t="s">
        <v>1293</v>
      </c>
      <c r="BM141" s="112" t="s">
        <v>1293</v>
      </c>
      <c r="BN141" s="112" t="s">
        <v>1293</v>
      </c>
      <c r="BO141" s="112" t="s">
        <v>1293</v>
      </c>
      <c r="BP141" s="112" t="s">
        <v>1293</v>
      </c>
      <c r="BQ141" s="112" t="s">
        <v>1293</v>
      </c>
      <c r="BR141" s="112" t="s">
        <v>1293</v>
      </c>
      <c r="BS141" s="112" t="s">
        <v>1293</v>
      </c>
      <c r="BT141" s="112" t="s">
        <v>1293</v>
      </c>
      <c r="BU141" s="112" t="s">
        <v>1293</v>
      </c>
      <c r="BV141" s="111">
        <f>E141</f>
        <v>26</v>
      </c>
      <c r="BW141" s="113" t="str">
        <f>I141</f>
        <v>-</v>
      </c>
      <c r="BX141" s="114">
        <f>M141</f>
        <v>63</v>
      </c>
      <c r="BY141" s="113">
        <f>Q141</f>
        <v>93</v>
      </c>
      <c r="BZ141" s="114">
        <f>U141</f>
        <v>100</v>
      </c>
      <c r="CA141" s="113">
        <f>Y141</f>
        <v>133</v>
      </c>
      <c r="CB141" s="114">
        <f>AC141</f>
        <v>141</v>
      </c>
      <c r="CC141" s="113">
        <f>AG141</f>
        <v>178</v>
      </c>
      <c r="CD141" s="114">
        <f>AK141</f>
        <v>186</v>
      </c>
      <c r="CE141" s="113">
        <f>AO141</f>
        <v>228</v>
      </c>
      <c r="CF141" s="114">
        <f>AS141</f>
        <v>268</v>
      </c>
      <c r="CG141" s="113" t="str">
        <f>AW141</f>
        <v>-</v>
      </c>
      <c r="CH141" s="111">
        <f>G141</f>
        <v>60</v>
      </c>
      <c r="CI141" s="113" t="str">
        <f>K141</f>
        <v>-</v>
      </c>
      <c r="CJ141" s="114">
        <f>O141</f>
        <v>90</v>
      </c>
      <c r="CK141" s="114">
        <f>S141</f>
        <v>96</v>
      </c>
      <c r="CL141" s="114">
        <f>W141</f>
        <v>132</v>
      </c>
      <c r="CM141" s="114">
        <f>AA141</f>
        <v>140</v>
      </c>
      <c r="CN141" s="114">
        <f>AE141</f>
        <v>165</v>
      </c>
      <c r="CO141" s="114">
        <f>AI141</f>
        <v>180</v>
      </c>
      <c r="CP141" s="114">
        <f>AM141</f>
        <v>224</v>
      </c>
      <c r="CQ141" s="114">
        <f>AQ141</f>
        <v>260</v>
      </c>
      <c r="CR141" s="114">
        <f>AU141</f>
        <v>300</v>
      </c>
      <c r="CS141" s="114" t="str">
        <f>AY141</f>
        <v>-</v>
      </c>
      <c r="CT141" s="109" t="e">
        <f>M141-K141</f>
        <v>#VALUE!</v>
      </c>
    </row>
    <row r="142" spans="1:1030" x14ac:dyDescent="0.2">
      <c r="A142" s="3" t="str">
        <f t="shared" si="559"/>
        <v>ccr9_human__wt</v>
      </c>
      <c r="B142" s="3" t="s">
        <v>177</v>
      </c>
      <c r="C142" s="3" t="s">
        <v>100</v>
      </c>
      <c r="D142" s="3" t="str">
        <f>IFERROR(MID(VLOOKUP($B142,Seqs!$A:$B,2,0),E142,1),"")</f>
        <v>V</v>
      </c>
      <c r="E142" s="3">
        <v>43</v>
      </c>
      <c r="F142" s="3" t="str">
        <f>IFERROR(MID(VLOOKUP($B142,Seqs!$A:$B,2,0),G142,1),"")</f>
        <v>C</v>
      </c>
      <c r="G142" s="3">
        <v>76</v>
      </c>
      <c r="H142" s="3" t="str">
        <f>IFERROR(MID(VLOOKUP($B142,Seqs!$A:$B,2,0),I142,1),"")</f>
        <v>T</v>
      </c>
      <c r="I142" s="23">
        <v>77</v>
      </c>
      <c r="J142" s="3" t="str">
        <f>IFERROR(MID(VLOOKUP($B142,Seqs!$A:$B,2,0),K142,1),"")</f>
        <v>K</v>
      </c>
      <c r="K142" s="23">
        <v>80</v>
      </c>
      <c r="L142" s="3" t="str">
        <f>IFERROR(MID(VLOOKUP($B142,Seqs!$A:$B,2,0),M142,1),"")</f>
        <v>T</v>
      </c>
      <c r="M142" s="3">
        <v>81</v>
      </c>
      <c r="N142" s="3" t="str">
        <f>IFERROR(MID(VLOOKUP($B142,Seqs!$A:$B,2,0),O142,1),"")</f>
        <v>D</v>
      </c>
      <c r="O142" s="3">
        <v>110</v>
      </c>
      <c r="P142" s="3" t="str">
        <f>IFERROR(MID(VLOOKUP($B142,Seqs!$A:$B,2,0),Q142,1),"")</f>
        <v>Q</v>
      </c>
      <c r="Q142" s="3">
        <v>111</v>
      </c>
      <c r="R142" s="3" t="str">
        <f>IFERROR(MID(VLOOKUP($B142,Seqs!$A:$B,2,0),S142,1),"")</f>
        <v>F</v>
      </c>
      <c r="S142" s="3">
        <v>114</v>
      </c>
      <c r="T142" s="3" t="str">
        <f>IFERROR(MID(VLOOKUP($B142,Seqs!$A:$B,2,0),U142,1),"")</f>
        <v>Q</v>
      </c>
      <c r="U142" s="3">
        <v>115</v>
      </c>
      <c r="V142" s="3" t="str">
        <f>IFERROR(MID(VLOOKUP($B142,Seqs!$A:$B,2,0),W142,1),"")</f>
        <v>Q</v>
      </c>
      <c r="W142" s="3">
        <v>150</v>
      </c>
      <c r="X142" s="3" t="str">
        <f>IFERROR(MID(VLOOKUP($B142,Seqs!$A:$B,2,0),Y142,1),"")</f>
        <v>A</v>
      </c>
      <c r="Y142" s="3">
        <v>151</v>
      </c>
      <c r="Z142" s="3" t="str">
        <f>IFERROR(MID(VLOOKUP($B142,Seqs!$A:$B,2,0),AA142,1),"")</f>
        <v>W</v>
      </c>
      <c r="AA142" s="3">
        <v>157</v>
      </c>
      <c r="AB142" s="3" t="str">
        <f>IFERROR(MID(VLOOKUP($B142,Seqs!$A:$B,2,0),AC142,1),"")</f>
        <v>R</v>
      </c>
      <c r="AC142" s="9">
        <v>158</v>
      </c>
      <c r="AD142" s="3" t="str">
        <f>IFERROR(MID(VLOOKUP($B142,Seqs!$A:$B,2,0),AE142,1),"")</f>
        <v>S</v>
      </c>
      <c r="AE142" s="3">
        <v>187</v>
      </c>
      <c r="AF142" s="3" t="str">
        <f>IFERROR(MID(VLOOKUP($B142,Seqs!$A:$B,2,0),AG142,1),"")</f>
        <v>C</v>
      </c>
      <c r="AG142" s="3">
        <v>198</v>
      </c>
      <c r="AH142" s="3" t="str">
        <f>IFERROR(MID(VLOOKUP($B142,Seqs!$A:$B,2,0),AI142,1),"")</f>
        <v>M</v>
      </c>
      <c r="AI142" s="3">
        <v>200</v>
      </c>
      <c r="AJ142" s="3" t="str">
        <f>IFERROR(MID(VLOOKUP($B142,Seqs!$A:$B,2,0),AK142,1),"")</f>
        <v>K</v>
      </c>
      <c r="AK142" s="3">
        <v>209</v>
      </c>
      <c r="AL142" s="3" t="str">
        <f>IFERROR(MID(VLOOKUP($B142,Seqs!$A:$B,2,0),AM142,1),"")</f>
        <v>A</v>
      </c>
      <c r="AM142" s="3">
        <v>244</v>
      </c>
      <c r="AN142" s="3" t="str">
        <f>IFERROR(MID(VLOOKUP($B142,Seqs!$A:$B,2,0),AO142,1),"")</f>
        <v>S</v>
      </c>
      <c r="AO142" s="3">
        <v>247</v>
      </c>
      <c r="AP142" s="3" t="str">
        <f>IFERROR(MID(VLOOKUP($B142,Seqs!$A:$B,2,0),AQ142,1),"")</f>
        <v>M</v>
      </c>
      <c r="AQ142" s="3">
        <v>284</v>
      </c>
      <c r="AR142" s="3" t="str">
        <f>IFERROR(MID(VLOOKUP($B142,Seqs!$A:$B,2,0),AS142,1),"")</f>
        <v>N</v>
      </c>
      <c r="AS142" s="3">
        <v>288</v>
      </c>
      <c r="AT142" s="3" t="str">
        <f>IFERROR(MID(VLOOKUP($B142,Seqs!$A:$B,2,0),AU142,1),"")</f>
        <v>V</v>
      </c>
      <c r="AU142" s="3">
        <v>320</v>
      </c>
      <c r="AV142" s="3" t="str">
        <f>IFERROR(MID(VLOOKUP($B142,Seqs!$A:$B,2,0),AW142,1),"")</f>
        <v>G</v>
      </c>
      <c r="AW142" s="3">
        <v>321</v>
      </c>
      <c r="AX142" s="3" t="str">
        <f>IFERROR(MID(VLOOKUP($B142,Seqs!$A:$B,2,0),AY142,1),"")</f>
        <v>A</v>
      </c>
      <c r="AY142" s="3">
        <v>341</v>
      </c>
      <c r="AZ142" s="77" t="str">
        <f>VLOOKUP(B142,Classification!A:D,2,0)</f>
        <v>A</v>
      </c>
      <c r="BA142" s="94" t="str">
        <f>VLOOKUP(B142,Classification!A:D,4,0)</f>
        <v>Chemokine</v>
      </c>
      <c r="BB142" s="27" t="b">
        <f t="shared" si="560"/>
        <v>1</v>
      </c>
      <c r="BC142" s="23">
        <f t="shared" si="365"/>
        <v>276</v>
      </c>
      <c r="BD142" s="56" t="s">
        <v>1379</v>
      </c>
      <c r="BE142" s="3" t="s">
        <v>23</v>
      </c>
      <c r="BF142" s="119" t="s">
        <v>23</v>
      </c>
      <c r="BG142" s="49" t="s">
        <v>1379</v>
      </c>
      <c r="BH142" s="49" t="s">
        <v>1384</v>
      </c>
      <c r="BI142" s="1"/>
      <c r="BJ142" s="70" t="s">
        <v>1293</v>
      </c>
      <c r="BK142" s="57" t="s">
        <v>1293</v>
      </c>
      <c r="BL142" s="57" t="s">
        <v>1293</v>
      </c>
      <c r="BM142" s="57" t="s">
        <v>1293</v>
      </c>
      <c r="BN142" s="57" t="s">
        <v>1293</v>
      </c>
      <c r="BO142" s="57" t="s">
        <v>1293</v>
      </c>
      <c r="BP142" s="57" t="s">
        <v>1293</v>
      </c>
      <c r="BQ142" s="57" t="s">
        <v>1293</v>
      </c>
      <c r="BR142" s="57" t="s">
        <v>1293</v>
      </c>
      <c r="BS142" s="57" t="s">
        <v>1293</v>
      </c>
      <c r="BT142" s="57" t="s">
        <v>1293</v>
      </c>
      <c r="BU142" s="57" t="s">
        <v>1293</v>
      </c>
      <c r="BV142" s="70">
        <f t="shared" si="366"/>
        <v>43</v>
      </c>
      <c r="BW142" s="71">
        <f t="shared" si="367"/>
        <v>77</v>
      </c>
      <c r="BX142" s="72">
        <f t="shared" si="368"/>
        <v>81</v>
      </c>
      <c r="BY142" s="71">
        <f t="shared" si="369"/>
        <v>111</v>
      </c>
      <c r="BZ142" s="72">
        <f t="shared" si="370"/>
        <v>115</v>
      </c>
      <c r="CA142" s="71">
        <f t="shared" si="371"/>
        <v>151</v>
      </c>
      <c r="CB142" s="72">
        <f t="shared" si="372"/>
        <v>158</v>
      </c>
      <c r="CC142" s="71">
        <f t="shared" si="373"/>
        <v>198</v>
      </c>
      <c r="CD142" s="72">
        <f t="shared" si="374"/>
        <v>209</v>
      </c>
      <c r="CE142" s="71">
        <f t="shared" si="375"/>
        <v>247</v>
      </c>
      <c r="CF142" s="72">
        <f t="shared" si="376"/>
        <v>288</v>
      </c>
      <c r="CG142" s="71">
        <f t="shared" si="377"/>
        <v>321</v>
      </c>
      <c r="CH142" s="70">
        <f t="shared" si="378"/>
        <v>76</v>
      </c>
      <c r="CI142" s="71">
        <f t="shared" si="379"/>
        <v>80</v>
      </c>
      <c r="CJ142" s="72">
        <f t="shared" si="380"/>
        <v>110</v>
      </c>
      <c r="CK142" s="72">
        <f t="shared" si="381"/>
        <v>114</v>
      </c>
      <c r="CL142" s="72">
        <f t="shared" si="382"/>
        <v>150</v>
      </c>
      <c r="CM142" s="72">
        <f t="shared" si="383"/>
        <v>157</v>
      </c>
      <c r="CN142" s="72">
        <f t="shared" si="384"/>
        <v>187</v>
      </c>
      <c r="CO142" s="72">
        <f t="shared" si="385"/>
        <v>200</v>
      </c>
      <c r="CP142" s="72">
        <f t="shared" si="386"/>
        <v>244</v>
      </c>
      <c r="CQ142" s="72">
        <f t="shared" si="387"/>
        <v>284</v>
      </c>
      <c r="CR142" s="72">
        <f t="shared" si="388"/>
        <v>320</v>
      </c>
      <c r="CS142" s="72">
        <f t="shared" si="389"/>
        <v>341</v>
      </c>
      <c r="CT142" s="23">
        <f t="shared" si="390"/>
        <v>1</v>
      </c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  <c r="OK142" s="1"/>
      <c r="OL142" s="1"/>
      <c r="OM142" s="1"/>
      <c r="ON142" s="1"/>
      <c r="OO142" s="1"/>
      <c r="OP142" s="1"/>
      <c r="OQ142" s="1"/>
      <c r="OR142" s="1"/>
      <c r="OS142" s="1"/>
      <c r="OT142" s="1"/>
      <c r="OU142" s="1"/>
      <c r="OV142" s="1"/>
      <c r="OW142" s="1"/>
      <c r="OX142" s="1"/>
      <c r="OY142" s="1"/>
      <c r="OZ142" s="1"/>
      <c r="PA142" s="1"/>
      <c r="PB142" s="1"/>
      <c r="PC142" s="1"/>
      <c r="PD142" s="1"/>
      <c r="PE142" s="1"/>
      <c r="PF142" s="1"/>
      <c r="PG142" s="1"/>
      <c r="PH142" s="1"/>
      <c r="PI142" s="1"/>
      <c r="PJ142" s="1"/>
      <c r="PK142" s="1"/>
      <c r="PL142" s="1"/>
      <c r="PM142" s="1"/>
      <c r="PN142" s="1"/>
      <c r="PO142" s="1"/>
      <c r="PP142" s="1"/>
      <c r="PQ142" s="1"/>
      <c r="PR142" s="1"/>
      <c r="PS142" s="1"/>
      <c r="PT142" s="1"/>
      <c r="PU142" s="1"/>
      <c r="PV142" s="1"/>
      <c r="PW142" s="1"/>
      <c r="PX142" s="1"/>
      <c r="PY142" s="1"/>
      <c r="PZ142" s="1"/>
      <c r="QA142" s="1"/>
      <c r="QB142" s="1"/>
      <c r="QC142" s="1"/>
      <c r="QD142" s="1"/>
      <c r="QE142" s="1"/>
      <c r="QF142" s="1"/>
      <c r="QG142" s="1"/>
      <c r="QH142" s="1"/>
      <c r="QI142" s="1"/>
      <c r="QJ142" s="1"/>
      <c r="QK142" s="1"/>
      <c r="QL142" s="1"/>
      <c r="QM142" s="1"/>
      <c r="QN142" s="1"/>
      <c r="QO142" s="1"/>
      <c r="QP142" s="1"/>
      <c r="QQ142" s="1"/>
      <c r="QR142" s="1"/>
      <c r="QS142" s="1"/>
      <c r="QT142" s="1"/>
      <c r="QU142" s="1"/>
      <c r="QV142" s="1"/>
      <c r="QW142" s="1"/>
      <c r="QX142" s="1"/>
      <c r="QY142" s="1"/>
      <c r="QZ142" s="1"/>
      <c r="RA142" s="1"/>
      <c r="RB142" s="1"/>
      <c r="RC142" s="1"/>
      <c r="RD142" s="1"/>
      <c r="RE142" s="1"/>
      <c r="RF142" s="1"/>
      <c r="RG142" s="1"/>
      <c r="RH142" s="1"/>
      <c r="RI142" s="1"/>
      <c r="RJ142" s="1"/>
      <c r="RK142" s="1"/>
      <c r="RL142" s="1"/>
      <c r="RM142" s="1"/>
      <c r="RN142" s="1"/>
      <c r="RO142" s="1"/>
      <c r="RP142" s="1"/>
      <c r="RQ142" s="1"/>
      <c r="RR142" s="1"/>
      <c r="RS142" s="1"/>
      <c r="RT142" s="1"/>
      <c r="RU142" s="1"/>
      <c r="RV142" s="1"/>
      <c r="RW142" s="1"/>
      <c r="RX142" s="1"/>
      <c r="RY142" s="1"/>
      <c r="RZ142" s="1"/>
      <c r="SA142" s="1"/>
      <c r="SB142" s="1"/>
      <c r="SC142" s="1"/>
      <c r="SD142" s="1"/>
      <c r="SE142" s="1"/>
      <c r="SF142" s="1"/>
      <c r="SG142" s="1"/>
      <c r="SH142" s="1"/>
      <c r="SI142" s="1"/>
      <c r="SJ142" s="1"/>
      <c r="SK142" s="1"/>
      <c r="SL142" s="1"/>
      <c r="SM142" s="1"/>
      <c r="SN142" s="1"/>
      <c r="SO142" s="1"/>
      <c r="SP142" s="1"/>
      <c r="SQ142" s="1"/>
      <c r="SR142" s="1"/>
      <c r="SS142" s="1"/>
      <c r="ST142" s="1"/>
      <c r="SU142" s="1"/>
      <c r="SV142" s="1"/>
      <c r="SW142" s="1"/>
      <c r="SX142" s="1"/>
      <c r="SY142" s="1"/>
      <c r="SZ142" s="1"/>
      <c r="TA142" s="1"/>
      <c r="TB142" s="1"/>
      <c r="TC142" s="1"/>
      <c r="TD142" s="1"/>
      <c r="TE142" s="1"/>
      <c r="TF142" s="1"/>
      <c r="TG142" s="1"/>
      <c r="TH142" s="1"/>
      <c r="TI142" s="1"/>
      <c r="TJ142" s="1"/>
      <c r="TK142" s="1"/>
      <c r="TL142" s="1"/>
      <c r="TM142" s="1"/>
      <c r="TN142" s="1"/>
      <c r="TO142" s="1"/>
      <c r="TP142" s="1"/>
      <c r="TQ142" s="1"/>
      <c r="TR142" s="1"/>
      <c r="TS142" s="1"/>
      <c r="TT142" s="1"/>
      <c r="TU142" s="1"/>
      <c r="TV142" s="1"/>
      <c r="TW142" s="1"/>
      <c r="TX142" s="1"/>
      <c r="TY142" s="1"/>
      <c r="TZ142" s="1"/>
      <c r="UA142" s="1"/>
      <c r="UB142" s="1"/>
      <c r="UC142" s="1"/>
      <c r="UD142" s="1"/>
      <c r="UE142" s="1"/>
      <c r="UF142" s="1"/>
      <c r="UG142" s="1"/>
      <c r="UH142" s="1"/>
      <c r="UI142" s="1"/>
      <c r="UJ142" s="1"/>
      <c r="UK142" s="1"/>
      <c r="UL142" s="1"/>
      <c r="UM142" s="1"/>
      <c r="UN142" s="1"/>
      <c r="UO142" s="1"/>
      <c r="UP142" s="1"/>
      <c r="UQ142" s="1"/>
      <c r="UR142" s="1"/>
      <c r="US142" s="1"/>
      <c r="UT142" s="1"/>
      <c r="UU142" s="1"/>
      <c r="UV142" s="1"/>
      <c r="UW142" s="1"/>
      <c r="UX142" s="1"/>
      <c r="UY142" s="1"/>
      <c r="UZ142" s="1"/>
      <c r="VA142" s="1"/>
      <c r="VB142" s="1"/>
      <c r="VC142" s="1"/>
      <c r="VD142" s="1"/>
      <c r="VE142" s="1"/>
      <c r="VF142" s="1"/>
      <c r="VG142" s="1"/>
      <c r="VH142" s="1"/>
      <c r="VI142" s="1"/>
      <c r="VJ142" s="1"/>
      <c r="VK142" s="1"/>
      <c r="VL142" s="1"/>
      <c r="VM142" s="1"/>
      <c r="VN142" s="1"/>
      <c r="VO142" s="1"/>
      <c r="VP142" s="1"/>
      <c r="VQ142" s="1"/>
      <c r="VR142" s="1"/>
      <c r="VS142" s="1"/>
      <c r="VT142" s="1"/>
      <c r="VU142" s="1"/>
      <c r="VV142" s="1"/>
      <c r="VW142" s="1"/>
      <c r="VX142" s="1"/>
      <c r="VY142" s="1"/>
      <c r="VZ142" s="1"/>
      <c r="WA142" s="1"/>
      <c r="WB142" s="1"/>
      <c r="WC142" s="1"/>
      <c r="WD142" s="1"/>
      <c r="WE142" s="1"/>
      <c r="WF142" s="1"/>
      <c r="WG142" s="1"/>
      <c r="WH142" s="1"/>
      <c r="WI142" s="1"/>
      <c r="WJ142" s="1"/>
      <c r="WK142" s="1"/>
      <c r="WL142" s="1"/>
      <c r="WM142" s="1"/>
      <c r="WN142" s="1"/>
      <c r="WO142" s="1"/>
      <c r="WP142" s="1"/>
      <c r="WQ142" s="1"/>
      <c r="WR142" s="1"/>
      <c r="WS142" s="1"/>
      <c r="WT142" s="1"/>
      <c r="WU142" s="1"/>
      <c r="WV142" s="1"/>
      <c r="WW142" s="1"/>
      <c r="WX142" s="1"/>
      <c r="WY142" s="1"/>
      <c r="WZ142" s="1"/>
      <c r="XA142" s="1"/>
      <c r="XB142" s="1"/>
      <c r="XC142" s="1"/>
      <c r="XD142" s="1"/>
      <c r="XE142" s="1"/>
      <c r="XF142" s="1"/>
      <c r="XG142" s="1"/>
      <c r="XH142" s="1"/>
      <c r="XI142" s="1"/>
      <c r="XJ142" s="1"/>
      <c r="XK142" s="1"/>
      <c r="XL142" s="1"/>
      <c r="XM142" s="1"/>
      <c r="XN142" s="1"/>
      <c r="XO142" s="1"/>
      <c r="XP142" s="1"/>
      <c r="XQ142" s="1"/>
      <c r="XR142" s="1"/>
      <c r="XS142" s="1"/>
      <c r="XT142" s="1"/>
      <c r="XU142" s="1"/>
      <c r="XV142" s="1"/>
      <c r="XW142" s="1"/>
      <c r="XX142" s="1"/>
      <c r="XY142" s="1"/>
      <c r="XZ142" s="1"/>
      <c r="YA142" s="1"/>
      <c r="YB142" s="1"/>
      <c r="YC142" s="1"/>
      <c r="YD142" s="1"/>
      <c r="YE142" s="1"/>
      <c r="YF142" s="1"/>
      <c r="YG142" s="1"/>
      <c r="YH142" s="1"/>
      <c r="YI142" s="1"/>
      <c r="YJ142" s="1"/>
      <c r="YK142" s="1"/>
      <c r="YL142" s="1"/>
      <c r="YM142" s="1"/>
      <c r="YN142" s="1"/>
      <c r="YO142" s="1"/>
      <c r="YP142" s="1"/>
      <c r="YQ142" s="1"/>
      <c r="YR142" s="1"/>
      <c r="YS142" s="1"/>
      <c r="YT142" s="1"/>
      <c r="YU142" s="1"/>
      <c r="YV142" s="1"/>
      <c r="YW142" s="1"/>
      <c r="YX142" s="1"/>
      <c r="YY142" s="1"/>
      <c r="YZ142" s="1"/>
      <c r="ZA142" s="1"/>
      <c r="ZB142" s="1"/>
      <c r="ZC142" s="1"/>
      <c r="ZD142" s="1"/>
      <c r="ZE142" s="1"/>
      <c r="ZF142" s="1"/>
      <c r="ZG142" s="1"/>
      <c r="ZH142" s="1"/>
      <c r="ZI142" s="1"/>
      <c r="ZJ142" s="1"/>
      <c r="ZK142" s="1"/>
      <c r="ZL142" s="1"/>
      <c r="ZM142" s="1"/>
      <c r="ZN142" s="1"/>
      <c r="ZO142" s="1"/>
      <c r="ZP142" s="1"/>
      <c r="ZQ142" s="1"/>
      <c r="ZR142" s="1"/>
      <c r="ZS142" s="1"/>
      <c r="ZT142" s="1"/>
      <c r="ZU142" s="1"/>
      <c r="ZV142" s="1"/>
      <c r="ZW142" s="1"/>
      <c r="ZX142" s="1"/>
      <c r="ZY142" s="1"/>
      <c r="ZZ142" s="1"/>
      <c r="AAA142" s="1"/>
      <c r="AAB142" s="1"/>
      <c r="AAC142" s="1"/>
      <c r="AAD142" s="1"/>
      <c r="AAE142" s="1"/>
      <c r="AAF142" s="1"/>
      <c r="AAG142" s="1"/>
      <c r="AAH142" s="1"/>
      <c r="AAI142" s="1"/>
      <c r="AAJ142" s="1"/>
      <c r="AAK142" s="1"/>
      <c r="AAL142" s="1"/>
      <c r="AAM142" s="1"/>
      <c r="AAN142" s="1"/>
      <c r="AAO142" s="1"/>
      <c r="AAP142" s="1"/>
      <c r="AAQ142" s="1"/>
      <c r="AAR142" s="1"/>
      <c r="AAS142" s="1"/>
      <c r="AAT142" s="1"/>
      <c r="AAU142" s="1"/>
      <c r="AAV142" s="1"/>
      <c r="AAW142" s="1"/>
      <c r="AAX142" s="1"/>
      <c r="AAY142" s="1"/>
      <c r="AAZ142" s="1"/>
      <c r="ABA142" s="1"/>
      <c r="ABB142" s="1"/>
      <c r="ABC142" s="1"/>
      <c r="ABD142" s="1"/>
      <c r="ABE142" s="1"/>
      <c r="ABF142" s="1"/>
      <c r="ABG142" s="1"/>
      <c r="ABH142" s="1"/>
      <c r="ABI142" s="1"/>
      <c r="ABJ142" s="1"/>
      <c r="ABK142" s="1"/>
      <c r="ABL142" s="1"/>
      <c r="ABM142" s="1"/>
      <c r="ABN142" s="1"/>
      <c r="ABO142" s="1"/>
      <c r="ABP142" s="1"/>
      <c r="ABQ142" s="1"/>
      <c r="ABR142" s="1"/>
      <c r="ABS142" s="1"/>
      <c r="ABT142" s="1"/>
      <c r="ABU142" s="1"/>
      <c r="ABV142" s="1"/>
      <c r="ABW142" s="1"/>
      <c r="ABX142" s="1"/>
      <c r="ABY142" s="1"/>
      <c r="ABZ142" s="1"/>
      <c r="ACA142" s="1"/>
      <c r="ACB142" s="1"/>
      <c r="ACC142" s="1"/>
      <c r="ACD142" s="1"/>
      <c r="ACE142" s="1"/>
      <c r="ACF142" s="1"/>
      <c r="ACG142" s="1"/>
      <c r="ACH142" s="1"/>
      <c r="ACI142" s="1"/>
      <c r="ACJ142" s="1"/>
      <c r="ACK142" s="1"/>
      <c r="ACL142" s="1"/>
      <c r="ACM142" s="1"/>
      <c r="ACN142" s="1"/>
      <c r="ACO142" s="1"/>
      <c r="ACP142" s="1"/>
      <c r="ACQ142" s="1"/>
      <c r="ACR142" s="1"/>
      <c r="ACS142" s="1"/>
      <c r="ACT142" s="1"/>
      <c r="ACU142" s="1"/>
      <c r="ACV142" s="1"/>
      <c r="ACW142" s="1"/>
      <c r="ACX142" s="1"/>
      <c r="ACY142" s="1"/>
      <c r="ACZ142" s="1"/>
      <c r="ADA142" s="1"/>
      <c r="ADB142" s="1"/>
      <c r="ADC142" s="1"/>
      <c r="ADD142" s="1"/>
      <c r="ADE142" s="1"/>
      <c r="ADF142" s="1"/>
      <c r="ADG142" s="1"/>
      <c r="ADH142" s="1"/>
      <c r="ADI142" s="1"/>
      <c r="ADJ142" s="1"/>
      <c r="ADK142" s="1"/>
      <c r="ADL142" s="1"/>
      <c r="ADM142" s="1"/>
      <c r="ADN142" s="1"/>
      <c r="ADO142" s="1"/>
      <c r="ADP142" s="1"/>
      <c r="ADQ142" s="1"/>
      <c r="ADR142" s="1"/>
      <c r="ADS142" s="1"/>
      <c r="ADT142" s="1"/>
      <c r="ADU142" s="1"/>
      <c r="ADV142" s="1"/>
      <c r="ADW142" s="1"/>
      <c r="ADX142" s="1"/>
      <c r="ADY142" s="1"/>
      <c r="ADZ142" s="1"/>
      <c r="AEA142" s="1"/>
      <c r="AEB142" s="1"/>
      <c r="AEC142" s="1"/>
      <c r="AED142" s="1"/>
      <c r="AEE142" s="1"/>
      <c r="AEF142" s="1"/>
      <c r="AEG142" s="1"/>
      <c r="AEH142" s="1"/>
      <c r="AEI142" s="1"/>
      <c r="AEJ142" s="1"/>
      <c r="AEK142" s="1"/>
      <c r="AEL142" s="1"/>
      <c r="AEM142" s="1"/>
      <c r="AEN142" s="1"/>
      <c r="AEO142" s="1"/>
      <c r="AEP142" s="1"/>
      <c r="AEQ142" s="1"/>
      <c r="AER142" s="1"/>
      <c r="AES142" s="1"/>
      <c r="AET142" s="1"/>
      <c r="AEU142" s="1"/>
      <c r="AEV142" s="1"/>
      <c r="AEW142" s="1"/>
      <c r="AEX142" s="1"/>
      <c r="AEY142" s="1"/>
      <c r="AEZ142" s="1"/>
      <c r="AFA142" s="1"/>
      <c r="AFB142" s="1"/>
      <c r="AFC142" s="1"/>
      <c r="AFD142" s="1"/>
      <c r="AFE142" s="1"/>
      <c r="AFF142" s="1"/>
      <c r="AFG142" s="1"/>
      <c r="AFH142" s="1"/>
      <c r="AFI142" s="1"/>
      <c r="AFJ142" s="1"/>
      <c r="AFK142" s="1"/>
      <c r="AFL142" s="1"/>
      <c r="AFM142" s="1"/>
      <c r="AFN142" s="1"/>
      <c r="AFO142" s="1"/>
      <c r="AFP142" s="1"/>
      <c r="AFQ142" s="1"/>
      <c r="AFR142" s="1"/>
      <c r="AFS142" s="1"/>
      <c r="AFT142" s="1"/>
      <c r="AFU142" s="1"/>
      <c r="AFV142" s="1"/>
      <c r="AFW142" s="1"/>
      <c r="AFX142" s="1"/>
      <c r="AFY142" s="1"/>
      <c r="AFZ142" s="1"/>
      <c r="AGA142" s="1"/>
      <c r="AGB142" s="1"/>
      <c r="AGC142" s="1"/>
      <c r="AGD142" s="1"/>
      <c r="AGE142" s="1"/>
      <c r="AGF142" s="1"/>
      <c r="AGG142" s="1"/>
      <c r="AGH142" s="1"/>
      <c r="AGI142" s="1"/>
      <c r="AGJ142" s="1"/>
      <c r="AGK142" s="1"/>
      <c r="AGL142" s="1"/>
      <c r="AGM142" s="1"/>
      <c r="AGN142" s="1"/>
      <c r="AGO142" s="1"/>
      <c r="AGP142" s="1"/>
      <c r="AGQ142" s="1"/>
      <c r="AGR142" s="1"/>
      <c r="AGS142" s="1"/>
      <c r="AGT142" s="1"/>
      <c r="AGU142" s="1"/>
      <c r="AGV142" s="1"/>
      <c r="AGW142" s="1"/>
      <c r="AGX142" s="1"/>
      <c r="AGY142" s="1"/>
      <c r="AGZ142" s="1"/>
      <c r="AHA142" s="1"/>
      <c r="AHB142" s="1"/>
      <c r="AHC142" s="1"/>
      <c r="AHD142" s="1"/>
      <c r="AHE142" s="1"/>
      <c r="AHF142" s="1"/>
      <c r="AHG142" s="1"/>
      <c r="AHH142" s="1"/>
      <c r="AHI142" s="1"/>
      <c r="AHJ142" s="1"/>
      <c r="AHK142" s="1"/>
      <c r="AHL142" s="1"/>
      <c r="AHM142" s="1"/>
      <c r="AHN142" s="1"/>
      <c r="AHO142" s="1"/>
      <c r="AHP142" s="1"/>
      <c r="AHQ142" s="1"/>
      <c r="AHR142" s="1"/>
      <c r="AHS142" s="1"/>
      <c r="AHT142" s="1"/>
      <c r="AHU142" s="1"/>
      <c r="AHV142" s="1"/>
      <c r="AHW142" s="1"/>
      <c r="AHX142" s="1"/>
      <c r="AHY142" s="1"/>
      <c r="AHZ142" s="1"/>
      <c r="AIA142" s="1"/>
      <c r="AIB142" s="1"/>
      <c r="AIC142" s="1"/>
      <c r="AID142" s="1"/>
      <c r="AIE142" s="1"/>
      <c r="AIF142" s="1"/>
      <c r="AIG142" s="1"/>
      <c r="AIH142" s="1"/>
      <c r="AII142" s="1"/>
      <c r="AIJ142" s="1"/>
      <c r="AIK142" s="1"/>
      <c r="AIL142" s="1"/>
      <c r="AIM142" s="1"/>
      <c r="AIN142" s="1"/>
      <c r="AIO142" s="1"/>
      <c r="AIP142" s="1"/>
      <c r="AIQ142" s="1"/>
      <c r="AIR142" s="1"/>
      <c r="AIS142" s="1"/>
      <c r="AIT142" s="1"/>
      <c r="AIU142" s="1"/>
      <c r="AIV142" s="1"/>
      <c r="AIW142" s="1"/>
      <c r="AIX142" s="1"/>
      <c r="AIY142" s="1"/>
      <c r="AIZ142" s="1"/>
      <c r="AJA142" s="1"/>
      <c r="AJB142" s="1"/>
      <c r="AJC142" s="1"/>
      <c r="AJD142" s="1"/>
      <c r="AJE142" s="1"/>
      <c r="AJF142" s="1"/>
      <c r="AJG142" s="1"/>
      <c r="AJH142" s="1"/>
      <c r="AJI142" s="1"/>
      <c r="AJJ142" s="1"/>
      <c r="AJK142" s="1"/>
      <c r="AJL142" s="1"/>
      <c r="AJM142" s="1"/>
      <c r="AJN142" s="1"/>
      <c r="AJO142" s="1"/>
      <c r="AJP142" s="1"/>
      <c r="AJQ142" s="1"/>
      <c r="AJR142" s="1"/>
      <c r="AJS142" s="1"/>
      <c r="AJT142" s="1"/>
      <c r="AJU142" s="1"/>
      <c r="AJV142" s="1"/>
      <c r="AJW142" s="1"/>
      <c r="AJX142" s="1"/>
      <c r="AJY142" s="1"/>
      <c r="AJZ142" s="1"/>
      <c r="AKA142" s="1"/>
      <c r="AKB142" s="1"/>
      <c r="AKC142" s="1"/>
      <c r="AKD142" s="1"/>
      <c r="AKE142" s="1"/>
      <c r="AKF142" s="1"/>
      <c r="AKG142" s="1"/>
      <c r="AKH142" s="1"/>
      <c r="AKI142" s="1"/>
      <c r="AKJ142" s="1"/>
      <c r="AKK142" s="1"/>
      <c r="AKL142" s="1"/>
      <c r="AKM142" s="1"/>
      <c r="AKN142" s="1"/>
      <c r="AKO142" s="1"/>
      <c r="AKP142" s="1"/>
      <c r="AKQ142" s="1"/>
      <c r="AKR142" s="1"/>
      <c r="AKS142" s="1"/>
      <c r="AKT142" s="1"/>
      <c r="AKU142" s="1"/>
      <c r="AKV142" s="1"/>
      <c r="AKW142" s="1"/>
      <c r="AKX142" s="1"/>
      <c r="AKY142" s="1"/>
      <c r="AKZ142" s="1"/>
      <c r="ALA142" s="1"/>
      <c r="ALB142" s="1"/>
      <c r="ALC142" s="1"/>
      <c r="ALD142" s="1"/>
      <c r="ALE142" s="1"/>
      <c r="ALF142" s="1"/>
      <c r="ALG142" s="1"/>
      <c r="ALH142" s="1"/>
      <c r="ALI142" s="1"/>
      <c r="ALJ142" s="1"/>
      <c r="ALK142" s="1"/>
      <c r="ALL142" s="1"/>
      <c r="ALM142" s="1"/>
      <c r="ALN142" s="1"/>
      <c r="ALO142" s="1"/>
      <c r="ALP142" s="1"/>
      <c r="ALQ142" s="1"/>
      <c r="ALR142" s="1"/>
      <c r="ALS142" s="1"/>
      <c r="ALT142" s="1"/>
      <c r="ALU142" s="1"/>
      <c r="ALV142" s="1"/>
      <c r="ALW142" s="1"/>
      <c r="ALX142" s="1"/>
      <c r="ALY142" s="1"/>
      <c r="ALZ142" s="1"/>
      <c r="AMA142" s="1"/>
      <c r="AMB142" s="1"/>
      <c r="AMC142" s="1"/>
      <c r="AMD142" s="1"/>
      <c r="AME142" s="1"/>
      <c r="AMF142" s="1"/>
      <c r="AMG142" s="1"/>
      <c r="AMH142" s="1"/>
      <c r="AMI142" s="1"/>
      <c r="AMJ142" s="1"/>
      <c r="AMK142" s="1"/>
      <c r="AML142" s="1"/>
      <c r="AMM142" s="1"/>
      <c r="AMN142" s="1"/>
      <c r="AMO142" s="1"/>
    </row>
    <row r="143" spans="1:1030" x14ac:dyDescent="0.2">
      <c r="A143" s="3" t="str">
        <f t="shared" si="559"/>
        <v>ccr9_human_5LWE</v>
      </c>
      <c r="B143" s="3" t="s">
        <v>177</v>
      </c>
      <c r="C143" s="3" t="s">
        <v>1372</v>
      </c>
      <c r="D143" s="3" t="str">
        <f>IFERROR(MID(VLOOKUP($B143,Seqs!$A:$B,2,0),E143,1),"")</f>
        <v>V</v>
      </c>
      <c r="E143" s="3">
        <v>43</v>
      </c>
      <c r="F143" s="3" t="str">
        <f>IFERROR(MID(VLOOKUP($B143,Seqs!$A:$B,2,0),G143,1),"")</f>
        <v>C</v>
      </c>
      <c r="G143" s="3">
        <v>76</v>
      </c>
      <c r="H143" s="3" t="str">
        <f>IFERROR(MID(VLOOKUP($B143,Seqs!$A:$B,2,0),I143,1),"")</f>
        <v/>
      </c>
      <c r="I143" s="23" t="s">
        <v>23</v>
      </c>
      <c r="J143" s="3" t="str">
        <f>IFERROR(MID(VLOOKUP($B143,Seqs!$A:$B,2,0),K143,1),"")</f>
        <v/>
      </c>
      <c r="K143" s="23" t="s">
        <v>23</v>
      </c>
      <c r="L143" s="3" t="str">
        <f>IFERROR(MID(VLOOKUP($B143,Seqs!$A:$B,2,0),M143,1),"")</f>
        <v>T</v>
      </c>
      <c r="M143" s="3">
        <v>81</v>
      </c>
      <c r="N143" s="3" t="str">
        <f>IFERROR(MID(VLOOKUP($B143,Seqs!$A:$B,2,0),O143,1),"")</f>
        <v>A</v>
      </c>
      <c r="O143" s="3">
        <v>108</v>
      </c>
      <c r="P143" s="3" t="str">
        <f>IFERROR(MID(VLOOKUP($B143,Seqs!$A:$B,2,0),Q143,1),"")</f>
        <v/>
      </c>
      <c r="Q143" s="3" t="s">
        <v>23</v>
      </c>
      <c r="R143" s="3" t="str">
        <f>IFERROR(MID(VLOOKUP($B143,Seqs!$A:$B,2,0),S143,1),"")</f>
        <v/>
      </c>
      <c r="S143" s="3" t="s">
        <v>23</v>
      </c>
      <c r="T143" s="3" t="str">
        <f>IFERROR(MID(VLOOKUP($B143,Seqs!$A:$B,2,0),U143,1),"")</f>
        <v>C</v>
      </c>
      <c r="U143" s="3">
        <v>119</v>
      </c>
      <c r="V143" s="3" t="str">
        <f>IFERROR(MID(VLOOKUP($B143,Seqs!$A:$B,2,0),W143,1),"")</f>
        <v>Q</v>
      </c>
      <c r="W143" s="3">
        <v>150</v>
      </c>
      <c r="X143" s="3" t="str">
        <f>IFERROR(MID(VLOOKUP($B143,Seqs!$A:$B,2,0),Y143,1),"")</f>
        <v>A</v>
      </c>
      <c r="Y143" s="3">
        <v>151</v>
      </c>
      <c r="Z143" s="3" t="str">
        <f>IFERROR(MID(VLOOKUP($B143,Seqs!$A:$B,2,0),AA143,1),"")</f>
        <v>W</v>
      </c>
      <c r="AA143" s="3">
        <v>157</v>
      </c>
      <c r="AB143" s="3" t="str">
        <f>IFERROR(MID(VLOOKUP($B143,Seqs!$A:$B,2,0),AC143,1),"")</f>
        <v>R</v>
      </c>
      <c r="AC143" s="9">
        <v>158</v>
      </c>
      <c r="AD143" s="3" t="str">
        <f>IFERROR(MID(VLOOKUP($B143,Seqs!$A:$B,2,0),AE143,1),"")</f>
        <v>I</v>
      </c>
      <c r="AE143" s="3">
        <v>184</v>
      </c>
      <c r="AF143" s="3" t="str">
        <f>IFERROR(MID(VLOOKUP($B143,Seqs!$A:$B,2,0),AG143,1),"")</f>
        <v/>
      </c>
      <c r="AG143" s="3" t="s">
        <v>23</v>
      </c>
      <c r="AH143" s="3" t="str">
        <f>IFERROR(MID(VLOOKUP($B143,Seqs!$A:$B,2,0),AI143,1),"")</f>
        <v/>
      </c>
      <c r="AI143" s="3" t="s">
        <v>23</v>
      </c>
      <c r="AJ143" s="3" t="str">
        <f>IFERROR(MID(VLOOKUP($B143,Seqs!$A:$B,2,0),AK143,1),"")</f>
        <v/>
      </c>
      <c r="AK143" s="3" t="s">
        <v>23</v>
      </c>
      <c r="AL143" s="3" t="str">
        <f>IFERROR(MID(VLOOKUP($B143,Seqs!$A:$B,2,0),AM143,1),"")</f>
        <v/>
      </c>
      <c r="AM143" s="3" t="s">
        <v>23</v>
      </c>
      <c r="AN143" s="3" t="str">
        <f>IFERROR(MID(VLOOKUP($B143,Seqs!$A:$B,2,0),AO143,1),"")</f>
        <v>S</v>
      </c>
      <c r="AO143" s="3">
        <v>247</v>
      </c>
      <c r="AP143" s="3" t="str">
        <f>IFERROR(MID(VLOOKUP($B143,Seqs!$A:$B,2,0),AQ143,1),"")</f>
        <v>M</v>
      </c>
      <c r="AQ143" s="3">
        <v>284</v>
      </c>
      <c r="AR143" s="3" t="str">
        <f>IFERROR(MID(VLOOKUP($B143,Seqs!$A:$B,2,0),AS143,1),"")</f>
        <v>N</v>
      </c>
      <c r="AS143" s="3">
        <v>288</v>
      </c>
      <c r="AT143" s="3" t="str">
        <f>IFERROR(MID(VLOOKUP($B143,Seqs!$A:$B,2,0),AU143,1),"")</f>
        <v>V</v>
      </c>
      <c r="AU143" s="3">
        <v>320</v>
      </c>
      <c r="AV143" s="3" t="str">
        <f>IFERROR(MID(VLOOKUP($B143,Seqs!$A:$B,2,0),AW143,1),"")</f>
        <v>G</v>
      </c>
      <c r="AW143" s="3">
        <v>321</v>
      </c>
      <c r="AX143" s="3" t="str">
        <f>IFERROR(MID(VLOOKUP($B143,Seqs!$A:$B,2,0),AY143,1),"")</f>
        <v>A</v>
      </c>
      <c r="AY143" s="3">
        <v>341</v>
      </c>
      <c r="AZ143" s="77" t="str">
        <f>VLOOKUP(B143,Classification!A:D,2,0)</f>
        <v>A</v>
      </c>
      <c r="BA143" s="94" t="str">
        <f>VLOOKUP(B143,Classification!A:D,4,0)</f>
        <v>Chemokine</v>
      </c>
      <c r="BB143" s="27" t="b">
        <f t="shared" si="560"/>
        <v>0</v>
      </c>
      <c r="BC143" s="23">
        <f t="shared" si="365"/>
        <v>224</v>
      </c>
      <c r="BD143" s="16" t="s">
        <v>1383</v>
      </c>
      <c r="BE143" s="3" t="s">
        <v>1381</v>
      </c>
      <c r="BF143" s="119">
        <v>2.8</v>
      </c>
      <c r="BG143" s="49" t="s">
        <v>1384</v>
      </c>
      <c r="BH143" s="49" t="s">
        <v>1384</v>
      </c>
      <c r="BI143" s="1"/>
      <c r="BJ143" s="70" t="s">
        <v>1293</v>
      </c>
      <c r="BK143" s="57" t="s">
        <v>1293</v>
      </c>
      <c r="BL143" s="57" t="s">
        <v>1293</v>
      </c>
      <c r="BM143" s="57" t="s">
        <v>1293</v>
      </c>
      <c r="BN143" s="57" t="s">
        <v>1293</v>
      </c>
      <c r="BO143" s="57" t="s">
        <v>1293</v>
      </c>
      <c r="BP143" s="57" t="s">
        <v>1293</v>
      </c>
      <c r="BQ143" s="57" t="s">
        <v>1293</v>
      </c>
      <c r="BR143" s="57" t="s">
        <v>1293</v>
      </c>
      <c r="BS143" s="57" t="s">
        <v>1293</v>
      </c>
      <c r="BT143" s="57" t="s">
        <v>1293</v>
      </c>
      <c r="BU143" s="57" t="s">
        <v>1293</v>
      </c>
      <c r="BV143" s="70">
        <f t="shared" si="366"/>
        <v>43</v>
      </c>
      <c r="BW143" s="71" t="str">
        <f t="shared" si="367"/>
        <v>-</v>
      </c>
      <c r="BX143" s="72">
        <f t="shared" si="368"/>
        <v>81</v>
      </c>
      <c r="BY143" s="71" t="str">
        <f t="shared" si="369"/>
        <v>-</v>
      </c>
      <c r="BZ143" s="72">
        <f t="shared" si="370"/>
        <v>119</v>
      </c>
      <c r="CA143" s="71">
        <f t="shared" si="371"/>
        <v>151</v>
      </c>
      <c r="CB143" s="72">
        <f t="shared" si="372"/>
        <v>158</v>
      </c>
      <c r="CC143" s="71" t="str">
        <f t="shared" si="373"/>
        <v>-</v>
      </c>
      <c r="CD143" s="72" t="str">
        <f t="shared" si="374"/>
        <v>-</v>
      </c>
      <c r="CE143" s="71">
        <f t="shared" si="375"/>
        <v>247</v>
      </c>
      <c r="CF143" s="72">
        <f t="shared" si="376"/>
        <v>288</v>
      </c>
      <c r="CG143" s="71">
        <f t="shared" si="377"/>
        <v>321</v>
      </c>
      <c r="CH143" s="70">
        <f t="shared" si="378"/>
        <v>76</v>
      </c>
      <c r="CI143" s="71" t="str">
        <f t="shared" si="379"/>
        <v>-</v>
      </c>
      <c r="CJ143" s="72">
        <f t="shared" si="380"/>
        <v>108</v>
      </c>
      <c r="CK143" s="72" t="str">
        <f t="shared" si="381"/>
        <v>-</v>
      </c>
      <c r="CL143" s="72">
        <f t="shared" si="382"/>
        <v>150</v>
      </c>
      <c r="CM143" s="72">
        <f t="shared" si="383"/>
        <v>157</v>
      </c>
      <c r="CN143" s="72">
        <f t="shared" si="384"/>
        <v>184</v>
      </c>
      <c r="CO143" s="72" t="str">
        <f t="shared" si="385"/>
        <v>-</v>
      </c>
      <c r="CP143" s="72" t="str">
        <f t="shared" si="386"/>
        <v>-</v>
      </c>
      <c r="CQ143" s="72">
        <f t="shared" si="387"/>
        <v>284</v>
      </c>
      <c r="CR143" s="72">
        <f t="shared" si="388"/>
        <v>320</v>
      </c>
      <c r="CS143" s="72">
        <f t="shared" si="389"/>
        <v>341</v>
      </c>
      <c r="CT143" s="23" t="e">
        <f t="shared" si="390"/>
        <v>#VALUE!</v>
      </c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  <c r="OK143" s="1"/>
      <c r="OL143" s="1"/>
      <c r="OM143" s="1"/>
      <c r="ON143" s="1"/>
      <c r="OO143" s="1"/>
      <c r="OP143" s="1"/>
      <c r="OQ143" s="1"/>
      <c r="OR143" s="1"/>
      <c r="OS143" s="1"/>
      <c r="OT143" s="1"/>
      <c r="OU143" s="1"/>
      <c r="OV143" s="1"/>
      <c r="OW143" s="1"/>
      <c r="OX143" s="1"/>
      <c r="OY143" s="1"/>
      <c r="OZ143" s="1"/>
      <c r="PA143" s="1"/>
      <c r="PB143" s="1"/>
      <c r="PC143" s="1"/>
      <c r="PD143" s="1"/>
      <c r="PE143" s="1"/>
      <c r="PF143" s="1"/>
      <c r="PG143" s="1"/>
      <c r="PH143" s="1"/>
      <c r="PI143" s="1"/>
      <c r="PJ143" s="1"/>
      <c r="PK143" s="1"/>
      <c r="PL143" s="1"/>
      <c r="PM143" s="1"/>
      <c r="PN143" s="1"/>
      <c r="PO143" s="1"/>
      <c r="PP143" s="1"/>
      <c r="PQ143" s="1"/>
      <c r="PR143" s="1"/>
      <c r="PS143" s="1"/>
      <c r="PT143" s="1"/>
      <c r="PU143" s="1"/>
      <c r="PV143" s="1"/>
      <c r="PW143" s="1"/>
      <c r="PX143" s="1"/>
      <c r="PY143" s="1"/>
      <c r="PZ143" s="1"/>
      <c r="QA143" s="1"/>
      <c r="QB143" s="1"/>
      <c r="QC143" s="1"/>
      <c r="QD143" s="1"/>
      <c r="QE143" s="1"/>
      <c r="QF143" s="1"/>
      <c r="QG143" s="1"/>
      <c r="QH143" s="1"/>
      <c r="QI143" s="1"/>
      <c r="QJ143" s="1"/>
      <c r="QK143" s="1"/>
      <c r="QL143" s="1"/>
      <c r="QM143" s="1"/>
      <c r="QN143" s="1"/>
      <c r="QO143" s="1"/>
      <c r="QP143" s="1"/>
      <c r="QQ143" s="1"/>
      <c r="QR143" s="1"/>
      <c r="QS143" s="1"/>
      <c r="QT143" s="1"/>
      <c r="QU143" s="1"/>
      <c r="QV143" s="1"/>
      <c r="QW143" s="1"/>
      <c r="QX143" s="1"/>
      <c r="QY143" s="1"/>
      <c r="QZ143" s="1"/>
      <c r="RA143" s="1"/>
      <c r="RB143" s="1"/>
      <c r="RC143" s="1"/>
      <c r="RD143" s="1"/>
      <c r="RE143" s="1"/>
      <c r="RF143" s="1"/>
      <c r="RG143" s="1"/>
      <c r="RH143" s="1"/>
      <c r="RI143" s="1"/>
      <c r="RJ143" s="1"/>
      <c r="RK143" s="1"/>
      <c r="RL143" s="1"/>
      <c r="RM143" s="1"/>
      <c r="RN143" s="1"/>
      <c r="RO143" s="1"/>
      <c r="RP143" s="1"/>
      <c r="RQ143" s="1"/>
      <c r="RR143" s="1"/>
      <c r="RS143" s="1"/>
      <c r="RT143" s="1"/>
      <c r="RU143" s="1"/>
      <c r="RV143" s="1"/>
      <c r="RW143" s="1"/>
      <c r="RX143" s="1"/>
      <c r="RY143" s="1"/>
      <c r="RZ143" s="1"/>
      <c r="SA143" s="1"/>
      <c r="SB143" s="1"/>
      <c r="SC143" s="1"/>
      <c r="SD143" s="1"/>
      <c r="SE143" s="1"/>
      <c r="SF143" s="1"/>
      <c r="SG143" s="1"/>
      <c r="SH143" s="1"/>
      <c r="SI143" s="1"/>
      <c r="SJ143" s="1"/>
      <c r="SK143" s="1"/>
      <c r="SL143" s="1"/>
      <c r="SM143" s="1"/>
      <c r="SN143" s="1"/>
      <c r="SO143" s="1"/>
      <c r="SP143" s="1"/>
      <c r="SQ143" s="1"/>
      <c r="SR143" s="1"/>
      <c r="SS143" s="1"/>
      <c r="ST143" s="1"/>
      <c r="SU143" s="1"/>
      <c r="SV143" s="1"/>
      <c r="SW143" s="1"/>
      <c r="SX143" s="1"/>
      <c r="SY143" s="1"/>
      <c r="SZ143" s="1"/>
      <c r="TA143" s="1"/>
      <c r="TB143" s="1"/>
      <c r="TC143" s="1"/>
      <c r="TD143" s="1"/>
      <c r="TE143" s="1"/>
      <c r="TF143" s="1"/>
      <c r="TG143" s="1"/>
      <c r="TH143" s="1"/>
      <c r="TI143" s="1"/>
      <c r="TJ143" s="1"/>
      <c r="TK143" s="1"/>
      <c r="TL143" s="1"/>
      <c r="TM143" s="1"/>
      <c r="TN143" s="1"/>
      <c r="TO143" s="1"/>
      <c r="TP143" s="1"/>
      <c r="TQ143" s="1"/>
      <c r="TR143" s="1"/>
      <c r="TS143" s="1"/>
      <c r="TT143" s="1"/>
      <c r="TU143" s="1"/>
      <c r="TV143" s="1"/>
      <c r="TW143" s="1"/>
      <c r="TX143" s="1"/>
      <c r="TY143" s="1"/>
      <c r="TZ143" s="1"/>
      <c r="UA143" s="1"/>
      <c r="UB143" s="1"/>
      <c r="UC143" s="1"/>
      <c r="UD143" s="1"/>
      <c r="UE143" s="1"/>
      <c r="UF143" s="1"/>
      <c r="UG143" s="1"/>
      <c r="UH143" s="1"/>
      <c r="UI143" s="1"/>
      <c r="UJ143" s="1"/>
      <c r="UK143" s="1"/>
      <c r="UL143" s="1"/>
      <c r="UM143" s="1"/>
      <c r="UN143" s="1"/>
      <c r="UO143" s="1"/>
      <c r="UP143" s="1"/>
      <c r="UQ143" s="1"/>
      <c r="UR143" s="1"/>
      <c r="US143" s="1"/>
      <c r="UT143" s="1"/>
      <c r="UU143" s="1"/>
      <c r="UV143" s="1"/>
      <c r="UW143" s="1"/>
      <c r="UX143" s="1"/>
      <c r="UY143" s="1"/>
      <c r="UZ143" s="1"/>
      <c r="VA143" s="1"/>
      <c r="VB143" s="1"/>
      <c r="VC143" s="1"/>
      <c r="VD143" s="1"/>
      <c r="VE143" s="1"/>
      <c r="VF143" s="1"/>
      <c r="VG143" s="1"/>
      <c r="VH143" s="1"/>
      <c r="VI143" s="1"/>
      <c r="VJ143" s="1"/>
      <c r="VK143" s="1"/>
      <c r="VL143" s="1"/>
      <c r="VM143" s="1"/>
      <c r="VN143" s="1"/>
      <c r="VO143" s="1"/>
      <c r="VP143" s="1"/>
      <c r="VQ143" s="1"/>
      <c r="VR143" s="1"/>
      <c r="VS143" s="1"/>
      <c r="VT143" s="1"/>
      <c r="VU143" s="1"/>
      <c r="VV143" s="1"/>
      <c r="VW143" s="1"/>
      <c r="VX143" s="1"/>
      <c r="VY143" s="1"/>
      <c r="VZ143" s="1"/>
      <c r="WA143" s="1"/>
      <c r="WB143" s="1"/>
      <c r="WC143" s="1"/>
      <c r="WD143" s="1"/>
      <c r="WE143" s="1"/>
      <c r="WF143" s="1"/>
      <c r="WG143" s="1"/>
      <c r="WH143" s="1"/>
      <c r="WI143" s="1"/>
      <c r="WJ143" s="1"/>
      <c r="WK143" s="1"/>
      <c r="WL143" s="1"/>
      <c r="WM143" s="1"/>
      <c r="WN143" s="1"/>
      <c r="WO143" s="1"/>
      <c r="WP143" s="1"/>
      <c r="WQ143" s="1"/>
      <c r="WR143" s="1"/>
      <c r="WS143" s="1"/>
      <c r="WT143" s="1"/>
      <c r="WU143" s="1"/>
      <c r="WV143" s="1"/>
      <c r="WW143" s="1"/>
      <c r="WX143" s="1"/>
      <c r="WY143" s="1"/>
      <c r="WZ143" s="1"/>
      <c r="XA143" s="1"/>
      <c r="XB143" s="1"/>
      <c r="XC143" s="1"/>
      <c r="XD143" s="1"/>
      <c r="XE143" s="1"/>
      <c r="XF143" s="1"/>
      <c r="XG143" s="1"/>
      <c r="XH143" s="1"/>
      <c r="XI143" s="1"/>
      <c r="XJ143" s="1"/>
      <c r="XK143" s="1"/>
      <c r="XL143" s="1"/>
      <c r="XM143" s="1"/>
      <c r="XN143" s="1"/>
      <c r="XO143" s="1"/>
      <c r="XP143" s="1"/>
      <c r="XQ143" s="1"/>
      <c r="XR143" s="1"/>
      <c r="XS143" s="1"/>
      <c r="XT143" s="1"/>
      <c r="XU143" s="1"/>
      <c r="XV143" s="1"/>
      <c r="XW143" s="1"/>
      <c r="XX143" s="1"/>
      <c r="XY143" s="1"/>
      <c r="XZ143" s="1"/>
      <c r="YA143" s="1"/>
      <c r="YB143" s="1"/>
      <c r="YC143" s="1"/>
      <c r="YD143" s="1"/>
      <c r="YE143" s="1"/>
      <c r="YF143" s="1"/>
      <c r="YG143" s="1"/>
      <c r="YH143" s="1"/>
      <c r="YI143" s="1"/>
      <c r="YJ143" s="1"/>
      <c r="YK143" s="1"/>
      <c r="YL143" s="1"/>
      <c r="YM143" s="1"/>
      <c r="YN143" s="1"/>
      <c r="YO143" s="1"/>
      <c r="YP143" s="1"/>
      <c r="YQ143" s="1"/>
      <c r="YR143" s="1"/>
      <c r="YS143" s="1"/>
      <c r="YT143" s="1"/>
      <c r="YU143" s="1"/>
      <c r="YV143" s="1"/>
      <c r="YW143" s="1"/>
      <c r="YX143" s="1"/>
      <c r="YY143" s="1"/>
      <c r="YZ143" s="1"/>
      <c r="ZA143" s="1"/>
      <c r="ZB143" s="1"/>
      <c r="ZC143" s="1"/>
      <c r="ZD143" s="1"/>
      <c r="ZE143" s="1"/>
      <c r="ZF143" s="1"/>
      <c r="ZG143" s="1"/>
      <c r="ZH143" s="1"/>
      <c r="ZI143" s="1"/>
      <c r="ZJ143" s="1"/>
      <c r="ZK143" s="1"/>
      <c r="ZL143" s="1"/>
      <c r="ZM143" s="1"/>
      <c r="ZN143" s="1"/>
      <c r="ZO143" s="1"/>
      <c r="ZP143" s="1"/>
      <c r="ZQ143" s="1"/>
      <c r="ZR143" s="1"/>
      <c r="ZS143" s="1"/>
      <c r="ZT143" s="1"/>
      <c r="ZU143" s="1"/>
      <c r="ZV143" s="1"/>
      <c r="ZW143" s="1"/>
      <c r="ZX143" s="1"/>
      <c r="ZY143" s="1"/>
      <c r="ZZ143" s="1"/>
      <c r="AAA143" s="1"/>
      <c r="AAB143" s="1"/>
      <c r="AAC143" s="1"/>
      <c r="AAD143" s="1"/>
      <c r="AAE143" s="1"/>
      <c r="AAF143" s="1"/>
      <c r="AAG143" s="1"/>
      <c r="AAH143" s="1"/>
      <c r="AAI143" s="1"/>
      <c r="AAJ143" s="1"/>
      <c r="AAK143" s="1"/>
      <c r="AAL143" s="1"/>
      <c r="AAM143" s="1"/>
      <c r="AAN143" s="1"/>
      <c r="AAO143" s="1"/>
      <c r="AAP143" s="1"/>
      <c r="AAQ143" s="1"/>
      <c r="AAR143" s="1"/>
      <c r="AAS143" s="1"/>
      <c r="AAT143" s="1"/>
      <c r="AAU143" s="1"/>
      <c r="AAV143" s="1"/>
      <c r="AAW143" s="1"/>
      <c r="AAX143" s="1"/>
      <c r="AAY143" s="1"/>
      <c r="AAZ143" s="1"/>
      <c r="ABA143" s="1"/>
      <c r="ABB143" s="1"/>
      <c r="ABC143" s="1"/>
      <c r="ABD143" s="1"/>
      <c r="ABE143" s="1"/>
      <c r="ABF143" s="1"/>
      <c r="ABG143" s="1"/>
      <c r="ABH143" s="1"/>
      <c r="ABI143" s="1"/>
      <c r="ABJ143" s="1"/>
      <c r="ABK143" s="1"/>
      <c r="ABL143" s="1"/>
      <c r="ABM143" s="1"/>
      <c r="ABN143" s="1"/>
      <c r="ABO143" s="1"/>
      <c r="ABP143" s="1"/>
      <c r="ABQ143" s="1"/>
      <c r="ABR143" s="1"/>
      <c r="ABS143" s="1"/>
      <c r="ABT143" s="1"/>
      <c r="ABU143" s="1"/>
      <c r="ABV143" s="1"/>
      <c r="ABW143" s="1"/>
      <c r="ABX143" s="1"/>
      <c r="ABY143" s="1"/>
      <c r="ABZ143" s="1"/>
      <c r="ACA143" s="1"/>
      <c r="ACB143" s="1"/>
      <c r="ACC143" s="1"/>
      <c r="ACD143" s="1"/>
      <c r="ACE143" s="1"/>
      <c r="ACF143" s="1"/>
      <c r="ACG143" s="1"/>
      <c r="ACH143" s="1"/>
      <c r="ACI143" s="1"/>
      <c r="ACJ143" s="1"/>
      <c r="ACK143" s="1"/>
      <c r="ACL143" s="1"/>
      <c r="ACM143" s="1"/>
      <c r="ACN143" s="1"/>
      <c r="ACO143" s="1"/>
      <c r="ACP143" s="1"/>
      <c r="ACQ143" s="1"/>
      <c r="ACR143" s="1"/>
      <c r="ACS143" s="1"/>
      <c r="ACT143" s="1"/>
      <c r="ACU143" s="1"/>
      <c r="ACV143" s="1"/>
      <c r="ACW143" s="1"/>
      <c r="ACX143" s="1"/>
      <c r="ACY143" s="1"/>
      <c r="ACZ143" s="1"/>
      <c r="ADA143" s="1"/>
      <c r="ADB143" s="1"/>
      <c r="ADC143" s="1"/>
      <c r="ADD143" s="1"/>
      <c r="ADE143" s="1"/>
      <c r="ADF143" s="1"/>
      <c r="ADG143" s="1"/>
      <c r="ADH143" s="1"/>
      <c r="ADI143" s="1"/>
      <c r="ADJ143" s="1"/>
      <c r="ADK143" s="1"/>
      <c r="ADL143" s="1"/>
      <c r="ADM143" s="1"/>
      <c r="ADN143" s="1"/>
      <c r="ADO143" s="1"/>
      <c r="ADP143" s="1"/>
      <c r="ADQ143" s="1"/>
      <c r="ADR143" s="1"/>
      <c r="ADS143" s="1"/>
      <c r="ADT143" s="1"/>
      <c r="ADU143" s="1"/>
      <c r="ADV143" s="1"/>
      <c r="ADW143" s="1"/>
      <c r="ADX143" s="1"/>
      <c r="ADY143" s="1"/>
      <c r="ADZ143" s="1"/>
      <c r="AEA143" s="1"/>
      <c r="AEB143" s="1"/>
      <c r="AEC143" s="1"/>
      <c r="AED143" s="1"/>
      <c r="AEE143" s="1"/>
      <c r="AEF143" s="1"/>
      <c r="AEG143" s="1"/>
      <c r="AEH143" s="1"/>
      <c r="AEI143" s="1"/>
      <c r="AEJ143" s="1"/>
      <c r="AEK143" s="1"/>
      <c r="AEL143" s="1"/>
      <c r="AEM143" s="1"/>
      <c r="AEN143" s="1"/>
      <c r="AEO143" s="1"/>
      <c r="AEP143" s="1"/>
      <c r="AEQ143" s="1"/>
      <c r="AER143" s="1"/>
      <c r="AES143" s="1"/>
      <c r="AET143" s="1"/>
      <c r="AEU143" s="1"/>
      <c r="AEV143" s="1"/>
      <c r="AEW143" s="1"/>
      <c r="AEX143" s="1"/>
      <c r="AEY143" s="1"/>
      <c r="AEZ143" s="1"/>
      <c r="AFA143" s="1"/>
      <c r="AFB143" s="1"/>
      <c r="AFC143" s="1"/>
      <c r="AFD143" s="1"/>
      <c r="AFE143" s="1"/>
      <c r="AFF143" s="1"/>
      <c r="AFG143" s="1"/>
      <c r="AFH143" s="1"/>
      <c r="AFI143" s="1"/>
      <c r="AFJ143" s="1"/>
      <c r="AFK143" s="1"/>
      <c r="AFL143" s="1"/>
      <c r="AFM143" s="1"/>
      <c r="AFN143" s="1"/>
      <c r="AFO143" s="1"/>
      <c r="AFP143" s="1"/>
      <c r="AFQ143" s="1"/>
      <c r="AFR143" s="1"/>
      <c r="AFS143" s="1"/>
      <c r="AFT143" s="1"/>
      <c r="AFU143" s="1"/>
      <c r="AFV143" s="1"/>
      <c r="AFW143" s="1"/>
      <c r="AFX143" s="1"/>
      <c r="AFY143" s="1"/>
      <c r="AFZ143" s="1"/>
      <c r="AGA143" s="1"/>
      <c r="AGB143" s="1"/>
      <c r="AGC143" s="1"/>
      <c r="AGD143" s="1"/>
      <c r="AGE143" s="1"/>
      <c r="AGF143" s="1"/>
      <c r="AGG143" s="1"/>
      <c r="AGH143" s="1"/>
      <c r="AGI143" s="1"/>
      <c r="AGJ143" s="1"/>
      <c r="AGK143" s="1"/>
      <c r="AGL143" s="1"/>
      <c r="AGM143" s="1"/>
      <c r="AGN143" s="1"/>
      <c r="AGO143" s="1"/>
      <c r="AGP143" s="1"/>
      <c r="AGQ143" s="1"/>
      <c r="AGR143" s="1"/>
      <c r="AGS143" s="1"/>
      <c r="AGT143" s="1"/>
      <c r="AGU143" s="1"/>
      <c r="AGV143" s="1"/>
      <c r="AGW143" s="1"/>
      <c r="AGX143" s="1"/>
      <c r="AGY143" s="1"/>
      <c r="AGZ143" s="1"/>
      <c r="AHA143" s="1"/>
      <c r="AHB143" s="1"/>
      <c r="AHC143" s="1"/>
      <c r="AHD143" s="1"/>
      <c r="AHE143" s="1"/>
      <c r="AHF143" s="1"/>
      <c r="AHG143" s="1"/>
      <c r="AHH143" s="1"/>
      <c r="AHI143" s="1"/>
      <c r="AHJ143" s="1"/>
      <c r="AHK143" s="1"/>
      <c r="AHL143" s="1"/>
      <c r="AHM143" s="1"/>
      <c r="AHN143" s="1"/>
      <c r="AHO143" s="1"/>
      <c r="AHP143" s="1"/>
      <c r="AHQ143" s="1"/>
      <c r="AHR143" s="1"/>
      <c r="AHS143" s="1"/>
      <c r="AHT143" s="1"/>
      <c r="AHU143" s="1"/>
      <c r="AHV143" s="1"/>
      <c r="AHW143" s="1"/>
      <c r="AHX143" s="1"/>
      <c r="AHY143" s="1"/>
      <c r="AHZ143" s="1"/>
      <c r="AIA143" s="1"/>
      <c r="AIB143" s="1"/>
      <c r="AIC143" s="1"/>
      <c r="AID143" s="1"/>
      <c r="AIE143" s="1"/>
      <c r="AIF143" s="1"/>
      <c r="AIG143" s="1"/>
      <c r="AIH143" s="1"/>
      <c r="AII143" s="1"/>
      <c r="AIJ143" s="1"/>
      <c r="AIK143" s="1"/>
      <c r="AIL143" s="1"/>
      <c r="AIM143" s="1"/>
      <c r="AIN143" s="1"/>
      <c r="AIO143" s="1"/>
      <c r="AIP143" s="1"/>
      <c r="AIQ143" s="1"/>
      <c r="AIR143" s="1"/>
      <c r="AIS143" s="1"/>
      <c r="AIT143" s="1"/>
      <c r="AIU143" s="1"/>
      <c r="AIV143" s="1"/>
      <c r="AIW143" s="1"/>
      <c r="AIX143" s="1"/>
      <c r="AIY143" s="1"/>
      <c r="AIZ143" s="1"/>
      <c r="AJA143" s="1"/>
      <c r="AJB143" s="1"/>
      <c r="AJC143" s="1"/>
      <c r="AJD143" s="1"/>
      <c r="AJE143" s="1"/>
      <c r="AJF143" s="1"/>
      <c r="AJG143" s="1"/>
      <c r="AJH143" s="1"/>
      <c r="AJI143" s="1"/>
      <c r="AJJ143" s="1"/>
      <c r="AJK143" s="1"/>
      <c r="AJL143" s="1"/>
      <c r="AJM143" s="1"/>
      <c r="AJN143" s="1"/>
      <c r="AJO143" s="1"/>
      <c r="AJP143" s="1"/>
      <c r="AJQ143" s="1"/>
      <c r="AJR143" s="1"/>
      <c r="AJS143" s="1"/>
      <c r="AJT143" s="1"/>
      <c r="AJU143" s="1"/>
      <c r="AJV143" s="1"/>
      <c r="AJW143" s="1"/>
      <c r="AJX143" s="1"/>
      <c r="AJY143" s="1"/>
      <c r="AJZ143" s="1"/>
      <c r="AKA143" s="1"/>
      <c r="AKB143" s="1"/>
      <c r="AKC143" s="1"/>
      <c r="AKD143" s="1"/>
      <c r="AKE143" s="1"/>
      <c r="AKF143" s="1"/>
      <c r="AKG143" s="1"/>
      <c r="AKH143" s="1"/>
      <c r="AKI143" s="1"/>
      <c r="AKJ143" s="1"/>
      <c r="AKK143" s="1"/>
      <c r="AKL143" s="1"/>
      <c r="AKM143" s="1"/>
      <c r="AKN143" s="1"/>
      <c r="AKO143" s="1"/>
      <c r="AKP143" s="1"/>
      <c r="AKQ143" s="1"/>
      <c r="AKR143" s="1"/>
      <c r="AKS143" s="1"/>
      <c r="AKT143" s="1"/>
      <c r="AKU143" s="1"/>
      <c r="AKV143" s="1"/>
      <c r="AKW143" s="1"/>
      <c r="AKX143" s="1"/>
      <c r="AKY143" s="1"/>
      <c r="AKZ143" s="1"/>
      <c r="ALA143" s="1"/>
      <c r="ALB143" s="1"/>
      <c r="ALC143" s="1"/>
      <c r="ALD143" s="1"/>
      <c r="ALE143" s="1"/>
      <c r="ALF143" s="1"/>
      <c r="ALG143" s="1"/>
      <c r="ALH143" s="1"/>
      <c r="ALI143" s="1"/>
      <c r="ALJ143" s="1"/>
      <c r="ALK143" s="1"/>
      <c r="ALL143" s="1"/>
      <c r="ALM143" s="1"/>
      <c r="ALN143" s="1"/>
      <c r="ALO143" s="1"/>
      <c r="ALP143" s="1"/>
      <c r="ALQ143" s="1"/>
      <c r="ALR143" s="1"/>
      <c r="ALS143" s="1"/>
      <c r="ALT143" s="1"/>
      <c r="ALU143" s="1"/>
      <c r="ALV143" s="1"/>
      <c r="ALW143" s="1"/>
      <c r="ALX143" s="1"/>
      <c r="ALY143" s="1"/>
      <c r="ALZ143" s="1"/>
      <c r="AMA143" s="1"/>
      <c r="AMB143" s="1"/>
      <c r="AMC143" s="1"/>
      <c r="AMD143" s="1"/>
      <c r="AME143" s="1"/>
      <c r="AMF143" s="1"/>
      <c r="AMG143" s="1"/>
      <c r="AMH143" s="1"/>
      <c r="AMI143" s="1"/>
      <c r="AMJ143" s="1"/>
      <c r="AMK143" s="1"/>
      <c r="AML143" s="1"/>
      <c r="AMM143" s="1"/>
      <c r="AMN143" s="1"/>
      <c r="AMO143" s="1"/>
    </row>
    <row r="144" spans="1:1030" x14ac:dyDescent="0.2">
      <c r="A144" s="3" t="str">
        <f>CONCATENATE(B144,"_",C144)</f>
        <v>ccr9_human_5LWE_dist</v>
      </c>
      <c r="B144" s="3" t="s">
        <v>177</v>
      </c>
      <c r="C144" s="3" t="s">
        <v>1391</v>
      </c>
      <c r="D144" s="3" t="str">
        <f>IFERROR(MID(VLOOKUP($B144,Seqs!$A:$B,2,0),E144,1),"")</f>
        <v>V</v>
      </c>
      <c r="E144" s="3">
        <v>43</v>
      </c>
      <c r="F144" s="3" t="str">
        <f>IFERROR(MID(VLOOKUP($B144,Seqs!$A:$B,2,0),G144,1),"")</f>
        <v>C</v>
      </c>
      <c r="G144" s="3">
        <v>76</v>
      </c>
      <c r="H144" s="3" t="str">
        <f>IFERROR(MID(VLOOKUP($B144,Seqs!$A:$B,2,0),I144,1),"")</f>
        <v/>
      </c>
      <c r="I144" s="23" t="s">
        <v>23</v>
      </c>
      <c r="J144" s="3" t="str">
        <f>IFERROR(MID(VLOOKUP($B144,Seqs!$A:$B,2,0),K144,1),"")</f>
        <v/>
      </c>
      <c r="K144" s="23" t="s">
        <v>23</v>
      </c>
      <c r="L144" s="3" t="str">
        <f>IFERROR(MID(VLOOKUP($B144,Seqs!$A:$B,2,0),M144,1),"")</f>
        <v>T</v>
      </c>
      <c r="M144" s="3">
        <v>81</v>
      </c>
      <c r="N144" s="3" t="str">
        <f>IFERROR(MID(VLOOKUP($B144,Seqs!$A:$B,2,0),O144,1),"")</f>
        <v>A</v>
      </c>
      <c r="O144" s="3">
        <v>108</v>
      </c>
      <c r="P144" s="3" t="str">
        <f>IFERROR(MID(VLOOKUP($B144,Seqs!$A:$B,2,0),Q144,1),"")</f>
        <v/>
      </c>
      <c r="Q144" s="3" t="s">
        <v>23</v>
      </c>
      <c r="R144" s="3" t="str">
        <f>IFERROR(MID(VLOOKUP($B144,Seqs!$A:$B,2,0),S144,1),"")</f>
        <v/>
      </c>
      <c r="S144" s="3" t="s">
        <v>23</v>
      </c>
      <c r="T144" s="3" t="str">
        <f>IFERROR(MID(VLOOKUP($B144,Seqs!$A:$B,2,0),U144,1),"")</f>
        <v>C</v>
      </c>
      <c r="U144" s="3">
        <v>119</v>
      </c>
      <c r="V144" s="3" t="str">
        <f>IFERROR(MID(VLOOKUP($B144,Seqs!$A:$B,2,0),W144,1),"")</f>
        <v>Q</v>
      </c>
      <c r="W144" s="3">
        <v>150</v>
      </c>
      <c r="X144" s="3" t="str">
        <f>IFERROR(MID(VLOOKUP($B144,Seqs!$A:$B,2,0),Y144,1),"")</f>
        <v>A</v>
      </c>
      <c r="Y144" s="3">
        <v>151</v>
      </c>
      <c r="Z144" s="3" t="str">
        <f>IFERROR(MID(VLOOKUP($B144,Seqs!$A:$B,2,0),AA144,1),"")</f>
        <v>W</v>
      </c>
      <c r="AA144" s="3">
        <v>157</v>
      </c>
      <c r="AB144" s="3" t="str">
        <f>IFERROR(MID(VLOOKUP($B144,Seqs!$A:$B,2,0),AC144,1),"")</f>
        <v>R</v>
      </c>
      <c r="AC144" s="9">
        <v>158</v>
      </c>
      <c r="AD144" s="3" t="str">
        <f>IFERROR(MID(VLOOKUP($B144,Seqs!$A:$B,2,0),AE144,1),"")</f>
        <v>I</v>
      </c>
      <c r="AE144" s="3">
        <v>184</v>
      </c>
      <c r="AF144" s="3" t="str">
        <f>IFERROR(MID(VLOOKUP($B144,Seqs!$A:$B,2,0),AG144,1),"")</f>
        <v/>
      </c>
      <c r="AG144" s="3" t="s">
        <v>23</v>
      </c>
      <c r="AH144" s="3" t="str">
        <f>IFERROR(MID(VLOOKUP($B144,Seqs!$A:$B,2,0),AI144,1),"")</f>
        <v/>
      </c>
      <c r="AI144" s="3" t="s">
        <v>23</v>
      </c>
      <c r="AJ144" s="3" t="str">
        <f>IFERROR(MID(VLOOKUP($B144,Seqs!$A:$B,2,0),AK144,1),"")</f>
        <v>K</v>
      </c>
      <c r="AK144" s="3">
        <v>209</v>
      </c>
      <c r="AL144" s="3" t="str">
        <f>IFERROR(MID(VLOOKUP($B144,Seqs!$A:$B,2,0),AM144,1),"")</f>
        <v>A</v>
      </c>
      <c r="AM144" s="3">
        <v>244</v>
      </c>
      <c r="AN144" s="3" t="str">
        <f>IFERROR(MID(VLOOKUP($B144,Seqs!$A:$B,2,0),AO144,1),"")</f>
        <v>S</v>
      </c>
      <c r="AO144" s="3">
        <v>247</v>
      </c>
      <c r="AP144" s="3" t="str">
        <f>IFERROR(MID(VLOOKUP($B144,Seqs!$A:$B,2,0),AQ144,1),"")</f>
        <v>M</v>
      </c>
      <c r="AQ144" s="3">
        <v>284</v>
      </c>
      <c r="AR144" s="3" t="str">
        <f>IFERROR(MID(VLOOKUP($B144,Seqs!$A:$B,2,0),AS144,1),"")</f>
        <v>N</v>
      </c>
      <c r="AS144" s="3">
        <v>288</v>
      </c>
      <c r="AT144" s="3" t="str">
        <f>IFERROR(MID(VLOOKUP($B144,Seqs!$A:$B,2,0),AU144,1),"")</f>
        <v>V</v>
      </c>
      <c r="AU144" s="3">
        <v>320</v>
      </c>
      <c r="AV144" s="3" t="str">
        <f>IFERROR(MID(VLOOKUP($B144,Seqs!$A:$B,2,0),AW144,1),"")</f>
        <v>G</v>
      </c>
      <c r="AW144" s="3">
        <v>321</v>
      </c>
      <c r="AX144" s="3" t="str">
        <f>IFERROR(MID(VLOOKUP($B144,Seqs!$A:$B,2,0),AY144,1),"")</f>
        <v>A</v>
      </c>
      <c r="AY144" s="3">
        <v>341</v>
      </c>
      <c r="AZ144" s="77" t="str">
        <f>VLOOKUP(B144,Classification!A:D,2,0)</f>
        <v>A</v>
      </c>
      <c r="BA144" s="94" t="str">
        <f>VLOOKUP(B144,Classification!A:D,4,0)</f>
        <v>Chemokine</v>
      </c>
      <c r="BB144" s="27" t="b">
        <f>AND(E144&lt;G144,OR(G144&lt;I144,I144="-"),OR(I144&lt;K144,I144="-"),OR(K144&lt;M144,K144="-"),M144&lt;O144,OR(O144&lt;Q144,Q144="-"),OR(Q144&lt;S144,Q144="-"),OR(S144&lt;U144,S144="-"),U144&lt;W144,OR(W144&lt;Y144,Y144="-"),OR(Y144&lt;AA144,Y144="-"),OR(AA144&lt;AC144,AA144="-"),AC144&lt;AE144,OR(AE144&lt;AG144,AG144="-"),OR(AG144&lt;AI144,AG144="-"),OR(AI144&lt;AK144,AI144="-"),AK144&lt;AM144,AM144&lt;AO144,AO144&lt;AQ144,AQ144&lt;AS144,AS144&lt;AU144,OR(AU144&lt;AW144,AW144="-"),OR(AW144&lt;AY144,AW144="-"))</f>
        <v>1</v>
      </c>
      <c r="BC144" s="23">
        <f>_xlfn.AGGREGATE(9,6,CH144:CS144)-_xlfn.AGGREGATE(9,6,BV144:CG144)+12</f>
        <v>259</v>
      </c>
      <c r="BD144" s="16" t="s">
        <v>23</v>
      </c>
      <c r="BE144" s="3" t="s">
        <v>1381</v>
      </c>
      <c r="BF144" s="119">
        <v>2.8</v>
      </c>
      <c r="BG144" s="49" t="s">
        <v>1384</v>
      </c>
      <c r="BH144" s="49" t="s">
        <v>1384</v>
      </c>
      <c r="BI144" s="1"/>
      <c r="BJ144" s="70" t="s">
        <v>1293</v>
      </c>
      <c r="BK144" s="57" t="s">
        <v>1293</v>
      </c>
      <c r="BL144" s="57" t="s">
        <v>1293</v>
      </c>
      <c r="BM144" s="57" t="s">
        <v>1293</v>
      </c>
      <c r="BN144" s="57" t="s">
        <v>1293</v>
      </c>
      <c r="BO144" s="57" t="s">
        <v>1293</v>
      </c>
      <c r="BP144" s="57" t="s">
        <v>1293</v>
      </c>
      <c r="BQ144" s="57" t="s">
        <v>1293</v>
      </c>
      <c r="BR144" s="57" t="s">
        <v>1293</v>
      </c>
      <c r="BS144" s="57" t="s">
        <v>1293</v>
      </c>
      <c r="BT144" s="57" t="s">
        <v>1293</v>
      </c>
      <c r="BU144" s="57" t="s">
        <v>1293</v>
      </c>
      <c r="BV144" s="70">
        <f>E144</f>
        <v>43</v>
      </c>
      <c r="BW144" s="71" t="str">
        <f>I144</f>
        <v>-</v>
      </c>
      <c r="BX144" s="72">
        <f>M144</f>
        <v>81</v>
      </c>
      <c r="BY144" s="71" t="str">
        <f>Q144</f>
        <v>-</v>
      </c>
      <c r="BZ144" s="72">
        <f>U144</f>
        <v>119</v>
      </c>
      <c r="CA144" s="71">
        <f>Y144</f>
        <v>151</v>
      </c>
      <c r="CB144" s="72">
        <f>AC144</f>
        <v>158</v>
      </c>
      <c r="CC144" s="71" t="str">
        <f>AG144</f>
        <v>-</v>
      </c>
      <c r="CD144" s="72">
        <f>AK144</f>
        <v>209</v>
      </c>
      <c r="CE144" s="71">
        <f>AO144</f>
        <v>247</v>
      </c>
      <c r="CF144" s="72">
        <f>AS144</f>
        <v>288</v>
      </c>
      <c r="CG144" s="71">
        <f>AW144</f>
        <v>321</v>
      </c>
      <c r="CH144" s="70">
        <f>G144</f>
        <v>76</v>
      </c>
      <c r="CI144" s="71" t="str">
        <f>K144</f>
        <v>-</v>
      </c>
      <c r="CJ144" s="72">
        <f>O144</f>
        <v>108</v>
      </c>
      <c r="CK144" s="72" t="str">
        <f>S144</f>
        <v>-</v>
      </c>
      <c r="CL144" s="72">
        <f>W144</f>
        <v>150</v>
      </c>
      <c r="CM144" s="72">
        <f>AA144</f>
        <v>157</v>
      </c>
      <c r="CN144" s="72">
        <f>AE144</f>
        <v>184</v>
      </c>
      <c r="CO144" s="72" t="str">
        <f>AI144</f>
        <v>-</v>
      </c>
      <c r="CP144" s="72">
        <f>AM144</f>
        <v>244</v>
      </c>
      <c r="CQ144" s="72">
        <f>AQ144</f>
        <v>284</v>
      </c>
      <c r="CR144" s="72">
        <f>AU144</f>
        <v>320</v>
      </c>
      <c r="CS144" s="72">
        <f>AY144</f>
        <v>341</v>
      </c>
      <c r="CT144" s="23" t="e">
        <f>M144-K144</f>
        <v>#VALUE!</v>
      </c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  <c r="OK144" s="1"/>
      <c r="OL144" s="1"/>
      <c r="OM144" s="1"/>
      <c r="ON144" s="1"/>
      <c r="OO144" s="1"/>
      <c r="OP144" s="1"/>
      <c r="OQ144" s="1"/>
      <c r="OR144" s="1"/>
      <c r="OS144" s="1"/>
      <c r="OT144" s="1"/>
      <c r="OU144" s="1"/>
      <c r="OV144" s="1"/>
      <c r="OW144" s="1"/>
      <c r="OX144" s="1"/>
      <c r="OY144" s="1"/>
      <c r="OZ144" s="1"/>
      <c r="PA144" s="1"/>
      <c r="PB144" s="1"/>
      <c r="PC144" s="1"/>
      <c r="PD144" s="1"/>
      <c r="PE144" s="1"/>
      <c r="PF144" s="1"/>
      <c r="PG144" s="1"/>
      <c r="PH144" s="1"/>
      <c r="PI144" s="1"/>
      <c r="PJ144" s="1"/>
      <c r="PK144" s="1"/>
      <c r="PL144" s="1"/>
      <c r="PM144" s="1"/>
      <c r="PN144" s="1"/>
      <c r="PO144" s="1"/>
      <c r="PP144" s="1"/>
      <c r="PQ144" s="1"/>
      <c r="PR144" s="1"/>
      <c r="PS144" s="1"/>
      <c r="PT144" s="1"/>
      <c r="PU144" s="1"/>
      <c r="PV144" s="1"/>
      <c r="PW144" s="1"/>
      <c r="PX144" s="1"/>
      <c r="PY144" s="1"/>
      <c r="PZ144" s="1"/>
      <c r="QA144" s="1"/>
      <c r="QB144" s="1"/>
      <c r="QC144" s="1"/>
      <c r="QD144" s="1"/>
      <c r="QE144" s="1"/>
      <c r="QF144" s="1"/>
      <c r="QG144" s="1"/>
      <c r="QH144" s="1"/>
      <c r="QI144" s="1"/>
      <c r="QJ144" s="1"/>
      <c r="QK144" s="1"/>
      <c r="QL144" s="1"/>
      <c r="QM144" s="1"/>
      <c r="QN144" s="1"/>
      <c r="QO144" s="1"/>
      <c r="QP144" s="1"/>
      <c r="QQ144" s="1"/>
      <c r="QR144" s="1"/>
      <c r="QS144" s="1"/>
      <c r="QT144" s="1"/>
      <c r="QU144" s="1"/>
      <c r="QV144" s="1"/>
      <c r="QW144" s="1"/>
      <c r="QX144" s="1"/>
      <c r="QY144" s="1"/>
      <c r="QZ144" s="1"/>
      <c r="RA144" s="1"/>
      <c r="RB144" s="1"/>
      <c r="RC144" s="1"/>
      <c r="RD144" s="1"/>
      <c r="RE144" s="1"/>
      <c r="RF144" s="1"/>
      <c r="RG144" s="1"/>
      <c r="RH144" s="1"/>
      <c r="RI144" s="1"/>
      <c r="RJ144" s="1"/>
      <c r="RK144" s="1"/>
      <c r="RL144" s="1"/>
      <c r="RM144" s="1"/>
      <c r="RN144" s="1"/>
      <c r="RO144" s="1"/>
      <c r="RP144" s="1"/>
      <c r="RQ144" s="1"/>
      <c r="RR144" s="1"/>
      <c r="RS144" s="1"/>
      <c r="RT144" s="1"/>
      <c r="RU144" s="1"/>
      <c r="RV144" s="1"/>
      <c r="RW144" s="1"/>
      <c r="RX144" s="1"/>
      <c r="RY144" s="1"/>
      <c r="RZ144" s="1"/>
      <c r="SA144" s="1"/>
      <c r="SB144" s="1"/>
      <c r="SC144" s="1"/>
      <c r="SD144" s="1"/>
      <c r="SE144" s="1"/>
      <c r="SF144" s="1"/>
      <c r="SG144" s="1"/>
      <c r="SH144" s="1"/>
      <c r="SI144" s="1"/>
      <c r="SJ144" s="1"/>
      <c r="SK144" s="1"/>
      <c r="SL144" s="1"/>
      <c r="SM144" s="1"/>
      <c r="SN144" s="1"/>
      <c r="SO144" s="1"/>
      <c r="SP144" s="1"/>
      <c r="SQ144" s="1"/>
      <c r="SR144" s="1"/>
      <c r="SS144" s="1"/>
      <c r="ST144" s="1"/>
      <c r="SU144" s="1"/>
      <c r="SV144" s="1"/>
      <c r="SW144" s="1"/>
      <c r="SX144" s="1"/>
      <c r="SY144" s="1"/>
      <c r="SZ144" s="1"/>
      <c r="TA144" s="1"/>
      <c r="TB144" s="1"/>
      <c r="TC144" s="1"/>
      <c r="TD144" s="1"/>
      <c r="TE144" s="1"/>
      <c r="TF144" s="1"/>
      <c r="TG144" s="1"/>
      <c r="TH144" s="1"/>
      <c r="TI144" s="1"/>
      <c r="TJ144" s="1"/>
      <c r="TK144" s="1"/>
      <c r="TL144" s="1"/>
      <c r="TM144" s="1"/>
      <c r="TN144" s="1"/>
      <c r="TO144" s="1"/>
      <c r="TP144" s="1"/>
      <c r="TQ144" s="1"/>
      <c r="TR144" s="1"/>
      <c r="TS144" s="1"/>
      <c r="TT144" s="1"/>
      <c r="TU144" s="1"/>
      <c r="TV144" s="1"/>
      <c r="TW144" s="1"/>
      <c r="TX144" s="1"/>
      <c r="TY144" s="1"/>
      <c r="TZ144" s="1"/>
      <c r="UA144" s="1"/>
      <c r="UB144" s="1"/>
      <c r="UC144" s="1"/>
      <c r="UD144" s="1"/>
      <c r="UE144" s="1"/>
      <c r="UF144" s="1"/>
      <c r="UG144" s="1"/>
      <c r="UH144" s="1"/>
      <c r="UI144" s="1"/>
      <c r="UJ144" s="1"/>
      <c r="UK144" s="1"/>
      <c r="UL144" s="1"/>
      <c r="UM144" s="1"/>
      <c r="UN144" s="1"/>
      <c r="UO144" s="1"/>
      <c r="UP144" s="1"/>
      <c r="UQ144" s="1"/>
      <c r="UR144" s="1"/>
      <c r="US144" s="1"/>
      <c r="UT144" s="1"/>
      <c r="UU144" s="1"/>
      <c r="UV144" s="1"/>
      <c r="UW144" s="1"/>
      <c r="UX144" s="1"/>
      <c r="UY144" s="1"/>
      <c r="UZ144" s="1"/>
      <c r="VA144" s="1"/>
      <c r="VB144" s="1"/>
      <c r="VC144" s="1"/>
      <c r="VD144" s="1"/>
      <c r="VE144" s="1"/>
      <c r="VF144" s="1"/>
      <c r="VG144" s="1"/>
      <c r="VH144" s="1"/>
      <c r="VI144" s="1"/>
      <c r="VJ144" s="1"/>
      <c r="VK144" s="1"/>
      <c r="VL144" s="1"/>
      <c r="VM144" s="1"/>
      <c r="VN144" s="1"/>
      <c r="VO144" s="1"/>
      <c r="VP144" s="1"/>
      <c r="VQ144" s="1"/>
      <c r="VR144" s="1"/>
      <c r="VS144" s="1"/>
      <c r="VT144" s="1"/>
      <c r="VU144" s="1"/>
      <c r="VV144" s="1"/>
      <c r="VW144" s="1"/>
      <c r="VX144" s="1"/>
      <c r="VY144" s="1"/>
      <c r="VZ144" s="1"/>
      <c r="WA144" s="1"/>
      <c r="WB144" s="1"/>
      <c r="WC144" s="1"/>
      <c r="WD144" s="1"/>
      <c r="WE144" s="1"/>
      <c r="WF144" s="1"/>
      <c r="WG144" s="1"/>
      <c r="WH144" s="1"/>
      <c r="WI144" s="1"/>
      <c r="WJ144" s="1"/>
      <c r="WK144" s="1"/>
      <c r="WL144" s="1"/>
      <c r="WM144" s="1"/>
      <c r="WN144" s="1"/>
      <c r="WO144" s="1"/>
      <c r="WP144" s="1"/>
      <c r="WQ144" s="1"/>
      <c r="WR144" s="1"/>
      <c r="WS144" s="1"/>
      <c r="WT144" s="1"/>
      <c r="WU144" s="1"/>
      <c r="WV144" s="1"/>
      <c r="WW144" s="1"/>
      <c r="WX144" s="1"/>
      <c r="WY144" s="1"/>
      <c r="WZ144" s="1"/>
      <c r="XA144" s="1"/>
      <c r="XB144" s="1"/>
      <c r="XC144" s="1"/>
      <c r="XD144" s="1"/>
      <c r="XE144" s="1"/>
      <c r="XF144" s="1"/>
      <c r="XG144" s="1"/>
      <c r="XH144" s="1"/>
      <c r="XI144" s="1"/>
      <c r="XJ144" s="1"/>
      <c r="XK144" s="1"/>
      <c r="XL144" s="1"/>
      <c r="XM144" s="1"/>
      <c r="XN144" s="1"/>
      <c r="XO144" s="1"/>
      <c r="XP144" s="1"/>
      <c r="XQ144" s="1"/>
      <c r="XR144" s="1"/>
      <c r="XS144" s="1"/>
      <c r="XT144" s="1"/>
      <c r="XU144" s="1"/>
      <c r="XV144" s="1"/>
      <c r="XW144" s="1"/>
      <c r="XX144" s="1"/>
      <c r="XY144" s="1"/>
      <c r="XZ144" s="1"/>
      <c r="YA144" s="1"/>
      <c r="YB144" s="1"/>
      <c r="YC144" s="1"/>
      <c r="YD144" s="1"/>
      <c r="YE144" s="1"/>
      <c r="YF144" s="1"/>
      <c r="YG144" s="1"/>
      <c r="YH144" s="1"/>
      <c r="YI144" s="1"/>
      <c r="YJ144" s="1"/>
      <c r="YK144" s="1"/>
      <c r="YL144" s="1"/>
      <c r="YM144" s="1"/>
      <c r="YN144" s="1"/>
      <c r="YO144" s="1"/>
      <c r="YP144" s="1"/>
      <c r="YQ144" s="1"/>
      <c r="YR144" s="1"/>
      <c r="YS144" s="1"/>
      <c r="YT144" s="1"/>
      <c r="YU144" s="1"/>
      <c r="YV144" s="1"/>
      <c r="YW144" s="1"/>
      <c r="YX144" s="1"/>
      <c r="YY144" s="1"/>
      <c r="YZ144" s="1"/>
      <c r="ZA144" s="1"/>
      <c r="ZB144" s="1"/>
      <c r="ZC144" s="1"/>
      <c r="ZD144" s="1"/>
      <c r="ZE144" s="1"/>
      <c r="ZF144" s="1"/>
      <c r="ZG144" s="1"/>
      <c r="ZH144" s="1"/>
      <c r="ZI144" s="1"/>
      <c r="ZJ144" s="1"/>
      <c r="ZK144" s="1"/>
      <c r="ZL144" s="1"/>
      <c r="ZM144" s="1"/>
      <c r="ZN144" s="1"/>
      <c r="ZO144" s="1"/>
      <c r="ZP144" s="1"/>
      <c r="ZQ144" s="1"/>
      <c r="ZR144" s="1"/>
      <c r="ZS144" s="1"/>
      <c r="ZT144" s="1"/>
      <c r="ZU144" s="1"/>
      <c r="ZV144" s="1"/>
      <c r="ZW144" s="1"/>
      <c r="ZX144" s="1"/>
      <c r="ZY144" s="1"/>
      <c r="ZZ144" s="1"/>
      <c r="AAA144" s="1"/>
      <c r="AAB144" s="1"/>
      <c r="AAC144" s="1"/>
      <c r="AAD144" s="1"/>
      <c r="AAE144" s="1"/>
      <c r="AAF144" s="1"/>
      <c r="AAG144" s="1"/>
      <c r="AAH144" s="1"/>
      <c r="AAI144" s="1"/>
      <c r="AAJ144" s="1"/>
      <c r="AAK144" s="1"/>
      <c r="AAL144" s="1"/>
      <c r="AAM144" s="1"/>
      <c r="AAN144" s="1"/>
      <c r="AAO144" s="1"/>
      <c r="AAP144" s="1"/>
      <c r="AAQ144" s="1"/>
      <c r="AAR144" s="1"/>
      <c r="AAS144" s="1"/>
      <c r="AAT144" s="1"/>
      <c r="AAU144" s="1"/>
      <c r="AAV144" s="1"/>
      <c r="AAW144" s="1"/>
      <c r="AAX144" s="1"/>
      <c r="AAY144" s="1"/>
      <c r="AAZ144" s="1"/>
      <c r="ABA144" s="1"/>
      <c r="ABB144" s="1"/>
      <c r="ABC144" s="1"/>
      <c r="ABD144" s="1"/>
      <c r="ABE144" s="1"/>
      <c r="ABF144" s="1"/>
      <c r="ABG144" s="1"/>
      <c r="ABH144" s="1"/>
      <c r="ABI144" s="1"/>
      <c r="ABJ144" s="1"/>
      <c r="ABK144" s="1"/>
      <c r="ABL144" s="1"/>
      <c r="ABM144" s="1"/>
      <c r="ABN144" s="1"/>
      <c r="ABO144" s="1"/>
      <c r="ABP144" s="1"/>
      <c r="ABQ144" s="1"/>
      <c r="ABR144" s="1"/>
      <c r="ABS144" s="1"/>
      <c r="ABT144" s="1"/>
      <c r="ABU144" s="1"/>
      <c r="ABV144" s="1"/>
      <c r="ABW144" s="1"/>
      <c r="ABX144" s="1"/>
      <c r="ABY144" s="1"/>
      <c r="ABZ144" s="1"/>
      <c r="ACA144" s="1"/>
      <c r="ACB144" s="1"/>
      <c r="ACC144" s="1"/>
      <c r="ACD144" s="1"/>
      <c r="ACE144" s="1"/>
      <c r="ACF144" s="1"/>
      <c r="ACG144" s="1"/>
      <c r="ACH144" s="1"/>
      <c r="ACI144" s="1"/>
      <c r="ACJ144" s="1"/>
      <c r="ACK144" s="1"/>
      <c r="ACL144" s="1"/>
      <c r="ACM144" s="1"/>
      <c r="ACN144" s="1"/>
      <c r="ACO144" s="1"/>
      <c r="ACP144" s="1"/>
      <c r="ACQ144" s="1"/>
      <c r="ACR144" s="1"/>
      <c r="ACS144" s="1"/>
      <c r="ACT144" s="1"/>
      <c r="ACU144" s="1"/>
      <c r="ACV144" s="1"/>
      <c r="ACW144" s="1"/>
      <c r="ACX144" s="1"/>
      <c r="ACY144" s="1"/>
      <c r="ACZ144" s="1"/>
      <c r="ADA144" s="1"/>
      <c r="ADB144" s="1"/>
      <c r="ADC144" s="1"/>
      <c r="ADD144" s="1"/>
      <c r="ADE144" s="1"/>
      <c r="ADF144" s="1"/>
      <c r="ADG144" s="1"/>
      <c r="ADH144" s="1"/>
      <c r="ADI144" s="1"/>
      <c r="ADJ144" s="1"/>
      <c r="ADK144" s="1"/>
      <c r="ADL144" s="1"/>
      <c r="ADM144" s="1"/>
      <c r="ADN144" s="1"/>
      <c r="ADO144" s="1"/>
      <c r="ADP144" s="1"/>
      <c r="ADQ144" s="1"/>
      <c r="ADR144" s="1"/>
      <c r="ADS144" s="1"/>
      <c r="ADT144" s="1"/>
      <c r="ADU144" s="1"/>
      <c r="ADV144" s="1"/>
      <c r="ADW144" s="1"/>
      <c r="ADX144" s="1"/>
      <c r="ADY144" s="1"/>
      <c r="ADZ144" s="1"/>
      <c r="AEA144" s="1"/>
      <c r="AEB144" s="1"/>
      <c r="AEC144" s="1"/>
      <c r="AED144" s="1"/>
      <c r="AEE144" s="1"/>
      <c r="AEF144" s="1"/>
      <c r="AEG144" s="1"/>
      <c r="AEH144" s="1"/>
      <c r="AEI144" s="1"/>
      <c r="AEJ144" s="1"/>
      <c r="AEK144" s="1"/>
      <c r="AEL144" s="1"/>
      <c r="AEM144" s="1"/>
      <c r="AEN144" s="1"/>
      <c r="AEO144" s="1"/>
      <c r="AEP144" s="1"/>
      <c r="AEQ144" s="1"/>
      <c r="AER144" s="1"/>
      <c r="AES144" s="1"/>
      <c r="AET144" s="1"/>
      <c r="AEU144" s="1"/>
      <c r="AEV144" s="1"/>
      <c r="AEW144" s="1"/>
      <c r="AEX144" s="1"/>
      <c r="AEY144" s="1"/>
      <c r="AEZ144" s="1"/>
      <c r="AFA144" s="1"/>
      <c r="AFB144" s="1"/>
      <c r="AFC144" s="1"/>
      <c r="AFD144" s="1"/>
      <c r="AFE144" s="1"/>
      <c r="AFF144" s="1"/>
      <c r="AFG144" s="1"/>
      <c r="AFH144" s="1"/>
      <c r="AFI144" s="1"/>
      <c r="AFJ144" s="1"/>
      <c r="AFK144" s="1"/>
      <c r="AFL144" s="1"/>
      <c r="AFM144" s="1"/>
      <c r="AFN144" s="1"/>
      <c r="AFO144" s="1"/>
      <c r="AFP144" s="1"/>
      <c r="AFQ144" s="1"/>
      <c r="AFR144" s="1"/>
      <c r="AFS144" s="1"/>
      <c r="AFT144" s="1"/>
      <c r="AFU144" s="1"/>
      <c r="AFV144" s="1"/>
      <c r="AFW144" s="1"/>
      <c r="AFX144" s="1"/>
      <c r="AFY144" s="1"/>
      <c r="AFZ144" s="1"/>
      <c r="AGA144" s="1"/>
      <c r="AGB144" s="1"/>
      <c r="AGC144" s="1"/>
      <c r="AGD144" s="1"/>
      <c r="AGE144" s="1"/>
      <c r="AGF144" s="1"/>
      <c r="AGG144" s="1"/>
      <c r="AGH144" s="1"/>
      <c r="AGI144" s="1"/>
      <c r="AGJ144" s="1"/>
      <c r="AGK144" s="1"/>
      <c r="AGL144" s="1"/>
      <c r="AGM144" s="1"/>
      <c r="AGN144" s="1"/>
      <c r="AGO144" s="1"/>
      <c r="AGP144" s="1"/>
      <c r="AGQ144" s="1"/>
      <c r="AGR144" s="1"/>
      <c r="AGS144" s="1"/>
      <c r="AGT144" s="1"/>
      <c r="AGU144" s="1"/>
      <c r="AGV144" s="1"/>
      <c r="AGW144" s="1"/>
      <c r="AGX144" s="1"/>
      <c r="AGY144" s="1"/>
      <c r="AGZ144" s="1"/>
      <c r="AHA144" s="1"/>
      <c r="AHB144" s="1"/>
      <c r="AHC144" s="1"/>
      <c r="AHD144" s="1"/>
      <c r="AHE144" s="1"/>
      <c r="AHF144" s="1"/>
      <c r="AHG144" s="1"/>
      <c r="AHH144" s="1"/>
      <c r="AHI144" s="1"/>
      <c r="AHJ144" s="1"/>
      <c r="AHK144" s="1"/>
      <c r="AHL144" s="1"/>
      <c r="AHM144" s="1"/>
      <c r="AHN144" s="1"/>
      <c r="AHO144" s="1"/>
      <c r="AHP144" s="1"/>
      <c r="AHQ144" s="1"/>
      <c r="AHR144" s="1"/>
      <c r="AHS144" s="1"/>
      <c r="AHT144" s="1"/>
      <c r="AHU144" s="1"/>
      <c r="AHV144" s="1"/>
      <c r="AHW144" s="1"/>
      <c r="AHX144" s="1"/>
      <c r="AHY144" s="1"/>
      <c r="AHZ144" s="1"/>
      <c r="AIA144" s="1"/>
      <c r="AIB144" s="1"/>
      <c r="AIC144" s="1"/>
      <c r="AID144" s="1"/>
      <c r="AIE144" s="1"/>
      <c r="AIF144" s="1"/>
      <c r="AIG144" s="1"/>
      <c r="AIH144" s="1"/>
      <c r="AII144" s="1"/>
      <c r="AIJ144" s="1"/>
      <c r="AIK144" s="1"/>
      <c r="AIL144" s="1"/>
      <c r="AIM144" s="1"/>
      <c r="AIN144" s="1"/>
      <c r="AIO144" s="1"/>
      <c r="AIP144" s="1"/>
      <c r="AIQ144" s="1"/>
      <c r="AIR144" s="1"/>
      <c r="AIS144" s="1"/>
      <c r="AIT144" s="1"/>
      <c r="AIU144" s="1"/>
      <c r="AIV144" s="1"/>
      <c r="AIW144" s="1"/>
      <c r="AIX144" s="1"/>
      <c r="AIY144" s="1"/>
      <c r="AIZ144" s="1"/>
      <c r="AJA144" s="1"/>
      <c r="AJB144" s="1"/>
      <c r="AJC144" s="1"/>
      <c r="AJD144" s="1"/>
      <c r="AJE144" s="1"/>
      <c r="AJF144" s="1"/>
      <c r="AJG144" s="1"/>
      <c r="AJH144" s="1"/>
      <c r="AJI144" s="1"/>
      <c r="AJJ144" s="1"/>
      <c r="AJK144" s="1"/>
      <c r="AJL144" s="1"/>
      <c r="AJM144" s="1"/>
      <c r="AJN144" s="1"/>
      <c r="AJO144" s="1"/>
      <c r="AJP144" s="1"/>
      <c r="AJQ144" s="1"/>
      <c r="AJR144" s="1"/>
      <c r="AJS144" s="1"/>
      <c r="AJT144" s="1"/>
      <c r="AJU144" s="1"/>
      <c r="AJV144" s="1"/>
      <c r="AJW144" s="1"/>
      <c r="AJX144" s="1"/>
      <c r="AJY144" s="1"/>
      <c r="AJZ144" s="1"/>
      <c r="AKA144" s="1"/>
      <c r="AKB144" s="1"/>
      <c r="AKC144" s="1"/>
      <c r="AKD144" s="1"/>
      <c r="AKE144" s="1"/>
      <c r="AKF144" s="1"/>
      <c r="AKG144" s="1"/>
      <c r="AKH144" s="1"/>
      <c r="AKI144" s="1"/>
      <c r="AKJ144" s="1"/>
      <c r="AKK144" s="1"/>
      <c r="AKL144" s="1"/>
      <c r="AKM144" s="1"/>
      <c r="AKN144" s="1"/>
      <c r="AKO144" s="1"/>
      <c r="AKP144" s="1"/>
      <c r="AKQ144" s="1"/>
      <c r="AKR144" s="1"/>
      <c r="AKS144" s="1"/>
      <c r="AKT144" s="1"/>
      <c r="AKU144" s="1"/>
      <c r="AKV144" s="1"/>
      <c r="AKW144" s="1"/>
      <c r="AKX144" s="1"/>
      <c r="AKY144" s="1"/>
      <c r="AKZ144" s="1"/>
      <c r="ALA144" s="1"/>
      <c r="ALB144" s="1"/>
      <c r="ALC144" s="1"/>
      <c r="ALD144" s="1"/>
      <c r="ALE144" s="1"/>
      <c r="ALF144" s="1"/>
      <c r="ALG144" s="1"/>
      <c r="ALH144" s="1"/>
      <c r="ALI144" s="1"/>
      <c r="ALJ144" s="1"/>
      <c r="ALK144" s="1"/>
      <c r="ALL144" s="1"/>
      <c r="ALM144" s="1"/>
      <c r="ALN144" s="1"/>
      <c r="ALO144" s="1"/>
      <c r="ALP144" s="1"/>
      <c r="ALQ144" s="1"/>
      <c r="ALR144" s="1"/>
      <c r="ALS144" s="1"/>
      <c r="ALT144" s="1"/>
      <c r="ALU144" s="1"/>
      <c r="ALV144" s="1"/>
      <c r="ALW144" s="1"/>
      <c r="ALX144" s="1"/>
      <c r="ALY144" s="1"/>
      <c r="ALZ144" s="1"/>
      <c r="AMA144" s="1"/>
      <c r="AMB144" s="1"/>
      <c r="AMC144" s="1"/>
      <c r="AMD144" s="1"/>
      <c r="AME144" s="1"/>
      <c r="AMF144" s="1"/>
      <c r="AMG144" s="1"/>
      <c r="AMH144" s="1"/>
      <c r="AMI144" s="1"/>
      <c r="AMJ144" s="1"/>
      <c r="AMK144" s="1"/>
      <c r="AML144" s="1"/>
      <c r="AMM144" s="1"/>
      <c r="AMN144" s="1"/>
      <c r="AMO144" s="1"/>
    </row>
    <row r="145" spans="1:1030" x14ac:dyDescent="0.2">
      <c r="A145" s="3" t="str">
        <f t="shared" si="559"/>
        <v>cnr1_human__wt</v>
      </c>
      <c r="B145" s="3" t="s">
        <v>182</v>
      </c>
      <c r="C145" s="3" t="s">
        <v>100</v>
      </c>
      <c r="D145" s="3" t="str">
        <f>IFERROR(MID(VLOOKUP($B145,Seqs!$A:$B,2,0),E145,1),"")</f>
        <v>N</v>
      </c>
      <c r="E145" s="3">
        <v>112</v>
      </c>
      <c r="F145" s="3" t="str">
        <f>IFERROR(MID(VLOOKUP($B145,Seqs!$A:$B,2,0),G145,1),"")</f>
        <v>S</v>
      </c>
      <c r="G145" s="3">
        <v>144</v>
      </c>
      <c r="H145" s="3" t="str">
        <f>IFERROR(MID(VLOOKUP($B145,Seqs!$A:$B,2,0),I145,1),"")</f>
        <v>R</v>
      </c>
      <c r="I145" s="23">
        <v>145</v>
      </c>
      <c r="J145" s="3" t="str">
        <f>IFERROR(MID(VLOOKUP($B145,Seqs!$A:$B,2,0),K145,1),"")</f>
        <v>R</v>
      </c>
      <c r="K145" s="23">
        <v>148</v>
      </c>
      <c r="L145" s="3" t="str">
        <f>IFERROR(MID(VLOOKUP($B145,Seqs!$A:$B,2,0),M145,1),"")</f>
        <v>R</v>
      </c>
      <c r="M145" s="3">
        <v>150</v>
      </c>
      <c r="N145" s="3" t="str">
        <f>IFERROR(MID(VLOOKUP($B145,Seqs!$A:$B,2,0),O145,1),"")</f>
        <v>V</v>
      </c>
      <c r="O145" s="3">
        <v>179</v>
      </c>
      <c r="P145" s="3" t="str">
        <f>IFERROR(MID(VLOOKUP($B145,Seqs!$A:$B,2,0),Q145,1),"")</f>
        <v/>
      </c>
      <c r="Q145" s="3" t="s">
        <v>23</v>
      </c>
      <c r="R145" s="3" t="str">
        <f>IFERROR(MID(VLOOKUP($B145,Seqs!$A:$B,2,0),S145,1),"")</f>
        <v/>
      </c>
      <c r="S145" s="3" t="s">
        <v>23</v>
      </c>
      <c r="T145" s="3" t="str">
        <f>IFERROR(MID(VLOOKUP($B145,Seqs!$A:$B,2,0),U145,1),"")</f>
        <v>S</v>
      </c>
      <c r="U145" s="3">
        <v>185</v>
      </c>
      <c r="V145" s="3" t="str">
        <f>IFERROR(MID(VLOOKUP($B145,Seqs!$A:$B,2,0),W145,1),"")</f>
        <v>R</v>
      </c>
      <c r="W145" s="3">
        <v>220</v>
      </c>
      <c r="X145" s="3" t="str">
        <f>IFERROR(MID(VLOOKUP($B145,Seqs!$A:$B,2,0),Y145,1),"")</f>
        <v>P</v>
      </c>
      <c r="Y145" s="3">
        <v>221</v>
      </c>
      <c r="Z145" s="3" t="str">
        <f>IFERROR(MID(VLOOKUP($B145,Seqs!$A:$B,2,0),AA145,1),"")</f>
        <v>V</v>
      </c>
      <c r="AA145" s="3">
        <v>228</v>
      </c>
      <c r="AB145" s="3" t="str">
        <f>IFERROR(MID(VLOOKUP($B145,Seqs!$A:$B,2,0),AC145,1),"")</f>
        <v>T</v>
      </c>
      <c r="AC145" s="9">
        <v>229</v>
      </c>
      <c r="AD145" s="3" t="str">
        <f>IFERROR(MID(VLOOKUP($B145,Seqs!$A:$B,2,0),AE145,1),"")</f>
        <v>G</v>
      </c>
      <c r="AE145" s="3">
        <v>254</v>
      </c>
      <c r="AF145" s="3" t="str">
        <f>IFERROR(MID(VLOOKUP($B145,Seqs!$A:$B,2,0),AG145,1),"")</f>
        <v/>
      </c>
      <c r="AG145" s="3" t="s">
        <v>23</v>
      </c>
      <c r="AH145" s="3" t="str">
        <f>IFERROR(MID(VLOOKUP($B145,Seqs!$A:$B,2,0),AI145,1),"")</f>
        <v/>
      </c>
      <c r="AI145" s="3" t="s">
        <v>23</v>
      </c>
      <c r="AJ145" s="3" t="str">
        <f>IFERROR(MID(VLOOKUP($B145,Seqs!$A:$B,2,0),AK145,1),"")</f>
        <v>D</v>
      </c>
      <c r="AK145" s="3">
        <v>272</v>
      </c>
      <c r="AL145" s="3" t="str">
        <f>IFERROR(MID(VLOOKUP($B145,Seqs!$A:$B,2,0),AM145,1),"")</f>
        <v>G</v>
      </c>
      <c r="AM145" s="3">
        <v>312</v>
      </c>
      <c r="AN145" s="3" t="str">
        <f>IFERROR(MID(VLOOKUP($B145,Seqs!$A:$B,2,0),AO145,1),"")</f>
        <v>P</v>
      </c>
      <c r="AO145" s="3">
        <v>332</v>
      </c>
      <c r="AP145" s="3" t="str">
        <f>IFERROR(MID(VLOOKUP($B145,Seqs!$A:$B,2,0),AQ145,1),"")</f>
        <v>G</v>
      </c>
      <c r="AQ145" s="3">
        <v>369</v>
      </c>
      <c r="AR145" s="3" t="str">
        <f>IFERROR(MID(VLOOKUP($B145,Seqs!$A:$B,2,0),AS145,1),"")</f>
        <v>N</v>
      </c>
      <c r="AS145" s="3">
        <v>372</v>
      </c>
      <c r="AT145" s="3" t="str">
        <f>IFERROR(MID(VLOOKUP($B145,Seqs!$A:$B,2,0),AU145,1),"")</f>
        <v>R</v>
      </c>
      <c r="AU145" s="3">
        <v>400</v>
      </c>
      <c r="AV145" s="3" t="str">
        <f>IFERROR(MID(VLOOKUP($B145,Seqs!$A:$B,2,0),AW145,1),"")</f>
        <v>S</v>
      </c>
      <c r="AW145" s="3">
        <v>401</v>
      </c>
      <c r="AX145" s="3" t="str">
        <f>IFERROR(MID(VLOOKUP($B145,Seqs!$A:$B,2,0),AY145,1),"")</f>
        <v>P</v>
      </c>
      <c r="AY145" s="3">
        <v>413</v>
      </c>
      <c r="AZ145" s="77" t="str">
        <f>VLOOKUP(B145,Classification!A:D,2,0)</f>
        <v>A</v>
      </c>
      <c r="BA145" s="94" t="str">
        <f>VLOOKUP(B145,Classification!A:D,4,0)</f>
        <v>Cannabinoid</v>
      </c>
      <c r="BB145" s="27" t="b">
        <f t="shared" si="560"/>
        <v>1</v>
      </c>
      <c r="BC145" s="23">
        <f t="shared" si="365"/>
        <v>260</v>
      </c>
      <c r="BD145" s="56" t="s">
        <v>1379</v>
      </c>
      <c r="BE145" s="3" t="s">
        <v>23</v>
      </c>
      <c r="BF145" s="119" t="s">
        <v>23</v>
      </c>
      <c r="BG145" s="49" t="s">
        <v>1379</v>
      </c>
      <c r="BH145" s="49" t="s">
        <v>1384</v>
      </c>
      <c r="BJ145" s="70" t="s">
        <v>1293</v>
      </c>
      <c r="BK145" s="57" t="s">
        <v>1293</v>
      </c>
      <c r="BL145" s="57" t="s">
        <v>1293</v>
      </c>
      <c r="BM145" s="57" t="s">
        <v>1293</v>
      </c>
      <c r="BN145" s="57" t="s">
        <v>1293</v>
      </c>
      <c r="BO145" s="57" t="s">
        <v>1293</v>
      </c>
      <c r="BP145" s="57" t="s">
        <v>1293</v>
      </c>
      <c r="BQ145" s="57" t="s">
        <v>1293</v>
      </c>
      <c r="BR145" s="57" t="s">
        <v>1293</v>
      </c>
      <c r="BS145" s="57" t="s">
        <v>1293</v>
      </c>
      <c r="BT145" s="57" t="s">
        <v>1293</v>
      </c>
      <c r="BU145" s="57" t="s">
        <v>1293</v>
      </c>
      <c r="BV145" s="70">
        <f t="shared" si="366"/>
        <v>112</v>
      </c>
      <c r="BW145" s="71">
        <f t="shared" si="367"/>
        <v>145</v>
      </c>
      <c r="BX145" s="72">
        <f t="shared" si="368"/>
        <v>150</v>
      </c>
      <c r="BY145" s="71" t="str">
        <f t="shared" si="369"/>
        <v>-</v>
      </c>
      <c r="BZ145" s="72">
        <f t="shared" si="370"/>
        <v>185</v>
      </c>
      <c r="CA145" s="71">
        <f t="shared" si="371"/>
        <v>221</v>
      </c>
      <c r="CB145" s="72">
        <f t="shared" si="372"/>
        <v>229</v>
      </c>
      <c r="CC145" s="71" t="str">
        <f t="shared" si="373"/>
        <v>-</v>
      </c>
      <c r="CD145" s="72">
        <f t="shared" si="374"/>
        <v>272</v>
      </c>
      <c r="CE145" s="71">
        <f t="shared" si="375"/>
        <v>332</v>
      </c>
      <c r="CF145" s="72">
        <f t="shared" si="376"/>
        <v>372</v>
      </c>
      <c r="CG145" s="71">
        <f t="shared" si="377"/>
        <v>401</v>
      </c>
      <c r="CH145" s="70">
        <f t="shared" si="378"/>
        <v>144</v>
      </c>
      <c r="CI145" s="71">
        <f t="shared" si="379"/>
        <v>148</v>
      </c>
      <c r="CJ145" s="72">
        <f t="shared" si="380"/>
        <v>179</v>
      </c>
      <c r="CK145" s="72" t="str">
        <f t="shared" si="381"/>
        <v>-</v>
      </c>
      <c r="CL145" s="72">
        <f t="shared" si="382"/>
        <v>220</v>
      </c>
      <c r="CM145" s="72">
        <f t="shared" si="383"/>
        <v>228</v>
      </c>
      <c r="CN145" s="72">
        <f t="shared" si="384"/>
        <v>254</v>
      </c>
      <c r="CO145" s="72" t="str">
        <f t="shared" si="385"/>
        <v>-</v>
      </c>
      <c r="CP145" s="72">
        <f t="shared" si="386"/>
        <v>312</v>
      </c>
      <c r="CQ145" s="72">
        <f t="shared" si="387"/>
        <v>369</v>
      </c>
      <c r="CR145" s="72">
        <f t="shared" si="388"/>
        <v>400</v>
      </c>
      <c r="CS145" s="72">
        <f t="shared" si="389"/>
        <v>413</v>
      </c>
      <c r="CT145" s="23">
        <f t="shared" si="390"/>
        <v>2</v>
      </c>
    </row>
    <row r="146" spans="1:1030" s="3" customFormat="1" x14ac:dyDescent="0.2">
      <c r="A146" s="3" t="str">
        <f t="shared" si="559"/>
        <v>cnr1_human_5TGZ</v>
      </c>
      <c r="B146" s="3" t="s">
        <v>182</v>
      </c>
      <c r="C146" s="3" t="s">
        <v>1365</v>
      </c>
      <c r="D146" s="3" t="str">
        <f>IFERROR(MID(VLOOKUP($B146,Seqs!$A:$B,2,0),E146,1),"")</f>
        <v>P</v>
      </c>
      <c r="E146" s="3">
        <v>113</v>
      </c>
      <c r="F146" s="3" t="str">
        <f>IFERROR(MID(VLOOKUP($B146,Seqs!$A:$B,2,0),G146,1),"")</f>
        <v>S</v>
      </c>
      <c r="G146" s="3">
        <v>144</v>
      </c>
      <c r="H146" s="3" t="str">
        <f>IFERROR(MID(VLOOKUP($B146,Seqs!$A:$B,2,0),I146,1),"")</f>
        <v>R</v>
      </c>
      <c r="I146" s="23">
        <v>145</v>
      </c>
      <c r="J146" s="3" t="str">
        <f>IFERROR(MID(VLOOKUP($B146,Seqs!$A:$B,2,0),K146,1),"")</f>
        <v>R</v>
      </c>
      <c r="K146" s="23">
        <v>148</v>
      </c>
      <c r="L146" s="3" t="str">
        <f>IFERROR(MID(VLOOKUP($B146,Seqs!$A:$B,2,0),M146,1),"")</f>
        <v>R</v>
      </c>
      <c r="M146" s="3">
        <v>150</v>
      </c>
      <c r="N146" s="3" t="str">
        <f>IFERROR(MID(VLOOKUP($B146,Seqs!$A:$B,2,0),O146,1),"")</f>
        <v>V</v>
      </c>
      <c r="O146" s="3">
        <v>179</v>
      </c>
      <c r="P146" s="3" t="str">
        <f>IFERROR(MID(VLOOKUP($B146,Seqs!$A:$B,2,0),Q146,1),"")</f>
        <v/>
      </c>
      <c r="Q146" s="3" t="s">
        <v>23</v>
      </c>
      <c r="R146" s="3" t="str">
        <f>IFERROR(MID(VLOOKUP($B146,Seqs!$A:$B,2,0),S146,1),"")</f>
        <v/>
      </c>
      <c r="S146" s="3" t="s">
        <v>23</v>
      </c>
      <c r="T146" s="3" t="str">
        <f>IFERROR(MID(VLOOKUP($B146,Seqs!$A:$B,2,0),U146,1),"")</f>
        <v>S</v>
      </c>
      <c r="U146" s="3">
        <v>185</v>
      </c>
      <c r="V146" s="3" t="str">
        <f>IFERROR(MID(VLOOKUP($B146,Seqs!$A:$B,2,0),W146,1),"")</f>
        <v>R</v>
      </c>
      <c r="W146" s="3">
        <v>220</v>
      </c>
      <c r="X146" s="3" t="str">
        <f>IFERROR(MID(VLOOKUP($B146,Seqs!$A:$B,2,0),Y146,1),"")</f>
        <v>P</v>
      </c>
      <c r="Y146" s="3">
        <v>221</v>
      </c>
      <c r="Z146" s="3" t="str">
        <f>IFERROR(MID(VLOOKUP($B146,Seqs!$A:$B,2,0),AA146,1),"")</f>
        <v>V</v>
      </c>
      <c r="AA146" s="3">
        <v>228</v>
      </c>
      <c r="AB146" s="3" t="str">
        <f>IFERROR(MID(VLOOKUP($B146,Seqs!$A:$B,2,0),AC146,1),"")</f>
        <v>T</v>
      </c>
      <c r="AC146" s="9">
        <v>229</v>
      </c>
      <c r="AD146" s="3" t="str">
        <f>IFERROR(MID(VLOOKUP($B146,Seqs!$A:$B,2,0),AE146,1),"")</f>
        <v>G</v>
      </c>
      <c r="AE146" s="3">
        <v>254</v>
      </c>
      <c r="AF146" s="3" t="str">
        <f>IFERROR(MID(VLOOKUP($B146,Seqs!$A:$B,2,0),AG146,1),"")</f>
        <v/>
      </c>
      <c r="AG146" s="3" t="s">
        <v>23</v>
      </c>
      <c r="AH146" s="3" t="str">
        <f>IFERROR(MID(VLOOKUP($B146,Seqs!$A:$B,2,0),AI146,1),"")</f>
        <v/>
      </c>
      <c r="AI146" s="3" t="s">
        <v>23</v>
      </c>
      <c r="AJ146" s="3" t="str">
        <f>IFERROR(MID(VLOOKUP($B146,Seqs!$A:$B,2,0),AK146,1),"")</f>
        <v>D</v>
      </c>
      <c r="AK146" s="3">
        <v>272</v>
      </c>
      <c r="AL146" s="3" t="str">
        <f>IFERROR(MID(VLOOKUP($B146,Seqs!$A:$B,2,0),AM146,1),"")</f>
        <v>H</v>
      </c>
      <c r="AM146" s="3">
        <v>304</v>
      </c>
      <c r="AN146" s="3" t="str">
        <f>IFERROR(MID(VLOOKUP($B146,Seqs!$A:$B,2,0),AO146,1),"")</f>
        <v>P</v>
      </c>
      <c r="AO146" s="3">
        <v>332</v>
      </c>
      <c r="AP146" s="3" t="str">
        <f>IFERROR(MID(VLOOKUP($B146,Seqs!$A:$B,2,0),AQ146,1),"")</f>
        <v>F</v>
      </c>
      <c r="AQ146" s="3">
        <v>368</v>
      </c>
      <c r="AR146" s="3" t="str">
        <f>IFERROR(MID(VLOOKUP($B146,Seqs!$A:$B,2,0),AS146,1),"")</f>
        <v>N</v>
      </c>
      <c r="AS146" s="3">
        <v>372</v>
      </c>
      <c r="AT146" s="3" t="str">
        <f>IFERROR(MID(VLOOKUP($B146,Seqs!$A:$B,2,0),AU146,1),"")</f>
        <v>R</v>
      </c>
      <c r="AU146" s="3">
        <v>400</v>
      </c>
      <c r="AV146" s="3" t="str">
        <f>IFERROR(MID(VLOOKUP($B146,Seqs!$A:$B,2,0),AW146,1),"")</f>
        <v>S</v>
      </c>
      <c r="AW146" s="3">
        <v>401</v>
      </c>
      <c r="AX146" s="3" t="str">
        <f>IFERROR(MID(VLOOKUP($B146,Seqs!$A:$B,2,0),AY146,1),"")</f>
        <v>M</v>
      </c>
      <c r="AY146" s="3">
        <v>411</v>
      </c>
      <c r="AZ146" s="77" t="str">
        <f>VLOOKUP(B146,Classification!A:D,2,0)</f>
        <v>A</v>
      </c>
      <c r="BA146" s="94" t="str">
        <f>VLOOKUP(B146,Classification!A:D,4,0)</f>
        <v>Cannabinoid</v>
      </c>
      <c r="BB146" s="27" t="b">
        <f t="shared" si="560"/>
        <v>1</v>
      </c>
      <c r="BC146" s="23">
        <f t="shared" si="365"/>
        <v>248</v>
      </c>
      <c r="BD146" s="16" t="s">
        <v>1383</v>
      </c>
      <c r="BE146" s="3" t="s">
        <v>1381</v>
      </c>
      <c r="BF146" s="119">
        <v>2.8</v>
      </c>
      <c r="BG146" s="49" t="s">
        <v>1384</v>
      </c>
      <c r="BH146" s="49" t="s">
        <v>1384</v>
      </c>
      <c r="BJ146" s="70" t="s">
        <v>1293</v>
      </c>
      <c r="BK146" s="57" t="s">
        <v>1293</v>
      </c>
      <c r="BL146" s="57" t="s">
        <v>1293</v>
      </c>
      <c r="BM146" s="57" t="s">
        <v>1293</v>
      </c>
      <c r="BN146" s="57" t="s">
        <v>1293</v>
      </c>
      <c r="BO146" s="57" t="s">
        <v>1293</v>
      </c>
      <c r="BP146" s="57" t="s">
        <v>1293</v>
      </c>
      <c r="BQ146" s="57" t="s">
        <v>1293</v>
      </c>
      <c r="BR146" s="57" t="s">
        <v>1293</v>
      </c>
      <c r="BS146" s="57" t="s">
        <v>1293</v>
      </c>
      <c r="BT146" s="57" t="s">
        <v>1293</v>
      </c>
      <c r="BU146" s="57" t="s">
        <v>1293</v>
      </c>
      <c r="BV146" s="70">
        <f t="shared" si="366"/>
        <v>113</v>
      </c>
      <c r="BW146" s="71">
        <f t="shared" si="367"/>
        <v>145</v>
      </c>
      <c r="BX146" s="72">
        <f t="shared" si="368"/>
        <v>150</v>
      </c>
      <c r="BY146" s="71" t="str">
        <f t="shared" si="369"/>
        <v>-</v>
      </c>
      <c r="BZ146" s="72">
        <f t="shared" si="370"/>
        <v>185</v>
      </c>
      <c r="CA146" s="71">
        <f t="shared" si="371"/>
        <v>221</v>
      </c>
      <c r="CB146" s="72">
        <f t="shared" si="372"/>
        <v>229</v>
      </c>
      <c r="CC146" s="71" t="str">
        <f t="shared" si="373"/>
        <v>-</v>
      </c>
      <c r="CD146" s="72">
        <f t="shared" si="374"/>
        <v>272</v>
      </c>
      <c r="CE146" s="71">
        <f t="shared" si="375"/>
        <v>332</v>
      </c>
      <c r="CF146" s="72">
        <f t="shared" si="376"/>
        <v>372</v>
      </c>
      <c r="CG146" s="71">
        <f t="shared" si="377"/>
        <v>401</v>
      </c>
      <c r="CH146" s="70">
        <f t="shared" si="378"/>
        <v>144</v>
      </c>
      <c r="CI146" s="71">
        <f t="shared" si="379"/>
        <v>148</v>
      </c>
      <c r="CJ146" s="72">
        <f t="shared" si="380"/>
        <v>179</v>
      </c>
      <c r="CK146" s="72" t="str">
        <f t="shared" si="381"/>
        <v>-</v>
      </c>
      <c r="CL146" s="72">
        <f t="shared" si="382"/>
        <v>220</v>
      </c>
      <c r="CM146" s="72">
        <f t="shared" si="383"/>
        <v>228</v>
      </c>
      <c r="CN146" s="72">
        <f t="shared" si="384"/>
        <v>254</v>
      </c>
      <c r="CO146" s="72" t="str">
        <f t="shared" si="385"/>
        <v>-</v>
      </c>
      <c r="CP146" s="72">
        <f t="shared" si="386"/>
        <v>304</v>
      </c>
      <c r="CQ146" s="72">
        <f t="shared" si="387"/>
        <v>368</v>
      </c>
      <c r="CR146" s="72">
        <f t="shared" si="388"/>
        <v>400</v>
      </c>
      <c r="CS146" s="72">
        <f t="shared" si="389"/>
        <v>411</v>
      </c>
      <c r="CT146" s="23">
        <f t="shared" si="390"/>
        <v>2</v>
      </c>
      <c r="AMP146" s="1"/>
    </row>
    <row r="147" spans="1:1030" x14ac:dyDescent="0.2">
      <c r="A147" s="3" t="str">
        <f t="shared" si="559"/>
        <v>cnr1_human_5U09</v>
      </c>
      <c r="B147" s="3" t="s">
        <v>182</v>
      </c>
      <c r="C147" s="3" t="s">
        <v>1371</v>
      </c>
      <c r="D147" s="3" t="str">
        <f>IFERROR(MID(VLOOKUP($B147,Seqs!$A:$B,2,0),E147,1),"")</f>
        <v>N</v>
      </c>
      <c r="E147" s="3">
        <v>112</v>
      </c>
      <c r="F147" s="3" t="str">
        <f>IFERROR(MID(VLOOKUP($B147,Seqs!$A:$B,2,0),G147,1),"")</f>
        <v>S</v>
      </c>
      <c r="G147" s="3">
        <v>144</v>
      </c>
      <c r="H147" s="3" t="str">
        <f>IFERROR(MID(VLOOKUP($B147,Seqs!$A:$B,2,0),I147,1),"")</f>
        <v>R</v>
      </c>
      <c r="I147" s="23">
        <v>145</v>
      </c>
      <c r="J147" s="3" t="str">
        <f>IFERROR(MID(VLOOKUP($B147,Seqs!$A:$B,2,0),K147,1),"")</f>
        <v>R</v>
      </c>
      <c r="K147" s="23">
        <v>148</v>
      </c>
      <c r="L147" s="3" t="str">
        <f>IFERROR(MID(VLOOKUP($B147,Seqs!$A:$B,2,0),M147,1),"")</f>
        <v>R</v>
      </c>
      <c r="M147" s="3">
        <v>150</v>
      </c>
      <c r="N147" s="3" t="str">
        <f>IFERROR(MID(VLOOKUP($B147,Seqs!$A:$B,2,0),O147,1),"")</f>
        <v>V</v>
      </c>
      <c r="O147" s="3">
        <v>179</v>
      </c>
      <c r="P147" s="3" t="str">
        <f>IFERROR(MID(VLOOKUP($B147,Seqs!$A:$B,2,0),Q147,1),"")</f>
        <v/>
      </c>
      <c r="Q147" s="3" t="s">
        <v>23</v>
      </c>
      <c r="R147" s="3" t="str">
        <f>IFERROR(MID(VLOOKUP($B147,Seqs!$A:$B,2,0),S147,1),"")</f>
        <v/>
      </c>
      <c r="S147" s="3" t="s">
        <v>23</v>
      </c>
      <c r="T147" s="3" t="str">
        <f>IFERROR(MID(VLOOKUP($B147,Seqs!$A:$B,2,0),U147,1),"")</f>
        <v>S</v>
      </c>
      <c r="U147" s="3">
        <v>185</v>
      </c>
      <c r="V147" s="3" t="str">
        <f>IFERROR(MID(VLOOKUP($B147,Seqs!$A:$B,2,0),W147,1),"")</f>
        <v>R</v>
      </c>
      <c r="W147" s="3">
        <v>220</v>
      </c>
      <c r="X147" s="3" t="str">
        <f>IFERROR(MID(VLOOKUP($B147,Seqs!$A:$B,2,0),Y147,1),"")</f>
        <v>P</v>
      </c>
      <c r="Y147" s="3">
        <v>221</v>
      </c>
      <c r="Z147" s="3" t="str">
        <f>IFERROR(MID(VLOOKUP($B147,Seqs!$A:$B,2,0),AA147,1),"")</f>
        <v>V</v>
      </c>
      <c r="AA147" s="3">
        <v>228</v>
      </c>
      <c r="AB147" s="3" t="str">
        <f>IFERROR(MID(VLOOKUP($B147,Seqs!$A:$B,2,0),AC147,1),"")</f>
        <v>T</v>
      </c>
      <c r="AC147" s="9">
        <v>229</v>
      </c>
      <c r="AD147" s="3" t="str">
        <f>IFERROR(MID(VLOOKUP($B147,Seqs!$A:$B,2,0),AE147,1),"")</f>
        <v>G</v>
      </c>
      <c r="AE147" s="3">
        <v>254</v>
      </c>
      <c r="AF147" s="3" t="str">
        <f>IFERROR(MID(VLOOKUP($B147,Seqs!$A:$B,2,0),AG147,1),"")</f>
        <v/>
      </c>
      <c r="AG147" s="3" t="s">
        <v>23</v>
      </c>
      <c r="AH147" s="3" t="str">
        <f>IFERROR(MID(VLOOKUP($B147,Seqs!$A:$B,2,0),AI147,1),"")</f>
        <v/>
      </c>
      <c r="AI147" s="3" t="s">
        <v>23</v>
      </c>
      <c r="AJ147" s="3" t="str">
        <f>IFERROR(MID(VLOOKUP($B147,Seqs!$A:$B,2,0),AK147,1),"")</f>
        <v>D</v>
      </c>
      <c r="AK147" s="3">
        <v>272</v>
      </c>
      <c r="AL147" s="3" t="str">
        <f>IFERROR(MID(VLOOKUP($B147,Seqs!$A:$B,2,0),AM147,1),"")</f>
        <v>A</v>
      </c>
      <c r="AM147" s="3">
        <v>301</v>
      </c>
      <c r="AN147" s="3" t="str">
        <f>IFERROR(MID(VLOOKUP($B147,Seqs!$A:$B,2,0),AO147,1),"")</f>
        <v>D</v>
      </c>
      <c r="AO147" s="3">
        <v>333</v>
      </c>
      <c r="AP147" s="3" t="str">
        <f>IFERROR(MID(VLOOKUP($B147,Seqs!$A:$B,2,0),AQ147,1),"")</f>
        <v>F</v>
      </c>
      <c r="AQ147" s="3">
        <v>368</v>
      </c>
      <c r="AR147" s="3" t="str">
        <f>IFERROR(MID(VLOOKUP($B147,Seqs!$A:$B,2,0),AS147,1),"")</f>
        <v>L</v>
      </c>
      <c r="AS147" s="3">
        <v>374</v>
      </c>
      <c r="AT147" s="3" t="str">
        <f>IFERROR(MID(VLOOKUP($B147,Seqs!$A:$B,2,0),AU147,1),"")</f>
        <v>R</v>
      </c>
      <c r="AU147" s="3">
        <v>400</v>
      </c>
      <c r="AV147" s="3" t="str">
        <f>IFERROR(MID(VLOOKUP($B147,Seqs!$A:$B,2,0),AW147,1),"")</f>
        <v>S</v>
      </c>
      <c r="AW147" s="3">
        <v>401</v>
      </c>
      <c r="AX147" s="3" t="str">
        <f>IFERROR(MID(VLOOKUP($B147,Seqs!$A:$B,2,0),AY147,1),"")</f>
        <v>M</v>
      </c>
      <c r="AY147" s="3">
        <v>411</v>
      </c>
      <c r="AZ147" s="77" t="str">
        <f>VLOOKUP(B147,Classification!A:D,2,0)</f>
        <v>A</v>
      </c>
      <c r="BA147" s="94" t="str">
        <f>VLOOKUP(B147,Classification!A:D,4,0)</f>
        <v>Cannabinoid</v>
      </c>
      <c r="BB147" s="27" t="b">
        <f t="shared" si="560"/>
        <v>1</v>
      </c>
      <c r="BC147" s="23">
        <f t="shared" si="365"/>
        <v>243</v>
      </c>
      <c r="BD147" s="2" t="s">
        <v>23</v>
      </c>
      <c r="BE147" s="3" t="s">
        <v>1381</v>
      </c>
      <c r="BF147" s="119">
        <v>2.6</v>
      </c>
      <c r="BG147" s="49" t="s">
        <v>1384</v>
      </c>
      <c r="BH147" s="49" t="s">
        <v>1384</v>
      </c>
      <c r="BJ147" s="70" t="s">
        <v>1293</v>
      </c>
      <c r="BK147" s="57" t="s">
        <v>1293</v>
      </c>
      <c r="BL147" s="57" t="s">
        <v>1293</v>
      </c>
      <c r="BM147" s="57" t="s">
        <v>1293</v>
      </c>
      <c r="BN147" s="57" t="s">
        <v>1293</v>
      </c>
      <c r="BO147" s="57" t="s">
        <v>1293</v>
      </c>
      <c r="BP147" s="57" t="s">
        <v>1293</v>
      </c>
      <c r="BQ147" s="57" t="s">
        <v>1293</v>
      </c>
      <c r="BR147" s="57" t="s">
        <v>1293</v>
      </c>
      <c r="BS147" s="57" t="s">
        <v>1293</v>
      </c>
      <c r="BT147" s="57" t="s">
        <v>1293</v>
      </c>
      <c r="BU147" s="57" t="s">
        <v>1293</v>
      </c>
      <c r="BV147" s="70">
        <f t="shared" si="366"/>
        <v>112</v>
      </c>
      <c r="BW147" s="71">
        <f t="shared" si="367"/>
        <v>145</v>
      </c>
      <c r="BX147" s="72">
        <f t="shared" si="368"/>
        <v>150</v>
      </c>
      <c r="BY147" s="71" t="str">
        <f t="shared" si="369"/>
        <v>-</v>
      </c>
      <c r="BZ147" s="72">
        <f t="shared" si="370"/>
        <v>185</v>
      </c>
      <c r="CA147" s="71">
        <f t="shared" si="371"/>
        <v>221</v>
      </c>
      <c r="CB147" s="72">
        <f t="shared" si="372"/>
        <v>229</v>
      </c>
      <c r="CC147" s="71" t="str">
        <f t="shared" si="373"/>
        <v>-</v>
      </c>
      <c r="CD147" s="72">
        <f t="shared" si="374"/>
        <v>272</v>
      </c>
      <c r="CE147" s="71">
        <f t="shared" si="375"/>
        <v>333</v>
      </c>
      <c r="CF147" s="72">
        <f t="shared" si="376"/>
        <v>374</v>
      </c>
      <c r="CG147" s="71">
        <f t="shared" si="377"/>
        <v>401</v>
      </c>
      <c r="CH147" s="70">
        <f t="shared" si="378"/>
        <v>144</v>
      </c>
      <c r="CI147" s="71">
        <f t="shared" si="379"/>
        <v>148</v>
      </c>
      <c r="CJ147" s="72">
        <f t="shared" si="380"/>
        <v>179</v>
      </c>
      <c r="CK147" s="72" t="str">
        <f t="shared" si="381"/>
        <v>-</v>
      </c>
      <c r="CL147" s="72">
        <f t="shared" si="382"/>
        <v>220</v>
      </c>
      <c r="CM147" s="72">
        <f t="shared" si="383"/>
        <v>228</v>
      </c>
      <c r="CN147" s="72">
        <f t="shared" si="384"/>
        <v>254</v>
      </c>
      <c r="CO147" s="72" t="str">
        <f t="shared" si="385"/>
        <v>-</v>
      </c>
      <c r="CP147" s="72">
        <f t="shared" si="386"/>
        <v>301</v>
      </c>
      <c r="CQ147" s="72">
        <f t="shared" si="387"/>
        <v>368</v>
      </c>
      <c r="CR147" s="72">
        <f t="shared" si="388"/>
        <v>400</v>
      </c>
      <c r="CS147" s="72">
        <f t="shared" si="389"/>
        <v>411</v>
      </c>
      <c r="CT147" s="23">
        <f t="shared" si="390"/>
        <v>2</v>
      </c>
    </row>
    <row r="148" spans="1:1030" x14ac:dyDescent="0.2">
      <c r="A148" s="3" t="str">
        <f>CONCATENATE(B148,"_",C148)</f>
        <v>cnr1_human_5XR8</v>
      </c>
      <c r="B148" s="3" t="s">
        <v>182</v>
      </c>
      <c r="C148" s="3" t="s">
        <v>1435</v>
      </c>
      <c r="D148" s="3" t="str">
        <f>IFERROR(MID(VLOOKUP($B148,Seqs!$A:$B,2,0),E148,1),"")</f>
        <v>N</v>
      </c>
      <c r="E148" s="3">
        <v>112</v>
      </c>
      <c r="F148" s="3" t="str">
        <f>IFERROR(MID(VLOOKUP($B148,Seqs!$A:$B,2,0),G148,1),"")</f>
        <v>S</v>
      </c>
      <c r="G148" s="3">
        <v>146</v>
      </c>
      <c r="H148" s="3" t="str">
        <f>IFERROR(MID(VLOOKUP($B148,Seqs!$A:$B,2,0),I148,1),"")</f>
        <v/>
      </c>
      <c r="I148" s="23" t="s">
        <v>23</v>
      </c>
      <c r="J148" s="3" t="str">
        <f>IFERROR(MID(VLOOKUP($B148,Seqs!$A:$B,2,0),K148,1),"")</f>
        <v/>
      </c>
      <c r="K148" s="23" t="s">
        <v>23</v>
      </c>
      <c r="L148" s="3" t="str">
        <f>IFERROR(MID(VLOOKUP($B148,Seqs!$A:$B,2,0),M148,1),"")</f>
        <v>Y</v>
      </c>
      <c r="M148" s="3">
        <v>153</v>
      </c>
      <c r="N148" s="3" t="str">
        <f>IFERROR(MID(VLOOKUP($B148,Seqs!$A:$B,2,0),O148,1),"")</f>
        <v>F</v>
      </c>
      <c r="O148" s="3">
        <v>180</v>
      </c>
      <c r="P148" s="3" t="str">
        <f>IFERROR(MID(VLOOKUP($B148,Seqs!$A:$B,2,0),Q148,1),"")</f>
        <v/>
      </c>
      <c r="Q148" s="3" t="s">
        <v>23</v>
      </c>
      <c r="R148" s="3" t="str">
        <f>IFERROR(MID(VLOOKUP($B148,Seqs!$A:$B,2,0),S148,1),"")</f>
        <v/>
      </c>
      <c r="S148" s="3" t="s">
        <v>23</v>
      </c>
      <c r="T148" s="3" t="str">
        <f>IFERROR(MID(VLOOKUP($B148,Seqs!$A:$B,2,0),U148,1),"")</f>
        <v>S</v>
      </c>
      <c r="U148" s="3">
        <v>185</v>
      </c>
      <c r="V148" s="3" t="str">
        <f>IFERROR(MID(VLOOKUP($B148,Seqs!$A:$B,2,0),W148,1),"")</f>
        <v>R</v>
      </c>
      <c r="W148" s="3">
        <v>220</v>
      </c>
      <c r="X148" s="3" t="str">
        <f>IFERROR(MID(VLOOKUP($B148,Seqs!$A:$B,2,0),Y148,1),"")</f>
        <v>P</v>
      </c>
      <c r="Y148" s="3">
        <v>221</v>
      </c>
      <c r="Z148" s="3" t="str">
        <f>IFERROR(MID(VLOOKUP($B148,Seqs!$A:$B,2,0),AA148,1),"")</f>
        <v>V</v>
      </c>
      <c r="AA148" s="3">
        <v>228</v>
      </c>
      <c r="AB148" s="3" t="str">
        <f>IFERROR(MID(VLOOKUP($B148,Seqs!$A:$B,2,0),AC148,1),"")</f>
        <v>T</v>
      </c>
      <c r="AC148" s="3">
        <v>229</v>
      </c>
      <c r="AD148" s="3" t="str">
        <f>IFERROR(MID(VLOOKUP($B148,Seqs!$A:$B,2,0),AE148,1),"")</f>
        <v>G</v>
      </c>
      <c r="AE148" s="3">
        <v>254</v>
      </c>
      <c r="AF148" s="3" t="str">
        <f>IFERROR(MID(VLOOKUP($B148,Seqs!$A:$B,2,0),AG148,1),"")</f>
        <v/>
      </c>
      <c r="AG148" s="3" t="s">
        <v>23</v>
      </c>
      <c r="AH148" s="3" t="str">
        <f>IFERROR(MID(VLOOKUP($B148,Seqs!$A:$B,2,0),AI148,1),"")</f>
        <v/>
      </c>
      <c r="AI148" s="3" t="s">
        <v>23</v>
      </c>
      <c r="AJ148" s="3" t="str">
        <f>IFERROR(MID(VLOOKUP($B148,Seqs!$A:$B,2,0),AK148,1),"")</f>
        <v>D</v>
      </c>
      <c r="AK148" s="3">
        <v>272</v>
      </c>
      <c r="AL148" s="3" t="str">
        <f>IFERROR(MID(VLOOKUP($B148,Seqs!$A:$B,2,0),AM148,1),"")</f>
        <v>S</v>
      </c>
      <c r="AM148" s="3">
        <v>303</v>
      </c>
      <c r="AN148" s="3" t="str">
        <f>IFERROR(MID(VLOOKUP($B148,Seqs!$A:$B,2,0),AO148,1),"")</f>
        <v>D</v>
      </c>
      <c r="AO148" s="3">
        <v>338</v>
      </c>
      <c r="AP148" s="3" t="str">
        <f>IFERROR(MID(VLOOKUP($B148,Seqs!$A:$B,2,0),AQ148,1),"")</f>
        <v>F</v>
      </c>
      <c r="AQ148" s="3">
        <v>368</v>
      </c>
      <c r="AR148" s="3" t="str">
        <f>IFERROR(MID(VLOOKUP($B148,Seqs!$A:$B,2,0),AS148,1),"")</f>
        <v>N</v>
      </c>
      <c r="AS148" s="3">
        <v>372</v>
      </c>
      <c r="AT148" s="3" t="str">
        <f>IFERROR(MID(VLOOKUP($B148,Seqs!$A:$B,2,0),AU148,1),"")</f>
        <v>Y</v>
      </c>
      <c r="AU148" s="3">
        <v>397</v>
      </c>
      <c r="AV148" s="3" t="str">
        <f>IFERROR(MID(VLOOKUP($B148,Seqs!$A:$B,2,0),AW148,1),"")</f>
        <v>S</v>
      </c>
      <c r="AW148" s="3">
        <v>401</v>
      </c>
      <c r="AX148" s="3" t="str">
        <f>IFERROR(MID(VLOOKUP($B148,Seqs!$A:$B,2,0),AY148,1),"")</f>
        <v>F</v>
      </c>
      <c r="AY148" s="3">
        <v>412</v>
      </c>
      <c r="AZ148" s="77" t="str">
        <f>VLOOKUP(B148,Classification!A:D,2,0)</f>
        <v>A</v>
      </c>
      <c r="BA148" s="94" t="str">
        <f>VLOOKUP(B148,Classification!A:D,4,0)</f>
        <v>Cannabinoid</v>
      </c>
      <c r="BB148" s="27" t="b">
        <f>AND(E148&lt;G148,OR(G148&lt;I148,I148="-"),OR(I148&lt;K148,I148="-"),OR(K148&lt;M148,K148="-"),M148&lt;O148,OR(O148&lt;Q148,Q148="-"),OR(Q148&lt;S148,Q148="-"),OR(S148&lt;U148,S148="-"),U148&lt;W148,OR(W148&lt;Y148,Y148="-"),OR(Y148&lt;AA148,Y148="-"),OR(AA148&lt;AC148,AA148="-"),AC148&lt;AE148,OR(AE148&lt;AG148,AG148="-"),OR(AG148&lt;AI148,AG148="-"),OR(AI148&lt;AK148,AI148="-"),AK148&lt;AM148,AM148&lt;AO148,AO148&lt;AQ148,AQ148&lt;AS148,AS148&lt;AU148,OR(AU148&lt;AW148,AW148="-"),OR(AW148&lt;AY148,AW148="-"))</f>
        <v>1</v>
      </c>
      <c r="BC148" s="23">
        <f>_xlfn.AGGREGATE(9,6,CH148:CS148)-_xlfn.AGGREGATE(9,6,BV148:CG148)+12</f>
        <v>237</v>
      </c>
      <c r="BD148" s="2" t="s">
        <v>23</v>
      </c>
      <c r="BE148" s="3" t="s">
        <v>1297</v>
      </c>
      <c r="BF148" s="119">
        <v>2.95</v>
      </c>
      <c r="BG148" s="49" t="s">
        <v>1</v>
      </c>
      <c r="BH148" s="49" t="s">
        <v>1</v>
      </c>
      <c r="BJ148" s="70" t="s">
        <v>1293</v>
      </c>
      <c r="BK148" s="57" t="s">
        <v>1293</v>
      </c>
      <c r="BL148" s="57" t="s">
        <v>1293</v>
      </c>
      <c r="BM148" s="57" t="s">
        <v>1293</v>
      </c>
      <c r="BN148" s="57" t="s">
        <v>1293</v>
      </c>
      <c r="BO148" s="57" t="s">
        <v>1293</v>
      </c>
      <c r="BP148" s="57" t="s">
        <v>1293</v>
      </c>
      <c r="BQ148" s="57" t="s">
        <v>1293</v>
      </c>
      <c r="BR148" s="57" t="s">
        <v>1293</v>
      </c>
      <c r="BS148" s="57" t="s">
        <v>1293</v>
      </c>
      <c r="BT148" s="57" t="s">
        <v>1293</v>
      </c>
      <c r="BU148" s="57" t="s">
        <v>1293</v>
      </c>
      <c r="BV148" s="70">
        <f>E148</f>
        <v>112</v>
      </c>
      <c r="BW148" s="71" t="str">
        <f>I148</f>
        <v>-</v>
      </c>
      <c r="BX148" s="72">
        <f>M148</f>
        <v>153</v>
      </c>
      <c r="BY148" s="71" t="str">
        <f>Q148</f>
        <v>-</v>
      </c>
      <c r="BZ148" s="72">
        <f>U148</f>
        <v>185</v>
      </c>
      <c r="CA148" s="71">
        <f>Y148</f>
        <v>221</v>
      </c>
      <c r="CB148" s="72">
        <f>AC148</f>
        <v>229</v>
      </c>
      <c r="CC148" s="71" t="str">
        <f>AG148</f>
        <v>-</v>
      </c>
      <c r="CD148" s="72">
        <f>AK148</f>
        <v>272</v>
      </c>
      <c r="CE148" s="71">
        <f>AO148</f>
        <v>338</v>
      </c>
      <c r="CF148" s="72">
        <f>AS148</f>
        <v>372</v>
      </c>
      <c r="CG148" s="71">
        <f>AW148</f>
        <v>401</v>
      </c>
      <c r="CH148" s="70">
        <f>G148</f>
        <v>146</v>
      </c>
      <c r="CI148" s="71" t="str">
        <f>K148</f>
        <v>-</v>
      </c>
      <c r="CJ148" s="72">
        <f>O148</f>
        <v>180</v>
      </c>
      <c r="CK148" s="72" t="str">
        <f>S148</f>
        <v>-</v>
      </c>
      <c r="CL148" s="72">
        <f>W148</f>
        <v>220</v>
      </c>
      <c r="CM148" s="72">
        <f>AA148</f>
        <v>228</v>
      </c>
      <c r="CN148" s="72">
        <f>AE148</f>
        <v>254</v>
      </c>
      <c r="CO148" s="72" t="str">
        <f>AI148</f>
        <v>-</v>
      </c>
      <c r="CP148" s="72">
        <f>AM148</f>
        <v>303</v>
      </c>
      <c r="CQ148" s="72">
        <f>AQ148</f>
        <v>368</v>
      </c>
      <c r="CR148" s="72">
        <f>AU148</f>
        <v>397</v>
      </c>
      <c r="CS148" s="72">
        <f>AY148</f>
        <v>412</v>
      </c>
      <c r="CT148" s="23" t="e">
        <f>M148-K148</f>
        <v>#VALUE!</v>
      </c>
    </row>
    <row r="149" spans="1:1030" x14ac:dyDescent="0.2">
      <c r="A149" s="3" t="str">
        <f>CONCATENATE(B149,"_",C149)</f>
        <v>cnr1_human_5XRA</v>
      </c>
      <c r="B149" s="3" t="s">
        <v>182</v>
      </c>
      <c r="C149" s="3" t="s">
        <v>1436</v>
      </c>
      <c r="D149" s="3" t="str">
        <f>IFERROR(MID(VLOOKUP($B149,Seqs!$A:$B,2,0),E149,1),"")</f>
        <v>N</v>
      </c>
      <c r="E149" s="3">
        <v>112</v>
      </c>
      <c r="F149" s="3" t="str">
        <f>IFERROR(MID(VLOOKUP($B149,Seqs!$A:$B,2,0),G149,1),"")</f>
        <v>S</v>
      </c>
      <c r="G149" s="3">
        <v>146</v>
      </c>
      <c r="H149" s="3" t="str">
        <f>IFERROR(MID(VLOOKUP($B149,Seqs!$A:$B,2,0),I149,1),"")</f>
        <v/>
      </c>
      <c r="I149" s="23" t="s">
        <v>23</v>
      </c>
      <c r="J149" s="3" t="str">
        <f>IFERROR(MID(VLOOKUP($B149,Seqs!$A:$B,2,0),K149,1),"")</f>
        <v/>
      </c>
      <c r="K149" s="23" t="s">
        <v>23</v>
      </c>
      <c r="L149" s="3" t="str">
        <f>IFERROR(MID(VLOOKUP($B149,Seqs!$A:$B,2,0),M149,1),"")</f>
        <v>Y</v>
      </c>
      <c r="M149" s="3">
        <v>153</v>
      </c>
      <c r="N149" s="3" t="str">
        <f>IFERROR(MID(VLOOKUP($B149,Seqs!$A:$B,2,0),O149,1),"")</f>
        <v>F</v>
      </c>
      <c r="O149" s="3">
        <v>180</v>
      </c>
      <c r="P149" s="3" t="str">
        <f>IFERROR(MID(VLOOKUP($B149,Seqs!$A:$B,2,0),Q149,1),"")</f>
        <v/>
      </c>
      <c r="Q149" s="3" t="s">
        <v>23</v>
      </c>
      <c r="R149" s="3" t="str">
        <f>IFERROR(MID(VLOOKUP($B149,Seqs!$A:$B,2,0),S149,1),"")</f>
        <v/>
      </c>
      <c r="S149" s="3" t="s">
        <v>23</v>
      </c>
      <c r="T149" s="3" t="str">
        <f>IFERROR(MID(VLOOKUP($B149,Seqs!$A:$B,2,0),U149,1),"")</f>
        <v>S</v>
      </c>
      <c r="U149" s="3">
        <v>185</v>
      </c>
      <c r="V149" s="3" t="str">
        <f>IFERROR(MID(VLOOKUP($B149,Seqs!$A:$B,2,0),W149,1),"")</f>
        <v>R</v>
      </c>
      <c r="W149" s="3">
        <v>220</v>
      </c>
      <c r="X149" s="3" t="str">
        <f>IFERROR(MID(VLOOKUP($B149,Seqs!$A:$B,2,0),Y149,1),"")</f>
        <v>P</v>
      </c>
      <c r="Y149" s="3">
        <v>221</v>
      </c>
      <c r="Z149" s="3" t="str">
        <f>IFERROR(MID(VLOOKUP($B149,Seqs!$A:$B,2,0),AA149,1),"")</f>
        <v>V</v>
      </c>
      <c r="AA149" s="3">
        <v>228</v>
      </c>
      <c r="AB149" s="3" t="str">
        <f>IFERROR(MID(VLOOKUP($B149,Seqs!$A:$B,2,0),AC149,1),"")</f>
        <v>T</v>
      </c>
      <c r="AC149" s="3">
        <v>229</v>
      </c>
      <c r="AD149" s="3" t="str">
        <f>IFERROR(MID(VLOOKUP($B149,Seqs!$A:$B,2,0),AE149,1),"")</f>
        <v>G</v>
      </c>
      <c r="AE149" s="3">
        <v>254</v>
      </c>
      <c r="AF149" s="3" t="str">
        <f>IFERROR(MID(VLOOKUP($B149,Seqs!$A:$B,2,0),AG149,1),"")</f>
        <v/>
      </c>
      <c r="AG149" s="3" t="s">
        <v>23</v>
      </c>
      <c r="AH149" s="3" t="str">
        <f>IFERROR(MID(VLOOKUP($B149,Seqs!$A:$B,2,0),AI149,1),"")</f>
        <v/>
      </c>
      <c r="AI149" s="3" t="s">
        <v>23</v>
      </c>
      <c r="AJ149" s="3" t="str">
        <f>IFERROR(MID(VLOOKUP($B149,Seqs!$A:$B,2,0),AK149,1),"")</f>
        <v>D</v>
      </c>
      <c r="AK149" s="3">
        <v>272</v>
      </c>
      <c r="AL149" s="3" t="str">
        <f>IFERROR(MID(VLOOKUP($B149,Seqs!$A:$B,2,0),AM149,1),"")</f>
        <v>A</v>
      </c>
      <c r="AM149" s="3">
        <v>305</v>
      </c>
      <c r="AN149" s="3" t="str">
        <f>IFERROR(MID(VLOOKUP($B149,Seqs!$A:$B,2,0),AO149,1),"")</f>
        <v>D</v>
      </c>
      <c r="AO149" s="3">
        <v>338</v>
      </c>
      <c r="AP149" s="3" t="str">
        <f>IFERROR(MID(VLOOKUP($B149,Seqs!$A:$B,2,0),AQ149,1),"")</f>
        <v>G</v>
      </c>
      <c r="AQ149" s="3">
        <v>369</v>
      </c>
      <c r="AR149" s="3" t="str">
        <f>IFERROR(MID(VLOOKUP($B149,Seqs!$A:$B,2,0),AS149,1),"")</f>
        <v>N</v>
      </c>
      <c r="AS149" s="3">
        <v>372</v>
      </c>
      <c r="AT149" s="3" t="str">
        <f>IFERROR(MID(VLOOKUP($B149,Seqs!$A:$B,2,0),AU149,1),"")</f>
        <v>Y</v>
      </c>
      <c r="AU149" s="3">
        <v>397</v>
      </c>
      <c r="AV149" s="3" t="str">
        <f>IFERROR(MID(VLOOKUP($B149,Seqs!$A:$B,2,0),AW149,1),"")</f>
        <v>S</v>
      </c>
      <c r="AW149" s="3">
        <v>401</v>
      </c>
      <c r="AX149" s="3" t="str">
        <f>IFERROR(MID(VLOOKUP($B149,Seqs!$A:$B,2,0),AY149,1),"")</f>
        <v>F</v>
      </c>
      <c r="AY149" s="3">
        <v>412</v>
      </c>
      <c r="AZ149" s="77" t="str">
        <f>VLOOKUP(B149,Classification!A:D,2,0)</f>
        <v>A</v>
      </c>
      <c r="BA149" s="94" t="str">
        <f>VLOOKUP(B149,Classification!A:D,4,0)</f>
        <v>Cannabinoid</v>
      </c>
      <c r="BB149" s="27" t="b">
        <f>AND(E149&lt;G149,OR(G149&lt;I149,I149="-"),OR(I149&lt;K149,I149="-"),OR(K149&lt;M149,K149="-"),M149&lt;O149,OR(O149&lt;Q149,Q149="-"),OR(Q149&lt;S149,Q149="-"),OR(S149&lt;U149,S149="-"),U149&lt;W149,OR(W149&lt;Y149,Y149="-"),OR(Y149&lt;AA149,Y149="-"),OR(AA149&lt;AC149,AA149="-"),AC149&lt;AE149,OR(AE149&lt;AG149,AG149="-"),OR(AG149&lt;AI149,AG149="-"),OR(AI149&lt;AK149,AI149="-"),AK149&lt;AM149,AM149&lt;AO149,AO149&lt;AQ149,AQ149&lt;AS149,AS149&lt;AU149,OR(AU149&lt;AW149,AW149="-"),OR(AW149&lt;AY149,AW149="-"))</f>
        <v>1</v>
      </c>
      <c r="BC149" s="23">
        <f>_xlfn.AGGREGATE(9,6,CH149:CS149)-_xlfn.AGGREGATE(9,6,BV149:CG149)+12</f>
        <v>240</v>
      </c>
      <c r="BD149" s="2" t="s">
        <v>1382</v>
      </c>
      <c r="BE149" s="3" t="s">
        <v>1297</v>
      </c>
      <c r="BF149" s="119">
        <v>2.8</v>
      </c>
      <c r="BG149" s="49" t="s">
        <v>1</v>
      </c>
      <c r="BH149" s="49" t="s">
        <v>1</v>
      </c>
      <c r="BJ149" s="70" t="s">
        <v>1293</v>
      </c>
      <c r="BK149" s="57" t="s">
        <v>1293</v>
      </c>
      <c r="BL149" s="57" t="s">
        <v>1293</v>
      </c>
      <c r="BM149" s="57" t="s">
        <v>1293</v>
      </c>
      <c r="BN149" s="57" t="s">
        <v>1293</v>
      </c>
      <c r="BO149" s="57" t="s">
        <v>1293</v>
      </c>
      <c r="BP149" s="57" t="s">
        <v>1293</v>
      </c>
      <c r="BQ149" s="57" t="s">
        <v>1293</v>
      </c>
      <c r="BR149" s="57" t="s">
        <v>1293</v>
      </c>
      <c r="BS149" s="57" t="s">
        <v>1293</v>
      </c>
      <c r="BT149" s="57" t="s">
        <v>1293</v>
      </c>
      <c r="BU149" s="57" t="s">
        <v>1293</v>
      </c>
      <c r="BV149" s="70">
        <f>E149</f>
        <v>112</v>
      </c>
      <c r="BW149" s="71" t="str">
        <f>I149</f>
        <v>-</v>
      </c>
      <c r="BX149" s="72">
        <f>M149</f>
        <v>153</v>
      </c>
      <c r="BY149" s="71" t="str">
        <f>Q149</f>
        <v>-</v>
      </c>
      <c r="BZ149" s="72">
        <f>U149</f>
        <v>185</v>
      </c>
      <c r="CA149" s="71">
        <f>Y149</f>
        <v>221</v>
      </c>
      <c r="CB149" s="72">
        <f>AC149</f>
        <v>229</v>
      </c>
      <c r="CC149" s="71" t="str">
        <f>AG149</f>
        <v>-</v>
      </c>
      <c r="CD149" s="72">
        <f>AK149</f>
        <v>272</v>
      </c>
      <c r="CE149" s="71">
        <f>AO149</f>
        <v>338</v>
      </c>
      <c r="CF149" s="72">
        <f>AS149</f>
        <v>372</v>
      </c>
      <c r="CG149" s="71">
        <f>AW149</f>
        <v>401</v>
      </c>
      <c r="CH149" s="70">
        <f>G149</f>
        <v>146</v>
      </c>
      <c r="CI149" s="71" t="str">
        <f>K149</f>
        <v>-</v>
      </c>
      <c r="CJ149" s="72">
        <f>O149</f>
        <v>180</v>
      </c>
      <c r="CK149" s="72" t="str">
        <f>S149</f>
        <v>-</v>
      </c>
      <c r="CL149" s="72">
        <f>W149</f>
        <v>220</v>
      </c>
      <c r="CM149" s="72">
        <f>AA149</f>
        <v>228</v>
      </c>
      <c r="CN149" s="72">
        <f>AE149</f>
        <v>254</v>
      </c>
      <c r="CO149" s="72" t="str">
        <f>AI149</f>
        <v>-</v>
      </c>
      <c r="CP149" s="72">
        <f>AM149</f>
        <v>305</v>
      </c>
      <c r="CQ149" s="72">
        <f>AQ149</f>
        <v>369</v>
      </c>
      <c r="CR149" s="72">
        <f>AU149</f>
        <v>397</v>
      </c>
      <c r="CS149" s="72">
        <f>AY149</f>
        <v>412</v>
      </c>
      <c r="CT149" s="23" t="e">
        <f>M149-K149</f>
        <v>#VALUE!</v>
      </c>
    </row>
    <row r="150" spans="1:1030" x14ac:dyDescent="0.2">
      <c r="A150" s="3" t="str">
        <f t="shared" si="559"/>
        <v>cxcr4_human__wt</v>
      </c>
      <c r="B150" s="3" t="s">
        <v>1172</v>
      </c>
      <c r="C150" s="3" t="s">
        <v>100</v>
      </c>
      <c r="D150" s="3" t="str">
        <f>IFERROR(MID(VLOOKUP($B150,Seqs!$A:$B,2,0),E150,1),"")</f>
        <v>R</v>
      </c>
      <c r="E150" s="3">
        <v>30</v>
      </c>
      <c r="F150" s="3" t="str">
        <f>IFERROR(MID(VLOOKUP($B150,Seqs!$A:$B,2,0),G150,1),"")</f>
        <v>Q</v>
      </c>
      <c r="G150" s="3">
        <v>66</v>
      </c>
      <c r="H150" s="3" t="str">
        <f>IFERROR(MID(VLOOKUP($B150,Seqs!$A:$B,2,0),I150,1),"")</f>
        <v>K</v>
      </c>
      <c r="I150" s="23">
        <v>67</v>
      </c>
      <c r="J150" s="3" t="str">
        <f>IFERROR(MID(VLOOKUP($B150,Seqs!$A:$B,2,0),K150,1),"")</f>
        <v>R</v>
      </c>
      <c r="K150" s="23">
        <v>70</v>
      </c>
      <c r="L150" s="3" t="str">
        <f>IFERROR(MID(VLOOKUP($B150,Seqs!$A:$B,2,0),M150,1),"")</f>
        <v>S</v>
      </c>
      <c r="M150" s="3">
        <v>71</v>
      </c>
      <c r="N150" s="3" t="str">
        <f>IFERROR(MID(VLOOKUP($B150,Seqs!$A:$B,2,0),O150,1),"")</f>
        <v>A</v>
      </c>
      <c r="O150" s="3">
        <v>100</v>
      </c>
      <c r="P150" s="3" t="str">
        <f>IFERROR(MID(VLOOKUP($B150,Seqs!$A:$B,2,0),Q150,1),"")</f>
        <v>N</v>
      </c>
      <c r="Q150" s="3">
        <v>101</v>
      </c>
      <c r="R150" s="3" t="str">
        <f>IFERROR(MID(VLOOKUP($B150,Seqs!$A:$B,2,0),S150,1),"")</f>
        <v>F</v>
      </c>
      <c r="S150" s="3">
        <v>104</v>
      </c>
      <c r="T150" s="3" t="str">
        <f>IFERROR(MID(VLOOKUP($B150,Seqs!$A:$B,2,0),U150,1),"")</f>
        <v>G</v>
      </c>
      <c r="U150" s="3">
        <v>105</v>
      </c>
      <c r="V150" s="3" t="str">
        <f>IFERROR(MID(VLOOKUP($B150,Seqs!$A:$B,2,0),W150,1),"")</f>
        <v>H</v>
      </c>
      <c r="W150" s="3">
        <v>140</v>
      </c>
      <c r="X150" s="3" t="str">
        <f>IFERROR(MID(VLOOKUP($B150,Seqs!$A:$B,2,0),Y150,1),"")</f>
        <v>A</v>
      </c>
      <c r="Y150" s="3">
        <v>141</v>
      </c>
      <c r="Z150" s="3" t="str">
        <f>IFERROR(MID(VLOOKUP($B150,Seqs!$A:$B,2,0),AA150,1),"")</f>
        <v>R</v>
      </c>
      <c r="AA150" s="3">
        <v>148</v>
      </c>
      <c r="AB150" s="3" t="str">
        <f>IFERROR(MID(VLOOKUP($B150,Seqs!$A:$B,2,0),AC150,1),"")</f>
        <v>K</v>
      </c>
      <c r="AC150" s="9">
        <v>149</v>
      </c>
      <c r="AD150" s="3" t="str">
        <f>IFERROR(MID(VLOOKUP($B150,Seqs!$A:$B,2,0),AE150,1),"")</f>
        <v>A</v>
      </c>
      <c r="AE150" s="3">
        <v>175</v>
      </c>
      <c r="AF150" s="3" t="str">
        <f>IFERROR(MID(VLOOKUP($B150,Seqs!$A:$B,2,0),AG150,1),"")</f>
        <v>C</v>
      </c>
      <c r="AG150" s="3">
        <v>186</v>
      </c>
      <c r="AH150" s="3" t="str">
        <f>IFERROR(MID(VLOOKUP($B150,Seqs!$A:$B,2,0),AI150,1),"")</f>
        <v>R</v>
      </c>
      <c r="AI150" s="3">
        <v>188</v>
      </c>
      <c r="AJ150" s="3" t="str">
        <f>IFERROR(MID(VLOOKUP($B150,Seqs!$A:$B,2,0),AK150,1),"")</f>
        <v>D</v>
      </c>
      <c r="AK150" s="3">
        <v>193</v>
      </c>
      <c r="AL150" s="3" t="str">
        <f>IFERROR(MID(VLOOKUP($B150,Seqs!$A:$B,2,0),AM150,1),"")</f>
        <v>S</v>
      </c>
      <c r="AM150" s="3">
        <v>229</v>
      </c>
      <c r="AN150" s="3" t="str">
        <f>IFERROR(MID(VLOOKUP($B150,Seqs!$A:$B,2,0),AO150,1),"")</f>
        <v>K</v>
      </c>
      <c r="AO150" s="3">
        <v>234</v>
      </c>
      <c r="AP150" s="3" t="str">
        <f>IFERROR(MID(VLOOKUP($B150,Seqs!$A:$B,2,0),AQ150,1),"")</f>
        <v>E</v>
      </c>
      <c r="AQ150" s="3">
        <v>268</v>
      </c>
      <c r="AR150" s="3" t="str">
        <f>IFERROR(MID(VLOOKUP($B150,Seqs!$A:$B,2,0),AS150,1),"")</f>
        <v>G</v>
      </c>
      <c r="AS150" s="3">
        <v>273</v>
      </c>
      <c r="AT150" s="3" t="str">
        <f>IFERROR(MID(VLOOKUP($B150,Seqs!$A:$B,2,0),AU150,1),"")</f>
        <v>L</v>
      </c>
      <c r="AU150" s="3">
        <v>305</v>
      </c>
      <c r="AV150" s="3" t="str">
        <f>IFERROR(MID(VLOOKUP($B150,Seqs!$A:$B,2,0),AW150,1),"")</f>
        <v>G</v>
      </c>
      <c r="AW150" s="3">
        <v>306</v>
      </c>
      <c r="AX150" s="3" t="str">
        <f>IFERROR(MID(VLOOKUP($B150,Seqs!$A:$B,2,0),AY150,1),"")</f>
        <v>T</v>
      </c>
      <c r="AY150" s="3">
        <v>318</v>
      </c>
      <c r="AZ150" s="77" t="str">
        <f>VLOOKUP(B150,Classification!A:D,2,0)</f>
        <v>A</v>
      </c>
      <c r="BA150" s="94" t="str">
        <f>VLOOKUP(B150,Classification!A:D,4,0)</f>
        <v>Chemokine</v>
      </c>
      <c r="BB150" s="27" t="b">
        <f t="shared" si="560"/>
        <v>1</v>
      </c>
      <c r="BC150" s="23">
        <f t="shared" ref="BC150:BC157" si="617">_xlfn.AGGREGATE(9,6,CH150:CS150)-_xlfn.AGGREGATE(9,6,BV150:CG150)+12</f>
        <v>267</v>
      </c>
      <c r="BD150" s="34" t="s">
        <v>1379</v>
      </c>
      <c r="BE150" s="3" t="s">
        <v>23</v>
      </c>
      <c r="BF150" s="119" t="s">
        <v>23</v>
      </c>
      <c r="BG150" s="49" t="s">
        <v>1379</v>
      </c>
      <c r="BH150" s="49" t="s">
        <v>1384</v>
      </c>
      <c r="BI150" s="1"/>
      <c r="BJ150" s="70" t="s">
        <v>1293</v>
      </c>
      <c r="BK150" s="57" t="s">
        <v>1293</v>
      </c>
      <c r="BL150" s="57" t="s">
        <v>1293</v>
      </c>
      <c r="BM150" s="57" t="s">
        <v>1293</v>
      </c>
      <c r="BN150" s="57" t="s">
        <v>1293</v>
      </c>
      <c r="BO150" s="57" t="s">
        <v>1293</v>
      </c>
      <c r="BP150" s="57" t="s">
        <v>1293</v>
      </c>
      <c r="BQ150" s="57" t="s">
        <v>1293</v>
      </c>
      <c r="BR150" s="57" t="s">
        <v>1293</v>
      </c>
      <c r="BS150" s="57" t="s">
        <v>1293</v>
      </c>
      <c r="BT150" s="57" t="s">
        <v>1293</v>
      </c>
      <c r="BU150" s="57" t="s">
        <v>1293</v>
      </c>
      <c r="BV150" s="70">
        <f t="shared" ref="BV150:BV157" si="618">E150</f>
        <v>30</v>
      </c>
      <c r="BW150" s="71">
        <f t="shared" ref="BW150:BW157" si="619">I150</f>
        <v>67</v>
      </c>
      <c r="BX150" s="72">
        <f t="shared" ref="BX150:BX157" si="620">M150</f>
        <v>71</v>
      </c>
      <c r="BY150" s="71">
        <f t="shared" ref="BY150:BY157" si="621">Q150</f>
        <v>101</v>
      </c>
      <c r="BZ150" s="72">
        <f t="shared" ref="BZ150:BZ157" si="622">U150</f>
        <v>105</v>
      </c>
      <c r="CA150" s="71">
        <f t="shared" ref="CA150:CA157" si="623">Y150</f>
        <v>141</v>
      </c>
      <c r="CB150" s="72">
        <f t="shared" ref="CB150:CB157" si="624">AC150</f>
        <v>149</v>
      </c>
      <c r="CC150" s="71">
        <f t="shared" ref="CC150:CC157" si="625">AG150</f>
        <v>186</v>
      </c>
      <c r="CD150" s="72">
        <f t="shared" ref="CD150:CD157" si="626">AK150</f>
        <v>193</v>
      </c>
      <c r="CE150" s="71">
        <f t="shared" ref="CE150:CE157" si="627">AO150</f>
        <v>234</v>
      </c>
      <c r="CF150" s="72">
        <f t="shared" ref="CF150:CF157" si="628">AS150</f>
        <v>273</v>
      </c>
      <c r="CG150" s="71">
        <f t="shared" ref="CG150:CG157" si="629">AW150</f>
        <v>306</v>
      </c>
      <c r="CH150" s="70">
        <f t="shared" ref="CH150:CH157" si="630">G150</f>
        <v>66</v>
      </c>
      <c r="CI150" s="71">
        <f t="shared" ref="CI150:CI157" si="631">K150</f>
        <v>70</v>
      </c>
      <c r="CJ150" s="72">
        <f t="shared" ref="CJ150:CJ157" si="632">O150</f>
        <v>100</v>
      </c>
      <c r="CK150" s="72">
        <f t="shared" ref="CK150:CK157" si="633">S150</f>
        <v>104</v>
      </c>
      <c r="CL150" s="72">
        <f t="shared" ref="CL150:CL157" si="634">W150</f>
        <v>140</v>
      </c>
      <c r="CM150" s="72">
        <f t="shared" ref="CM150:CM157" si="635">AA150</f>
        <v>148</v>
      </c>
      <c r="CN150" s="72">
        <f t="shared" ref="CN150:CN157" si="636">AE150</f>
        <v>175</v>
      </c>
      <c r="CO150" s="72">
        <f t="shared" ref="CO150:CO157" si="637">AI150</f>
        <v>188</v>
      </c>
      <c r="CP150" s="72">
        <f t="shared" ref="CP150:CP157" si="638">AM150</f>
        <v>229</v>
      </c>
      <c r="CQ150" s="72">
        <f t="shared" ref="CQ150:CQ157" si="639">AQ150</f>
        <v>268</v>
      </c>
      <c r="CR150" s="72">
        <f t="shared" ref="CR150:CR157" si="640">AU150</f>
        <v>305</v>
      </c>
      <c r="CS150" s="72">
        <f t="shared" ref="CS150:CS157" si="641">AY150</f>
        <v>318</v>
      </c>
      <c r="CT150" s="23">
        <f t="shared" ref="CT150:CT157" si="642">M150-K150</f>
        <v>1</v>
      </c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  <c r="OK150" s="1"/>
      <c r="OL150" s="1"/>
      <c r="OM150" s="1"/>
      <c r="ON150" s="1"/>
      <c r="OO150" s="1"/>
      <c r="OP150" s="1"/>
      <c r="OQ150" s="1"/>
      <c r="OR150" s="1"/>
      <c r="OS150" s="1"/>
      <c r="OT150" s="1"/>
      <c r="OU150" s="1"/>
      <c r="OV150" s="1"/>
      <c r="OW150" s="1"/>
      <c r="OX150" s="1"/>
      <c r="OY150" s="1"/>
      <c r="OZ150" s="1"/>
      <c r="PA150" s="1"/>
      <c r="PB150" s="1"/>
      <c r="PC150" s="1"/>
      <c r="PD150" s="1"/>
      <c r="PE150" s="1"/>
      <c r="PF150" s="1"/>
      <c r="PG150" s="1"/>
      <c r="PH150" s="1"/>
      <c r="PI150" s="1"/>
      <c r="PJ150" s="1"/>
      <c r="PK150" s="1"/>
      <c r="PL150" s="1"/>
      <c r="PM150" s="1"/>
      <c r="PN150" s="1"/>
      <c r="PO150" s="1"/>
      <c r="PP150" s="1"/>
      <c r="PQ150" s="1"/>
      <c r="PR150" s="1"/>
      <c r="PS150" s="1"/>
      <c r="PT150" s="1"/>
      <c r="PU150" s="1"/>
      <c r="PV150" s="1"/>
      <c r="PW150" s="1"/>
      <c r="PX150" s="1"/>
      <c r="PY150" s="1"/>
      <c r="PZ150" s="1"/>
      <c r="QA150" s="1"/>
      <c r="QB150" s="1"/>
      <c r="QC150" s="1"/>
      <c r="QD150" s="1"/>
      <c r="QE150" s="1"/>
      <c r="QF150" s="1"/>
      <c r="QG150" s="1"/>
      <c r="QH150" s="1"/>
      <c r="QI150" s="1"/>
      <c r="QJ150" s="1"/>
      <c r="QK150" s="1"/>
      <c r="QL150" s="1"/>
      <c r="QM150" s="1"/>
      <c r="QN150" s="1"/>
      <c r="QO150" s="1"/>
      <c r="QP150" s="1"/>
      <c r="QQ150" s="1"/>
      <c r="QR150" s="1"/>
      <c r="QS150" s="1"/>
      <c r="QT150" s="1"/>
      <c r="QU150" s="1"/>
      <c r="QV150" s="1"/>
      <c r="QW150" s="1"/>
      <c r="QX150" s="1"/>
      <c r="QY150" s="1"/>
      <c r="QZ150" s="1"/>
      <c r="RA150" s="1"/>
      <c r="RB150" s="1"/>
      <c r="RC150" s="1"/>
      <c r="RD150" s="1"/>
      <c r="RE150" s="1"/>
      <c r="RF150" s="1"/>
      <c r="RG150" s="1"/>
      <c r="RH150" s="1"/>
      <c r="RI150" s="1"/>
      <c r="RJ150" s="1"/>
      <c r="RK150" s="1"/>
      <c r="RL150" s="1"/>
      <c r="RM150" s="1"/>
      <c r="RN150" s="1"/>
      <c r="RO150" s="1"/>
      <c r="RP150" s="1"/>
      <c r="RQ150" s="1"/>
      <c r="RR150" s="1"/>
      <c r="RS150" s="1"/>
      <c r="RT150" s="1"/>
      <c r="RU150" s="1"/>
      <c r="RV150" s="1"/>
      <c r="RW150" s="1"/>
      <c r="RX150" s="1"/>
      <c r="RY150" s="1"/>
      <c r="RZ150" s="1"/>
      <c r="SA150" s="1"/>
      <c r="SB150" s="1"/>
      <c r="SC150" s="1"/>
      <c r="SD150" s="1"/>
      <c r="SE150" s="1"/>
      <c r="SF150" s="1"/>
      <c r="SG150" s="1"/>
      <c r="SH150" s="1"/>
      <c r="SI150" s="1"/>
      <c r="SJ150" s="1"/>
      <c r="SK150" s="1"/>
      <c r="SL150" s="1"/>
      <c r="SM150" s="1"/>
      <c r="SN150" s="1"/>
      <c r="SO150" s="1"/>
      <c r="SP150" s="1"/>
      <c r="SQ150" s="1"/>
      <c r="SR150" s="1"/>
      <c r="SS150" s="1"/>
      <c r="ST150" s="1"/>
      <c r="SU150" s="1"/>
      <c r="SV150" s="1"/>
      <c r="SW150" s="1"/>
      <c r="SX150" s="1"/>
      <c r="SY150" s="1"/>
      <c r="SZ150" s="1"/>
      <c r="TA150" s="1"/>
      <c r="TB150" s="1"/>
      <c r="TC150" s="1"/>
      <c r="TD150" s="1"/>
      <c r="TE150" s="1"/>
      <c r="TF150" s="1"/>
      <c r="TG150" s="1"/>
      <c r="TH150" s="1"/>
      <c r="TI150" s="1"/>
      <c r="TJ150" s="1"/>
      <c r="TK150" s="1"/>
      <c r="TL150" s="1"/>
      <c r="TM150" s="1"/>
      <c r="TN150" s="1"/>
      <c r="TO150" s="1"/>
      <c r="TP150" s="1"/>
      <c r="TQ150" s="1"/>
      <c r="TR150" s="1"/>
      <c r="TS150" s="1"/>
      <c r="TT150" s="1"/>
      <c r="TU150" s="1"/>
      <c r="TV150" s="1"/>
      <c r="TW150" s="1"/>
      <c r="TX150" s="1"/>
      <c r="TY150" s="1"/>
      <c r="TZ150" s="1"/>
      <c r="UA150" s="1"/>
      <c r="UB150" s="1"/>
      <c r="UC150" s="1"/>
      <c r="UD150" s="1"/>
      <c r="UE150" s="1"/>
      <c r="UF150" s="1"/>
      <c r="UG150" s="1"/>
      <c r="UH150" s="1"/>
      <c r="UI150" s="1"/>
      <c r="UJ150" s="1"/>
      <c r="UK150" s="1"/>
      <c r="UL150" s="1"/>
      <c r="UM150" s="1"/>
      <c r="UN150" s="1"/>
      <c r="UO150" s="1"/>
      <c r="UP150" s="1"/>
      <c r="UQ150" s="1"/>
      <c r="UR150" s="1"/>
      <c r="US150" s="1"/>
      <c r="UT150" s="1"/>
      <c r="UU150" s="1"/>
      <c r="UV150" s="1"/>
      <c r="UW150" s="1"/>
      <c r="UX150" s="1"/>
      <c r="UY150" s="1"/>
      <c r="UZ150" s="1"/>
      <c r="VA150" s="1"/>
      <c r="VB150" s="1"/>
      <c r="VC150" s="1"/>
      <c r="VD150" s="1"/>
      <c r="VE150" s="1"/>
      <c r="VF150" s="1"/>
      <c r="VG150" s="1"/>
      <c r="VH150" s="1"/>
      <c r="VI150" s="1"/>
      <c r="VJ150" s="1"/>
      <c r="VK150" s="1"/>
      <c r="VL150" s="1"/>
      <c r="VM150" s="1"/>
      <c r="VN150" s="1"/>
      <c r="VO150" s="1"/>
      <c r="VP150" s="1"/>
      <c r="VQ150" s="1"/>
      <c r="VR150" s="1"/>
      <c r="VS150" s="1"/>
      <c r="VT150" s="1"/>
      <c r="VU150" s="1"/>
      <c r="VV150" s="1"/>
      <c r="VW150" s="1"/>
      <c r="VX150" s="1"/>
      <c r="VY150" s="1"/>
      <c r="VZ150" s="1"/>
      <c r="WA150" s="1"/>
      <c r="WB150" s="1"/>
      <c r="WC150" s="1"/>
      <c r="WD150" s="1"/>
      <c r="WE150" s="1"/>
      <c r="WF150" s="1"/>
      <c r="WG150" s="1"/>
      <c r="WH150" s="1"/>
      <c r="WI150" s="1"/>
      <c r="WJ150" s="1"/>
      <c r="WK150" s="1"/>
      <c r="WL150" s="1"/>
      <c r="WM150" s="1"/>
      <c r="WN150" s="1"/>
      <c r="WO150" s="1"/>
      <c r="WP150" s="1"/>
      <c r="WQ150" s="1"/>
      <c r="WR150" s="1"/>
      <c r="WS150" s="1"/>
      <c r="WT150" s="1"/>
      <c r="WU150" s="1"/>
      <c r="WV150" s="1"/>
      <c r="WW150" s="1"/>
      <c r="WX150" s="1"/>
      <c r="WY150" s="1"/>
      <c r="WZ150" s="1"/>
      <c r="XA150" s="1"/>
      <c r="XB150" s="1"/>
      <c r="XC150" s="1"/>
      <c r="XD150" s="1"/>
      <c r="XE150" s="1"/>
      <c r="XF150" s="1"/>
      <c r="XG150" s="1"/>
      <c r="XH150" s="1"/>
      <c r="XI150" s="1"/>
      <c r="XJ150" s="1"/>
      <c r="XK150" s="1"/>
      <c r="XL150" s="1"/>
      <c r="XM150" s="1"/>
      <c r="XN150" s="1"/>
      <c r="XO150" s="1"/>
      <c r="XP150" s="1"/>
      <c r="XQ150" s="1"/>
      <c r="XR150" s="1"/>
      <c r="XS150" s="1"/>
      <c r="XT150" s="1"/>
      <c r="XU150" s="1"/>
      <c r="XV150" s="1"/>
      <c r="XW150" s="1"/>
      <c r="XX150" s="1"/>
      <c r="XY150" s="1"/>
      <c r="XZ150" s="1"/>
      <c r="YA150" s="1"/>
      <c r="YB150" s="1"/>
      <c r="YC150" s="1"/>
      <c r="YD150" s="1"/>
      <c r="YE150" s="1"/>
      <c r="YF150" s="1"/>
      <c r="YG150" s="1"/>
      <c r="YH150" s="1"/>
      <c r="YI150" s="1"/>
      <c r="YJ150" s="1"/>
      <c r="YK150" s="1"/>
      <c r="YL150" s="1"/>
      <c r="YM150" s="1"/>
      <c r="YN150" s="1"/>
      <c r="YO150" s="1"/>
      <c r="YP150" s="1"/>
      <c r="YQ150" s="1"/>
      <c r="YR150" s="1"/>
      <c r="YS150" s="1"/>
      <c r="YT150" s="1"/>
      <c r="YU150" s="1"/>
      <c r="YV150" s="1"/>
      <c r="YW150" s="1"/>
      <c r="YX150" s="1"/>
      <c r="YY150" s="1"/>
      <c r="YZ150" s="1"/>
      <c r="ZA150" s="1"/>
      <c r="ZB150" s="1"/>
      <c r="ZC150" s="1"/>
      <c r="ZD150" s="1"/>
      <c r="ZE150" s="1"/>
      <c r="ZF150" s="1"/>
      <c r="ZG150" s="1"/>
      <c r="ZH150" s="1"/>
      <c r="ZI150" s="1"/>
      <c r="ZJ150" s="1"/>
      <c r="ZK150" s="1"/>
      <c r="ZL150" s="1"/>
      <c r="ZM150" s="1"/>
      <c r="ZN150" s="1"/>
      <c r="ZO150" s="1"/>
      <c r="ZP150" s="1"/>
      <c r="ZQ150" s="1"/>
      <c r="ZR150" s="1"/>
      <c r="ZS150" s="1"/>
      <c r="ZT150" s="1"/>
      <c r="ZU150" s="1"/>
      <c r="ZV150" s="1"/>
      <c r="ZW150" s="1"/>
      <c r="ZX150" s="1"/>
      <c r="ZY150" s="1"/>
      <c r="ZZ150" s="1"/>
      <c r="AAA150" s="1"/>
      <c r="AAB150" s="1"/>
      <c r="AAC150" s="1"/>
      <c r="AAD150" s="1"/>
      <c r="AAE150" s="1"/>
      <c r="AAF150" s="1"/>
      <c r="AAG150" s="1"/>
      <c r="AAH150" s="1"/>
      <c r="AAI150" s="1"/>
      <c r="AAJ150" s="1"/>
      <c r="AAK150" s="1"/>
      <c r="AAL150" s="1"/>
      <c r="AAM150" s="1"/>
      <c r="AAN150" s="1"/>
      <c r="AAO150" s="1"/>
      <c r="AAP150" s="1"/>
      <c r="AAQ150" s="1"/>
      <c r="AAR150" s="1"/>
      <c r="AAS150" s="1"/>
      <c r="AAT150" s="1"/>
      <c r="AAU150" s="1"/>
      <c r="AAV150" s="1"/>
      <c r="AAW150" s="1"/>
      <c r="AAX150" s="1"/>
      <c r="AAY150" s="1"/>
      <c r="AAZ150" s="1"/>
      <c r="ABA150" s="1"/>
      <c r="ABB150" s="1"/>
      <c r="ABC150" s="1"/>
      <c r="ABD150" s="1"/>
      <c r="ABE150" s="1"/>
      <c r="ABF150" s="1"/>
      <c r="ABG150" s="1"/>
      <c r="ABH150" s="1"/>
      <c r="ABI150" s="1"/>
      <c r="ABJ150" s="1"/>
      <c r="ABK150" s="1"/>
      <c r="ABL150" s="1"/>
      <c r="ABM150" s="1"/>
      <c r="ABN150" s="1"/>
      <c r="ABO150" s="1"/>
      <c r="ABP150" s="1"/>
      <c r="ABQ150" s="1"/>
      <c r="ABR150" s="1"/>
      <c r="ABS150" s="1"/>
      <c r="ABT150" s="1"/>
      <c r="ABU150" s="1"/>
      <c r="ABV150" s="1"/>
      <c r="ABW150" s="1"/>
      <c r="ABX150" s="1"/>
      <c r="ABY150" s="1"/>
      <c r="ABZ150" s="1"/>
      <c r="ACA150" s="1"/>
      <c r="ACB150" s="1"/>
      <c r="ACC150" s="1"/>
      <c r="ACD150" s="1"/>
      <c r="ACE150" s="1"/>
      <c r="ACF150" s="1"/>
      <c r="ACG150" s="1"/>
      <c r="ACH150" s="1"/>
      <c r="ACI150" s="1"/>
      <c r="ACJ150" s="1"/>
      <c r="ACK150" s="1"/>
      <c r="ACL150" s="1"/>
      <c r="ACM150" s="1"/>
      <c r="ACN150" s="1"/>
      <c r="ACO150" s="1"/>
      <c r="ACP150" s="1"/>
      <c r="ACQ150" s="1"/>
      <c r="ACR150" s="1"/>
      <c r="ACS150" s="1"/>
      <c r="ACT150" s="1"/>
      <c r="ACU150" s="1"/>
      <c r="ACV150" s="1"/>
      <c r="ACW150" s="1"/>
      <c r="ACX150" s="1"/>
      <c r="ACY150" s="1"/>
      <c r="ACZ150" s="1"/>
      <c r="ADA150" s="1"/>
      <c r="ADB150" s="1"/>
      <c r="ADC150" s="1"/>
      <c r="ADD150" s="1"/>
      <c r="ADE150" s="1"/>
      <c r="ADF150" s="1"/>
      <c r="ADG150" s="1"/>
      <c r="ADH150" s="1"/>
      <c r="ADI150" s="1"/>
      <c r="ADJ150" s="1"/>
      <c r="ADK150" s="1"/>
      <c r="ADL150" s="1"/>
      <c r="ADM150" s="1"/>
      <c r="ADN150" s="1"/>
      <c r="ADO150" s="1"/>
      <c r="ADP150" s="1"/>
      <c r="ADQ150" s="1"/>
      <c r="ADR150" s="1"/>
      <c r="ADS150" s="1"/>
      <c r="ADT150" s="1"/>
      <c r="ADU150" s="1"/>
      <c r="ADV150" s="1"/>
      <c r="ADW150" s="1"/>
      <c r="ADX150" s="1"/>
      <c r="ADY150" s="1"/>
      <c r="ADZ150" s="1"/>
      <c r="AEA150" s="1"/>
      <c r="AEB150" s="1"/>
      <c r="AEC150" s="1"/>
      <c r="AED150" s="1"/>
      <c r="AEE150" s="1"/>
      <c r="AEF150" s="1"/>
      <c r="AEG150" s="1"/>
      <c r="AEH150" s="1"/>
      <c r="AEI150" s="1"/>
      <c r="AEJ150" s="1"/>
      <c r="AEK150" s="1"/>
      <c r="AEL150" s="1"/>
      <c r="AEM150" s="1"/>
      <c r="AEN150" s="1"/>
      <c r="AEO150" s="1"/>
      <c r="AEP150" s="1"/>
      <c r="AEQ150" s="1"/>
      <c r="AER150" s="1"/>
      <c r="AES150" s="1"/>
      <c r="AET150" s="1"/>
      <c r="AEU150" s="1"/>
      <c r="AEV150" s="1"/>
      <c r="AEW150" s="1"/>
      <c r="AEX150" s="1"/>
      <c r="AEY150" s="1"/>
      <c r="AEZ150" s="1"/>
      <c r="AFA150" s="1"/>
      <c r="AFB150" s="1"/>
      <c r="AFC150" s="1"/>
      <c r="AFD150" s="1"/>
      <c r="AFE150" s="1"/>
      <c r="AFF150" s="1"/>
      <c r="AFG150" s="1"/>
      <c r="AFH150" s="1"/>
      <c r="AFI150" s="1"/>
      <c r="AFJ150" s="1"/>
      <c r="AFK150" s="1"/>
      <c r="AFL150" s="1"/>
      <c r="AFM150" s="1"/>
      <c r="AFN150" s="1"/>
      <c r="AFO150" s="1"/>
      <c r="AFP150" s="1"/>
      <c r="AFQ150" s="1"/>
      <c r="AFR150" s="1"/>
      <c r="AFS150" s="1"/>
      <c r="AFT150" s="1"/>
      <c r="AFU150" s="1"/>
      <c r="AFV150" s="1"/>
      <c r="AFW150" s="1"/>
      <c r="AFX150" s="1"/>
      <c r="AFY150" s="1"/>
      <c r="AFZ150" s="1"/>
      <c r="AGA150" s="1"/>
      <c r="AGB150" s="1"/>
      <c r="AGC150" s="1"/>
      <c r="AGD150" s="1"/>
      <c r="AGE150" s="1"/>
      <c r="AGF150" s="1"/>
      <c r="AGG150" s="1"/>
      <c r="AGH150" s="1"/>
      <c r="AGI150" s="1"/>
      <c r="AGJ150" s="1"/>
      <c r="AGK150" s="1"/>
      <c r="AGL150" s="1"/>
      <c r="AGM150" s="1"/>
      <c r="AGN150" s="1"/>
      <c r="AGO150" s="1"/>
      <c r="AGP150" s="1"/>
      <c r="AGQ150" s="1"/>
      <c r="AGR150" s="1"/>
      <c r="AGS150" s="1"/>
      <c r="AGT150" s="1"/>
      <c r="AGU150" s="1"/>
      <c r="AGV150" s="1"/>
      <c r="AGW150" s="1"/>
      <c r="AGX150" s="1"/>
      <c r="AGY150" s="1"/>
      <c r="AGZ150" s="1"/>
      <c r="AHA150" s="1"/>
      <c r="AHB150" s="1"/>
      <c r="AHC150" s="1"/>
      <c r="AHD150" s="1"/>
      <c r="AHE150" s="1"/>
      <c r="AHF150" s="1"/>
      <c r="AHG150" s="1"/>
      <c r="AHH150" s="1"/>
      <c r="AHI150" s="1"/>
      <c r="AHJ150" s="1"/>
      <c r="AHK150" s="1"/>
      <c r="AHL150" s="1"/>
      <c r="AHM150" s="1"/>
      <c r="AHN150" s="1"/>
      <c r="AHO150" s="1"/>
      <c r="AHP150" s="1"/>
      <c r="AHQ150" s="1"/>
      <c r="AHR150" s="1"/>
      <c r="AHS150" s="1"/>
      <c r="AHT150" s="1"/>
      <c r="AHU150" s="1"/>
      <c r="AHV150" s="1"/>
      <c r="AHW150" s="1"/>
      <c r="AHX150" s="1"/>
      <c r="AHY150" s="1"/>
      <c r="AHZ150" s="1"/>
      <c r="AIA150" s="1"/>
      <c r="AIB150" s="1"/>
      <c r="AIC150" s="1"/>
      <c r="AID150" s="1"/>
      <c r="AIE150" s="1"/>
      <c r="AIF150" s="1"/>
      <c r="AIG150" s="1"/>
      <c r="AIH150" s="1"/>
      <c r="AII150" s="1"/>
      <c r="AIJ150" s="1"/>
      <c r="AIK150" s="1"/>
      <c r="AIL150" s="1"/>
      <c r="AIM150" s="1"/>
      <c r="AIN150" s="1"/>
      <c r="AIO150" s="1"/>
      <c r="AIP150" s="1"/>
      <c r="AIQ150" s="1"/>
      <c r="AIR150" s="1"/>
      <c r="AIS150" s="1"/>
      <c r="AIT150" s="1"/>
      <c r="AIU150" s="1"/>
      <c r="AIV150" s="1"/>
      <c r="AIW150" s="1"/>
      <c r="AIX150" s="1"/>
      <c r="AIY150" s="1"/>
      <c r="AIZ150" s="1"/>
      <c r="AJA150" s="1"/>
      <c r="AJB150" s="1"/>
      <c r="AJC150" s="1"/>
      <c r="AJD150" s="1"/>
      <c r="AJE150" s="1"/>
      <c r="AJF150" s="1"/>
      <c r="AJG150" s="1"/>
      <c r="AJH150" s="1"/>
      <c r="AJI150" s="1"/>
      <c r="AJJ150" s="1"/>
      <c r="AJK150" s="1"/>
      <c r="AJL150" s="1"/>
      <c r="AJM150" s="1"/>
      <c r="AJN150" s="1"/>
      <c r="AJO150" s="1"/>
      <c r="AJP150" s="1"/>
      <c r="AJQ150" s="1"/>
      <c r="AJR150" s="1"/>
      <c r="AJS150" s="1"/>
      <c r="AJT150" s="1"/>
      <c r="AJU150" s="1"/>
      <c r="AJV150" s="1"/>
      <c r="AJW150" s="1"/>
      <c r="AJX150" s="1"/>
      <c r="AJY150" s="1"/>
      <c r="AJZ150" s="1"/>
      <c r="AKA150" s="1"/>
      <c r="AKB150" s="1"/>
      <c r="AKC150" s="1"/>
      <c r="AKD150" s="1"/>
      <c r="AKE150" s="1"/>
      <c r="AKF150" s="1"/>
      <c r="AKG150" s="1"/>
      <c r="AKH150" s="1"/>
      <c r="AKI150" s="1"/>
      <c r="AKJ150" s="1"/>
      <c r="AKK150" s="1"/>
      <c r="AKL150" s="1"/>
      <c r="AKM150" s="1"/>
      <c r="AKN150" s="1"/>
      <c r="AKO150" s="1"/>
      <c r="AKP150" s="1"/>
      <c r="AKQ150" s="1"/>
      <c r="AKR150" s="1"/>
      <c r="AKS150" s="1"/>
      <c r="AKT150" s="1"/>
      <c r="AKU150" s="1"/>
      <c r="AKV150" s="1"/>
      <c r="AKW150" s="1"/>
      <c r="AKX150" s="1"/>
      <c r="AKY150" s="1"/>
      <c r="AKZ150" s="1"/>
      <c r="ALA150" s="1"/>
      <c r="ALB150" s="1"/>
      <c r="ALC150" s="1"/>
      <c r="ALD150" s="1"/>
      <c r="ALE150" s="1"/>
      <c r="ALF150" s="1"/>
      <c r="ALG150" s="1"/>
      <c r="ALH150" s="1"/>
      <c r="ALI150" s="1"/>
      <c r="ALJ150" s="1"/>
      <c r="ALK150" s="1"/>
      <c r="ALL150" s="1"/>
      <c r="ALM150" s="1"/>
      <c r="ALN150" s="1"/>
      <c r="ALO150" s="1"/>
      <c r="ALP150" s="1"/>
      <c r="ALQ150" s="1"/>
      <c r="ALR150" s="1"/>
      <c r="ALS150" s="1"/>
      <c r="ALT150" s="1"/>
      <c r="ALU150" s="1"/>
      <c r="ALV150" s="1"/>
      <c r="ALW150" s="1"/>
      <c r="ALX150" s="1"/>
      <c r="ALY150" s="1"/>
      <c r="ALZ150" s="1"/>
      <c r="AMA150" s="1"/>
      <c r="AMB150" s="1"/>
      <c r="AMC150" s="1"/>
      <c r="AMD150" s="1"/>
      <c r="AME150" s="1"/>
      <c r="AMF150" s="1"/>
      <c r="AMG150" s="1"/>
      <c r="AMH150" s="1"/>
      <c r="AMI150" s="1"/>
      <c r="AMJ150" s="1"/>
      <c r="AMK150" s="1"/>
      <c r="AML150" s="1"/>
      <c r="AMM150" s="1"/>
      <c r="AMN150" s="1"/>
      <c r="AMO150" s="1"/>
    </row>
    <row r="151" spans="1:1030" x14ac:dyDescent="0.2">
      <c r="A151" s="3" t="str">
        <f t="shared" si="559"/>
        <v>cxcr4_human_3ODU</v>
      </c>
      <c r="B151" s="3" t="s">
        <v>1172</v>
      </c>
      <c r="C151" s="3" t="s">
        <v>63</v>
      </c>
      <c r="D151" s="3" t="str">
        <f>IFERROR(MID(VLOOKUP($B151,Seqs!$A:$B,2,0),E151,1),"")</f>
        <v>A</v>
      </c>
      <c r="E151" s="3">
        <v>34</v>
      </c>
      <c r="F151" s="3" t="str">
        <f>IFERROR(MID(VLOOKUP($B151,Seqs!$A:$B,2,0),G151,1),"")</f>
        <v>Q</v>
      </c>
      <c r="G151" s="3">
        <v>66</v>
      </c>
      <c r="H151" s="3" t="str">
        <f>IFERROR(MID(VLOOKUP($B151,Seqs!$A:$B,2,0),I151,1),"")</f>
        <v/>
      </c>
      <c r="I151" s="23" t="s">
        <v>23</v>
      </c>
      <c r="J151" s="3" t="str">
        <f>IFERROR(MID(VLOOKUP($B151,Seqs!$A:$B,2,0),K151,1),"")</f>
        <v/>
      </c>
      <c r="K151" s="23" t="s">
        <v>23</v>
      </c>
      <c r="L151" s="3" t="str">
        <f>IFERROR(MID(VLOOKUP($B151,Seqs!$A:$B,2,0),M151,1),"")</f>
        <v>S</v>
      </c>
      <c r="M151" s="3">
        <v>71</v>
      </c>
      <c r="N151" s="3" t="str">
        <f>IFERROR(MID(VLOOKUP($B151,Seqs!$A:$B,2,0),O151,1),"")</f>
        <v>A</v>
      </c>
      <c r="O151" s="3">
        <v>100</v>
      </c>
      <c r="P151" s="3" t="str">
        <f>IFERROR(MID(VLOOKUP($B151,Seqs!$A:$B,2,0),Q151,1),"")</f>
        <v>N</v>
      </c>
      <c r="Q151" s="3">
        <v>101</v>
      </c>
      <c r="R151" s="3" t="str">
        <f>IFERROR(MID(VLOOKUP($B151,Seqs!$A:$B,2,0),S151,1),"")</f>
        <v>F</v>
      </c>
      <c r="S151" s="3">
        <v>104</v>
      </c>
      <c r="T151" s="3" t="str">
        <f>IFERROR(MID(VLOOKUP($B151,Seqs!$A:$B,2,0),U151,1),"")</f>
        <v>G</v>
      </c>
      <c r="U151" s="3">
        <v>105</v>
      </c>
      <c r="V151" s="3" t="str">
        <f>IFERROR(MID(VLOOKUP($B151,Seqs!$A:$B,2,0),W151,1),"")</f>
        <v>H</v>
      </c>
      <c r="W151" s="3">
        <v>140</v>
      </c>
      <c r="X151" s="3" t="str">
        <f>IFERROR(MID(VLOOKUP($B151,Seqs!$A:$B,2,0),Y151,1),"")</f>
        <v/>
      </c>
      <c r="Y151" s="3" t="s">
        <v>23</v>
      </c>
      <c r="Z151" s="3" t="str">
        <f>IFERROR(MID(VLOOKUP($B151,Seqs!$A:$B,2,0),AA151,1),"")</f>
        <v/>
      </c>
      <c r="AA151" s="3" t="s">
        <v>23</v>
      </c>
      <c r="AB151" s="3" t="str">
        <f>IFERROR(MID(VLOOKUP($B151,Seqs!$A:$B,2,0),AC151,1),"")</f>
        <v>S</v>
      </c>
      <c r="AC151" s="9">
        <v>144</v>
      </c>
      <c r="AD151" s="3" t="str">
        <f>IFERROR(MID(VLOOKUP($B151,Seqs!$A:$B,2,0),AE151,1),"")</f>
        <v>A</v>
      </c>
      <c r="AE151" s="3">
        <v>175</v>
      </c>
      <c r="AF151" s="3" t="str">
        <f>IFERROR(MID(VLOOKUP($B151,Seqs!$A:$B,2,0),AG151,1),"")</f>
        <v>C</v>
      </c>
      <c r="AG151" s="3">
        <v>186</v>
      </c>
      <c r="AH151" s="3" t="str">
        <f>IFERROR(MID(VLOOKUP($B151,Seqs!$A:$B,2,0),AI151,1),"")</f>
        <v>R</v>
      </c>
      <c r="AI151" s="3">
        <v>188</v>
      </c>
      <c r="AJ151" s="3" t="str">
        <f>IFERROR(MID(VLOOKUP($B151,Seqs!$A:$B,2,0),AK151,1),"")</f>
        <v>D</v>
      </c>
      <c r="AK151" s="3">
        <v>193</v>
      </c>
      <c r="AL151" s="3" t="str">
        <f>IFERROR(MID(VLOOKUP($B151,Seqs!$A:$B,2,0),AM151,1),"")</f>
        <v>K</v>
      </c>
      <c r="AM151" s="3">
        <v>225</v>
      </c>
      <c r="AN151" s="3" t="str">
        <f>IFERROR(MID(VLOOKUP($B151,Seqs!$A:$B,2,0),AO151,1),"")</f>
        <v>G</v>
      </c>
      <c r="AO151" s="3">
        <v>231</v>
      </c>
      <c r="AP151" s="3" t="str">
        <f>IFERROR(MID(VLOOKUP($B151,Seqs!$A:$B,2,0),AQ151,1),"")</f>
        <v>E</v>
      </c>
      <c r="AQ151" s="3">
        <v>268</v>
      </c>
      <c r="AR151" s="3" t="str">
        <f>IFERROR(MID(VLOOKUP($B151,Seqs!$A:$B,2,0),AS151,1),"")</f>
        <v>G</v>
      </c>
      <c r="AS151" s="3">
        <v>273</v>
      </c>
      <c r="AT151" s="3" t="str">
        <f>IFERROR(MID(VLOOKUP($B151,Seqs!$A:$B,2,0),AU151,1),"")</f>
        <v>I</v>
      </c>
      <c r="AU151" s="3">
        <v>300</v>
      </c>
      <c r="AV151" s="3" t="str">
        <f>IFERROR(MID(VLOOKUP($B151,Seqs!$A:$B,2,0),AW151,1),"")</f>
        <v/>
      </c>
      <c r="AW151" s="3" t="s">
        <v>23</v>
      </c>
      <c r="AX151" s="3" t="str">
        <f>IFERROR(MID(VLOOKUP($B151,Seqs!$A:$B,2,0),AY151,1),"")</f>
        <v/>
      </c>
      <c r="AY151" s="3" t="s">
        <v>23</v>
      </c>
      <c r="AZ151" s="77" t="str">
        <f>VLOOKUP(B151,Classification!A:D,2,0)</f>
        <v>A</v>
      </c>
      <c r="BA151" s="94" t="str">
        <f>VLOOKUP(B151,Classification!A:D,4,0)</f>
        <v>Chemokine</v>
      </c>
      <c r="BB151" s="27" t="b">
        <f t="shared" si="560"/>
        <v>1</v>
      </c>
      <c r="BC151" s="23">
        <f t="shared" si="617"/>
        <v>240</v>
      </c>
      <c r="BD151" s="2" t="s">
        <v>1383</v>
      </c>
      <c r="BE151" s="3" t="s">
        <v>1381</v>
      </c>
      <c r="BF151" s="119">
        <v>2.5</v>
      </c>
      <c r="BG151" s="49" t="s">
        <v>1384</v>
      </c>
      <c r="BH151" s="49" t="s">
        <v>1384</v>
      </c>
      <c r="BI151" s="1"/>
      <c r="BJ151" s="70" t="s">
        <v>1293</v>
      </c>
      <c r="BK151" s="57" t="s">
        <v>1293</v>
      </c>
      <c r="BL151" s="57" t="s">
        <v>1293</v>
      </c>
      <c r="BM151" s="57" t="s">
        <v>1293</v>
      </c>
      <c r="BN151" s="57" t="s">
        <v>1293</v>
      </c>
      <c r="BO151" s="57" t="s">
        <v>1293</v>
      </c>
      <c r="BP151" s="57" t="s">
        <v>1293</v>
      </c>
      <c r="BQ151" s="57" t="s">
        <v>1293</v>
      </c>
      <c r="BR151" s="57" t="s">
        <v>1293</v>
      </c>
      <c r="BS151" s="57" t="s">
        <v>1293</v>
      </c>
      <c r="BT151" s="57" t="s">
        <v>1293</v>
      </c>
      <c r="BU151" s="57" t="s">
        <v>1293</v>
      </c>
      <c r="BV151" s="70">
        <f t="shared" si="618"/>
        <v>34</v>
      </c>
      <c r="BW151" s="71" t="str">
        <f t="shared" si="619"/>
        <v>-</v>
      </c>
      <c r="BX151" s="72">
        <f t="shared" si="620"/>
        <v>71</v>
      </c>
      <c r="BY151" s="71">
        <f t="shared" si="621"/>
        <v>101</v>
      </c>
      <c r="BZ151" s="72">
        <f t="shared" si="622"/>
        <v>105</v>
      </c>
      <c r="CA151" s="71" t="str">
        <f t="shared" si="623"/>
        <v>-</v>
      </c>
      <c r="CB151" s="72">
        <f t="shared" si="624"/>
        <v>144</v>
      </c>
      <c r="CC151" s="71">
        <f t="shared" si="625"/>
        <v>186</v>
      </c>
      <c r="CD151" s="72">
        <f t="shared" si="626"/>
        <v>193</v>
      </c>
      <c r="CE151" s="71">
        <f t="shared" si="627"/>
        <v>231</v>
      </c>
      <c r="CF151" s="72">
        <f t="shared" si="628"/>
        <v>273</v>
      </c>
      <c r="CG151" s="71" t="str">
        <f t="shared" si="629"/>
        <v>-</v>
      </c>
      <c r="CH151" s="70">
        <f t="shared" si="630"/>
        <v>66</v>
      </c>
      <c r="CI151" s="71" t="str">
        <f t="shared" si="631"/>
        <v>-</v>
      </c>
      <c r="CJ151" s="72">
        <f t="shared" si="632"/>
        <v>100</v>
      </c>
      <c r="CK151" s="72">
        <f t="shared" si="633"/>
        <v>104</v>
      </c>
      <c r="CL151" s="72">
        <f t="shared" si="634"/>
        <v>140</v>
      </c>
      <c r="CM151" s="72" t="str">
        <f t="shared" si="635"/>
        <v>-</v>
      </c>
      <c r="CN151" s="72">
        <f t="shared" si="636"/>
        <v>175</v>
      </c>
      <c r="CO151" s="72">
        <f t="shared" si="637"/>
        <v>188</v>
      </c>
      <c r="CP151" s="72">
        <f t="shared" si="638"/>
        <v>225</v>
      </c>
      <c r="CQ151" s="72">
        <f t="shared" si="639"/>
        <v>268</v>
      </c>
      <c r="CR151" s="72">
        <f t="shared" si="640"/>
        <v>300</v>
      </c>
      <c r="CS151" s="72" t="str">
        <f t="shared" si="641"/>
        <v>-</v>
      </c>
      <c r="CT151" s="23" t="e">
        <f t="shared" si="642"/>
        <v>#VALUE!</v>
      </c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  <c r="OK151" s="1"/>
      <c r="OL151" s="1"/>
      <c r="OM151" s="1"/>
      <c r="ON151" s="1"/>
      <c r="OO151" s="1"/>
      <c r="OP151" s="1"/>
      <c r="OQ151" s="1"/>
      <c r="OR151" s="1"/>
      <c r="OS151" s="1"/>
      <c r="OT151" s="1"/>
      <c r="OU151" s="1"/>
      <c r="OV151" s="1"/>
      <c r="OW151" s="1"/>
      <c r="OX151" s="1"/>
      <c r="OY151" s="1"/>
      <c r="OZ151" s="1"/>
      <c r="PA151" s="1"/>
      <c r="PB151" s="1"/>
      <c r="PC151" s="1"/>
      <c r="PD151" s="1"/>
      <c r="PE151" s="1"/>
      <c r="PF151" s="1"/>
      <c r="PG151" s="1"/>
      <c r="PH151" s="1"/>
      <c r="PI151" s="1"/>
      <c r="PJ151" s="1"/>
      <c r="PK151" s="1"/>
      <c r="PL151" s="1"/>
      <c r="PM151" s="1"/>
      <c r="PN151" s="1"/>
      <c r="PO151" s="1"/>
      <c r="PP151" s="1"/>
      <c r="PQ151" s="1"/>
      <c r="PR151" s="1"/>
      <c r="PS151" s="1"/>
      <c r="PT151" s="1"/>
      <c r="PU151" s="1"/>
      <c r="PV151" s="1"/>
      <c r="PW151" s="1"/>
      <c r="PX151" s="1"/>
      <c r="PY151" s="1"/>
      <c r="PZ151" s="1"/>
      <c r="QA151" s="1"/>
      <c r="QB151" s="1"/>
      <c r="QC151" s="1"/>
      <c r="QD151" s="1"/>
      <c r="QE151" s="1"/>
      <c r="QF151" s="1"/>
      <c r="QG151" s="1"/>
      <c r="QH151" s="1"/>
      <c r="QI151" s="1"/>
      <c r="QJ151" s="1"/>
      <c r="QK151" s="1"/>
      <c r="QL151" s="1"/>
      <c r="QM151" s="1"/>
      <c r="QN151" s="1"/>
      <c r="QO151" s="1"/>
      <c r="QP151" s="1"/>
      <c r="QQ151" s="1"/>
      <c r="QR151" s="1"/>
      <c r="QS151" s="1"/>
      <c r="QT151" s="1"/>
      <c r="QU151" s="1"/>
      <c r="QV151" s="1"/>
      <c r="QW151" s="1"/>
      <c r="QX151" s="1"/>
      <c r="QY151" s="1"/>
      <c r="QZ151" s="1"/>
      <c r="RA151" s="1"/>
      <c r="RB151" s="1"/>
      <c r="RC151" s="1"/>
      <c r="RD151" s="1"/>
      <c r="RE151" s="1"/>
      <c r="RF151" s="1"/>
      <c r="RG151" s="1"/>
      <c r="RH151" s="1"/>
      <c r="RI151" s="1"/>
      <c r="RJ151" s="1"/>
      <c r="RK151" s="1"/>
      <c r="RL151" s="1"/>
      <c r="RM151" s="1"/>
      <c r="RN151" s="1"/>
      <c r="RO151" s="1"/>
      <c r="RP151" s="1"/>
      <c r="RQ151" s="1"/>
      <c r="RR151" s="1"/>
      <c r="RS151" s="1"/>
      <c r="RT151" s="1"/>
      <c r="RU151" s="1"/>
      <c r="RV151" s="1"/>
      <c r="RW151" s="1"/>
      <c r="RX151" s="1"/>
      <c r="RY151" s="1"/>
      <c r="RZ151" s="1"/>
      <c r="SA151" s="1"/>
      <c r="SB151" s="1"/>
      <c r="SC151" s="1"/>
      <c r="SD151" s="1"/>
      <c r="SE151" s="1"/>
      <c r="SF151" s="1"/>
      <c r="SG151" s="1"/>
      <c r="SH151" s="1"/>
      <c r="SI151" s="1"/>
      <c r="SJ151" s="1"/>
      <c r="SK151" s="1"/>
      <c r="SL151" s="1"/>
      <c r="SM151" s="1"/>
      <c r="SN151" s="1"/>
      <c r="SO151" s="1"/>
      <c r="SP151" s="1"/>
      <c r="SQ151" s="1"/>
      <c r="SR151" s="1"/>
      <c r="SS151" s="1"/>
      <c r="ST151" s="1"/>
      <c r="SU151" s="1"/>
      <c r="SV151" s="1"/>
      <c r="SW151" s="1"/>
      <c r="SX151" s="1"/>
      <c r="SY151" s="1"/>
      <c r="SZ151" s="1"/>
      <c r="TA151" s="1"/>
      <c r="TB151" s="1"/>
      <c r="TC151" s="1"/>
      <c r="TD151" s="1"/>
      <c r="TE151" s="1"/>
      <c r="TF151" s="1"/>
      <c r="TG151" s="1"/>
      <c r="TH151" s="1"/>
      <c r="TI151" s="1"/>
      <c r="TJ151" s="1"/>
      <c r="TK151" s="1"/>
      <c r="TL151" s="1"/>
      <c r="TM151" s="1"/>
      <c r="TN151" s="1"/>
      <c r="TO151" s="1"/>
      <c r="TP151" s="1"/>
      <c r="TQ151" s="1"/>
      <c r="TR151" s="1"/>
      <c r="TS151" s="1"/>
      <c r="TT151" s="1"/>
      <c r="TU151" s="1"/>
      <c r="TV151" s="1"/>
      <c r="TW151" s="1"/>
      <c r="TX151" s="1"/>
      <c r="TY151" s="1"/>
      <c r="TZ151" s="1"/>
      <c r="UA151" s="1"/>
      <c r="UB151" s="1"/>
      <c r="UC151" s="1"/>
      <c r="UD151" s="1"/>
      <c r="UE151" s="1"/>
      <c r="UF151" s="1"/>
      <c r="UG151" s="1"/>
      <c r="UH151" s="1"/>
      <c r="UI151" s="1"/>
      <c r="UJ151" s="1"/>
      <c r="UK151" s="1"/>
      <c r="UL151" s="1"/>
      <c r="UM151" s="1"/>
      <c r="UN151" s="1"/>
      <c r="UO151" s="1"/>
      <c r="UP151" s="1"/>
      <c r="UQ151" s="1"/>
      <c r="UR151" s="1"/>
      <c r="US151" s="1"/>
      <c r="UT151" s="1"/>
      <c r="UU151" s="1"/>
      <c r="UV151" s="1"/>
      <c r="UW151" s="1"/>
      <c r="UX151" s="1"/>
      <c r="UY151" s="1"/>
      <c r="UZ151" s="1"/>
      <c r="VA151" s="1"/>
      <c r="VB151" s="1"/>
      <c r="VC151" s="1"/>
      <c r="VD151" s="1"/>
      <c r="VE151" s="1"/>
      <c r="VF151" s="1"/>
      <c r="VG151" s="1"/>
      <c r="VH151" s="1"/>
      <c r="VI151" s="1"/>
      <c r="VJ151" s="1"/>
      <c r="VK151" s="1"/>
      <c r="VL151" s="1"/>
      <c r="VM151" s="1"/>
      <c r="VN151" s="1"/>
      <c r="VO151" s="1"/>
      <c r="VP151" s="1"/>
      <c r="VQ151" s="1"/>
      <c r="VR151" s="1"/>
      <c r="VS151" s="1"/>
      <c r="VT151" s="1"/>
      <c r="VU151" s="1"/>
      <c r="VV151" s="1"/>
      <c r="VW151" s="1"/>
      <c r="VX151" s="1"/>
      <c r="VY151" s="1"/>
      <c r="VZ151" s="1"/>
      <c r="WA151" s="1"/>
      <c r="WB151" s="1"/>
      <c r="WC151" s="1"/>
      <c r="WD151" s="1"/>
      <c r="WE151" s="1"/>
      <c r="WF151" s="1"/>
      <c r="WG151" s="1"/>
      <c r="WH151" s="1"/>
      <c r="WI151" s="1"/>
      <c r="WJ151" s="1"/>
      <c r="WK151" s="1"/>
      <c r="WL151" s="1"/>
      <c r="WM151" s="1"/>
      <c r="WN151" s="1"/>
      <c r="WO151" s="1"/>
      <c r="WP151" s="1"/>
      <c r="WQ151" s="1"/>
      <c r="WR151" s="1"/>
      <c r="WS151" s="1"/>
      <c r="WT151" s="1"/>
      <c r="WU151" s="1"/>
      <c r="WV151" s="1"/>
      <c r="WW151" s="1"/>
      <c r="WX151" s="1"/>
      <c r="WY151" s="1"/>
      <c r="WZ151" s="1"/>
      <c r="XA151" s="1"/>
      <c r="XB151" s="1"/>
      <c r="XC151" s="1"/>
      <c r="XD151" s="1"/>
      <c r="XE151" s="1"/>
      <c r="XF151" s="1"/>
      <c r="XG151" s="1"/>
      <c r="XH151" s="1"/>
      <c r="XI151" s="1"/>
      <c r="XJ151" s="1"/>
      <c r="XK151" s="1"/>
      <c r="XL151" s="1"/>
      <c r="XM151" s="1"/>
      <c r="XN151" s="1"/>
      <c r="XO151" s="1"/>
      <c r="XP151" s="1"/>
      <c r="XQ151" s="1"/>
      <c r="XR151" s="1"/>
      <c r="XS151" s="1"/>
      <c r="XT151" s="1"/>
      <c r="XU151" s="1"/>
      <c r="XV151" s="1"/>
      <c r="XW151" s="1"/>
      <c r="XX151" s="1"/>
      <c r="XY151" s="1"/>
      <c r="XZ151" s="1"/>
      <c r="YA151" s="1"/>
      <c r="YB151" s="1"/>
      <c r="YC151" s="1"/>
      <c r="YD151" s="1"/>
      <c r="YE151" s="1"/>
      <c r="YF151" s="1"/>
      <c r="YG151" s="1"/>
      <c r="YH151" s="1"/>
      <c r="YI151" s="1"/>
      <c r="YJ151" s="1"/>
      <c r="YK151" s="1"/>
      <c r="YL151" s="1"/>
      <c r="YM151" s="1"/>
      <c r="YN151" s="1"/>
      <c r="YO151" s="1"/>
      <c r="YP151" s="1"/>
      <c r="YQ151" s="1"/>
      <c r="YR151" s="1"/>
      <c r="YS151" s="1"/>
      <c r="YT151" s="1"/>
      <c r="YU151" s="1"/>
      <c r="YV151" s="1"/>
      <c r="YW151" s="1"/>
      <c r="YX151" s="1"/>
      <c r="YY151" s="1"/>
      <c r="YZ151" s="1"/>
      <c r="ZA151" s="1"/>
      <c r="ZB151" s="1"/>
      <c r="ZC151" s="1"/>
      <c r="ZD151" s="1"/>
      <c r="ZE151" s="1"/>
      <c r="ZF151" s="1"/>
      <c r="ZG151" s="1"/>
      <c r="ZH151" s="1"/>
      <c r="ZI151" s="1"/>
      <c r="ZJ151" s="1"/>
      <c r="ZK151" s="1"/>
      <c r="ZL151" s="1"/>
      <c r="ZM151" s="1"/>
      <c r="ZN151" s="1"/>
      <c r="ZO151" s="1"/>
      <c r="ZP151" s="1"/>
      <c r="ZQ151" s="1"/>
      <c r="ZR151" s="1"/>
      <c r="ZS151" s="1"/>
      <c r="ZT151" s="1"/>
      <c r="ZU151" s="1"/>
      <c r="ZV151" s="1"/>
      <c r="ZW151" s="1"/>
      <c r="ZX151" s="1"/>
      <c r="ZY151" s="1"/>
      <c r="ZZ151" s="1"/>
      <c r="AAA151" s="1"/>
      <c r="AAB151" s="1"/>
      <c r="AAC151" s="1"/>
      <c r="AAD151" s="1"/>
      <c r="AAE151" s="1"/>
      <c r="AAF151" s="1"/>
      <c r="AAG151" s="1"/>
      <c r="AAH151" s="1"/>
      <c r="AAI151" s="1"/>
      <c r="AAJ151" s="1"/>
      <c r="AAK151" s="1"/>
      <c r="AAL151" s="1"/>
      <c r="AAM151" s="1"/>
      <c r="AAN151" s="1"/>
      <c r="AAO151" s="1"/>
      <c r="AAP151" s="1"/>
      <c r="AAQ151" s="1"/>
      <c r="AAR151" s="1"/>
      <c r="AAS151" s="1"/>
      <c r="AAT151" s="1"/>
      <c r="AAU151" s="1"/>
      <c r="AAV151" s="1"/>
      <c r="AAW151" s="1"/>
      <c r="AAX151" s="1"/>
      <c r="AAY151" s="1"/>
      <c r="AAZ151" s="1"/>
      <c r="ABA151" s="1"/>
      <c r="ABB151" s="1"/>
      <c r="ABC151" s="1"/>
      <c r="ABD151" s="1"/>
      <c r="ABE151" s="1"/>
      <c r="ABF151" s="1"/>
      <c r="ABG151" s="1"/>
      <c r="ABH151" s="1"/>
      <c r="ABI151" s="1"/>
      <c r="ABJ151" s="1"/>
      <c r="ABK151" s="1"/>
      <c r="ABL151" s="1"/>
      <c r="ABM151" s="1"/>
      <c r="ABN151" s="1"/>
      <c r="ABO151" s="1"/>
      <c r="ABP151" s="1"/>
      <c r="ABQ151" s="1"/>
      <c r="ABR151" s="1"/>
      <c r="ABS151" s="1"/>
      <c r="ABT151" s="1"/>
      <c r="ABU151" s="1"/>
      <c r="ABV151" s="1"/>
      <c r="ABW151" s="1"/>
      <c r="ABX151" s="1"/>
      <c r="ABY151" s="1"/>
      <c r="ABZ151" s="1"/>
      <c r="ACA151" s="1"/>
      <c r="ACB151" s="1"/>
      <c r="ACC151" s="1"/>
      <c r="ACD151" s="1"/>
      <c r="ACE151" s="1"/>
      <c r="ACF151" s="1"/>
      <c r="ACG151" s="1"/>
      <c r="ACH151" s="1"/>
      <c r="ACI151" s="1"/>
      <c r="ACJ151" s="1"/>
      <c r="ACK151" s="1"/>
      <c r="ACL151" s="1"/>
      <c r="ACM151" s="1"/>
      <c r="ACN151" s="1"/>
      <c r="ACO151" s="1"/>
      <c r="ACP151" s="1"/>
      <c r="ACQ151" s="1"/>
      <c r="ACR151" s="1"/>
      <c r="ACS151" s="1"/>
      <c r="ACT151" s="1"/>
      <c r="ACU151" s="1"/>
      <c r="ACV151" s="1"/>
      <c r="ACW151" s="1"/>
      <c r="ACX151" s="1"/>
      <c r="ACY151" s="1"/>
      <c r="ACZ151" s="1"/>
      <c r="ADA151" s="1"/>
      <c r="ADB151" s="1"/>
      <c r="ADC151" s="1"/>
      <c r="ADD151" s="1"/>
      <c r="ADE151" s="1"/>
      <c r="ADF151" s="1"/>
      <c r="ADG151" s="1"/>
      <c r="ADH151" s="1"/>
      <c r="ADI151" s="1"/>
      <c r="ADJ151" s="1"/>
      <c r="ADK151" s="1"/>
      <c r="ADL151" s="1"/>
      <c r="ADM151" s="1"/>
      <c r="ADN151" s="1"/>
      <c r="ADO151" s="1"/>
      <c r="ADP151" s="1"/>
      <c r="ADQ151" s="1"/>
      <c r="ADR151" s="1"/>
      <c r="ADS151" s="1"/>
      <c r="ADT151" s="1"/>
      <c r="ADU151" s="1"/>
      <c r="ADV151" s="1"/>
      <c r="ADW151" s="1"/>
      <c r="ADX151" s="1"/>
      <c r="ADY151" s="1"/>
      <c r="ADZ151" s="1"/>
      <c r="AEA151" s="1"/>
      <c r="AEB151" s="1"/>
      <c r="AEC151" s="1"/>
      <c r="AED151" s="1"/>
      <c r="AEE151" s="1"/>
      <c r="AEF151" s="1"/>
      <c r="AEG151" s="1"/>
      <c r="AEH151" s="1"/>
      <c r="AEI151" s="1"/>
      <c r="AEJ151" s="1"/>
      <c r="AEK151" s="1"/>
      <c r="AEL151" s="1"/>
      <c r="AEM151" s="1"/>
      <c r="AEN151" s="1"/>
      <c r="AEO151" s="1"/>
      <c r="AEP151" s="1"/>
      <c r="AEQ151" s="1"/>
      <c r="AER151" s="1"/>
      <c r="AES151" s="1"/>
      <c r="AET151" s="1"/>
      <c r="AEU151" s="1"/>
      <c r="AEV151" s="1"/>
      <c r="AEW151" s="1"/>
      <c r="AEX151" s="1"/>
      <c r="AEY151" s="1"/>
      <c r="AEZ151" s="1"/>
      <c r="AFA151" s="1"/>
      <c r="AFB151" s="1"/>
      <c r="AFC151" s="1"/>
      <c r="AFD151" s="1"/>
      <c r="AFE151" s="1"/>
      <c r="AFF151" s="1"/>
      <c r="AFG151" s="1"/>
      <c r="AFH151" s="1"/>
      <c r="AFI151" s="1"/>
      <c r="AFJ151" s="1"/>
      <c r="AFK151" s="1"/>
      <c r="AFL151" s="1"/>
      <c r="AFM151" s="1"/>
      <c r="AFN151" s="1"/>
      <c r="AFO151" s="1"/>
      <c r="AFP151" s="1"/>
      <c r="AFQ151" s="1"/>
      <c r="AFR151" s="1"/>
      <c r="AFS151" s="1"/>
      <c r="AFT151" s="1"/>
      <c r="AFU151" s="1"/>
      <c r="AFV151" s="1"/>
      <c r="AFW151" s="1"/>
      <c r="AFX151" s="1"/>
      <c r="AFY151" s="1"/>
      <c r="AFZ151" s="1"/>
      <c r="AGA151" s="1"/>
      <c r="AGB151" s="1"/>
      <c r="AGC151" s="1"/>
      <c r="AGD151" s="1"/>
      <c r="AGE151" s="1"/>
      <c r="AGF151" s="1"/>
      <c r="AGG151" s="1"/>
      <c r="AGH151" s="1"/>
      <c r="AGI151" s="1"/>
      <c r="AGJ151" s="1"/>
      <c r="AGK151" s="1"/>
      <c r="AGL151" s="1"/>
      <c r="AGM151" s="1"/>
      <c r="AGN151" s="1"/>
      <c r="AGO151" s="1"/>
      <c r="AGP151" s="1"/>
      <c r="AGQ151" s="1"/>
      <c r="AGR151" s="1"/>
      <c r="AGS151" s="1"/>
      <c r="AGT151" s="1"/>
      <c r="AGU151" s="1"/>
      <c r="AGV151" s="1"/>
      <c r="AGW151" s="1"/>
      <c r="AGX151" s="1"/>
      <c r="AGY151" s="1"/>
      <c r="AGZ151" s="1"/>
      <c r="AHA151" s="1"/>
      <c r="AHB151" s="1"/>
      <c r="AHC151" s="1"/>
      <c r="AHD151" s="1"/>
      <c r="AHE151" s="1"/>
      <c r="AHF151" s="1"/>
      <c r="AHG151" s="1"/>
      <c r="AHH151" s="1"/>
      <c r="AHI151" s="1"/>
      <c r="AHJ151" s="1"/>
      <c r="AHK151" s="1"/>
      <c r="AHL151" s="1"/>
      <c r="AHM151" s="1"/>
      <c r="AHN151" s="1"/>
      <c r="AHO151" s="1"/>
      <c r="AHP151" s="1"/>
      <c r="AHQ151" s="1"/>
      <c r="AHR151" s="1"/>
      <c r="AHS151" s="1"/>
      <c r="AHT151" s="1"/>
      <c r="AHU151" s="1"/>
      <c r="AHV151" s="1"/>
      <c r="AHW151" s="1"/>
      <c r="AHX151" s="1"/>
      <c r="AHY151" s="1"/>
      <c r="AHZ151" s="1"/>
      <c r="AIA151" s="1"/>
      <c r="AIB151" s="1"/>
      <c r="AIC151" s="1"/>
      <c r="AID151" s="1"/>
      <c r="AIE151" s="1"/>
      <c r="AIF151" s="1"/>
      <c r="AIG151" s="1"/>
      <c r="AIH151" s="1"/>
      <c r="AII151" s="1"/>
      <c r="AIJ151" s="1"/>
      <c r="AIK151" s="1"/>
      <c r="AIL151" s="1"/>
      <c r="AIM151" s="1"/>
      <c r="AIN151" s="1"/>
      <c r="AIO151" s="1"/>
      <c r="AIP151" s="1"/>
      <c r="AIQ151" s="1"/>
      <c r="AIR151" s="1"/>
      <c r="AIS151" s="1"/>
      <c r="AIT151" s="1"/>
      <c r="AIU151" s="1"/>
      <c r="AIV151" s="1"/>
      <c r="AIW151" s="1"/>
      <c r="AIX151" s="1"/>
      <c r="AIY151" s="1"/>
      <c r="AIZ151" s="1"/>
      <c r="AJA151" s="1"/>
      <c r="AJB151" s="1"/>
      <c r="AJC151" s="1"/>
      <c r="AJD151" s="1"/>
      <c r="AJE151" s="1"/>
      <c r="AJF151" s="1"/>
      <c r="AJG151" s="1"/>
      <c r="AJH151" s="1"/>
      <c r="AJI151" s="1"/>
      <c r="AJJ151" s="1"/>
      <c r="AJK151" s="1"/>
      <c r="AJL151" s="1"/>
      <c r="AJM151" s="1"/>
      <c r="AJN151" s="1"/>
      <c r="AJO151" s="1"/>
      <c r="AJP151" s="1"/>
      <c r="AJQ151" s="1"/>
      <c r="AJR151" s="1"/>
      <c r="AJS151" s="1"/>
      <c r="AJT151" s="1"/>
      <c r="AJU151" s="1"/>
      <c r="AJV151" s="1"/>
      <c r="AJW151" s="1"/>
      <c r="AJX151" s="1"/>
      <c r="AJY151" s="1"/>
      <c r="AJZ151" s="1"/>
      <c r="AKA151" s="1"/>
      <c r="AKB151" s="1"/>
      <c r="AKC151" s="1"/>
      <c r="AKD151" s="1"/>
      <c r="AKE151" s="1"/>
      <c r="AKF151" s="1"/>
      <c r="AKG151" s="1"/>
      <c r="AKH151" s="1"/>
      <c r="AKI151" s="1"/>
      <c r="AKJ151" s="1"/>
      <c r="AKK151" s="1"/>
      <c r="AKL151" s="1"/>
      <c r="AKM151" s="1"/>
      <c r="AKN151" s="1"/>
      <c r="AKO151" s="1"/>
      <c r="AKP151" s="1"/>
      <c r="AKQ151" s="1"/>
      <c r="AKR151" s="1"/>
      <c r="AKS151" s="1"/>
      <c r="AKT151" s="1"/>
      <c r="AKU151" s="1"/>
      <c r="AKV151" s="1"/>
      <c r="AKW151" s="1"/>
      <c r="AKX151" s="1"/>
      <c r="AKY151" s="1"/>
      <c r="AKZ151" s="1"/>
      <c r="ALA151" s="1"/>
      <c r="ALB151" s="1"/>
      <c r="ALC151" s="1"/>
      <c r="ALD151" s="1"/>
      <c r="ALE151" s="1"/>
      <c r="ALF151" s="1"/>
      <c r="ALG151" s="1"/>
      <c r="ALH151" s="1"/>
      <c r="ALI151" s="1"/>
      <c r="ALJ151" s="1"/>
      <c r="ALK151" s="1"/>
      <c r="ALL151" s="1"/>
      <c r="ALM151" s="1"/>
      <c r="ALN151" s="1"/>
      <c r="ALO151" s="1"/>
      <c r="ALP151" s="1"/>
      <c r="ALQ151" s="1"/>
      <c r="ALR151" s="1"/>
      <c r="ALS151" s="1"/>
      <c r="ALT151" s="1"/>
      <c r="ALU151" s="1"/>
      <c r="ALV151" s="1"/>
      <c r="ALW151" s="1"/>
      <c r="ALX151" s="1"/>
      <c r="ALY151" s="1"/>
      <c r="ALZ151" s="1"/>
      <c r="AMA151" s="1"/>
      <c r="AMB151" s="1"/>
      <c r="AMC151" s="1"/>
      <c r="AMD151" s="1"/>
      <c r="AME151" s="1"/>
      <c r="AMF151" s="1"/>
      <c r="AMG151" s="1"/>
      <c r="AMH151" s="1"/>
      <c r="AMI151" s="1"/>
      <c r="AMJ151" s="1"/>
      <c r="AMK151" s="1"/>
      <c r="AML151" s="1"/>
      <c r="AMM151" s="1"/>
      <c r="AMN151" s="1"/>
      <c r="AMO151" s="1"/>
    </row>
    <row r="152" spans="1:1030" x14ac:dyDescent="0.2">
      <c r="A152" s="3" t="str">
        <f t="shared" si="559"/>
        <v>cxcr4_human_3OE0</v>
      </c>
      <c r="B152" s="3" t="s">
        <v>1172</v>
      </c>
      <c r="C152" s="3" t="s">
        <v>1032</v>
      </c>
      <c r="D152" s="3" t="str">
        <f>IFERROR(MID(VLOOKUP($B152,Seqs!$A:$B,2,0),E152,1),"")</f>
        <v>A</v>
      </c>
      <c r="E152" s="3">
        <v>34</v>
      </c>
      <c r="F152" s="3" t="str">
        <f>IFERROR(MID(VLOOKUP($B152,Seqs!$A:$B,2,0),G152,1),"")</f>
        <v>Q</v>
      </c>
      <c r="G152" s="3">
        <v>66</v>
      </c>
      <c r="H152" s="3" t="str">
        <f>IFERROR(MID(VLOOKUP($B152,Seqs!$A:$B,2,0),I152,1),"")</f>
        <v/>
      </c>
      <c r="I152" s="23" t="s">
        <v>23</v>
      </c>
      <c r="J152" s="3" t="str">
        <f>IFERROR(MID(VLOOKUP($B152,Seqs!$A:$B,2,0),K152,1),"")</f>
        <v/>
      </c>
      <c r="K152" s="23" t="s">
        <v>23</v>
      </c>
      <c r="L152" s="3" t="str">
        <f>IFERROR(MID(VLOOKUP($B152,Seqs!$A:$B,2,0),M152,1),"")</f>
        <v>S</v>
      </c>
      <c r="M152" s="3">
        <v>71</v>
      </c>
      <c r="N152" s="3" t="str">
        <f>IFERROR(MID(VLOOKUP($B152,Seqs!$A:$B,2,0),O152,1),"")</f>
        <v>A</v>
      </c>
      <c r="O152" s="3">
        <v>100</v>
      </c>
      <c r="P152" s="3" t="str">
        <f>IFERROR(MID(VLOOKUP($B152,Seqs!$A:$B,2,0),Q152,1),"")</f>
        <v>N</v>
      </c>
      <c r="Q152" s="3">
        <v>101</v>
      </c>
      <c r="R152" s="3" t="str">
        <f>IFERROR(MID(VLOOKUP($B152,Seqs!$A:$B,2,0),S152,1),"")</f>
        <v>F</v>
      </c>
      <c r="S152" s="3">
        <v>104</v>
      </c>
      <c r="T152" s="3" t="str">
        <f>IFERROR(MID(VLOOKUP($B152,Seqs!$A:$B,2,0),U152,1),"")</f>
        <v>G</v>
      </c>
      <c r="U152" s="3">
        <v>105</v>
      </c>
      <c r="V152" s="3" t="str">
        <f>IFERROR(MID(VLOOKUP($B152,Seqs!$A:$B,2,0),W152,1),"")</f>
        <v>H</v>
      </c>
      <c r="W152" s="3">
        <v>140</v>
      </c>
      <c r="X152" s="3" t="str">
        <f>IFERROR(MID(VLOOKUP($B152,Seqs!$A:$B,2,0),Y152,1),"")</f>
        <v/>
      </c>
      <c r="Y152" s="3" t="s">
        <v>23</v>
      </c>
      <c r="Z152" s="3" t="str">
        <f>IFERROR(MID(VLOOKUP($B152,Seqs!$A:$B,2,0),AA152,1),"")</f>
        <v/>
      </c>
      <c r="AA152" s="3" t="s">
        <v>23</v>
      </c>
      <c r="AB152" s="3" t="str">
        <f>IFERROR(MID(VLOOKUP($B152,Seqs!$A:$B,2,0),AC152,1),"")</f>
        <v>S</v>
      </c>
      <c r="AC152" s="9">
        <v>144</v>
      </c>
      <c r="AD152" s="3" t="str">
        <f>IFERROR(MID(VLOOKUP($B152,Seqs!$A:$B,2,0),AE152,1),"")</f>
        <v>A</v>
      </c>
      <c r="AE152" s="3">
        <v>175</v>
      </c>
      <c r="AF152" s="3" t="str">
        <f>IFERROR(MID(VLOOKUP($B152,Seqs!$A:$B,2,0),AG152,1),"")</f>
        <v>C</v>
      </c>
      <c r="AG152" s="3">
        <v>186</v>
      </c>
      <c r="AH152" s="3" t="str">
        <f>IFERROR(MID(VLOOKUP($B152,Seqs!$A:$B,2,0),AI152,1),"")</f>
        <v>R</v>
      </c>
      <c r="AI152" s="3">
        <v>188</v>
      </c>
      <c r="AJ152" s="3" t="str">
        <f>IFERROR(MID(VLOOKUP($B152,Seqs!$A:$B,2,0),AK152,1),"")</f>
        <v>D</v>
      </c>
      <c r="AK152" s="3">
        <v>193</v>
      </c>
      <c r="AL152" s="3" t="str">
        <f>IFERROR(MID(VLOOKUP($B152,Seqs!$A:$B,2,0),AM152,1),"")</f>
        <v>H</v>
      </c>
      <c r="AM152" s="3">
        <v>228</v>
      </c>
      <c r="AN152" s="3" t="str">
        <f>IFERROR(MID(VLOOKUP($B152,Seqs!$A:$B,2,0),AO152,1),"")</f>
        <v>K</v>
      </c>
      <c r="AO152" s="3">
        <v>239</v>
      </c>
      <c r="AP152" s="3" t="str">
        <f>IFERROR(MID(VLOOKUP($B152,Seqs!$A:$B,2,0),AQ152,1),"")</f>
        <v>E</v>
      </c>
      <c r="AQ152" s="3">
        <v>268</v>
      </c>
      <c r="AR152" s="3" t="str">
        <f>IFERROR(MID(VLOOKUP($B152,Seqs!$A:$B,2,0),AS152,1),"")</f>
        <v>G</v>
      </c>
      <c r="AS152" s="3">
        <v>273</v>
      </c>
      <c r="AT152" s="3" t="str">
        <f>IFERROR(MID(VLOOKUP($B152,Seqs!$A:$B,2,0),AU152,1),"")</f>
        <v>I</v>
      </c>
      <c r="AU152" s="3">
        <v>300</v>
      </c>
      <c r="AV152" s="3" t="str">
        <f>IFERROR(MID(VLOOKUP($B152,Seqs!$A:$B,2,0),AW152,1),"")</f>
        <v/>
      </c>
      <c r="AW152" s="3" t="s">
        <v>23</v>
      </c>
      <c r="AX152" s="3" t="str">
        <f>IFERROR(MID(VLOOKUP($B152,Seqs!$A:$B,2,0),AY152,1),"")</f>
        <v/>
      </c>
      <c r="AY152" s="3" t="s">
        <v>23</v>
      </c>
      <c r="AZ152" s="77" t="str">
        <f>VLOOKUP(B152,Classification!A:D,2,0)</f>
        <v>A</v>
      </c>
      <c r="BA152" s="94" t="str">
        <f>VLOOKUP(B152,Classification!A:D,4,0)</f>
        <v>Chemokine</v>
      </c>
      <c r="BB152" s="27" t="b">
        <f t="shared" si="560"/>
        <v>1</v>
      </c>
      <c r="BC152" s="23">
        <f t="shared" si="617"/>
        <v>235</v>
      </c>
      <c r="BD152" s="4" t="s">
        <v>23</v>
      </c>
      <c r="BE152" s="3" t="s">
        <v>1381</v>
      </c>
      <c r="BF152" s="119">
        <v>2.9</v>
      </c>
      <c r="BG152" s="49" t="s">
        <v>1384</v>
      </c>
      <c r="BH152" s="49" t="s">
        <v>1384</v>
      </c>
      <c r="BI152" s="1"/>
      <c r="BJ152" s="70" t="s">
        <v>1293</v>
      </c>
      <c r="BK152" s="57" t="s">
        <v>1293</v>
      </c>
      <c r="BL152" s="57" t="s">
        <v>1293</v>
      </c>
      <c r="BM152" s="57" t="s">
        <v>1293</v>
      </c>
      <c r="BN152" s="57" t="s">
        <v>1293</v>
      </c>
      <c r="BO152" s="57" t="s">
        <v>1293</v>
      </c>
      <c r="BP152" s="57" t="s">
        <v>1293</v>
      </c>
      <c r="BQ152" s="57" t="s">
        <v>1293</v>
      </c>
      <c r="BR152" s="57" t="s">
        <v>1293</v>
      </c>
      <c r="BS152" s="57" t="s">
        <v>1293</v>
      </c>
      <c r="BT152" s="57" t="s">
        <v>1293</v>
      </c>
      <c r="BU152" s="57" t="s">
        <v>1293</v>
      </c>
      <c r="BV152" s="70">
        <f t="shared" si="618"/>
        <v>34</v>
      </c>
      <c r="BW152" s="71" t="str">
        <f t="shared" si="619"/>
        <v>-</v>
      </c>
      <c r="BX152" s="72">
        <f t="shared" si="620"/>
        <v>71</v>
      </c>
      <c r="BY152" s="71">
        <f t="shared" si="621"/>
        <v>101</v>
      </c>
      <c r="BZ152" s="72">
        <f t="shared" si="622"/>
        <v>105</v>
      </c>
      <c r="CA152" s="71" t="str">
        <f t="shared" si="623"/>
        <v>-</v>
      </c>
      <c r="CB152" s="72">
        <f t="shared" si="624"/>
        <v>144</v>
      </c>
      <c r="CC152" s="71">
        <f t="shared" si="625"/>
        <v>186</v>
      </c>
      <c r="CD152" s="72">
        <f t="shared" si="626"/>
        <v>193</v>
      </c>
      <c r="CE152" s="71">
        <f t="shared" si="627"/>
        <v>239</v>
      </c>
      <c r="CF152" s="72">
        <f t="shared" si="628"/>
        <v>273</v>
      </c>
      <c r="CG152" s="71" t="str">
        <f t="shared" si="629"/>
        <v>-</v>
      </c>
      <c r="CH152" s="70">
        <f t="shared" si="630"/>
        <v>66</v>
      </c>
      <c r="CI152" s="71" t="str">
        <f t="shared" si="631"/>
        <v>-</v>
      </c>
      <c r="CJ152" s="72">
        <f t="shared" si="632"/>
        <v>100</v>
      </c>
      <c r="CK152" s="72">
        <f t="shared" si="633"/>
        <v>104</v>
      </c>
      <c r="CL152" s="72">
        <f t="shared" si="634"/>
        <v>140</v>
      </c>
      <c r="CM152" s="72" t="str">
        <f t="shared" si="635"/>
        <v>-</v>
      </c>
      <c r="CN152" s="72">
        <f t="shared" si="636"/>
        <v>175</v>
      </c>
      <c r="CO152" s="72">
        <f t="shared" si="637"/>
        <v>188</v>
      </c>
      <c r="CP152" s="72">
        <f t="shared" si="638"/>
        <v>228</v>
      </c>
      <c r="CQ152" s="72">
        <f t="shared" si="639"/>
        <v>268</v>
      </c>
      <c r="CR152" s="72">
        <f t="shared" si="640"/>
        <v>300</v>
      </c>
      <c r="CS152" s="72" t="str">
        <f t="shared" si="641"/>
        <v>-</v>
      </c>
      <c r="CT152" s="23" t="e">
        <f t="shared" si="642"/>
        <v>#VALUE!</v>
      </c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  <c r="OK152" s="1"/>
      <c r="OL152" s="1"/>
      <c r="OM152" s="1"/>
      <c r="ON152" s="1"/>
      <c r="OO152" s="1"/>
      <c r="OP152" s="1"/>
      <c r="OQ152" s="1"/>
      <c r="OR152" s="1"/>
      <c r="OS152" s="1"/>
      <c r="OT152" s="1"/>
      <c r="OU152" s="1"/>
      <c r="OV152" s="1"/>
      <c r="OW152" s="1"/>
      <c r="OX152" s="1"/>
      <c r="OY152" s="1"/>
      <c r="OZ152" s="1"/>
      <c r="PA152" s="1"/>
      <c r="PB152" s="1"/>
      <c r="PC152" s="1"/>
      <c r="PD152" s="1"/>
      <c r="PE152" s="1"/>
      <c r="PF152" s="1"/>
      <c r="PG152" s="1"/>
      <c r="PH152" s="1"/>
      <c r="PI152" s="1"/>
      <c r="PJ152" s="1"/>
      <c r="PK152" s="1"/>
      <c r="PL152" s="1"/>
      <c r="PM152" s="1"/>
      <c r="PN152" s="1"/>
      <c r="PO152" s="1"/>
      <c r="PP152" s="1"/>
      <c r="PQ152" s="1"/>
      <c r="PR152" s="1"/>
      <c r="PS152" s="1"/>
      <c r="PT152" s="1"/>
      <c r="PU152" s="1"/>
      <c r="PV152" s="1"/>
      <c r="PW152" s="1"/>
      <c r="PX152" s="1"/>
      <c r="PY152" s="1"/>
      <c r="PZ152" s="1"/>
      <c r="QA152" s="1"/>
      <c r="QB152" s="1"/>
      <c r="QC152" s="1"/>
      <c r="QD152" s="1"/>
      <c r="QE152" s="1"/>
      <c r="QF152" s="1"/>
      <c r="QG152" s="1"/>
      <c r="QH152" s="1"/>
      <c r="QI152" s="1"/>
      <c r="QJ152" s="1"/>
      <c r="QK152" s="1"/>
      <c r="QL152" s="1"/>
      <c r="QM152" s="1"/>
      <c r="QN152" s="1"/>
      <c r="QO152" s="1"/>
      <c r="QP152" s="1"/>
      <c r="QQ152" s="1"/>
      <c r="QR152" s="1"/>
      <c r="QS152" s="1"/>
      <c r="QT152" s="1"/>
      <c r="QU152" s="1"/>
      <c r="QV152" s="1"/>
      <c r="QW152" s="1"/>
      <c r="QX152" s="1"/>
      <c r="QY152" s="1"/>
      <c r="QZ152" s="1"/>
      <c r="RA152" s="1"/>
      <c r="RB152" s="1"/>
      <c r="RC152" s="1"/>
      <c r="RD152" s="1"/>
      <c r="RE152" s="1"/>
      <c r="RF152" s="1"/>
      <c r="RG152" s="1"/>
      <c r="RH152" s="1"/>
      <c r="RI152" s="1"/>
      <c r="RJ152" s="1"/>
      <c r="RK152" s="1"/>
      <c r="RL152" s="1"/>
      <c r="RM152" s="1"/>
      <c r="RN152" s="1"/>
      <c r="RO152" s="1"/>
      <c r="RP152" s="1"/>
      <c r="RQ152" s="1"/>
      <c r="RR152" s="1"/>
      <c r="RS152" s="1"/>
      <c r="RT152" s="1"/>
      <c r="RU152" s="1"/>
      <c r="RV152" s="1"/>
      <c r="RW152" s="1"/>
      <c r="RX152" s="1"/>
      <c r="RY152" s="1"/>
      <c r="RZ152" s="1"/>
      <c r="SA152" s="1"/>
      <c r="SB152" s="1"/>
      <c r="SC152" s="1"/>
      <c r="SD152" s="1"/>
      <c r="SE152" s="1"/>
      <c r="SF152" s="1"/>
      <c r="SG152" s="1"/>
      <c r="SH152" s="1"/>
      <c r="SI152" s="1"/>
      <c r="SJ152" s="1"/>
      <c r="SK152" s="1"/>
      <c r="SL152" s="1"/>
      <c r="SM152" s="1"/>
      <c r="SN152" s="1"/>
      <c r="SO152" s="1"/>
      <c r="SP152" s="1"/>
      <c r="SQ152" s="1"/>
      <c r="SR152" s="1"/>
      <c r="SS152" s="1"/>
      <c r="ST152" s="1"/>
      <c r="SU152" s="1"/>
      <c r="SV152" s="1"/>
      <c r="SW152" s="1"/>
      <c r="SX152" s="1"/>
      <c r="SY152" s="1"/>
      <c r="SZ152" s="1"/>
      <c r="TA152" s="1"/>
      <c r="TB152" s="1"/>
      <c r="TC152" s="1"/>
      <c r="TD152" s="1"/>
      <c r="TE152" s="1"/>
      <c r="TF152" s="1"/>
      <c r="TG152" s="1"/>
      <c r="TH152" s="1"/>
      <c r="TI152" s="1"/>
      <c r="TJ152" s="1"/>
      <c r="TK152" s="1"/>
      <c r="TL152" s="1"/>
      <c r="TM152" s="1"/>
      <c r="TN152" s="1"/>
      <c r="TO152" s="1"/>
      <c r="TP152" s="1"/>
      <c r="TQ152" s="1"/>
      <c r="TR152" s="1"/>
      <c r="TS152" s="1"/>
      <c r="TT152" s="1"/>
      <c r="TU152" s="1"/>
      <c r="TV152" s="1"/>
      <c r="TW152" s="1"/>
      <c r="TX152" s="1"/>
      <c r="TY152" s="1"/>
      <c r="TZ152" s="1"/>
      <c r="UA152" s="1"/>
      <c r="UB152" s="1"/>
      <c r="UC152" s="1"/>
      <c r="UD152" s="1"/>
      <c r="UE152" s="1"/>
      <c r="UF152" s="1"/>
      <c r="UG152" s="1"/>
      <c r="UH152" s="1"/>
      <c r="UI152" s="1"/>
      <c r="UJ152" s="1"/>
      <c r="UK152" s="1"/>
      <c r="UL152" s="1"/>
      <c r="UM152" s="1"/>
      <c r="UN152" s="1"/>
      <c r="UO152" s="1"/>
      <c r="UP152" s="1"/>
      <c r="UQ152" s="1"/>
      <c r="UR152" s="1"/>
      <c r="US152" s="1"/>
      <c r="UT152" s="1"/>
      <c r="UU152" s="1"/>
      <c r="UV152" s="1"/>
      <c r="UW152" s="1"/>
      <c r="UX152" s="1"/>
      <c r="UY152" s="1"/>
      <c r="UZ152" s="1"/>
      <c r="VA152" s="1"/>
      <c r="VB152" s="1"/>
      <c r="VC152" s="1"/>
      <c r="VD152" s="1"/>
      <c r="VE152" s="1"/>
      <c r="VF152" s="1"/>
      <c r="VG152" s="1"/>
      <c r="VH152" s="1"/>
      <c r="VI152" s="1"/>
      <c r="VJ152" s="1"/>
      <c r="VK152" s="1"/>
      <c r="VL152" s="1"/>
      <c r="VM152" s="1"/>
      <c r="VN152" s="1"/>
      <c r="VO152" s="1"/>
      <c r="VP152" s="1"/>
      <c r="VQ152" s="1"/>
      <c r="VR152" s="1"/>
      <c r="VS152" s="1"/>
      <c r="VT152" s="1"/>
      <c r="VU152" s="1"/>
      <c r="VV152" s="1"/>
      <c r="VW152" s="1"/>
      <c r="VX152" s="1"/>
      <c r="VY152" s="1"/>
      <c r="VZ152" s="1"/>
      <c r="WA152" s="1"/>
      <c r="WB152" s="1"/>
      <c r="WC152" s="1"/>
      <c r="WD152" s="1"/>
      <c r="WE152" s="1"/>
      <c r="WF152" s="1"/>
      <c r="WG152" s="1"/>
      <c r="WH152" s="1"/>
      <c r="WI152" s="1"/>
      <c r="WJ152" s="1"/>
      <c r="WK152" s="1"/>
      <c r="WL152" s="1"/>
      <c r="WM152" s="1"/>
      <c r="WN152" s="1"/>
      <c r="WO152" s="1"/>
      <c r="WP152" s="1"/>
      <c r="WQ152" s="1"/>
      <c r="WR152" s="1"/>
      <c r="WS152" s="1"/>
      <c r="WT152" s="1"/>
      <c r="WU152" s="1"/>
      <c r="WV152" s="1"/>
      <c r="WW152" s="1"/>
      <c r="WX152" s="1"/>
      <c r="WY152" s="1"/>
      <c r="WZ152" s="1"/>
      <c r="XA152" s="1"/>
      <c r="XB152" s="1"/>
      <c r="XC152" s="1"/>
      <c r="XD152" s="1"/>
      <c r="XE152" s="1"/>
      <c r="XF152" s="1"/>
      <c r="XG152" s="1"/>
      <c r="XH152" s="1"/>
      <c r="XI152" s="1"/>
      <c r="XJ152" s="1"/>
      <c r="XK152" s="1"/>
      <c r="XL152" s="1"/>
      <c r="XM152" s="1"/>
      <c r="XN152" s="1"/>
      <c r="XO152" s="1"/>
      <c r="XP152" s="1"/>
      <c r="XQ152" s="1"/>
      <c r="XR152" s="1"/>
      <c r="XS152" s="1"/>
      <c r="XT152" s="1"/>
      <c r="XU152" s="1"/>
      <c r="XV152" s="1"/>
      <c r="XW152" s="1"/>
      <c r="XX152" s="1"/>
      <c r="XY152" s="1"/>
      <c r="XZ152" s="1"/>
      <c r="YA152" s="1"/>
      <c r="YB152" s="1"/>
      <c r="YC152" s="1"/>
      <c r="YD152" s="1"/>
      <c r="YE152" s="1"/>
      <c r="YF152" s="1"/>
      <c r="YG152" s="1"/>
      <c r="YH152" s="1"/>
      <c r="YI152" s="1"/>
      <c r="YJ152" s="1"/>
      <c r="YK152" s="1"/>
      <c r="YL152" s="1"/>
      <c r="YM152" s="1"/>
      <c r="YN152" s="1"/>
      <c r="YO152" s="1"/>
      <c r="YP152" s="1"/>
      <c r="YQ152" s="1"/>
      <c r="YR152" s="1"/>
      <c r="YS152" s="1"/>
      <c r="YT152" s="1"/>
      <c r="YU152" s="1"/>
      <c r="YV152" s="1"/>
      <c r="YW152" s="1"/>
      <c r="YX152" s="1"/>
      <c r="YY152" s="1"/>
      <c r="YZ152" s="1"/>
      <c r="ZA152" s="1"/>
      <c r="ZB152" s="1"/>
      <c r="ZC152" s="1"/>
      <c r="ZD152" s="1"/>
      <c r="ZE152" s="1"/>
      <c r="ZF152" s="1"/>
      <c r="ZG152" s="1"/>
      <c r="ZH152" s="1"/>
      <c r="ZI152" s="1"/>
      <c r="ZJ152" s="1"/>
      <c r="ZK152" s="1"/>
      <c r="ZL152" s="1"/>
      <c r="ZM152" s="1"/>
      <c r="ZN152" s="1"/>
      <c r="ZO152" s="1"/>
      <c r="ZP152" s="1"/>
      <c r="ZQ152" s="1"/>
      <c r="ZR152" s="1"/>
      <c r="ZS152" s="1"/>
      <c r="ZT152" s="1"/>
      <c r="ZU152" s="1"/>
      <c r="ZV152" s="1"/>
      <c r="ZW152" s="1"/>
      <c r="ZX152" s="1"/>
      <c r="ZY152" s="1"/>
      <c r="ZZ152" s="1"/>
      <c r="AAA152" s="1"/>
      <c r="AAB152" s="1"/>
      <c r="AAC152" s="1"/>
      <c r="AAD152" s="1"/>
      <c r="AAE152" s="1"/>
      <c r="AAF152" s="1"/>
      <c r="AAG152" s="1"/>
      <c r="AAH152" s="1"/>
      <c r="AAI152" s="1"/>
      <c r="AAJ152" s="1"/>
      <c r="AAK152" s="1"/>
      <c r="AAL152" s="1"/>
      <c r="AAM152" s="1"/>
      <c r="AAN152" s="1"/>
      <c r="AAO152" s="1"/>
      <c r="AAP152" s="1"/>
      <c r="AAQ152" s="1"/>
      <c r="AAR152" s="1"/>
      <c r="AAS152" s="1"/>
      <c r="AAT152" s="1"/>
      <c r="AAU152" s="1"/>
      <c r="AAV152" s="1"/>
      <c r="AAW152" s="1"/>
      <c r="AAX152" s="1"/>
      <c r="AAY152" s="1"/>
      <c r="AAZ152" s="1"/>
      <c r="ABA152" s="1"/>
      <c r="ABB152" s="1"/>
      <c r="ABC152" s="1"/>
      <c r="ABD152" s="1"/>
      <c r="ABE152" s="1"/>
      <c r="ABF152" s="1"/>
      <c r="ABG152" s="1"/>
      <c r="ABH152" s="1"/>
      <c r="ABI152" s="1"/>
      <c r="ABJ152" s="1"/>
      <c r="ABK152" s="1"/>
      <c r="ABL152" s="1"/>
      <c r="ABM152" s="1"/>
      <c r="ABN152" s="1"/>
      <c r="ABO152" s="1"/>
      <c r="ABP152" s="1"/>
      <c r="ABQ152" s="1"/>
      <c r="ABR152" s="1"/>
      <c r="ABS152" s="1"/>
      <c r="ABT152" s="1"/>
      <c r="ABU152" s="1"/>
      <c r="ABV152" s="1"/>
      <c r="ABW152" s="1"/>
      <c r="ABX152" s="1"/>
      <c r="ABY152" s="1"/>
      <c r="ABZ152" s="1"/>
      <c r="ACA152" s="1"/>
      <c r="ACB152" s="1"/>
      <c r="ACC152" s="1"/>
      <c r="ACD152" s="1"/>
      <c r="ACE152" s="1"/>
      <c r="ACF152" s="1"/>
      <c r="ACG152" s="1"/>
      <c r="ACH152" s="1"/>
      <c r="ACI152" s="1"/>
      <c r="ACJ152" s="1"/>
      <c r="ACK152" s="1"/>
      <c r="ACL152" s="1"/>
      <c r="ACM152" s="1"/>
      <c r="ACN152" s="1"/>
      <c r="ACO152" s="1"/>
      <c r="ACP152" s="1"/>
      <c r="ACQ152" s="1"/>
      <c r="ACR152" s="1"/>
      <c r="ACS152" s="1"/>
      <c r="ACT152" s="1"/>
      <c r="ACU152" s="1"/>
      <c r="ACV152" s="1"/>
      <c r="ACW152" s="1"/>
      <c r="ACX152" s="1"/>
      <c r="ACY152" s="1"/>
      <c r="ACZ152" s="1"/>
      <c r="ADA152" s="1"/>
      <c r="ADB152" s="1"/>
      <c r="ADC152" s="1"/>
      <c r="ADD152" s="1"/>
      <c r="ADE152" s="1"/>
      <c r="ADF152" s="1"/>
      <c r="ADG152" s="1"/>
      <c r="ADH152" s="1"/>
      <c r="ADI152" s="1"/>
      <c r="ADJ152" s="1"/>
      <c r="ADK152" s="1"/>
      <c r="ADL152" s="1"/>
      <c r="ADM152" s="1"/>
      <c r="ADN152" s="1"/>
      <c r="ADO152" s="1"/>
      <c r="ADP152" s="1"/>
      <c r="ADQ152" s="1"/>
      <c r="ADR152" s="1"/>
      <c r="ADS152" s="1"/>
      <c r="ADT152" s="1"/>
      <c r="ADU152" s="1"/>
      <c r="ADV152" s="1"/>
      <c r="ADW152" s="1"/>
      <c r="ADX152" s="1"/>
      <c r="ADY152" s="1"/>
      <c r="ADZ152" s="1"/>
      <c r="AEA152" s="1"/>
      <c r="AEB152" s="1"/>
      <c r="AEC152" s="1"/>
      <c r="AED152" s="1"/>
      <c r="AEE152" s="1"/>
      <c r="AEF152" s="1"/>
      <c r="AEG152" s="1"/>
      <c r="AEH152" s="1"/>
      <c r="AEI152" s="1"/>
      <c r="AEJ152" s="1"/>
      <c r="AEK152" s="1"/>
      <c r="AEL152" s="1"/>
      <c r="AEM152" s="1"/>
      <c r="AEN152" s="1"/>
      <c r="AEO152" s="1"/>
      <c r="AEP152" s="1"/>
      <c r="AEQ152" s="1"/>
      <c r="AER152" s="1"/>
      <c r="AES152" s="1"/>
      <c r="AET152" s="1"/>
      <c r="AEU152" s="1"/>
      <c r="AEV152" s="1"/>
      <c r="AEW152" s="1"/>
      <c r="AEX152" s="1"/>
      <c r="AEY152" s="1"/>
      <c r="AEZ152" s="1"/>
      <c r="AFA152" s="1"/>
      <c r="AFB152" s="1"/>
      <c r="AFC152" s="1"/>
      <c r="AFD152" s="1"/>
      <c r="AFE152" s="1"/>
      <c r="AFF152" s="1"/>
      <c r="AFG152" s="1"/>
      <c r="AFH152" s="1"/>
      <c r="AFI152" s="1"/>
      <c r="AFJ152" s="1"/>
      <c r="AFK152" s="1"/>
      <c r="AFL152" s="1"/>
      <c r="AFM152" s="1"/>
      <c r="AFN152" s="1"/>
      <c r="AFO152" s="1"/>
      <c r="AFP152" s="1"/>
      <c r="AFQ152" s="1"/>
      <c r="AFR152" s="1"/>
      <c r="AFS152" s="1"/>
      <c r="AFT152" s="1"/>
      <c r="AFU152" s="1"/>
      <c r="AFV152" s="1"/>
      <c r="AFW152" s="1"/>
      <c r="AFX152" s="1"/>
      <c r="AFY152" s="1"/>
      <c r="AFZ152" s="1"/>
      <c r="AGA152" s="1"/>
      <c r="AGB152" s="1"/>
      <c r="AGC152" s="1"/>
      <c r="AGD152" s="1"/>
      <c r="AGE152" s="1"/>
      <c r="AGF152" s="1"/>
      <c r="AGG152" s="1"/>
      <c r="AGH152" s="1"/>
      <c r="AGI152" s="1"/>
      <c r="AGJ152" s="1"/>
      <c r="AGK152" s="1"/>
      <c r="AGL152" s="1"/>
      <c r="AGM152" s="1"/>
      <c r="AGN152" s="1"/>
      <c r="AGO152" s="1"/>
      <c r="AGP152" s="1"/>
      <c r="AGQ152" s="1"/>
      <c r="AGR152" s="1"/>
      <c r="AGS152" s="1"/>
      <c r="AGT152" s="1"/>
      <c r="AGU152" s="1"/>
      <c r="AGV152" s="1"/>
      <c r="AGW152" s="1"/>
      <c r="AGX152" s="1"/>
      <c r="AGY152" s="1"/>
      <c r="AGZ152" s="1"/>
      <c r="AHA152" s="1"/>
      <c r="AHB152" s="1"/>
      <c r="AHC152" s="1"/>
      <c r="AHD152" s="1"/>
      <c r="AHE152" s="1"/>
      <c r="AHF152" s="1"/>
      <c r="AHG152" s="1"/>
      <c r="AHH152" s="1"/>
      <c r="AHI152" s="1"/>
      <c r="AHJ152" s="1"/>
      <c r="AHK152" s="1"/>
      <c r="AHL152" s="1"/>
      <c r="AHM152" s="1"/>
      <c r="AHN152" s="1"/>
      <c r="AHO152" s="1"/>
      <c r="AHP152" s="1"/>
      <c r="AHQ152" s="1"/>
      <c r="AHR152" s="1"/>
      <c r="AHS152" s="1"/>
      <c r="AHT152" s="1"/>
      <c r="AHU152" s="1"/>
      <c r="AHV152" s="1"/>
      <c r="AHW152" s="1"/>
      <c r="AHX152" s="1"/>
      <c r="AHY152" s="1"/>
      <c r="AHZ152" s="1"/>
      <c r="AIA152" s="1"/>
      <c r="AIB152" s="1"/>
      <c r="AIC152" s="1"/>
      <c r="AID152" s="1"/>
      <c r="AIE152" s="1"/>
      <c r="AIF152" s="1"/>
      <c r="AIG152" s="1"/>
      <c r="AIH152" s="1"/>
      <c r="AII152" s="1"/>
      <c r="AIJ152" s="1"/>
      <c r="AIK152" s="1"/>
      <c r="AIL152" s="1"/>
      <c r="AIM152" s="1"/>
      <c r="AIN152" s="1"/>
      <c r="AIO152" s="1"/>
      <c r="AIP152" s="1"/>
      <c r="AIQ152" s="1"/>
      <c r="AIR152" s="1"/>
      <c r="AIS152" s="1"/>
      <c r="AIT152" s="1"/>
      <c r="AIU152" s="1"/>
      <c r="AIV152" s="1"/>
      <c r="AIW152" s="1"/>
      <c r="AIX152" s="1"/>
      <c r="AIY152" s="1"/>
      <c r="AIZ152" s="1"/>
      <c r="AJA152" s="1"/>
      <c r="AJB152" s="1"/>
      <c r="AJC152" s="1"/>
      <c r="AJD152" s="1"/>
      <c r="AJE152" s="1"/>
      <c r="AJF152" s="1"/>
      <c r="AJG152" s="1"/>
      <c r="AJH152" s="1"/>
      <c r="AJI152" s="1"/>
      <c r="AJJ152" s="1"/>
      <c r="AJK152" s="1"/>
      <c r="AJL152" s="1"/>
      <c r="AJM152" s="1"/>
      <c r="AJN152" s="1"/>
      <c r="AJO152" s="1"/>
      <c r="AJP152" s="1"/>
      <c r="AJQ152" s="1"/>
      <c r="AJR152" s="1"/>
      <c r="AJS152" s="1"/>
      <c r="AJT152" s="1"/>
      <c r="AJU152" s="1"/>
      <c r="AJV152" s="1"/>
      <c r="AJW152" s="1"/>
      <c r="AJX152" s="1"/>
      <c r="AJY152" s="1"/>
      <c r="AJZ152" s="1"/>
      <c r="AKA152" s="1"/>
      <c r="AKB152" s="1"/>
      <c r="AKC152" s="1"/>
      <c r="AKD152" s="1"/>
      <c r="AKE152" s="1"/>
      <c r="AKF152" s="1"/>
      <c r="AKG152" s="1"/>
      <c r="AKH152" s="1"/>
      <c r="AKI152" s="1"/>
      <c r="AKJ152" s="1"/>
      <c r="AKK152" s="1"/>
      <c r="AKL152" s="1"/>
      <c r="AKM152" s="1"/>
      <c r="AKN152" s="1"/>
      <c r="AKO152" s="1"/>
      <c r="AKP152" s="1"/>
      <c r="AKQ152" s="1"/>
      <c r="AKR152" s="1"/>
      <c r="AKS152" s="1"/>
      <c r="AKT152" s="1"/>
      <c r="AKU152" s="1"/>
      <c r="AKV152" s="1"/>
      <c r="AKW152" s="1"/>
      <c r="AKX152" s="1"/>
      <c r="AKY152" s="1"/>
      <c r="AKZ152" s="1"/>
      <c r="ALA152" s="1"/>
      <c r="ALB152" s="1"/>
      <c r="ALC152" s="1"/>
      <c r="ALD152" s="1"/>
      <c r="ALE152" s="1"/>
      <c r="ALF152" s="1"/>
      <c r="ALG152" s="1"/>
      <c r="ALH152" s="1"/>
      <c r="ALI152" s="1"/>
      <c r="ALJ152" s="1"/>
      <c r="ALK152" s="1"/>
      <c r="ALL152" s="1"/>
      <c r="ALM152" s="1"/>
      <c r="ALN152" s="1"/>
      <c r="ALO152" s="1"/>
      <c r="ALP152" s="1"/>
      <c r="ALQ152" s="1"/>
      <c r="ALR152" s="1"/>
      <c r="ALS152" s="1"/>
      <c r="ALT152" s="1"/>
      <c r="ALU152" s="1"/>
      <c r="ALV152" s="1"/>
      <c r="ALW152" s="1"/>
      <c r="ALX152" s="1"/>
      <c r="ALY152" s="1"/>
      <c r="ALZ152" s="1"/>
      <c r="AMA152" s="1"/>
      <c r="AMB152" s="1"/>
      <c r="AMC152" s="1"/>
      <c r="AMD152" s="1"/>
      <c r="AME152" s="1"/>
      <c r="AMF152" s="1"/>
      <c r="AMG152" s="1"/>
      <c r="AMH152" s="1"/>
      <c r="AMI152" s="1"/>
      <c r="AMJ152" s="1"/>
      <c r="AMK152" s="1"/>
      <c r="AML152" s="1"/>
      <c r="AMM152" s="1"/>
      <c r="AMN152" s="1"/>
      <c r="AMO152" s="1"/>
    </row>
    <row r="153" spans="1:1030" x14ac:dyDescent="0.2">
      <c r="A153" s="3" t="str">
        <f t="shared" si="559"/>
        <v>cxcr4_human_4RWS</v>
      </c>
      <c r="B153" s="3" t="s">
        <v>1172</v>
      </c>
      <c r="C153" s="3" t="s">
        <v>1053</v>
      </c>
      <c r="D153" s="3" t="str">
        <f>IFERROR(MID(VLOOKUP($B153,Seqs!$A:$B,2,0),E153,1),"")</f>
        <v>R</v>
      </c>
      <c r="E153" s="3">
        <v>30</v>
      </c>
      <c r="F153" s="3" t="str">
        <f>IFERROR(MID(VLOOKUP($B153,Seqs!$A:$B,2,0),G153,1),"")</f>
        <v>Q</v>
      </c>
      <c r="G153" s="3">
        <v>66</v>
      </c>
      <c r="H153" s="3" t="str">
        <f>IFERROR(MID(VLOOKUP($B153,Seqs!$A:$B,2,0),I153,1),"")</f>
        <v/>
      </c>
      <c r="I153" s="23" t="s">
        <v>23</v>
      </c>
      <c r="J153" s="3" t="str">
        <f>IFERROR(MID(VLOOKUP($B153,Seqs!$A:$B,2,0),K153,1),"")</f>
        <v/>
      </c>
      <c r="K153" s="23" t="s">
        <v>23</v>
      </c>
      <c r="L153" s="3" t="str">
        <f>IFERROR(MID(VLOOKUP($B153,Seqs!$A:$B,2,0),M153,1),"")</f>
        <v>S</v>
      </c>
      <c r="M153" s="3">
        <v>71</v>
      </c>
      <c r="N153" s="3" t="str">
        <f>IFERROR(MID(VLOOKUP($B153,Seqs!$A:$B,2,0),O153,1),"")</f>
        <v>A</v>
      </c>
      <c r="O153" s="3">
        <v>100</v>
      </c>
      <c r="P153" s="3" t="str">
        <f>IFERROR(MID(VLOOKUP($B153,Seqs!$A:$B,2,0),Q153,1),"")</f>
        <v>N</v>
      </c>
      <c r="Q153" s="3">
        <v>101</v>
      </c>
      <c r="R153" s="3" t="str">
        <f>IFERROR(MID(VLOOKUP($B153,Seqs!$A:$B,2,0),S153,1),"")</f>
        <v>F</v>
      </c>
      <c r="S153" s="3">
        <v>104</v>
      </c>
      <c r="T153" s="3" t="str">
        <f>IFERROR(MID(VLOOKUP($B153,Seqs!$A:$B,2,0),U153,1),"")</f>
        <v>G</v>
      </c>
      <c r="U153" s="3">
        <v>105</v>
      </c>
      <c r="V153" s="3" t="str">
        <f>IFERROR(MID(VLOOKUP($B153,Seqs!$A:$B,2,0),W153,1),"")</f>
        <v>H</v>
      </c>
      <c r="W153" s="3">
        <v>140</v>
      </c>
      <c r="X153" s="3" t="str">
        <f>IFERROR(MID(VLOOKUP($B153,Seqs!$A:$B,2,0),Y153,1),"")</f>
        <v/>
      </c>
      <c r="Y153" s="3" t="s">
        <v>23</v>
      </c>
      <c r="Z153" s="3" t="str">
        <f>IFERROR(MID(VLOOKUP($B153,Seqs!$A:$B,2,0),AA153,1),"")</f>
        <v/>
      </c>
      <c r="AA153" s="3" t="s">
        <v>23</v>
      </c>
      <c r="AB153" s="3" t="str">
        <f>IFERROR(MID(VLOOKUP($B153,Seqs!$A:$B,2,0),AC153,1),"")</f>
        <v>S</v>
      </c>
      <c r="AC153" s="9">
        <v>144</v>
      </c>
      <c r="AD153" s="3" t="str">
        <f>IFERROR(MID(VLOOKUP($B153,Seqs!$A:$B,2,0),AE153,1),"")</f>
        <v>A</v>
      </c>
      <c r="AE153" s="3">
        <v>175</v>
      </c>
      <c r="AF153" s="3" t="str">
        <f>IFERROR(MID(VLOOKUP($B153,Seqs!$A:$B,2,0),AG153,1),"")</f>
        <v>C</v>
      </c>
      <c r="AG153" s="3">
        <v>186</v>
      </c>
      <c r="AH153" s="3" t="str">
        <f>IFERROR(MID(VLOOKUP($B153,Seqs!$A:$B,2,0),AI153,1),"")</f>
        <v>R</v>
      </c>
      <c r="AI153" s="3">
        <v>188</v>
      </c>
      <c r="AJ153" s="3" t="str">
        <f>IFERROR(MID(VLOOKUP($B153,Seqs!$A:$B,2,0),AK153,1),"")</f>
        <v>D</v>
      </c>
      <c r="AK153" s="3">
        <v>193</v>
      </c>
      <c r="AL153" s="3" t="str">
        <f>IFERROR(MID(VLOOKUP($B153,Seqs!$A:$B,2,0),AM153,1),"")</f>
        <v>S</v>
      </c>
      <c r="AM153" s="3">
        <v>227</v>
      </c>
      <c r="AN153" s="3" t="str">
        <f>IFERROR(MID(VLOOKUP($B153,Seqs!$A:$B,2,0),AO153,1),"")</f>
        <v>K</v>
      </c>
      <c r="AO153" s="3">
        <v>239</v>
      </c>
      <c r="AP153" s="3" t="str">
        <f>IFERROR(MID(VLOOKUP($B153,Seqs!$A:$B,2,0),AQ153,1),"")</f>
        <v>E</v>
      </c>
      <c r="AQ153" s="3">
        <v>268</v>
      </c>
      <c r="AR153" s="3" t="str">
        <f>IFERROR(MID(VLOOKUP($B153,Seqs!$A:$B,2,0),AS153,1),"")</f>
        <v>G</v>
      </c>
      <c r="AS153" s="3">
        <v>273</v>
      </c>
      <c r="AT153" s="3" t="str">
        <f>IFERROR(MID(VLOOKUP($B153,Seqs!$A:$B,2,0),AU153,1),"")</f>
        <v>I</v>
      </c>
      <c r="AU153" s="3">
        <v>300</v>
      </c>
      <c r="AV153" s="3" t="str">
        <f>IFERROR(MID(VLOOKUP($B153,Seqs!$A:$B,2,0),AW153,1),"")</f>
        <v/>
      </c>
      <c r="AW153" s="3" t="s">
        <v>23</v>
      </c>
      <c r="AX153" s="3" t="str">
        <f>IFERROR(MID(VLOOKUP($B153,Seqs!$A:$B,2,0),AY153,1),"")</f>
        <v/>
      </c>
      <c r="AY153" s="3" t="s">
        <v>23</v>
      </c>
      <c r="AZ153" s="77" t="str">
        <f>VLOOKUP(B153,Classification!A:D,2,0)</f>
        <v>A</v>
      </c>
      <c r="BA153" s="94" t="str">
        <f>VLOOKUP(B153,Classification!A:D,4,0)</f>
        <v>Chemokine</v>
      </c>
      <c r="BB153" s="27" t="b">
        <f t="shared" si="560"/>
        <v>1</v>
      </c>
      <c r="BC153" s="23">
        <f t="shared" si="617"/>
        <v>238</v>
      </c>
      <c r="BD153" s="5" t="s">
        <v>23</v>
      </c>
      <c r="BE153" s="3" t="s">
        <v>1381</v>
      </c>
      <c r="BF153" s="119">
        <v>3.1</v>
      </c>
      <c r="BG153" s="49" t="s">
        <v>1384</v>
      </c>
      <c r="BH153" s="49" t="s">
        <v>1384</v>
      </c>
      <c r="BI153" s="1"/>
      <c r="BJ153" s="70" t="s">
        <v>1293</v>
      </c>
      <c r="BK153" s="57" t="s">
        <v>1293</v>
      </c>
      <c r="BL153" s="57" t="s">
        <v>1293</v>
      </c>
      <c r="BM153" s="57" t="s">
        <v>1293</v>
      </c>
      <c r="BN153" s="57" t="s">
        <v>1293</v>
      </c>
      <c r="BO153" s="57" t="s">
        <v>1293</v>
      </c>
      <c r="BP153" s="57" t="s">
        <v>1293</v>
      </c>
      <c r="BQ153" s="57" t="s">
        <v>1293</v>
      </c>
      <c r="BR153" s="57" t="s">
        <v>1293</v>
      </c>
      <c r="BS153" s="57" t="s">
        <v>1293</v>
      </c>
      <c r="BT153" s="57" t="s">
        <v>1293</v>
      </c>
      <c r="BU153" s="57" t="s">
        <v>1293</v>
      </c>
      <c r="BV153" s="70">
        <f t="shared" si="618"/>
        <v>30</v>
      </c>
      <c r="BW153" s="71" t="str">
        <f t="shared" si="619"/>
        <v>-</v>
      </c>
      <c r="BX153" s="72">
        <f t="shared" si="620"/>
        <v>71</v>
      </c>
      <c r="BY153" s="71">
        <f t="shared" si="621"/>
        <v>101</v>
      </c>
      <c r="BZ153" s="72">
        <f t="shared" si="622"/>
        <v>105</v>
      </c>
      <c r="CA153" s="71" t="str">
        <f t="shared" si="623"/>
        <v>-</v>
      </c>
      <c r="CB153" s="72">
        <f t="shared" si="624"/>
        <v>144</v>
      </c>
      <c r="CC153" s="71">
        <f t="shared" si="625"/>
        <v>186</v>
      </c>
      <c r="CD153" s="72">
        <f t="shared" si="626"/>
        <v>193</v>
      </c>
      <c r="CE153" s="71">
        <f t="shared" si="627"/>
        <v>239</v>
      </c>
      <c r="CF153" s="72">
        <f t="shared" si="628"/>
        <v>273</v>
      </c>
      <c r="CG153" s="71" t="str">
        <f t="shared" si="629"/>
        <v>-</v>
      </c>
      <c r="CH153" s="70">
        <f t="shared" si="630"/>
        <v>66</v>
      </c>
      <c r="CI153" s="71" t="str">
        <f t="shared" si="631"/>
        <v>-</v>
      </c>
      <c r="CJ153" s="72">
        <f t="shared" si="632"/>
        <v>100</v>
      </c>
      <c r="CK153" s="72">
        <f t="shared" si="633"/>
        <v>104</v>
      </c>
      <c r="CL153" s="72">
        <f t="shared" si="634"/>
        <v>140</v>
      </c>
      <c r="CM153" s="72" t="str">
        <f t="shared" si="635"/>
        <v>-</v>
      </c>
      <c r="CN153" s="72">
        <f t="shared" si="636"/>
        <v>175</v>
      </c>
      <c r="CO153" s="72">
        <f t="shared" si="637"/>
        <v>188</v>
      </c>
      <c r="CP153" s="72">
        <f t="shared" si="638"/>
        <v>227</v>
      </c>
      <c r="CQ153" s="72">
        <f t="shared" si="639"/>
        <v>268</v>
      </c>
      <c r="CR153" s="72">
        <f t="shared" si="640"/>
        <v>300</v>
      </c>
      <c r="CS153" s="72" t="str">
        <f t="shared" si="641"/>
        <v>-</v>
      </c>
      <c r="CT153" s="23" t="e">
        <f t="shared" si="642"/>
        <v>#VALUE!</v>
      </c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  <c r="OK153" s="1"/>
      <c r="OL153" s="1"/>
      <c r="OM153" s="1"/>
      <c r="ON153" s="1"/>
      <c r="OO153" s="1"/>
      <c r="OP153" s="1"/>
      <c r="OQ153" s="1"/>
      <c r="OR153" s="1"/>
      <c r="OS153" s="1"/>
      <c r="OT153" s="1"/>
      <c r="OU153" s="1"/>
      <c r="OV153" s="1"/>
      <c r="OW153" s="1"/>
      <c r="OX153" s="1"/>
      <c r="OY153" s="1"/>
      <c r="OZ153" s="1"/>
      <c r="PA153" s="1"/>
      <c r="PB153" s="1"/>
      <c r="PC153" s="1"/>
      <c r="PD153" s="1"/>
      <c r="PE153" s="1"/>
      <c r="PF153" s="1"/>
      <c r="PG153" s="1"/>
      <c r="PH153" s="1"/>
      <c r="PI153" s="1"/>
      <c r="PJ153" s="1"/>
      <c r="PK153" s="1"/>
      <c r="PL153" s="1"/>
      <c r="PM153" s="1"/>
      <c r="PN153" s="1"/>
      <c r="PO153" s="1"/>
      <c r="PP153" s="1"/>
      <c r="PQ153" s="1"/>
      <c r="PR153" s="1"/>
      <c r="PS153" s="1"/>
      <c r="PT153" s="1"/>
      <c r="PU153" s="1"/>
      <c r="PV153" s="1"/>
      <c r="PW153" s="1"/>
      <c r="PX153" s="1"/>
      <c r="PY153" s="1"/>
      <c r="PZ153" s="1"/>
      <c r="QA153" s="1"/>
      <c r="QB153" s="1"/>
      <c r="QC153" s="1"/>
      <c r="QD153" s="1"/>
      <c r="QE153" s="1"/>
      <c r="QF153" s="1"/>
      <c r="QG153" s="1"/>
      <c r="QH153" s="1"/>
      <c r="QI153" s="1"/>
      <c r="QJ153" s="1"/>
      <c r="QK153" s="1"/>
      <c r="QL153" s="1"/>
      <c r="QM153" s="1"/>
      <c r="QN153" s="1"/>
      <c r="QO153" s="1"/>
      <c r="QP153" s="1"/>
      <c r="QQ153" s="1"/>
      <c r="QR153" s="1"/>
      <c r="QS153" s="1"/>
      <c r="QT153" s="1"/>
      <c r="QU153" s="1"/>
      <c r="QV153" s="1"/>
      <c r="QW153" s="1"/>
      <c r="QX153" s="1"/>
      <c r="QY153" s="1"/>
      <c r="QZ153" s="1"/>
      <c r="RA153" s="1"/>
      <c r="RB153" s="1"/>
      <c r="RC153" s="1"/>
      <c r="RD153" s="1"/>
      <c r="RE153" s="1"/>
      <c r="RF153" s="1"/>
      <c r="RG153" s="1"/>
      <c r="RH153" s="1"/>
      <c r="RI153" s="1"/>
      <c r="RJ153" s="1"/>
      <c r="RK153" s="1"/>
      <c r="RL153" s="1"/>
      <c r="RM153" s="1"/>
      <c r="RN153" s="1"/>
      <c r="RO153" s="1"/>
      <c r="RP153" s="1"/>
      <c r="RQ153" s="1"/>
      <c r="RR153" s="1"/>
      <c r="RS153" s="1"/>
      <c r="RT153" s="1"/>
      <c r="RU153" s="1"/>
      <c r="RV153" s="1"/>
      <c r="RW153" s="1"/>
      <c r="RX153" s="1"/>
      <c r="RY153" s="1"/>
      <c r="RZ153" s="1"/>
      <c r="SA153" s="1"/>
      <c r="SB153" s="1"/>
      <c r="SC153" s="1"/>
      <c r="SD153" s="1"/>
      <c r="SE153" s="1"/>
      <c r="SF153" s="1"/>
      <c r="SG153" s="1"/>
      <c r="SH153" s="1"/>
      <c r="SI153" s="1"/>
      <c r="SJ153" s="1"/>
      <c r="SK153" s="1"/>
      <c r="SL153" s="1"/>
      <c r="SM153" s="1"/>
      <c r="SN153" s="1"/>
      <c r="SO153" s="1"/>
      <c r="SP153" s="1"/>
      <c r="SQ153" s="1"/>
      <c r="SR153" s="1"/>
      <c r="SS153" s="1"/>
      <c r="ST153" s="1"/>
      <c r="SU153" s="1"/>
      <c r="SV153" s="1"/>
      <c r="SW153" s="1"/>
      <c r="SX153" s="1"/>
      <c r="SY153" s="1"/>
      <c r="SZ153" s="1"/>
      <c r="TA153" s="1"/>
      <c r="TB153" s="1"/>
      <c r="TC153" s="1"/>
      <c r="TD153" s="1"/>
      <c r="TE153" s="1"/>
      <c r="TF153" s="1"/>
      <c r="TG153" s="1"/>
      <c r="TH153" s="1"/>
      <c r="TI153" s="1"/>
      <c r="TJ153" s="1"/>
      <c r="TK153" s="1"/>
      <c r="TL153" s="1"/>
      <c r="TM153" s="1"/>
      <c r="TN153" s="1"/>
      <c r="TO153" s="1"/>
      <c r="TP153" s="1"/>
      <c r="TQ153" s="1"/>
      <c r="TR153" s="1"/>
      <c r="TS153" s="1"/>
      <c r="TT153" s="1"/>
      <c r="TU153" s="1"/>
      <c r="TV153" s="1"/>
      <c r="TW153" s="1"/>
      <c r="TX153" s="1"/>
      <c r="TY153" s="1"/>
      <c r="TZ153" s="1"/>
      <c r="UA153" s="1"/>
      <c r="UB153" s="1"/>
      <c r="UC153" s="1"/>
      <c r="UD153" s="1"/>
      <c r="UE153" s="1"/>
      <c r="UF153" s="1"/>
      <c r="UG153" s="1"/>
      <c r="UH153" s="1"/>
      <c r="UI153" s="1"/>
      <c r="UJ153" s="1"/>
      <c r="UK153" s="1"/>
      <c r="UL153" s="1"/>
      <c r="UM153" s="1"/>
      <c r="UN153" s="1"/>
      <c r="UO153" s="1"/>
      <c r="UP153" s="1"/>
      <c r="UQ153" s="1"/>
      <c r="UR153" s="1"/>
      <c r="US153" s="1"/>
      <c r="UT153" s="1"/>
      <c r="UU153" s="1"/>
      <c r="UV153" s="1"/>
      <c r="UW153" s="1"/>
      <c r="UX153" s="1"/>
      <c r="UY153" s="1"/>
      <c r="UZ153" s="1"/>
      <c r="VA153" s="1"/>
      <c r="VB153" s="1"/>
      <c r="VC153" s="1"/>
      <c r="VD153" s="1"/>
      <c r="VE153" s="1"/>
      <c r="VF153" s="1"/>
      <c r="VG153" s="1"/>
      <c r="VH153" s="1"/>
      <c r="VI153" s="1"/>
      <c r="VJ153" s="1"/>
      <c r="VK153" s="1"/>
      <c r="VL153" s="1"/>
      <c r="VM153" s="1"/>
      <c r="VN153" s="1"/>
      <c r="VO153" s="1"/>
      <c r="VP153" s="1"/>
      <c r="VQ153" s="1"/>
      <c r="VR153" s="1"/>
      <c r="VS153" s="1"/>
      <c r="VT153" s="1"/>
      <c r="VU153" s="1"/>
      <c r="VV153" s="1"/>
      <c r="VW153" s="1"/>
      <c r="VX153" s="1"/>
      <c r="VY153" s="1"/>
      <c r="VZ153" s="1"/>
      <c r="WA153" s="1"/>
      <c r="WB153" s="1"/>
      <c r="WC153" s="1"/>
      <c r="WD153" s="1"/>
      <c r="WE153" s="1"/>
      <c r="WF153" s="1"/>
      <c r="WG153" s="1"/>
      <c r="WH153" s="1"/>
      <c r="WI153" s="1"/>
      <c r="WJ153" s="1"/>
      <c r="WK153" s="1"/>
      <c r="WL153" s="1"/>
      <c r="WM153" s="1"/>
      <c r="WN153" s="1"/>
      <c r="WO153" s="1"/>
      <c r="WP153" s="1"/>
      <c r="WQ153" s="1"/>
      <c r="WR153" s="1"/>
      <c r="WS153" s="1"/>
      <c r="WT153" s="1"/>
      <c r="WU153" s="1"/>
      <c r="WV153" s="1"/>
      <c r="WW153" s="1"/>
      <c r="WX153" s="1"/>
      <c r="WY153" s="1"/>
      <c r="WZ153" s="1"/>
      <c r="XA153" s="1"/>
      <c r="XB153" s="1"/>
      <c r="XC153" s="1"/>
      <c r="XD153" s="1"/>
      <c r="XE153" s="1"/>
      <c r="XF153" s="1"/>
      <c r="XG153" s="1"/>
      <c r="XH153" s="1"/>
      <c r="XI153" s="1"/>
      <c r="XJ153" s="1"/>
      <c r="XK153" s="1"/>
      <c r="XL153" s="1"/>
      <c r="XM153" s="1"/>
      <c r="XN153" s="1"/>
      <c r="XO153" s="1"/>
      <c r="XP153" s="1"/>
      <c r="XQ153" s="1"/>
      <c r="XR153" s="1"/>
      <c r="XS153" s="1"/>
      <c r="XT153" s="1"/>
      <c r="XU153" s="1"/>
      <c r="XV153" s="1"/>
      <c r="XW153" s="1"/>
      <c r="XX153" s="1"/>
      <c r="XY153" s="1"/>
      <c r="XZ153" s="1"/>
      <c r="YA153" s="1"/>
      <c r="YB153" s="1"/>
      <c r="YC153" s="1"/>
      <c r="YD153" s="1"/>
      <c r="YE153" s="1"/>
      <c r="YF153" s="1"/>
      <c r="YG153" s="1"/>
      <c r="YH153" s="1"/>
      <c r="YI153" s="1"/>
      <c r="YJ153" s="1"/>
      <c r="YK153" s="1"/>
      <c r="YL153" s="1"/>
      <c r="YM153" s="1"/>
      <c r="YN153" s="1"/>
      <c r="YO153" s="1"/>
      <c r="YP153" s="1"/>
      <c r="YQ153" s="1"/>
      <c r="YR153" s="1"/>
      <c r="YS153" s="1"/>
      <c r="YT153" s="1"/>
      <c r="YU153" s="1"/>
      <c r="YV153" s="1"/>
      <c r="YW153" s="1"/>
      <c r="YX153" s="1"/>
      <c r="YY153" s="1"/>
      <c r="YZ153" s="1"/>
      <c r="ZA153" s="1"/>
      <c r="ZB153" s="1"/>
      <c r="ZC153" s="1"/>
      <c r="ZD153" s="1"/>
      <c r="ZE153" s="1"/>
      <c r="ZF153" s="1"/>
      <c r="ZG153" s="1"/>
      <c r="ZH153" s="1"/>
      <c r="ZI153" s="1"/>
      <c r="ZJ153" s="1"/>
      <c r="ZK153" s="1"/>
      <c r="ZL153" s="1"/>
      <c r="ZM153" s="1"/>
      <c r="ZN153" s="1"/>
      <c r="ZO153" s="1"/>
      <c r="ZP153" s="1"/>
      <c r="ZQ153" s="1"/>
      <c r="ZR153" s="1"/>
      <c r="ZS153" s="1"/>
      <c r="ZT153" s="1"/>
      <c r="ZU153" s="1"/>
      <c r="ZV153" s="1"/>
      <c r="ZW153" s="1"/>
      <c r="ZX153" s="1"/>
      <c r="ZY153" s="1"/>
      <c r="ZZ153" s="1"/>
      <c r="AAA153" s="1"/>
      <c r="AAB153" s="1"/>
      <c r="AAC153" s="1"/>
      <c r="AAD153" s="1"/>
      <c r="AAE153" s="1"/>
      <c r="AAF153" s="1"/>
      <c r="AAG153" s="1"/>
      <c r="AAH153" s="1"/>
      <c r="AAI153" s="1"/>
      <c r="AAJ153" s="1"/>
      <c r="AAK153" s="1"/>
      <c r="AAL153" s="1"/>
      <c r="AAM153" s="1"/>
      <c r="AAN153" s="1"/>
      <c r="AAO153" s="1"/>
      <c r="AAP153" s="1"/>
      <c r="AAQ153" s="1"/>
      <c r="AAR153" s="1"/>
      <c r="AAS153" s="1"/>
      <c r="AAT153" s="1"/>
      <c r="AAU153" s="1"/>
      <c r="AAV153" s="1"/>
      <c r="AAW153" s="1"/>
      <c r="AAX153" s="1"/>
      <c r="AAY153" s="1"/>
      <c r="AAZ153" s="1"/>
      <c r="ABA153" s="1"/>
      <c r="ABB153" s="1"/>
      <c r="ABC153" s="1"/>
      <c r="ABD153" s="1"/>
      <c r="ABE153" s="1"/>
      <c r="ABF153" s="1"/>
      <c r="ABG153" s="1"/>
      <c r="ABH153" s="1"/>
      <c r="ABI153" s="1"/>
      <c r="ABJ153" s="1"/>
      <c r="ABK153" s="1"/>
      <c r="ABL153" s="1"/>
      <c r="ABM153" s="1"/>
      <c r="ABN153" s="1"/>
      <c r="ABO153" s="1"/>
      <c r="ABP153" s="1"/>
      <c r="ABQ153" s="1"/>
      <c r="ABR153" s="1"/>
      <c r="ABS153" s="1"/>
      <c r="ABT153" s="1"/>
      <c r="ABU153" s="1"/>
      <c r="ABV153" s="1"/>
      <c r="ABW153" s="1"/>
      <c r="ABX153" s="1"/>
      <c r="ABY153" s="1"/>
      <c r="ABZ153" s="1"/>
      <c r="ACA153" s="1"/>
      <c r="ACB153" s="1"/>
      <c r="ACC153" s="1"/>
      <c r="ACD153" s="1"/>
      <c r="ACE153" s="1"/>
      <c r="ACF153" s="1"/>
      <c r="ACG153" s="1"/>
      <c r="ACH153" s="1"/>
      <c r="ACI153" s="1"/>
      <c r="ACJ153" s="1"/>
      <c r="ACK153" s="1"/>
      <c r="ACL153" s="1"/>
      <c r="ACM153" s="1"/>
      <c r="ACN153" s="1"/>
      <c r="ACO153" s="1"/>
      <c r="ACP153" s="1"/>
      <c r="ACQ153" s="1"/>
      <c r="ACR153" s="1"/>
      <c r="ACS153" s="1"/>
      <c r="ACT153" s="1"/>
      <c r="ACU153" s="1"/>
      <c r="ACV153" s="1"/>
      <c r="ACW153" s="1"/>
      <c r="ACX153" s="1"/>
      <c r="ACY153" s="1"/>
      <c r="ACZ153" s="1"/>
      <c r="ADA153" s="1"/>
      <c r="ADB153" s="1"/>
      <c r="ADC153" s="1"/>
      <c r="ADD153" s="1"/>
      <c r="ADE153" s="1"/>
      <c r="ADF153" s="1"/>
      <c r="ADG153" s="1"/>
      <c r="ADH153" s="1"/>
      <c r="ADI153" s="1"/>
      <c r="ADJ153" s="1"/>
      <c r="ADK153" s="1"/>
      <c r="ADL153" s="1"/>
      <c r="ADM153" s="1"/>
      <c r="ADN153" s="1"/>
      <c r="ADO153" s="1"/>
      <c r="ADP153" s="1"/>
      <c r="ADQ153" s="1"/>
      <c r="ADR153" s="1"/>
      <c r="ADS153" s="1"/>
      <c r="ADT153" s="1"/>
      <c r="ADU153" s="1"/>
      <c r="ADV153" s="1"/>
      <c r="ADW153" s="1"/>
      <c r="ADX153" s="1"/>
      <c r="ADY153" s="1"/>
      <c r="ADZ153" s="1"/>
      <c r="AEA153" s="1"/>
      <c r="AEB153" s="1"/>
      <c r="AEC153" s="1"/>
      <c r="AED153" s="1"/>
      <c r="AEE153" s="1"/>
      <c r="AEF153" s="1"/>
      <c r="AEG153" s="1"/>
      <c r="AEH153" s="1"/>
      <c r="AEI153" s="1"/>
      <c r="AEJ153" s="1"/>
      <c r="AEK153" s="1"/>
      <c r="AEL153" s="1"/>
      <c r="AEM153" s="1"/>
      <c r="AEN153" s="1"/>
      <c r="AEO153" s="1"/>
      <c r="AEP153" s="1"/>
      <c r="AEQ153" s="1"/>
      <c r="AER153" s="1"/>
      <c r="AES153" s="1"/>
      <c r="AET153" s="1"/>
      <c r="AEU153" s="1"/>
      <c r="AEV153" s="1"/>
      <c r="AEW153" s="1"/>
      <c r="AEX153" s="1"/>
      <c r="AEY153" s="1"/>
      <c r="AEZ153" s="1"/>
      <c r="AFA153" s="1"/>
      <c r="AFB153" s="1"/>
      <c r="AFC153" s="1"/>
      <c r="AFD153" s="1"/>
      <c r="AFE153" s="1"/>
      <c r="AFF153" s="1"/>
      <c r="AFG153" s="1"/>
      <c r="AFH153" s="1"/>
      <c r="AFI153" s="1"/>
      <c r="AFJ153" s="1"/>
      <c r="AFK153" s="1"/>
      <c r="AFL153" s="1"/>
      <c r="AFM153" s="1"/>
      <c r="AFN153" s="1"/>
      <c r="AFO153" s="1"/>
      <c r="AFP153" s="1"/>
      <c r="AFQ153" s="1"/>
      <c r="AFR153" s="1"/>
      <c r="AFS153" s="1"/>
      <c r="AFT153" s="1"/>
      <c r="AFU153" s="1"/>
      <c r="AFV153" s="1"/>
      <c r="AFW153" s="1"/>
      <c r="AFX153" s="1"/>
      <c r="AFY153" s="1"/>
      <c r="AFZ153" s="1"/>
      <c r="AGA153" s="1"/>
      <c r="AGB153" s="1"/>
      <c r="AGC153" s="1"/>
      <c r="AGD153" s="1"/>
      <c r="AGE153" s="1"/>
      <c r="AGF153" s="1"/>
      <c r="AGG153" s="1"/>
      <c r="AGH153" s="1"/>
      <c r="AGI153" s="1"/>
      <c r="AGJ153" s="1"/>
      <c r="AGK153" s="1"/>
      <c r="AGL153" s="1"/>
      <c r="AGM153" s="1"/>
      <c r="AGN153" s="1"/>
      <c r="AGO153" s="1"/>
      <c r="AGP153" s="1"/>
      <c r="AGQ153" s="1"/>
      <c r="AGR153" s="1"/>
      <c r="AGS153" s="1"/>
      <c r="AGT153" s="1"/>
      <c r="AGU153" s="1"/>
      <c r="AGV153" s="1"/>
      <c r="AGW153" s="1"/>
      <c r="AGX153" s="1"/>
      <c r="AGY153" s="1"/>
      <c r="AGZ153" s="1"/>
      <c r="AHA153" s="1"/>
      <c r="AHB153" s="1"/>
      <c r="AHC153" s="1"/>
      <c r="AHD153" s="1"/>
      <c r="AHE153" s="1"/>
      <c r="AHF153" s="1"/>
      <c r="AHG153" s="1"/>
      <c r="AHH153" s="1"/>
      <c r="AHI153" s="1"/>
      <c r="AHJ153" s="1"/>
      <c r="AHK153" s="1"/>
      <c r="AHL153" s="1"/>
      <c r="AHM153" s="1"/>
      <c r="AHN153" s="1"/>
      <c r="AHO153" s="1"/>
      <c r="AHP153" s="1"/>
      <c r="AHQ153" s="1"/>
      <c r="AHR153" s="1"/>
      <c r="AHS153" s="1"/>
      <c r="AHT153" s="1"/>
      <c r="AHU153" s="1"/>
      <c r="AHV153" s="1"/>
      <c r="AHW153" s="1"/>
      <c r="AHX153" s="1"/>
      <c r="AHY153" s="1"/>
      <c r="AHZ153" s="1"/>
      <c r="AIA153" s="1"/>
      <c r="AIB153" s="1"/>
      <c r="AIC153" s="1"/>
      <c r="AID153" s="1"/>
      <c r="AIE153" s="1"/>
      <c r="AIF153" s="1"/>
      <c r="AIG153" s="1"/>
      <c r="AIH153" s="1"/>
      <c r="AII153" s="1"/>
      <c r="AIJ153" s="1"/>
      <c r="AIK153" s="1"/>
      <c r="AIL153" s="1"/>
      <c r="AIM153" s="1"/>
      <c r="AIN153" s="1"/>
      <c r="AIO153" s="1"/>
      <c r="AIP153" s="1"/>
      <c r="AIQ153" s="1"/>
      <c r="AIR153" s="1"/>
      <c r="AIS153" s="1"/>
      <c r="AIT153" s="1"/>
      <c r="AIU153" s="1"/>
      <c r="AIV153" s="1"/>
      <c r="AIW153" s="1"/>
      <c r="AIX153" s="1"/>
      <c r="AIY153" s="1"/>
      <c r="AIZ153" s="1"/>
      <c r="AJA153" s="1"/>
      <c r="AJB153" s="1"/>
      <c r="AJC153" s="1"/>
      <c r="AJD153" s="1"/>
      <c r="AJE153" s="1"/>
      <c r="AJF153" s="1"/>
      <c r="AJG153" s="1"/>
      <c r="AJH153" s="1"/>
      <c r="AJI153" s="1"/>
      <c r="AJJ153" s="1"/>
      <c r="AJK153" s="1"/>
      <c r="AJL153" s="1"/>
      <c r="AJM153" s="1"/>
      <c r="AJN153" s="1"/>
      <c r="AJO153" s="1"/>
      <c r="AJP153" s="1"/>
      <c r="AJQ153" s="1"/>
      <c r="AJR153" s="1"/>
      <c r="AJS153" s="1"/>
      <c r="AJT153" s="1"/>
      <c r="AJU153" s="1"/>
      <c r="AJV153" s="1"/>
      <c r="AJW153" s="1"/>
      <c r="AJX153" s="1"/>
      <c r="AJY153" s="1"/>
      <c r="AJZ153" s="1"/>
      <c r="AKA153" s="1"/>
      <c r="AKB153" s="1"/>
      <c r="AKC153" s="1"/>
      <c r="AKD153" s="1"/>
      <c r="AKE153" s="1"/>
      <c r="AKF153" s="1"/>
      <c r="AKG153" s="1"/>
      <c r="AKH153" s="1"/>
      <c r="AKI153" s="1"/>
      <c r="AKJ153" s="1"/>
      <c r="AKK153" s="1"/>
      <c r="AKL153" s="1"/>
      <c r="AKM153" s="1"/>
      <c r="AKN153" s="1"/>
      <c r="AKO153" s="1"/>
      <c r="AKP153" s="1"/>
      <c r="AKQ153" s="1"/>
      <c r="AKR153" s="1"/>
      <c r="AKS153" s="1"/>
      <c r="AKT153" s="1"/>
      <c r="AKU153" s="1"/>
      <c r="AKV153" s="1"/>
      <c r="AKW153" s="1"/>
      <c r="AKX153" s="1"/>
      <c r="AKY153" s="1"/>
      <c r="AKZ153" s="1"/>
      <c r="ALA153" s="1"/>
      <c r="ALB153" s="1"/>
      <c r="ALC153" s="1"/>
      <c r="ALD153" s="1"/>
      <c r="ALE153" s="1"/>
      <c r="ALF153" s="1"/>
      <c r="ALG153" s="1"/>
      <c r="ALH153" s="1"/>
      <c r="ALI153" s="1"/>
      <c r="ALJ153" s="1"/>
      <c r="ALK153" s="1"/>
      <c r="ALL153" s="1"/>
      <c r="ALM153" s="1"/>
      <c r="ALN153" s="1"/>
      <c r="ALO153" s="1"/>
      <c r="ALP153" s="1"/>
      <c r="ALQ153" s="1"/>
      <c r="ALR153" s="1"/>
      <c r="ALS153" s="1"/>
      <c r="ALT153" s="1"/>
      <c r="ALU153" s="1"/>
      <c r="ALV153" s="1"/>
      <c r="ALW153" s="1"/>
      <c r="ALX153" s="1"/>
      <c r="ALY153" s="1"/>
      <c r="ALZ153" s="1"/>
      <c r="AMA153" s="1"/>
      <c r="AMB153" s="1"/>
      <c r="AMC153" s="1"/>
      <c r="AMD153" s="1"/>
      <c r="AME153" s="1"/>
      <c r="AMF153" s="1"/>
      <c r="AMG153" s="1"/>
      <c r="AMH153" s="1"/>
      <c r="AMI153" s="1"/>
      <c r="AMJ153" s="1"/>
      <c r="AMK153" s="1"/>
      <c r="AML153" s="1"/>
      <c r="AMM153" s="1"/>
      <c r="AMN153" s="1"/>
      <c r="AMO153" s="1"/>
    </row>
    <row r="154" spans="1:1030" x14ac:dyDescent="0.2">
      <c r="A154" s="3" t="str">
        <f>CONCATENATE(B154,"_",C154)</f>
        <v>drd2_human__wt</v>
      </c>
      <c r="B154" s="3" t="s">
        <v>191</v>
      </c>
      <c r="C154" s="3" t="s">
        <v>100</v>
      </c>
      <c r="D154" s="3" t="str">
        <f>IFERROR(MID(VLOOKUP($B154,Seqs!$A:$B,2,0),E154,1),"")</f>
        <v>R</v>
      </c>
      <c r="E154" s="3">
        <v>31</v>
      </c>
      <c r="F154" s="3" t="str">
        <f>IFERROR(MID(VLOOKUP($B154,Seqs!$A:$B,2,0),G154,1),"")</f>
        <v>E</v>
      </c>
      <c r="G154" s="3">
        <v>62</v>
      </c>
      <c r="H154" s="3" t="str">
        <f>IFERROR(MID(VLOOKUP($B154,Seqs!$A:$B,2,0),I154,1),"")</f>
        <v>K</v>
      </c>
      <c r="I154" s="23">
        <v>63</v>
      </c>
      <c r="J154" s="3" t="str">
        <f>IFERROR(MID(VLOOKUP($B154,Seqs!$A:$B,2,0),K154,1),"")</f>
        <v>Q</v>
      </c>
      <c r="K154" s="23">
        <v>66</v>
      </c>
      <c r="L154" s="3" t="str">
        <f>IFERROR(MID(VLOOKUP($B154,Seqs!$A:$B,2,0),M154,1),"")</f>
        <v>T</v>
      </c>
      <c r="M154" s="3">
        <v>67</v>
      </c>
      <c r="N154" s="3" t="str">
        <f>IFERROR(MID(VLOOKUP($B154,Seqs!$A:$B,2,0),O154,1),"")</f>
        <v>G</v>
      </c>
      <c r="O154" s="3">
        <v>98</v>
      </c>
      <c r="P154" s="3" t="str">
        <f>IFERROR(MID(VLOOKUP($B154,Seqs!$A:$B,2,0),Q154,1),"")</f>
        <v>E</v>
      </c>
      <c r="Q154" s="3">
        <v>99</v>
      </c>
      <c r="R154" s="3" t="str">
        <f>IFERROR(MID(VLOOKUP($B154,Seqs!$A:$B,2,0),S154,1),"")</f>
        <v>F</v>
      </c>
      <c r="S154" s="3">
        <v>102</v>
      </c>
      <c r="T154" s="3" t="str">
        <f>IFERROR(MID(VLOOKUP($B154,Seqs!$A:$B,2,0),U154,1),"")</f>
        <v>S</v>
      </c>
      <c r="U154" s="3">
        <v>103</v>
      </c>
      <c r="V154" s="3" t="str">
        <f>IFERROR(MID(VLOOKUP($B154,Seqs!$A:$B,2,0),W154,1),"")</f>
        <v>M</v>
      </c>
      <c r="W154" s="3">
        <v>138</v>
      </c>
      <c r="X154" s="3" t="str">
        <f>IFERROR(MID(VLOOKUP($B154,Seqs!$A:$B,2,0),Y154,1),"")</f>
        <v>P</v>
      </c>
      <c r="Y154" s="3">
        <v>139</v>
      </c>
      <c r="Z154" s="3" t="str">
        <f>IFERROR(MID(VLOOKUP($B154,Seqs!$A:$B,2,0),AA154,1),"")</f>
        <v>S</v>
      </c>
      <c r="AA154" s="3">
        <v>147</v>
      </c>
      <c r="AB154" s="3" t="str">
        <f>IFERROR(MID(VLOOKUP($B154,Seqs!$A:$B,2,0),AC154,1),"")</f>
        <v>S</v>
      </c>
      <c r="AC154" s="3">
        <v>148</v>
      </c>
      <c r="AD154" s="3" t="str">
        <f>IFERROR(MID(VLOOKUP($B154,Seqs!$A:$B,2,0),AE154,1),"")</f>
        <v>F</v>
      </c>
      <c r="AE154" s="3">
        <v>172</v>
      </c>
      <c r="AF154" s="3" t="str">
        <f>IFERROR(MID(VLOOKUP($B154,Seqs!$A:$B,2,0),AG154,1),"")</f>
        <v>C</v>
      </c>
      <c r="AG154" s="3">
        <v>182</v>
      </c>
      <c r="AH154" s="3" t="str">
        <f>IFERROR(MID(VLOOKUP($B154,Seqs!$A:$B,2,0),AI154,1),"")</f>
        <v>I</v>
      </c>
      <c r="AI154" s="3">
        <v>184</v>
      </c>
      <c r="AJ154" s="3" t="str">
        <f>IFERROR(MID(VLOOKUP($B154,Seqs!$A:$B,2,0),AK154,1),"")</f>
        <v>N</v>
      </c>
      <c r="AK154" s="3">
        <v>186</v>
      </c>
      <c r="AL154" s="3" t="str">
        <f>IFERROR(MID(VLOOKUP($B154,Seqs!$A:$B,2,0),AM154,1),"")</f>
        <v>K</v>
      </c>
      <c r="AM154" s="3">
        <v>226</v>
      </c>
      <c r="AN154" s="3" t="str">
        <f>IFERROR(MID(VLOOKUP($B154,Seqs!$A:$B,2,0),AO154,1),"")</f>
        <v>K</v>
      </c>
      <c r="AO154" s="3">
        <v>362</v>
      </c>
      <c r="AP154" s="3" t="str">
        <f>IFERROR(MID(VLOOKUP($B154,Seqs!$A:$B,2,0),AQ154,1),"")</f>
        <v>C</v>
      </c>
      <c r="AQ154" s="3">
        <v>399</v>
      </c>
      <c r="AR154" s="3" t="str">
        <f>IFERROR(MID(VLOOKUP($B154,Seqs!$A:$B,2,0),AS154,1),"")</f>
        <v>P</v>
      </c>
      <c r="AS154" s="3">
        <v>404</v>
      </c>
      <c r="AT154" s="3" t="str">
        <f>IFERROR(MID(VLOOKUP($B154,Seqs!$A:$B,2,0),AU154,1),"")</f>
        <v>F</v>
      </c>
      <c r="AU154" s="3">
        <v>429</v>
      </c>
      <c r="AV154" s="3" t="str">
        <f>IFERROR(MID(VLOOKUP($B154,Seqs!$A:$B,2,0),AW154,1),"")</f>
        <v>N</v>
      </c>
      <c r="AW154" s="3">
        <v>430</v>
      </c>
      <c r="AX154" s="3" t="str">
        <f>IFERROR(MID(VLOOKUP($B154,Seqs!$A:$B,2,0),AY154,1),"")</f>
        <v>H</v>
      </c>
      <c r="AY154" s="3">
        <v>442</v>
      </c>
      <c r="AZ154" s="77" t="str">
        <f>VLOOKUP(B154,Classification!A:D,2,0)</f>
        <v>A</v>
      </c>
      <c r="BA154" s="94" t="str">
        <f>VLOOKUP(B154,Classification!A:D,4,0)</f>
        <v>Dopamine</v>
      </c>
      <c r="BB154" s="27" t="b">
        <f>AND(E154&lt;G154,OR(G154&lt;I154,I154="-"),OR(I154&lt;K154,I154="-"),OR(K154&lt;M154,K154="-"),M154&lt;O154,OR(O154&lt;Q154,Q154="-"),OR(Q154&lt;S154,Q154="-"),OR(S154&lt;U154,S154="-"),U154&lt;W154,OR(W154&lt;Y154,Y154="-"),OR(Y154&lt;AA154,Y154="-"),OR(AA154&lt;AC154,AA154="-"),AC154&lt;AE154,OR(AE154&lt;AG154,AG154="-"),OR(AG154&lt;AI154,AG154="-"),OR(AI154&lt;AK154,AI154="-"),AK154&lt;AM154,AM154&lt;AO154,AO154&lt;AQ154,AQ154&lt;AS154,AS154&lt;AU154,OR(AU154&lt;AW154,AW154="-"),OR(AW154&lt;AY154,AW154="-"))</f>
        <v>1</v>
      </c>
      <c r="BC154" s="23">
        <f>_xlfn.AGGREGATE(9,6,CH154:CS154)-_xlfn.AGGREGATE(9,6,BV154:CG154)+12</f>
        <v>263</v>
      </c>
      <c r="BD154" s="56" t="s">
        <v>1379</v>
      </c>
      <c r="BE154" s="3" t="s">
        <v>23</v>
      </c>
      <c r="BF154" s="119" t="s">
        <v>23</v>
      </c>
      <c r="BG154" s="49" t="s">
        <v>1379</v>
      </c>
      <c r="BH154" s="49" t="s">
        <v>1384</v>
      </c>
      <c r="BI154" s="1"/>
      <c r="BJ154" s="70" t="s">
        <v>1293</v>
      </c>
      <c r="BK154" s="57" t="s">
        <v>1293</v>
      </c>
      <c r="BL154" s="57" t="s">
        <v>1293</v>
      </c>
      <c r="BM154" s="57" t="s">
        <v>1293</v>
      </c>
      <c r="BN154" s="57" t="s">
        <v>1293</v>
      </c>
      <c r="BO154" s="57" t="s">
        <v>1293</v>
      </c>
      <c r="BP154" s="57" t="s">
        <v>1293</v>
      </c>
      <c r="BQ154" s="57" t="s">
        <v>1293</v>
      </c>
      <c r="BR154" s="57" t="s">
        <v>1293</v>
      </c>
      <c r="BS154" s="57" t="s">
        <v>1293</v>
      </c>
      <c r="BT154" s="57" t="s">
        <v>1293</v>
      </c>
      <c r="BU154" s="57" t="s">
        <v>1293</v>
      </c>
      <c r="BV154" s="70">
        <f>E154</f>
        <v>31</v>
      </c>
      <c r="BW154" s="71">
        <f>I154</f>
        <v>63</v>
      </c>
      <c r="BX154" s="72">
        <f>M154</f>
        <v>67</v>
      </c>
      <c r="BY154" s="71">
        <f>Q154</f>
        <v>99</v>
      </c>
      <c r="BZ154" s="72">
        <f>U154</f>
        <v>103</v>
      </c>
      <c r="CA154" s="71">
        <f>Y154</f>
        <v>139</v>
      </c>
      <c r="CB154" s="72">
        <f>AC154</f>
        <v>148</v>
      </c>
      <c r="CC154" s="71">
        <f>AG154</f>
        <v>182</v>
      </c>
      <c r="CD154" s="72">
        <f>AK154</f>
        <v>186</v>
      </c>
      <c r="CE154" s="71">
        <f>AO154</f>
        <v>362</v>
      </c>
      <c r="CF154" s="72">
        <f>AS154</f>
        <v>404</v>
      </c>
      <c r="CG154" s="71">
        <f>AW154</f>
        <v>430</v>
      </c>
      <c r="CH154" s="70">
        <f>G154</f>
        <v>62</v>
      </c>
      <c r="CI154" s="71">
        <f>K154</f>
        <v>66</v>
      </c>
      <c r="CJ154" s="72">
        <f>O154</f>
        <v>98</v>
      </c>
      <c r="CK154" s="72">
        <f>S154</f>
        <v>102</v>
      </c>
      <c r="CL154" s="72">
        <f>W154</f>
        <v>138</v>
      </c>
      <c r="CM154" s="72">
        <f>AA154</f>
        <v>147</v>
      </c>
      <c r="CN154" s="72">
        <f>AE154</f>
        <v>172</v>
      </c>
      <c r="CO154" s="72">
        <f>AI154</f>
        <v>184</v>
      </c>
      <c r="CP154" s="72">
        <f>AM154</f>
        <v>226</v>
      </c>
      <c r="CQ154" s="72">
        <f>AQ154</f>
        <v>399</v>
      </c>
      <c r="CR154" s="72">
        <f>AU154</f>
        <v>429</v>
      </c>
      <c r="CS154" s="72">
        <f>AY154</f>
        <v>442</v>
      </c>
      <c r="CT154" s="23">
        <f>M154-K154</f>
        <v>1</v>
      </c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  <c r="OK154" s="1"/>
      <c r="OL154" s="1"/>
      <c r="OM154" s="1"/>
      <c r="ON154" s="1"/>
      <c r="OO154" s="1"/>
      <c r="OP154" s="1"/>
      <c r="OQ154" s="1"/>
      <c r="OR154" s="1"/>
      <c r="OS154" s="1"/>
      <c r="OT154" s="1"/>
      <c r="OU154" s="1"/>
      <c r="OV154" s="1"/>
      <c r="OW154" s="1"/>
      <c r="OX154" s="1"/>
      <c r="OY154" s="1"/>
      <c r="OZ154" s="1"/>
      <c r="PA154" s="1"/>
      <c r="PB154" s="1"/>
      <c r="PC154" s="1"/>
      <c r="PD154" s="1"/>
      <c r="PE154" s="1"/>
      <c r="PF154" s="1"/>
      <c r="PG154" s="1"/>
      <c r="PH154" s="1"/>
      <c r="PI154" s="1"/>
      <c r="PJ154" s="1"/>
      <c r="PK154" s="1"/>
      <c r="PL154" s="1"/>
      <c r="PM154" s="1"/>
      <c r="PN154" s="1"/>
      <c r="PO154" s="1"/>
      <c r="PP154" s="1"/>
      <c r="PQ154" s="1"/>
      <c r="PR154" s="1"/>
      <c r="PS154" s="1"/>
      <c r="PT154" s="1"/>
      <c r="PU154" s="1"/>
      <c r="PV154" s="1"/>
      <c r="PW154" s="1"/>
      <c r="PX154" s="1"/>
      <c r="PY154" s="1"/>
      <c r="PZ154" s="1"/>
      <c r="QA154" s="1"/>
      <c r="QB154" s="1"/>
      <c r="QC154" s="1"/>
      <c r="QD154" s="1"/>
      <c r="QE154" s="1"/>
      <c r="QF154" s="1"/>
      <c r="QG154" s="1"/>
      <c r="QH154" s="1"/>
      <c r="QI154" s="1"/>
      <c r="QJ154" s="1"/>
      <c r="QK154" s="1"/>
      <c r="QL154" s="1"/>
      <c r="QM154" s="1"/>
      <c r="QN154" s="1"/>
      <c r="QO154" s="1"/>
      <c r="QP154" s="1"/>
      <c r="QQ154" s="1"/>
      <c r="QR154" s="1"/>
      <c r="QS154" s="1"/>
      <c r="QT154" s="1"/>
      <c r="QU154" s="1"/>
      <c r="QV154" s="1"/>
      <c r="QW154" s="1"/>
      <c r="QX154" s="1"/>
      <c r="QY154" s="1"/>
      <c r="QZ154" s="1"/>
      <c r="RA154" s="1"/>
      <c r="RB154" s="1"/>
      <c r="RC154" s="1"/>
      <c r="RD154" s="1"/>
      <c r="RE154" s="1"/>
      <c r="RF154" s="1"/>
      <c r="RG154" s="1"/>
      <c r="RH154" s="1"/>
      <c r="RI154" s="1"/>
      <c r="RJ154" s="1"/>
      <c r="RK154" s="1"/>
      <c r="RL154" s="1"/>
      <c r="RM154" s="1"/>
      <c r="RN154" s="1"/>
      <c r="RO154" s="1"/>
      <c r="RP154" s="1"/>
      <c r="RQ154" s="1"/>
      <c r="RR154" s="1"/>
      <c r="RS154" s="1"/>
      <c r="RT154" s="1"/>
      <c r="RU154" s="1"/>
      <c r="RV154" s="1"/>
      <c r="RW154" s="1"/>
      <c r="RX154" s="1"/>
      <c r="RY154" s="1"/>
      <c r="RZ154" s="1"/>
      <c r="SA154" s="1"/>
      <c r="SB154" s="1"/>
      <c r="SC154" s="1"/>
      <c r="SD154" s="1"/>
      <c r="SE154" s="1"/>
      <c r="SF154" s="1"/>
      <c r="SG154" s="1"/>
      <c r="SH154" s="1"/>
      <c r="SI154" s="1"/>
      <c r="SJ154" s="1"/>
      <c r="SK154" s="1"/>
      <c r="SL154" s="1"/>
      <c r="SM154" s="1"/>
      <c r="SN154" s="1"/>
      <c r="SO154" s="1"/>
      <c r="SP154" s="1"/>
      <c r="SQ154" s="1"/>
      <c r="SR154" s="1"/>
      <c r="SS154" s="1"/>
      <c r="ST154" s="1"/>
      <c r="SU154" s="1"/>
      <c r="SV154" s="1"/>
      <c r="SW154" s="1"/>
      <c r="SX154" s="1"/>
      <c r="SY154" s="1"/>
      <c r="SZ154" s="1"/>
      <c r="TA154" s="1"/>
      <c r="TB154" s="1"/>
      <c r="TC154" s="1"/>
      <c r="TD154" s="1"/>
      <c r="TE154" s="1"/>
      <c r="TF154" s="1"/>
      <c r="TG154" s="1"/>
      <c r="TH154" s="1"/>
      <c r="TI154" s="1"/>
      <c r="TJ154" s="1"/>
      <c r="TK154" s="1"/>
      <c r="TL154" s="1"/>
      <c r="TM154" s="1"/>
      <c r="TN154" s="1"/>
      <c r="TO154" s="1"/>
      <c r="TP154" s="1"/>
      <c r="TQ154" s="1"/>
      <c r="TR154" s="1"/>
      <c r="TS154" s="1"/>
      <c r="TT154" s="1"/>
      <c r="TU154" s="1"/>
      <c r="TV154" s="1"/>
      <c r="TW154" s="1"/>
      <c r="TX154" s="1"/>
      <c r="TY154" s="1"/>
      <c r="TZ154" s="1"/>
      <c r="UA154" s="1"/>
      <c r="UB154" s="1"/>
      <c r="UC154" s="1"/>
      <c r="UD154" s="1"/>
      <c r="UE154" s="1"/>
      <c r="UF154" s="1"/>
      <c r="UG154" s="1"/>
      <c r="UH154" s="1"/>
      <c r="UI154" s="1"/>
      <c r="UJ154" s="1"/>
      <c r="UK154" s="1"/>
      <c r="UL154" s="1"/>
      <c r="UM154" s="1"/>
      <c r="UN154" s="1"/>
      <c r="UO154" s="1"/>
      <c r="UP154" s="1"/>
      <c r="UQ154" s="1"/>
      <c r="UR154" s="1"/>
      <c r="US154" s="1"/>
      <c r="UT154" s="1"/>
      <c r="UU154" s="1"/>
      <c r="UV154" s="1"/>
      <c r="UW154" s="1"/>
      <c r="UX154" s="1"/>
      <c r="UY154" s="1"/>
      <c r="UZ154" s="1"/>
      <c r="VA154" s="1"/>
      <c r="VB154" s="1"/>
      <c r="VC154" s="1"/>
      <c r="VD154" s="1"/>
      <c r="VE154" s="1"/>
      <c r="VF154" s="1"/>
      <c r="VG154" s="1"/>
      <c r="VH154" s="1"/>
      <c r="VI154" s="1"/>
      <c r="VJ154" s="1"/>
      <c r="VK154" s="1"/>
      <c r="VL154" s="1"/>
      <c r="VM154" s="1"/>
      <c r="VN154" s="1"/>
      <c r="VO154" s="1"/>
      <c r="VP154" s="1"/>
      <c r="VQ154" s="1"/>
      <c r="VR154" s="1"/>
      <c r="VS154" s="1"/>
      <c r="VT154" s="1"/>
      <c r="VU154" s="1"/>
      <c r="VV154" s="1"/>
      <c r="VW154" s="1"/>
      <c r="VX154" s="1"/>
      <c r="VY154" s="1"/>
      <c r="VZ154" s="1"/>
      <c r="WA154" s="1"/>
      <c r="WB154" s="1"/>
      <c r="WC154" s="1"/>
      <c r="WD154" s="1"/>
      <c r="WE154" s="1"/>
      <c r="WF154" s="1"/>
      <c r="WG154" s="1"/>
      <c r="WH154" s="1"/>
      <c r="WI154" s="1"/>
      <c r="WJ154" s="1"/>
      <c r="WK154" s="1"/>
      <c r="WL154" s="1"/>
      <c r="WM154" s="1"/>
      <c r="WN154" s="1"/>
      <c r="WO154" s="1"/>
      <c r="WP154" s="1"/>
      <c r="WQ154" s="1"/>
      <c r="WR154" s="1"/>
      <c r="WS154" s="1"/>
      <c r="WT154" s="1"/>
      <c r="WU154" s="1"/>
      <c r="WV154" s="1"/>
      <c r="WW154" s="1"/>
      <c r="WX154" s="1"/>
      <c r="WY154" s="1"/>
      <c r="WZ154" s="1"/>
      <c r="XA154" s="1"/>
      <c r="XB154" s="1"/>
      <c r="XC154" s="1"/>
      <c r="XD154" s="1"/>
      <c r="XE154" s="1"/>
      <c r="XF154" s="1"/>
      <c r="XG154" s="1"/>
      <c r="XH154" s="1"/>
      <c r="XI154" s="1"/>
      <c r="XJ154" s="1"/>
      <c r="XK154" s="1"/>
      <c r="XL154" s="1"/>
      <c r="XM154" s="1"/>
      <c r="XN154" s="1"/>
      <c r="XO154" s="1"/>
      <c r="XP154" s="1"/>
      <c r="XQ154" s="1"/>
      <c r="XR154" s="1"/>
      <c r="XS154" s="1"/>
      <c r="XT154" s="1"/>
      <c r="XU154" s="1"/>
      <c r="XV154" s="1"/>
      <c r="XW154" s="1"/>
      <c r="XX154" s="1"/>
      <c r="XY154" s="1"/>
      <c r="XZ154" s="1"/>
      <c r="YA154" s="1"/>
      <c r="YB154" s="1"/>
      <c r="YC154" s="1"/>
      <c r="YD154" s="1"/>
      <c r="YE154" s="1"/>
      <c r="YF154" s="1"/>
      <c r="YG154" s="1"/>
      <c r="YH154" s="1"/>
      <c r="YI154" s="1"/>
      <c r="YJ154" s="1"/>
      <c r="YK154" s="1"/>
      <c r="YL154" s="1"/>
      <c r="YM154" s="1"/>
      <c r="YN154" s="1"/>
      <c r="YO154" s="1"/>
      <c r="YP154" s="1"/>
      <c r="YQ154" s="1"/>
      <c r="YR154" s="1"/>
      <c r="YS154" s="1"/>
      <c r="YT154" s="1"/>
      <c r="YU154" s="1"/>
      <c r="YV154" s="1"/>
      <c r="YW154" s="1"/>
      <c r="YX154" s="1"/>
      <c r="YY154" s="1"/>
      <c r="YZ154" s="1"/>
      <c r="ZA154" s="1"/>
      <c r="ZB154" s="1"/>
      <c r="ZC154" s="1"/>
      <c r="ZD154" s="1"/>
      <c r="ZE154" s="1"/>
      <c r="ZF154" s="1"/>
      <c r="ZG154" s="1"/>
      <c r="ZH154" s="1"/>
      <c r="ZI154" s="1"/>
      <c r="ZJ154" s="1"/>
      <c r="ZK154" s="1"/>
      <c r="ZL154" s="1"/>
      <c r="ZM154" s="1"/>
      <c r="ZN154" s="1"/>
      <c r="ZO154" s="1"/>
      <c r="ZP154" s="1"/>
      <c r="ZQ154" s="1"/>
      <c r="ZR154" s="1"/>
      <c r="ZS154" s="1"/>
      <c r="ZT154" s="1"/>
      <c r="ZU154" s="1"/>
      <c r="ZV154" s="1"/>
      <c r="ZW154" s="1"/>
      <c r="ZX154" s="1"/>
      <c r="ZY154" s="1"/>
      <c r="ZZ154" s="1"/>
      <c r="AAA154" s="1"/>
      <c r="AAB154" s="1"/>
      <c r="AAC154" s="1"/>
      <c r="AAD154" s="1"/>
      <c r="AAE154" s="1"/>
      <c r="AAF154" s="1"/>
      <c r="AAG154" s="1"/>
      <c r="AAH154" s="1"/>
      <c r="AAI154" s="1"/>
      <c r="AAJ154" s="1"/>
      <c r="AAK154" s="1"/>
      <c r="AAL154" s="1"/>
      <c r="AAM154" s="1"/>
      <c r="AAN154" s="1"/>
      <c r="AAO154" s="1"/>
      <c r="AAP154" s="1"/>
      <c r="AAQ154" s="1"/>
      <c r="AAR154" s="1"/>
      <c r="AAS154" s="1"/>
      <c r="AAT154" s="1"/>
      <c r="AAU154" s="1"/>
      <c r="AAV154" s="1"/>
      <c r="AAW154" s="1"/>
      <c r="AAX154" s="1"/>
      <c r="AAY154" s="1"/>
      <c r="AAZ154" s="1"/>
      <c r="ABA154" s="1"/>
      <c r="ABB154" s="1"/>
      <c r="ABC154" s="1"/>
      <c r="ABD154" s="1"/>
      <c r="ABE154" s="1"/>
      <c r="ABF154" s="1"/>
      <c r="ABG154" s="1"/>
      <c r="ABH154" s="1"/>
      <c r="ABI154" s="1"/>
      <c r="ABJ154" s="1"/>
      <c r="ABK154" s="1"/>
      <c r="ABL154" s="1"/>
      <c r="ABM154" s="1"/>
      <c r="ABN154" s="1"/>
      <c r="ABO154" s="1"/>
      <c r="ABP154" s="1"/>
      <c r="ABQ154" s="1"/>
      <c r="ABR154" s="1"/>
      <c r="ABS154" s="1"/>
      <c r="ABT154" s="1"/>
      <c r="ABU154" s="1"/>
      <c r="ABV154" s="1"/>
      <c r="ABW154" s="1"/>
      <c r="ABX154" s="1"/>
      <c r="ABY154" s="1"/>
      <c r="ABZ154" s="1"/>
      <c r="ACA154" s="1"/>
      <c r="ACB154" s="1"/>
      <c r="ACC154" s="1"/>
      <c r="ACD154" s="1"/>
      <c r="ACE154" s="1"/>
      <c r="ACF154" s="1"/>
      <c r="ACG154" s="1"/>
      <c r="ACH154" s="1"/>
      <c r="ACI154" s="1"/>
      <c r="ACJ154" s="1"/>
      <c r="ACK154" s="1"/>
      <c r="ACL154" s="1"/>
      <c r="ACM154" s="1"/>
      <c r="ACN154" s="1"/>
      <c r="ACO154" s="1"/>
      <c r="ACP154" s="1"/>
      <c r="ACQ154" s="1"/>
      <c r="ACR154" s="1"/>
      <c r="ACS154" s="1"/>
      <c r="ACT154" s="1"/>
      <c r="ACU154" s="1"/>
      <c r="ACV154" s="1"/>
      <c r="ACW154" s="1"/>
      <c r="ACX154" s="1"/>
      <c r="ACY154" s="1"/>
      <c r="ACZ154" s="1"/>
      <c r="ADA154" s="1"/>
      <c r="ADB154" s="1"/>
      <c r="ADC154" s="1"/>
      <c r="ADD154" s="1"/>
      <c r="ADE154" s="1"/>
      <c r="ADF154" s="1"/>
      <c r="ADG154" s="1"/>
      <c r="ADH154" s="1"/>
      <c r="ADI154" s="1"/>
      <c r="ADJ154" s="1"/>
      <c r="ADK154" s="1"/>
      <c r="ADL154" s="1"/>
      <c r="ADM154" s="1"/>
      <c r="ADN154" s="1"/>
      <c r="ADO154" s="1"/>
      <c r="ADP154" s="1"/>
      <c r="ADQ154" s="1"/>
      <c r="ADR154" s="1"/>
      <c r="ADS154" s="1"/>
      <c r="ADT154" s="1"/>
      <c r="ADU154" s="1"/>
      <c r="ADV154" s="1"/>
      <c r="ADW154" s="1"/>
      <c r="ADX154" s="1"/>
      <c r="ADY154" s="1"/>
      <c r="ADZ154" s="1"/>
      <c r="AEA154" s="1"/>
      <c r="AEB154" s="1"/>
      <c r="AEC154" s="1"/>
      <c r="AED154" s="1"/>
      <c r="AEE154" s="1"/>
      <c r="AEF154" s="1"/>
      <c r="AEG154" s="1"/>
      <c r="AEH154" s="1"/>
      <c r="AEI154" s="1"/>
      <c r="AEJ154" s="1"/>
      <c r="AEK154" s="1"/>
      <c r="AEL154" s="1"/>
      <c r="AEM154" s="1"/>
      <c r="AEN154" s="1"/>
      <c r="AEO154" s="1"/>
      <c r="AEP154" s="1"/>
      <c r="AEQ154" s="1"/>
      <c r="AER154" s="1"/>
      <c r="AES154" s="1"/>
      <c r="AET154" s="1"/>
      <c r="AEU154" s="1"/>
      <c r="AEV154" s="1"/>
      <c r="AEW154" s="1"/>
      <c r="AEX154" s="1"/>
      <c r="AEY154" s="1"/>
      <c r="AEZ154" s="1"/>
      <c r="AFA154" s="1"/>
      <c r="AFB154" s="1"/>
      <c r="AFC154" s="1"/>
      <c r="AFD154" s="1"/>
      <c r="AFE154" s="1"/>
      <c r="AFF154" s="1"/>
      <c r="AFG154" s="1"/>
      <c r="AFH154" s="1"/>
      <c r="AFI154" s="1"/>
      <c r="AFJ154" s="1"/>
      <c r="AFK154" s="1"/>
      <c r="AFL154" s="1"/>
      <c r="AFM154" s="1"/>
      <c r="AFN154" s="1"/>
      <c r="AFO154" s="1"/>
      <c r="AFP154" s="1"/>
      <c r="AFQ154" s="1"/>
      <c r="AFR154" s="1"/>
      <c r="AFS154" s="1"/>
      <c r="AFT154" s="1"/>
      <c r="AFU154" s="1"/>
      <c r="AFV154" s="1"/>
      <c r="AFW154" s="1"/>
      <c r="AFX154" s="1"/>
      <c r="AFY154" s="1"/>
      <c r="AFZ154" s="1"/>
      <c r="AGA154" s="1"/>
      <c r="AGB154" s="1"/>
      <c r="AGC154" s="1"/>
      <c r="AGD154" s="1"/>
      <c r="AGE154" s="1"/>
      <c r="AGF154" s="1"/>
      <c r="AGG154" s="1"/>
      <c r="AGH154" s="1"/>
      <c r="AGI154" s="1"/>
      <c r="AGJ154" s="1"/>
      <c r="AGK154" s="1"/>
      <c r="AGL154" s="1"/>
      <c r="AGM154" s="1"/>
      <c r="AGN154" s="1"/>
      <c r="AGO154" s="1"/>
      <c r="AGP154" s="1"/>
      <c r="AGQ154" s="1"/>
      <c r="AGR154" s="1"/>
      <c r="AGS154" s="1"/>
      <c r="AGT154" s="1"/>
      <c r="AGU154" s="1"/>
      <c r="AGV154" s="1"/>
      <c r="AGW154" s="1"/>
      <c r="AGX154" s="1"/>
      <c r="AGY154" s="1"/>
      <c r="AGZ154" s="1"/>
      <c r="AHA154" s="1"/>
      <c r="AHB154" s="1"/>
      <c r="AHC154" s="1"/>
      <c r="AHD154" s="1"/>
      <c r="AHE154" s="1"/>
      <c r="AHF154" s="1"/>
      <c r="AHG154" s="1"/>
      <c r="AHH154" s="1"/>
      <c r="AHI154" s="1"/>
      <c r="AHJ154" s="1"/>
      <c r="AHK154" s="1"/>
      <c r="AHL154" s="1"/>
      <c r="AHM154" s="1"/>
      <c r="AHN154" s="1"/>
      <c r="AHO154" s="1"/>
      <c r="AHP154" s="1"/>
      <c r="AHQ154" s="1"/>
      <c r="AHR154" s="1"/>
      <c r="AHS154" s="1"/>
      <c r="AHT154" s="1"/>
      <c r="AHU154" s="1"/>
      <c r="AHV154" s="1"/>
      <c r="AHW154" s="1"/>
      <c r="AHX154" s="1"/>
      <c r="AHY154" s="1"/>
      <c r="AHZ154" s="1"/>
      <c r="AIA154" s="1"/>
      <c r="AIB154" s="1"/>
      <c r="AIC154" s="1"/>
      <c r="AID154" s="1"/>
      <c r="AIE154" s="1"/>
      <c r="AIF154" s="1"/>
      <c r="AIG154" s="1"/>
      <c r="AIH154" s="1"/>
      <c r="AII154" s="1"/>
      <c r="AIJ154" s="1"/>
      <c r="AIK154" s="1"/>
      <c r="AIL154" s="1"/>
      <c r="AIM154" s="1"/>
      <c r="AIN154" s="1"/>
      <c r="AIO154" s="1"/>
      <c r="AIP154" s="1"/>
      <c r="AIQ154" s="1"/>
      <c r="AIR154" s="1"/>
      <c r="AIS154" s="1"/>
      <c r="AIT154" s="1"/>
      <c r="AIU154" s="1"/>
      <c r="AIV154" s="1"/>
      <c r="AIW154" s="1"/>
      <c r="AIX154" s="1"/>
      <c r="AIY154" s="1"/>
      <c r="AIZ154" s="1"/>
      <c r="AJA154" s="1"/>
      <c r="AJB154" s="1"/>
      <c r="AJC154" s="1"/>
      <c r="AJD154" s="1"/>
      <c r="AJE154" s="1"/>
      <c r="AJF154" s="1"/>
      <c r="AJG154" s="1"/>
      <c r="AJH154" s="1"/>
      <c r="AJI154" s="1"/>
      <c r="AJJ154" s="1"/>
      <c r="AJK154" s="1"/>
      <c r="AJL154" s="1"/>
      <c r="AJM154" s="1"/>
      <c r="AJN154" s="1"/>
      <c r="AJO154" s="1"/>
      <c r="AJP154" s="1"/>
      <c r="AJQ154" s="1"/>
      <c r="AJR154" s="1"/>
      <c r="AJS154" s="1"/>
      <c r="AJT154" s="1"/>
      <c r="AJU154" s="1"/>
      <c r="AJV154" s="1"/>
      <c r="AJW154" s="1"/>
      <c r="AJX154" s="1"/>
      <c r="AJY154" s="1"/>
      <c r="AJZ154" s="1"/>
      <c r="AKA154" s="1"/>
      <c r="AKB154" s="1"/>
      <c r="AKC154" s="1"/>
      <c r="AKD154" s="1"/>
      <c r="AKE154" s="1"/>
      <c r="AKF154" s="1"/>
      <c r="AKG154" s="1"/>
      <c r="AKH154" s="1"/>
      <c r="AKI154" s="1"/>
      <c r="AKJ154" s="1"/>
      <c r="AKK154" s="1"/>
      <c r="AKL154" s="1"/>
      <c r="AKM154" s="1"/>
      <c r="AKN154" s="1"/>
      <c r="AKO154" s="1"/>
      <c r="AKP154" s="1"/>
      <c r="AKQ154" s="1"/>
      <c r="AKR154" s="1"/>
      <c r="AKS154" s="1"/>
      <c r="AKT154" s="1"/>
      <c r="AKU154" s="1"/>
      <c r="AKV154" s="1"/>
      <c r="AKW154" s="1"/>
      <c r="AKX154" s="1"/>
      <c r="AKY154" s="1"/>
      <c r="AKZ154" s="1"/>
      <c r="ALA154" s="1"/>
      <c r="ALB154" s="1"/>
      <c r="ALC154" s="1"/>
      <c r="ALD154" s="1"/>
      <c r="ALE154" s="1"/>
      <c r="ALF154" s="1"/>
      <c r="ALG154" s="1"/>
      <c r="ALH154" s="1"/>
      <c r="ALI154" s="1"/>
      <c r="ALJ154" s="1"/>
      <c r="ALK154" s="1"/>
      <c r="ALL154" s="1"/>
      <c r="ALM154" s="1"/>
      <c r="ALN154" s="1"/>
      <c r="ALO154" s="1"/>
      <c r="ALP154" s="1"/>
      <c r="ALQ154" s="1"/>
      <c r="ALR154" s="1"/>
      <c r="ALS154" s="1"/>
      <c r="ALT154" s="1"/>
      <c r="ALU154" s="1"/>
      <c r="ALV154" s="1"/>
      <c r="ALW154" s="1"/>
      <c r="ALX154" s="1"/>
      <c r="ALY154" s="1"/>
      <c r="ALZ154" s="1"/>
      <c r="AMA154" s="1"/>
      <c r="AMB154" s="1"/>
      <c r="AMC154" s="1"/>
      <c r="AMD154" s="1"/>
      <c r="AME154" s="1"/>
      <c r="AMF154" s="1"/>
      <c r="AMG154" s="1"/>
      <c r="AMH154" s="1"/>
      <c r="AMI154" s="1"/>
      <c r="AMJ154" s="1"/>
      <c r="AMK154" s="1"/>
      <c r="AML154" s="1"/>
      <c r="AMM154" s="1"/>
      <c r="AMN154" s="1"/>
      <c r="AMO154" s="1"/>
    </row>
    <row r="155" spans="1:1030" x14ac:dyDescent="0.2">
      <c r="A155" s="3" t="str">
        <f>CONCATENATE(B155,"_",C155)</f>
        <v>drd2_human_6CM4</v>
      </c>
      <c r="B155" s="3" t="s">
        <v>191</v>
      </c>
      <c r="C155" s="3" t="s">
        <v>1489</v>
      </c>
      <c r="D155" s="3" t="str">
        <f>IFERROR(MID(VLOOKUP($B155,Seqs!$A:$B,2,0),E155,1),"")</f>
        <v>N</v>
      </c>
      <c r="E155" s="3">
        <v>35</v>
      </c>
      <c r="F155" s="3" t="str">
        <f>IFERROR(MID(VLOOKUP($B155,Seqs!$A:$B,2,0),G155,1),"")</f>
        <v>E</v>
      </c>
      <c r="G155" s="3">
        <v>62</v>
      </c>
      <c r="H155" s="3" t="str">
        <f>IFERROR(MID(VLOOKUP($B155,Seqs!$A:$B,2,0),I155,1),"")</f>
        <v>K</v>
      </c>
      <c r="I155" s="23">
        <v>63</v>
      </c>
      <c r="J155" s="3" t="str">
        <f>IFERROR(MID(VLOOKUP($B155,Seqs!$A:$B,2,0),K155,1),"")</f>
        <v>Q</v>
      </c>
      <c r="K155" s="23">
        <v>66</v>
      </c>
      <c r="L155" s="3" t="str">
        <f>IFERROR(MID(VLOOKUP($B155,Seqs!$A:$B,2,0),M155,1),"")</f>
        <v>T</v>
      </c>
      <c r="M155" s="3">
        <v>67</v>
      </c>
      <c r="N155" s="3" t="str">
        <f>IFERROR(MID(VLOOKUP($B155,Seqs!$A:$B,2,0),O155,1),"")</f>
        <v>G</v>
      </c>
      <c r="O155" s="3">
        <v>98</v>
      </c>
      <c r="P155" s="3" t="str">
        <f>IFERROR(MID(VLOOKUP($B155,Seqs!$A:$B,2,0),Q155,1),"")</f>
        <v>E</v>
      </c>
      <c r="Q155" s="3">
        <v>99</v>
      </c>
      <c r="R155" s="3" t="str">
        <f>IFERROR(MID(VLOOKUP($B155,Seqs!$A:$B,2,0),S155,1),"")</f>
        <v>F</v>
      </c>
      <c r="S155" s="3">
        <v>102</v>
      </c>
      <c r="T155" s="3" t="str">
        <f>IFERROR(MID(VLOOKUP($B155,Seqs!$A:$B,2,0),U155,1),"")</f>
        <v>S</v>
      </c>
      <c r="U155" s="3">
        <v>103</v>
      </c>
      <c r="V155" s="3" t="str">
        <f>IFERROR(MID(VLOOKUP($B155,Seqs!$A:$B,2,0),W155,1),"")</f>
        <v>M</v>
      </c>
      <c r="W155" s="3">
        <v>138</v>
      </c>
      <c r="X155" s="3" t="str">
        <f>IFERROR(MID(VLOOKUP($B155,Seqs!$A:$B,2,0),Y155,1),"")</f>
        <v/>
      </c>
      <c r="Y155" s="3" t="s">
        <v>23</v>
      </c>
      <c r="Z155" s="3" t="str">
        <f>IFERROR(MID(VLOOKUP($B155,Seqs!$A:$B,2,0),AA155,1),"")</f>
        <v/>
      </c>
      <c r="AA155" s="3" t="s">
        <v>23</v>
      </c>
      <c r="AB155" s="3" t="str">
        <f>IFERROR(MID(VLOOKUP($B155,Seqs!$A:$B,2,0),AC155,1),"")</f>
        <v>Y</v>
      </c>
      <c r="AC155" s="3">
        <v>146</v>
      </c>
      <c r="AD155" s="3" t="str">
        <f>IFERROR(MID(VLOOKUP($B155,Seqs!$A:$B,2,0),AE155,1),"")</f>
        <v>F</v>
      </c>
      <c r="AE155" s="3">
        <v>172</v>
      </c>
      <c r="AF155" s="3" t="str">
        <f>IFERROR(MID(VLOOKUP($B155,Seqs!$A:$B,2,0),AG155,1),"")</f>
        <v>C</v>
      </c>
      <c r="AG155" s="3">
        <v>182</v>
      </c>
      <c r="AH155" s="3" t="str">
        <f>IFERROR(MID(VLOOKUP($B155,Seqs!$A:$B,2,0),AI155,1),"")</f>
        <v>I</v>
      </c>
      <c r="AI155" s="3">
        <v>184</v>
      </c>
      <c r="AJ155" s="3" t="str">
        <f>IFERROR(MID(VLOOKUP($B155,Seqs!$A:$B,2,0),AK155,1),"")</f>
        <v>A</v>
      </c>
      <c r="AK155" s="3">
        <v>188</v>
      </c>
      <c r="AL155" s="3" t="str">
        <f>IFERROR(MID(VLOOKUP($B155,Seqs!$A:$B,2,0),AM155,1),"")</f>
        <v>R</v>
      </c>
      <c r="AM155" s="3">
        <v>222</v>
      </c>
      <c r="AN155" s="3" t="str">
        <f>IFERROR(MID(VLOOKUP($B155,Seqs!$A:$B,2,0),AO155,1),"")</f>
        <v>E</v>
      </c>
      <c r="AO155" s="3">
        <v>368</v>
      </c>
      <c r="AP155" s="3" t="str">
        <f>IFERROR(MID(VLOOKUP($B155,Seqs!$A:$B,2,0),AQ155,1),"")</f>
        <v>C</v>
      </c>
      <c r="AQ155" s="3">
        <v>399</v>
      </c>
      <c r="AR155" s="3" t="str">
        <f>IFERROR(MID(VLOOKUP($B155,Seqs!$A:$B,2,0),AS155,1),"")</f>
        <v>P</v>
      </c>
      <c r="AS155" s="3">
        <v>404</v>
      </c>
      <c r="AT155" s="3" t="str">
        <f>IFERROR(MID(VLOOKUP($B155,Seqs!$A:$B,2,0),AU155,1),"")</f>
        <v>F</v>
      </c>
      <c r="AU155" s="3">
        <v>429</v>
      </c>
      <c r="AV155" s="3" t="str">
        <f>IFERROR(MID(VLOOKUP($B155,Seqs!$A:$B,2,0),AW155,1),"")</f>
        <v>N</v>
      </c>
      <c r="AW155" s="3">
        <v>430</v>
      </c>
      <c r="AX155" s="3" t="str">
        <f>IFERROR(MID(VLOOKUP($B155,Seqs!$A:$B,2,0),AY155,1),"")</f>
        <v>H</v>
      </c>
      <c r="AY155" s="3">
        <v>442</v>
      </c>
      <c r="AZ155" s="77" t="str">
        <f>VLOOKUP(B155,Classification!A:D,2,0)</f>
        <v>A</v>
      </c>
      <c r="BA155" s="94" t="str">
        <f>VLOOKUP(B155,Classification!A:D,4,0)</f>
        <v>Dopamine</v>
      </c>
      <c r="BB155" s="27" t="b">
        <f>AND(E155&lt;G155,OR(G155&lt;I155,I155="-"),OR(I155&lt;K155,I155="-"),OR(K155&lt;M155,K155="-"),M155&lt;O155,OR(O155&lt;Q155,Q155="-"),OR(Q155&lt;S155,Q155="-"),OR(S155&lt;U155,S155="-"),U155&lt;W155,OR(W155&lt;Y155,Y155="-"),OR(Y155&lt;AA155,Y155="-"),OR(AA155&lt;AC155,AA155="-"),AC155&lt;AE155,OR(AE155&lt;AG155,AG155="-"),OR(AG155&lt;AI155,AG155="-"),OR(AI155&lt;AK155,AI155="-"),AK155&lt;AM155,AM155&lt;AO155,AO155&lt;AQ155,AQ155&lt;AS155,AS155&lt;AU155,OR(AU155&lt;AW155,AW155="-"),OR(AW155&lt;AY155,AW155="-"))</f>
        <v>1</v>
      </c>
      <c r="BC155" s="23">
        <f>_xlfn.AGGREGATE(9,6,CH155:CS155)-_xlfn.AGGREGATE(9,6,BV155:CG155)+12</f>
        <v>241</v>
      </c>
      <c r="BD155" s="56" t="s">
        <v>1383</v>
      </c>
      <c r="BE155" s="3" t="s">
        <v>1381</v>
      </c>
      <c r="BF155" s="119">
        <v>2.87</v>
      </c>
      <c r="BG155" s="49" t="s">
        <v>1</v>
      </c>
      <c r="BH155" s="49" t="s">
        <v>1</v>
      </c>
      <c r="BI155" s="1"/>
      <c r="BJ155" s="70" t="s">
        <v>1293</v>
      </c>
      <c r="BK155" s="57" t="s">
        <v>1293</v>
      </c>
      <c r="BL155" s="57" t="s">
        <v>1293</v>
      </c>
      <c r="BM155" s="57" t="s">
        <v>1293</v>
      </c>
      <c r="BN155" s="57" t="s">
        <v>1293</v>
      </c>
      <c r="BO155" s="57" t="s">
        <v>1293</v>
      </c>
      <c r="BP155" s="57" t="s">
        <v>1293</v>
      </c>
      <c r="BQ155" s="57" t="s">
        <v>1293</v>
      </c>
      <c r="BR155" s="57" t="s">
        <v>1293</v>
      </c>
      <c r="BS155" s="57" t="s">
        <v>1293</v>
      </c>
      <c r="BT155" s="57" t="s">
        <v>1293</v>
      </c>
      <c r="BU155" s="57" t="s">
        <v>1293</v>
      </c>
      <c r="BV155" s="70">
        <f>E155</f>
        <v>35</v>
      </c>
      <c r="BW155" s="71">
        <f>I155</f>
        <v>63</v>
      </c>
      <c r="BX155" s="72">
        <f>M155</f>
        <v>67</v>
      </c>
      <c r="BY155" s="71">
        <f>Q155</f>
        <v>99</v>
      </c>
      <c r="BZ155" s="72">
        <f>U155</f>
        <v>103</v>
      </c>
      <c r="CA155" s="71" t="str">
        <f>Y155</f>
        <v>-</v>
      </c>
      <c r="CB155" s="72">
        <f>AC155</f>
        <v>146</v>
      </c>
      <c r="CC155" s="71">
        <f>AG155</f>
        <v>182</v>
      </c>
      <c r="CD155" s="72">
        <f>AK155</f>
        <v>188</v>
      </c>
      <c r="CE155" s="71">
        <f>AO155</f>
        <v>368</v>
      </c>
      <c r="CF155" s="72">
        <f>AS155</f>
        <v>404</v>
      </c>
      <c r="CG155" s="71">
        <f>AW155</f>
        <v>430</v>
      </c>
      <c r="CH155" s="70">
        <f>G155</f>
        <v>62</v>
      </c>
      <c r="CI155" s="71">
        <f>K155</f>
        <v>66</v>
      </c>
      <c r="CJ155" s="72">
        <f>O155</f>
        <v>98</v>
      </c>
      <c r="CK155" s="72">
        <f>S155</f>
        <v>102</v>
      </c>
      <c r="CL155" s="72">
        <f>W155</f>
        <v>138</v>
      </c>
      <c r="CM155" s="72" t="str">
        <f>AA155</f>
        <v>-</v>
      </c>
      <c r="CN155" s="72">
        <f>AE155</f>
        <v>172</v>
      </c>
      <c r="CO155" s="72">
        <f>AI155</f>
        <v>184</v>
      </c>
      <c r="CP155" s="72">
        <f>AM155</f>
        <v>222</v>
      </c>
      <c r="CQ155" s="72">
        <f>AQ155</f>
        <v>399</v>
      </c>
      <c r="CR155" s="72">
        <f>AU155</f>
        <v>429</v>
      </c>
      <c r="CS155" s="72">
        <f>AY155</f>
        <v>442</v>
      </c>
      <c r="CT155" s="23">
        <f>M155-K155</f>
        <v>1</v>
      </c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  <c r="OK155" s="1"/>
      <c r="OL155" s="1"/>
      <c r="OM155" s="1"/>
      <c r="ON155" s="1"/>
      <c r="OO155" s="1"/>
      <c r="OP155" s="1"/>
      <c r="OQ155" s="1"/>
      <c r="OR155" s="1"/>
      <c r="OS155" s="1"/>
      <c r="OT155" s="1"/>
      <c r="OU155" s="1"/>
      <c r="OV155" s="1"/>
      <c r="OW155" s="1"/>
      <c r="OX155" s="1"/>
      <c r="OY155" s="1"/>
      <c r="OZ155" s="1"/>
      <c r="PA155" s="1"/>
      <c r="PB155" s="1"/>
      <c r="PC155" s="1"/>
      <c r="PD155" s="1"/>
      <c r="PE155" s="1"/>
      <c r="PF155" s="1"/>
      <c r="PG155" s="1"/>
      <c r="PH155" s="1"/>
      <c r="PI155" s="1"/>
      <c r="PJ155" s="1"/>
      <c r="PK155" s="1"/>
      <c r="PL155" s="1"/>
      <c r="PM155" s="1"/>
      <c r="PN155" s="1"/>
      <c r="PO155" s="1"/>
      <c r="PP155" s="1"/>
      <c r="PQ155" s="1"/>
      <c r="PR155" s="1"/>
      <c r="PS155" s="1"/>
      <c r="PT155" s="1"/>
      <c r="PU155" s="1"/>
      <c r="PV155" s="1"/>
      <c r="PW155" s="1"/>
      <c r="PX155" s="1"/>
      <c r="PY155" s="1"/>
      <c r="PZ155" s="1"/>
      <c r="QA155" s="1"/>
      <c r="QB155" s="1"/>
      <c r="QC155" s="1"/>
      <c r="QD155" s="1"/>
      <c r="QE155" s="1"/>
      <c r="QF155" s="1"/>
      <c r="QG155" s="1"/>
      <c r="QH155" s="1"/>
      <c r="QI155" s="1"/>
      <c r="QJ155" s="1"/>
      <c r="QK155" s="1"/>
      <c r="QL155" s="1"/>
      <c r="QM155" s="1"/>
      <c r="QN155" s="1"/>
      <c r="QO155" s="1"/>
      <c r="QP155" s="1"/>
      <c r="QQ155" s="1"/>
      <c r="QR155" s="1"/>
      <c r="QS155" s="1"/>
      <c r="QT155" s="1"/>
      <c r="QU155" s="1"/>
      <c r="QV155" s="1"/>
      <c r="QW155" s="1"/>
      <c r="QX155" s="1"/>
      <c r="QY155" s="1"/>
      <c r="QZ155" s="1"/>
      <c r="RA155" s="1"/>
      <c r="RB155" s="1"/>
      <c r="RC155" s="1"/>
      <c r="RD155" s="1"/>
      <c r="RE155" s="1"/>
      <c r="RF155" s="1"/>
      <c r="RG155" s="1"/>
      <c r="RH155" s="1"/>
      <c r="RI155" s="1"/>
      <c r="RJ155" s="1"/>
      <c r="RK155" s="1"/>
      <c r="RL155" s="1"/>
      <c r="RM155" s="1"/>
      <c r="RN155" s="1"/>
      <c r="RO155" s="1"/>
      <c r="RP155" s="1"/>
      <c r="RQ155" s="1"/>
      <c r="RR155" s="1"/>
      <c r="RS155" s="1"/>
      <c r="RT155" s="1"/>
      <c r="RU155" s="1"/>
      <c r="RV155" s="1"/>
      <c r="RW155" s="1"/>
      <c r="RX155" s="1"/>
      <c r="RY155" s="1"/>
      <c r="RZ155" s="1"/>
      <c r="SA155" s="1"/>
      <c r="SB155" s="1"/>
      <c r="SC155" s="1"/>
      <c r="SD155" s="1"/>
      <c r="SE155" s="1"/>
      <c r="SF155" s="1"/>
      <c r="SG155" s="1"/>
      <c r="SH155" s="1"/>
      <c r="SI155" s="1"/>
      <c r="SJ155" s="1"/>
      <c r="SK155" s="1"/>
      <c r="SL155" s="1"/>
      <c r="SM155" s="1"/>
      <c r="SN155" s="1"/>
      <c r="SO155" s="1"/>
      <c r="SP155" s="1"/>
      <c r="SQ155" s="1"/>
      <c r="SR155" s="1"/>
      <c r="SS155" s="1"/>
      <c r="ST155" s="1"/>
      <c r="SU155" s="1"/>
      <c r="SV155" s="1"/>
      <c r="SW155" s="1"/>
      <c r="SX155" s="1"/>
      <c r="SY155" s="1"/>
      <c r="SZ155" s="1"/>
      <c r="TA155" s="1"/>
      <c r="TB155" s="1"/>
      <c r="TC155" s="1"/>
      <c r="TD155" s="1"/>
      <c r="TE155" s="1"/>
      <c r="TF155" s="1"/>
      <c r="TG155" s="1"/>
      <c r="TH155" s="1"/>
      <c r="TI155" s="1"/>
      <c r="TJ155" s="1"/>
      <c r="TK155" s="1"/>
      <c r="TL155" s="1"/>
      <c r="TM155" s="1"/>
      <c r="TN155" s="1"/>
      <c r="TO155" s="1"/>
      <c r="TP155" s="1"/>
      <c r="TQ155" s="1"/>
      <c r="TR155" s="1"/>
      <c r="TS155" s="1"/>
      <c r="TT155" s="1"/>
      <c r="TU155" s="1"/>
      <c r="TV155" s="1"/>
      <c r="TW155" s="1"/>
      <c r="TX155" s="1"/>
      <c r="TY155" s="1"/>
      <c r="TZ155" s="1"/>
      <c r="UA155" s="1"/>
      <c r="UB155" s="1"/>
      <c r="UC155" s="1"/>
      <c r="UD155" s="1"/>
      <c r="UE155" s="1"/>
      <c r="UF155" s="1"/>
      <c r="UG155" s="1"/>
      <c r="UH155" s="1"/>
      <c r="UI155" s="1"/>
      <c r="UJ155" s="1"/>
      <c r="UK155" s="1"/>
      <c r="UL155" s="1"/>
      <c r="UM155" s="1"/>
      <c r="UN155" s="1"/>
      <c r="UO155" s="1"/>
      <c r="UP155" s="1"/>
      <c r="UQ155" s="1"/>
      <c r="UR155" s="1"/>
      <c r="US155" s="1"/>
      <c r="UT155" s="1"/>
      <c r="UU155" s="1"/>
      <c r="UV155" s="1"/>
      <c r="UW155" s="1"/>
      <c r="UX155" s="1"/>
      <c r="UY155" s="1"/>
      <c r="UZ155" s="1"/>
      <c r="VA155" s="1"/>
      <c r="VB155" s="1"/>
      <c r="VC155" s="1"/>
      <c r="VD155" s="1"/>
      <c r="VE155" s="1"/>
      <c r="VF155" s="1"/>
      <c r="VG155" s="1"/>
      <c r="VH155" s="1"/>
      <c r="VI155" s="1"/>
      <c r="VJ155" s="1"/>
      <c r="VK155" s="1"/>
      <c r="VL155" s="1"/>
      <c r="VM155" s="1"/>
      <c r="VN155" s="1"/>
      <c r="VO155" s="1"/>
      <c r="VP155" s="1"/>
      <c r="VQ155" s="1"/>
      <c r="VR155" s="1"/>
      <c r="VS155" s="1"/>
      <c r="VT155" s="1"/>
      <c r="VU155" s="1"/>
      <c r="VV155" s="1"/>
      <c r="VW155" s="1"/>
      <c r="VX155" s="1"/>
      <c r="VY155" s="1"/>
      <c r="VZ155" s="1"/>
      <c r="WA155" s="1"/>
      <c r="WB155" s="1"/>
      <c r="WC155" s="1"/>
      <c r="WD155" s="1"/>
      <c r="WE155" s="1"/>
      <c r="WF155" s="1"/>
      <c r="WG155" s="1"/>
      <c r="WH155" s="1"/>
      <c r="WI155" s="1"/>
      <c r="WJ155" s="1"/>
      <c r="WK155" s="1"/>
      <c r="WL155" s="1"/>
      <c r="WM155" s="1"/>
      <c r="WN155" s="1"/>
      <c r="WO155" s="1"/>
      <c r="WP155" s="1"/>
      <c r="WQ155" s="1"/>
      <c r="WR155" s="1"/>
      <c r="WS155" s="1"/>
      <c r="WT155" s="1"/>
      <c r="WU155" s="1"/>
      <c r="WV155" s="1"/>
      <c r="WW155" s="1"/>
      <c r="WX155" s="1"/>
      <c r="WY155" s="1"/>
      <c r="WZ155" s="1"/>
      <c r="XA155" s="1"/>
      <c r="XB155" s="1"/>
      <c r="XC155" s="1"/>
      <c r="XD155" s="1"/>
      <c r="XE155" s="1"/>
      <c r="XF155" s="1"/>
      <c r="XG155" s="1"/>
      <c r="XH155" s="1"/>
      <c r="XI155" s="1"/>
      <c r="XJ155" s="1"/>
      <c r="XK155" s="1"/>
      <c r="XL155" s="1"/>
      <c r="XM155" s="1"/>
      <c r="XN155" s="1"/>
      <c r="XO155" s="1"/>
      <c r="XP155" s="1"/>
      <c r="XQ155" s="1"/>
      <c r="XR155" s="1"/>
      <c r="XS155" s="1"/>
      <c r="XT155" s="1"/>
      <c r="XU155" s="1"/>
      <c r="XV155" s="1"/>
      <c r="XW155" s="1"/>
      <c r="XX155" s="1"/>
      <c r="XY155" s="1"/>
      <c r="XZ155" s="1"/>
      <c r="YA155" s="1"/>
      <c r="YB155" s="1"/>
      <c r="YC155" s="1"/>
      <c r="YD155" s="1"/>
      <c r="YE155" s="1"/>
      <c r="YF155" s="1"/>
      <c r="YG155" s="1"/>
      <c r="YH155" s="1"/>
      <c r="YI155" s="1"/>
      <c r="YJ155" s="1"/>
      <c r="YK155" s="1"/>
      <c r="YL155" s="1"/>
      <c r="YM155" s="1"/>
      <c r="YN155" s="1"/>
      <c r="YO155" s="1"/>
      <c r="YP155" s="1"/>
      <c r="YQ155" s="1"/>
      <c r="YR155" s="1"/>
      <c r="YS155" s="1"/>
      <c r="YT155" s="1"/>
      <c r="YU155" s="1"/>
      <c r="YV155" s="1"/>
      <c r="YW155" s="1"/>
      <c r="YX155" s="1"/>
      <c r="YY155" s="1"/>
      <c r="YZ155" s="1"/>
      <c r="ZA155" s="1"/>
      <c r="ZB155" s="1"/>
      <c r="ZC155" s="1"/>
      <c r="ZD155" s="1"/>
      <c r="ZE155" s="1"/>
      <c r="ZF155" s="1"/>
      <c r="ZG155" s="1"/>
      <c r="ZH155" s="1"/>
      <c r="ZI155" s="1"/>
      <c r="ZJ155" s="1"/>
      <c r="ZK155" s="1"/>
      <c r="ZL155" s="1"/>
      <c r="ZM155" s="1"/>
      <c r="ZN155" s="1"/>
      <c r="ZO155" s="1"/>
      <c r="ZP155" s="1"/>
      <c r="ZQ155" s="1"/>
      <c r="ZR155" s="1"/>
      <c r="ZS155" s="1"/>
      <c r="ZT155" s="1"/>
      <c r="ZU155" s="1"/>
      <c r="ZV155" s="1"/>
      <c r="ZW155" s="1"/>
      <c r="ZX155" s="1"/>
      <c r="ZY155" s="1"/>
      <c r="ZZ155" s="1"/>
      <c r="AAA155" s="1"/>
      <c r="AAB155" s="1"/>
      <c r="AAC155" s="1"/>
      <c r="AAD155" s="1"/>
      <c r="AAE155" s="1"/>
      <c r="AAF155" s="1"/>
      <c r="AAG155" s="1"/>
      <c r="AAH155" s="1"/>
      <c r="AAI155" s="1"/>
      <c r="AAJ155" s="1"/>
      <c r="AAK155" s="1"/>
      <c r="AAL155" s="1"/>
      <c r="AAM155" s="1"/>
      <c r="AAN155" s="1"/>
      <c r="AAO155" s="1"/>
      <c r="AAP155" s="1"/>
      <c r="AAQ155" s="1"/>
      <c r="AAR155" s="1"/>
      <c r="AAS155" s="1"/>
      <c r="AAT155" s="1"/>
      <c r="AAU155" s="1"/>
      <c r="AAV155" s="1"/>
      <c r="AAW155" s="1"/>
      <c r="AAX155" s="1"/>
      <c r="AAY155" s="1"/>
      <c r="AAZ155" s="1"/>
      <c r="ABA155" s="1"/>
      <c r="ABB155" s="1"/>
      <c r="ABC155" s="1"/>
      <c r="ABD155" s="1"/>
      <c r="ABE155" s="1"/>
      <c r="ABF155" s="1"/>
      <c r="ABG155" s="1"/>
      <c r="ABH155" s="1"/>
      <c r="ABI155" s="1"/>
      <c r="ABJ155" s="1"/>
      <c r="ABK155" s="1"/>
      <c r="ABL155" s="1"/>
      <c r="ABM155" s="1"/>
      <c r="ABN155" s="1"/>
      <c r="ABO155" s="1"/>
      <c r="ABP155" s="1"/>
      <c r="ABQ155" s="1"/>
      <c r="ABR155" s="1"/>
      <c r="ABS155" s="1"/>
      <c r="ABT155" s="1"/>
      <c r="ABU155" s="1"/>
      <c r="ABV155" s="1"/>
      <c r="ABW155" s="1"/>
      <c r="ABX155" s="1"/>
      <c r="ABY155" s="1"/>
      <c r="ABZ155" s="1"/>
      <c r="ACA155" s="1"/>
      <c r="ACB155" s="1"/>
      <c r="ACC155" s="1"/>
      <c r="ACD155" s="1"/>
      <c r="ACE155" s="1"/>
      <c r="ACF155" s="1"/>
      <c r="ACG155" s="1"/>
      <c r="ACH155" s="1"/>
      <c r="ACI155" s="1"/>
      <c r="ACJ155" s="1"/>
      <c r="ACK155" s="1"/>
      <c r="ACL155" s="1"/>
      <c r="ACM155" s="1"/>
      <c r="ACN155" s="1"/>
      <c r="ACO155" s="1"/>
      <c r="ACP155" s="1"/>
      <c r="ACQ155" s="1"/>
      <c r="ACR155" s="1"/>
      <c r="ACS155" s="1"/>
      <c r="ACT155" s="1"/>
      <c r="ACU155" s="1"/>
      <c r="ACV155" s="1"/>
      <c r="ACW155" s="1"/>
      <c r="ACX155" s="1"/>
      <c r="ACY155" s="1"/>
      <c r="ACZ155" s="1"/>
      <c r="ADA155" s="1"/>
      <c r="ADB155" s="1"/>
      <c r="ADC155" s="1"/>
      <c r="ADD155" s="1"/>
      <c r="ADE155" s="1"/>
      <c r="ADF155" s="1"/>
      <c r="ADG155" s="1"/>
      <c r="ADH155" s="1"/>
      <c r="ADI155" s="1"/>
      <c r="ADJ155" s="1"/>
      <c r="ADK155" s="1"/>
      <c r="ADL155" s="1"/>
      <c r="ADM155" s="1"/>
      <c r="ADN155" s="1"/>
      <c r="ADO155" s="1"/>
      <c r="ADP155" s="1"/>
      <c r="ADQ155" s="1"/>
      <c r="ADR155" s="1"/>
      <c r="ADS155" s="1"/>
      <c r="ADT155" s="1"/>
      <c r="ADU155" s="1"/>
      <c r="ADV155" s="1"/>
      <c r="ADW155" s="1"/>
      <c r="ADX155" s="1"/>
      <c r="ADY155" s="1"/>
      <c r="ADZ155" s="1"/>
      <c r="AEA155" s="1"/>
      <c r="AEB155" s="1"/>
      <c r="AEC155" s="1"/>
      <c r="AED155" s="1"/>
      <c r="AEE155" s="1"/>
      <c r="AEF155" s="1"/>
      <c r="AEG155" s="1"/>
      <c r="AEH155" s="1"/>
      <c r="AEI155" s="1"/>
      <c r="AEJ155" s="1"/>
      <c r="AEK155" s="1"/>
      <c r="AEL155" s="1"/>
      <c r="AEM155" s="1"/>
      <c r="AEN155" s="1"/>
      <c r="AEO155" s="1"/>
      <c r="AEP155" s="1"/>
      <c r="AEQ155" s="1"/>
      <c r="AER155" s="1"/>
      <c r="AES155" s="1"/>
      <c r="AET155" s="1"/>
      <c r="AEU155" s="1"/>
      <c r="AEV155" s="1"/>
      <c r="AEW155" s="1"/>
      <c r="AEX155" s="1"/>
      <c r="AEY155" s="1"/>
      <c r="AEZ155" s="1"/>
      <c r="AFA155" s="1"/>
      <c r="AFB155" s="1"/>
      <c r="AFC155" s="1"/>
      <c r="AFD155" s="1"/>
      <c r="AFE155" s="1"/>
      <c r="AFF155" s="1"/>
      <c r="AFG155" s="1"/>
      <c r="AFH155" s="1"/>
      <c r="AFI155" s="1"/>
      <c r="AFJ155" s="1"/>
      <c r="AFK155" s="1"/>
      <c r="AFL155" s="1"/>
      <c r="AFM155" s="1"/>
      <c r="AFN155" s="1"/>
      <c r="AFO155" s="1"/>
      <c r="AFP155" s="1"/>
      <c r="AFQ155" s="1"/>
      <c r="AFR155" s="1"/>
      <c r="AFS155" s="1"/>
      <c r="AFT155" s="1"/>
      <c r="AFU155" s="1"/>
      <c r="AFV155" s="1"/>
      <c r="AFW155" s="1"/>
      <c r="AFX155" s="1"/>
      <c r="AFY155" s="1"/>
      <c r="AFZ155" s="1"/>
      <c r="AGA155" s="1"/>
      <c r="AGB155" s="1"/>
      <c r="AGC155" s="1"/>
      <c r="AGD155" s="1"/>
      <c r="AGE155" s="1"/>
      <c r="AGF155" s="1"/>
      <c r="AGG155" s="1"/>
      <c r="AGH155" s="1"/>
      <c r="AGI155" s="1"/>
      <c r="AGJ155" s="1"/>
      <c r="AGK155" s="1"/>
      <c r="AGL155" s="1"/>
      <c r="AGM155" s="1"/>
      <c r="AGN155" s="1"/>
      <c r="AGO155" s="1"/>
      <c r="AGP155" s="1"/>
      <c r="AGQ155" s="1"/>
      <c r="AGR155" s="1"/>
      <c r="AGS155" s="1"/>
      <c r="AGT155" s="1"/>
      <c r="AGU155" s="1"/>
      <c r="AGV155" s="1"/>
      <c r="AGW155" s="1"/>
      <c r="AGX155" s="1"/>
      <c r="AGY155" s="1"/>
      <c r="AGZ155" s="1"/>
      <c r="AHA155" s="1"/>
      <c r="AHB155" s="1"/>
      <c r="AHC155" s="1"/>
      <c r="AHD155" s="1"/>
      <c r="AHE155" s="1"/>
      <c r="AHF155" s="1"/>
      <c r="AHG155" s="1"/>
      <c r="AHH155" s="1"/>
      <c r="AHI155" s="1"/>
      <c r="AHJ155" s="1"/>
      <c r="AHK155" s="1"/>
      <c r="AHL155" s="1"/>
      <c r="AHM155" s="1"/>
      <c r="AHN155" s="1"/>
      <c r="AHO155" s="1"/>
      <c r="AHP155" s="1"/>
      <c r="AHQ155" s="1"/>
      <c r="AHR155" s="1"/>
      <c r="AHS155" s="1"/>
      <c r="AHT155" s="1"/>
      <c r="AHU155" s="1"/>
      <c r="AHV155" s="1"/>
      <c r="AHW155" s="1"/>
      <c r="AHX155" s="1"/>
      <c r="AHY155" s="1"/>
      <c r="AHZ155" s="1"/>
      <c r="AIA155" s="1"/>
      <c r="AIB155" s="1"/>
      <c r="AIC155" s="1"/>
      <c r="AID155" s="1"/>
      <c r="AIE155" s="1"/>
      <c r="AIF155" s="1"/>
      <c r="AIG155" s="1"/>
      <c r="AIH155" s="1"/>
      <c r="AII155" s="1"/>
      <c r="AIJ155" s="1"/>
      <c r="AIK155" s="1"/>
      <c r="AIL155" s="1"/>
      <c r="AIM155" s="1"/>
      <c r="AIN155" s="1"/>
      <c r="AIO155" s="1"/>
      <c r="AIP155" s="1"/>
      <c r="AIQ155" s="1"/>
      <c r="AIR155" s="1"/>
      <c r="AIS155" s="1"/>
      <c r="AIT155" s="1"/>
      <c r="AIU155" s="1"/>
      <c r="AIV155" s="1"/>
      <c r="AIW155" s="1"/>
      <c r="AIX155" s="1"/>
      <c r="AIY155" s="1"/>
      <c r="AIZ155" s="1"/>
      <c r="AJA155" s="1"/>
      <c r="AJB155" s="1"/>
      <c r="AJC155" s="1"/>
      <c r="AJD155" s="1"/>
      <c r="AJE155" s="1"/>
      <c r="AJF155" s="1"/>
      <c r="AJG155" s="1"/>
      <c r="AJH155" s="1"/>
      <c r="AJI155" s="1"/>
      <c r="AJJ155" s="1"/>
      <c r="AJK155" s="1"/>
      <c r="AJL155" s="1"/>
      <c r="AJM155" s="1"/>
      <c r="AJN155" s="1"/>
      <c r="AJO155" s="1"/>
      <c r="AJP155" s="1"/>
      <c r="AJQ155" s="1"/>
      <c r="AJR155" s="1"/>
      <c r="AJS155" s="1"/>
      <c r="AJT155" s="1"/>
      <c r="AJU155" s="1"/>
      <c r="AJV155" s="1"/>
      <c r="AJW155" s="1"/>
      <c r="AJX155" s="1"/>
      <c r="AJY155" s="1"/>
      <c r="AJZ155" s="1"/>
      <c r="AKA155" s="1"/>
      <c r="AKB155" s="1"/>
      <c r="AKC155" s="1"/>
      <c r="AKD155" s="1"/>
      <c r="AKE155" s="1"/>
      <c r="AKF155" s="1"/>
      <c r="AKG155" s="1"/>
      <c r="AKH155" s="1"/>
      <c r="AKI155" s="1"/>
      <c r="AKJ155" s="1"/>
      <c r="AKK155" s="1"/>
      <c r="AKL155" s="1"/>
      <c r="AKM155" s="1"/>
      <c r="AKN155" s="1"/>
      <c r="AKO155" s="1"/>
      <c r="AKP155" s="1"/>
      <c r="AKQ155" s="1"/>
      <c r="AKR155" s="1"/>
      <c r="AKS155" s="1"/>
      <c r="AKT155" s="1"/>
      <c r="AKU155" s="1"/>
      <c r="AKV155" s="1"/>
      <c r="AKW155" s="1"/>
      <c r="AKX155" s="1"/>
      <c r="AKY155" s="1"/>
      <c r="AKZ155" s="1"/>
      <c r="ALA155" s="1"/>
      <c r="ALB155" s="1"/>
      <c r="ALC155" s="1"/>
      <c r="ALD155" s="1"/>
      <c r="ALE155" s="1"/>
      <c r="ALF155" s="1"/>
      <c r="ALG155" s="1"/>
      <c r="ALH155" s="1"/>
      <c r="ALI155" s="1"/>
      <c r="ALJ155" s="1"/>
      <c r="ALK155" s="1"/>
      <c r="ALL155" s="1"/>
      <c r="ALM155" s="1"/>
      <c r="ALN155" s="1"/>
      <c r="ALO155" s="1"/>
      <c r="ALP155" s="1"/>
      <c r="ALQ155" s="1"/>
      <c r="ALR155" s="1"/>
      <c r="ALS155" s="1"/>
      <c r="ALT155" s="1"/>
      <c r="ALU155" s="1"/>
      <c r="ALV155" s="1"/>
      <c r="ALW155" s="1"/>
      <c r="ALX155" s="1"/>
      <c r="ALY155" s="1"/>
      <c r="ALZ155" s="1"/>
      <c r="AMA155" s="1"/>
      <c r="AMB155" s="1"/>
      <c r="AMC155" s="1"/>
      <c r="AMD155" s="1"/>
      <c r="AME155" s="1"/>
      <c r="AMF155" s="1"/>
      <c r="AMG155" s="1"/>
      <c r="AMH155" s="1"/>
      <c r="AMI155" s="1"/>
      <c r="AMJ155" s="1"/>
      <c r="AMK155" s="1"/>
      <c r="AML155" s="1"/>
      <c r="AMM155" s="1"/>
      <c r="AMN155" s="1"/>
      <c r="AMO155" s="1"/>
    </row>
    <row r="156" spans="1:1030" x14ac:dyDescent="0.2">
      <c r="A156" s="3" t="str">
        <f t="shared" si="559"/>
        <v>drd3_human__wt</v>
      </c>
      <c r="B156" s="3" t="s">
        <v>192</v>
      </c>
      <c r="C156" s="3" t="s">
        <v>100</v>
      </c>
      <c r="D156" s="3" t="str">
        <f>IFERROR(MID(VLOOKUP($B156,Seqs!$A:$B,2,0),E156,1),"")</f>
        <v>A</v>
      </c>
      <c r="E156" s="3">
        <v>26</v>
      </c>
      <c r="F156" s="3" t="str">
        <f>IFERROR(MID(VLOOKUP($B156,Seqs!$A:$B,2,0),G156,1),"")</f>
        <v>E</v>
      </c>
      <c r="G156" s="3">
        <v>57</v>
      </c>
      <c r="H156" s="3" t="str">
        <f>IFERROR(MID(VLOOKUP($B156,Seqs!$A:$B,2,0),I156,1),"")</f>
        <v>R</v>
      </c>
      <c r="I156" s="23">
        <v>58</v>
      </c>
      <c r="J156" s="3" t="str">
        <f>IFERROR(MID(VLOOKUP($B156,Seqs!$A:$B,2,0),K156,1),"")</f>
        <v>Q</v>
      </c>
      <c r="K156" s="23">
        <v>61</v>
      </c>
      <c r="L156" s="3" t="str">
        <f>IFERROR(MID(VLOOKUP($B156,Seqs!$A:$B,2,0),M156,1),"")</f>
        <v>T</v>
      </c>
      <c r="M156" s="3">
        <v>62</v>
      </c>
      <c r="N156" s="3" t="str">
        <f>IFERROR(MID(VLOOKUP($B156,Seqs!$A:$B,2,0),O156,1),"")</f>
        <v>T</v>
      </c>
      <c r="O156" s="3">
        <v>92</v>
      </c>
      <c r="P156" s="3" t="str">
        <f>IFERROR(MID(VLOOKUP($B156,Seqs!$A:$B,2,0),Q156,1),"")</f>
        <v>V</v>
      </c>
      <c r="Q156" s="3">
        <v>95</v>
      </c>
      <c r="R156" s="3" t="str">
        <f>IFERROR(MID(VLOOKUP($B156,Seqs!$A:$B,2,0),S156,1),"")</f>
        <v>F</v>
      </c>
      <c r="S156" s="3">
        <v>98</v>
      </c>
      <c r="T156" s="3" t="str">
        <f>IFERROR(MID(VLOOKUP($B156,Seqs!$A:$B,2,0),U156,1),"")</f>
        <v>S</v>
      </c>
      <c r="U156" s="3">
        <v>99</v>
      </c>
      <c r="V156" s="3" t="str">
        <f>IFERROR(MID(VLOOKUP($B156,Seqs!$A:$B,2,0),W156,1),"")</f>
        <v>M</v>
      </c>
      <c r="W156" s="3">
        <v>134</v>
      </c>
      <c r="X156" s="3" t="str">
        <f>IFERROR(MID(VLOOKUP($B156,Seqs!$A:$B,2,0),Y156,1),"")</f>
        <v>P</v>
      </c>
      <c r="Y156" s="3">
        <v>135</v>
      </c>
      <c r="Z156" s="3" t="str">
        <f>IFERROR(MID(VLOOKUP($B156,Seqs!$A:$B,2,0),AA156,1),"")</f>
        <v>G</v>
      </c>
      <c r="AA156" s="3">
        <v>143</v>
      </c>
      <c r="AB156" s="3" t="str">
        <f>IFERROR(MID(VLOOKUP($B156,Seqs!$A:$B,2,0),AC156,1),"")</f>
        <v>S</v>
      </c>
      <c r="AC156" s="3">
        <v>146</v>
      </c>
      <c r="AD156" s="3" t="str">
        <f>IFERROR(MID(VLOOKUP($B156,Seqs!$A:$B,2,0),AE156,1),"")</f>
        <v>G</v>
      </c>
      <c r="AE156" s="3">
        <v>171</v>
      </c>
      <c r="AF156" s="3" t="str">
        <f>IFERROR(MID(VLOOKUP($B156,Seqs!$A:$B,2,0),AG156,1),"")</f>
        <v>C</v>
      </c>
      <c r="AG156" s="3">
        <v>181</v>
      </c>
      <c r="AH156" s="3" t="str">
        <f>IFERROR(MID(VLOOKUP($B156,Seqs!$A:$B,2,0),AI156,1),"")</f>
        <v>I</v>
      </c>
      <c r="AI156" s="3">
        <v>183</v>
      </c>
      <c r="AJ156" s="3" t="str">
        <f>IFERROR(MID(VLOOKUP($B156,Seqs!$A:$B,2,0),AK156,1),"")</f>
        <v>N</v>
      </c>
      <c r="AK156" s="3">
        <v>185</v>
      </c>
      <c r="AL156" s="3" t="str">
        <f>IFERROR(MID(VLOOKUP($B156,Seqs!$A:$B,2,0),AM156,1),"")</f>
        <v>R</v>
      </c>
      <c r="AM156" s="3">
        <v>226</v>
      </c>
      <c r="AN156" s="3" t="str">
        <f>IFERROR(MID(VLOOKUP($B156,Seqs!$A:$B,2,0),AO156,1),"")</f>
        <v>R</v>
      </c>
      <c r="AO156" s="3">
        <v>318</v>
      </c>
      <c r="AP156" s="3" t="str">
        <f>IFERROR(MID(VLOOKUP($B156,Seqs!$A:$B,2,0),AQ156,1),"")</f>
        <v>H</v>
      </c>
      <c r="AQ156" s="3">
        <v>354</v>
      </c>
      <c r="AR156" s="3" t="str">
        <f>IFERROR(MID(VLOOKUP($B156,Seqs!$A:$B,2,0),AS156,1),"")</f>
        <v>S</v>
      </c>
      <c r="AS156" s="3">
        <v>361</v>
      </c>
      <c r="AT156" s="3" t="str">
        <f>IFERROR(MID(VLOOKUP($B156,Seqs!$A:$B,2,0),AU156,1),"")</f>
        <v>F</v>
      </c>
      <c r="AU156" s="3">
        <v>386</v>
      </c>
      <c r="AV156" s="3" t="str">
        <f>IFERROR(MID(VLOOKUP($B156,Seqs!$A:$B,2,0),AW156,1),"")</f>
        <v>N</v>
      </c>
      <c r="AW156" s="3">
        <v>387</v>
      </c>
      <c r="AX156" s="3" t="str">
        <f>IFERROR(MID(VLOOKUP($B156,Seqs!$A:$B,2,0),AY156,1),"")</f>
        <v>S</v>
      </c>
      <c r="AY156" s="3">
        <v>399</v>
      </c>
      <c r="AZ156" s="77" t="str">
        <f>VLOOKUP(B156,Classification!A:D,2,0)</f>
        <v>A</v>
      </c>
      <c r="BA156" s="94" t="str">
        <f>VLOOKUP(B156,Classification!A:D,4,0)</f>
        <v>Dopamine</v>
      </c>
      <c r="BB156" s="27" t="b">
        <f t="shared" si="560"/>
        <v>1</v>
      </c>
      <c r="BC156" s="23">
        <f t="shared" si="617"/>
        <v>263</v>
      </c>
      <c r="BD156" s="56" t="s">
        <v>1379</v>
      </c>
      <c r="BE156" s="3" t="s">
        <v>23</v>
      </c>
      <c r="BF156" s="119" t="s">
        <v>23</v>
      </c>
      <c r="BG156" s="49" t="s">
        <v>1379</v>
      </c>
      <c r="BH156" s="49" t="s">
        <v>1384</v>
      </c>
      <c r="BI156" s="1"/>
      <c r="BJ156" s="70" t="s">
        <v>1293</v>
      </c>
      <c r="BK156" s="57" t="s">
        <v>1293</v>
      </c>
      <c r="BL156" s="57" t="s">
        <v>1293</v>
      </c>
      <c r="BM156" s="57" t="s">
        <v>1293</v>
      </c>
      <c r="BN156" s="57" t="s">
        <v>1293</v>
      </c>
      <c r="BO156" s="57" t="s">
        <v>1293</v>
      </c>
      <c r="BP156" s="57" t="s">
        <v>1293</v>
      </c>
      <c r="BQ156" s="57" t="s">
        <v>1293</v>
      </c>
      <c r="BR156" s="57" t="s">
        <v>1293</v>
      </c>
      <c r="BS156" s="57" t="s">
        <v>1293</v>
      </c>
      <c r="BT156" s="57" t="s">
        <v>1293</v>
      </c>
      <c r="BU156" s="57" t="s">
        <v>1293</v>
      </c>
      <c r="BV156" s="70">
        <f t="shared" si="618"/>
        <v>26</v>
      </c>
      <c r="BW156" s="71">
        <f t="shared" si="619"/>
        <v>58</v>
      </c>
      <c r="BX156" s="72">
        <f t="shared" si="620"/>
        <v>62</v>
      </c>
      <c r="BY156" s="71">
        <f t="shared" si="621"/>
        <v>95</v>
      </c>
      <c r="BZ156" s="72">
        <f t="shared" si="622"/>
        <v>99</v>
      </c>
      <c r="CA156" s="71">
        <f t="shared" si="623"/>
        <v>135</v>
      </c>
      <c r="CB156" s="72">
        <f t="shared" si="624"/>
        <v>146</v>
      </c>
      <c r="CC156" s="71">
        <f t="shared" si="625"/>
        <v>181</v>
      </c>
      <c r="CD156" s="72">
        <f t="shared" si="626"/>
        <v>185</v>
      </c>
      <c r="CE156" s="71">
        <f t="shared" si="627"/>
        <v>318</v>
      </c>
      <c r="CF156" s="72">
        <f t="shared" si="628"/>
        <v>361</v>
      </c>
      <c r="CG156" s="71">
        <f t="shared" si="629"/>
        <v>387</v>
      </c>
      <c r="CH156" s="70">
        <f t="shared" si="630"/>
        <v>57</v>
      </c>
      <c r="CI156" s="71">
        <f t="shared" si="631"/>
        <v>61</v>
      </c>
      <c r="CJ156" s="72">
        <f t="shared" si="632"/>
        <v>92</v>
      </c>
      <c r="CK156" s="72">
        <f t="shared" si="633"/>
        <v>98</v>
      </c>
      <c r="CL156" s="72">
        <f t="shared" si="634"/>
        <v>134</v>
      </c>
      <c r="CM156" s="72">
        <f t="shared" si="635"/>
        <v>143</v>
      </c>
      <c r="CN156" s="72">
        <f t="shared" si="636"/>
        <v>171</v>
      </c>
      <c r="CO156" s="72">
        <f t="shared" si="637"/>
        <v>183</v>
      </c>
      <c r="CP156" s="72">
        <f t="shared" si="638"/>
        <v>226</v>
      </c>
      <c r="CQ156" s="72">
        <f t="shared" si="639"/>
        <v>354</v>
      </c>
      <c r="CR156" s="72">
        <f t="shared" si="640"/>
        <v>386</v>
      </c>
      <c r="CS156" s="72">
        <f t="shared" si="641"/>
        <v>399</v>
      </c>
      <c r="CT156" s="23">
        <f t="shared" si="642"/>
        <v>1</v>
      </c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  <c r="OK156" s="1"/>
      <c r="OL156" s="1"/>
      <c r="OM156" s="1"/>
      <c r="ON156" s="1"/>
      <c r="OO156" s="1"/>
      <c r="OP156" s="1"/>
      <c r="OQ156" s="1"/>
      <c r="OR156" s="1"/>
      <c r="OS156" s="1"/>
      <c r="OT156" s="1"/>
      <c r="OU156" s="1"/>
      <c r="OV156" s="1"/>
      <c r="OW156" s="1"/>
      <c r="OX156" s="1"/>
      <c r="OY156" s="1"/>
      <c r="OZ156" s="1"/>
      <c r="PA156" s="1"/>
      <c r="PB156" s="1"/>
      <c r="PC156" s="1"/>
      <c r="PD156" s="1"/>
      <c r="PE156" s="1"/>
      <c r="PF156" s="1"/>
      <c r="PG156" s="1"/>
      <c r="PH156" s="1"/>
      <c r="PI156" s="1"/>
      <c r="PJ156" s="1"/>
      <c r="PK156" s="1"/>
      <c r="PL156" s="1"/>
      <c r="PM156" s="1"/>
      <c r="PN156" s="1"/>
      <c r="PO156" s="1"/>
      <c r="PP156" s="1"/>
      <c r="PQ156" s="1"/>
      <c r="PR156" s="1"/>
      <c r="PS156" s="1"/>
      <c r="PT156" s="1"/>
      <c r="PU156" s="1"/>
      <c r="PV156" s="1"/>
      <c r="PW156" s="1"/>
      <c r="PX156" s="1"/>
      <c r="PY156" s="1"/>
      <c r="PZ156" s="1"/>
      <c r="QA156" s="1"/>
      <c r="QB156" s="1"/>
      <c r="QC156" s="1"/>
      <c r="QD156" s="1"/>
      <c r="QE156" s="1"/>
      <c r="QF156" s="1"/>
      <c r="QG156" s="1"/>
      <c r="QH156" s="1"/>
      <c r="QI156" s="1"/>
      <c r="QJ156" s="1"/>
      <c r="QK156" s="1"/>
      <c r="QL156" s="1"/>
      <c r="QM156" s="1"/>
      <c r="QN156" s="1"/>
      <c r="QO156" s="1"/>
      <c r="QP156" s="1"/>
      <c r="QQ156" s="1"/>
      <c r="QR156" s="1"/>
      <c r="QS156" s="1"/>
      <c r="QT156" s="1"/>
      <c r="QU156" s="1"/>
      <c r="QV156" s="1"/>
      <c r="QW156" s="1"/>
      <c r="QX156" s="1"/>
      <c r="QY156" s="1"/>
      <c r="QZ156" s="1"/>
      <c r="RA156" s="1"/>
      <c r="RB156" s="1"/>
      <c r="RC156" s="1"/>
      <c r="RD156" s="1"/>
      <c r="RE156" s="1"/>
      <c r="RF156" s="1"/>
      <c r="RG156" s="1"/>
      <c r="RH156" s="1"/>
      <c r="RI156" s="1"/>
      <c r="RJ156" s="1"/>
      <c r="RK156" s="1"/>
      <c r="RL156" s="1"/>
      <c r="RM156" s="1"/>
      <c r="RN156" s="1"/>
      <c r="RO156" s="1"/>
      <c r="RP156" s="1"/>
      <c r="RQ156" s="1"/>
      <c r="RR156" s="1"/>
      <c r="RS156" s="1"/>
      <c r="RT156" s="1"/>
      <c r="RU156" s="1"/>
      <c r="RV156" s="1"/>
      <c r="RW156" s="1"/>
      <c r="RX156" s="1"/>
      <c r="RY156" s="1"/>
      <c r="RZ156" s="1"/>
      <c r="SA156" s="1"/>
      <c r="SB156" s="1"/>
      <c r="SC156" s="1"/>
      <c r="SD156" s="1"/>
      <c r="SE156" s="1"/>
      <c r="SF156" s="1"/>
      <c r="SG156" s="1"/>
      <c r="SH156" s="1"/>
      <c r="SI156" s="1"/>
      <c r="SJ156" s="1"/>
      <c r="SK156" s="1"/>
      <c r="SL156" s="1"/>
      <c r="SM156" s="1"/>
      <c r="SN156" s="1"/>
      <c r="SO156" s="1"/>
      <c r="SP156" s="1"/>
      <c r="SQ156" s="1"/>
      <c r="SR156" s="1"/>
      <c r="SS156" s="1"/>
      <c r="ST156" s="1"/>
      <c r="SU156" s="1"/>
      <c r="SV156" s="1"/>
      <c r="SW156" s="1"/>
      <c r="SX156" s="1"/>
      <c r="SY156" s="1"/>
      <c r="SZ156" s="1"/>
      <c r="TA156" s="1"/>
      <c r="TB156" s="1"/>
      <c r="TC156" s="1"/>
      <c r="TD156" s="1"/>
      <c r="TE156" s="1"/>
      <c r="TF156" s="1"/>
      <c r="TG156" s="1"/>
      <c r="TH156" s="1"/>
      <c r="TI156" s="1"/>
      <c r="TJ156" s="1"/>
      <c r="TK156" s="1"/>
      <c r="TL156" s="1"/>
      <c r="TM156" s="1"/>
      <c r="TN156" s="1"/>
      <c r="TO156" s="1"/>
      <c r="TP156" s="1"/>
      <c r="TQ156" s="1"/>
      <c r="TR156" s="1"/>
      <c r="TS156" s="1"/>
      <c r="TT156" s="1"/>
      <c r="TU156" s="1"/>
      <c r="TV156" s="1"/>
      <c r="TW156" s="1"/>
      <c r="TX156" s="1"/>
      <c r="TY156" s="1"/>
      <c r="TZ156" s="1"/>
      <c r="UA156" s="1"/>
      <c r="UB156" s="1"/>
      <c r="UC156" s="1"/>
      <c r="UD156" s="1"/>
      <c r="UE156" s="1"/>
      <c r="UF156" s="1"/>
      <c r="UG156" s="1"/>
      <c r="UH156" s="1"/>
      <c r="UI156" s="1"/>
      <c r="UJ156" s="1"/>
      <c r="UK156" s="1"/>
      <c r="UL156" s="1"/>
      <c r="UM156" s="1"/>
      <c r="UN156" s="1"/>
      <c r="UO156" s="1"/>
      <c r="UP156" s="1"/>
      <c r="UQ156" s="1"/>
      <c r="UR156" s="1"/>
      <c r="US156" s="1"/>
      <c r="UT156" s="1"/>
      <c r="UU156" s="1"/>
      <c r="UV156" s="1"/>
      <c r="UW156" s="1"/>
      <c r="UX156" s="1"/>
      <c r="UY156" s="1"/>
      <c r="UZ156" s="1"/>
      <c r="VA156" s="1"/>
      <c r="VB156" s="1"/>
      <c r="VC156" s="1"/>
      <c r="VD156" s="1"/>
      <c r="VE156" s="1"/>
      <c r="VF156" s="1"/>
      <c r="VG156" s="1"/>
      <c r="VH156" s="1"/>
      <c r="VI156" s="1"/>
      <c r="VJ156" s="1"/>
      <c r="VK156" s="1"/>
      <c r="VL156" s="1"/>
      <c r="VM156" s="1"/>
      <c r="VN156" s="1"/>
      <c r="VO156" s="1"/>
      <c r="VP156" s="1"/>
      <c r="VQ156" s="1"/>
      <c r="VR156" s="1"/>
      <c r="VS156" s="1"/>
      <c r="VT156" s="1"/>
      <c r="VU156" s="1"/>
      <c r="VV156" s="1"/>
      <c r="VW156" s="1"/>
      <c r="VX156" s="1"/>
      <c r="VY156" s="1"/>
      <c r="VZ156" s="1"/>
      <c r="WA156" s="1"/>
      <c r="WB156" s="1"/>
      <c r="WC156" s="1"/>
      <c r="WD156" s="1"/>
      <c r="WE156" s="1"/>
      <c r="WF156" s="1"/>
      <c r="WG156" s="1"/>
      <c r="WH156" s="1"/>
      <c r="WI156" s="1"/>
      <c r="WJ156" s="1"/>
      <c r="WK156" s="1"/>
      <c r="WL156" s="1"/>
      <c r="WM156" s="1"/>
      <c r="WN156" s="1"/>
      <c r="WO156" s="1"/>
      <c r="WP156" s="1"/>
      <c r="WQ156" s="1"/>
      <c r="WR156" s="1"/>
      <c r="WS156" s="1"/>
      <c r="WT156" s="1"/>
      <c r="WU156" s="1"/>
      <c r="WV156" s="1"/>
      <c r="WW156" s="1"/>
      <c r="WX156" s="1"/>
      <c r="WY156" s="1"/>
      <c r="WZ156" s="1"/>
      <c r="XA156" s="1"/>
      <c r="XB156" s="1"/>
      <c r="XC156" s="1"/>
      <c r="XD156" s="1"/>
      <c r="XE156" s="1"/>
      <c r="XF156" s="1"/>
      <c r="XG156" s="1"/>
      <c r="XH156" s="1"/>
      <c r="XI156" s="1"/>
      <c r="XJ156" s="1"/>
      <c r="XK156" s="1"/>
      <c r="XL156" s="1"/>
      <c r="XM156" s="1"/>
      <c r="XN156" s="1"/>
      <c r="XO156" s="1"/>
      <c r="XP156" s="1"/>
      <c r="XQ156" s="1"/>
      <c r="XR156" s="1"/>
      <c r="XS156" s="1"/>
      <c r="XT156" s="1"/>
      <c r="XU156" s="1"/>
      <c r="XV156" s="1"/>
      <c r="XW156" s="1"/>
      <c r="XX156" s="1"/>
      <c r="XY156" s="1"/>
      <c r="XZ156" s="1"/>
      <c r="YA156" s="1"/>
      <c r="YB156" s="1"/>
      <c r="YC156" s="1"/>
      <c r="YD156" s="1"/>
      <c r="YE156" s="1"/>
      <c r="YF156" s="1"/>
      <c r="YG156" s="1"/>
      <c r="YH156" s="1"/>
      <c r="YI156" s="1"/>
      <c r="YJ156" s="1"/>
      <c r="YK156" s="1"/>
      <c r="YL156" s="1"/>
      <c r="YM156" s="1"/>
      <c r="YN156" s="1"/>
      <c r="YO156" s="1"/>
      <c r="YP156" s="1"/>
      <c r="YQ156" s="1"/>
      <c r="YR156" s="1"/>
      <c r="YS156" s="1"/>
      <c r="YT156" s="1"/>
      <c r="YU156" s="1"/>
      <c r="YV156" s="1"/>
      <c r="YW156" s="1"/>
      <c r="YX156" s="1"/>
      <c r="YY156" s="1"/>
      <c r="YZ156" s="1"/>
      <c r="ZA156" s="1"/>
      <c r="ZB156" s="1"/>
      <c r="ZC156" s="1"/>
      <c r="ZD156" s="1"/>
      <c r="ZE156" s="1"/>
      <c r="ZF156" s="1"/>
      <c r="ZG156" s="1"/>
      <c r="ZH156" s="1"/>
      <c r="ZI156" s="1"/>
      <c r="ZJ156" s="1"/>
      <c r="ZK156" s="1"/>
      <c r="ZL156" s="1"/>
      <c r="ZM156" s="1"/>
      <c r="ZN156" s="1"/>
      <c r="ZO156" s="1"/>
      <c r="ZP156" s="1"/>
      <c r="ZQ156" s="1"/>
      <c r="ZR156" s="1"/>
      <c r="ZS156" s="1"/>
      <c r="ZT156" s="1"/>
      <c r="ZU156" s="1"/>
      <c r="ZV156" s="1"/>
      <c r="ZW156" s="1"/>
      <c r="ZX156" s="1"/>
      <c r="ZY156" s="1"/>
      <c r="ZZ156" s="1"/>
      <c r="AAA156" s="1"/>
      <c r="AAB156" s="1"/>
      <c r="AAC156" s="1"/>
      <c r="AAD156" s="1"/>
      <c r="AAE156" s="1"/>
      <c r="AAF156" s="1"/>
      <c r="AAG156" s="1"/>
      <c r="AAH156" s="1"/>
      <c r="AAI156" s="1"/>
      <c r="AAJ156" s="1"/>
      <c r="AAK156" s="1"/>
      <c r="AAL156" s="1"/>
      <c r="AAM156" s="1"/>
      <c r="AAN156" s="1"/>
      <c r="AAO156" s="1"/>
      <c r="AAP156" s="1"/>
      <c r="AAQ156" s="1"/>
      <c r="AAR156" s="1"/>
      <c r="AAS156" s="1"/>
      <c r="AAT156" s="1"/>
      <c r="AAU156" s="1"/>
      <c r="AAV156" s="1"/>
      <c r="AAW156" s="1"/>
      <c r="AAX156" s="1"/>
      <c r="AAY156" s="1"/>
      <c r="AAZ156" s="1"/>
      <c r="ABA156" s="1"/>
      <c r="ABB156" s="1"/>
      <c r="ABC156" s="1"/>
      <c r="ABD156" s="1"/>
      <c r="ABE156" s="1"/>
      <c r="ABF156" s="1"/>
      <c r="ABG156" s="1"/>
      <c r="ABH156" s="1"/>
      <c r="ABI156" s="1"/>
      <c r="ABJ156" s="1"/>
      <c r="ABK156" s="1"/>
      <c r="ABL156" s="1"/>
      <c r="ABM156" s="1"/>
      <c r="ABN156" s="1"/>
      <c r="ABO156" s="1"/>
      <c r="ABP156" s="1"/>
      <c r="ABQ156" s="1"/>
      <c r="ABR156" s="1"/>
      <c r="ABS156" s="1"/>
      <c r="ABT156" s="1"/>
      <c r="ABU156" s="1"/>
      <c r="ABV156" s="1"/>
      <c r="ABW156" s="1"/>
      <c r="ABX156" s="1"/>
      <c r="ABY156" s="1"/>
      <c r="ABZ156" s="1"/>
      <c r="ACA156" s="1"/>
      <c r="ACB156" s="1"/>
      <c r="ACC156" s="1"/>
      <c r="ACD156" s="1"/>
      <c r="ACE156" s="1"/>
      <c r="ACF156" s="1"/>
      <c r="ACG156" s="1"/>
      <c r="ACH156" s="1"/>
      <c r="ACI156" s="1"/>
      <c r="ACJ156" s="1"/>
      <c r="ACK156" s="1"/>
      <c r="ACL156" s="1"/>
      <c r="ACM156" s="1"/>
      <c r="ACN156" s="1"/>
      <c r="ACO156" s="1"/>
      <c r="ACP156" s="1"/>
      <c r="ACQ156" s="1"/>
      <c r="ACR156" s="1"/>
      <c r="ACS156" s="1"/>
      <c r="ACT156" s="1"/>
      <c r="ACU156" s="1"/>
      <c r="ACV156" s="1"/>
      <c r="ACW156" s="1"/>
      <c r="ACX156" s="1"/>
      <c r="ACY156" s="1"/>
      <c r="ACZ156" s="1"/>
      <c r="ADA156" s="1"/>
      <c r="ADB156" s="1"/>
      <c r="ADC156" s="1"/>
      <c r="ADD156" s="1"/>
      <c r="ADE156" s="1"/>
      <c r="ADF156" s="1"/>
      <c r="ADG156" s="1"/>
      <c r="ADH156" s="1"/>
      <c r="ADI156" s="1"/>
      <c r="ADJ156" s="1"/>
      <c r="ADK156" s="1"/>
      <c r="ADL156" s="1"/>
      <c r="ADM156" s="1"/>
      <c r="ADN156" s="1"/>
      <c r="ADO156" s="1"/>
      <c r="ADP156" s="1"/>
      <c r="ADQ156" s="1"/>
      <c r="ADR156" s="1"/>
      <c r="ADS156" s="1"/>
      <c r="ADT156" s="1"/>
      <c r="ADU156" s="1"/>
      <c r="ADV156" s="1"/>
      <c r="ADW156" s="1"/>
      <c r="ADX156" s="1"/>
      <c r="ADY156" s="1"/>
      <c r="ADZ156" s="1"/>
      <c r="AEA156" s="1"/>
      <c r="AEB156" s="1"/>
      <c r="AEC156" s="1"/>
      <c r="AED156" s="1"/>
      <c r="AEE156" s="1"/>
      <c r="AEF156" s="1"/>
      <c r="AEG156" s="1"/>
      <c r="AEH156" s="1"/>
      <c r="AEI156" s="1"/>
      <c r="AEJ156" s="1"/>
      <c r="AEK156" s="1"/>
      <c r="AEL156" s="1"/>
      <c r="AEM156" s="1"/>
      <c r="AEN156" s="1"/>
      <c r="AEO156" s="1"/>
      <c r="AEP156" s="1"/>
      <c r="AEQ156" s="1"/>
      <c r="AER156" s="1"/>
      <c r="AES156" s="1"/>
      <c r="AET156" s="1"/>
      <c r="AEU156" s="1"/>
      <c r="AEV156" s="1"/>
      <c r="AEW156" s="1"/>
      <c r="AEX156" s="1"/>
      <c r="AEY156" s="1"/>
      <c r="AEZ156" s="1"/>
      <c r="AFA156" s="1"/>
      <c r="AFB156" s="1"/>
      <c r="AFC156" s="1"/>
      <c r="AFD156" s="1"/>
      <c r="AFE156" s="1"/>
      <c r="AFF156" s="1"/>
      <c r="AFG156" s="1"/>
      <c r="AFH156" s="1"/>
      <c r="AFI156" s="1"/>
      <c r="AFJ156" s="1"/>
      <c r="AFK156" s="1"/>
      <c r="AFL156" s="1"/>
      <c r="AFM156" s="1"/>
      <c r="AFN156" s="1"/>
      <c r="AFO156" s="1"/>
      <c r="AFP156" s="1"/>
      <c r="AFQ156" s="1"/>
      <c r="AFR156" s="1"/>
      <c r="AFS156" s="1"/>
      <c r="AFT156" s="1"/>
      <c r="AFU156" s="1"/>
      <c r="AFV156" s="1"/>
      <c r="AFW156" s="1"/>
      <c r="AFX156" s="1"/>
      <c r="AFY156" s="1"/>
      <c r="AFZ156" s="1"/>
      <c r="AGA156" s="1"/>
      <c r="AGB156" s="1"/>
      <c r="AGC156" s="1"/>
      <c r="AGD156" s="1"/>
      <c r="AGE156" s="1"/>
      <c r="AGF156" s="1"/>
      <c r="AGG156" s="1"/>
      <c r="AGH156" s="1"/>
      <c r="AGI156" s="1"/>
      <c r="AGJ156" s="1"/>
      <c r="AGK156" s="1"/>
      <c r="AGL156" s="1"/>
      <c r="AGM156" s="1"/>
      <c r="AGN156" s="1"/>
      <c r="AGO156" s="1"/>
      <c r="AGP156" s="1"/>
      <c r="AGQ156" s="1"/>
      <c r="AGR156" s="1"/>
      <c r="AGS156" s="1"/>
      <c r="AGT156" s="1"/>
      <c r="AGU156" s="1"/>
      <c r="AGV156" s="1"/>
      <c r="AGW156" s="1"/>
      <c r="AGX156" s="1"/>
      <c r="AGY156" s="1"/>
      <c r="AGZ156" s="1"/>
      <c r="AHA156" s="1"/>
      <c r="AHB156" s="1"/>
      <c r="AHC156" s="1"/>
      <c r="AHD156" s="1"/>
      <c r="AHE156" s="1"/>
      <c r="AHF156" s="1"/>
      <c r="AHG156" s="1"/>
      <c r="AHH156" s="1"/>
      <c r="AHI156" s="1"/>
      <c r="AHJ156" s="1"/>
      <c r="AHK156" s="1"/>
      <c r="AHL156" s="1"/>
      <c r="AHM156" s="1"/>
      <c r="AHN156" s="1"/>
      <c r="AHO156" s="1"/>
      <c r="AHP156" s="1"/>
      <c r="AHQ156" s="1"/>
      <c r="AHR156" s="1"/>
      <c r="AHS156" s="1"/>
      <c r="AHT156" s="1"/>
      <c r="AHU156" s="1"/>
      <c r="AHV156" s="1"/>
      <c r="AHW156" s="1"/>
      <c r="AHX156" s="1"/>
      <c r="AHY156" s="1"/>
      <c r="AHZ156" s="1"/>
      <c r="AIA156" s="1"/>
      <c r="AIB156" s="1"/>
      <c r="AIC156" s="1"/>
      <c r="AID156" s="1"/>
      <c r="AIE156" s="1"/>
      <c r="AIF156" s="1"/>
      <c r="AIG156" s="1"/>
      <c r="AIH156" s="1"/>
      <c r="AII156" s="1"/>
      <c r="AIJ156" s="1"/>
      <c r="AIK156" s="1"/>
      <c r="AIL156" s="1"/>
      <c r="AIM156" s="1"/>
      <c r="AIN156" s="1"/>
      <c r="AIO156" s="1"/>
      <c r="AIP156" s="1"/>
      <c r="AIQ156" s="1"/>
      <c r="AIR156" s="1"/>
      <c r="AIS156" s="1"/>
      <c r="AIT156" s="1"/>
      <c r="AIU156" s="1"/>
      <c r="AIV156" s="1"/>
      <c r="AIW156" s="1"/>
      <c r="AIX156" s="1"/>
      <c r="AIY156" s="1"/>
      <c r="AIZ156" s="1"/>
      <c r="AJA156" s="1"/>
      <c r="AJB156" s="1"/>
      <c r="AJC156" s="1"/>
      <c r="AJD156" s="1"/>
      <c r="AJE156" s="1"/>
      <c r="AJF156" s="1"/>
      <c r="AJG156" s="1"/>
      <c r="AJH156" s="1"/>
      <c r="AJI156" s="1"/>
      <c r="AJJ156" s="1"/>
      <c r="AJK156" s="1"/>
      <c r="AJL156" s="1"/>
      <c r="AJM156" s="1"/>
      <c r="AJN156" s="1"/>
      <c r="AJO156" s="1"/>
      <c r="AJP156" s="1"/>
      <c r="AJQ156" s="1"/>
      <c r="AJR156" s="1"/>
      <c r="AJS156" s="1"/>
      <c r="AJT156" s="1"/>
      <c r="AJU156" s="1"/>
      <c r="AJV156" s="1"/>
      <c r="AJW156" s="1"/>
      <c r="AJX156" s="1"/>
      <c r="AJY156" s="1"/>
      <c r="AJZ156" s="1"/>
      <c r="AKA156" s="1"/>
      <c r="AKB156" s="1"/>
      <c r="AKC156" s="1"/>
      <c r="AKD156" s="1"/>
      <c r="AKE156" s="1"/>
      <c r="AKF156" s="1"/>
      <c r="AKG156" s="1"/>
      <c r="AKH156" s="1"/>
      <c r="AKI156" s="1"/>
      <c r="AKJ156" s="1"/>
      <c r="AKK156" s="1"/>
      <c r="AKL156" s="1"/>
      <c r="AKM156" s="1"/>
      <c r="AKN156" s="1"/>
      <c r="AKO156" s="1"/>
      <c r="AKP156" s="1"/>
      <c r="AKQ156" s="1"/>
      <c r="AKR156" s="1"/>
      <c r="AKS156" s="1"/>
      <c r="AKT156" s="1"/>
      <c r="AKU156" s="1"/>
      <c r="AKV156" s="1"/>
      <c r="AKW156" s="1"/>
      <c r="AKX156" s="1"/>
      <c r="AKY156" s="1"/>
      <c r="AKZ156" s="1"/>
      <c r="ALA156" s="1"/>
      <c r="ALB156" s="1"/>
      <c r="ALC156" s="1"/>
      <c r="ALD156" s="1"/>
      <c r="ALE156" s="1"/>
      <c r="ALF156" s="1"/>
      <c r="ALG156" s="1"/>
      <c r="ALH156" s="1"/>
      <c r="ALI156" s="1"/>
      <c r="ALJ156" s="1"/>
      <c r="ALK156" s="1"/>
      <c r="ALL156" s="1"/>
      <c r="ALM156" s="1"/>
      <c r="ALN156" s="1"/>
      <c r="ALO156" s="1"/>
      <c r="ALP156" s="1"/>
      <c r="ALQ156" s="1"/>
      <c r="ALR156" s="1"/>
      <c r="ALS156" s="1"/>
      <c r="ALT156" s="1"/>
      <c r="ALU156" s="1"/>
      <c r="ALV156" s="1"/>
      <c r="ALW156" s="1"/>
      <c r="ALX156" s="1"/>
      <c r="ALY156" s="1"/>
      <c r="ALZ156" s="1"/>
      <c r="AMA156" s="1"/>
      <c r="AMB156" s="1"/>
      <c r="AMC156" s="1"/>
      <c r="AMD156" s="1"/>
      <c r="AME156" s="1"/>
      <c r="AMF156" s="1"/>
      <c r="AMG156" s="1"/>
      <c r="AMH156" s="1"/>
      <c r="AMI156" s="1"/>
      <c r="AMJ156" s="1"/>
      <c r="AMK156" s="1"/>
      <c r="AML156" s="1"/>
      <c r="AMM156" s="1"/>
      <c r="AMN156" s="1"/>
      <c r="AMO156" s="1"/>
    </row>
    <row r="157" spans="1:1030" x14ac:dyDescent="0.2">
      <c r="A157" s="3" t="str">
        <f t="shared" si="559"/>
        <v>drd3_human_3PBL</v>
      </c>
      <c r="B157" s="3" t="s">
        <v>192</v>
      </c>
      <c r="C157" s="3" t="s">
        <v>72</v>
      </c>
      <c r="D157" s="3" t="str">
        <f>IFERROR(MID(VLOOKUP($B157,Seqs!$A:$B,2,0),E157,1),"")</f>
        <v>Y</v>
      </c>
      <c r="E157" s="3">
        <v>32</v>
      </c>
      <c r="F157" s="3" t="str">
        <f>IFERROR(MID(VLOOKUP($B157,Seqs!$A:$B,2,0),G157,1),"")</f>
        <v>E</v>
      </c>
      <c r="G157" s="3">
        <v>57</v>
      </c>
      <c r="H157" s="3" t="str">
        <f>IFERROR(MID(VLOOKUP($B157,Seqs!$A:$B,2,0),I157,1),"")</f>
        <v>R</v>
      </c>
      <c r="I157" s="23">
        <v>58</v>
      </c>
      <c r="J157" s="3" t="str">
        <f>IFERROR(MID(VLOOKUP($B157,Seqs!$A:$B,2,0),K157,1),"")</f>
        <v>Q</v>
      </c>
      <c r="K157" s="23">
        <v>61</v>
      </c>
      <c r="L157" s="3" t="str">
        <f>IFERROR(MID(VLOOKUP($B157,Seqs!$A:$B,2,0),M157,1),"")</f>
        <v>T</v>
      </c>
      <c r="M157" s="3">
        <v>62</v>
      </c>
      <c r="N157" s="3" t="str">
        <f>IFERROR(MID(VLOOKUP($B157,Seqs!$A:$B,2,0),O157,1),"")</f>
        <v>T</v>
      </c>
      <c r="O157" s="3">
        <v>92</v>
      </c>
      <c r="P157" s="3" t="str">
        <f>IFERROR(MID(VLOOKUP($B157,Seqs!$A:$B,2,0),Q157,1),"")</f>
        <v>V</v>
      </c>
      <c r="Q157" s="3">
        <v>95</v>
      </c>
      <c r="R157" s="3" t="str">
        <f>IFERROR(MID(VLOOKUP($B157,Seqs!$A:$B,2,0),S157,1),"")</f>
        <v>F</v>
      </c>
      <c r="S157" s="3">
        <v>98</v>
      </c>
      <c r="T157" s="3" t="str">
        <f>IFERROR(MID(VLOOKUP($B157,Seqs!$A:$B,2,0),U157,1),"")</f>
        <v>S</v>
      </c>
      <c r="U157" s="3">
        <v>99</v>
      </c>
      <c r="V157" s="3" t="str">
        <f>IFERROR(MID(VLOOKUP($B157,Seqs!$A:$B,2,0),W157,1),"")</f>
        <v>M</v>
      </c>
      <c r="W157" s="3">
        <v>134</v>
      </c>
      <c r="X157" s="3" t="str">
        <f>IFERROR(MID(VLOOKUP($B157,Seqs!$A:$B,2,0),Y157,1),"")</f>
        <v>P</v>
      </c>
      <c r="Y157" s="3">
        <v>135</v>
      </c>
      <c r="Z157" s="3" t="str">
        <f>IFERROR(MID(VLOOKUP($B157,Seqs!$A:$B,2,0),AA157,1),"")</f>
        <v>G</v>
      </c>
      <c r="AA157" s="3">
        <v>143</v>
      </c>
      <c r="AB157" s="3" t="str">
        <f>IFERROR(MID(VLOOKUP($B157,Seqs!$A:$B,2,0),AC157,1),"")</f>
        <v>S</v>
      </c>
      <c r="AC157" s="3">
        <v>146</v>
      </c>
      <c r="AD157" s="3" t="str">
        <f>IFERROR(MID(VLOOKUP($B157,Seqs!$A:$B,2,0),AE157,1),"")</f>
        <v>G</v>
      </c>
      <c r="AE157" s="3">
        <v>171</v>
      </c>
      <c r="AF157" s="3" t="str">
        <f>IFERROR(MID(VLOOKUP($B157,Seqs!$A:$B,2,0),AG157,1),"")</f>
        <v>C</v>
      </c>
      <c r="AG157" s="3">
        <v>181</v>
      </c>
      <c r="AH157" s="3" t="str">
        <f>IFERROR(MID(VLOOKUP($B157,Seqs!$A:$B,2,0),AI157,1),"")</f>
        <v>I</v>
      </c>
      <c r="AI157" s="3">
        <v>183</v>
      </c>
      <c r="AJ157" s="3" t="str">
        <f>IFERROR(MID(VLOOKUP($B157,Seqs!$A:$B,2,0),AK157,1),"")</f>
        <v>N</v>
      </c>
      <c r="AK157" s="3">
        <v>185</v>
      </c>
      <c r="AL157" s="3" t="str">
        <f>IFERROR(MID(VLOOKUP($B157,Seqs!$A:$B,2,0),AM157,1),"")</f>
        <v>K</v>
      </c>
      <c r="AM157" s="3">
        <v>216</v>
      </c>
      <c r="AN157" s="3" t="str">
        <f>IFERROR(MID(VLOOKUP($B157,Seqs!$A:$B,2,0),AO157,1),"")</f>
        <v>R</v>
      </c>
      <c r="AO157" s="3">
        <v>323</v>
      </c>
      <c r="AP157" s="3" t="str">
        <f>IFERROR(MID(VLOOKUP($B157,Seqs!$A:$B,2,0),AQ157,1),"")</f>
        <v>H</v>
      </c>
      <c r="AQ157" s="3">
        <v>354</v>
      </c>
      <c r="AR157" s="3" t="str">
        <f>IFERROR(MID(VLOOKUP($B157,Seqs!$A:$B,2,0),AS157,1),"")</f>
        <v>S</v>
      </c>
      <c r="AS157" s="3">
        <v>361</v>
      </c>
      <c r="AT157" s="3" t="str">
        <f>IFERROR(MID(VLOOKUP($B157,Seqs!$A:$B,2,0),AU157,1),"")</f>
        <v>F</v>
      </c>
      <c r="AU157" s="3">
        <v>386</v>
      </c>
      <c r="AV157" s="3" t="str">
        <f>IFERROR(MID(VLOOKUP($B157,Seqs!$A:$B,2,0),AW157,1),"")</f>
        <v>N</v>
      </c>
      <c r="AW157" s="3">
        <v>387</v>
      </c>
      <c r="AX157" s="3" t="str">
        <f>IFERROR(MID(VLOOKUP($B157,Seqs!$A:$B,2,0),AY157,1),"")</f>
        <v>S</v>
      </c>
      <c r="AY157" s="3">
        <v>399</v>
      </c>
      <c r="AZ157" s="77" t="str">
        <f>VLOOKUP(B157,Classification!A:D,2,0)</f>
        <v>A</v>
      </c>
      <c r="BA157" s="94" t="str">
        <f>VLOOKUP(B157,Classification!A:D,4,0)</f>
        <v>Dopamine</v>
      </c>
      <c r="BB157" s="27" t="b">
        <f t="shared" si="560"/>
        <v>1</v>
      </c>
      <c r="BC157" s="23">
        <f t="shared" si="617"/>
        <v>242</v>
      </c>
      <c r="BD157" s="2" t="s">
        <v>1383</v>
      </c>
      <c r="BE157" s="3" t="s">
        <v>1381</v>
      </c>
      <c r="BF157" s="119">
        <v>2.89</v>
      </c>
      <c r="BG157" s="49" t="s">
        <v>1384</v>
      </c>
      <c r="BH157" s="49" t="s">
        <v>1384</v>
      </c>
      <c r="BI157" s="1"/>
      <c r="BJ157" s="70" t="s">
        <v>1293</v>
      </c>
      <c r="BK157" s="57" t="s">
        <v>1293</v>
      </c>
      <c r="BL157" s="57" t="s">
        <v>1293</v>
      </c>
      <c r="BM157" s="57" t="s">
        <v>1293</v>
      </c>
      <c r="BN157" s="57" t="s">
        <v>1293</v>
      </c>
      <c r="BO157" s="57" t="s">
        <v>1293</v>
      </c>
      <c r="BP157" s="57" t="s">
        <v>1293</v>
      </c>
      <c r="BQ157" s="57" t="s">
        <v>1293</v>
      </c>
      <c r="BR157" s="57" t="s">
        <v>1293</v>
      </c>
      <c r="BS157" s="57" t="s">
        <v>1293</v>
      </c>
      <c r="BT157" s="57" t="s">
        <v>1293</v>
      </c>
      <c r="BU157" s="57" t="s">
        <v>1293</v>
      </c>
      <c r="BV157" s="70">
        <f t="shared" si="618"/>
        <v>32</v>
      </c>
      <c r="BW157" s="71">
        <f t="shared" si="619"/>
        <v>58</v>
      </c>
      <c r="BX157" s="72">
        <f t="shared" si="620"/>
        <v>62</v>
      </c>
      <c r="BY157" s="71">
        <f t="shared" si="621"/>
        <v>95</v>
      </c>
      <c r="BZ157" s="72">
        <f t="shared" si="622"/>
        <v>99</v>
      </c>
      <c r="CA157" s="71">
        <f t="shared" si="623"/>
        <v>135</v>
      </c>
      <c r="CB157" s="72">
        <f t="shared" si="624"/>
        <v>146</v>
      </c>
      <c r="CC157" s="71">
        <f t="shared" si="625"/>
        <v>181</v>
      </c>
      <c r="CD157" s="72">
        <f t="shared" si="626"/>
        <v>185</v>
      </c>
      <c r="CE157" s="71">
        <f t="shared" si="627"/>
        <v>323</v>
      </c>
      <c r="CF157" s="72">
        <f t="shared" si="628"/>
        <v>361</v>
      </c>
      <c r="CG157" s="71">
        <f t="shared" si="629"/>
        <v>387</v>
      </c>
      <c r="CH157" s="70">
        <f t="shared" si="630"/>
        <v>57</v>
      </c>
      <c r="CI157" s="71">
        <f t="shared" si="631"/>
        <v>61</v>
      </c>
      <c r="CJ157" s="72">
        <f t="shared" si="632"/>
        <v>92</v>
      </c>
      <c r="CK157" s="72">
        <f t="shared" si="633"/>
        <v>98</v>
      </c>
      <c r="CL157" s="72">
        <f t="shared" si="634"/>
        <v>134</v>
      </c>
      <c r="CM157" s="72">
        <f t="shared" si="635"/>
        <v>143</v>
      </c>
      <c r="CN157" s="72">
        <f t="shared" si="636"/>
        <v>171</v>
      </c>
      <c r="CO157" s="72">
        <f t="shared" si="637"/>
        <v>183</v>
      </c>
      <c r="CP157" s="72">
        <f t="shared" si="638"/>
        <v>216</v>
      </c>
      <c r="CQ157" s="72">
        <f t="shared" si="639"/>
        <v>354</v>
      </c>
      <c r="CR157" s="72">
        <f t="shared" si="640"/>
        <v>386</v>
      </c>
      <c r="CS157" s="72">
        <f t="shared" si="641"/>
        <v>399</v>
      </c>
      <c r="CT157" s="23">
        <f t="shared" si="642"/>
        <v>1</v>
      </c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  <c r="OK157" s="1"/>
      <c r="OL157" s="1"/>
      <c r="OM157" s="1"/>
      <c r="ON157" s="1"/>
      <c r="OO157" s="1"/>
      <c r="OP157" s="1"/>
      <c r="OQ157" s="1"/>
      <c r="OR157" s="1"/>
      <c r="OS157" s="1"/>
      <c r="OT157" s="1"/>
      <c r="OU157" s="1"/>
      <c r="OV157" s="1"/>
      <c r="OW157" s="1"/>
      <c r="OX157" s="1"/>
      <c r="OY157" s="1"/>
      <c r="OZ157" s="1"/>
      <c r="PA157" s="1"/>
      <c r="PB157" s="1"/>
      <c r="PC157" s="1"/>
      <c r="PD157" s="1"/>
      <c r="PE157" s="1"/>
      <c r="PF157" s="1"/>
      <c r="PG157" s="1"/>
      <c r="PH157" s="1"/>
      <c r="PI157" s="1"/>
      <c r="PJ157" s="1"/>
      <c r="PK157" s="1"/>
      <c r="PL157" s="1"/>
      <c r="PM157" s="1"/>
      <c r="PN157" s="1"/>
      <c r="PO157" s="1"/>
      <c r="PP157" s="1"/>
      <c r="PQ157" s="1"/>
      <c r="PR157" s="1"/>
      <c r="PS157" s="1"/>
      <c r="PT157" s="1"/>
      <c r="PU157" s="1"/>
      <c r="PV157" s="1"/>
      <c r="PW157" s="1"/>
      <c r="PX157" s="1"/>
      <c r="PY157" s="1"/>
      <c r="PZ157" s="1"/>
      <c r="QA157" s="1"/>
      <c r="QB157" s="1"/>
      <c r="QC157" s="1"/>
      <c r="QD157" s="1"/>
      <c r="QE157" s="1"/>
      <c r="QF157" s="1"/>
      <c r="QG157" s="1"/>
      <c r="QH157" s="1"/>
      <c r="QI157" s="1"/>
      <c r="QJ157" s="1"/>
      <c r="QK157" s="1"/>
      <c r="QL157" s="1"/>
      <c r="QM157" s="1"/>
      <c r="QN157" s="1"/>
      <c r="QO157" s="1"/>
      <c r="QP157" s="1"/>
      <c r="QQ157" s="1"/>
      <c r="QR157" s="1"/>
      <c r="QS157" s="1"/>
      <c r="QT157" s="1"/>
      <c r="QU157" s="1"/>
      <c r="QV157" s="1"/>
      <c r="QW157" s="1"/>
      <c r="QX157" s="1"/>
      <c r="QY157" s="1"/>
      <c r="QZ157" s="1"/>
      <c r="RA157" s="1"/>
      <c r="RB157" s="1"/>
      <c r="RC157" s="1"/>
      <c r="RD157" s="1"/>
      <c r="RE157" s="1"/>
      <c r="RF157" s="1"/>
      <c r="RG157" s="1"/>
      <c r="RH157" s="1"/>
      <c r="RI157" s="1"/>
      <c r="RJ157" s="1"/>
      <c r="RK157" s="1"/>
      <c r="RL157" s="1"/>
      <c r="RM157" s="1"/>
      <c r="RN157" s="1"/>
      <c r="RO157" s="1"/>
      <c r="RP157" s="1"/>
      <c r="RQ157" s="1"/>
      <c r="RR157" s="1"/>
      <c r="RS157" s="1"/>
      <c r="RT157" s="1"/>
      <c r="RU157" s="1"/>
      <c r="RV157" s="1"/>
      <c r="RW157" s="1"/>
      <c r="RX157" s="1"/>
      <c r="RY157" s="1"/>
      <c r="RZ157" s="1"/>
      <c r="SA157" s="1"/>
      <c r="SB157" s="1"/>
      <c r="SC157" s="1"/>
      <c r="SD157" s="1"/>
      <c r="SE157" s="1"/>
      <c r="SF157" s="1"/>
      <c r="SG157" s="1"/>
      <c r="SH157" s="1"/>
      <c r="SI157" s="1"/>
      <c r="SJ157" s="1"/>
      <c r="SK157" s="1"/>
      <c r="SL157" s="1"/>
      <c r="SM157" s="1"/>
      <c r="SN157" s="1"/>
      <c r="SO157" s="1"/>
      <c r="SP157" s="1"/>
      <c r="SQ157" s="1"/>
      <c r="SR157" s="1"/>
      <c r="SS157" s="1"/>
      <c r="ST157" s="1"/>
      <c r="SU157" s="1"/>
      <c r="SV157" s="1"/>
      <c r="SW157" s="1"/>
      <c r="SX157" s="1"/>
      <c r="SY157" s="1"/>
      <c r="SZ157" s="1"/>
      <c r="TA157" s="1"/>
      <c r="TB157" s="1"/>
      <c r="TC157" s="1"/>
      <c r="TD157" s="1"/>
      <c r="TE157" s="1"/>
      <c r="TF157" s="1"/>
      <c r="TG157" s="1"/>
      <c r="TH157" s="1"/>
      <c r="TI157" s="1"/>
      <c r="TJ157" s="1"/>
      <c r="TK157" s="1"/>
      <c r="TL157" s="1"/>
      <c r="TM157" s="1"/>
      <c r="TN157" s="1"/>
      <c r="TO157" s="1"/>
      <c r="TP157" s="1"/>
      <c r="TQ157" s="1"/>
      <c r="TR157" s="1"/>
      <c r="TS157" s="1"/>
      <c r="TT157" s="1"/>
      <c r="TU157" s="1"/>
      <c r="TV157" s="1"/>
      <c r="TW157" s="1"/>
      <c r="TX157" s="1"/>
      <c r="TY157" s="1"/>
      <c r="TZ157" s="1"/>
      <c r="UA157" s="1"/>
      <c r="UB157" s="1"/>
      <c r="UC157" s="1"/>
      <c r="UD157" s="1"/>
      <c r="UE157" s="1"/>
      <c r="UF157" s="1"/>
      <c r="UG157" s="1"/>
      <c r="UH157" s="1"/>
      <c r="UI157" s="1"/>
      <c r="UJ157" s="1"/>
      <c r="UK157" s="1"/>
      <c r="UL157" s="1"/>
      <c r="UM157" s="1"/>
      <c r="UN157" s="1"/>
      <c r="UO157" s="1"/>
      <c r="UP157" s="1"/>
      <c r="UQ157" s="1"/>
      <c r="UR157" s="1"/>
      <c r="US157" s="1"/>
      <c r="UT157" s="1"/>
      <c r="UU157" s="1"/>
      <c r="UV157" s="1"/>
      <c r="UW157" s="1"/>
      <c r="UX157" s="1"/>
      <c r="UY157" s="1"/>
      <c r="UZ157" s="1"/>
      <c r="VA157" s="1"/>
      <c r="VB157" s="1"/>
      <c r="VC157" s="1"/>
      <c r="VD157" s="1"/>
      <c r="VE157" s="1"/>
      <c r="VF157" s="1"/>
      <c r="VG157" s="1"/>
      <c r="VH157" s="1"/>
      <c r="VI157" s="1"/>
      <c r="VJ157" s="1"/>
      <c r="VK157" s="1"/>
      <c r="VL157" s="1"/>
      <c r="VM157" s="1"/>
      <c r="VN157" s="1"/>
      <c r="VO157" s="1"/>
      <c r="VP157" s="1"/>
      <c r="VQ157" s="1"/>
      <c r="VR157" s="1"/>
      <c r="VS157" s="1"/>
      <c r="VT157" s="1"/>
      <c r="VU157" s="1"/>
      <c r="VV157" s="1"/>
      <c r="VW157" s="1"/>
      <c r="VX157" s="1"/>
      <c r="VY157" s="1"/>
      <c r="VZ157" s="1"/>
      <c r="WA157" s="1"/>
      <c r="WB157" s="1"/>
      <c r="WC157" s="1"/>
      <c r="WD157" s="1"/>
      <c r="WE157" s="1"/>
      <c r="WF157" s="1"/>
      <c r="WG157" s="1"/>
      <c r="WH157" s="1"/>
      <c r="WI157" s="1"/>
      <c r="WJ157" s="1"/>
      <c r="WK157" s="1"/>
      <c r="WL157" s="1"/>
      <c r="WM157" s="1"/>
      <c r="WN157" s="1"/>
      <c r="WO157" s="1"/>
      <c r="WP157" s="1"/>
      <c r="WQ157" s="1"/>
      <c r="WR157" s="1"/>
      <c r="WS157" s="1"/>
      <c r="WT157" s="1"/>
      <c r="WU157" s="1"/>
      <c r="WV157" s="1"/>
      <c r="WW157" s="1"/>
      <c r="WX157" s="1"/>
      <c r="WY157" s="1"/>
      <c r="WZ157" s="1"/>
      <c r="XA157" s="1"/>
      <c r="XB157" s="1"/>
      <c r="XC157" s="1"/>
      <c r="XD157" s="1"/>
      <c r="XE157" s="1"/>
      <c r="XF157" s="1"/>
      <c r="XG157" s="1"/>
      <c r="XH157" s="1"/>
      <c r="XI157" s="1"/>
      <c r="XJ157" s="1"/>
      <c r="XK157" s="1"/>
      <c r="XL157" s="1"/>
      <c r="XM157" s="1"/>
      <c r="XN157" s="1"/>
      <c r="XO157" s="1"/>
      <c r="XP157" s="1"/>
      <c r="XQ157" s="1"/>
      <c r="XR157" s="1"/>
      <c r="XS157" s="1"/>
      <c r="XT157" s="1"/>
      <c r="XU157" s="1"/>
      <c r="XV157" s="1"/>
      <c r="XW157" s="1"/>
      <c r="XX157" s="1"/>
      <c r="XY157" s="1"/>
      <c r="XZ157" s="1"/>
      <c r="YA157" s="1"/>
      <c r="YB157" s="1"/>
      <c r="YC157" s="1"/>
      <c r="YD157" s="1"/>
      <c r="YE157" s="1"/>
      <c r="YF157" s="1"/>
      <c r="YG157" s="1"/>
      <c r="YH157" s="1"/>
      <c r="YI157" s="1"/>
      <c r="YJ157" s="1"/>
      <c r="YK157" s="1"/>
      <c r="YL157" s="1"/>
      <c r="YM157" s="1"/>
      <c r="YN157" s="1"/>
      <c r="YO157" s="1"/>
      <c r="YP157" s="1"/>
      <c r="YQ157" s="1"/>
      <c r="YR157" s="1"/>
      <c r="YS157" s="1"/>
      <c r="YT157" s="1"/>
      <c r="YU157" s="1"/>
      <c r="YV157" s="1"/>
      <c r="YW157" s="1"/>
      <c r="YX157" s="1"/>
      <c r="YY157" s="1"/>
      <c r="YZ157" s="1"/>
      <c r="ZA157" s="1"/>
      <c r="ZB157" s="1"/>
      <c r="ZC157" s="1"/>
      <c r="ZD157" s="1"/>
      <c r="ZE157" s="1"/>
      <c r="ZF157" s="1"/>
      <c r="ZG157" s="1"/>
      <c r="ZH157" s="1"/>
      <c r="ZI157" s="1"/>
      <c r="ZJ157" s="1"/>
      <c r="ZK157" s="1"/>
      <c r="ZL157" s="1"/>
      <c r="ZM157" s="1"/>
      <c r="ZN157" s="1"/>
      <c r="ZO157" s="1"/>
      <c r="ZP157" s="1"/>
      <c r="ZQ157" s="1"/>
      <c r="ZR157" s="1"/>
      <c r="ZS157" s="1"/>
      <c r="ZT157" s="1"/>
      <c r="ZU157" s="1"/>
      <c r="ZV157" s="1"/>
      <c r="ZW157" s="1"/>
      <c r="ZX157" s="1"/>
      <c r="ZY157" s="1"/>
      <c r="ZZ157" s="1"/>
      <c r="AAA157" s="1"/>
      <c r="AAB157" s="1"/>
      <c r="AAC157" s="1"/>
      <c r="AAD157" s="1"/>
      <c r="AAE157" s="1"/>
      <c r="AAF157" s="1"/>
      <c r="AAG157" s="1"/>
      <c r="AAH157" s="1"/>
      <c r="AAI157" s="1"/>
      <c r="AAJ157" s="1"/>
      <c r="AAK157" s="1"/>
      <c r="AAL157" s="1"/>
      <c r="AAM157" s="1"/>
      <c r="AAN157" s="1"/>
      <c r="AAO157" s="1"/>
      <c r="AAP157" s="1"/>
      <c r="AAQ157" s="1"/>
      <c r="AAR157" s="1"/>
      <c r="AAS157" s="1"/>
      <c r="AAT157" s="1"/>
      <c r="AAU157" s="1"/>
      <c r="AAV157" s="1"/>
      <c r="AAW157" s="1"/>
      <c r="AAX157" s="1"/>
      <c r="AAY157" s="1"/>
      <c r="AAZ157" s="1"/>
      <c r="ABA157" s="1"/>
      <c r="ABB157" s="1"/>
      <c r="ABC157" s="1"/>
      <c r="ABD157" s="1"/>
      <c r="ABE157" s="1"/>
      <c r="ABF157" s="1"/>
      <c r="ABG157" s="1"/>
      <c r="ABH157" s="1"/>
      <c r="ABI157" s="1"/>
      <c r="ABJ157" s="1"/>
      <c r="ABK157" s="1"/>
      <c r="ABL157" s="1"/>
      <c r="ABM157" s="1"/>
      <c r="ABN157" s="1"/>
      <c r="ABO157" s="1"/>
      <c r="ABP157" s="1"/>
      <c r="ABQ157" s="1"/>
      <c r="ABR157" s="1"/>
      <c r="ABS157" s="1"/>
      <c r="ABT157" s="1"/>
      <c r="ABU157" s="1"/>
      <c r="ABV157" s="1"/>
      <c r="ABW157" s="1"/>
      <c r="ABX157" s="1"/>
      <c r="ABY157" s="1"/>
      <c r="ABZ157" s="1"/>
      <c r="ACA157" s="1"/>
      <c r="ACB157" s="1"/>
      <c r="ACC157" s="1"/>
      <c r="ACD157" s="1"/>
      <c r="ACE157" s="1"/>
      <c r="ACF157" s="1"/>
      <c r="ACG157" s="1"/>
      <c r="ACH157" s="1"/>
      <c r="ACI157" s="1"/>
      <c r="ACJ157" s="1"/>
      <c r="ACK157" s="1"/>
      <c r="ACL157" s="1"/>
      <c r="ACM157" s="1"/>
      <c r="ACN157" s="1"/>
      <c r="ACO157" s="1"/>
      <c r="ACP157" s="1"/>
      <c r="ACQ157" s="1"/>
      <c r="ACR157" s="1"/>
      <c r="ACS157" s="1"/>
      <c r="ACT157" s="1"/>
      <c r="ACU157" s="1"/>
      <c r="ACV157" s="1"/>
      <c r="ACW157" s="1"/>
      <c r="ACX157" s="1"/>
      <c r="ACY157" s="1"/>
      <c r="ACZ157" s="1"/>
      <c r="ADA157" s="1"/>
      <c r="ADB157" s="1"/>
      <c r="ADC157" s="1"/>
      <c r="ADD157" s="1"/>
      <c r="ADE157" s="1"/>
      <c r="ADF157" s="1"/>
      <c r="ADG157" s="1"/>
      <c r="ADH157" s="1"/>
      <c r="ADI157" s="1"/>
      <c r="ADJ157" s="1"/>
      <c r="ADK157" s="1"/>
      <c r="ADL157" s="1"/>
      <c r="ADM157" s="1"/>
      <c r="ADN157" s="1"/>
      <c r="ADO157" s="1"/>
      <c r="ADP157" s="1"/>
      <c r="ADQ157" s="1"/>
      <c r="ADR157" s="1"/>
      <c r="ADS157" s="1"/>
      <c r="ADT157" s="1"/>
      <c r="ADU157" s="1"/>
      <c r="ADV157" s="1"/>
      <c r="ADW157" s="1"/>
      <c r="ADX157" s="1"/>
      <c r="ADY157" s="1"/>
      <c r="ADZ157" s="1"/>
      <c r="AEA157" s="1"/>
      <c r="AEB157" s="1"/>
      <c r="AEC157" s="1"/>
      <c r="AED157" s="1"/>
      <c r="AEE157" s="1"/>
      <c r="AEF157" s="1"/>
      <c r="AEG157" s="1"/>
      <c r="AEH157" s="1"/>
      <c r="AEI157" s="1"/>
      <c r="AEJ157" s="1"/>
      <c r="AEK157" s="1"/>
      <c r="AEL157" s="1"/>
      <c r="AEM157" s="1"/>
      <c r="AEN157" s="1"/>
      <c r="AEO157" s="1"/>
      <c r="AEP157" s="1"/>
      <c r="AEQ157" s="1"/>
      <c r="AER157" s="1"/>
      <c r="AES157" s="1"/>
      <c r="AET157" s="1"/>
      <c r="AEU157" s="1"/>
      <c r="AEV157" s="1"/>
      <c r="AEW157" s="1"/>
      <c r="AEX157" s="1"/>
      <c r="AEY157" s="1"/>
      <c r="AEZ157" s="1"/>
      <c r="AFA157" s="1"/>
      <c r="AFB157" s="1"/>
      <c r="AFC157" s="1"/>
      <c r="AFD157" s="1"/>
      <c r="AFE157" s="1"/>
      <c r="AFF157" s="1"/>
      <c r="AFG157" s="1"/>
      <c r="AFH157" s="1"/>
      <c r="AFI157" s="1"/>
      <c r="AFJ157" s="1"/>
      <c r="AFK157" s="1"/>
      <c r="AFL157" s="1"/>
      <c r="AFM157" s="1"/>
      <c r="AFN157" s="1"/>
      <c r="AFO157" s="1"/>
      <c r="AFP157" s="1"/>
      <c r="AFQ157" s="1"/>
      <c r="AFR157" s="1"/>
      <c r="AFS157" s="1"/>
      <c r="AFT157" s="1"/>
      <c r="AFU157" s="1"/>
      <c r="AFV157" s="1"/>
      <c r="AFW157" s="1"/>
      <c r="AFX157" s="1"/>
      <c r="AFY157" s="1"/>
      <c r="AFZ157" s="1"/>
      <c r="AGA157" s="1"/>
      <c r="AGB157" s="1"/>
      <c r="AGC157" s="1"/>
      <c r="AGD157" s="1"/>
      <c r="AGE157" s="1"/>
      <c r="AGF157" s="1"/>
      <c r="AGG157" s="1"/>
      <c r="AGH157" s="1"/>
      <c r="AGI157" s="1"/>
      <c r="AGJ157" s="1"/>
      <c r="AGK157" s="1"/>
      <c r="AGL157" s="1"/>
      <c r="AGM157" s="1"/>
      <c r="AGN157" s="1"/>
      <c r="AGO157" s="1"/>
      <c r="AGP157" s="1"/>
      <c r="AGQ157" s="1"/>
      <c r="AGR157" s="1"/>
      <c r="AGS157" s="1"/>
      <c r="AGT157" s="1"/>
      <c r="AGU157" s="1"/>
      <c r="AGV157" s="1"/>
      <c r="AGW157" s="1"/>
      <c r="AGX157" s="1"/>
      <c r="AGY157" s="1"/>
      <c r="AGZ157" s="1"/>
      <c r="AHA157" s="1"/>
      <c r="AHB157" s="1"/>
      <c r="AHC157" s="1"/>
      <c r="AHD157" s="1"/>
      <c r="AHE157" s="1"/>
      <c r="AHF157" s="1"/>
      <c r="AHG157" s="1"/>
      <c r="AHH157" s="1"/>
      <c r="AHI157" s="1"/>
      <c r="AHJ157" s="1"/>
      <c r="AHK157" s="1"/>
      <c r="AHL157" s="1"/>
      <c r="AHM157" s="1"/>
      <c r="AHN157" s="1"/>
      <c r="AHO157" s="1"/>
      <c r="AHP157" s="1"/>
      <c r="AHQ157" s="1"/>
      <c r="AHR157" s="1"/>
      <c r="AHS157" s="1"/>
      <c r="AHT157" s="1"/>
      <c r="AHU157" s="1"/>
      <c r="AHV157" s="1"/>
      <c r="AHW157" s="1"/>
      <c r="AHX157" s="1"/>
      <c r="AHY157" s="1"/>
      <c r="AHZ157" s="1"/>
      <c r="AIA157" s="1"/>
      <c r="AIB157" s="1"/>
      <c r="AIC157" s="1"/>
      <c r="AID157" s="1"/>
      <c r="AIE157" s="1"/>
      <c r="AIF157" s="1"/>
      <c r="AIG157" s="1"/>
      <c r="AIH157" s="1"/>
      <c r="AII157" s="1"/>
      <c r="AIJ157" s="1"/>
      <c r="AIK157" s="1"/>
      <c r="AIL157" s="1"/>
      <c r="AIM157" s="1"/>
      <c r="AIN157" s="1"/>
      <c r="AIO157" s="1"/>
      <c r="AIP157" s="1"/>
      <c r="AIQ157" s="1"/>
      <c r="AIR157" s="1"/>
      <c r="AIS157" s="1"/>
      <c r="AIT157" s="1"/>
      <c r="AIU157" s="1"/>
      <c r="AIV157" s="1"/>
      <c r="AIW157" s="1"/>
      <c r="AIX157" s="1"/>
      <c r="AIY157" s="1"/>
      <c r="AIZ157" s="1"/>
      <c r="AJA157" s="1"/>
      <c r="AJB157" s="1"/>
      <c r="AJC157" s="1"/>
      <c r="AJD157" s="1"/>
      <c r="AJE157" s="1"/>
      <c r="AJF157" s="1"/>
      <c r="AJG157" s="1"/>
      <c r="AJH157" s="1"/>
      <c r="AJI157" s="1"/>
      <c r="AJJ157" s="1"/>
      <c r="AJK157" s="1"/>
      <c r="AJL157" s="1"/>
      <c r="AJM157" s="1"/>
      <c r="AJN157" s="1"/>
      <c r="AJO157" s="1"/>
      <c r="AJP157" s="1"/>
      <c r="AJQ157" s="1"/>
      <c r="AJR157" s="1"/>
      <c r="AJS157" s="1"/>
      <c r="AJT157" s="1"/>
      <c r="AJU157" s="1"/>
      <c r="AJV157" s="1"/>
      <c r="AJW157" s="1"/>
      <c r="AJX157" s="1"/>
      <c r="AJY157" s="1"/>
      <c r="AJZ157" s="1"/>
      <c r="AKA157" s="1"/>
      <c r="AKB157" s="1"/>
      <c r="AKC157" s="1"/>
      <c r="AKD157" s="1"/>
      <c r="AKE157" s="1"/>
      <c r="AKF157" s="1"/>
      <c r="AKG157" s="1"/>
      <c r="AKH157" s="1"/>
      <c r="AKI157" s="1"/>
      <c r="AKJ157" s="1"/>
      <c r="AKK157" s="1"/>
      <c r="AKL157" s="1"/>
      <c r="AKM157" s="1"/>
      <c r="AKN157" s="1"/>
      <c r="AKO157" s="1"/>
      <c r="AKP157" s="1"/>
      <c r="AKQ157" s="1"/>
      <c r="AKR157" s="1"/>
      <c r="AKS157" s="1"/>
      <c r="AKT157" s="1"/>
      <c r="AKU157" s="1"/>
      <c r="AKV157" s="1"/>
      <c r="AKW157" s="1"/>
      <c r="AKX157" s="1"/>
      <c r="AKY157" s="1"/>
      <c r="AKZ157" s="1"/>
      <c r="ALA157" s="1"/>
      <c r="ALB157" s="1"/>
      <c r="ALC157" s="1"/>
      <c r="ALD157" s="1"/>
      <c r="ALE157" s="1"/>
      <c r="ALF157" s="1"/>
      <c r="ALG157" s="1"/>
      <c r="ALH157" s="1"/>
      <c r="ALI157" s="1"/>
      <c r="ALJ157" s="1"/>
      <c r="ALK157" s="1"/>
      <c r="ALL157" s="1"/>
      <c r="ALM157" s="1"/>
      <c r="ALN157" s="1"/>
      <c r="ALO157" s="1"/>
      <c r="ALP157" s="1"/>
      <c r="ALQ157" s="1"/>
      <c r="ALR157" s="1"/>
      <c r="ALS157" s="1"/>
      <c r="ALT157" s="1"/>
      <c r="ALU157" s="1"/>
      <c r="ALV157" s="1"/>
      <c r="ALW157" s="1"/>
      <c r="ALX157" s="1"/>
      <c r="ALY157" s="1"/>
      <c r="ALZ157" s="1"/>
      <c r="AMA157" s="1"/>
      <c r="AMB157" s="1"/>
      <c r="AMC157" s="1"/>
      <c r="AMD157" s="1"/>
      <c r="AME157" s="1"/>
      <c r="AMF157" s="1"/>
      <c r="AMG157" s="1"/>
      <c r="AMH157" s="1"/>
      <c r="AMI157" s="1"/>
      <c r="AMJ157" s="1"/>
      <c r="AMK157" s="1"/>
      <c r="AML157" s="1"/>
      <c r="AMM157" s="1"/>
      <c r="AMN157" s="1"/>
      <c r="AMO157" s="1"/>
    </row>
    <row r="158" spans="1:1030" x14ac:dyDescent="0.2">
      <c r="A158" s="3" t="str">
        <f>CONCATENATE(B158,"_",C158)</f>
        <v>drd4_human__wt</v>
      </c>
      <c r="B158" s="3" t="s">
        <v>193</v>
      </c>
      <c r="C158" s="3" t="s">
        <v>100</v>
      </c>
      <c r="D158" s="3" t="str">
        <f>IFERROR(MID(VLOOKUP($B158,Seqs!$A:$B,2,0),E158,1),"")</f>
        <v>A</v>
      </c>
      <c r="E158" s="3">
        <v>31</v>
      </c>
      <c r="F158" s="3" t="str">
        <f>IFERROR(MID(VLOOKUP($B158,Seqs!$A:$B,2,0),G158,1),"")</f>
        <v>E</v>
      </c>
      <c r="G158" s="3">
        <v>62</v>
      </c>
      <c r="H158" s="3" t="str">
        <f>IFERROR(MID(VLOOKUP($B158,Seqs!$A:$B,2,0),I158,1),"")</f>
        <v>R</v>
      </c>
      <c r="I158" s="23">
        <v>63</v>
      </c>
      <c r="J158" s="3" t="str">
        <f>IFERROR(MID(VLOOKUP($B158,Seqs!$A:$B,2,0),K158,1),"")</f>
        <v>Q</v>
      </c>
      <c r="K158" s="23">
        <v>66</v>
      </c>
      <c r="L158" s="3" t="str">
        <f>IFERROR(MID(VLOOKUP($B158,Seqs!$A:$B,2,0),M158,1),"")</f>
        <v>T</v>
      </c>
      <c r="M158" s="3">
        <v>67</v>
      </c>
      <c r="N158" s="3" t="str">
        <f>IFERROR(MID(VLOOKUP($B158,Seqs!$A:$B,2,0),O158,1),"")</f>
        <v>Q</v>
      </c>
      <c r="O158" s="3">
        <v>97</v>
      </c>
      <c r="P158" s="3" t="str">
        <f>IFERROR(MID(VLOOKUP($B158,Seqs!$A:$B,2,0),Q158,1),"")</f>
        <v>A</v>
      </c>
      <c r="Q158" s="3">
        <v>100</v>
      </c>
      <c r="R158" s="3" t="str">
        <f>IFERROR(MID(VLOOKUP($B158,Seqs!$A:$B,2,0),S158,1),"")</f>
        <v>L</v>
      </c>
      <c r="S158" s="3">
        <v>103</v>
      </c>
      <c r="T158" s="3" t="str">
        <f>IFERROR(MID(VLOOKUP($B158,Seqs!$A:$B,2,0),U158,1),"")</f>
        <v>S</v>
      </c>
      <c r="U158" s="3">
        <v>104</v>
      </c>
      <c r="V158" s="3" t="str">
        <f>IFERROR(MID(VLOOKUP($B158,Seqs!$A:$B,2,0),W158,1),"")</f>
        <v>V</v>
      </c>
      <c r="W158" s="3">
        <v>139</v>
      </c>
      <c r="X158" s="3" t="str">
        <f>IFERROR(MID(VLOOKUP($B158,Seqs!$A:$B,2,0),Y158,1),"")</f>
        <v>P</v>
      </c>
      <c r="Y158" s="3">
        <v>140</v>
      </c>
      <c r="Z158" s="3" t="str">
        <f>IFERROR(MID(VLOOKUP($B158,Seqs!$A:$B,2,0),AA158,1),"")</f>
        <v>G</v>
      </c>
      <c r="AA158" s="3">
        <v>147</v>
      </c>
      <c r="AB158" s="3" t="str">
        <f>IFERROR(MID(VLOOKUP($B158,Seqs!$A:$B,2,0),AC158,1),"")</f>
        <v>G</v>
      </c>
      <c r="AC158" s="3">
        <v>148</v>
      </c>
      <c r="AD158" s="3" t="str">
        <f>IFERROR(MID(VLOOKUP($B158,Seqs!$A:$B,2,0),AE158,1),"")</f>
        <v>G</v>
      </c>
      <c r="AE158" s="3">
        <v>173</v>
      </c>
      <c r="AF158" s="3" t="str">
        <f>IFERROR(MID(VLOOKUP($B158,Seqs!$A:$B,2,0),AG158,1),"")</f>
        <v>C</v>
      </c>
      <c r="AG158" s="3">
        <v>185</v>
      </c>
      <c r="AH158" s="3" t="str">
        <f>IFERROR(MID(VLOOKUP($B158,Seqs!$A:$B,2,0),AI158,1),"")</f>
        <v>L</v>
      </c>
      <c r="AI158" s="3">
        <v>187</v>
      </c>
      <c r="AJ158" s="3" t="str">
        <f>IFERROR(MID(VLOOKUP($B158,Seqs!$A:$B,2,0),AK158,1),"")</f>
        <v>D</v>
      </c>
      <c r="AK158" s="3">
        <v>189</v>
      </c>
      <c r="AL158" s="3" t="str">
        <f>IFERROR(MID(VLOOKUP($B158,Seqs!$A:$B,2,0),AM158,1),"")</f>
        <v>K</v>
      </c>
      <c r="AM158" s="3">
        <v>229</v>
      </c>
      <c r="AN158" s="3" t="str">
        <f>IFERROR(MID(VLOOKUP($B158,Seqs!$A:$B,2,0),AO158,1),"")</f>
        <v>A</v>
      </c>
      <c r="AO158" s="3">
        <v>383</v>
      </c>
      <c r="AP158" s="3" t="str">
        <f>IFERROR(MID(VLOOKUP($B158,Seqs!$A:$B,2,0),AQ158,1),"")</f>
        <v>C</v>
      </c>
      <c r="AQ158" s="3">
        <v>420</v>
      </c>
      <c r="AR158" s="3" t="str">
        <f>IFERROR(MID(VLOOKUP($B158,Seqs!$A:$B,2,0),AS158,1),"")</f>
        <v>P</v>
      </c>
      <c r="AS158" s="3">
        <v>426</v>
      </c>
      <c r="AT158" s="3" t="str">
        <f>IFERROR(MID(VLOOKUP($B158,Seqs!$A:$B,2,0),AU158,1),"")</f>
        <v>F</v>
      </c>
      <c r="AU158" s="3">
        <v>451</v>
      </c>
      <c r="AV158" s="3" t="str">
        <f>IFERROR(MID(VLOOKUP($B158,Seqs!$A:$B,2,0),AW158,1),"")</f>
        <v>N</v>
      </c>
      <c r="AW158" s="3">
        <v>452</v>
      </c>
      <c r="AX158" s="3" t="str">
        <f>IFERROR(MID(VLOOKUP($B158,Seqs!$A:$B,2,0),AY158,1),"")</f>
        <v>R</v>
      </c>
      <c r="AY158" s="3">
        <v>464</v>
      </c>
      <c r="AZ158" s="77" t="str">
        <f>VLOOKUP(B158,Classification!A:D,2,0)</f>
        <v>A</v>
      </c>
      <c r="BA158" s="94" t="str">
        <f>VLOOKUP(B158,Classification!A:D,4,0)</f>
        <v>Dopamine</v>
      </c>
      <c r="BB158" s="27" t="b">
        <f>AND(E158&lt;G158,OR(G158&lt;I158,I158="-"),OR(I158&lt;K158,I158="-"),OR(K158&lt;M158,K158="-"),M158&lt;O158,OR(O158&lt;Q158,Q158="-"),OR(Q158&lt;S158,Q158="-"),OR(S158&lt;U158,S158="-"),U158&lt;W158,OR(W158&lt;Y158,Y158="-"),OR(Y158&lt;AA158,Y158="-"),OR(AA158&lt;AC158,AA158="-"),AC158&lt;AE158,OR(AE158&lt;AG158,AG158="-"),OR(AG158&lt;AI158,AG158="-"),OR(AI158&lt;AK158,AI158="-"),AK158&lt;AM158,AM158&lt;AO158,AO158&lt;AQ158,AQ158&lt;AS158,AS158&lt;AU158,OR(AU158&lt;AW158,AW158="-"),OR(AW158&lt;AY158,AW158="-"))</f>
        <v>1</v>
      </c>
      <c r="BC158" s="23">
        <f>_xlfn.AGGREGATE(9,6,CH158:CS158)-_xlfn.AGGREGATE(9,6,BV158:CG158)+12</f>
        <v>262</v>
      </c>
      <c r="BD158" s="2" t="s">
        <v>23</v>
      </c>
      <c r="BE158" s="3" t="s">
        <v>1381</v>
      </c>
      <c r="BF158" s="119" t="s">
        <v>23</v>
      </c>
      <c r="BG158" s="49" t="s">
        <v>1384</v>
      </c>
      <c r="BH158" s="49" t="s">
        <v>1384</v>
      </c>
      <c r="BI158" s="1"/>
      <c r="BJ158" s="70" t="s">
        <v>1293</v>
      </c>
      <c r="BK158" s="57" t="s">
        <v>1293</v>
      </c>
      <c r="BL158" s="57" t="s">
        <v>1293</v>
      </c>
      <c r="BM158" s="57" t="s">
        <v>1293</v>
      </c>
      <c r="BN158" s="57" t="s">
        <v>1293</v>
      </c>
      <c r="BO158" s="57" t="s">
        <v>1293</v>
      </c>
      <c r="BP158" s="57" t="s">
        <v>1293</v>
      </c>
      <c r="BQ158" s="57" t="s">
        <v>1293</v>
      </c>
      <c r="BR158" s="57" t="s">
        <v>1293</v>
      </c>
      <c r="BS158" s="57" t="s">
        <v>1293</v>
      </c>
      <c r="BT158" s="57" t="s">
        <v>1293</v>
      </c>
      <c r="BU158" s="57" t="s">
        <v>1293</v>
      </c>
      <c r="BV158" s="70">
        <f>E158</f>
        <v>31</v>
      </c>
      <c r="BW158" s="71">
        <f>I158</f>
        <v>63</v>
      </c>
      <c r="BX158" s="72">
        <f>M158</f>
        <v>67</v>
      </c>
      <c r="BY158" s="71">
        <f>Q158</f>
        <v>100</v>
      </c>
      <c r="BZ158" s="72">
        <f>U158</f>
        <v>104</v>
      </c>
      <c r="CA158" s="71">
        <f>Y158</f>
        <v>140</v>
      </c>
      <c r="CB158" s="72">
        <f>AC158</f>
        <v>148</v>
      </c>
      <c r="CC158" s="71">
        <f>AG158</f>
        <v>185</v>
      </c>
      <c r="CD158" s="72">
        <f>AK158</f>
        <v>189</v>
      </c>
      <c r="CE158" s="71">
        <f>AO158</f>
        <v>383</v>
      </c>
      <c r="CF158" s="72">
        <f>AS158</f>
        <v>426</v>
      </c>
      <c r="CG158" s="71">
        <f>AW158</f>
        <v>452</v>
      </c>
      <c r="CH158" s="70">
        <f>G158</f>
        <v>62</v>
      </c>
      <c r="CI158" s="71">
        <f>K158</f>
        <v>66</v>
      </c>
      <c r="CJ158" s="72">
        <f>O158</f>
        <v>97</v>
      </c>
      <c r="CK158" s="72">
        <f>S158</f>
        <v>103</v>
      </c>
      <c r="CL158" s="72">
        <f>W158</f>
        <v>139</v>
      </c>
      <c r="CM158" s="72">
        <f>AA158</f>
        <v>147</v>
      </c>
      <c r="CN158" s="72">
        <f>AE158</f>
        <v>173</v>
      </c>
      <c r="CO158" s="72">
        <f>AI158</f>
        <v>187</v>
      </c>
      <c r="CP158" s="72">
        <f>AM158</f>
        <v>229</v>
      </c>
      <c r="CQ158" s="72">
        <f>AQ158</f>
        <v>420</v>
      </c>
      <c r="CR158" s="72">
        <f>AU158</f>
        <v>451</v>
      </c>
      <c r="CS158" s="72">
        <f>AY158</f>
        <v>464</v>
      </c>
      <c r="CT158" s="23">
        <f>M158-K158</f>
        <v>1</v>
      </c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  <c r="OK158" s="1"/>
      <c r="OL158" s="1"/>
      <c r="OM158" s="1"/>
      <c r="ON158" s="1"/>
      <c r="OO158" s="1"/>
      <c r="OP158" s="1"/>
      <c r="OQ158" s="1"/>
      <c r="OR158" s="1"/>
      <c r="OS158" s="1"/>
      <c r="OT158" s="1"/>
      <c r="OU158" s="1"/>
      <c r="OV158" s="1"/>
      <c r="OW158" s="1"/>
      <c r="OX158" s="1"/>
      <c r="OY158" s="1"/>
      <c r="OZ158" s="1"/>
      <c r="PA158" s="1"/>
      <c r="PB158" s="1"/>
      <c r="PC158" s="1"/>
      <c r="PD158" s="1"/>
      <c r="PE158" s="1"/>
      <c r="PF158" s="1"/>
      <c r="PG158" s="1"/>
      <c r="PH158" s="1"/>
      <c r="PI158" s="1"/>
      <c r="PJ158" s="1"/>
      <c r="PK158" s="1"/>
      <c r="PL158" s="1"/>
      <c r="PM158" s="1"/>
      <c r="PN158" s="1"/>
      <c r="PO158" s="1"/>
      <c r="PP158" s="1"/>
      <c r="PQ158" s="1"/>
      <c r="PR158" s="1"/>
      <c r="PS158" s="1"/>
      <c r="PT158" s="1"/>
      <c r="PU158" s="1"/>
      <c r="PV158" s="1"/>
      <c r="PW158" s="1"/>
      <c r="PX158" s="1"/>
      <c r="PY158" s="1"/>
      <c r="PZ158" s="1"/>
      <c r="QA158" s="1"/>
      <c r="QB158" s="1"/>
      <c r="QC158" s="1"/>
      <c r="QD158" s="1"/>
      <c r="QE158" s="1"/>
      <c r="QF158" s="1"/>
      <c r="QG158" s="1"/>
      <c r="QH158" s="1"/>
      <c r="QI158" s="1"/>
      <c r="QJ158" s="1"/>
      <c r="QK158" s="1"/>
      <c r="QL158" s="1"/>
      <c r="QM158" s="1"/>
      <c r="QN158" s="1"/>
      <c r="QO158" s="1"/>
      <c r="QP158" s="1"/>
      <c r="QQ158" s="1"/>
      <c r="QR158" s="1"/>
      <c r="QS158" s="1"/>
      <c r="QT158" s="1"/>
      <c r="QU158" s="1"/>
      <c r="QV158" s="1"/>
      <c r="QW158" s="1"/>
      <c r="QX158" s="1"/>
      <c r="QY158" s="1"/>
      <c r="QZ158" s="1"/>
      <c r="RA158" s="1"/>
      <c r="RB158" s="1"/>
      <c r="RC158" s="1"/>
      <c r="RD158" s="1"/>
      <c r="RE158" s="1"/>
      <c r="RF158" s="1"/>
      <c r="RG158" s="1"/>
      <c r="RH158" s="1"/>
      <c r="RI158" s="1"/>
      <c r="RJ158" s="1"/>
      <c r="RK158" s="1"/>
      <c r="RL158" s="1"/>
      <c r="RM158" s="1"/>
      <c r="RN158" s="1"/>
      <c r="RO158" s="1"/>
      <c r="RP158" s="1"/>
      <c r="RQ158" s="1"/>
      <c r="RR158" s="1"/>
      <c r="RS158" s="1"/>
      <c r="RT158" s="1"/>
      <c r="RU158" s="1"/>
      <c r="RV158" s="1"/>
      <c r="RW158" s="1"/>
      <c r="RX158" s="1"/>
      <c r="RY158" s="1"/>
      <c r="RZ158" s="1"/>
      <c r="SA158" s="1"/>
      <c r="SB158" s="1"/>
      <c r="SC158" s="1"/>
      <c r="SD158" s="1"/>
      <c r="SE158" s="1"/>
      <c r="SF158" s="1"/>
      <c r="SG158" s="1"/>
      <c r="SH158" s="1"/>
      <c r="SI158" s="1"/>
      <c r="SJ158" s="1"/>
      <c r="SK158" s="1"/>
      <c r="SL158" s="1"/>
      <c r="SM158" s="1"/>
      <c r="SN158" s="1"/>
      <c r="SO158" s="1"/>
      <c r="SP158" s="1"/>
      <c r="SQ158" s="1"/>
      <c r="SR158" s="1"/>
      <c r="SS158" s="1"/>
      <c r="ST158" s="1"/>
      <c r="SU158" s="1"/>
      <c r="SV158" s="1"/>
      <c r="SW158" s="1"/>
      <c r="SX158" s="1"/>
      <c r="SY158" s="1"/>
      <c r="SZ158" s="1"/>
      <c r="TA158" s="1"/>
      <c r="TB158" s="1"/>
      <c r="TC158" s="1"/>
      <c r="TD158" s="1"/>
      <c r="TE158" s="1"/>
      <c r="TF158" s="1"/>
      <c r="TG158" s="1"/>
      <c r="TH158" s="1"/>
      <c r="TI158" s="1"/>
      <c r="TJ158" s="1"/>
      <c r="TK158" s="1"/>
      <c r="TL158" s="1"/>
      <c r="TM158" s="1"/>
      <c r="TN158" s="1"/>
      <c r="TO158" s="1"/>
      <c r="TP158" s="1"/>
      <c r="TQ158" s="1"/>
      <c r="TR158" s="1"/>
      <c r="TS158" s="1"/>
      <c r="TT158" s="1"/>
      <c r="TU158" s="1"/>
      <c r="TV158" s="1"/>
      <c r="TW158" s="1"/>
      <c r="TX158" s="1"/>
      <c r="TY158" s="1"/>
      <c r="TZ158" s="1"/>
      <c r="UA158" s="1"/>
      <c r="UB158" s="1"/>
      <c r="UC158" s="1"/>
      <c r="UD158" s="1"/>
      <c r="UE158" s="1"/>
      <c r="UF158" s="1"/>
      <c r="UG158" s="1"/>
      <c r="UH158" s="1"/>
      <c r="UI158" s="1"/>
      <c r="UJ158" s="1"/>
      <c r="UK158" s="1"/>
      <c r="UL158" s="1"/>
      <c r="UM158" s="1"/>
      <c r="UN158" s="1"/>
      <c r="UO158" s="1"/>
      <c r="UP158" s="1"/>
      <c r="UQ158" s="1"/>
      <c r="UR158" s="1"/>
      <c r="US158" s="1"/>
      <c r="UT158" s="1"/>
      <c r="UU158" s="1"/>
      <c r="UV158" s="1"/>
      <c r="UW158" s="1"/>
      <c r="UX158" s="1"/>
      <c r="UY158" s="1"/>
      <c r="UZ158" s="1"/>
      <c r="VA158" s="1"/>
      <c r="VB158" s="1"/>
      <c r="VC158" s="1"/>
      <c r="VD158" s="1"/>
      <c r="VE158" s="1"/>
      <c r="VF158" s="1"/>
      <c r="VG158" s="1"/>
      <c r="VH158" s="1"/>
      <c r="VI158" s="1"/>
      <c r="VJ158" s="1"/>
      <c r="VK158" s="1"/>
      <c r="VL158" s="1"/>
      <c r="VM158" s="1"/>
      <c r="VN158" s="1"/>
      <c r="VO158" s="1"/>
      <c r="VP158" s="1"/>
      <c r="VQ158" s="1"/>
      <c r="VR158" s="1"/>
      <c r="VS158" s="1"/>
      <c r="VT158" s="1"/>
      <c r="VU158" s="1"/>
      <c r="VV158" s="1"/>
      <c r="VW158" s="1"/>
      <c r="VX158" s="1"/>
      <c r="VY158" s="1"/>
      <c r="VZ158" s="1"/>
      <c r="WA158" s="1"/>
      <c r="WB158" s="1"/>
      <c r="WC158" s="1"/>
      <c r="WD158" s="1"/>
      <c r="WE158" s="1"/>
      <c r="WF158" s="1"/>
      <c r="WG158" s="1"/>
      <c r="WH158" s="1"/>
      <c r="WI158" s="1"/>
      <c r="WJ158" s="1"/>
      <c r="WK158" s="1"/>
      <c r="WL158" s="1"/>
      <c r="WM158" s="1"/>
      <c r="WN158" s="1"/>
      <c r="WO158" s="1"/>
      <c r="WP158" s="1"/>
      <c r="WQ158" s="1"/>
      <c r="WR158" s="1"/>
      <c r="WS158" s="1"/>
      <c r="WT158" s="1"/>
      <c r="WU158" s="1"/>
      <c r="WV158" s="1"/>
      <c r="WW158" s="1"/>
      <c r="WX158" s="1"/>
      <c r="WY158" s="1"/>
      <c r="WZ158" s="1"/>
      <c r="XA158" s="1"/>
      <c r="XB158" s="1"/>
      <c r="XC158" s="1"/>
      <c r="XD158" s="1"/>
      <c r="XE158" s="1"/>
      <c r="XF158" s="1"/>
      <c r="XG158" s="1"/>
      <c r="XH158" s="1"/>
      <c r="XI158" s="1"/>
      <c r="XJ158" s="1"/>
      <c r="XK158" s="1"/>
      <c r="XL158" s="1"/>
      <c r="XM158" s="1"/>
      <c r="XN158" s="1"/>
      <c r="XO158" s="1"/>
      <c r="XP158" s="1"/>
      <c r="XQ158" s="1"/>
      <c r="XR158" s="1"/>
      <c r="XS158" s="1"/>
      <c r="XT158" s="1"/>
      <c r="XU158" s="1"/>
      <c r="XV158" s="1"/>
      <c r="XW158" s="1"/>
      <c r="XX158" s="1"/>
      <c r="XY158" s="1"/>
      <c r="XZ158" s="1"/>
      <c r="YA158" s="1"/>
      <c r="YB158" s="1"/>
      <c r="YC158" s="1"/>
      <c r="YD158" s="1"/>
      <c r="YE158" s="1"/>
      <c r="YF158" s="1"/>
      <c r="YG158" s="1"/>
      <c r="YH158" s="1"/>
      <c r="YI158" s="1"/>
      <c r="YJ158" s="1"/>
      <c r="YK158" s="1"/>
      <c r="YL158" s="1"/>
      <c r="YM158" s="1"/>
      <c r="YN158" s="1"/>
      <c r="YO158" s="1"/>
      <c r="YP158" s="1"/>
      <c r="YQ158" s="1"/>
      <c r="YR158" s="1"/>
      <c r="YS158" s="1"/>
      <c r="YT158" s="1"/>
      <c r="YU158" s="1"/>
      <c r="YV158" s="1"/>
      <c r="YW158" s="1"/>
      <c r="YX158" s="1"/>
      <c r="YY158" s="1"/>
      <c r="YZ158" s="1"/>
      <c r="ZA158" s="1"/>
      <c r="ZB158" s="1"/>
      <c r="ZC158" s="1"/>
      <c r="ZD158" s="1"/>
      <c r="ZE158" s="1"/>
      <c r="ZF158" s="1"/>
      <c r="ZG158" s="1"/>
      <c r="ZH158" s="1"/>
      <c r="ZI158" s="1"/>
      <c r="ZJ158" s="1"/>
      <c r="ZK158" s="1"/>
      <c r="ZL158" s="1"/>
      <c r="ZM158" s="1"/>
      <c r="ZN158" s="1"/>
      <c r="ZO158" s="1"/>
      <c r="ZP158" s="1"/>
      <c r="ZQ158" s="1"/>
      <c r="ZR158" s="1"/>
      <c r="ZS158" s="1"/>
      <c r="ZT158" s="1"/>
      <c r="ZU158" s="1"/>
      <c r="ZV158" s="1"/>
      <c r="ZW158" s="1"/>
      <c r="ZX158" s="1"/>
      <c r="ZY158" s="1"/>
      <c r="ZZ158" s="1"/>
      <c r="AAA158" s="1"/>
      <c r="AAB158" s="1"/>
      <c r="AAC158" s="1"/>
      <c r="AAD158" s="1"/>
      <c r="AAE158" s="1"/>
      <c r="AAF158" s="1"/>
      <c r="AAG158" s="1"/>
      <c r="AAH158" s="1"/>
      <c r="AAI158" s="1"/>
      <c r="AAJ158" s="1"/>
      <c r="AAK158" s="1"/>
      <c r="AAL158" s="1"/>
      <c r="AAM158" s="1"/>
      <c r="AAN158" s="1"/>
      <c r="AAO158" s="1"/>
      <c r="AAP158" s="1"/>
      <c r="AAQ158" s="1"/>
      <c r="AAR158" s="1"/>
      <c r="AAS158" s="1"/>
      <c r="AAT158" s="1"/>
      <c r="AAU158" s="1"/>
      <c r="AAV158" s="1"/>
      <c r="AAW158" s="1"/>
      <c r="AAX158" s="1"/>
      <c r="AAY158" s="1"/>
      <c r="AAZ158" s="1"/>
      <c r="ABA158" s="1"/>
      <c r="ABB158" s="1"/>
      <c r="ABC158" s="1"/>
      <c r="ABD158" s="1"/>
      <c r="ABE158" s="1"/>
      <c r="ABF158" s="1"/>
      <c r="ABG158" s="1"/>
      <c r="ABH158" s="1"/>
      <c r="ABI158" s="1"/>
      <c r="ABJ158" s="1"/>
      <c r="ABK158" s="1"/>
      <c r="ABL158" s="1"/>
      <c r="ABM158" s="1"/>
      <c r="ABN158" s="1"/>
      <c r="ABO158" s="1"/>
      <c r="ABP158" s="1"/>
      <c r="ABQ158" s="1"/>
      <c r="ABR158" s="1"/>
      <c r="ABS158" s="1"/>
      <c r="ABT158" s="1"/>
      <c r="ABU158" s="1"/>
      <c r="ABV158" s="1"/>
      <c r="ABW158" s="1"/>
      <c r="ABX158" s="1"/>
      <c r="ABY158" s="1"/>
      <c r="ABZ158" s="1"/>
      <c r="ACA158" s="1"/>
      <c r="ACB158" s="1"/>
      <c r="ACC158" s="1"/>
      <c r="ACD158" s="1"/>
      <c r="ACE158" s="1"/>
      <c r="ACF158" s="1"/>
      <c r="ACG158" s="1"/>
      <c r="ACH158" s="1"/>
      <c r="ACI158" s="1"/>
      <c r="ACJ158" s="1"/>
      <c r="ACK158" s="1"/>
      <c r="ACL158" s="1"/>
      <c r="ACM158" s="1"/>
      <c r="ACN158" s="1"/>
      <c r="ACO158" s="1"/>
      <c r="ACP158" s="1"/>
      <c r="ACQ158" s="1"/>
      <c r="ACR158" s="1"/>
      <c r="ACS158" s="1"/>
      <c r="ACT158" s="1"/>
      <c r="ACU158" s="1"/>
      <c r="ACV158" s="1"/>
      <c r="ACW158" s="1"/>
      <c r="ACX158" s="1"/>
      <c r="ACY158" s="1"/>
      <c r="ACZ158" s="1"/>
      <c r="ADA158" s="1"/>
      <c r="ADB158" s="1"/>
      <c r="ADC158" s="1"/>
      <c r="ADD158" s="1"/>
      <c r="ADE158" s="1"/>
      <c r="ADF158" s="1"/>
      <c r="ADG158" s="1"/>
      <c r="ADH158" s="1"/>
      <c r="ADI158" s="1"/>
      <c r="ADJ158" s="1"/>
      <c r="ADK158" s="1"/>
      <c r="ADL158" s="1"/>
      <c r="ADM158" s="1"/>
      <c r="ADN158" s="1"/>
      <c r="ADO158" s="1"/>
      <c r="ADP158" s="1"/>
      <c r="ADQ158" s="1"/>
      <c r="ADR158" s="1"/>
      <c r="ADS158" s="1"/>
      <c r="ADT158" s="1"/>
      <c r="ADU158" s="1"/>
      <c r="ADV158" s="1"/>
      <c r="ADW158" s="1"/>
      <c r="ADX158" s="1"/>
      <c r="ADY158" s="1"/>
      <c r="ADZ158" s="1"/>
      <c r="AEA158" s="1"/>
      <c r="AEB158" s="1"/>
      <c r="AEC158" s="1"/>
      <c r="AED158" s="1"/>
      <c r="AEE158" s="1"/>
      <c r="AEF158" s="1"/>
      <c r="AEG158" s="1"/>
      <c r="AEH158" s="1"/>
      <c r="AEI158" s="1"/>
      <c r="AEJ158" s="1"/>
      <c r="AEK158" s="1"/>
      <c r="AEL158" s="1"/>
      <c r="AEM158" s="1"/>
      <c r="AEN158" s="1"/>
      <c r="AEO158" s="1"/>
      <c r="AEP158" s="1"/>
      <c r="AEQ158" s="1"/>
      <c r="AER158" s="1"/>
      <c r="AES158" s="1"/>
      <c r="AET158" s="1"/>
      <c r="AEU158" s="1"/>
      <c r="AEV158" s="1"/>
      <c r="AEW158" s="1"/>
      <c r="AEX158" s="1"/>
      <c r="AEY158" s="1"/>
      <c r="AEZ158" s="1"/>
      <c r="AFA158" s="1"/>
      <c r="AFB158" s="1"/>
      <c r="AFC158" s="1"/>
      <c r="AFD158" s="1"/>
      <c r="AFE158" s="1"/>
      <c r="AFF158" s="1"/>
      <c r="AFG158" s="1"/>
      <c r="AFH158" s="1"/>
      <c r="AFI158" s="1"/>
      <c r="AFJ158" s="1"/>
      <c r="AFK158" s="1"/>
      <c r="AFL158" s="1"/>
      <c r="AFM158" s="1"/>
      <c r="AFN158" s="1"/>
      <c r="AFO158" s="1"/>
      <c r="AFP158" s="1"/>
      <c r="AFQ158" s="1"/>
      <c r="AFR158" s="1"/>
      <c r="AFS158" s="1"/>
      <c r="AFT158" s="1"/>
      <c r="AFU158" s="1"/>
      <c r="AFV158" s="1"/>
      <c r="AFW158" s="1"/>
      <c r="AFX158" s="1"/>
      <c r="AFY158" s="1"/>
      <c r="AFZ158" s="1"/>
      <c r="AGA158" s="1"/>
      <c r="AGB158" s="1"/>
      <c r="AGC158" s="1"/>
      <c r="AGD158" s="1"/>
      <c r="AGE158" s="1"/>
      <c r="AGF158" s="1"/>
      <c r="AGG158" s="1"/>
      <c r="AGH158" s="1"/>
      <c r="AGI158" s="1"/>
      <c r="AGJ158" s="1"/>
      <c r="AGK158" s="1"/>
      <c r="AGL158" s="1"/>
      <c r="AGM158" s="1"/>
      <c r="AGN158" s="1"/>
      <c r="AGO158" s="1"/>
      <c r="AGP158" s="1"/>
      <c r="AGQ158" s="1"/>
      <c r="AGR158" s="1"/>
      <c r="AGS158" s="1"/>
      <c r="AGT158" s="1"/>
      <c r="AGU158" s="1"/>
      <c r="AGV158" s="1"/>
      <c r="AGW158" s="1"/>
      <c r="AGX158" s="1"/>
      <c r="AGY158" s="1"/>
      <c r="AGZ158" s="1"/>
      <c r="AHA158" s="1"/>
      <c r="AHB158" s="1"/>
      <c r="AHC158" s="1"/>
      <c r="AHD158" s="1"/>
      <c r="AHE158" s="1"/>
      <c r="AHF158" s="1"/>
      <c r="AHG158" s="1"/>
      <c r="AHH158" s="1"/>
      <c r="AHI158" s="1"/>
      <c r="AHJ158" s="1"/>
      <c r="AHK158" s="1"/>
      <c r="AHL158" s="1"/>
      <c r="AHM158" s="1"/>
      <c r="AHN158" s="1"/>
      <c r="AHO158" s="1"/>
      <c r="AHP158" s="1"/>
      <c r="AHQ158" s="1"/>
      <c r="AHR158" s="1"/>
      <c r="AHS158" s="1"/>
      <c r="AHT158" s="1"/>
      <c r="AHU158" s="1"/>
      <c r="AHV158" s="1"/>
      <c r="AHW158" s="1"/>
      <c r="AHX158" s="1"/>
      <c r="AHY158" s="1"/>
      <c r="AHZ158" s="1"/>
      <c r="AIA158" s="1"/>
      <c r="AIB158" s="1"/>
      <c r="AIC158" s="1"/>
      <c r="AID158" s="1"/>
      <c r="AIE158" s="1"/>
      <c r="AIF158" s="1"/>
      <c r="AIG158" s="1"/>
      <c r="AIH158" s="1"/>
      <c r="AII158" s="1"/>
      <c r="AIJ158" s="1"/>
      <c r="AIK158" s="1"/>
      <c r="AIL158" s="1"/>
      <c r="AIM158" s="1"/>
      <c r="AIN158" s="1"/>
      <c r="AIO158" s="1"/>
      <c r="AIP158" s="1"/>
      <c r="AIQ158" s="1"/>
      <c r="AIR158" s="1"/>
      <c r="AIS158" s="1"/>
      <c r="AIT158" s="1"/>
      <c r="AIU158" s="1"/>
      <c r="AIV158" s="1"/>
      <c r="AIW158" s="1"/>
      <c r="AIX158" s="1"/>
      <c r="AIY158" s="1"/>
      <c r="AIZ158" s="1"/>
      <c r="AJA158" s="1"/>
      <c r="AJB158" s="1"/>
      <c r="AJC158" s="1"/>
      <c r="AJD158" s="1"/>
      <c r="AJE158" s="1"/>
      <c r="AJF158" s="1"/>
      <c r="AJG158" s="1"/>
      <c r="AJH158" s="1"/>
      <c r="AJI158" s="1"/>
      <c r="AJJ158" s="1"/>
      <c r="AJK158" s="1"/>
      <c r="AJL158" s="1"/>
      <c r="AJM158" s="1"/>
      <c r="AJN158" s="1"/>
      <c r="AJO158" s="1"/>
      <c r="AJP158" s="1"/>
      <c r="AJQ158" s="1"/>
      <c r="AJR158" s="1"/>
      <c r="AJS158" s="1"/>
      <c r="AJT158" s="1"/>
      <c r="AJU158" s="1"/>
      <c r="AJV158" s="1"/>
      <c r="AJW158" s="1"/>
      <c r="AJX158" s="1"/>
      <c r="AJY158" s="1"/>
      <c r="AJZ158" s="1"/>
      <c r="AKA158" s="1"/>
      <c r="AKB158" s="1"/>
      <c r="AKC158" s="1"/>
      <c r="AKD158" s="1"/>
      <c r="AKE158" s="1"/>
      <c r="AKF158" s="1"/>
      <c r="AKG158" s="1"/>
      <c r="AKH158" s="1"/>
      <c r="AKI158" s="1"/>
      <c r="AKJ158" s="1"/>
      <c r="AKK158" s="1"/>
      <c r="AKL158" s="1"/>
      <c r="AKM158" s="1"/>
      <c r="AKN158" s="1"/>
      <c r="AKO158" s="1"/>
      <c r="AKP158" s="1"/>
      <c r="AKQ158" s="1"/>
      <c r="AKR158" s="1"/>
      <c r="AKS158" s="1"/>
      <c r="AKT158" s="1"/>
      <c r="AKU158" s="1"/>
      <c r="AKV158" s="1"/>
      <c r="AKW158" s="1"/>
      <c r="AKX158" s="1"/>
      <c r="AKY158" s="1"/>
      <c r="AKZ158" s="1"/>
      <c r="ALA158" s="1"/>
      <c r="ALB158" s="1"/>
      <c r="ALC158" s="1"/>
      <c r="ALD158" s="1"/>
      <c r="ALE158" s="1"/>
      <c r="ALF158" s="1"/>
      <c r="ALG158" s="1"/>
      <c r="ALH158" s="1"/>
      <c r="ALI158" s="1"/>
      <c r="ALJ158" s="1"/>
      <c r="ALK158" s="1"/>
      <c r="ALL158" s="1"/>
      <c r="ALM158" s="1"/>
      <c r="ALN158" s="1"/>
      <c r="ALO158" s="1"/>
      <c r="ALP158" s="1"/>
      <c r="ALQ158" s="1"/>
      <c r="ALR158" s="1"/>
      <c r="ALS158" s="1"/>
      <c r="ALT158" s="1"/>
      <c r="ALU158" s="1"/>
      <c r="ALV158" s="1"/>
      <c r="ALW158" s="1"/>
      <c r="ALX158" s="1"/>
      <c r="ALY158" s="1"/>
      <c r="ALZ158" s="1"/>
      <c r="AMA158" s="1"/>
      <c r="AMB158" s="1"/>
      <c r="AMC158" s="1"/>
      <c r="AMD158" s="1"/>
      <c r="AME158" s="1"/>
      <c r="AMF158" s="1"/>
      <c r="AMG158" s="1"/>
      <c r="AMH158" s="1"/>
      <c r="AMI158" s="1"/>
      <c r="AMJ158" s="1"/>
      <c r="AMK158" s="1"/>
      <c r="AML158" s="1"/>
      <c r="AMM158" s="1"/>
      <c r="AMN158" s="1"/>
      <c r="AMO158" s="1"/>
    </row>
    <row r="159" spans="1:1030" x14ac:dyDescent="0.2">
      <c r="A159" s="3" t="str">
        <f>CONCATENATE(B159,"_",C159)</f>
        <v>drd4_human_5WIU</v>
      </c>
      <c r="B159" s="3" t="s">
        <v>193</v>
      </c>
      <c r="C159" s="3" t="s">
        <v>1456</v>
      </c>
      <c r="D159" s="3" t="str">
        <f>IFERROR(MID(VLOOKUP($B159,Seqs!$A:$B,2,0),E159,1),"")</f>
        <v>G</v>
      </c>
      <c r="E159" s="3">
        <v>34</v>
      </c>
      <c r="F159" s="3" t="str">
        <f>IFERROR(MID(VLOOKUP($B159,Seqs!$A:$B,2,0),G159,1),"")</f>
        <v>E</v>
      </c>
      <c r="G159" s="3">
        <v>62</v>
      </c>
      <c r="H159" s="3" t="str">
        <f>IFERROR(MID(VLOOKUP($B159,Seqs!$A:$B,2,0),I159,1),"")</f>
        <v>R</v>
      </c>
      <c r="I159" s="23">
        <v>63</v>
      </c>
      <c r="J159" s="3" t="str">
        <f>IFERROR(MID(VLOOKUP($B159,Seqs!$A:$B,2,0),K159,1),"")</f>
        <v>Q</v>
      </c>
      <c r="K159" s="23">
        <v>66</v>
      </c>
      <c r="L159" s="3" t="str">
        <f>IFERROR(MID(VLOOKUP($B159,Seqs!$A:$B,2,0),M159,1),"")</f>
        <v>T</v>
      </c>
      <c r="M159" s="3">
        <v>67</v>
      </c>
      <c r="N159" s="3" t="str">
        <f>IFERROR(MID(VLOOKUP($B159,Seqs!$A:$B,2,0),O159,1),"")</f>
        <v>Q</v>
      </c>
      <c r="O159" s="3">
        <v>97</v>
      </c>
      <c r="P159" s="3" t="str">
        <f>IFERROR(MID(VLOOKUP($B159,Seqs!$A:$B,2,0),Q159,1),"")</f>
        <v>A</v>
      </c>
      <c r="Q159" s="3">
        <v>100</v>
      </c>
      <c r="R159" s="3" t="str">
        <f>IFERROR(MID(VLOOKUP($B159,Seqs!$A:$B,2,0),S159,1),"")</f>
        <v>L</v>
      </c>
      <c r="S159" s="3">
        <v>103</v>
      </c>
      <c r="T159" s="3" t="str">
        <f>IFERROR(MID(VLOOKUP($B159,Seqs!$A:$B,2,0),U159,1),"")</f>
        <v>S</v>
      </c>
      <c r="U159" s="3">
        <v>104</v>
      </c>
      <c r="V159" s="3" t="str">
        <f>IFERROR(MID(VLOOKUP($B159,Seqs!$A:$B,2,0),W159,1),"")</f>
        <v>V</v>
      </c>
      <c r="W159" s="3">
        <v>139</v>
      </c>
      <c r="X159" s="3" t="str">
        <f>IFERROR(MID(VLOOKUP($B159,Seqs!$A:$B,2,0),Y159,1),"")</f>
        <v/>
      </c>
      <c r="Y159" s="3" t="s">
        <v>23</v>
      </c>
      <c r="Z159" s="3" t="str">
        <f>IFERROR(MID(VLOOKUP($B159,Seqs!$A:$B,2,0),AA159,1),"")</f>
        <v/>
      </c>
      <c r="AA159" s="3" t="s">
        <v>23</v>
      </c>
      <c r="AB159" s="3" t="str">
        <f>IFERROR(MID(VLOOKUP($B159,Seqs!$A:$B,2,0),AC159,1),"")</f>
        <v>R</v>
      </c>
      <c r="AC159" s="3">
        <v>150</v>
      </c>
      <c r="AD159" s="3" t="str">
        <f>IFERROR(MID(VLOOKUP($B159,Seqs!$A:$B,2,0),AE159,1),"")</f>
        <v>G</v>
      </c>
      <c r="AE159" s="3">
        <v>173</v>
      </c>
      <c r="AF159" s="3" t="str">
        <f>IFERROR(MID(VLOOKUP($B159,Seqs!$A:$B,2,0),AG159,1),"")</f>
        <v>C</v>
      </c>
      <c r="AG159" s="3">
        <v>185</v>
      </c>
      <c r="AH159" s="3" t="str">
        <f>IFERROR(MID(VLOOKUP($B159,Seqs!$A:$B,2,0),AI159,1),"")</f>
        <v>L</v>
      </c>
      <c r="AI159" s="3">
        <v>187</v>
      </c>
      <c r="AJ159" s="3" t="str">
        <f>IFERROR(MID(VLOOKUP($B159,Seqs!$A:$B,2,0),AK159,1),"")</f>
        <v>D</v>
      </c>
      <c r="AK159" s="3">
        <v>189</v>
      </c>
      <c r="AL159" s="3" t="str">
        <f>IFERROR(MID(VLOOKUP($B159,Seqs!$A:$B,2,0),AM159,1),"")</f>
        <v>W</v>
      </c>
      <c r="AM159" s="3">
        <v>222</v>
      </c>
      <c r="AN159" s="3" t="str">
        <f>IFERROR(MID(VLOOKUP($B159,Seqs!$A:$B,2,0),AO159,1),"")</f>
        <v>V</v>
      </c>
      <c r="AO159" s="3">
        <v>395</v>
      </c>
      <c r="AP159" s="3" t="str">
        <f>IFERROR(MID(VLOOKUP($B159,Seqs!$A:$B,2,0),AQ159,1),"")</f>
        <v>C</v>
      </c>
      <c r="AQ159" s="3">
        <v>420</v>
      </c>
      <c r="AR159" s="3" t="str">
        <f>IFERROR(MID(VLOOKUP($B159,Seqs!$A:$B,2,0),AS159,1),"")</f>
        <v>P</v>
      </c>
      <c r="AS159" s="3">
        <v>426</v>
      </c>
      <c r="AT159" s="3" t="str">
        <f>IFERROR(MID(VLOOKUP($B159,Seqs!$A:$B,2,0),AU159,1),"")</f>
        <v>F</v>
      </c>
      <c r="AU159" s="3">
        <v>451</v>
      </c>
      <c r="AV159" s="3" t="str">
        <f>IFERROR(MID(VLOOKUP($B159,Seqs!$A:$B,2,0),AW159,1),"")</f>
        <v>N</v>
      </c>
      <c r="AW159" s="3">
        <v>452</v>
      </c>
      <c r="AX159" s="3" t="str">
        <f>IFERROR(MID(VLOOKUP($B159,Seqs!$A:$B,2,0),AY159,1),"")</f>
        <v>R</v>
      </c>
      <c r="AY159" s="3">
        <v>460</v>
      </c>
      <c r="AZ159" s="77" t="str">
        <f>VLOOKUP(B159,Classification!A:D,2,0)</f>
        <v>A</v>
      </c>
      <c r="BA159" s="94" t="str">
        <f>VLOOKUP(B159,Classification!A:D,4,0)</f>
        <v>Dopamine</v>
      </c>
      <c r="BB159" s="27" t="b">
        <f>AND(E159&lt;G159,OR(G159&lt;I159,I159="-"),OR(I159&lt;K159,I159="-"),OR(K159&lt;M159,K159="-"),M159&lt;O159,OR(O159&lt;Q159,Q159="-"),OR(Q159&lt;S159,Q159="-"),OR(S159&lt;U159,S159="-"),U159&lt;W159,OR(W159&lt;Y159,Y159="-"),OR(Y159&lt;AA159,Y159="-"),OR(AA159&lt;AC159,AA159="-"),AC159&lt;AE159,OR(AE159&lt;AG159,AG159="-"),OR(AG159&lt;AI159,AG159="-"),OR(AI159&lt;AK159,AI159="-"),AK159&lt;AM159,AM159&lt;AO159,AO159&lt;AQ159,AQ159&lt;AS159,AS159&lt;AU159,OR(AU159&lt;AW159,AW159="-"),OR(AW159&lt;AY159,AW159="-"))</f>
        <v>1</v>
      </c>
      <c r="BC159" s="23">
        <f>_xlfn.AGGREGATE(9,6,CH159:CS159)-_xlfn.AGGREGATE(9,6,BV159:CG159)+12</f>
        <v>227</v>
      </c>
      <c r="BD159" s="2" t="s">
        <v>23</v>
      </c>
      <c r="BE159" s="3" t="s">
        <v>1381</v>
      </c>
      <c r="BF159" s="119">
        <v>1.96</v>
      </c>
      <c r="BG159" s="49" t="s">
        <v>1</v>
      </c>
      <c r="BH159" s="49" t="s">
        <v>1384</v>
      </c>
      <c r="BI159" s="1"/>
      <c r="BJ159" s="70" t="s">
        <v>1293</v>
      </c>
      <c r="BK159" s="57" t="s">
        <v>1293</v>
      </c>
      <c r="BL159" s="57" t="s">
        <v>1293</v>
      </c>
      <c r="BM159" s="57" t="s">
        <v>1293</v>
      </c>
      <c r="BN159" s="57" t="s">
        <v>1293</v>
      </c>
      <c r="BO159" s="57" t="s">
        <v>1293</v>
      </c>
      <c r="BP159" s="57" t="s">
        <v>1293</v>
      </c>
      <c r="BQ159" s="57" t="s">
        <v>1293</v>
      </c>
      <c r="BR159" s="57" t="s">
        <v>1293</v>
      </c>
      <c r="BS159" s="57" t="s">
        <v>1293</v>
      </c>
      <c r="BT159" s="57" t="s">
        <v>1293</v>
      </c>
      <c r="BU159" s="57" t="s">
        <v>1293</v>
      </c>
      <c r="BV159" s="70">
        <f>E159</f>
        <v>34</v>
      </c>
      <c r="BW159" s="71">
        <f>I159</f>
        <v>63</v>
      </c>
      <c r="BX159" s="72">
        <f>M159</f>
        <v>67</v>
      </c>
      <c r="BY159" s="71">
        <f>Q159</f>
        <v>100</v>
      </c>
      <c r="BZ159" s="72">
        <f>U159</f>
        <v>104</v>
      </c>
      <c r="CA159" s="71" t="str">
        <f>Y159</f>
        <v>-</v>
      </c>
      <c r="CB159" s="72">
        <f>AC159</f>
        <v>150</v>
      </c>
      <c r="CC159" s="71">
        <f>AG159</f>
        <v>185</v>
      </c>
      <c r="CD159" s="72">
        <f>AK159</f>
        <v>189</v>
      </c>
      <c r="CE159" s="71">
        <f>AO159</f>
        <v>395</v>
      </c>
      <c r="CF159" s="72">
        <f>AS159</f>
        <v>426</v>
      </c>
      <c r="CG159" s="71">
        <f>AW159</f>
        <v>452</v>
      </c>
      <c r="CH159" s="70">
        <f>G159</f>
        <v>62</v>
      </c>
      <c r="CI159" s="71">
        <f>K159</f>
        <v>66</v>
      </c>
      <c r="CJ159" s="72">
        <f>O159</f>
        <v>97</v>
      </c>
      <c r="CK159" s="72">
        <f>S159</f>
        <v>103</v>
      </c>
      <c r="CL159" s="72">
        <f>W159</f>
        <v>139</v>
      </c>
      <c r="CM159" s="72" t="str">
        <f>AA159</f>
        <v>-</v>
      </c>
      <c r="CN159" s="72">
        <f>AE159</f>
        <v>173</v>
      </c>
      <c r="CO159" s="72">
        <f>AI159</f>
        <v>187</v>
      </c>
      <c r="CP159" s="72">
        <f>AM159</f>
        <v>222</v>
      </c>
      <c r="CQ159" s="72">
        <f>AQ159</f>
        <v>420</v>
      </c>
      <c r="CR159" s="72">
        <f>AU159</f>
        <v>451</v>
      </c>
      <c r="CS159" s="72">
        <f>AY159</f>
        <v>460</v>
      </c>
      <c r="CT159" s="23">
        <f>M159-K159</f>
        <v>1</v>
      </c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  <c r="OK159" s="1"/>
      <c r="OL159" s="1"/>
      <c r="OM159" s="1"/>
      <c r="ON159" s="1"/>
      <c r="OO159" s="1"/>
      <c r="OP159" s="1"/>
      <c r="OQ159" s="1"/>
      <c r="OR159" s="1"/>
      <c r="OS159" s="1"/>
      <c r="OT159" s="1"/>
      <c r="OU159" s="1"/>
      <c r="OV159" s="1"/>
      <c r="OW159" s="1"/>
      <c r="OX159" s="1"/>
      <c r="OY159" s="1"/>
      <c r="OZ159" s="1"/>
      <c r="PA159" s="1"/>
      <c r="PB159" s="1"/>
      <c r="PC159" s="1"/>
      <c r="PD159" s="1"/>
      <c r="PE159" s="1"/>
      <c r="PF159" s="1"/>
      <c r="PG159" s="1"/>
      <c r="PH159" s="1"/>
      <c r="PI159" s="1"/>
      <c r="PJ159" s="1"/>
      <c r="PK159" s="1"/>
      <c r="PL159" s="1"/>
      <c r="PM159" s="1"/>
      <c r="PN159" s="1"/>
      <c r="PO159" s="1"/>
      <c r="PP159" s="1"/>
      <c r="PQ159" s="1"/>
      <c r="PR159" s="1"/>
      <c r="PS159" s="1"/>
      <c r="PT159" s="1"/>
      <c r="PU159" s="1"/>
      <c r="PV159" s="1"/>
      <c r="PW159" s="1"/>
      <c r="PX159" s="1"/>
      <c r="PY159" s="1"/>
      <c r="PZ159" s="1"/>
      <c r="QA159" s="1"/>
      <c r="QB159" s="1"/>
      <c r="QC159" s="1"/>
      <c r="QD159" s="1"/>
      <c r="QE159" s="1"/>
      <c r="QF159" s="1"/>
      <c r="QG159" s="1"/>
      <c r="QH159" s="1"/>
      <c r="QI159" s="1"/>
      <c r="QJ159" s="1"/>
      <c r="QK159" s="1"/>
      <c r="QL159" s="1"/>
      <c r="QM159" s="1"/>
      <c r="QN159" s="1"/>
      <c r="QO159" s="1"/>
      <c r="QP159" s="1"/>
      <c r="QQ159" s="1"/>
      <c r="QR159" s="1"/>
      <c r="QS159" s="1"/>
      <c r="QT159" s="1"/>
      <c r="QU159" s="1"/>
      <c r="QV159" s="1"/>
      <c r="QW159" s="1"/>
      <c r="QX159" s="1"/>
      <c r="QY159" s="1"/>
      <c r="QZ159" s="1"/>
      <c r="RA159" s="1"/>
      <c r="RB159" s="1"/>
      <c r="RC159" s="1"/>
      <c r="RD159" s="1"/>
      <c r="RE159" s="1"/>
      <c r="RF159" s="1"/>
      <c r="RG159" s="1"/>
      <c r="RH159" s="1"/>
      <c r="RI159" s="1"/>
      <c r="RJ159" s="1"/>
      <c r="RK159" s="1"/>
      <c r="RL159" s="1"/>
      <c r="RM159" s="1"/>
      <c r="RN159" s="1"/>
      <c r="RO159" s="1"/>
      <c r="RP159" s="1"/>
      <c r="RQ159" s="1"/>
      <c r="RR159" s="1"/>
      <c r="RS159" s="1"/>
      <c r="RT159" s="1"/>
      <c r="RU159" s="1"/>
      <c r="RV159" s="1"/>
      <c r="RW159" s="1"/>
      <c r="RX159" s="1"/>
      <c r="RY159" s="1"/>
      <c r="RZ159" s="1"/>
      <c r="SA159" s="1"/>
      <c r="SB159" s="1"/>
      <c r="SC159" s="1"/>
      <c r="SD159" s="1"/>
      <c r="SE159" s="1"/>
      <c r="SF159" s="1"/>
      <c r="SG159" s="1"/>
      <c r="SH159" s="1"/>
      <c r="SI159" s="1"/>
      <c r="SJ159" s="1"/>
      <c r="SK159" s="1"/>
      <c r="SL159" s="1"/>
      <c r="SM159" s="1"/>
      <c r="SN159" s="1"/>
      <c r="SO159" s="1"/>
      <c r="SP159" s="1"/>
      <c r="SQ159" s="1"/>
      <c r="SR159" s="1"/>
      <c r="SS159" s="1"/>
      <c r="ST159" s="1"/>
      <c r="SU159" s="1"/>
      <c r="SV159" s="1"/>
      <c r="SW159" s="1"/>
      <c r="SX159" s="1"/>
      <c r="SY159" s="1"/>
      <c r="SZ159" s="1"/>
      <c r="TA159" s="1"/>
      <c r="TB159" s="1"/>
      <c r="TC159" s="1"/>
      <c r="TD159" s="1"/>
      <c r="TE159" s="1"/>
      <c r="TF159" s="1"/>
      <c r="TG159" s="1"/>
      <c r="TH159" s="1"/>
      <c r="TI159" s="1"/>
      <c r="TJ159" s="1"/>
      <c r="TK159" s="1"/>
      <c r="TL159" s="1"/>
      <c r="TM159" s="1"/>
      <c r="TN159" s="1"/>
      <c r="TO159" s="1"/>
      <c r="TP159" s="1"/>
      <c r="TQ159" s="1"/>
      <c r="TR159" s="1"/>
      <c r="TS159" s="1"/>
      <c r="TT159" s="1"/>
      <c r="TU159" s="1"/>
      <c r="TV159" s="1"/>
      <c r="TW159" s="1"/>
      <c r="TX159" s="1"/>
      <c r="TY159" s="1"/>
      <c r="TZ159" s="1"/>
      <c r="UA159" s="1"/>
      <c r="UB159" s="1"/>
      <c r="UC159" s="1"/>
      <c r="UD159" s="1"/>
      <c r="UE159" s="1"/>
      <c r="UF159" s="1"/>
      <c r="UG159" s="1"/>
      <c r="UH159" s="1"/>
      <c r="UI159" s="1"/>
      <c r="UJ159" s="1"/>
      <c r="UK159" s="1"/>
      <c r="UL159" s="1"/>
      <c r="UM159" s="1"/>
      <c r="UN159" s="1"/>
      <c r="UO159" s="1"/>
      <c r="UP159" s="1"/>
      <c r="UQ159" s="1"/>
      <c r="UR159" s="1"/>
      <c r="US159" s="1"/>
      <c r="UT159" s="1"/>
      <c r="UU159" s="1"/>
      <c r="UV159" s="1"/>
      <c r="UW159" s="1"/>
      <c r="UX159" s="1"/>
      <c r="UY159" s="1"/>
      <c r="UZ159" s="1"/>
      <c r="VA159" s="1"/>
      <c r="VB159" s="1"/>
      <c r="VC159" s="1"/>
      <c r="VD159" s="1"/>
      <c r="VE159" s="1"/>
      <c r="VF159" s="1"/>
      <c r="VG159" s="1"/>
      <c r="VH159" s="1"/>
      <c r="VI159" s="1"/>
      <c r="VJ159" s="1"/>
      <c r="VK159" s="1"/>
      <c r="VL159" s="1"/>
      <c r="VM159" s="1"/>
      <c r="VN159" s="1"/>
      <c r="VO159" s="1"/>
      <c r="VP159" s="1"/>
      <c r="VQ159" s="1"/>
      <c r="VR159" s="1"/>
      <c r="VS159" s="1"/>
      <c r="VT159" s="1"/>
      <c r="VU159" s="1"/>
      <c r="VV159" s="1"/>
      <c r="VW159" s="1"/>
      <c r="VX159" s="1"/>
      <c r="VY159" s="1"/>
      <c r="VZ159" s="1"/>
      <c r="WA159" s="1"/>
      <c r="WB159" s="1"/>
      <c r="WC159" s="1"/>
      <c r="WD159" s="1"/>
      <c r="WE159" s="1"/>
      <c r="WF159" s="1"/>
      <c r="WG159" s="1"/>
      <c r="WH159" s="1"/>
      <c r="WI159" s="1"/>
      <c r="WJ159" s="1"/>
      <c r="WK159" s="1"/>
      <c r="WL159" s="1"/>
      <c r="WM159" s="1"/>
      <c r="WN159" s="1"/>
      <c r="WO159" s="1"/>
      <c r="WP159" s="1"/>
      <c r="WQ159" s="1"/>
      <c r="WR159" s="1"/>
      <c r="WS159" s="1"/>
      <c r="WT159" s="1"/>
      <c r="WU159" s="1"/>
      <c r="WV159" s="1"/>
      <c r="WW159" s="1"/>
      <c r="WX159" s="1"/>
      <c r="WY159" s="1"/>
      <c r="WZ159" s="1"/>
      <c r="XA159" s="1"/>
      <c r="XB159" s="1"/>
      <c r="XC159" s="1"/>
      <c r="XD159" s="1"/>
      <c r="XE159" s="1"/>
      <c r="XF159" s="1"/>
      <c r="XG159" s="1"/>
      <c r="XH159" s="1"/>
      <c r="XI159" s="1"/>
      <c r="XJ159" s="1"/>
      <c r="XK159" s="1"/>
      <c r="XL159" s="1"/>
      <c r="XM159" s="1"/>
      <c r="XN159" s="1"/>
      <c r="XO159" s="1"/>
      <c r="XP159" s="1"/>
      <c r="XQ159" s="1"/>
      <c r="XR159" s="1"/>
      <c r="XS159" s="1"/>
      <c r="XT159" s="1"/>
      <c r="XU159" s="1"/>
      <c r="XV159" s="1"/>
      <c r="XW159" s="1"/>
      <c r="XX159" s="1"/>
      <c r="XY159" s="1"/>
      <c r="XZ159" s="1"/>
      <c r="YA159" s="1"/>
      <c r="YB159" s="1"/>
      <c r="YC159" s="1"/>
      <c r="YD159" s="1"/>
      <c r="YE159" s="1"/>
      <c r="YF159" s="1"/>
      <c r="YG159" s="1"/>
      <c r="YH159" s="1"/>
      <c r="YI159" s="1"/>
      <c r="YJ159" s="1"/>
      <c r="YK159" s="1"/>
      <c r="YL159" s="1"/>
      <c r="YM159" s="1"/>
      <c r="YN159" s="1"/>
      <c r="YO159" s="1"/>
      <c r="YP159" s="1"/>
      <c r="YQ159" s="1"/>
      <c r="YR159" s="1"/>
      <c r="YS159" s="1"/>
      <c r="YT159" s="1"/>
      <c r="YU159" s="1"/>
      <c r="YV159" s="1"/>
      <c r="YW159" s="1"/>
      <c r="YX159" s="1"/>
      <c r="YY159" s="1"/>
      <c r="YZ159" s="1"/>
      <c r="ZA159" s="1"/>
      <c r="ZB159" s="1"/>
      <c r="ZC159" s="1"/>
      <c r="ZD159" s="1"/>
      <c r="ZE159" s="1"/>
      <c r="ZF159" s="1"/>
      <c r="ZG159" s="1"/>
      <c r="ZH159" s="1"/>
      <c r="ZI159" s="1"/>
      <c r="ZJ159" s="1"/>
      <c r="ZK159" s="1"/>
      <c r="ZL159" s="1"/>
      <c r="ZM159" s="1"/>
      <c r="ZN159" s="1"/>
      <c r="ZO159" s="1"/>
      <c r="ZP159" s="1"/>
      <c r="ZQ159" s="1"/>
      <c r="ZR159" s="1"/>
      <c r="ZS159" s="1"/>
      <c r="ZT159" s="1"/>
      <c r="ZU159" s="1"/>
      <c r="ZV159" s="1"/>
      <c r="ZW159" s="1"/>
      <c r="ZX159" s="1"/>
      <c r="ZY159" s="1"/>
      <c r="ZZ159" s="1"/>
      <c r="AAA159" s="1"/>
      <c r="AAB159" s="1"/>
      <c r="AAC159" s="1"/>
      <c r="AAD159" s="1"/>
      <c r="AAE159" s="1"/>
      <c r="AAF159" s="1"/>
      <c r="AAG159" s="1"/>
      <c r="AAH159" s="1"/>
      <c r="AAI159" s="1"/>
      <c r="AAJ159" s="1"/>
      <c r="AAK159" s="1"/>
      <c r="AAL159" s="1"/>
      <c r="AAM159" s="1"/>
      <c r="AAN159" s="1"/>
      <c r="AAO159" s="1"/>
      <c r="AAP159" s="1"/>
      <c r="AAQ159" s="1"/>
      <c r="AAR159" s="1"/>
      <c r="AAS159" s="1"/>
      <c r="AAT159" s="1"/>
      <c r="AAU159" s="1"/>
      <c r="AAV159" s="1"/>
      <c r="AAW159" s="1"/>
      <c r="AAX159" s="1"/>
      <c r="AAY159" s="1"/>
      <c r="AAZ159" s="1"/>
      <c r="ABA159" s="1"/>
      <c r="ABB159" s="1"/>
      <c r="ABC159" s="1"/>
      <c r="ABD159" s="1"/>
      <c r="ABE159" s="1"/>
      <c r="ABF159" s="1"/>
      <c r="ABG159" s="1"/>
      <c r="ABH159" s="1"/>
      <c r="ABI159" s="1"/>
      <c r="ABJ159" s="1"/>
      <c r="ABK159" s="1"/>
      <c r="ABL159" s="1"/>
      <c r="ABM159" s="1"/>
      <c r="ABN159" s="1"/>
      <c r="ABO159" s="1"/>
      <c r="ABP159" s="1"/>
      <c r="ABQ159" s="1"/>
      <c r="ABR159" s="1"/>
      <c r="ABS159" s="1"/>
      <c r="ABT159" s="1"/>
      <c r="ABU159" s="1"/>
      <c r="ABV159" s="1"/>
      <c r="ABW159" s="1"/>
      <c r="ABX159" s="1"/>
      <c r="ABY159" s="1"/>
      <c r="ABZ159" s="1"/>
      <c r="ACA159" s="1"/>
      <c r="ACB159" s="1"/>
      <c r="ACC159" s="1"/>
      <c r="ACD159" s="1"/>
      <c r="ACE159" s="1"/>
      <c r="ACF159" s="1"/>
      <c r="ACG159" s="1"/>
      <c r="ACH159" s="1"/>
      <c r="ACI159" s="1"/>
      <c r="ACJ159" s="1"/>
      <c r="ACK159" s="1"/>
      <c r="ACL159" s="1"/>
      <c r="ACM159" s="1"/>
      <c r="ACN159" s="1"/>
      <c r="ACO159" s="1"/>
      <c r="ACP159" s="1"/>
      <c r="ACQ159" s="1"/>
      <c r="ACR159" s="1"/>
      <c r="ACS159" s="1"/>
      <c r="ACT159" s="1"/>
      <c r="ACU159" s="1"/>
      <c r="ACV159" s="1"/>
      <c r="ACW159" s="1"/>
      <c r="ACX159" s="1"/>
      <c r="ACY159" s="1"/>
      <c r="ACZ159" s="1"/>
      <c r="ADA159" s="1"/>
      <c r="ADB159" s="1"/>
      <c r="ADC159" s="1"/>
      <c r="ADD159" s="1"/>
      <c r="ADE159" s="1"/>
      <c r="ADF159" s="1"/>
      <c r="ADG159" s="1"/>
      <c r="ADH159" s="1"/>
      <c r="ADI159" s="1"/>
      <c r="ADJ159" s="1"/>
      <c r="ADK159" s="1"/>
      <c r="ADL159" s="1"/>
      <c r="ADM159" s="1"/>
      <c r="ADN159" s="1"/>
      <c r="ADO159" s="1"/>
      <c r="ADP159" s="1"/>
      <c r="ADQ159" s="1"/>
      <c r="ADR159" s="1"/>
      <c r="ADS159" s="1"/>
      <c r="ADT159" s="1"/>
      <c r="ADU159" s="1"/>
      <c r="ADV159" s="1"/>
      <c r="ADW159" s="1"/>
      <c r="ADX159" s="1"/>
      <c r="ADY159" s="1"/>
      <c r="ADZ159" s="1"/>
      <c r="AEA159" s="1"/>
      <c r="AEB159" s="1"/>
      <c r="AEC159" s="1"/>
      <c r="AED159" s="1"/>
      <c r="AEE159" s="1"/>
      <c r="AEF159" s="1"/>
      <c r="AEG159" s="1"/>
      <c r="AEH159" s="1"/>
      <c r="AEI159" s="1"/>
      <c r="AEJ159" s="1"/>
      <c r="AEK159" s="1"/>
      <c r="AEL159" s="1"/>
      <c r="AEM159" s="1"/>
      <c r="AEN159" s="1"/>
      <c r="AEO159" s="1"/>
      <c r="AEP159" s="1"/>
      <c r="AEQ159" s="1"/>
      <c r="AER159" s="1"/>
      <c r="AES159" s="1"/>
      <c r="AET159" s="1"/>
      <c r="AEU159" s="1"/>
      <c r="AEV159" s="1"/>
      <c r="AEW159" s="1"/>
      <c r="AEX159" s="1"/>
      <c r="AEY159" s="1"/>
      <c r="AEZ159" s="1"/>
      <c r="AFA159" s="1"/>
      <c r="AFB159" s="1"/>
      <c r="AFC159" s="1"/>
      <c r="AFD159" s="1"/>
      <c r="AFE159" s="1"/>
      <c r="AFF159" s="1"/>
      <c r="AFG159" s="1"/>
      <c r="AFH159" s="1"/>
      <c r="AFI159" s="1"/>
      <c r="AFJ159" s="1"/>
      <c r="AFK159" s="1"/>
      <c r="AFL159" s="1"/>
      <c r="AFM159" s="1"/>
      <c r="AFN159" s="1"/>
      <c r="AFO159" s="1"/>
      <c r="AFP159" s="1"/>
      <c r="AFQ159" s="1"/>
      <c r="AFR159" s="1"/>
      <c r="AFS159" s="1"/>
      <c r="AFT159" s="1"/>
      <c r="AFU159" s="1"/>
      <c r="AFV159" s="1"/>
      <c r="AFW159" s="1"/>
      <c r="AFX159" s="1"/>
      <c r="AFY159" s="1"/>
      <c r="AFZ159" s="1"/>
      <c r="AGA159" s="1"/>
      <c r="AGB159" s="1"/>
      <c r="AGC159" s="1"/>
      <c r="AGD159" s="1"/>
      <c r="AGE159" s="1"/>
      <c r="AGF159" s="1"/>
      <c r="AGG159" s="1"/>
      <c r="AGH159" s="1"/>
      <c r="AGI159" s="1"/>
      <c r="AGJ159" s="1"/>
      <c r="AGK159" s="1"/>
      <c r="AGL159" s="1"/>
      <c r="AGM159" s="1"/>
      <c r="AGN159" s="1"/>
      <c r="AGO159" s="1"/>
      <c r="AGP159" s="1"/>
      <c r="AGQ159" s="1"/>
      <c r="AGR159" s="1"/>
      <c r="AGS159" s="1"/>
      <c r="AGT159" s="1"/>
      <c r="AGU159" s="1"/>
      <c r="AGV159" s="1"/>
      <c r="AGW159" s="1"/>
      <c r="AGX159" s="1"/>
      <c r="AGY159" s="1"/>
      <c r="AGZ159" s="1"/>
      <c r="AHA159" s="1"/>
      <c r="AHB159" s="1"/>
      <c r="AHC159" s="1"/>
      <c r="AHD159" s="1"/>
      <c r="AHE159" s="1"/>
      <c r="AHF159" s="1"/>
      <c r="AHG159" s="1"/>
      <c r="AHH159" s="1"/>
      <c r="AHI159" s="1"/>
      <c r="AHJ159" s="1"/>
      <c r="AHK159" s="1"/>
      <c r="AHL159" s="1"/>
      <c r="AHM159" s="1"/>
      <c r="AHN159" s="1"/>
      <c r="AHO159" s="1"/>
      <c r="AHP159" s="1"/>
      <c r="AHQ159" s="1"/>
      <c r="AHR159" s="1"/>
      <c r="AHS159" s="1"/>
      <c r="AHT159" s="1"/>
      <c r="AHU159" s="1"/>
      <c r="AHV159" s="1"/>
      <c r="AHW159" s="1"/>
      <c r="AHX159" s="1"/>
      <c r="AHY159" s="1"/>
      <c r="AHZ159" s="1"/>
      <c r="AIA159" s="1"/>
      <c r="AIB159" s="1"/>
      <c r="AIC159" s="1"/>
      <c r="AID159" s="1"/>
      <c r="AIE159" s="1"/>
      <c r="AIF159" s="1"/>
      <c r="AIG159" s="1"/>
      <c r="AIH159" s="1"/>
      <c r="AII159" s="1"/>
      <c r="AIJ159" s="1"/>
      <c r="AIK159" s="1"/>
      <c r="AIL159" s="1"/>
      <c r="AIM159" s="1"/>
      <c r="AIN159" s="1"/>
      <c r="AIO159" s="1"/>
      <c r="AIP159" s="1"/>
      <c r="AIQ159" s="1"/>
      <c r="AIR159" s="1"/>
      <c r="AIS159" s="1"/>
      <c r="AIT159" s="1"/>
      <c r="AIU159" s="1"/>
      <c r="AIV159" s="1"/>
      <c r="AIW159" s="1"/>
      <c r="AIX159" s="1"/>
      <c r="AIY159" s="1"/>
      <c r="AIZ159" s="1"/>
      <c r="AJA159" s="1"/>
      <c r="AJB159" s="1"/>
      <c r="AJC159" s="1"/>
      <c r="AJD159" s="1"/>
      <c r="AJE159" s="1"/>
      <c r="AJF159" s="1"/>
      <c r="AJG159" s="1"/>
      <c r="AJH159" s="1"/>
      <c r="AJI159" s="1"/>
      <c r="AJJ159" s="1"/>
      <c r="AJK159" s="1"/>
      <c r="AJL159" s="1"/>
      <c r="AJM159" s="1"/>
      <c r="AJN159" s="1"/>
      <c r="AJO159" s="1"/>
      <c r="AJP159" s="1"/>
      <c r="AJQ159" s="1"/>
      <c r="AJR159" s="1"/>
      <c r="AJS159" s="1"/>
      <c r="AJT159" s="1"/>
      <c r="AJU159" s="1"/>
      <c r="AJV159" s="1"/>
      <c r="AJW159" s="1"/>
      <c r="AJX159" s="1"/>
      <c r="AJY159" s="1"/>
      <c r="AJZ159" s="1"/>
      <c r="AKA159" s="1"/>
      <c r="AKB159" s="1"/>
      <c r="AKC159" s="1"/>
      <c r="AKD159" s="1"/>
      <c r="AKE159" s="1"/>
      <c r="AKF159" s="1"/>
      <c r="AKG159" s="1"/>
      <c r="AKH159" s="1"/>
      <c r="AKI159" s="1"/>
      <c r="AKJ159" s="1"/>
      <c r="AKK159" s="1"/>
      <c r="AKL159" s="1"/>
      <c r="AKM159" s="1"/>
      <c r="AKN159" s="1"/>
      <c r="AKO159" s="1"/>
      <c r="AKP159" s="1"/>
      <c r="AKQ159" s="1"/>
      <c r="AKR159" s="1"/>
      <c r="AKS159" s="1"/>
      <c r="AKT159" s="1"/>
      <c r="AKU159" s="1"/>
      <c r="AKV159" s="1"/>
      <c r="AKW159" s="1"/>
      <c r="AKX159" s="1"/>
      <c r="AKY159" s="1"/>
      <c r="AKZ159" s="1"/>
      <c r="ALA159" s="1"/>
      <c r="ALB159" s="1"/>
      <c r="ALC159" s="1"/>
      <c r="ALD159" s="1"/>
      <c r="ALE159" s="1"/>
      <c r="ALF159" s="1"/>
      <c r="ALG159" s="1"/>
      <c r="ALH159" s="1"/>
      <c r="ALI159" s="1"/>
      <c r="ALJ159" s="1"/>
      <c r="ALK159" s="1"/>
      <c r="ALL159" s="1"/>
      <c r="ALM159" s="1"/>
      <c r="ALN159" s="1"/>
      <c r="ALO159" s="1"/>
      <c r="ALP159" s="1"/>
      <c r="ALQ159" s="1"/>
      <c r="ALR159" s="1"/>
      <c r="ALS159" s="1"/>
      <c r="ALT159" s="1"/>
      <c r="ALU159" s="1"/>
      <c r="ALV159" s="1"/>
      <c r="ALW159" s="1"/>
      <c r="ALX159" s="1"/>
      <c r="ALY159" s="1"/>
      <c r="ALZ159" s="1"/>
      <c r="AMA159" s="1"/>
      <c r="AMB159" s="1"/>
      <c r="AMC159" s="1"/>
      <c r="AMD159" s="1"/>
      <c r="AME159" s="1"/>
      <c r="AMF159" s="1"/>
      <c r="AMG159" s="1"/>
      <c r="AMH159" s="1"/>
      <c r="AMI159" s="1"/>
      <c r="AMJ159" s="1"/>
      <c r="AMK159" s="1"/>
      <c r="AML159" s="1"/>
      <c r="AMM159" s="1"/>
      <c r="AMN159" s="1"/>
      <c r="AMO159" s="1"/>
    </row>
    <row r="160" spans="1:1030" x14ac:dyDescent="0.2">
      <c r="A160" s="3" t="str">
        <f>CONCATENATE(B160,"_",C160)</f>
        <v>drd4_human_5WIV</v>
      </c>
      <c r="B160" s="3" t="s">
        <v>193</v>
      </c>
      <c r="C160" s="3" t="s">
        <v>1458</v>
      </c>
      <c r="D160" s="3" t="str">
        <f>IFERROR(MID(VLOOKUP($B160,Seqs!$A:$B,2,0),E160,1),"")</f>
        <v>G</v>
      </c>
      <c r="E160" s="3">
        <v>32</v>
      </c>
      <c r="F160" s="3" t="str">
        <f>IFERROR(MID(VLOOKUP($B160,Seqs!$A:$B,2,0),G160,1),"")</f>
        <v>E</v>
      </c>
      <c r="G160" s="3">
        <v>62</v>
      </c>
      <c r="H160" s="3" t="str">
        <f>IFERROR(MID(VLOOKUP($B160,Seqs!$A:$B,2,0),I160,1),"")</f>
        <v>R</v>
      </c>
      <c r="I160" s="23">
        <v>63</v>
      </c>
      <c r="J160" s="3" t="str">
        <f>IFERROR(MID(VLOOKUP($B160,Seqs!$A:$B,2,0),K160,1),"")</f>
        <v>Q</v>
      </c>
      <c r="K160" s="23">
        <v>66</v>
      </c>
      <c r="L160" s="3" t="str">
        <f>IFERROR(MID(VLOOKUP($B160,Seqs!$A:$B,2,0),M160,1),"")</f>
        <v>T</v>
      </c>
      <c r="M160" s="3">
        <v>67</v>
      </c>
      <c r="N160" s="3" t="str">
        <f>IFERROR(MID(VLOOKUP($B160,Seqs!$A:$B,2,0),O160,1),"")</f>
        <v>Q</v>
      </c>
      <c r="O160" s="3">
        <v>97</v>
      </c>
      <c r="P160" s="3" t="str">
        <f>IFERROR(MID(VLOOKUP($B160,Seqs!$A:$B,2,0),Q160,1),"")</f>
        <v>A</v>
      </c>
      <c r="Q160" s="3">
        <v>100</v>
      </c>
      <c r="R160" s="3" t="str">
        <f>IFERROR(MID(VLOOKUP($B160,Seqs!$A:$B,2,0),S160,1),"")</f>
        <v>L</v>
      </c>
      <c r="S160" s="3">
        <v>103</v>
      </c>
      <c r="T160" s="3" t="str">
        <f>IFERROR(MID(VLOOKUP($B160,Seqs!$A:$B,2,0),U160,1),"")</f>
        <v>S</v>
      </c>
      <c r="U160" s="3">
        <v>104</v>
      </c>
      <c r="V160" s="3" t="str">
        <f>IFERROR(MID(VLOOKUP($B160,Seqs!$A:$B,2,0),W160,1),"")</f>
        <v>V</v>
      </c>
      <c r="W160" s="3">
        <v>139</v>
      </c>
      <c r="X160" s="3" t="str">
        <f>IFERROR(MID(VLOOKUP($B160,Seqs!$A:$B,2,0),Y160,1),"")</f>
        <v/>
      </c>
      <c r="Y160" s="3" t="s">
        <v>23</v>
      </c>
      <c r="Z160" s="3" t="str">
        <f>IFERROR(MID(VLOOKUP($B160,Seqs!$A:$B,2,0),AA160,1),"")</f>
        <v/>
      </c>
      <c r="AA160" s="3" t="s">
        <v>23</v>
      </c>
      <c r="AB160" s="3" t="str">
        <f>IFERROR(MID(VLOOKUP($B160,Seqs!$A:$B,2,0),AC160,1),"")</f>
        <v>R</v>
      </c>
      <c r="AC160" s="3">
        <v>150</v>
      </c>
      <c r="AD160" s="3" t="str">
        <f>IFERROR(MID(VLOOKUP($B160,Seqs!$A:$B,2,0),AE160,1),"")</f>
        <v>G</v>
      </c>
      <c r="AE160" s="3">
        <v>173</v>
      </c>
      <c r="AF160" s="3" t="str">
        <f>IFERROR(MID(VLOOKUP($B160,Seqs!$A:$B,2,0),AG160,1),"")</f>
        <v>C</v>
      </c>
      <c r="AG160" s="3">
        <v>185</v>
      </c>
      <c r="AH160" s="3" t="str">
        <f>IFERROR(MID(VLOOKUP($B160,Seqs!$A:$B,2,0),AI160,1),"")</f>
        <v>L</v>
      </c>
      <c r="AI160" s="3">
        <v>187</v>
      </c>
      <c r="AJ160" s="3" t="str">
        <f>IFERROR(MID(VLOOKUP($B160,Seqs!$A:$B,2,0),AK160,1),"")</f>
        <v>D</v>
      </c>
      <c r="AK160" s="3">
        <v>189</v>
      </c>
      <c r="AL160" s="3" t="str">
        <f>IFERROR(MID(VLOOKUP($B160,Seqs!$A:$B,2,0),AM160,1),"")</f>
        <v>W</v>
      </c>
      <c r="AM160" s="3">
        <v>222</v>
      </c>
      <c r="AN160" s="3" t="str">
        <f>IFERROR(MID(VLOOKUP($B160,Seqs!$A:$B,2,0),AO160,1),"")</f>
        <v>V</v>
      </c>
      <c r="AO160" s="3">
        <v>395</v>
      </c>
      <c r="AP160" s="3" t="str">
        <f>IFERROR(MID(VLOOKUP($B160,Seqs!$A:$B,2,0),AQ160,1),"")</f>
        <v>C</v>
      </c>
      <c r="AQ160" s="3">
        <v>420</v>
      </c>
      <c r="AR160" s="3" t="str">
        <f>IFERROR(MID(VLOOKUP($B160,Seqs!$A:$B,2,0),AS160,1),"")</f>
        <v>P</v>
      </c>
      <c r="AS160" s="3">
        <v>426</v>
      </c>
      <c r="AT160" s="3" t="str">
        <f>IFERROR(MID(VLOOKUP($B160,Seqs!$A:$B,2,0),AU160,1),"")</f>
        <v>F</v>
      </c>
      <c r="AU160" s="3">
        <v>451</v>
      </c>
      <c r="AV160" s="3" t="str">
        <f>IFERROR(MID(VLOOKUP($B160,Seqs!$A:$B,2,0),AW160,1),"")</f>
        <v>N</v>
      </c>
      <c r="AW160" s="3">
        <v>452</v>
      </c>
      <c r="AX160" s="3" t="str">
        <f>IFERROR(MID(VLOOKUP($B160,Seqs!$A:$B,2,0),AY160,1),"")</f>
        <v>A</v>
      </c>
      <c r="AY160" s="3">
        <v>462</v>
      </c>
      <c r="AZ160" s="77" t="str">
        <f>VLOOKUP(B160,Classification!A:D,2,0)</f>
        <v>A</v>
      </c>
      <c r="BA160" s="94" t="str">
        <f>VLOOKUP(B160,Classification!A:D,4,0)</f>
        <v>Dopamine</v>
      </c>
      <c r="BB160" s="27" t="b">
        <f>AND(E160&lt;G160,OR(G160&lt;I160,I160="-"),OR(I160&lt;K160,I160="-"),OR(K160&lt;M160,K160="-"),M160&lt;O160,OR(O160&lt;Q160,Q160="-"),OR(Q160&lt;S160,Q160="-"),OR(S160&lt;U160,S160="-"),U160&lt;W160,OR(W160&lt;Y160,Y160="-"),OR(Y160&lt;AA160,Y160="-"),OR(AA160&lt;AC160,AA160="-"),AC160&lt;AE160,OR(AE160&lt;AG160,AG160="-"),OR(AG160&lt;AI160,AG160="-"),OR(AI160&lt;AK160,AI160="-"),AK160&lt;AM160,AM160&lt;AO160,AO160&lt;AQ160,AQ160&lt;AS160,AS160&lt;AU160,OR(AU160&lt;AW160,AW160="-"),OR(AW160&lt;AY160,AW160="-"))</f>
        <v>1</v>
      </c>
      <c r="BC160" s="23">
        <f>_xlfn.AGGREGATE(9,6,CH160:CS160)-_xlfn.AGGREGATE(9,6,BV160:CG160)+12</f>
        <v>231</v>
      </c>
      <c r="BD160" s="2" t="s">
        <v>1383</v>
      </c>
      <c r="BE160" s="3" t="s">
        <v>1381</v>
      </c>
      <c r="BF160" s="119">
        <v>2.14</v>
      </c>
      <c r="BG160" s="49" t="s">
        <v>1</v>
      </c>
      <c r="BH160" s="49" t="s">
        <v>1384</v>
      </c>
      <c r="BI160" s="1"/>
      <c r="BJ160" s="70" t="s">
        <v>1293</v>
      </c>
      <c r="BK160" s="57" t="s">
        <v>1293</v>
      </c>
      <c r="BL160" s="57" t="s">
        <v>1293</v>
      </c>
      <c r="BM160" s="57" t="s">
        <v>1293</v>
      </c>
      <c r="BN160" s="57" t="s">
        <v>1293</v>
      </c>
      <c r="BO160" s="57" t="s">
        <v>1293</v>
      </c>
      <c r="BP160" s="57" t="s">
        <v>1293</v>
      </c>
      <c r="BQ160" s="57" t="s">
        <v>1293</v>
      </c>
      <c r="BR160" s="57" t="s">
        <v>1293</v>
      </c>
      <c r="BS160" s="57" t="s">
        <v>1293</v>
      </c>
      <c r="BT160" s="57" t="s">
        <v>1293</v>
      </c>
      <c r="BU160" s="57" t="s">
        <v>1293</v>
      </c>
      <c r="BV160" s="70">
        <f>E160</f>
        <v>32</v>
      </c>
      <c r="BW160" s="71">
        <f>I160</f>
        <v>63</v>
      </c>
      <c r="BX160" s="72">
        <f>M160</f>
        <v>67</v>
      </c>
      <c r="BY160" s="71">
        <f>Q160</f>
        <v>100</v>
      </c>
      <c r="BZ160" s="72">
        <f>U160</f>
        <v>104</v>
      </c>
      <c r="CA160" s="71" t="str">
        <f>Y160</f>
        <v>-</v>
      </c>
      <c r="CB160" s="72">
        <f>AC160</f>
        <v>150</v>
      </c>
      <c r="CC160" s="71">
        <f>AG160</f>
        <v>185</v>
      </c>
      <c r="CD160" s="72">
        <f>AK160</f>
        <v>189</v>
      </c>
      <c r="CE160" s="71">
        <f>AO160</f>
        <v>395</v>
      </c>
      <c r="CF160" s="72">
        <f>AS160</f>
        <v>426</v>
      </c>
      <c r="CG160" s="71">
        <f>AW160</f>
        <v>452</v>
      </c>
      <c r="CH160" s="70">
        <f>G160</f>
        <v>62</v>
      </c>
      <c r="CI160" s="71">
        <f>K160</f>
        <v>66</v>
      </c>
      <c r="CJ160" s="72">
        <f>O160</f>
        <v>97</v>
      </c>
      <c r="CK160" s="72">
        <f>S160</f>
        <v>103</v>
      </c>
      <c r="CL160" s="72">
        <f>W160</f>
        <v>139</v>
      </c>
      <c r="CM160" s="72" t="str">
        <f>AA160</f>
        <v>-</v>
      </c>
      <c r="CN160" s="72">
        <f>AE160</f>
        <v>173</v>
      </c>
      <c r="CO160" s="72">
        <f>AI160</f>
        <v>187</v>
      </c>
      <c r="CP160" s="72">
        <f>AM160</f>
        <v>222</v>
      </c>
      <c r="CQ160" s="72">
        <f>AQ160</f>
        <v>420</v>
      </c>
      <c r="CR160" s="72">
        <f>AU160</f>
        <v>451</v>
      </c>
      <c r="CS160" s="72">
        <f>AY160</f>
        <v>462</v>
      </c>
      <c r="CT160" s="23">
        <f>M160-K160</f>
        <v>1</v>
      </c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  <c r="OK160" s="1"/>
      <c r="OL160" s="1"/>
      <c r="OM160" s="1"/>
      <c r="ON160" s="1"/>
      <c r="OO160" s="1"/>
      <c r="OP160" s="1"/>
      <c r="OQ160" s="1"/>
      <c r="OR160" s="1"/>
      <c r="OS160" s="1"/>
      <c r="OT160" s="1"/>
      <c r="OU160" s="1"/>
      <c r="OV160" s="1"/>
      <c r="OW160" s="1"/>
      <c r="OX160" s="1"/>
      <c r="OY160" s="1"/>
      <c r="OZ160" s="1"/>
      <c r="PA160" s="1"/>
      <c r="PB160" s="1"/>
      <c r="PC160" s="1"/>
      <c r="PD160" s="1"/>
      <c r="PE160" s="1"/>
      <c r="PF160" s="1"/>
      <c r="PG160" s="1"/>
      <c r="PH160" s="1"/>
      <c r="PI160" s="1"/>
      <c r="PJ160" s="1"/>
      <c r="PK160" s="1"/>
      <c r="PL160" s="1"/>
      <c r="PM160" s="1"/>
      <c r="PN160" s="1"/>
      <c r="PO160" s="1"/>
      <c r="PP160" s="1"/>
      <c r="PQ160" s="1"/>
      <c r="PR160" s="1"/>
      <c r="PS160" s="1"/>
      <c r="PT160" s="1"/>
      <c r="PU160" s="1"/>
      <c r="PV160" s="1"/>
      <c r="PW160" s="1"/>
      <c r="PX160" s="1"/>
      <c r="PY160" s="1"/>
      <c r="PZ160" s="1"/>
      <c r="QA160" s="1"/>
      <c r="QB160" s="1"/>
      <c r="QC160" s="1"/>
      <c r="QD160" s="1"/>
      <c r="QE160" s="1"/>
      <c r="QF160" s="1"/>
      <c r="QG160" s="1"/>
      <c r="QH160" s="1"/>
      <c r="QI160" s="1"/>
      <c r="QJ160" s="1"/>
      <c r="QK160" s="1"/>
      <c r="QL160" s="1"/>
      <c r="QM160" s="1"/>
      <c r="QN160" s="1"/>
      <c r="QO160" s="1"/>
      <c r="QP160" s="1"/>
      <c r="QQ160" s="1"/>
      <c r="QR160" s="1"/>
      <c r="QS160" s="1"/>
      <c r="QT160" s="1"/>
      <c r="QU160" s="1"/>
      <c r="QV160" s="1"/>
      <c r="QW160" s="1"/>
      <c r="QX160" s="1"/>
      <c r="QY160" s="1"/>
      <c r="QZ160" s="1"/>
      <c r="RA160" s="1"/>
      <c r="RB160" s="1"/>
      <c r="RC160" s="1"/>
      <c r="RD160" s="1"/>
      <c r="RE160" s="1"/>
      <c r="RF160" s="1"/>
      <c r="RG160" s="1"/>
      <c r="RH160" s="1"/>
      <c r="RI160" s="1"/>
      <c r="RJ160" s="1"/>
      <c r="RK160" s="1"/>
      <c r="RL160" s="1"/>
      <c r="RM160" s="1"/>
      <c r="RN160" s="1"/>
      <c r="RO160" s="1"/>
      <c r="RP160" s="1"/>
      <c r="RQ160" s="1"/>
      <c r="RR160" s="1"/>
      <c r="RS160" s="1"/>
      <c r="RT160" s="1"/>
      <c r="RU160" s="1"/>
      <c r="RV160" s="1"/>
      <c r="RW160" s="1"/>
      <c r="RX160" s="1"/>
      <c r="RY160" s="1"/>
      <c r="RZ160" s="1"/>
      <c r="SA160" s="1"/>
      <c r="SB160" s="1"/>
      <c r="SC160" s="1"/>
      <c r="SD160" s="1"/>
      <c r="SE160" s="1"/>
      <c r="SF160" s="1"/>
      <c r="SG160" s="1"/>
      <c r="SH160" s="1"/>
      <c r="SI160" s="1"/>
      <c r="SJ160" s="1"/>
      <c r="SK160" s="1"/>
      <c r="SL160" s="1"/>
      <c r="SM160" s="1"/>
      <c r="SN160" s="1"/>
      <c r="SO160" s="1"/>
      <c r="SP160" s="1"/>
      <c r="SQ160" s="1"/>
      <c r="SR160" s="1"/>
      <c r="SS160" s="1"/>
      <c r="ST160" s="1"/>
      <c r="SU160" s="1"/>
      <c r="SV160" s="1"/>
      <c r="SW160" s="1"/>
      <c r="SX160" s="1"/>
      <c r="SY160" s="1"/>
      <c r="SZ160" s="1"/>
      <c r="TA160" s="1"/>
      <c r="TB160" s="1"/>
      <c r="TC160" s="1"/>
      <c r="TD160" s="1"/>
      <c r="TE160" s="1"/>
      <c r="TF160" s="1"/>
      <c r="TG160" s="1"/>
      <c r="TH160" s="1"/>
      <c r="TI160" s="1"/>
      <c r="TJ160" s="1"/>
      <c r="TK160" s="1"/>
      <c r="TL160" s="1"/>
      <c r="TM160" s="1"/>
      <c r="TN160" s="1"/>
      <c r="TO160" s="1"/>
      <c r="TP160" s="1"/>
      <c r="TQ160" s="1"/>
      <c r="TR160" s="1"/>
      <c r="TS160" s="1"/>
      <c r="TT160" s="1"/>
      <c r="TU160" s="1"/>
      <c r="TV160" s="1"/>
      <c r="TW160" s="1"/>
      <c r="TX160" s="1"/>
      <c r="TY160" s="1"/>
      <c r="TZ160" s="1"/>
      <c r="UA160" s="1"/>
      <c r="UB160" s="1"/>
      <c r="UC160" s="1"/>
      <c r="UD160" s="1"/>
      <c r="UE160" s="1"/>
      <c r="UF160" s="1"/>
      <c r="UG160" s="1"/>
      <c r="UH160" s="1"/>
      <c r="UI160" s="1"/>
      <c r="UJ160" s="1"/>
      <c r="UK160" s="1"/>
      <c r="UL160" s="1"/>
      <c r="UM160" s="1"/>
      <c r="UN160" s="1"/>
      <c r="UO160" s="1"/>
      <c r="UP160" s="1"/>
      <c r="UQ160" s="1"/>
      <c r="UR160" s="1"/>
      <c r="US160" s="1"/>
      <c r="UT160" s="1"/>
      <c r="UU160" s="1"/>
      <c r="UV160" s="1"/>
      <c r="UW160" s="1"/>
      <c r="UX160" s="1"/>
      <c r="UY160" s="1"/>
      <c r="UZ160" s="1"/>
      <c r="VA160" s="1"/>
      <c r="VB160" s="1"/>
      <c r="VC160" s="1"/>
      <c r="VD160" s="1"/>
      <c r="VE160" s="1"/>
      <c r="VF160" s="1"/>
      <c r="VG160" s="1"/>
      <c r="VH160" s="1"/>
      <c r="VI160" s="1"/>
      <c r="VJ160" s="1"/>
      <c r="VK160" s="1"/>
      <c r="VL160" s="1"/>
      <c r="VM160" s="1"/>
      <c r="VN160" s="1"/>
      <c r="VO160" s="1"/>
      <c r="VP160" s="1"/>
      <c r="VQ160" s="1"/>
      <c r="VR160" s="1"/>
      <c r="VS160" s="1"/>
      <c r="VT160" s="1"/>
      <c r="VU160" s="1"/>
      <c r="VV160" s="1"/>
      <c r="VW160" s="1"/>
      <c r="VX160" s="1"/>
      <c r="VY160" s="1"/>
      <c r="VZ160" s="1"/>
      <c r="WA160" s="1"/>
      <c r="WB160" s="1"/>
      <c r="WC160" s="1"/>
      <c r="WD160" s="1"/>
      <c r="WE160" s="1"/>
      <c r="WF160" s="1"/>
      <c r="WG160" s="1"/>
      <c r="WH160" s="1"/>
      <c r="WI160" s="1"/>
      <c r="WJ160" s="1"/>
      <c r="WK160" s="1"/>
      <c r="WL160" s="1"/>
      <c r="WM160" s="1"/>
      <c r="WN160" s="1"/>
      <c r="WO160" s="1"/>
      <c r="WP160" s="1"/>
      <c r="WQ160" s="1"/>
      <c r="WR160" s="1"/>
      <c r="WS160" s="1"/>
      <c r="WT160" s="1"/>
      <c r="WU160" s="1"/>
      <c r="WV160" s="1"/>
      <c r="WW160" s="1"/>
      <c r="WX160" s="1"/>
      <c r="WY160" s="1"/>
      <c r="WZ160" s="1"/>
      <c r="XA160" s="1"/>
      <c r="XB160" s="1"/>
      <c r="XC160" s="1"/>
      <c r="XD160" s="1"/>
      <c r="XE160" s="1"/>
      <c r="XF160" s="1"/>
      <c r="XG160" s="1"/>
      <c r="XH160" s="1"/>
      <c r="XI160" s="1"/>
      <c r="XJ160" s="1"/>
      <c r="XK160" s="1"/>
      <c r="XL160" s="1"/>
      <c r="XM160" s="1"/>
      <c r="XN160" s="1"/>
      <c r="XO160" s="1"/>
      <c r="XP160" s="1"/>
      <c r="XQ160" s="1"/>
      <c r="XR160" s="1"/>
      <c r="XS160" s="1"/>
      <c r="XT160" s="1"/>
      <c r="XU160" s="1"/>
      <c r="XV160" s="1"/>
      <c r="XW160" s="1"/>
      <c r="XX160" s="1"/>
      <c r="XY160" s="1"/>
      <c r="XZ160" s="1"/>
      <c r="YA160" s="1"/>
      <c r="YB160" s="1"/>
      <c r="YC160" s="1"/>
      <c r="YD160" s="1"/>
      <c r="YE160" s="1"/>
      <c r="YF160" s="1"/>
      <c r="YG160" s="1"/>
      <c r="YH160" s="1"/>
      <c r="YI160" s="1"/>
      <c r="YJ160" s="1"/>
      <c r="YK160" s="1"/>
      <c r="YL160" s="1"/>
      <c r="YM160" s="1"/>
      <c r="YN160" s="1"/>
      <c r="YO160" s="1"/>
      <c r="YP160" s="1"/>
      <c r="YQ160" s="1"/>
      <c r="YR160" s="1"/>
      <c r="YS160" s="1"/>
      <c r="YT160" s="1"/>
      <c r="YU160" s="1"/>
      <c r="YV160" s="1"/>
      <c r="YW160" s="1"/>
      <c r="YX160" s="1"/>
      <c r="YY160" s="1"/>
      <c r="YZ160" s="1"/>
      <c r="ZA160" s="1"/>
      <c r="ZB160" s="1"/>
      <c r="ZC160" s="1"/>
      <c r="ZD160" s="1"/>
      <c r="ZE160" s="1"/>
      <c r="ZF160" s="1"/>
      <c r="ZG160" s="1"/>
      <c r="ZH160" s="1"/>
      <c r="ZI160" s="1"/>
      <c r="ZJ160" s="1"/>
      <c r="ZK160" s="1"/>
      <c r="ZL160" s="1"/>
      <c r="ZM160" s="1"/>
      <c r="ZN160" s="1"/>
      <c r="ZO160" s="1"/>
      <c r="ZP160" s="1"/>
      <c r="ZQ160" s="1"/>
      <c r="ZR160" s="1"/>
      <c r="ZS160" s="1"/>
      <c r="ZT160" s="1"/>
      <c r="ZU160" s="1"/>
      <c r="ZV160" s="1"/>
      <c r="ZW160" s="1"/>
      <c r="ZX160" s="1"/>
      <c r="ZY160" s="1"/>
      <c r="ZZ160" s="1"/>
      <c r="AAA160" s="1"/>
      <c r="AAB160" s="1"/>
      <c r="AAC160" s="1"/>
      <c r="AAD160" s="1"/>
      <c r="AAE160" s="1"/>
      <c r="AAF160" s="1"/>
      <c r="AAG160" s="1"/>
      <c r="AAH160" s="1"/>
      <c r="AAI160" s="1"/>
      <c r="AAJ160" s="1"/>
      <c r="AAK160" s="1"/>
      <c r="AAL160" s="1"/>
      <c r="AAM160" s="1"/>
      <c r="AAN160" s="1"/>
      <c r="AAO160" s="1"/>
      <c r="AAP160" s="1"/>
      <c r="AAQ160" s="1"/>
      <c r="AAR160" s="1"/>
      <c r="AAS160" s="1"/>
      <c r="AAT160" s="1"/>
      <c r="AAU160" s="1"/>
      <c r="AAV160" s="1"/>
      <c r="AAW160" s="1"/>
      <c r="AAX160" s="1"/>
      <c r="AAY160" s="1"/>
      <c r="AAZ160" s="1"/>
      <c r="ABA160" s="1"/>
      <c r="ABB160" s="1"/>
      <c r="ABC160" s="1"/>
      <c r="ABD160" s="1"/>
      <c r="ABE160" s="1"/>
      <c r="ABF160" s="1"/>
      <c r="ABG160" s="1"/>
      <c r="ABH160" s="1"/>
      <c r="ABI160" s="1"/>
      <c r="ABJ160" s="1"/>
      <c r="ABK160" s="1"/>
      <c r="ABL160" s="1"/>
      <c r="ABM160" s="1"/>
      <c r="ABN160" s="1"/>
      <c r="ABO160" s="1"/>
      <c r="ABP160" s="1"/>
      <c r="ABQ160" s="1"/>
      <c r="ABR160" s="1"/>
      <c r="ABS160" s="1"/>
      <c r="ABT160" s="1"/>
      <c r="ABU160" s="1"/>
      <c r="ABV160" s="1"/>
      <c r="ABW160" s="1"/>
      <c r="ABX160" s="1"/>
      <c r="ABY160" s="1"/>
      <c r="ABZ160" s="1"/>
      <c r="ACA160" s="1"/>
      <c r="ACB160" s="1"/>
      <c r="ACC160" s="1"/>
      <c r="ACD160" s="1"/>
      <c r="ACE160" s="1"/>
      <c r="ACF160" s="1"/>
      <c r="ACG160" s="1"/>
      <c r="ACH160" s="1"/>
      <c r="ACI160" s="1"/>
      <c r="ACJ160" s="1"/>
      <c r="ACK160" s="1"/>
      <c r="ACL160" s="1"/>
      <c r="ACM160" s="1"/>
      <c r="ACN160" s="1"/>
      <c r="ACO160" s="1"/>
      <c r="ACP160" s="1"/>
      <c r="ACQ160" s="1"/>
      <c r="ACR160" s="1"/>
      <c r="ACS160" s="1"/>
      <c r="ACT160" s="1"/>
      <c r="ACU160" s="1"/>
      <c r="ACV160" s="1"/>
      <c r="ACW160" s="1"/>
      <c r="ACX160" s="1"/>
      <c r="ACY160" s="1"/>
      <c r="ACZ160" s="1"/>
      <c r="ADA160" s="1"/>
      <c r="ADB160" s="1"/>
      <c r="ADC160" s="1"/>
      <c r="ADD160" s="1"/>
      <c r="ADE160" s="1"/>
      <c r="ADF160" s="1"/>
      <c r="ADG160" s="1"/>
      <c r="ADH160" s="1"/>
      <c r="ADI160" s="1"/>
      <c r="ADJ160" s="1"/>
      <c r="ADK160" s="1"/>
      <c r="ADL160" s="1"/>
      <c r="ADM160" s="1"/>
      <c r="ADN160" s="1"/>
      <c r="ADO160" s="1"/>
      <c r="ADP160" s="1"/>
      <c r="ADQ160" s="1"/>
      <c r="ADR160" s="1"/>
      <c r="ADS160" s="1"/>
      <c r="ADT160" s="1"/>
      <c r="ADU160" s="1"/>
      <c r="ADV160" s="1"/>
      <c r="ADW160" s="1"/>
      <c r="ADX160" s="1"/>
      <c r="ADY160" s="1"/>
      <c r="ADZ160" s="1"/>
      <c r="AEA160" s="1"/>
      <c r="AEB160" s="1"/>
      <c r="AEC160" s="1"/>
      <c r="AED160" s="1"/>
      <c r="AEE160" s="1"/>
      <c r="AEF160" s="1"/>
      <c r="AEG160" s="1"/>
      <c r="AEH160" s="1"/>
      <c r="AEI160" s="1"/>
      <c r="AEJ160" s="1"/>
      <c r="AEK160" s="1"/>
      <c r="AEL160" s="1"/>
      <c r="AEM160" s="1"/>
      <c r="AEN160" s="1"/>
      <c r="AEO160" s="1"/>
      <c r="AEP160" s="1"/>
      <c r="AEQ160" s="1"/>
      <c r="AER160" s="1"/>
      <c r="AES160" s="1"/>
      <c r="AET160" s="1"/>
      <c r="AEU160" s="1"/>
      <c r="AEV160" s="1"/>
      <c r="AEW160" s="1"/>
      <c r="AEX160" s="1"/>
      <c r="AEY160" s="1"/>
      <c r="AEZ160" s="1"/>
      <c r="AFA160" s="1"/>
      <c r="AFB160" s="1"/>
      <c r="AFC160" s="1"/>
      <c r="AFD160" s="1"/>
      <c r="AFE160" s="1"/>
      <c r="AFF160" s="1"/>
      <c r="AFG160" s="1"/>
      <c r="AFH160" s="1"/>
      <c r="AFI160" s="1"/>
      <c r="AFJ160" s="1"/>
      <c r="AFK160" s="1"/>
      <c r="AFL160" s="1"/>
      <c r="AFM160" s="1"/>
      <c r="AFN160" s="1"/>
      <c r="AFO160" s="1"/>
      <c r="AFP160" s="1"/>
      <c r="AFQ160" s="1"/>
      <c r="AFR160" s="1"/>
      <c r="AFS160" s="1"/>
      <c r="AFT160" s="1"/>
      <c r="AFU160" s="1"/>
      <c r="AFV160" s="1"/>
      <c r="AFW160" s="1"/>
      <c r="AFX160" s="1"/>
      <c r="AFY160" s="1"/>
      <c r="AFZ160" s="1"/>
      <c r="AGA160" s="1"/>
      <c r="AGB160" s="1"/>
      <c r="AGC160" s="1"/>
      <c r="AGD160" s="1"/>
      <c r="AGE160" s="1"/>
      <c r="AGF160" s="1"/>
      <c r="AGG160" s="1"/>
      <c r="AGH160" s="1"/>
      <c r="AGI160" s="1"/>
      <c r="AGJ160" s="1"/>
      <c r="AGK160" s="1"/>
      <c r="AGL160" s="1"/>
      <c r="AGM160" s="1"/>
      <c r="AGN160" s="1"/>
      <c r="AGO160" s="1"/>
      <c r="AGP160" s="1"/>
      <c r="AGQ160" s="1"/>
      <c r="AGR160" s="1"/>
      <c r="AGS160" s="1"/>
      <c r="AGT160" s="1"/>
      <c r="AGU160" s="1"/>
      <c r="AGV160" s="1"/>
      <c r="AGW160" s="1"/>
      <c r="AGX160" s="1"/>
      <c r="AGY160" s="1"/>
      <c r="AGZ160" s="1"/>
      <c r="AHA160" s="1"/>
      <c r="AHB160" s="1"/>
      <c r="AHC160" s="1"/>
      <c r="AHD160" s="1"/>
      <c r="AHE160" s="1"/>
      <c r="AHF160" s="1"/>
      <c r="AHG160" s="1"/>
      <c r="AHH160" s="1"/>
      <c r="AHI160" s="1"/>
      <c r="AHJ160" s="1"/>
      <c r="AHK160" s="1"/>
      <c r="AHL160" s="1"/>
      <c r="AHM160" s="1"/>
      <c r="AHN160" s="1"/>
      <c r="AHO160" s="1"/>
      <c r="AHP160" s="1"/>
      <c r="AHQ160" s="1"/>
      <c r="AHR160" s="1"/>
      <c r="AHS160" s="1"/>
      <c r="AHT160" s="1"/>
      <c r="AHU160" s="1"/>
      <c r="AHV160" s="1"/>
      <c r="AHW160" s="1"/>
      <c r="AHX160" s="1"/>
      <c r="AHY160" s="1"/>
      <c r="AHZ160" s="1"/>
      <c r="AIA160" s="1"/>
      <c r="AIB160" s="1"/>
      <c r="AIC160" s="1"/>
      <c r="AID160" s="1"/>
      <c r="AIE160" s="1"/>
      <c r="AIF160" s="1"/>
      <c r="AIG160" s="1"/>
      <c r="AIH160" s="1"/>
      <c r="AII160" s="1"/>
      <c r="AIJ160" s="1"/>
      <c r="AIK160" s="1"/>
      <c r="AIL160" s="1"/>
      <c r="AIM160" s="1"/>
      <c r="AIN160" s="1"/>
      <c r="AIO160" s="1"/>
      <c r="AIP160" s="1"/>
      <c r="AIQ160" s="1"/>
      <c r="AIR160" s="1"/>
      <c r="AIS160" s="1"/>
      <c r="AIT160" s="1"/>
      <c r="AIU160" s="1"/>
      <c r="AIV160" s="1"/>
      <c r="AIW160" s="1"/>
      <c r="AIX160" s="1"/>
      <c r="AIY160" s="1"/>
      <c r="AIZ160" s="1"/>
      <c r="AJA160" s="1"/>
      <c r="AJB160" s="1"/>
      <c r="AJC160" s="1"/>
      <c r="AJD160" s="1"/>
      <c r="AJE160" s="1"/>
      <c r="AJF160" s="1"/>
      <c r="AJG160" s="1"/>
      <c r="AJH160" s="1"/>
      <c r="AJI160" s="1"/>
      <c r="AJJ160" s="1"/>
      <c r="AJK160" s="1"/>
      <c r="AJL160" s="1"/>
      <c r="AJM160" s="1"/>
      <c r="AJN160" s="1"/>
      <c r="AJO160" s="1"/>
      <c r="AJP160" s="1"/>
      <c r="AJQ160" s="1"/>
      <c r="AJR160" s="1"/>
      <c r="AJS160" s="1"/>
      <c r="AJT160" s="1"/>
      <c r="AJU160" s="1"/>
      <c r="AJV160" s="1"/>
      <c r="AJW160" s="1"/>
      <c r="AJX160" s="1"/>
      <c r="AJY160" s="1"/>
      <c r="AJZ160" s="1"/>
      <c r="AKA160" s="1"/>
      <c r="AKB160" s="1"/>
      <c r="AKC160" s="1"/>
      <c r="AKD160" s="1"/>
      <c r="AKE160" s="1"/>
      <c r="AKF160" s="1"/>
      <c r="AKG160" s="1"/>
      <c r="AKH160" s="1"/>
      <c r="AKI160" s="1"/>
      <c r="AKJ160" s="1"/>
      <c r="AKK160" s="1"/>
      <c r="AKL160" s="1"/>
      <c r="AKM160" s="1"/>
      <c r="AKN160" s="1"/>
      <c r="AKO160" s="1"/>
      <c r="AKP160" s="1"/>
      <c r="AKQ160" s="1"/>
      <c r="AKR160" s="1"/>
      <c r="AKS160" s="1"/>
      <c r="AKT160" s="1"/>
      <c r="AKU160" s="1"/>
      <c r="AKV160" s="1"/>
      <c r="AKW160" s="1"/>
      <c r="AKX160" s="1"/>
      <c r="AKY160" s="1"/>
      <c r="AKZ160" s="1"/>
      <c r="ALA160" s="1"/>
      <c r="ALB160" s="1"/>
      <c r="ALC160" s="1"/>
      <c r="ALD160" s="1"/>
      <c r="ALE160" s="1"/>
      <c r="ALF160" s="1"/>
      <c r="ALG160" s="1"/>
      <c r="ALH160" s="1"/>
      <c r="ALI160" s="1"/>
      <c r="ALJ160" s="1"/>
      <c r="ALK160" s="1"/>
      <c r="ALL160" s="1"/>
      <c r="ALM160" s="1"/>
      <c r="ALN160" s="1"/>
      <c r="ALO160" s="1"/>
      <c r="ALP160" s="1"/>
      <c r="ALQ160" s="1"/>
      <c r="ALR160" s="1"/>
      <c r="ALS160" s="1"/>
      <c r="ALT160" s="1"/>
      <c r="ALU160" s="1"/>
      <c r="ALV160" s="1"/>
      <c r="ALW160" s="1"/>
      <c r="ALX160" s="1"/>
      <c r="ALY160" s="1"/>
      <c r="ALZ160" s="1"/>
      <c r="AMA160" s="1"/>
      <c r="AMB160" s="1"/>
      <c r="AMC160" s="1"/>
      <c r="AMD160" s="1"/>
      <c r="AME160" s="1"/>
      <c r="AMF160" s="1"/>
      <c r="AMG160" s="1"/>
      <c r="AMH160" s="1"/>
      <c r="AMI160" s="1"/>
      <c r="AMJ160" s="1"/>
      <c r="AMK160" s="1"/>
      <c r="AML160" s="1"/>
      <c r="AMM160" s="1"/>
      <c r="AMN160" s="1"/>
      <c r="AMO160" s="1"/>
    </row>
    <row r="161" spans="1:1029" x14ac:dyDescent="0.2">
      <c r="A161" s="3" t="str">
        <f t="shared" si="559"/>
        <v>ednrb_human__wt</v>
      </c>
      <c r="B161" s="2" t="s">
        <v>196</v>
      </c>
      <c r="C161" s="2" t="s">
        <v>100</v>
      </c>
      <c r="D161" s="3" t="str">
        <f>IFERROR(MID(VLOOKUP($B161,Seqs!$A:$B,2,0),E161,1),"")</f>
        <v>Q</v>
      </c>
      <c r="E161" s="2">
        <v>91</v>
      </c>
      <c r="F161" s="3" t="str">
        <f>IFERROR(MID(VLOOKUP($B161,Seqs!$A:$B,2,0),G161,1),"")</f>
        <v>N</v>
      </c>
      <c r="G161" s="2">
        <v>129</v>
      </c>
      <c r="H161" s="3" t="str">
        <f>IFERROR(MID(VLOOKUP($B161,Seqs!$A:$B,2,0),I161,1),"")</f>
        <v>K</v>
      </c>
      <c r="I161" s="56">
        <v>130</v>
      </c>
      <c r="J161" s="3" t="str">
        <f>IFERROR(MID(VLOOKUP($B161,Seqs!$A:$B,2,0),K161,1),"")</f>
        <v>N</v>
      </c>
      <c r="K161" s="56">
        <v>134</v>
      </c>
      <c r="L161" s="3" t="str">
        <f>IFERROR(MID(VLOOKUP($B161,Seqs!$A:$B,2,0),M161,1),"")</f>
        <v>G</v>
      </c>
      <c r="M161" s="2">
        <v>135</v>
      </c>
      <c r="N161" s="3" t="str">
        <f>IFERROR(MID(VLOOKUP($B161,Seqs!$A:$B,2,0),O161,1),"")</f>
        <v>A</v>
      </c>
      <c r="O161" s="2">
        <v>164</v>
      </c>
      <c r="P161" s="3" t="str">
        <f>IFERROR(MID(VLOOKUP($B161,Seqs!$A:$B,2,0),Q161,1),"")</f>
        <v>D</v>
      </c>
      <c r="Q161" s="2">
        <v>166</v>
      </c>
      <c r="R161" s="3" t="str">
        <f>IFERROR(MID(VLOOKUP($B161,Seqs!$A:$B,2,0),S161,1),"")</f>
        <v>F</v>
      </c>
      <c r="S161" s="2">
        <v>169</v>
      </c>
      <c r="T161" s="3" t="str">
        <f>IFERROR(MID(VLOOKUP($B161,Seqs!$A:$B,2,0),U161,1),"")</f>
        <v>G</v>
      </c>
      <c r="U161" s="4">
        <v>170</v>
      </c>
      <c r="V161" s="3" t="str">
        <f>IFERROR(MID(VLOOKUP($B161,Seqs!$A:$B,2,0),W161,1),"")</f>
        <v>S</v>
      </c>
      <c r="W161" s="2">
        <v>205</v>
      </c>
      <c r="X161" s="3" t="str">
        <f>IFERROR(MID(VLOOKUP($B161,Seqs!$A:$B,2,0),Y161,1),"")</f>
        <v>W</v>
      </c>
      <c r="Y161" s="2">
        <v>206</v>
      </c>
      <c r="Z161" s="3" t="str">
        <f>IFERROR(MID(VLOOKUP($B161,Seqs!$A:$B,2,0),AA161,1),"")</f>
        <v>G</v>
      </c>
      <c r="AA161" s="2">
        <v>213</v>
      </c>
      <c r="AB161" s="3" t="str">
        <f>IFERROR(MID(VLOOKUP($B161,Seqs!$A:$B,2,0),AC161,1),"")</f>
        <v>V</v>
      </c>
      <c r="AC161" s="40">
        <v>214</v>
      </c>
      <c r="AD161" s="3" t="str">
        <f>IFERROR(MID(VLOOKUP($B161,Seqs!$A:$B,2,0),AE161,1),"")</f>
        <v>F</v>
      </c>
      <c r="AE161" s="2">
        <v>240</v>
      </c>
      <c r="AF161" s="3" t="str">
        <f>IFERROR(MID(VLOOKUP($B161,Seqs!$A:$B,2,0),AG161,1),"")</f>
        <v>C</v>
      </c>
      <c r="AG161" s="2">
        <v>255</v>
      </c>
      <c r="AH161" s="3" t="str">
        <f>IFERROR(MID(VLOOKUP($B161,Seqs!$A:$B,2,0),AI161,1),"")</f>
        <v>L</v>
      </c>
      <c r="AI161" s="2">
        <v>257</v>
      </c>
      <c r="AJ161" s="3" t="str">
        <f>IFERROR(MID(VLOOKUP($B161,Seqs!$A:$B,2,0),AK161,1),"")</f>
        <v>T</v>
      </c>
      <c r="AK161" s="2">
        <v>263</v>
      </c>
      <c r="AL161" s="3" t="str">
        <f>IFERROR(MID(VLOOKUP($B161,Seqs!$A:$B,2,0),AM161,1),"")</f>
        <v>M</v>
      </c>
      <c r="AM161" s="2">
        <v>307</v>
      </c>
      <c r="AN161" s="3" t="str">
        <f>IFERROR(MID(VLOOKUP($B161,Seqs!$A:$B,2,0),AO161,1),"")</f>
        <v>N</v>
      </c>
      <c r="AO161" s="2">
        <v>312</v>
      </c>
      <c r="AP161" s="3" t="str">
        <f>IFERROR(MID(VLOOKUP($B161,Seqs!$A:$B,2,0),AQ161,1),"")</f>
        <v>Y</v>
      </c>
      <c r="AQ161" s="2">
        <v>350</v>
      </c>
      <c r="AR161" s="3" t="str">
        <f>IFERROR(MID(VLOOKUP($B161,Seqs!$A:$B,2,0),AS161,1),"")</f>
        <v>R</v>
      </c>
      <c r="AS161" s="2">
        <v>357</v>
      </c>
      <c r="AT161" s="3" t="str">
        <f>IFERROR(MID(VLOOKUP($B161,Seqs!$A:$B,2,0),AU161,1),"")</f>
        <v>V</v>
      </c>
      <c r="AU161" s="2">
        <v>389</v>
      </c>
      <c r="AV161" s="3" t="str">
        <f>IFERROR(MID(VLOOKUP($B161,Seqs!$A:$B,2,0),AW161,1),"")</f>
        <v>S</v>
      </c>
      <c r="AW161" s="2">
        <v>390</v>
      </c>
      <c r="AX161" s="3" t="str">
        <f>IFERROR(MID(VLOOKUP($B161,Seqs!$A:$B,2,0),AY161,1),"")</f>
        <v>C</v>
      </c>
      <c r="AY161" s="2">
        <v>403</v>
      </c>
      <c r="AZ161" s="77" t="str">
        <f>VLOOKUP(B161,Classification!A:D,2,0)</f>
        <v>A</v>
      </c>
      <c r="BA161" s="94" t="str">
        <f>VLOOKUP(B161,Classification!A:D,4,0)</f>
        <v>Endothelin</v>
      </c>
      <c r="BB161" s="27" t="b">
        <f t="shared" si="560"/>
        <v>1</v>
      </c>
      <c r="BC161" s="2"/>
      <c r="BD161" s="34" t="s">
        <v>1379</v>
      </c>
      <c r="BE161" s="3" t="s">
        <v>23</v>
      </c>
      <c r="BF161" s="119" t="s">
        <v>23</v>
      </c>
      <c r="BG161" s="49" t="s">
        <v>1379</v>
      </c>
      <c r="BH161" s="49" t="s">
        <v>1384</v>
      </c>
      <c r="BI161" s="2"/>
      <c r="BJ161" s="70"/>
      <c r="BU161" s="57"/>
      <c r="BV161" s="70"/>
      <c r="BW161" s="57"/>
      <c r="BX161" s="57"/>
      <c r="BY161" s="57"/>
      <c r="BZ161" s="57"/>
      <c r="CA161" s="57"/>
      <c r="CB161" s="57"/>
      <c r="CC161" s="57"/>
      <c r="CD161" s="57"/>
      <c r="CE161" s="57"/>
      <c r="CF161" s="57"/>
      <c r="CG161" s="57"/>
      <c r="CH161" s="70"/>
      <c r="CI161" s="57"/>
      <c r="CJ161" s="57"/>
      <c r="CK161" s="57"/>
      <c r="CL161" s="57"/>
      <c r="CM161" s="57"/>
      <c r="CN161" s="57"/>
      <c r="CO161" s="57"/>
      <c r="CP161" s="57"/>
      <c r="CQ161" s="57"/>
      <c r="CR161" s="57"/>
      <c r="CS161" s="57"/>
      <c r="CT161" s="2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  <c r="OK161" s="1"/>
      <c r="OL161" s="1"/>
      <c r="OM161" s="1"/>
      <c r="ON161" s="1"/>
      <c r="OO161" s="1"/>
      <c r="OP161" s="1"/>
      <c r="OQ161" s="1"/>
      <c r="OR161" s="1"/>
      <c r="OS161" s="1"/>
      <c r="OT161" s="1"/>
      <c r="OU161" s="1"/>
      <c r="OV161" s="1"/>
      <c r="OW161" s="1"/>
      <c r="OX161" s="1"/>
      <c r="OY161" s="1"/>
      <c r="OZ161" s="1"/>
      <c r="PA161" s="1"/>
      <c r="PB161" s="1"/>
      <c r="PC161" s="1"/>
      <c r="PD161" s="1"/>
      <c r="PE161" s="1"/>
      <c r="PF161" s="1"/>
      <c r="PG161" s="1"/>
      <c r="PH161" s="1"/>
      <c r="PI161" s="1"/>
      <c r="PJ161" s="1"/>
      <c r="PK161" s="1"/>
      <c r="PL161" s="1"/>
      <c r="PM161" s="1"/>
      <c r="PN161" s="1"/>
      <c r="PO161" s="1"/>
      <c r="PP161" s="1"/>
      <c r="PQ161" s="1"/>
      <c r="PR161" s="1"/>
      <c r="PS161" s="1"/>
      <c r="PT161" s="1"/>
      <c r="PU161" s="1"/>
      <c r="PV161" s="1"/>
      <c r="PW161" s="1"/>
      <c r="PX161" s="1"/>
      <c r="PY161" s="1"/>
      <c r="PZ161" s="1"/>
      <c r="QA161" s="1"/>
      <c r="QB161" s="1"/>
      <c r="QC161" s="1"/>
      <c r="QD161" s="1"/>
      <c r="QE161" s="1"/>
      <c r="QF161" s="1"/>
      <c r="QG161" s="1"/>
      <c r="QH161" s="1"/>
      <c r="QI161" s="1"/>
      <c r="QJ161" s="1"/>
      <c r="QK161" s="1"/>
      <c r="QL161" s="1"/>
      <c r="QM161" s="1"/>
      <c r="QN161" s="1"/>
      <c r="QO161" s="1"/>
      <c r="QP161" s="1"/>
      <c r="QQ161" s="1"/>
      <c r="QR161" s="1"/>
      <c r="QS161" s="1"/>
      <c r="QT161" s="1"/>
      <c r="QU161" s="1"/>
      <c r="QV161" s="1"/>
      <c r="QW161" s="1"/>
      <c r="QX161" s="1"/>
      <c r="QY161" s="1"/>
      <c r="QZ161" s="1"/>
      <c r="RA161" s="1"/>
      <c r="RB161" s="1"/>
      <c r="RC161" s="1"/>
      <c r="RD161" s="1"/>
      <c r="RE161" s="1"/>
      <c r="RF161" s="1"/>
      <c r="RG161" s="1"/>
      <c r="RH161" s="1"/>
      <c r="RI161" s="1"/>
      <c r="RJ161" s="1"/>
      <c r="RK161" s="1"/>
      <c r="RL161" s="1"/>
      <c r="RM161" s="1"/>
      <c r="RN161" s="1"/>
      <c r="RO161" s="1"/>
      <c r="RP161" s="1"/>
      <c r="RQ161" s="1"/>
      <c r="RR161" s="1"/>
      <c r="RS161" s="1"/>
      <c r="RT161" s="1"/>
      <c r="RU161" s="1"/>
      <c r="RV161" s="1"/>
      <c r="RW161" s="1"/>
      <c r="RX161" s="1"/>
      <c r="RY161" s="1"/>
      <c r="RZ161" s="1"/>
      <c r="SA161" s="1"/>
      <c r="SB161" s="1"/>
      <c r="SC161" s="1"/>
      <c r="SD161" s="1"/>
      <c r="SE161" s="1"/>
      <c r="SF161" s="1"/>
      <c r="SG161" s="1"/>
      <c r="SH161" s="1"/>
      <c r="SI161" s="1"/>
      <c r="SJ161" s="1"/>
      <c r="SK161" s="1"/>
      <c r="SL161" s="1"/>
      <c r="SM161" s="1"/>
      <c r="SN161" s="1"/>
      <c r="SO161" s="1"/>
      <c r="SP161" s="1"/>
      <c r="SQ161" s="1"/>
      <c r="SR161" s="1"/>
      <c r="SS161" s="1"/>
      <c r="ST161" s="1"/>
      <c r="SU161" s="1"/>
      <c r="SV161" s="1"/>
      <c r="SW161" s="1"/>
      <c r="SX161" s="1"/>
      <c r="SY161" s="1"/>
      <c r="SZ161" s="1"/>
      <c r="TA161" s="1"/>
      <c r="TB161" s="1"/>
      <c r="TC161" s="1"/>
      <c r="TD161" s="1"/>
      <c r="TE161" s="1"/>
      <c r="TF161" s="1"/>
      <c r="TG161" s="1"/>
      <c r="TH161" s="1"/>
      <c r="TI161" s="1"/>
      <c r="TJ161" s="1"/>
      <c r="TK161" s="1"/>
      <c r="TL161" s="1"/>
      <c r="TM161" s="1"/>
      <c r="TN161" s="1"/>
      <c r="TO161" s="1"/>
      <c r="TP161" s="1"/>
      <c r="TQ161" s="1"/>
      <c r="TR161" s="1"/>
      <c r="TS161" s="1"/>
      <c r="TT161" s="1"/>
      <c r="TU161" s="1"/>
      <c r="TV161" s="1"/>
      <c r="TW161" s="1"/>
      <c r="TX161" s="1"/>
      <c r="TY161" s="1"/>
      <c r="TZ161" s="1"/>
      <c r="UA161" s="1"/>
      <c r="UB161" s="1"/>
      <c r="UC161" s="1"/>
      <c r="UD161" s="1"/>
      <c r="UE161" s="1"/>
      <c r="UF161" s="1"/>
      <c r="UG161" s="1"/>
      <c r="UH161" s="1"/>
      <c r="UI161" s="1"/>
      <c r="UJ161" s="1"/>
      <c r="UK161" s="1"/>
      <c r="UL161" s="1"/>
      <c r="UM161" s="1"/>
      <c r="UN161" s="1"/>
      <c r="UO161" s="1"/>
      <c r="UP161" s="1"/>
      <c r="UQ161" s="1"/>
      <c r="UR161" s="1"/>
      <c r="US161" s="1"/>
      <c r="UT161" s="1"/>
      <c r="UU161" s="1"/>
      <c r="UV161" s="1"/>
      <c r="UW161" s="1"/>
      <c r="UX161" s="1"/>
      <c r="UY161" s="1"/>
      <c r="UZ161" s="1"/>
      <c r="VA161" s="1"/>
      <c r="VB161" s="1"/>
      <c r="VC161" s="1"/>
      <c r="VD161" s="1"/>
      <c r="VE161" s="1"/>
      <c r="VF161" s="1"/>
      <c r="VG161" s="1"/>
      <c r="VH161" s="1"/>
      <c r="VI161" s="1"/>
      <c r="VJ161" s="1"/>
      <c r="VK161" s="1"/>
      <c r="VL161" s="1"/>
      <c r="VM161" s="1"/>
      <c r="VN161" s="1"/>
      <c r="VO161" s="1"/>
      <c r="VP161" s="1"/>
      <c r="VQ161" s="1"/>
      <c r="VR161" s="1"/>
      <c r="VS161" s="1"/>
      <c r="VT161" s="1"/>
      <c r="VU161" s="1"/>
      <c r="VV161" s="1"/>
      <c r="VW161" s="1"/>
      <c r="VX161" s="1"/>
      <c r="VY161" s="1"/>
      <c r="VZ161" s="1"/>
      <c r="WA161" s="1"/>
      <c r="WB161" s="1"/>
      <c r="WC161" s="1"/>
      <c r="WD161" s="1"/>
      <c r="WE161" s="1"/>
      <c r="WF161" s="1"/>
      <c r="WG161" s="1"/>
      <c r="WH161" s="1"/>
      <c r="WI161" s="1"/>
      <c r="WJ161" s="1"/>
      <c r="WK161" s="1"/>
      <c r="WL161" s="1"/>
      <c r="WM161" s="1"/>
      <c r="WN161" s="1"/>
      <c r="WO161" s="1"/>
      <c r="WP161" s="1"/>
      <c r="WQ161" s="1"/>
      <c r="WR161" s="1"/>
      <c r="WS161" s="1"/>
      <c r="WT161" s="1"/>
      <c r="WU161" s="1"/>
      <c r="WV161" s="1"/>
      <c r="WW161" s="1"/>
      <c r="WX161" s="1"/>
      <c r="WY161" s="1"/>
      <c r="WZ161" s="1"/>
      <c r="XA161" s="1"/>
      <c r="XB161" s="1"/>
      <c r="XC161" s="1"/>
      <c r="XD161" s="1"/>
      <c r="XE161" s="1"/>
      <c r="XF161" s="1"/>
      <c r="XG161" s="1"/>
      <c r="XH161" s="1"/>
      <c r="XI161" s="1"/>
      <c r="XJ161" s="1"/>
      <c r="XK161" s="1"/>
      <c r="XL161" s="1"/>
      <c r="XM161" s="1"/>
      <c r="XN161" s="1"/>
      <c r="XO161" s="1"/>
      <c r="XP161" s="1"/>
      <c r="XQ161" s="1"/>
      <c r="XR161" s="1"/>
      <c r="XS161" s="1"/>
      <c r="XT161" s="1"/>
      <c r="XU161" s="1"/>
      <c r="XV161" s="1"/>
      <c r="XW161" s="1"/>
      <c r="XX161" s="1"/>
      <c r="XY161" s="1"/>
      <c r="XZ161" s="1"/>
      <c r="YA161" s="1"/>
      <c r="YB161" s="1"/>
      <c r="YC161" s="1"/>
      <c r="YD161" s="1"/>
      <c r="YE161" s="1"/>
      <c r="YF161" s="1"/>
      <c r="YG161" s="1"/>
      <c r="YH161" s="1"/>
      <c r="YI161" s="1"/>
      <c r="YJ161" s="1"/>
      <c r="YK161" s="1"/>
      <c r="YL161" s="1"/>
      <c r="YM161" s="1"/>
      <c r="YN161" s="1"/>
      <c r="YO161" s="1"/>
      <c r="YP161" s="1"/>
      <c r="YQ161" s="1"/>
      <c r="YR161" s="1"/>
      <c r="YS161" s="1"/>
      <c r="YT161" s="1"/>
      <c r="YU161" s="1"/>
      <c r="YV161" s="1"/>
      <c r="YW161" s="1"/>
      <c r="YX161" s="1"/>
      <c r="YY161" s="1"/>
      <c r="YZ161" s="1"/>
      <c r="ZA161" s="1"/>
      <c r="ZB161" s="1"/>
      <c r="ZC161" s="1"/>
      <c r="ZD161" s="1"/>
      <c r="ZE161" s="1"/>
      <c r="ZF161" s="1"/>
      <c r="ZG161" s="1"/>
      <c r="ZH161" s="1"/>
      <c r="ZI161" s="1"/>
      <c r="ZJ161" s="1"/>
      <c r="ZK161" s="1"/>
      <c r="ZL161" s="1"/>
      <c r="ZM161" s="1"/>
      <c r="ZN161" s="1"/>
      <c r="ZO161" s="1"/>
      <c r="ZP161" s="1"/>
      <c r="ZQ161" s="1"/>
      <c r="ZR161" s="1"/>
      <c r="ZS161" s="1"/>
      <c r="ZT161" s="1"/>
      <c r="ZU161" s="1"/>
      <c r="ZV161" s="1"/>
      <c r="ZW161" s="1"/>
      <c r="ZX161" s="1"/>
      <c r="ZY161" s="1"/>
      <c r="ZZ161" s="1"/>
      <c r="AAA161" s="1"/>
      <c r="AAB161" s="1"/>
      <c r="AAC161" s="1"/>
      <c r="AAD161" s="1"/>
      <c r="AAE161" s="1"/>
      <c r="AAF161" s="1"/>
      <c r="AAG161" s="1"/>
      <c r="AAH161" s="1"/>
      <c r="AAI161" s="1"/>
      <c r="AAJ161" s="1"/>
      <c r="AAK161" s="1"/>
      <c r="AAL161" s="1"/>
      <c r="AAM161" s="1"/>
      <c r="AAN161" s="1"/>
      <c r="AAO161" s="1"/>
      <c r="AAP161" s="1"/>
      <c r="AAQ161" s="1"/>
      <c r="AAR161" s="1"/>
      <c r="AAS161" s="1"/>
      <c r="AAT161" s="1"/>
      <c r="AAU161" s="1"/>
      <c r="AAV161" s="1"/>
      <c r="AAW161" s="1"/>
      <c r="AAX161" s="1"/>
      <c r="AAY161" s="1"/>
      <c r="AAZ161" s="1"/>
      <c r="ABA161" s="1"/>
      <c r="ABB161" s="1"/>
      <c r="ABC161" s="1"/>
      <c r="ABD161" s="1"/>
      <c r="ABE161" s="1"/>
      <c r="ABF161" s="1"/>
      <c r="ABG161" s="1"/>
      <c r="ABH161" s="1"/>
      <c r="ABI161" s="1"/>
      <c r="ABJ161" s="1"/>
      <c r="ABK161" s="1"/>
      <c r="ABL161" s="1"/>
      <c r="ABM161" s="1"/>
      <c r="ABN161" s="1"/>
      <c r="ABO161" s="1"/>
      <c r="ABP161" s="1"/>
      <c r="ABQ161" s="1"/>
      <c r="ABR161" s="1"/>
      <c r="ABS161" s="1"/>
      <c r="ABT161" s="1"/>
      <c r="ABU161" s="1"/>
      <c r="ABV161" s="1"/>
      <c r="ABW161" s="1"/>
      <c r="ABX161" s="1"/>
      <c r="ABY161" s="1"/>
      <c r="ABZ161" s="1"/>
      <c r="ACA161" s="1"/>
      <c r="ACB161" s="1"/>
      <c r="ACC161" s="1"/>
      <c r="ACD161" s="1"/>
      <c r="ACE161" s="1"/>
      <c r="ACF161" s="1"/>
      <c r="ACG161" s="1"/>
      <c r="ACH161" s="1"/>
      <c r="ACI161" s="1"/>
      <c r="ACJ161" s="1"/>
      <c r="ACK161" s="1"/>
      <c r="ACL161" s="1"/>
      <c r="ACM161" s="1"/>
      <c r="ACN161" s="1"/>
      <c r="ACO161" s="1"/>
      <c r="ACP161" s="1"/>
      <c r="ACQ161" s="1"/>
      <c r="ACR161" s="1"/>
      <c r="ACS161" s="1"/>
      <c r="ACT161" s="1"/>
      <c r="ACU161" s="1"/>
      <c r="ACV161" s="1"/>
      <c r="ACW161" s="1"/>
      <c r="ACX161" s="1"/>
      <c r="ACY161" s="1"/>
      <c r="ACZ161" s="1"/>
      <c r="ADA161" s="1"/>
      <c r="ADB161" s="1"/>
      <c r="ADC161" s="1"/>
      <c r="ADD161" s="1"/>
      <c r="ADE161" s="1"/>
      <c r="ADF161" s="1"/>
      <c r="ADG161" s="1"/>
      <c r="ADH161" s="1"/>
      <c r="ADI161" s="1"/>
      <c r="ADJ161" s="1"/>
      <c r="ADK161" s="1"/>
      <c r="ADL161" s="1"/>
      <c r="ADM161" s="1"/>
      <c r="ADN161" s="1"/>
      <c r="ADO161" s="1"/>
      <c r="ADP161" s="1"/>
      <c r="ADQ161" s="1"/>
      <c r="ADR161" s="1"/>
      <c r="ADS161" s="1"/>
      <c r="ADT161" s="1"/>
      <c r="ADU161" s="1"/>
      <c r="ADV161" s="1"/>
      <c r="ADW161" s="1"/>
      <c r="ADX161" s="1"/>
      <c r="ADY161" s="1"/>
      <c r="ADZ161" s="1"/>
      <c r="AEA161" s="1"/>
      <c r="AEB161" s="1"/>
      <c r="AEC161" s="1"/>
      <c r="AED161" s="1"/>
      <c r="AEE161" s="1"/>
      <c r="AEF161" s="1"/>
      <c r="AEG161" s="1"/>
      <c r="AEH161" s="1"/>
      <c r="AEI161" s="1"/>
      <c r="AEJ161" s="1"/>
      <c r="AEK161" s="1"/>
      <c r="AEL161" s="1"/>
      <c r="AEM161" s="1"/>
      <c r="AEN161" s="1"/>
      <c r="AEO161" s="1"/>
      <c r="AEP161" s="1"/>
      <c r="AEQ161" s="1"/>
      <c r="AER161" s="1"/>
      <c r="AES161" s="1"/>
      <c r="AET161" s="1"/>
      <c r="AEU161" s="1"/>
      <c r="AEV161" s="1"/>
      <c r="AEW161" s="1"/>
      <c r="AEX161" s="1"/>
      <c r="AEY161" s="1"/>
      <c r="AEZ161" s="1"/>
      <c r="AFA161" s="1"/>
      <c r="AFB161" s="1"/>
      <c r="AFC161" s="1"/>
      <c r="AFD161" s="1"/>
      <c r="AFE161" s="1"/>
      <c r="AFF161" s="1"/>
      <c r="AFG161" s="1"/>
      <c r="AFH161" s="1"/>
      <c r="AFI161" s="1"/>
      <c r="AFJ161" s="1"/>
      <c r="AFK161" s="1"/>
      <c r="AFL161" s="1"/>
      <c r="AFM161" s="1"/>
      <c r="AFN161" s="1"/>
      <c r="AFO161" s="1"/>
      <c r="AFP161" s="1"/>
      <c r="AFQ161" s="1"/>
      <c r="AFR161" s="1"/>
      <c r="AFS161" s="1"/>
      <c r="AFT161" s="1"/>
      <c r="AFU161" s="1"/>
      <c r="AFV161" s="1"/>
      <c r="AFW161" s="1"/>
      <c r="AFX161" s="1"/>
      <c r="AFY161" s="1"/>
      <c r="AFZ161" s="1"/>
      <c r="AGA161" s="1"/>
      <c r="AGB161" s="1"/>
      <c r="AGC161" s="1"/>
      <c r="AGD161" s="1"/>
      <c r="AGE161" s="1"/>
      <c r="AGF161" s="1"/>
      <c r="AGG161" s="1"/>
      <c r="AGH161" s="1"/>
      <c r="AGI161" s="1"/>
      <c r="AGJ161" s="1"/>
      <c r="AGK161" s="1"/>
      <c r="AGL161" s="1"/>
      <c r="AGM161" s="1"/>
      <c r="AGN161" s="1"/>
      <c r="AGO161" s="1"/>
      <c r="AGP161" s="1"/>
      <c r="AGQ161" s="1"/>
      <c r="AGR161" s="1"/>
      <c r="AGS161" s="1"/>
      <c r="AGT161" s="1"/>
      <c r="AGU161" s="1"/>
      <c r="AGV161" s="1"/>
      <c r="AGW161" s="1"/>
      <c r="AGX161" s="1"/>
      <c r="AGY161" s="1"/>
      <c r="AGZ161" s="1"/>
      <c r="AHA161" s="1"/>
      <c r="AHB161" s="1"/>
      <c r="AHC161" s="1"/>
      <c r="AHD161" s="1"/>
      <c r="AHE161" s="1"/>
      <c r="AHF161" s="1"/>
      <c r="AHG161" s="1"/>
      <c r="AHH161" s="1"/>
      <c r="AHI161" s="1"/>
      <c r="AHJ161" s="1"/>
      <c r="AHK161" s="1"/>
      <c r="AHL161" s="1"/>
      <c r="AHM161" s="1"/>
      <c r="AHN161" s="1"/>
      <c r="AHO161" s="1"/>
      <c r="AHP161" s="1"/>
      <c r="AHQ161" s="1"/>
      <c r="AHR161" s="1"/>
      <c r="AHS161" s="1"/>
      <c r="AHT161" s="1"/>
      <c r="AHU161" s="1"/>
      <c r="AHV161" s="1"/>
      <c r="AHW161" s="1"/>
      <c r="AHX161" s="1"/>
      <c r="AHY161" s="1"/>
      <c r="AHZ161" s="1"/>
      <c r="AIA161" s="1"/>
      <c r="AIB161" s="1"/>
      <c r="AIC161" s="1"/>
      <c r="AID161" s="1"/>
      <c r="AIE161" s="1"/>
      <c r="AIF161" s="1"/>
      <c r="AIG161" s="1"/>
      <c r="AIH161" s="1"/>
      <c r="AII161" s="1"/>
      <c r="AIJ161" s="1"/>
      <c r="AIK161" s="1"/>
      <c r="AIL161" s="1"/>
      <c r="AIM161" s="1"/>
      <c r="AIN161" s="1"/>
      <c r="AIO161" s="1"/>
      <c r="AIP161" s="1"/>
      <c r="AIQ161" s="1"/>
      <c r="AIR161" s="1"/>
      <c r="AIS161" s="1"/>
      <c r="AIT161" s="1"/>
      <c r="AIU161" s="1"/>
      <c r="AIV161" s="1"/>
      <c r="AIW161" s="1"/>
      <c r="AIX161" s="1"/>
      <c r="AIY161" s="1"/>
      <c r="AIZ161" s="1"/>
      <c r="AJA161" s="1"/>
      <c r="AJB161" s="1"/>
      <c r="AJC161" s="1"/>
      <c r="AJD161" s="1"/>
      <c r="AJE161" s="1"/>
      <c r="AJF161" s="1"/>
      <c r="AJG161" s="1"/>
      <c r="AJH161" s="1"/>
      <c r="AJI161" s="1"/>
      <c r="AJJ161" s="1"/>
      <c r="AJK161" s="1"/>
      <c r="AJL161" s="1"/>
      <c r="AJM161" s="1"/>
      <c r="AJN161" s="1"/>
      <c r="AJO161" s="1"/>
      <c r="AJP161" s="1"/>
      <c r="AJQ161" s="1"/>
      <c r="AJR161" s="1"/>
      <c r="AJS161" s="1"/>
      <c r="AJT161" s="1"/>
      <c r="AJU161" s="1"/>
      <c r="AJV161" s="1"/>
      <c r="AJW161" s="1"/>
      <c r="AJX161" s="1"/>
      <c r="AJY161" s="1"/>
      <c r="AJZ161" s="1"/>
      <c r="AKA161" s="1"/>
      <c r="AKB161" s="1"/>
      <c r="AKC161" s="1"/>
      <c r="AKD161" s="1"/>
      <c r="AKE161" s="1"/>
      <c r="AKF161" s="1"/>
      <c r="AKG161" s="1"/>
      <c r="AKH161" s="1"/>
      <c r="AKI161" s="1"/>
      <c r="AKJ161" s="1"/>
      <c r="AKK161" s="1"/>
      <c r="AKL161" s="1"/>
      <c r="AKM161" s="1"/>
      <c r="AKN161" s="1"/>
      <c r="AKO161" s="1"/>
      <c r="AKP161" s="1"/>
      <c r="AKQ161" s="1"/>
      <c r="AKR161" s="1"/>
      <c r="AKS161" s="1"/>
      <c r="AKT161" s="1"/>
      <c r="AKU161" s="1"/>
      <c r="AKV161" s="1"/>
      <c r="AKW161" s="1"/>
      <c r="AKX161" s="1"/>
      <c r="AKY161" s="1"/>
      <c r="AKZ161" s="1"/>
      <c r="ALA161" s="1"/>
      <c r="ALB161" s="1"/>
      <c r="ALC161" s="1"/>
      <c r="ALD161" s="1"/>
      <c r="ALE161" s="1"/>
      <c r="ALF161" s="1"/>
      <c r="ALG161" s="1"/>
      <c r="ALH161" s="1"/>
      <c r="ALI161" s="1"/>
      <c r="ALJ161" s="1"/>
      <c r="ALK161" s="1"/>
      <c r="ALL161" s="1"/>
      <c r="ALM161" s="1"/>
      <c r="ALN161" s="1"/>
      <c r="ALO161" s="1"/>
      <c r="ALP161" s="1"/>
      <c r="ALQ161" s="1"/>
      <c r="ALR161" s="1"/>
      <c r="ALS161" s="1"/>
      <c r="ALT161" s="1"/>
      <c r="ALU161" s="1"/>
      <c r="ALV161" s="1"/>
      <c r="ALW161" s="1"/>
      <c r="ALX161" s="1"/>
      <c r="ALY161" s="1"/>
      <c r="ALZ161" s="1"/>
      <c r="AMA161" s="1"/>
      <c r="AMB161" s="1"/>
      <c r="AMC161" s="1"/>
      <c r="AMD161" s="1"/>
      <c r="AME161" s="1"/>
      <c r="AMF161" s="1"/>
      <c r="AMG161" s="1"/>
      <c r="AMH161" s="1"/>
      <c r="AMI161" s="1"/>
      <c r="AMJ161" s="1"/>
      <c r="AMK161" s="1"/>
      <c r="AML161" s="1"/>
      <c r="AMM161" s="1"/>
      <c r="AMN161" s="1"/>
      <c r="AMO161" s="1"/>
    </row>
    <row r="162" spans="1:1029" x14ac:dyDescent="0.2">
      <c r="A162" s="3" t="str">
        <f t="shared" si="559"/>
        <v>ednrb_human_5GLH</v>
      </c>
      <c r="B162" s="2" t="s">
        <v>196</v>
      </c>
      <c r="C162" s="2" t="s">
        <v>1334</v>
      </c>
      <c r="D162" s="3" t="str">
        <f>IFERROR(MID(VLOOKUP($B162,Seqs!$A:$B,2,0),E162,1),"")</f>
        <v>K</v>
      </c>
      <c r="E162" s="2">
        <v>97</v>
      </c>
      <c r="F162" s="3" t="str">
        <f>IFERROR(MID(VLOOKUP($B162,Seqs!$A:$B,2,0),G162,1),"")</f>
        <v>N</v>
      </c>
      <c r="G162" s="2">
        <v>129</v>
      </c>
      <c r="H162" s="3" t="str">
        <f>IFERROR(MID(VLOOKUP($B162,Seqs!$A:$B,2,0),I162,1),"")</f>
        <v/>
      </c>
      <c r="I162" s="56" t="s">
        <v>23</v>
      </c>
      <c r="J162" s="3" t="str">
        <f>IFERROR(MID(VLOOKUP($B162,Seqs!$A:$B,2,0),K162,1),"")</f>
        <v/>
      </c>
      <c r="K162" s="56" t="s">
        <v>23</v>
      </c>
      <c r="L162" s="3" t="str">
        <f>IFERROR(MID(VLOOKUP($B162,Seqs!$A:$B,2,0),M162,1),"")</f>
        <v>P</v>
      </c>
      <c r="M162" s="2">
        <v>136</v>
      </c>
      <c r="N162" s="3" t="str">
        <f>IFERROR(MID(VLOOKUP($B162,Seqs!$A:$B,2,0),O162,1),"")</f>
        <v>A</v>
      </c>
      <c r="O162" s="2">
        <v>164</v>
      </c>
      <c r="P162" s="3" t="str">
        <f>IFERROR(MID(VLOOKUP($B162,Seqs!$A:$B,2,0),Q162,1),"")</f>
        <v>D</v>
      </c>
      <c r="Q162" s="2">
        <v>166</v>
      </c>
      <c r="R162" s="3" t="str">
        <f>IFERROR(MID(VLOOKUP($B162,Seqs!$A:$B,2,0),S162,1),"")</f>
        <v>F</v>
      </c>
      <c r="S162" s="2">
        <v>169</v>
      </c>
      <c r="T162" s="3" t="str">
        <f>IFERROR(MID(VLOOKUP($B162,Seqs!$A:$B,2,0),U162,1),"")</f>
        <v>G</v>
      </c>
      <c r="U162" s="4">
        <v>170</v>
      </c>
      <c r="V162" s="3" t="str">
        <f>IFERROR(MID(VLOOKUP($B162,Seqs!$A:$B,2,0),W162,1),"")</f>
        <v>S</v>
      </c>
      <c r="W162" s="2">
        <v>205</v>
      </c>
      <c r="X162" s="3" t="str">
        <f>IFERROR(MID(VLOOKUP($B162,Seqs!$A:$B,2,0),Y162,1),"")</f>
        <v/>
      </c>
      <c r="Y162" s="2" t="s">
        <v>23</v>
      </c>
      <c r="Z162" s="3" t="str">
        <f>IFERROR(MID(VLOOKUP($B162,Seqs!$A:$B,2,0),AA162,1),"")</f>
        <v/>
      </c>
      <c r="AA162" s="2" t="s">
        <v>23</v>
      </c>
      <c r="AB162" s="3" t="str">
        <f>IFERROR(MID(VLOOKUP($B162,Seqs!$A:$B,2,0),AC162,1),"")</f>
        <v>T</v>
      </c>
      <c r="AC162" s="40">
        <v>218</v>
      </c>
      <c r="AD162" s="3" t="str">
        <f>IFERROR(MID(VLOOKUP($B162,Seqs!$A:$B,2,0),AE162,1),"")</f>
        <v>F</v>
      </c>
      <c r="AE162" s="2">
        <v>240</v>
      </c>
      <c r="AF162" s="3" t="str">
        <f>IFERROR(MID(VLOOKUP($B162,Seqs!$A:$B,2,0),AG162,1),"")</f>
        <v>C</v>
      </c>
      <c r="AG162" s="2">
        <v>255</v>
      </c>
      <c r="AH162" s="3" t="str">
        <f>IFERROR(MID(VLOOKUP($B162,Seqs!$A:$B,2,0),AI162,1),"")</f>
        <v>L</v>
      </c>
      <c r="AI162" s="2">
        <v>257</v>
      </c>
      <c r="AJ162" s="3" t="str">
        <f>IFERROR(MID(VLOOKUP($B162,Seqs!$A:$B,2,0),AK162,1),"")</f>
        <v>T</v>
      </c>
      <c r="AK162" s="2">
        <v>263</v>
      </c>
      <c r="AL162" s="3" t="str">
        <f>IFERROR(MID(VLOOKUP($B162,Seqs!$A:$B,2,0),AM162,1),"")</f>
        <v>K</v>
      </c>
      <c r="AM162" s="2">
        <v>303</v>
      </c>
      <c r="AN162" s="3" t="str">
        <f>IFERROR(MID(VLOOKUP($B162,Seqs!$A:$B,2,0),AO162,1),"")</f>
        <v>N</v>
      </c>
      <c r="AO162" s="2">
        <v>312</v>
      </c>
      <c r="AP162" s="3" t="str">
        <f>IFERROR(MID(VLOOKUP($B162,Seqs!$A:$B,2,0),AQ162,1),"")</f>
        <v>Y</v>
      </c>
      <c r="AQ162" s="2">
        <v>350</v>
      </c>
      <c r="AR162" s="3" t="str">
        <f>IFERROR(MID(VLOOKUP($B162,Seqs!$A:$B,2,0),AS162,1),"")</f>
        <v>R</v>
      </c>
      <c r="AS162" s="2">
        <v>357</v>
      </c>
      <c r="AT162" s="3" t="str">
        <f>IFERROR(MID(VLOOKUP($B162,Seqs!$A:$B,2,0),AU162,1),"")</f>
        <v>V</v>
      </c>
      <c r="AU162" s="2">
        <v>389</v>
      </c>
      <c r="AV162" s="3" t="str">
        <f>IFERROR(MID(VLOOKUP($B162,Seqs!$A:$B,2,0),AW162,1),"")</f>
        <v>S</v>
      </c>
      <c r="AW162" s="2">
        <v>390</v>
      </c>
      <c r="AX162" s="3" t="str">
        <f>IFERROR(MID(VLOOKUP($B162,Seqs!$A:$B,2,0),AY162,1),"")</f>
        <v>L</v>
      </c>
      <c r="AY162" s="2">
        <v>401</v>
      </c>
      <c r="AZ162" s="77" t="str">
        <f>VLOOKUP(B162,Classification!A:D,2,0)</f>
        <v>A</v>
      </c>
      <c r="BA162" s="94" t="str">
        <f>VLOOKUP(B162,Classification!A:D,4,0)</f>
        <v>Endothelin</v>
      </c>
      <c r="BB162" s="27" t="b">
        <f t="shared" si="560"/>
        <v>1</v>
      </c>
      <c r="BC162" s="23">
        <f t="shared" ref="BC162:BC209" si="643">_xlfn.AGGREGATE(9,6,CH162:CS162)-_xlfn.AGGREGATE(9,6,BV162:CG162)+12</f>
        <v>255</v>
      </c>
      <c r="BD162" s="2" t="s">
        <v>23</v>
      </c>
      <c r="BE162" s="3" t="s">
        <v>1381</v>
      </c>
      <c r="BF162" s="119">
        <v>2.8</v>
      </c>
      <c r="BG162" s="49" t="s">
        <v>1384</v>
      </c>
      <c r="BH162" s="49" t="s">
        <v>1384</v>
      </c>
      <c r="BI162" s="2"/>
      <c r="BJ162" s="70" t="s">
        <v>1293</v>
      </c>
      <c r="BK162" s="57" t="s">
        <v>1293</v>
      </c>
      <c r="BL162" s="57" t="s">
        <v>1293</v>
      </c>
      <c r="BM162" s="57" t="s">
        <v>1293</v>
      </c>
      <c r="BN162" s="57" t="s">
        <v>1293</v>
      </c>
      <c r="BO162" s="57" t="s">
        <v>1293</v>
      </c>
      <c r="BP162" s="57" t="s">
        <v>1293</v>
      </c>
      <c r="BQ162" s="57" t="s">
        <v>1293</v>
      </c>
      <c r="BR162" s="57" t="s">
        <v>1293</v>
      </c>
      <c r="BS162" s="57" t="s">
        <v>1293</v>
      </c>
      <c r="BT162" s="57" t="s">
        <v>1293</v>
      </c>
      <c r="BU162" s="57" t="s">
        <v>1293</v>
      </c>
      <c r="BV162" s="70">
        <f t="shared" ref="BV162:BV209" si="644">E162</f>
        <v>97</v>
      </c>
      <c r="BW162" s="71" t="str">
        <f t="shared" ref="BW162:BW209" si="645">I162</f>
        <v>-</v>
      </c>
      <c r="BX162" s="72">
        <f t="shared" ref="BX162:BX209" si="646">M162</f>
        <v>136</v>
      </c>
      <c r="BY162" s="71">
        <f t="shared" ref="BY162:BY209" si="647">Q162</f>
        <v>166</v>
      </c>
      <c r="BZ162" s="72">
        <f t="shared" ref="BZ162:BZ209" si="648">U162</f>
        <v>170</v>
      </c>
      <c r="CA162" s="71" t="str">
        <f t="shared" ref="CA162:CA209" si="649">Y162</f>
        <v>-</v>
      </c>
      <c r="CB162" s="72">
        <f t="shared" ref="CB162:CB209" si="650">AC162</f>
        <v>218</v>
      </c>
      <c r="CC162" s="71">
        <f t="shared" ref="CC162:CC209" si="651">AG162</f>
        <v>255</v>
      </c>
      <c r="CD162" s="72">
        <f t="shared" ref="CD162:CD209" si="652">AK162</f>
        <v>263</v>
      </c>
      <c r="CE162" s="71">
        <f t="shared" ref="CE162:CE209" si="653">AO162</f>
        <v>312</v>
      </c>
      <c r="CF162" s="72">
        <f t="shared" ref="CF162:CF209" si="654">AS162</f>
        <v>357</v>
      </c>
      <c r="CG162" s="71">
        <f t="shared" ref="CG162:CG209" si="655">AW162</f>
        <v>390</v>
      </c>
      <c r="CH162" s="70">
        <f t="shared" ref="CH162:CH209" si="656">G162</f>
        <v>129</v>
      </c>
      <c r="CI162" s="71" t="str">
        <f t="shared" ref="CI162:CI209" si="657">K162</f>
        <v>-</v>
      </c>
      <c r="CJ162" s="72">
        <f t="shared" ref="CJ162:CJ209" si="658">O162</f>
        <v>164</v>
      </c>
      <c r="CK162" s="72">
        <f t="shared" ref="CK162:CK209" si="659">S162</f>
        <v>169</v>
      </c>
      <c r="CL162" s="72">
        <f t="shared" ref="CL162:CL209" si="660">W162</f>
        <v>205</v>
      </c>
      <c r="CM162" s="72" t="str">
        <f t="shared" ref="CM162:CM209" si="661">AA162</f>
        <v>-</v>
      </c>
      <c r="CN162" s="72">
        <f t="shared" ref="CN162:CN209" si="662">AE162</f>
        <v>240</v>
      </c>
      <c r="CO162" s="72">
        <f t="shared" ref="CO162:CO209" si="663">AI162</f>
        <v>257</v>
      </c>
      <c r="CP162" s="72">
        <f t="shared" ref="CP162:CP209" si="664">AM162</f>
        <v>303</v>
      </c>
      <c r="CQ162" s="72">
        <f t="shared" ref="CQ162:CQ209" si="665">AQ162</f>
        <v>350</v>
      </c>
      <c r="CR162" s="72">
        <f t="shared" ref="CR162:CR209" si="666">AU162</f>
        <v>389</v>
      </c>
      <c r="CS162" s="72">
        <f t="shared" ref="CS162:CS209" si="667">AY162</f>
        <v>401</v>
      </c>
      <c r="CT162" s="23" t="e">
        <f t="shared" ref="CT162:CT209" si="668">M162-K162</f>
        <v>#VALUE!</v>
      </c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  <c r="OK162" s="1"/>
      <c r="OL162" s="1"/>
      <c r="OM162" s="1"/>
      <c r="ON162" s="1"/>
      <c r="OO162" s="1"/>
      <c r="OP162" s="1"/>
      <c r="OQ162" s="1"/>
      <c r="OR162" s="1"/>
      <c r="OS162" s="1"/>
      <c r="OT162" s="1"/>
      <c r="OU162" s="1"/>
      <c r="OV162" s="1"/>
      <c r="OW162" s="1"/>
      <c r="OX162" s="1"/>
      <c r="OY162" s="1"/>
      <c r="OZ162" s="1"/>
      <c r="PA162" s="1"/>
      <c r="PB162" s="1"/>
      <c r="PC162" s="1"/>
      <c r="PD162" s="1"/>
      <c r="PE162" s="1"/>
      <c r="PF162" s="1"/>
      <c r="PG162" s="1"/>
      <c r="PH162" s="1"/>
      <c r="PI162" s="1"/>
      <c r="PJ162" s="1"/>
      <c r="PK162" s="1"/>
      <c r="PL162" s="1"/>
      <c r="PM162" s="1"/>
      <c r="PN162" s="1"/>
      <c r="PO162" s="1"/>
      <c r="PP162" s="1"/>
      <c r="PQ162" s="1"/>
      <c r="PR162" s="1"/>
      <c r="PS162" s="1"/>
      <c r="PT162" s="1"/>
      <c r="PU162" s="1"/>
      <c r="PV162" s="1"/>
      <c r="PW162" s="1"/>
      <c r="PX162" s="1"/>
      <c r="PY162" s="1"/>
      <c r="PZ162" s="1"/>
      <c r="QA162" s="1"/>
      <c r="QB162" s="1"/>
      <c r="QC162" s="1"/>
      <c r="QD162" s="1"/>
      <c r="QE162" s="1"/>
      <c r="QF162" s="1"/>
      <c r="QG162" s="1"/>
      <c r="QH162" s="1"/>
      <c r="QI162" s="1"/>
      <c r="QJ162" s="1"/>
      <c r="QK162" s="1"/>
      <c r="QL162" s="1"/>
      <c r="QM162" s="1"/>
      <c r="QN162" s="1"/>
      <c r="QO162" s="1"/>
      <c r="QP162" s="1"/>
      <c r="QQ162" s="1"/>
      <c r="QR162" s="1"/>
      <c r="QS162" s="1"/>
      <c r="QT162" s="1"/>
      <c r="QU162" s="1"/>
      <c r="QV162" s="1"/>
      <c r="QW162" s="1"/>
      <c r="QX162" s="1"/>
      <c r="QY162" s="1"/>
      <c r="QZ162" s="1"/>
      <c r="RA162" s="1"/>
      <c r="RB162" s="1"/>
      <c r="RC162" s="1"/>
      <c r="RD162" s="1"/>
      <c r="RE162" s="1"/>
      <c r="RF162" s="1"/>
      <c r="RG162" s="1"/>
      <c r="RH162" s="1"/>
      <c r="RI162" s="1"/>
      <c r="RJ162" s="1"/>
      <c r="RK162" s="1"/>
      <c r="RL162" s="1"/>
      <c r="RM162" s="1"/>
      <c r="RN162" s="1"/>
      <c r="RO162" s="1"/>
      <c r="RP162" s="1"/>
      <c r="RQ162" s="1"/>
      <c r="RR162" s="1"/>
      <c r="RS162" s="1"/>
      <c r="RT162" s="1"/>
      <c r="RU162" s="1"/>
      <c r="RV162" s="1"/>
      <c r="RW162" s="1"/>
      <c r="RX162" s="1"/>
      <c r="RY162" s="1"/>
      <c r="RZ162" s="1"/>
      <c r="SA162" s="1"/>
      <c r="SB162" s="1"/>
      <c r="SC162" s="1"/>
      <c r="SD162" s="1"/>
      <c r="SE162" s="1"/>
      <c r="SF162" s="1"/>
      <c r="SG162" s="1"/>
      <c r="SH162" s="1"/>
      <c r="SI162" s="1"/>
      <c r="SJ162" s="1"/>
      <c r="SK162" s="1"/>
      <c r="SL162" s="1"/>
      <c r="SM162" s="1"/>
      <c r="SN162" s="1"/>
      <c r="SO162" s="1"/>
      <c r="SP162" s="1"/>
      <c r="SQ162" s="1"/>
      <c r="SR162" s="1"/>
      <c r="SS162" s="1"/>
      <c r="ST162" s="1"/>
      <c r="SU162" s="1"/>
      <c r="SV162" s="1"/>
      <c r="SW162" s="1"/>
      <c r="SX162" s="1"/>
      <c r="SY162" s="1"/>
      <c r="SZ162" s="1"/>
      <c r="TA162" s="1"/>
      <c r="TB162" s="1"/>
      <c r="TC162" s="1"/>
      <c r="TD162" s="1"/>
      <c r="TE162" s="1"/>
      <c r="TF162" s="1"/>
      <c r="TG162" s="1"/>
      <c r="TH162" s="1"/>
      <c r="TI162" s="1"/>
      <c r="TJ162" s="1"/>
      <c r="TK162" s="1"/>
      <c r="TL162" s="1"/>
      <c r="TM162" s="1"/>
      <c r="TN162" s="1"/>
      <c r="TO162" s="1"/>
      <c r="TP162" s="1"/>
      <c r="TQ162" s="1"/>
      <c r="TR162" s="1"/>
      <c r="TS162" s="1"/>
      <c r="TT162" s="1"/>
      <c r="TU162" s="1"/>
      <c r="TV162" s="1"/>
      <c r="TW162" s="1"/>
      <c r="TX162" s="1"/>
      <c r="TY162" s="1"/>
      <c r="TZ162" s="1"/>
      <c r="UA162" s="1"/>
      <c r="UB162" s="1"/>
      <c r="UC162" s="1"/>
      <c r="UD162" s="1"/>
      <c r="UE162" s="1"/>
      <c r="UF162" s="1"/>
      <c r="UG162" s="1"/>
      <c r="UH162" s="1"/>
      <c r="UI162" s="1"/>
      <c r="UJ162" s="1"/>
      <c r="UK162" s="1"/>
      <c r="UL162" s="1"/>
      <c r="UM162" s="1"/>
      <c r="UN162" s="1"/>
      <c r="UO162" s="1"/>
      <c r="UP162" s="1"/>
      <c r="UQ162" s="1"/>
      <c r="UR162" s="1"/>
      <c r="US162" s="1"/>
      <c r="UT162" s="1"/>
      <c r="UU162" s="1"/>
      <c r="UV162" s="1"/>
      <c r="UW162" s="1"/>
      <c r="UX162" s="1"/>
      <c r="UY162" s="1"/>
      <c r="UZ162" s="1"/>
      <c r="VA162" s="1"/>
      <c r="VB162" s="1"/>
      <c r="VC162" s="1"/>
      <c r="VD162" s="1"/>
      <c r="VE162" s="1"/>
      <c r="VF162" s="1"/>
      <c r="VG162" s="1"/>
      <c r="VH162" s="1"/>
      <c r="VI162" s="1"/>
      <c r="VJ162" s="1"/>
      <c r="VK162" s="1"/>
      <c r="VL162" s="1"/>
      <c r="VM162" s="1"/>
      <c r="VN162" s="1"/>
      <c r="VO162" s="1"/>
      <c r="VP162" s="1"/>
      <c r="VQ162" s="1"/>
      <c r="VR162" s="1"/>
      <c r="VS162" s="1"/>
      <c r="VT162" s="1"/>
      <c r="VU162" s="1"/>
      <c r="VV162" s="1"/>
      <c r="VW162" s="1"/>
      <c r="VX162" s="1"/>
      <c r="VY162" s="1"/>
      <c r="VZ162" s="1"/>
      <c r="WA162" s="1"/>
      <c r="WB162" s="1"/>
      <c r="WC162" s="1"/>
      <c r="WD162" s="1"/>
      <c r="WE162" s="1"/>
      <c r="WF162" s="1"/>
      <c r="WG162" s="1"/>
      <c r="WH162" s="1"/>
      <c r="WI162" s="1"/>
      <c r="WJ162" s="1"/>
      <c r="WK162" s="1"/>
      <c r="WL162" s="1"/>
      <c r="WM162" s="1"/>
      <c r="WN162" s="1"/>
      <c r="WO162" s="1"/>
      <c r="WP162" s="1"/>
      <c r="WQ162" s="1"/>
      <c r="WR162" s="1"/>
      <c r="WS162" s="1"/>
      <c r="WT162" s="1"/>
      <c r="WU162" s="1"/>
      <c r="WV162" s="1"/>
      <c r="WW162" s="1"/>
      <c r="WX162" s="1"/>
      <c r="WY162" s="1"/>
      <c r="WZ162" s="1"/>
      <c r="XA162" s="1"/>
      <c r="XB162" s="1"/>
      <c r="XC162" s="1"/>
      <c r="XD162" s="1"/>
      <c r="XE162" s="1"/>
      <c r="XF162" s="1"/>
      <c r="XG162" s="1"/>
      <c r="XH162" s="1"/>
      <c r="XI162" s="1"/>
      <c r="XJ162" s="1"/>
      <c r="XK162" s="1"/>
      <c r="XL162" s="1"/>
      <c r="XM162" s="1"/>
      <c r="XN162" s="1"/>
      <c r="XO162" s="1"/>
      <c r="XP162" s="1"/>
      <c r="XQ162" s="1"/>
      <c r="XR162" s="1"/>
      <c r="XS162" s="1"/>
      <c r="XT162" s="1"/>
      <c r="XU162" s="1"/>
      <c r="XV162" s="1"/>
      <c r="XW162" s="1"/>
      <c r="XX162" s="1"/>
      <c r="XY162" s="1"/>
      <c r="XZ162" s="1"/>
      <c r="YA162" s="1"/>
      <c r="YB162" s="1"/>
      <c r="YC162" s="1"/>
      <c r="YD162" s="1"/>
      <c r="YE162" s="1"/>
      <c r="YF162" s="1"/>
      <c r="YG162" s="1"/>
      <c r="YH162" s="1"/>
      <c r="YI162" s="1"/>
      <c r="YJ162" s="1"/>
      <c r="YK162" s="1"/>
      <c r="YL162" s="1"/>
      <c r="YM162" s="1"/>
      <c r="YN162" s="1"/>
      <c r="YO162" s="1"/>
      <c r="YP162" s="1"/>
      <c r="YQ162" s="1"/>
      <c r="YR162" s="1"/>
      <c r="YS162" s="1"/>
      <c r="YT162" s="1"/>
      <c r="YU162" s="1"/>
      <c r="YV162" s="1"/>
      <c r="YW162" s="1"/>
      <c r="YX162" s="1"/>
      <c r="YY162" s="1"/>
      <c r="YZ162" s="1"/>
      <c r="ZA162" s="1"/>
      <c r="ZB162" s="1"/>
      <c r="ZC162" s="1"/>
      <c r="ZD162" s="1"/>
      <c r="ZE162" s="1"/>
      <c r="ZF162" s="1"/>
      <c r="ZG162" s="1"/>
      <c r="ZH162" s="1"/>
      <c r="ZI162" s="1"/>
      <c r="ZJ162" s="1"/>
      <c r="ZK162" s="1"/>
      <c r="ZL162" s="1"/>
      <c r="ZM162" s="1"/>
      <c r="ZN162" s="1"/>
      <c r="ZO162" s="1"/>
      <c r="ZP162" s="1"/>
      <c r="ZQ162" s="1"/>
      <c r="ZR162" s="1"/>
      <c r="ZS162" s="1"/>
      <c r="ZT162" s="1"/>
      <c r="ZU162" s="1"/>
      <c r="ZV162" s="1"/>
      <c r="ZW162" s="1"/>
      <c r="ZX162" s="1"/>
      <c r="ZY162" s="1"/>
      <c r="ZZ162" s="1"/>
      <c r="AAA162" s="1"/>
      <c r="AAB162" s="1"/>
      <c r="AAC162" s="1"/>
      <c r="AAD162" s="1"/>
      <c r="AAE162" s="1"/>
      <c r="AAF162" s="1"/>
      <c r="AAG162" s="1"/>
      <c r="AAH162" s="1"/>
      <c r="AAI162" s="1"/>
      <c r="AAJ162" s="1"/>
      <c r="AAK162" s="1"/>
      <c r="AAL162" s="1"/>
      <c r="AAM162" s="1"/>
      <c r="AAN162" s="1"/>
      <c r="AAO162" s="1"/>
      <c r="AAP162" s="1"/>
      <c r="AAQ162" s="1"/>
      <c r="AAR162" s="1"/>
      <c r="AAS162" s="1"/>
      <c r="AAT162" s="1"/>
      <c r="AAU162" s="1"/>
      <c r="AAV162" s="1"/>
      <c r="AAW162" s="1"/>
      <c r="AAX162" s="1"/>
      <c r="AAY162" s="1"/>
      <c r="AAZ162" s="1"/>
      <c r="ABA162" s="1"/>
      <c r="ABB162" s="1"/>
      <c r="ABC162" s="1"/>
      <c r="ABD162" s="1"/>
      <c r="ABE162" s="1"/>
      <c r="ABF162" s="1"/>
      <c r="ABG162" s="1"/>
      <c r="ABH162" s="1"/>
      <c r="ABI162" s="1"/>
      <c r="ABJ162" s="1"/>
      <c r="ABK162" s="1"/>
      <c r="ABL162" s="1"/>
      <c r="ABM162" s="1"/>
      <c r="ABN162" s="1"/>
      <c r="ABO162" s="1"/>
      <c r="ABP162" s="1"/>
      <c r="ABQ162" s="1"/>
      <c r="ABR162" s="1"/>
      <c r="ABS162" s="1"/>
      <c r="ABT162" s="1"/>
      <c r="ABU162" s="1"/>
      <c r="ABV162" s="1"/>
      <c r="ABW162" s="1"/>
      <c r="ABX162" s="1"/>
      <c r="ABY162" s="1"/>
      <c r="ABZ162" s="1"/>
      <c r="ACA162" s="1"/>
      <c r="ACB162" s="1"/>
      <c r="ACC162" s="1"/>
      <c r="ACD162" s="1"/>
      <c r="ACE162" s="1"/>
      <c r="ACF162" s="1"/>
      <c r="ACG162" s="1"/>
      <c r="ACH162" s="1"/>
      <c r="ACI162" s="1"/>
      <c r="ACJ162" s="1"/>
      <c r="ACK162" s="1"/>
      <c r="ACL162" s="1"/>
      <c r="ACM162" s="1"/>
      <c r="ACN162" s="1"/>
      <c r="ACO162" s="1"/>
      <c r="ACP162" s="1"/>
      <c r="ACQ162" s="1"/>
      <c r="ACR162" s="1"/>
      <c r="ACS162" s="1"/>
      <c r="ACT162" s="1"/>
      <c r="ACU162" s="1"/>
      <c r="ACV162" s="1"/>
      <c r="ACW162" s="1"/>
      <c r="ACX162" s="1"/>
      <c r="ACY162" s="1"/>
      <c r="ACZ162" s="1"/>
      <c r="ADA162" s="1"/>
      <c r="ADB162" s="1"/>
      <c r="ADC162" s="1"/>
      <c r="ADD162" s="1"/>
      <c r="ADE162" s="1"/>
      <c r="ADF162" s="1"/>
      <c r="ADG162" s="1"/>
      <c r="ADH162" s="1"/>
      <c r="ADI162" s="1"/>
      <c r="ADJ162" s="1"/>
      <c r="ADK162" s="1"/>
      <c r="ADL162" s="1"/>
      <c r="ADM162" s="1"/>
      <c r="ADN162" s="1"/>
      <c r="ADO162" s="1"/>
      <c r="ADP162" s="1"/>
      <c r="ADQ162" s="1"/>
      <c r="ADR162" s="1"/>
      <c r="ADS162" s="1"/>
      <c r="ADT162" s="1"/>
      <c r="ADU162" s="1"/>
      <c r="ADV162" s="1"/>
      <c r="ADW162" s="1"/>
      <c r="ADX162" s="1"/>
      <c r="ADY162" s="1"/>
      <c r="ADZ162" s="1"/>
      <c r="AEA162" s="1"/>
      <c r="AEB162" s="1"/>
      <c r="AEC162" s="1"/>
      <c r="AED162" s="1"/>
      <c r="AEE162" s="1"/>
      <c r="AEF162" s="1"/>
      <c r="AEG162" s="1"/>
      <c r="AEH162" s="1"/>
      <c r="AEI162" s="1"/>
      <c r="AEJ162" s="1"/>
      <c r="AEK162" s="1"/>
      <c r="AEL162" s="1"/>
      <c r="AEM162" s="1"/>
      <c r="AEN162" s="1"/>
      <c r="AEO162" s="1"/>
      <c r="AEP162" s="1"/>
      <c r="AEQ162" s="1"/>
      <c r="AER162" s="1"/>
      <c r="AES162" s="1"/>
      <c r="AET162" s="1"/>
      <c r="AEU162" s="1"/>
      <c r="AEV162" s="1"/>
      <c r="AEW162" s="1"/>
      <c r="AEX162" s="1"/>
      <c r="AEY162" s="1"/>
      <c r="AEZ162" s="1"/>
      <c r="AFA162" s="1"/>
      <c r="AFB162" s="1"/>
      <c r="AFC162" s="1"/>
      <c r="AFD162" s="1"/>
      <c r="AFE162" s="1"/>
      <c r="AFF162" s="1"/>
      <c r="AFG162" s="1"/>
      <c r="AFH162" s="1"/>
      <c r="AFI162" s="1"/>
      <c r="AFJ162" s="1"/>
      <c r="AFK162" s="1"/>
      <c r="AFL162" s="1"/>
      <c r="AFM162" s="1"/>
      <c r="AFN162" s="1"/>
      <c r="AFO162" s="1"/>
      <c r="AFP162" s="1"/>
      <c r="AFQ162" s="1"/>
      <c r="AFR162" s="1"/>
      <c r="AFS162" s="1"/>
      <c r="AFT162" s="1"/>
      <c r="AFU162" s="1"/>
      <c r="AFV162" s="1"/>
      <c r="AFW162" s="1"/>
      <c r="AFX162" s="1"/>
      <c r="AFY162" s="1"/>
      <c r="AFZ162" s="1"/>
      <c r="AGA162" s="1"/>
      <c r="AGB162" s="1"/>
      <c r="AGC162" s="1"/>
      <c r="AGD162" s="1"/>
      <c r="AGE162" s="1"/>
      <c r="AGF162" s="1"/>
      <c r="AGG162" s="1"/>
      <c r="AGH162" s="1"/>
      <c r="AGI162" s="1"/>
      <c r="AGJ162" s="1"/>
      <c r="AGK162" s="1"/>
      <c r="AGL162" s="1"/>
      <c r="AGM162" s="1"/>
      <c r="AGN162" s="1"/>
      <c r="AGO162" s="1"/>
      <c r="AGP162" s="1"/>
      <c r="AGQ162" s="1"/>
      <c r="AGR162" s="1"/>
      <c r="AGS162" s="1"/>
      <c r="AGT162" s="1"/>
      <c r="AGU162" s="1"/>
      <c r="AGV162" s="1"/>
      <c r="AGW162" s="1"/>
      <c r="AGX162" s="1"/>
      <c r="AGY162" s="1"/>
      <c r="AGZ162" s="1"/>
      <c r="AHA162" s="1"/>
      <c r="AHB162" s="1"/>
      <c r="AHC162" s="1"/>
      <c r="AHD162" s="1"/>
      <c r="AHE162" s="1"/>
      <c r="AHF162" s="1"/>
      <c r="AHG162" s="1"/>
      <c r="AHH162" s="1"/>
      <c r="AHI162" s="1"/>
      <c r="AHJ162" s="1"/>
      <c r="AHK162" s="1"/>
      <c r="AHL162" s="1"/>
      <c r="AHM162" s="1"/>
      <c r="AHN162" s="1"/>
      <c r="AHO162" s="1"/>
      <c r="AHP162" s="1"/>
      <c r="AHQ162" s="1"/>
      <c r="AHR162" s="1"/>
      <c r="AHS162" s="1"/>
      <c r="AHT162" s="1"/>
      <c r="AHU162" s="1"/>
      <c r="AHV162" s="1"/>
      <c r="AHW162" s="1"/>
      <c r="AHX162" s="1"/>
      <c r="AHY162" s="1"/>
      <c r="AHZ162" s="1"/>
      <c r="AIA162" s="1"/>
      <c r="AIB162" s="1"/>
      <c r="AIC162" s="1"/>
      <c r="AID162" s="1"/>
      <c r="AIE162" s="1"/>
      <c r="AIF162" s="1"/>
      <c r="AIG162" s="1"/>
      <c r="AIH162" s="1"/>
      <c r="AII162" s="1"/>
      <c r="AIJ162" s="1"/>
      <c r="AIK162" s="1"/>
      <c r="AIL162" s="1"/>
      <c r="AIM162" s="1"/>
      <c r="AIN162" s="1"/>
      <c r="AIO162" s="1"/>
      <c r="AIP162" s="1"/>
      <c r="AIQ162" s="1"/>
      <c r="AIR162" s="1"/>
      <c r="AIS162" s="1"/>
      <c r="AIT162" s="1"/>
      <c r="AIU162" s="1"/>
      <c r="AIV162" s="1"/>
      <c r="AIW162" s="1"/>
      <c r="AIX162" s="1"/>
      <c r="AIY162" s="1"/>
      <c r="AIZ162" s="1"/>
      <c r="AJA162" s="1"/>
      <c r="AJB162" s="1"/>
      <c r="AJC162" s="1"/>
      <c r="AJD162" s="1"/>
      <c r="AJE162" s="1"/>
      <c r="AJF162" s="1"/>
      <c r="AJG162" s="1"/>
      <c r="AJH162" s="1"/>
      <c r="AJI162" s="1"/>
      <c r="AJJ162" s="1"/>
      <c r="AJK162" s="1"/>
      <c r="AJL162" s="1"/>
      <c r="AJM162" s="1"/>
      <c r="AJN162" s="1"/>
      <c r="AJO162" s="1"/>
      <c r="AJP162" s="1"/>
      <c r="AJQ162" s="1"/>
      <c r="AJR162" s="1"/>
      <c r="AJS162" s="1"/>
      <c r="AJT162" s="1"/>
      <c r="AJU162" s="1"/>
      <c r="AJV162" s="1"/>
      <c r="AJW162" s="1"/>
      <c r="AJX162" s="1"/>
      <c r="AJY162" s="1"/>
      <c r="AJZ162" s="1"/>
      <c r="AKA162" s="1"/>
      <c r="AKB162" s="1"/>
      <c r="AKC162" s="1"/>
      <c r="AKD162" s="1"/>
      <c r="AKE162" s="1"/>
      <c r="AKF162" s="1"/>
      <c r="AKG162" s="1"/>
      <c r="AKH162" s="1"/>
      <c r="AKI162" s="1"/>
      <c r="AKJ162" s="1"/>
      <c r="AKK162" s="1"/>
      <c r="AKL162" s="1"/>
      <c r="AKM162" s="1"/>
      <c r="AKN162" s="1"/>
      <c r="AKO162" s="1"/>
      <c r="AKP162" s="1"/>
      <c r="AKQ162" s="1"/>
      <c r="AKR162" s="1"/>
      <c r="AKS162" s="1"/>
      <c r="AKT162" s="1"/>
      <c r="AKU162" s="1"/>
      <c r="AKV162" s="1"/>
      <c r="AKW162" s="1"/>
      <c r="AKX162" s="1"/>
      <c r="AKY162" s="1"/>
      <c r="AKZ162" s="1"/>
      <c r="ALA162" s="1"/>
      <c r="ALB162" s="1"/>
      <c r="ALC162" s="1"/>
      <c r="ALD162" s="1"/>
      <c r="ALE162" s="1"/>
      <c r="ALF162" s="1"/>
      <c r="ALG162" s="1"/>
      <c r="ALH162" s="1"/>
      <c r="ALI162" s="1"/>
      <c r="ALJ162" s="1"/>
      <c r="ALK162" s="1"/>
      <c r="ALL162" s="1"/>
      <c r="ALM162" s="1"/>
      <c r="ALN162" s="1"/>
      <c r="ALO162" s="1"/>
      <c r="ALP162" s="1"/>
      <c r="ALQ162" s="1"/>
      <c r="ALR162" s="1"/>
      <c r="ALS162" s="1"/>
      <c r="ALT162" s="1"/>
      <c r="ALU162" s="1"/>
      <c r="ALV162" s="1"/>
      <c r="ALW162" s="1"/>
      <c r="ALX162" s="1"/>
      <c r="ALY162" s="1"/>
      <c r="ALZ162" s="1"/>
      <c r="AMA162" s="1"/>
      <c r="AMB162" s="1"/>
      <c r="AMC162" s="1"/>
      <c r="AMD162" s="1"/>
      <c r="AME162" s="1"/>
      <c r="AMF162" s="1"/>
      <c r="AMG162" s="1"/>
      <c r="AMH162" s="1"/>
      <c r="AMI162" s="1"/>
      <c r="AMJ162" s="1"/>
      <c r="AMK162" s="1"/>
      <c r="AML162" s="1"/>
      <c r="AMM162" s="1"/>
      <c r="AMN162" s="1"/>
      <c r="AMO162" s="1"/>
    </row>
    <row r="163" spans="1:1029" x14ac:dyDescent="0.2">
      <c r="A163" s="3" t="str">
        <f t="shared" si="559"/>
        <v>ednrb_human_5GLI</v>
      </c>
      <c r="B163" s="2" t="s">
        <v>196</v>
      </c>
      <c r="C163" s="2" t="s">
        <v>1333</v>
      </c>
      <c r="D163" s="3" t="str">
        <f>IFERROR(MID(VLOOKUP($B163,Seqs!$A:$B,2,0),E163,1),"")</f>
        <v>Q</v>
      </c>
      <c r="E163" s="2">
        <v>91</v>
      </c>
      <c r="F163" s="3" t="str">
        <f>IFERROR(MID(VLOOKUP($B163,Seqs!$A:$B,2,0),G163,1),"")</f>
        <v>N</v>
      </c>
      <c r="G163" s="2">
        <v>129</v>
      </c>
      <c r="H163" s="3" t="str">
        <f>IFERROR(MID(VLOOKUP($B163,Seqs!$A:$B,2,0),I163,1),"")</f>
        <v>K</v>
      </c>
      <c r="I163" s="56">
        <v>130</v>
      </c>
      <c r="J163" s="3" t="str">
        <f>IFERROR(MID(VLOOKUP($B163,Seqs!$A:$B,2,0),K163,1),"")</f>
        <v>N</v>
      </c>
      <c r="K163" s="56">
        <v>134</v>
      </c>
      <c r="L163" s="3" t="str">
        <f>IFERROR(MID(VLOOKUP($B163,Seqs!$A:$B,2,0),M163,1),"")</f>
        <v>G</v>
      </c>
      <c r="M163" s="2">
        <v>135</v>
      </c>
      <c r="N163" s="3" t="str">
        <f>IFERROR(MID(VLOOKUP($B163,Seqs!$A:$B,2,0),O163,1),"")</f>
        <v>A</v>
      </c>
      <c r="O163" s="2">
        <v>164</v>
      </c>
      <c r="P163" s="3" t="str">
        <f>IFERROR(MID(VLOOKUP($B163,Seqs!$A:$B,2,0),Q163,1),"")</f>
        <v>D</v>
      </c>
      <c r="Q163" s="2">
        <v>166</v>
      </c>
      <c r="R163" s="3" t="str">
        <f>IFERROR(MID(VLOOKUP($B163,Seqs!$A:$B,2,0),S163,1),"")</f>
        <v>F</v>
      </c>
      <c r="S163" s="2">
        <v>169</v>
      </c>
      <c r="T163" s="3" t="str">
        <f>IFERROR(MID(VLOOKUP($B163,Seqs!$A:$B,2,0),U163,1),"")</f>
        <v>G</v>
      </c>
      <c r="U163" s="4">
        <v>170</v>
      </c>
      <c r="V163" s="3" t="str">
        <f>IFERROR(MID(VLOOKUP($B163,Seqs!$A:$B,2,0),W163,1),"")</f>
        <v>S</v>
      </c>
      <c r="W163" s="2">
        <v>205</v>
      </c>
      <c r="X163" s="3" t="str">
        <f>IFERROR(MID(VLOOKUP($B163,Seqs!$A:$B,2,0),Y163,1),"")</f>
        <v/>
      </c>
      <c r="Y163" s="2" t="s">
        <v>23</v>
      </c>
      <c r="Z163" s="3" t="str">
        <f>IFERROR(MID(VLOOKUP($B163,Seqs!$A:$B,2,0),AA163,1),"")</f>
        <v/>
      </c>
      <c r="AA163" s="2" t="s">
        <v>23</v>
      </c>
      <c r="AB163" s="3" t="str">
        <f>IFERROR(MID(VLOOKUP($B163,Seqs!$A:$B,2,0),AC163,1),"")</f>
        <v>K</v>
      </c>
      <c r="AC163" s="40">
        <v>216</v>
      </c>
      <c r="AD163" s="3" t="str">
        <f>IFERROR(MID(VLOOKUP($B163,Seqs!$A:$B,2,0),AE163,1),"")</f>
        <v>F</v>
      </c>
      <c r="AE163" s="2">
        <v>240</v>
      </c>
      <c r="AF163" s="3" t="str">
        <f>IFERROR(MID(VLOOKUP($B163,Seqs!$A:$B,2,0),AG163,1),"")</f>
        <v>C</v>
      </c>
      <c r="AG163" s="2">
        <v>255</v>
      </c>
      <c r="AH163" s="3" t="str">
        <f>IFERROR(MID(VLOOKUP($B163,Seqs!$A:$B,2,0),AI163,1),"")</f>
        <v>L</v>
      </c>
      <c r="AI163" s="2">
        <v>257</v>
      </c>
      <c r="AJ163" s="3" t="str">
        <f>IFERROR(MID(VLOOKUP($B163,Seqs!$A:$B,2,0),AK163,1),"")</f>
        <v>T</v>
      </c>
      <c r="AK163" s="2">
        <v>263</v>
      </c>
      <c r="AL163" s="3" t="str">
        <f>IFERROR(MID(VLOOKUP($B163,Seqs!$A:$B,2,0),AM163,1),"")</f>
        <v>K</v>
      </c>
      <c r="AM163" s="2">
        <v>303</v>
      </c>
      <c r="AN163" s="3" t="str">
        <f>IFERROR(MID(VLOOKUP($B163,Seqs!$A:$B,2,0),AO163,1),"")</f>
        <v>N</v>
      </c>
      <c r="AO163" s="2">
        <v>312</v>
      </c>
      <c r="AP163" s="3" t="str">
        <f>IFERROR(MID(VLOOKUP($B163,Seqs!$A:$B,2,0),AQ163,1),"")</f>
        <v>Y</v>
      </c>
      <c r="AQ163" s="2">
        <v>350</v>
      </c>
      <c r="AR163" s="3" t="str">
        <f>IFERROR(MID(VLOOKUP($B163,Seqs!$A:$B,2,0),AS163,1),"")</f>
        <v>R</v>
      </c>
      <c r="AS163" s="2">
        <v>357</v>
      </c>
      <c r="AT163" s="3" t="str">
        <f>IFERROR(MID(VLOOKUP($B163,Seqs!$A:$B,2,0),AU163,1),"")</f>
        <v>V</v>
      </c>
      <c r="AU163" s="2">
        <v>389</v>
      </c>
      <c r="AV163" s="3" t="str">
        <f>IFERROR(MID(VLOOKUP($B163,Seqs!$A:$B,2,0),AW163,1),"")</f>
        <v>S</v>
      </c>
      <c r="AW163" s="2">
        <v>390</v>
      </c>
      <c r="AX163" s="3" t="str">
        <f>IFERROR(MID(VLOOKUP($B163,Seqs!$A:$B,2,0),AY163,1),"")</f>
        <v>C</v>
      </c>
      <c r="AY163" s="2">
        <v>403</v>
      </c>
      <c r="AZ163" s="77" t="str">
        <f>VLOOKUP(B163,Classification!A:D,2,0)</f>
        <v>A</v>
      </c>
      <c r="BA163" s="94" t="str">
        <f>VLOOKUP(B163,Classification!A:D,4,0)</f>
        <v>Endothelin</v>
      </c>
      <c r="BB163" s="27" t="b">
        <f t="shared" si="560"/>
        <v>1</v>
      </c>
      <c r="BC163" s="23">
        <f t="shared" si="643"/>
        <v>270</v>
      </c>
      <c r="BD163" s="2" t="s">
        <v>23</v>
      </c>
      <c r="BE163" s="3" t="s">
        <v>1381</v>
      </c>
      <c r="BF163" s="119">
        <v>2.5</v>
      </c>
      <c r="BG163" s="49" t="s">
        <v>1384</v>
      </c>
      <c r="BH163" s="49" t="s">
        <v>1384</v>
      </c>
      <c r="BI163" s="2"/>
      <c r="BJ163" s="70" t="s">
        <v>1293</v>
      </c>
      <c r="BK163" s="57" t="s">
        <v>1293</v>
      </c>
      <c r="BL163" s="57" t="s">
        <v>1293</v>
      </c>
      <c r="BM163" s="57" t="s">
        <v>1293</v>
      </c>
      <c r="BN163" s="57" t="s">
        <v>1293</v>
      </c>
      <c r="BO163" s="57" t="s">
        <v>1293</v>
      </c>
      <c r="BP163" s="57" t="s">
        <v>1293</v>
      </c>
      <c r="BQ163" s="57" t="s">
        <v>1293</v>
      </c>
      <c r="BR163" s="57" t="s">
        <v>1293</v>
      </c>
      <c r="BS163" s="57" t="s">
        <v>1293</v>
      </c>
      <c r="BT163" s="57" t="s">
        <v>1293</v>
      </c>
      <c r="BU163" s="57" t="s">
        <v>1293</v>
      </c>
      <c r="BV163" s="70">
        <f t="shared" si="644"/>
        <v>91</v>
      </c>
      <c r="BW163" s="71">
        <f t="shared" si="645"/>
        <v>130</v>
      </c>
      <c r="BX163" s="72">
        <f t="shared" si="646"/>
        <v>135</v>
      </c>
      <c r="BY163" s="71">
        <f t="shared" si="647"/>
        <v>166</v>
      </c>
      <c r="BZ163" s="72">
        <f t="shared" si="648"/>
        <v>170</v>
      </c>
      <c r="CA163" s="71" t="str">
        <f t="shared" si="649"/>
        <v>-</v>
      </c>
      <c r="CB163" s="72">
        <f t="shared" si="650"/>
        <v>216</v>
      </c>
      <c r="CC163" s="71">
        <f t="shared" si="651"/>
        <v>255</v>
      </c>
      <c r="CD163" s="72">
        <f t="shared" si="652"/>
        <v>263</v>
      </c>
      <c r="CE163" s="71">
        <f t="shared" si="653"/>
        <v>312</v>
      </c>
      <c r="CF163" s="72">
        <f t="shared" si="654"/>
        <v>357</v>
      </c>
      <c r="CG163" s="71">
        <f t="shared" si="655"/>
        <v>390</v>
      </c>
      <c r="CH163" s="70">
        <f t="shared" si="656"/>
        <v>129</v>
      </c>
      <c r="CI163" s="71">
        <f t="shared" si="657"/>
        <v>134</v>
      </c>
      <c r="CJ163" s="72">
        <f t="shared" si="658"/>
        <v>164</v>
      </c>
      <c r="CK163" s="72">
        <f t="shared" si="659"/>
        <v>169</v>
      </c>
      <c r="CL163" s="72">
        <f t="shared" si="660"/>
        <v>205</v>
      </c>
      <c r="CM163" s="72" t="str">
        <f t="shared" si="661"/>
        <v>-</v>
      </c>
      <c r="CN163" s="72">
        <f t="shared" si="662"/>
        <v>240</v>
      </c>
      <c r="CO163" s="72">
        <f t="shared" si="663"/>
        <v>257</v>
      </c>
      <c r="CP163" s="72">
        <f t="shared" si="664"/>
        <v>303</v>
      </c>
      <c r="CQ163" s="72">
        <f t="shared" si="665"/>
        <v>350</v>
      </c>
      <c r="CR163" s="72">
        <f t="shared" si="666"/>
        <v>389</v>
      </c>
      <c r="CS163" s="72">
        <f t="shared" si="667"/>
        <v>403</v>
      </c>
      <c r="CT163" s="23">
        <f t="shared" si="668"/>
        <v>1</v>
      </c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  <c r="OK163" s="1"/>
      <c r="OL163" s="1"/>
      <c r="OM163" s="1"/>
      <c r="ON163" s="1"/>
      <c r="OO163" s="1"/>
      <c r="OP163" s="1"/>
      <c r="OQ163" s="1"/>
      <c r="OR163" s="1"/>
      <c r="OS163" s="1"/>
      <c r="OT163" s="1"/>
      <c r="OU163" s="1"/>
      <c r="OV163" s="1"/>
      <c r="OW163" s="1"/>
      <c r="OX163" s="1"/>
      <c r="OY163" s="1"/>
      <c r="OZ163" s="1"/>
      <c r="PA163" s="1"/>
      <c r="PB163" s="1"/>
      <c r="PC163" s="1"/>
      <c r="PD163" s="1"/>
      <c r="PE163" s="1"/>
      <c r="PF163" s="1"/>
      <c r="PG163" s="1"/>
      <c r="PH163" s="1"/>
      <c r="PI163" s="1"/>
      <c r="PJ163" s="1"/>
      <c r="PK163" s="1"/>
      <c r="PL163" s="1"/>
      <c r="PM163" s="1"/>
      <c r="PN163" s="1"/>
      <c r="PO163" s="1"/>
      <c r="PP163" s="1"/>
      <c r="PQ163" s="1"/>
      <c r="PR163" s="1"/>
      <c r="PS163" s="1"/>
      <c r="PT163" s="1"/>
      <c r="PU163" s="1"/>
      <c r="PV163" s="1"/>
      <c r="PW163" s="1"/>
      <c r="PX163" s="1"/>
      <c r="PY163" s="1"/>
      <c r="PZ163" s="1"/>
      <c r="QA163" s="1"/>
      <c r="QB163" s="1"/>
      <c r="QC163" s="1"/>
      <c r="QD163" s="1"/>
      <c r="QE163" s="1"/>
      <c r="QF163" s="1"/>
      <c r="QG163" s="1"/>
      <c r="QH163" s="1"/>
      <c r="QI163" s="1"/>
      <c r="QJ163" s="1"/>
      <c r="QK163" s="1"/>
      <c r="QL163" s="1"/>
      <c r="QM163" s="1"/>
      <c r="QN163" s="1"/>
      <c r="QO163" s="1"/>
      <c r="QP163" s="1"/>
      <c r="QQ163" s="1"/>
      <c r="QR163" s="1"/>
      <c r="QS163" s="1"/>
      <c r="QT163" s="1"/>
      <c r="QU163" s="1"/>
      <c r="QV163" s="1"/>
      <c r="QW163" s="1"/>
      <c r="QX163" s="1"/>
      <c r="QY163" s="1"/>
      <c r="QZ163" s="1"/>
      <c r="RA163" s="1"/>
      <c r="RB163" s="1"/>
      <c r="RC163" s="1"/>
      <c r="RD163" s="1"/>
      <c r="RE163" s="1"/>
      <c r="RF163" s="1"/>
      <c r="RG163" s="1"/>
      <c r="RH163" s="1"/>
      <c r="RI163" s="1"/>
      <c r="RJ163" s="1"/>
      <c r="RK163" s="1"/>
      <c r="RL163" s="1"/>
      <c r="RM163" s="1"/>
      <c r="RN163" s="1"/>
      <c r="RO163" s="1"/>
      <c r="RP163" s="1"/>
      <c r="RQ163" s="1"/>
      <c r="RR163" s="1"/>
      <c r="RS163" s="1"/>
      <c r="RT163" s="1"/>
      <c r="RU163" s="1"/>
      <c r="RV163" s="1"/>
      <c r="RW163" s="1"/>
      <c r="RX163" s="1"/>
      <c r="RY163" s="1"/>
      <c r="RZ163" s="1"/>
      <c r="SA163" s="1"/>
      <c r="SB163" s="1"/>
      <c r="SC163" s="1"/>
      <c r="SD163" s="1"/>
      <c r="SE163" s="1"/>
      <c r="SF163" s="1"/>
      <c r="SG163" s="1"/>
      <c r="SH163" s="1"/>
      <c r="SI163" s="1"/>
      <c r="SJ163" s="1"/>
      <c r="SK163" s="1"/>
      <c r="SL163" s="1"/>
      <c r="SM163" s="1"/>
      <c r="SN163" s="1"/>
      <c r="SO163" s="1"/>
      <c r="SP163" s="1"/>
      <c r="SQ163" s="1"/>
      <c r="SR163" s="1"/>
      <c r="SS163" s="1"/>
      <c r="ST163" s="1"/>
      <c r="SU163" s="1"/>
      <c r="SV163" s="1"/>
      <c r="SW163" s="1"/>
      <c r="SX163" s="1"/>
      <c r="SY163" s="1"/>
      <c r="SZ163" s="1"/>
      <c r="TA163" s="1"/>
      <c r="TB163" s="1"/>
      <c r="TC163" s="1"/>
      <c r="TD163" s="1"/>
      <c r="TE163" s="1"/>
      <c r="TF163" s="1"/>
      <c r="TG163" s="1"/>
      <c r="TH163" s="1"/>
      <c r="TI163" s="1"/>
      <c r="TJ163" s="1"/>
      <c r="TK163" s="1"/>
      <c r="TL163" s="1"/>
      <c r="TM163" s="1"/>
      <c r="TN163" s="1"/>
      <c r="TO163" s="1"/>
      <c r="TP163" s="1"/>
      <c r="TQ163" s="1"/>
      <c r="TR163" s="1"/>
      <c r="TS163" s="1"/>
      <c r="TT163" s="1"/>
      <c r="TU163" s="1"/>
      <c r="TV163" s="1"/>
      <c r="TW163" s="1"/>
      <c r="TX163" s="1"/>
      <c r="TY163" s="1"/>
      <c r="TZ163" s="1"/>
      <c r="UA163" s="1"/>
      <c r="UB163" s="1"/>
      <c r="UC163" s="1"/>
      <c r="UD163" s="1"/>
      <c r="UE163" s="1"/>
      <c r="UF163" s="1"/>
      <c r="UG163" s="1"/>
      <c r="UH163" s="1"/>
      <c r="UI163" s="1"/>
      <c r="UJ163" s="1"/>
      <c r="UK163" s="1"/>
      <c r="UL163" s="1"/>
      <c r="UM163" s="1"/>
      <c r="UN163" s="1"/>
      <c r="UO163" s="1"/>
      <c r="UP163" s="1"/>
      <c r="UQ163" s="1"/>
      <c r="UR163" s="1"/>
      <c r="US163" s="1"/>
      <c r="UT163" s="1"/>
      <c r="UU163" s="1"/>
      <c r="UV163" s="1"/>
      <c r="UW163" s="1"/>
      <c r="UX163" s="1"/>
      <c r="UY163" s="1"/>
      <c r="UZ163" s="1"/>
      <c r="VA163" s="1"/>
      <c r="VB163" s="1"/>
      <c r="VC163" s="1"/>
      <c r="VD163" s="1"/>
      <c r="VE163" s="1"/>
      <c r="VF163" s="1"/>
      <c r="VG163" s="1"/>
      <c r="VH163" s="1"/>
      <c r="VI163" s="1"/>
      <c r="VJ163" s="1"/>
      <c r="VK163" s="1"/>
      <c r="VL163" s="1"/>
      <c r="VM163" s="1"/>
      <c r="VN163" s="1"/>
      <c r="VO163" s="1"/>
      <c r="VP163" s="1"/>
      <c r="VQ163" s="1"/>
      <c r="VR163" s="1"/>
      <c r="VS163" s="1"/>
      <c r="VT163" s="1"/>
      <c r="VU163" s="1"/>
      <c r="VV163" s="1"/>
      <c r="VW163" s="1"/>
      <c r="VX163" s="1"/>
      <c r="VY163" s="1"/>
      <c r="VZ163" s="1"/>
      <c r="WA163" s="1"/>
      <c r="WB163" s="1"/>
      <c r="WC163" s="1"/>
      <c r="WD163" s="1"/>
      <c r="WE163" s="1"/>
      <c r="WF163" s="1"/>
      <c r="WG163" s="1"/>
      <c r="WH163" s="1"/>
      <c r="WI163" s="1"/>
      <c r="WJ163" s="1"/>
      <c r="WK163" s="1"/>
      <c r="WL163" s="1"/>
      <c r="WM163" s="1"/>
      <c r="WN163" s="1"/>
      <c r="WO163" s="1"/>
      <c r="WP163" s="1"/>
      <c r="WQ163" s="1"/>
      <c r="WR163" s="1"/>
      <c r="WS163" s="1"/>
      <c r="WT163" s="1"/>
      <c r="WU163" s="1"/>
      <c r="WV163" s="1"/>
      <c r="WW163" s="1"/>
      <c r="WX163" s="1"/>
      <c r="WY163" s="1"/>
      <c r="WZ163" s="1"/>
      <c r="XA163" s="1"/>
      <c r="XB163" s="1"/>
      <c r="XC163" s="1"/>
      <c r="XD163" s="1"/>
      <c r="XE163" s="1"/>
      <c r="XF163" s="1"/>
      <c r="XG163" s="1"/>
      <c r="XH163" s="1"/>
      <c r="XI163" s="1"/>
      <c r="XJ163" s="1"/>
      <c r="XK163" s="1"/>
      <c r="XL163" s="1"/>
      <c r="XM163" s="1"/>
      <c r="XN163" s="1"/>
      <c r="XO163" s="1"/>
      <c r="XP163" s="1"/>
      <c r="XQ163" s="1"/>
      <c r="XR163" s="1"/>
      <c r="XS163" s="1"/>
      <c r="XT163" s="1"/>
      <c r="XU163" s="1"/>
      <c r="XV163" s="1"/>
      <c r="XW163" s="1"/>
      <c r="XX163" s="1"/>
      <c r="XY163" s="1"/>
      <c r="XZ163" s="1"/>
      <c r="YA163" s="1"/>
      <c r="YB163" s="1"/>
      <c r="YC163" s="1"/>
      <c r="YD163" s="1"/>
      <c r="YE163" s="1"/>
      <c r="YF163" s="1"/>
      <c r="YG163" s="1"/>
      <c r="YH163" s="1"/>
      <c r="YI163" s="1"/>
      <c r="YJ163" s="1"/>
      <c r="YK163" s="1"/>
      <c r="YL163" s="1"/>
      <c r="YM163" s="1"/>
      <c r="YN163" s="1"/>
      <c r="YO163" s="1"/>
      <c r="YP163" s="1"/>
      <c r="YQ163" s="1"/>
      <c r="YR163" s="1"/>
      <c r="YS163" s="1"/>
      <c r="YT163" s="1"/>
      <c r="YU163" s="1"/>
      <c r="YV163" s="1"/>
      <c r="YW163" s="1"/>
      <c r="YX163" s="1"/>
      <c r="YY163" s="1"/>
      <c r="YZ163" s="1"/>
      <c r="ZA163" s="1"/>
      <c r="ZB163" s="1"/>
      <c r="ZC163" s="1"/>
      <c r="ZD163" s="1"/>
      <c r="ZE163" s="1"/>
      <c r="ZF163" s="1"/>
      <c r="ZG163" s="1"/>
      <c r="ZH163" s="1"/>
      <c r="ZI163" s="1"/>
      <c r="ZJ163" s="1"/>
      <c r="ZK163" s="1"/>
      <c r="ZL163" s="1"/>
      <c r="ZM163" s="1"/>
      <c r="ZN163" s="1"/>
      <c r="ZO163" s="1"/>
      <c r="ZP163" s="1"/>
      <c r="ZQ163" s="1"/>
      <c r="ZR163" s="1"/>
      <c r="ZS163" s="1"/>
      <c r="ZT163" s="1"/>
      <c r="ZU163" s="1"/>
      <c r="ZV163" s="1"/>
      <c r="ZW163" s="1"/>
      <c r="ZX163" s="1"/>
      <c r="ZY163" s="1"/>
      <c r="ZZ163" s="1"/>
      <c r="AAA163" s="1"/>
      <c r="AAB163" s="1"/>
      <c r="AAC163" s="1"/>
      <c r="AAD163" s="1"/>
      <c r="AAE163" s="1"/>
      <c r="AAF163" s="1"/>
      <c r="AAG163" s="1"/>
      <c r="AAH163" s="1"/>
      <c r="AAI163" s="1"/>
      <c r="AAJ163" s="1"/>
      <c r="AAK163" s="1"/>
      <c r="AAL163" s="1"/>
      <c r="AAM163" s="1"/>
      <c r="AAN163" s="1"/>
      <c r="AAO163" s="1"/>
      <c r="AAP163" s="1"/>
      <c r="AAQ163" s="1"/>
      <c r="AAR163" s="1"/>
      <c r="AAS163" s="1"/>
      <c r="AAT163" s="1"/>
      <c r="AAU163" s="1"/>
      <c r="AAV163" s="1"/>
      <c r="AAW163" s="1"/>
      <c r="AAX163" s="1"/>
      <c r="AAY163" s="1"/>
      <c r="AAZ163" s="1"/>
      <c r="ABA163" s="1"/>
      <c r="ABB163" s="1"/>
      <c r="ABC163" s="1"/>
      <c r="ABD163" s="1"/>
      <c r="ABE163" s="1"/>
      <c r="ABF163" s="1"/>
      <c r="ABG163" s="1"/>
      <c r="ABH163" s="1"/>
      <c r="ABI163" s="1"/>
      <c r="ABJ163" s="1"/>
      <c r="ABK163" s="1"/>
      <c r="ABL163" s="1"/>
      <c r="ABM163" s="1"/>
      <c r="ABN163" s="1"/>
      <c r="ABO163" s="1"/>
      <c r="ABP163" s="1"/>
      <c r="ABQ163" s="1"/>
      <c r="ABR163" s="1"/>
      <c r="ABS163" s="1"/>
      <c r="ABT163" s="1"/>
      <c r="ABU163" s="1"/>
      <c r="ABV163" s="1"/>
      <c r="ABW163" s="1"/>
      <c r="ABX163" s="1"/>
      <c r="ABY163" s="1"/>
      <c r="ABZ163" s="1"/>
      <c r="ACA163" s="1"/>
      <c r="ACB163" s="1"/>
      <c r="ACC163" s="1"/>
      <c r="ACD163" s="1"/>
      <c r="ACE163" s="1"/>
      <c r="ACF163" s="1"/>
      <c r="ACG163" s="1"/>
      <c r="ACH163" s="1"/>
      <c r="ACI163" s="1"/>
      <c r="ACJ163" s="1"/>
      <c r="ACK163" s="1"/>
      <c r="ACL163" s="1"/>
      <c r="ACM163" s="1"/>
      <c r="ACN163" s="1"/>
      <c r="ACO163" s="1"/>
      <c r="ACP163" s="1"/>
      <c r="ACQ163" s="1"/>
      <c r="ACR163" s="1"/>
      <c r="ACS163" s="1"/>
      <c r="ACT163" s="1"/>
      <c r="ACU163" s="1"/>
      <c r="ACV163" s="1"/>
      <c r="ACW163" s="1"/>
      <c r="ACX163" s="1"/>
      <c r="ACY163" s="1"/>
      <c r="ACZ163" s="1"/>
      <c r="ADA163" s="1"/>
      <c r="ADB163" s="1"/>
      <c r="ADC163" s="1"/>
      <c r="ADD163" s="1"/>
      <c r="ADE163" s="1"/>
      <c r="ADF163" s="1"/>
      <c r="ADG163" s="1"/>
      <c r="ADH163" s="1"/>
      <c r="ADI163" s="1"/>
      <c r="ADJ163" s="1"/>
      <c r="ADK163" s="1"/>
      <c r="ADL163" s="1"/>
      <c r="ADM163" s="1"/>
      <c r="ADN163" s="1"/>
      <c r="ADO163" s="1"/>
      <c r="ADP163" s="1"/>
      <c r="ADQ163" s="1"/>
      <c r="ADR163" s="1"/>
      <c r="ADS163" s="1"/>
      <c r="ADT163" s="1"/>
      <c r="ADU163" s="1"/>
      <c r="ADV163" s="1"/>
      <c r="ADW163" s="1"/>
      <c r="ADX163" s="1"/>
      <c r="ADY163" s="1"/>
      <c r="ADZ163" s="1"/>
      <c r="AEA163" s="1"/>
      <c r="AEB163" s="1"/>
      <c r="AEC163" s="1"/>
      <c r="AED163" s="1"/>
      <c r="AEE163" s="1"/>
      <c r="AEF163" s="1"/>
      <c r="AEG163" s="1"/>
      <c r="AEH163" s="1"/>
      <c r="AEI163" s="1"/>
      <c r="AEJ163" s="1"/>
      <c r="AEK163" s="1"/>
      <c r="AEL163" s="1"/>
      <c r="AEM163" s="1"/>
      <c r="AEN163" s="1"/>
      <c r="AEO163" s="1"/>
      <c r="AEP163" s="1"/>
      <c r="AEQ163" s="1"/>
      <c r="AER163" s="1"/>
      <c r="AES163" s="1"/>
      <c r="AET163" s="1"/>
      <c r="AEU163" s="1"/>
      <c r="AEV163" s="1"/>
      <c r="AEW163" s="1"/>
      <c r="AEX163" s="1"/>
      <c r="AEY163" s="1"/>
      <c r="AEZ163" s="1"/>
      <c r="AFA163" s="1"/>
      <c r="AFB163" s="1"/>
      <c r="AFC163" s="1"/>
      <c r="AFD163" s="1"/>
      <c r="AFE163" s="1"/>
      <c r="AFF163" s="1"/>
      <c r="AFG163" s="1"/>
      <c r="AFH163" s="1"/>
      <c r="AFI163" s="1"/>
      <c r="AFJ163" s="1"/>
      <c r="AFK163" s="1"/>
      <c r="AFL163" s="1"/>
      <c r="AFM163" s="1"/>
      <c r="AFN163" s="1"/>
      <c r="AFO163" s="1"/>
      <c r="AFP163" s="1"/>
      <c r="AFQ163" s="1"/>
      <c r="AFR163" s="1"/>
      <c r="AFS163" s="1"/>
      <c r="AFT163" s="1"/>
      <c r="AFU163" s="1"/>
      <c r="AFV163" s="1"/>
      <c r="AFW163" s="1"/>
      <c r="AFX163" s="1"/>
      <c r="AFY163" s="1"/>
      <c r="AFZ163" s="1"/>
      <c r="AGA163" s="1"/>
      <c r="AGB163" s="1"/>
      <c r="AGC163" s="1"/>
      <c r="AGD163" s="1"/>
      <c r="AGE163" s="1"/>
      <c r="AGF163" s="1"/>
      <c r="AGG163" s="1"/>
      <c r="AGH163" s="1"/>
      <c r="AGI163" s="1"/>
      <c r="AGJ163" s="1"/>
      <c r="AGK163" s="1"/>
      <c r="AGL163" s="1"/>
      <c r="AGM163" s="1"/>
      <c r="AGN163" s="1"/>
      <c r="AGO163" s="1"/>
      <c r="AGP163" s="1"/>
      <c r="AGQ163" s="1"/>
      <c r="AGR163" s="1"/>
      <c r="AGS163" s="1"/>
      <c r="AGT163" s="1"/>
      <c r="AGU163" s="1"/>
      <c r="AGV163" s="1"/>
      <c r="AGW163" s="1"/>
      <c r="AGX163" s="1"/>
      <c r="AGY163" s="1"/>
      <c r="AGZ163" s="1"/>
      <c r="AHA163" s="1"/>
      <c r="AHB163" s="1"/>
      <c r="AHC163" s="1"/>
      <c r="AHD163" s="1"/>
      <c r="AHE163" s="1"/>
      <c r="AHF163" s="1"/>
      <c r="AHG163" s="1"/>
      <c r="AHH163" s="1"/>
      <c r="AHI163" s="1"/>
      <c r="AHJ163" s="1"/>
      <c r="AHK163" s="1"/>
      <c r="AHL163" s="1"/>
      <c r="AHM163" s="1"/>
      <c r="AHN163" s="1"/>
      <c r="AHO163" s="1"/>
      <c r="AHP163" s="1"/>
      <c r="AHQ163" s="1"/>
      <c r="AHR163" s="1"/>
      <c r="AHS163" s="1"/>
      <c r="AHT163" s="1"/>
      <c r="AHU163" s="1"/>
      <c r="AHV163" s="1"/>
      <c r="AHW163" s="1"/>
      <c r="AHX163" s="1"/>
      <c r="AHY163" s="1"/>
      <c r="AHZ163" s="1"/>
      <c r="AIA163" s="1"/>
      <c r="AIB163" s="1"/>
      <c r="AIC163" s="1"/>
      <c r="AID163" s="1"/>
      <c r="AIE163" s="1"/>
      <c r="AIF163" s="1"/>
      <c r="AIG163" s="1"/>
      <c r="AIH163" s="1"/>
      <c r="AII163" s="1"/>
      <c r="AIJ163" s="1"/>
      <c r="AIK163" s="1"/>
      <c r="AIL163" s="1"/>
      <c r="AIM163" s="1"/>
      <c r="AIN163" s="1"/>
      <c r="AIO163" s="1"/>
      <c r="AIP163" s="1"/>
      <c r="AIQ163" s="1"/>
      <c r="AIR163" s="1"/>
      <c r="AIS163" s="1"/>
      <c r="AIT163" s="1"/>
      <c r="AIU163" s="1"/>
      <c r="AIV163" s="1"/>
      <c r="AIW163" s="1"/>
      <c r="AIX163" s="1"/>
      <c r="AIY163" s="1"/>
      <c r="AIZ163" s="1"/>
      <c r="AJA163" s="1"/>
      <c r="AJB163" s="1"/>
      <c r="AJC163" s="1"/>
      <c r="AJD163" s="1"/>
      <c r="AJE163" s="1"/>
      <c r="AJF163" s="1"/>
      <c r="AJG163" s="1"/>
      <c r="AJH163" s="1"/>
      <c r="AJI163" s="1"/>
      <c r="AJJ163" s="1"/>
      <c r="AJK163" s="1"/>
      <c r="AJL163" s="1"/>
      <c r="AJM163" s="1"/>
      <c r="AJN163" s="1"/>
      <c r="AJO163" s="1"/>
      <c r="AJP163" s="1"/>
      <c r="AJQ163" s="1"/>
      <c r="AJR163" s="1"/>
      <c r="AJS163" s="1"/>
      <c r="AJT163" s="1"/>
      <c r="AJU163" s="1"/>
      <c r="AJV163" s="1"/>
      <c r="AJW163" s="1"/>
      <c r="AJX163" s="1"/>
      <c r="AJY163" s="1"/>
      <c r="AJZ163" s="1"/>
      <c r="AKA163" s="1"/>
      <c r="AKB163" s="1"/>
      <c r="AKC163" s="1"/>
      <c r="AKD163" s="1"/>
      <c r="AKE163" s="1"/>
      <c r="AKF163" s="1"/>
      <c r="AKG163" s="1"/>
      <c r="AKH163" s="1"/>
      <c r="AKI163" s="1"/>
      <c r="AKJ163" s="1"/>
      <c r="AKK163" s="1"/>
      <c r="AKL163" s="1"/>
      <c r="AKM163" s="1"/>
      <c r="AKN163" s="1"/>
      <c r="AKO163" s="1"/>
      <c r="AKP163" s="1"/>
      <c r="AKQ163" s="1"/>
      <c r="AKR163" s="1"/>
      <c r="AKS163" s="1"/>
      <c r="AKT163" s="1"/>
      <c r="AKU163" s="1"/>
      <c r="AKV163" s="1"/>
      <c r="AKW163" s="1"/>
      <c r="AKX163" s="1"/>
      <c r="AKY163" s="1"/>
      <c r="AKZ163" s="1"/>
      <c r="ALA163" s="1"/>
      <c r="ALB163" s="1"/>
      <c r="ALC163" s="1"/>
      <c r="ALD163" s="1"/>
      <c r="ALE163" s="1"/>
      <c r="ALF163" s="1"/>
      <c r="ALG163" s="1"/>
      <c r="ALH163" s="1"/>
      <c r="ALI163" s="1"/>
      <c r="ALJ163" s="1"/>
      <c r="ALK163" s="1"/>
      <c r="ALL163" s="1"/>
      <c r="ALM163" s="1"/>
      <c r="ALN163" s="1"/>
      <c r="ALO163" s="1"/>
      <c r="ALP163" s="1"/>
      <c r="ALQ163" s="1"/>
      <c r="ALR163" s="1"/>
      <c r="ALS163" s="1"/>
      <c r="ALT163" s="1"/>
      <c r="ALU163" s="1"/>
      <c r="ALV163" s="1"/>
      <c r="ALW163" s="1"/>
      <c r="ALX163" s="1"/>
      <c r="ALY163" s="1"/>
      <c r="ALZ163" s="1"/>
      <c r="AMA163" s="1"/>
      <c r="AMB163" s="1"/>
      <c r="AMC163" s="1"/>
      <c r="AMD163" s="1"/>
      <c r="AME163" s="1"/>
      <c r="AMF163" s="1"/>
      <c r="AMG163" s="1"/>
      <c r="AMH163" s="1"/>
      <c r="AMI163" s="1"/>
      <c r="AMJ163" s="1"/>
      <c r="AMK163" s="1"/>
      <c r="AML163" s="1"/>
      <c r="AMM163" s="1"/>
      <c r="AMN163" s="1"/>
      <c r="AMO163" s="1"/>
    </row>
    <row r="164" spans="1:1029" x14ac:dyDescent="0.2">
      <c r="A164" s="3" t="str">
        <f>CONCATENATE(B164,"_",C164)</f>
        <v>ednrb_human_5X93</v>
      </c>
      <c r="B164" s="2" t="s">
        <v>196</v>
      </c>
      <c r="C164" s="2" t="s">
        <v>1449</v>
      </c>
      <c r="D164" s="3" t="str">
        <f>IFERROR(MID(VLOOKUP($B164,Seqs!$A:$B,2,0),E164,1),"")</f>
        <v>Q</v>
      </c>
      <c r="E164" s="2">
        <v>91</v>
      </c>
      <c r="F164" s="3" t="str">
        <f>IFERROR(MID(VLOOKUP($B164,Seqs!$A:$B,2,0),G164,1),"")</f>
        <v>N</v>
      </c>
      <c r="G164" s="2">
        <v>129</v>
      </c>
      <c r="H164" s="3" t="str">
        <f>IFERROR(MID(VLOOKUP($B164,Seqs!$A:$B,2,0),I164,1),"")</f>
        <v>K</v>
      </c>
      <c r="I164" s="56">
        <v>130</v>
      </c>
      <c r="J164" s="3" t="str">
        <f>IFERROR(MID(VLOOKUP($B164,Seqs!$A:$B,2,0),K164,1),"")</f>
        <v>N</v>
      </c>
      <c r="K164" s="56">
        <v>134</v>
      </c>
      <c r="L164" s="3" t="str">
        <f>IFERROR(MID(VLOOKUP($B164,Seqs!$A:$B,2,0),M164,1),"")</f>
        <v>G</v>
      </c>
      <c r="M164" s="2">
        <v>135</v>
      </c>
      <c r="N164" s="3" t="str">
        <f>IFERROR(MID(VLOOKUP($B164,Seqs!$A:$B,2,0),O164,1),"")</f>
        <v>A</v>
      </c>
      <c r="O164" s="2">
        <v>164</v>
      </c>
      <c r="P164" s="3" t="str">
        <f>IFERROR(MID(VLOOKUP($B164,Seqs!$A:$B,2,0),Q164,1),"")</f>
        <v>D</v>
      </c>
      <c r="Q164" s="2">
        <v>166</v>
      </c>
      <c r="R164" s="3" t="str">
        <f>IFERROR(MID(VLOOKUP($B164,Seqs!$A:$B,2,0),S164,1),"")</f>
        <v>F</v>
      </c>
      <c r="S164" s="2">
        <v>169</v>
      </c>
      <c r="T164" s="3" t="str">
        <f>IFERROR(MID(VLOOKUP($B164,Seqs!$A:$B,2,0),U164,1),"")</f>
        <v>G</v>
      </c>
      <c r="U164" s="4">
        <v>170</v>
      </c>
      <c r="V164" s="3" t="str">
        <f>IFERROR(MID(VLOOKUP($B164,Seqs!$A:$B,2,0),W164,1),"")</f>
        <v>S</v>
      </c>
      <c r="W164" s="2">
        <v>205</v>
      </c>
      <c r="X164" s="3" t="str">
        <f>IFERROR(MID(VLOOKUP($B164,Seqs!$A:$B,2,0),Y164,1),"")</f>
        <v/>
      </c>
      <c r="Y164" s="2" t="s">
        <v>23</v>
      </c>
      <c r="Z164" s="3" t="str">
        <f>IFERROR(MID(VLOOKUP($B164,Seqs!$A:$B,2,0),AA164,1),"")</f>
        <v/>
      </c>
      <c r="AA164" s="2" t="s">
        <v>23</v>
      </c>
      <c r="AB164" s="3" t="str">
        <f>IFERROR(MID(VLOOKUP($B164,Seqs!$A:$B,2,0),AC164,1),"")</f>
        <v>K</v>
      </c>
      <c r="AC164" s="2">
        <v>216</v>
      </c>
      <c r="AD164" s="3" t="str">
        <f>IFERROR(MID(VLOOKUP($B164,Seqs!$A:$B,2,0),AE164,1),"")</f>
        <v>F</v>
      </c>
      <c r="AE164" s="2">
        <v>240</v>
      </c>
      <c r="AF164" s="3" t="str">
        <f>IFERROR(MID(VLOOKUP($B164,Seqs!$A:$B,2,0),AG164,1),"")</f>
        <v>C</v>
      </c>
      <c r="AG164" s="2">
        <v>255</v>
      </c>
      <c r="AH164" s="3" t="str">
        <f>IFERROR(MID(VLOOKUP($B164,Seqs!$A:$B,2,0),AI164,1),"")</f>
        <v>L</v>
      </c>
      <c r="AI164" s="2">
        <v>257</v>
      </c>
      <c r="AJ164" s="3" t="str">
        <f>IFERROR(MID(VLOOKUP($B164,Seqs!$A:$B,2,0),AK164,1),"")</f>
        <v>T</v>
      </c>
      <c r="AK164" s="2">
        <v>263</v>
      </c>
      <c r="AL164" s="3" t="str">
        <f>IFERROR(MID(VLOOKUP($B164,Seqs!$A:$B,2,0),AM164,1),"")</f>
        <v>K</v>
      </c>
      <c r="AM164" s="2">
        <v>303</v>
      </c>
      <c r="AN164" s="3" t="str">
        <f>IFERROR(MID(VLOOKUP($B164,Seqs!$A:$B,2,0),AO164,1),"")</f>
        <v>N</v>
      </c>
      <c r="AO164" s="2">
        <v>312</v>
      </c>
      <c r="AP164" s="3" t="str">
        <f>IFERROR(MID(VLOOKUP($B164,Seqs!$A:$B,2,0),AQ164,1),"")</f>
        <v>Y</v>
      </c>
      <c r="AQ164" s="2">
        <v>350</v>
      </c>
      <c r="AR164" s="3" t="str">
        <f>IFERROR(MID(VLOOKUP($B164,Seqs!$A:$B,2,0),AS164,1),"")</f>
        <v>R</v>
      </c>
      <c r="AS164" s="2">
        <v>357</v>
      </c>
      <c r="AT164" s="3" t="str">
        <f>IFERROR(MID(VLOOKUP($B164,Seqs!$A:$B,2,0),AU164,1),"")</f>
        <v>V</v>
      </c>
      <c r="AU164" s="2">
        <v>389</v>
      </c>
      <c r="AV164" s="3" t="str">
        <f>IFERROR(MID(VLOOKUP($B164,Seqs!$A:$B,2,0),AW164,1),"")</f>
        <v>S</v>
      </c>
      <c r="AW164" s="2">
        <v>390</v>
      </c>
      <c r="AX164" s="3" t="str">
        <f>IFERROR(MID(VLOOKUP($B164,Seqs!$A:$B,2,0),AY164,1),"")</f>
        <v>C</v>
      </c>
      <c r="AY164" s="2">
        <v>403</v>
      </c>
      <c r="AZ164" s="77" t="str">
        <f>VLOOKUP(B164,Classification!A:D,2,0)</f>
        <v>A</v>
      </c>
      <c r="BA164" s="94" t="str">
        <f>VLOOKUP(B164,Classification!A:D,4,0)</f>
        <v>Endothelin</v>
      </c>
      <c r="BB164" s="27" t="b">
        <f>AND(E164&lt;G164,OR(G164&lt;I164,I164="-"),OR(I164&lt;K164,I164="-"),OR(K164&lt;M164,K164="-"),M164&lt;O164,OR(O164&lt;Q164,Q164="-"),OR(Q164&lt;S164,Q164="-"),OR(S164&lt;U164,S164="-"),U164&lt;W164,OR(W164&lt;Y164,Y164="-"),OR(Y164&lt;AA164,Y164="-"),OR(AA164&lt;AC164,AA164="-"),AC164&lt;AE164,OR(AE164&lt;AG164,AG164="-"),OR(AG164&lt;AI164,AG164="-"),OR(AI164&lt;AK164,AI164="-"),AK164&lt;AM164,AM164&lt;AO164,AO164&lt;AQ164,AQ164&lt;AS164,AS164&lt;AU164,OR(AU164&lt;AW164,AW164="-"),OR(AW164&lt;AY164,AW164="-"))</f>
        <v>1</v>
      </c>
      <c r="BC164" s="23">
        <f>_xlfn.AGGREGATE(9,6,CH164:CS164)-_xlfn.AGGREGATE(9,6,BV164:CG164)+12</f>
        <v>270</v>
      </c>
      <c r="BD164" s="2" t="s">
        <v>1383</v>
      </c>
      <c r="BE164" s="3" t="s">
        <v>1381</v>
      </c>
      <c r="BF164" s="119">
        <v>2.2000000000000002</v>
      </c>
      <c r="BG164" s="49" t="s">
        <v>1</v>
      </c>
      <c r="BH164" s="49" t="s">
        <v>1</v>
      </c>
      <c r="BI164" s="2"/>
      <c r="BJ164" s="70" t="s">
        <v>1293</v>
      </c>
      <c r="BK164" s="57" t="s">
        <v>1293</v>
      </c>
      <c r="BL164" s="57" t="s">
        <v>1293</v>
      </c>
      <c r="BM164" s="57" t="s">
        <v>1293</v>
      </c>
      <c r="BN164" s="57" t="s">
        <v>1293</v>
      </c>
      <c r="BO164" s="57" t="s">
        <v>1293</v>
      </c>
      <c r="BP164" s="57" t="s">
        <v>1293</v>
      </c>
      <c r="BQ164" s="57" t="s">
        <v>1293</v>
      </c>
      <c r="BR164" s="57" t="s">
        <v>1293</v>
      </c>
      <c r="BS164" s="57" t="s">
        <v>1293</v>
      </c>
      <c r="BT164" s="57" t="s">
        <v>1293</v>
      </c>
      <c r="BU164" s="57" t="s">
        <v>1293</v>
      </c>
      <c r="BV164" s="70">
        <f>E164</f>
        <v>91</v>
      </c>
      <c r="BW164" s="71">
        <f>I164</f>
        <v>130</v>
      </c>
      <c r="BX164" s="72">
        <f>M164</f>
        <v>135</v>
      </c>
      <c r="BY164" s="71">
        <f>Q164</f>
        <v>166</v>
      </c>
      <c r="BZ164" s="72">
        <f>U164</f>
        <v>170</v>
      </c>
      <c r="CA164" s="71" t="str">
        <f>Y164</f>
        <v>-</v>
      </c>
      <c r="CB164" s="72">
        <f>AC164</f>
        <v>216</v>
      </c>
      <c r="CC164" s="71">
        <f>AG164</f>
        <v>255</v>
      </c>
      <c r="CD164" s="72">
        <f>AK164</f>
        <v>263</v>
      </c>
      <c r="CE164" s="71">
        <f>AO164</f>
        <v>312</v>
      </c>
      <c r="CF164" s="72">
        <f>AS164</f>
        <v>357</v>
      </c>
      <c r="CG164" s="71">
        <f>AW164</f>
        <v>390</v>
      </c>
      <c r="CH164" s="70">
        <f>G164</f>
        <v>129</v>
      </c>
      <c r="CI164" s="71">
        <f>K164</f>
        <v>134</v>
      </c>
      <c r="CJ164" s="72">
        <f>O164</f>
        <v>164</v>
      </c>
      <c r="CK164" s="72">
        <f>S164</f>
        <v>169</v>
      </c>
      <c r="CL164" s="72">
        <f>W164</f>
        <v>205</v>
      </c>
      <c r="CM164" s="72" t="str">
        <f>AA164</f>
        <v>-</v>
      </c>
      <c r="CN164" s="72">
        <f>AE164</f>
        <v>240</v>
      </c>
      <c r="CO164" s="72">
        <f>AI164</f>
        <v>257</v>
      </c>
      <c r="CP164" s="72">
        <f>AM164</f>
        <v>303</v>
      </c>
      <c r="CQ164" s="72">
        <f>AQ164</f>
        <v>350</v>
      </c>
      <c r="CR164" s="72">
        <f>AU164</f>
        <v>389</v>
      </c>
      <c r="CS164" s="72">
        <f>AY164</f>
        <v>403</v>
      </c>
      <c r="CT164" s="23">
        <f>M164-K164</f>
        <v>1</v>
      </c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  <c r="OK164" s="1"/>
      <c r="OL164" s="1"/>
      <c r="OM164" s="1"/>
      <c r="ON164" s="1"/>
      <c r="OO164" s="1"/>
      <c r="OP164" s="1"/>
      <c r="OQ164" s="1"/>
      <c r="OR164" s="1"/>
      <c r="OS164" s="1"/>
      <c r="OT164" s="1"/>
      <c r="OU164" s="1"/>
      <c r="OV164" s="1"/>
      <c r="OW164" s="1"/>
      <c r="OX164" s="1"/>
      <c r="OY164" s="1"/>
      <c r="OZ164" s="1"/>
      <c r="PA164" s="1"/>
      <c r="PB164" s="1"/>
      <c r="PC164" s="1"/>
      <c r="PD164" s="1"/>
      <c r="PE164" s="1"/>
      <c r="PF164" s="1"/>
      <c r="PG164" s="1"/>
      <c r="PH164" s="1"/>
      <c r="PI164" s="1"/>
      <c r="PJ164" s="1"/>
      <c r="PK164" s="1"/>
      <c r="PL164" s="1"/>
      <c r="PM164" s="1"/>
      <c r="PN164" s="1"/>
      <c r="PO164" s="1"/>
      <c r="PP164" s="1"/>
      <c r="PQ164" s="1"/>
      <c r="PR164" s="1"/>
      <c r="PS164" s="1"/>
      <c r="PT164" s="1"/>
      <c r="PU164" s="1"/>
      <c r="PV164" s="1"/>
      <c r="PW164" s="1"/>
      <c r="PX164" s="1"/>
      <c r="PY164" s="1"/>
      <c r="PZ164" s="1"/>
      <c r="QA164" s="1"/>
      <c r="QB164" s="1"/>
      <c r="QC164" s="1"/>
      <c r="QD164" s="1"/>
      <c r="QE164" s="1"/>
      <c r="QF164" s="1"/>
      <c r="QG164" s="1"/>
      <c r="QH164" s="1"/>
      <c r="QI164" s="1"/>
      <c r="QJ164" s="1"/>
      <c r="QK164" s="1"/>
      <c r="QL164" s="1"/>
      <c r="QM164" s="1"/>
      <c r="QN164" s="1"/>
      <c r="QO164" s="1"/>
      <c r="QP164" s="1"/>
      <c r="QQ164" s="1"/>
      <c r="QR164" s="1"/>
      <c r="QS164" s="1"/>
      <c r="QT164" s="1"/>
      <c r="QU164" s="1"/>
      <c r="QV164" s="1"/>
      <c r="QW164" s="1"/>
      <c r="QX164" s="1"/>
      <c r="QY164" s="1"/>
      <c r="QZ164" s="1"/>
      <c r="RA164" s="1"/>
      <c r="RB164" s="1"/>
      <c r="RC164" s="1"/>
      <c r="RD164" s="1"/>
      <c r="RE164" s="1"/>
      <c r="RF164" s="1"/>
      <c r="RG164" s="1"/>
      <c r="RH164" s="1"/>
      <c r="RI164" s="1"/>
      <c r="RJ164" s="1"/>
      <c r="RK164" s="1"/>
      <c r="RL164" s="1"/>
      <c r="RM164" s="1"/>
      <c r="RN164" s="1"/>
      <c r="RO164" s="1"/>
      <c r="RP164" s="1"/>
      <c r="RQ164" s="1"/>
      <c r="RR164" s="1"/>
      <c r="RS164" s="1"/>
      <c r="RT164" s="1"/>
      <c r="RU164" s="1"/>
      <c r="RV164" s="1"/>
      <c r="RW164" s="1"/>
      <c r="RX164" s="1"/>
      <c r="RY164" s="1"/>
      <c r="RZ164" s="1"/>
      <c r="SA164" s="1"/>
      <c r="SB164" s="1"/>
      <c r="SC164" s="1"/>
      <c r="SD164" s="1"/>
      <c r="SE164" s="1"/>
      <c r="SF164" s="1"/>
      <c r="SG164" s="1"/>
      <c r="SH164" s="1"/>
      <c r="SI164" s="1"/>
      <c r="SJ164" s="1"/>
      <c r="SK164" s="1"/>
      <c r="SL164" s="1"/>
      <c r="SM164" s="1"/>
      <c r="SN164" s="1"/>
      <c r="SO164" s="1"/>
      <c r="SP164" s="1"/>
      <c r="SQ164" s="1"/>
      <c r="SR164" s="1"/>
      <c r="SS164" s="1"/>
      <c r="ST164" s="1"/>
      <c r="SU164" s="1"/>
      <c r="SV164" s="1"/>
      <c r="SW164" s="1"/>
      <c r="SX164" s="1"/>
      <c r="SY164" s="1"/>
      <c r="SZ164" s="1"/>
      <c r="TA164" s="1"/>
      <c r="TB164" s="1"/>
      <c r="TC164" s="1"/>
      <c r="TD164" s="1"/>
      <c r="TE164" s="1"/>
      <c r="TF164" s="1"/>
      <c r="TG164" s="1"/>
      <c r="TH164" s="1"/>
      <c r="TI164" s="1"/>
      <c r="TJ164" s="1"/>
      <c r="TK164" s="1"/>
      <c r="TL164" s="1"/>
      <c r="TM164" s="1"/>
      <c r="TN164" s="1"/>
      <c r="TO164" s="1"/>
      <c r="TP164" s="1"/>
      <c r="TQ164" s="1"/>
      <c r="TR164" s="1"/>
      <c r="TS164" s="1"/>
      <c r="TT164" s="1"/>
      <c r="TU164" s="1"/>
      <c r="TV164" s="1"/>
      <c r="TW164" s="1"/>
      <c r="TX164" s="1"/>
      <c r="TY164" s="1"/>
      <c r="TZ164" s="1"/>
      <c r="UA164" s="1"/>
      <c r="UB164" s="1"/>
      <c r="UC164" s="1"/>
      <c r="UD164" s="1"/>
      <c r="UE164" s="1"/>
      <c r="UF164" s="1"/>
      <c r="UG164" s="1"/>
      <c r="UH164" s="1"/>
      <c r="UI164" s="1"/>
      <c r="UJ164" s="1"/>
      <c r="UK164" s="1"/>
      <c r="UL164" s="1"/>
      <c r="UM164" s="1"/>
      <c r="UN164" s="1"/>
      <c r="UO164" s="1"/>
      <c r="UP164" s="1"/>
      <c r="UQ164" s="1"/>
      <c r="UR164" s="1"/>
      <c r="US164" s="1"/>
      <c r="UT164" s="1"/>
      <c r="UU164" s="1"/>
      <c r="UV164" s="1"/>
      <c r="UW164" s="1"/>
      <c r="UX164" s="1"/>
      <c r="UY164" s="1"/>
      <c r="UZ164" s="1"/>
      <c r="VA164" s="1"/>
      <c r="VB164" s="1"/>
      <c r="VC164" s="1"/>
      <c r="VD164" s="1"/>
      <c r="VE164" s="1"/>
      <c r="VF164" s="1"/>
      <c r="VG164" s="1"/>
      <c r="VH164" s="1"/>
      <c r="VI164" s="1"/>
      <c r="VJ164" s="1"/>
      <c r="VK164" s="1"/>
      <c r="VL164" s="1"/>
      <c r="VM164" s="1"/>
      <c r="VN164" s="1"/>
      <c r="VO164" s="1"/>
      <c r="VP164" s="1"/>
      <c r="VQ164" s="1"/>
      <c r="VR164" s="1"/>
      <c r="VS164" s="1"/>
      <c r="VT164" s="1"/>
      <c r="VU164" s="1"/>
      <c r="VV164" s="1"/>
      <c r="VW164" s="1"/>
      <c r="VX164" s="1"/>
      <c r="VY164" s="1"/>
      <c r="VZ164" s="1"/>
      <c r="WA164" s="1"/>
      <c r="WB164" s="1"/>
      <c r="WC164" s="1"/>
      <c r="WD164" s="1"/>
      <c r="WE164" s="1"/>
      <c r="WF164" s="1"/>
      <c r="WG164" s="1"/>
      <c r="WH164" s="1"/>
      <c r="WI164" s="1"/>
      <c r="WJ164" s="1"/>
      <c r="WK164" s="1"/>
      <c r="WL164" s="1"/>
      <c r="WM164" s="1"/>
      <c r="WN164" s="1"/>
      <c r="WO164" s="1"/>
      <c r="WP164" s="1"/>
      <c r="WQ164" s="1"/>
      <c r="WR164" s="1"/>
      <c r="WS164" s="1"/>
      <c r="WT164" s="1"/>
      <c r="WU164" s="1"/>
      <c r="WV164" s="1"/>
      <c r="WW164" s="1"/>
      <c r="WX164" s="1"/>
      <c r="WY164" s="1"/>
      <c r="WZ164" s="1"/>
      <c r="XA164" s="1"/>
      <c r="XB164" s="1"/>
      <c r="XC164" s="1"/>
      <c r="XD164" s="1"/>
      <c r="XE164" s="1"/>
      <c r="XF164" s="1"/>
      <c r="XG164" s="1"/>
      <c r="XH164" s="1"/>
      <c r="XI164" s="1"/>
      <c r="XJ164" s="1"/>
      <c r="XK164" s="1"/>
      <c r="XL164" s="1"/>
      <c r="XM164" s="1"/>
      <c r="XN164" s="1"/>
      <c r="XO164" s="1"/>
      <c r="XP164" s="1"/>
      <c r="XQ164" s="1"/>
      <c r="XR164" s="1"/>
      <c r="XS164" s="1"/>
      <c r="XT164" s="1"/>
      <c r="XU164" s="1"/>
      <c r="XV164" s="1"/>
      <c r="XW164" s="1"/>
      <c r="XX164" s="1"/>
      <c r="XY164" s="1"/>
      <c r="XZ164" s="1"/>
      <c r="YA164" s="1"/>
      <c r="YB164" s="1"/>
      <c r="YC164" s="1"/>
      <c r="YD164" s="1"/>
      <c r="YE164" s="1"/>
      <c r="YF164" s="1"/>
      <c r="YG164" s="1"/>
      <c r="YH164" s="1"/>
      <c r="YI164" s="1"/>
      <c r="YJ164" s="1"/>
      <c r="YK164" s="1"/>
      <c r="YL164" s="1"/>
      <c r="YM164" s="1"/>
      <c r="YN164" s="1"/>
      <c r="YO164" s="1"/>
      <c r="YP164" s="1"/>
      <c r="YQ164" s="1"/>
      <c r="YR164" s="1"/>
      <c r="YS164" s="1"/>
      <c r="YT164" s="1"/>
      <c r="YU164" s="1"/>
      <c r="YV164" s="1"/>
      <c r="YW164" s="1"/>
      <c r="YX164" s="1"/>
      <c r="YY164" s="1"/>
      <c r="YZ164" s="1"/>
      <c r="ZA164" s="1"/>
      <c r="ZB164" s="1"/>
      <c r="ZC164" s="1"/>
      <c r="ZD164" s="1"/>
      <c r="ZE164" s="1"/>
      <c r="ZF164" s="1"/>
      <c r="ZG164" s="1"/>
      <c r="ZH164" s="1"/>
      <c r="ZI164" s="1"/>
      <c r="ZJ164" s="1"/>
      <c r="ZK164" s="1"/>
      <c r="ZL164" s="1"/>
      <c r="ZM164" s="1"/>
      <c r="ZN164" s="1"/>
      <c r="ZO164" s="1"/>
      <c r="ZP164" s="1"/>
      <c r="ZQ164" s="1"/>
      <c r="ZR164" s="1"/>
      <c r="ZS164" s="1"/>
      <c r="ZT164" s="1"/>
      <c r="ZU164" s="1"/>
      <c r="ZV164" s="1"/>
      <c r="ZW164" s="1"/>
      <c r="ZX164" s="1"/>
      <c r="ZY164" s="1"/>
      <c r="ZZ164" s="1"/>
      <c r="AAA164" s="1"/>
      <c r="AAB164" s="1"/>
      <c r="AAC164" s="1"/>
      <c r="AAD164" s="1"/>
      <c r="AAE164" s="1"/>
      <c r="AAF164" s="1"/>
      <c r="AAG164" s="1"/>
      <c r="AAH164" s="1"/>
      <c r="AAI164" s="1"/>
      <c r="AAJ164" s="1"/>
      <c r="AAK164" s="1"/>
      <c r="AAL164" s="1"/>
      <c r="AAM164" s="1"/>
      <c r="AAN164" s="1"/>
      <c r="AAO164" s="1"/>
      <c r="AAP164" s="1"/>
      <c r="AAQ164" s="1"/>
      <c r="AAR164" s="1"/>
      <c r="AAS164" s="1"/>
      <c r="AAT164" s="1"/>
      <c r="AAU164" s="1"/>
      <c r="AAV164" s="1"/>
      <c r="AAW164" s="1"/>
      <c r="AAX164" s="1"/>
      <c r="AAY164" s="1"/>
      <c r="AAZ164" s="1"/>
      <c r="ABA164" s="1"/>
      <c r="ABB164" s="1"/>
      <c r="ABC164" s="1"/>
      <c r="ABD164" s="1"/>
      <c r="ABE164" s="1"/>
      <c r="ABF164" s="1"/>
      <c r="ABG164" s="1"/>
      <c r="ABH164" s="1"/>
      <c r="ABI164" s="1"/>
      <c r="ABJ164" s="1"/>
      <c r="ABK164" s="1"/>
      <c r="ABL164" s="1"/>
      <c r="ABM164" s="1"/>
      <c r="ABN164" s="1"/>
      <c r="ABO164" s="1"/>
      <c r="ABP164" s="1"/>
      <c r="ABQ164" s="1"/>
      <c r="ABR164" s="1"/>
      <c r="ABS164" s="1"/>
      <c r="ABT164" s="1"/>
      <c r="ABU164" s="1"/>
      <c r="ABV164" s="1"/>
      <c r="ABW164" s="1"/>
      <c r="ABX164" s="1"/>
      <c r="ABY164" s="1"/>
      <c r="ABZ164" s="1"/>
      <c r="ACA164" s="1"/>
      <c r="ACB164" s="1"/>
      <c r="ACC164" s="1"/>
      <c r="ACD164" s="1"/>
      <c r="ACE164" s="1"/>
      <c r="ACF164" s="1"/>
      <c r="ACG164" s="1"/>
      <c r="ACH164" s="1"/>
      <c r="ACI164" s="1"/>
      <c r="ACJ164" s="1"/>
      <c r="ACK164" s="1"/>
      <c r="ACL164" s="1"/>
      <c r="ACM164" s="1"/>
      <c r="ACN164" s="1"/>
      <c r="ACO164" s="1"/>
      <c r="ACP164" s="1"/>
      <c r="ACQ164" s="1"/>
      <c r="ACR164" s="1"/>
      <c r="ACS164" s="1"/>
      <c r="ACT164" s="1"/>
      <c r="ACU164" s="1"/>
      <c r="ACV164" s="1"/>
      <c r="ACW164" s="1"/>
      <c r="ACX164" s="1"/>
      <c r="ACY164" s="1"/>
      <c r="ACZ164" s="1"/>
      <c r="ADA164" s="1"/>
      <c r="ADB164" s="1"/>
      <c r="ADC164" s="1"/>
      <c r="ADD164" s="1"/>
      <c r="ADE164" s="1"/>
      <c r="ADF164" s="1"/>
      <c r="ADG164" s="1"/>
      <c r="ADH164" s="1"/>
      <c r="ADI164" s="1"/>
      <c r="ADJ164" s="1"/>
      <c r="ADK164" s="1"/>
      <c r="ADL164" s="1"/>
      <c r="ADM164" s="1"/>
      <c r="ADN164" s="1"/>
      <c r="ADO164" s="1"/>
      <c r="ADP164" s="1"/>
      <c r="ADQ164" s="1"/>
      <c r="ADR164" s="1"/>
      <c r="ADS164" s="1"/>
      <c r="ADT164" s="1"/>
      <c r="ADU164" s="1"/>
      <c r="ADV164" s="1"/>
      <c r="ADW164" s="1"/>
      <c r="ADX164" s="1"/>
      <c r="ADY164" s="1"/>
      <c r="ADZ164" s="1"/>
      <c r="AEA164" s="1"/>
      <c r="AEB164" s="1"/>
      <c r="AEC164" s="1"/>
      <c r="AED164" s="1"/>
      <c r="AEE164" s="1"/>
      <c r="AEF164" s="1"/>
      <c r="AEG164" s="1"/>
      <c r="AEH164" s="1"/>
      <c r="AEI164" s="1"/>
      <c r="AEJ164" s="1"/>
      <c r="AEK164" s="1"/>
      <c r="AEL164" s="1"/>
      <c r="AEM164" s="1"/>
      <c r="AEN164" s="1"/>
      <c r="AEO164" s="1"/>
      <c r="AEP164" s="1"/>
      <c r="AEQ164" s="1"/>
      <c r="AER164" s="1"/>
      <c r="AES164" s="1"/>
      <c r="AET164" s="1"/>
      <c r="AEU164" s="1"/>
      <c r="AEV164" s="1"/>
      <c r="AEW164" s="1"/>
      <c r="AEX164" s="1"/>
      <c r="AEY164" s="1"/>
      <c r="AEZ164" s="1"/>
      <c r="AFA164" s="1"/>
      <c r="AFB164" s="1"/>
      <c r="AFC164" s="1"/>
      <c r="AFD164" s="1"/>
      <c r="AFE164" s="1"/>
      <c r="AFF164" s="1"/>
      <c r="AFG164" s="1"/>
      <c r="AFH164" s="1"/>
      <c r="AFI164" s="1"/>
      <c r="AFJ164" s="1"/>
      <c r="AFK164" s="1"/>
      <c r="AFL164" s="1"/>
      <c r="AFM164" s="1"/>
      <c r="AFN164" s="1"/>
      <c r="AFO164" s="1"/>
      <c r="AFP164" s="1"/>
      <c r="AFQ164" s="1"/>
      <c r="AFR164" s="1"/>
      <c r="AFS164" s="1"/>
      <c r="AFT164" s="1"/>
      <c r="AFU164" s="1"/>
      <c r="AFV164" s="1"/>
      <c r="AFW164" s="1"/>
      <c r="AFX164" s="1"/>
      <c r="AFY164" s="1"/>
      <c r="AFZ164" s="1"/>
      <c r="AGA164" s="1"/>
      <c r="AGB164" s="1"/>
      <c r="AGC164" s="1"/>
      <c r="AGD164" s="1"/>
      <c r="AGE164" s="1"/>
      <c r="AGF164" s="1"/>
      <c r="AGG164" s="1"/>
      <c r="AGH164" s="1"/>
      <c r="AGI164" s="1"/>
      <c r="AGJ164" s="1"/>
      <c r="AGK164" s="1"/>
      <c r="AGL164" s="1"/>
      <c r="AGM164" s="1"/>
      <c r="AGN164" s="1"/>
      <c r="AGO164" s="1"/>
      <c r="AGP164" s="1"/>
      <c r="AGQ164" s="1"/>
      <c r="AGR164" s="1"/>
      <c r="AGS164" s="1"/>
      <c r="AGT164" s="1"/>
      <c r="AGU164" s="1"/>
      <c r="AGV164" s="1"/>
      <c r="AGW164" s="1"/>
      <c r="AGX164" s="1"/>
      <c r="AGY164" s="1"/>
      <c r="AGZ164" s="1"/>
      <c r="AHA164" s="1"/>
      <c r="AHB164" s="1"/>
      <c r="AHC164" s="1"/>
      <c r="AHD164" s="1"/>
      <c r="AHE164" s="1"/>
      <c r="AHF164" s="1"/>
      <c r="AHG164" s="1"/>
      <c r="AHH164" s="1"/>
      <c r="AHI164" s="1"/>
      <c r="AHJ164" s="1"/>
      <c r="AHK164" s="1"/>
      <c r="AHL164" s="1"/>
      <c r="AHM164" s="1"/>
      <c r="AHN164" s="1"/>
      <c r="AHO164" s="1"/>
      <c r="AHP164" s="1"/>
      <c r="AHQ164" s="1"/>
      <c r="AHR164" s="1"/>
      <c r="AHS164" s="1"/>
      <c r="AHT164" s="1"/>
      <c r="AHU164" s="1"/>
      <c r="AHV164" s="1"/>
      <c r="AHW164" s="1"/>
      <c r="AHX164" s="1"/>
      <c r="AHY164" s="1"/>
      <c r="AHZ164" s="1"/>
      <c r="AIA164" s="1"/>
      <c r="AIB164" s="1"/>
      <c r="AIC164" s="1"/>
      <c r="AID164" s="1"/>
      <c r="AIE164" s="1"/>
      <c r="AIF164" s="1"/>
      <c r="AIG164" s="1"/>
      <c r="AIH164" s="1"/>
      <c r="AII164" s="1"/>
      <c r="AIJ164" s="1"/>
      <c r="AIK164" s="1"/>
      <c r="AIL164" s="1"/>
      <c r="AIM164" s="1"/>
      <c r="AIN164" s="1"/>
      <c r="AIO164" s="1"/>
      <c r="AIP164" s="1"/>
      <c r="AIQ164" s="1"/>
      <c r="AIR164" s="1"/>
      <c r="AIS164" s="1"/>
      <c r="AIT164" s="1"/>
      <c r="AIU164" s="1"/>
      <c r="AIV164" s="1"/>
      <c r="AIW164" s="1"/>
      <c r="AIX164" s="1"/>
      <c r="AIY164" s="1"/>
      <c r="AIZ164" s="1"/>
      <c r="AJA164" s="1"/>
      <c r="AJB164" s="1"/>
      <c r="AJC164" s="1"/>
      <c r="AJD164" s="1"/>
      <c r="AJE164" s="1"/>
      <c r="AJF164" s="1"/>
      <c r="AJG164" s="1"/>
      <c r="AJH164" s="1"/>
      <c r="AJI164" s="1"/>
      <c r="AJJ164" s="1"/>
      <c r="AJK164" s="1"/>
      <c r="AJL164" s="1"/>
      <c r="AJM164" s="1"/>
      <c r="AJN164" s="1"/>
      <c r="AJO164" s="1"/>
      <c r="AJP164" s="1"/>
      <c r="AJQ164" s="1"/>
      <c r="AJR164" s="1"/>
      <c r="AJS164" s="1"/>
      <c r="AJT164" s="1"/>
      <c r="AJU164" s="1"/>
      <c r="AJV164" s="1"/>
      <c r="AJW164" s="1"/>
      <c r="AJX164" s="1"/>
      <c r="AJY164" s="1"/>
      <c r="AJZ164" s="1"/>
      <c r="AKA164" s="1"/>
      <c r="AKB164" s="1"/>
      <c r="AKC164" s="1"/>
      <c r="AKD164" s="1"/>
      <c r="AKE164" s="1"/>
      <c r="AKF164" s="1"/>
      <c r="AKG164" s="1"/>
      <c r="AKH164" s="1"/>
      <c r="AKI164" s="1"/>
      <c r="AKJ164" s="1"/>
      <c r="AKK164" s="1"/>
      <c r="AKL164" s="1"/>
      <c r="AKM164" s="1"/>
      <c r="AKN164" s="1"/>
      <c r="AKO164" s="1"/>
      <c r="AKP164" s="1"/>
      <c r="AKQ164" s="1"/>
      <c r="AKR164" s="1"/>
      <c r="AKS164" s="1"/>
      <c r="AKT164" s="1"/>
      <c r="AKU164" s="1"/>
      <c r="AKV164" s="1"/>
      <c r="AKW164" s="1"/>
      <c r="AKX164" s="1"/>
      <c r="AKY164" s="1"/>
      <c r="AKZ164" s="1"/>
      <c r="ALA164" s="1"/>
      <c r="ALB164" s="1"/>
      <c r="ALC164" s="1"/>
      <c r="ALD164" s="1"/>
      <c r="ALE164" s="1"/>
      <c r="ALF164" s="1"/>
      <c r="ALG164" s="1"/>
      <c r="ALH164" s="1"/>
      <c r="ALI164" s="1"/>
      <c r="ALJ164" s="1"/>
      <c r="ALK164" s="1"/>
      <c r="ALL164" s="1"/>
      <c r="ALM164" s="1"/>
      <c r="ALN164" s="1"/>
      <c r="ALO164" s="1"/>
      <c r="ALP164" s="1"/>
      <c r="ALQ164" s="1"/>
      <c r="ALR164" s="1"/>
      <c r="ALS164" s="1"/>
      <c r="ALT164" s="1"/>
      <c r="ALU164" s="1"/>
      <c r="ALV164" s="1"/>
      <c r="ALW164" s="1"/>
      <c r="ALX164" s="1"/>
      <c r="ALY164" s="1"/>
      <c r="ALZ164" s="1"/>
      <c r="AMA164" s="1"/>
      <c r="AMB164" s="1"/>
      <c r="AMC164" s="1"/>
      <c r="AMD164" s="1"/>
      <c r="AME164" s="1"/>
      <c r="AMF164" s="1"/>
      <c r="AMG164" s="1"/>
      <c r="AMH164" s="1"/>
      <c r="AMI164" s="1"/>
      <c r="AMJ164" s="1"/>
      <c r="AMK164" s="1"/>
      <c r="AML164" s="1"/>
      <c r="AMM164" s="1"/>
      <c r="AMN164" s="1"/>
      <c r="AMO164" s="1"/>
    </row>
    <row r="165" spans="1:1029" x14ac:dyDescent="0.2">
      <c r="A165" s="3" t="str">
        <f>CONCATENATE(B165,"_",C165)</f>
        <v>ednrb_human_5XPR</v>
      </c>
      <c r="B165" s="2" t="s">
        <v>196</v>
      </c>
      <c r="C165" s="2" t="s">
        <v>1450</v>
      </c>
      <c r="D165" s="3" t="str">
        <f>IFERROR(MID(VLOOKUP($B165,Seqs!$A:$B,2,0),E165,1),"")</f>
        <v>G</v>
      </c>
      <c r="E165" s="2">
        <v>92</v>
      </c>
      <c r="F165" s="3" t="str">
        <f>IFERROR(MID(VLOOKUP($B165,Seqs!$A:$B,2,0),G165,1),"")</f>
        <v>N</v>
      </c>
      <c r="G165" s="2">
        <v>129</v>
      </c>
      <c r="H165" s="3" t="str">
        <f>IFERROR(MID(VLOOKUP($B165,Seqs!$A:$B,2,0),I165,1),"")</f>
        <v>K</v>
      </c>
      <c r="I165" s="56">
        <v>130</v>
      </c>
      <c r="J165" s="3" t="str">
        <f>IFERROR(MID(VLOOKUP($B165,Seqs!$A:$B,2,0),K165,1),"")</f>
        <v>N</v>
      </c>
      <c r="K165" s="56">
        <v>134</v>
      </c>
      <c r="L165" s="3" t="str">
        <f>IFERROR(MID(VLOOKUP($B165,Seqs!$A:$B,2,0),M165,1),"")</f>
        <v>G</v>
      </c>
      <c r="M165" s="2">
        <v>135</v>
      </c>
      <c r="N165" s="3" t="str">
        <f>IFERROR(MID(VLOOKUP($B165,Seqs!$A:$B,2,0),O165,1),"")</f>
        <v>A</v>
      </c>
      <c r="O165" s="2">
        <v>164</v>
      </c>
      <c r="P165" s="3" t="str">
        <f>IFERROR(MID(VLOOKUP($B165,Seqs!$A:$B,2,0),Q165,1),"")</f>
        <v>D</v>
      </c>
      <c r="Q165" s="2">
        <v>166</v>
      </c>
      <c r="R165" s="3" t="str">
        <f>IFERROR(MID(VLOOKUP($B165,Seqs!$A:$B,2,0),S165,1),"")</f>
        <v>F</v>
      </c>
      <c r="S165" s="2">
        <v>169</v>
      </c>
      <c r="T165" s="3" t="str">
        <f>IFERROR(MID(VLOOKUP($B165,Seqs!$A:$B,2,0),U165,1),"")</f>
        <v>A</v>
      </c>
      <c r="U165" s="4">
        <v>171</v>
      </c>
      <c r="V165" s="3" t="str">
        <f>IFERROR(MID(VLOOKUP($B165,Seqs!$A:$B,2,0),W165,1),"")</f>
        <v>A</v>
      </c>
      <c r="W165" s="2">
        <v>202</v>
      </c>
      <c r="X165" s="3" t="str">
        <f>IFERROR(MID(VLOOKUP($B165,Seqs!$A:$B,2,0),Y165,1),"")</f>
        <v/>
      </c>
      <c r="Y165" s="2" t="s">
        <v>23</v>
      </c>
      <c r="Z165" s="3" t="str">
        <f>IFERROR(MID(VLOOKUP($B165,Seqs!$A:$B,2,0),AA165,1),"")</f>
        <v/>
      </c>
      <c r="AA165" s="2" t="s">
        <v>23</v>
      </c>
      <c r="AB165" s="3" t="str">
        <f>IFERROR(MID(VLOOKUP($B165,Seqs!$A:$B,2,0),AC165,1),"")</f>
        <v>K</v>
      </c>
      <c r="AC165" s="2">
        <v>216</v>
      </c>
      <c r="AD165" s="3" t="str">
        <f>IFERROR(MID(VLOOKUP($B165,Seqs!$A:$B,2,0),AE165,1),"")</f>
        <v>F</v>
      </c>
      <c r="AE165" s="2">
        <v>240</v>
      </c>
      <c r="AF165" s="3" t="str">
        <f>IFERROR(MID(VLOOKUP($B165,Seqs!$A:$B,2,0),AG165,1),"")</f>
        <v>C</v>
      </c>
      <c r="AG165" s="2">
        <v>255</v>
      </c>
      <c r="AH165" s="3" t="str">
        <f>IFERROR(MID(VLOOKUP($B165,Seqs!$A:$B,2,0),AI165,1),"")</f>
        <v>L</v>
      </c>
      <c r="AI165" s="2">
        <v>257</v>
      </c>
      <c r="AJ165" s="3" t="str">
        <f>IFERROR(MID(VLOOKUP($B165,Seqs!$A:$B,2,0),AK165,1),"")</f>
        <v>T</v>
      </c>
      <c r="AK165" s="2">
        <v>263</v>
      </c>
      <c r="AL165" s="3" t="str">
        <f>IFERROR(MID(VLOOKUP($B165,Seqs!$A:$B,2,0),AM165,1),"")</f>
        <v>K</v>
      </c>
      <c r="AM165" s="2">
        <v>303</v>
      </c>
      <c r="AN165" s="3" t="str">
        <f>IFERROR(MID(VLOOKUP($B165,Seqs!$A:$B,2,0),AO165,1),"")</f>
        <v>N</v>
      </c>
      <c r="AO165" s="2">
        <v>312</v>
      </c>
      <c r="AP165" s="3" t="str">
        <f>IFERROR(MID(VLOOKUP($B165,Seqs!$A:$B,2,0),AQ165,1),"")</f>
        <v>L</v>
      </c>
      <c r="AQ165" s="2">
        <v>349</v>
      </c>
      <c r="AR165" s="3" t="str">
        <f>IFERROR(MID(VLOOKUP($B165,Seqs!$A:$B,2,0),AS165,1),"")</f>
        <v>N</v>
      </c>
      <c r="AS165" s="2">
        <v>356</v>
      </c>
      <c r="AT165" s="3" t="str">
        <f>IFERROR(MID(VLOOKUP($B165,Seqs!$A:$B,2,0),AU165,1),"")</f>
        <v>V</v>
      </c>
      <c r="AU165" s="2">
        <v>389</v>
      </c>
      <c r="AV165" s="3" t="str">
        <f>IFERROR(MID(VLOOKUP($B165,Seqs!$A:$B,2,0),AW165,1),"")</f>
        <v>S</v>
      </c>
      <c r="AW165" s="2">
        <v>390</v>
      </c>
      <c r="AX165" s="3" t="str">
        <f>IFERROR(MID(VLOOKUP($B165,Seqs!$A:$B,2,0),AY165,1),"")</f>
        <v>C</v>
      </c>
      <c r="AY165" s="2">
        <v>402</v>
      </c>
      <c r="AZ165" s="77" t="str">
        <f>VLOOKUP(B165,Classification!A:D,2,0)</f>
        <v>A</v>
      </c>
      <c r="BA165" s="94" t="str">
        <f>VLOOKUP(B165,Classification!A:D,4,0)</f>
        <v>Endothelin</v>
      </c>
      <c r="BB165" s="27" t="b">
        <f>AND(E165&lt;G165,OR(G165&lt;I165,I165="-"),OR(I165&lt;K165,I165="-"),OR(K165&lt;M165,K165="-"),M165&lt;O165,OR(O165&lt;Q165,Q165="-"),OR(Q165&lt;S165,Q165="-"),OR(S165&lt;U165,S165="-"),U165&lt;W165,OR(W165&lt;Y165,Y165="-"),OR(Y165&lt;AA165,Y165="-"),OR(AA165&lt;AC165,AA165="-"),AC165&lt;AE165,OR(AE165&lt;AG165,AG165="-"),OR(AG165&lt;AI165,AG165="-"),OR(AI165&lt;AK165,AI165="-"),AK165&lt;AM165,AM165&lt;AO165,AO165&lt;AQ165,AQ165&lt;AS165,AS165&lt;AU165,OR(AU165&lt;AW165,AW165="-"),OR(AW165&lt;AY165,AW165="-"))</f>
        <v>1</v>
      </c>
      <c r="BC165" s="23">
        <f>_xlfn.AGGREGATE(9,6,CH165:CS165)-_xlfn.AGGREGATE(9,6,BV165:CG165)+12</f>
        <v>264</v>
      </c>
      <c r="BD165" s="2" t="s">
        <v>23</v>
      </c>
      <c r="BE165" s="3" t="s">
        <v>1381</v>
      </c>
      <c r="BF165" s="119">
        <v>3.6</v>
      </c>
      <c r="BG165" s="49" t="s">
        <v>1</v>
      </c>
      <c r="BH165" s="49" t="s">
        <v>1</v>
      </c>
      <c r="BI165" s="2"/>
      <c r="BJ165" s="70" t="s">
        <v>1293</v>
      </c>
      <c r="BK165" s="57" t="s">
        <v>1293</v>
      </c>
      <c r="BL165" s="57" t="s">
        <v>1293</v>
      </c>
      <c r="BM165" s="57" t="s">
        <v>1293</v>
      </c>
      <c r="BN165" s="57" t="s">
        <v>1293</v>
      </c>
      <c r="BO165" s="57" t="s">
        <v>1293</v>
      </c>
      <c r="BP165" s="57" t="s">
        <v>1293</v>
      </c>
      <c r="BQ165" s="57" t="s">
        <v>1293</v>
      </c>
      <c r="BR165" s="57" t="s">
        <v>1293</v>
      </c>
      <c r="BS165" s="57" t="s">
        <v>1293</v>
      </c>
      <c r="BT165" s="57" t="s">
        <v>1293</v>
      </c>
      <c r="BU165" s="57" t="s">
        <v>1293</v>
      </c>
      <c r="BV165" s="70">
        <f>E165</f>
        <v>92</v>
      </c>
      <c r="BW165" s="71">
        <f>I165</f>
        <v>130</v>
      </c>
      <c r="BX165" s="72">
        <f>M165</f>
        <v>135</v>
      </c>
      <c r="BY165" s="71">
        <f>Q165</f>
        <v>166</v>
      </c>
      <c r="BZ165" s="72">
        <f>U165</f>
        <v>171</v>
      </c>
      <c r="CA165" s="71" t="str">
        <f>Y165</f>
        <v>-</v>
      </c>
      <c r="CB165" s="72">
        <f>AC165</f>
        <v>216</v>
      </c>
      <c r="CC165" s="71">
        <f>AG165</f>
        <v>255</v>
      </c>
      <c r="CD165" s="72">
        <f>AK165</f>
        <v>263</v>
      </c>
      <c r="CE165" s="71">
        <f>AO165</f>
        <v>312</v>
      </c>
      <c r="CF165" s="72">
        <f>AS165</f>
        <v>356</v>
      </c>
      <c r="CG165" s="71">
        <f>AW165</f>
        <v>390</v>
      </c>
      <c r="CH165" s="70">
        <f>G165</f>
        <v>129</v>
      </c>
      <c r="CI165" s="71">
        <f>K165</f>
        <v>134</v>
      </c>
      <c r="CJ165" s="72">
        <f>O165</f>
        <v>164</v>
      </c>
      <c r="CK165" s="72">
        <f>S165</f>
        <v>169</v>
      </c>
      <c r="CL165" s="72">
        <f>W165</f>
        <v>202</v>
      </c>
      <c r="CM165" s="72" t="str">
        <f>AA165</f>
        <v>-</v>
      </c>
      <c r="CN165" s="72">
        <f>AE165</f>
        <v>240</v>
      </c>
      <c r="CO165" s="72">
        <f>AI165</f>
        <v>257</v>
      </c>
      <c r="CP165" s="72">
        <f>AM165</f>
        <v>303</v>
      </c>
      <c r="CQ165" s="72">
        <f>AQ165</f>
        <v>349</v>
      </c>
      <c r="CR165" s="72">
        <f>AU165</f>
        <v>389</v>
      </c>
      <c r="CS165" s="72">
        <f>AY165</f>
        <v>402</v>
      </c>
      <c r="CT165" s="23">
        <f>M165-K165</f>
        <v>1</v>
      </c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  <c r="OK165" s="1"/>
      <c r="OL165" s="1"/>
      <c r="OM165" s="1"/>
      <c r="ON165" s="1"/>
      <c r="OO165" s="1"/>
      <c r="OP165" s="1"/>
      <c r="OQ165" s="1"/>
      <c r="OR165" s="1"/>
      <c r="OS165" s="1"/>
      <c r="OT165" s="1"/>
      <c r="OU165" s="1"/>
      <c r="OV165" s="1"/>
      <c r="OW165" s="1"/>
      <c r="OX165" s="1"/>
      <c r="OY165" s="1"/>
      <c r="OZ165" s="1"/>
      <c r="PA165" s="1"/>
      <c r="PB165" s="1"/>
      <c r="PC165" s="1"/>
      <c r="PD165" s="1"/>
      <c r="PE165" s="1"/>
      <c r="PF165" s="1"/>
      <c r="PG165" s="1"/>
      <c r="PH165" s="1"/>
      <c r="PI165" s="1"/>
      <c r="PJ165" s="1"/>
      <c r="PK165" s="1"/>
      <c r="PL165" s="1"/>
      <c r="PM165" s="1"/>
      <c r="PN165" s="1"/>
      <c r="PO165" s="1"/>
      <c r="PP165" s="1"/>
      <c r="PQ165" s="1"/>
      <c r="PR165" s="1"/>
      <c r="PS165" s="1"/>
      <c r="PT165" s="1"/>
      <c r="PU165" s="1"/>
      <c r="PV165" s="1"/>
      <c r="PW165" s="1"/>
      <c r="PX165" s="1"/>
      <c r="PY165" s="1"/>
      <c r="PZ165" s="1"/>
      <c r="QA165" s="1"/>
      <c r="QB165" s="1"/>
      <c r="QC165" s="1"/>
      <c r="QD165" s="1"/>
      <c r="QE165" s="1"/>
      <c r="QF165" s="1"/>
      <c r="QG165" s="1"/>
      <c r="QH165" s="1"/>
      <c r="QI165" s="1"/>
      <c r="QJ165" s="1"/>
      <c r="QK165" s="1"/>
      <c r="QL165" s="1"/>
      <c r="QM165" s="1"/>
      <c r="QN165" s="1"/>
      <c r="QO165" s="1"/>
      <c r="QP165" s="1"/>
      <c r="QQ165" s="1"/>
      <c r="QR165" s="1"/>
      <c r="QS165" s="1"/>
      <c r="QT165" s="1"/>
      <c r="QU165" s="1"/>
      <c r="QV165" s="1"/>
      <c r="QW165" s="1"/>
      <c r="QX165" s="1"/>
      <c r="QY165" s="1"/>
      <c r="QZ165" s="1"/>
      <c r="RA165" s="1"/>
      <c r="RB165" s="1"/>
      <c r="RC165" s="1"/>
      <c r="RD165" s="1"/>
      <c r="RE165" s="1"/>
      <c r="RF165" s="1"/>
      <c r="RG165" s="1"/>
      <c r="RH165" s="1"/>
      <c r="RI165" s="1"/>
      <c r="RJ165" s="1"/>
      <c r="RK165" s="1"/>
      <c r="RL165" s="1"/>
      <c r="RM165" s="1"/>
      <c r="RN165" s="1"/>
      <c r="RO165" s="1"/>
      <c r="RP165" s="1"/>
      <c r="RQ165" s="1"/>
      <c r="RR165" s="1"/>
      <c r="RS165" s="1"/>
      <c r="RT165" s="1"/>
      <c r="RU165" s="1"/>
      <c r="RV165" s="1"/>
      <c r="RW165" s="1"/>
      <c r="RX165" s="1"/>
      <c r="RY165" s="1"/>
      <c r="RZ165" s="1"/>
      <c r="SA165" s="1"/>
      <c r="SB165" s="1"/>
      <c r="SC165" s="1"/>
      <c r="SD165" s="1"/>
      <c r="SE165" s="1"/>
      <c r="SF165" s="1"/>
      <c r="SG165" s="1"/>
      <c r="SH165" s="1"/>
      <c r="SI165" s="1"/>
      <c r="SJ165" s="1"/>
      <c r="SK165" s="1"/>
      <c r="SL165" s="1"/>
      <c r="SM165" s="1"/>
      <c r="SN165" s="1"/>
      <c r="SO165" s="1"/>
      <c r="SP165" s="1"/>
      <c r="SQ165" s="1"/>
      <c r="SR165" s="1"/>
      <c r="SS165" s="1"/>
      <c r="ST165" s="1"/>
      <c r="SU165" s="1"/>
      <c r="SV165" s="1"/>
      <c r="SW165" s="1"/>
      <c r="SX165" s="1"/>
      <c r="SY165" s="1"/>
      <c r="SZ165" s="1"/>
      <c r="TA165" s="1"/>
      <c r="TB165" s="1"/>
      <c r="TC165" s="1"/>
      <c r="TD165" s="1"/>
      <c r="TE165" s="1"/>
      <c r="TF165" s="1"/>
      <c r="TG165" s="1"/>
      <c r="TH165" s="1"/>
      <c r="TI165" s="1"/>
      <c r="TJ165" s="1"/>
      <c r="TK165" s="1"/>
      <c r="TL165" s="1"/>
      <c r="TM165" s="1"/>
      <c r="TN165" s="1"/>
      <c r="TO165" s="1"/>
      <c r="TP165" s="1"/>
      <c r="TQ165" s="1"/>
      <c r="TR165" s="1"/>
      <c r="TS165" s="1"/>
      <c r="TT165" s="1"/>
      <c r="TU165" s="1"/>
      <c r="TV165" s="1"/>
      <c r="TW165" s="1"/>
      <c r="TX165" s="1"/>
      <c r="TY165" s="1"/>
      <c r="TZ165" s="1"/>
      <c r="UA165" s="1"/>
      <c r="UB165" s="1"/>
      <c r="UC165" s="1"/>
      <c r="UD165" s="1"/>
      <c r="UE165" s="1"/>
      <c r="UF165" s="1"/>
      <c r="UG165" s="1"/>
      <c r="UH165" s="1"/>
      <c r="UI165" s="1"/>
      <c r="UJ165" s="1"/>
      <c r="UK165" s="1"/>
      <c r="UL165" s="1"/>
      <c r="UM165" s="1"/>
      <c r="UN165" s="1"/>
      <c r="UO165" s="1"/>
      <c r="UP165" s="1"/>
      <c r="UQ165" s="1"/>
      <c r="UR165" s="1"/>
      <c r="US165" s="1"/>
      <c r="UT165" s="1"/>
      <c r="UU165" s="1"/>
      <c r="UV165" s="1"/>
      <c r="UW165" s="1"/>
      <c r="UX165" s="1"/>
      <c r="UY165" s="1"/>
      <c r="UZ165" s="1"/>
      <c r="VA165" s="1"/>
      <c r="VB165" s="1"/>
      <c r="VC165" s="1"/>
      <c r="VD165" s="1"/>
      <c r="VE165" s="1"/>
      <c r="VF165" s="1"/>
      <c r="VG165" s="1"/>
      <c r="VH165" s="1"/>
      <c r="VI165" s="1"/>
      <c r="VJ165" s="1"/>
      <c r="VK165" s="1"/>
      <c r="VL165" s="1"/>
      <c r="VM165" s="1"/>
      <c r="VN165" s="1"/>
      <c r="VO165" s="1"/>
      <c r="VP165" s="1"/>
      <c r="VQ165" s="1"/>
      <c r="VR165" s="1"/>
      <c r="VS165" s="1"/>
      <c r="VT165" s="1"/>
      <c r="VU165" s="1"/>
      <c r="VV165" s="1"/>
      <c r="VW165" s="1"/>
      <c r="VX165" s="1"/>
      <c r="VY165" s="1"/>
      <c r="VZ165" s="1"/>
      <c r="WA165" s="1"/>
      <c r="WB165" s="1"/>
      <c r="WC165" s="1"/>
      <c r="WD165" s="1"/>
      <c r="WE165" s="1"/>
      <c r="WF165" s="1"/>
      <c r="WG165" s="1"/>
      <c r="WH165" s="1"/>
      <c r="WI165" s="1"/>
      <c r="WJ165" s="1"/>
      <c r="WK165" s="1"/>
      <c r="WL165" s="1"/>
      <c r="WM165" s="1"/>
      <c r="WN165" s="1"/>
      <c r="WO165" s="1"/>
      <c r="WP165" s="1"/>
      <c r="WQ165" s="1"/>
      <c r="WR165" s="1"/>
      <c r="WS165" s="1"/>
      <c r="WT165" s="1"/>
      <c r="WU165" s="1"/>
      <c r="WV165" s="1"/>
      <c r="WW165" s="1"/>
      <c r="WX165" s="1"/>
      <c r="WY165" s="1"/>
      <c r="WZ165" s="1"/>
      <c r="XA165" s="1"/>
      <c r="XB165" s="1"/>
      <c r="XC165" s="1"/>
      <c r="XD165" s="1"/>
      <c r="XE165" s="1"/>
      <c r="XF165" s="1"/>
      <c r="XG165" s="1"/>
      <c r="XH165" s="1"/>
      <c r="XI165" s="1"/>
      <c r="XJ165" s="1"/>
      <c r="XK165" s="1"/>
      <c r="XL165" s="1"/>
      <c r="XM165" s="1"/>
      <c r="XN165" s="1"/>
      <c r="XO165" s="1"/>
      <c r="XP165" s="1"/>
      <c r="XQ165" s="1"/>
      <c r="XR165" s="1"/>
      <c r="XS165" s="1"/>
      <c r="XT165" s="1"/>
      <c r="XU165" s="1"/>
      <c r="XV165" s="1"/>
      <c r="XW165" s="1"/>
      <c r="XX165" s="1"/>
      <c r="XY165" s="1"/>
      <c r="XZ165" s="1"/>
      <c r="YA165" s="1"/>
      <c r="YB165" s="1"/>
      <c r="YC165" s="1"/>
      <c r="YD165" s="1"/>
      <c r="YE165" s="1"/>
      <c r="YF165" s="1"/>
      <c r="YG165" s="1"/>
      <c r="YH165" s="1"/>
      <c r="YI165" s="1"/>
      <c r="YJ165" s="1"/>
      <c r="YK165" s="1"/>
      <c r="YL165" s="1"/>
      <c r="YM165" s="1"/>
      <c r="YN165" s="1"/>
      <c r="YO165" s="1"/>
      <c r="YP165" s="1"/>
      <c r="YQ165" s="1"/>
      <c r="YR165" s="1"/>
      <c r="YS165" s="1"/>
      <c r="YT165" s="1"/>
      <c r="YU165" s="1"/>
      <c r="YV165" s="1"/>
      <c r="YW165" s="1"/>
      <c r="YX165" s="1"/>
      <c r="YY165" s="1"/>
      <c r="YZ165" s="1"/>
      <c r="ZA165" s="1"/>
      <c r="ZB165" s="1"/>
      <c r="ZC165" s="1"/>
      <c r="ZD165" s="1"/>
      <c r="ZE165" s="1"/>
      <c r="ZF165" s="1"/>
      <c r="ZG165" s="1"/>
      <c r="ZH165" s="1"/>
      <c r="ZI165" s="1"/>
      <c r="ZJ165" s="1"/>
      <c r="ZK165" s="1"/>
      <c r="ZL165" s="1"/>
      <c r="ZM165" s="1"/>
      <c r="ZN165" s="1"/>
      <c r="ZO165" s="1"/>
      <c r="ZP165" s="1"/>
      <c r="ZQ165" s="1"/>
      <c r="ZR165" s="1"/>
      <c r="ZS165" s="1"/>
      <c r="ZT165" s="1"/>
      <c r="ZU165" s="1"/>
      <c r="ZV165" s="1"/>
      <c r="ZW165" s="1"/>
      <c r="ZX165" s="1"/>
      <c r="ZY165" s="1"/>
      <c r="ZZ165" s="1"/>
      <c r="AAA165" s="1"/>
      <c r="AAB165" s="1"/>
      <c r="AAC165" s="1"/>
      <c r="AAD165" s="1"/>
      <c r="AAE165" s="1"/>
      <c r="AAF165" s="1"/>
      <c r="AAG165" s="1"/>
      <c r="AAH165" s="1"/>
      <c r="AAI165" s="1"/>
      <c r="AAJ165" s="1"/>
      <c r="AAK165" s="1"/>
      <c r="AAL165" s="1"/>
      <c r="AAM165" s="1"/>
      <c r="AAN165" s="1"/>
      <c r="AAO165" s="1"/>
      <c r="AAP165" s="1"/>
      <c r="AAQ165" s="1"/>
      <c r="AAR165" s="1"/>
      <c r="AAS165" s="1"/>
      <c r="AAT165" s="1"/>
      <c r="AAU165" s="1"/>
      <c r="AAV165" s="1"/>
      <c r="AAW165" s="1"/>
      <c r="AAX165" s="1"/>
      <c r="AAY165" s="1"/>
      <c r="AAZ165" s="1"/>
      <c r="ABA165" s="1"/>
      <c r="ABB165" s="1"/>
      <c r="ABC165" s="1"/>
      <c r="ABD165" s="1"/>
      <c r="ABE165" s="1"/>
      <c r="ABF165" s="1"/>
      <c r="ABG165" s="1"/>
      <c r="ABH165" s="1"/>
      <c r="ABI165" s="1"/>
      <c r="ABJ165" s="1"/>
      <c r="ABK165" s="1"/>
      <c r="ABL165" s="1"/>
      <c r="ABM165" s="1"/>
      <c r="ABN165" s="1"/>
      <c r="ABO165" s="1"/>
      <c r="ABP165" s="1"/>
      <c r="ABQ165" s="1"/>
      <c r="ABR165" s="1"/>
      <c r="ABS165" s="1"/>
      <c r="ABT165" s="1"/>
      <c r="ABU165" s="1"/>
      <c r="ABV165" s="1"/>
      <c r="ABW165" s="1"/>
      <c r="ABX165" s="1"/>
      <c r="ABY165" s="1"/>
      <c r="ABZ165" s="1"/>
      <c r="ACA165" s="1"/>
      <c r="ACB165" s="1"/>
      <c r="ACC165" s="1"/>
      <c r="ACD165" s="1"/>
      <c r="ACE165" s="1"/>
      <c r="ACF165" s="1"/>
      <c r="ACG165" s="1"/>
      <c r="ACH165" s="1"/>
      <c r="ACI165" s="1"/>
      <c r="ACJ165" s="1"/>
      <c r="ACK165" s="1"/>
      <c r="ACL165" s="1"/>
      <c r="ACM165" s="1"/>
      <c r="ACN165" s="1"/>
      <c r="ACO165" s="1"/>
      <c r="ACP165" s="1"/>
      <c r="ACQ165" s="1"/>
      <c r="ACR165" s="1"/>
      <c r="ACS165" s="1"/>
      <c r="ACT165" s="1"/>
      <c r="ACU165" s="1"/>
      <c r="ACV165" s="1"/>
      <c r="ACW165" s="1"/>
      <c r="ACX165" s="1"/>
      <c r="ACY165" s="1"/>
      <c r="ACZ165" s="1"/>
      <c r="ADA165" s="1"/>
      <c r="ADB165" s="1"/>
      <c r="ADC165" s="1"/>
      <c r="ADD165" s="1"/>
      <c r="ADE165" s="1"/>
      <c r="ADF165" s="1"/>
      <c r="ADG165" s="1"/>
      <c r="ADH165" s="1"/>
      <c r="ADI165" s="1"/>
      <c r="ADJ165" s="1"/>
      <c r="ADK165" s="1"/>
      <c r="ADL165" s="1"/>
      <c r="ADM165" s="1"/>
      <c r="ADN165" s="1"/>
      <c r="ADO165" s="1"/>
      <c r="ADP165" s="1"/>
      <c r="ADQ165" s="1"/>
      <c r="ADR165" s="1"/>
      <c r="ADS165" s="1"/>
      <c r="ADT165" s="1"/>
      <c r="ADU165" s="1"/>
      <c r="ADV165" s="1"/>
      <c r="ADW165" s="1"/>
      <c r="ADX165" s="1"/>
      <c r="ADY165" s="1"/>
      <c r="ADZ165" s="1"/>
      <c r="AEA165" s="1"/>
      <c r="AEB165" s="1"/>
      <c r="AEC165" s="1"/>
      <c r="AED165" s="1"/>
      <c r="AEE165" s="1"/>
      <c r="AEF165" s="1"/>
      <c r="AEG165" s="1"/>
      <c r="AEH165" s="1"/>
      <c r="AEI165" s="1"/>
      <c r="AEJ165" s="1"/>
      <c r="AEK165" s="1"/>
      <c r="AEL165" s="1"/>
      <c r="AEM165" s="1"/>
      <c r="AEN165" s="1"/>
      <c r="AEO165" s="1"/>
      <c r="AEP165" s="1"/>
      <c r="AEQ165" s="1"/>
      <c r="AER165" s="1"/>
      <c r="AES165" s="1"/>
      <c r="AET165" s="1"/>
      <c r="AEU165" s="1"/>
      <c r="AEV165" s="1"/>
      <c r="AEW165" s="1"/>
      <c r="AEX165" s="1"/>
      <c r="AEY165" s="1"/>
      <c r="AEZ165" s="1"/>
      <c r="AFA165" s="1"/>
      <c r="AFB165" s="1"/>
      <c r="AFC165" s="1"/>
      <c r="AFD165" s="1"/>
      <c r="AFE165" s="1"/>
      <c r="AFF165" s="1"/>
      <c r="AFG165" s="1"/>
      <c r="AFH165" s="1"/>
      <c r="AFI165" s="1"/>
      <c r="AFJ165" s="1"/>
      <c r="AFK165" s="1"/>
      <c r="AFL165" s="1"/>
      <c r="AFM165" s="1"/>
      <c r="AFN165" s="1"/>
      <c r="AFO165" s="1"/>
      <c r="AFP165" s="1"/>
      <c r="AFQ165" s="1"/>
      <c r="AFR165" s="1"/>
      <c r="AFS165" s="1"/>
      <c r="AFT165" s="1"/>
      <c r="AFU165" s="1"/>
      <c r="AFV165" s="1"/>
      <c r="AFW165" s="1"/>
      <c r="AFX165" s="1"/>
      <c r="AFY165" s="1"/>
      <c r="AFZ165" s="1"/>
      <c r="AGA165" s="1"/>
      <c r="AGB165" s="1"/>
      <c r="AGC165" s="1"/>
      <c r="AGD165" s="1"/>
      <c r="AGE165" s="1"/>
      <c r="AGF165" s="1"/>
      <c r="AGG165" s="1"/>
      <c r="AGH165" s="1"/>
      <c r="AGI165" s="1"/>
      <c r="AGJ165" s="1"/>
      <c r="AGK165" s="1"/>
      <c r="AGL165" s="1"/>
      <c r="AGM165" s="1"/>
      <c r="AGN165" s="1"/>
      <c r="AGO165" s="1"/>
      <c r="AGP165" s="1"/>
      <c r="AGQ165" s="1"/>
      <c r="AGR165" s="1"/>
      <c r="AGS165" s="1"/>
      <c r="AGT165" s="1"/>
      <c r="AGU165" s="1"/>
      <c r="AGV165" s="1"/>
      <c r="AGW165" s="1"/>
      <c r="AGX165" s="1"/>
      <c r="AGY165" s="1"/>
      <c r="AGZ165" s="1"/>
      <c r="AHA165" s="1"/>
      <c r="AHB165" s="1"/>
      <c r="AHC165" s="1"/>
      <c r="AHD165" s="1"/>
      <c r="AHE165" s="1"/>
      <c r="AHF165" s="1"/>
      <c r="AHG165" s="1"/>
      <c r="AHH165" s="1"/>
      <c r="AHI165" s="1"/>
      <c r="AHJ165" s="1"/>
      <c r="AHK165" s="1"/>
      <c r="AHL165" s="1"/>
      <c r="AHM165" s="1"/>
      <c r="AHN165" s="1"/>
      <c r="AHO165" s="1"/>
      <c r="AHP165" s="1"/>
      <c r="AHQ165" s="1"/>
      <c r="AHR165" s="1"/>
      <c r="AHS165" s="1"/>
      <c r="AHT165" s="1"/>
      <c r="AHU165" s="1"/>
      <c r="AHV165" s="1"/>
      <c r="AHW165" s="1"/>
      <c r="AHX165" s="1"/>
      <c r="AHY165" s="1"/>
      <c r="AHZ165" s="1"/>
      <c r="AIA165" s="1"/>
      <c r="AIB165" s="1"/>
      <c r="AIC165" s="1"/>
      <c r="AID165" s="1"/>
      <c r="AIE165" s="1"/>
      <c r="AIF165" s="1"/>
      <c r="AIG165" s="1"/>
      <c r="AIH165" s="1"/>
      <c r="AII165" s="1"/>
      <c r="AIJ165" s="1"/>
      <c r="AIK165" s="1"/>
      <c r="AIL165" s="1"/>
      <c r="AIM165" s="1"/>
      <c r="AIN165" s="1"/>
      <c r="AIO165" s="1"/>
      <c r="AIP165" s="1"/>
      <c r="AIQ165" s="1"/>
      <c r="AIR165" s="1"/>
      <c r="AIS165" s="1"/>
      <c r="AIT165" s="1"/>
      <c r="AIU165" s="1"/>
      <c r="AIV165" s="1"/>
      <c r="AIW165" s="1"/>
      <c r="AIX165" s="1"/>
      <c r="AIY165" s="1"/>
      <c r="AIZ165" s="1"/>
      <c r="AJA165" s="1"/>
      <c r="AJB165" s="1"/>
      <c r="AJC165" s="1"/>
      <c r="AJD165" s="1"/>
      <c r="AJE165" s="1"/>
      <c r="AJF165" s="1"/>
      <c r="AJG165" s="1"/>
      <c r="AJH165" s="1"/>
      <c r="AJI165" s="1"/>
      <c r="AJJ165" s="1"/>
      <c r="AJK165" s="1"/>
      <c r="AJL165" s="1"/>
      <c r="AJM165" s="1"/>
      <c r="AJN165" s="1"/>
      <c r="AJO165" s="1"/>
      <c r="AJP165" s="1"/>
      <c r="AJQ165" s="1"/>
      <c r="AJR165" s="1"/>
      <c r="AJS165" s="1"/>
      <c r="AJT165" s="1"/>
      <c r="AJU165" s="1"/>
      <c r="AJV165" s="1"/>
      <c r="AJW165" s="1"/>
      <c r="AJX165" s="1"/>
      <c r="AJY165" s="1"/>
      <c r="AJZ165" s="1"/>
      <c r="AKA165" s="1"/>
      <c r="AKB165" s="1"/>
      <c r="AKC165" s="1"/>
      <c r="AKD165" s="1"/>
      <c r="AKE165" s="1"/>
      <c r="AKF165" s="1"/>
      <c r="AKG165" s="1"/>
      <c r="AKH165" s="1"/>
      <c r="AKI165" s="1"/>
      <c r="AKJ165" s="1"/>
      <c r="AKK165" s="1"/>
      <c r="AKL165" s="1"/>
      <c r="AKM165" s="1"/>
      <c r="AKN165" s="1"/>
      <c r="AKO165" s="1"/>
      <c r="AKP165" s="1"/>
      <c r="AKQ165" s="1"/>
      <c r="AKR165" s="1"/>
      <c r="AKS165" s="1"/>
      <c r="AKT165" s="1"/>
      <c r="AKU165" s="1"/>
      <c r="AKV165" s="1"/>
      <c r="AKW165" s="1"/>
      <c r="AKX165" s="1"/>
      <c r="AKY165" s="1"/>
      <c r="AKZ165" s="1"/>
      <c r="ALA165" s="1"/>
      <c r="ALB165" s="1"/>
      <c r="ALC165" s="1"/>
      <c r="ALD165" s="1"/>
      <c r="ALE165" s="1"/>
      <c r="ALF165" s="1"/>
      <c r="ALG165" s="1"/>
      <c r="ALH165" s="1"/>
      <c r="ALI165" s="1"/>
      <c r="ALJ165" s="1"/>
      <c r="ALK165" s="1"/>
      <c r="ALL165" s="1"/>
      <c r="ALM165" s="1"/>
      <c r="ALN165" s="1"/>
      <c r="ALO165" s="1"/>
      <c r="ALP165" s="1"/>
      <c r="ALQ165" s="1"/>
      <c r="ALR165" s="1"/>
      <c r="ALS165" s="1"/>
      <c r="ALT165" s="1"/>
      <c r="ALU165" s="1"/>
      <c r="ALV165" s="1"/>
      <c r="ALW165" s="1"/>
      <c r="ALX165" s="1"/>
      <c r="ALY165" s="1"/>
      <c r="ALZ165" s="1"/>
      <c r="AMA165" s="1"/>
      <c r="AMB165" s="1"/>
      <c r="AMC165" s="1"/>
      <c r="AMD165" s="1"/>
      <c r="AME165" s="1"/>
      <c r="AMF165" s="1"/>
      <c r="AMG165" s="1"/>
      <c r="AMH165" s="1"/>
      <c r="AMI165" s="1"/>
      <c r="AMJ165" s="1"/>
      <c r="AMK165" s="1"/>
      <c r="AML165" s="1"/>
      <c r="AMM165" s="1"/>
      <c r="AMN165" s="1"/>
      <c r="AMO165" s="1"/>
    </row>
    <row r="166" spans="1:1029" s="12" customFormat="1" x14ac:dyDescent="0.2">
      <c r="A166" s="9" t="str">
        <f>CONCATENATE(B166,"_",C166)</f>
        <v>ednrb_human_6IGL</v>
      </c>
      <c r="B166" s="40" t="s">
        <v>196</v>
      </c>
      <c r="C166" s="40" t="s">
        <v>1550</v>
      </c>
      <c r="D166" s="9" t="str">
        <f>IFERROR(MID(VLOOKUP($B166,Seqs!$A:$B,2,0),E166,1),"")</f>
        <v>K</v>
      </c>
      <c r="E166" s="40">
        <v>97</v>
      </c>
      <c r="F166" s="9" t="str">
        <f>IFERROR(MID(VLOOKUP($B166,Seqs!$A:$B,2,0),G166,1),"")</f>
        <v>N</v>
      </c>
      <c r="G166" s="40">
        <v>129</v>
      </c>
      <c r="H166" s="9" t="str">
        <f>IFERROR(MID(VLOOKUP($B166,Seqs!$A:$B,2,0),I166,1),"")</f>
        <v/>
      </c>
      <c r="I166" s="133" t="s">
        <v>23</v>
      </c>
      <c r="J166" s="9" t="str">
        <f>IFERROR(MID(VLOOKUP($B166,Seqs!$A:$B,2,0),K166,1),"")</f>
        <v/>
      </c>
      <c r="K166" s="133" t="s">
        <v>23</v>
      </c>
      <c r="L166" s="9" t="str">
        <f>IFERROR(MID(VLOOKUP($B166,Seqs!$A:$B,2,0),M166,1),"")</f>
        <v>N</v>
      </c>
      <c r="M166" s="40">
        <v>134</v>
      </c>
      <c r="N166" s="9" t="str">
        <f>IFERROR(MID(VLOOKUP($B166,Seqs!$A:$B,2,0),O166,1),"")</f>
        <v>E</v>
      </c>
      <c r="O166" s="40">
        <v>165</v>
      </c>
      <c r="P166" s="9" t="str">
        <f>IFERROR(MID(VLOOKUP($B166,Seqs!$A:$B,2,0),Q166,1),"")</f>
        <v>D</v>
      </c>
      <c r="Q166" s="40">
        <v>166</v>
      </c>
      <c r="R166" s="9" t="str">
        <f>IFERROR(MID(VLOOKUP($B166,Seqs!$A:$B,2,0),S166,1),"")</f>
        <v>F</v>
      </c>
      <c r="S166" s="40">
        <v>169</v>
      </c>
      <c r="T166" s="9" t="str">
        <f>IFERROR(MID(VLOOKUP($B166,Seqs!$A:$B,2,0),U166,1),"")</f>
        <v>G</v>
      </c>
      <c r="U166" s="11">
        <v>170</v>
      </c>
      <c r="V166" s="9" t="str">
        <f>IFERROR(MID(VLOOKUP($B166,Seqs!$A:$B,2,0),W166,1),"")</f>
        <v>V</v>
      </c>
      <c r="W166" s="40">
        <v>203</v>
      </c>
      <c r="X166" s="9" t="str">
        <f>IFERROR(MID(VLOOKUP($B166,Seqs!$A:$B,2,0),Y166,1),"")</f>
        <v/>
      </c>
      <c r="Y166" s="40" t="s">
        <v>23</v>
      </c>
      <c r="Z166" s="9" t="str">
        <f>IFERROR(MID(VLOOKUP($B166,Seqs!$A:$B,2,0),AA166,1),"")</f>
        <v/>
      </c>
      <c r="AA166" s="40" t="s">
        <v>23</v>
      </c>
      <c r="AB166" s="9" t="str">
        <f>IFERROR(MID(VLOOKUP($B166,Seqs!$A:$B,2,0),AC166,1),"")</f>
        <v>W</v>
      </c>
      <c r="AC166" s="40">
        <v>217</v>
      </c>
      <c r="AD166" s="9" t="str">
        <f>IFERROR(MID(VLOOKUP($B166,Seqs!$A:$B,2,0),AE166,1),"")</f>
        <v>F</v>
      </c>
      <c r="AE166" s="40">
        <v>240</v>
      </c>
      <c r="AF166" s="9" t="str">
        <f>IFERROR(MID(VLOOKUP($B166,Seqs!$A:$B,2,0),AG166,1),"")</f>
        <v>C</v>
      </c>
      <c r="AG166" s="40">
        <v>255</v>
      </c>
      <c r="AH166" s="9" t="str">
        <f>IFERROR(MID(VLOOKUP($B166,Seqs!$A:$B,2,0),AI166,1),"")</f>
        <v>L</v>
      </c>
      <c r="AI166" s="40">
        <v>257</v>
      </c>
      <c r="AJ166" s="9" t="str">
        <f>IFERROR(MID(VLOOKUP($B166,Seqs!$A:$B,2,0),AK166,1),"")</f>
        <v>T</v>
      </c>
      <c r="AK166" s="40">
        <v>263</v>
      </c>
      <c r="AL166" s="9" t="str">
        <f>IFERROR(MID(VLOOKUP($B166,Seqs!$A:$B,2,0),AM166,1),"")</f>
        <v>K</v>
      </c>
      <c r="AM166" s="40">
        <v>303</v>
      </c>
      <c r="AN166" s="9" t="str">
        <f>IFERROR(MID(VLOOKUP($B166,Seqs!$A:$B,2,0),AO166,1),"")</f>
        <v>N</v>
      </c>
      <c r="AO166" s="40">
        <v>312</v>
      </c>
      <c r="AP166" s="9" t="str">
        <f>IFERROR(MID(VLOOKUP($B166,Seqs!$A:$B,2,0),AQ166,1),"")</f>
        <v>Y</v>
      </c>
      <c r="AQ166" s="40">
        <v>350</v>
      </c>
      <c r="AR166" s="9" t="str">
        <f>IFERROR(MID(VLOOKUP($B166,Seqs!$A:$B,2,0),AS166,1),"")</f>
        <v>R</v>
      </c>
      <c r="AS166" s="40">
        <v>357</v>
      </c>
      <c r="AT166" s="9" t="str">
        <f>IFERROR(MID(VLOOKUP($B166,Seqs!$A:$B,2,0),AU166,1),"")</f>
        <v>V</v>
      </c>
      <c r="AU166" s="40">
        <v>389</v>
      </c>
      <c r="AV166" s="9" t="str">
        <f>IFERROR(MID(VLOOKUP($B166,Seqs!$A:$B,2,0),AW166,1),"")</f>
        <v>S</v>
      </c>
      <c r="AW166" s="40">
        <v>390</v>
      </c>
      <c r="AX166" s="9" t="str">
        <f>IFERROR(MID(VLOOKUP($B166,Seqs!$A:$B,2,0),AY166,1),"")</f>
        <v>L</v>
      </c>
      <c r="AY166" s="40">
        <v>401</v>
      </c>
      <c r="AZ166" s="110" t="str">
        <f>VLOOKUP(B166,Classification!A:D,2,0)</f>
        <v>A</v>
      </c>
      <c r="BA166" s="98" t="str">
        <f>VLOOKUP(B166,Classification!A:D,4,0)</f>
        <v>Endothelin</v>
      </c>
      <c r="BB166" s="36" t="b">
        <f>AND(E166&lt;G166,OR(G166&lt;I166,I166="-"),OR(I166&lt;K166,I166="-"),OR(K166&lt;M166,K166="-"),M166&lt;O166,OR(O166&lt;Q166,Q166="-"),OR(Q166&lt;S166,Q166="-"),OR(S166&lt;U166,S166="-"),U166&lt;W166,OR(W166&lt;Y166,Y166="-"),OR(Y166&lt;AA166,Y166="-"),OR(AA166&lt;AC166,AA166="-"),AC166&lt;AE166,OR(AE166&lt;AG166,AG166="-"),OR(AG166&lt;AI166,AG166="-"),OR(AI166&lt;AK166,AI166="-"),AK166&lt;AM166,AM166&lt;AO166,AO166&lt;AQ166,AQ166&lt;AS166,AS166&lt;AU166,OR(AU166&lt;AW166,AW166="-"),OR(AW166&lt;AY166,AW166="-"))</f>
        <v>1</v>
      </c>
      <c r="BC166" s="109">
        <f>_xlfn.AGGREGATE(9,6,CH166:CS166)-_xlfn.AGGREGATE(9,6,BV166:CG166)+12</f>
        <v>257</v>
      </c>
      <c r="BD166" s="40" t="s">
        <v>23</v>
      </c>
      <c r="BE166" s="9" t="s">
        <v>1381</v>
      </c>
      <c r="BF166" s="120">
        <v>2.7</v>
      </c>
      <c r="BG166" s="51" t="s">
        <v>1</v>
      </c>
      <c r="BH166" s="51" t="s">
        <v>1</v>
      </c>
      <c r="BI166" s="40"/>
      <c r="BJ166" s="111" t="s">
        <v>1293</v>
      </c>
      <c r="BK166" s="112" t="s">
        <v>1293</v>
      </c>
      <c r="BL166" s="112" t="s">
        <v>1293</v>
      </c>
      <c r="BM166" s="112" t="s">
        <v>1293</v>
      </c>
      <c r="BN166" s="112" t="s">
        <v>1293</v>
      </c>
      <c r="BO166" s="112" t="s">
        <v>1293</v>
      </c>
      <c r="BP166" s="112" t="s">
        <v>1293</v>
      </c>
      <c r="BQ166" s="112" t="s">
        <v>1293</v>
      </c>
      <c r="BR166" s="112" t="s">
        <v>1293</v>
      </c>
      <c r="BS166" s="112" t="s">
        <v>1293</v>
      </c>
      <c r="BT166" s="112" t="s">
        <v>1293</v>
      </c>
      <c r="BU166" s="112" t="s">
        <v>1293</v>
      </c>
      <c r="BV166" s="111">
        <f>E166</f>
        <v>97</v>
      </c>
      <c r="BW166" s="113" t="str">
        <f>I166</f>
        <v>-</v>
      </c>
      <c r="BX166" s="114">
        <f>M166</f>
        <v>134</v>
      </c>
      <c r="BY166" s="113">
        <f>Q166</f>
        <v>166</v>
      </c>
      <c r="BZ166" s="114">
        <f>U166</f>
        <v>170</v>
      </c>
      <c r="CA166" s="113" t="str">
        <f>Y166</f>
        <v>-</v>
      </c>
      <c r="CB166" s="114">
        <f>AC166</f>
        <v>217</v>
      </c>
      <c r="CC166" s="113">
        <f>AG166</f>
        <v>255</v>
      </c>
      <c r="CD166" s="114">
        <f>AK166</f>
        <v>263</v>
      </c>
      <c r="CE166" s="113">
        <f>AO166</f>
        <v>312</v>
      </c>
      <c r="CF166" s="114">
        <f>AS166</f>
        <v>357</v>
      </c>
      <c r="CG166" s="113">
        <f>AW166</f>
        <v>390</v>
      </c>
      <c r="CH166" s="111">
        <f>G166</f>
        <v>129</v>
      </c>
      <c r="CI166" s="113" t="str">
        <f>K166</f>
        <v>-</v>
      </c>
      <c r="CJ166" s="114">
        <f>O166</f>
        <v>165</v>
      </c>
      <c r="CK166" s="114">
        <f>S166</f>
        <v>169</v>
      </c>
      <c r="CL166" s="114">
        <f>W166</f>
        <v>203</v>
      </c>
      <c r="CM166" s="114" t="str">
        <f>AA166</f>
        <v>-</v>
      </c>
      <c r="CN166" s="114">
        <f>AE166</f>
        <v>240</v>
      </c>
      <c r="CO166" s="114">
        <f>AI166</f>
        <v>257</v>
      </c>
      <c r="CP166" s="114">
        <f>AM166</f>
        <v>303</v>
      </c>
      <c r="CQ166" s="114">
        <f>AQ166</f>
        <v>350</v>
      </c>
      <c r="CR166" s="114">
        <f>AU166</f>
        <v>389</v>
      </c>
      <c r="CS166" s="114">
        <f>AY166</f>
        <v>401</v>
      </c>
      <c r="CT166" s="109" t="e">
        <f>M166-K166</f>
        <v>#VALUE!</v>
      </c>
    </row>
    <row r="167" spans="1:1029" s="12" customFormat="1" x14ac:dyDescent="0.2">
      <c r="A167" s="9" t="str">
        <f>CONCATENATE(B167,"_",C167)</f>
        <v>ednrb_human_6IGK</v>
      </c>
      <c r="B167" s="40" t="s">
        <v>196</v>
      </c>
      <c r="C167" s="40" t="s">
        <v>1551</v>
      </c>
      <c r="D167" s="9" t="str">
        <f>IFERROR(MID(VLOOKUP($B167,Seqs!$A:$B,2,0),E167,1),"")</f>
        <v>K</v>
      </c>
      <c r="E167" s="40">
        <v>97</v>
      </c>
      <c r="F167" s="9" t="str">
        <f>IFERROR(MID(VLOOKUP($B167,Seqs!$A:$B,2,0),G167,1),"")</f>
        <v>N</v>
      </c>
      <c r="G167" s="40">
        <v>129</v>
      </c>
      <c r="H167" s="9" t="str">
        <f>IFERROR(MID(VLOOKUP($B167,Seqs!$A:$B,2,0),I167,1),"")</f>
        <v/>
      </c>
      <c r="I167" s="133" t="s">
        <v>23</v>
      </c>
      <c r="J167" s="9" t="str">
        <f>IFERROR(MID(VLOOKUP($B167,Seqs!$A:$B,2,0),K167,1),"")</f>
        <v/>
      </c>
      <c r="K167" s="133" t="s">
        <v>23</v>
      </c>
      <c r="L167" s="9" t="str">
        <f>IFERROR(MID(VLOOKUP($B167,Seqs!$A:$B,2,0),M167,1),"")</f>
        <v>N</v>
      </c>
      <c r="M167" s="40">
        <v>134</v>
      </c>
      <c r="N167" s="9" t="str">
        <f>IFERROR(MID(VLOOKUP($B167,Seqs!$A:$B,2,0),O167,1),"")</f>
        <v>E</v>
      </c>
      <c r="O167" s="40">
        <v>165</v>
      </c>
      <c r="P167" s="9" t="str">
        <f>IFERROR(MID(VLOOKUP($B167,Seqs!$A:$B,2,0),Q167,1),"")</f>
        <v>D</v>
      </c>
      <c r="Q167" s="40">
        <v>166</v>
      </c>
      <c r="R167" s="9" t="str">
        <f>IFERROR(MID(VLOOKUP($B167,Seqs!$A:$B,2,0),S167,1),"")</f>
        <v>F</v>
      </c>
      <c r="S167" s="40">
        <v>169</v>
      </c>
      <c r="T167" s="9" t="str">
        <f>IFERROR(MID(VLOOKUP($B167,Seqs!$A:$B,2,0),U167,1),"")</f>
        <v>G</v>
      </c>
      <c r="U167" s="11">
        <v>170</v>
      </c>
      <c r="V167" s="9" t="str">
        <f>IFERROR(MID(VLOOKUP($B167,Seqs!$A:$B,2,0),W167,1),"")</f>
        <v>S</v>
      </c>
      <c r="W167" s="40">
        <v>205</v>
      </c>
      <c r="X167" s="9" t="str">
        <f>IFERROR(MID(VLOOKUP($B167,Seqs!$A:$B,2,0),Y167,1),"")</f>
        <v/>
      </c>
      <c r="Y167" s="40" t="s">
        <v>23</v>
      </c>
      <c r="Z167" s="9" t="str">
        <f>IFERROR(MID(VLOOKUP($B167,Seqs!$A:$B,2,0),AA167,1),"")</f>
        <v/>
      </c>
      <c r="AA167" s="40" t="s">
        <v>23</v>
      </c>
      <c r="AB167" s="9" t="str">
        <f>IFERROR(MID(VLOOKUP($B167,Seqs!$A:$B,2,0),AC167,1),"")</f>
        <v>P</v>
      </c>
      <c r="AC167" s="40">
        <v>215</v>
      </c>
      <c r="AD167" s="9" t="str">
        <f>IFERROR(MID(VLOOKUP($B167,Seqs!$A:$B,2,0),AE167,1),"")</f>
        <v>F</v>
      </c>
      <c r="AE167" s="40">
        <v>240</v>
      </c>
      <c r="AF167" s="9" t="str">
        <f>IFERROR(MID(VLOOKUP($B167,Seqs!$A:$B,2,0),AG167,1),"")</f>
        <v>C</v>
      </c>
      <c r="AG167" s="40">
        <v>255</v>
      </c>
      <c r="AH167" s="9" t="str">
        <f>IFERROR(MID(VLOOKUP($B167,Seqs!$A:$B,2,0),AI167,1),"")</f>
        <v>L</v>
      </c>
      <c r="AI167" s="40">
        <v>257</v>
      </c>
      <c r="AJ167" s="9" t="str">
        <f>IFERROR(MID(VLOOKUP($B167,Seqs!$A:$B,2,0),AK167,1),"")</f>
        <v>T</v>
      </c>
      <c r="AK167" s="40">
        <v>263</v>
      </c>
      <c r="AL167" s="9" t="str">
        <f>IFERROR(MID(VLOOKUP($B167,Seqs!$A:$B,2,0),AM167,1),"")</f>
        <v>K</v>
      </c>
      <c r="AM167" s="40">
        <v>303</v>
      </c>
      <c r="AN167" s="9" t="str">
        <f>IFERROR(MID(VLOOKUP($B167,Seqs!$A:$B,2,0),AO167,1),"")</f>
        <v>N</v>
      </c>
      <c r="AO167" s="40">
        <v>312</v>
      </c>
      <c r="AP167" s="9" t="str">
        <f>IFERROR(MID(VLOOKUP($B167,Seqs!$A:$B,2,0),AQ167,1),"")</f>
        <v>Y</v>
      </c>
      <c r="AQ167" s="40">
        <v>350</v>
      </c>
      <c r="AR167" s="9" t="str">
        <f>IFERROR(MID(VLOOKUP($B167,Seqs!$A:$B,2,0),AS167,1),"")</f>
        <v>N</v>
      </c>
      <c r="AS167" s="40">
        <v>356</v>
      </c>
      <c r="AT167" s="9" t="str">
        <f>IFERROR(MID(VLOOKUP($B167,Seqs!$A:$B,2,0),AU167,1),"")</f>
        <v>V</v>
      </c>
      <c r="AU167" s="40">
        <v>389</v>
      </c>
      <c r="AV167" s="9" t="str">
        <f>IFERROR(MID(VLOOKUP($B167,Seqs!$A:$B,2,0),AW167,1),"")</f>
        <v>S</v>
      </c>
      <c r="AW167" s="40">
        <v>390</v>
      </c>
      <c r="AX167" s="9" t="str">
        <f>IFERROR(MID(VLOOKUP($B167,Seqs!$A:$B,2,0),AY167,1),"")</f>
        <v>C</v>
      </c>
      <c r="AY167" s="40">
        <v>402</v>
      </c>
      <c r="AZ167" s="110" t="str">
        <f>VLOOKUP(B167,Classification!A:D,2,0)</f>
        <v>A</v>
      </c>
      <c r="BA167" s="98" t="str">
        <f>VLOOKUP(B167,Classification!A:D,4,0)</f>
        <v>Endothelin</v>
      </c>
      <c r="BB167" s="36" t="b">
        <f>AND(E167&lt;G167,OR(G167&lt;I167,I167="-"),OR(I167&lt;K167,I167="-"),OR(K167&lt;M167,K167="-"),M167&lt;O167,OR(O167&lt;Q167,Q167="-"),OR(Q167&lt;S167,Q167="-"),OR(S167&lt;U167,S167="-"),U167&lt;W167,OR(W167&lt;Y167,Y167="-"),OR(Y167&lt;AA167,Y167="-"),OR(AA167&lt;AC167,AA167="-"),AC167&lt;AE167,OR(AE167&lt;AG167,AG167="-"),OR(AG167&lt;AI167,AG167="-"),OR(AI167&lt;AK167,AI167="-"),AK167&lt;AM167,AM167&lt;AO167,AO167&lt;AQ167,AQ167&lt;AS167,AS167&lt;AU167,OR(AU167&lt;AW167,AW167="-"),OR(AW167&lt;AY167,AW167="-"))</f>
        <v>1</v>
      </c>
      <c r="BC167" s="109">
        <f>_xlfn.AGGREGATE(9,6,CH167:CS167)-_xlfn.AGGREGATE(9,6,BV167:CG167)+12</f>
        <v>263</v>
      </c>
      <c r="BD167" s="40" t="s">
        <v>23</v>
      </c>
      <c r="BE167" s="9" t="s">
        <v>1381</v>
      </c>
      <c r="BF167" s="120">
        <v>2</v>
      </c>
      <c r="BG167" s="51" t="s">
        <v>1</v>
      </c>
      <c r="BH167" s="51" t="s">
        <v>1</v>
      </c>
      <c r="BI167" s="40"/>
      <c r="BJ167" s="111" t="s">
        <v>1293</v>
      </c>
      <c r="BK167" s="112" t="s">
        <v>1293</v>
      </c>
      <c r="BL167" s="112" t="s">
        <v>1293</v>
      </c>
      <c r="BM167" s="112" t="s">
        <v>1293</v>
      </c>
      <c r="BN167" s="112" t="s">
        <v>1293</v>
      </c>
      <c r="BO167" s="112" t="s">
        <v>1293</v>
      </c>
      <c r="BP167" s="112" t="s">
        <v>1293</v>
      </c>
      <c r="BQ167" s="112" t="s">
        <v>1293</v>
      </c>
      <c r="BR167" s="112" t="s">
        <v>1293</v>
      </c>
      <c r="BS167" s="112" t="s">
        <v>1293</v>
      </c>
      <c r="BT167" s="112" t="s">
        <v>1293</v>
      </c>
      <c r="BU167" s="112" t="s">
        <v>1293</v>
      </c>
      <c r="BV167" s="111">
        <f>E167</f>
        <v>97</v>
      </c>
      <c r="BW167" s="113" t="str">
        <f>I167</f>
        <v>-</v>
      </c>
      <c r="BX167" s="114">
        <f>M167</f>
        <v>134</v>
      </c>
      <c r="BY167" s="113">
        <f>Q167</f>
        <v>166</v>
      </c>
      <c r="BZ167" s="114">
        <f>U167</f>
        <v>170</v>
      </c>
      <c r="CA167" s="113" t="str">
        <f>Y167</f>
        <v>-</v>
      </c>
      <c r="CB167" s="114">
        <f>AC167</f>
        <v>215</v>
      </c>
      <c r="CC167" s="113">
        <f>AG167</f>
        <v>255</v>
      </c>
      <c r="CD167" s="114">
        <f>AK167</f>
        <v>263</v>
      </c>
      <c r="CE167" s="113">
        <f>AO167</f>
        <v>312</v>
      </c>
      <c r="CF167" s="114">
        <f>AS167</f>
        <v>356</v>
      </c>
      <c r="CG167" s="113">
        <f>AW167</f>
        <v>390</v>
      </c>
      <c r="CH167" s="111">
        <f>G167</f>
        <v>129</v>
      </c>
      <c r="CI167" s="113" t="str">
        <f>K167</f>
        <v>-</v>
      </c>
      <c r="CJ167" s="114">
        <f>O167</f>
        <v>165</v>
      </c>
      <c r="CK167" s="114">
        <f>S167</f>
        <v>169</v>
      </c>
      <c r="CL167" s="114">
        <f>W167</f>
        <v>205</v>
      </c>
      <c r="CM167" s="114" t="str">
        <f>AA167</f>
        <v>-</v>
      </c>
      <c r="CN167" s="114">
        <f>AE167</f>
        <v>240</v>
      </c>
      <c r="CO167" s="114">
        <f>AI167</f>
        <v>257</v>
      </c>
      <c r="CP167" s="114">
        <f>AM167</f>
        <v>303</v>
      </c>
      <c r="CQ167" s="114">
        <f>AQ167</f>
        <v>350</v>
      </c>
      <c r="CR167" s="114">
        <f>AU167</f>
        <v>389</v>
      </c>
      <c r="CS167" s="114">
        <f>AY167</f>
        <v>402</v>
      </c>
      <c r="CT167" s="109" t="e">
        <f>M167-K167</f>
        <v>#VALUE!</v>
      </c>
    </row>
    <row r="168" spans="1:1029" x14ac:dyDescent="0.2">
      <c r="A168" s="3" t="str">
        <f t="shared" si="559"/>
        <v>ffar1_human__wt</v>
      </c>
      <c r="B168" s="3" t="s">
        <v>1173</v>
      </c>
      <c r="C168" s="3" t="s">
        <v>100</v>
      </c>
      <c r="D168" s="3" t="str">
        <f>IFERROR(MID(VLOOKUP($B168,Seqs!$A:$B,2,0),E168,1),"")</f>
        <v>P</v>
      </c>
      <c r="E168" s="3">
        <v>4</v>
      </c>
      <c r="F168" s="3" t="str">
        <f>IFERROR(MID(VLOOKUP($B168,Seqs!$A:$B,2,0),G168,1),"")</f>
        <v>R</v>
      </c>
      <c r="G168" s="3">
        <v>37</v>
      </c>
      <c r="H168" s="3" t="str">
        <f>IFERROR(MID(VLOOKUP($B168,Seqs!$A:$B,2,0),I168,1),"")</f>
        <v/>
      </c>
      <c r="I168" s="23" t="s">
        <v>23</v>
      </c>
      <c r="J168" s="3" t="str">
        <f>IFERROR(MID(VLOOKUP($B168,Seqs!$A:$B,2,0),K168,1),"")</f>
        <v/>
      </c>
      <c r="K168" s="23" t="s">
        <v>23</v>
      </c>
      <c r="L168" s="3" t="str">
        <f>IFERROR(MID(VLOOKUP($B168,Seqs!$A:$B,2,0),M168,1),"")</f>
        <v>T</v>
      </c>
      <c r="M168" s="3">
        <v>39</v>
      </c>
      <c r="N168" s="3" t="str">
        <f>IFERROR(MID(VLOOKUP($B168,Seqs!$A:$B,2,0),O168,1),"")</f>
        <v>S</v>
      </c>
      <c r="O168" s="3">
        <v>69</v>
      </c>
      <c r="P168" s="3" t="str">
        <f>IFERROR(MID(VLOOKUP($B168,Seqs!$A:$B,2,0),Q168,1),"")</f>
        <v>A</v>
      </c>
      <c r="Q168" s="3">
        <v>71</v>
      </c>
      <c r="R168" s="3" t="str">
        <f>IFERROR(MID(VLOOKUP($B168,Seqs!$A:$B,2,0),S168,1),"")</f>
        <v>L</v>
      </c>
      <c r="S168" s="3">
        <v>74</v>
      </c>
      <c r="T168" s="3" t="str">
        <f>IFERROR(MID(VLOOKUP($B168,Seqs!$A:$B,2,0),U168,1),"")</f>
        <v>P</v>
      </c>
      <c r="U168" s="3">
        <v>75</v>
      </c>
      <c r="V168" s="3" t="str">
        <f>IFERROR(MID(VLOOKUP($B168,Seqs!$A:$B,2,0),W168,1),"")</f>
        <v>F</v>
      </c>
      <c r="W168" s="3">
        <v>110</v>
      </c>
      <c r="X168" s="3" t="str">
        <f>IFERROR(MID(VLOOKUP($B168,Seqs!$A:$B,2,0),Y168,1),"")</f>
        <v>P</v>
      </c>
      <c r="Y168" s="3">
        <v>111</v>
      </c>
      <c r="Z168" s="3" t="str">
        <f>IFERROR(MID(VLOOKUP($B168,Seqs!$A:$B,2,0),AA168,1),"")</f>
        <v>R</v>
      </c>
      <c r="AA168" s="3">
        <v>118</v>
      </c>
      <c r="AB168" s="3" t="str">
        <f>IFERROR(MID(VLOOKUP($B168,Seqs!$A:$B,2,0),AC168,1),"")</f>
        <v>R</v>
      </c>
      <c r="AC168" s="9">
        <v>119</v>
      </c>
      <c r="AD168" s="3" t="str">
        <f>IFERROR(MID(VLOOKUP($B168,Seqs!$A:$B,2,0),AE168,1),"")</f>
        <v>A</v>
      </c>
      <c r="AE168" s="3">
        <v>146</v>
      </c>
      <c r="AF168" s="3" t="str">
        <f>IFERROR(MID(VLOOKUP($B168,Seqs!$A:$B,2,0),AG168,1),"")</f>
        <v>C</v>
      </c>
      <c r="AG168" s="3">
        <v>170</v>
      </c>
      <c r="AH168" s="3" t="str">
        <f>IFERROR(MID(VLOOKUP($B168,Seqs!$A:$B,2,0),AI168,1),"")</f>
        <v>E</v>
      </c>
      <c r="AI168" s="3">
        <v>172</v>
      </c>
      <c r="AJ168" s="3" t="str">
        <f>IFERROR(MID(VLOOKUP($B168,Seqs!$A:$B,2,0),AK168,1),"")</f>
        <v>D</v>
      </c>
      <c r="AK168" s="3">
        <v>175</v>
      </c>
      <c r="AL168" s="3" t="str">
        <f>IFERROR(MID(VLOOKUP($B168,Seqs!$A:$B,2,0),AM168,1),"")</f>
        <v>R</v>
      </c>
      <c r="AM168" s="3">
        <v>211</v>
      </c>
      <c r="AN168" s="3" t="str">
        <f>IFERROR(MID(VLOOKUP($B168,Seqs!$A:$B,2,0),AO168,1),"")</f>
        <v>R</v>
      </c>
      <c r="AO168" s="3">
        <v>217</v>
      </c>
      <c r="AP168" s="3" t="str">
        <f>IFERROR(MID(VLOOKUP($B168,Seqs!$A:$B,2,0),AQ168,1),"")</f>
        <v>Y</v>
      </c>
      <c r="AQ168" s="3">
        <v>250</v>
      </c>
      <c r="AR168" s="3" t="str">
        <f>IFERROR(MID(VLOOKUP($B168,Seqs!$A:$B,2,0),AS168,1),"")</f>
        <v>G</v>
      </c>
      <c r="AS168" s="3">
        <v>255</v>
      </c>
      <c r="AT168" s="3" t="str">
        <f>IFERROR(MID(VLOOKUP($B168,Seqs!$A:$B,2,0),AU168,1),"")</f>
        <v>L</v>
      </c>
      <c r="AU168" s="3">
        <v>279</v>
      </c>
      <c r="AV168" s="3" t="str">
        <f>IFERROR(MID(VLOOKUP($B168,Seqs!$A:$B,2,0),AW168,1),"")</f>
        <v>G</v>
      </c>
      <c r="AW168" s="3">
        <v>280</v>
      </c>
      <c r="AX168" s="3" t="str">
        <f>IFERROR(MID(VLOOKUP($B168,Seqs!$A:$B,2,0),AY168,1),"")</f>
        <v>Q</v>
      </c>
      <c r="AY168" s="3">
        <v>294</v>
      </c>
      <c r="AZ168" s="77" t="str">
        <f>VLOOKUP(B168,Classification!A:D,2,0)</f>
        <v>A</v>
      </c>
      <c r="BA168" s="94" t="str">
        <f>VLOOKUP(B168,Classification!A:D,4,0)</f>
        <v>Freefattyacid</v>
      </c>
      <c r="BB168" s="27" t="b">
        <f t="shared" si="560"/>
        <v>1</v>
      </c>
      <c r="BC168" s="23">
        <f t="shared" si="643"/>
        <v>256</v>
      </c>
      <c r="BD168" s="34" t="s">
        <v>1379</v>
      </c>
      <c r="BE168" s="3" t="s">
        <v>23</v>
      </c>
      <c r="BF168" s="119" t="s">
        <v>23</v>
      </c>
      <c r="BG168" s="49" t="s">
        <v>1379</v>
      </c>
      <c r="BH168" s="49" t="s">
        <v>1384</v>
      </c>
      <c r="BI168" s="1"/>
      <c r="BJ168" s="70" t="s">
        <v>1293</v>
      </c>
      <c r="BK168" s="57" t="s">
        <v>1293</v>
      </c>
      <c r="BL168" s="57" t="s">
        <v>1293</v>
      </c>
      <c r="BM168" s="57" t="s">
        <v>1293</v>
      </c>
      <c r="BN168" s="57" t="s">
        <v>1293</v>
      </c>
      <c r="BO168" s="57" t="s">
        <v>1293</v>
      </c>
      <c r="BP168" s="57" t="s">
        <v>1293</v>
      </c>
      <c r="BQ168" s="57" t="s">
        <v>1293</v>
      </c>
      <c r="BR168" s="57" t="s">
        <v>1293</v>
      </c>
      <c r="BS168" s="57" t="s">
        <v>1293</v>
      </c>
      <c r="BT168" s="57" t="s">
        <v>1293</v>
      </c>
      <c r="BU168" s="57" t="s">
        <v>1293</v>
      </c>
      <c r="BV168" s="70">
        <f t="shared" si="644"/>
        <v>4</v>
      </c>
      <c r="BW168" s="71" t="str">
        <f t="shared" si="645"/>
        <v>-</v>
      </c>
      <c r="BX168" s="72">
        <f t="shared" si="646"/>
        <v>39</v>
      </c>
      <c r="BY168" s="71">
        <f t="shared" si="647"/>
        <v>71</v>
      </c>
      <c r="BZ168" s="72">
        <f t="shared" si="648"/>
        <v>75</v>
      </c>
      <c r="CA168" s="71">
        <f t="shared" si="649"/>
        <v>111</v>
      </c>
      <c r="CB168" s="72">
        <f t="shared" si="650"/>
        <v>119</v>
      </c>
      <c r="CC168" s="71">
        <f t="shared" si="651"/>
        <v>170</v>
      </c>
      <c r="CD168" s="72">
        <f t="shared" si="652"/>
        <v>175</v>
      </c>
      <c r="CE168" s="71">
        <f t="shared" si="653"/>
        <v>217</v>
      </c>
      <c r="CF168" s="72">
        <f t="shared" si="654"/>
        <v>255</v>
      </c>
      <c r="CG168" s="71">
        <f t="shared" si="655"/>
        <v>280</v>
      </c>
      <c r="CH168" s="70">
        <f t="shared" si="656"/>
        <v>37</v>
      </c>
      <c r="CI168" s="71" t="str">
        <f t="shared" si="657"/>
        <v>-</v>
      </c>
      <c r="CJ168" s="72">
        <f t="shared" si="658"/>
        <v>69</v>
      </c>
      <c r="CK168" s="72">
        <f t="shared" si="659"/>
        <v>74</v>
      </c>
      <c r="CL168" s="72">
        <f t="shared" si="660"/>
        <v>110</v>
      </c>
      <c r="CM168" s="72">
        <f t="shared" si="661"/>
        <v>118</v>
      </c>
      <c r="CN168" s="72">
        <f t="shared" si="662"/>
        <v>146</v>
      </c>
      <c r="CO168" s="72">
        <f t="shared" si="663"/>
        <v>172</v>
      </c>
      <c r="CP168" s="72">
        <f t="shared" si="664"/>
        <v>211</v>
      </c>
      <c r="CQ168" s="72">
        <f t="shared" si="665"/>
        <v>250</v>
      </c>
      <c r="CR168" s="72">
        <f t="shared" si="666"/>
        <v>279</v>
      </c>
      <c r="CS168" s="72">
        <f t="shared" si="667"/>
        <v>294</v>
      </c>
      <c r="CT168" s="23" t="e">
        <f t="shared" si="668"/>
        <v>#VALUE!</v>
      </c>
    </row>
    <row r="169" spans="1:1029" x14ac:dyDescent="0.2">
      <c r="A169" s="3" t="str">
        <f t="shared" si="559"/>
        <v>ffar1_human_4PHU</v>
      </c>
      <c r="B169" s="3" t="s">
        <v>1173</v>
      </c>
      <c r="C169" s="3" t="s">
        <v>52</v>
      </c>
      <c r="D169" s="3" t="str">
        <f>IFERROR(MID(VLOOKUP($B169,Seqs!$A:$B,2,0),E169,1),"")</f>
        <v>P</v>
      </c>
      <c r="E169" s="3">
        <v>4</v>
      </c>
      <c r="F169" s="3" t="str">
        <f>IFERROR(MID(VLOOKUP($B169,Seqs!$A:$B,2,0),G169,1),"")</f>
        <v>R</v>
      </c>
      <c r="G169" s="3">
        <v>37</v>
      </c>
      <c r="H169" s="3" t="str">
        <f>IFERROR(MID(VLOOKUP($B169,Seqs!$A:$B,2,0),I169,1),"")</f>
        <v/>
      </c>
      <c r="I169" s="23" t="s">
        <v>23</v>
      </c>
      <c r="J169" s="3" t="str">
        <f>IFERROR(MID(VLOOKUP($B169,Seqs!$A:$B,2,0),K169,1),"")</f>
        <v/>
      </c>
      <c r="K169" s="23" t="s">
        <v>23</v>
      </c>
      <c r="L169" s="3" t="str">
        <f>IFERROR(MID(VLOOKUP($B169,Seqs!$A:$B,2,0),M169,1),"")</f>
        <v>T</v>
      </c>
      <c r="M169" s="3">
        <v>39</v>
      </c>
      <c r="N169" s="3" t="str">
        <f>IFERROR(MID(VLOOKUP($B169,Seqs!$A:$B,2,0),O169,1),"")</f>
        <v>S</v>
      </c>
      <c r="O169" s="3">
        <v>69</v>
      </c>
      <c r="P169" s="3" t="str">
        <f>IFERROR(MID(VLOOKUP($B169,Seqs!$A:$B,2,0),Q169,1),"")</f>
        <v>A</v>
      </c>
      <c r="Q169" s="3">
        <v>71</v>
      </c>
      <c r="R169" s="3" t="str">
        <f>IFERROR(MID(VLOOKUP($B169,Seqs!$A:$B,2,0),S169,1),"")</f>
        <v>L</v>
      </c>
      <c r="S169" s="3">
        <v>74</v>
      </c>
      <c r="T169" s="3" t="str">
        <f>IFERROR(MID(VLOOKUP($B169,Seqs!$A:$B,2,0),U169,1),"")</f>
        <v>P</v>
      </c>
      <c r="U169" s="3">
        <v>75</v>
      </c>
      <c r="V169" s="3" t="str">
        <f>IFERROR(MID(VLOOKUP($B169,Seqs!$A:$B,2,0),W169,1),"")</f>
        <v>F</v>
      </c>
      <c r="W169" s="3">
        <v>110</v>
      </c>
      <c r="X169" s="3" t="str">
        <f>IFERROR(MID(VLOOKUP($B169,Seqs!$A:$B,2,0),Y169,1),"")</f>
        <v/>
      </c>
      <c r="Y169" s="3" t="s">
        <v>23</v>
      </c>
      <c r="Z169" s="3" t="str">
        <f>IFERROR(MID(VLOOKUP($B169,Seqs!$A:$B,2,0),AA169,1),"")</f>
        <v/>
      </c>
      <c r="AA169" s="3" t="s">
        <v>23</v>
      </c>
      <c r="AB169" s="3" t="str">
        <f>IFERROR(MID(VLOOKUP($B169,Seqs!$A:$B,2,0),AC169,1),"")</f>
        <v>C</v>
      </c>
      <c r="AC169" s="9">
        <v>121</v>
      </c>
      <c r="AD169" s="3" t="str">
        <f>IFERROR(MID(VLOOKUP($B169,Seqs!$A:$B,2,0),AE169,1),"")</f>
        <v>A</v>
      </c>
      <c r="AE169" s="3">
        <v>146</v>
      </c>
      <c r="AF169" s="3" t="str">
        <f>IFERROR(MID(VLOOKUP($B169,Seqs!$A:$B,2,0),AG169,1),"")</f>
        <v>C</v>
      </c>
      <c r="AG169" s="3">
        <v>170</v>
      </c>
      <c r="AH169" s="3" t="str">
        <f>IFERROR(MID(VLOOKUP($B169,Seqs!$A:$B,2,0),AI169,1),"")</f>
        <v>E</v>
      </c>
      <c r="AI169" s="3">
        <v>172</v>
      </c>
      <c r="AJ169" s="3" t="str">
        <f>IFERROR(MID(VLOOKUP($B169,Seqs!$A:$B,2,0),AK169,1),"")</f>
        <v>D</v>
      </c>
      <c r="AK169" s="3">
        <v>175</v>
      </c>
      <c r="AL169" s="3" t="str">
        <f>IFERROR(MID(VLOOKUP($B169,Seqs!$A:$B,2,0),AM169,1),"")</f>
        <v>R</v>
      </c>
      <c r="AM169" s="3">
        <v>211</v>
      </c>
      <c r="AN169" s="3" t="str">
        <f>IFERROR(MID(VLOOKUP($B169,Seqs!$A:$B,2,0),AO169,1),"")</f>
        <v>L</v>
      </c>
      <c r="AO169" s="3">
        <v>214</v>
      </c>
      <c r="AP169" s="3" t="str">
        <f>IFERROR(MID(VLOOKUP($B169,Seqs!$A:$B,2,0),AQ169,1),"")</f>
        <v>Y</v>
      </c>
      <c r="AQ169" s="3">
        <v>250</v>
      </c>
      <c r="AR169" s="3" t="str">
        <f>IFERROR(MID(VLOOKUP($B169,Seqs!$A:$B,2,0),AS169,1),"")</f>
        <v>G</v>
      </c>
      <c r="AS169" s="3">
        <v>255</v>
      </c>
      <c r="AT169" s="3" t="str">
        <f>IFERROR(MID(VLOOKUP($B169,Seqs!$A:$B,2,0),AU169,1),"")</f>
        <v>T</v>
      </c>
      <c r="AU169" s="3">
        <v>276</v>
      </c>
      <c r="AV169" s="3" t="str">
        <f>IFERROR(MID(VLOOKUP($B169,Seqs!$A:$B,2,0),AW169,1),"")</f>
        <v/>
      </c>
      <c r="AW169" s="3" t="s">
        <v>23</v>
      </c>
      <c r="AX169" s="3" t="str">
        <f>IFERROR(MID(VLOOKUP($B169,Seqs!$A:$B,2,0),AY169,1),"")</f>
        <v/>
      </c>
      <c r="AY169" s="3" t="s">
        <v>23</v>
      </c>
      <c r="AZ169" s="77" t="str">
        <f>VLOOKUP(B169,Classification!A:D,2,0)</f>
        <v>A</v>
      </c>
      <c r="BA169" s="94" t="str">
        <f>VLOOKUP(B169,Classification!A:D,4,0)</f>
        <v>Freefattyacid</v>
      </c>
      <c r="BB169" s="27" t="b">
        <f t="shared" si="560"/>
        <v>1</v>
      </c>
      <c r="BC169" s="23">
        <f t="shared" si="643"/>
        <v>233</v>
      </c>
      <c r="BD169" s="16" t="s">
        <v>23</v>
      </c>
      <c r="BE169" s="3" t="s">
        <v>1439</v>
      </c>
      <c r="BF169" s="119">
        <v>2.33</v>
      </c>
      <c r="BG169" s="49" t="s">
        <v>1384</v>
      </c>
      <c r="BH169" s="49" t="s">
        <v>1384</v>
      </c>
      <c r="BI169" s="1"/>
      <c r="BJ169" s="70" t="s">
        <v>1293</v>
      </c>
      <c r="BK169" s="57" t="s">
        <v>1293</v>
      </c>
      <c r="BL169" s="57" t="s">
        <v>1293</v>
      </c>
      <c r="BM169" s="57" t="s">
        <v>1293</v>
      </c>
      <c r="BN169" s="57" t="s">
        <v>1293</v>
      </c>
      <c r="BO169" s="57" t="s">
        <v>1293</v>
      </c>
      <c r="BP169" s="57" t="s">
        <v>1293</v>
      </c>
      <c r="BQ169" s="57" t="s">
        <v>1293</v>
      </c>
      <c r="BR169" s="57" t="s">
        <v>1293</v>
      </c>
      <c r="BS169" s="57" t="s">
        <v>1293</v>
      </c>
      <c r="BT169" s="57" t="s">
        <v>1293</v>
      </c>
      <c r="BU169" s="57" t="s">
        <v>1293</v>
      </c>
      <c r="BV169" s="70">
        <f t="shared" si="644"/>
        <v>4</v>
      </c>
      <c r="BW169" s="71" t="str">
        <f t="shared" si="645"/>
        <v>-</v>
      </c>
      <c r="BX169" s="72">
        <f t="shared" si="646"/>
        <v>39</v>
      </c>
      <c r="BY169" s="71">
        <f t="shared" si="647"/>
        <v>71</v>
      </c>
      <c r="BZ169" s="72">
        <f t="shared" si="648"/>
        <v>75</v>
      </c>
      <c r="CA169" s="71" t="str">
        <f t="shared" si="649"/>
        <v>-</v>
      </c>
      <c r="CB169" s="72">
        <f t="shared" si="650"/>
        <v>121</v>
      </c>
      <c r="CC169" s="71">
        <f t="shared" si="651"/>
        <v>170</v>
      </c>
      <c r="CD169" s="72">
        <f t="shared" si="652"/>
        <v>175</v>
      </c>
      <c r="CE169" s="71">
        <f t="shared" si="653"/>
        <v>214</v>
      </c>
      <c r="CF169" s="72">
        <f t="shared" si="654"/>
        <v>255</v>
      </c>
      <c r="CG169" s="71" t="str">
        <f t="shared" si="655"/>
        <v>-</v>
      </c>
      <c r="CH169" s="70">
        <f t="shared" si="656"/>
        <v>37</v>
      </c>
      <c r="CI169" s="71" t="str">
        <f t="shared" si="657"/>
        <v>-</v>
      </c>
      <c r="CJ169" s="72">
        <f t="shared" si="658"/>
        <v>69</v>
      </c>
      <c r="CK169" s="72">
        <f t="shared" si="659"/>
        <v>74</v>
      </c>
      <c r="CL169" s="72">
        <f t="shared" si="660"/>
        <v>110</v>
      </c>
      <c r="CM169" s="72" t="str">
        <f t="shared" si="661"/>
        <v>-</v>
      </c>
      <c r="CN169" s="72">
        <f t="shared" si="662"/>
        <v>146</v>
      </c>
      <c r="CO169" s="72">
        <f t="shared" si="663"/>
        <v>172</v>
      </c>
      <c r="CP169" s="72">
        <f t="shared" si="664"/>
        <v>211</v>
      </c>
      <c r="CQ169" s="72">
        <f t="shared" si="665"/>
        <v>250</v>
      </c>
      <c r="CR169" s="72">
        <f t="shared" si="666"/>
        <v>276</v>
      </c>
      <c r="CS169" s="72" t="str">
        <f t="shared" si="667"/>
        <v>-</v>
      </c>
      <c r="CT169" s="23" t="e">
        <f t="shared" si="668"/>
        <v>#VALUE!</v>
      </c>
    </row>
    <row r="170" spans="1:1029" s="12" customFormat="1" x14ac:dyDescent="0.2">
      <c r="A170" s="9" t="str">
        <f>CONCATENATE(B170,"_",C170)</f>
        <v>ffar1_human_5KW2</v>
      </c>
      <c r="B170" s="9" t="s">
        <v>1173</v>
      </c>
      <c r="C170" s="9" t="s">
        <v>1506</v>
      </c>
      <c r="D170" s="9" t="str">
        <f>IFERROR(MID(VLOOKUP($B170,Seqs!$A:$B,2,0),E170,1),"")</f>
        <v>P</v>
      </c>
      <c r="E170" s="9">
        <v>4</v>
      </c>
      <c r="F170" s="9" t="str">
        <f>IFERROR(MID(VLOOKUP($B170,Seqs!$A:$B,2,0),G170,1),"")</f>
        <v>A</v>
      </c>
      <c r="G170" s="9">
        <v>32</v>
      </c>
      <c r="H170" s="9" t="str">
        <f>IFERROR(MID(VLOOKUP($B170,Seqs!$A:$B,2,0),I170,1),"")</f>
        <v/>
      </c>
      <c r="I170" s="109" t="s">
        <v>23</v>
      </c>
      <c r="J170" s="9" t="str">
        <f>IFERROR(MID(VLOOKUP($B170,Seqs!$A:$B,2,0),K170,1),"")</f>
        <v/>
      </c>
      <c r="K170" s="109" t="s">
        <v>23</v>
      </c>
      <c r="L170" s="9" t="str">
        <f>IFERROR(MID(VLOOKUP($B170,Seqs!$A:$B,2,0),M170,1),"")</f>
        <v>T</v>
      </c>
      <c r="M170" s="9">
        <v>39</v>
      </c>
      <c r="N170" s="9" t="str">
        <f>IFERROR(MID(VLOOKUP($B170,Seqs!$A:$B,2,0),O170,1),"")</f>
        <v>S</v>
      </c>
      <c r="O170" s="9">
        <v>69</v>
      </c>
      <c r="P170" s="9" t="str">
        <f>IFERROR(MID(VLOOKUP($B170,Seqs!$A:$B,2,0),Q170,1),"")</f>
        <v>A</v>
      </c>
      <c r="Q170" s="9">
        <v>71</v>
      </c>
      <c r="R170" s="9" t="str">
        <f>IFERROR(MID(VLOOKUP($B170,Seqs!$A:$B,2,0),S170,1),"")</f>
        <v>L</v>
      </c>
      <c r="S170" s="9">
        <v>74</v>
      </c>
      <c r="T170" s="9" t="str">
        <f>IFERROR(MID(VLOOKUP($B170,Seqs!$A:$B,2,0),U170,1),"")</f>
        <v>P</v>
      </c>
      <c r="U170" s="9">
        <v>75</v>
      </c>
      <c r="V170" s="9" t="str">
        <f>IFERROR(MID(VLOOKUP($B170,Seqs!$A:$B,2,0),W170,1),"")</f>
        <v>F</v>
      </c>
      <c r="W170" s="9">
        <v>110</v>
      </c>
      <c r="X170" s="9" t="str">
        <f>IFERROR(MID(VLOOKUP($B170,Seqs!$A:$B,2,0),Y170,1),"")</f>
        <v>P</v>
      </c>
      <c r="Y170" s="9">
        <v>111</v>
      </c>
      <c r="Z170" s="9" t="str">
        <f>IFERROR(MID(VLOOKUP($B170,Seqs!$A:$B,2,0),AA170,1),"")</f>
        <v>R</v>
      </c>
      <c r="AA170" s="9">
        <v>118</v>
      </c>
      <c r="AB170" s="9" t="str">
        <f>IFERROR(MID(VLOOKUP($B170,Seqs!$A:$B,2,0),AC170,1),"")</f>
        <v>R</v>
      </c>
      <c r="AC170" s="9">
        <v>119</v>
      </c>
      <c r="AD170" s="9" t="str">
        <f>IFERROR(MID(VLOOKUP($B170,Seqs!$A:$B,2,0),AE170,1),"")</f>
        <v>E</v>
      </c>
      <c r="AE170" s="9">
        <v>145</v>
      </c>
      <c r="AF170" s="9" t="str">
        <f>IFERROR(MID(VLOOKUP($B170,Seqs!$A:$B,2,0),AG170,1),"")</f>
        <v>C</v>
      </c>
      <c r="AG170" s="9">
        <v>170</v>
      </c>
      <c r="AH170" s="9" t="str">
        <f>IFERROR(MID(VLOOKUP($B170,Seqs!$A:$B,2,0),AI170,1),"")</f>
        <v>E</v>
      </c>
      <c r="AI170" s="9">
        <v>172</v>
      </c>
      <c r="AJ170" s="9" t="str">
        <f>IFERROR(MID(VLOOKUP($B170,Seqs!$A:$B,2,0),AK170,1),"")</f>
        <v>G</v>
      </c>
      <c r="AK170" s="9">
        <v>180</v>
      </c>
      <c r="AL170" s="9" t="str">
        <f>IFERROR(MID(VLOOKUP($B170,Seqs!$A:$B,2,0),AM170,1),"")</f>
        <v>R</v>
      </c>
      <c r="AM170" s="9">
        <v>211</v>
      </c>
      <c r="AN170" s="9" t="str">
        <f>IFERROR(MID(VLOOKUP($B170,Seqs!$A:$B,2,0),AO170,1),"")</f>
        <v>T</v>
      </c>
      <c r="AO170" s="9">
        <v>215</v>
      </c>
      <c r="AP170" s="9" t="str">
        <f>IFERROR(MID(VLOOKUP($B170,Seqs!$A:$B,2,0),AQ170,1),"")</f>
        <v>L</v>
      </c>
      <c r="AQ170" s="9">
        <v>249</v>
      </c>
      <c r="AR170" s="9" t="str">
        <f>IFERROR(MID(VLOOKUP($B170,Seqs!$A:$B,2,0),AS170,1),"")</f>
        <v>G</v>
      </c>
      <c r="AS170" s="9">
        <v>254</v>
      </c>
      <c r="AT170" s="9" t="str">
        <f>IFERROR(MID(VLOOKUP($B170,Seqs!$A:$B,2,0),AU170,1),"")</f>
        <v>V</v>
      </c>
      <c r="AU170" s="9">
        <v>275</v>
      </c>
      <c r="AV170" s="9" t="str">
        <f>IFERROR(MID(VLOOKUP($B170,Seqs!$A:$B,2,0),AW170,1),"")</f>
        <v/>
      </c>
      <c r="AW170" s="9" t="s">
        <v>23</v>
      </c>
      <c r="AX170" s="9" t="str">
        <f>IFERROR(MID(VLOOKUP($B170,Seqs!$A:$B,2,0),AY170,1),"")</f>
        <v/>
      </c>
      <c r="AY170" s="9" t="s">
        <v>23</v>
      </c>
      <c r="AZ170" s="110" t="str">
        <f>VLOOKUP(B170,Classification!A:D,2,0)</f>
        <v>A</v>
      </c>
      <c r="BA170" s="98" t="str">
        <f>VLOOKUP(B170,Classification!A:D,4,0)</f>
        <v>Freefattyacid</v>
      </c>
      <c r="BB170" s="36" t="b">
        <f>AND(E170&lt;G170,OR(G170&lt;I170,I170="-"),OR(I170&lt;K170,I170="-"),OR(K170&lt;M170,K170="-"),M170&lt;O170,OR(O170&lt;Q170,Q170="-"),OR(Q170&lt;S170,Q170="-"),OR(S170&lt;U170,S170="-"),U170&lt;W170,OR(W170&lt;Y170,Y170="-"),OR(Y170&lt;AA170,Y170="-"),OR(AA170&lt;AC170,AA170="-"),AC170&lt;AE170,OR(AE170&lt;AG170,AG170="-"),OR(AG170&lt;AI170,AG170="-"),OR(AI170&lt;AK170,AI170="-"),AK170&lt;AM170,AM170&lt;AO170,AO170&lt;AQ170,AQ170&lt;AS170,AS170&lt;AU170,OR(AU170&lt;AW170,AW170="-"),OR(AW170&lt;AY170,AW170="-"))</f>
        <v>1</v>
      </c>
      <c r="BC170" s="109">
        <f>_xlfn.AGGREGATE(9,6,CH170:CS170)-_xlfn.AGGREGATE(9,6,BV170:CG170)+12</f>
        <v>229</v>
      </c>
      <c r="BD170" s="130" t="s">
        <v>23</v>
      </c>
      <c r="BE170" s="9" t="s">
        <v>1439</v>
      </c>
      <c r="BF170" s="120">
        <v>2.76</v>
      </c>
      <c r="BG170" s="51" t="s">
        <v>1</v>
      </c>
      <c r="BH170" s="51" t="s">
        <v>1</v>
      </c>
      <c r="BJ170" s="111" t="s">
        <v>1293</v>
      </c>
      <c r="BK170" s="112" t="s">
        <v>1293</v>
      </c>
      <c r="BL170" s="112" t="s">
        <v>1293</v>
      </c>
      <c r="BM170" s="112" t="s">
        <v>1293</v>
      </c>
      <c r="BN170" s="112" t="s">
        <v>1293</v>
      </c>
      <c r="BO170" s="112" t="s">
        <v>1293</v>
      </c>
      <c r="BP170" s="112" t="s">
        <v>1293</v>
      </c>
      <c r="BQ170" s="112" t="s">
        <v>1293</v>
      </c>
      <c r="BR170" s="112" t="s">
        <v>1293</v>
      </c>
      <c r="BS170" s="112" t="s">
        <v>1293</v>
      </c>
      <c r="BT170" s="112" t="s">
        <v>1293</v>
      </c>
      <c r="BU170" s="112" t="s">
        <v>1293</v>
      </c>
      <c r="BV170" s="111">
        <f>E170</f>
        <v>4</v>
      </c>
      <c r="BW170" s="113" t="str">
        <f>I170</f>
        <v>-</v>
      </c>
      <c r="BX170" s="114">
        <f>M170</f>
        <v>39</v>
      </c>
      <c r="BY170" s="113">
        <f>Q170</f>
        <v>71</v>
      </c>
      <c r="BZ170" s="114">
        <f>U170</f>
        <v>75</v>
      </c>
      <c r="CA170" s="113">
        <f>Y170</f>
        <v>111</v>
      </c>
      <c r="CB170" s="114">
        <f>AC170</f>
        <v>119</v>
      </c>
      <c r="CC170" s="113">
        <f>AG170</f>
        <v>170</v>
      </c>
      <c r="CD170" s="114">
        <f>AK170</f>
        <v>180</v>
      </c>
      <c r="CE170" s="113">
        <f>AO170</f>
        <v>215</v>
      </c>
      <c r="CF170" s="114">
        <f>AS170</f>
        <v>254</v>
      </c>
      <c r="CG170" s="113" t="str">
        <f>AW170</f>
        <v>-</v>
      </c>
      <c r="CH170" s="111">
        <f>G170</f>
        <v>32</v>
      </c>
      <c r="CI170" s="113" t="str">
        <f>K170</f>
        <v>-</v>
      </c>
      <c r="CJ170" s="114">
        <f>O170</f>
        <v>69</v>
      </c>
      <c r="CK170" s="114">
        <f>S170</f>
        <v>74</v>
      </c>
      <c r="CL170" s="114">
        <f>W170</f>
        <v>110</v>
      </c>
      <c r="CM170" s="114">
        <f>AA170</f>
        <v>118</v>
      </c>
      <c r="CN170" s="114">
        <f>AE170</f>
        <v>145</v>
      </c>
      <c r="CO170" s="114">
        <f>AI170</f>
        <v>172</v>
      </c>
      <c r="CP170" s="114">
        <f>AM170</f>
        <v>211</v>
      </c>
      <c r="CQ170" s="114">
        <f>AQ170</f>
        <v>249</v>
      </c>
      <c r="CR170" s="114">
        <f>AU170</f>
        <v>275</v>
      </c>
      <c r="CS170" s="114" t="str">
        <f>AY170</f>
        <v>-</v>
      </c>
      <c r="CT170" s="109" t="e">
        <f>M170-K170</f>
        <v>#VALUE!</v>
      </c>
      <c r="CU170" s="9"/>
      <c r="CV170" s="9"/>
      <c r="CW170" s="9"/>
      <c r="CX170" s="9"/>
      <c r="CY170" s="9"/>
      <c r="CZ170" s="9"/>
      <c r="DA170" s="9"/>
      <c r="DB170" s="9"/>
      <c r="DC170" s="9"/>
      <c r="DD170" s="9"/>
      <c r="DE170" s="9"/>
      <c r="DF170" s="9"/>
      <c r="DG170" s="9"/>
      <c r="DH170" s="9"/>
      <c r="DI170" s="9"/>
      <c r="DJ170" s="9"/>
      <c r="DK170" s="9"/>
      <c r="DL170" s="9"/>
      <c r="DM170" s="9"/>
      <c r="DN170" s="9"/>
      <c r="DO170" s="9"/>
      <c r="DP170" s="9"/>
      <c r="DQ170" s="9"/>
      <c r="DR170" s="9"/>
      <c r="DS170" s="9"/>
      <c r="DT170" s="9"/>
      <c r="DU170" s="9"/>
      <c r="DV170" s="9"/>
      <c r="DW170" s="9"/>
      <c r="DX170" s="9"/>
      <c r="DY170" s="9"/>
      <c r="DZ170" s="9"/>
      <c r="EA170" s="9"/>
      <c r="EB170" s="9"/>
      <c r="EC170" s="9"/>
      <c r="ED170" s="9"/>
      <c r="EE170" s="9"/>
      <c r="EF170" s="9"/>
      <c r="EG170" s="9"/>
      <c r="EH170" s="9"/>
      <c r="EI170" s="9"/>
      <c r="EJ170" s="9"/>
      <c r="EK170" s="9"/>
      <c r="EL170" s="9"/>
      <c r="EM170" s="9"/>
      <c r="EN170" s="9"/>
      <c r="EO170" s="9"/>
      <c r="EP170" s="9"/>
      <c r="EQ170" s="9"/>
      <c r="ER170" s="9"/>
      <c r="ES170" s="9"/>
      <c r="ET170" s="9"/>
      <c r="EU170" s="9"/>
      <c r="EV170" s="9"/>
      <c r="EW170" s="9"/>
      <c r="EX170" s="9"/>
      <c r="EY170" s="9"/>
      <c r="EZ170" s="9"/>
      <c r="FA170" s="9"/>
      <c r="FB170" s="9"/>
      <c r="FC170" s="9"/>
      <c r="FD170" s="9"/>
      <c r="FE170" s="9"/>
      <c r="FF170" s="9"/>
      <c r="FG170" s="9"/>
      <c r="FH170" s="9"/>
      <c r="FI170" s="9"/>
      <c r="FJ170" s="9"/>
      <c r="FK170" s="9"/>
      <c r="FL170" s="9"/>
      <c r="FM170" s="9"/>
      <c r="FN170" s="9"/>
      <c r="FO170" s="9"/>
      <c r="FP170" s="9"/>
      <c r="FQ170" s="9"/>
      <c r="FR170" s="9"/>
      <c r="FS170" s="9"/>
      <c r="FT170" s="9"/>
      <c r="FU170" s="9"/>
      <c r="FV170" s="9"/>
      <c r="FW170" s="9"/>
      <c r="FX170" s="9"/>
      <c r="FY170" s="9"/>
      <c r="FZ170" s="9"/>
      <c r="GA170" s="9"/>
      <c r="GB170" s="9"/>
      <c r="GC170" s="9"/>
      <c r="GD170" s="9"/>
      <c r="GE170" s="9"/>
      <c r="GF170" s="9"/>
      <c r="GG170" s="9"/>
      <c r="GH170" s="9"/>
      <c r="GI170" s="9"/>
      <c r="GJ170" s="9"/>
      <c r="GK170" s="9"/>
      <c r="GL170" s="9"/>
      <c r="GM170" s="9"/>
      <c r="GN170" s="9"/>
      <c r="GO170" s="9"/>
      <c r="GP170" s="9"/>
      <c r="GQ170" s="9"/>
      <c r="GR170" s="9"/>
      <c r="GS170" s="9"/>
      <c r="GT170" s="9"/>
      <c r="GU170" s="9"/>
      <c r="GV170" s="9"/>
      <c r="GW170" s="9"/>
      <c r="GX170" s="9"/>
      <c r="GY170" s="9"/>
      <c r="GZ170" s="9"/>
      <c r="HA170" s="9"/>
      <c r="HB170" s="9"/>
      <c r="HC170" s="9"/>
      <c r="HD170" s="9"/>
      <c r="HE170" s="9"/>
      <c r="HF170" s="9"/>
      <c r="HG170" s="9"/>
      <c r="HH170" s="9"/>
      <c r="HI170" s="9"/>
      <c r="HJ170" s="9"/>
      <c r="HK170" s="9"/>
      <c r="HL170" s="9"/>
      <c r="HM170" s="9"/>
      <c r="HN170" s="9"/>
      <c r="HO170" s="9"/>
      <c r="HP170" s="9"/>
      <c r="HQ170" s="9"/>
      <c r="HR170" s="9"/>
      <c r="HS170" s="9"/>
      <c r="HT170" s="9"/>
      <c r="HU170" s="9"/>
      <c r="HV170" s="9"/>
      <c r="HW170" s="9"/>
      <c r="HX170" s="9"/>
      <c r="HY170" s="9"/>
      <c r="HZ170" s="9"/>
      <c r="IA170" s="9"/>
      <c r="IB170" s="9"/>
      <c r="IC170" s="9"/>
      <c r="ID170" s="9"/>
      <c r="IE170" s="9"/>
      <c r="IF170" s="9"/>
      <c r="IG170" s="9"/>
      <c r="IH170" s="9"/>
      <c r="II170" s="9"/>
      <c r="IJ170" s="9"/>
      <c r="IK170" s="9"/>
      <c r="IL170" s="9"/>
      <c r="IM170" s="9"/>
      <c r="IN170" s="9"/>
      <c r="IO170" s="9"/>
      <c r="IP170" s="9"/>
      <c r="IQ170" s="9"/>
      <c r="IR170" s="9"/>
      <c r="IS170" s="9"/>
      <c r="IT170" s="9"/>
      <c r="IU170" s="9"/>
      <c r="IV170" s="9"/>
      <c r="IW170" s="9"/>
      <c r="IX170" s="9"/>
      <c r="IY170" s="9"/>
      <c r="IZ170" s="9"/>
      <c r="JA170" s="9"/>
      <c r="JB170" s="9"/>
      <c r="JC170" s="9"/>
      <c r="JD170" s="9"/>
      <c r="JE170" s="9"/>
      <c r="JF170" s="9"/>
      <c r="JG170" s="9"/>
      <c r="JH170" s="9"/>
      <c r="JI170" s="9"/>
      <c r="JJ170" s="9"/>
      <c r="JK170" s="9"/>
      <c r="JL170" s="9"/>
      <c r="JM170" s="9"/>
      <c r="JN170" s="9"/>
      <c r="JO170" s="9"/>
      <c r="JP170" s="9"/>
      <c r="JQ170" s="9"/>
      <c r="JR170" s="9"/>
      <c r="JS170" s="9"/>
      <c r="JT170" s="9"/>
      <c r="JU170" s="9"/>
      <c r="JV170" s="9"/>
      <c r="JW170" s="9"/>
      <c r="JX170" s="9"/>
      <c r="JY170" s="9"/>
      <c r="JZ170" s="9"/>
      <c r="KA170" s="9"/>
      <c r="KB170" s="9"/>
      <c r="KC170" s="9"/>
      <c r="KD170" s="9"/>
      <c r="KE170" s="9"/>
      <c r="KF170" s="9"/>
      <c r="KG170" s="9"/>
      <c r="KH170" s="9"/>
      <c r="KI170" s="9"/>
      <c r="KJ170" s="9"/>
      <c r="KK170" s="9"/>
      <c r="KL170" s="9"/>
      <c r="KM170" s="9"/>
      <c r="KN170" s="9"/>
      <c r="KO170" s="9"/>
      <c r="KP170" s="9"/>
      <c r="KQ170" s="9"/>
      <c r="KR170" s="9"/>
      <c r="KS170" s="9"/>
      <c r="KT170" s="9"/>
      <c r="KU170" s="9"/>
      <c r="KV170" s="9"/>
      <c r="KW170" s="9"/>
      <c r="KX170" s="9"/>
      <c r="KY170" s="9"/>
      <c r="KZ170" s="9"/>
      <c r="LA170" s="9"/>
      <c r="LB170" s="9"/>
      <c r="LC170" s="9"/>
      <c r="LD170" s="9"/>
      <c r="LE170" s="9"/>
      <c r="LF170" s="9"/>
      <c r="LG170" s="9"/>
      <c r="LH170" s="9"/>
      <c r="LI170" s="9"/>
      <c r="LJ170" s="9"/>
      <c r="LK170" s="9"/>
      <c r="LL170" s="9"/>
      <c r="LM170" s="9"/>
      <c r="LN170" s="9"/>
      <c r="LO170" s="9"/>
      <c r="LP170" s="9"/>
      <c r="LQ170" s="9"/>
      <c r="LR170" s="9"/>
      <c r="LS170" s="9"/>
      <c r="LT170" s="9"/>
      <c r="LU170" s="9"/>
      <c r="LV170" s="9"/>
      <c r="LW170" s="9"/>
      <c r="LX170" s="9"/>
      <c r="LY170" s="9"/>
      <c r="LZ170" s="9"/>
      <c r="MA170" s="9"/>
      <c r="MB170" s="9"/>
      <c r="MC170" s="9"/>
      <c r="MD170" s="9"/>
      <c r="ME170" s="9"/>
      <c r="MF170" s="9"/>
      <c r="MG170" s="9"/>
      <c r="MH170" s="9"/>
      <c r="MI170" s="9"/>
      <c r="MJ170" s="9"/>
      <c r="MK170" s="9"/>
      <c r="ML170" s="9"/>
      <c r="MM170" s="9"/>
      <c r="MN170" s="9"/>
      <c r="MO170" s="9"/>
      <c r="MP170" s="9"/>
      <c r="MQ170" s="9"/>
      <c r="MR170" s="9"/>
      <c r="MS170" s="9"/>
      <c r="MT170" s="9"/>
      <c r="MU170" s="9"/>
      <c r="MV170" s="9"/>
      <c r="MW170" s="9"/>
      <c r="MX170" s="9"/>
      <c r="MY170" s="9"/>
      <c r="MZ170" s="9"/>
      <c r="NA170" s="9"/>
      <c r="NB170" s="9"/>
      <c r="NC170" s="9"/>
      <c r="ND170" s="9"/>
      <c r="NE170" s="9"/>
      <c r="NF170" s="9"/>
      <c r="NG170" s="9"/>
      <c r="NH170" s="9"/>
      <c r="NI170" s="9"/>
      <c r="NJ170" s="9"/>
      <c r="NK170" s="9"/>
      <c r="NL170" s="9"/>
      <c r="NM170" s="9"/>
      <c r="NN170" s="9"/>
      <c r="NO170" s="9"/>
      <c r="NP170" s="9"/>
      <c r="NQ170" s="9"/>
      <c r="NR170" s="9"/>
      <c r="NS170" s="9"/>
      <c r="NT170" s="9"/>
      <c r="NU170" s="9"/>
      <c r="NV170" s="9"/>
      <c r="NW170" s="9"/>
      <c r="NX170" s="9"/>
      <c r="NY170" s="9"/>
      <c r="NZ170" s="9"/>
      <c r="OA170" s="9"/>
      <c r="OB170" s="9"/>
      <c r="OC170" s="9"/>
      <c r="OD170" s="9"/>
      <c r="OE170" s="9"/>
      <c r="OF170" s="9"/>
      <c r="OG170" s="9"/>
      <c r="OH170" s="9"/>
      <c r="OI170" s="9"/>
      <c r="OJ170" s="9"/>
      <c r="OK170" s="9"/>
      <c r="OL170" s="9"/>
      <c r="OM170" s="9"/>
      <c r="ON170" s="9"/>
      <c r="OO170" s="9"/>
      <c r="OP170" s="9"/>
      <c r="OQ170" s="9"/>
      <c r="OR170" s="9"/>
      <c r="OS170" s="9"/>
      <c r="OT170" s="9"/>
      <c r="OU170" s="9"/>
      <c r="OV170" s="9"/>
      <c r="OW170" s="9"/>
      <c r="OX170" s="9"/>
      <c r="OY170" s="9"/>
      <c r="OZ170" s="9"/>
      <c r="PA170" s="9"/>
      <c r="PB170" s="9"/>
      <c r="PC170" s="9"/>
      <c r="PD170" s="9"/>
      <c r="PE170" s="9"/>
      <c r="PF170" s="9"/>
      <c r="PG170" s="9"/>
      <c r="PH170" s="9"/>
      <c r="PI170" s="9"/>
      <c r="PJ170" s="9"/>
      <c r="PK170" s="9"/>
      <c r="PL170" s="9"/>
      <c r="PM170" s="9"/>
      <c r="PN170" s="9"/>
      <c r="PO170" s="9"/>
      <c r="PP170" s="9"/>
      <c r="PQ170" s="9"/>
      <c r="PR170" s="9"/>
      <c r="PS170" s="9"/>
      <c r="PT170" s="9"/>
      <c r="PU170" s="9"/>
      <c r="PV170" s="9"/>
      <c r="PW170" s="9"/>
      <c r="PX170" s="9"/>
      <c r="PY170" s="9"/>
      <c r="PZ170" s="9"/>
      <c r="QA170" s="9"/>
      <c r="QB170" s="9"/>
      <c r="QC170" s="9"/>
      <c r="QD170" s="9"/>
      <c r="QE170" s="9"/>
      <c r="QF170" s="9"/>
      <c r="QG170" s="9"/>
      <c r="QH170" s="9"/>
      <c r="QI170" s="9"/>
      <c r="QJ170" s="9"/>
      <c r="QK170" s="9"/>
      <c r="QL170" s="9"/>
      <c r="QM170" s="9"/>
      <c r="QN170" s="9"/>
      <c r="QO170" s="9"/>
      <c r="QP170" s="9"/>
      <c r="QQ170" s="9"/>
      <c r="QR170" s="9"/>
      <c r="QS170" s="9"/>
      <c r="QT170" s="9"/>
      <c r="QU170" s="9"/>
      <c r="QV170" s="9"/>
      <c r="QW170" s="9"/>
      <c r="QX170" s="9"/>
      <c r="QY170" s="9"/>
      <c r="QZ170" s="9"/>
      <c r="RA170" s="9"/>
      <c r="RB170" s="9"/>
      <c r="RC170" s="9"/>
      <c r="RD170" s="9"/>
      <c r="RE170" s="9"/>
      <c r="RF170" s="9"/>
      <c r="RG170" s="9"/>
      <c r="RH170" s="9"/>
      <c r="RI170" s="9"/>
      <c r="RJ170" s="9"/>
      <c r="RK170" s="9"/>
      <c r="RL170" s="9"/>
      <c r="RM170" s="9"/>
      <c r="RN170" s="9"/>
      <c r="RO170" s="9"/>
      <c r="RP170" s="9"/>
      <c r="RQ170" s="9"/>
      <c r="RR170" s="9"/>
      <c r="RS170" s="9"/>
      <c r="RT170" s="9"/>
      <c r="RU170" s="9"/>
      <c r="RV170" s="9"/>
      <c r="RW170" s="9"/>
      <c r="RX170" s="9"/>
      <c r="RY170" s="9"/>
      <c r="RZ170" s="9"/>
      <c r="SA170" s="9"/>
      <c r="SB170" s="9"/>
      <c r="SC170" s="9"/>
      <c r="SD170" s="9"/>
      <c r="SE170" s="9"/>
      <c r="SF170" s="9"/>
      <c r="SG170" s="9"/>
      <c r="SH170" s="9"/>
      <c r="SI170" s="9"/>
      <c r="SJ170" s="9"/>
      <c r="SK170" s="9"/>
      <c r="SL170" s="9"/>
      <c r="SM170" s="9"/>
      <c r="SN170" s="9"/>
      <c r="SO170" s="9"/>
      <c r="SP170" s="9"/>
      <c r="SQ170" s="9"/>
      <c r="SR170" s="9"/>
      <c r="SS170" s="9"/>
      <c r="ST170" s="9"/>
      <c r="SU170" s="9"/>
      <c r="SV170" s="9"/>
      <c r="SW170" s="9"/>
      <c r="SX170" s="9"/>
      <c r="SY170" s="9"/>
      <c r="SZ170" s="9"/>
      <c r="TA170" s="9"/>
      <c r="TB170" s="9"/>
      <c r="TC170" s="9"/>
      <c r="TD170" s="9"/>
      <c r="TE170" s="9"/>
      <c r="TF170" s="9"/>
      <c r="TG170" s="9"/>
      <c r="TH170" s="9"/>
      <c r="TI170" s="9"/>
      <c r="TJ170" s="9"/>
      <c r="TK170" s="9"/>
      <c r="TL170" s="9"/>
      <c r="TM170" s="9"/>
      <c r="TN170" s="9"/>
      <c r="TO170" s="9"/>
      <c r="TP170" s="9"/>
      <c r="TQ170" s="9"/>
      <c r="TR170" s="9"/>
      <c r="TS170" s="9"/>
      <c r="TT170" s="9"/>
      <c r="TU170" s="9"/>
      <c r="TV170" s="9"/>
      <c r="TW170" s="9"/>
      <c r="TX170" s="9"/>
      <c r="TY170" s="9"/>
      <c r="TZ170" s="9"/>
      <c r="UA170" s="9"/>
      <c r="UB170" s="9"/>
      <c r="UC170" s="9"/>
      <c r="UD170" s="9"/>
      <c r="UE170" s="9"/>
      <c r="UF170" s="9"/>
      <c r="UG170" s="9"/>
      <c r="UH170" s="9"/>
      <c r="UI170" s="9"/>
      <c r="UJ170" s="9"/>
      <c r="UK170" s="9"/>
      <c r="UL170" s="9"/>
      <c r="UM170" s="9"/>
      <c r="UN170" s="9"/>
      <c r="UO170" s="9"/>
      <c r="UP170" s="9"/>
      <c r="UQ170" s="9"/>
      <c r="UR170" s="9"/>
      <c r="US170" s="9"/>
      <c r="UT170" s="9"/>
      <c r="UU170" s="9"/>
      <c r="UV170" s="9"/>
      <c r="UW170" s="9"/>
      <c r="UX170" s="9"/>
      <c r="UY170" s="9"/>
      <c r="UZ170" s="9"/>
      <c r="VA170" s="9"/>
      <c r="VB170" s="9"/>
      <c r="VC170" s="9"/>
      <c r="VD170" s="9"/>
      <c r="VE170" s="9"/>
      <c r="VF170" s="9"/>
      <c r="VG170" s="9"/>
      <c r="VH170" s="9"/>
      <c r="VI170" s="9"/>
      <c r="VJ170" s="9"/>
      <c r="VK170" s="9"/>
      <c r="VL170" s="9"/>
      <c r="VM170" s="9"/>
      <c r="VN170" s="9"/>
      <c r="VO170" s="9"/>
      <c r="VP170" s="9"/>
      <c r="VQ170" s="9"/>
      <c r="VR170" s="9"/>
      <c r="VS170" s="9"/>
      <c r="VT170" s="9"/>
      <c r="VU170" s="9"/>
      <c r="VV170" s="9"/>
      <c r="VW170" s="9"/>
      <c r="VX170" s="9"/>
      <c r="VY170" s="9"/>
      <c r="VZ170" s="9"/>
      <c r="WA170" s="9"/>
      <c r="WB170" s="9"/>
      <c r="WC170" s="9"/>
      <c r="WD170" s="9"/>
      <c r="WE170" s="9"/>
      <c r="WF170" s="9"/>
      <c r="WG170" s="9"/>
      <c r="WH170" s="9"/>
      <c r="WI170" s="9"/>
      <c r="WJ170" s="9"/>
      <c r="WK170" s="9"/>
      <c r="WL170" s="9"/>
      <c r="WM170" s="9"/>
      <c r="WN170" s="9"/>
      <c r="WO170" s="9"/>
      <c r="WP170" s="9"/>
      <c r="WQ170" s="9"/>
      <c r="WR170" s="9"/>
      <c r="WS170" s="9"/>
      <c r="WT170" s="9"/>
      <c r="WU170" s="9"/>
      <c r="WV170" s="9"/>
      <c r="WW170" s="9"/>
      <c r="WX170" s="9"/>
      <c r="WY170" s="9"/>
      <c r="WZ170" s="9"/>
      <c r="XA170" s="9"/>
      <c r="XB170" s="9"/>
      <c r="XC170" s="9"/>
      <c r="XD170" s="9"/>
      <c r="XE170" s="9"/>
      <c r="XF170" s="9"/>
      <c r="XG170" s="9"/>
      <c r="XH170" s="9"/>
      <c r="XI170" s="9"/>
      <c r="XJ170" s="9"/>
      <c r="XK170" s="9"/>
      <c r="XL170" s="9"/>
      <c r="XM170" s="9"/>
      <c r="XN170" s="9"/>
      <c r="XO170" s="9"/>
      <c r="XP170" s="9"/>
      <c r="XQ170" s="9"/>
      <c r="XR170" s="9"/>
      <c r="XS170" s="9"/>
      <c r="XT170" s="9"/>
      <c r="XU170" s="9"/>
      <c r="XV170" s="9"/>
      <c r="XW170" s="9"/>
      <c r="XX170" s="9"/>
      <c r="XY170" s="9"/>
      <c r="XZ170" s="9"/>
      <c r="YA170" s="9"/>
      <c r="YB170" s="9"/>
      <c r="YC170" s="9"/>
      <c r="YD170" s="9"/>
      <c r="YE170" s="9"/>
      <c r="YF170" s="9"/>
      <c r="YG170" s="9"/>
      <c r="YH170" s="9"/>
      <c r="YI170" s="9"/>
      <c r="YJ170" s="9"/>
      <c r="YK170" s="9"/>
      <c r="YL170" s="9"/>
      <c r="YM170" s="9"/>
      <c r="YN170" s="9"/>
      <c r="YO170" s="9"/>
      <c r="YP170" s="9"/>
      <c r="YQ170" s="9"/>
      <c r="YR170" s="9"/>
      <c r="YS170" s="9"/>
      <c r="YT170" s="9"/>
      <c r="YU170" s="9"/>
      <c r="YV170" s="9"/>
      <c r="YW170" s="9"/>
      <c r="YX170" s="9"/>
      <c r="YY170" s="9"/>
      <c r="YZ170" s="9"/>
      <c r="ZA170" s="9"/>
      <c r="ZB170" s="9"/>
      <c r="ZC170" s="9"/>
      <c r="ZD170" s="9"/>
      <c r="ZE170" s="9"/>
      <c r="ZF170" s="9"/>
      <c r="ZG170" s="9"/>
      <c r="ZH170" s="9"/>
      <c r="ZI170" s="9"/>
      <c r="ZJ170" s="9"/>
      <c r="ZK170" s="9"/>
      <c r="ZL170" s="9"/>
      <c r="ZM170" s="9"/>
      <c r="ZN170" s="9"/>
      <c r="ZO170" s="9"/>
      <c r="ZP170" s="9"/>
      <c r="ZQ170" s="9"/>
      <c r="ZR170" s="9"/>
      <c r="ZS170" s="9"/>
      <c r="ZT170" s="9"/>
      <c r="ZU170" s="9"/>
      <c r="ZV170" s="9"/>
      <c r="ZW170" s="9"/>
      <c r="ZX170" s="9"/>
      <c r="ZY170" s="9"/>
      <c r="ZZ170" s="9"/>
      <c r="AAA170" s="9"/>
      <c r="AAB170" s="9"/>
      <c r="AAC170" s="9"/>
      <c r="AAD170" s="9"/>
      <c r="AAE170" s="9"/>
      <c r="AAF170" s="9"/>
      <c r="AAG170" s="9"/>
      <c r="AAH170" s="9"/>
      <c r="AAI170" s="9"/>
      <c r="AAJ170" s="9"/>
      <c r="AAK170" s="9"/>
      <c r="AAL170" s="9"/>
      <c r="AAM170" s="9"/>
      <c r="AAN170" s="9"/>
      <c r="AAO170" s="9"/>
      <c r="AAP170" s="9"/>
      <c r="AAQ170" s="9"/>
      <c r="AAR170" s="9"/>
      <c r="AAS170" s="9"/>
      <c r="AAT170" s="9"/>
      <c r="AAU170" s="9"/>
      <c r="AAV170" s="9"/>
      <c r="AAW170" s="9"/>
      <c r="AAX170" s="9"/>
      <c r="AAY170" s="9"/>
      <c r="AAZ170" s="9"/>
      <c r="ABA170" s="9"/>
      <c r="ABB170" s="9"/>
      <c r="ABC170" s="9"/>
      <c r="ABD170" s="9"/>
      <c r="ABE170" s="9"/>
      <c r="ABF170" s="9"/>
      <c r="ABG170" s="9"/>
      <c r="ABH170" s="9"/>
      <c r="ABI170" s="9"/>
      <c r="ABJ170" s="9"/>
      <c r="ABK170" s="9"/>
      <c r="ABL170" s="9"/>
      <c r="ABM170" s="9"/>
      <c r="ABN170" s="9"/>
      <c r="ABO170" s="9"/>
      <c r="ABP170" s="9"/>
      <c r="ABQ170" s="9"/>
      <c r="ABR170" s="9"/>
      <c r="ABS170" s="9"/>
      <c r="ABT170" s="9"/>
      <c r="ABU170" s="9"/>
      <c r="ABV170" s="9"/>
      <c r="ABW170" s="9"/>
      <c r="ABX170" s="9"/>
      <c r="ABY170" s="9"/>
      <c r="ABZ170" s="9"/>
      <c r="ACA170" s="9"/>
      <c r="ACB170" s="9"/>
      <c r="ACC170" s="9"/>
      <c r="ACD170" s="9"/>
      <c r="ACE170" s="9"/>
      <c r="ACF170" s="9"/>
      <c r="ACG170" s="9"/>
      <c r="ACH170" s="9"/>
      <c r="ACI170" s="9"/>
      <c r="ACJ170" s="9"/>
      <c r="ACK170" s="9"/>
      <c r="ACL170" s="9"/>
      <c r="ACM170" s="9"/>
      <c r="ACN170" s="9"/>
      <c r="ACO170" s="9"/>
      <c r="ACP170" s="9"/>
      <c r="ACQ170" s="9"/>
      <c r="ACR170" s="9"/>
      <c r="ACS170" s="9"/>
      <c r="ACT170" s="9"/>
      <c r="ACU170" s="9"/>
      <c r="ACV170" s="9"/>
      <c r="ACW170" s="9"/>
      <c r="ACX170" s="9"/>
      <c r="ACY170" s="9"/>
      <c r="ACZ170" s="9"/>
      <c r="ADA170" s="9"/>
      <c r="ADB170" s="9"/>
      <c r="ADC170" s="9"/>
      <c r="ADD170" s="9"/>
      <c r="ADE170" s="9"/>
      <c r="ADF170" s="9"/>
      <c r="ADG170" s="9"/>
      <c r="ADH170" s="9"/>
      <c r="ADI170" s="9"/>
      <c r="ADJ170" s="9"/>
      <c r="ADK170" s="9"/>
      <c r="ADL170" s="9"/>
      <c r="ADM170" s="9"/>
      <c r="ADN170" s="9"/>
      <c r="ADO170" s="9"/>
      <c r="ADP170" s="9"/>
      <c r="ADQ170" s="9"/>
      <c r="ADR170" s="9"/>
      <c r="ADS170" s="9"/>
      <c r="ADT170" s="9"/>
      <c r="ADU170" s="9"/>
      <c r="ADV170" s="9"/>
      <c r="ADW170" s="9"/>
      <c r="ADX170" s="9"/>
      <c r="ADY170" s="9"/>
      <c r="ADZ170" s="9"/>
      <c r="AEA170" s="9"/>
      <c r="AEB170" s="9"/>
      <c r="AEC170" s="9"/>
      <c r="AED170" s="9"/>
      <c r="AEE170" s="9"/>
      <c r="AEF170" s="9"/>
      <c r="AEG170" s="9"/>
      <c r="AEH170" s="9"/>
      <c r="AEI170" s="9"/>
      <c r="AEJ170" s="9"/>
      <c r="AEK170" s="9"/>
      <c r="AEL170" s="9"/>
      <c r="AEM170" s="9"/>
      <c r="AEN170" s="9"/>
      <c r="AEO170" s="9"/>
      <c r="AEP170" s="9"/>
      <c r="AEQ170" s="9"/>
      <c r="AER170" s="9"/>
      <c r="AES170" s="9"/>
      <c r="AET170" s="9"/>
      <c r="AEU170" s="9"/>
      <c r="AEV170" s="9"/>
      <c r="AEW170" s="9"/>
      <c r="AEX170" s="9"/>
      <c r="AEY170" s="9"/>
      <c r="AEZ170" s="9"/>
      <c r="AFA170" s="9"/>
      <c r="AFB170" s="9"/>
      <c r="AFC170" s="9"/>
      <c r="AFD170" s="9"/>
      <c r="AFE170" s="9"/>
      <c r="AFF170" s="9"/>
      <c r="AFG170" s="9"/>
      <c r="AFH170" s="9"/>
      <c r="AFI170" s="9"/>
      <c r="AFJ170" s="9"/>
      <c r="AFK170" s="9"/>
      <c r="AFL170" s="9"/>
      <c r="AFM170" s="9"/>
      <c r="AFN170" s="9"/>
      <c r="AFO170" s="9"/>
      <c r="AFP170" s="9"/>
      <c r="AFQ170" s="9"/>
      <c r="AFR170" s="9"/>
      <c r="AFS170" s="9"/>
      <c r="AFT170" s="9"/>
      <c r="AFU170" s="9"/>
      <c r="AFV170" s="9"/>
      <c r="AFW170" s="9"/>
      <c r="AFX170" s="9"/>
      <c r="AFY170" s="9"/>
      <c r="AFZ170" s="9"/>
      <c r="AGA170" s="9"/>
      <c r="AGB170" s="9"/>
      <c r="AGC170" s="9"/>
      <c r="AGD170" s="9"/>
      <c r="AGE170" s="9"/>
      <c r="AGF170" s="9"/>
      <c r="AGG170" s="9"/>
      <c r="AGH170" s="9"/>
      <c r="AGI170" s="9"/>
      <c r="AGJ170" s="9"/>
      <c r="AGK170" s="9"/>
      <c r="AGL170" s="9"/>
      <c r="AGM170" s="9"/>
      <c r="AGN170" s="9"/>
      <c r="AGO170" s="9"/>
      <c r="AGP170" s="9"/>
      <c r="AGQ170" s="9"/>
      <c r="AGR170" s="9"/>
      <c r="AGS170" s="9"/>
      <c r="AGT170" s="9"/>
      <c r="AGU170" s="9"/>
      <c r="AGV170" s="9"/>
      <c r="AGW170" s="9"/>
      <c r="AGX170" s="9"/>
      <c r="AGY170" s="9"/>
      <c r="AGZ170" s="9"/>
      <c r="AHA170" s="9"/>
      <c r="AHB170" s="9"/>
      <c r="AHC170" s="9"/>
      <c r="AHD170" s="9"/>
      <c r="AHE170" s="9"/>
      <c r="AHF170" s="9"/>
      <c r="AHG170" s="9"/>
      <c r="AHH170" s="9"/>
      <c r="AHI170" s="9"/>
      <c r="AHJ170" s="9"/>
      <c r="AHK170" s="9"/>
      <c r="AHL170" s="9"/>
      <c r="AHM170" s="9"/>
      <c r="AHN170" s="9"/>
      <c r="AHO170" s="9"/>
      <c r="AHP170" s="9"/>
      <c r="AHQ170" s="9"/>
      <c r="AHR170" s="9"/>
      <c r="AHS170" s="9"/>
      <c r="AHT170" s="9"/>
      <c r="AHU170" s="9"/>
      <c r="AHV170" s="9"/>
      <c r="AHW170" s="9"/>
      <c r="AHX170" s="9"/>
      <c r="AHY170" s="9"/>
      <c r="AHZ170" s="9"/>
      <c r="AIA170" s="9"/>
      <c r="AIB170" s="9"/>
      <c r="AIC170" s="9"/>
      <c r="AID170" s="9"/>
      <c r="AIE170" s="9"/>
      <c r="AIF170" s="9"/>
      <c r="AIG170" s="9"/>
      <c r="AIH170" s="9"/>
      <c r="AII170" s="9"/>
      <c r="AIJ170" s="9"/>
      <c r="AIK170" s="9"/>
      <c r="AIL170" s="9"/>
      <c r="AIM170" s="9"/>
      <c r="AIN170" s="9"/>
      <c r="AIO170" s="9"/>
      <c r="AIP170" s="9"/>
      <c r="AIQ170" s="9"/>
      <c r="AIR170" s="9"/>
      <c r="AIS170" s="9"/>
      <c r="AIT170" s="9"/>
      <c r="AIU170" s="9"/>
      <c r="AIV170" s="9"/>
      <c r="AIW170" s="9"/>
      <c r="AIX170" s="9"/>
      <c r="AIY170" s="9"/>
      <c r="AIZ170" s="9"/>
      <c r="AJA170" s="9"/>
      <c r="AJB170" s="9"/>
      <c r="AJC170" s="9"/>
      <c r="AJD170" s="9"/>
      <c r="AJE170" s="9"/>
      <c r="AJF170" s="9"/>
      <c r="AJG170" s="9"/>
      <c r="AJH170" s="9"/>
      <c r="AJI170" s="9"/>
      <c r="AJJ170" s="9"/>
      <c r="AJK170" s="9"/>
      <c r="AJL170" s="9"/>
      <c r="AJM170" s="9"/>
      <c r="AJN170" s="9"/>
      <c r="AJO170" s="9"/>
      <c r="AJP170" s="9"/>
      <c r="AJQ170" s="9"/>
      <c r="AJR170" s="9"/>
      <c r="AJS170" s="9"/>
      <c r="AJT170" s="9"/>
      <c r="AJU170" s="9"/>
      <c r="AJV170" s="9"/>
      <c r="AJW170" s="9"/>
      <c r="AJX170" s="9"/>
      <c r="AJY170" s="9"/>
      <c r="AJZ170" s="9"/>
      <c r="AKA170" s="9"/>
      <c r="AKB170" s="9"/>
      <c r="AKC170" s="9"/>
      <c r="AKD170" s="9"/>
      <c r="AKE170" s="9"/>
      <c r="AKF170" s="9"/>
      <c r="AKG170" s="9"/>
      <c r="AKH170" s="9"/>
      <c r="AKI170" s="9"/>
      <c r="AKJ170" s="9"/>
      <c r="AKK170" s="9"/>
      <c r="AKL170" s="9"/>
      <c r="AKM170" s="9"/>
      <c r="AKN170" s="9"/>
      <c r="AKO170" s="9"/>
      <c r="AKP170" s="9"/>
      <c r="AKQ170" s="9"/>
      <c r="AKR170" s="9"/>
      <c r="AKS170" s="9"/>
      <c r="AKT170" s="9"/>
      <c r="AKU170" s="9"/>
      <c r="AKV170" s="9"/>
      <c r="AKW170" s="9"/>
      <c r="AKX170" s="9"/>
      <c r="AKY170" s="9"/>
      <c r="AKZ170" s="9"/>
      <c r="ALA170" s="9"/>
      <c r="ALB170" s="9"/>
      <c r="ALC170" s="9"/>
      <c r="ALD170" s="9"/>
      <c r="ALE170" s="9"/>
      <c r="ALF170" s="9"/>
      <c r="ALG170" s="9"/>
      <c r="ALH170" s="9"/>
      <c r="ALI170" s="9"/>
      <c r="ALJ170" s="9"/>
      <c r="ALK170" s="9"/>
      <c r="ALL170" s="9"/>
      <c r="ALM170" s="9"/>
      <c r="ALN170" s="9"/>
      <c r="ALO170" s="9"/>
      <c r="ALP170" s="9"/>
      <c r="ALQ170" s="9"/>
      <c r="ALR170" s="9"/>
      <c r="ALS170" s="9"/>
      <c r="ALT170" s="9"/>
      <c r="ALU170" s="9"/>
      <c r="ALV170" s="9"/>
      <c r="ALW170" s="9"/>
      <c r="ALX170" s="9"/>
      <c r="ALY170" s="9"/>
      <c r="ALZ170" s="9"/>
      <c r="AMA170" s="9"/>
      <c r="AMB170" s="9"/>
      <c r="AMC170" s="9"/>
      <c r="AMD170" s="9"/>
      <c r="AME170" s="9"/>
      <c r="AMF170" s="9"/>
      <c r="AMG170" s="9"/>
      <c r="AMH170" s="9"/>
      <c r="AMI170" s="9"/>
      <c r="AMJ170" s="9"/>
      <c r="AMK170" s="9"/>
      <c r="AML170" s="9"/>
      <c r="AMM170" s="9"/>
      <c r="AMN170" s="9"/>
      <c r="AMO170" s="9"/>
    </row>
    <row r="171" spans="1:1029" x14ac:dyDescent="0.2">
      <c r="A171" s="3" t="str">
        <f>CONCATENATE(B171,"_",C171)</f>
        <v>ffar1_human_5TZR</v>
      </c>
      <c r="B171" s="3" t="s">
        <v>1173</v>
      </c>
      <c r="C171" s="3" t="s">
        <v>1426</v>
      </c>
      <c r="D171" s="3" t="str">
        <f>IFERROR(MID(VLOOKUP($B171,Seqs!$A:$B,2,0),E171,1),"")</f>
        <v>P</v>
      </c>
      <c r="E171" s="3">
        <v>4</v>
      </c>
      <c r="F171" s="3" t="str">
        <f>IFERROR(MID(VLOOKUP($B171,Seqs!$A:$B,2,0),G171,1),"")</f>
        <v>R</v>
      </c>
      <c r="G171" s="3">
        <v>37</v>
      </c>
      <c r="H171" s="3" t="str">
        <f>IFERROR(MID(VLOOKUP($B171,Seqs!$A:$B,2,0),I171,1),"")</f>
        <v/>
      </c>
      <c r="I171" s="23" t="s">
        <v>23</v>
      </c>
      <c r="J171" s="3" t="str">
        <f>IFERROR(MID(VLOOKUP($B171,Seqs!$A:$B,2,0),K171,1),"")</f>
        <v/>
      </c>
      <c r="K171" s="23" t="s">
        <v>23</v>
      </c>
      <c r="L171" s="3" t="str">
        <f>IFERROR(MID(VLOOKUP($B171,Seqs!$A:$B,2,0),M171,1),"")</f>
        <v>T</v>
      </c>
      <c r="M171" s="3">
        <v>39</v>
      </c>
      <c r="N171" s="3" t="str">
        <f>IFERROR(MID(VLOOKUP($B171,Seqs!$A:$B,2,0),O171,1),"")</f>
        <v>S</v>
      </c>
      <c r="O171" s="3">
        <v>69</v>
      </c>
      <c r="P171" s="3" t="str">
        <f>IFERROR(MID(VLOOKUP($B171,Seqs!$A:$B,2,0),Q171,1),"")</f>
        <v>A</v>
      </c>
      <c r="Q171" s="3">
        <v>71</v>
      </c>
      <c r="R171" s="3" t="str">
        <f>IFERROR(MID(VLOOKUP($B171,Seqs!$A:$B,2,0),S171,1),"")</f>
        <v>L</v>
      </c>
      <c r="S171" s="3">
        <v>74</v>
      </c>
      <c r="T171" s="3" t="str">
        <f>IFERROR(MID(VLOOKUP($B171,Seqs!$A:$B,2,0),U171,1),"")</f>
        <v>P</v>
      </c>
      <c r="U171" s="3">
        <v>75</v>
      </c>
      <c r="V171" s="3" t="str">
        <f>IFERROR(MID(VLOOKUP($B171,Seqs!$A:$B,2,0),W171,1),"")</f>
        <v>F</v>
      </c>
      <c r="W171" s="3">
        <v>110</v>
      </c>
      <c r="X171" s="3" t="str">
        <f>IFERROR(MID(VLOOKUP($B171,Seqs!$A:$B,2,0),Y171,1),"")</f>
        <v/>
      </c>
      <c r="Y171" s="3" t="s">
        <v>23</v>
      </c>
      <c r="Z171" s="3" t="str">
        <f>IFERROR(MID(VLOOKUP($B171,Seqs!$A:$B,2,0),AA171,1),"")</f>
        <v/>
      </c>
      <c r="AA171" s="3" t="s">
        <v>23</v>
      </c>
      <c r="AB171" s="3" t="str">
        <f>IFERROR(MID(VLOOKUP($B171,Seqs!$A:$B,2,0),AC171,1),"")</f>
        <v>C</v>
      </c>
      <c r="AC171" s="3">
        <v>121</v>
      </c>
      <c r="AD171" s="3" t="str">
        <f>IFERROR(MID(VLOOKUP($B171,Seqs!$A:$B,2,0),AE171,1),"")</f>
        <v>A</v>
      </c>
      <c r="AE171" s="3">
        <v>146</v>
      </c>
      <c r="AF171" s="3" t="str">
        <f>IFERROR(MID(VLOOKUP($B171,Seqs!$A:$B,2,0),AG171,1),"")</f>
        <v>C</v>
      </c>
      <c r="AG171" s="3">
        <v>170</v>
      </c>
      <c r="AH171" s="3" t="str">
        <f>IFERROR(MID(VLOOKUP($B171,Seqs!$A:$B,2,0),AI171,1),"")</f>
        <v>E</v>
      </c>
      <c r="AI171" s="3">
        <v>172</v>
      </c>
      <c r="AJ171" s="3" t="str">
        <f>IFERROR(MID(VLOOKUP($B171,Seqs!$A:$B,2,0),AK171,1),"")</f>
        <v>D</v>
      </c>
      <c r="AK171" s="3">
        <v>175</v>
      </c>
      <c r="AL171" s="3" t="str">
        <f>IFERROR(MID(VLOOKUP($B171,Seqs!$A:$B,2,0),AM171,1),"")</f>
        <v>R</v>
      </c>
      <c r="AM171" s="3">
        <v>211</v>
      </c>
      <c r="AN171" s="3" t="str">
        <f>IFERROR(MID(VLOOKUP($B171,Seqs!$A:$B,2,0),AO171,1),"")</f>
        <v>L</v>
      </c>
      <c r="AO171" s="3">
        <v>214</v>
      </c>
      <c r="AP171" s="3" t="str">
        <f>IFERROR(MID(VLOOKUP($B171,Seqs!$A:$B,2,0),AQ171,1),"")</f>
        <v>Y</v>
      </c>
      <c r="AQ171" s="3">
        <v>250</v>
      </c>
      <c r="AR171" s="3" t="str">
        <f>IFERROR(MID(VLOOKUP($B171,Seqs!$A:$B,2,0),AS171,1),"")</f>
        <v>G</v>
      </c>
      <c r="AS171" s="3">
        <v>255</v>
      </c>
      <c r="AT171" s="3" t="str">
        <f>IFERROR(MID(VLOOKUP($B171,Seqs!$A:$B,2,0),AU171,1),"")</f>
        <v>T</v>
      </c>
      <c r="AU171" s="3">
        <v>276</v>
      </c>
      <c r="AV171" s="3" t="str">
        <f>IFERROR(MID(VLOOKUP($B171,Seqs!$A:$B,2,0),AW171,1),"")</f>
        <v/>
      </c>
      <c r="AW171" s="3" t="s">
        <v>23</v>
      </c>
      <c r="AX171" s="3" t="str">
        <f>IFERROR(MID(VLOOKUP($B171,Seqs!$A:$B,2,0),AY171,1),"")</f>
        <v/>
      </c>
      <c r="AY171" s="3" t="s">
        <v>23</v>
      </c>
      <c r="AZ171" s="77" t="str">
        <f>VLOOKUP(B171,Classification!A:D,2,0)</f>
        <v>A</v>
      </c>
      <c r="BA171" s="94" t="str">
        <f>VLOOKUP(B171,Classification!A:D,4,0)</f>
        <v>Freefattyacid</v>
      </c>
      <c r="BB171" s="27" t="b">
        <f>AND(E171&lt;G171,OR(G171&lt;I171,I171="-"),OR(I171&lt;K171,I171="-"),OR(K171&lt;M171,K171="-"),M171&lt;O171,OR(O171&lt;Q171,Q171="-"),OR(Q171&lt;S171,Q171="-"),OR(S171&lt;U171,S171="-"),U171&lt;W171,OR(W171&lt;Y171,Y171="-"),OR(Y171&lt;AA171,Y171="-"),OR(AA171&lt;AC171,AA171="-"),AC171&lt;AE171,OR(AE171&lt;AG171,AG171="-"),OR(AG171&lt;AI171,AG171="-"),OR(AI171&lt;AK171,AI171="-"),AK171&lt;AM171,AM171&lt;AO171,AO171&lt;AQ171,AQ171&lt;AS171,AS171&lt;AU171,OR(AU171&lt;AW171,AW171="-"),OR(AW171&lt;AY171,AW171="-"))</f>
        <v>1</v>
      </c>
      <c r="BC171" s="23">
        <f>_xlfn.AGGREGATE(9,6,CH171:CS171)-_xlfn.AGGREGATE(9,6,BV171:CG171)+12</f>
        <v>233</v>
      </c>
      <c r="BD171" s="16" t="s">
        <v>23</v>
      </c>
      <c r="BE171" s="3" t="s">
        <v>1439</v>
      </c>
      <c r="BF171" s="119">
        <v>2.2000000000000002</v>
      </c>
      <c r="BG171" s="49" t="s">
        <v>1</v>
      </c>
      <c r="BH171" s="49" t="s">
        <v>1</v>
      </c>
      <c r="BI171" s="1"/>
      <c r="BJ171" s="70" t="s">
        <v>1293</v>
      </c>
      <c r="BK171" s="57" t="s">
        <v>1293</v>
      </c>
      <c r="BL171" s="57" t="s">
        <v>1293</v>
      </c>
      <c r="BM171" s="57" t="s">
        <v>1293</v>
      </c>
      <c r="BN171" s="57" t="s">
        <v>1293</v>
      </c>
      <c r="BO171" s="57" t="s">
        <v>1293</v>
      </c>
      <c r="BP171" s="57" t="s">
        <v>1293</v>
      </c>
      <c r="BQ171" s="57" t="s">
        <v>1293</v>
      </c>
      <c r="BR171" s="57" t="s">
        <v>1293</v>
      </c>
      <c r="BS171" s="57" t="s">
        <v>1293</v>
      </c>
      <c r="BT171" s="57" t="s">
        <v>1293</v>
      </c>
      <c r="BU171" s="57" t="s">
        <v>1293</v>
      </c>
      <c r="BV171" s="70">
        <f>E171</f>
        <v>4</v>
      </c>
      <c r="BW171" s="71" t="str">
        <f>I171</f>
        <v>-</v>
      </c>
      <c r="BX171" s="72">
        <f>M171</f>
        <v>39</v>
      </c>
      <c r="BY171" s="71">
        <f>Q171</f>
        <v>71</v>
      </c>
      <c r="BZ171" s="72">
        <f>U171</f>
        <v>75</v>
      </c>
      <c r="CA171" s="71" t="str">
        <f>Y171</f>
        <v>-</v>
      </c>
      <c r="CB171" s="72">
        <f>AC171</f>
        <v>121</v>
      </c>
      <c r="CC171" s="71">
        <f>AG171</f>
        <v>170</v>
      </c>
      <c r="CD171" s="72">
        <f>AK171</f>
        <v>175</v>
      </c>
      <c r="CE171" s="71">
        <f>AO171</f>
        <v>214</v>
      </c>
      <c r="CF171" s="72">
        <f>AS171</f>
        <v>255</v>
      </c>
      <c r="CG171" s="71" t="str">
        <f>AW171</f>
        <v>-</v>
      </c>
      <c r="CH171" s="70">
        <f>G171</f>
        <v>37</v>
      </c>
      <c r="CI171" s="71" t="str">
        <f>K171</f>
        <v>-</v>
      </c>
      <c r="CJ171" s="72">
        <f>O171</f>
        <v>69</v>
      </c>
      <c r="CK171" s="72">
        <f>S171</f>
        <v>74</v>
      </c>
      <c r="CL171" s="72">
        <f>W171</f>
        <v>110</v>
      </c>
      <c r="CM171" s="72" t="str">
        <f>AA171</f>
        <v>-</v>
      </c>
      <c r="CN171" s="72">
        <f>AE171</f>
        <v>146</v>
      </c>
      <c r="CO171" s="72">
        <f>AI171</f>
        <v>172</v>
      </c>
      <c r="CP171" s="72">
        <f>AM171</f>
        <v>211</v>
      </c>
      <c r="CQ171" s="72">
        <f>AQ171</f>
        <v>250</v>
      </c>
      <c r="CR171" s="72">
        <f>AU171</f>
        <v>276</v>
      </c>
      <c r="CS171" s="72" t="str">
        <f>AY171</f>
        <v>-</v>
      </c>
      <c r="CT171" s="23" t="e">
        <f>M171-K171</f>
        <v>#VALUE!</v>
      </c>
    </row>
    <row r="172" spans="1:1029" x14ac:dyDescent="0.2">
      <c r="A172" s="3" t="str">
        <f>CONCATENATE(B172,"_",C172)</f>
        <v>ffar1_human_5TZY</v>
      </c>
      <c r="B172" s="3" t="s">
        <v>1173</v>
      </c>
      <c r="C172" s="3" t="s">
        <v>1427</v>
      </c>
      <c r="D172" s="3" t="str">
        <f>IFERROR(MID(VLOOKUP($B172,Seqs!$A:$B,2,0),E172,1),"")</f>
        <v>P</v>
      </c>
      <c r="E172" s="3">
        <v>4</v>
      </c>
      <c r="F172" s="3" t="str">
        <f>IFERROR(MID(VLOOKUP($B172,Seqs!$A:$B,2,0),G172,1),"")</f>
        <v>R</v>
      </c>
      <c r="G172" s="3">
        <v>37</v>
      </c>
      <c r="H172" s="3" t="str">
        <f>IFERROR(MID(VLOOKUP($B172,Seqs!$A:$B,2,0),I172,1),"")</f>
        <v/>
      </c>
      <c r="I172" s="23" t="s">
        <v>23</v>
      </c>
      <c r="J172" s="3" t="str">
        <f>IFERROR(MID(VLOOKUP($B172,Seqs!$A:$B,2,0),K172,1),"")</f>
        <v/>
      </c>
      <c r="K172" s="23" t="s">
        <v>23</v>
      </c>
      <c r="L172" s="3" t="str">
        <f>IFERROR(MID(VLOOKUP($B172,Seqs!$A:$B,2,0),M172,1),"")</f>
        <v>T</v>
      </c>
      <c r="M172" s="3">
        <v>39</v>
      </c>
      <c r="N172" s="3" t="str">
        <f>IFERROR(MID(VLOOKUP($B172,Seqs!$A:$B,2,0),O172,1),"")</f>
        <v>A</v>
      </c>
      <c r="O172" s="3">
        <v>68</v>
      </c>
      <c r="P172" s="3" t="str">
        <f>IFERROR(MID(VLOOKUP($B172,Seqs!$A:$B,2,0),Q172,1),"")</f>
        <v>A</v>
      </c>
      <c r="Q172" s="3">
        <v>71</v>
      </c>
      <c r="R172" s="3" t="str">
        <f>IFERROR(MID(VLOOKUP($B172,Seqs!$A:$B,2,0),S172,1),"")</f>
        <v>L</v>
      </c>
      <c r="S172" s="3">
        <v>74</v>
      </c>
      <c r="T172" s="3" t="str">
        <f>IFERROR(MID(VLOOKUP($B172,Seqs!$A:$B,2,0),U172,1),"")</f>
        <v>P</v>
      </c>
      <c r="U172" s="3">
        <v>75</v>
      </c>
      <c r="V172" s="3" t="str">
        <f>IFERROR(MID(VLOOKUP($B172,Seqs!$A:$B,2,0),W172,1),"")</f>
        <v>F</v>
      </c>
      <c r="W172" s="3">
        <v>110</v>
      </c>
      <c r="X172" s="3" t="str">
        <f>IFERROR(MID(VLOOKUP($B172,Seqs!$A:$B,2,0),Y172,1),"")</f>
        <v>P</v>
      </c>
      <c r="Y172" s="3">
        <v>111</v>
      </c>
      <c r="Z172" s="3" t="str">
        <f>IFERROR(MID(VLOOKUP($B172,Seqs!$A:$B,2,0),AA172,1),"")</f>
        <v>R</v>
      </c>
      <c r="AA172" s="3">
        <v>118</v>
      </c>
      <c r="AB172" s="3" t="str">
        <f>IFERROR(MID(VLOOKUP($B172,Seqs!$A:$B,2,0),AC172,1),"")</f>
        <v>R</v>
      </c>
      <c r="AC172" s="3">
        <v>119</v>
      </c>
      <c r="AD172" s="3" t="str">
        <f>IFERROR(MID(VLOOKUP($B172,Seqs!$A:$B,2,0),AE172,1),"")</f>
        <v>A</v>
      </c>
      <c r="AE172" s="3">
        <v>146</v>
      </c>
      <c r="AF172" s="3" t="str">
        <f>IFERROR(MID(VLOOKUP($B172,Seqs!$A:$B,2,0),AG172,1),"")</f>
        <v>C</v>
      </c>
      <c r="AG172" s="3">
        <v>170</v>
      </c>
      <c r="AH172" s="3" t="str">
        <f>IFERROR(MID(VLOOKUP($B172,Seqs!$A:$B,2,0),AI172,1),"")</f>
        <v>E</v>
      </c>
      <c r="AI172" s="3">
        <v>172</v>
      </c>
      <c r="AJ172" s="3" t="str">
        <f>IFERROR(MID(VLOOKUP($B172,Seqs!$A:$B,2,0),AK172,1),"")</f>
        <v>D</v>
      </c>
      <c r="AK172" s="3">
        <v>175</v>
      </c>
      <c r="AL172" s="3" t="str">
        <f>IFERROR(MID(VLOOKUP($B172,Seqs!$A:$B,2,0),AM172,1),"")</f>
        <v>R</v>
      </c>
      <c r="AM172" s="3">
        <v>211</v>
      </c>
      <c r="AN172" s="3" t="str">
        <f>IFERROR(MID(VLOOKUP($B172,Seqs!$A:$B,2,0),AO172,1),"")</f>
        <v>T</v>
      </c>
      <c r="AO172" s="3">
        <v>215</v>
      </c>
      <c r="AP172" s="3" t="str">
        <f>IFERROR(MID(VLOOKUP($B172,Seqs!$A:$B,2,0),AQ172,1),"")</f>
        <v>Y</v>
      </c>
      <c r="AQ172" s="3">
        <v>250</v>
      </c>
      <c r="AR172" s="3" t="str">
        <f>IFERROR(MID(VLOOKUP($B172,Seqs!$A:$B,2,0),AS172,1),"")</f>
        <v>G</v>
      </c>
      <c r="AS172" s="3">
        <v>254</v>
      </c>
      <c r="AT172" s="3" t="str">
        <f>IFERROR(MID(VLOOKUP($B172,Seqs!$A:$B,2,0),AU172,1),"")</f>
        <v>G</v>
      </c>
      <c r="AU172" s="3">
        <v>277</v>
      </c>
      <c r="AV172" s="3" t="str">
        <f>IFERROR(MID(VLOOKUP($B172,Seqs!$A:$B,2,0),AW172,1),"")</f>
        <v/>
      </c>
      <c r="AW172" s="3" t="s">
        <v>23</v>
      </c>
      <c r="AX172" s="3" t="str">
        <f>IFERROR(MID(VLOOKUP($B172,Seqs!$A:$B,2,0),AY172,1),"")</f>
        <v/>
      </c>
      <c r="AY172" s="3" t="s">
        <v>23</v>
      </c>
      <c r="AZ172" s="77" t="str">
        <f>VLOOKUP(B172,Classification!A:D,2,0)</f>
        <v>A</v>
      </c>
      <c r="BA172" s="94" t="str">
        <f>VLOOKUP(B172,Classification!A:D,4,0)</f>
        <v>Freefattyacid</v>
      </c>
      <c r="BB172" s="27" t="b">
        <f>AND(E172&lt;G172,OR(G172&lt;I172,I172="-"),OR(I172&lt;K172,I172="-"),OR(K172&lt;M172,K172="-"),M172&lt;O172,OR(O172&lt;Q172,Q172="-"),OR(Q172&lt;S172,Q172="-"),OR(S172&lt;U172,S172="-"),U172&lt;W172,OR(W172&lt;Y172,Y172="-"),OR(Y172&lt;AA172,Y172="-"),OR(AA172&lt;AC172,AA172="-"),AC172&lt;AE172,OR(AE172&lt;AG172,AG172="-"),OR(AG172&lt;AI172,AG172="-"),OR(AI172&lt;AK172,AI172="-"),AK172&lt;AM172,AM172&lt;AO172,AO172&lt;AQ172,AQ172&lt;AS172,AS172&lt;AU172,OR(AU172&lt;AW172,AW172="-"),OR(AW172&lt;AY172,AW172="-"))</f>
        <v>1</v>
      </c>
      <c r="BC172" s="23">
        <f>_xlfn.AGGREGATE(9,6,CH172:CS172)-_xlfn.AGGREGATE(9,6,BV172:CG172)+12</f>
        <v>242</v>
      </c>
      <c r="BD172" s="16" t="s">
        <v>1440</v>
      </c>
      <c r="BE172" s="3" t="s">
        <v>1439</v>
      </c>
      <c r="BF172" s="119">
        <v>3.22</v>
      </c>
      <c r="BG172" s="49" t="s">
        <v>1</v>
      </c>
      <c r="BH172" s="49" t="s">
        <v>1</v>
      </c>
      <c r="BI172" s="1"/>
      <c r="BJ172" s="70" t="s">
        <v>1293</v>
      </c>
      <c r="BK172" s="57" t="s">
        <v>1293</v>
      </c>
      <c r="BL172" s="57" t="s">
        <v>1293</v>
      </c>
      <c r="BM172" s="57" t="s">
        <v>1293</v>
      </c>
      <c r="BN172" s="57" t="s">
        <v>1293</v>
      </c>
      <c r="BO172" s="57" t="s">
        <v>1293</v>
      </c>
      <c r="BP172" s="57" t="s">
        <v>1293</v>
      </c>
      <c r="BQ172" s="57" t="s">
        <v>1293</v>
      </c>
      <c r="BR172" s="57" t="s">
        <v>1293</v>
      </c>
      <c r="BS172" s="57" t="s">
        <v>1293</v>
      </c>
      <c r="BT172" s="57" t="s">
        <v>1293</v>
      </c>
      <c r="BU172" s="57" t="s">
        <v>1293</v>
      </c>
      <c r="BV172" s="70">
        <f>E172</f>
        <v>4</v>
      </c>
      <c r="BW172" s="71" t="str">
        <f>I172</f>
        <v>-</v>
      </c>
      <c r="BX172" s="72">
        <f>M172</f>
        <v>39</v>
      </c>
      <c r="BY172" s="71">
        <f>Q172</f>
        <v>71</v>
      </c>
      <c r="BZ172" s="72">
        <f>U172</f>
        <v>75</v>
      </c>
      <c r="CA172" s="71">
        <f>Y172</f>
        <v>111</v>
      </c>
      <c r="CB172" s="72">
        <f>AC172</f>
        <v>119</v>
      </c>
      <c r="CC172" s="71">
        <f>AG172</f>
        <v>170</v>
      </c>
      <c r="CD172" s="72">
        <f>AK172</f>
        <v>175</v>
      </c>
      <c r="CE172" s="71">
        <f>AO172</f>
        <v>215</v>
      </c>
      <c r="CF172" s="72">
        <f>AS172</f>
        <v>254</v>
      </c>
      <c r="CG172" s="71" t="str">
        <f>AW172</f>
        <v>-</v>
      </c>
      <c r="CH172" s="70">
        <f>G172</f>
        <v>37</v>
      </c>
      <c r="CI172" s="71" t="str">
        <f>K172</f>
        <v>-</v>
      </c>
      <c r="CJ172" s="72">
        <f>O172</f>
        <v>68</v>
      </c>
      <c r="CK172" s="72">
        <f>S172</f>
        <v>74</v>
      </c>
      <c r="CL172" s="72">
        <f>W172</f>
        <v>110</v>
      </c>
      <c r="CM172" s="72">
        <f>AA172</f>
        <v>118</v>
      </c>
      <c r="CN172" s="72">
        <f>AE172</f>
        <v>146</v>
      </c>
      <c r="CO172" s="72">
        <f>AI172</f>
        <v>172</v>
      </c>
      <c r="CP172" s="72">
        <f>AM172</f>
        <v>211</v>
      </c>
      <c r="CQ172" s="72">
        <f>AQ172</f>
        <v>250</v>
      </c>
      <c r="CR172" s="72">
        <f>AU172</f>
        <v>277</v>
      </c>
      <c r="CS172" s="72" t="str">
        <f>AY172</f>
        <v>-</v>
      </c>
      <c r="CT172" s="23" t="e">
        <f>M172-K172</f>
        <v>#VALUE!</v>
      </c>
    </row>
    <row r="173" spans="1:1029" x14ac:dyDescent="0.2">
      <c r="A173" s="3" t="str">
        <f t="shared" si="559"/>
        <v>hrh1_human__wt</v>
      </c>
      <c r="B173" s="3" t="s">
        <v>278</v>
      </c>
      <c r="C173" s="3" t="s">
        <v>100</v>
      </c>
      <c r="D173" s="3" t="str">
        <f>IFERROR(MID(VLOOKUP($B173,Seqs!$A:$B,2,0),E173,1),"")</f>
        <v>P</v>
      </c>
      <c r="E173" s="3">
        <v>29</v>
      </c>
      <c r="F173" s="3" t="str">
        <f>IFERROR(MID(VLOOKUP($B173,Seqs!$A:$B,2,0),G173,1),"")</f>
        <v>E</v>
      </c>
      <c r="G173" s="3">
        <v>55</v>
      </c>
      <c r="H173" s="3" t="str">
        <f>IFERROR(MID(VLOOKUP($B173,Seqs!$A:$B,2,0),I173,1),"")</f>
        <v>R</v>
      </c>
      <c r="I173" s="23">
        <v>56</v>
      </c>
      <c r="J173" s="3" t="str">
        <f>IFERROR(MID(VLOOKUP($B173,Seqs!$A:$B,2,0),K173,1),"")</f>
        <v>H</v>
      </c>
      <c r="K173" s="23">
        <v>59</v>
      </c>
      <c r="L173" s="3" t="str">
        <f>IFERROR(MID(VLOOKUP($B173,Seqs!$A:$B,2,0),M173,1),"")</f>
        <v>T</v>
      </c>
      <c r="M173" s="3">
        <v>60</v>
      </c>
      <c r="N173" s="3" t="str">
        <f>IFERROR(MID(VLOOKUP($B173,Seqs!$A:$B,2,0),O173,1),"")</f>
        <v>M</v>
      </c>
      <c r="O173" s="3">
        <v>90</v>
      </c>
      <c r="P173" s="3" t="str">
        <f>IFERROR(MID(VLOOKUP($B173,Seqs!$A:$B,2,0),Q173,1),"")</f>
        <v>K</v>
      </c>
      <c r="Q173" s="3">
        <v>92</v>
      </c>
      <c r="R173" s="3" t="str">
        <f>IFERROR(MID(VLOOKUP($B173,Seqs!$A:$B,2,0),S173,1),"")</f>
        <v>L</v>
      </c>
      <c r="S173" s="3">
        <v>95</v>
      </c>
      <c r="T173" s="3" t="str">
        <f>IFERROR(MID(VLOOKUP($B173,Seqs!$A:$B,2,0),U173,1),"")</f>
        <v>G</v>
      </c>
      <c r="U173" s="3">
        <v>96</v>
      </c>
      <c r="V173" s="3" t="str">
        <f>IFERROR(MID(VLOOKUP($B173,Seqs!$A:$B,2,0),W173,1),"")</f>
        <v>Q</v>
      </c>
      <c r="W173" s="3">
        <v>131</v>
      </c>
      <c r="X173" s="3" t="str">
        <f>IFERROR(MID(VLOOKUP($B173,Seqs!$A:$B,2,0),Y173,1),"")</f>
        <v>P</v>
      </c>
      <c r="Y173" s="3">
        <v>132</v>
      </c>
      <c r="Z173" s="3" t="str">
        <f>IFERROR(MID(VLOOKUP($B173,Seqs!$A:$B,2,0),AA173,1),"")</f>
        <v>R</v>
      </c>
      <c r="AA173" s="3">
        <v>139</v>
      </c>
      <c r="AB173" s="3" t="str">
        <f>IFERROR(MID(VLOOKUP($B173,Seqs!$A:$B,2,0),AC173,1),"")</f>
        <v>T</v>
      </c>
      <c r="AC173" s="9">
        <v>140</v>
      </c>
      <c r="AD173" s="3" t="str">
        <f>IFERROR(MID(VLOOKUP($B173,Seqs!$A:$B,2,0),AE173,1),"")</f>
        <v>G</v>
      </c>
      <c r="AE173" s="3">
        <v>164</v>
      </c>
      <c r="AF173" s="3" t="str">
        <f>IFERROR(MID(VLOOKUP($B173,Seqs!$A:$B,2,0),AG173,1),"")</f>
        <v>C</v>
      </c>
      <c r="AG173" s="3">
        <v>180</v>
      </c>
      <c r="AH173" s="3" t="str">
        <f>IFERROR(MID(VLOOKUP($B173,Seqs!$A:$B,2,0),AI173,1),"")</f>
        <v>T</v>
      </c>
      <c r="AI173" s="3">
        <v>182</v>
      </c>
      <c r="AJ173" s="3" t="str">
        <f>IFERROR(MID(VLOOKUP($B173,Seqs!$A:$B,2,0),AK173,1),"")</f>
        <v>V</v>
      </c>
      <c r="AK173" s="3">
        <v>187</v>
      </c>
      <c r="AL173" s="3" t="str">
        <f>IFERROR(MID(VLOOKUP($B173,Seqs!$A:$B,2,0),AM173,1),"")</f>
        <v>N</v>
      </c>
      <c r="AM173" s="3">
        <v>228</v>
      </c>
      <c r="AN173" s="3" t="str">
        <f>IFERROR(MID(VLOOKUP($B173,Seqs!$A:$B,2,0),AO173,1),"")</f>
        <v>G</v>
      </c>
      <c r="AO173" s="3">
        <v>404</v>
      </c>
      <c r="AP173" s="3" t="str">
        <f>IFERROR(MID(VLOOKUP($B173,Seqs!$A:$B,2,0),AQ173,1),"")</f>
        <v>C</v>
      </c>
      <c r="AQ173" s="3">
        <v>441</v>
      </c>
      <c r="AR173" s="3" t="str">
        <f>IFERROR(MID(VLOOKUP($B173,Seqs!$A:$B,2,0),AS173,1),"")</f>
        <v>N</v>
      </c>
      <c r="AS173" s="3">
        <v>446</v>
      </c>
      <c r="AT173" s="3" t="str">
        <f>IFERROR(MID(VLOOKUP($B173,Seqs!$A:$B,2,0),AU173,1),"")</f>
        <v>C</v>
      </c>
      <c r="AU173" s="3">
        <v>471</v>
      </c>
      <c r="AV173" s="3" t="str">
        <f>IFERROR(MID(VLOOKUP($B173,Seqs!$A:$B,2,0),AW173,1),"")</f>
        <v>N</v>
      </c>
      <c r="AW173" s="3">
        <v>472</v>
      </c>
      <c r="AX173" s="3" t="str">
        <f>IFERROR(MID(VLOOKUP($B173,Seqs!$A:$B,2,0),AY173,1),"")</f>
        <v>H</v>
      </c>
      <c r="AY173" s="3">
        <v>484</v>
      </c>
      <c r="AZ173" s="77" t="str">
        <f>VLOOKUP(B173,Classification!A:D,2,0)</f>
        <v>A</v>
      </c>
      <c r="BA173" s="94" t="str">
        <f>VLOOKUP(B173,Classification!A:D,4,0)</f>
        <v>Histamine</v>
      </c>
      <c r="BB173" s="27" t="b">
        <f t="shared" si="560"/>
        <v>1</v>
      </c>
      <c r="BC173" s="23">
        <f t="shared" si="643"/>
        <v>257</v>
      </c>
      <c r="BD173" s="34" t="s">
        <v>1379</v>
      </c>
      <c r="BE173" s="3" t="s">
        <v>23</v>
      </c>
      <c r="BF173" s="119" t="s">
        <v>23</v>
      </c>
      <c r="BG173" s="49" t="s">
        <v>1379</v>
      </c>
      <c r="BH173" s="49" t="s">
        <v>1384</v>
      </c>
      <c r="BI173" s="1"/>
      <c r="BJ173" s="70" t="s">
        <v>1293</v>
      </c>
      <c r="BK173" s="57" t="s">
        <v>1293</v>
      </c>
      <c r="BL173" s="57" t="s">
        <v>1293</v>
      </c>
      <c r="BM173" s="57" t="s">
        <v>1293</v>
      </c>
      <c r="BN173" s="57" t="s">
        <v>1293</v>
      </c>
      <c r="BO173" s="57" t="s">
        <v>1293</v>
      </c>
      <c r="BP173" s="57" t="s">
        <v>1293</v>
      </c>
      <c r="BQ173" s="57" t="s">
        <v>1293</v>
      </c>
      <c r="BR173" s="57" t="s">
        <v>1293</v>
      </c>
      <c r="BS173" s="57" t="s">
        <v>1293</v>
      </c>
      <c r="BT173" s="57" t="s">
        <v>1293</v>
      </c>
      <c r="BU173" s="57" t="s">
        <v>1293</v>
      </c>
      <c r="BV173" s="70">
        <f t="shared" si="644"/>
        <v>29</v>
      </c>
      <c r="BW173" s="71">
        <f t="shared" si="645"/>
        <v>56</v>
      </c>
      <c r="BX173" s="72">
        <f t="shared" si="646"/>
        <v>60</v>
      </c>
      <c r="BY173" s="71">
        <f t="shared" si="647"/>
        <v>92</v>
      </c>
      <c r="BZ173" s="72">
        <f t="shared" si="648"/>
        <v>96</v>
      </c>
      <c r="CA173" s="71">
        <f t="shared" si="649"/>
        <v>132</v>
      </c>
      <c r="CB173" s="72">
        <f t="shared" si="650"/>
        <v>140</v>
      </c>
      <c r="CC173" s="71">
        <f t="shared" si="651"/>
        <v>180</v>
      </c>
      <c r="CD173" s="72">
        <f t="shared" si="652"/>
        <v>187</v>
      </c>
      <c r="CE173" s="71">
        <f t="shared" si="653"/>
        <v>404</v>
      </c>
      <c r="CF173" s="72">
        <f t="shared" si="654"/>
        <v>446</v>
      </c>
      <c r="CG173" s="71">
        <f t="shared" si="655"/>
        <v>472</v>
      </c>
      <c r="CH173" s="70">
        <f t="shared" si="656"/>
        <v>55</v>
      </c>
      <c r="CI173" s="71">
        <f t="shared" si="657"/>
        <v>59</v>
      </c>
      <c r="CJ173" s="72">
        <f t="shared" si="658"/>
        <v>90</v>
      </c>
      <c r="CK173" s="72">
        <f t="shared" si="659"/>
        <v>95</v>
      </c>
      <c r="CL173" s="72">
        <f t="shared" si="660"/>
        <v>131</v>
      </c>
      <c r="CM173" s="72">
        <f t="shared" si="661"/>
        <v>139</v>
      </c>
      <c r="CN173" s="72">
        <f t="shared" si="662"/>
        <v>164</v>
      </c>
      <c r="CO173" s="72">
        <f t="shared" si="663"/>
        <v>182</v>
      </c>
      <c r="CP173" s="72">
        <f t="shared" si="664"/>
        <v>228</v>
      </c>
      <c r="CQ173" s="72">
        <f t="shared" si="665"/>
        <v>441</v>
      </c>
      <c r="CR173" s="72">
        <f t="shared" si="666"/>
        <v>471</v>
      </c>
      <c r="CS173" s="72">
        <f t="shared" si="667"/>
        <v>484</v>
      </c>
      <c r="CT173" s="23">
        <f t="shared" si="668"/>
        <v>1</v>
      </c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  <c r="OK173" s="1"/>
      <c r="OL173" s="1"/>
      <c r="OM173" s="1"/>
      <c r="ON173" s="1"/>
      <c r="OO173" s="1"/>
      <c r="OP173" s="1"/>
      <c r="OQ173" s="1"/>
      <c r="OR173" s="1"/>
      <c r="OS173" s="1"/>
      <c r="OT173" s="1"/>
      <c r="OU173" s="1"/>
      <c r="OV173" s="1"/>
      <c r="OW173" s="1"/>
      <c r="OX173" s="1"/>
      <c r="OY173" s="1"/>
      <c r="OZ173" s="1"/>
      <c r="PA173" s="1"/>
      <c r="PB173" s="1"/>
      <c r="PC173" s="1"/>
      <c r="PD173" s="1"/>
      <c r="PE173" s="1"/>
      <c r="PF173" s="1"/>
      <c r="PG173" s="1"/>
      <c r="PH173" s="1"/>
      <c r="PI173" s="1"/>
      <c r="PJ173" s="1"/>
      <c r="PK173" s="1"/>
      <c r="PL173" s="1"/>
      <c r="PM173" s="1"/>
      <c r="PN173" s="1"/>
      <c r="PO173" s="1"/>
      <c r="PP173" s="1"/>
      <c r="PQ173" s="1"/>
      <c r="PR173" s="1"/>
      <c r="PS173" s="1"/>
      <c r="PT173" s="1"/>
      <c r="PU173" s="1"/>
      <c r="PV173" s="1"/>
      <c r="PW173" s="1"/>
      <c r="PX173" s="1"/>
      <c r="PY173" s="1"/>
      <c r="PZ173" s="1"/>
      <c r="QA173" s="1"/>
      <c r="QB173" s="1"/>
      <c r="QC173" s="1"/>
      <c r="QD173" s="1"/>
      <c r="QE173" s="1"/>
      <c r="QF173" s="1"/>
      <c r="QG173" s="1"/>
      <c r="QH173" s="1"/>
      <c r="QI173" s="1"/>
      <c r="QJ173" s="1"/>
      <c r="QK173" s="1"/>
      <c r="QL173" s="1"/>
      <c r="QM173" s="1"/>
      <c r="QN173" s="1"/>
      <c r="QO173" s="1"/>
      <c r="QP173" s="1"/>
      <c r="QQ173" s="1"/>
      <c r="QR173" s="1"/>
      <c r="QS173" s="1"/>
      <c r="QT173" s="1"/>
      <c r="QU173" s="1"/>
      <c r="QV173" s="1"/>
      <c r="QW173" s="1"/>
      <c r="QX173" s="1"/>
      <c r="QY173" s="1"/>
      <c r="QZ173" s="1"/>
      <c r="RA173" s="1"/>
      <c r="RB173" s="1"/>
      <c r="RC173" s="1"/>
      <c r="RD173" s="1"/>
      <c r="RE173" s="1"/>
      <c r="RF173" s="1"/>
      <c r="RG173" s="1"/>
      <c r="RH173" s="1"/>
      <c r="RI173" s="1"/>
      <c r="RJ173" s="1"/>
      <c r="RK173" s="1"/>
      <c r="RL173" s="1"/>
      <c r="RM173" s="1"/>
      <c r="RN173" s="1"/>
      <c r="RO173" s="1"/>
      <c r="RP173" s="1"/>
      <c r="RQ173" s="1"/>
      <c r="RR173" s="1"/>
      <c r="RS173" s="1"/>
      <c r="RT173" s="1"/>
      <c r="RU173" s="1"/>
      <c r="RV173" s="1"/>
      <c r="RW173" s="1"/>
      <c r="RX173" s="1"/>
      <c r="RY173" s="1"/>
      <c r="RZ173" s="1"/>
      <c r="SA173" s="1"/>
      <c r="SB173" s="1"/>
      <c r="SC173" s="1"/>
      <c r="SD173" s="1"/>
      <c r="SE173" s="1"/>
      <c r="SF173" s="1"/>
      <c r="SG173" s="1"/>
      <c r="SH173" s="1"/>
      <c r="SI173" s="1"/>
      <c r="SJ173" s="1"/>
      <c r="SK173" s="1"/>
      <c r="SL173" s="1"/>
      <c r="SM173" s="1"/>
      <c r="SN173" s="1"/>
      <c r="SO173" s="1"/>
      <c r="SP173" s="1"/>
      <c r="SQ173" s="1"/>
      <c r="SR173" s="1"/>
      <c r="SS173" s="1"/>
      <c r="ST173" s="1"/>
      <c r="SU173" s="1"/>
      <c r="SV173" s="1"/>
      <c r="SW173" s="1"/>
      <c r="SX173" s="1"/>
      <c r="SY173" s="1"/>
      <c r="SZ173" s="1"/>
      <c r="TA173" s="1"/>
      <c r="TB173" s="1"/>
      <c r="TC173" s="1"/>
      <c r="TD173" s="1"/>
      <c r="TE173" s="1"/>
      <c r="TF173" s="1"/>
      <c r="TG173" s="1"/>
      <c r="TH173" s="1"/>
      <c r="TI173" s="1"/>
      <c r="TJ173" s="1"/>
      <c r="TK173" s="1"/>
      <c r="TL173" s="1"/>
      <c r="TM173" s="1"/>
      <c r="TN173" s="1"/>
      <c r="TO173" s="1"/>
      <c r="TP173" s="1"/>
      <c r="TQ173" s="1"/>
      <c r="TR173" s="1"/>
      <c r="TS173" s="1"/>
      <c r="TT173" s="1"/>
      <c r="TU173" s="1"/>
      <c r="TV173" s="1"/>
      <c r="TW173" s="1"/>
      <c r="TX173" s="1"/>
      <c r="TY173" s="1"/>
      <c r="TZ173" s="1"/>
      <c r="UA173" s="1"/>
      <c r="UB173" s="1"/>
      <c r="UC173" s="1"/>
      <c r="UD173" s="1"/>
      <c r="UE173" s="1"/>
      <c r="UF173" s="1"/>
      <c r="UG173" s="1"/>
      <c r="UH173" s="1"/>
      <c r="UI173" s="1"/>
      <c r="UJ173" s="1"/>
      <c r="UK173" s="1"/>
      <c r="UL173" s="1"/>
      <c r="UM173" s="1"/>
      <c r="UN173" s="1"/>
      <c r="UO173" s="1"/>
      <c r="UP173" s="1"/>
      <c r="UQ173" s="1"/>
      <c r="UR173" s="1"/>
      <c r="US173" s="1"/>
      <c r="UT173" s="1"/>
      <c r="UU173" s="1"/>
      <c r="UV173" s="1"/>
      <c r="UW173" s="1"/>
      <c r="UX173" s="1"/>
      <c r="UY173" s="1"/>
      <c r="UZ173" s="1"/>
      <c r="VA173" s="1"/>
      <c r="VB173" s="1"/>
      <c r="VC173" s="1"/>
      <c r="VD173" s="1"/>
      <c r="VE173" s="1"/>
      <c r="VF173" s="1"/>
      <c r="VG173" s="1"/>
      <c r="VH173" s="1"/>
      <c r="VI173" s="1"/>
      <c r="VJ173" s="1"/>
      <c r="VK173" s="1"/>
      <c r="VL173" s="1"/>
      <c r="VM173" s="1"/>
      <c r="VN173" s="1"/>
      <c r="VO173" s="1"/>
      <c r="VP173" s="1"/>
      <c r="VQ173" s="1"/>
      <c r="VR173" s="1"/>
      <c r="VS173" s="1"/>
      <c r="VT173" s="1"/>
      <c r="VU173" s="1"/>
      <c r="VV173" s="1"/>
      <c r="VW173" s="1"/>
      <c r="VX173" s="1"/>
      <c r="VY173" s="1"/>
      <c r="VZ173" s="1"/>
      <c r="WA173" s="1"/>
      <c r="WB173" s="1"/>
      <c r="WC173" s="1"/>
      <c r="WD173" s="1"/>
      <c r="WE173" s="1"/>
      <c r="WF173" s="1"/>
      <c r="WG173" s="1"/>
      <c r="WH173" s="1"/>
      <c r="WI173" s="1"/>
      <c r="WJ173" s="1"/>
      <c r="WK173" s="1"/>
      <c r="WL173" s="1"/>
      <c r="WM173" s="1"/>
      <c r="WN173" s="1"/>
      <c r="WO173" s="1"/>
      <c r="WP173" s="1"/>
      <c r="WQ173" s="1"/>
      <c r="WR173" s="1"/>
      <c r="WS173" s="1"/>
      <c r="WT173" s="1"/>
      <c r="WU173" s="1"/>
      <c r="WV173" s="1"/>
      <c r="WW173" s="1"/>
      <c r="WX173" s="1"/>
      <c r="WY173" s="1"/>
      <c r="WZ173" s="1"/>
      <c r="XA173" s="1"/>
      <c r="XB173" s="1"/>
      <c r="XC173" s="1"/>
      <c r="XD173" s="1"/>
      <c r="XE173" s="1"/>
      <c r="XF173" s="1"/>
      <c r="XG173" s="1"/>
      <c r="XH173" s="1"/>
      <c r="XI173" s="1"/>
      <c r="XJ173" s="1"/>
      <c r="XK173" s="1"/>
      <c r="XL173" s="1"/>
      <c r="XM173" s="1"/>
      <c r="XN173" s="1"/>
      <c r="XO173" s="1"/>
      <c r="XP173" s="1"/>
      <c r="XQ173" s="1"/>
      <c r="XR173" s="1"/>
      <c r="XS173" s="1"/>
      <c r="XT173" s="1"/>
      <c r="XU173" s="1"/>
      <c r="XV173" s="1"/>
      <c r="XW173" s="1"/>
      <c r="XX173" s="1"/>
      <c r="XY173" s="1"/>
      <c r="XZ173" s="1"/>
      <c r="YA173" s="1"/>
      <c r="YB173" s="1"/>
      <c r="YC173" s="1"/>
      <c r="YD173" s="1"/>
      <c r="YE173" s="1"/>
      <c r="YF173" s="1"/>
      <c r="YG173" s="1"/>
      <c r="YH173" s="1"/>
      <c r="YI173" s="1"/>
      <c r="YJ173" s="1"/>
      <c r="YK173" s="1"/>
      <c r="YL173" s="1"/>
      <c r="YM173" s="1"/>
      <c r="YN173" s="1"/>
      <c r="YO173" s="1"/>
      <c r="YP173" s="1"/>
      <c r="YQ173" s="1"/>
      <c r="YR173" s="1"/>
      <c r="YS173" s="1"/>
      <c r="YT173" s="1"/>
      <c r="YU173" s="1"/>
      <c r="YV173" s="1"/>
      <c r="YW173" s="1"/>
      <c r="YX173" s="1"/>
      <c r="YY173" s="1"/>
      <c r="YZ173" s="1"/>
      <c r="ZA173" s="1"/>
      <c r="ZB173" s="1"/>
      <c r="ZC173" s="1"/>
      <c r="ZD173" s="1"/>
      <c r="ZE173" s="1"/>
      <c r="ZF173" s="1"/>
      <c r="ZG173" s="1"/>
      <c r="ZH173" s="1"/>
      <c r="ZI173" s="1"/>
      <c r="ZJ173" s="1"/>
      <c r="ZK173" s="1"/>
      <c r="ZL173" s="1"/>
      <c r="ZM173" s="1"/>
      <c r="ZN173" s="1"/>
      <c r="ZO173" s="1"/>
      <c r="ZP173" s="1"/>
      <c r="ZQ173" s="1"/>
      <c r="ZR173" s="1"/>
      <c r="ZS173" s="1"/>
      <c r="ZT173" s="1"/>
      <c r="ZU173" s="1"/>
      <c r="ZV173" s="1"/>
      <c r="ZW173" s="1"/>
      <c r="ZX173" s="1"/>
      <c r="ZY173" s="1"/>
      <c r="ZZ173" s="1"/>
      <c r="AAA173" s="1"/>
      <c r="AAB173" s="1"/>
      <c r="AAC173" s="1"/>
      <c r="AAD173" s="1"/>
      <c r="AAE173" s="1"/>
      <c r="AAF173" s="1"/>
      <c r="AAG173" s="1"/>
      <c r="AAH173" s="1"/>
      <c r="AAI173" s="1"/>
      <c r="AAJ173" s="1"/>
      <c r="AAK173" s="1"/>
      <c r="AAL173" s="1"/>
      <c r="AAM173" s="1"/>
      <c r="AAN173" s="1"/>
      <c r="AAO173" s="1"/>
      <c r="AAP173" s="1"/>
      <c r="AAQ173" s="1"/>
      <c r="AAR173" s="1"/>
      <c r="AAS173" s="1"/>
      <c r="AAT173" s="1"/>
      <c r="AAU173" s="1"/>
      <c r="AAV173" s="1"/>
      <c r="AAW173" s="1"/>
      <c r="AAX173" s="1"/>
      <c r="AAY173" s="1"/>
      <c r="AAZ173" s="1"/>
      <c r="ABA173" s="1"/>
      <c r="ABB173" s="1"/>
      <c r="ABC173" s="1"/>
      <c r="ABD173" s="1"/>
      <c r="ABE173" s="1"/>
      <c r="ABF173" s="1"/>
      <c r="ABG173" s="1"/>
      <c r="ABH173" s="1"/>
      <c r="ABI173" s="1"/>
      <c r="ABJ173" s="1"/>
      <c r="ABK173" s="1"/>
      <c r="ABL173" s="1"/>
      <c r="ABM173" s="1"/>
      <c r="ABN173" s="1"/>
      <c r="ABO173" s="1"/>
      <c r="ABP173" s="1"/>
      <c r="ABQ173" s="1"/>
      <c r="ABR173" s="1"/>
      <c r="ABS173" s="1"/>
      <c r="ABT173" s="1"/>
      <c r="ABU173" s="1"/>
      <c r="ABV173" s="1"/>
      <c r="ABW173" s="1"/>
      <c r="ABX173" s="1"/>
      <c r="ABY173" s="1"/>
      <c r="ABZ173" s="1"/>
      <c r="ACA173" s="1"/>
      <c r="ACB173" s="1"/>
      <c r="ACC173" s="1"/>
      <c r="ACD173" s="1"/>
      <c r="ACE173" s="1"/>
      <c r="ACF173" s="1"/>
      <c r="ACG173" s="1"/>
      <c r="ACH173" s="1"/>
      <c r="ACI173" s="1"/>
      <c r="ACJ173" s="1"/>
      <c r="ACK173" s="1"/>
      <c r="ACL173" s="1"/>
      <c r="ACM173" s="1"/>
      <c r="ACN173" s="1"/>
      <c r="ACO173" s="1"/>
      <c r="ACP173" s="1"/>
      <c r="ACQ173" s="1"/>
      <c r="ACR173" s="1"/>
      <c r="ACS173" s="1"/>
      <c r="ACT173" s="1"/>
      <c r="ACU173" s="1"/>
      <c r="ACV173" s="1"/>
      <c r="ACW173" s="1"/>
      <c r="ACX173" s="1"/>
      <c r="ACY173" s="1"/>
      <c r="ACZ173" s="1"/>
      <c r="ADA173" s="1"/>
      <c r="ADB173" s="1"/>
      <c r="ADC173" s="1"/>
      <c r="ADD173" s="1"/>
      <c r="ADE173" s="1"/>
      <c r="ADF173" s="1"/>
      <c r="ADG173" s="1"/>
      <c r="ADH173" s="1"/>
      <c r="ADI173" s="1"/>
      <c r="ADJ173" s="1"/>
      <c r="ADK173" s="1"/>
      <c r="ADL173" s="1"/>
      <c r="ADM173" s="1"/>
      <c r="ADN173" s="1"/>
      <c r="ADO173" s="1"/>
      <c r="ADP173" s="1"/>
      <c r="ADQ173" s="1"/>
      <c r="ADR173" s="1"/>
      <c r="ADS173" s="1"/>
      <c r="ADT173" s="1"/>
      <c r="ADU173" s="1"/>
      <c r="ADV173" s="1"/>
      <c r="ADW173" s="1"/>
      <c r="ADX173" s="1"/>
      <c r="ADY173" s="1"/>
      <c r="ADZ173" s="1"/>
      <c r="AEA173" s="1"/>
      <c r="AEB173" s="1"/>
      <c r="AEC173" s="1"/>
      <c r="AED173" s="1"/>
      <c r="AEE173" s="1"/>
      <c r="AEF173" s="1"/>
      <c r="AEG173" s="1"/>
      <c r="AEH173" s="1"/>
      <c r="AEI173" s="1"/>
      <c r="AEJ173" s="1"/>
      <c r="AEK173" s="1"/>
      <c r="AEL173" s="1"/>
      <c r="AEM173" s="1"/>
      <c r="AEN173" s="1"/>
      <c r="AEO173" s="1"/>
      <c r="AEP173" s="1"/>
      <c r="AEQ173" s="1"/>
      <c r="AER173" s="1"/>
      <c r="AES173" s="1"/>
      <c r="AET173" s="1"/>
      <c r="AEU173" s="1"/>
      <c r="AEV173" s="1"/>
      <c r="AEW173" s="1"/>
      <c r="AEX173" s="1"/>
      <c r="AEY173" s="1"/>
      <c r="AEZ173" s="1"/>
      <c r="AFA173" s="1"/>
      <c r="AFB173" s="1"/>
      <c r="AFC173" s="1"/>
      <c r="AFD173" s="1"/>
      <c r="AFE173" s="1"/>
      <c r="AFF173" s="1"/>
      <c r="AFG173" s="1"/>
      <c r="AFH173" s="1"/>
      <c r="AFI173" s="1"/>
      <c r="AFJ173" s="1"/>
      <c r="AFK173" s="1"/>
      <c r="AFL173" s="1"/>
      <c r="AFM173" s="1"/>
      <c r="AFN173" s="1"/>
      <c r="AFO173" s="1"/>
      <c r="AFP173" s="1"/>
      <c r="AFQ173" s="1"/>
      <c r="AFR173" s="1"/>
      <c r="AFS173" s="1"/>
      <c r="AFT173" s="1"/>
      <c r="AFU173" s="1"/>
      <c r="AFV173" s="1"/>
      <c r="AFW173" s="1"/>
      <c r="AFX173" s="1"/>
      <c r="AFY173" s="1"/>
      <c r="AFZ173" s="1"/>
      <c r="AGA173" s="1"/>
      <c r="AGB173" s="1"/>
      <c r="AGC173" s="1"/>
      <c r="AGD173" s="1"/>
      <c r="AGE173" s="1"/>
      <c r="AGF173" s="1"/>
      <c r="AGG173" s="1"/>
      <c r="AGH173" s="1"/>
      <c r="AGI173" s="1"/>
      <c r="AGJ173" s="1"/>
      <c r="AGK173" s="1"/>
      <c r="AGL173" s="1"/>
      <c r="AGM173" s="1"/>
      <c r="AGN173" s="1"/>
      <c r="AGO173" s="1"/>
      <c r="AGP173" s="1"/>
      <c r="AGQ173" s="1"/>
      <c r="AGR173" s="1"/>
      <c r="AGS173" s="1"/>
      <c r="AGT173" s="1"/>
      <c r="AGU173" s="1"/>
      <c r="AGV173" s="1"/>
      <c r="AGW173" s="1"/>
      <c r="AGX173" s="1"/>
      <c r="AGY173" s="1"/>
      <c r="AGZ173" s="1"/>
      <c r="AHA173" s="1"/>
      <c r="AHB173" s="1"/>
      <c r="AHC173" s="1"/>
      <c r="AHD173" s="1"/>
      <c r="AHE173" s="1"/>
      <c r="AHF173" s="1"/>
      <c r="AHG173" s="1"/>
      <c r="AHH173" s="1"/>
      <c r="AHI173" s="1"/>
      <c r="AHJ173" s="1"/>
      <c r="AHK173" s="1"/>
      <c r="AHL173" s="1"/>
      <c r="AHM173" s="1"/>
      <c r="AHN173" s="1"/>
      <c r="AHO173" s="1"/>
      <c r="AHP173" s="1"/>
      <c r="AHQ173" s="1"/>
      <c r="AHR173" s="1"/>
      <c r="AHS173" s="1"/>
      <c r="AHT173" s="1"/>
      <c r="AHU173" s="1"/>
      <c r="AHV173" s="1"/>
      <c r="AHW173" s="1"/>
      <c r="AHX173" s="1"/>
      <c r="AHY173" s="1"/>
      <c r="AHZ173" s="1"/>
      <c r="AIA173" s="1"/>
      <c r="AIB173" s="1"/>
      <c r="AIC173" s="1"/>
      <c r="AID173" s="1"/>
      <c r="AIE173" s="1"/>
      <c r="AIF173" s="1"/>
      <c r="AIG173" s="1"/>
      <c r="AIH173" s="1"/>
      <c r="AII173" s="1"/>
      <c r="AIJ173" s="1"/>
      <c r="AIK173" s="1"/>
      <c r="AIL173" s="1"/>
      <c r="AIM173" s="1"/>
      <c r="AIN173" s="1"/>
      <c r="AIO173" s="1"/>
      <c r="AIP173" s="1"/>
      <c r="AIQ173" s="1"/>
      <c r="AIR173" s="1"/>
      <c r="AIS173" s="1"/>
      <c r="AIT173" s="1"/>
      <c r="AIU173" s="1"/>
      <c r="AIV173" s="1"/>
      <c r="AIW173" s="1"/>
      <c r="AIX173" s="1"/>
      <c r="AIY173" s="1"/>
      <c r="AIZ173" s="1"/>
      <c r="AJA173" s="1"/>
      <c r="AJB173" s="1"/>
      <c r="AJC173" s="1"/>
      <c r="AJD173" s="1"/>
      <c r="AJE173" s="1"/>
      <c r="AJF173" s="1"/>
      <c r="AJG173" s="1"/>
      <c r="AJH173" s="1"/>
      <c r="AJI173" s="1"/>
      <c r="AJJ173" s="1"/>
      <c r="AJK173" s="1"/>
      <c r="AJL173" s="1"/>
      <c r="AJM173" s="1"/>
      <c r="AJN173" s="1"/>
      <c r="AJO173" s="1"/>
      <c r="AJP173" s="1"/>
      <c r="AJQ173" s="1"/>
      <c r="AJR173" s="1"/>
      <c r="AJS173" s="1"/>
      <c r="AJT173" s="1"/>
      <c r="AJU173" s="1"/>
      <c r="AJV173" s="1"/>
      <c r="AJW173" s="1"/>
      <c r="AJX173" s="1"/>
      <c r="AJY173" s="1"/>
      <c r="AJZ173" s="1"/>
      <c r="AKA173" s="1"/>
      <c r="AKB173" s="1"/>
      <c r="AKC173" s="1"/>
      <c r="AKD173" s="1"/>
      <c r="AKE173" s="1"/>
      <c r="AKF173" s="1"/>
      <c r="AKG173" s="1"/>
      <c r="AKH173" s="1"/>
      <c r="AKI173" s="1"/>
      <c r="AKJ173" s="1"/>
      <c r="AKK173" s="1"/>
      <c r="AKL173" s="1"/>
      <c r="AKM173" s="1"/>
      <c r="AKN173" s="1"/>
      <c r="AKO173" s="1"/>
      <c r="AKP173" s="1"/>
      <c r="AKQ173" s="1"/>
      <c r="AKR173" s="1"/>
      <c r="AKS173" s="1"/>
      <c r="AKT173" s="1"/>
      <c r="AKU173" s="1"/>
      <c r="AKV173" s="1"/>
      <c r="AKW173" s="1"/>
      <c r="AKX173" s="1"/>
      <c r="AKY173" s="1"/>
      <c r="AKZ173" s="1"/>
      <c r="ALA173" s="1"/>
      <c r="ALB173" s="1"/>
      <c r="ALC173" s="1"/>
      <c r="ALD173" s="1"/>
      <c r="ALE173" s="1"/>
      <c r="ALF173" s="1"/>
      <c r="ALG173" s="1"/>
      <c r="ALH173" s="1"/>
      <c r="ALI173" s="1"/>
      <c r="ALJ173" s="1"/>
      <c r="ALK173" s="1"/>
      <c r="ALL173" s="1"/>
      <c r="ALM173" s="1"/>
      <c r="ALN173" s="1"/>
      <c r="ALO173" s="1"/>
      <c r="ALP173" s="1"/>
      <c r="ALQ173" s="1"/>
      <c r="ALR173" s="1"/>
      <c r="ALS173" s="1"/>
      <c r="ALT173" s="1"/>
      <c r="ALU173" s="1"/>
      <c r="ALV173" s="1"/>
      <c r="ALW173" s="1"/>
      <c r="ALX173" s="1"/>
      <c r="ALY173" s="1"/>
      <c r="ALZ173" s="1"/>
      <c r="AMA173" s="1"/>
      <c r="AMB173" s="1"/>
      <c r="AMC173" s="1"/>
      <c r="AMD173" s="1"/>
      <c r="AME173" s="1"/>
      <c r="AMF173" s="1"/>
      <c r="AMG173" s="1"/>
      <c r="AMH173" s="1"/>
      <c r="AMI173" s="1"/>
      <c r="AMJ173" s="1"/>
      <c r="AMK173" s="1"/>
      <c r="AML173" s="1"/>
      <c r="AMM173" s="1"/>
      <c r="AMN173" s="1"/>
      <c r="AMO173" s="1"/>
    </row>
    <row r="174" spans="1:1029" x14ac:dyDescent="0.2">
      <c r="A174" s="3" t="str">
        <f t="shared" si="559"/>
        <v>hrh1_human_3RZE</v>
      </c>
      <c r="B174" s="3" t="s">
        <v>278</v>
      </c>
      <c r="C174" s="3" t="s">
        <v>73</v>
      </c>
      <c r="D174" s="3" t="str">
        <f>IFERROR(MID(VLOOKUP($B174,Seqs!$A:$B,2,0),E174,1),"")</f>
        <v>V</v>
      </c>
      <c r="E174" s="3">
        <v>33</v>
      </c>
      <c r="F174" s="3" t="str">
        <f>IFERROR(MID(VLOOKUP($B174,Seqs!$A:$B,2,0),G174,1),"")</f>
        <v>E</v>
      </c>
      <c r="G174" s="3">
        <v>55</v>
      </c>
      <c r="H174" s="3" t="str">
        <f>IFERROR(MID(VLOOKUP($B174,Seqs!$A:$B,2,0),I174,1),"")</f>
        <v>R</v>
      </c>
      <c r="I174" s="23">
        <v>56</v>
      </c>
      <c r="J174" s="3" t="str">
        <f>IFERROR(MID(VLOOKUP($B174,Seqs!$A:$B,2,0),K174,1),"")</f>
        <v>H</v>
      </c>
      <c r="K174" s="23">
        <v>59</v>
      </c>
      <c r="L174" s="3" t="str">
        <f>IFERROR(MID(VLOOKUP($B174,Seqs!$A:$B,2,0),M174,1),"")</f>
        <v>T</v>
      </c>
      <c r="M174" s="3">
        <v>60</v>
      </c>
      <c r="N174" s="3" t="str">
        <f>IFERROR(MID(VLOOKUP($B174,Seqs!$A:$B,2,0),O174,1),"")</f>
        <v>M</v>
      </c>
      <c r="O174" s="3">
        <v>90</v>
      </c>
      <c r="P174" s="3" t="str">
        <f>IFERROR(MID(VLOOKUP($B174,Seqs!$A:$B,2,0),Q174,1),"")</f>
        <v>K</v>
      </c>
      <c r="Q174" s="3">
        <v>92</v>
      </c>
      <c r="R174" s="3" t="str">
        <f>IFERROR(MID(VLOOKUP($B174,Seqs!$A:$B,2,0),S174,1),"")</f>
        <v>L</v>
      </c>
      <c r="S174" s="3">
        <v>95</v>
      </c>
      <c r="T174" s="3" t="str">
        <f>IFERROR(MID(VLOOKUP($B174,Seqs!$A:$B,2,0),U174,1),"")</f>
        <v>G</v>
      </c>
      <c r="U174" s="3">
        <v>96</v>
      </c>
      <c r="V174" s="3" t="str">
        <f>IFERROR(MID(VLOOKUP($B174,Seqs!$A:$B,2,0),W174,1),"")</f>
        <v>Q</v>
      </c>
      <c r="W174" s="3">
        <v>131</v>
      </c>
      <c r="X174" s="3" t="str">
        <f>IFERROR(MID(VLOOKUP($B174,Seqs!$A:$B,2,0),Y174,1),"")</f>
        <v/>
      </c>
      <c r="Y174" s="3" t="s">
        <v>23</v>
      </c>
      <c r="Z174" s="3" t="str">
        <f>IFERROR(MID(VLOOKUP($B174,Seqs!$A:$B,2,0),AA174,1),"")</f>
        <v/>
      </c>
      <c r="AA174" s="3" t="s">
        <v>23</v>
      </c>
      <c r="AB174" s="3" t="str">
        <f>IFERROR(MID(VLOOKUP($B174,Seqs!$A:$B,2,0),AC174,1),"")</f>
        <v>T</v>
      </c>
      <c r="AC174" s="9">
        <v>140</v>
      </c>
      <c r="AD174" s="3" t="str">
        <f>IFERROR(MID(VLOOKUP($B174,Seqs!$A:$B,2,0),AE174,1),"")</f>
        <v>G</v>
      </c>
      <c r="AE174" s="3">
        <v>164</v>
      </c>
      <c r="AF174" s="3" t="str">
        <f>IFERROR(MID(VLOOKUP($B174,Seqs!$A:$B,2,0),AG174,1),"")</f>
        <v>C</v>
      </c>
      <c r="AG174" s="3">
        <v>180</v>
      </c>
      <c r="AH174" s="3" t="str">
        <f>IFERROR(MID(VLOOKUP($B174,Seqs!$A:$B,2,0),AI174,1),"")</f>
        <v>T</v>
      </c>
      <c r="AI174" s="3">
        <v>182</v>
      </c>
      <c r="AJ174" s="3" t="str">
        <f>IFERROR(MID(VLOOKUP($B174,Seqs!$A:$B,2,0),AK174,1),"")</f>
        <v>V</v>
      </c>
      <c r="AK174" s="3">
        <v>187</v>
      </c>
      <c r="AL174" s="3" t="str">
        <f>IFERROR(MID(VLOOKUP($B174,Seqs!$A:$B,2,0),AM174,1),"")</f>
        <v>V</v>
      </c>
      <c r="AM174" s="3">
        <v>217</v>
      </c>
      <c r="AN174" s="3" t="str">
        <f>IFERROR(MID(VLOOKUP($B174,Seqs!$A:$B,2,0),AO174,1),"")</f>
        <v>N</v>
      </c>
      <c r="AO174" s="3">
        <v>408</v>
      </c>
      <c r="AP174" s="3" t="str">
        <f>IFERROR(MID(VLOOKUP($B174,Seqs!$A:$B,2,0),AQ174,1),"")</f>
        <v>C</v>
      </c>
      <c r="AQ174" s="3">
        <v>441</v>
      </c>
      <c r="AR174" s="3" t="str">
        <f>IFERROR(MID(VLOOKUP($B174,Seqs!$A:$B,2,0),AS174,1),"")</f>
        <v>N</v>
      </c>
      <c r="AS174" s="3">
        <v>446</v>
      </c>
      <c r="AT174" s="3" t="str">
        <f>IFERROR(MID(VLOOKUP($B174,Seqs!$A:$B,2,0),AU174,1),"")</f>
        <v>C</v>
      </c>
      <c r="AU174" s="3">
        <v>471</v>
      </c>
      <c r="AV174" s="3" t="str">
        <f>IFERROR(MID(VLOOKUP($B174,Seqs!$A:$B,2,0),AW174,1),"")</f>
        <v>N</v>
      </c>
      <c r="AW174" s="3">
        <v>472</v>
      </c>
      <c r="AX174" s="3" t="str">
        <f>IFERROR(MID(VLOOKUP($B174,Seqs!$A:$B,2,0),AY174,1),"")</f>
        <v>H</v>
      </c>
      <c r="AY174" s="3">
        <v>484</v>
      </c>
      <c r="AZ174" s="77" t="str">
        <f>VLOOKUP(B174,Classification!A:D,2,0)</f>
        <v>A</v>
      </c>
      <c r="BA174" s="94" t="str">
        <f>VLOOKUP(B174,Classification!A:D,4,0)</f>
        <v>Histamine</v>
      </c>
      <c r="BB174" s="27" t="b">
        <f t="shared" si="560"/>
        <v>1</v>
      </c>
      <c r="BC174" s="23">
        <f t="shared" si="643"/>
        <v>231</v>
      </c>
      <c r="BD174" s="16" t="s">
        <v>1383</v>
      </c>
      <c r="BE174" s="3" t="s">
        <v>1381</v>
      </c>
      <c r="BF174" s="119">
        <v>3.1</v>
      </c>
      <c r="BG174" s="49" t="s">
        <v>1384</v>
      </c>
      <c r="BH174" s="49" t="s">
        <v>1384</v>
      </c>
      <c r="BI174" s="1"/>
      <c r="BJ174" s="70" t="s">
        <v>1293</v>
      </c>
      <c r="BK174" s="57" t="s">
        <v>1293</v>
      </c>
      <c r="BL174" s="57" t="s">
        <v>1293</v>
      </c>
      <c r="BM174" s="57" t="s">
        <v>1293</v>
      </c>
      <c r="BN174" s="57" t="s">
        <v>1293</v>
      </c>
      <c r="BO174" s="57" t="s">
        <v>1293</v>
      </c>
      <c r="BP174" s="57" t="s">
        <v>1293</v>
      </c>
      <c r="BQ174" s="57" t="s">
        <v>1293</v>
      </c>
      <c r="BR174" s="57" t="s">
        <v>1293</v>
      </c>
      <c r="BS174" s="57" t="s">
        <v>1293</v>
      </c>
      <c r="BT174" s="57" t="s">
        <v>1293</v>
      </c>
      <c r="BU174" s="57" t="s">
        <v>1293</v>
      </c>
      <c r="BV174" s="70">
        <f t="shared" si="644"/>
        <v>33</v>
      </c>
      <c r="BW174" s="71">
        <f t="shared" si="645"/>
        <v>56</v>
      </c>
      <c r="BX174" s="72">
        <f t="shared" si="646"/>
        <v>60</v>
      </c>
      <c r="BY174" s="71">
        <f t="shared" si="647"/>
        <v>92</v>
      </c>
      <c r="BZ174" s="72">
        <f t="shared" si="648"/>
        <v>96</v>
      </c>
      <c r="CA174" s="71" t="str">
        <f t="shared" si="649"/>
        <v>-</v>
      </c>
      <c r="CB174" s="72">
        <f t="shared" si="650"/>
        <v>140</v>
      </c>
      <c r="CC174" s="71">
        <f t="shared" si="651"/>
        <v>180</v>
      </c>
      <c r="CD174" s="72">
        <f t="shared" si="652"/>
        <v>187</v>
      </c>
      <c r="CE174" s="71">
        <f t="shared" si="653"/>
        <v>408</v>
      </c>
      <c r="CF174" s="72">
        <f t="shared" si="654"/>
        <v>446</v>
      </c>
      <c r="CG174" s="71">
        <f t="shared" si="655"/>
        <v>472</v>
      </c>
      <c r="CH174" s="70">
        <f t="shared" si="656"/>
        <v>55</v>
      </c>
      <c r="CI174" s="71">
        <f t="shared" si="657"/>
        <v>59</v>
      </c>
      <c r="CJ174" s="72">
        <f t="shared" si="658"/>
        <v>90</v>
      </c>
      <c r="CK174" s="72">
        <f t="shared" si="659"/>
        <v>95</v>
      </c>
      <c r="CL174" s="72">
        <f t="shared" si="660"/>
        <v>131</v>
      </c>
      <c r="CM174" s="72" t="str">
        <f t="shared" si="661"/>
        <v>-</v>
      </c>
      <c r="CN174" s="72">
        <f t="shared" si="662"/>
        <v>164</v>
      </c>
      <c r="CO174" s="72">
        <f t="shared" si="663"/>
        <v>182</v>
      </c>
      <c r="CP174" s="72">
        <f t="shared" si="664"/>
        <v>217</v>
      </c>
      <c r="CQ174" s="72">
        <f t="shared" si="665"/>
        <v>441</v>
      </c>
      <c r="CR174" s="72">
        <f t="shared" si="666"/>
        <v>471</v>
      </c>
      <c r="CS174" s="72">
        <f t="shared" si="667"/>
        <v>484</v>
      </c>
      <c r="CT174" s="23">
        <f t="shared" si="668"/>
        <v>1</v>
      </c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  <c r="OK174" s="1"/>
      <c r="OL174" s="1"/>
      <c r="OM174" s="1"/>
      <c r="ON174" s="1"/>
      <c r="OO174" s="1"/>
      <c r="OP174" s="1"/>
      <c r="OQ174" s="1"/>
      <c r="OR174" s="1"/>
      <c r="OS174" s="1"/>
      <c r="OT174" s="1"/>
      <c r="OU174" s="1"/>
      <c r="OV174" s="1"/>
      <c r="OW174" s="1"/>
      <c r="OX174" s="1"/>
      <c r="OY174" s="1"/>
      <c r="OZ174" s="1"/>
      <c r="PA174" s="1"/>
      <c r="PB174" s="1"/>
      <c r="PC174" s="1"/>
      <c r="PD174" s="1"/>
      <c r="PE174" s="1"/>
      <c r="PF174" s="1"/>
      <c r="PG174" s="1"/>
      <c r="PH174" s="1"/>
      <c r="PI174" s="1"/>
      <c r="PJ174" s="1"/>
      <c r="PK174" s="1"/>
      <c r="PL174" s="1"/>
      <c r="PM174" s="1"/>
      <c r="PN174" s="1"/>
      <c r="PO174" s="1"/>
      <c r="PP174" s="1"/>
      <c r="PQ174" s="1"/>
      <c r="PR174" s="1"/>
      <c r="PS174" s="1"/>
      <c r="PT174" s="1"/>
      <c r="PU174" s="1"/>
      <c r="PV174" s="1"/>
      <c r="PW174" s="1"/>
      <c r="PX174" s="1"/>
      <c r="PY174" s="1"/>
      <c r="PZ174" s="1"/>
      <c r="QA174" s="1"/>
      <c r="QB174" s="1"/>
      <c r="QC174" s="1"/>
      <c r="QD174" s="1"/>
      <c r="QE174" s="1"/>
      <c r="QF174" s="1"/>
      <c r="QG174" s="1"/>
      <c r="QH174" s="1"/>
      <c r="QI174" s="1"/>
      <c r="QJ174" s="1"/>
      <c r="QK174" s="1"/>
      <c r="QL174" s="1"/>
      <c r="QM174" s="1"/>
      <c r="QN174" s="1"/>
      <c r="QO174" s="1"/>
      <c r="QP174" s="1"/>
      <c r="QQ174" s="1"/>
      <c r="QR174" s="1"/>
      <c r="QS174" s="1"/>
      <c r="QT174" s="1"/>
      <c r="QU174" s="1"/>
      <c r="QV174" s="1"/>
      <c r="QW174" s="1"/>
      <c r="QX174" s="1"/>
      <c r="QY174" s="1"/>
      <c r="QZ174" s="1"/>
      <c r="RA174" s="1"/>
      <c r="RB174" s="1"/>
      <c r="RC174" s="1"/>
      <c r="RD174" s="1"/>
      <c r="RE174" s="1"/>
      <c r="RF174" s="1"/>
      <c r="RG174" s="1"/>
      <c r="RH174" s="1"/>
      <c r="RI174" s="1"/>
      <c r="RJ174" s="1"/>
      <c r="RK174" s="1"/>
      <c r="RL174" s="1"/>
      <c r="RM174" s="1"/>
      <c r="RN174" s="1"/>
      <c r="RO174" s="1"/>
      <c r="RP174" s="1"/>
      <c r="RQ174" s="1"/>
      <c r="RR174" s="1"/>
      <c r="RS174" s="1"/>
      <c r="RT174" s="1"/>
      <c r="RU174" s="1"/>
      <c r="RV174" s="1"/>
      <c r="RW174" s="1"/>
      <c r="RX174" s="1"/>
      <c r="RY174" s="1"/>
      <c r="RZ174" s="1"/>
      <c r="SA174" s="1"/>
      <c r="SB174" s="1"/>
      <c r="SC174" s="1"/>
      <c r="SD174" s="1"/>
      <c r="SE174" s="1"/>
      <c r="SF174" s="1"/>
      <c r="SG174" s="1"/>
      <c r="SH174" s="1"/>
      <c r="SI174" s="1"/>
      <c r="SJ174" s="1"/>
      <c r="SK174" s="1"/>
      <c r="SL174" s="1"/>
      <c r="SM174" s="1"/>
      <c r="SN174" s="1"/>
      <c r="SO174" s="1"/>
      <c r="SP174" s="1"/>
      <c r="SQ174" s="1"/>
      <c r="SR174" s="1"/>
      <c r="SS174" s="1"/>
      <c r="ST174" s="1"/>
      <c r="SU174" s="1"/>
      <c r="SV174" s="1"/>
      <c r="SW174" s="1"/>
      <c r="SX174" s="1"/>
      <c r="SY174" s="1"/>
      <c r="SZ174" s="1"/>
      <c r="TA174" s="1"/>
      <c r="TB174" s="1"/>
      <c r="TC174" s="1"/>
      <c r="TD174" s="1"/>
      <c r="TE174" s="1"/>
      <c r="TF174" s="1"/>
      <c r="TG174" s="1"/>
      <c r="TH174" s="1"/>
      <c r="TI174" s="1"/>
      <c r="TJ174" s="1"/>
      <c r="TK174" s="1"/>
      <c r="TL174" s="1"/>
      <c r="TM174" s="1"/>
      <c r="TN174" s="1"/>
      <c r="TO174" s="1"/>
      <c r="TP174" s="1"/>
      <c r="TQ174" s="1"/>
      <c r="TR174" s="1"/>
      <c r="TS174" s="1"/>
      <c r="TT174" s="1"/>
      <c r="TU174" s="1"/>
      <c r="TV174" s="1"/>
      <c r="TW174" s="1"/>
      <c r="TX174" s="1"/>
      <c r="TY174" s="1"/>
      <c r="TZ174" s="1"/>
      <c r="UA174" s="1"/>
      <c r="UB174" s="1"/>
      <c r="UC174" s="1"/>
      <c r="UD174" s="1"/>
      <c r="UE174" s="1"/>
      <c r="UF174" s="1"/>
      <c r="UG174" s="1"/>
      <c r="UH174" s="1"/>
      <c r="UI174" s="1"/>
      <c r="UJ174" s="1"/>
      <c r="UK174" s="1"/>
      <c r="UL174" s="1"/>
      <c r="UM174" s="1"/>
      <c r="UN174" s="1"/>
      <c r="UO174" s="1"/>
      <c r="UP174" s="1"/>
      <c r="UQ174" s="1"/>
      <c r="UR174" s="1"/>
      <c r="US174" s="1"/>
      <c r="UT174" s="1"/>
      <c r="UU174" s="1"/>
      <c r="UV174" s="1"/>
      <c r="UW174" s="1"/>
      <c r="UX174" s="1"/>
      <c r="UY174" s="1"/>
      <c r="UZ174" s="1"/>
      <c r="VA174" s="1"/>
      <c r="VB174" s="1"/>
      <c r="VC174" s="1"/>
      <c r="VD174" s="1"/>
      <c r="VE174" s="1"/>
      <c r="VF174" s="1"/>
      <c r="VG174" s="1"/>
      <c r="VH174" s="1"/>
      <c r="VI174" s="1"/>
      <c r="VJ174" s="1"/>
      <c r="VK174" s="1"/>
      <c r="VL174" s="1"/>
      <c r="VM174" s="1"/>
      <c r="VN174" s="1"/>
      <c r="VO174" s="1"/>
      <c r="VP174" s="1"/>
      <c r="VQ174" s="1"/>
      <c r="VR174" s="1"/>
      <c r="VS174" s="1"/>
      <c r="VT174" s="1"/>
      <c r="VU174" s="1"/>
      <c r="VV174" s="1"/>
      <c r="VW174" s="1"/>
      <c r="VX174" s="1"/>
      <c r="VY174" s="1"/>
      <c r="VZ174" s="1"/>
      <c r="WA174" s="1"/>
      <c r="WB174" s="1"/>
      <c r="WC174" s="1"/>
      <c r="WD174" s="1"/>
      <c r="WE174" s="1"/>
      <c r="WF174" s="1"/>
      <c r="WG174" s="1"/>
      <c r="WH174" s="1"/>
      <c r="WI174" s="1"/>
      <c r="WJ174" s="1"/>
      <c r="WK174" s="1"/>
      <c r="WL174" s="1"/>
      <c r="WM174" s="1"/>
      <c r="WN174" s="1"/>
      <c r="WO174" s="1"/>
      <c r="WP174" s="1"/>
      <c r="WQ174" s="1"/>
      <c r="WR174" s="1"/>
      <c r="WS174" s="1"/>
      <c r="WT174" s="1"/>
      <c r="WU174" s="1"/>
      <c r="WV174" s="1"/>
      <c r="WW174" s="1"/>
      <c r="WX174" s="1"/>
      <c r="WY174" s="1"/>
      <c r="WZ174" s="1"/>
      <c r="XA174" s="1"/>
      <c r="XB174" s="1"/>
      <c r="XC174" s="1"/>
      <c r="XD174" s="1"/>
      <c r="XE174" s="1"/>
      <c r="XF174" s="1"/>
      <c r="XG174" s="1"/>
      <c r="XH174" s="1"/>
      <c r="XI174" s="1"/>
      <c r="XJ174" s="1"/>
      <c r="XK174" s="1"/>
      <c r="XL174" s="1"/>
      <c r="XM174" s="1"/>
      <c r="XN174" s="1"/>
      <c r="XO174" s="1"/>
      <c r="XP174" s="1"/>
      <c r="XQ174" s="1"/>
      <c r="XR174" s="1"/>
      <c r="XS174" s="1"/>
      <c r="XT174" s="1"/>
      <c r="XU174" s="1"/>
      <c r="XV174" s="1"/>
      <c r="XW174" s="1"/>
      <c r="XX174" s="1"/>
      <c r="XY174" s="1"/>
      <c r="XZ174" s="1"/>
      <c r="YA174" s="1"/>
      <c r="YB174" s="1"/>
      <c r="YC174" s="1"/>
      <c r="YD174" s="1"/>
      <c r="YE174" s="1"/>
      <c r="YF174" s="1"/>
      <c r="YG174" s="1"/>
      <c r="YH174" s="1"/>
      <c r="YI174" s="1"/>
      <c r="YJ174" s="1"/>
      <c r="YK174" s="1"/>
      <c r="YL174" s="1"/>
      <c r="YM174" s="1"/>
      <c r="YN174" s="1"/>
      <c r="YO174" s="1"/>
      <c r="YP174" s="1"/>
      <c r="YQ174" s="1"/>
      <c r="YR174" s="1"/>
      <c r="YS174" s="1"/>
      <c r="YT174" s="1"/>
      <c r="YU174" s="1"/>
      <c r="YV174" s="1"/>
      <c r="YW174" s="1"/>
      <c r="YX174" s="1"/>
      <c r="YY174" s="1"/>
      <c r="YZ174" s="1"/>
      <c r="ZA174" s="1"/>
      <c r="ZB174" s="1"/>
      <c r="ZC174" s="1"/>
      <c r="ZD174" s="1"/>
      <c r="ZE174" s="1"/>
      <c r="ZF174" s="1"/>
      <c r="ZG174" s="1"/>
      <c r="ZH174" s="1"/>
      <c r="ZI174" s="1"/>
      <c r="ZJ174" s="1"/>
      <c r="ZK174" s="1"/>
      <c r="ZL174" s="1"/>
      <c r="ZM174" s="1"/>
      <c r="ZN174" s="1"/>
      <c r="ZO174" s="1"/>
      <c r="ZP174" s="1"/>
      <c r="ZQ174" s="1"/>
      <c r="ZR174" s="1"/>
      <c r="ZS174" s="1"/>
      <c r="ZT174" s="1"/>
      <c r="ZU174" s="1"/>
      <c r="ZV174" s="1"/>
      <c r="ZW174" s="1"/>
      <c r="ZX174" s="1"/>
      <c r="ZY174" s="1"/>
      <c r="ZZ174" s="1"/>
      <c r="AAA174" s="1"/>
      <c r="AAB174" s="1"/>
      <c r="AAC174" s="1"/>
      <c r="AAD174" s="1"/>
      <c r="AAE174" s="1"/>
      <c r="AAF174" s="1"/>
      <c r="AAG174" s="1"/>
      <c r="AAH174" s="1"/>
      <c r="AAI174" s="1"/>
      <c r="AAJ174" s="1"/>
      <c r="AAK174" s="1"/>
      <c r="AAL174" s="1"/>
      <c r="AAM174" s="1"/>
      <c r="AAN174" s="1"/>
      <c r="AAO174" s="1"/>
      <c r="AAP174" s="1"/>
      <c r="AAQ174" s="1"/>
      <c r="AAR174" s="1"/>
      <c r="AAS174" s="1"/>
      <c r="AAT174" s="1"/>
      <c r="AAU174" s="1"/>
      <c r="AAV174" s="1"/>
      <c r="AAW174" s="1"/>
      <c r="AAX174" s="1"/>
      <c r="AAY174" s="1"/>
      <c r="AAZ174" s="1"/>
      <c r="ABA174" s="1"/>
      <c r="ABB174" s="1"/>
      <c r="ABC174" s="1"/>
      <c r="ABD174" s="1"/>
      <c r="ABE174" s="1"/>
      <c r="ABF174" s="1"/>
      <c r="ABG174" s="1"/>
      <c r="ABH174" s="1"/>
      <c r="ABI174" s="1"/>
      <c r="ABJ174" s="1"/>
      <c r="ABK174" s="1"/>
      <c r="ABL174" s="1"/>
      <c r="ABM174" s="1"/>
      <c r="ABN174" s="1"/>
      <c r="ABO174" s="1"/>
      <c r="ABP174" s="1"/>
      <c r="ABQ174" s="1"/>
      <c r="ABR174" s="1"/>
      <c r="ABS174" s="1"/>
      <c r="ABT174" s="1"/>
      <c r="ABU174" s="1"/>
      <c r="ABV174" s="1"/>
      <c r="ABW174" s="1"/>
      <c r="ABX174" s="1"/>
      <c r="ABY174" s="1"/>
      <c r="ABZ174" s="1"/>
      <c r="ACA174" s="1"/>
      <c r="ACB174" s="1"/>
      <c r="ACC174" s="1"/>
      <c r="ACD174" s="1"/>
      <c r="ACE174" s="1"/>
      <c r="ACF174" s="1"/>
      <c r="ACG174" s="1"/>
      <c r="ACH174" s="1"/>
      <c r="ACI174" s="1"/>
      <c r="ACJ174" s="1"/>
      <c r="ACK174" s="1"/>
      <c r="ACL174" s="1"/>
      <c r="ACM174" s="1"/>
      <c r="ACN174" s="1"/>
      <c r="ACO174" s="1"/>
      <c r="ACP174" s="1"/>
      <c r="ACQ174" s="1"/>
      <c r="ACR174" s="1"/>
      <c r="ACS174" s="1"/>
      <c r="ACT174" s="1"/>
      <c r="ACU174" s="1"/>
      <c r="ACV174" s="1"/>
      <c r="ACW174" s="1"/>
      <c r="ACX174" s="1"/>
      <c r="ACY174" s="1"/>
      <c r="ACZ174" s="1"/>
      <c r="ADA174" s="1"/>
      <c r="ADB174" s="1"/>
      <c r="ADC174" s="1"/>
      <c r="ADD174" s="1"/>
      <c r="ADE174" s="1"/>
      <c r="ADF174" s="1"/>
      <c r="ADG174" s="1"/>
      <c r="ADH174" s="1"/>
      <c r="ADI174" s="1"/>
      <c r="ADJ174" s="1"/>
      <c r="ADK174" s="1"/>
      <c r="ADL174" s="1"/>
      <c r="ADM174" s="1"/>
      <c r="ADN174" s="1"/>
      <c r="ADO174" s="1"/>
      <c r="ADP174" s="1"/>
      <c r="ADQ174" s="1"/>
      <c r="ADR174" s="1"/>
      <c r="ADS174" s="1"/>
      <c r="ADT174" s="1"/>
      <c r="ADU174" s="1"/>
      <c r="ADV174" s="1"/>
      <c r="ADW174" s="1"/>
      <c r="ADX174" s="1"/>
      <c r="ADY174" s="1"/>
      <c r="ADZ174" s="1"/>
      <c r="AEA174" s="1"/>
      <c r="AEB174" s="1"/>
      <c r="AEC174" s="1"/>
      <c r="AED174" s="1"/>
      <c r="AEE174" s="1"/>
      <c r="AEF174" s="1"/>
      <c r="AEG174" s="1"/>
      <c r="AEH174" s="1"/>
      <c r="AEI174" s="1"/>
      <c r="AEJ174" s="1"/>
      <c r="AEK174" s="1"/>
      <c r="AEL174" s="1"/>
      <c r="AEM174" s="1"/>
      <c r="AEN174" s="1"/>
      <c r="AEO174" s="1"/>
      <c r="AEP174" s="1"/>
      <c r="AEQ174" s="1"/>
      <c r="AER174" s="1"/>
      <c r="AES174" s="1"/>
      <c r="AET174" s="1"/>
      <c r="AEU174" s="1"/>
      <c r="AEV174" s="1"/>
      <c r="AEW174" s="1"/>
      <c r="AEX174" s="1"/>
      <c r="AEY174" s="1"/>
      <c r="AEZ174" s="1"/>
      <c r="AFA174" s="1"/>
      <c r="AFB174" s="1"/>
      <c r="AFC174" s="1"/>
      <c r="AFD174" s="1"/>
      <c r="AFE174" s="1"/>
      <c r="AFF174" s="1"/>
      <c r="AFG174" s="1"/>
      <c r="AFH174" s="1"/>
      <c r="AFI174" s="1"/>
      <c r="AFJ174" s="1"/>
      <c r="AFK174" s="1"/>
      <c r="AFL174" s="1"/>
      <c r="AFM174" s="1"/>
      <c r="AFN174" s="1"/>
      <c r="AFO174" s="1"/>
      <c r="AFP174" s="1"/>
      <c r="AFQ174" s="1"/>
      <c r="AFR174" s="1"/>
      <c r="AFS174" s="1"/>
      <c r="AFT174" s="1"/>
      <c r="AFU174" s="1"/>
      <c r="AFV174" s="1"/>
      <c r="AFW174" s="1"/>
      <c r="AFX174" s="1"/>
      <c r="AFY174" s="1"/>
      <c r="AFZ174" s="1"/>
      <c r="AGA174" s="1"/>
      <c r="AGB174" s="1"/>
      <c r="AGC174" s="1"/>
      <c r="AGD174" s="1"/>
      <c r="AGE174" s="1"/>
      <c r="AGF174" s="1"/>
      <c r="AGG174" s="1"/>
      <c r="AGH174" s="1"/>
      <c r="AGI174" s="1"/>
      <c r="AGJ174" s="1"/>
      <c r="AGK174" s="1"/>
      <c r="AGL174" s="1"/>
      <c r="AGM174" s="1"/>
      <c r="AGN174" s="1"/>
      <c r="AGO174" s="1"/>
      <c r="AGP174" s="1"/>
      <c r="AGQ174" s="1"/>
      <c r="AGR174" s="1"/>
      <c r="AGS174" s="1"/>
      <c r="AGT174" s="1"/>
      <c r="AGU174" s="1"/>
      <c r="AGV174" s="1"/>
      <c r="AGW174" s="1"/>
      <c r="AGX174" s="1"/>
      <c r="AGY174" s="1"/>
      <c r="AGZ174" s="1"/>
      <c r="AHA174" s="1"/>
      <c r="AHB174" s="1"/>
      <c r="AHC174" s="1"/>
      <c r="AHD174" s="1"/>
      <c r="AHE174" s="1"/>
      <c r="AHF174" s="1"/>
      <c r="AHG174" s="1"/>
      <c r="AHH174" s="1"/>
      <c r="AHI174" s="1"/>
      <c r="AHJ174" s="1"/>
      <c r="AHK174" s="1"/>
      <c r="AHL174" s="1"/>
      <c r="AHM174" s="1"/>
      <c r="AHN174" s="1"/>
      <c r="AHO174" s="1"/>
      <c r="AHP174" s="1"/>
      <c r="AHQ174" s="1"/>
      <c r="AHR174" s="1"/>
      <c r="AHS174" s="1"/>
      <c r="AHT174" s="1"/>
      <c r="AHU174" s="1"/>
      <c r="AHV174" s="1"/>
      <c r="AHW174" s="1"/>
      <c r="AHX174" s="1"/>
      <c r="AHY174" s="1"/>
      <c r="AHZ174" s="1"/>
      <c r="AIA174" s="1"/>
      <c r="AIB174" s="1"/>
      <c r="AIC174" s="1"/>
      <c r="AID174" s="1"/>
      <c r="AIE174" s="1"/>
      <c r="AIF174" s="1"/>
      <c r="AIG174" s="1"/>
      <c r="AIH174" s="1"/>
      <c r="AII174" s="1"/>
      <c r="AIJ174" s="1"/>
      <c r="AIK174" s="1"/>
      <c r="AIL174" s="1"/>
      <c r="AIM174" s="1"/>
      <c r="AIN174" s="1"/>
      <c r="AIO174" s="1"/>
      <c r="AIP174" s="1"/>
      <c r="AIQ174" s="1"/>
      <c r="AIR174" s="1"/>
      <c r="AIS174" s="1"/>
      <c r="AIT174" s="1"/>
      <c r="AIU174" s="1"/>
      <c r="AIV174" s="1"/>
      <c r="AIW174" s="1"/>
      <c r="AIX174" s="1"/>
      <c r="AIY174" s="1"/>
      <c r="AIZ174" s="1"/>
      <c r="AJA174" s="1"/>
      <c r="AJB174" s="1"/>
      <c r="AJC174" s="1"/>
      <c r="AJD174" s="1"/>
      <c r="AJE174" s="1"/>
      <c r="AJF174" s="1"/>
      <c r="AJG174" s="1"/>
      <c r="AJH174" s="1"/>
      <c r="AJI174" s="1"/>
      <c r="AJJ174" s="1"/>
      <c r="AJK174" s="1"/>
      <c r="AJL174" s="1"/>
      <c r="AJM174" s="1"/>
      <c r="AJN174" s="1"/>
      <c r="AJO174" s="1"/>
      <c r="AJP174" s="1"/>
      <c r="AJQ174" s="1"/>
      <c r="AJR174" s="1"/>
      <c r="AJS174" s="1"/>
      <c r="AJT174" s="1"/>
      <c r="AJU174" s="1"/>
      <c r="AJV174" s="1"/>
      <c r="AJW174" s="1"/>
      <c r="AJX174" s="1"/>
      <c r="AJY174" s="1"/>
      <c r="AJZ174" s="1"/>
      <c r="AKA174" s="1"/>
      <c r="AKB174" s="1"/>
      <c r="AKC174" s="1"/>
      <c r="AKD174" s="1"/>
      <c r="AKE174" s="1"/>
      <c r="AKF174" s="1"/>
      <c r="AKG174" s="1"/>
      <c r="AKH174" s="1"/>
      <c r="AKI174" s="1"/>
      <c r="AKJ174" s="1"/>
      <c r="AKK174" s="1"/>
      <c r="AKL174" s="1"/>
      <c r="AKM174" s="1"/>
      <c r="AKN174" s="1"/>
      <c r="AKO174" s="1"/>
      <c r="AKP174" s="1"/>
      <c r="AKQ174" s="1"/>
      <c r="AKR174" s="1"/>
      <c r="AKS174" s="1"/>
      <c r="AKT174" s="1"/>
      <c r="AKU174" s="1"/>
      <c r="AKV174" s="1"/>
      <c r="AKW174" s="1"/>
      <c r="AKX174" s="1"/>
      <c r="AKY174" s="1"/>
      <c r="AKZ174" s="1"/>
      <c r="ALA174" s="1"/>
      <c r="ALB174" s="1"/>
      <c r="ALC174" s="1"/>
      <c r="ALD174" s="1"/>
      <c r="ALE174" s="1"/>
      <c r="ALF174" s="1"/>
      <c r="ALG174" s="1"/>
      <c r="ALH174" s="1"/>
      <c r="ALI174" s="1"/>
      <c r="ALJ174" s="1"/>
      <c r="ALK174" s="1"/>
      <c r="ALL174" s="1"/>
      <c r="ALM174" s="1"/>
      <c r="ALN174" s="1"/>
      <c r="ALO174" s="1"/>
      <c r="ALP174" s="1"/>
      <c r="ALQ174" s="1"/>
      <c r="ALR174" s="1"/>
      <c r="ALS174" s="1"/>
      <c r="ALT174" s="1"/>
      <c r="ALU174" s="1"/>
      <c r="ALV174" s="1"/>
      <c r="ALW174" s="1"/>
      <c r="ALX174" s="1"/>
      <c r="ALY174" s="1"/>
      <c r="ALZ174" s="1"/>
      <c r="AMA174" s="1"/>
      <c r="AMB174" s="1"/>
      <c r="AMC174" s="1"/>
      <c r="AMD174" s="1"/>
      <c r="AME174" s="1"/>
      <c r="AMF174" s="1"/>
      <c r="AMG174" s="1"/>
      <c r="AMH174" s="1"/>
      <c r="AMI174" s="1"/>
      <c r="AMJ174" s="1"/>
      <c r="AMK174" s="1"/>
      <c r="AML174" s="1"/>
      <c r="AMM174" s="1"/>
      <c r="AMN174" s="1"/>
      <c r="AMO174" s="1"/>
    </row>
    <row r="175" spans="1:1029" x14ac:dyDescent="0.2">
      <c r="A175" s="3" t="str">
        <f t="shared" ref="A175:A215" si="669">CONCATENATE(B175,"_",C175)</f>
        <v>lpar1_human__wt</v>
      </c>
      <c r="B175" s="3" t="s">
        <v>103</v>
      </c>
      <c r="C175" s="3" t="s">
        <v>100</v>
      </c>
      <c r="D175" s="3" t="str">
        <f>IFERROR(MID(VLOOKUP($B175,Seqs!$A:$B,2,0),E175,1),"")</f>
        <v>T</v>
      </c>
      <c r="E175" s="3">
        <v>47</v>
      </c>
      <c r="F175" s="3" t="str">
        <f>IFERROR(MID(VLOOKUP($B175,Seqs!$A:$B,2,0),G175,1),"")</f>
        <v>N</v>
      </c>
      <c r="G175" s="3">
        <v>77</v>
      </c>
      <c r="H175" s="3" t="str">
        <f>IFERROR(MID(VLOOKUP($B175,Seqs!$A:$B,2,0),I175,1),"")</f>
        <v>R</v>
      </c>
      <c r="I175" s="23">
        <v>78</v>
      </c>
      <c r="J175" s="3" t="str">
        <f>IFERROR(MID(VLOOKUP($B175,Seqs!$A:$B,2,0),K175,1),"")</f>
        <v>H</v>
      </c>
      <c r="K175" s="23">
        <v>81</v>
      </c>
      <c r="L175" s="3" t="str">
        <f>IFERROR(MID(VLOOKUP($B175,Seqs!$A:$B,2,0),M175,1),"")</f>
        <v>F</v>
      </c>
      <c r="M175" s="3">
        <v>82</v>
      </c>
      <c r="N175" s="3" t="str">
        <f>IFERROR(MID(VLOOKUP($B175,Seqs!$A:$B,2,0),O175,1),"")</f>
        <v>N</v>
      </c>
      <c r="O175" s="3">
        <v>108</v>
      </c>
      <c r="P175" s="3" t="str">
        <f>IFERROR(MID(VLOOKUP($B175,Seqs!$A:$B,2,0),Q175,1),"")</f>
        <v>G</v>
      </c>
      <c r="Q175" s="3">
        <v>110</v>
      </c>
      <c r="R175" s="3" t="str">
        <f>IFERROR(MID(VLOOKUP($B175,Seqs!$A:$B,2,0),S175,1),"")</f>
        <v>L</v>
      </c>
      <c r="S175" s="3">
        <v>116</v>
      </c>
      <c r="T175" s="3" t="str">
        <f>IFERROR(MID(VLOOKUP($B175,Seqs!$A:$B,2,0),U175,1),"")</f>
        <v>T</v>
      </c>
      <c r="U175" s="3">
        <v>117</v>
      </c>
      <c r="V175" s="3" t="str">
        <f>IFERROR(MID(VLOOKUP($B175,Seqs!$A:$B,2,0),W175,1),"")</f>
        <v>R</v>
      </c>
      <c r="W175" s="3">
        <v>152</v>
      </c>
      <c r="X175" s="3" t="str">
        <f>IFERROR(MID(VLOOKUP($B175,Seqs!$A:$B,2,0),Y175,1),"")</f>
        <v>M</v>
      </c>
      <c r="Y175" s="105">
        <v>153</v>
      </c>
      <c r="Z175" s="3" t="str">
        <f>IFERROR(MID(VLOOKUP($B175,Seqs!$A:$B,2,0),AA175,1),"")</f>
        <v>M</v>
      </c>
      <c r="AA175" s="105">
        <v>159</v>
      </c>
      <c r="AB175" s="3" t="str">
        <f>IFERROR(MID(VLOOKUP($B175,Seqs!$A:$B,2,0),AC175,1),"")</f>
        <v>S</v>
      </c>
      <c r="AC175" s="105">
        <v>160</v>
      </c>
      <c r="AD175" s="3" t="str">
        <f>IFERROR(MID(VLOOKUP($B175,Seqs!$A:$B,2,0),AE175,1),"")</f>
        <v>G</v>
      </c>
      <c r="AE175" s="3">
        <v>185</v>
      </c>
      <c r="AF175" s="3" t="str">
        <f>IFERROR(MID(VLOOKUP($B175,Seqs!$A:$B,2,0),AG175,1),"")</f>
        <v/>
      </c>
      <c r="AG175" s="3" t="s">
        <v>23</v>
      </c>
      <c r="AH175" s="3" t="str">
        <f>IFERROR(MID(VLOOKUP($B175,Seqs!$A:$B,2,0),AI175,1),"")</f>
        <v/>
      </c>
      <c r="AI175" s="3" t="s">
        <v>23</v>
      </c>
      <c r="AJ175" s="3" t="str">
        <f>IFERROR(MID(VLOOKUP($B175,Seqs!$A:$B,2,0),AK175,1),"")</f>
        <v>S</v>
      </c>
      <c r="AK175" s="3">
        <v>203</v>
      </c>
      <c r="AL175" s="3" t="str">
        <f>IFERROR(MID(VLOOKUP($B175,Seqs!$A:$B,2,0),AM175,1),"")</f>
        <v>S</v>
      </c>
      <c r="AM175" s="3">
        <v>240</v>
      </c>
      <c r="AN175" s="3" t="str">
        <f>IFERROR(MID(VLOOKUP($B175,Seqs!$A:$B,2,0),AO175,1),"")</f>
        <v>G</v>
      </c>
      <c r="AO175" s="3">
        <v>245</v>
      </c>
      <c r="AP175" s="3" t="str">
        <f>IFERROR(MID(VLOOKUP($B175,Seqs!$A:$B,2,0),AQ175,1),"")</f>
        <v>C</v>
      </c>
      <c r="AQ175" s="3">
        <v>284</v>
      </c>
      <c r="AR175" s="3" t="str">
        <f>IFERROR(MID(VLOOKUP($B175,Seqs!$A:$B,2,0),AS175,1),"")</f>
        <v>D</v>
      </c>
      <c r="AS175" s="3">
        <v>288</v>
      </c>
      <c r="AT175" s="3" t="str">
        <f>IFERROR(MID(VLOOKUP($B175,Seqs!$A:$B,2,0),AU175,1),"")</f>
        <v>R</v>
      </c>
      <c r="AU175" s="3">
        <v>314</v>
      </c>
      <c r="AV175" s="3" t="str">
        <f>IFERROR(MID(VLOOKUP($B175,Seqs!$A:$B,2,0),AW175,1),"")</f>
        <v>D</v>
      </c>
      <c r="AW175" s="3">
        <v>315</v>
      </c>
      <c r="AX175" s="3" t="str">
        <f>IFERROR(MID(VLOOKUP($B175,Seqs!$A:$B,2,0),AY175,1),"")</f>
        <v>C</v>
      </c>
      <c r="AY175" s="3">
        <v>327</v>
      </c>
      <c r="AZ175" s="77" t="str">
        <f>VLOOKUP(B175,Classification!A:D,2,0)</f>
        <v>A</v>
      </c>
      <c r="BA175" s="94" t="str">
        <f>VLOOKUP(B175,Classification!A:D,4,0)</f>
        <v>Lysophospholipid(LPA)</v>
      </c>
      <c r="BB175" s="27" t="b">
        <f t="shared" ref="BB175:BB215" si="670">AND(E175&lt;G175,OR(G175&lt;I175,I175="-"),OR(I175&lt;K175,I175="-"),OR(K175&lt;M175,K175="-"),M175&lt;O175,OR(O175&lt;Q175,Q175="-"),OR(Q175&lt;S175,Q175="-"),OR(S175&lt;U175,S175="-"),U175&lt;W175,OR(W175&lt;Y175,Y175="-"),OR(Y175&lt;AA175,Y175="-"),OR(AA175&lt;AC175,AA175="-"),AC175&lt;AE175,OR(AE175&lt;AG175,AG175="-"),OR(AG175&lt;AI175,AG175="-"),OR(AI175&lt;AK175,AI175="-"),AK175&lt;AM175,AM175&lt;AO175,AO175&lt;AQ175,AQ175&lt;AS175,AS175&lt;AU175,OR(AU175&lt;AW175,AW175="-"),OR(AW175&lt;AY175,AW175="-"))</f>
        <v>1</v>
      </c>
      <c r="BC175" s="23">
        <f t="shared" si="643"/>
        <v>257</v>
      </c>
      <c r="BD175" s="56" t="s">
        <v>1379</v>
      </c>
      <c r="BE175" s="3" t="s">
        <v>23</v>
      </c>
      <c r="BF175" s="119" t="s">
        <v>23</v>
      </c>
      <c r="BG175" s="49" t="s">
        <v>1379</v>
      </c>
      <c r="BH175" s="49" t="s">
        <v>1384</v>
      </c>
      <c r="BI175" s="1"/>
      <c r="BJ175" s="70" t="s">
        <v>1293</v>
      </c>
      <c r="BK175" s="57" t="s">
        <v>1293</v>
      </c>
      <c r="BL175" s="57" t="s">
        <v>1293</v>
      </c>
      <c r="BM175" s="57" t="s">
        <v>1293</v>
      </c>
      <c r="BN175" s="57" t="s">
        <v>1293</v>
      </c>
      <c r="BO175" s="57" t="s">
        <v>1293</v>
      </c>
      <c r="BP175" s="57" t="s">
        <v>1293</v>
      </c>
      <c r="BQ175" s="57" t="s">
        <v>1293</v>
      </c>
      <c r="BR175" s="57" t="s">
        <v>1293</v>
      </c>
      <c r="BS175" s="57" t="s">
        <v>1293</v>
      </c>
      <c r="BT175" s="57" t="s">
        <v>1293</v>
      </c>
      <c r="BU175" s="57" t="s">
        <v>1293</v>
      </c>
      <c r="BV175" s="70">
        <f t="shared" si="644"/>
        <v>47</v>
      </c>
      <c r="BW175" s="71">
        <f t="shared" si="645"/>
        <v>78</v>
      </c>
      <c r="BX175" s="72">
        <f t="shared" si="646"/>
        <v>82</v>
      </c>
      <c r="BY175" s="71">
        <f t="shared" si="647"/>
        <v>110</v>
      </c>
      <c r="BZ175" s="72">
        <f t="shared" si="648"/>
        <v>117</v>
      </c>
      <c r="CA175" s="71">
        <f t="shared" si="649"/>
        <v>153</v>
      </c>
      <c r="CB175" s="72">
        <f t="shared" si="650"/>
        <v>160</v>
      </c>
      <c r="CC175" s="71" t="str">
        <f t="shared" si="651"/>
        <v>-</v>
      </c>
      <c r="CD175" s="72">
        <f t="shared" si="652"/>
        <v>203</v>
      </c>
      <c r="CE175" s="71">
        <f t="shared" si="653"/>
        <v>245</v>
      </c>
      <c r="CF175" s="72">
        <f t="shared" si="654"/>
        <v>288</v>
      </c>
      <c r="CG175" s="71">
        <f t="shared" si="655"/>
        <v>315</v>
      </c>
      <c r="CH175" s="70">
        <f t="shared" si="656"/>
        <v>77</v>
      </c>
      <c r="CI175" s="71">
        <f t="shared" si="657"/>
        <v>81</v>
      </c>
      <c r="CJ175" s="72">
        <f t="shared" si="658"/>
        <v>108</v>
      </c>
      <c r="CK175" s="72">
        <f t="shared" si="659"/>
        <v>116</v>
      </c>
      <c r="CL175" s="72">
        <f t="shared" si="660"/>
        <v>152</v>
      </c>
      <c r="CM175" s="72">
        <f t="shared" si="661"/>
        <v>159</v>
      </c>
      <c r="CN175" s="72">
        <f t="shared" si="662"/>
        <v>185</v>
      </c>
      <c r="CO175" s="72" t="str">
        <f t="shared" si="663"/>
        <v>-</v>
      </c>
      <c r="CP175" s="72">
        <f t="shared" si="664"/>
        <v>240</v>
      </c>
      <c r="CQ175" s="72">
        <f t="shared" si="665"/>
        <v>284</v>
      </c>
      <c r="CR175" s="72">
        <f t="shared" si="666"/>
        <v>314</v>
      </c>
      <c r="CS175" s="72">
        <f t="shared" si="667"/>
        <v>327</v>
      </c>
      <c r="CT175" s="23">
        <f t="shared" si="668"/>
        <v>1</v>
      </c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  <c r="OK175" s="1"/>
      <c r="OL175" s="1"/>
      <c r="OM175" s="1"/>
      <c r="ON175" s="1"/>
      <c r="OO175" s="1"/>
      <c r="OP175" s="1"/>
      <c r="OQ175" s="1"/>
      <c r="OR175" s="1"/>
      <c r="OS175" s="1"/>
      <c r="OT175" s="1"/>
      <c r="OU175" s="1"/>
      <c r="OV175" s="1"/>
      <c r="OW175" s="1"/>
      <c r="OX175" s="1"/>
      <c r="OY175" s="1"/>
      <c r="OZ175" s="1"/>
      <c r="PA175" s="1"/>
      <c r="PB175" s="1"/>
      <c r="PC175" s="1"/>
      <c r="PD175" s="1"/>
      <c r="PE175" s="1"/>
      <c r="PF175" s="1"/>
      <c r="PG175" s="1"/>
      <c r="PH175" s="1"/>
      <c r="PI175" s="1"/>
      <c r="PJ175" s="1"/>
      <c r="PK175" s="1"/>
      <c r="PL175" s="1"/>
      <c r="PM175" s="1"/>
      <c r="PN175" s="1"/>
      <c r="PO175" s="1"/>
      <c r="PP175" s="1"/>
      <c r="PQ175" s="1"/>
      <c r="PR175" s="1"/>
      <c r="PS175" s="1"/>
      <c r="PT175" s="1"/>
      <c r="PU175" s="1"/>
      <c r="PV175" s="1"/>
      <c r="PW175" s="1"/>
      <c r="PX175" s="1"/>
      <c r="PY175" s="1"/>
      <c r="PZ175" s="1"/>
      <c r="QA175" s="1"/>
      <c r="QB175" s="1"/>
      <c r="QC175" s="1"/>
      <c r="QD175" s="1"/>
      <c r="QE175" s="1"/>
      <c r="QF175" s="1"/>
      <c r="QG175" s="1"/>
      <c r="QH175" s="1"/>
      <c r="QI175" s="1"/>
      <c r="QJ175" s="1"/>
      <c r="QK175" s="1"/>
      <c r="QL175" s="1"/>
      <c r="QM175" s="1"/>
      <c r="QN175" s="1"/>
      <c r="QO175" s="1"/>
      <c r="QP175" s="1"/>
      <c r="QQ175" s="1"/>
      <c r="QR175" s="1"/>
      <c r="QS175" s="1"/>
      <c r="QT175" s="1"/>
      <c r="QU175" s="1"/>
      <c r="QV175" s="1"/>
      <c r="QW175" s="1"/>
      <c r="QX175" s="1"/>
      <c r="QY175" s="1"/>
      <c r="QZ175" s="1"/>
      <c r="RA175" s="1"/>
      <c r="RB175" s="1"/>
      <c r="RC175" s="1"/>
      <c r="RD175" s="1"/>
      <c r="RE175" s="1"/>
      <c r="RF175" s="1"/>
      <c r="RG175" s="1"/>
      <c r="RH175" s="1"/>
      <c r="RI175" s="1"/>
      <c r="RJ175" s="1"/>
      <c r="RK175" s="1"/>
      <c r="RL175" s="1"/>
      <c r="RM175" s="1"/>
      <c r="RN175" s="1"/>
      <c r="RO175" s="1"/>
      <c r="RP175" s="1"/>
      <c r="RQ175" s="1"/>
      <c r="RR175" s="1"/>
      <c r="RS175" s="1"/>
      <c r="RT175" s="1"/>
      <c r="RU175" s="1"/>
      <c r="RV175" s="1"/>
      <c r="RW175" s="1"/>
      <c r="RX175" s="1"/>
      <c r="RY175" s="1"/>
      <c r="RZ175" s="1"/>
      <c r="SA175" s="1"/>
      <c r="SB175" s="1"/>
      <c r="SC175" s="1"/>
      <c r="SD175" s="1"/>
      <c r="SE175" s="1"/>
      <c r="SF175" s="1"/>
      <c r="SG175" s="1"/>
      <c r="SH175" s="1"/>
      <c r="SI175" s="1"/>
      <c r="SJ175" s="1"/>
      <c r="SK175" s="1"/>
      <c r="SL175" s="1"/>
      <c r="SM175" s="1"/>
      <c r="SN175" s="1"/>
      <c r="SO175" s="1"/>
      <c r="SP175" s="1"/>
      <c r="SQ175" s="1"/>
      <c r="SR175" s="1"/>
      <c r="SS175" s="1"/>
      <c r="ST175" s="1"/>
      <c r="SU175" s="1"/>
      <c r="SV175" s="1"/>
      <c r="SW175" s="1"/>
      <c r="SX175" s="1"/>
      <c r="SY175" s="1"/>
      <c r="SZ175" s="1"/>
      <c r="TA175" s="1"/>
      <c r="TB175" s="1"/>
      <c r="TC175" s="1"/>
      <c r="TD175" s="1"/>
      <c r="TE175" s="1"/>
      <c r="TF175" s="1"/>
      <c r="TG175" s="1"/>
      <c r="TH175" s="1"/>
      <c r="TI175" s="1"/>
      <c r="TJ175" s="1"/>
      <c r="TK175" s="1"/>
      <c r="TL175" s="1"/>
      <c r="TM175" s="1"/>
      <c r="TN175" s="1"/>
      <c r="TO175" s="1"/>
      <c r="TP175" s="1"/>
      <c r="TQ175" s="1"/>
      <c r="TR175" s="1"/>
      <c r="TS175" s="1"/>
      <c r="TT175" s="1"/>
      <c r="TU175" s="1"/>
      <c r="TV175" s="1"/>
      <c r="TW175" s="1"/>
      <c r="TX175" s="1"/>
      <c r="TY175" s="1"/>
      <c r="TZ175" s="1"/>
      <c r="UA175" s="1"/>
      <c r="UB175" s="1"/>
      <c r="UC175" s="1"/>
      <c r="UD175" s="1"/>
      <c r="UE175" s="1"/>
      <c r="UF175" s="1"/>
      <c r="UG175" s="1"/>
      <c r="UH175" s="1"/>
      <c r="UI175" s="1"/>
      <c r="UJ175" s="1"/>
      <c r="UK175" s="1"/>
      <c r="UL175" s="1"/>
      <c r="UM175" s="1"/>
      <c r="UN175" s="1"/>
      <c r="UO175" s="1"/>
      <c r="UP175" s="1"/>
      <c r="UQ175" s="1"/>
      <c r="UR175" s="1"/>
      <c r="US175" s="1"/>
      <c r="UT175" s="1"/>
      <c r="UU175" s="1"/>
      <c r="UV175" s="1"/>
      <c r="UW175" s="1"/>
      <c r="UX175" s="1"/>
      <c r="UY175" s="1"/>
      <c r="UZ175" s="1"/>
      <c r="VA175" s="1"/>
      <c r="VB175" s="1"/>
      <c r="VC175" s="1"/>
      <c r="VD175" s="1"/>
      <c r="VE175" s="1"/>
      <c r="VF175" s="1"/>
      <c r="VG175" s="1"/>
      <c r="VH175" s="1"/>
      <c r="VI175" s="1"/>
      <c r="VJ175" s="1"/>
      <c r="VK175" s="1"/>
      <c r="VL175" s="1"/>
      <c r="VM175" s="1"/>
      <c r="VN175" s="1"/>
      <c r="VO175" s="1"/>
      <c r="VP175" s="1"/>
      <c r="VQ175" s="1"/>
      <c r="VR175" s="1"/>
      <c r="VS175" s="1"/>
      <c r="VT175" s="1"/>
      <c r="VU175" s="1"/>
      <c r="VV175" s="1"/>
      <c r="VW175" s="1"/>
      <c r="VX175" s="1"/>
      <c r="VY175" s="1"/>
      <c r="VZ175" s="1"/>
      <c r="WA175" s="1"/>
      <c r="WB175" s="1"/>
      <c r="WC175" s="1"/>
      <c r="WD175" s="1"/>
      <c r="WE175" s="1"/>
      <c r="WF175" s="1"/>
      <c r="WG175" s="1"/>
      <c r="WH175" s="1"/>
      <c r="WI175" s="1"/>
      <c r="WJ175" s="1"/>
      <c r="WK175" s="1"/>
      <c r="WL175" s="1"/>
      <c r="WM175" s="1"/>
      <c r="WN175" s="1"/>
      <c r="WO175" s="1"/>
      <c r="WP175" s="1"/>
      <c r="WQ175" s="1"/>
      <c r="WR175" s="1"/>
      <c r="WS175" s="1"/>
      <c r="WT175" s="1"/>
      <c r="WU175" s="1"/>
      <c r="WV175" s="1"/>
      <c r="WW175" s="1"/>
      <c r="WX175" s="1"/>
      <c r="WY175" s="1"/>
      <c r="WZ175" s="1"/>
      <c r="XA175" s="1"/>
      <c r="XB175" s="1"/>
      <c r="XC175" s="1"/>
      <c r="XD175" s="1"/>
      <c r="XE175" s="1"/>
      <c r="XF175" s="1"/>
      <c r="XG175" s="1"/>
      <c r="XH175" s="1"/>
      <c r="XI175" s="1"/>
      <c r="XJ175" s="1"/>
      <c r="XK175" s="1"/>
      <c r="XL175" s="1"/>
      <c r="XM175" s="1"/>
      <c r="XN175" s="1"/>
      <c r="XO175" s="1"/>
      <c r="XP175" s="1"/>
      <c r="XQ175" s="1"/>
      <c r="XR175" s="1"/>
      <c r="XS175" s="1"/>
      <c r="XT175" s="1"/>
      <c r="XU175" s="1"/>
      <c r="XV175" s="1"/>
      <c r="XW175" s="1"/>
      <c r="XX175" s="1"/>
      <c r="XY175" s="1"/>
      <c r="XZ175" s="1"/>
      <c r="YA175" s="1"/>
      <c r="YB175" s="1"/>
      <c r="YC175" s="1"/>
      <c r="YD175" s="1"/>
      <c r="YE175" s="1"/>
      <c r="YF175" s="1"/>
      <c r="YG175" s="1"/>
      <c r="YH175" s="1"/>
      <c r="YI175" s="1"/>
      <c r="YJ175" s="1"/>
      <c r="YK175" s="1"/>
      <c r="YL175" s="1"/>
      <c r="YM175" s="1"/>
      <c r="YN175" s="1"/>
      <c r="YO175" s="1"/>
      <c r="YP175" s="1"/>
      <c r="YQ175" s="1"/>
      <c r="YR175" s="1"/>
      <c r="YS175" s="1"/>
      <c r="YT175" s="1"/>
      <c r="YU175" s="1"/>
      <c r="YV175" s="1"/>
      <c r="YW175" s="1"/>
      <c r="YX175" s="1"/>
      <c r="YY175" s="1"/>
      <c r="YZ175" s="1"/>
      <c r="ZA175" s="1"/>
      <c r="ZB175" s="1"/>
      <c r="ZC175" s="1"/>
      <c r="ZD175" s="1"/>
      <c r="ZE175" s="1"/>
      <c r="ZF175" s="1"/>
      <c r="ZG175" s="1"/>
      <c r="ZH175" s="1"/>
      <c r="ZI175" s="1"/>
      <c r="ZJ175" s="1"/>
      <c r="ZK175" s="1"/>
      <c r="ZL175" s="1"/>
      <c r="ZM175" s="1"/>
      <c r="ZN175" s="1"/>
      <c r="ZO175" s="1"/>
      <c r="ZP175" s="1"/>
      <c r="ZQ175" s="1"/>
      <c r="ZR175" s="1"/>
      <c r="ZS175" s="1"/>
      <c r="ZT175" s="1"/>
      <c r="ZU175" s="1"/>
      <c r="ZV175" s="1"/>
      <c r="ZW175" s="1"/>
      <c r="ZX175" s="1"/>
      <c r="ZY175" s="1"/>
      <c r="ZZ175" s="1"/>
      <c r="AAA175" s="1"/>
      <c r="AAB175" s="1"/>
      <c r="AAC175" s="1"/>
      <c r="AAD175" s="1"/>
      <c r="AAE175" s="1"/>
      <c r="AAF175" s="1"/>
      <c r="AAG175" s="1"/>
      <c r="AAH175" s="1"/>
      <c r="AAI175" s="1"/>
      <c r="AAJ175" s="1"/>
      <c r="AAK175" s="1"/>
      <c r="AAL175" s="1"/>
      <c r="AAM175" s="1"/>
      <c r="AAN175" s="1"/>
      <c r="AAO175" s="1"/>
      <c r="AAP175" s="1"/>
      <c r="AAQ175" s="1"/>
      <c r="AAR175" s="1"/>
      <c r="AAS175" s="1"/>
      <c r="AAT175" s="1"/>
      <c r="AAU175" s="1"/>
      <c r="AAV175" s="1"/>
      <c r="AAW175" s="1"/>
      <c r="AAX175" s="1"/>
      <c r="AAY175" s="1"/>
      <c r="AAZ175" s="1"/>
      <c r="ABA175" s="1"/>
      <c r="ABB175" s="1"/>
      <c r="ABC175" s="1"/>
      <c r="ABD175" s="1"/>
      <c r="ABE175" s="1"/>
      <c r="ABF175" s="1"/>
      <c r="ABG175" s="1"/>
      <c r="ABH175" s="1"/>
      <c r="ABI175" s="1"/>
      <c r="ABJ175" s="1"/>
      <c r="ABK175" s="1"/>
      <c r="ABL175" s="1"/>
      <c r="ABM175" s="1"/>
      <c r="ABN175" s="1"/>
      <c r="ABO175" s="1"/>
      <c r="ABP175" s="1"/>
      <c r="ABQ175" s="1"/>
      <c r="ABR175" s="1"/>
      <c r="ABS175" s="1"/>
      <c r="ABT175" s="1"/>
      <c r="ABU175" s="1"/>
      <c r="ABV175" s="1"/>
      <c r="ABW175" s="1"/>
      <c r="ABX175" s="1"/>
      <c r="ABY175" s="1"/>
      <c r="ABZ175" s="1"/>
      <c r="ACA175" s="1"/>
      <c r="ACB175" s="1"/>
      <c r="ACC175" s="1"/>
      <c r="ACD175" s="1"/>
      <c r="ACE175" s="1"/>
      <c r="ACF175" s="1"/>
      <c r="ACG175" s="1"/>
      <c r="ACH175" s="1"/>
      <c r="ACI175" s="1"/>
      <c r="ACJ175" s="1"/>
      <c r="ACK175" s="1"/>
      <c r="ACL175" s="1"/>
      <c r="ACM175" s="1"/>
      <c r="ACN175" s="1"/>
      <c r="ACO175" s="1"/>
      <c r="ACP175" s="1"/>
      <c r="ACQ175" s="1"/>
      <c r="ACR175" s="1"/>
      <c r="ACS175" s="1"/>
      <c r="ACT175" s="1"/>
      <c r="ACU175" s="1"/>
      <c r="ACV175" s="1"/>
      <c r="ACW175" s="1"/>
      <c r="ACX175" s="1"/>
      <c r="ACY175" s="1"/>
      <c r="ACZ175" s="1"/>
      <c r="ADA175" s="1"/>
      <c r="ADB175" s="1"/>
      <c r="ADC175" s="1"/>
      <c r="ADD175" s="1"/>
      <c r="ADE175" s="1"/>
      <c r="ADF175" s="1"/>
      <c r="ADG175" s="1"/>
      <c r="ADH175" s="1"/>
      <c r="ADI175" s="1"/>
      <c r="ADJ175" s="1"/>
      <c r="ADK175" s="1"/>
      <c r="ADL175" s="1"/>
      <c r="ADM175" s="1"/>
      <c r="ADN175" s="1"/>
      <c r="ADO175" s="1"/>
      <c r="ADP175" s="1"/>
      <c r="ADQ175" s="1"/>
      <c r="ADR175" s="1"/>
      <c r="ADS175" s="1"/>
      <c r="ADT175" s="1"/>
      <c r="ADU175" s="1"/>
      <c r="ADV175" s="1"/>
      <c r="ADW175" s="1"/>
      <c r="ADX175" s="1"/>
      <c r="ADY175" s="1"/>
      <c r="ADZ175" s="1"/>
      <c r="AEA175" s="1"/>
      <c r="AEB175" s="1"/>
      <c r="AEC175" s="1"/>
      <c r="AED175" s="1"/>
      <c r="AEE175" s="1"/>
      <c r="AEF175" s="1"/>
      <c r="AEG175" s="1"/>
      <c r="AEH175" s="1"/>
      <c r="AEI175" s="1"/>
      <c r="AEJ175" s="1"/>
      <c r="AEK175" s="1"/>
      <c r="AEL175" s="1"/>
      <c r="AEM175" s="1"/>
      <c r="AEN175" s="1"/>
      <c r="AEO175" s="1"/>
      <c r="AEP175" s="1"/>
      <c r="AEQ175" s="1"/>
      <c r="AER175" s="1"/>
      <c r="AES175" s="1"/>
      <c r="AET175" s="1"/>
      <c r="AEU175" s="1"/>
      <c r="AEV175" s="1"/>
      <c r="AEW175" s="1"/>
      <c r="AEX175" s="1"/>
      <c r="AEY175" s="1"/>
      <c r="AEZ175" s="1"/>
      <c r="AFA175" s="1"/>
      <c r="AFB175" s="1"/>
      <c r="AFC175" s="1"/>
      <c r="AFD175" s="1"/>
      <c r="AFE175" s="1"/>
      <c r="AFF175" s="1"/>
      <c r="AFG175" s="1"/>
      <c r="AFH175" s="1"/>
      <c r="AFI175" s="1"/>
      <c r="AFJ175" s="1"/>
      <c r="AFK175" s="1"/>
      <c r="AFL175" s="1"/>
      <c r="AFM175" s="1"/>
      <c r="AFN175" s="1"/>
      <c r="AFO175" s="1"/>
      <c r="AFP175" s="1"/>
      <c r="AFQ175" s="1"/>
      <c r="AFR175" s="1"/>
      <c r="AFS175" s="1"/>
      <c r="AFT175" s="1"/>
      <c r="AFU175" s="1"/>
      <c r="AFV175" s="1"/>
      <c r="AFW175" s="1"/>
      <c r="AFX175" s="1"/>
      <c r="AFY175" s="1"/>
      <c r="AFZ175" s="1"/>
      <c r="AGA175" s="1"/>
      <c r="AGB175" s="1"/>
      <c r="AGC175" s="1"/>
      <c r="AGD175" s="1"/>
      <c r="AGE175" s="1"/>
      <c r="AGF175" s="1"/>
      <c r="AGG175" s="1"/>
      <c r="AGH175" s="1"/>
      <c r="AGI175" s="1"/>
      <c r="AGJ175" s="1"/>
      <c r="AGK175" s="1"/>
      <c r="AGL175" s="1"/>
      <c r="AGM175" s="1"/>
      <c r="AGN175" s="1"/>
      <c r="AGO175" s="1"/>
      <c r="AGP175" s="1"/>
      <c r="AGQ175" s="1"/>
      <c r="AGR175" s="1"/>
      <c r="AGS175" s="1"/>
      <c r="AGT175" s="1"/>
      <c r="AGU175" s="1"/>
      <c r="AGV175" s="1"/>
      <c r="AGW175" s="1"/>
      <c r="AGX175" s="1"/>
      <c r="AGY175" s="1"/>
      <c r="AGZ175" s="1"/>
      <c r="AHA175" s="1"/>
      <c r="AHB175" s="1"/>
      <c r="AHC175" s="1"/>
      <c r="AHD175" s="1"/>
      <c r="AHE175" s="1"/>
      <c r="AHF175" s="1"/>
      <c r="AHG175" s="1"/>
      <c r="AHH175" s="1"/>
      <c r="AHI175" s="1"/>
      <c r="AHJ175" s="1"/>
      <c r="AHK175" s="1"/>
      <c r="AHL175" s="1"/>
      <c r="AHM175" s="1"/>
      <c r="AHN175" s="1"/>
      <c r="AHO175" s="1"/>
      <c r="AHP175" s="1"/>
      <c r="AHQ175" s="1"/>
      <c r="AHR175" s="1"/>
      <c r="AHS175" s="1"/>
      <c r="AHT175" s="1"/>
      <c r="AHU175" s="1"/>
      <c r="AHV175" s="1"/>
      <c r="AHW175" s="1"/>
      <c r="AHX175" s="1"/>
      <c r="AHY175" s="1"/>
      <c r="AHZ175" s="1"/>
      <c r="AIA175" s="1"/>
      <c r="AIB175" s="1"/>
      <c r="AIC175" s="1"/>
      <c r="AID175" s="1"/>
      <c r="AIE175" s="1"/>
      <c r="AIF175" s="1"/>
      <c r="AIG175" s="1"/>
      <c r="AIH175" s="1"/>
      <c r="AII175" s="1"/>
      <c r="AIJ175" s="1"/>
      <c r="AIK175" s="1"/>
      <c r="AIL175" s="1"/>
      <c r="AIM175" s="1"/>
      <c r="AIN175" s="1"/>
      <c r="AIO175" s="1"/>
      <c r="AIP175" s="1"/>
      <c r="AIQ175" s="1"/>
      <c r="AIR175" s="1"/>
      <c r="AIS175" s="1"/>
      <c r="AIT175" s="1"/>
      <c r="AIU175" s="1"/>
      <c r="AIV175" s="1"/>
      <c r="AIW175" s="1"/>
      <c r="AIX175" s="1"/>
      <c r="AIY175" s="1"/>
      <c r="AIZ175" s="1"/>
      <c r="AJA175" s="1"/>
      <c r="AJB175" s="1"/>
      <c r="AJC175" s="1"/>
      <c r="AJD175" s="1"/>
      <c r="AJE175" s="1"/>
      <c r="AJF175" s="1"/>
      <c r="AJG175" s="1"/>
      <c r="AJH175" s="1"/>
      <c r="AJI175" s="1"/>
      <c r="AJJ175" s="1"/>
      <c r="AJK175" s="1"/>
      <c r="AJL175" s="1"/>
      <c r="AJM175" s="1"/>
      <c r="AJN175" s="1"/>
      <c r="AJO175" s="1"/>
      <c r="AJP175" s="1"/>
      <c r="AJQ175" s="1"/>
      <c r="AJR175" s="1"/>
      <c r="AJS175" s="1"/>
      <c r="AJT175" s="1"/>
      <c r="AJU175" s="1"/>
      <c r="AJV175" s="1"/>
      <c r="AJW175" s="1"/>
      <c r="AJX175" s="1"/>
      <c r="AJY175" s="1"/>
      <c r="AJZ175" s="1"/>
      <c r="AKA175" s="1"/>
      <c r="AKB175" s="1"/>
      <c r="AKC175" s="1"/>
      <c r="AKD175" s="1"/>
      <c r="AKE175" s="1"/>
      <c r="AKF175" s="1"/>
      <c r="AKG175" s="1"/>
      <c r="AKH175" s="1"/>
      <c r="AKI175" s="1"/>
      <c r="AKJ175" s="1"/>
      <c r="AKK175" s="1"/>
      <c r="AKL175" s="1"/>
      <c r="AKM175" s="1"/>
      <c r="AKN175" s="1"/>
      <c r="AKO175" s="1"/>
      <c r="AKP175" s="1"/>
      <c r="AKQ175" s="1"/>
      <c r="AKR175" s="1"/>
      <c r="AKS175" s="1"/>
      <c r="AKT175" s="1"/>
      <c r="AKU175" s="1"/>
      <c r="AKV175" s="1"/>
      <c r="AKW175" s="1"/>
      <c r="AKX175" s="1"/>
      <c r="AKY175" s="1"/>
      <c r="AKZ175" s="1"/>
      <c r="ALA175" s="1"/>
      <c r="ALB175" s="1"/>
      <c r="ALC175" s="1"/>
      <c r="ALD175" s="1"/>
      <c r="ALE175" s="1"/>
      <c r="ALF175" s="1"/>
      <c r="ALG175" s="1"/>
      <c r="ALH175" s="1"/>
      <c r="ALI175" s="1"/>
      <c r="ALJ175" s="1"/>
      <c r="ALK175" s="1"/>
      <c r="ALL175" s="1"/>
      <c r="ALM175" s="1"/>
      <c r="ALN175" s="1"/>
      <c r="ALO175" s="1"/>
      <c r="ALP175" s="1"/>
      <c r="ALQ175" s="1"/>
      <c r="ALR175" s="1"/>
      <c r="ALS175" s="1"/>
      <c r="ALT175" s="1"/>
      <c r="ALU175" s="1"/>
      <c r="ALV175" s="1"/>
      <c r="ALW175" s="1"/>
      <c r="ALX175" s="1"/>
      <c r="ALY175" s="1"/>
      <c r="ALZ175" s="1"/>
      <c r="AMA175" s="1"/>
      <c r="AMB175" s="1"/>
      <c r="AMC175" s="1"/>
      <c r="AMD175" s="1"/>
      <c r="AME175" s="1"/>
      <c r="AMF175" s="1"/>
      <c r="AMG175" s="1"/>
      <c r="AMH175" s="1"/>
      <c r="AMI175" s="1"/>
      <c r="AMJ175" s="1"/>
      <c r="AMK175" s="1"/>
      <c r="AML175" s="1"/>
      <c r="AMM175" s="1"/>
      <c r="AMN175" s="1"/>
      <c r="AMO175" s="1"/>
    </row>
    <row r="176" spans="1:1029" x14ac:dyDescent="0.2">
      <c r="A176" s="3" t="str">
        <f t="shared" si="669"/>
        <v>lpar1_human_4Z34</v>
      </c>
      <c r="B176" s="3" t="s">
        <v>103</v>
      </c>
      <c r="C176" s="3" t="s">
        <v>1057</v>
      </c>
      <c r="D176" s="3" t="str">
        <f>IFERROR(MID(VLOOKUP($B176,Seqs!$A:$B,2,0),E176,1),"")</f>
        <v>T</v>
      </c>
      <c r="E176" s="3">
        <v>47</v>
      </c>
      <c r="F176" s="3" t="str">
        <f>IFERROR(MID(VLOOKUP($B176,Seqs!$A:$B,2,0),G176,1),"")</f>
        <v>N</v>
      </c>
      <c r="G176" s="3">
        <v>77</v>
      </c>
      <c r="H176" s="3" t="str">
        <f>IFERROR(MID(VLOOKUP($B176,Seqs!$A:$B,2,0),I176,1),"")</f>
        <v>R</v>
      </c>
      <c r="I176" s="23">
        <v>78</v>
      </c>
      <c r="J176" s="3" t="str">
        <f>IFERROR(MID(VLOOKUP($B176,Seqs!$A:$B,2,0),K176,1),"")</f>
        <v>H</v>
      </c>
      <c r="K176" s="23">
        <v>81</v>
      </c>
      <c r="L176" s="3" t="str">
        <f>IFERROR(MID(VLOOKUP($B176,Seqs!$A:$B,2,0),M176,1),"")</f>
        <v>F</v>
      </c>
      <c r="M176" s="3">
        <v>82</v>
      </c>
      <c r="N176" s="3" t="str">
        <f>IFERROR(MID(VLOOKUP($B176,Seqs!$A:$B,2,0),O176,1),"")</f>
        <v>N</v>
      </c>
      <c r="O176" s="3">
        <v>108</v>
      </c>
      <c r="P176" s="3" t="str">
        <f>IFERROR(MID(VLOOKUP($B176,Seqs!$A:$B,2,0),Q176,1),"")</f>
        <v>G</v>
      </c>
      <c r="Q176" s="3">
        <v>110</v>
      </c>
      <c r="R176" s="3" t="str">
        <f>IFERROR(MID(VLOOKUP($B176,Seqs!$A:$B,2,0),S176,1),"")</f>
        <v>L</v>
      </c>
      <c r="S176" s="3">
        <v>116</v>
      </c>
      <c r="T176" s="3" t="str">
        <f>IFERROR(MID(VLOOKUP($B176,Seqs!$A:$B,2,0),U176,1),"")</f>
        <v>T</v>
      </c>
      <c r="U176" s="3">
        <v>117</v>
      </c>
      <c r="V176" s="3" t="str">
        <f>IFERROR(MID(VLOOKUP($B176,Seqs!$A:$B,2,0),W176,1),"")</f>
        <v>R</v>
      </c>
      <c r="W176" s="3">
        <v>152</v>
      </c>
      <c r="X176" s="3" t="str">
        <f>IFERROR(MID(VLOOKUP($B176,Seqs!$A:$B,2,0),Y176,1),"")</f>
        <v/>
      </c>
      <c r="Y176" s="3" t="s">
        <v>23</v>
      </c>
      <c r="Z176" s="3" t="str">
        <f>IFERROR(MID(VLOOKUP($B176,Seqs!$A:$B,2,0),AA176,1),"")</f>
        <v/>
      </c>
      <c r="AA176" s="3" t="s">
        <v>23</v>
      </c>
      <c r="AB176" s="3" t="str">
        <f>IFERROR(MID(VLOOKUP($B176,Seqs!$A:$B,2,0),AC176,1),"")</f>
        <v>T</v>
      </c>
      <c r="AC176" s="9">
        <v>157</v>
      </c>
      <c r="AD176" s="3" t="str">
        <f>IFERROR(MID(VLOOKUP($B176,Seqs!$A:$B,2,0),AE176,1),"")</f>
        <v>G</v>
      </c>
      <c r="AE176" s="3">
        <v>185</v>
      </c>
      <c r="AF176" s="3" t="str">
        <f>IFERROR(MID(VLOOKUP($B176,Seqs!$A:$B,2,0),AG176,1),"")</f>
        <v/>
      </c>
      <c r="AG176" s="3" t="s">
        <v>23</v>
      </c>
      <c r="AH176" s="3" t="str">
        <f>IFERROR(MID(VLOOKUP($B176,Seqs!$A:$B,2,0),AI176,1),"")</f>
        <v/>
      </c>
      <c r="AI176" s="3" t="s">
        <v>23</v>
      </c>
      <c r="AJ176" s="3" t="str">
        <f>IFERROR(MID(VLOOKUP($B176,Seqs!$A:$B,2,0),AK176,1),"")</f>
        <v>S</v>
      </c>
      <c r="AK176" s="3">
        <v>203</v>
      </c>
      <c r="AL176" s="3" t="str">
        <f>IFERROR(MID(VLOOKUP($B176,Seqs!$A:$B,2,0),AM176,1),"")</f>
        <v>R</v>
      </c>
      <c r="AM176" s="3">
        <v>235</v>
      </c>
      <c r="AN176" s="3" t="str">
        <f>IFERROR(MID(VLOOKUP($B176,Seqs!$A:$B,2,0),AO176,1),"")</f>
        <v>G</v>
      </c>
      <c r="AO176" s="3">
        <v>245</v>
      </c>
      <c r="AP176" s="3" t="str">
        <f>IFERROR(MID(VLOOKUP($B176,Seqs!$A:$B,2,0),AQ176,1),"")</f>
        <v>C</v>
      </c>
      <c r="AQ176" s="3">
        <v>284</v>
      </c>
      <c r="AR176" s="3" t="str">
        <f>IFERROR(MID(VLOOKUP($B176,Seqs!$A:$B,2,0),AS176,1),"")</f>
        <v>E</v>
      </c>
      <c r="AS176" s="3">
        <v>293</v>
      </c>
      <c r="AT176" s="3" t="str">
        <f>IFERROR(MID(VLOOKUP($B176,Seqs!$A:$B,2,0),AU176,1),"")</f>
        <v>R</v>
      </c>
      <c r="AU176" s="3">
        <v>314</v>
      </c>
      <c r="AV176" s="3" t="str">
        <f>IFERROR(MID(VLOOKUP($B176,Seqs!$A:$B,2,0),AW176,1),"")</f>
        <v>D</v>
      </c>
      <c r="AW176" s="3">
        <v>315</v>
      </c>
      <c r="AX176" s="3" t="str">
        <f>IFERROR(MID(VLOOKUP($B176,Seqs!$A:$B,2,0),AY176,1),"")</f>
        <v>C</v>
      </c>
      <c r="AY176" s="3">
        <v>327</v>
      </c>
      <c r="AZ176" s="77" t="str">
        <f>VLOOKUP(B176,Classification!A:D,2,0)</f>
        <v>A</v>
      </c>
      <c r="BA176" s="94" t="str">
        <f>VLOOKUP(B176,Classification!A:D,4,0)</f>
        <v>Lysophospholipid(LPA)</v>
      </c>
      <c r="BB176" s="27" t="b">
        <f t="shared" si="670"/>
        <v>1</v>
      </c>
      <c r="BC176" s="23">
        <f t="shared" si="643"/>
        <v>244</v>
      </c>
      <c r="BD176" s="16" t="s">
        <v>23</v>
      </c>
      <c r="BE176" s="3" t="s">
        <v>1381</v>
      </c>
      <c r="BF176" s="119">
        <v>3</v>
      </c>
      <c r="BG176" s="49" t="s">
        <v>1384</v>
      </c>
      <c r="BH176" s="49" t="s">
        <v>1384</v>
      </c>
      <c r="BI176" s="1"/>
      <c r="BJ176" s="70" t="s">
        <v>1293</v>
      </c>
      <c r="BK176" s="57" t="s">
        <v>1293</v>
      </c>
      <c r="BL176" s="57" t="s">
        <v>1293</v>
      </c>
      <c r="BM176" s="57" t="s">
        <v>1293</v>
      </c>
      <c r="BN176" s="57" t="s">
        <v>1293</v>
      </c>
      <c r="BO176" s="57" t="s">
        <v>1293</v>
      </c>
      <c r="BP176" s="57" t="s">
        <v>1293</v>
      </c>
      <c r="BQ176" s="57" t="s">
        <v>1293</v>
      </c>
      <c r="BR176" s="57" t="s">
        <v>1293</v>
      </c>
      <c r="BS176" s="57" t="s">
        <v>1293</v>
      </c>
      <c r="BT176" s="57" t="s">
        <v>1293</v>
      </c>
      <c r="BU176" s="57" t="s">
        <v>1293</v>
      </c>
      <c r="BV176" s="70">
        <f t="shared" si="644"/>
        <v>47</v>
      </c>
      <c r="BW176" s="71">
        <f t="shared" si="645"/>
        <v>78</v>
      </c>
      <c r="BX176" s="72">
        <f t="shared" si="646"/>
        <v>82</v>
      </c>
      <c r="BY176" s="71">
        <f t="shared" si="647"/>
        <v>110</v>
      </c>
      <c r="BZ176" s="72">
        <f t="shared" si="648"/>
        <v>117</v>
      </c>
      <c r="CA176" s="71" t="str">
        <f t="shared" si="649"/>
        <v>-</v>
      </c>
      <c r="CB176" s="72">
        <f t="shared" si="650"/>
        <v>157</v>
      </c>
      <c r="CC176" s="71" t="str">
        <f t="shared" si="651"/>
        <v>-</v>
      </c>
      <c r="CD176" s="72">
        <f t="shared" si="652"/>
        <v>203</v>
      </c>
      <c r="CE176" s="71">
        <f t="shared" si="653"/>
        <v>245</v>
      </c>
      <c r="CF176" s="72">
        <f t="shared" si="654"/>
        <v>293</v>
      </c>
      <c r="CG176" s="71">
        <f t="shared" si="655"/>
        <v>315</v>
      </c>
      <c r="CH176" s="70">
        <f t="shared" si="656"/>
        <v>77</v>
      </c>
      <c r="CI176" s="71">
        <f t="shared" si="657"/>
        <v>81</v>
      </c>
      <c r="CJ176" s="72">
        <f t="shared" si="658"/>
        <v>108</v>
      </c>
      <c r="CK176" s="72">
        <f t="shared" si="659"/>
        <v>116</v>
      </c>
      <c r="CL176" s="72">
        <f t="shared" si="660"/>
        <v>152</v>
      </c>
      <c r="CM176" s="72" t="str">
        <f t="shared" si="661"/>
        <v>-</v>
      </c>
      <c r="CN176" s="72">
        <f t="shared" si="662"/>
        <v>185</v>
      </c>
      <c r="CO176" s="72" t="str">
        <f t="shared" si="663"/>
        <v>-</v>
      </c>
      <c r="CP176" s="72">
        <f t="shared" si="664"/>
        <v>235</v>
      </c>
      <c r="CQ176" s="72">
        <f t="shared" si="665"/>
        <v>284</v>
      </c>
      <c r="CR176" s="72">
        <f t="shared" si="666"/>
        <v>314</v>
      </c>
      <c r="CS176" s="72">
        <f t="shared" si="667"/>
        <v>327</v>
      </c>
      <c r="CT176" s="23">
        <f t="shared" si="668"/>
        <v>1</v>
      </c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  <c r="OK176" s="1"/>
      <c r="OL176" s="1"/>
      <c r="OM176" s="1"/>
      <c r="ON176" s="1"/>
      <c r="OO176" s="1"/>
      <c r="OP176" s="1"/>
      <c r="OQ176" s="1"/>
      <c r="OR176" s="1"/>
      <c r="OS176" s="1"/>
      <c r="OT176" s="1"/>
      <c r="OU176" s="1"/>
      <c r="OV176" s="1"/>
      <c r="OW176" s="1"/>
      <c r="OX176" s="1"/>
      <c r="OY176" s="1"/>
      <c r="OZ176" s="1"/>
      <c r="PA176" s="1"/>
      <c r="PB176" s="1"/>
      <c r="PC176" s="1"/>
      <c r="PD176" s="1"/>
      <c r="PE176" s="1"/>
      <c r="PF176" s="1"/>
      <c r="PG176" s="1"/>
      <c r="PH176" s="1"/>
      <c r="PI176" s="1"/>
      <c r="PJ176" s="1"/>
      <c r="PK176" s="1"/>
      <c r="PL176" s="1"/>
      <c r="PM176" s="1"/>
      <c r="PN176" s="1"/>
      <c r="PO176" s="1"/>
      <c r="PP176" s="1"/>
      <c r="PQ176" s="1"/>
      <c r="PR176" s="1"/>
      <c r="PS176" s="1"/>
      <c r="PT176" s="1"/>
      <c r="PU176" s="1"/>
      <c r="PV176" s="1"/>
      <c r="PW176" s="1"/>
      <c r="PX176" s="1"/>
      <c r="PY176" s="1"/>
      <c r="PZ176" s="1"/>
      <c r="QA176" s="1"/>
      <c r="QB176" s="1"/>
      <c r="QC176" s="1"/>
      <c r="QD176" s="1"/>
      <c r="QE176" s="1"/>
      <c r="QF176" s="1"/>
      <c r="QG176" s="1"/>
      <c r="QH176" s="1"/>
      <c r="QI176" s="1"/>
      <c r="QJ176" s="1"/>
      <c r="QK176" s="1"/>
      <c r="QL176" s="1"/>
      <c r="QM176" s="1"/>
      <c r="QN176" s="1"/>
      <c r="QO176" s="1"/>
      <c r="QP176" s="1"/>
      <c r="QQ176" s="1"/>
      <c r="QR176" s="1"/>
      <c r="QS176" s="1"/>
      <c r="QT176" s="1"/>
      <c r="QU176" s="1"/>
      <c r="QV176" s="1"/>
      <c r="QW176" s="1"/>
      <c r="QX176" s="1"/>
      <c r="QY176" s="1"/>
      <c r="QZ176" s="1"/>
      <c r="RA176" s="1"/>
      <c r="RB176" s="1"/>
      <c r="RC176" s="1"/>
      <c r="RD176" s="1"/>
      <c r="RE176" s="1"/>
      <c r="RF176" s="1"/>
      <c r="RG176" s="1"/>
      <c r="RH176" s="1"/>
      <c r="RI176" s="1"/>
      <c r="RJ176" s="1"/>
      <c r="RK176" s="1"/>
      <c r="RL176" s="1"/>
      <c r="RM176" s="1"/>
      <c r="RN176" s="1"/>
      <c r="RO176" s="1"/>
      <c r="RP176" s="1"/>
      <c r="RQ176" s="1"/>
      <c r="RR176" s="1"/>
      <c r="RS176" s="1"/>
      <c r="RT176" s="1"/>
      <c r="RU176" s="1"/>
      <c r="RV176" s="1"/>
      <c r="RW176" s="1"/>
      <c r="RX176" s="1"/>
      <c r="RY176" s="1"/>
      <c r="RZ176" s="1"/>
      <c r="SA176" s="1"/>
      <c r="SB176" s="1"/>
      <c r="SC176" s="1"/>
      <c r="SD176" s="1"/>
      <c r="SE176" s="1"/>
      <c r="SF176" s="1"/>
      <c r="SG176" s="1"/>
      <c r="SH176" s="1"/>
      <c r="SI176" s="1"/>
      <c r="SJ176" s="1"/>
      <c r="SK176" s="1"/>
      <c r="SL176" s="1"/>
      <c r="SM176" s="1"/>
      <c r="SN176" s="1"/>
      <c r="SO176" s="1"/>
      <c r="SP176" s="1"/>
      <c r="SQ176" s="1"/>
      <c r="SR176" s="1"/>
      <c r="SS176" s="1"/>
      <c r="ST176" s="1"/>
      <c r="SU176" s="1"/>
      <c r="SV176" s="1"/>
      <c r="SW176" s="1"/>
      <c r="SX176" s="1"/>
      <c r="SY176" s="1"/>
      <c r="SZ176" s="1"/>
      <c r="TA176" s="1"/>
      <c r="TB176" s="1"/>
      <c r="TC176" s="1"/>
      <c r="TD176" s="1"/>
      <c r="TE176" s="1"/>
      <c r="TF176" s="1"/>
      <c r="TG176" s="1"/>
      <c r="TH176" s="1"/>
      <c r="TI176" s="1"/>
      <c r="TJ176" s="1"/>
      <c r="TK176" s="1"/>
      <c r="TL176" s="1"/>
      <c r="TM176" s="1"/>
      <c r="TN176" s="1"/>
      <c r="TO176" s="1"/>
      <c r="TP176" s="1"/>
      <c r="TQ176" s="1"/>
      <c r="TR176" s="1"/>
      <c r="TS176" s="1"/>
      <c r="TT176" s="1"/>
      <c r="TU176" s="1"/>
      <c r="TV176" s="1"/>
      <c r="TW176" s="1"/>
      <c r="TX176" s="1"/>
      <c r="TY176" s="1"/>
      <c r="TZ176" s="1"/>
      <c r="UA176" s="1"/>
      <c r="UB176" s="1"/>
      <c r="UC176" s="1"/>
      <c r="UD176" s="1"/>
      <c r="UE176" s="1"/>
      <c r="UF176" s="1"/>
      <c r="UG176" s="1"/>
      <c r="UH176" s="1"/>
      <c r="UI176" s="1"/>
      <c r="UJ176" s="1"/>
      <c r="UK176" s="1"/>
      <c r="UL176" s="1"/>
      <c r="UM176" s="1"/>
      <c r="UN176" s="1"/>
      <c r="UO176" s="1"/>
      <c r="UP176" s="1"/>
      <c r="UQ176" s="1"/>
      <c r="UR176" s="1"/>
      <c r="US176" s="1"/>
      <c r="UT176" s="1"/>
      <c r="UU176" s="1"/>
      <c r="UV176" s="1"/>
      <c r="UW176" s="1"/>
      <c r="UX176" s="1"/>
      <c r="UY176" s="1"/>
      <c r="UZ176" s="1"/>
      <c r="VA176" s="1"/>
      <c r="VB176" s="1"/>
      <c r="VC176" s="1"/>
      <c r="VD176" s="1"/>
      <c r="VE176" s="1"/>
      <c r="VF176" s="1"/>
      <c r="VG176" s="1"/>
      <c r="VH176" s="1"/>
      <c r="VI176" s="1"/>
      <c r="VJ176" s="1"/>
      <c r="VK176" s="1"/>
      <c r="VL176" s="1"/>
      <c r="VM176" s="1"/>
      <c r="VN176" s="1"/>
      <c r="VO176" s="1"/>
      <c r="VP176" s="1"/>
      <c r="VQ176" s="1"/>
      <c r="VR176" s="1"/>
      <c r="VS176" s="1"/>
      <c r="VT176" s="1"/>
      <c r="VU176" s="1"/>
      <c r="VV176" s="1"/>
      <c r="VW176" s="1"/>
      <c r="VX176" s="1"/>
      <c r="VY176" s="1"/>
      <c r="VZ176" s="1"/>
      <c r="WA176" s="1"/>
      <c r="WB176" s="1"/>
      <c r="WC176" s="1"/>
      <c r="WD176" s="1"/>
      <c r="WE176" s="1"/>
      <c r="WF176" s="1"/>
      <c r="WG176" s="1"/>
      <c r="WH176" s="1"/>
      <c r="WI176" s="1"/>
      <c r="WJ176" s="1"/>
      <c r="WK176" s="1"/>
      <c r="WL176" s="1"/>
      <c r="WM176" s="1"/>
      <c r="WN176" s="1"/>
      <c r="WO176" s="1"/>
      <c r="WP176" s="1"/>
      <c r="WQ176" s="1"/>
      <c r="WR176" s="1"/>
      <c r="WS176" s="1"/>
      <c r="WT176" s="1"/>
      <c r="WU176" s="1"/>
      <c r="WV176" s="1"/>
      <c r="WW176" s="1"/>
      <c r="WX176" s="1"/>
      <c r="WY176" s="1"/>
      <c r="WZ176" s="1"/>
      <c r="XA176" s="1"/>
      <c r="XB176" s="1"/>
      <c r="XC176" s="1"/>
      <c r="XD176" s="1"/>
      <c r="XE176" s="1"/>
      <c r="XF176" s="1"/>
      <c r="XG176" s="1"/>
      <c r="XH176" s="1"/>
      <c r="XI176" s="1"/>
      <c r="XJ176" s="1"/>
      <c r="XK176" s="1"/>
      <c r="XL176" s="1"/>
      <c r="XM176" s="1"/>
      <c r="XN176" s="1"/>
      <c r="XO176" s="1"/>
      <c r="XP176" s="1"/>
      <c r="XQ176" s="1"/>
      <c r="XR176" s="1"/>
      <c r="XS176" s="1"/>
      <c r="XT176" s="1"/>
      <c r="XU176" s="1"/>
      <c r="XV176" s="1"/>
      <c r="XW176" s="1"/>
      <c r="XX176" s="1"/>
      <c r="XY176" s="1"/>
      <c r="XZ176" s="1"/>
      <c r="YA176" s="1"/>
      <c r="YB176" s="1"/>
      <c r="YC176" s="1"/>
      <c r="YD176" s="1"/>
      <c r="YE176" s="1"/>
      <c r="YF176" s="1"/>
      <c r="YG176" s="1"/>
      <c r="YH176" s="1"/>
      <c r="YI176" s="1"/>
      <c r="YJ176" s="1"/>
      <c r="YK176" s="1"/>
      <c r="YL176" s="1"/>
      <c r="YM176" s="1"/>
      <c r="YN176" s="1"/>
      <c r="YO176" s="1"/>
      <c r="YP176" s="1"/>
      <c r="YQ176" s="1"/>
      <c r="YR176" s="1"/>
      <c r="YS176" s="1"/>
      <c r="YT176" s="1"/>
      <c r="YU176" s="1"/>
      <c r="YV176" s="1"/>
      <c r="YW176" s="1"/>
      <c r="YX176" s="1"/>
      <c r="YY176" s="1"/>
      <c r="YZ176" s="1"/>
      <c r="ZA176" s="1"/>
      <c r="ZB176" s="1"/>
      <c r="ZC176" s="1"/>
      <c r="ZD176" s="1"/>
      <c r="ZE176" s="1"/>
      <c r="ZF176" s="1"/>
      <c r="ZG176" s="1"/>
      <c r="ZH176" s="1"/>
      <c r="ZI176" s="1"/>
      <c r="ZJ176" s="1"/>
      <c r="ZK176" s="1"/>
      <c r="ZL176" s="1"/>
      <c r="ZM176" s="1"/>
      <c r="ZN176" s="1"/>
      <c r="ZO176" s="1"/>
      <c r="ZP176" s="1"/>
      <c r="ZQ176" s="1"/>
      <c r="ZR176" s="1"/>
      <c r="ZS176" s="1"/>
      <c r="ZT176" s="1"/>
      <c r="ZU176" s="1"/>
      <c r="ZV176" s="1"/>
      <c r="ZW176" s="1"/>
      <c r="ZX176" s="1"/>
      <c r="ZY176" s="1"/>
      <c r="ZZ176" s="1"/>
      <c r="AAA176" s="1"/>
      <c r="AAB176" s="1"/>
      <c r="AAC176" s="1"/>
      <c r="AAD176" s="1"/>
      <c r="AAE176" s="1"/>
      <c r="AAF176" s="1"/>
      <c r="AAG176" s="1"/>
      <c r="AAH176" s="1"/>
      <c r="AAI176" s="1"/>
      <c r="AAJ176" s="1"/>
      <c r="AAK176" s="1"/>
      <c r="AAL176" s="1"/>
      <c r="AAM176" s="1"/>
      <c r="AAN176" s="1"/>
      <c r="AAO176" s="1"/>
      <c r="AAP176" s="1"/>
      <c r="AAQ176" s="1"/>
      <c r="AAR176" s="1"/>
      <c r="AAS176" s="1"/>
      <c r="AAT176" s="1"/>
      <c r="AAU176" s="1"/>
      <c r="AAV176" s="1"/>
      <c r="AAW176" s="1"/>
      <c r="AAX176" s="1"/>
      <c r="AAY176" s="1"/>
      <c r="AAZ176" s="1"/>
      <c r="ABA176" s="1"/>
      <c r="ABB176" s="1"/>
      <c r="ABC176" s="1"/>
      <c r="ABD176" s="1"/>
      <c r="ABE176" s="1"/>
      <c r="ABF176" s="1"/>
      <c r="ABG176" s="1"/>
      <c r="ABH176" s="1"/>
      <c r="ABI176" s="1"/>
      <c r="ABJ176" s="1"/>
      <c r="ABK176" s="1"/>
      <c r="ABL176" s="1"/>
      <c r="ABM176" s="1"/>
      <c r="ABN176" s="1"/>
      <c r="ABO176" s="1"/>
      <c r="ABP176" s="1"/>
      <c r="ABQ176" s="1"/>
      <c r="ABR176" s="1"/>
      <c r="ABS176" s="1"/>
      <c r="ABT176" s="1"/>
      <c r="ABU176" s="1"/>
      <c r="ABV176" s="1"/>
      <c r="ABW176" s="1"/>
      <c r="ABX176" s="1"/>
      <c r="ABY176" s="1"/>
      <c r="ABZ176" s="1"/>
      <c r="ACA176" s="1"/>
      <c r="ACB176" s="1"/>
      <c r="ACC176" s="1"/>
      <c r="ACD176" s="1"/>
      <c r="ACE176" s="1"/>
      <c r="ACF176" s="1"/>
      <c r="ACG176" s="1"/>
      <c r="ACH176" s="1"/>
      <c r="ACI176" s="1"/>
      <c r="ACJ176" s="1"/>
      <c r="ACK176" s="1"/>
      <c r="ACL176" s="1"/>
      <c r="ACM176" s="1"/>
      <c r="ACN176" s="1"/>
      <c r="ACO176" s="1"/>
      <c r="ACP176" s="1"/>
      <c r="ACQ176" s="1"/>
      <c r="ACR176" s="1"/>
      <c r="ACS176" s="1"/>
      <c r="ACT176" s="1"/>
      <c r="ACU176" s="1"/>
      <c r="ACV176" s="1"/>
      <c r="ACW176" s="1"/>
      <c r="ACX176" s="1"/>
      <c r="ACY176" s="1"/>
      <c r="ACZ176" s="1"/>
      <c r="ADA176" s="1"/>
      <c r="ADB176" s="1"/>
      <c r="ADC176" s="1"/>
      <c r="ADD176" s="1"/>
      <c r="ADE176" s="1"/>
      <c r="ADF176" s="1"/>
      <c r="ADG176" s="1"/>
      <c r="ADH176" s="1"/>
      <c r="ADI176" s="1"/>
      <c r="ADJ176" s="1"/>
      <c r="ADK176" s="1"/>
      <c r="ADL176" s="1"/>
      <c r="ADM176" s="1"/>
      <c r="ADN176" s="1"/>
      <c r="ADO176" s="1"/>
      <c r="ADP176" s="1"/>
      <c r="ADQ176" s="1"/>
      <c r="ADR176" s="1"/>
      <c r="ADS176" s="1"/>
      <c r="ADT176" s="1"/>
      <c r="ADU176" s="1"/>
      <c r="ADV176" s="1"/>
      <c r="ADW176" s="1"/>
      <c r="ADX176" s="1"/>
      <c r="ADY176" s="1"/>
      <c r="ADZ176" s="1"/>
      <c r="AEA176" s="1"/>
      <c r="AEB176" s="1"/>
      <c r="AEC176" s="1"/>
      <c r="AED176" s="1"/>
      <c r="AEE176" s="1"/>
      <c r="AEF176" s="1"/>
      <c r="AEG176" s="1"/>
      <c r="AEH176" s="1"/>
      <c r="AEI176" s="1"/>
      <c r="AEJ176" s="1"/>
      <c r="AEK176" s="1"/>
      <c r="AEL176" s="1"/>
      <c r="AEM176" s="1"/>
      <c r="AEN176" s="1"/>
      <c r="AEO176" s="1"/>
      <c r="AEP176" s="1"/>
      <c r="AEQ176" s="1"/>
      <c r="AER176" s="1"/>
      <c r="AES176" s="1"/>
      <c r="AET176" s="1"/>
      <c r="AEU176" s="1"/>
      <c r="AEV176" s="1"/>
      <c r="AEW176" s="1"/>
      <c r="AEX176" s="1"/>
      <c r="AEY176" s="1"/>
      <c r="AEZ176" s="1"/>
      <c r="AFA176" s="1"/>
      <c r="AFB176" s="1"/>
      <c r="AFC176" s="1"/>
      <c r="AFD176" s="1"/>
      <c r="AFE176" s="1"/>
      <c r="AFF176" s="1"/>
      <c r="AFG176" s="1"/>
      <c r="AFH176" s="1"/>
      <c r="AFI176" s="1"/>
      <c r="AFJ176" s="1"/>
      <c r="AFK176" s="1"/>
      <c r="AFL176" s="1"/>
      <c r="AFM176" s="1"/>
      <c r="AFN176" s="1"/>
      <c r="AFO176" s="1"/>
      <c r="AFP176" s="1"/>
      <c r="AFQ176" s="1"/>
      <c r="AFR176" s="1"/>
      <c r="AFS176" s="1"/>
      <c r="AFT176" s="1"/>
      <c r="AFU176" s="1"/>
      <c r="AFV176" s="1"/>
      <c r="AFW176" s="1"/>
      <c r="AFX176" s="1"/>
      <c r="AFY176" s="1"/>
      <c r="AFZ176" s="1"/>
      <c r="AGA176" s="1"/>
      <c r="AGB176" s="1"/>
      <c r="AGC176" s="1"/>
      <c r="AGD176" s="1"/>
      <c r="AGE176" s="1"/>
      <c r="AGF176" s="1"/>
      <c r="AGG176" s="1"/>
      <c r="AGH176" s="1"/>
      <c r="AGI176" s="1"/>
      <c r="AGJ176" s="1"/>
      <c r="AGK176" s="1"/>
      <c r="AGL176" s="1"/>
      <c r="AGM176" s="1"/>
      <c r="AGN176" s="1"/>
      <c r="AGO176" s="1"/>
      <c r="AGP176" s="1"/>
      <c r="AGQ176" s="1"/>
      <c r="AGR176" s="1"/>
      <c r="AGS176" s="1"/>
      <c r="AGT176" s="1"/>
      <c r="AGU176" s="1"/>
      <c r="AGV176" s="1"/>
      <c r="AGW176" s="1"/>
      <c r="AGX176" s="1"/>
      <c r="AGY176" s="1"/>
      <c r="AGZ176" s="1"/>
      <c r="AHA176" s="1"/>
      <c r="AHB176" s="1"/>
      <c r="AHC176" s="1"/>
      <c r="AHD176" s="1"/>
      <c r="AHE176" s="1"/>
      <c r="AHF176" s="1"/>
      <c r="AHG176" s="1"/>
      <c r="AHH176" s="1"/>
      <c r="AHI176" s="1"/>
      <c r="AHJ176" s="1"/>
      <c r="AHK176" s="1"/>
      <c r="AHL176" s="1"/>
      <c r="AHM176" s="1"/>
      <c r="AHN176" s="1"/>
      <c r="AHO176" s="1"/>
      <c r="AHP176" s="1"/>
      <c r="AHQ176" s="1"/>
      <c r="AHR176" s="1"/>
      <c r="AHS176" s="1"/>
      <c r="AHT176" s="1"/>
      <c r="AHU176" s="1"/>
      <c r="AHV176" s="1"/>
      <c r="AHW176" s="1"/>
      <c r="AHX176" s="1"/>
      <c r="AHY176" s="1"/>
      <c r="AHZ176" s="1"/>
      <c r="AIA176" s="1"/>
      <c r="AIB176" s="1"/>
      <c r="AIC176" s="1"/>
      <c r="AID176" s="1"/>
      <c r="AIE176" s="1"/>
      <c r="AIF176" s="1"/>
      <c r="AIG176" s="1"/>
      <c r="AIH176" s="1"/>
      <c r="AII176" s="1"/>
      <c r="AIJ176" s="1"/>
      <c r="AIK176" s="1"/>
      <c r="AIL176" s="1"/>
      <c r="AIM176" s="1"/>
      <c r="AIN176" s="1"/>
      <c r="AIO176" s="1"/>
      <c r="AIP176" s="1"/>
      <c r="AIQ176" s="1"/>
      <c r="AIR176" s="1"/>
      <c r="AIS176" s="1"/>
      <c r="AIT176" s="1"/>
      <c r="AIU176" s="1"/>
      <c r="AIV176" s="1"/>
      <c r="AIW176" s="1"/>
      <c r="AIX176" s="1"/>
      <c r="AIY176" s="1"/>
      <c r="AIZ176" s="1"/>
      <c r="AJA176" s="1"/>
      <c r="AJB176" s="1"/>
      <c r="AJC176" s="1"/>
      <c r="AJD176" s="1"/>
      <c r="AJE176" s="1"/>
      <c r="AJF176" s="1"/>
      <c r="AJG176" s="1"/>
      <c r="AJH176" s="1"/>
      <c r="AJI176" s="1"/>
      <c r="AJJ176" s="1"/>
      <c r="AJK176" s="1"/>
      <c r="AJL176" s="1"/>
      <c r="AJM176" s="1"/>
      <c r="AJN176" s="1"/>
      <c r="AJO176" s="1"/>
      <c r="AJP176" s="1"/>
      <c r="AJQ176" s="1"/>
      <c r="AJR176" s="1"/>
      <c r="AJS176" s="1"/>
      <c r="AJT176" s="1"/>
      <c r="AJU176" s="1"/>
      <c r="AJV176" s="1"/>
      <c r="AJW176" s="1"/>
      <c r="AJX176" s="1"/>
      <c r="AJY176" s="1"/>
      <c r="AJZ176" s="1"/>
      <c r="AKA176" s="1"/>
      <c r="AKB176" s="1"/>
      <c r="AKC176" s="1"/>
      <c r="AKD176" s="1"/>
      <c r="AKE176" s="1"/>
      <c r="AKF176" s="1"/>
      <c r="AKG176" s="1"/>
      <c r="AKH176" s="1"/>
      <c r="AKI176" s="1"/>
      <c r="AKJ176" s="1"/>
      <c r="AKK176" s="1"/>
      <c r="AKL176" s="1"/>
      <c r="AKM176" s="1"/>
      <c r="AKN176" s="1"/>
      <c r="AKO176" s="1"/>
      <c r="AKP176" s="1"/>
      <c r="AKQ176" s="1"/>
      <c r="AKR176" s="1"/>
      <c r="AKS176" s="1"/>
      <c r="AKT176" s="1"/>
      <c r="AKU176" s="1"/>
      <c r="AKV176" s="1"/>
      <c r="AKW176" s="1"/>
      <c r="AKX176" s="1"/>
      <c r="AKY176" s="1"/>
      <c r="AKZ176" s="1"/>
      <c r="ALA176" s="1"/>
      <c r="ALB176" s="1"/>
      <c r="ALC176" s="1"/>
      <c r="ALD176" s="1"/>
      <c r="ALE176" s="1"/>
      <c r="ALF176" s="1"/>
      <c r="ALG176" s="1"/>
      <c r="ALH176" s="1"/>
      <c r="ALI176" s="1"/>
      <c r="ALJ176" s="1"/>
      <c r="ALK176" s="1"/>
      <c r="ALL176" s="1"/>
      <c r="ALM176" s="1"/>
      <c r="ALN176" s="1"/>
      <c r="ALO176" s="1"/>
      <c r="ALP176" s="1"/>
      <c r="ALQ176" s="1"/>
      <c r="ALR176" s="1"/>
      <c r="ALS176" s="1"/>
      <c r="ALT176" s="1"/>
      <c r="ALU176" s="1"/>
      <c r="ALV176" s="1"/>
      <c r="ALW176" s="1"/>
      <c r="ALX176" s="1"/>
      <c r="ALY176" s="1"/>
      <c r="ALZ176" s="1"/>
      <c r="AMA176" s="1"/>
      <c r="AMB176" s="1"/>
      <c r="AMC176" s="1"/>
      <c r="AMD176" s="1"/>
      <c r="AME176" s="1"/>
      <c r="AMF176" s="1"/>
      <c r="AMG176" s="1"/>
      <c r="AMH176" s="1"/>
      <c r="AMI176" s="1"/>
      <c r="AMJ176" s="1"/>
      <c r="AMK176" s="1"/>
      <c r="AML176" s="1"/>
      <c r="AMM176" s="1"/>
      <c r="AMN176" s="1"/>
      <c r="AMO176" s="1"/>
    </row>
    <row r="177" spans="1:1030" x14ac:dyDescent="0.2">
      <c r="A177" s="3" t="str">
        <f t="shared" si="669"/>
        <v>lpar1_human_4Z35</v>
      </c>
      <c r="B177" s="3" t="s">
        <v>103</v>
      </c>
      <c r="C177" s="3" t="s">
        <v>89</v>
      </c>
      <c r="D177" s="3" t="str">
        <f>IFERROR(MID(VLOOKUP($B177,Seqs!$A:$B,2,0),E177,1),"")</f>
        <v>T</v>
      </c>
      <c r="E177" s="3">
        <v>47</v>
      </c>
      <c r="F177" s="3" t="str">
        <f>IFERROR(MID(VLOOKUP($B177,Seqs!$A:$B,2,0),G177,1),"")</f>
        <v>N</v>
      </c>
      <c r="G177" s="3">
        <v>77</v>
      </c>
      <c r="H177" s="3" t="str">
        <f>IFERROR(MID(VLOOKUP($B177,Seqs!$A:$B,2,0),I177,1),"")</f>
        <v>R</v>
      </c>
      <c r="I177" s="23">
        <v>78</v>
      </c>
      <c r="J177" s="3" t="str">
        <f>IFERROR(MID(VLOOKUP($B177,Seqs!$A:$B,2,0),K177,1),"")</f>
        <v>H</v>
      </c>
      <c r="K177" s="23">
        <v>81</v>
      </c>
      <c r="L177" s="3" t="str">
        <f>IFERROR(MID(VLOOKUP($B177,Seqs!$A:$B,2,0),M177,1),"")</f>
        <v>F</v>
      </c>
      <c r="M177" s="3">
        <v>82</v>
      </c>
      <c r="N177" s="3" t="str">
        <f>IFERROR(MID(VLOOKUP($B177,Seqs!$A:$B,2,0),O177,1),"")</f>
        <v>N</v>
      </c>
      <c r="O177" s="3">
        <v>108</v>
      </c>
      <c r="P177" s="3" t="str">
        <f>IFERROR(MID(VLOOKUP($B177,Seqs!$A:$B,2,0),Q177,1),"")</f>
        <v>G</v>
      </c>
      <c r="Q177" s="3">
        <v>110</v>
      </c>
      <c r="R177" s="3" t="str">
        <f>IFERROR(MID(VLOOKUP($B177,Seqs!$A:$B,2,0),S177,1),"")</f>
        <v>L</v>
      </c>
      <c r="S177" s="3">
        <v>116</v>
      </c>
      <c r="T177" s="3" t="str">
        <f>IFERROR(MID(VLOOKUP($B177,Seqs!$A:$B,2,0),U177,1),"")</f>
        <v>T</v>
      </c>
      <c r="U177" s="3">
        <v>117</v>
      </c>
      <c r="V177" s="3" t="str">
        <f>IFERROR(MID(VLOOKUP($B177,Seqs!$A:$B,2,0),W177,1),"")</f>
        <v>R</v>
      </c>
      <c r="W177" s="3">
        <v>152</v>
      </c>
      <c r="X177" s="3" t="str">
        <f>IFERROR(MID(VLOOKUP($B177,Seqs!$A:$B,2,0),Y177,1),"")</f>
        <v/>
      </c>
      <c r="Y177" s="3" t="s">
        <v>23</v>
      </c>
      <c r="Z177" s="3" t="str">
        <f>IFERROR(MID(VLOOKUP($B177,Seqs!$A:$B,2,0),AA177,1),"")</f>
        <v/>
      </c>
      <c r="AA177" s="3" t="s">
        <v>23</v>
      </c>
      <c r="AB177" s="3" t="str">
        <f>IFERROR(MID(VLOOKUP($B177,Seqs!$A:$B,2,0),AC177,1),"")</f>
        <v>T</v>
      </c>
      <c r="AC177" s="9">
        <v>157</v>
      </c>
      <c r="AD177" s="3" t="str">
        <f>IFERROR(MID(VLOOKUP($B177,Seqs!$A:$B,2,0),AE177,1),"")</f>
        <v>G</v>
      </c>
      <c r="AE177" s="3">
        <v>185</v>
      </c>
      <c r="AF177" s="3" t="str">
        <f>IFERROR(MID(VLOOKUP($B177,Seqs!$A:$B,2,0),AG177,1),"")</f>
        <v/>
      </c>
      <c r="AG177" s="3" t="s">
        <v>23</v>
      </c>
      <c r="AH177" s="3" t="str">
        <f>IFERROR(MID(VLOOKUP($B177,Seqs!$A:$B,2,0),AI177,1),"")</f>
        <v/>
      </c>
      <c r="AI177" s="3" t="s">
        <v>23</v>
      </c>
      <c r="AJ177" s="3" t="str">
        <f>IFERROR(MID(VLOOKUP($B177,Seqs!$A:$B,2,0),AK177,1),"")</f>
        <v>S</v>
      </c>
      <c r="AK177" s="3">
        <v>203</v>
      </c>
      <c r="AL177" s="3" t="str">
        <f>IFERROR(MID(VLOOKUP($B177,Seqs!$A:$B,2,0),AM177,1),"")</f>
        <v>R</v>
      </c>
      <c r="AM177" s="3">
        <v>235</v>
      </c>
      <c r="AN177" s="3" t="str">
        <f>IFERROR(MID(VLOOKUP($B177,Seqs!$A:$B,2,0),AO177,1),"")</f>
        <v>G</v>
      </c>
      <c r="AO177" s="3">
        <v>245</v>
      </c>
      <c r="AP177" s="3" t="str">
        <f>IFERROR(MID(VLOOKUP($B177,Seqs!$A:$B,2,0),AQ177,1),"")</f>
        <v>C</v>
      </c>
      <c r="AQ177" s="3">
        <v>284</v>
      </c>
      <c r="AR177" s="3" t="str">
        <f>IFERROR(MID(VLOOKUP($B177,Seqs!$A:$B,2,0),AS177,1),"")</f>
        <v>E</v>
      </c>
      <c r="AS177" s="3">
        <v>293</v>
      </c>
      <c r="AT177" s="3" t="str">
        <f>IFERROR(MID(VLOOKUP($B177,Seqs!$A:$B,2,0),AU177,1),"")</f>
        <v>R</v>
      </c>
      <c r="AU177" s="3">
        <v>314</v>
      </c>
      <c r="AV177" s="3" t="str">
        <f>IFERROR(MID(VLOOKUP($B177,Seqs!$A:$B,2,0),AW177,1),"")</f>
        <v>D</v>
      </c>
      <c r="AW177" s="3">
        <v>315</v>
      </c>
      <c r="AX177" s="3" t="str">
        <f>IFERROR(MID(VLOOKUP($B177,Seqs!$A:$B,2,0),AY177,1),"")</f>
        <v>C</v>
      </c>
      <c r="AY177" s="3">
        <v>327</v>
      </c>
      <c r="AZ177" s="77" t="str">
        <f>VLOOKUP(B177,Classification!A:D,2,0)</f>
        <v>A</v>
      </c>
      <c r="BA177" s="94" t="str">
        <f>VLOOKUP(B177,Classification!A:D,4,0)</f>
        <v>Lysophospholipid(LPA)</v>
      </c>
      <c r="BB177" s="27" t="b">
        <f t="shared" si="670"/>
        <v>1</v>
      </c>
      <c r="BC177" s="23">
        <f t="shared" si="643"/>
        <v>244</v>
      </c>
      <c r="BD177" s="5" t="s">
        <v>1383</v>
      </c>
      <c r="BE177" s="3" t="s">
        <v>1381</v>
      </c>
      <c r="BF177" s="119">
        <v>2.9</v>
      </c>
      <c r="BG177" s="49" t="s">
        <v>1384</v>
      </c>
      <c r="BH177" s="49" t="s">
        <v>1384</v>
      </c>
      <c r="BI177" s="1"/>
      <c r="BJ177" s="70" t="s">
        <v>1293</v>
      </c>
      <c r="BK177" s="57" t="s">
        <v>1293</v>
      </c>
      <c r="BL177" s="57" t="s">
        <v>1293</v>
      </c>
      <c r="BM177" s="57" t="s">
        <v>1293</v>
      </c>
      <c r="BN177" s="57" t="s">
        <v>1293</v>
      </c>
      <c r="BO177" s="57" t="s">
        <v>1293</v>
      </c>
      <c r="BP177" s="57" t="s">
        <v>1293</v>
      </c>
      <c r="BQ177" s="57" t="s">
        <v>1293</v>
      </c>
      <c r="BR177" s="57" t="s">
        <v>1293</v>
      </c>
      <c r="BS177" s="57" t="s">
        <v>1293</v>
      </c>
      <c r="BT177" s="57" t="s">
        <v>1293</v>
      </c>
      <c r="BU177" s="57" t="s">
        <v>1293</v>
      </c>
      <c r="BV177" s="70">
        <f t="shared" si="644"/>
        <v>47</v>
      </c>
      <c r="BW177" s="71">
        <f t="shared" si="645"/>
        <v>78</v>
      </c>
      <c r="BX177" s="72">
        <f t="shared" si="646"/>
        <v>82</v>
      </c>
      <c r="BY177" s="71">
        <f t="shared" si="647"/>
        <v>110</v>
      </c>
      <c r="BZ177" s="72">
        <f t="shared" si="648"/>
        <v>117</v>
      </c>
      <c r="CA177" s="71" t="str">
        <f t="shared" si="649"/>
        <v>-</v>
      </c>
      <c r="CB177" s="72">
        <f t="shared" si="650"/>
        <v>157</v>
      </c>
      <c r="CC177" s="71" t="str">
        <f t="shared" si="651"/>
        <v>-</v>
      </c>
      <c r="CD177" s="72">
        <f t="shared" si="652"/>
        <v>203</v>
      </c>
      <c r="CE177" s="71">
        <f t="shared" si="653"/>
        <v>245</v>
      </c>
      <c r="CF177" s="72">
        <f t="shared" si="654"/>
        <v>293</v>
      </c>
      <c r="CG177" s="71">
        <f t="shared" si="655"/>
        <v>315</v>
      </c>
      <c r="CH177" s="70">
        <f t="shared" si="656"/>
        <v>77</v>
      </c>
      <c r="CI177" s="71">
        <f t="shared" si="657"/>
        <v>81</v>
      </c>
      <c r="CJ177" s="72">
        <f t="shared" si="658"/>
        <v>108</v>
      </c>
      <c r="CK177" s="72">
        <f t="shared" si="659"/>
        <v>116</v>
      </c>
      <c r="CL177" s="72">
        <f t="shared" si="660"/>
        <v>152</v>
      </c>
      <c r="CM177" s="72" t="str">
        <f t="shared" si="661"/>
        <v>-</v>
      </c>
      <c r="CN177" s="72">
        <f t="shared" si="662"/>
        <v>185</v>
      </c>
      <c r="CO177" s="72" t="str">
        <f t="shared" si="663"/>
        <v>-</v>
      </c>
      <c r="CP177" s="72">
        <f t="shared" si="664"/>
        <v>235</v>
      </c>
      <c r="CQ177" s="72">
        <f t="shared" si="665"/>
        <v>284</v>
      </c>
      <c r="CR177" s="72">
        <f t="shared" si="666"/>
        <v>314</v>
      </c>
      <c r="CS177" s="72">
        <f t="shared" si="667"/>
        <v>327</v>
      </c>
      <c r="CT177" s="23">
        <f t="shared" si="668"/>
        <v>1</v>
      </c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  <c r="OK177" s="1"/>
      <c r="OL177" s="1"/>
      <c r="OM177" s="1"/>
      <c r="ON177" s="1"/>
      <c r="OO177" s="1"/>
      <c r="OP177" s="1"/>
      <c r="OQ177" s="1"/>
      <c r="OR177" s="1"/>
      <c r="OS177" s="1"/>
      <c r="OT177" s="1"/>
      <c r="OU177" s="1"/>
      <c r="OV177" s="1"/>
      <c r="OW177" s="1"/>
      <c r="OX177" s="1"/>
      <c r="OY177" s="1"/>
      <c r="OZ177" s="1"/>
      <c r="PA177" s="1"/>
      <c r="PB177" s="1"/>
      <c r="PC177" s="1"/>
      <c r="PD177" s="1"/>
      <c r="PE177" s="1"/>
      <c r="PF177" s="1"/>
      <c r="PG177" s="1"/>
      <c r="PH177" s="1"/>
      <c r="PI177" s="1"/>
      <c r="PJ177" s="1"/>
      <c r="PK177" s="1"/>
      <c r="PL177" s="1"/>
      <c r="PM177" s="1"/>
      <c r="PN177" s="1"/>
      <c r="PO177" s="1"/>
      <c r="PP177" s="1"/>
      <c r="PQ177" s="1"/>
      <c r="PR177" s="1"/>
      <c r="PS177" s="1"/>
      <c r="PT177" s="1"/>
      <c r="PU177" s="1"/>
      <c r="PV177" s="1"/>
      <c r="PW177" s="1"/>
      <c r="PX177" s="1"/>
      <c r="PY177" s="1"/>
      <c r="PZ177" s="1"/>
      <c r="QA177" s="1"/>
      <c r="QB177" s="1"/>
      <c r="QC177" s="1"/>
      <c r="QD177" s="1"/>
      <c r="QE177" s="1"/>
      <c r="QF177" s="1"/>
      <c r="QG177" s="1"/>
      <c r="QH177" s="1"/>
      <c r="QI177" s="1"/>
      <c r="QJ177" s="1"/>
      <c r="QK177" s="1"/>
      <c r="QL177" s="1"/>
      <c r="QM177" s="1"/>
      <c r="QN177" s="1"/>
      <c r="QO177" s="1"/>
      <c r="QP177" s="1"/>
      <c r="QQ177" s="1"/>
      <c r="QR177" s="1"/>
      <c r="QS177" s="1"/>
      <c r="QT177" s="1"/>
      <c r="QU177" s="1"/>
      <c r="QV177" s="1"/>
      <c r="QW177" s="1"/>
      <c r="QX177" s="1"/>
      <c r="QY177" s="1"/>
      <c r="QZ177" s="1"/>
      <c r="RA177" s="1"/>
      <c r="RB177" s="1"/>
      <c r="RC177" s="1"/>
      <c r="RD177" s="1"/>
      <c r="RE177" s="1"/>
      <c r="RF177" s="1"/>
      <c r="RG177" s="1"/>
      <c r="RH177" s="1"/>
      <c r="RI177" s="1"/>
      <c r="RJ177" s="1"/>
      <c r="RK177" s="1"/>
      <c r="RL177" s="1"/>
      <c r="RM177" s="1"/>
      <c r="RN177" s="1"/>
      <c r="RO177" s="1"/>
      <c r="RP177" s="1"/>
      <c r="RQ177" s="1"/>
      <c r="RR177" s="1"/>
      <c r="RS177" s="1"/>
      <c r="RT177" s="1"/>
      <c r="RU177" s="1"/>
      <c r="RV177" s="1"/>
      <c r="RW177" s="1"/>
      <c r="RX177" s="1"/>
      <c r="RY177" s="1"/>
      <c r="RZ177" s="1"/>
      <c r="SA177" s="1"/>
      <c r="SB177" s="1"/>
      <c r="SC177" s="1"/>
      <c r="SD177" s="1"/>
      <c r="SE177" s="1"/>
      <c r="SF177" s="1"/>
      <c r="SG177" s="1"/>
      <c r="SH177" s="1"/>
      <c r="SI177" s="1"/>
      <c r="SJ177" s="1"/>
      <c r="SK177" s="1"/>
      <c r="SL177" s="1"/>
      <c r="SM177" s="1"/>
      <c r="SN177" s="1"/>
      <c r="SO177" s="1"/>
      <c r="SP177" s="1"/>
      <c r="SQ177" s="1"/>
      <c r="SR177" s="1"/>
      <c r="SS177" s="1"/>
      <c r="ST177" s="1"/>
      <c r="SU177" s="1"/>
      <c r="SV177" s="1"/>
      <c r="SW177" s="1"/>
      <c r="SX177" s="1"/>
      <c r="SY177" s="1"/>
      <c r="SZ177" s="1"/>
      <c r="TA177" s="1"/>
      <c r="TB177" s="1"/>
      <c r="TC177" s="1"/>
      <c r="TD177" s="1"/>
      <c r="TE177" s="1"/>
      <c r="TF177" s="1"/>
      <c r="TG177" s="1"/>
      <c r="TH177" s="1"/>
      <c r="TI177" s="1"/>
      <c r="TJ177" s="1"/>
      <c r="TK177" s="1"/>
      <c r="TL177" s="1"/>
      <c r="TM177" s="1"/>
      <c r="TN177" s="1"/>
      <c r="TO177" s="1"/>
      <c r="TP177" s="1"/>
      <c r="TQ177" s="1"/>
      <c r="TR177" s="1"/>
      <c r="TS177" s="1"/>
      <c r="TT177" s="1"/>
      <c r="TU177" s="1"/>
      <c r="TV177" s="1"/>
      <c r="TW177" s="1"/>
      <c r="TX177" s="1"/>
      <c r="TY177" s="1"/>
      <c r="TZ177" s="1"/>
      <c r="UA177" s="1"/>
      <c r="UB177" s="1"/>
      <c r="UC177" s="1"/>
      <c r="UD177" s="1"/>
      <c r="UE177" s="1"/>
      <c r="UF177" s="1"/>
      <c r="UG177" s="1"/>
      <c r="UH177" s="1"/>
      <c r="UI177" s="1"/>
      <c r="UJ177" s="1"/>
      <c r="UK177" s="1"/>
      <c r="UL177" s="1"/>
      <c r="UM177" s="1"/>
      <c r="UN177" s="1"/>
      <c r="UO177" s="1"/>
      <c r="UP177" s="1"/>
      <c r="UQ177" s="1"/>
      <c r="UR177" s="1"/>
      <c r="US177" s="1"/>
      <c r="UT177" s="1"/>
      <c r="UU177" s="1"/>
      <c r="UV177" s="1"/>
      <c r="UW177" s="1"/>
      <c r="UX177" s="1"/>
      <c r="UY177" s="1"/>
      <c r="UZ177" s="1"/>
      <c r="VA177" s="1"/>
      <c r="VB177" s="1"/>
      <c r="VC177" s="1"/>
      <c r="VD177" s="1"/>
      <c r="VE177" s="1"/>
      <c r="VF177" s="1"/>
      <c r="VG177" s="1"/>
      <c r="VH177" s="1"/>
      <c r="VI177" s="1"/>
      <c r="VJ177" s="1"/>
      <c r="VK177" s="1"/>
      <c r="VL177" s="1"/>
      <c r="VM177" s="1"/>
      <c r="VN177" s="1"/>
      <c r="VO177" s="1"/>
      <c r="VP177" s="1"/>
      <c r="VQ177" s="1"/>
      <c r="VR177" s="1"/>
      <c r="VS177" s="1"/>
      <c r="VT177" s="1"/>
      <c r="VU177" s="1"/>
      <c r="VV177" s="1"/>
      <c r="VW177" s="1"/>
      <c r="VX177" s="1"/>
      <c r="VY177" s="1"/>
      <c r="VZ177" s="1"/>
      <c r="WA177" s="1"/>
      <c r="WB177" s="1"/>
      <c r="WC177" s="1"/>
      <c r="WD177" s="1"/>
      <c r="WE177" s="1"/>
      <c r="WF177" s="1"/>
      <c r="WG177" s="1"/>
      <c r="WH177" s="1"/>
      <c r="WI177" s="1"/>
      <c r="WJ177" s="1"/>
      <c r="WK177" s="1"/>
      <c r="WL177" s="1"/>
      <c r="WM177" s="1"/>
      <c r="WN177" s="1"/>
      <c r="WO177" s="1"/>
      <c r="WP177" s="1"/>
      <c r="WQ177" s="1"/>
      <c r="WR177" s="1"/>
      <c r="WS177" s="1"/>
      <c r="WT177" s="1"/>
      <c r="WU177" s="1"/>
      <c r="WV177" s="1"/>
      <c r="WW177" s="1"/>
      <c r="WX177" s="1"/>
      <c r="WY177" s="1"/>
      <c r="WZ177" s="1"/>
      <c r="XA177" s="1"/>
      <c r="XB177" s="1"/>
      <c r="XC177" s="1"/>
      <c r="XD177" s="1"/>
      <c r="XE177" s="1"/>
      <c r="XF177" s="1"/>
      <c r="XG177" s="1"/>
      <c r="XH177" s="1"/>
      <c r="XI177" s="1"/>
      <c r="XJ177" s="1"/>
      <c r="XK177" s="1"/>
      <c r="XL177" s="1"/>
      <c r="XM177" s="1"/>
      <c r="XN177" s="1"/>
      <c r="XO177" s="1"/>
      <c r="XP177" s="1"/>
      <c r="XQ177" s="1"/>
      <c r="XR177" s="1"/>
      <c r="XS177" s="1"/>
      <c r="XT177" s="1"/>
      <c r="XU177" s="1"/>
      <c r="XV177" s="1"/>
      <c r="XW177" s="1"/>
      <c r="XX177" s="1"/>
      <c r="XY177" s="1"/>
      <c r="XZ177" s="1"/>
      <c r="YA177" s="1"/>
      <c r="YB177" s="1"/>
      <c r="YC177" s="1"/>
      <c r="YD177" s="1"/>
      <c r="YE177" s="1"/>
      <c r="YF177" s="1"/>
      <c r="YG177" s="1"/>
      <c r="YH177" s="1"/>
      <c r="YI177" s="1"/>
      <c r="YJ177" s="1"/>
      <c r="YK177" s="1"/>
      <c r="YL177" s="1"/>
      <c r="YM177" s="1"/>
      <c r="YN177" s="1"/>
      <c r="YO177" s="1"/>
      <c r="YP177" s="1"/>
      <c r="YQ177" s="1"/>
      <c r="YR177" s="1"/>
      <c r="YS177" s="1"/>
      <c r="YT177" s="1"/>
      <c r="YU177" s="1"/>
      <c r="YV177" s="1"/>
      <c r="YW177" s="1"/>
      <c r="YX177" s="1"/>
      <c r="YY177" s="1"/>
      <c r="YZ177" s="1"/>
      <c r="ZA177" s="1"/>
      <c r="ZB177" s="1"/>
      <c r="ZC177" s="1"/>
      <c r="ZD177" s="1"/>
      <c r="ZE177" s="1"/>
      <c r="ZF177" s="1"/>
      <c r="ZG177" s="1"/>
      <c r="ZH177" s="1"/>
      <c r="ZI177" s="1"/>
      <c r="ZJ177" s="1"/>
      <c r="ZK177" s="1"/>
      <c r="ZL177" s="1"/>
      <c r="ZM177" s="1"/>
      <c r="ZN177" s="1"/>
      <c r="ZO177" s="1"/>
      <c r="ZP177" s="1"/>
      <c r="ZQ177" s="1"/>
      <c r="ZR177" s="1"/>
      <c r="ZS177" s="1"/>
      <c r="ZT177" s="1"/>
      <c r="ZU177" s="1"/>
      <c r="ZV177" s="1"/>
      <c r="ZW177" s="1"/>
      <c r="ZX177" s="1"/>
      <c r="ZY177" s="1"/>
      <c r="ZZ177" s="1"/>
      <c r="AAA177" s="1"/>
      <c r="AAB177" s="1"/>
      <c r="AAC177" s="1"/>
      <c r="AAD177" s="1"/>
      <c r="AAE177" s="1"/>
      <c r="AAF177" s="1"/>
      <c r="AAG177" s="1"/>
      <c r="AAH177" s="1"/>
      <c r="AAI177" s="1"/>
      <c r="AAJ177" s="1"/>
      <c r="AAK177" s="1"/>
      <c r="AAL177" s="1"/>
      <c r="AAM177" s="1"/>
      <c r="AAN177" s="1"/>
      <c r="AAO177" s="1"/>
      <c r="AAP177" s="1"/>
      <c r="AAQ177" s="1"/>
      <c r="AAR177" s="1"/>
      <c r="AAS177" s="1"/>
      <c r="AAT177" s="1"/>
      <c r="AAU177" s="1"/>
      <c r="AAV177" s="1"/>
      <c r="AAW177" s="1"/>
      <c r="AAX177" s="1"/>
      <c r="AAY177" s="1"/>
      <c r="AAZ177" s="1"/>
      <c r="ABA177" s="1"/>
      <c r="ABB177" s="1"/>
      <c r="ABC177" s="1"/>
      <c r="ABD177" s="1"/>
      <c r="ABE177" s="1"/>
      <c r="ABF177" s="1"/>
      <c r="ABG177" s="1"/>
      <c r="ABH177" s="1"/>
      <c r="ABI177" s="1"/>
      <c r="ABJ177" s="1"/>
      <c r="ABK177" s="1"/>
      <c r="ABL177" s="1"/>
      <c r="ABM177" s="1"/>
      <c r="ABN177" s="1"/>
      <c r="ABO177" s="1"/>
      <c r="ABP177" s="1"/>
      <c r="ABQ177" s="1"/>
      <c r="ABR177" s="1"/>
      <c r="ABS177" s="1"/>
      <c r="ABT177" s="1"/>
      <c r="ABU177" s="1"/>
      <c r="ABV177" s="1"/>
      <c r="ABW177" s="1"/>
      <c r="ABX177" s="1"/>
      <c r="ABY177" s="1"/>
      <c r="ABZ177" s="1"/>
      <c r="ACA177" s="1"/>
      <c r="ACB177" s="1"/>
      <c r="ACC177" s="1"/>
      <c r="ACD177" s="1"/>
      <c r="ACE177" s="1"/>
      <c r="ACF177" s="1"/>
      <c r="ACG177" s="1"/>
      <c r="ACH177" s="1"/>
      <c r="ACI177" s="1"/>
      <c r="ACJ177" s="1"/>
      <c r="ACK177" s="1"/>
      <c r="ACL177" s="1"/>
      <c r="ACM177" s="1"/>
      <c r="ACN177" s="1"/>
      <c r="ACO177" s="1"/>
      <c r="ACP177" s="1"/>
      <c r="ACQ177" s="1"/>
      <c r="ACR177" s="1"/>
      <c r="ACS177" s="1"/>
      <c r="ACT177" s="1"/>
      <c r="ACU177" s="1"/>
      <c r="ACV177" s="1"/>
      <c r="ACW177" s="1"/>
      <c r="ACX177" s="1"/>
      <c r="ACY177" s="1"/>
      <c r="ACZ177" s="1"/>
      <c r="ADA177" s="1"/>
      <c r="ADB177" s="1"/>
      <c r="ADC177" s="1"/>
      <c r="ADD177" s="1"/>
      <c r="ADE177" s="1"/>
      <c r="ADF177" s="1"/>
      <c r="ADG177" s="1"/>
      <c r="ADH177" s="1"/>
      <c r="ADI177" s="1"/>
      <c r="ADJ177" s="1"/>
      <c r="ADK177" s="1"/>
      <c r="ADL177" s="1"/>
      <c r="ADM177" s="1"/>
      <c r="ADN177" s="1"/>
      <c r="ADO177" s="1"/>
      <c r="ADP177" s="1"/>
      <c r="ADQ177" s="1"/>
      <c r="ADR177" s="1"/>
      <c r="ADS177" s="1"/>
      <c r="ADT177" s="1"/>
      <c r="ADU177" s="1"/>
      <c r="ADV177" s="1"/>
      <c r="ADW177" s="1"/>
      <c r="ADX177" s="1"/>
      <c r="ADY177" s="1"/>
      <c r="ADZ177" s="1"/>
      <c r="AEA177" s="1"/>
      <c r="AEB177" s="1"/>
      <c r="AEC177" s="1"/>
      <c r="AED177" s="1"/>
      <c r="AEE177" s="1"/>
      <c r="AEF177" s="1"/>
      <c r="AEG177" s="1"/>
      <c r="AEH177" s="1"/>
      <c r="AEI177" s="1"/>
      <c r="AEJ177" s="1"/>
      <c r="AEK177" s="1"/>
      <c r="AEL177" s="1"/>
      <c r="AEM177" s="1"/>
      <c r="AEN177" s="1"/>
      <c r="AEO177" s="1"/>
      <c r="AEP177" s="1"/>
      <c r="AEQ177" s="1"/>
      <c r="AER177" s="1"/>
      <c r="AES177" s="1"/>
      <c r="AET177" s="1"/>
      <c r="AEU177" s="1"/>
      <c r="AEV177" s="1"/>
      <c r="AEW177" s="1"/>
      <c r="AEX177" s="1"/>
      <c r="AEY177" s="1"/>
      <c r="AEZ177" s="1"/>
      <c r="AFA177" s="1"/>
      <c r="AFB177" s="1"/>
      <c r="AFC177" s="1"/>
      <c r="AFD177" s="1"/>
      <c r="AFE177" s="1"/>
      <c r="AFF177" s="1"/>
      <c r="AFG177" s="1"/>
      <c r="AFH177" s="1"/>
      <c r="AFI177" s="1"/>
      <c r="AFJ177" s="1"/>
      <c r="AFK177" s="1"/>
      <c r="AFL177" s="1"/>
      <c r="AFM177" s="1"/>
      <c r="AFN177" s="1"/>
      <c r="AFO177" s="1"/>
      <c r="AFP177" s="1"/>
      <c r="AFQ177" s="1"/>
      <c r="AFR177" s="1"/>
      <c r="AFS177" s="1"/>
      <c r="AFT177" s="1"/>
      <c r="AFU177" s="1"/>
      <c r="AFV177" s="1"/>
      <c r="AFW177" s="1"/>
      <c r="AFX177" s="1"/>
      <c r="AFY177" s="1"/>
      <c r="AFZ177" s="1"/>
      <c r="AGA177" s="1"/>
      <c r="AGB177" s="1"/>
      <c r="AGC177" s="1"/>
      <c r="AGD177" s="1"/>
      <c r="AGE177" s="1"/>
      <c r="AGF177" s="1"/>
      <c r="AGG177" s="1"/>
      <c r="AGH177" s="1"/>
      <c r="AGI177" s="1"/>
      <c r="AGJ177" s="1"/>
      <c r="AGK177" s="1"/>
      <c r="AGL177" s="1"/>
      <c r="AGM177" s="1"/>
      <c r="AGN177" s="1"/>
      <c r="AGO177" s="1"/>
      <c r="AGP177" s="1"/>
      <c r="AGQ177" s="1"/>
      <c r="AGR177" s="1"/>
      <c r="AGS177" s="1"/>
      <c r="AGT177" s="1"/>
      <c r="AGU177" s="1"/>
      <c r="AGV177" s="1"/>
      <c r="AGW177" s="1"/>
      <c r="AGX177" s="1"/>
      <c r="AGY177" s="1"/>
      <c r="AGZ177" s="1"/>
      <c r="AHA177" s="1"/>
      <c r="AHB177" s="1"/>
      <c r="AHC177" s="1"/>
      <c r="AHD177" s="1"/>
      <c r="AHE177" s="1"/>
      <c r="AHF177" s="1"/>
      <c r="AHG177" s="1"/>
      <c r="AHH177" s="1"/>
      <c r="AHI177" s="1"/>
      <c r="AHJ177" s="1"/>
      <c r="AHK177" s="1"/>
      <c r="AHL177" s="1"/>
      <c r="AHM177" s="1"/>
      <c r="AHN177" s="1"/>
      <c r="AHO177" s="1"/>
      <c r="AHP177" s="1"/>
      <c r="AHQ177" s="1"/>
      <c r="AHR177" s="1"/>
      <c r="AHS177" s="1"/>
      <c r="AHT177" s="1"/>
      <c r="AHU177" s="1"/>
      <c r="AHV177" s="1"/>
      <c r="AHW177" s="1"/>
      <c r="AHX177" s="1"/>
      <c r="AHY177" s="1"/>
      <c r="AHZ177" s="1"/>
      <c r="AIA177" s="1"/>
      <c r="AIB177" s="1"/>
      <c r="AIC177" s="1"/>
      <c r="AID177" s="1"/>
      <c r="AIE177" s="1"/>
      <c r="AIF177" s="1"/>
      <c r="AIG177" s="1"/>
      <c r="AIH177" s="1"/>
      <c r="AII177" s="1"/>
      <c r="AIJ177" s="1"/>
      <c r="AIK177" s="1"/>
      <c r="AIL177" s="1"/>
      <c r="AIM177" s="1"/>
      <c r="AIN177" s="1"/>
      <c r="AIO177" s="1"/>
      <c r="AIP177" s="1"/>
      <c r="AIQ177" s="1"/>
      <c r="AIR177" s="1"/>
      <c r="AIS177" s="1"/>
      <c r="AIT177" s="1"/>
      <c r="AIU177" s="1"/>
      <c r="AIV177" s="1"/>
      <c r="AIW177" s="1"/>
      <c r="AIX177" s="1"/>
      <c r="AIY177" s="1"/>
      <c r="AIZ177" s="1"/>
      <c r="AJA177" s="1"/>
      <c r="AJB177" s="1"/>
      <c r="AJC177" s="1"/>
      <c r="AJD177" s="1"/>
      <c r="AJE177" s="1"/>
      <c r="AJF177" s="1"/>
      <c r="AJG177" s="1"/>
      <c r="AJH177" s="1"/>
      <c r="AJI177" s="1"/>
      <c r="AJJ177" s="1"/>
      <c r="AJK177" s="1"/>
      <c r="AJL177" s="1"/>
      <c r="AJM177" s="1"/>
      <c r="AJN177" s="1"/>
      <c r="AJO177" s="1"/>
      <c r="AJP177" s="1"/>
      <c r="AJQ177" s="1"/>
      <c r="AJR177" s="1"/>
      <c r="AJS177" s="1"/>
      <c r="AJT177" s="1"/>
      <c r="AJU177" s="1"/>
      <c r="AJV177" s="1"/>
      <c r="AJW177" s="1"/>
      <c r="AJX177" s="1"/>
      <c r="AJY177" s="1"/>
      <c r="AJZ177" s="1"/>
      <c r="AKA177" s="1"/>
      <c r="AKB177" s="1"/>
      <c r="AKC177" s="1"/>
      <c r="AKD177" s="1"/>
      <c r="AKE177" s="1"/>
      <c r="AKF177" s="1"/>
      <c r="AKG177" s="1"/>
      <c r="AKH177" s="1"/>
      <c r="AKI177" s="1"/>
      <c r="AKJ177" s="1"/>
      <c r="AKK177" s="1"/>
      <c r="AKL177" s="1"/>
      <c r="AKM177" s="1"/>
      <c r="AKN177" s="1"/>
      <c r="AKO177" s="1"/>
      <c r="AKP177" s="1"/>
      <c r="AKQ177" s="1"/>
      <c r="AKR177" s="1"/>
      <c r="AKS177" s="1"/>
      <c r="AKT177" s="1"/>
      <c r="AKU177" s="1"/>
      <c r="AKV177" s="1"/>
      <c r="AKW177" s="1"/>
      <c r="AKX177" s="1"/>
      <c r="AKY177" s="1"/>
      <c r="AKZ177" s="1"/>
      <c r="ALA177" s="1"/>
      <c r="ALB177" s="1"/>
      <c r="ALC177" s="1"/>
      <c r="ALD177" s="1"/>
      <c r="ALE177" s="1"/>
      <c r="ALF177" s="1"/>
      <c r="ALG177" s="1"/>
      <c r="ALH177" s="1"/>
      <c r="ALI177" s="1"/>
      <c r="ALJ177" s="1"/>
      <c r="ALK177" s="1"/>
      <c r="ALL177" s="1"/>
      <c r="ALM177" s="1"/>
      <c r="ALN177" s="1"/>
      <c r="ALO177" s="1"/>
      <c r="ALP177" s="1"/>
      <c r="ALQ177" s="1"/>
      <c r="ALR177" s="1"/>
      <c r="ALS177" s="1"/>
      <c r="ALT177" s="1"/>
      <c r="ALU177" s="1"/>
      <c r="ALV177" s="1"/>
      <c r="ALW177" s="1"/>
      <c r="ALX177" s="1"/>
      <c r="ALY177" s="1"/>
      <c r="ALZ177" s="1"/>
      <c r="AMA177" s="1"/>
      <c r="AMB177" s="1"/>
      <c r="AMC177" s="1"/>
      <c r="AMD177" s="1"/>
      <c r="AME177" s="1"/>
      <c r="AMF177" s="1"/>
      <c r="AMG177" s="1"/>
      <c r="AMH177" s="1"/>
      <c r="AMI177" s="1"/>
      <c r="AMJ177" s="1"/>
      <c r="AMK177" s="1"/>
      <c r="AML177" s="1"/>
      <c r="AMM177" s="1"/>
      <c r="AMN177" s="1"/>
      <c r="AMO177" s="1"/>
    </row>
    <row r="178" spans="1:1030" x14ac:dyDescent="0.2">
      <c r="A178" s="3" t="str">
        <f t="shared" si="669"/>
        <v>lpar1_human_4Z36</v>
      </c>
      <c r="B178" s="3" t="s">
        <v>103</v>
      </c>
      <c r="C178" s="3" t="s">
        <v>1058</v>
      </c>
      <c r="D178" s="3" t="str">
        <f>IFERROR(MID(VLOOKUP($B178,Seqs!$A:$B,2,0),E178,1),"")</f>
        <v>T</v>
      </c>
      <c r="E178" s="3">
        <v>47</v>
      </c>
      <c r="F178" s="3" t="str">
        <f>IFERROR(MID(VLOOKUP($B178,Seqs!$A:$B,2,0),G178,1),"")</f>
        <v>N</v>
      </c>
      <c r="G178" s="3">
        <v>77</v>
      </c>
      <c r="H178" s="3" t="str">
        <f>IFERROR(MID(VLOOKUP($B178,Seqs!$A:$B,2,0),I178,1),"")</f>
        <v>R</v>
      </c>
      <c r="I178" s="23">
        <v>78</v>
      </c>
      <c r="J178" s="3" t="str">
        <f>IFERROR(MID(VLOOKUP($B178,Seqs!$A:$B,2,0),K178,1),"")</f>
        <v>H</v>
      </c>
      <c r="K178" s="23">
        <v>81</v>
      </c>
      <c r="L178" s="3" t="str">
        <f>IFERROR(MID(VLOOKUP($B178,Seqs!$A:$B,2,0),M178,1),"")</f>
        <v>F</v>
      </c>
      <c r="M178" s="3">
        <v>82</v>
      </c>
      <c r="N178" s="3" t="str">
        <f>IFERROR(MID(VLOOKUP($B178,Seqs!$A:$B,2,0),O178,1),"")</f>
        <v>N</v>
      </c>
      <c r="O178" s="3">
        <v>108</v>
      </c>
      <c r="P178" s="3" t="str">
        <f>IFERROR(MID(VLOOKUP($B178,Seqs!$A:$B,2,0),Q178,1),"")</f>
        <v>G</v>
      </c>
      <c r="Q178" s="3">
        <v>110</v>
      </c>
      <c r="R178" s="3" t="str">
        <f>IFERROR(MID(VLOOKUP($B178,Seqs!$A:$B,2,0),S178,1),"")</f>
        <v>L</v>
      </c>
      <c r="S178" s="3">
        <v>116</v>
      </c>
      <c r="T178" s="3" t="str">
        <f>IFERROR(MID(VLOOKUP($B178,Seqs!$A:$B,2,0),U178,1),"")</f>
        <v>T</v>
      </c>
      <c r="U178" s="3">
        <v>117</v>
      </c>
      <c r="V178" s="3" t="str">
        <f>IFERROR(MID(VLOOKUP($B178,Seqs!$A:$B,2,0),W178,1),"")</f>
        <v>R</v>
      </c>
      <c r="W178" s="3">
        <v>152</v>
      </c>
      <c r="X178" s="3" t="str">
        <f>IFERROR(MID(VLOOKUP($B178,Seqs!$A:$B,2,0),Y178,1),"")</f>
        <v/>
      </c>
      <c r="Y178" s="3" t="s">
        <v>23</v>
      </c>
      <c r="Z178" s="3" t="str">
        <f>IFERROR(MID(VLOOKUP($B178,Seqs!$A:$B,2,0),AA178,1),"")</f>
        <v/>
      </c>
      <c r="AA178" s="3" t="s">
        <v>23</v>
      </c>
      <c r="AB178" s="3" t="str">
        <f>IFERROR(MID(VLOOKUP($B178,Seqs!$A:$B,2,0),AC178,1),"")</f>
        <v>T</v>
      </c>
      <c r="AC178" s="9">
        <v>157</v>
      </c>
      <c r="AD178" s="3" t="str">
        <f>IFERROR(MID(VLOOKUP($B178,Seqs!$A:$B,2,0),AE178,1),"")</f>
        <v>G</v>
      </c>
      <c r="AE178" s="3">
        <v>185</v>
      </c>
      <c r="AF178" s="3" t="str">
        <f>IFERROR(MID(VLOOKUP($B178,Seqs!$A:$B,2,0),AG178,1),"")</f>
        <v/>
      </c>
      <c r="AG178" s="3" t="s">
        <v>23</v>
      </c>
      <c r="AH178" s="3" t="str">
        <f>IFERROR(MID(VLOOKUP($B178,Seqs!$A:$B,2,0),AI178,1),"")</f>
        <v/>
      </c>
      <c r="AI178" s="3" t="s">
        <v>23</v>
      </c>
      <c r="AJ178" s="3" t="str">
        <f>IFERROR(MID(VLOOKUP($B178,Seqs!$A:$B,2,0),AK178,1),"")</f>
        <v>S</v>
      </c>
      <c r="AK178" s="3">
        <v>203</v>
      </c>
      <c r="AL178" s="3" t="str">
        <f>IFERROR(MID(VLOOKUP($B178,Seqs!$A:$B,2,0),AM178,1),"")</f>
        <v>R</v>
      </c>
      <c r="AM178" s="3">
        <v>235</v>
      </c>
      <c r="AN178" s="3" t="str">
        <f>IFERROR(MID(VLOOKUP($B178,Seqs!$A:$B,2,0),AO178,1),"")</f>
        <v>G</v>
      </c>
      <c r="AO178" s="3">
        <v>245</v>
      </c>
      <c r="AP178" s="3" t="str">
        <f>IFERROR(MID(VLOOKUP($B178,Seqs!$A:$B,2,0),AQ178,1),"")</f>
        <v>C</v>
      </c>
      <c r="AQ178" s="3">
        <v>284</v>
      </c>
      <c r="AR178" s="3" t="str">
        <f>IFERROR(MID(VLOOKUP($B178,Seqs!$A:$B,2,0),AS178,1),"")</f>
        <v>E</v>
      </c>
      <c r="AS178" s="3">
        <v>293</v>
      </c>
      <c r="AT178" s="3" t="str">
        <f>IFERROR(MID(VLOOKUP($B178,Seqs!$A:$B,2,0),AU178,1),"")</f>
        <v>R</v>
      </c>
      <c r="AU178" s="3">
        <v>314</v>
      </c>
      <c r="AV178" s="3" t="str">
        <f>IFERROR(MID(VLOOKUP($B178,Seqs!$A:$B,2,0),AW178,1),"")</f>
        <v>D</v>
      </c>
      <c r="AW178" s="3">
        <v>315</v>
      </c>
      <c r="AX178" s="3" t="str">
        <f>IFERROR(MID(VLOOKUP($B178,Seqs!$A:$B,2,0),AY178,1),"")</f>
        <v>C</v>
      </c>
      <c r="AY178" s="3">
        <v>327</v>
      </c>
      <c r="AZ178" s="77" t="str">
        <f>VLOOKUP(B178,Classification!A:D,2,0)</f>
        <v>A</v>
      </c>
      <c r="BA178" s="94" t="str">
        <f>VLOOKUP(B178,Classification!A:D,4,0)</f>
        <v>Lysophospholipid(LPA)</v>
      </c>
      <c r="BB178" s="27" t="b">
        <f t="shared" si="670"/>
        <v>1</v>
      </c>
      <c r="BC178" s="23">
        <f t="shared" si="643"/>
        <v>244</v>
      </c>
      <c r="BD178" s="5" t="s">
        <v>23</v>
      </c>
      <c r="BE178" s="3" t="s">
        <v>1381</v>
      </c>
      <c r="BF178" s="119">
        <v>2.9</v>
      </c>
      <c r="BG178" s="49" t="s">
        <v>1384</v>
      </c>
      <c r="BH178" s="49" t="s">
        <v>1384</v>
      </c>
      <c r="BI178" s="1"/>
      <c r="BJ178" s="70" t="s">
        <v>1293</v>
      </c>
      <c r="BK178" s="57" t="s">
        <v>1293</v>
      </c>
      <c r="BL178" s="57" t="s">
        <v>1293</v>
      </c>
      <c r="BM178" s="57" t="s">
        <v>1293</v>
      </c>
      <c r="BN178" s="57" t="s">
        <v>1293</v>
      </c>
      <c r="BO178" s="57" t="s">
        <v>1293</v>
      </c>
      <c r="BP178" s="57" t="s">
        <v>1293</v>
      </c>
      <c r="BQ178" s="57" t="s">
        <v>1293</v>
      </c>
      <c r="BR178" s="57" t="s">
        <v>1293</v>
      </c>
      <c r="BS178" s="57" t="s">
        <v>1293</v>
      </c>
      <c r="BT178" s="57" t="s">
        <v>1293</v>
      </c>
      <c r="BU178" s="57" t="s">
        <v>1293</v>
      </c>
      <c r="BV178" s="70">
        <f t="shared" si="644"/>
        <v>47</v>
      </c>
      <c r="BW178" s="71">
        <f t="shared" si="645"/>
        <v>78</v>
      </c>
      <c r="BX178" s="72">
        <f t="shared" si="646"/>
        <v>82</v>
      </c>
      <c r="BY178" s="71">
        <f t="shared" si="647"/>
        <v>110</v>
      </c>
      <c r="BZ178" s="72">
        <f t="shared" si="648"/>
        <v>117</v>
      </c>
      <c r="CA178" s="71" t="str">
        <f t="shared" si="649"/>
        <v>-</v>
      </c>
      <c r="CB178" s="72">
        <f t="shared" si="650"/>
        <v>157</v>
      </c>
      <c r="CC178" s="71" t="str">
        <f t="shared" si="651"/>
        <v>-</v>
      </c>
      <c r="CD178" s="72">
        <f t="shared" si="652"/>
        <v>203</v>
      </c>
      <c r="CE178" s="71">
        <f t="shared" si="653"/>
        <v>245</v>
      </c>
      <c r="CF178" s="72">
        <f t="shared" si="654"/>
        <v>293</v>
      </c>
      <c r="CG178" s="71">
        <f t="shared" si="655"/>
        <v>315</v>
      </c>
      <c r="CH178" s="70">
        <f t="shared" si="656"/>
        <v>77</v>
      </c>
      <c r="CI178" s="71">
        <f t="shared" si="657"/>
        <v>81</v>
      </c>
      <c r="CJ178" s="72">
        <f t="shared" si="658"/>
        <v>108</v>
      </c>
      <c r="CK178" s="72">
        <f t="shared" si="659"/>
        <v>116</v>
      </c>
      <c r="CL178" s="72">
        <f t="shared" si="660"/>
        <v>152</v>
      </c>
      <c r="CM178" s="72" t="str">
        <f t="shared" si="661"/>
        <v>-</v>
      </c>
      <c r="CN178" s="72">
        <f t="shared" si="662"/>
        <v>185</v>
      </c>
      <c r="CO178" s="72" t="str">
        <f t="shared" si="663"/>
        <v>-</v>
      </c>
      <c r="CP178" s="72">
        <f t="shared" si="664"/>
        <v>235</v>
      </c>
      <c r="CQ178" s="72">
        <f t="shared" si="665"/>
        <v>284</v>
      </c>
      <c r="CR178" s="72">
        <f t="shared" si="666"/>
        <v>314</v>
      </c>
      <c r="CS178" s="72">
        <f t="shared" si="667"/>
        <v>327</v>
      </c>
      <c r="CT178" s="23">
        <f t="shared" si="668"/>
        <v>1</v>
      </c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  <c r="OK178" s="1"/>
      <c r="OL178" s="1"/>
      <c r="OM178" s="1"/>
      <c r="ON178" s="1"/>
      <c r="OO178" s="1"/>
      <c r="OP178" s="1"/>
      <c r="OQ178" s="1"/>
      <c r="OR178" s="1"/>
      <c r="OS178" s="1"/>
      <c r="OT178" s="1"/>
      <c r="OU178" s="1"/>
      <c r="OV178" s="1"/>
      <c r="OW178" s="1"/>
      <c r="OX178" s="1"/>
      <c r="OY178" s="1"/>
      <c r="OZ178" s="1"/>
      <c r="PA178" s="1"/>
      <c r="PB178" s="1"/>
      <c r="PC178" s="1"/>
      <c r="PD178" s="1"/>
      <c r="PE178" s="1"/>
      <c r="PF178" s="1"/>
      <c r="PG178" s="1"/>
      <c r="PH178" s="1"/>
      <c r="PI178" s="1"/>
      <c r="PJ178" s="1"/>
      <c r="PK178" s="1"/>
      <c r="PL178" s="1"/>
      <c r="PM178" s="1"/>
      <c r="PN178" s="1"/>
      <c r="PO178" s="1"/>
      <c r="PP178" s="1"/>
      <c r="PQ178" s="1"/>
      <c r="PR178" s="1"/>
      <c r="PS178" s="1"/>
      <c r="PT178" s="1"/>
      <c r="PU178" s="1"/>
      <c r="PV178" s="1"/>
      <c r="PW178" s="1"/>
      <c r="PX178" s="1"/>
      <c r="PY178" s="1"/>
      <c r="PZ178" s="1"/>
      <c r="QA178" s="1"/>
      <c r="QB178" s="1"/>
      <c r="QC178" s="1"/>
      <c r="QD178" s="1"/>
      <c r="QE178" s="1"/>
      <c r="QF178" s="1"/>
      <c r="QG178" s="1"/>
      <c r="QH178" s="1"/>
      <c r="QI178" s="1"/>
      <c r="QJ178" s="1"/>
      <c r="QK178" s="1"/>
      <c r="QL178" s="1"/>
      <c r="QM178" s="1"/>
      <c r="QN178" s="1"/>
      <c r="QO178" s="1"/>
      <c r="QP178" s="1"/>
      <c r="QQ178" s="1"/>
      <c r="QR178" s="1"/>
      <c r="QS178" s="1"/>
      <c r="QT178" s="1"/>
      <c r="QU178" s="1"/>
      <c r="QV178" s="1"/>
      <c r="QW178" s="1"/>
      <c r="QX178" s="1"/>
      <c r="QY178" s="1"/>
      <c r="QZ178" s="1"/>
      <c r="RA178" s="1"/>
      <c r="RB178" s="1"/>
      <c r="RC178" s="1"/>
      <c r="RD178" s="1"/>
      <c r="RE178" s="1"/>
      <c r="RF178" s="1"/>
      <c r="RG178" s="1"/>
      <c r="RH178" s="1"/>
      <c r="RI178" s="1"/>
      <c r="RJ178" s="1"/>
      <c r="RK178" s="1"/>
      <c r="RL178" s="1"/>
      <c r="RM178" s="1"/>
      <c r="RN178" s="1"/>
      <c r="RO178" s="1"/>
      <c r="RP178" s="1"/>
      <c r="RQ178" s="1"/>
      <c r="RR178" s="1"/>
      <c r="RS178" s="1"/>
      <c r="RT178" s="1"/>
      <c r="RU178" s="1"/>
      <c r="RV178" s="1"/>
      <c r="RW178" s="1"/>
      <c r="RX178" s="1"/>
      <c r="RY178" s="1"/>
      <c r="RZ178" s="1"/>
      <c r="SA178" s="1"/>
      <c r="SB178" s="1"/>
      <c r="SC178" s="1"/>
      <c r="SD178" s="1"/>
      <c r="SE178" s="1"/>
      <c r="SF178" s="1"/>
      <c r="SG178" s="1"/>
      <c r="SH178" s="1"/>
      <c r="SI178" s="1"/>
      <c r="SJ178" s="1"/>
      <c r="SK178" s="1"/>
      <c r="SL178" s="1"/>
      <c r="SM178" s="1"/>
      <c r="SN178" s="1"/>
      <c r="SO178" s="1"/>
      <c r="SP178" s="1"/>
      <c r="SQ178" s="1"/>
      <c r="SR178" s="1"/>
      <c r="SS178" s="1"/>
      <c r="ST178" s="1"/>
      <c r="SU178" s="1"/>
      <c r="SV178" s="1"/>
      <c r="SW178" s="1"/>
      <c r="SX178" s="1"/>
      <c r="SY178" s="1"/>
      <c r="SZ178" s="1"/>
      <c r="TA178" s="1"/>
      <c r="TB178" s="1"/>
      <c r="TC178" s="1"/>
      <c r="TD178" s="1"/>
      <c r="TE178" s="1"/>
      <c r="TF178" s="1"/>
      <c r="TG178" s="1"/>
      <c r="TH178" s="1"/>
      <c r="TI178" s="1"/>
      <c r="TJ178" s="1"/>
      <c r="TK178" s="1"/>
      <c r="TL178" s="1"/>
      <c r="TM178" s="1"/>
      <c r="TN178" s="1"/>
      <c r="TO178" s="1"/>
      <c r="TP178" s="1"/>
      <c r="TQ178" s="1"/>
      <c r="TR178" s="1"/>
      <c r="TS178" s="1"/>
      <c r="TT178" s="1"/>
      <c r="TU178" s="1"/>
      <c r="TV178" s="1"/>
      <c r="TW178" s="1"/>
      <c r="TX178" s="1"/>
      <c r="TY178" s="1"/>
      <c r="TZ178" s="1"/>
      <c r="UA178" s="1"/>
      <c r="UB178" s="1"/>
      <c r="UC178" s="1"/>
      <c r="UD178" s="1"/>
      <c r="UE178" s="1"/>
      <c r="UF178" s="1"/>
      <c r="UG178" s="1"/>
      <c r="UH178" s="1"/>
      <c r="UI178" s="1"/>
      <c r="UJ178" s="1"/>
      <c r="UK178" s="1"/>
      <c r="UL178" s="1"/>
      <c r="UM178" s="1"/>
      <c r="UN178" s="1"/>
      <c r="UO178" s="1"/>
      <c r="UP178" s="1"/>
      <c r="UQ178" s="1"/>
      <c r="UR178" s="1"/>
      <c r="US178" s="1"/>
      <c r="UT178" s="1"/>
      <c r="UU178" s="1"/>
      <c r="UV178" s="1"/>
      <c r="UW178" s="1"/>
      <c r="UX178" s="1"/>
      <c r="UY178" s="1"/>
      <c r="UZ178" s="1"/>
      <c r="VA178" s="1"/>
      <c r="VB178" s="1"/>
      <c r="VC178" s="1"/>
      <c r="VD178" s="1"/>
      <c r="VE178" s="1"/>
      <c r="VF178" s="1"/>
      <c r="VG178" s="1"/>
      <c r="VH178" s="1"/>
      <c r="VI178" s="1"/>
      <c r="VJ178" s="1"/>
      <c r="VK178" s="1"/>
      <c r="VL178" s="1"/>
      <c r="VM178" s="1"/>
      <c r="VN178" s="1"/>
      <c r="VO178" s="1"/>
      <c r="VP178" s="1"/>
      <c r="VQ178" s="1"/>
      <c r="VR178" s="1"/>
      <c r="VS178" s="1"/>
      <c r="VT178" s="1"/>
      <c r="VU178" s="1"/>
      <c r="VV178" s="1"/>
      <c r="VW178" s="1"/>
      <c r="VX178" s="1"/>
      <c r="VY178" s="1"/>
      <c r="VZ178" s="1"/>
      <c r="WA178" s="1"/>
      <c r="WB178" s="1"/>
      <c r="WC178" s="1"/>
      <c r="WD178" s="1"/>
      <c r="WE178" s="1"/>
      <c r="WF178" s="1"/>
      <c r="WG178" s="1"/>
      <c r="WH178" s="1"/>
      <c r="WI178" s="1"/>
      <c r="WJ178" s="1"/>
      <c r="WK178" s="1"/>
      <c r="WL178" s="1"/>
      <c r="WM178" s="1"/>
      <c r="WN178" s="1"/>
      <c r="WO178" s="1"/>
      <c r="WP178" s="1"/>
      <c r="WQ178" s="1"/>
      <c r="WR178" s="1"/>
      <c r="WS178" s="1"/>
      <c r="WT178" s="1"/>
      <c r="WU178" s="1"/>
      <c r="WV178" s="1"/>
      <c r="WW178" s="1"/>
      <c r="WX178" s="1"/>
      <c r="WY178" s="1"/>
      <c r="WZ178" s="1"/>
      <c r="XA178" s="1"/>
      <c r="XB178" s="1"/>
      <c r="XC178" s="1"/>
      <c r="XD178" s="1"/>
      <c r="XE178" s="1"/>
      <c r="XF178" s="1"/>
      <c r="XG178" s="1"/>
      <c r="XH178" s="1"/>
      <c r="XI178" s="1"/>
      <c r="XJ178" s="1"/>
      <c r="XK178" s="1"/>
      <c r="XL178" s="1"/>
      <c r="XM178" s="1"/>
      <c r="XN178" s="1"/>
      <c r="XO178" s="1"/>
      <c r="XP178" s="1"/>
      <c r="XQ178" s="1"/>
      <c r="XR178" s="1"/>
      <c r="XS178" s="1"/>
      <c r="XT178" s="1"/>
      <c r="XU178" s="1"/>
      <c r="XV178" s="1"/>
      <c r="XW178" s="1"/>
      <c r="XX178" s="1"/>
      <c r="XY178" s="1"/>
      <c r="XZ178" s="1"/>
      <c r="YA178" s="1"/>
      <c r="YB178" s="1"/>
      <c r="YC178" s="1"/>
      <c r="YD178" s="1"/>
      <c r="YE178" s="1"/>
      <c r="YF178" s="1"/>
      <c r="YG178" s="1"/>
      <c r="YH178" s="1"/>
      <c r="YI178" s="1"/>
      <c r="YJ178" s="1"/>
      <c r="YK178" s="1"/>
      <c r="YL178" s="1"/>
      <c r="YM178" s="1"/>
      <c r="YN178" s="1"/>
      <c r="YO178" s="1"/>
      <c r="YP178" s="1"/>
      <c r="YQ178" s="1"/>
      <c r="YR178" s="1"/>
      <c r="YS178" s="1"/>
      <c r="YT178" s="1"/>
      <c r="YU178" s="1"/>
      <c r="YV178" s="1"/>
      <c r="YW178" s="1"/>
      <c r="YX178" s="1"/>
      <c r="YY178" s="1"/>
      <c r="YZ178" s="1"/>
      <c r="ZA178" s="1"/>
      <c r="ZB178" s="1"/>
      <c r="ZC178" s="1"/>
      <c r="ZD178" s="1"/>
      <c r="ZE178" s="1"/>
      <c r="ZF178" s="1"/>
      <c r="ZG178" s="1"/>
      <c r="ZH178" s="1"/>
      <c r="ZI178" s="1"/>
      <c r="ZJ178" s="1"/>
      <c r="ZK178" s="1"/>
      <c r="ZL178" s="1"/>
      <c r="ZM178" s="1"/>
      <c r="ZN178" s="1"/>
      <c r="ZO178" s="1"/>
      <c r="ZP178" s="1"/>
      <c r="ZQ178" s="1"/>
      <c r="ZR178" s="1"/>
      <c r="ZS178" s="1"/>
      <c r="ZT178" s="1"/>
      <c r="ZU178" s="1"/>
      <c r="ZV178" s="1"/>
      <c r="ZW178" s="1"/>
      <c r="ZX178" s="1"/>
      <c r="ZY178" s="1"/>
      <c r="ZZ178" s="1"/>
      <c r="AAA178" s="1"/>
      <c r="AAB178" s="1"/>
      <c r="AAC178" s="1"/>
      <c r="AAD178" s="1"/>
      <c r="AAE178" s="1"/>
      <c r="AAF178" s="1"/>
      <c r="AAG178" s="1"/>
      <c r="AAH178" s="1"/>
      <c r="AAI178" s="1"/>
      <c r="AAJ178" s="1"/>
      <c r="AAK178" s="1"/>
      <c r="AAL178" s="1"/>
      <c r="AAM178" s="1"/>
      <c r="AAN178" s="1"/>
      <c r="AAO178" s="1"/>
      <c r="AAP178" s="1"/>
      <c r="AAQ178" s="1"/>
      <c r="AAR178" s="1"/>
      <c r="AAS178" s="1"/>
      <c r="AAT178" s="1"/>
      <c r="AAU178" s="1"/>
      <c r="AAV178" s="1"/>
      <c r="AAW178" s="1"/>
      <c r="AAX178" s="1"/>
      <c r="AAY178" s="1"/>
      <c r="AAZ178" s="1"/>
      <c r="ABA178" s="1"/>
      <c r="ABB178" s="1"/>
      <c r="ABC178" s="1"/>
      <c r="ABD178" s="1"/>
      <c r="ABE178" s="1"/>
      <c r="ABF178" s="1"/>
      <c r="ABG178" s="1"/>
      <c r="ABH178" s="1"/>
      <c r="ABI178" s="1"/>
      <c r="ABJ178" s="1"/>
      <c r="ABK178" s="1"/>
      <c r="ABL178" s="1"/>
      <c r="ABM178" s="1"/>
      <c r="ABN178" s="1"/>
      <c r="ABO178" s="1"/>
      <c r="ABP178" s="1"/>
      <c r="ABQ178" s="1"/>
      <c r="ABR178" s="1"/>
      <c r="ABS178" s="1"/>
      <c r="ABT178" s="1"/>
      <c r="ABU178" s="1"/>
      <c r="ABV178" s="1"/>
      <c r="ABW178" s="1"/>
      <c r="ABX178" s="1"/>
      <c r="ABY178" s="1"/>
      <c r="ABZ178" s="1"/>
      <c r="ACA178" s="1"/>
      <c r="ACB178" s="1"/>
      <c r="ACC178" s="1"/>
      <c r="ACD178" s="1"/>
      <c r="ACE178" s="1"/>
      <c r="ACF178" s="1"/>
      <c r="ACG178" s="1"/>
      <c r="ACH178" s="1"/>
      <c r="ACI178" s="1"/>
      <c r="ACJ178" s="1"/>
      <c r="ACK178" s="1"/>
      <c r="ACL178" s="1"/>
      <c r="ACM178" s="1"/>
      <c r="ACN178" s="1"/>
      <c r="ACO178" s="1"/>
      <c r="ACP178" s="1"/>
      <c r="ACQ178" s="1"/>
      <c r="ACR178" s="1"/>
      <c r="ACS178" s="1"/>
      <c r="ACT178" s="1"/>
      <c r="ACU178" s="1"/>
      <c r="ACV178" s="1"/>
      <c r="ACW178" s="1"/>
      <c r="ACX178" s="1"/>
      <c r="ACY178" s="1"/>
      <c r="ACZ178" s="1"/>
      <c r="ADA178" s="1"/>
      <c r="ADB178" s="1"/>
      <c r="ADC178" s="1"/>
      <c r="ADD178" s="1"/>
      <c r="ADE178" s="1"/>
      <c r="ADF178" s="1"/>
      <c r="ADG178" s="1"/>
      <c r="ADH178" s="1"/>
      <c r="ADI178" s="1"/>
      <c r="ADJ178" s="1"/>
      <c r="ADK178" s="1"/>
      <c r="ADL178" s="1"/>
      <c r="ADM178" s="1"/>
      <c r="ADN178" s="1"/>
      <c r="ADO178" s="1"/>
      <c r="ADP178" s="1"/>
      <c r="ADQ178" s="1"/>
      <c r="ADR178" s="1"/>
      <c r="ADS178" s="1"/>
      <c r="ADT178" s="1"/>
      <c r="ADU178" s="1"/>
      <c r="ADV178" s="1"/>
      <c r="ADW178" s="1"/>
      <c r="ADX178" s="1"/>
      <c r="ADY178" s="1"/>
      <c r="ADZ178" s="1"/>
      <c r="AEA178" s="1"/>
      <c r="AEB178" s="1"/>
      <c r="AEC178" s="1"/>
      <c r="AED178" s="1"/>
      <c r="AEE178" s="1"/>
      <c r="AEF178" s="1"/>
      <c r="AEG178" s="1"/>
      <c r="AEH178" s="1"/>
      <c r="AEI178" s="1"/>
      <c r="AEJ178" s="1"/>
      <c r="AEK178" s="1"/>
      <c r="AEL178" s="1"/>
      <c r="AEM178" s="1"/>
      <c r="AEN178" s="1"/>
      <c r="AEO178" s="1"/>
      <c r="AEP178" s="1"/>
      <c r="AEQ178" s="1"/>
      <c r="AER178" s="1"/>
      <c r="AES178" s="1"/>
      <c r="AET178" s="1"/>
      <c r="AEU178" s="1"/>
      <c r="AEV178" s="1"/>
      <c r="AEW178" s="1"/>
      <c r="AEX178" s="1"/>
      <c r="AEY178" s="1"/>
      <c r="AEZ178" s="1"/>
      <c r="AFA178" s="1"/>
      <c r="AFB178" s="1"/>
      <c r="AFC178" s="1"/>
      <c r="AFD178" s="1"/>
      <c r="AFE178" s="1"/>
      <c r="AFF178" s="1"/>
      <c r="AFG178" s="1"/>
      <c r="AFH178" s="1"/>
      <c r="AFI178" s="1"/>
      <c r="AFJ178" s="1"/>
      <c r="AFK178" s="1"/>
      <c r="AFL178" s="1"/>
      <c r="AFM178" s="1"/>
      <c r="AFN178" s="1"/>
      <c r="AFO178" s="1"/>
      <c r="AFP178" s="1"/>
      <c r="AFQ178" s="1"/>
      <c r="AFR178" s="1"/>
      <c r="AFS178" s="1"/>
      <c r="AFT178" s="1"/>
      <c r="AFU178" s="1"/>
      <c r="AFV178" s="1"/>
      <c r="AFW178" s="1"/>
      <c r="AFX178" s="1"/>
      <c r="AFY178" s="1"/>
      <c r="AFZ178" s="1"/>
      <c r="AGA178" s="1"/>
      <c r="AGB178" s="1"/>
      <c r="AGC178" s="1"/>
      <c r="AGD178" s="1"/>
      <c r="AGE178" s="1"/>
      <c r="AGF178" s="1"/>
      <c r="AGG178" s="1"/>
      <c r="AGH178" s="1"/>
      <c r="AGI178" s="1"/>
      <c r="AGJ178" s="1"/>
      <c r="AGK178" s="1"/>
      <c r="AGL178" s="1"/>
      <c r="AGM178" s="1"/>
      <c r="AGN178" s="1"/>
      <c r="AGO178" s="1"/>
      <c r="AGP178" s="1"/>
      <c r="AGQ178" s="1"/>
      <c r="AGR178" s="1"/>
      <c r="AGS178" s="1"/>
      <c r="AGT178" s="1"/>
      <c r="AGU178" s="1"/>
      <c r="AGV178" s="1"/>
      <c r="AGW178" s="1"/>
      <c r="AGX178" s="1"/>
      <c r="AGY178" s="1"/>
      <c r="AGZ178" s="1"/>
      <c r="AHA178" s="1"/>
      <c r="AHB178" s="1"/>
      <c r="AHC178" s="1"/>
      <c r="AHD178" s="1"/>
      <c r="AHE178" s="1"/>
      <c r="AHF178" s="1"/>
      <c r="AHG178" s="1"/>
      <c r="AHH178" s="1"/>
      <c r="AHI178" s="1"/>
      <c r="AHJ178" s="1"/>
      <c r="AHK178" s="1"/>
      <c r="AHL178" s="1"/>
      <c r="AHM178" s="1"/>
      <c r="AHN178" s="1"/>
      <c r="AHO178" s="1"/>
      <c r="AHP178" s="1"/>
      <c r="AHQ178" s="1"/>
      <c r="AHR178" s="1"/>
      <c r="AHS178" s="1"/>
      <c r="AHT178" s="1"/>
      <c r="AHU178" s="1"/>
      <c r="AHV178" s="1"/>
      <c r="AHW178" s="1"/>
      <c r="AHX178" s="1"/>
      <c r="AHY178" s="1"/>
      <c r="AHZ178" s="1"/>
      <c r="AIA178" s="1"/>
      <c r="AIB178" s="1"/>
      <c r="AIC178" s="1"/>
      <c r="AID178" s="1"/>
      <c r="AIE178" s="1"/>
      <c r="AIF178" s="1"/>
      <c r="AIG178" s="1"/>
      <c r="AIH178" s="1"/>
      <c r="AII178" s="1"/>
      <c r="AIJ178" s="1"/>
      <c r="AIK178" s="1"/>
      <c r="AIL178" s="1"/>
      <c r="AIM178" s="1"/>
      <c r="AIN178" s="1"/>
      <c r="AIO178" s="1"/>
      <c r="AIP178" s="1"/>
      <c r="AIQ178" s="1"/>
      <c r="AIR178" s="1"/>
      <c r="AIS178" s="1"/>
      <c r="AIT178" s="1"/>
      <c r="AIU178" s="1"/>
      <c r="AIV178" s="1"/>
      <c r="AIW178" s="1"/>
      <c r="AIX178" s="1"/>
      <c r="AIY178" s="1"/>
      <c r="AIZ178" s="1"/>
      <c r="AJA178" s="1"/>
      <c r="AJB178" s="1"/>
      <c r="AJC178" s="1"/>
      <c r="AJD178" s="1"/>
      <c r="AJE178" s="1"/>
      <c r="AJF178" s="1"/>
      <c r="AJG178" s="1"/>
      <c r="AJH178" s="1"/>
      <c r="AJI178" s="1"/>
      <c r="AJJ178" s="1"/>
      <c r="AJK178" s="1"/>
      <c r="AJL178" s="1"/>
      <c r="AJM178" s="1"/>
      <c r="AJN178" s="1"/>
      <c r="AJO178" s="1"/>
      <c r="AJP178" s="1"/>
      <c r="AJQ178" s="1"/>
      <c r="AJR178" s="1"/>
      <c r="AJS178" s="1"/>
      <c r="AJT178" s="1"/>
      <c r="AJU178" s="1"/>
      <c r="AJV178" s="1"/>
      <c r="AJW178" s="1"/>
      <c r="AJX178" s="1"/>
      <c r="AJY178" s="1"/>
      <c r="AJZ178" s="1"/>
      <c r="AKA178" s="1"/>
      <c r="AKB178" s="1"/>
      <c r="AKC178" s="1"/>
      <c r="AKD178" s="1"/>
      <c r="AKE178" s="1"/>
      <c r="AKF178" s="1"/>
      <c r="AKG178" s="1"/>
      <c r="AKH178" s="1"/>
      <c r="AKI178" s="1"/>
      <c r="AKJ178" s="1"/>
      <c r="AKK178" s="1"/>
      <c r="AKL178" s="1"/>
      <c r="AKM178" s="1"/>
      <c r="AKN178" s="1"/>
      <c r="AKO178" s="1"/>
      <c r="AKP178" s="1"/>
      <c r="AKQ178" s="1"/>
      <c r="AKR178" s="1"/>
      <c r="AKS178" s="1"/>
      <c r="AKT178" s="1"/>
      <c r="AKU178" s="1"/>
      <c r="AKV178" s="1"/>
      <c r="AKW178" s="1"/>
      <c r="AKX178" s="1"/>
      <c r="AKY178" s="1"/>
      <c r="AKZ178" s="1"/>
      <c r="ALA178" s="1"/>
      <c r="ALB178" s="1"/>
      <c r="ALC178" s="1"/>
      <c r="ALD178" s="1"/>
      <c r="ALE178" s="1"/>
      <c r="ALF178" s="1"/>
      <c r="ALG178" s="1"/>
      <c r="ALH178" s="1"/>
      <c r="ALI178" s="1"/>
      <c r="ALJ178" s="1"/>
      <c r="ALK178" s="1"/>
      <c r="ALL178" s="1"/>
      <c r="ALM178" s="1"/>
      <c r="ALN178" s="1"/>
      <c r="ALO178" s="1"/>
      <c r="ALP178" s="1"/>
      <c r="ALQ178" s="1"/>
      <c r="ALR178" s="1"/>
      <c r="ALS178" s="1"/>
      <c r="ALT178" s="1"/>
      <c r="ALU178" s="1"/>
      <c r="ALV178" s="1"/>
      <c r="ALW178" s="1"/>
      <c r="ALX178" s="1"/>
      <c r="ALY178" s="1"/>
      <c r="ALZ178" s="1"/>
      <c r="AMA178" s="1"/>
      <c r="AMB178" s="1"/>
      <c r="AMC178" s="1"/>
      <c r="AMD178" s="1"/>
      <c r="AME178" s="1"/>
      <c r="AMF178" s="1"/>
      <c r="AMG178" s="1"/>
      <c r="AMH178" s="1"/>
      <c r="AMI178" s="1"/>
      <c r="AMJ178" s="1"/>
      <c r="AMK178" s="1"/>
      <c r="AML178" s="1"/>
      <c r="AMM178" s="1"/>
      <c r="AMN178" s="1"/>
      <c r="AMO178" s="1"/>
    </row>
    <row r="179" spans="1:1030" x14ac:dyDescent="0.2">
      <c r="A179" s="9" t="str">
        <f t="shared" ref="A179" si="671">CONCATENATE(B179,"_",C179)</f>
        <v>nk1r_human__wt</v>
      </c>
      <c r="B179" s="9" t="s">
        <v>314</v>
      </c>
      <c r="C179" s="134" t="s">
        <v>100</v>
      </c>
      <c r="D179" s="9" t="str">
        <f>IFERROR(MID(VLOOKUP($B179,Seqs!$A:$B,2,0),E179,1),"")</f>
        <v>Q</v>
      </c>
      <c r="E179" s="9">
        <v>31</v>
      </c>
      <c r="F179" s="9" t="str">
        <f>IFERROR(MID(VLOOKUP($B179,Seqs!$A:$B,2,0),G179,1),"")</f>
        <v>H</v>
      </c>
      <c r="G179" s="9">
        <v>60</v>
      </c>
      <c r="H179" s="9" t="str">
        <f>IFERROR(MID(VLOOKUP($B179,Seqs!$A:$B,2,0),I179,1),"")</f>
        <v>K</v>
      </c>
      <c r="I179" s="109">
        <v>61</v>
      </c>
      <c r="J179" s="9" t="str">
        <f>IFERROR(MID(VLOOKUP($B179,Seqs!$A:$B,2,0),K179,1),"")</f>
        <v>R</v>
      </c>
      <c r="K179" s="109">
        <v>64</v>
      </c>
      <c r="L179" s="9" t="str">
        <f>IFERROR(MID(VLOOKUP($B179,Seqs!$A:$B,2,0),M179,1),"")</f>
        <v>T</v>
      </c>
      <c r="M179" s="9">
        <v>65</v>
      </c>
      <c r="N179" s="9" t="str">
        <f>IFERROR(MID(VLOOKUP($B179,Seqs!$A:$B,2,0),O179,1),"")</f>
        <v>V</v>
      </c>
      <c r="O179" s="9">
        <v>94</v>
      </c>
      <c r="P179" s="9" t="str">
        <f>IFERROR(MID(VLOOKUP($B179,Seqs!$A:$B,2,0),Q179,1),"")</f>
        <v>E</v>
      </c>
      <c r="Q179" s="9">
        <v>97</v>
      </c>
      <c r="R179" s="9" t="str">
        <f>IFERROR(MID(VLOOKUP($B179,Seqs!$A:$B,2,0),S179,1),"")</f>
        <v>Y</v>
      </c>
      <c r="S179" s="9">
        <v>100</v>
      </c>
      <c r="T179" s="9" t="str">
        <f>IFERROR(MID(VLOOKUP($B179,Seqs!$A:$B,2,0),U179,1),"")</f>
        <v>G</v>
      </c>
      <c r="U179" s="9">
        <v>101</v>
      </c>
      <c r="V179" s="9" t="str">
        <f>IFERROR(MID(VLOOKUP($B179,Seqs!$A:$B,2,0),W179,1),"")</f>
        <v>H</v>
      </c>
      <c r="W179" s="9">
        <v>136</v>
      </c>
      <c r="X179" s="9" t="str">
        <f>IFERROR(MID(VLOOKUP($B179,Seqs!$A:$B,2,0),Y179,1),"")</f>
        <v/>
      </c>
      <c r="Y179" s="9" t="s">
        <v>23</v>
      </c>
      <c r="Z179" s="9" t="str">
        <f>IFERROR(MID(VLOOKUP($B179,Seqs!$A:$B,2,0),AA179,1),"")</f>
        <v/>
      </c>
      <c r="AA179" s="9" t="s">
        <v>23</v>
      </c>
      <c r="AB179" s="9" t="str">
        <f>IFERROR(MID(VLOOKUP($B179,Seqs!$A:$B,2,0),AC179,1),"")</f>
        <v>S</v>
      </c>
      <c r="AC179" s="9">
        <v>143</v>
      </c>
      <c r="AD179" s="9" t="str">
        <f>IFERROR(MID(VLOOKUP($B179,Seqs!$A:$B,2,0),AE179,1),"")</f>
        <v>S</v>
      </c>
      <c r="AE179" s="9">
        <v>169</v>
      </c>
      <c r="AF179" s="9" t="str">
        <f>IFERROR(MID(VLOOKUP($B179,Seqs!$A:$B,2,0),AG179,1),"")</f>
        <v>C</v>
      </c>
      <c r="AG179" s="9">
        <v>180</v>
      </c>
      <c r="AH179" s="9" t="str">
        <f>IFERROR(MID(VLOOKUP($B179,Seqs!$A:$B,2,0),AI179,1),"")</f>
        <v>I</v>
      </c>
      <c r="AI179" s="9">
        <v>182</v>
      </c>
      <c r="AJ179" s="9" t="str">
        <f>IFERROR(MID(VLOOKUP($B179,Seqs!$A:$B,2,0),AK179,1),"")</f>
        <v>P</v>
      </c>
      <c r="AK179" s="9">
        <v>188</v>
      </c>
      <c r="AL179" s="9" t="str">
        <f>IFERROR(MID(VLOOKUP($B179,Seqs!$A:$B,2,0),AM179,1),"")</f>
        <v>D</v>
      </c>
      <c r="AM179" s="9">
        <v>231</v>
      </c>
      <c r="AN179" s="9" t="str">
        <f>IFERROR(MID(VLOOKUP($B179,Seqs!$A:$B,2,0),AO179,1),"")</f>
        <v>R</v>
      </c>
      <c r="AO179" s="9">
        <v>235</v>
      </c>
      <c r="AP179" s="9" t="str">
        <f>IFERROR(MID(VLOOKUP($B179,Seqs!$A:$B,2,0),AQ179,1),"")</f>
        <v>N</v>
      </c>
      <c r="AQ179" s="9">
        <v>274</v>
      </c>
      <c r="AR179" s="9" t="str">
        <f>IFERROR(MID(VLOOKUP($B179,Seqs!$A:$B,2,0),AS179,1),"")</f>
        <v>K</v>
      </c>
      <c r="AS179" s="9">
        <v>280</v>
      </c>
      <c r="AT179" s="9" t="str">
        <f>IFERROR(MID(VLOOKUP($B179,Seqs!$A:$B,2,0),AU179,1),"")</f>
        <v>L</v>
      </c>
      <c r="AU179" s="9">
        <v>308</v>
      </c>
      <c r="AV179" s="9" t="str">
        <f>IFERROR(MID(VLOOKUP($B179,Seqs!$A:$B,2,0),AW179,1),"")</f>
        <v>N</v>
      </c>
      <c r="AW179" s="9">
        <v>309</v>
      </c>
      <c r="AX179" s="9" t="str">
        <f>IFERROR(MID(VLOOKUP($B179,Seqs!$A:$B,2,0),AY179,1),"")</f>
        <v>F</v>
      </c>
      <c r="AY179" s="9">
        <v>320</v>
      </c>
      <c r="AZ179" s="110" t="str">
        <f>VLOOKUP(B179,Classification!A:D,2,0)</f>
        <v>A</v>
      </c>
      <c r="BA179" s="98" t="str">
        <f>VLOOKUP(B179,Classification!A:D,4,0)</f>
        <v>Tachykinin</v>
      </c>
      <c r="BB179" s="36" t="b">
        <f t="shared" ref="BB179" si="672">AND(E179&lt;G179,OR(G179&lt;I179,I179="-"),OR(I179&lt;K179,I179="-"),OR(K179&lt;M179,K179="-"),M179&lt;O179,OR(O179&lt;Q179,Q179="-"),OR(Q179&lt;S179,Q179="-"),OR(S179&lt;U179,S179="-"),U179&lt;W179,OR(W179&lt;Y179,Y179="-"),OR(Y179&lt;AA179,Y179="-"),OR(AA179&lt;AC179,AA179="-"),AC179&lt;AE179,OR(AE179&lt;AG179,AG179="-"),OR(AG179&lt;AI179,AG179="-"),OR(AI179&lt;AK179,AI179="-"),AK179&lt;AM179,AM179&lt;AO179,AO179&lt;AQ179,AQ179&lt;AS179,AS179&lt;AU179,OR(AU179&lt;AW179,AW179="-"),OR(AW179&lt;AY179,AW179="-"))</f>
        <v>1</v>
      </c>
      <c r="BC179" s="109">
        <f t="shared" ref="BC179" si="673">_xlfn.AGGREGATE(9,6,CH179:CS179)-_xlfn.AGGREGATE(9,6,BV179:CG179)+12</f>
        <v>260</v>
      </c>
      <c r="BD179" s="13" t="s">
        <v>23</v>
      </c>
      <c r="BE179" s="9" t="s">
        <v>23</v>
      </c>
      <c r="BF179" s="120" t="s">
        <v>23</v>
      </c>
      <c r="BG179" s="51" t="s">
        <v>1384</v>
      </c>
      <c r="BH179" s="51" t="s">
        <v>1384</v>
      </c>
      <c r="BI179" s="12"/>
      <c r="BJ179" s="111" t="s">
        <v>1293</v>
      </c>
      <c r="BK179" s="112" t="s">
        <v>1293</v>
      </c>
      <c r="BL179" s="112" t="s">
        <v>1293</v>
      </c>
      <c r="BM179" s="112" t="s">
        <v>1293</v>
      </c>
      <c r="BN179" s="112" t="s">
        <v>1293</v>
      </c>
      <c r="BO179" s="112" t="s">
        <v>1293</v>
      </c>
      <c r="BP179" s="112" t="s">
        <v>1293</v>
      </c>
      <c r="BQ179" s="112" t="s">
        <v>1293</v>
      </c>
      <c r="BR179" s="112" t="s">
        <v>1293</v>
      </c>
      <c r="BS179" s="112" t="s">
        <v>1293</v>
      </c>
      <c r="BT179" s="112" t="s">
        <v>1293</v>
      </c>
      <c r="BU179" s="112" t="s">
        <v>1293</v>
      </c>
      <c r="BV179" s="111">
        <f t="shared" ref="BV179" si="674">E179</f>
        <v>31</v>
      </c>
      <c r="BW179" s="113">
        <f t="shared" ref="BW179" si="675">I179</f>
        <v>61</v>
      </c>
      <c r="BX179" s="114">
        <f t="shared" ref="BX179" si="676">M179</f>
        <v>65</v>
      </c>
      <c r="BY179" s="113">
        <f t="shared" ref="BY179" si="677">Q179</f>
        <v>97</v>
      </c>
      <c r="BZ179" s="114">
        <f t="shared" ref="BZ179" si="678">U179</f>
        <v>101</v>
      </c>
      <c r="CA179" s="113" t="str">
        <f t="shared" ref="CA179" si="679">Y179</f>
        <v>-</v>
      </c>
      <c r="CB179" s="114">
        <f t="shared" ref="CB179" si="680">AC179</f>
        <v>143</v>
      </c>
      <c r="CC179" s="113">
        <f t="shared" ref="CC179" si="681">AG179</f>
        <v>180</v>
      </c>
      <c r="CD179" s="114">
        <f t="shared" ref="CD179" si="682">AK179</f>
        <v>188</v>
      </c>
      <c r="CE179" s="113">
        <f t="shared" ref="CE179" si="683">AO179</f>
        <v>235</v>
      </c>
      <c r="CF179" s="114">
        <f t="shared" ref="CF179" si="684">AS179</f>
        <v>280</v>
      </c>
      <c r="CG179" s="113">
        <f t="shared" ref="CG179" si="685">AW179</f>
        <v>309</v>
      </c>
      <c r="CH179" s="111">
        <f t="shared" ref="CH179" si="686">G179</f>
        <v>60</v>
      </c>
      <c r="CI179" s="113">
        <f t="shared" ref="CI179" si="687">K179</f>
        <v>64</v>
      </c>
      <c r="CJ179" s="114">
        <f t="shared" ref="CJ179" si="688">O179</f>
        <v>94</v>
      </c>
      <c r="CK179" s="114">
        <f t="shared" ref="CK179" si="689">S179</f>
        <v>100</v>
      </c>
      <c r="CL179" s="114">
        <f t="shared" ref="CL179" si="690">W179</f>
        <v>136</v>
      </c>
      <c r="CM179" s="114" t="str">
        <f t="shared" ref="CM179" si="691">AA179</f>
        <v>-</v>
      </c>
      <c r="CN179" s="114">
        <f t="shared" ref="CN179" si="692">AE179</f>
        <v>169</v>
      </c>
      <c r="CO179" s="114">
        <f t="shared" ref="CO179" si="693">AI179</f>
        <v>182</v>
      </c>
      <c r="CP179" s="114">
        <f t="shared" ref="CP179" si="694">AM179</f>
        <v>231</v>
      </c>
      <c r="CQ179" s="114">
        <f t="shared" ref="CQ179" si="695">AQ179</f>
        <v>274</v>
      </c>
      <c r="CR179" s="114">
        <f t="shared" ref="CR179" si="696">AU179</f>
        <v>308</v>
      </c>
      <c r="CS179" s="114">
        <f t="shared" ref="CS179" si="697">AY179</f>
        <v>320</v>
      </c>
      <c r="CT179" s="109">
        <f t="shared" ref="CT179" si="698">M179-K179</f>
        <v>1</v>
      </c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  <c r="OK179" s="1"/>
      <c r="OL179" s="1"/>
      <c r="OM179" s="1"/>
      <c r="ON179" s="1"/>
      <c r="OO179" s="1"/>
      <c r="OP179" s="1"/>
      <c r="OQ179" s="1"/>
      <c r="OR179" s="1"/>
      <c r="OS179" s="1"/>
      <c r="OT179" s="1"/>
      <c r="OU179" s="1"/>
      <c r="OV179" s="1"/>
      <c r="OW179" s="1"/>
      <c r="OX179" s="1"/>
      <c r="OY179" s="1"/>
      <c r="OZ179" s="1"/>
      <c r="PA179" s="1"/>
      <c r="PB179" s="1"/>
      <c r="PC179" s="1"/>
      <c r="PD179" s="1"/>
      <c r="PE179" s="1"/>
      <c r="PF179" s="1"/>
      <c r="PG179" s="1"/>
      <c r="PH179" s="1"/>
      <c r="PI179" s="1"/>
      <c r="PJ179" s="1"/>
      <c r="PK179" s="1"/>
      <c r="PL179" s="1"/>
      <c r="PM179" s="1"/>
      <c r="PN179" s="1"/>
      <c r="PO179" s="1"/>
      <c r="PP179" s="1"/>
      <c r="PQ179" s="1"/>
      <c r="PR179" s="1"/>
      <c r="PS179" s="1"/>
      <c r="PT179" s="1"/>
      <c r="PU179" s="1"/>
      <c r="PV179" s="1"/>
      <c r="PW179" s="1"/>
      <c r="PX179" s="1"/>
      <c r="PY179" s="1"/>
      <c r="PZ179" s="1"/>
      <c r="QA179" s="1"/>
      <c r="QB179" s="1"/>
      <c r="QC179" s="1"/>
      <c r="QD179" s="1"/>
      <c r="QE179" s="1"/>
      <c r="QF179" s="1"/>
      <c r="QG179" s="1"/>
      <c r="QH179" s="1"/>
      <c r="QI179" s="1"/>
      <c r="QJ179" s="1"/>
      <c r="QK179" s="1"/>
      <c r="QL179" s="1"/>
      <c r="QM179" s="1"/>
      <c r="QN179" s="1"/>
      <c r="QO179" s="1"/>
      <c r="QP179" s="1"/>
      <c r="QQ179" s="1"/>
      <c r="QR179" s="1"/>
      <c r="QS179" s="1"/>
      <c r="QT179" s="1"/>
      <c r="QU179" s="1"/>
      <c r="QV179" s="1"/>
      <c r="QW179" s="1"/>
      <c r="QX179" s="1"/>
      <c r="QY179" s="1"/>
      <c r="QZ179" s="1"/>
      <c r="RA179" s="1"/>
      <c r="RB179" s="1"/>
      <c r="RC179" s="1"/>
      <c r="RD179" s="1"/>
      <c r="RE179" s="1"/>
      <c r="RF179" s="1"/>
      <c r="RG179" s="1"/>
      <c r="RH179" s="1"/>
      <c r="RI179" s="1"/>
      <c r="RJ179" s="1"/>
      <c r="RK179" s="1"/>
      <c r="RL179" s="1"/>
      <c r="RM179" s="1"/>
      <c r="RN179" s="1"/>
      <c r="RO179" s="1"/>
      <c r="RP179" s="1"/>
      <c r="RQ179" s="1"/>
      <c r="RR179" s="1"/>
      <c r="RS179" s="1"/>
      <c r="RT179" s="1"/>
      <c r="RU179" s="1"/>
      <c r="RV179" s="1"/>
      <c r="RW179" s="1"/>
      <c r="RX179" s="1"/>
      <c r="RY179" s="1"/>
      <c r="RZ179" s="1"/>
      <c r="SA179" s="1"/>
      <c r="SB179" s="1"/>
      <c r="SC179" s="1"/>
      <c r="SD179" s="1"/>
      <c r="SE179" s="1"/>
      <c r="SF179" s="1"/>
      <c r="SG179" s="1"/>
      <c r="SH179" s="1"/>
      <c r="SI179" s="1"/>
      <c r="SJ179" s="1"/>
      <c r="SK179" s="1"/>
      <c r="SL179" s="1"/>
      <c r="SM179" s="1"/>
      <c r="SN179" s="1"/>
      <c r="SO179" s="1"/>
      <c r="SP179" s="1"/>
      <c r="SQ179" s="1"/>
      <c r="SR179" s="1"/>
      <c r="SS179" s="1"/>
      <c r="ST179" s="1"/>
      <c r="SU179" s="1"/>
      <c r="SV179" s="1"/>
      <c r="SW179" s="1"/>
      <c r="SX179" s="1"/>
      <c r="SY179" s="1"/>
      <c r="SZ179" s="1"/>
      <c r="TA179" s="1"/>
      <c r="TB179" s="1"/>
      <c r="TC179" s="1"/>
      <c r="TD179" s="1"/>
      <c r="TE179" s="1"/>
      <c r="TF179" s="1"/>
      <c r="TG179" s="1"/>
      <c r="TH179" s="1"/>
      <c r="TI179" s="1"/>
      <c r="TJ179" s="1"/>
      <c r="TK179" s="1"/>
      <c r="TL179" s="1"/>
      <c r="TM179" s="1"/>
      <c r="TN179" s="1"/>
      <c r="TO179" s="1"/>
      <c r="TP179" s="1"/>
      <c r="TQ179" s="1"/>
      <c r="TR179" s="1"/>
      <c r="TS179" s="1"/>
      <c r="TT179" s="1"/>
      <c r="TU179" s="1"/>
      <c r="TV179" s="1"/>
      <c r="TW179" s="1"/>
      <c r="TX179" s="1"/>
      <c r="TY179" s="1"/>
      <c r="TZ179" s="1"/>
      <c r="UA179" s="1"/>
      <c r="UB179" s="1"/>
      <c r="UC179" s="1"/>
      <c r="UD179" s="1"/>
      <c r="UE179" s="1"/>
      <c r="UF179" s="1"/>
      <c r="UG179" s="1"/>
      <c r="UH179" s="1"/>
      <c r="UI179" s="1"/>
      <c r="UJ179" s="1"/>
      <c r="UK179" s="1"/>
      <c r="UL179" s="1"/>
      <c r="UM179" s="1"/>
      <c r="UN179" s="1"/>
      <c r="UO179" s="1"/>
      <c r="UP179" s="1"/>
      <c r="UQ179" s="1"/>
      <c r="UR179" s="1"/>
      <c r="US179" s="1"/>
      <c r="UT179" s="1"/>
      <c r="UU179" s="1"/>
      <c r="UV179" s="1"/>
      <c r="UW179" s="1"/>
      <c r="UX179" s="1"/>
      <c r="UY179" s="1"/>
      <c r="UZ179" s="1"/>
      <c r="VA179" s="1"/>
      <c r="VB179" s="1"/>
      <c r="VC179" s="1"/>
      <c r="VD179" s="1"/>
      <c r="VE179" s="1"/>
      <c r="VF179" s="1"/>
      <c r="VG179" s="1"/>
      <c r="VH179" s="1"/>
      <c r="VI179" s="1"/>
      <c r="VJ179" s="1"/>
      <c r="VK179" s="1"/>
      <c r="VL179" s="1"/>
      <c r="VM179" s="1"/>
      <c r="VN179" s="1"/>
      <c r="VO179" s="1"/>
      <c r="VP179" s="1"/>
      <c r="VQ179" s="1"/>
      <c r="VR179" s="1"/>
      <c r="VS179" s="1"/>
      <c r="VT179" s="1"/>
      <c r="VU179" s="1"/>
      <c r="VV179" s="1"/>
      <c r="VW179" s="1"/>
      <c r="VX179" s="1"/>
      <c r="VY179" s="1"/>
      <c r="VZ179" s="1"/>
      <c r="WA179" s="1"/>
      <c r="WB179" s="1"/>
      <c r="WC179" s="1"/>
      <c r="WD179" s="1"/>
      <c r="WE179" s="1"/>
      <c r="WF179" s="1"/>
      <c r="WG179" s="1"/>
      <c r="WH179" s="1"/>
      <c r="WI179" s="1"/>
      <c r="WJ179" s="1"/>
      <c r="WK179" s="1"/>
      <c r="WL179" s="1"/>
      <c r="WM179" s="1"/>
      <c r="WN179" s="1"/>
      <c r="WO179" s="1"/>
      <c r="WP179" s="1"/>
      <c r="WQ179" s="1"/>
      <c r="WR179" s="1"/>
      <c r="WS179" s="1"/>
      <c r="WT179" s="1"/>
      <c r="WU179" s="1"/>
      <c r="WV179" s="1"/>
      <c r="WW179" s="1"/>
      <c r="WX179" s="1"/>
      <c r="WY179" s="1"/>
      <c r="WZ179" s="1"/>
      <c r="XA179" s="1"/>
      <c r="XB179" s="1"/>
      <c r="XC179" s="1"/>
      <c r="XD179" s="1"/>
      <c r="XE179" s="1"/>
      <c r="XF179" s="1"/>
      <c r="XG179" s="1"/>
      <c r="XH179" s="1"/>
      <c r="XI179" s="1"/>
      <c r="XJ179" s="1"/>
      <c r="XK179" s="1"/>
      <c r="XL179" s="1"/>
      <c r="XM179" s="1"/>
      <c r="XN179" s="1"/>
      <c r="XO179" s="1"/>
      <c r="XP179" s="1"/>
      <c r="XQ179" s="1"/>
      <c r="XR179" s="1"/>
      <c r="XS179" s="1"/>
      <c r="XT179" s="1"/>
      <c r="XU179" s="1"/>
      <c r="XV179" s="1"/>
      <c r="XW179" s="1"/>
      <c r="XX179" s="1"/>
      <c r="XY179" s="1"/>
      <c r="XZ179" s="1"/>
      <c r="YA179" s="1"/>
      <c r="YB179" s="1"/>
      <c r="YC179" s="1"/>
      <c r="YD179" s="1"/>
      <c r="YE179" s="1"/>
      <c r="YF179" s="1"/>
      <c r="YG179" s="1"/>
      <c r="YH179" s="1"/>
      <c r="YI179" s="1"/>
      <c r="YJ179" s="1"/>
      <c r="YK179" s="1"/>
      <c r="YL179" s="1"/>
      <c r="YM179" s="1"/>
      <c r="YN179" s="1"/>
      <c r="YO179" s="1"/>
      <c r="YP179" s="1"/>
      <c r="YQ179" s="1"/>
      <c r="YR179" s="1"/>
      <c r="YS179" s="1"/>
      <c r="YT179" s="1"/>
      <c r="YU179" s="1"/>
      <c r="YV179" s="1"/>
      <c r="YW179" s="1"/>
      <c r="YX179" s="1"/>
      <c r="YY179" s="1"/>
      <c r="YZ179" s="1"/>
      <c r="ZA179" s="1"/>
      <c r="ZB179" s="1"/>
      <c r="ZC179" s="1"/>
      <c r="ZD179" s="1"/>
      <c r="ZE179" s="1"/>
      <c r="ZF179" s="1"/>
      <c r="ZG179" s="1"/>
      <c r="ZH179" s="1"/>
      <c r="ZI179" s="1"/>
      <c r="ZJ179" s="1"/>
      <c r="ZK179" s="1"/>
      <c r="ZL179" s="1"/>
      <c r="ZM179" s="1"/>
      <c r="ZN179" s="1"/>
      <c r="ZO179" s="1"/>
      <c r="ZP179" s="1"/>
      <c r="ZQ179" s="1"/>
      <c r="ZR179" s="1"/>
      <c r="ZS179" s="1"/>
      <c r="ZT179" s="1"/>
      <c r="ZU179" s="1"/>
      <c r="ZV179" s="1"/>
      <c r="ZW179" s="1"/>
      <c r="ZX179" s="1"/>
      <c r="ZY179" s="1"/>
      <c r="ZZ179" s="1"/>
      <c r="AAA179" s="1"/>
      <c r="AAB179" s="1"/>
      <c r="AAC179" s="1"/>
      <c r="AAD179" s="1"/>
      <c r="AAE179" s="1"/>
      <c r="AAF179" s="1"/>
      <c r="AAG179" s="1"/>
      <c r="AAH179" s="1"/>
      <c r="AAI179" s="1"/>
      <c r="AAJ179" s="1"/>
      <c r="AAK179" s="1"/>
      <c r="AAL179" s="1"/>
      <c r="AAM179" s="1"/>
      <c r="AAN179" s="1"/>
      <c r="AAO179" s="1"/>
      <c r="AAP179" s="1"/>
      <c r="AAQ179" s="1"/>
      <c r="AAR179" s="1"/>
      <c r="AAS179" s="1"/>
      <c r="AAT179" s="1"/>
      <c r="AAU179" s="1"/>
      <c r="AAV179" s="1"/>
      <c r="AAW179" s="1"/>
      <c r="AAX179" s="1"/>
      <c r="AAY179" s="1"/>
      <c r="AAZ179" s="1"/>
      <c r="ABA179" s="1"/>
      <c r="ABB179" s="1"/>
      <c r="ABC179" s="1"/>
      <c r="ABD179" s="1"/>
      <c r="ABE179" s="1"/>
      <c r="ABF179" s="1"/>
      <c r="ABG179" s="1"/>
      <c r="ABH179" s="1"/>
      <c r="ABI179" s="1"/>
      <c r="ABJ179" s="1"/>
      <c r="ABK179" s="1"/>
      <c r="ABL179" s="1"/>
      <c r="ABM179" s="1"/>
      <c r="ABN179" s="1"/>
      <c r="ABO179" s="1"/>
      <c r="ABP179" s="1"/>
      <c r="ABQ179" s="1"/>
      <c r="ABR179" s="1"/>
      <c r="ABS179" s="1"/>
      <c r="ABT179" s="1"/>
      <c r="ABU179" s="1"/>
      <c r="ABV179" s="1"/>
      <c r="ABW179" s="1"/>
      <c r="ABX179" s="1"/>
      <c r="ABY179" s="1"/>
      <c r="ABZ179" s="1"/>
      <c r="ACA179" s="1"/>
      <c r="ACB179" s="1"/>
      <c r="ACC179" s="1"/>
      <c r="ACD179" s="1"/>
      <c r="ACE179" s="1"/>
      <c r="ACF179" s="1"/>
      <c r="ACG179" s="1"/>
      <c r="ACH179" s="1"/>
      <c r="ACI179" s="1"/>
      <c r="ACJ179" s="1"/>
      <c r="ACK179" s="1"/>
      <c r="ACL179" s="1"/>
      <c r="ACM179" s="1"/>
      <c r="ACN179" s="1"/>
      <c r="ACO179" s="1"/>
      <c r="ACP179" s="1"/>
      <c r="ACQ179" s="1"/>
      <c r="ACR179" s="1"/>
      <c r="ACS179" s="1"/>
      <c r="ACT179" s="1"/>
      <c r="ACU179" s="1"/>
      <c r="ACV179" s="1"/>
      <c r="ACW179" s="1"/>
      <c r="ACX179" s="1"/>
      <c r="ACY179" s="1"/>
      <c r="ACZ179" s="1"/>
      <c r="ADA179" s="1"/>
      <c r="ADB179" s="1"/>
      <c r="ADC179" s="1"/>
      <c r="ADD179" s="1"/>
      <c r="ADE179" s="1"/>
      <c r="ADF179" s="1"/>
      <c r="ADG179" s="1"/>
      <c r="ADH179" s="1"/>
      <c r="ADI179" s="1"/>
      <c r="ADJ179" s="1"/>
      <c r="ADK179" s="1"/>
      <c r="ADL179" s="1"/>
      <c r="ADM179" s="1"/>
      <c r="ADN179" s="1"/>
      <c r="ADO179" s="1"/>
      <c r="ADP179" s="1"/>
      <c r="ADQ179" s="1"/>
      <c r="ADR179" s="1"/>
      <c r="ADS179" s="1"/>
      <c r="ADT179" s="1"/>
      <c r="ADU179" s="1"/>
      <c r="ADV179" s="1"/>
      <c r="ADW179" s="1"/>
      <c r="ADX179" s="1"/>
      <c r="ADY179" s="1"/>
      <c r="ADZ179" s="1"/>
      <c r="AEA179" s="1"/>
      <c r="AEB179" s="1"/>
      <c r="AEC179" s="1"/>
      <c r="AED179" s="1"/>
      <c r="AEE179" s="1"/>
      <c r="AEF179" s="1"/>
      <c r="AEG179" s="1"/>
      <c r="AEH179" s="1"/>
      <c r="AEI179" s="1"/>
      <c r="AEJ179" s="1"/>
      <c r="AEK179" s="1"/>
      <c r="AEL179" s="1"/>
      <c r="AEM179" s="1"/>
      <c r="AEN179" s="1"/>
      <c r="AEO179" s="1"/>
      <c r="AEP179" s="1"/>
      <c r="AEQ179" s="1"/>
      <c r="AER179" s="1"/>
      <c r="AES179" s="1"/>
      <c r="AET179" s="1"/>
      <c r="AEU179" s="1"/>
      <c r="AEV179" s="1"/>
      <c r="AEW179" s="1"/>
      <c r="AEX179" s="1"/>
      <c r="AEY179" s="1"/>
      <c r="AEZ179" s="1"/>
      <c r="AFA179" s="1"/>
      <c r="AFB179" s="1"/>
      <c r="AFC179" s="1"/>
      <c r="AFD179" s="1"/>
      <c r="AFE179" s="1"/>
      <c r="AFF179" s="1"/>
      <c r="AFG179" s="1"/>
      <c r="AFH179" s="1"/>
      <c r="AFI179" s="1"/>
      <c r="AFJ179" s="1"/>
      <c r="AFK179" s="1"/>
      <c r="AFL179" s="1"/>
      <c r="AFM179" s="1"/>
      <c r="AFN179" s="1"/>
      <c r="AFO179" s="1"/>
      <c r="AFP179" s="1"/>
      <c r="AFQ179" s="1"/>
      <c r="AFR179" s="1"/>
      <c r="AFS179" s="1"/>
      <c r="AFT179" s="1"/>
      <c r="AFU179" s="1"/>
      <c r="AFV179" s="1"/>
      <c r="AFW179" s="1"/>
      <c r="AFX179" s="1"/>
      <c r="AFY179" s="1"/>
      <c r="AFZ179" s="1"/>
      <c r="AGA179" s="1"/>
      <c r="AGB179" s="1"/>
      <c r="AGC179" s="1"/>
      <c r="AGD179" s="1"/>
      <c r="AGE179" s="1"/>
      <c r="AGF179" s="1"/>
      <c r="AGG179" s="1"/>
      <c r="AGH179" s="1"/>
      <c r="AGI179" s="1"/>
      <c r="AGJ179" s="1"/>
      <c r="AGK179" s="1"/>
      <c r="AGL179" s="1"/>
      <c r="AGM179" s="1"/>
      <c r="AGN179" s="1"/>
      <c r="AGO179" s="1"/>
      <c r="AGP179" s="1"/>
      <c r="AGQ179" s="1"/>
      <c r="AGR179" s="1"/>
      <c r="AGS179" s="1"/>
      <c r="AGT179" s="1"/>
      <c r="AGU179" s="1"/>
      <c r="AGV179" s="1"/>
      <c r="AGW179" s="1"/>
      <c r="AGX179" s="1"/>
      <c r="AGY179" s="1"/>
      <c r="AGZ179" s="1"/>
      <c r="AHA179" s="1"/>
      <c r="AHB179" s="1"/>
      <c r="AHC179" s="1"/>
      <c r="AHD179" s="1"/>
      <c r="AHE179" s="1"/>
      <c r="AHF179" s="1"/>
      <c r="AHG179" s="1"/>
      <c r="AHH179" s="1"/>
      <c r="AHI179" s="1"/>
      <c r="AHJ179" s="1"/>
      <c r="AHK179" s="1"/>
      <c r="AHL179" s="1"/>
      <c r="AHM179" s="1"/>
      <c r="AHN179" s="1"/>
      <c r="AHO179" s="1"/>
      <c r="AHP179" s="1"/>
      <c r="AHQ179" s="1"/>
      <c r="AHR179" s="1"/>
      <c r="AHS179" s="1"/>
      <c r="AHT179" s="1"/>
      <c r="AHU179" s="1"/>
      <c r="AHV179" s="1"/>
      <c r="AHW179" s="1"/>
      <c r="AHX179" s="1"/>
      <c r="AHY179" s="1"/>
      <c r="AHZ179" s="1"/>
      <c r="AIA179" s="1"/>
      <c r="AIB179" s="1"/>
      <c r="AIC179" s="1"/>
      <c r="AID179" s="1"/>
      <c r="AIE179" s="1"/>
      <c r="AIF179" s="1"/>
      <c r="AIG179" s="1"/>
      <c r="AIH179" s="1"/>
      <c r="AII179" s="1"/>
      <c r="AIJ179" s="1"/>
      <c r="AIK179" s="1"/>
      <c r="AIL179" s="1"/>
      <c r="AIM179" s="1"/>
      <c r="AIN179" s="1"/>
      <c r="AIO179" s="1"/>
      <c r="AIP179" s="1"/>
      <c r="AIQ179" s="1"/>
      <c r="AIR179" s="1"/>
      <c r="AIS179" s="1"/>
      <c r="AIT179" s="1"/>
      <c r="AIU179" s="1"/>
      <c r="AIV179" s="1"/>
      <c r="AIW179" s="1"/>
      <c r="AIX179" s="1"/>
      <c r="AIY179" s="1"/>
      <c r="AIZ179" s="1"/>
      <c r="AJA179" s="1"/>
      <c r="AJB179" s="1"/>
      <c r="AJC179" s="1"/>
      <c r="AJD179" s="1"/>
      <c r="AJE179" s="1"/>
      <c r="AJF179" s="1"/>
      <c r="AJG179" s="1"/>
      <c r="AJH179" s="1"/>
      <c r="AJI179" s="1"/>
      <c r="AJJ179" s="1"/>
      <c r="AJK179" s="1"/>
      <c r="AJL179" s="1"/>
      <c r="AJM179" s="1"/>
      <c r="AJN179" s="1"/>
      <c r="AJO179" s="1"/>
      <c r="AJP179" s="1"/>
      <c r="AJQ179" s="1"/>
      <c r="AJR179" s="1"/>
      <c r="AJS179" s="1"/>
      <c r="AJT179" s="1"/>
      <c r="AJU179" s="1"/>
      <c r="AJV179" s="1"/>
      <c r="AJW179" s="1"/>
      <c r="AJX179" s="1"/>
      <c r="AJY179" s="1"/>
      <c r="AJZ179" s="1"/>
      <c r="AKA179" s="1"/>
      <c r="AKB179" s="1"/>
      <c r="AKC179" s="1"/>
      <c r="AKD179" s="1"/>
      <c r="AKE179" s="1"/>
      <c r="AKF179" s="1"/>
      <c r="AKG179" s="1"/>
      <c r="AKH179" s="1"/>
      <c r="AKI179" s="1"/>
      <c r="AKJ179" s="1"/>
      <c r="AKK179" s="1"/>
      <c r="AKL179" s="1"/>
      <c r="AKM179" s="1"/>
      <c r="AKN179" s="1"/>
      <c r="AKO179" s="1"/>
      <c r="AKP179" s="1"/>
      <c r="AKQ179" s="1"/>
      <c r="AKR179" s="1"/>
      <c r="AKS179" s="1"/>
      <c r="AKT179" s="1"/>
      <c r="AKU179" s="1"/>
      <c r="AKV179" s="1"/>
      <c r="AKW179" s="1"/>
      <c r="AKX179" s="1"/>
      <c r="AKY179" s="1"/>
      <c r="AKZ179" s="1"/>
      <c r="ALA179" s="1"/>
      <c r="ALB179" s="1"/>
      <c r="ALC179" s="1"/>
      <c r="ALD179" s="1"/>
      <c r="ALE179" s="1"/>
      <c r="ALF179" s="1"/>
      <c r="ALG179" s="1"/>
      <c r="ALH179" s="1"/>
      <c r="ALI179" s="1"/>
      <c r="ALJ179" s="1"/>
      <c r="ALK179" s="1"/>
      <c r="ALL179" s="1"/>
      <c r="ALM179" s="1"/>
      <c r="ALN179" s="1"/>
      <c r="ALO179" s="1"/>
      <c r="ALP179" s="1"/>
      <c r="ALQ179" s="1"/>
      <c r="ALR179" s="1"/>
      <c r="ALS179" s="1"/>
      <c r="ALT179" s="1"/>
      <c r="ALU179" s="1"/>
      <c r="ALV179" s="1"/>
      <c r="ALW179" s="1"/>
      <c r="ALX179" s="1"/>
      <c r="ALY179" s="1"/>
      <c r="ALZ179" s="1"/>
      <c r="AMA179" s="1"/>
      <c r="AMB179" s="1"/>
      <c r="AMC179" s="1"/>
      <c r="AMD179" s="1"/>
      <c r="AME179" s="1"/>
      <c r="AMF179" s="1"/>
      <c r="AMG179" s="1"/>
      <c r="AMH179" s="1"/>
      <c r="AMI179" s="1"/>
      <c r="AMJ179" s="1"/>
      <c r="AMK179" s="1"/>
      <c r="AML179" s="1"/>
      <c r="AMM179" s="1"/>
      <c r="AMN179" s="1"/>
      <c r="AMO179" s="1"/>
    </row>
    <row r="180" spans="1:1030" x14ac:dyDescent="0.2">
      <c r="A180" s="9" t="str">
        <f t="shared" ref="A180" si="699">CONCATENATE(B180,"_",C180)</f>
        <v>nk1r_human_6E59</v>
      </c>
      <c r="B180" s="9" t="s">
        <v>314</v>
      </c>
      <c r="C180" s="135" t="s">
        <v>1557</v>
      </c>
      <c r="D180" s="9" t="str">
        <f>IFERROR(MID(VLOOKUP($B180,Seqs!$A:$B,2,0),E180,1),"")</f>
        <v>V</v>
      </c>
      <c r="E180" s="9">
        <v>33</v>
      </c>
      <c r="F180" s="9" t="str">
        <f>IFERROR(MID(VLOOKUP($B180,Seqs!$A:$B,2,0),G180,1),"")</f>
        <v>H</v>
      </c>
      <c r="G180" s="9">
        <v>60</v>
      </c>
      <c r="H180" s="9" t="str">
        <f>IFERROR(MID(VLOOKUP($B180,Seqs!$A:$B,2,0),I180,1),"")</f>
        <v/>
      </c>
      <c r="I180" s="109" t="s">
        <v>23</v>
      </c>
      <c r="J180" s="9" t="str">
        <f>IFERROR(MID(VLOOKUP($B180,Seqs!$A:$B,2,0),K180,1),"")</f>
        <v/>
      </c>
      <c r="K180" s="109" t="s">
        <v>23</v>
      </c>
      <c r="L180" s="9" t="str">
        <f>IFERROR(MID(VLOOKUP($B180,Seqs!$A:$B,2,0),M180,1),"")</f>
        <v>T</v>
      </c>
      <c r="M180" s="9">
        <v>65</v>
      </c>
      <c r="N180" s="9" t="str">
        <f>IFERROR(MID(VLOOKUP($B180,Seqs!$A:$B,2,0),O180,1),"")</f>
        <v>V</v>
      </c>
      <c r="O180" s="9">
        <v>94</v>
      </c>
      <c r="P180" s="9" t="str">
        <f>IFERROR(MID(VLOOKUP($B180,Seqs!$A:$B,2,0),Q180,1),"")</f>
        <v>E</v>
      </c>
      <c r="Q180" s="9">
        <v>97</v>
      </c>
      <c r="R180" s="9" t="str">
        <f>IFERROR(MID(VLOOKUP($B180,Seqs!$A:$B,2,0),S180,1),"")</f>
        <v>Y</v>
      </c>
      <c r="S180" s="9">
        <v>100</v>
      </c>
      <c r="T180" s="9" t="str">
        <f>IFERROR(MID(VLOOKUP($B180,Seqs!$A:$B,2,0),U180,1),"")</f>
        <v>F</v>
      </c>
      <c r="U180" s="9">
        <v>103</v>
      </c>
      <c r="V180" s="9" t="str">
        <f>IFERROR(MID(VLOOKUP($B180,Seqs!$A:$B,2,0),W180,1),"")</f>
        <v>H</v>
      </c>
      <c r="W180" s="9">
        <v>136</v>
      </c>
      <c r="X180" s="9" t="str">
        <f>IFERROR(MID(VLOOKUP($B180,Seqs!$A:$B,2,0),Y180,1),"")</f>
        <v/>
      </c>
      <c r="Y180" s="9" t="s">
        <v>23</v>
      </c>
      <c r="Z180" s="9" t="str">
        <f>IFERROR(MID(VLOOKUP($B180,Seqs!$A:$B,2,0),AA180,1),"")</f>
        <v/>
      </c>
      <c r="AA180" s="9" t="s">
        <v>23</v>
      </c>
      <c r="AB180" s="9" t="str">
        <f>IFERROR(MID(VLOOKUP($B180,Seqs!$A:$B,2,0),AC180,1),"")</f>
        <v>S</v>
      </c>
      <c r="AC180" s="9">
        <v>143</v>
      </c>
      <c r="AD180" s="9" t="str">
        <f>IFERROR(MID(VLOOKUP($B180,Seqs!$A:$B,2,0),AE180,1),"")</f>
        <v>S</v>
      </c>
      <c r="AE180" s="9">
        <v>169</v>
      </c>
      <c r="AF180" s="9" t="str">
        <f>IFERROR(MID(VLOOKUP($B180,Seqs!$A:$B,2,0),AG180,1),"")</f>
        <v>C</v>
      </c>
      <c r="AG180" s="9">
        <v>180</v>
      </c>
      <c r="AH180" s="9" t="str">
        <f>IFERROR(MID(VLOOKUP($B180,Seqs!$A:$B,2,0),AI180,1),"")</f>
        <v>I</v>
      </c>
      <c r="AI180" s="9">
        <v>182</v>
      </c>
      <c r="AJ180" s="9" t="str">
        <f>IFERROR(MID(VLOOKUP($B180,Seqs!$A:$B,2,0),AK180,1),"")</f>
        <v>P</v>
      </c>
      <c r="AK180" s="9">
        <v>188</v>
      </c>
      <c r="AL180" s="9" t="str">
        <f>IFERROR(MID(VLOOKUP($B180,Seqs!$A:$B,2,0),AM180,1),"")</f>
        <v>W</v>
      </c>
      <c r="AM180" s="9">
        <v>224</v>
      </c>
      <c r="AN180" s="9" t="str">
        <f>IFERROR(MID(VLOOKUP($B180,Seqs!$A:$B,2,0),AO180,1),"")</f>
        <v>E</v>
      </c>
      <c r="AO180" s="9">
        <v>238</v>
      </c>
      <c r="AP180" s="9" t="str">
        <f>IFERROR(MID(VLOOKUP($B180,Seqs!$A:$B,2,0),AQ180,1),"")</f>
        <v>L</v>
      </c>
      <c r="AQ180" s="9">
        <v>270</v>
      </c>
      <c r="AR180" s="9" t="str">
        <f>IFERROR(MID(VLOOKUP($B180,Seqs!$A:$B,2,0),AS180,1),"")</f>
        <v>I</v>
      </c>
      <c r="AS180" s="9">
        <v>283</v>
      </c>
      <c r="AT180" s="9" t="str">
        <f>IFERROR(MID(VLOOKUP($B180,Seqs!$A:$B,2,0),AU180,1),"")</f>
        <v>L</v>
      </c>
      <c r="AU180" s="9">
        <v>308</v>
      </c>
      <c r="AV180" s="9" t="str">
        <f>IFERROR(MID(VLOOKUP($B180,Seqs!$A:$B,2,0),AW180,1),"")</f>
        <v>N</v>
      </c>
      <c r="AW180" s="9">
        <v>309</v>
      </c>
      <c r="AX180" s="9" t="str">
        <f>IFERROR(MID(VLOOKUP($B180,Seqs!$A:$B,2,0),AY180,1),"")</f>
        <v>H</v>
      </c>
      <c r="AY180" s="9">
        <v>318</v>
      </c>
      <c r="AZ180" s="110" t="str">
        <f>VLOOKUP(B180,Classification!A:D,2,0)</f>
        <v>A</v>
      </c>
      <c r="BA180" s="98" t="str">
        <f>VLOOKUP(B180,Classification!A:D,4,0)</f>
        <v>Tachykinin</v>
      </c>
      <c r="BB180" s="36" t="b">
        <f t="shared" ref="BB180" si="700">AND(E180&lt;G180,OR(G180&lt;I180,I180="-"),OR(I180&lt;K180,I180="-"),OR(K180&lt;M180,K180="-"),M180&lt;O180,OR(O180&lt;Q180,Q180="-"),OR(Q180&lt;S180,Q180="-"),OR(S180&lt;U180,S180="-"),U180&lt;W180,OR(W180&lt;Y180,Y180="-"),OR(Y180&lt;AA180,Y180="-"),OR(AA180&lt;AC180,AA180="-"),AC180&lt;AE180,OR(AE180&lt;AG180,AG180="-"),OR(AG180&lt;AI180,AG180="-"),OR(AI180&lt;AK180,AI180="-"),AK180&lt;AM180,AM180&lt;AO180,AO180&lt;AQ180,AQ180&lt;AS180,AS180&lt;AU180,OR(AU180&lt;AW180,AW180="-"),OR(AW180&lt;AY180,AW180="-"))</f>
        <v>1</v>
      </c>
      <c r="BC180" s="109">
        <f t="shared" ref="BC180" si="701">_xlfn.AGGREGATE(9,6,CH180:CS180)-_xlfn.AGGREGATE(9,6,BV180:CG180)+12</f>
        <v>234</v>
      </c>
      <c r="BD180" s="13" t="s">
        <v>1383</v>
      </c>
      <c r="BE180" s="9" t="s">
        <v>1381</v>
      </c>
      <c r="BF180" s="120">
        <v>3.4</v>
      </c>
      <c r="BG180" s="51" t="s">
        <v>1</v>
      </c>
      <c r="BH180" s="51" t="s">
        <v>1</v>
      </c>
      <c r="BI180" s="12"/>
      <c r="BJ180" s="111" t="s">
        <v>1293</v>
      </c>
      <c r="BK180" s="112" t="s">
        <v>1293</v>
      </c>
      <c r="BL180" s="112" t="s">
        <v>1293</v>
      </c>
      <c r="BM180" s="112" t="s">
        <v>1293</v>
      </c>
      <c r="BN180" s="112" t="s">
        <v>1293</v>
      </c>
      <c r="BO180" s="112" t="s">
        <v>1293</v>
      </c>
      <c r="BP180" s="112" t="s">
        <v>1293</v>
      </c>
      <c r="BQ180" s="112" t="s">
        <v>1293</v>
      </c>
      <c r="BR180" s="112" t="s">
        <v>1293</v>
      </c>
      <c r="BS180" s="112" t="s">
        <v>1293</v>
      </c>
      <c r="BT180" s="112" t="s">
        <v>1293</v>
      </c>
      <c r="BU180" s="112" t="s">
        <v>1293</v>
      </c>
      <c r="BV180" s="111">
        <f t="shared" ref="BV180" si="702">E180</f>
        <v>33</v>
      </c>
      <c r="BW180" s="113" t="str">
        <f t="shared" ref="BW180" si="703">I180</f>
        <v>-</v>
      </c>
      <c r="BX180" s="114">
        <f t="shared" ref="BX180" si="704">M180</f>
        <v>65</v>
      </c>
      <c r="BY180" s="113">
        <f t="shared" ref="BY180" si="705">Q180</f>
        <v>97</v>
      </c>
      <c r="BZ180" s="114">
        <f t="shared" ref="BZ180" si="706">U180</f>
        <v>103</v>
      </c>
      <c r="CA180" s="113" t="str">
        <f t="shared" ref="CA180" si="707">Y180</f>
        <v>-</v>
      </c>
      <c r="CB180" s="114">
        <f t="shared" ref="CB180" si="708">AC180</f>
        <v>143</v>
      </c>
      <c r="CC180" s="113">
        <f t="shared" ref="CC180" si="709">AG180</f>
        <v>180</v>
      </c>
      <c r="CD180" s="114">
        <f t="shared" ref="CD180" si="710">AK180</f>
        <v>188</v>
      </c>
      <c r="CE180" s="113">
        <f t="shared" ref="CE180" si="711">AO180</f>
        <v>238</v>
      </c>
      <c r="CF180" s="114">
        <f t="shared" ref="CF180" si="712">AS180</f>
        <v>283</v>
      </c>
      <c r="CG180" s="113">
        <f t="shared" ref="CG180" si="713">AW180</f>
        <v>309</v>
      </c>
      <c r="CH180" s="111">
        <f t="shared" ref="CH180" si="714">G180</f>
        <v>60</v>
      </c>
      <c r="CI180" s="113" t="str">
        <f t="shared" ref="CI180" si="715">K180</f>
        <v>-</v>
      </c>
      <c r="CJ180" s="114">
        <f t="shared" ref="CJ180" si="716">O180</f>
        <v>94</v>
      </c>
      <c r="CK180" s="114">
        <f t="shared" ref="CK180" si="717">S180</f>
        <v>100</v>
      </c>
      <c r="CL180" s="114">
        <f t="shared" ref="CL180" si="718">W180</f>
        <v>136</v>
      </c>
      <c r="CM180" s="114" t="str">
        <f t="shared" ref="CM180" si="719">AA180</f>
        <v>-</v>
      </c>
      <c r="CN180" s="114">
        <f t="shared" ref="CN180" si="720">AE180</f>
        <v>169</v>
      </c>
      <c r="CO180" s="114">
        <f t="shared" ref="CO180" si="721">AI180</f>
        <v>182</v>
      </c>
      <c r="CP180" s="114">
        <f t="shared" ref="CP180" si="722">AM180</f>
        <v>224</v>
      </c>
      <c r="CQ180" s="114">
        <f t="shared" ref="CQ180" si="723">AQ180</f>
        <v>270</v>
      </c>
      <c r="CR180" s="114">
        <f t="shared" ref="CR180" si="724">AU180</f>
        <v>308</v>
      </c>
      <c r="CS180" s="114">
        <f t="shared" ref="CS180" si="725">AY180</f>
        <v>318</v>
      </c>
      <c r="CT180" s="109" t="e">
        <f t="shared" ref="CT180" si="726">M180-K180</f>
        <v>#VALUE!</v>
      </c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  <c r="OK180" s="1"/>
      <c r="OL180" s="1"/>
      <c r="OM180" s="1"/>
      <c r="ON180" s="1"/>
      <c r="OO180" s="1"/>
      <c r="OP180" s="1"/>
      <c r="OQ180" s="1"/>
      <c r="OR180" s="1"/>
      <c r="OS180" s="1"/>
      <c r="OT180" s="1"/>
      <c r="OU180" s="1"/>
      <c r="OV180" s="1"/>
      <c r="OW180" s="1"/>
      <c r="OX180" s="1"/>
      <c r="OY180" s="1"/>
      <c r="OZ180" s="1"/>
      <c r="PA180" s="1"/>
      <c r="PB180" s="1"/>
      <c r="PC180" s="1"/>
      <c r="PD180" s="1"/>
      <c r="PE180" s="1"/>
      <c r="PF180" s="1"/>
      <c r="PG180" s="1"/>
      <c r="PH180" s="1"/>
      <c r="PI180" s="1"/>
      <c r="PJ180" s="1"/>
      <c r="PK180" s="1"/>
      <c r="PL180" s="1"/>
      <c r="PM180" s="1"/>
      <c r="PN180" s="1"/>
      <c r="PO180" s="1"/>
      <c r="PP180" s="1"/>
      <c r="PQ180" s="1"/>
      <c r="PR180" s="1"/>
      <c r="PS180" s="1"/>
      <c r="PT180" s="1"/>
      <c r="PU180" s="1"/>
      <c r="PV180" s="1"/>
      <c r="PW180" s="1"/>
      <c r="PX180" s="1"/>
      <c r="PY180" s="1"/>
      <c r="PZ180" s="1"/>
      <c r="QA180" s="1"/>
      <c r="QB180" s="1"/>
      <c r="QC180" s="1"/>
      <c r="QD180" s="1"/>
      <c r="QE180" s="1"/>
      <c r="QF180" s="1"/>
      <c r="QG180" s="1"/>
      <c r="QH180" s="1"/>
      <c r="QI180" s="1"/>
      <c r="QJ180" s="1"/>
      <c r="QK180" s="1"/>
      <c r="QL180" s="1"/>
      <c r="QM180" s="1"/>
      <c r="QN180" s="1"/>
      <c r="QO180" s="1"/>
      <c r="QP180" s="1"/>
      <c r="QQ180" s="1"/>
      <c r="QR180" s="1"/>
      <c r="QS180" s="1"/>
      <c r="QT180" s="1"/>
      <c r="QU180" s="1"/>
      <c r="QV180" s="1"/>
      <c r="QW180" s="1"/>
      <c r="QX180" s="1"/>
      <c r="QY180" s="1"/>
      <c r="QZ180" s="1"/>
      <c r="RA180" s="1"/>
      <c r="RB180" s="1"/>
      <c r="RC180" s="1"/>
      <c r="RD180" s="1"/>
      <c r="RE180" s="1"/>
      <c r="RF180" s="1"/>
      <c r="RG180" s="1"/>
      <c r="RH180" s="1"/>
      <c r="RI180" s="1"/>
      <c r="RJ180" s="1"/>
      <c r="RK180" s="1"/>
      <c r="RL180" s="1"/>
      <c r="RM180" s="1"/>
      <c r="RN180" s="1"/>
      <c r="RO180" s="1"/>
      <c r="RP180" s="1"/>
      <c r="RQ180" s="1"/>
      <c r="RR180" s="1"/>
      <c r="RS180" s="1"/>
      <c r="RT180" s="1"/>
      <c r="RU180" s="1"/>
      <c r="RV180" s="1"/>
      <c r="RW180" s="1"/>
      <c r="RX180" s="1"/>
      <c r="RY180" s="1"/>
      <c r="RZ180" s="1"/>
      <c r="SA180" s="1"/>
      <c r="SB180" s="1"/>
      <c r="SC180" s="1"/>
      <c r="SD180" s="1"/>
      <c r="SE180" s="1"/>
      <c r="SF180" s="1"/>
      <c r="SG180" s="1"/>
      <c r="SH180" s="1"/>
      <c r="SI180" s="1"/>
      <c r="SJ180" s="1"/>
      <c r="SK180" s="1"/>
      <c r="SL180" s="1"/>
      <c r="SM180" s="1"/>
      <c r="SN180" s="1"/>
      <c r="SO180" s="1"/>
      <c r="SP180" s="1"/>
      <c r="SQ180" s="1"/>
      <c r="SR180" s="1"/>
      <c r="SS180" s="1"/>
      <c r="ST180" s="1"/>
      <c r="SU180" s="1"/>
      <c r="SV180" s="1"/>
      <c r="SW180" s="1"/>
      <c r="SX180" s="1"/>
      <c r="SY180" s="1"/>
      <c r="SZ180" s="1"/>
      <c r="TA180" s="1"/>
      <c r="TB180" s="1"/>
      <c r="TC180" s="1"/>
      <c r="TD180" s="1"/>
      <c r="TE180" s="1"/>
      <c r="TF180" s="1"/>
      <c r="TG180" s="1"/>
      <c r="TH180" s="1"/>
      <c r="TI180" s="1"/>
      <c r="TJ180" s="1"/>
      <c r="TK180" s="1"/>
      <c r="TL180" s="1"/>
      <c r="TM180" s="1"/>
      <c r="TN180" s="1"/>
      <c r="TO180" s="1"/>
      <c r="TP180" s="1"/>
      <c r="TQ180" s="1"/>
      <c r="TR180" s="1"/>
      <c r="TS180" s="1"/>
      <c r="TT180" s="1"/>
      <c r="TU180" s="1"/>
      <c r="TV180" s="1"/>
      <c r="TW180" s="1"/>
      <c r="TX180" s="1"/>
      <c r="TY180" s="1"/>
      <c r="TZ180" s="1"/>
      <c r="UA180" s="1"/>
      <c r="UB180" s="1"/>
      <c r="UC180" s="1"/>
      <c r="UD180" s="1"/>
      <c r="UE180" s="1"/>
      <c r="UF180" s="1"/>
      <c r="UG180" s="1"/>
      <c r="UH180" s="1"/>
      <c r="UI180" s="1"/>
      <c r="UJ180" s="1"/>
      <c r="UK180" s="1"/>
      <c r="UL180" s="1"/>
      <c r="UM180" s="1"/>
      <c r="UN180" s="1"/>
      <c r="UO180" s="1"/>
      <c r="UP180" s="1"/>
      <c r="UQ180" s="1"/>
      <c r="UR180" s="1"/>
      <c r="US180" s="1"/>
      <c r="UT180" s="1"/>
      <c r="UU180" s="1"/>
      <c r="UV180" s="1"/>
      <c r="UW180" s="1"/>
      <c r="UX180" s="1"/>
      <c r="UY180" s="1"/>
      <c r="UZ180" s="1"/>
      <c r="VA180" s="1"/>
      <c r="VB180" s="1"/>
      <c r="VC180" s="1"/>
      <c r="VD180" s="1"/>
      <c r="VE180" s="1"/>
      <c r="VF180" s="1"/>
      <c r="VG180" s="1"/>
      <c r="VH180" s="1"/>
      <c r="VI180" s="1"/>
      <c r="VJ180" s="1"/>
      <c r="VK180" s="1"/>
      <c r="VL180" s="1"/>
      <c r="VM180" s="1"/>
      <c r="VN180" s="1"/>
      <c r="VO180" s="1"/>
      <c r="VP180" s="1"/>
      <c r="VQ180" s="1"/>
      <c r="VR180" s="1"/>
      <c r="VS180" s="1"/>
      <c r="VT180" s="1"/>
      <c r="VU180" s="1"/>
      <c r="VV180" s="1"/>
      <c r="VW180" s="1"/>
      <c r="VX180" s="1"/>
      <c r="VY180" s="1"/>
      <c r="VZ180" s="1"/>
      <c r="WA180" s="1"/>
      <c r="WB180" s="1"/>
      <c r="WC180" s="1"/>
      <c r="WD180" s="1"/>
      <c r="WE180" s="1"/>
      <c r="WF180" s="1"/>
      <c r="WG180" s="1"/>
      <c r="WH180" s="1"/>
      <c r="WI180" s="1"/>
      <c r="WJ180" s="1"/>
      <c r="WK180" s="1"/>
      <c r="WL180" s="1"/>
      <c r="WM180" s="1"/>
      <c r="WN180" s="1"/>
      <c r="WO180" s="1"/>
      <c r="WP180" s="1"/>
      <c r="WQ180" s="1"/>
      <c r="WR180" s="1"/>
      <c r="WS180" s="1"/>
      <c r="WT180" s="1"/>
      <c r="WU180" s="1"/>
      <c r="WV180" s="1"/>
      <c r="WW180" s="1"/>
      <c r="WX180" s="1"/>
      <c r="WY180" s="1"/>
      <c r="WZ180" s="1"/>
      <c r="XA180" s="1"/>
      <c r="XB180" s="1"/>
      <c r="XC180" s="1"/>
      <c r="XD180" s="1"/>
      <c r="XE180" s="1"/>
      <c r="XF180" s="1"/>
      <c r="XG180" s="1"/>
      <c r="XH180" s="1"/>
      <c r="XI180" s="1"/>
      <c r="XJ180" s="1"/>
      <c r="XK180" s="1"/>
      <c r="XL180" s="1"/>
      <c r="XM180" s="1"/>
      <c r="XN180" s="1"/>
      <c r="XO180" s="1"/>
      <c r="XP180" s="1"/>
      <c r="XQ180" s="1"/>
      <c r="XR180" s="1"/>
      <c r="XS180" s="1"/>
      <c r="XT180" s="1"/>
      <c r="XU180" s="1"/>
      <c r="XV180" s="1"/>
      <c r="XW180" s="1"/>
      <c r="XX180" s="1"/>
      <c r="XY180" s="1"/>
      <c r="XZ180" s="1"/>
      <c r="YA180" s="1"/>
      <c r="YB180" s="1"/>
      <c r="YC180" s="1"/>
      <c r="YD180" s="1"/>
      <c r="YE180" s="1"/>
      <c r="YF180" s="1"/>
      <c r="YG180" s="1"/>
      <c r="YH180" s="1"/>
      <c r="YI180" s="1"/>
      <c r="YJ180" s="1"/>
      <c r="YK180" s="1"/>
      <c r="YL180" s="1"/>
      <c r="YM180" s="1"/>
      <c r="YN180" s="1"/>
      <c r="YO180" s="1"/>
      <c r="YP180" s="1"/>
      <c r="YQ180" s="1"/>
      <c r="YR180" s="1"/>
      <c r="YS180" s="1"/>
      <c r="YT180" s="1"/>
      <c r="YU180" s="1"/>
      <c r="YV180" s="1"/>
      <c r="YW180" s="1"/>
      <c r="YX180" s="1"/>
      <c r="YY180" s="1"/>
      <c r="YZ180" s="1"/>
      <c r="ZA180" s="1"/>
      <c r="ZB180" s="1"/>
      <c r="ZC180" s="1"/>
      <c r="ZD180" s="1"/>
      <c r="ZE180" s="1"/>
      <c r="ZF180" s="1"/>
      <c r="ZG180" s="1"/>
      <c r="ZH180" s="1"/>
      <c r="ZI180" s="1"/>
      <c r="ZJ180" s="1"/>
      <c r="ZK180" s="1"/>
      <c r="ZL180" s="1"/>
      <c r="ZM180" s="1"/>
      <c r="ZN180" s="1"/>
      <c r="ZO180" s="1"/>
      <c r="ZP180" s="1"/>
      <c r="ZQ180" s="1"/>
      <c r="ZR180" s="1"/>
      <c r="ZS180" s="1"/>
      <c r="ZT180" s="1"/>
      <c r="ZU180" s="1"/>
      <c r="ZV180" s="1"/>
      <c r="ZW180" s="1"/>
      <c r="ZX180" s="1"/>
      <c r="ZY180" s="1"/>
      <c r="ZZ180" s="1"/>
      <c r="AAA180" s="1"/>
      <c r="AAB180" s="1"/>
      <c r="AAC180" s="1"/>
      <c r="AAD180" s="1"/>
      <c r="AAE180" s="1"/>
      <c r="AAF180" s="1"/>
      <c r="AAG180" s="1"/>
      <c r="AAH180" s="1"/>
      <c r="AAI180" s="1"/>
      <c r="AAJ180" s="1"/>
      <c r="AAK180" s="1"/>
      <c r="AAL180" s="1"/>
      <c r="AAM180" s="1"/>
      <c r="AAN180" s="1"/>
      <c r="AAO180" s="1"/>
      <c r="AAP180" s="1"/>
      <c r="AAQ180" s="1"/>
      <c r="AAR180" s="1"/>
      <c r="AAS180" s="1"/>
      <c r="AAT180" s="1"/>
      <c r="AAU180" s="1"/>
      <c r="AAV180" s="1"/>
      <c r="AAW180" s="1"/>
      <c r="AAX180" s="1"/>
      <c r="AAY180" s="1"/>
      <c r="AAZ180" s="1"/>
      <c r="ABA180" s="1"/>
      <c r="ABB180" s="1"/>
      <c r="ABC180" s="1"/>
      <c r="ABD180" s="1"/>
      <c r="ABE180" s="1"/>
      <c r="ABF180" s="1"/>
      <c r="ABG180" s="1"/>
      <c r="ABH180" s="1"/>
      <c r="ABI180" s="1"/>
      <c r="ABJ180" s="1"/>
      <c r="ABK180" s="1"/>
      <c r="ABL180" s="1"/>
      <c r="ABM180" s="1"/>
      <c r="ABN180" s="1"/>
      <c r="ABO180" s="1"/>
      <c r="ABP180" s="1"/>
      <c r="ABQ180" s="1"/>
      <c r="ABR180" s="1"/>
      <c r="ABS180" s="1"/>
      <c r="ABT180" s="1"/>
      <c r="ABU180" s="1"/>
      <c r="ABV180" s="1"/>
      <c r="ABW180" s="1"/>
      <c r="ABX180" s="1"/>
      <c r="ABY180" s="1"/>
      <c r="ABZ180" s="1"/>
      <c r="ACA180" s="1"/>
      <c r="ACB180" s="1"/>
      <c r="ACC180" s="1"/>
      <c r="ACD180" s="1"/>
      <c r="ACE180" s="1"/>
      <c r="ACF180" s="1"/>
      <c r="ACG180" s="1"/>
      <c r="ACH180" s="1"/>
      <c r="ACI180" s="1"/>
      <c r="ACJ180" s="1"/>
      <c r="ACK180" s="1"/>
      <c r="ACL180" s="1"/>
      <c r="ACM180" s="1"/>
      <c r="ACN180" s="1"/>
      <c r="ACO180" s="1"/>
      <c r="ACP180" s="1"/>
      <c r="ACQ180" s="1"/>
      <c r="ACR180" s="1"/>
      <c r="ACS180" s="1"/>
      <c r="ACT180" s="1"/>
      <c r="ACU180" s="1"/>
      <c r="ACV180" s="1"/>
      <c r="ACW180" s="1"/>
      <c r="ACX180" s="1"/>
      <c r="ACY180" s="1"/>
      <c r="ACZ180" s="1"/>
      <c r="ADA180" s="1"/>
      <c r="ADB180" s="1"/>
      <c r="ADC180" s="1"/>
      <c r="ADD180" s="1"/>
      <c r="ADE180" s="1"/>
      <c r="ADF180" s="1"/>
      <c r="ADG180" s="1"/>
      <c r="ADH180" s="1"/>
      <c r="ADI180" s="1"/>
      <c r="ADJ180" s="1"/>
      <c r="ADK180" s="1"/>
      <c r="ADL180" s="1"/>
      <c r="ADM180" s="1"/>
      <c r="ADN180" s="1"/>
      <c r="ADO180" s="1"/>
      <c r="ADP180" s="1"/>
      <c r="ADQ180" s="1"/>
      <c r="ADR180" s="1"/>
      <c r="ADS180" s="1"/>
      <c r="ADT180" s="1"/>
      <c r="ADU180" s="1"/>
      <c r="ADV180" s="1"/>
      <c r="ADW180" s="1"/>
      <c r="ADX180" s="1"/>
      <c r="ADY180" s="1"/>
      <c r="ADZ180" s="1"/>
      <c r="AEA180" s="1"/>
      <c r="AEB180" s="1"/>
      <c r="AEC180" s="1"/>
      <c r="AED180" s="1"/>
      <c r="AEE180" s="1"/>
      <c r="AEF180" s="1"/>
      <c r="AEG180" s="1"/>
      <c r="AEH180" s="1"/>
      <c r="AEI180" s="1"/>
      <c r="AEJ180" s="1"/>
      <c r="AEK180" s="1"/>
      <c r="AEL180" s="1"/>
      <c r="AEM180" s="1"/>
      <c r="AEN180" s="1"/>
      <c r="AEO180" s="1"/>
      <c r="AEP180" s="1"/>
      <c r="AEQ180" s="1"/>
      <c r="AER180" s="1"/>
      <c r="AES180" s="1"/>
      <c r="AET180" s="1"/>
      <c r="AEU180" s="1"/>
      <c r="AEV180" s="1"/>
      <c r="AEW180" s="1"/>
      <c r="AEX180" s="1"/>
      <c r="AEY180" s="1"/>
      <c r="AEZ180" s="1"/>
      <c r="AFA180" s="1"/>
      <c r="AFB180" s="1"/>
      <c r="AFC180" s="1"/>
      <c r="AFD180" s="1"/>
      <c r="AFE180" s="1"/>
      <c r="AFF180" s="1"/>
      <c r="AFG180" s="1"/>
      <c r="AFH180" s="1"/>
      <c r="AFI180" s="1"/>
      <c r="AFJ180" s="1"/>
      <c r="AFK180" s="1"/>
      <c r="AFL180" s="1"/>
      <c r="AFM180" s="1"/>
      <c r="AFN180" s="1"/>
      <c r="AFO180" s="1"/>
      <c r="AFP180" s="1"/>
      <c r="AFQ180" s="1"/>
      <c r="AFR180" s="1"/>
      <c r="AFS180" s="1"/>
      <c r="AFT180" s="1"/>
      <c r="AFU180" s="1"/>
      <c r="AFV180" s="1"/>
      <c r="AFW180" s="1"/>
      <c r="AFX180" s="1"/>
      <c r="AFY180" s="1"/>
      <c r="AFZ180" s="1"/>
      <c r="AGA180" s="1"/>
      <c r="AGB180" s="1"/>
      <c r="AGC180" s="1"/>
      <c r="AGD180" s="1"/>
      <c r="AGE180" s="1"/>
      <c r="AGF180" s="1"/>
      <c r="AGG180" s="1"/>
      <c r="AGH180" s="1"/>
      <c r="AGI180" s="1"/>
      <c r="AGJ180" s="1"/>
      <c r="AGK180" s="1"/>
      <c r="AGL180" s="1"/>
      <c r="AGM180" s="1"/>
      <c r="AGN180" s="1"/>
      <c r="AGO180" s="1"/>
      <c r="AGP180" s="1"/>
      <c r="AGQ180" s="1"/>
      <c r="AGR180" s="1"/>
      <c r="AGS180" s="1"/>
      <c r="AGT180" s="1"/>
      <c r="AGU180" s="1"/>
      <c r="AGV180" s="1"/>
      <c r="AGW180" s="1"/>
      <c r="AGX180" s="1"/>
      <c r="AGY180" s="1"/>
      <c r="AGZ180" s="1"/>
      <c r="AHA180" s="1"/>
      <c r="AHB180" s="1"/>
      <c r="AHC180" s="1"/>
      <c r="AHD180" s="1"/>
      <c r="AHE180" s="1"/>
      <c r="AHF180" s="1"/>
      <c r="AHG180" s="1"/>
      <c r="AHH180" s="1"/>
      <c r="AHI180" s="1"/>
      <c r="AHJ180" s="1"/>
      <c r="AHK180" s="1"/>
      <c r="AHL180" s="1"/>
      <c r="AHM180" s="1"/>
      <c r="AHN180" s="1"/>
      <c r="AHO180" s="1"/>
      <c r="AHP180" s="1"/>
      <c r="AHQ180" s="1"/>
      <c r="AHR180" s="1"/>
      <c r="AHS180" s="1"/>
      <c r="AHT180" s="1"/>
      <c r="AHU180" s="1"/>
      <c r="AHV180" s="1"/>
      <c r="AHW180" s="1"/>
      <c r="AHX180" s="1"/>
      <c r="AHY180" s="1"/>
      <c r="AHZ180" s="1"/>
      <c r="AIA180" s="1"/>
      <c r="AIB180" s="1"/>
      <c r="AIC180" s="1"/>
      <c r="AID180" s="1"/>
      <c r="AIE180" s="1"/>
      <c r="AIF180" s="1"/>
      <c r="AIG180" s="1"/>
      <c r="AIH180" s="1"/>
      <c r="AII180" s="1"/>
      <c r="AIJ180" s="1"/>
      <c r="AIK180" s="1"/>
      <c r="AIL180" s="1"/>
      <c r="AIM180" s="1"/>
      <c r="AIN180" s="1"/>
      <c r="AIO180" s="1"/>
      <c r="AIP180" s="1"/>
      <c r="AIQ180" s="1"/>
      <c r="AIR180" s="1"/>
      <c r="AIS180" s="1"/>
      <c r="AIT180" s="1"/>
      <c r="AIU180" s="1"/>
      <c r="AIV180" s="1"/>
      <c r="AIW180" s="1"/>
      <c r="AIX180" s="1"/>
      <c r="AIY180" s="1"/>
      <c r="AIZ180" s="1"/>
      <c r="AJA180" s="1"/>
      <c r="AJB180" s="1"/>
      <c r="AJC180" s="1"/>
      <c r="AJD180" s="1"/>
      <c r="AJE180" s="1"/>
      <c r="AJF180" s="1"/>
      <c r="AJG180" s="1"/>
      <c r="AJH180" s="1"/>
      <c r="AJI180" s="1"/>
      <c r="AJJ180" s="1"/>
      <c r="AJK180" s="1"/>
      <c r="AJL180" s="1"/>
      <c r="AJM180" s="1"/>
      <c r="AJN180" s="1"/>
      <c r="AJO180" s="1"/>
      <c r="AJP180" s="1"/>
      <c r="AJQ180" s="1"/>
      <c r="AJR180" s="1"/>
      <c r="AJS180" s="1"/>
      <c r="AJT180" s="1"/>
      <c r="AJU180" s="1"/>
      <c r="AJV180" s="1"/>
      <c r="AJW180" s="1"/>
      <c r="AJX180" s="1"/>
      <c r="AJY180" s="1"/>
      <c r="AJZ180" s="1"/>
      <c r="AKA180" s="1"/>
      <c r="AKB180" s="1"/>
      <c r="AKC180" s="1"/>
      <c r="AKD180" s="1"/>
      <c r="AKE180" s="1"/>
      <c r="AKF180" s="1"/>
      <c r="AKG180" s="1"/>
      <c r="AKH180" s="1"/>
      <c r="AKI180" s="1"/>
      <c r="AKJ180" s="1"/>
      <c r="AKK180" s="1"/>
      <c r="AKL180" s="1"/>
      <c r="AKM180" s="1"/>
      <c r="AKN180" s="1"/>
      <c r="AKO180" s="1"/>
      <c r="AKP180" s="1"/>
      <c r="AKQ180" s="1"/>
      <c r="AKR180" s="1"/>
      <c r="AKS180" s="1"/>
      <c r="AKT180" s="1"/>
      <c r="AKU180" s="1"/>
      <c r="AKV180" s="1"/>
      <c r="AKW180" s="1"/>
      <c r="AKX180" s="1"/>
      <c r="AKY180" s="1"/>
      <c r="AKZ180" s="1"/>
      <c r="ALA180" s="1"/>
      <c r="ALB180" s="1"/>
      <c r="ALC180" s="1"/>
      <c r="ALD180" s="1"/>
      <c r="ALE180" s="1"/>
      <c r="ALF180" s="1"/>
      <c r="ALG180" s="1"/>
      <c r="ALH180" s="1"/>
      <c r="ALI180" s="1"/>
      <c r="ALJ180" s="1"/>
      <c r="ALK180" s="1"/>
      <c r="ALL180" s="1"/>
      <c r="ALM180" s="1"/>
      <c r="ALN180" s="1"/>
      <c r="ALO180" s="1"/>
      <c r="ALP180" s="1"/>
      <c r="ALQ180" s="1"/>
      <c r="ALR180" s="1"/>
      <c r="ALS180" s="1"/>
      <c r="ALT180" s="1"/>
      <c r="ALU180" s="1"/>
      <c r="ALV180" s="1"/>
      <c r="ALW180" s="1"/>
      <c r="ALX180" s="1"/>
      <c r="ALY180" s="1"/>
      <c r="ALZ180" s="1"/>
      <c r="AMA180" s="1"/>
      <c r="AMB180" s="1"/>
      <c r="AMC180" s="1"/>
      <c r="AMD180" s="1"/>
      <c r="AME180" s="1"/>
      <c r="AMF180" s="1"/>
      <c r="AMG180" s="1"/>
      <c r="AMH180" s="1"/>
      <c r="AMI180" s="1"/>
      <c r="AMJ180" s="1"/>
      <c r="AMK180" s="1"/>
      <c r="AML180" s="1"/>
      <c r="AMM180" s="1"/>
      <c r="AMN180" s="1"/>
      <c r="AMO180" s="1"/>
    </row>
    <row r="181" spans="1:1030" s="12" customFormat="1" x14ac:dyDescent="0.2">
      <c r="A181" s="9" t="str">
        <f>CONCATENATE(B181,"_",C181)</f>
        <v>npy1r_human__wt</v>
      </c>
      <c r="B181" s="9" t="s">
        <v>325</v>
      </c>
      <c r="C181" s="9" t="s">
        <v>100</v>
      </c>
      <c r="D181" s="9" t="str">
        <f>IFERROR(MID(VLOOKUP($B181,Seqs!$A:$B,2,0),E181,1),"")</f>
        <v>P</v>
      </c>
      <c r="E181" s="9">
        <v>36</v>
      </c>
      <c r="F181" s="9" t="str">
        <f>IFERROR(MID(VLOOKUP($B181,Seqs!$A:$B,2,0),G181,1),"")</f>
        <v>Q</v>
      </c>
      <c r="G181" s="9">
        <v>68</v>
      </c>
      <c r="H181" s="9" t="str">
        <f>IFERROR(MID(VLOOKUP($B181,Seqs!$A:$B,2,0),I181,1),"")</f>
        <v>K</v>
      </c>
      <c r="I181" s="109">
        <v>69</v>
      </c>
      <c r="J181" s="9" t="str">
        <f>IFERROR(MID(VLOOKUP($B181,Seqs!$A:$B,2,0),K181,1),"")</f>
        <v>R</v>
      </c>
      <c r="K181" s="109">
        <v>72</v>
      </c>
      <c r="L181" s="9" t="str">
        <f>IFERROR(MID(VLOOKUP($B181,Seqs!$A:$B,2,0),M181,1),"")</f>
        <v>N</v>
      </c>
      <c r="M181" s="9">
        <v>73</v>
      </c>
      <c r="N181" s="9" t="str">
        <f>IFERROR(MID(VLOOKUP($B181,Seqs!$A:$B,2,0),O181,1),"")</f>
        <v>D</v>
      </c>
      <c r="O181" s="9">
        <v>104</v>
      </c>
      <c r="P181" s="9" t="str">
        <f>IFERROR(MID(VLOOKUP($B181,Seqs!$A:$B,2,0),Q181,1),"")</f>
        <v>H</v>
      </c>
      <c r="Q181" s="9">
        <v>105</v>
      </c>
      <c r="R181" s="9" t="str">
        <f>IFERROR(MID(VLOOKUP($B181,Seqs!$A:$B,2,0),S181,1),"")</f>
        <v>F</v>
      </c>
      <c r="S181" s="9">
        <v>108</v>
      </c>
      <c r="T181" s="9" t="str">
        <f>IFERROR(MID(VLOOKUP($B181,Seqs!$A:$B,2,0),U181,1),"")</f>
        <v>G</v>
      </c>
      <c r="U181" s="9">
        <v>109</v>
      </c>
      <c r="V181" s="9" t="str">
        <f>IFERROR(MID(VLOOKUP($B181,Seqs!$A:$B,2,0),W181,1),"")</f>
        <v>N</v>
      </c>
      <c r="W181" s="9">
        <v>144</v>
      </c>
      <c r="X181" s="9" t="str">
        <f>IFERROR(MID(VLOOKUP($B181,Seqs!$A:$B,2,0),Y181,1),"")</f>
        <v/>
      </c>
      <c r="Y181" s="9" t="s">
        <v>23</v>
      </c>
      <c r="Z181" s="9" t="str">
        <f>IFERROR(MID(VLOOKUP($B181,Seqs!$A:$B,2,0),AA181,1),"")</f>
        <v/>
      </c>
      <c r="AA181" s="9" t="s">
        <v>23</v>
      </c>
      <c r="AB181" s="9" t="str">
        <f>IFERROR(MID(VLOOKUP($B181,Seqs!$A:$B,2,0),AC181,1),"")</f>
        <v>N</v>
      </c>
      <c r="AC181" s="9">
        <v>151</v>
      </c>
      <c r="AD181" s="9" t="str">
        <f>IFERROR(MID(VLOOKUP($B181,Seqs!$A:$B,2,0),AE181,1),"")</f>
        <v>Q</v>
      </c>
      <c r="AE181" s="9">
        <v>177</v>
      </c>
      <c r="AF181" s="9" t="str">
        <f>IFERROR(MID(VLOOKUP($B181,Seqs!$A:$B,2,0),AG181,1),"")</f>
        <v>C</v>
      </c>
      <c r="AG181" s="9">
        <v>198</v>
      </c>
      <c r="AH181" s="9" t="str">
        <f>IFERROR(MID(VLOOKUP($B181,Seqs!$A:$B,2,0),AI181,1),"")</f>
        <v>D</v>
      </c>
      <c r="AI181" s="9">
        <v>200</v>
      </c>
      <c r="AJ181" s="9" t="str">
        <f>IFERROR(MID(VLOOKUP($B181,Seqs!$A:$B,2,0),AK181,1),"")</f>
        <v>S</v>
      </c>
      <c r="AK181" s="9">
        <v>204</v>
      </c>
      <c r="AL181" s="9" t="str">
        <f>IFERROR(MID(VLOOKUP($B181,Seqs!$A:$B,2,0),AM181,1),"")</f>
        <v>M</v>
      </c>
      <c r="AM181" s="9">
        <v>245</v>
      </c>
      <c r="AN181" s="9" t="str">
        <f>IFERROR(MID(VLOOKUP($B181,Seqs!$A:$B,2,0),AO181,1),"")</f>
        <v>D</v>
      </c>
      <c r="AO181" s="9">
        <v>250</v>
      </c>
      <c r="AP181" s="9" t="str">
        <f>IFERROR(MID(VLOOKUP($B181,Seqs!$A:$B,2,0),AQ181,1),"")</f>
        <v>N</v>
      </c>
      <c r="AQ181" s="9">
        <v>289</v>
      </c>
      <c r="AR181" s="9" t="str">
        <f>IFERROR(MID(VLOOKUP($B181,Seqs!$A:$B,2,0),AS181,1),"")</f>
        <v>T</v>
      </c>
      <c r="AS181" s="9">
        <v>295</v>
      </c>
      <c r="AT181" s="9" t="str">
        <f>IFERROR(MID(VLOOKUP($B181,Seqs!$A:$B,2,0),AU181,1),"")</f>
        <v>L</v>
      </c>
      <c r="AU181" s="9">
        <v>323</v>
      </c>
      <c r="AV181" s="9" t="str">
        <f>IFERROR(MID(VLOOKUP($B181,Seqs!$A:$B,2,0),AW181,1),"")</f>
        <v>N</v>
      </c>
      <c r="AW181" s="9">
        <v>324</v>
      </c>
      <c r="AX181" s="9" t="str">
        <f>IFERROR(MID(VLOOKUP($B181,Seqs!$A:$B,2,0),AY181,1),"")</f>
        <v>F</v>
      </c>
      <c r="AY181" s="9">
        <v>335</v>
      </c>
      <c r="AZ181" s="110" t="str">
        <f>VLOOKUP(B181,Classification!A:D,2,0)</f>
        <v>A</v>
      </c>
      <c r="BA181" s="98" t="str">
        <f>VLOOKUP(B181,Classification!A:D,4,0)</f>
        <v>NeuropeptideY</v>
      </c>
      <c r="BB181" s="36" t="b">
        <f>AND(E181&lt;G181,OR(G181&lt;I181,I181="-"),OR(I181&lt;K181,I181="-"),OR(K181&lt;M181,K181="-"),M181&lt;O181,OR(O181&lt;Q181,Q181="-"),OR(Q181&lt;S181,Q181="-"),OR(S181&lt;U181,S181="-"),U181&lt;W181,OR(W181&lt;Y181,Y181="-"),OR(Y181&lt;AA181,Y181="-"),OR(AA181&lt;AC181,AA181="-"),AC181&lt;AE181,OR(AE181&lt;AG181,AG181="-"),OR(AG181&lt;AI181,AG181="-"),OR(AI181&lt;AK181,AI181="-"),AK181&lt;AM181,AM181&lt;AO181,AO181&lt;AQ181,AQ181&lt;AS181,AS181&lt;AU181,OR(AU181&lt;AW181,AW181="-"),OR(AW181&lt;AY181,AW181="-"))</f>
        <v>1</v>
      </c>
      <c r="BC181" s="109">
        <f>_xlfn.AGGREGATE(9,6,CH181:CS181)-_xlfn.AGGREGATE(9,6,BV181:CG181)+12</f>
        <v>263</v>
      </c>
      <c r="BD181" s="13" t="s">
        <v>23</v>
      </c>
      <c r="BE181" s="9" t="s">
        <v>1381</v>
      </c>
      <c r="BF181" s="120" t="s">
        <v>23</v>
      </c>
      <c r="BG181" s="51" t="s">
        <v>1384</v>
      </c>
      <c r="BH181" s="51" t="s">
        <v>1384</v>
      </c>
      <c r="BJ181" s="111" t="s">
        <v>1293</v>
      </c>
      <c r="BK181" s="112" t="s">
        <v>1293</v>
      </c>
      <c r="BL181" s="112" t="s">
        <v>1293</v>
      </c>
      <c r="BM181" s="112" t="s">
        <v>1293</v>
      </c>
      <c r="BN181" s="112" t="s">
        <v>1293</v>
      </c>
      <c r="BO181" s="112" t="s">
        <v>1293</v>
      </c>
      <c r="BP181" s="112" t="s">
        <v>1293</v>
      </c>
      <c r="BQ181" s="112" t="s">
        <v>1293</v>
      </c>
      <c r="BR181" s="112" t="s">
        <v>1293</v>
      </c>
      <c r="BS181" s="112" t="s">
        <v>1293</v>
      </c>
      <c r="BT181" s="112" t="s">
        <v>1293</v>
      </c>
      <c r="BU181" s="112" t="s">
        <v>1293</v>
      </c>
      <c r="BV181" s="111">
        <f>E181</f>
        <v>36</v>
      </c>
      <c r="BW181" s="113">
        <f>I181</f>
        <v>69</v>
      </c>
      <c r="BX181" s="114">
        <f>M181</f>
        <v>73</v>
      </c>
      <c r="BY181" s="113">
        <f>Q181</f>
        <v>105</v>
      </c>
      <c r="BZ181" s="114">
        <f>U181</f>
        <v>109</v>
      </c>
      <c r="CA181" s="113" t="str">
        <f>Y181</f>
        <v>-</v>
      </c>
      <c r="CB181" s="114">
        <f>AC181</f>
        <v>151</v>
      </c>
      <c r="CC181" s="113">
        <f>AG181</f>
        <v>198</v>
      </c>
      <c r="CD181" s="114">
        <f>AK181</f>
        <v>204</v>
      </c>
      <c r="CE181" s="113">
        <f>AO181</f>
        <v>250</v>
      </c>
      <c r="CF181" s="114">
        <f>AS181</f>
        <v>295</v>
      </c>
      <c r="CG181" s="113">
        <f>AW181</f>
        <v>324</v>
      </c>
      <c r="CH181" s="111">
        <f>G181</f>
        <v>68</v>
      </c>
      <c r="CI181" s="113">
        <f>K181</f>
        <v>72</v>
      </c>
      <c r="CJ181" s="114">
        <f>O181</f>
        <v>104</v>
      </c>
      <c r="CK181" s="114">
        <f>S181</f>
        <v>108</v>
      </c>
      <c r="CL181" s="114">
        <f>W181</f>
        <v>144</v>
      </c>
      <c r="CM181" s="114" t="str">
        <f>AA181</f>
        <v>-</v>
      </c>
      <c r="CN181" s="114">
        <f>AE181</f>
        <v>177</v>
      </c>
      <c r="CO181" s="114">
        <f>AI181</f>
        <v>200</v>
      </c>
      <c r="CP181" s="114">
        <f>AM181</f>
        <v>245</v>
      </c>
      <c r="CQ181" s="114">
        <f>AQ181</f>
        <v>289</v>
      </c>
      <c r="CR181" s="114">
        <f>AU181</f>
        <v>323</v>
      </c>
      <c r="CS181" s="114">
        <f>AY181</f>
        <v>335</v>
      </c>
      <c r="CT181" s="109">
        <f>M181-K181</f>
        <v>1</v>
      </c>
    </row>
    <row r="182" spans="1:1030" s="12" customFormat="1" x14ac:dyDescent="0.2">
      <c r="A182" s="9" t="str">
        <f>CONCATENATE(B182,"_",C182)</f>
        <v>npy1r_human_5ZBH</v>
      </c>
      <c r="B182" s="9" t="s">
        <v>325</v>
      </c>
      <c r="C182" s="9" t="s">
        <v>1504</v>
      </c>
      <c r="D182" s="9" t="str">
        <f>IFERROR(MID(VLOOKUP($B182,Seqs!$A:$B,2,0),E182,1),"")</f>
        <v>P</v>
      </c>
      <c r="E182" s="9">
        <v>36</v>
      </c>
      <c r="F182" s="9" t="str">
        <f>IFERROR(MID(VLOOKUP($B182,Seqs!$A:$B,2,0),G182,1),"")</f>
        <v>Q</v>
      </c>
      <c r="G182" s="9">
        <v>68</v>
      </c>
      <c r="H182" s="9" t="str">
        <f>IFERROR(MID(VLOOKUP($B182,Seqs!$A:$B,2,0),I182,1),"")</f>
        <v>K</v>
      </c>
      <c r="I182" s="109">
        <v>69</v>
      </c>
      <c r="J182" s="9" t="str">
        <f>IFERROR(MID(VLOOKUP($B182,Seqs!$A:$B,2,0),K182,1),"")</f>
        <v>R</v>
      </c>
      <c r="K182" s="109">
        <v>72</v>
      </c>
      <c r="L182" s="9" t="str">
        <f>IFERROR(MID(VLOOKUP($B182,Seqs!$A:$B,2,0),M182,1),"")</f>
        <v>N</v>
      </c>
      <c r="M182" s="9">
        <v>73</v>
      </c>
      <c r="N182" s="9" t="str">
        <f>IFERROR(MID(VLOOKUP($B182,Seqs!$A:$B,2,0),O182,1),"")</f>
        <v>M</v>
      </c>
      <c r="O182" s="9">
        <v>103</v>
      </c>
      <c r="P182" s="9" t="str">
        <f>IFERROR(MID(VLOOKUP($B182,Seqs!$A:$B,2,0),Q182,1),"")</f>
        <v>H</v>
      </c>
      <c r="Q182" s="9">
        <v>105</v>
      </c>
      <c r="R182" s="9" t="str">
        <f>IFERROR(MID(VLOOKUP($B182,Seqs!$A:$B,2,0),S182,1),"")</f>
        <v>F</v>
      </c>
      <c r="S182" s="9">
        <v>108</v>
      </c>
      <c r="T182" s="9" t="str">
        <f>IFERROR(MID(VLOOKUP($B182,Seqs!$A:$B,2,0),U182,1),"")</f>
        <v>G</v>
      </c>
      <c r="U182" s="9">
        <v>109</v>
      </c>
      <c r="V182" s="9" t="str">
        <f>IFERROR(MID(VLOOKUP($B182,Seqs!$A:$B,2,0),W182,1),"")</f>
        <v>N</v>
      </c>
      <c r="W182" s="9">
        <v>144</v>
      </c>
      <c r="X182" s="9" t="str">
        <f>IFERROR(MID(VLOOKUP($B182,Seqs!$A:$B,2,0),Y182,1),"")</f>
        <v/>
      </c>
      <c r="Y182" s="9" t="s">
        <v>23</v>
      </c>
      <c r="Z182" s="9" t="str">
        <f>IFERROR(MID(VLOOKUP($B182,Seqs!$A:$B,2,0),AA182,1),"")</f>
        <v/>
      </c>
      <c r="AA182" s="9" t="s">
        <v>23</v>
      </c>
      <c r="AB182" s="9" t="str">
        <f>IFERROR(MID(VLOOKUP($B182,Seqs!$A:$B,2,0),AC182,1),"")</f>
        <v>N</v>
      </c>
      <c r="AC182" s="9">
        <v>151</v>
      </c>
      <c r="AD182" s="9" t="str">
        <f>IFERROR(MID(VLOOKUP($B182,Seqs!$A:$B,2,0),AE182,1),"")</f>
        <v>Y</v>
      </c>
      <c r="AE182" s="9">
        <v>176</v>
      </c>
      <c r="AF182" s="9" t="str">
        <f>IFERROR(MID(VLOOKUP($B182,Seqs!$A:$B,2,0),AG182,1),"")</f>
        <v>C</v>
      </c>
      <c r="AG182" s="9">
        <v>198</v>
      </c>
      <c r="AH182" s="9" t="str">
        <f>IFERROR(MID(VLOOKUP($B182,Seqs!$A:$B,2,0),AI182,1),"")</f>
        <v>D</v>
      </c>
      <c r="AI182" s="9">
        <v>200</v>
      </c>
      <c r="AJ182" s="9" t="str">
        <f>IFERROR(MID(VLOOKUP($B182,Seqs!$A:$B,2,0),AK182,1),"")</f>
        <v>S</v>
      </c>
      <c r="AK182" s="9">
        <v>204</v>
      </c>
      <c r="AL182" s="9" t="str">
        <f>IFERROR(MID(VLOOKUP($B182,Seqs!$A:$B,2,0),AM182,1),"")</f>
        <v>R</v>
      </c>
      <c r="AM182" s="9">
        <v>241</v>
      </c>
      <c r="AN182" s="9" t="str">
        <f>IFERROR(MID(VLOOKUP($B182,Seqs!$A:$B,2,0),AO182,1),"")</f>
        <v>Y</v>
      </c>
      <c r="AO182" s="9">
        <v>253</v>
      </c>
      <c r="AP182" s="9" t="str">
        <f>IFERROR(MID(VLOOKUP($B182,Seqs!$A:$B,2,0),AQ182,1),"")</f>
        <v>N</v>
      </c>
      <c r="AQ182" s="9">
        <v>289</v>
      </c>
      <c r="AR182" s="9" t="str">
        <f>IFERROR(MID(VLOOKUP($B182,Seqs!$A:$B,2,0),AS182,1),"")</f>
        <v>T</v>
      </c>
      <c r="AS182" s="9">
        <v>295</v>
      </c>
      <c r="AT182" s="9" t="str">
        <f>IFERROR(MID(VLOOKUP($B182,Seqs!$A:$B,2,0),AU182,1),"")</f>
        <v>L</v>
      </c>
      <c r="AU182" s="9">
        <v>323</v>
      </c>
      <c r="AV182" s="9" t="str">
        <f>IFERROR(MID(VLOOKUP($B182,Seqs!$A:$B,2,0),AW182,1),"")</f>
        <v>N</v>
      </c>
      <c r="AW182" s="9">
        <v>324</v>
      </c>
      <c r="AX182" s="9" t="str">
        <f>IFERROR(MID(VLOOKUP($B182,Seqs!$A:$B,2,0),AY182,1),"")</f>
        <v>F</v>
      </c>
      <c r="AY182" s="9">
        <v>335</v>
      </c>
      <c r="AZ182" s="110" t="str">
        <f>VLOOKUP(B182,Classification!A:D,2,0)</f>
        <v>A</v>
      </c>
      <c r="BA182" s="98" t="str">
        <f>VLOOKUP(B182,Classification!A:D,4,0)</f>
        <v>NeuropeptideY</v>
      </c>
      <c r="BB182" s="36" t="b">
        <f>AND(E182&lt;G182,OR(G182&lt;I182,I182="-"),OR(I182&lt;K182,I182="-"),OR(K182&lt;M182,K182="-"),M182&lt;O182,OR(O182&lt;Q182,Q182="-"),OR(Q182&lt;S182,Q182="-"),OR(S182&lt;U182,S182="-"),U182&lt;W182,OR(W182&lt;Y182,Y182="-"),OR(Y182&lt;AA182,Y182="-"),OR(AA182&lt;AC182,AA182="-"),AC182&lt;AE182,OR(AE182&lt;AG182,AG182="-"),OR(AG182&lt;AI182,AG182="-"),OR(AI182&lt;AK182,AI182="-"),AK182&lt;AM182,AM182&lt;AO182,AO182&lt;AQ182,AQ182&lt;AS182,AS182&lt;AU182,OR(AU182&lt;AW182,AW182="-"),OR(AW182&lt;AY182,AW182="-"))</f>
        <v>1</v>
      </c>
      <c r="BC182" s="109">
        <f>_xlfn.AGGREGATE(9,6,CH182:CS182)-_xlfn.AGGREGATE(9,6,BV182:CG182)+12</f>
        <v>254</v>
      </c>
      <c r="BD182" s="13" t="s">
        <v>1383</v>
      </c>
      <c r="BE182" s="9" t="s">
        <v>1381</v>
      </c>
      <c r="BF182" s="120">
        <v>3</v>
      </c>
      <c r="BG182" s="51" t="s">
        <v>1</v>
      </c>
      <c r="BH182" s="51" t="s">
        <v>1</v>
      </c>
      <c r="BJ182" s="111" t="s">
        <v>1293</v>
      </c>
      <c r="BK182" s="112" t="s">
        <v>1293</v>
      </c>
      <c r="BL182" s="112" t="s">
        <v>1293</v>
      </c>
      <c r="BM182" s="112" t="s">
        <v>1293</v>
      </c>
      <c r="BN182" s="112" t="s">
        <v>1293</v>
      </c>
      <c r="BO182" s="112" t="s">
        <v>1293</v>
      </c>
      <c r="BP182" s="112" t="s">
        <v>1293</v>
      </c>
      <c r="BQ182" s="112" t="s">
        <v>1293</v>
      </c>
      <c r="BR182" s="112" t="s">
        <v>1293</v>
      </c>
      <c r="BS182" s="112" t="s">
        <v>1293</v>
      </c>
      <c r="BT182" s="112" t="s">
        <v>1293</v>
      </c>
      <c r="BU182" s="112" t="s">
        <v>1293</v>
      </c>
      <c r="BV182" s="111">
        <f>E182</f>
        <v>36</v>
      </c>
      <c r="BW182" s="113">
        <f>I182</f>
        <v>69</v>
      </c>
      <c r="BX182" s="114">
        <f>M182</f>
        <v>73</v>
      </c>
      <c r="BY182" s="113">
        <f>Q182</f>
        <v>105</v>
      </c>
      <c r="BZ182" s="114">
        <f>U182</f>
        <v>109</v>
      </c>
      <c r="CA182" s="113" t="str">
        <f>Y182</f>
        <v>-</v>
      </c>
      <c r="CB182" s="114">
        <f>AC182</f>
        <v>151</v>
      </c>
      <c r="CC182" s="113">
        <f>AG182</f>
        <v>198</v>
      </c>
      <c r="CD182" s="114">
        <f>AK182</f>
        <v>204</v>
      </c>
      <c r="CE182" s="113">
        <f>AO182</f>
        <v>253</v>
      </c>
      <c r="CF182" s="114">
        <f>AS182</f>
        <v>295</v>
      </c>
      <c r="CG182" s="113">
        <f>AW182</f>
        <v>324</v>
      </c>
      <c r="CH182" s="111">
        <f>G182</f>
        <v>68</v>
      </c>
      <c r="CI182" s="113">
        <f>K182</f>
        <v>72</v>
      </c>
      <c r="CJ182" s="114">
        <f>O182</f>
        <v>103</v>
      </c>
      <c r="CK182" s="114">
        <f>S182</f>
        <v>108</v>
      </c>
      <c r="CL182" s="114">
        <f>W182</f>
        <v>144</v>
      </c>
      <c r="CM182" s="114" t="str">
        <f>AA182</f>
        <v>-</v>
      </c>
      <c r="CN182" s="114">
        <f>AE182</f>
        <v>176</v>
      </c>
      <c r="CO182" s="114">
        <f>AI182</f>
        <v>200</v>
      </c>
      <c r="CP182" s="114">
        <f>AM182</f>
        <v>241</v>
      </c>
      <c r="CQ182" s="114">
        <f>AQ182</f>
        <v>289</v>
      </c>
      <c r="CR182" s="114">
        <f>AU182</f>
        <v>323</v>
      </c>
      <c r="CS182" s="114">
        <f>AY182</f>
        <v>335</v>
      </c>
      <c r="CT182" s="109">
        <f>M182-K182</f>
        <v>1</v>
      </c>
    </row>
    <row r="183" spans="1:1030" s="12" customFormat="1" x14ac:dyDescent="0.2">
      <c r="A183" s="9" t="str">
        <f>CONCATENATE(B183,"_",C183)</f>
        <v>npy1r_human_5ZBQ</v>
      </c>
      <c r="B183" s="9" t="s">
        <v>325</v>
      </c>
      <c r="C183" s="9" t="s">
        <v>1503</v>
      </c>
      <c r="D183" s="9" t="str">
        <f>IFERROR(MID(VLOOKUP($B183,Seqs!$A:$B,2,0),E183,1),"")</f>
        <v>P</v>
      </c>
      <c r="E183" s="9">
        <v>36</v>
      </c>
      <c r="F183" s="9" t="str">
        <f>IFERROR(MID(VLOOKUP($B183,Seqs!$A:$B,2,0),G183,1),"")</f>
        <v>Q</v>
      </c>
      <c r="G183" s="9">
        <v>68</v>
      </c>
      <c r="H183" s="9" t="str">
        <f>IFERROR(MID(VLOOKUP($B183,Seqs!$A:$B,2,0),I183,1),"")</f>
        <v/>
      </c>
      <c r="I183" s="109" t="s">
        <v>23</v>
      </c>
      <c r="J183" s="9" t="str">
        <f>IFERROR(MID(VLOOKUP($B183,Seqs!$A:$B,2,0),K183,1),"")</f>
        <v/>
      </c>
      <c r="K183" s="109" t="s">
        <v>23</v>
      </c>
      <c r="L183" s="9" t="str">
        <f>IFERROR(MID(VLOOKUP($B183,Seqs!$A:$B,2,0),M183,1),"")</f>
        <v>V</v>
      </c>
      <c r="M183" s="9">
        <v>74</v>
      </c>
      <c r="N183" s="9" t="str">
        <f>IFERROR(MID(VLOOKUP($B183,Seqs!$A:$B,2,0),O183,1),"")</f>
        <v>D</v>
      </c>
      <c r="O183" s="9">
        <v>104</v>
      </c>
      <c r="P183" s="9" t="str">
        <f>IFERROR(MID(VLOOKUP($B183,Seqs!$A:$B,2,0),Q183,1),"")</f>
        <v>W</v>
      </c>
      <c r="Q183" s="9">
        <v>106</v>
      </c>
      <c r="R183" s="9" t="str">
        <f>IFERROR(MID(VLOOKUP($B183,Seqs!$A:$B,2,0),S183,1),"")</f>
        <v>F</v>
      </c>
      <c r="S183" s="9">
        <v>108</v>
      </c>
      <c r="T183" s="9" t="str">
        <f>IFERROR(MID(VLOOKUP($B183,Seqs!$A:$B,2,0),U183,1),"")</f>
        <v>G</v>
      </c>
      <c r="U183" s="9">
        <v>109</v>
      </c>
      <c r="V183" s="9" t="str">
        <f>IFERROR(MID(VLOOKUP($B183,Seqs!$A:$B,2,0),W183,1),"")</f>
        <v>I</v>
      </c>
      <c r="W183" s="9">
        <v>143</v>
      </c>
      <c r="X183" s="9" t="str">
        <f>IFERROR(MID(VLOOKUP($B183,Seqs!$A:$B,2,0),Y183,1),"")</f>
        <v/>
      </c>
      <c r="Y183" s="9" t="s">
        <v>23</v>
      </c>
      <c r="Z183" s="9" t="str">
        <f>IFERROR(MID(VLOOKUP($B183,Seqs!$A:$B,2,0),AA183,1),"")</f>
        <v/>
      </c>
      <c r="AA183" s="9" t="s">
        <v>23</v>
      </c>
      <c r="AB183" s="9" t="str">
        <f>IFERROR(MID(VLOOKUP($B183,Seqs!$A:$B,2,0),AC183,1),"")</f>
        <v>N</v>
      </c>
      <c r="AC183" s="9">
        <v>151</v>
      </c>
      <c r="AD183" s="9" t="str">
        <f>IFERROR(MID(VLOOKUP($B183,Seqs!$A:$B,2,0),AE183,1),"")</f>
        <v>Q</v>
      </c>
      <c r="AE183" s="9">
        <v>177</v>
      </c>
      <c r="AF183" s="9" t="str">
        <f>IFERROR(MID(VLOOKUP($B183,Seqs!$A:$B,2,0),AG183,1),"")</f>
        <v>C</v>
      </c>
      <c r="AG183" s="9">
        <v>198</v>
      </c>
      <c r="AH183" s="9" t="str">
        <f>IFERROR(MID(VLOOKUP($B183,Seqs!$A:$B,2,0),AI183,1),"")</f>
        <v>D</v>
      </c>
      <c r="AI183" s="9">
        <v>200</v>
      </c>
      <c r="AJ183" s="9" t="str">
        <f>IFERROR(MID(VLOOKUP($B183,Seqs!$A:$B,2,0),AK183,1),"")</f>
        <v>S</v>
      </c>
      <c r="AK183" s="9">
        <v>204</v>
      </c>
      <c r="AL183" s="9" t="str">
        <f>IFERROR(MID(VLOOKUP($B183,Seqs!$A:$B,2,0),AM183,1),"")</f>
        <v>R</v>
      </c>
      <c r="AM183" s="9">
        <v>241</v>
      </c>
      <c r="AN183" s="9" t="str">
        <f>IFERROR(MID(VLOOKUP($B183,Seqs!$A:$B,2,0),AO183,1),"")</f>
        <v>T</v>
      </c>
      <c r="AO183" s="9">
        <v>258</v>
      </c>
      <c r="AP183" s="9" t="str">
        <f>IFERROR(MID(VLOOKUP($B183,Seqs!$A:$B,2,0),AQ183,1),"")</f>
        <v>N</v>
      </c>
      <c r="AQ183" s="9">
        <v>289</v>
      </c>
      <c r="AR183" s="9" t="str">
        <f>IFERROR(MID(VLOOKUP($B183,Seqs!$A:$B,2,0),AS183,1),"")</f>
        <v>T</v>
      </c>
      <c r="AS183" s="9">
        <v>295</v>
      </c>
      <c r="AT183" s="9" t="str">
        <f>IFERROR(MID(VLOOKUP($B183,Seqs!$A:$B,2,0),AU183,1),"")</f>
        <v>L</v>
      </c>
      <c r="AU183" s="9">
        <v>323</v>
      </c>
      <c r="AV183" s="9" t="str">
        <f>IFERROR(MID(VLOOKUP($B183,Seqs!$A:$B,2,0),AW183,1),"")</f>
        <v>N</v>
      </c>
      <c r="AW183" s="9">
        <v>324</v>
      </c>
      <c r="AX183" s="9" t="str">
        <f>IFERROR(MID(VLOOKUP($B183,Seqs!$A:$B,2,0),AY183,1),"")</f>
        <v>F</v>
      </c>
      <c r="AY183" s="9">
        <v>335</v>
      </c>
      <c r="AZ183" s="110" t="str">
        <f>VLOOKUP(B183,Classification!A:D,2,0)</f>
        <v>A</v>
      </c>
      <c r="BA183" s="98" t="str">
        <f>VLOOKUP(B183,Classification!A:D,4,0)</f>
        <v>NeuropeptideY</v>
      </c>
      <c r="BB183" s="36" t="b">
        <f>AND(E183&lt;G183,OR(G183&lt;I183,I183="-"),OR(I183&lt;K183,I183="-"),OR(K183&lt;M183,K183="-"),M183&lt;O183,OR(O183&lt;Q183,Q183="-"),OR(Q183&lt;S183,Q183="-"),OR(S183&lt;U183,S183="-"),U183&lt;W183,OR(W183&lt;Y183,Y183="-"),OR(Y183&lt;AA183,Y183="-"),OR(AA183&lt;AC183,AA183="-"),AC183&lt;AE183,OR(AE183&lt;AG183,AG183="-"),OR(AG183&lt;AI183,AG183="-"),OR(AI183&lt;AK183,AI183="-"),AK183&lt;AM183,AM183&lt;AO183,AO183&lt;AQ183,AQ183&lt;AS183,AS183&lt;AU183,OR(AU183&lt;AW183,AW183="-"),OR(AW183&lt;AY183,AW183="-"))</f>
        <v>1</v>
      </c>
      <c r="BC183" s="109">
        <f>_xlfn.AGGREGATE(9,6,CH183:CS183)-_xlfn.AGGREGATE(9,6,BV183:CG183)+12</f>
        <v>245</v>
      </c>
      <c r="BD183" s="13" t="s">
        <v>23</v>
      </c>
      <c r="BE183" s="9" t="s">
        <v>1381</v>
      </c>
      <c r="BF183" s="120">
        <v>2.7</v>
      </c>
      <c r="BG183" s="51" t="s">
        <v>1</v>
      </c>
      <c r="BH183" s="51" t="s">
        <v>1</v>
      </c>
      <c r="BJ183" s="111" t="s">
        <v>1293</v>
      </c>
      <c r="BK183" s="112" t="s">
        <v>1293</v>
      </c>
      <c r="BL183" s="112" t="s">
        <v>1293</v>
      </c>
      <c r="BM183" s="112" t="s">
        <v>1293</v>
      </c>
      <c r="BN183" s="112" t="s">
        <v>1293</v>
      </c>
      <c r="BO183" s="112" t="s">
        <v>1293</v>
      </c>
      <c r="BP183" s="112" t="s">
        <v>1293</v>
      </c>
      <c r="BQ183" s="112" t="s">
        <v>1293</v>
      </c>
      <c r="BR183" s="112" t="s">
        <v>1293</v>
      </c>
      <c r="BS183" s="112" t="s">
        <v>1293</v>
      </c>
      <c r="BT183" s="112" t="s">
        <v>1293</v>
      </c>
      <c r="BU183" s="112" t="s">
        <v>1293</v>
      </c>
      <c r="BV183" s="111">
        <f>E183</f>
        <v>36</v>
      </c>
      <c r="BW183" s="113" t="str">
        <f>I183</f>
        <v>-</v>
      </c>
      <c r="BX183" s="114">
        <f>M183</f>
        <v>74</v>
      </c>
      <c r="BY183" s="113">
        <f>Q183</f>
        <v>106</v>
      </c>
      <c r="BZ183" s="114">
        <f>U183</f>
        <v>109</v>
      </c>
      <c r="CA183" s="113" t="str">
        <f>Y183</f>
        <v>-</v>
      </c>
      <c r="CB183" s="114">
        <f>AC183</f>
        <v>151</v>
      </c>
      <c r="CC183" s="113">
        <f>AG183</f>
        <v>198</v>
      </c>
      <c r="CD183" s="114">
        <f>AK183</f>
        <v>204</v>
      </c>
      <c r="CE183" s="113">
        <f>AO183</f>
        <v>258</v>
      </c>
      <c r="CF183" s="114">
        <f>AS183</f>
        <v>295</v>
      </c>
      <c r="CG183" s="113">
        <f>AW183</f>
        <v>324</v>
      </c>
      <c r="CH183" s="111">
        <f>G183</f>
        <v>68</v>
      </c>
      <c r="CI183" s="113" t="str">
        <f>K183</f>
        <v>-</v>
      </c>
      <c r="CJ183" s="114">
        <f>O183</f>
        <v>104</v>
      </c>
      <c r="CK183" s="114">
        <f>S183</f>
        <v>108</v>
      </c>
      <c r="CL183" s="114">
        <f>W183</f>
        <v>143</v>
      </c>
      <c r="CM183" s="114" t="str">
        <f>AA183</f>
        <v>-</v>
      </c>
      <c r="CN183" s="114">
        <f>AE183</f>
        <v>177</v>
      </c>
      <c r="CO183" s="114">
        <f>AI183</f>
        <v>200</v>
      </c>
      <c r="CP183" s="114">
        <f>AM183</f>
        <v>241</v>
      </c>
      <c r="CQ183" s="114">
        <f>AQ183</f>
        <v>289</v>
      </c>
      <c r="CR183" s="114">
        <f>AU183</f>
        <v>323</v>
      </c>
      <c r="CS183" s="114">
        <f>AY183</f>
        <v>335</v>
      </c>
      <c r="CT183" s="109" t="e">
        <f>M183-K183</f>
        <v>#VALUE!</v>
      </c>
    </row>
    <row r="184" spans="1:1030" x14ac:dyDescent="0.2">
      <c r="A184" s="3" t="str">
        <f t="shared" si="669"/>
        <v>ntr1_rat__wt</v>
      </c>
      <c r="B184" s="3" t="s">
        <v>914</v>
      </c>
      <c r="C184" s="3" t="s">
        <v>100</v>
      </c>
      <c r="D184" s="3" t="str">
        <f>IFERROR(MID(VLOOKUP($B184,Seqs!$A:$B,2,0),E184,1),"")</f>
        <v>I</v>
      </c>
      <c r="E184" s="3">
        <v>61</v>
      </c>
      <c r="F184" s="3" t="str">
        <f>IFERROR(MID(VLOOKUP($B184,Seqs!$A:$B,2,0),G184,1),"")</f>
        <v>K</v>
      </c>
      <c r="G184" s="3">
        <v>92</v>
      </c>
      <c r="H184" s="3" t="str">
        <f>IFERROR(MID(VLOOKUP($B184,Seqs!$A:$B,2,0),I184,1),"")</f>
        <v>K</v>
      </c>
      <c r="I184" s="23">
        <v>93</v>
      </c>
      <c r="J184" s="3" t="str">
        <f>IFERROR(MID(VLOOKUP($B184,Seqs!$A:$B,2,0),K184,1),"")</f>
        <v>Q</v>
      </c>
      <c r="K184" s="23">
        <v>96</v>
      </c>
      <c r="L184" s="3" t="str">
        <f>IFERROR(MID(VLOOKUP($B184,Seqs!$A:$B,2,0),M184,1),"")</f>
        <v>S</v>
      </c>
      <c r="M184" s="3">
        <v>97</v>
      </c>
      <c r="N184" s="3" t="str">
        <f>IFERROR(MID(VLOOKUP($B184,Seqs!$A:$B,2,0),O184,1),"")</f>
        <v>V</v>
      </c>
      <c r="O184" s="3">
        <v>131</v>
      </c>
      <c r="P184" s="3" t="str">
        <f>IFERROR(MID(VLOOKUP($B184,Seqs!$A:$B,2,0),Q184,1),"")</f>
        <v>P</v>
      </c>
      <c r="Q184" s="3">
        <v>134</v>
      </c>
      <c r="R184" s="3" t="str">
        <f>IFERROR(MID(VLOOKUP($B184,Seqs!$A:$B,2,0),S184,1),"")</f>
        <v>F</v>
      </c>
      <c r="S184" s="3">
        <v>137</v>
      </c>
      <c r="T184" s="3" t="str">
        <f>IFERROR(MID(VLOOKUP($B184,Seqs!$A:$B,2,0),U184,1),"")</f>
        <v>G</v>
      </c>
      <c r="U184" s="3">
        <v>138</v>
      </c>
      <c r="V184" s="3" t="str">
        <f>IFERROR(MID(VLOOKUP($B184,Seqs!$A:$B,2,0),W184,1),"")</f>
        <v>H</v>
      </c>
      <c r="W184" s="3">
        <v>173</v>
      </c>
      <c r="X184" s="3" t="str">
        <f>IFERROR(MID(VLOOKUP($B184,Seqs!$A:$B,2,0),Y184,1),"")</f>
        <v>P</v>
      </c>
      <c r="Y184" s="3">
        <v>174</v>
      </c>
      <c r="Z184" s="3" t="str">
        <f>IFERROR(MID(VLOOKUP($B184,Seqs!$A:$B,2,0),AA184,1),"")</f>
        <v>M</v>
      </c>
      <c r="AA184" s="3">
        <v>181</v>
      </c>
      <c r="AB184" s="3" t="str">
        <f>IFERROR(MID(VLOOKUP($B184,Seqs!$A:$B,2,0),AC184,1),"")</f>
        <v>S</v>
      </c>
      <c r="AC184" s="9">
        <v>182</v>
      </c>
      <c r="AD184" s="3" t="str">
        <f>IFERROR(MID(VLOOKUP($B184,Seqs!$A:$B,2,0),AE184,1),"")</f>
        <v>M</v>
      </c>
      <c r="AE184" s="3">
        <v>208</v>
      </c>
      <c r="AF184" s="3" t="str">
        <f>IFERROR(MID(VLOOKUP($B184,Seqs!$A:$B,2,0),AG184,1),"")</f>
        <v>C</v>
      </c>
      <c r="AG184" s="3">
        <v>225</v>
      </c>
      <c r="AH184" s="3" t="str">
        <f>IFERROR(MID(VLOOKUP($B184,Seqs!$A:$B,2,0),AI184,1),"")</f>
        <v>P</v>
      </c>
      <c r="AI184" s="3">
        <v>227</v>
      </c>
      <c r="AJ184" s="3" t="str">
        <f>IFERROR(MID(VLOOKUP($B184,Seqs!$A:$B,2,0),AK184,1),"")</f>
        <v>T</v>
      </c>
      <c r="AK184" s="3">
        <v>231</v>
      </c>
      <c r="AL184" s="3" t="str">
        <f>IFERROR(MID(VLOOKUP($B184,Seqs!$A:$B,2,0),AM184,1),"")</f>
        <v>G</v>
      </c>
      <c r="AM184" s="3">
        <v>275</v>
      </c>
      <c r="AN184" s="3" t="str">
        <f>IFERROR(MID(VLOOKUP($B184,Seqs!$A:$B,2,0),AO184,1),"")</f>
        <v>P</v>
      </c>
      <c r="AO184" s="3">
        <v>297</v>
      </c>
      <c r="AP184" s="3" t="str">
        <f>IFERROR(MID(VLOOKUP($B184,Seqs!$A:$B,2,0),AQ184,1),"")</f>
        <v>I</v>
      </c>
      <c r="AQ184" s="3">
        <v>334</v>
      </c>
      <c r="AR184" s="3" t="str">
        <f>IFERROR(MID(VLOOKUP($B184,Seqs!$A:$B,2,0),AS184,1),"")</f>
        <v>T</v>
      </c>
      <c r="AS184" s="3">
        <v>340</v>
      </c>
      <c r="AT184" s="3" t="str">
        <f>IFERROR(MID(VLOOKUP($B184,Seqs!$A:$B,2,0),AU184,1),"")</f>
        <v>V</v>
      </c>
      <c r="AU184" s="3">
        <v>372</v>
      </c>
      <c r="AV184" s="3" t="str">
        <f>IFERROR(MID(VLOOKUP($B184,Seqs!$A:$B,2,0),AW184,1),"")</f>
        <v>S</v>
      </c>
      <c r="AW184" s="3">
        <v>373</v>
      </c>
      <c r="AX184" s="3" t="str">
        <f>IFERROR(MID(VLOOKUP($B184,Seqs!$A:$B,2,0),AY184,1),"")</f>
        <v>L</v>
      </c>
      <c r="AY184" s="3">
        <v>384</v>
      </c>
      <c r="AZ184" s="77" t="str">
        <f>VLOOKUP(B184,Classification!A:D,2,0)</f>
        <v>A</v>
      </c>
      <c r="BA184" s="94" t="str">
        <f>VLOOKUP(B184,Classification!A:D,4,0)</f>
        <v>Neurotensin</v>
      </c>
      <c r="BB184" s="27" t="b">
        <f t="shared" si="670"/>
        <v>1</v>
      </c>
      <c r="BC184" s="23">
        <f t="shared" si="643"/>
        <v>277</v>
      </c>
      <c r="BD184" s="56" t="s">
        <v>1379</v>
      </c>
      <c r="BE184" s="3" t="s">
        <v>23</v>
      </c>
      <c r="BF184" s="119" t="s">
        <v>23</v>
      </c>
      <c r="BG184" s="49" t="s">
        <v>1379</v>
      </c>
      <c r="BH184" s="49" t="s">
        <v>1384</v>
      </c>
      <c r="BI184" s="3" t="s">
        <v>1170</v>
      </c>
      <c r="BJ184" s="70" t="s">
        <v>1293</v>
      </c>
      <c r="BK184" s="57" t="s">
        <v>1293</v>
      </c>
      <c r="BL184" s="57" t="s">
        <v>1293</v>
      </c>
      <c r="BM184" s="57" t="s">
        <v>1293</v>
      </c>
      <c r="BN184" s="57" t="s">
        <v>1293</v>
      </c>
      <c r="BO184" s="57" t="s">
        <v>1293</v>
      </c>
      <c r="BP184" s="57" t="s">
        <v>1293</v>
      </c>
      <c r="BQ184" s="57" t="s">
        <v>1293</v>
      </c>
      <c r="BR184" s="57" t="s">
        <v>1293</v>
      </c>
      <c r="BS184" s="57" t="s">
        <v>1293</v>
      </c>
      <c r="BT184" s="57" t="s">
        <v>1293</v>
      </c>
      <c r="BU184" s="57" t="s">
        <v>1293</v>
      </c>
      <c r="BV184" s="70">
        <f t="shared" si="644"/>
        <v>61</v>
      </c>
      <c r="BW184" s="71">
        <f t="shared" si="645"/>
        <v>93</v>
      </c>
      <c r="BX184" s="72">
        <f t="shared" si="646"/>
        <v>97</v>
      </c>
      <c r="BY184" s="71">
        <f t="shared" si="647"/>
        <v>134</v>
      </c>
      <c r="BZ184" s="72">
        <f t="shared" si="648"/>
        <v>138</v>
      </c>
      <c r="CA184" s="71">
        <f t="shared" si="649"/>
        <v>174</v>
      </c>
      <c r="CB184" s="72">
        <f t="shared" si="650"/>
        <v>182</v>
      </c>
      <c r="CC184" s="71">
        <f t="shared" si="651"/>
        <v>225</v>
      </c>
      <c r="CD184" s="72">
        <f t="shared" si="652"/>
        <v>231</v>
      </c>
      <c r="CE184" s="71">
        <f t="shared" si="653"/>
        <v>297</v>
      </c>
      <c r="CF184" s="72">
        <f t="shared" si="654"/>
        <v>340</v>
      </c>
      <c r="CG184" s="71">
        <f t="shared" si="655"/>
        <v>373</v>
      </c>
      <c r="CH184" s="70">
        <f t="shared" si="656"/>
        <v>92</v>
      </c>
      <c r="CI184" s="71">
        <f t="shared" si="657"/>
        <v>96</v>
      </c>
      <c r="CJ184" s="72">
        <f t="shared" si="658"/>
        <v>131</v>
      </c>
      <c r="CK184" s="72">
        <f t="shared" si="659"/>
        <v>137</v>
      </c>
      <c r="CL184" s="72">
        <f t="shared" si="660"/>
        <v>173</v>
      </c>
      <c r="CM184" s="72">
        <f t="shared" si="661"/>
        <v>181</v>
      </c>
      <c r="CN184" s="72">
        <f t="shared" si="662"/>
        <v>208</v>
      </c>
      <c r="CO184" s="72">
        <f t="shared" si="663"/>
        <v>227</v>
      </c>
      <c r="CP184" s="72">
        <f t="shared" si="664"/>
        <v>275</v>
      </c>
      <c r="CQ184" s="72">
        <f t="shared" si="665"/>
        <v>334</v>
      </c>
      <c r="CR184" s="72">
        <f t="shared" si="666"/>
        <v>372</v>
      </c>
      <c r="CS184" s="72">
        <f t="shared" si="667"/>
        <v>384</v>
      </c>
      <c r="CT184" s="23">
        <f t="shared" si="668"/>
        <v>1</v>
      </c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  <c r="OK184" s="1"/>
      <c r="OL184" s="1"/>
      <c r="OM184" s="1"/>
      <c r="ON184" s="1"/>
      <c r="OO184" s="1"/>
      <c r="OP184" s="1"/>
      <c r="OQ184" s="1"/>
      <c r="OR184" s="1"/>
      <c r="OS184" s="1"/>
      <c r="OT184" s="1"/>
      <c r="OU184" s="1"/>
      <c r="OV184" s="1"/>
      <c r="OW184" s="1"/>
      <c r="OX184" s="1"/>
      <c r="OY184" s="1"/>
      <c r="OZ184" s="1"/>
      <c r="PA184" s="1"/>
      <c r="PB184" s="1"/>
      <c r="PC184" s="1"/>
      <c r="PD184" s="1"/>
      <c r="PE184" s="1"/>
      <c r="PF184" s="1"/>
      <c r="PG184" s="1"/>
      <c r="PH184" s="1"/>
      <c r="PI184" s="1"/>
      <c r="PJ184" s="1"/>
      <c r="PK184" s="1"/>
      <c r="PL184" s="1"/>
      <c r="PM184" s="1"/>
      <c r="PN184" s="1"/>
      <c r="PO184" s="1"/>
      <c r="PP184" s="1"/>
      <c r="PQ184" s="1"/>
      <c r="PR184" s="1"/>
      <c r="PS184" s="1"/>
      <c r="PT184" s="1"/>
      <c r="PU184" s="1"/>
      <c r="PV184" s="1"/>
      <c r="PW184" s="1"/>
      <c r="PX184" s="1"/>
      <c r="PY184" s="1"/>
      <c r="PZ184" s="1"/>
      <c r="QA184" s="1"/>
      <c r="QB184" s="1"/>
      <c r="QC184" s="1"/>
      <c r="QD184" s="1"/>
      <c r="QE184" s="1"/>
      <c r="QF184" s="1"/>
      <c r="QG184" s="1"/>
      <c r="QH184" s="1"/>
      <c r="QI184" s="1"/>
      <c r="QJ184" s="1"/>
      <c r="QK184" s="1"/>
      <c r="QL184" s="1"/>
      <c r="QM184" s="1"/>
      <c r="QN184" s="1"/>
      <c r="QO184" s="1"/>
      <c r="QP184" s="1"/>
      <c r="QQ184" s="1"/>
      <c r="QR184" s="1"/>
      <c r="QS184" s="1"/>
      <c r="QT184" s="1"/>
      <c r="QU184" s="1"/>
      <c r="QV184" s="1"/>
      <c r="QW184" s="1"/>
      <c r="QX184" s="1"/>
      <c r="QY184" s="1"/>
      <c r="QZ184" s="1"/>
      <c r="RA184" s="1"/>
      <c r="RB184" s="1"/>
      <c r="RC184" s="1"/>
      <c r="RD184" s="1"/>
      <c r="RE184" s="1"/>
      <c r="RF184" s="1"/>
      <c r="RG184" s="1"/>
      <c r="RH184" s="1"/>
      <c r="RI184" s="1"/>
      <c r="RJ184" s="1"/>
      <c r="RK184" s="1"/>
      <c r="RL184" s="1"/>
      <c r="RM184" s="1"/>
      <c r="RN184" s="1"/>
      <c r="RO184" s="1"/>
      <c r="RP184" s="1"/>
      <c r="RQ184" s="1"/>
      <c r="RR184" s="1"/>
      <c r="RS184" s="1"/>
      <c r="RT184" s="1"/>
      <c r="RU184" s="1"/>
      <c r="RV184" s="1"/>
      <c r="RW184" s="1"/>
      <c r="RX184" s="1"/>
      <c r="RY184" s="1"/>
      <c r="RZ184" s="1"/>
      <c r="SA184" s="1"/>
      <c r="SB184" s="1"/>
      <c r="SC184" s="1"/>
      <c r="SD184" s="1"/>
      <c r="SE184" s="1"/>
      <c r="SF184" s="1"/>
      <c r="SG184" s="1"/>
      <c r="SH184" s="1"/>
      <c r="SI184" s="1"/>
      <c r="SJ184" s="1"/>
      <c r="SK184" s="1"/>
      <c r="SL184" s="1"/>
      <c r="SM184" s="1"/>
      <c r="SN184" s="1"/>
      <c r="SO184" s="1"/>
      <c r="SP184" s="1"/>
      <c r="SQ184" s="1"/>
      <c r="SR184" s="1"/>
      <c r="SS184" s="1"/>
      <c r="ST184" s="1"/>
      <c r="SU184" s="1"/>
      <c r="SV184" s="1"/>
      <c r="SW184" s="1"/>
      <c r="SX184" s="1"/>
      <c r="SY184" s="1"/>
      <c r="SZ184" s="1"/>
      <c r="TA184" s="1"/>
      <c r="TB184" s="1"/>
      <c r="TC184" s="1"/>
      <c r="TD184" s="1"/>
      <c r="TE184" s="1"/>
      <c r="TF184" s="1"/>
      <c r="TG184" s="1"/>
      <c r="TH184" s="1"/>
      <c r="TI184" s="1"/>
      <c r="TJ184" s="1"/>
      <c r="TK184" s="1"/>
      <c r="TL184" s="1"/>
      <c r="TM184" s="1"/>
      <c r="TN184" s="1"/>
      <c r="TO184" s="1"/>
      <c r="TP184" s="1"/>
      <c r="TQ184" s="1"/>
      <c r="TR184" s="1"/>
      <c r="TS184" s="1"/>
      <c r="TT184" s="1"/>
      <c r="TU184" s="1"/>
      <c r="TV184" s="1"/>
      <c r="TW184" s="1"/>
      <c r="TX184" s="1"/>
      <c r="TY184" s="1"/>
      <c r="TZ184" s="1"/>
      <c r="UA184" s="1"/>
      <c r="UB184" s="1"/>
      <c r="UC184" s="1"/>
      <c r="UD184" s="1"/>
      <c r="UE184" s="1"/>
      <c r="UF184" s="1"/>
      <c r="UG184" s="1"/>
      <c r="UH184" s="1"/>
      <c r="UI184" s="1"/>
      <c r="UJ184" s="1"/>
      <c r="UK184" s="1"/>
      <c r="UL184" s="1"/>
      <c r="UM184" s="1"/>
      <c r="UN184" s="1"/>
      <c r="UO184" s="1"/>
      <c r="UP184" s="1"/>
      <c r="UQ184" s="1"/>
      <c r="UR184" s="1"/>
      <c r="US184" s="1"/>
      <c r="UT184" s="1"/>
      <c r="UU184" s="1"/>
      <c r="UV184" s="1"/>
      <c r="UW184" s="1"/>
      <c r="UX184" s="1"/>
      <c r="UY184" s="1"/>
      <c r="UZ184" s="1"/>
      <c r="VA184" s="1"/>
      <c r="VB184" s="1"/>
      <c r="VC184" s="1"/>
      <c r="VD184" s="1"/>
      <c r="VE184" s="1"/>
      <c r="VF184" s="1"/>
      <c r="VG184" s="1"/>
      <c r="VH184" s="1"/>
      <c r="VI184" s="1"/>
      <c r="VJ184" s="1"/>
      <c r="VK184" s="1"/>
      <c r="VL184" s="1"/>
      <c r="VM184" s="1"/>
      <c r="VN184" s="1"/>
      <c r="VO184" s="1"/>
      <c r="VP184" s="1"/>
      <c r="VQ184" s="1"/>
      <c r="VR184" s="1"/>
      <c r="VS184" s="1"/>
      <c r="VT184" s="1"/>
      <c r="VU184" s="1"/>
      <c r="VV184" s="1"/>
      <c r="VW184" s="1"/>
      <c r="VX184" s="1"/>
      <c r="VY184" s="1"/>
      <c r="VZ184" s="1"/>
      <c r="WA184" s="1"/>
      <c r="WB184" s="1"/>
      <c r="WC184" s="1"/>
      <c r="WD184" s="1"/>
      <c r="WE184" s="1"/>
      <c r="WF184" s="1"/>
      <c r="WG184" s="1"/>
      <c r="WH184" s="1"/>
      <c r="WI184" s="1"/>
      <c r="WJ184" s="1"/>
      <c r="WK184" s="1"/>
      <c r="WL184" s="1"/>
      <c r="WM184" s="1"/>
      <c r="WN184" s="1"/>
      <c r="WO184" s="1"/>
      <c r="WP184" s="1"/>
      <c r="WQ184" s="1"/>
      <c r="WR184" s="1"/>
      <c r="WS184" s="1"/>
      <c r="WT184" s="1"/>
      <c r="WU184" s="1"/>
      <c r="WV184" s="1"/>
      <c r="WW184" s="1"/>
      <c r="WX184" s="1"/>
      <c r="WY184" s="1"/>
      <c r="WZ184" s="1"/>
      <c r="XA184" s="1"/>
      <c r="XB184" s="1"/>
      <c r="XC184" s="1"/>
      <c r="XD184" s="1"/>
      <c r="XE184" s="1"/>
      <c r="XF184" s="1"/>
      <c r="XG184" s="1"/>
      <c r="XH184" s="1"/>
      <c r="XI184" s="1"/>
      <c r="XJ184" s="1"/>
      <c r="XK184" s="1"/>
      <c r="XL184" s="1"/>
      <c r="XM184" s="1"/>
      <c r="XN184" s="1"/>
      <c r="XO184" s="1"/>
      <c r="XP184" s="1"/>
      <c r="XQ184" s="1"/>
      <c r="XR184" s="1"/>
      <c r="XS184" s="1"/>
      <c r="XT184" s="1"/>
      <c r="XU184" s="1"/>
      <c r="XV184" s="1"/>
      <c r="XW184" s="1"/>
      <c r="XX184" s="1"/>
      <c r="XY184" s="1"/>
      <c r="XZ184" s="1"/>
      <c r="YA184" s="1"/>
      <c r="YB184" s="1"/>
      <c r="YC184" s="1"/>
      <c r="YD184" s="1"/>
      <c r="YE184" s="1"/>
      <c r="YF184" s="1"/>
      <c r="YG184" s="1"/>
      <c r="YH184" s="1"/>
      <c r="YI184" s="1"/>
      <c r="YJ184" s="1"/>
      <c r="YK184" s="1"/>
      <c r="YL184" s="1"/>
      <c r="YM184" s="1"/>
      <c r="YN184" s="1"/>
      <c r="YO184" s="1"/>
      <c r="YP184" s="1"/>
      <c r="YQ184" s="1"/>
      <c r="YR184" s="1"/>
      <c r="YS184" s="1"/>
      <c r="YT184" s="1"/>
      <c r="YU184" s="1"/>
      <c r="YV184" s="1"/>
      <c r="YW184" s="1"/>
      <c r="YX184" s="1"/>
      <c r="YY184" s="1"/>
      <c r="YZ184" s="1"/>
      <c r="ZA184" s="1"/>
      <c r="ZB184" s="1"/>
      <c r="ZC184" s="1"/>
      <c r="ZD184" s="1"/>
      <c r="ZE184" s="1"/>
      <c r="ZF184" s="1"/>
      <c r="ZG184" s="1"/>
      <c r="ZH184" s="1"/>
      <c r="ZI184" s="1"/>
      <c r="ZJ184" s="1"/>
      <c r="ZK184" s="1"/>
      <c r="ZL184" s="1"/>
      <c r="ZM184" s="1"/>
      <c r="ZN184" s="1"/>
      <c r="ZO184" s="1"/>
      <c r="ZP184" s="1"/>
      <c r="ZQ184" s="1"/>
      <c r="ZR184" s="1"/>
      <c r="ZS184" s="1"/>
      <c r="ZT184" s="1"/>
      <c r="ZU184" s="1"/>
      <c r="ZV184" s="1"/>
      <c r="ZW184" s="1"/>
      <c r="ZX184" s="1"/>
      <c r="ZY184" s="1"/>
      <c r="ZZ184" s="1"/>
      <c r="AAA184" s="1"/>
      <c r="AAB184" s="1"/>
      <c r="AAC184" s="1"/>
      <c r="AAD184" s="1"/>
      <c r="AAE184" s="1"/>
      <c r="AAF184" s="1"/>
      <c r="AAG184" s="1"/>
      <c r="AAH184" s="1"/>
      <c r="AAI184" s="1"/>
      <c r="AAJ184" s="1"/>
      <c r="AAK184" s="1"/>
      <c r="AAL184" s="1"/>
      <c r="AAM184" s="1"/>
      <c r="AAN184" s="1"/>
      <c r="AAO184" s="1"/>
      <c r="AAP184" s="1"/>
      <c r="AAQ184" s="1"/>
      <c r="AAR184" s="1"/>
      <c r="AAS184" s="1"/>
      <c r="AAT184" s="1"/>
      <c r="AAU184" s="1"/>
      <c r="AAV184" s="1"/>
      <c r="AAW184" s="1"/>
      <c r="AAX184" s="1"/>
      <c r="AAY184" s="1"/>
      <c r="AAZ184" s="1"/>
      <c r="ABA184" s="1"/>
      <c r="ABB184" s="1"/>
      <c r="ABC184" s="1"/>
      <c r="ABD184" s="1"/>
      <c r="ABE184" s="1"/>
      <c r="ABF184" s="1"/>
      <c r="ABG184" s="1"/>
      <c r="ABH184" s="1"/>
      <c r="ABI184" s="1"/>
      <c r="ABJ184" s="1"/>
      <c r="ABK184" s="1"/>
      <c r="ABL184" s="1"/>
      <c r="ABM184" s="1"/>
      <c r="ABN184" s="1"/>
      <c r="ABO184" s="1"/>
      <c r="ABP184" s="1"/>
      <c r="ABQ184" s="1"/>
      <c r="ABR184" s="1"/>
      <c r="ABS184" s="1"/>
      <c r="ABT184" s="1"/>
      <c r="ABU184" s="1"/>
      <c r="ABV184" s="1"/>
      <c r="ABW184" s="1"/>
      <c r="ABX184" s="1"/>
      <c r="ABY184" s="1"/>
      <c r="ABZ184" s="1"/>
      <c r="ACA184" s="1"/>
      <c r="ACB184" s="1"/>
      <c r="ACC184" s="1"/>
      <c r="ACD184" s="1"/>
      <c r="ACE184" s="1"/>
      <c r="ACF184" s="1"/>
      <c r="ACG184" s="1"/>
      <c r="ACH184" s="1"/>
      <c r="ACI184" s="1"/>
      <c r="ACJ184" s="1"/>
      <c r="ACK184" s="1"/>
      <c r="ACL184" s="1"/>
      <c r="ACM184" s="1"/>
      <c r="ACN184" s="1"/>
      <c r="ACO184" s="1"/>
      <c r="ACP184" s="1"/>
      <c r="ACQ184" s="1"/>
      <c r="ACR184" s="1"/>
      <c r="ACS184" s="1"/>
      <c r="ACT184" s="1"/>
      <c r="ACU184" s="1"/>
      <c r="ACV184" s="1"/>
      <c r="ACW184" s="1"/>
      <c r="ACX184" s="1"/>
      <c r="ACY184" s="1"/>
      <c r="ACZ184" s="1"/>
      <c r="ADA184" s="1"/>
      <c r="ADB184" s="1"/>
      <c r="ADC184" s="1"/>
      <c r="ADD184" s="1"/>
      <c r="ADE184" s="1"/>
      <c r="ADF184" s="1"/>
      <c r="ADG184" s="1"/>
      <c r="ADH184" s="1"/>
      <c r="ADI184" s="1"/>
      <c r="ADJ184" s="1"/>
      <c r="ADK184" s="1"/>
      <c r="ADL184" s="1"/>
      <c r="ADM184" s="1"/>
      <c r="ADN184" s="1"/>
      <c r="ADO184" s="1"/>
      <c r="ADP184" s="1"/>
      <c r="ADQ184" s="1"/>
      <c r="ADR184" s="1"/>
      <c r="ADS184" s="1"/>
      <c r="ADT184" s="1"/>
      <c r="ADU184" s="1"/>
      <c r="ADV184" s="1"/>
      <c r="ADW184" s="1"/>
      <c r="ADX184" s="1"/>
      <c r="ADY184" s="1"/>
      <c r="ADZ184" s="1"/>
      <c r="AEA184" s="1"/>
      <c r="AEB184" s="1"/>
      <c r="AEC184" s="1"/>
      <c r="AED184" s="1"/>
      <c r="AEE184" s="1"/>
      <c r="AEF184" s="1"/>
      <c r="AEG184" s="1"/>
      <c r="AEH184" s="1"/>
      <c r="AEI184" s="1"/>
      <c r="AEJ184" s="1"/>
      <c r="AEK184" s="1"/>
      <c r="AEL184" s="1"/>
      <c r="AEM184" s="1"/>
      <c r="AEN184" s="1"/>
      <c r="AEO184" s="1"/>
      <c r="AEP184" s="1"/>
      <c r="AEQ184" s="1"/>
      <c r="AER184" s="1"/>
      <c r="AES184" s="1"/>
      <c r="AET184" s="1"/>
      <c r="AEU184" s="1"/>
      <c r="AEV184" s="1"/>
      <c r="AEW184" s="1"/>
      <c r="AEX184" s="1"/>
      <c r="AEY184" s="1"/>
      <c r="AEZ184" s="1"/>
      <c r="AFA184" s="1"/>
      <c r="AFB184" s="1"/>
      <c r="AFC184" s="1"/>
      <c r="AFD184" s="1"/>
      <c r="AFE184" s="1"/>
      <c r="AFF184" s="1"/>
      <c r="AFG184" s="1"/>
      <c r="AFH184" s="1"/>
      <c r="AFI184" s="1"/>
      <c r="AFJ184" s="1"/>
      <c r="AFK184" s="1"/>
      <c r="AFL184" s="1"/>
      <c r="AFM184" s="1"/>
      <c r="AFN184" s="1"/>
      <c r="AFO184" s="1"/>
      <c r="AFP184" s="1"/>
      <c r="AFQ184" s="1"/>
      <c r="AFR184" s="1"/>
      <c r="AFS184" s="1"/>
      <c r="AFT184" s="1"/>
      <c r="AFU184" s="1"/>
      <c r="AFV184" s="1"/>
      <c r="AFW184" s="1"/>
      <c r="AFX184" s="1"/>
      <c r="AFY184" s="1"/>
      <c r="AFZ184" s="1"/>
      <c r="AGA184" s="1"/>
      <c r="AGB184" s="1"/>
      <c r="AGC184" s="1"/>
      <c r="AGD184" s="1"/>
      <c r="AGE184" s="1"/>
      <c r="AGF184" s="1"/>
      <c r="AGG184" s="1"/>
      <c r="AGH184" s="1"/>
      <c r="AGI184" s="1"/>
      <c r="AGJ184" s="1"/>
      <c r="AGK184" s="1"/>
      <c r="AGL184" s="1"/>
      <c r="AGM184" s="1"/>
      <c r="AGN184" s="1"/>
      <c r="AGO184" s="1"/>
      <c r="AGP184" s="1"/>
      <c r="AGQ184" s="1"/>
      <c r="AGR184" s="1"/>
      <c r="AGS184" s="1"/>
      <c r="AGT184" s="1"/>
      <c r="AGU184" s="1"/>
      <c r="AGV184" s="1"/>
      <c r="AGW184" s="1"/>
      <c r="AGX184" s="1"/>
      <c r="AGY184" s="1"/>
      <c r="AGZ184" s="1"/>
      <c r="AHA184" s="1"/>
      <c r="AHB184" s="1"/>
      <c r="AHC184" s="1"/>
      <c r="AHD184" s="1"/>
      <c r="AHE184" s="1"/>
      <c r="AHF184" s="1"/>
      <c r="AHG184" s="1"/>
      <c r="AHH184" s="1"/>
      <c r="AHI184" s="1"/>
      <c r="AHJ184" s="1"/>
      <c r="AHK184" s="1"/>
      <c r="AHL184" s="1"/>
      <c r="AHM184" s="1"/>
      <c r="AHN184" s="1"/>
      <c r="AHO184" s="1"/>
      <c r="AHP184" s="1"/>
      <c r="AHQ184" s="1"/>
      <c r="AHR184" s="1"/>
      <c r="AHS184" s="1"/>
      <c r="AHT184" s="1"/>
      <c r="AHU184" s="1"/>
      <c r="AHV184" s="1"/>
      <c r="AHW184" s="1"/>
      <c r="AHX184" s="1"/>
      <c r="AHY184" s="1"/>
      <c r="AHZ184" s="1"/>
      <c r="AIA184" s="1"/>
      <c r="AIB184" s="1"/>
      <c r="AIC184" s="1"/>
      <c r="AID184" s="1"/>
      <c r="AIE184" s="1"/>
      <c r="AIF184" s="1"/>
      <c r="AIG184" s="1"/>
      <c r="AIH184" s="1"/>
      <c r="AII184" s="1"/>
      <c r="AIJ184" s="1"/>
      <c r="AIK184" s="1"/>
      <c r="AIL184" s="1"/>
      <c r="AIM184" s="1"/>
      <c r="AIN184" s="1"/>
      <c r="AIO184" s="1"/>
      <c r="AIP184" s="1"/>
      <c r="AIQ184" s="1"/>
      <c r="AIR184" s="1"/>
      <c r="AIS184" s="1"/>
      <c r="AIT184" s="1"/>
      <c r="AIU184" s="1"/>
      <c r="AIV184" s="1"/>
      <c r="AIW184" s="1"/>
      <c r="AIX184" s="1"/>
      <c r="AIY184" s="1"/>
      <c r="AIZ184" s="1"/>
      <c r="AJA184" s="1"/>
      <c r="AJB184" s="1"/>
      <c r="AJC184" s="1"/>
      <c r="AJD184" s="1"/>
      <c r="AJE184" s="1"/>
      <c r="AJF184" s="1"/>
      <c r="AJG184" s="1"/>
      <c r="AJH184" s="1"/>
      <c r="AJI184" s="1"/>
      <c r="AJJ184" s="1"/>
      <c r="AJK184" s="1"/>
      <c r="AJL184" s="1"/>
      <c r="AJM184" s="1"/>
      <c r="AJN184" s="1"/>
      <c r="AJO184" s="1"/>
      <c r="AJP184" s="1"/>
      <c r="AJQ184" s="1"/>
      <c r="AJR184" s="1"/>
      <c r="AJS184" s="1"/>
      <c r="AJT184" s="1"/>
      <c r="AJU184" s="1"/>
      <c r="AJV184" s="1"/>
      <c r="AJW184" s="1"/>
      <c r="AJX184" s="1"/>
      <c r="AJY184" s="1"/>
      <c r="AJZ184" s="1"/>
      <c r="AKA184" s="1"/>
      <c r="AKB184" s="1"/>
      <c r="AKC184" s="1"/>
      <c r="AKD184" s="1"/>
      <c r="AKE184" s="1"/>
      <c r="AKF184" s="1"/>
      <c r="AKG184" s="1"/>
      <c r="AKH184" s="1"/>
      <c r="AKI184" s="1"/>
      <c r="AKJ184" s="1"/>
      <c r="AKK184" s="1"/>
      <c r="AKL184" s="1"/>
      <c r="AKM184" s="1"/>
      <c r="AKN184" s="1"/>
      <c r="AKO184" s="1"/>
      <c r="AKP184" s="1"/>
      <c r="AKQ184" s="1"/>
      <c r="AKR184" s="1"/>
      <c r="AKS184" s="1"/>
      <c r="AKT184" s="1"/>
      <c r="AKU184" s="1"/>
      <c r="AKV184" s="1"/>
      <c r="AKW184" s="1"/>
      <c r="AKX184" s="1"/>
      <c r="AKY184" s="1"/>
      <c r="AKZ184" s="1"/>
      <c r="ALA184" s="1"/>
      <c r="ALB184" s="1"/>
      <c r="ALC184" s="1"/>
      <c r="ALD184" s="1"/>
      <c r="ALE184" s="1"/>
      <c r="ALF184" s="1"/>
      <c r="ALG184" s="1"/>
      <c r="ALH184" s="1"/>
      <c r="ALI184" s="1"/>
      <c r="ALJ184" s="1"/>
      <c r="ALK184" s="1"/>
      <c r="ALL184" s="1"/>
      <c r="ALM184" s="1"/>
      <c r="ALN184" s="1"/>
      <c r="ALO184" s="1"/>
      <c r="ALP184" s="1"/>
      <c r="ALQ184" s="1"/>
      <c r="ALR184" s="1"/>
      <c r="ALS184" s="1"/>
      <c r="ALT184" s="1"/>
      <c r="ALU184" s="1"/>
      <c r="ALV184" s="1"/>
      <c r="ALW184" s="1"/>
      <c r="ALX184" s="1"/>
      <c r="ALY184" s="1"/>
      <c r="ALZ184" s="1"/>
      <c r="AMA184" s="1"/>
      <c r="AMB184" s="1"/>
      <c r="AMC184" s="1"/>
      <c r="AMD184" s="1"/>
      <c r="AME184" s="1"/>
      <c r="AMF184" s="1"/>
      <c r="AMG184" s="1"/>
      <c r="AMH184" s="1"/>
      <c r="AMI184" s="1"/>
      <c r="AMJ184" s="1"/>
      <c r="AMK184" s="1"/>
      <c r="AML184" s="1"/>
      <c r="AMM184" s="1"/>
      <c r="AMN184" s="1"/>
      <c r="AMO184" s="1"/>
    </row>
    <row r="185" spans="1:1030" x14ac:dyDescent="0.2">
      <c r="A185" s="3" t="str">
        <f t="shared" si="669"/>
        <v>ntr1_rat_4BUO</v>
      </c>
      <c r="B185" s="3" t="s">
        <v>914</v>
      </c>
      <c r="C185" s="3" t="s">
        <v>1338</v>
      </c>
      <c r="D185" s="3" t="str">
        <f>IFERROR(MID(VLOOKUP($B185,Seqs!$A:$B,2,0),E185,1),"")</f>
        <v>I</v>
      </c>
      <c r="E185" s="3">
        <v>61</v>
      </c>
      <c r="F185" s="3" t="str">
        <f>IFERROR(MID(VLOOKUP($B185,Seqs!$A:$B,2,0),G185,1),"")</f>
        <v>R</v>
      </c>
      <c r="G185" s="3">
        <v>91</v>
      </c>
      <c r="H185" s="3" t="str">
        <f>IFERROR(MID(VLOOKUP($B185,Seqs!$A:$B,2,0),I185,1),"")</f>
        <v/>
      </c>
      <c r="I185" s="23" t="s">
        <v>23</v>
      </c>
      <c r="J185" s="3" t="str">
        <f>IFERROR(MID(VLOOKUP($B185,Seqs!$A:$B,2,0),K185,1),"")</f>
        <v/>
      </c>
      <c r="K185" s="23" t="s">
        <v>23</v>
      </c>
      <c r="L185" s="3" t="str">
        <f>IFERROR(MID(VLOOKUP($B185,Seqs!$A:$B,2,0),M185,1),"")</f>
        <v>S</v>
      </c>
      <c r="M185" s="3">
        <v>97</v>
      </c>
      <c r="N185" s="3" t="str">
        <f>IFERROR(MID(VLOOKUP($B185,Seqs!$A:$B,2,0),O185,1),"")</f>
        <v>V</v>
      </c>
      <c r="O185" s="3">
        <v>131</v>
      </c>
      <c r="P185" s="3" t="str">
        <f>IFERROR(MID(VLOOKUP($B185,Seqs!$A:$B,2,0),Q185,1),"")</f>
        <v>P</v>
      </c>
      <c r="Q185" s="3">
        <v>134</v>
      </c>
      <c r="R185" s="3" t="str">
        <f>IFERROR(MID(VLOOKUP($B185,Seqs!$A:$B,2,0),S185,1),"")</f>
        <v>F</v>
      </c>
      <c r="S185" s="3">
        <v>137</v>
      </c>
      <c r="T185" s="3" t="str">
        <f>IFERROR(MID(VLOOKUP($B185,Seqs!$A:$B,2,0),U185,1),"")</f>
        <v>G</v>
      </c>
      <c r="U185" s="3">
        <v>138</v>
      </c>
      <c r="V185" s="3" t="str">
        <f>IFERROR(MID(VLOOKUP($B185,Seqs!$A:$B,2,0),W185,1),"")</f>
        <v>H</v>
      </c>
      <c r="W185" s="3">
        <v>173</v>
      </c>
      <c r="X185" s="3" t="str">
        <f>IFERROR(MID(VLOOKUP($B185,Seqs!$A:$B,2,0),Y185,1),"")</f>
        <v/>
      </c>
      <c r="Y185" s="3" t="s">
        <v>23</v>
      </c>
      <c r="Z185" s="3" t="str">
        <f>IFERROR(MID(VLOOKUP($B185,Seqs!$A:$B,2,0),AA185,1),"")</f>
        <v/>
      </c>
      <c r="AA185" s="3" t="s">
        <v>23</v>
      </c>
      <c r="AB185" s="3" t="str">
        <f>IFERROR(MID(VLOOKUP($B185,Seqs!$A:$B,2,0),AC185,1),"")</f>
        <v>S</v>
      </c>
      <c r="AC185" s="9">
        <v>182</v>
      </c>
      <c r="AD185" s="3" t="str">
        <f>IFERROR(MID(VLOOKUP($B185,Seqs!$A:$B,2,0),AE185,1),"")</f>
        <v>M</v>
      </c>
      <c r="AE185" s="3">
        <v>208</v>
      </c>
      <c r="AF185" s="3" t="str">
        <f>IFERROR(MID(VLOOKUP($B185,Seqs!$A:$B,2,0),AG185,1),"")</f>
        <v>C</v>
      </c>
      <c r="AG185" s="3">
        <v>225</v>
      </c>
      <c r="AH185" s="3" t="str">
        <f>IFERROR(MID(VLOOKUP($B185,Seqs!$A:$B,2,0),AI185,1),"")</f>
        <v>P</v>
      </c>
      <c r="AI185" s="3">
        <v>227</v>
      </c>
      <c r="AJ185" s="3" t="str">
        <f>IFERROR(MID(VLOOKUP($B185,Seqs!$A:$B,2,0),AK185,1),"")</f>
        <v>T</v>
      </c>
      <c r="AK185" s="3">
        <v>231</v>
      </c>
      <c r="AL185" s="3" t="str">
        <f>IFERROR(MID(VLOOKUP($B185,Seqs!$A:$B,2,0),AM185,1),"")</f>
        <v>Q</v>
      </c>
      <c r="AM185" s="3">
        <v>270</v>
      </c>
      <c r="AN185" s="3" t="str">
        <f>IFERROR(MID(VLOOKUP($B185,Seqs!$A:$B,2,0),AO185,1),"")</f>
        <v>G</v>
      </c>
      <c r="AO185" s="3">
        <v>298</v>
      </c>
      <c r="AP185" s="3" t="str">
        <f>IFERROR(MID(VLOOKUP($B185,Seqs!$A:$B,2,0),AQ185,1),"")</f>
        <v>I</v>
      </c>
      <c r="AQ185" s="3">
        <v>334</v>
      </c>
      <c r="AR185" s="3" t="str">
        <f>IFERROR(MID(VLOOKUP($B185,Seqs!$A:$B,2,0),AS185,1),"")</f>
        <v>T</v>
      </c>
      <c r="AS185" s="3">
        <v>340</v>
      </c>
      <c r="AT185" s="3" t="str">
        <f>IFERROR(MID(VLOOKUP($B185,Seqs!$A:$B,2,0),AU185,1),"")</f>
        <v>V</v>
      </c>
      <c r="AU185" s="3">
        <v>372</v>
      </c>
      <c r="AV185" s="3" t="str">
        <f>IFERROR(MID(VLOOKUP($B185,Seqs!$A:$B,2,0),AW185,1),"")</f>
        <v>S</v>
      </c>
      <c r="AW185" s="3">
        <v>373</v>
      </c>
      <c r="AX185" s="3" t="str">
        <f>IFERROR(MID(VLOOKUP($B185,Seqs!$A:$B,2,0),AY185,1),"")</f>
        <v>L</v>
      </c>
      <c r="AY185" s="3">
        <v>384</v>
      </c>
      <c r="AZ185" s="77" t="str">
        <f>VLOOKUP(B185,Classification!A:D,2,0)</f>
        <v>A</v>
      </c>
      <c r="BA185" s="94" t="str">
        <f>VLOOKUP(B185,Classification!A:D,4,0)</f>
        <v>Neurotensin</v>
      </c>
      <c r="BB185" s="27" t="b">
        <f t="shared" si="670"/>
        <v>1</v>
      </c>
      <c r="BC185" s="23">
        <f t="shared" si="643"/>
        <v>260</v>
      </c>
      <c r="BD185" s="16" t="s">
        <v>1383</v>
      </c>
      <c r="BE185" s="3" t="s">
        <v>1381</v>
      </c>
      <c r="BF185" s="119">
        <v>2.75</v>
      </c>
      <c r="BG185" s="49" t="s">
        <v>1384</v>
      </c>
      <c r="BH185" s="49" t="s">
        <v>1384</v>
      </c>
      <c r="BI185" s="1"/>
      <c r="BJ185" s="70" t="s">
        <v>1293</v>
      </c>
      <c r="BK185" s="57" t="s">
        <v>1293</v>
      </c>
      <c r="BL185" s="57" t="s">
        <v>1293</v>
      </c>
      <c r="BM185" s="57" t="s">
        <v>1293</v>
      </c>
      <c r="BN185" s="57" t="s">
        <v>1293</v>
      </c>
      <c r="BO185" s="57" t="s">
        <v>1293</v>
      </c>
      <c r="BP185" s="57" t="s">
        <v>1293</v>
      </c>
      <c r="BQ185" s="57" t="s">
        <v>1293</v>
      </c>
      <c r="BR185" s="57" t="s">
        <v>1293</v>
      </c>
      <c r="BS185" s="57" t="s">
        <v>1293</v>
      </c>
      <c r="BT185" s="57" t="s">
        <v>1293</v>
      </c>
      <c r="BU185" s="57" t="s">
        <v>1293</v>
      </c>
      <c r="BV185" s="70">
        <f t="shared" si="644"/>
        <v>61</v>
      </c>
      <c r="BW185" s="71" t="str">
        <f t="shared" si="645"/>
        <v>-</v>
      </c>
      <c r="BX185" s="72">
        <f t="shared" si="646"/>
        <v>97</v>
      </c>
      <c r="BY185" s="71">
        <f t="shared" si="647"/>
        <v>134</v>
      </c>
      <c r="BZ185" s="72">
        <f t="shared" si="648"/>
        <v>138</v>
      </c>
      <c r="CA185" s="71" t="str">
        <f t="shared" si="649"/>
        <v>-</v>
      </c>
      <c r="CB185" s="72">
        <f t="shared" si="650"/>
        <v>182</v>
      </c>
      <c r="CC185" s="71">
        <f t="shared" si="651"/>
        <v>225</v>
      </c>
      <c r="CD185" s="72">
        <f t="shared" si="652"/>
        <v>231</v>
      </c>
      <c r="CE185" s="71">
        <f t="shared" si="653"/>
        <v>298</v>
      </c>
      <c r="CF185" s="72">
        <f t="shared" si="654"/>
        <v>340</v>
      </c>
      <c r="CG185" s="71">
        <f t="shared" si="655"/>
        <v>373</v>
      </c>
      <c r="CH185" s="70">
        <f t="shared" si="656"/>
        <v>91</v>
      </c>
      <c r="CI185" s="71" t="str">
        <f t="shared" si="657"/>
        <v>-</v>
      </c>
      <c r="CJ185" s="72">
        <f t="shared" si="658"/>
        <v>131</v>
      </c>
      <c r="CK185" s="72">
        <f t="shared" si="659"/>
        <v>137</v>
      </c>
      <c r="CL185" s="72">
        <f t="shared" si="660"/>
        <v>173</v>
      </c>
      <c r="CM185" s="72" t="str">
        <f t="shared" si="661"/>
        <v>-</v>
      </c>
      <c r="CN185" s="72">
        <f t="shared" si="662"/>
        <v>208</v>
      </c>
      <c r="CO185" s="72">
        <f t="shared" si="663"/>
        <v>227</v>
      </c>
      <c r="CP185" s="72">
        <f t="shared" si="664"/>
        <v>270</v>
      </c>
      <c r="CQ185" s="72">
        <f t="shared" si="665"/>
        <v>334</v>
      </c>
      <c r="CR185" s="72">
        <f t="shared" si="666"/>
        <v>372</v>
      </c>
      <c r="CS185" s="72">
        <f t="shared" si="667"/>
        <v>384</v>
      </c>
      <c r="CT185" s="23" t="e">
        <f t="shared" si="668"/>
        <v>#VALUE!</v>
      </c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  <c r="OK185" s="1"/>
      <c r="OL185" s="1"/>
      <c r="OM185" s="1"/>
      <c r="ON185" s="1"/>
      <c r="OO185" s="1"/>
      <c r="OP185" s="1"/>
      <c r="OQ185" s="1"/>
      <c r="OR185" s="1"/>
      <c r="OS185" s="1"/>
      <c r="OT185" s="1"/>
      <c r="OU185" s="1"/>
      <c r="OV185" s="1"/>
      <c r="OW185" s="1"/>
      <c r="OX185" s="1"/>
      <c r="OY185" s="1"/>
      <c r="OZ185" s="1"/>
      <c r="PA185" s="1"/>
      <c r="PB185" s="1"/>
      <c r="PC185" s="1"/>
      <c r="PD185" s="1"/>
      <c r="PE185" s="1"/>
      <c r="PF185" s="1"/>
      <c r="PG185" s="1"/>
      <c r="PH185" s="1"/>
      <c r="PI185" s="1"/>
      <c r="PJ185" s="1"/>
      <c r="PK185" s="1"/>
      <c r="PL185" s="1"/>
      <c r="PM185" s="1"/>
      <c r="PN185" s="1"/>
      <c r="PO185" s="1"/>
      <c r="PP185" s="1"/>
      <c r="PQ185" s="1"/>
      <c r="PR185" s="1"/>
      <c r="PS185" s="1"/>
      <c r="PT185" s="1"/>
      <c r="PU185" s="1"/>
      <c r="PV185" s="1"/>
      <c r="PW185" s="1"/>
      <c r="PX185" s="1"/>
      <c r="PY185" s="1"/>
      <c r="PZ185" s="1"/>
      <c r="QA185" s="1"/>
      <c r="QB185" s="1"/>
      <c r="QC185" s="1"/>
      <c r="QD185" s="1"/>
      <c r="QE185" s="1"/>
      <c r="QF185" s="1"/>
      <c r="QG185" s="1"/>
      <c r="QH185" s="1"/>
      <c r="QI185" s="1"/>
      <c r="QJ185" s="1"/>
      <c r="QK185" s="1"/>
      <c r="QL185" s="1"/>
      <c r="QM185" s="1"/>
      <c r="QN185" s="1"/>
      <c r="QO185" s="1"/>
      <c r="QP185" s="1"/>
      <c r="QQ185" s="1"/>
      <c r="QR185" s="1"/>
      <c r="QS185" s="1"/>
      <c r="QT185" s="1"/>
      <c r="QU185" s="1"/>
      <c r="QV185" s="1"/>
      <c r="QW185" s="1"/>
      <c r="QX185" s="1"/>
      <c r="QY185" s="1"/>
      <c r="QZ185" s="1"/>
      <c r="RA185" s="1"/>
      <c r="RB185" s="1"/>
      <c r="RC185" s="1"/>
      <c r="RD185" s="1"/>
      <c r="RE185" s="1"/>
      <c r="RF185" s="1"/>
      <c r="RG185" s="1"/>
      <c r="RH185" s="1"/>
      <c r="RI185" s="1"/>
      <c r="RJ185" s="1"/>
      <c r="RK185" s="1"/>
      <c r="RL185" s="1"/>
      <c r="RM185" s="1"/>
      <c r="RN185" s="1"/>
      <c r="RO185" s="1"/>
      <c r="RP185" s="1"/>
      <c r="RQ185" s="1"/>
      <c r="RR185" s="1"/>
      <c r="RS185" s="1"/>
      <c r="RT185" s="1"/>
      <c r="RU185" s="1"/>
      <c r="RV185" s="1"/>
      <c r="RW185" s="1"/>
      <c r="RX185" s="1"/>
      <c r="RY185" s="1"/>
      <c r="RZ185" s="1"/>
      <c r="SA185" s="1"/>
      <c r="SB185" s="1"/>
      <c r="SC185" s="1"/>
      <c r="SD185" s="1"/>
      <c r="SE185" s="1"/>
      <c r="SF185" s="1"/>
      <c r="SG185" s="1"/>
      <c r="SH185" s="1"/>
      <c r="SI185" s="1"/>
      <c r="SJ185" s="1"/>
      <c r="SK185" s="1"/>
      <c r="SL185" s="1"/>
      <c r="SM185" s="1"/>
      <c r="SN185" s="1"/>
      <c r="SO185" s="1"/>
      <c r="SP185" s="1"/>
      <c r="SQ185" s="1"/>
      <c r="SR185" s="1"/>
      <c r="SS185" s="1"/>
      <c r="ST185" s="1"/>
      <c r="SU185" s="1"/>
      <c r="SV185" s="1"/>
      <c r="SW185" s="1"/>
      <c r="SX185" s="1"/>
      <c r="SY185" s="1"/>
      <c r="SZ185" s="1"/>
      <c r="TA185" s="1"/>
      <c r="TB185" s="1"/>
      <c r="TC185" s="1"/>
      <c r="TD185" s="1"/>
      <c r="TE185" s="1"/>
      <c r="TF185" s="1"/>
      <c r="TG185" s="1"/>
      <c r="TH185" s="1"/>
      <c r="TI185" s="1"/>
      <c r="TJ185" s="1"/>
      <c r="TK185" s="1"/>
      <c r="TL185" s="1"/>
      <c r="TM185" s="1"/>
      <c r="TN185" s="1"/>
      <c r="TO185" s="1"/>
      <c r="TP185" s="1"/>
      <c r="TQ185" s="1"/>
      <c r="TR185" s="1"/>
      <c r="TS185" s="1"/>
      <c r="TT185" s="1"/>
      <c r="TU185" s="1"/>
      <c r="TV185" s="1"/>
      <c r="TW185" s="1"/>
      <c r="TX185" s="1"/>
      <c r="TY185" s="1"/>
      <c r="TZ185" s="1"/>
      <c r="UA185" s="1"/>
      <c r="UB185" s="1"/>
      <c r="UC185" s="1"/>
      <c r="UD185" s="1"/>
      <c r="UE185" s="1"/>
      <c r="UF185" s="1"/>
      <c r="UG185" s="1"/>
      <c r="UH185" s="1"/>
      <c r="UI185" s="1"/>
      <c r="UJ185" s="1"/>
      <c r="UK185" s="1"/>
      <c r="UL185" s="1"/>
      <c r="UM185" s="1"/>
      <c r="UN185" s="1"/>
      <c r="UO185" s="1"/>
      <c r="UP185" s="1"/>
      <c r="UQ185" s="1"/>
      <c r="UR185" s="1"/>
      <c r="US185" s="1"/>
      <c r="UT185" s="1"/>
      <c r="UU185" s="1"/>
      <c r="UV185" s="1"/>
      <c r="UW185" s="1"/>
      <c r="UX185" s="1"/>
      <c r="UY185" s="1"/>
      <c r="UZ185" s="1"/>
      <c r="VA185" s="1"/>
      <c r="VB185" s="1"/>
      <c r="VC185" s="1"/>
      <c r="VD185" s="1"/>
      <c r="VE185" s="1"/>
      <c r="VF185" s="1"/>
      <c r="VG185" s="1"/>
      <c r="VH185" s="1"/>
      <c r="VI185" s="1"/>
      <c r="VJ185" s="1"/>
      <c r="VK185" s="1"/>
      <c r="VL185" s="1"/>
      <c r="VM185" s="1"/>
      <c r="VN185" s="1"/>
      <c r="VO185" s="1"/>
      <c r="VP185" s="1"/>
      <c r="VQ185" s="1"/>
      <c r="VR185" s="1"/>
      <c r="VS185" s="1"/>
      <c r="VT185" s="1"/>
      <c r="VU185" s="1"/>
      <c r="VV185" s="1"/>
      <c r="VW185" s="1"/>
      <c r="VX185" s="1"/>
      <c r="VY185" s="1"/>
      <c r="VZ185" s="1"/>
      <c r="WA185" s="1"/>
      <c r="WB185" s="1"/>
      <c r="WC185" s="1"/>
      <c r="WD185" s="1"/>
      <c r="WE185" s="1"/>
      <c r="WF185" s="1"/>
      <c r="WG185" s="1"/>
      <c r="WH185" s="1"/>
      <c r="WI185" s="1"/>
      <c r="WJ185" s="1"/>
      <c r="WK185" s="1"/>
      <c r="WL185" s="1"/>
      <c r="WM185" s="1"/>
      <c r="WN185" s="1"/>
      <c r="WO185" s="1"/>
      <c r="WP185" s="1"/>
      <c r="WQ185" s="1"/>
      <c r="WR185" s="1"/>
      <c r="WS185" s="1"/>
      <c r="WT185" s="1"/>
      <c r="WU185" s="1"/>
      <c r="WV185" s="1"/>
      <c r="WW185" s="1"/>
      <c r="WX185" s="1"/>
      <c r="WY185" s="1"/>
      <c r="WZ185" s="1"/>
      <c r="XA185" s="1"/>
      <c r="XB185" s="1"/>
      <c r="XC185" s="1"/>
      <c r="XD185" s="1"/>
      <c r="XE185" s="1"/>
      <c r="XF185" s="1"/>
      <c r="XG185" s="1"/>
      <c r="XH185" s="1"/>
      <c r="XI185" s="1"/>
      <c r="XJ185" s="1"/>
      <c r="XK185" s="1"/>
      <c r="XL185" s="1"/>
      <c r="XM185" s="1"/>
      <c r="XN185" s="1"/>
      <c r="XO185" s="1"/>
      <c r="XP185" s="1"/>
      <c r="XQ185" s="1"/>
      <c r="XR185" s="1"/>
      <c r="XS185" s="1"/>
      <c r="XT185" s="1"/>
      <c r="XU185" s="1"/>
      <c r="XV185" s="1"/>
      <c r="XW185" s="1"/>
      <c r="XX185" s="1"/>
      <c r="XY185" s="1"/>
      <c r="XZ185" s="1"/>
      <c r="YA185" s="1"/>
      <c r="YB185" s="1"/>
      <c r="YC185" s="1"/>
      <c r="YD185" s="1"/>
      <c r="YE185" s="1"/>
      <c r="YF185" s="1"/>
      <c r="YG185" s="1"/>
      <c r="YH185" s="1"/>
      <c r="YI185" s="1"/>
      <c r="YJ185" s="1"/>
      <c r="YK185" s="1"/>
      <c r="YL185" s="1"/>
      <c r="YM185" s="1"/>
      <c r="YN185" s="1"/>
      <c r="YO185" s="1"/>
      <c r="YP185" s="1"/>
      <c r="YQ185" s="1"/>
      <c r="YR185" s="1"/>
      <c r="YS185" s="1"/>
      <c r="YT185" s="1"/>
      <c r="YU185" s="1"/>
      <c r="YV185" s="1"/>
      <c r="YW185" s="1"/>
      <c r="YX185" s="1"/>
      <c r="YY185" s="1"/>
      <c r="YZ185" s="1"/>
      <c r="ZA185" s="1"/>
      <c r="ZB185" s="1"/>
      <c r="ZC185" s="1"/>
      <c r="ZD185" s="1"/>
      <c r="ZE185" s="1"/>
      <c r="ZF185" s="1"/>
      <c r="ZG185" s="1"/>
      <c r="ZH185" s="1"/>
      <c r="ZI185" s="1"/>
      <c r="ZJ185" s="1"/>
      <c r="ZK185" s="1"/>
      <c r="ZL185" s="1"/>
      <c r="ZM185" s="1"/>
      <c r="ZN185" s="1"/>
      <c r="ZO185" s="1"/>
      <c r="ZP185" s="1"/>
      <c r="ZQ185" s="1"/>
      <c r="ZR185" s="1"/>
      <c r="ZS185" s="1"/>
      <c r="ZT185" s="1"/>
      <c r="ZU185" s="1"/>
      <c r="ZV185" s="1"/>
      <c r="ZW185" s="1"/>
      <c r="ZX185" s="1"/>
      <c r="ZY185" s="1"/>
      <c r="ZZ185" s="1"/>
      <c r="AAA185" s="1"/>
      <c r="AAB185" s="1"/>
      <c r="AAC185" s="1"/>
      <c r="AAD185" s="1"/>
      <c r="AAE185" s="1"/>
      <c r="AAF185" s="1"/>
      <c r="AAG185" s="1"/>
      <c r="AAH185" s="1"/>
      <c r="AAI185" s="1"/>
      <c r="AAJ185" s="1"/>
      <c r="AAK185" s="1"/>
      <c r="AAL185" s="1"/>
      <c r="AAM185" s="1"/>
      <c r="AAN185" s="1"/>
      <c r="AAO185" s="1"/>
      <c r="AAP185" s="1"/>
      <c r="AAQ185" s="1"/>
      <c r="AAR185" s="1"/>
      <c r="AAS185" s="1"/>
      <c r="AAT185" s="1"/>
      <c r="AAU185" s="1"/>
      <c r="AAV185" s="1"/>
      <c r="AAW185" s="1"/>
      <c r="AAX185" s="1"/>
      <c r="AAY185" s="1"/>
      <c r="AAZ185" s="1"/>
      <c r="ABA185" s="1"/>
      <c r="ABB185" s="1"/>
      <c r="ABC185" s="1"/>
      <c r="ABD185" s="1"/>
      <c r="ABE185" s="1"/>
      <c r="ABF185" s="1"/>
      <c r="ABG185" s="1"/>
      <c r="ABH185" s="1"/>
      <c r="ABI185" s="1"/>
      <c r="ABJ185" s="1"/>
      <c r="ABK185" s="1"/>
      <c r="ABL185" s="1"/>
      <c r="ABM185" s="1"/>
      <c r="ABN185" s="1"/>
      <c r="ABO185" s="1"/>
      <c r="ABP185" s="1"/>
      <c r="ABQ185" s="1"/>
      <c r="ABR185" s="1"/>
      <c r="ABS185" s="1"/>
      <c r="ABT185" s="1"/>
      <c r="ABU185" s="1"/>
      <c r="ABV185" s="1"/>
      <c r="ABW185" s="1"/>
      <c r="ABX185" s="1"/>
      <c r="ABY185" s="1"/>
      <c r="ABZ185" s="1"/>
      <c r="ACA185" s="1"/>
      <c r="ACB185" s="1"/>
      <c r="ACC185" s="1"/>
      <c r="ACD185" s="1"/>
      <c r="ACE185" s="1"/>
      <c r="ACF185" s="1"/>
      <c r="ACG185" s="1"/>
      <c r="ACH185" s="1"/>
      <c r="ACI185" s="1"/>
      <c r="ACJ185" s="1"/>
      <c r="ACK185" s="1"/>
      <c r="ACL185" s="1"/>
      <c r="ACM185" s="1"/>
      <c r="ACN185" s="1"/>
      <c r="ACO185" s="1"/>
      <c r="ACP185" s="1"/>
      <c r="ACQ185" s="1"/>
      <c r="ACR185" s="1"/>
      <c r="ACS185" s="1"/>
      <c r="ACT185" s="1"/>
      <c r="ACU185" s="1"/>
      <c r="ACV185" s="1"/>
      <c r="ACW185" s="1"/>
      <c r="ACX185" s="1"/>
      <c r="ACY185" s="1"/>
      <c r="ACZ185" s="1"/>
      <c r="ADA185" s="1"/>
      <c r="ADB185" s="1"/>
      <c r="ADC185" s="1"/>
      <c r="ADD185" s="1"/>
      <c r="ADE185" s="1"/>
      <c r="ADF185" s="1"/>
      <c r="ADG185" s="1"/>
      <c r="ADH185" s="1"/>
      <c r="ADI185" s="1"/>
      <c r="ADJ185" s="1"/>
      <c r="ADK185" s="1"/>
      <c r="ADL185" s="1"/>
      <c r="ADM185" s="1"/>
      <c r="ADN185" s="1"/>
      <c r="ADO185" s="1"/>
      <c r="ADP185" s="1"/>
      <c r="ADQ185" s="1"/>
      <c r="ADR185" s="1"/>
      <c r="ADS185" s="1"/>
      <c r="ADT185" s="1"/>
      <c r="ADU185" s="1"/>
      <c r="ADV185" s="1"/>
      <c r="ADW185" s="1"/>
      <c r="ADX185" s="1"/>
      <c r="ADY185" s="1"/>
      <c r="ADZ185" s="1"/>
      <c r="AEA185" s="1"/>
      <c r="AEB185" s="1"/>
      <c r="AEC185" s="1"/>
      <c r="AED185" s="1"/>
      <c r="AEE185" s="1"/>
      <c r="AEF185" s="1"/>
      <c r="AEG185" s="1"/>
      <c r="AEH185" s="1"/>
      <c r="AEI185" s="1"/>
      <c r="AEJ185" s="1"/>
      <c r="AEK185" s="1"/>
      <c r="AEL185" s="1"/>
      <c r="AEM185" s="1"/>
      <c r="AEN185" s="1"/>
      <c r="AEO185" s="1"/>
      <c r="AEP185" s="1"/>
      <c r="AEQ185" s="1"/>
      <c r="AER185" s="1"/>
      <c r="AES185" s="1"/>
      <c r="AET185" s="1"/>
      <c r="AEU185" s="1"/>
      <c r="AEV185" s="1"/>
      <c r="AEW185" s="1"/>
      <c r="AEX185" s="1"/>
      <c r="AEY185" s="1"/>
      <c r="AEZ185" s="1"/>
      <c r="AFA185" s="1"/>
      <c r="AFB185" s="1"/>
      <c r="AFC185" s="1"/>
      <c r="AFD185" s="1"/>
      <c r="AFE185" s="1"/>
      <c r="AFF185" s="1"/>
      <c r="AFG185" s="1"/>
      <c r="AFH185" s="1"/>
      <c r="AFI185" s="1"/>
      <c r="AFJ185" s="1"/>
      <c r="AFK185" s="1"/>
      <c r="AFL185" s="1"/>
      <c r="AFM185" s="1"/>
      <c r="AFN185" s="1"/>
      <c r="AFO185" s="1"/>
      <c r="AFP185" s="1"/>
      <c r="AFQ185" s="1"/>
      <c r="AFR185" s="1"/>
      <c r="AFS185" s="1"/>
      <c r="AFT185" s="1"/>
      <c r="AFU185" s="1"/>
      <c r="AFV185" s="1"/>
      <c r="AFW185" s="1"/>
      <c r="AFX185" s="1"/>
      <c r="AFY185" s="1"/>
      <c r="AFZ185" s="1"/>
      <c r="AGA185" s="1"/>
      <c r="AGB185" s="1"/>
      <c r="AGC185" s="1"/>
      <c r="AGD185" s="1"/>
      <c r="AGE185" s="1"/>
      <c r="AGF185" s="1"/>
      <c r="AGG185" s="1"/>
      <c r="AGH185" s="1"/>
      <c r="AGI185" s="1"/>
      <c r="AGJ185" s="1"/>
      <c r="AGK185" s="1"/>
      <c r="AGL185" s="1"/>
      <c r="AGM185" s="1"/>
      <c r="AGN185" s="1"/>
      <c r="AGO185" s="1"/>
      <c r="AGP185" s="1"/>
      <c r="AGQ185" s="1"/>
      <c r="AGR185" s="1"/>
      <c r="AGS185" s="1"/>
      <c r="AGT185" s="1"/>
      <c r="AGU185" s="1"/>
      <c r="AGV185" s="1"/>
      <c r="AGW185" s="1"/>
      <c r="AGX185" s="1"/>
      <c r="AGY185" s="1"/>
      <c r="AGZ185" s="1"/>
      <c r="AHA185" s="1"/>
      <c r="AHB185" s="1"/>
      <c r="AHC185" s="1"/>
      <c r="AHD185" s="1"/>
      <c r="AHE185" s="1"/>
      <c r="AHF185" s="1"/>
      <c r="AHG185" s="1"/>
      <c r="AHH185" s="1"/>
      <c r="AHI185" s="1"/>
      <c r="AHJ185" s="1"/>
      <c r="AHK185" s="1"/>
      <c r="AHL185" s="1"/>
      <c r="AHM185" s="1"/>
      <c r="AHN185" s="1"/>
      <c r="AHO185" s="1"/>
      <c r="AHP185" s="1"/>
      <c r="AHQ185" s="1"/>
      <c r="AHR185" s="1"/>
      <c r="AHS185" s="1"/>
      <c r="AHT185" s="1"/>
      <c r="AHU185" s="1"/>
      <c r="AHV185" s="1"/>
      <c r="AHW185" s="1"/>
      <c r="AHX185" s="1"/>
      <c r="AHY185" s="1"/>
      <c r="AHZ185" s="1"/>
      <c r="AIA185" s="1"/>
      <c r="AIB185" s="1"/>
      <c r="AIC185" s="1"/>
      <c r="AID185" s="1"/>
      <c r="AIE185" s="1"/>
      <c r="AIF185" s="1"/>
      <c r="AIG185" s="1"/>
      <c r="AIH185" s="1"/>
      <c r="AII185" s="1"/>
      <c r="AIJ185" s="1"/>
      <c r="AIK185" s="1"/>
      <c r="AIL185" s="1"/>
      <c r="AIM185" s="1"/>
      <c r="AIN185" s="1"/>
      <c r="AIO185" s="1"/>
      <c r="AIP185" s="1"/>
      <c r="AIQ185" s="1"/>
      <c r="AIR185" s="1"/>
      <c r="AIS185" s="1"/>
      <c r="AIT185" s="1"/>
      <c r="AIU185" s="1"/>
      <c r="AIV185" s="1"/>
      <c r="AIW185" s="1"/>
      <c r="AIX185" s="1"/>
      <c r="AIY185" s="1"/>
      <c r="AIZ185" s="1"/>
      <c r="AJA185" s="1"/>
      <c r="AJB185" s="1"/>
      <c r="AJC185" s="1"/>
      <c r="AJD185" s="1"/>
      <c r="AJE185" s="1"/>
      <c r="AJF185" s="1"/>
      <c r="AJG185" s="1"/>
      <c r="AJH185" s="1"/>
      <c r="AJI185" s="1"/>
      <c r="AJJ185" s="1"/>
      <c r="AJK185" s="1"/>
      <c r="AJL185" s="1"/>
      <c r="AJM185" s="1"/>
      <c r="AJN185" s="1"/>
      <c r="AJO185" s="1"/>
      <c r="AJP185" s="1"/>
      <c r="AJQ185" s="1"/>
      <c r="AJR185" s="1"/>
      <c r="AJS185" s="1"/>
      <c r="AJT185" s="1"/>
      <c r="AJU185" s="1"/>
      <c r="AJV185" s="1"/>
      <c r="AJW185" s="1"/>
      <c r="AJX185" s="1"/>
      <c r="AJY185" s="1"/>
      <c r="AJZ185" s="1"/>
      <c r="AKA185" s="1"/>
      <c r="AKB185" s="1"/>
      <c r="AKC185" s="1"/>
      <c r="AKD185" s="1"/>
      <c r="AKE185" s="1"/>
      <c r="AKF185" s="1"/>
      <c r="AKG185" s="1"/>
      <c r="AKH185" s="1"/>
      <c r="AKI185" s="1"/>
      <c r="AKJ185" s="1"/>
      <c r="AKK185" s="1"/>
      <c r="AKL185" s="1"/>
      <c r="AKM185" s="1"/>
      <c r="AKN185" s="1"/>
      <c r="AKO185" s="1"/>
      <c r="AKP185" s="1"/>
      <c r="AKQ185" s="1"/>
      <c r="AKR185" s="1"/>
      <c r="AKS185" s="1"/>
      <c r="AKT185" s="1"/>
      <c r="AKU185" s="1"/>
      <c r="AKV185" s="1"/>
      <c r="AKW185" s="1"/>
      <c r="AKX185" s="1"/>
      <c r="AKY185" s="1"/>
      <c r="AKZ185" s="1"/>
      <c r="ALA185" s="1"/>
      <c r="ALB185" s="1"/>
      <c r="ALC185" s="1"/>
      <c r="ALD185" s="1"/>
      <c r="ALE185" s="1"/>
      <c r="ALF185" s="1"/>
      <c r="ALG185" s="1"/>
      <c r="ALH185" s="1"/>
      <c r="ALI185" s="1"/>
      <c r="ALJ185" s="1"/>
      <c r="ALK185" s="1"/>
      <c r="ALL185" s="1"/>
      <c r="ALM185" s="1"/>
      <c r="ALN185" s="1"/>
      <c r="ALO185" s="1"/>
      <c r="ALP185" s="1"/>
      <c r="ALQ185" s="1"/>
      <c r="ALR185" s="1"/>
      <c r="ALS185" s="1"/>
      <c r="ALT185" s="1"/>
      <c r="ALU185" s="1"/>
      <c r="ALV185" s="1"/>
      <c r="ALW185" s="1"/>
      <c r="ALX185" s="1"/>
      <c r="ALY185" s="1"/>
      <c r="ALZ185" s="1"/>
      <c r="AMA185" s="1"/>
      <c r="AMB185" s="1"/>
      <c r="AMC185" s="1"/>
      <c r="AMD185" s="1"/>
      <c r="AME185" s="1"/>
      <c r="AMF185" s="1"/>
      <c r="AMG185" s="1"/>
      <c r="AMH185" s="1"/>
      <c r="AMI185" s="1"/>
      <c r="AMJ185" s="1"/>
      <c r="AMK185" s="1"/>
      <c r="AML185" s="1"/>
      <c r="AMM185" s="1"/>
      <c r="AMN185" s="1"/>
      <c r="AMO185" s="1"/>
    </row>
    <row r="186" spans="1:1030" x14ac:dyDescent="0.2">
      <c r="A186" s="3" t="str">
        <f t="shared" si="669"/>
        <v>ntr1_rat_4GRV</v>
      </c>
      <c r="B186" s="3" t="s">
        <v>914</v>
      </c>
      <c r="C186" s="3" t="s">
        <v>50</v>
      </c>
      <c r="D186" s="3" t="str">
        <f>IFERROR(MID(VLOOKUP($B186,Seqs!$A:$B,2,0),E186,1),"")</f>
        <v>I</v>
      </c>
      <c r="E186" s="3">
        <v>61</v>
      </c>
      <c r="F186" s="3" t="str">
        <f>IFERROR(MID(VLOOKUP($B186,Seqs!$A:$B,2,0),G186,1),"")</f>
        <v>T</v>
      </c>
      <c r="G186" s="3">
        <v>88</v>
      </c>
      <c r="H186" s="3" t="str">
        <f>IFERROR(MID(VLOOKUP($B186,Seqs!$A:$B,2,0),I186,1),"")</f>
        <v/>
      </c>
      <c r="I186" s="23" t="s">
        <v>23</v>
      </c>
      <c r="J186" s="3" t="str">
        <f>IFERROR(MID(VLOOKUP($B186,Seqs!$A:$B,2,0),K186,1),"")</f>
        <v/>
      </c>
      <c r="K186" s="23" t="s">
        <v>23</v>
      </c>
      <c r="L186" s="3" t="str">
        <f>IFERROR(MID(VLOOKUP($B186,Seqs!$A:$B,2,0),M186,1),"")</f>
        <v>Q</v>
      </c>
      <c r="M186" s="3">
        <v>99</v>
      </c>
      <c r="N186" s="3" t="str">
        <f>IFERROR(MID(VLOOKUP($B186,Seqs!$A:$B,2,0),O186,1),"")</f>
        <v>V</v>
      </c>
      <c r="O186" s="3">
        <v>131</v>
      </c>
      <c r="P186" s="3" t="str">
        <f>IFERROR(MID(VLOOKUP($B186,Seqs!$A:$B,2,0),Q186,1),"")</f>
        <v>P</v>
      </c>
      <c r="Q186" s="3">
        <v>134</v>
      </c>
      <c r="R186" s="3" t="str">
        <f>IFERROR(MID(VLOOKUP($B186,Seqs!$A:$B,2,0),S186,1),"")</f>
        <v>F</v>
      </c>
      <c r="S186" s="3">
        <v>137</v>
      </c>
      <c r="T186" s="3" t="str">
        <f>IFERROR(MID(VLOOKUP($B186,Seqs!$A:$B,2,0),U186,1),"")</f>
        <v>G</v>
      </c>
      <c r="U186" s="3">
        <v>138</v>
      </c>
      <c r="V186" s="3" t="str">
        <f>IFERROR(MID(VLOOKUP($B186,Seqs!$A:$B,2,0),W186,1),"")</f>
        <v>H</v>
      </c>
      <c r="W186" s="3">
        <v>173</v>
      </c>
      <c r="X186" s="3" t="str">
        <f>IFERROR(MID(VLOOKUP($B186,Seqs!$A:$B,2,0),Y186,1),"")</f>
        <v/>
      </c>
      <c r="Y186" s="3" t="s">
        <v>23</v>
      </c>
      <c r="Z186" s="3" t="str">
        <f>IFERROR(MID(VLOOKUP($B186,Seqs!$A:$B,2,0),AA186,1),"")</f>
        <v/>
      </c>
      <c r="AA186" s="3" t="s">
        <v>23</v>
      </c>
      <c r="AB186" s="3" t="str">
        <f>IFERROR(MID(VLOOKUP($B186,Seqs!$A:$B,2,0),AC186,1),"")</f>
        <v>T</v>
      </c>
      <c r="AC186" s="9">
        <v>186</v>
      </c>
      <c r="AD186" s="3" t="str">
        <f>IFERROR(MID(VLOOKUP($B186,Seqs!$A:$B,2,0),AE186,1),"")</f>
        <v>M</v>
      </c>
      <c r="AE186" s="3">
        <v>208</v>
      </c>
      <c r="AF186" s="3" t="str">
        <f>IFERROR(MID(VLOOKUP($B186,Seqs!$A:$B,2,0),AG186,1),"")</f>
        <v>C</v>
      </c>
      <c r="AG186" s="3">
        <v>225</v>
      </c>
      <c r="AH186" s="3" t="str">
        <f>IFERROR(MID(VLOOKUP($B186,Seqs!$A:$B,2,0),AI186,1),"")</f>
        <v>P</v>
      </c>
      <c r="AI186" s="3">
        <v>227</v>
      </c>
      <c r="AJ186" s="3" t="str">
        <f>IFERROR(MID(VLOOKUP($B186,Seqs!$A:$B,2,0),AK186,1),"")</f>
        <v>T</v>
      </c>
      <c r="AK186" s="3">
        <v>231</v>
      </c>
      <c r="AL186" s="3" t="str">
        <f>IFERROR(MID(VLOOKUP($B186,Seqs!$A:$B,2,0),AM186,1),"")</f>
        <v>T</v>
      </c>
      <c r="AM186" s="3">
        <v>265</v>
      </c>
      <c r="AN186" s="3" t="str">
        <f>IFERROR(MID(VLOOKUP($B186,Seqs!$A:$B,2,0),AO186,1),"")</f>
        <v>A</v>
      </c>
      <c r="AO186" s="3">
        <v>302</v>
      </c>
      <c r="AP186" s="3" t="str">
        <f>IFERROR(MID(VLOOKUP($B186,Seqs!$A:$B,2,0),AQ186,1),"")</f>
        <v>I</v>
      </c>
      <c r="AQ186" s="3">
        <v>334</v>
      </c>
      <c r="AR186" s="3" t="str">
        <f>IFERROR(MID(VLOOKUP($B186,Seqs!$A:$B,2,0),AS186,1),"")</f>
        <v>T</v>
      </c>
      <c r="AS186" s="3">
        <v>340</v>
      </c>
      <c r="AT186" s="3" t="str">
        <f>IFERROR(MID(VLOOKUP($B186,Seqs!$A:$B,2,0),AU186,1),"")</f>
        <v>S</v>
      </c>
      <c r="AU186" s="3">
        <v>361</v>
      </c>
      <c r="AV186" s="3" t="str">
        <f>IFERROR(MID(VLOOKUP($B186,Seqs!$A:$B,2,0),AW186,1),"")</f>
        <v/>
      </c>
      <c r="AW186" s="3" t="s">
        <v>23</v>
      </c>
      <c r="AX186" s="3" t="str">
        <f>IFERROR(MID(VLOOKUP($B186,Seqs!$A:$B,2,0),AY186,1),"")</f>
        <v/>
      </c>
      <c r="AY186" s="3" t="s">
        <v>23</v>
      </c>
      <c r="AZ186" s="77" t="str">
        <f>VLOOKUP(B186,Classification!A:D,2,0)</f>
        <v>A</v>
      </c>
      <c r="BA186" s="94" t="str">
        <f>VLOOKUP(B186,Classification!A:D,4,0)</f>
        <v>Neurotensin</v>
      </c>
      <c r="BB186" s="27" t="b">
        <f t="shared" si="670"/>
        <v>1</v>
      </c>
      <c r="BC186" s="23">
        <f t="shared" si="643"/>
        <v>220</v>
      </c>
      <c r="BD186" s="5" t="s">
        <v>23</v>
      </c>
      <c r="BE186" s="3" t="s">
        <v>1439</v>
      </c>
      <c r="BF186" s="119">
        <v>2.8</v>
      </c>
      <c r="BG186" s="49" t="s">
        <v>1384</v>
      </c>
      <c r="BH186" s="49" t="s">
        <v>1384</v>
      </c>
      <c r="BI186" s="1"/>
      <c r="BJ186" s="70" t="s">
        <v>1293</v>
      </c>
      <c r="BK186" s="57" t="s">
        <v>1293</v>
      </c>
      <c r="BL186" s="57" t="s">
        <v>1293</v>
      </c>
      <c r="BM186" s="57" t="s">
        <v>1293</v>
      </c>
      <c r="BN186" s="57" t="s">
        <v>1293</v>
      </c>
      <c r="BO186" s="57" t="s">
        <v>1293</v>
      </c>
      <c r="BP186" s="57" t="s">
        <v>1293</v>
      </c>
      <c r="BQ186" s="57" t="s">
        <v>1293</v>
      </c>
      <c r="BR186" s="57" t="s">
        <v>1293</v>
      </c>
      <c r="BS186" s="57" t="s">
        <v>1293</v>
      </c>
      <c r="BT186" s="57" t="s">
        <v>1293</v>
      </c>
      <c r="BU186" s="57" t="s">
        <v>1293</v>
      </c>
      <c r="BV186" s="70">
        <f t="shared" si="644"/>
        <v>61</v>
      </c>
      <c r="BW186" s="71" t="str">
        <f t="shared" si="645"/>
        <v>-</v>
      </c>
      <c r="BX186" s="72">
        <f t="shared" si="646"/>
        <v>99</v>
      </c>
      <c r="BY186" s="71">
        <f t="shared" si="647"/>
        <v>134</v>
      </c>
      <c r="BZ186" s="72">
        <f t="shared" si="648"/>
        <v>138</v>
      </c>
      <c r="CA186" s="71" t="str">
        <f t="shared" si="649"/>
        <v>-</v>
      </c>
      <c r="CB186" s="72">
        <f t="shared" si="650"/>
        <v>186</v>
      </c>
      <c r="CC186" s="71">
        <f t="shared" si="651"/>
        <v>225</v>
      </c>
      <c r="CD186" s="72">
        <f t="shared" si="652"/>
        <v>231</v>
      </c>
      <c r="CE186" s="71">
        <f t="shared" si="653"/>
        <v>302</v>
      </c>
      <c r="CF186" s="72">
        <f t="shared" si="654"/>
        <v>340</v>
      </c>
      <c r="CG186" s="71" t="str">
        <f t="shared" si="655"/>
        <v>-</v>
      </c>
      <c r="CH186" s="70">
        <f t="shared" si="656"/>
        <v>88</v>
      </c>
      <c r="CI186" s="71" t="str">
        <f t="shared" si="657"/>
        <v>-</v>
      </c>
      <c r="CJ186" s="72">
        <f t="shared" si="658"/>
        <v>131</v>
      </c>
      <c r="CK186" s="72">
        <f t="shared" si="659"/>
        <v>137</v>
      </c>
      <c r="CL186" s="72">
        <f t="shared" si="660"/>
        <v>173</v>
      </c>
      <c r="CM186" s="72" t="str">
        <f t="shared" si="661"/>
        <v>-</v>
      </c>
      <c r="CN186" s="72">
        <f t="shared" si="662"/>
        <v>208</v>
      </c>
      <c r="CO186" s="72">
        <f t="shared" si="663"/>
        <v>227</v>
      </c>
      <c r="CP186" s="72">
        <f t="shared" si="664"/>
        <v>265</v>
      </c>
      <c r="CQ186" s="72">
        <f t="shared" si="665"/>
        <v>334</v>
      </c>
      <c r="CR186" s="72">
        <f t="shared" si="666"/>
        <v>361</v>
      </c>
      <c r="CS186" s="72" t="str">
        <f t="shared" si="667"/>
        <v>-</v>
      </c>
      <c r="CT186" s="23" t="e">
        <f t="shared" si="668"/>
        <v>#VALUE!</v>
      </c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  <c r="OK186" s="1"/>
      <c r="OL186" s="1"/>
      <c r="OM186" s="1"/>
      <c r="ON186" s="1"/>
      <c r="OO186" s="1"/>
      <c r="OP186" s="1"/>
      <c r="OQ186" s="1"/>
      <c r="OR186" s="1"/>
      <c r="OS186" s="1"/>
      <c r="OT186" s="1"/>
      <c r="OU186" s="1"/>
      <c r="OV186" s="1"/>
      <c r="OW186" s="1"/>
      <c r="OX186" s="1"/>
      <c r="OY186" s="1"/>
      <c r="OZ186" s="1"/>
      <c r="PA186" s="1"/>
      <c r="PB186" s="1"/>
      <c r="PC186" s="1"/>
      <c r="PD186" s="1"/>
      <c r="PE186" s="1"/>
      <c r="PF186" s="1"/>
      <c r="PG186" s="1"/>
      <c r="PH186" s="1"/>
      <c r="PI186" s="1"/>
      <c r="PJ186" s="1"/>
      <c r="PK186" s="1"/>
      <c r="PL186" s="1"/>
      <c r="PM186" s="1"/>
      <c r="PN186" s="1"/>
      <c r="PO186" s="1"/>
      <c r="PP186" s="1"/>
      <c r="PQ186" s="1"/>
      <c r="PR186" s="1"/>
      <c r="PS186" s="1"/>
      <c r="PT186" s="1"/>
      <c r="PU186" s="1"/>
      <c r="PV186" s="1"/>
      <c r="PW186" s="1"/>
      <c r="PX186" s="1"/>
      <c r="PY186" s="1"/>
      <c r="PZ186" s="1"/>
      <c r="QA186" s="1"/>
      <c r="QB186" s="1"/>
      <c r="QC186" s="1"/>
      <c r="QD186" s="1"/>
      <c r="QE186" s="1"/>
      <c r="QF186" s="1"/>
      <c r="QG186" s="1"/>
      <c r="QH186" s="1"/>
      <c r="QI186" s="1"/>
      <c r="QJ186" s="1"/>
      <c r="QK186" s="1"/>
      <c r="QL186" s="1"/>
      <c r="QM186" s="1"/>
      <c r="QN186" s="1"/>
      <c r="QO186" s="1"/>
      <c r="QP186" s="1"/>
      <c r="QQ186" s="1"/>
      <c r="QR186" s="1"/>
      <c r="QS186" s="1"/>
      <c r="QT186" s="1"/>
      <c r="QU186" s="1"/>
      <c r="QV186" s="1"/>
      <c r="QW186" s="1"/>
      <c r="QX186" s="1"/>
      <c r="QY186" s="1"/>
      <c r="QZ186" s="1"/>
      <c r="RA186" s="1"/>
      <c r="RB186" s="1"/>
      <c r="RC186" s="1"/>
      <c r="RD186" s="1"/>
      <c r="RE186" s="1"/>
      <c r="RF186" s="1"/>
      <c r="RG186" s="1"/>
      <c r="RH186" s="1"/>
      <c r="RI186" s="1"/>
      <c r="RJ186" s="1"/>
      <c r="RK186" s="1"/>
      <c r="RL186" s="1"/>
      <c r="RM186" s="1"/>
      <c r="RN186" s="1"/>
      <c r="RO186" s="1"/>
      <c r="RP186" s="1"/>
      <c r="RQ186" s="1"/>
      <c r="RR186" s="1"/>
      <c r="RS186" s="1"/>
      <c r="RT186" s="1"/>
      <c r="RU186" s="1"/>
      <c r="RV186" s="1"/>
      <c r="RW186" s="1"/>
      <c r="RX186" s="1"/>
      <c r="RY186" s="1"/>
      <c r="RZ186" s="1"/>
      <c r="SA186" s="1"/>
      <c r="SB186" s="1"/>
      <c r="SC186" s="1"/>
      <c r="SD186" s="1"/>
      <c r="SE186" s="1"/>
      <c r="SF186" s="1"/>
      <c r="SG186" s="1"/>
      <c r="SH186" s="1"/>
      <c r="SI186" s="1"/>
      <c r="SJ186" s="1"/>
      <c r="SK186" s="1"/>
      <c r="SL186" s="1"/>
      <c r="SM186" s="1"/>
      <c r="SN186" s="1"/>
      <c r="SO186" s="1"/>
      <c r="SP186" s="1"/>
      <c r="SQ186" s="1"/>
      <c r="SR186" s="1"/>
      <c r="SS186" s="1"/>
      <c r="ST186" s="1"/>
      <c r="SU186" s="1"/>
      <c r="SV186" s="1"/>
      <c r="SW186" s="1"/>
      <c r="SX186" s="1"/>
      <c r="SY186" s="1"/>
      <c r="SZ186" s="1"/>
      <c r="TA186" s="1"/>
      <c r="TB186" s="1"/>
      <c r="TC186" s="1"/>
      <c r="TD186" s="1"/>
      <c r="TE186" s="1"/>
      <c r="TF186" s="1"/>
      <c r="TG186" s="1"/>
      <c r="TH186" s="1"/>
      <c r="TI186" s="1"/>
      <c r="TJ186" s="1"/>
      <c r="TK186" s="1"/>
      <c r="TL186" s="1"/>
      <c r="TM186" s="1"/>
      <c r="TN186" s="1"/>
      <c r="TO186" s="1"/>
      <c r="TP186" s="1"/>
      <c r="TQ186" s="1"/>
      <c r="TR186" s="1"/>
      <c r="TS186" s="1"/>
      <c r="TT186" s="1"/>
      <c r="TU186" s="1"/>
      <c r="TV186" s="1"/>
      <c r="TW186" s="1"/>
      <c r="TX186" s="1"/>
      <c r="TY186" s="1"/>
      <c r="TZ186" s="1"/>
      <c r="UA186" s="1"/>
      <c r="UB186" s="1"/>
      <c r="UC186" s="1"/>
      <c r="UD186" s="1"/>
      <c r="UE186" s="1"/>
      <c r="UF186" s="1"/>
      <c r="UG186" s="1"/>
      <c r="UH186" s="1"/>
      <c r="UI186" s="1"/>
      <c r="UJ186" s="1"/>
      <c r="UK186" s="1"/>
      <c r="UL186" s="1"/>
      <c r="UM186" s="1"/>
      <c r="UN186" s="1"/>
      <c r="UO186" s="1"/>
      <c r="UP186" s="1"/>
      <c r="UQ186" s="1"/>
      <c r="UR186" s="1"/>
      <c r="US186" s="1"/>
      <c r="UT186" s="1"/>
      <c r="UU186" s="1"/>
      <c r="UV186" s="1"/>
      <c r="UW186" s="1"/>
      <c r="UX186" s="1"/>
      <c r="UY186" s="1"/>
      <c r="UZ186" s="1"/>
      <c r="VA186" s="1"/>
      <c r="VB186" s="1"/>
      <c r="VC186" s="1"/>
      <c r="VD186" s="1"/>
      <c r="VE186" s="1"/>
      <c r="VF186" s="1"/>
      <c r="VG186" s="1"/>
      <c r="VH186" s="1"/>
      <c r="VI186" s="1"/>
      <c r="VJ186" s="1"/>
      <c r="VK186" s="1"/>
      <c r="VL186" s="1"/>
      <c r="VM186" s="1"/>
      <c r="VN186" s="1"/>
      <c r="VO186" s="1"/>
      <c r="VP186" s="1"/>
      <c r="VQ186" s="1"/>
      <c r="VR186" s="1"/>
      <c r="VS186" s="1"/>
      <c r="VT186" s="1"/>
      <c r="VU186" s="1"/>
      <c r="VV186" s="1"/>
      <c r="VW186" s="1"/>
      <c r="VX186" s="1"/>
      <c r="VY186" s="1"/>
      <c r="VZ186" s="1"/>
      <c r="WA186" s="1"/>
      <c r="WB186" s="1"/>
      <c r="WC186" s="1"/>
      <c r="WD186" s="1"/>
      <c r="WE186" s="1"/>
      <c r="WF186" s="1"/>
      <c r="WG186" s="1"/>
      <c r="WH186" s="1"/>
      <c r="WI186" s="1"/>
      <c r="WJ186" s="1"/>
      <c r="WK186" s="1"/>
      <c r="WL186" s="1"/>
      <c r="WM186" s="1"/>
      <c r="WN186" s="1"/>
      <c r="WO186" s="1"/>
      <c r="WP186" s="1"/>
      <c r="WQ186" s="1"/>
      <c r="WR186" s="1"/>
      <c r="WS186" s="1"/>
      <c r="WT186" s="1"/>
      <c r="WU186" s="1"/>
      <c r="WV186" s="1"/>
      <c r="WW186" s="1"/>
      <c r="WX186" s="1"/>
      <c r="WY186" s="1"/>
      <c r="WZ186" s="1"/>
      <c r="XA186" s="1"/>
      <c r="XB186" s="1"/>
      <c r="XC186" s="1"/>
      <c r="XD186" s="1"/>
      <c r="XE186" s="1"/>
      <c r="XF186" s="1"/>
      <c r="XG186" s="1"/>
      <c r="XH186" s="1"/>
      <c r="XI186" s="1"/>
      <c r="XJ186" s="1"/>
      <c r="XK186" s="1"/>
      <c r="XL186" s="1"/>
      <c r="XM186" s="1"/>
      <c r="XN186" s="1"/>
      <c r="XO186" s="1"/>
      <c r="XP186" s="1"/>
      <c r="XQ186" s="1"/>
      <c r="XR186" s="1"/>
      <c r="XS186" s="1"/>
      <c r="XT186" s="1"/>
      <c r="XU186" s="1"/>
      <c r="XV186" s="1"/>
      <c r="XW186" s="1"/>
      <c r="XX186" s="1"/>
      <c r="XY186" s="1"/>
      <c r="XZ186" s="1"/>
      <c r="YA186" s="1"/>
      <c r="YB186" s="1"/>
      <c r="YC186" s="1"/>
      <c r="YD186" s="1"/>
      <c r="YE186" s="1"/>
      <c r="YF186" s="1"/>
      <c r="YG186" s="1"/>
      <c r="YH186" s="1"/>
      <c r="YI186" s="1"/>
      <c r="YJ186" s="1"/>
      <c r="YK186" s="1"/>
      <c r="YL186" s="1"/>
      <c r="YM186" s="1"/>
      <c r="YN186" s="1"/>
      <c r="YO186" s="1"/>
      <c r="YP186" s="1"/>
      <c r="YQ186" s="1"/>
      <c r="YR186" s="1"/>
      <c r="YS186" s="1"/>
      <c r="YT186" s="1"/>
      <c r="YU186" s="1"/>
      <c r="YV186" s="1"/>
      <c r="YW186" s="1"/>
      <c r="YX186" s="1"/>
      <c r="YY186" s="1"/>
      <c r="YZ186" s="1"/>
      <c r="ZA186" s="1"/>
      <c r="ZB186" s="1"/>
      <c r="ZC186" s="1"/>
      <c r="ZD186" s="1"/>
      <c r="ZE186" s="1"/>
      <c r="ZF186" s="1"/>
      <c r="ZG186" s="1"/>
      <c r="ZH186" s="1"/>
      <c r="ZI186" s="1"/>
      <c r="ZJ186" s="1"/>
      <c r="ZK186" s="1"/>
      <c r="ZL186" s="1"/>
      <c r="ZM186" s="1"/>
      <c r="ZN186" s="1"/>
      <c r="ZO186" s="1"/>
      <c r="ZP186" s="1"/>
      <c r="ZQ186" s="1"/>
      <c r="ZR186" s="1"/>
      <c r="ZS186" s="1"/>
      <c r="ZT186" s="1"/>
      <c r="ZU186" s="1"/>
      <c r="ZV186" s="1"/>
      <c r="ZW186" s="1"/>
      <c r="ZX186" s="1"/>
      <c r="ZY186" s="1"/>
      <c r="ZZ186" s="1"/>
      <c r="AAA186" s="1"/>
      <c r="AAB186" s="1"/>
      <c r="AAC186" s="1"/>
      <c r="AAD186" s="1"/>
      <c r="AAE186" s="1"/>
      <c r="AAF186" s="1"/>
      <c r="AAG186" s="1"/>
      <c r="AAH186" s="1"/>
      <c r="AAI186" s="1"/>
      <c r="AAJ186" s="1"/>
      <c r="AAK186" s="1"/>
      <c r="AAL186" s="1"/>
      <c r="AAM186" s="1"/>
      <c r="AAN186" s="1"/>
      <c r="AAO186" s="1"/>
      <c r="AAP186" s="1"/>
      <c r="AAQ186" s="1"/>
      <c r="AAR186" s="1"/>
      <c r="AAS186" s="1"/>
      <c r="AAT186" s="1"/>
      <c r="AAU186" s="1"/>
      <c r="AAV186" s="1"/>
      <c r="AAW186" s="1"/>
      <c r="AAX186" s="1"/>
      <c r="AAY186" s="1"/>
      <c r="AAZ186" s="1"/>
      <c r="ABA186" s="1"/>
      <c r="ABB186" s="1"/>
      <c r="ABC186" s="1"/>
      <c r="ABD186" s="1"/>
      <c r="ABE186" s="1"/>
      <c r="ABF186" s="1"/>
      <c r="ABG186" s="1"/>
      <c r="ABH186" s="1"/>
      <c r="ABI186" s="1"/>
      <c r="ABJ186" s="1"/>
      <c r="ABK186" s="1"/>
      <c r="ABL186" s="1"/>
      <c r="ABM186" s="1"/>
      <c r="ABN186" s="1"/>
      <c r="ABO186" s="1"/>
      <c r="ABP186" s="1"/>
      <c r="ABQ186" s="1"/>
      <c r="ABR186" s="1"/>
      <c r="ABS186" s="1"/>
      <c r="ABT186" s="1"/>
      <c r="ABU186" s="1"/>
      <c r="ABV186" s="1"/>
      <c r="ABW186" s="1"/>
      <c r="ABX186" s="1"/>
      <c r="ABY186" s="1"/>
      <c r="ABZ186" s="1"/>
      <c r="ACA186" s="1"/>
      <c r="ACB186" s="1"/>
      <c r="ACC186" s="1"/>
      <c r="ACD186" s="1"/>
      <c r="ACE186" s="1"/>
      <c r="ACF186" s="1"/>
      <c r="ACG186" s="1"/>
      <c r="ACH186" s="1"/>
      <c r="ACI186" s="1"/>
      <c r="ACJ186" s="1"/>
      <c r="ACK186" s="1"/>
      <c r="ACL186" s="1"/>
      <c r="ACM186" s="1"/>
      <c r="ACN186" s="1"/>
      <c r="ACO186" s="1"/>
      <c r="ACP186" s="1"/>
      <c r="ACQ186" s="1"/>
      <c r="ACR186" s="1"/>
      <c r="ACS186" s="1"/>
      <c r="ACT186" s="1"/>
      <c r="ACU186" s="1"/>
      <c r="ACV186" s="1"/>
      <c r="ACW186" s="1"/>
      <c r="ACX186" s="1"/>
      <c r="ACY186" s="1"/>
      <c r="ACZ186" s="1"/>
      <c r="ADA186" s="1"/>
      <c r="ADB186" s="1"/>
      <c r="ADC186" s="1"/>
      <c r="ADD186" s="1"/>
      <c r="ADE186" s="1"/>
      <c r="ADF186" s="1"/>
      <c r="ADG186" s="1"/>
      <c r="ADH186" s="1"/>
      <c r="ADI186" s="1"/>
      <c r="ADJ186" s="1"/>
      <c r="ADK186" s="1"/>
      <c r="ADL186" s="1"/>
      <c r="ADM186" s="1"/>
      <c r="ADN186" s="1"/>
      <c r="ADO186" s="1"/>
      <c r="ADP186" s="1"/>
      <c r="ADQ186" s="1"/>
      <c r="ADR186" s="1"/>
      <c r="ADS186" s="1"/>
      <c r="ADT186" s="1"/>
      <c r="ADU186" s="1"/>
      <c r="ADV186" s="1"/>
      <c r="ADW186" s="1"/>
      <c r="ADX186" s="1"/>
      <c r="ADY186" s="1"/>
      <c r="ADZ186" s="1"/>
      <c r="AEA186" s="1"/>
      <c r="AEB186" s="1"/>
      <c r="AEC186" s="1"/>
      <c r="AED186" s="1"/>
      <c r="AEE186" s="1"/>
      <c r="AEF186" s="1"/>
      <c r="AEG186" s="1"/>
      <c r="AEH186" s="1"/>
      <c r="AEI186" s="1"/>
      <c r="AEJ186" s="1"/>
      <c r="AEK186" s="1"/>
      <c r="AEL186" s="1"/>
      <c r="AEM186" s="1"/>
      <c r="AEN186" s="1"/>
      <c r="AEO186" s="1"/>
      <c r="AEP186" s="1"/>
      <c r="AEQ186" s="1"/>
      <c r="AER186" s="1"/>
      <c r="AES186" s="1"/>
      <c r="AET186" s="1"/>
      <c r="AEU186" s="1"/>
      <c r="AEV186" s="1"/>
      <c r="AEW186" s="1"/>
      <c r="AEX186" s="1"/>
      <c r="AEY186" s="1"/>
      <c r="AEZ186" s="1"/>
      <c r="AFA186" s="1"/>
      <c r="AFB186" s="1"/>
      <c r="AFC186" s="1"/>
      <c r="AFD186" s="1"/>
      <c r="AFE186" s="1"/>
      <c r="AFF186" s="1"/>
      <c r="AFG186" s="1"/>
      <c r="AFH186" s="1"/>
      <c r="AFI186" s="1"/>
      <c r="AFJ186" s="1"/>
      <c r="AFK186" s="1"/>
      <c r="AFL186" s="1"/>
      <c r="AFM186" s="1"/>
      <c r="AFN186" s="1"/>
      <c r="AFO186" s="1"/>
      <c r="AFP186" s="1"/>
      <c r="AFQ186" s="1"/>
      <c r="AFR186" s="1"/>
      <c r="AFS186" s="1"/>
      <c r="AFT186" s="1"/>
      <c r="AFU186" s="1"/>
      <c r="AFV186" s="1"/>
      <c r="AFW186" s="1"/>
      <c r="AFX186" s="1"/>
      <c r="AFY186" s="1"/>
      <c r="AFZ186" s="1"/>
      <c r="AGA186" s="1"/>
      <c r="AGB186" s="1"/>
      <c r="AGC186" s="1"/>
      <c r="AGD186" s="1"/>
      <c r="AGE186" s="1"/>
      <c r="AGF186" s="1"/>
      <c r="AGG186" s="1"/>
      <c r="AGH186" s="1"/>
      <c r="AGI186" s="1"/>
      <c r="AGJ186" s="1"/>
      <c r="AGK186" s="1"/>
      <c r="AGL186" s="1"/>
      <c r="AGM186" s="1"/>
      <c r="AGN186" s="1"/>
      <c r="AGO186" s="1"/>
      <c r="AGP186" s="1"/>
      <c r="AGQ186" s="1"/>
      <c r="AGR186" s="1"/>
      <c r="AGS186" s="1"/>
      <c r="AGT186" s="1"/>
      <c r="AGU186" s="1"/>
      <c r="AGV186" s="1"/>
      <c r="AGW186" s="1"/>
      <c r="AGX186" s="1"/>
      <c r="AGY186" s="1"/>
      <c r="AGZ186" s="1"/>
      <c r="AHA186" s="1"/>
      <c r="AHB186" s="1"/>
      <c r="AHC186" s="1"/>
      <c r="AHD186" s="1"/>
      <c r="AHE186" s="1"/>
      <c r="AHF186" s="1"/>
      <c r="AHG186" s="1"/>
      <c r="AHH186" s="1"/>
      <c r="AHI186" s="1"/>
      <c r="AHJ186" s="1"/>
      <c r="AHK186" s="1"/>
      <c r="AHL186" s="1"/>
      <c r="AHM186" s="1"/>
      <c r="AHN186" s="1"/>
      <c r="AHO186" s="1"/>
      <c r="AHP186" s="1"/>
      <c r="AHQ186" s="1"/>
      <c r="AHR186" s="1"/>
      <c r="AHS186" s="1"/>
      <c r="AHT186" s="1"/>
      <c r="AHU186" s="1"/>
      <c r="AHV186" s="1"/>
      <c r="AHW186" s="1"/>
      <c r="AHX186" s="1"/>
      <c r="AHY186" s="1"/>
      <c r="AHZ186" s="1"/>
      <c r="AIA186" s="1"/>
      <c r="AIB186" s="1"/>
      <c r="AIC186" s="1"/>
      <c r="AID186" s="1"/>
      <c r="AIE186" s="1"/>
      <c r="AIF186" s="1"/>
      <c r="AIG186" s="1"/>
      <c r="AIH186" s="1"/>
      <c r="AII186" s="1"/>
      <c r="AIJ186" s="1"/>
      <c r="AIK186" s="1"/>
      <c r="AIL186" s="1"/>
      <c r="AIM186" s="1"/>
      <c r="AIN186" s="1"/>
      <c r="AIO186" s="1"/>
      <c r="AIP186" s="1"/>
      <c r="AIQ186" s="1"/>
      <c r="AIR186" s="1"/>
      <c r="AIS186" s="1"/>
      <c r="AIT186" s="1"/>
      <c r="AIU186" s="1"/>
      <c r="AIV186" s="1"/>
      <c r="AIW186" s="1"/>
      <c r="AIX186" s="1"/>
      <c r="AIY186" s="1"/>
      <c r="AIZ186" s="1"/>
      <c r="AJA186" s="1"/>
      <c r="AJB186" s="1"/>
      <c r="AJC186" s="1"/>
      <c r="AJD186" s="1"/>
      <c r="AJE186" s="1"/>
      <c r="AJF186" s="1"/>
      <c r="AJG186" s="1"/>
      <c r="AJH186" s="1"/>
      <c r="AJI186" s="1"/>
      <c r="AJJ186" s="1"/>
      <c r="AJK186" s="1"/>
      <c r="AJL186" s="1"/>
      <c r="AJM186" s="1"/>
      <c r="AJN186" s="1"/>
      <c r="AJO186" s="1"/>
      <c r="AJP186" s="1"/>
      <c r="AJQ186" s="1"/>
      <c r="AJR186" s="1"/>
      <c r="AJS186" s="1"/>
      <c r="AJT186" s="1"/>
      <c r="AJU186" s="1"/>
      <c r="AJV186" s="1"/>
      <c r="AJW186" s="1"/>
      <c r="AJX186" s="1"/>
      <c r="AJY186" s="1"/>
      <c r="AJZ186" s="1"/>
      <c r="AKA186" s="1"/>
      <c r="AKB186" s="1"/>
      <c r="AKC186" s="1"/>
      <c r="AKD186" s="1"/>
      <c r="AKE186" s="1"/>
      <c r="AKF186" s="1"/>
      <c r="AKG186" s="1"/>
      <c r="AKH186" s="1"/>
      <c r="AKI186" s="1"/>
      <c r="AKJ186" s="1"/>
      <c r="AKK186" s="1"/>
      <c r="AKL186" s="1"/>
      <c r="AKM186" s="1"/>
      <c r="AKN186" s="1"/>
      <c r="AKO186" s="1"/>
      <c r="AKP186" s="1"/>
      <c r="AKQ186" s="1"/>
      <c r="AKR186" s="1"/>
      <c r="AKS186" s="1"/>
      <c r="AKT186" s="1"/>
      <c r="AKU186" s="1"/>
      <c r="AKV186" s="1"/>
      <c r="AKW186" s="1"/>
      <c r="AKX186" s="1"/>
      <c r="AKY186" s="1"/>
      <c r="AKZ186" s="1"/>
      <c r="ALA186" s="1"/>
      <c r="ALB186" s="1"/>
      <c r="ALC186" s="1"/>
      <c r="ALD186" s="1"/>
      <c r="ALE186" s="1"/>
      <c r="ALF186" s="1"/>
      <c r="ALG186" s="1"/>
      <c r="ALH186" s="1"/>
      <c r="ALI186" s="1"/>
      <c r="ALJ186" s="1"/>
      <c r="ALK186" s="1"/>
      <c r="ALL186" s="1"/>
      <c r="ALM186" s="1"/>
      <c r="ALN186" s="1"/>
      <c r="ALO186" s="1"/>
      <c r="ALP186" s="1"/>
      <c r="ALQ186" s="1"/>
      <c r="ALR186" s="1"/>
      <c r="ALS186" s="1"/>
      <c r="ALT186" s="1"/>
      <c r="ALU186" s="1"/>
      <c r="ALV186" s="1"/>
      <c r="ALW186" s="1"/>
      <c r="ALX186" s="1"/>
      <c r="ALY186" s="1"/>
      <c r="ALZ186" s="1"/>
      <c r="AMA186" s="1"/>
      <c r="AMB186" s="1"/>
      <c r="AMC186" s="1"/>
      <c r="AMD186" s="1"/>
      <c r="AME186" s="1"/>
      <c r="AMF186" s="1"/>
      <c r="AMG186" s="1"/>
      <c r="AMH186" s="1"/>
      <c r="AMI186" s="1"/>
      <c r="AMJ186" s="1"/>
      <c r="AMK186" s="1"/>
      <c r="AML186" s="1"/>
      <c r="AMM186" s="1"/>
      <c r="AMN186" s="1"/>
      <c r="AMO186" s="1"/>
    </row>
    <row r="187" spans="1:1030" x14ac:dyDescent="0.2">
      <c r="A187" s="3" t="str">
        <f t="shared" si="669"/>
        <v>ntr1_rat_4XEE</v>
      </c>
      <c r="B187" s="3" t="s">
        <v>914</v>
      </c>
      <c r="C187" s="3" t="s">
        <v>1356</v>
      </c>
      <c r="D187" s="3" t="str">
        <f>IFERROR(MID(VLOOKUP($B187,Seqs!$A:$B,2,0),E187,1),"")</f>
        <v>I</v>
      </c>
      <c r="E187" s="3">
        <v>61</v>
      </c>
      <c r="F187" s="3" t="str">
        <f>IFERROR(MID(VLOOKUP($B187,Seqs!$A:$B,2,0),G187,1),"")</f>
        <v>R</v>
      </c>
      <c r="G187" s="3">
        <v>91</v>
      </c>
      <c r="H187" s="3" t="str">
        <f>IFERROR(MID(VLOOKUP($B187,Seqs!$A:$B,2,0),I187,1),"")</f>
        <v/>
      </c>
      <c r="I187" s="23" t="s">
        <v>23</v>
      </c>
      <c r="J187" s="3" t="str">
        <f>IFERROR(MID(VLOOKUP($B187,Seqs!$A:$B,2,0),K187,1),"")</f>
        <v/>
      </c>
      <c r="K187" s="23" t="s">
        <v>23</v>
      </c>
      <c r="L187" s="3" t="str">
        <f>IFERROR(MID(VLOOKUP($B187,Seqs!$A:$B,2,0),M187,1),"")</f>
        <v>S</v>
      </c>
      <c r="M187" s="3">
        <v>100</v>
      </c>
      <c r="N187" s="3" t="str">
        <f>IFERROR(MID(VLOOKUP($B187,Seqs!$A:$B,2,0),O187,1),"")</f>
        <v>V</v>
      </c>
      <c r="O187" s="3">
        <v>131</v>
      </c>
      <c r="P187" s="3" t="str">
        <f>IFERROR(MID(VLOOKUP($B187,Seqs!$A:$B,2,0),Q187,1),"")</f>
        <v>P</v>
      </c>
      <c r="Q187" s="3">
        <v>134</v>
      </c>
      <c r="R187" s="3" t="str">
        <f>IFERROR(MID(VLOOKUP($B187,Seqs!$A:$B,2,0),S187,1),"")</f>
        <v>F</v>
      </c>
      <c r="S187" s="3">
        <v>137</v>
      </c>
      <c r="T187" s="3" t="str">
        <f>IFERROR(MID(VLOOKUP($B187,Seqs!$A:$B,2,0),U187,1),"")</f>
        <v>G</v>
      </c>
      <c r="U187" s="3">
        <v>138</v>
      </c>
      <c r="V187" s="3" t="str">
        <f>IFERROR(MID(VLOOKUP($B187,Seqs!$A:$B,2,0),W187,1),"")</f>
        <v>H</v>
      </c>
      <c r="W187" s="3">
        <v>173</v>
      </c>
      <c r="X187" s="3" t="str">
        <f>IFERROR(MID(VLOOKUP($B187,Seqs!$A:$B,2,0),Y187,1),"")</f>
        <v>P</v>
      </c>
      <c r="Y187" s="3">
        <v>174</v>
      </c>
      <c r="Z187" s="3" t="str">
        <f>IFERROR(MID(VLOOKUP($B187,Seqs!$A:$B,2,0),AA187,1),"")</f>
        <v>M</v>
      </c>
      <c r="AA187" s="3">
        <v>181</v>
      </c>
      <c r="AB187" s="3" t="str">
        <f>IFERROR(MID(VLOOKUP($B187,Seqs!$A:$B,2,0),AC187,1),"")</f>
        <v>S</v>
      </c>
      <c r="AC187" s="9">
        <v>182</v>
      </c>
      <c r="AD187" s="3" t="str">
        <f>IFERROR(MID(VLOOKUP($B187,Seqs!$A:$B,2,0),AE187,1),"")</f>
        <v>M</v>
      </c>
      <c r="AE187" s="3">
        <v>208</v>
      </c>
      <c r="AF187" s="3" t="str">
        <f>IFERROR(MID(VLOOKUP($B187,Seqs!$A:$B,2,0),AG187,1),"")</f>
        <v>C</v>
      </c>
      <c r="AG187" s="3">
        <v>225</v>
      </c>
      <c r="AH187" s="3" t="str">
        <f>IFERROR(MID(VLOOKUP($B187,Seqs!$A:$B,2,0),AI187,1),"")</f>
        <v>P</v>
      </c>
      <c r="AI187" s="3">
        <v>227</v>
      </c>
      <c r="AJ187" s="3" t="str">
        <f>IFERROR(MID(VLOOKUP($B187,Seqs!$A:$B,2,0),AK187,1),"")</f>
        <v>T</v>
      </c>
      <c r="AK187" s="3">
        <v>231</v>
      </c>
      <c r="AL187" s="3" t="str">
        <f>IFERROR(MID(VLOOKUP($B187,Seqs!$A:$B,2,0),AM187,1),"")</f>
        <v>V</v>
      </c>
      <c r="AM187" s="3">
        <v>268</v>
      </c>
      <c r="AN187" s="3" t="str">
        <f>IFERROR(MID(VLOOKUP($B187,Seqs!$A:$B,2,0),AO187,1),"")</f>
        <v>Q</v>
      </c>
      <c r="AO187" s="3">
        <v>301</v>
      </c>
      <c r="AP187" s="3" t="str">
        <f>IFERROR(MID(VLOOKUP($B187,Seqs!$A:$B,2,0),AQ187,1),"")</f>
        <v>I</v>
      </c>
      <c r="AQ187" s="3">
        <v>334</v>
      </c>
      <c r="AR187" s="3" t="str">
        <f>IFERROR(MID(VLOOKUP($B187,Seqs!$A:$B,2,0),AS187,1),"")</f>
        <v>T</v>
      </c>
      <c r="AS187" s="3">
        <v>340</v>
      </c>
      <c r="AT187" s="3" t="str">
        <f>IFERROR(MID(VLOOKUP($B187,Seqs!$A:$B,2,0),AU187,1),"")</f>
        <v>I</v>
      </c>
      <c r="AU187" s="3">
        <v>364</v>
      </c>
      <c r="AV187" s="3" t="str">
        <f>IFERROR(MID(VLOOKUP($B187,Seqs!$A:$B,2,0),AW187,1),"")</f>
        <v/>
      </c>
      <c r="AW187" s="3" t="s">
        <v>23</v>
      </c>
      <c r="AX187" s="3" t="str">
        <f>IFERROR(MID(VLOOKUP($B187,Seqs!$A:$B,2,0),AY187,1),"")</f>
        <v/>
      </c>
      <c r="AY187" s="3" t="s">
        <v>23</v>
      </c>
      <c r="AZ187" s="77" t="str">
        <f>VLOOKUP(B187,Classification!A:D,2,0)</f>
        <v>A</v>
      </c>
      <c r="BA187" s="94" t="str">
        <f>VLOOKUP(B187,Classification!A:D,4,0)</f>
        <v>Neurotensin</v>
      </c>
      <c r="BB187" s="27" t="b">
        <f t="shared" si="670"/>
        <v>1</v>
      </c>
      <c r="BC187" s="23">
        <f t="shared" si="643"/>
        <v>240</v>
      </c>
      <c r="BD187" s="4" t="s">
        <v>23</v>
      </c>
      <c r="BE187" s="3" t="s">
        <v>1439</v>
      </c>
      <c r="BF187" s="119">
        <v>2.9</v>
      </c>
      <c r="BG187" s="49" t="s">
        <v>1384</v>
      </c>
      <c r="BH187" s="49" t="s">
        <v>1384</v>
      </c>
      <c r="BI187" s="1"/>
      <c r="BJ187" s="70" t="s">
        <v>1293</v>
      </c>
      <c r="BK187" s="57" t="s">
        <v>1293</v>
      </c>
      <c r="BL187" s="57" t="s">
        <v>1293</v>
      </c>
      <c r="BM187" s="57" t="s">
        <v>1293</v>
      </c>
      <c r="BN187" s="57" t="s">
        <v>1293</v>
      </c>
      <c r="BO187" s="57" t="s">
        <v>1293</v>
      </c>
      <c r="BP187" s="57" t="s">
        <v>1293</v>
      </c>
      <c r="BQ187" s="57" t="s">
        <v>1293</v>
      </c>
      <c r="BR187" s="57" t="s">
        <v>1293</v>
      </c>
      <c r="BS187" s="57" t="s">
        <v>1293</v>
      </c>
      <c r="BT187" s="57" t="s">
        <v>1293</v>
      </c>
      <c r="BU187" s="57" t="s">
        <v>1293</v>
      </c>
      <c r="BV187" s="70">
        <f t="shared" si="644"/>
        <v>61</v>
      </c>
      <c r="BW187" s="71" t="str">
        <f t="shared" si="645"/>
        <v>-</v>
      </c>
      <c r="BX187" s="72">
        <f t="shared" si="646"/>
        <v>100</v>
      </c>
      <c r="BY187" s="71">
        <f t="shared" si="647"/>
        <v>134</v>
      </c>
      <c r="BZ187" s="72">
        <f t="shared" si="648"/>
        <v>138</v>
      </c>
      <c r="CA187" s="71">
        <f t="shared" si="649"/>
        <v>174</v>
      </c>
      <c r="CB187" s="72">
        <f t="shared" si="650"/>
        <v>182</v>
      </c>
      <c r="CC187" s="71">
        <f t="shared" si="651"/>
        <v>225</v>
      </c>
      <c r="CD187" s="72">
        <f t="shared" si="652"/>
        <v>231</v>
      </c>
      <c r="CE187" s="71">
        <f t="shared" si="653"/>
        <v>301</v>
      </c>
      <c r="CF187" s="72">
        <f t="shared" si="654"/>
        <v>340</v>
      </c>
      <c r="CG187" s="71" t="str">
        <f t="shared" si="655"/>
        <v>-</v>
      </c>
      <c r="CH187" s="70">
        <f t="shared" si="656"/>
        <v>91</v>
      </c>
      <c r="CI187" s="71" t="str">
        <f t="shared" si="657"/>
        <v>-</v>
      </c>
      <c r="CJ187" s="72">
        <f t="shared" si="658"/>
        <v>131</v>
      </c>
      <c r="CK187" s="72">
        <f t="shared" si="659"/>
        <v>137</v>
      </c>
      <c r="CL187" s="72">
        <f t="shared" si="660"/>
        <v>173</v>
      </c>
      <c r="CM187" s="72">
        <f t="shared" si="661"/>
        <v>181</v>
      </c>
      <c r="CN187" s="72">
        <f t="shared" si="662"/>
        <v>208</v>
      </c>
      <c r="CO187" s="72">
        <f t="shared" si="663"/>
        <v>227</v>
      </c>
      <c r="CP187" s="72">
        <f t="shared" si="664"/>
        <v>268</v>
      </c>
      <c r="CQ187" s="72">
        <f t="shared" si="665"/>
        <v>334</v>
      </c>
      <c r="CR187" s="72">
        <f t="shared" si="666"/>
        <v>364</v>
      </c>
      <c r="CS187" s="72" t="str">
        <f t="shared" si="667"/>
        <v>-</v>
      </c>
      <c r="CT187" s="23" t="e">
        <f t="shared" si="668"/>
        <v>#VALUE!</v>
      </c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  <c r="OK187" s="1"/>
      <c r="OL187" s="1"/>
      <c r="OM187" s="1"/>
      <c r="ON187" s="1"/>
      <c r="OO187" s="1"/>
      <c r="OP187" s="1"/>
      <c r="OQ187" s="1"/>
      <c r="OR187" s="1"/>
      <c r="OS187" s="1"/>
      <c r="OT187" s="1"/>
      <c r="OU187" s="1"/>
      <c r="OV187" s="1"/>
      <c r="OW187" s="1"/>
      <c r="OX187" s="1"/>
      <c r="OY187" s="1"/>
      <c r="OZ187" s="1"/>
      <c r="PA187" s="1"/>
      <c r="PB187" s="1"/>
      <c r="PC187" s="1"/>
      <c r="PD187" s="1"/>
      <c r="PE187" s="1"/>
      <c r="PF187" s="1"/>
      <c r="PG187" s="1"/>
      <c r="PH187" s="1"/>
      <c r="PI187" s="1"/>
      <c r="PJ187" s="1"/>
      <c r="PK187" s="1"/>
      <c r="PL187" s="1"/>
      <c r="PM187" s="1"/>
      <c r="PN187" s="1"/>
      <c r="PO187" s="1"/>
      <c r="PP187" s="1"/>
      <c r="PQ187" s="1"/>
      <c r="PR187" s="1"/>
      <c r="PS187" s="1"/>
      <c r="PT187" s="1"/>
      <c r="PU187" s="1"/>
      <c r="PV187" s="1"/>
      <c r="PW187" s="1"/>
      <c r="PX187" s="1"/>
      <c r="PY187" s="1"/>
      <c r="PZ187" s="1"/>
      <c r="QA187" s="1"/>
      <c r="QB187" s="1"/>
      <c r="QC187" s="1"/>
      <c r="QD187" s="1"/>
      <c r="QE187" s="1"/>
      <c r="QF187" s="1"/>
      <c r="QG187" s="1"/>
      <c r="QH187" s="1"/>
      <c r="QI187" s="1"/>
      <c r="QJ187" s="1"/>
      <c r="QK187" s="1"/>
      <c r="QL187" s="1"/>
      <c r="QM187" s="1"/>
      <c r="QN187" s="1"/>
      <c r="QO187" s="1"/>
      <c r="QP187" s="1"/>
      <c r="QQ187" s="1"/>
      <c r="QR187" s="1"/>
      <c r="QS187" s="1"/>
      <c r="QT187" s="1"/>
      <c r="QU187" s="1"/>
      <c r="QV187" s="1"/>
      <c r="QW187" s="1"/>
      <c r="QX187" s="1"/>
      <c r="QY187" s="1"/>
      <c r="QZ187" s="1"/>
      <c r="RA187" s="1"/>
      <c r="RB187" s="1"/>
      <c r="RC187" s="1"/>
      <c r="RD187" s="1"/>
      <c r="RE187" s="1"/>
      <c r="RF187" s="1"/>
      <c r="RG187" s="1"/>
      <c r="RH187" s="1"/>
      <c r="RI187" s="1"/>
      <c r="RJ187" s="1"/>
      <c r="RK187" s="1"/>
      <c r="RL187" s="1"/>
      <c r="RM187" s="1"/>
      <c r="RN187" s="1"/>
      <c r="RO187" s="1"/>
      <c r="RP187" s="1"/>
      <c r="RQ187" s="1"/>
      <c r="RR187" s="1"/>
      <c r="RS187" s="1"/>
      <c r="RT187" s="1"/>
      <c r="RU187" s="1"/>
      <c r="RV187" s="1"/>
      <c r="RW187" s="1"/>
      <c r="RX187" s="1"/>
      <c r="RY187" s="1"/>
      <c r="RZ187" s="1"/>
      <c r="SA187" s="1"/>
      <c r="SB187" s="1"/>
      <c r="SC187" s="1"/>
      <c r="SD187" s="1"/>
      <c r="SE187" s="1"/>
      <c r="SF187" s="1"/>
      <c r="SG187" s="1"/>
      <c r="SH187" s="1"/>
      <c r="SI187" s="1"/>
      <c r="SJ187" s="1"/>
      <c r="SK187" s="1"/>
      <c r="SL187" s="1"/>
      <c r="SM187" s="1"/>
      <c r="SN187" s="1"/>
      <c r="SO187" s="1"/>
      <c r="SP187" s="1"/>
      <c r="SQ187" s="1"/>
      <c r="SR187" s="1"/>
      <c r="SS187" s="1"/>
      <c r="ST187" s="1"/>
      <c r="SU187" s="1"/>
      <c r="SV187" s="1"/>
      <c r="SW187" s="1"/>
      <c r="SX187" s="1"/>
      <c r="SY187" s="1"/>
      <c r="SZ187" s="1"/>
      <c r="TA187" s="1"/>
      <c r="TB187" s="1"/>
      <c r="TC187" s="1"/>
      <c r="TD187" s="1"/>
      <c r="TE187" s="1"/>
      <c r="TF187" s="1"/>
      <c r="TG187" s="1"/>
      <c r="TH187" s="1"/>
      <c r="TI187" s="1"/>
      <c r="TJ187" s="1"/>
      <c r="TK187" s="1"/>
      <c r="TL187" s="1"/>
      <c r="TM187" s="1"/>
      <c r="TN187" s="1"/>
      <c r="TO187" s="1"/>
      <c r="TP187" s="1"/>
      <c r="TQ187" s="1"/>
      <c r="TR187" s="1"/>
      <c r="TS187" s="1"/>
      <c r="TT187" s="1"/>
      <c r="TU187" s="1"/>
      <c r="TV187" s="1"/>
      <c r="TW187" s="1"/>
      <c r="TX187" s="1"/>
      <c r="TY187" s="1"/>
      <c r="TZ187" s="1"/>
      <c r="UA187" s="1"/>
      <c r="UB187" s="1"/>
      <c r="UC187" s="1"/>
      <c r="UD187" s="1"/>
      <c r="UE187" s="1"/>
      <c r="UF187" s="1"/>
      <c r="UG187" s="1"/>
      <c r="UH187" s="1"/>
      <c r="UI187" s="1"/>
      <c r="UJ187" s="1"/>
      <c r="UK187" s="1"/>
      <c r="UL187" s="1"/>
      <c r="UM187" s="1"/>
      <c r="UN187" s="1"/>
      <c r="UO187" s="1"/>
      <c r="UP187" s="1"/>
      <c r="UQ187" s="1"/>
      <c r="UR187" s="1"/>
      <c r="US187" s="1"/>
      <c r="UT187" s="1"/>
      <c r="UU187" s="1"/>
      <c r="UV187" s="1"/>
      <c r="UW187" s="1"/>
      <c r="UX187" s="1"/>
      <c r="UY187" s="1"/>
      <c r="UZ187" s="1"/>
      <c r="VA187" s="1"/>
      <c r="VB187" s="1"/>
      <c r="VC187" s="1"/>
      <c r="VD187" s="1"/>
      <c r="VE187" s="1"/>
      <c r="VF187" s="1"/>
      <c r="VG187" s="1"/>
      <c r="VH187" s="1"/>
      <c r="VI187" s="1"/>
      <c r="VJ187" s="1"/>
      <c r="VK187" s="1"/>
      <c r="VL187" s="1"/>
      <c r="VM187" s="1"/>
      <c r="VN187" s="1"/>
      <c r="VO187" s="1"/>
      <c r="VP187" s="1"/>
      <c r="VQ187" s="1"/>
      <c r="VR187" s="1"/>
      <c r="VS187" s="1"/>
      <c r="VT187" s="1"/>
      <c r="VU187" s="1"/>
      <c r="VV187" s="1"/>
      <c r="VW187" s="1"/>
      <c r="VX187" s="1"/>
      <c r="VY187" s="1"/>
      <c r="VZ187" s="1"/>
      <c r="WA187" s="1"/>
      <c r="WB187" s="1"/>
      <c r="WC187" s="1"/>
      <c r="WD187" s="1"/>
      <c r="WE187" s="1"/>
      <c r="WF187" s="1"/>
      <c r="WG187" s="1"/>
      <c r="WH187" s="1"/>
      <c r="WI187" s="1"/>
      <c r="WJ187" s="1"/>
      <c r="WK187" s="1"/>
      <c r="WL187" s="1"/>
      <c r="WM187" s="1"/>
      <c r="WN187" s="1"/>
      <c r="WO187" s="1"/>
      <c r="WP187" s="1"/>
      <c r="WQ187" s="1"/>
      <c r="WR187" s="1"/>
      <c r="WS187" s="1"/>
      <c r="WT187" s="1"/>
      <c r="WU187" s="1"/>
      <c r="WV187" s="1"/>
      <c r="WW187" s="1"/>
      <c r="WX187" s="1"/>
      <c r="WY187" s="1"/>
      <c r="WZ187" s="1"/>
      <c r="XA187" s="1"/>
      <c r="XB187" s="1"/>
      <c r="XC187" s="1"/>
      <c r="XD187" s="1"/>
      <c r="XE187" s="1"/>
      <c r="XF187" s="1"/>
      <c r="XG187" s="1"/>
      <c r="XH187" s="1"/>
      <c r="XI187" s="1"/>
      <c r="XJ187" s="1"/>
      <c r="XK187" s="1"/>
      <c r="XL187" s="1"/>
      <c r="XM187" s="1"/>
      <c r="XN187" s="1"/>
      <c r="XO187" s="1"/>
      <c r="XP187" s="1"/>
      <c r="XQ187" s="1"/>
      <c r="XR187" s="1"/>
      <c r="XS187" s="1"/>
      <c r="XT187" s="1"/>
      <c r="XU187" s="1"/>
      <c r="XV187" s="1"/>
      <c r="XW187" s="1"/>
      <c r="XX187" s="1"/>
      <c r="XY187" s="1"/>
      <c r="XZ187" s="1"/>
      <c r="YA187" s="1"/>
      <c r="YB187" s="1"/>
      <c r="YC187" s="1"/>
      <c r="YD187" s="1"/>
      <c r="YE187" s="1"/>
      <c r="YF187" s="1"/>
      <c r="YG187" s="1"/>
      <c r="YH187" s="1"/>
      <c r="YI187" s="1"/>
      <c r="YJ187" s="1"/>
      <c r="YK187" s="1"/>
      <c r="YL187" s="1"/>
      <c r="YM187" s="1"/>
      <c r="YN187" s="1"/>
      <c r="YO187" s="1"/>
      <c r="YP187" s="1"/>
      <c r="YQ187" s="1"/>
      <c r="YR187" s="1"/>
      <c r="YS187" s="1"/>
      <c r="YT187" s="1"/>
      <c r="YU187" s="1"/>
      <c r="YV187" s="1"/>
      <c r="YW187" s="1"/>
      <c r="YX187" s="1"/>
      <c r="YY187" s="1"/>
      <c r="YZ187" s="1"/>
      <c r="ZA187" s="1"/>
      <c r="ZB187" s="1"/>
      <c r="ZC187" s="1"/>
      <c r="ZD187" s="1"/>
      <c r="ZE187" s="1"/>
      <c r="ZF187" s="1"/>
      <c r="ZG187" s="1"/>
      <c r="ZH187" s="1"/>
      <c r="ZI187" s="1"/>
      <c r="ZJ187" s="1"/>
      <c r="ZK187" s="1"/>
      <c r="ZL187" s="1"/>
      <c r="ZM187" s="1"/>
      <c r="ZN187" s="1"/>
      <c r="ZO187" s="1"/>
      <c r="ZP187" s="1"/>
      <c r="ZQ187" s="1"/>
      <c r="ZR187" s="1"/>
      <c r="ZS187" s="1"/>
      <c r="ZT187" s="1"/>
      <c r="ZU187" s="1"/>
      <c r="ZV187" s="1"/>
      <c r="ZW187" s="1"/>
      <c r="ZX187" s="1"/>
      <c r="ZY187" s="1"/>
      <c r="ZZ187" s="1"/>
      <c r="AAA187" s="1"/>
      <c r="AAB187" s="1"/>
      <c r="AAC187" s="1"/>
      <c r="AAD187" s="1"/>
      <c r="AAE187" s="1"/>
      <c r="AAF187" s="1"/>
      <c r="AAG187" s="1"/>
      <c r="AAH187" s="1"/>
      <c r="AAI187" s="1"/>
      <c r="AAJ187" s="1"/>
      <c r="AAK187" s="1"/>
      <c r="AAL187" s="1"/>
      <c r="AAM187" s="1"/>
      <c r="AAN187" s="1"/>
      <c r="AAO187" s="1"/>
      <c r="AAP187" s="1"/>
      <c r="AAQ187" s="1"/>
      <c r="AAR187" s="1"/>
      <c r="AAS187" s="1"/>
      <c r="AAT187" s="1"/>
      <c r="AAU187" s="1"/>
      <c r="AAV187" s="1"/>
      <c r="AAW187" s="1"/>
      <c r="AAX187" s="1"/>
      <c r="AAY187" s="1"/>
      <c r="AAZ187" s="1"/>
      <c r="ABA187" s="1"/>
      <c r="ABB187" s="1"/>
      <c r="ABC187" s="1"/>
      <c r="ABD187" s="1"/>
      <c r="ABE187" s="1"/>
      <c r="ABF187" s="1"/>
      <c r="ABG187" s="1"/>
      <c r="ABH187" s="1"/>
      <c r="ABI187" s="1"/>
      <c r="ABJ187" s="1"/>
      <c r="ABK187" s="1"/>
      <c r="ABL187" s="1"/>
      <c r="ABM187" s="1"/>
      <c r="ABN187" s="1"/>
      <c r="ABO187" s="1"/>
      <c r="ABP187" s="1"/>
      <c r="ABQ187" s="1"/>
      <c r="ABR187" s="1"/>
      <c r="ABS187" s="1"/>
      <c r="ABT187" s="1"/>
      <c r="ABU187" s="1"/>
      <c r="ABV187" s="1"/>
      <c r="ABW187" s="1"/>
      <c r="ABX187" s="1"/>
      <c r="ABY187" s="1"/>
      <c r="ABZ187" s="1"/>
      <c r="ACA187" s="1"/>
      <c r="ACB187" s="1"/>
      <c r="ACC187" s="1"/>
      <c r="ACD187" s="1"/>
      <c r="ACE187" s="1"/>
      <c r="ACF187" s="1"/>
      <c r="ACG187" s="1"/>
      <c r="ACH187" s="1"/>
      <c r="ACI187" s="1"/>
      <c r="ACJ187" s="1"/>
      <c r="ACK187" s="1"/>
      <c r="ACL187" s="1"/>
      <c r="ACM187" s="1"/>
      <c r="ACN187" s="1"/>
      <c r="ACO187" s="1"/>
      <c r="ACP187" s="1"/>
      <c r="ACQ187" s="1"/>
      <c r="ACR187" s="1"/>
      <c r="ACS187" s="1"/>
      <c r="ACT187" s="1"/>
      <c r="ACU187" s="1"/>
      <c r="ACV187" s="1"/>
      <c r="ACW187" s="1"/>
      <c r="ACX187" s="1"/>
      <c r="ACY187" s="1"/>
      <c r="ACZ187" s="1"/>
      <c r="ADA187" s="1"/>
      <c r="ADB187" s="1"/>
      <c r="ADC187" s="1"/>
      <c r="ADD187" s="1"/>
      <c r="ADE187" s="1"/>
      <c r="ADF187" s="1"/>
      <c r="ADG187" s="1"/>
      <c r="ADH187" s="1"/>
      <c r="ADI187" s="1"/>
      <c r="ADJ187" s="1"/>
      <c r="ADK187" s="1"/>
      <c r="ADL187" s="1"/>
      <c r="ADM187" s="1"/>
      <c r="ADN187" s="1"/>
      <c r="ADO187" s="1"/>
      <c r="ADP187" s="1"/>
      <c r="ADQ187" s="1"/>
      <c r="ADR187" s="1"/>
      <c r="ADS187" s="1"/>
      <c r="ADT187" s="1"/>
      <c r="ADU187" s="1"/>
      <c r="ADV187" s="1"/>
      <c r="ADW187" s="1"/>
      <c r="ADX187" s="1"/>
      <c r="ADY187" s="1"/>
      <c r="ADZ187" s="1"/>
      <c r="AEA187" s="1"/>
      <c r="AEB187" s="1"/>
      <c r="AEC187" s="1"/>
      <c r="AED187" s="1"/>
      <c r="AEE187" s="1"/>
      <c r="AEF187" s="1"/>
      <c r="AEG187" s="1"/>
      <c r="AEH187" s="1"/>
      <c r="AEI187" s="1"/>
      <c r="AEJ187" s="1"/>
      <c r="AEK187" s="1"/>
      <c r="AEL187" s="1"/>
      <c r="AEM187" s="1"/>
      <c r="AEN187" s="1"/>
      <c r="AEO187" s="1"/>
      <c r="AEP187" s="1"/>
      <c r="AEQ187" s="1"/>
      <c r="AER187" s="1"/>
      <c r="AES187" s="1"/>
      <c r="AET187" s="1"/>
      <c r="AEU187" s="1"/>
      <c r="AEV187" s="1"/>
      <c r="AEW187" s="1"/>
      <c r="AEX187" s="1"/>
      <c r="AEY187" s="1"/>
      <c r="AEZ187" s="1"/>
      <c r="AFA187" s="1"/>
      <c r="AFB187" s="1"/>
      <c r="AFC187" s="1"/>
      <c r="AFD187" s="1"/>
      <c r="AFE187" s="1"/>
      <c r="AFF187" s="1"/>
      <c r="AFG187" s="1"/>
      <c r="AFH187" s="1"/>
      <c r="AFI187" s="1"/>
      <c r="AFJ187" s="1"/>
      <c r="AFK187" s="1"/>
      <c r="AFL187" s="1"/>
      <c r="AFM187" s="1"/>
      <c r="AFN187" s="1"/>
      <c r="AFO187" s="1"/>
      <c r="AFP187" s="1"/>
      <c r="AFQ187" s="1"/>
      <c r="AFR187" s="1"/>
      <c r="AFS187" s="1"/>
      <c r="AFT187" s="1"/>
      <c r="AFU187" s="1"/>
      <c r="AFV187" s="1"/>
      <c r="AFW187" s="1"/>
      <c r="AFX187" s="1"/>
      <c r="AFY187" s="1"/>
      <c r="AFZ187" s="1"/>
      <c r="AGA187" s="1"/>
      <c r="AGB187" s="1"/>
      <c r="AGC187" s="1"/>
      <c r="AGD187" s="1"/>
      <c r="AGE187" s="1"/>
      <c r="AGF187" s="1"/>
      <c r="AGG187" s="1"/>
      <c r="AGH187" s="1"/>
      <c r="AGI187" s="1"/>
      <c r="AGJ187" s="1"/>
      <c r="AGK187" s="1"/>
      <c r="AGL187" s="1"/>
      <c r="AGM187" s="1"/>
      <c r="AGN187" s="1"/>
      <c r="AGO187" s="1"/>
      <c r="AGP187" s="1"/>
      <c r="AGQ187" s="1"/>
      <c r="AGR187" s="1"/>
      <c r="AGS187" s="1"/>
      <c r="AGT187" s="1"/>
      <c r="AGU187" s="1"/>
      <c r="AGV187" s="1"/>
      <c r="AGW187" s="1"/>
      <c r="AGX187" s="1"/>
      <c r="AGY187" s="1"/>
      <c r="AGZ187" s="1"/>
      <c r="AHA187" s="1"/>
      <c r="AHB187" s="1"/>
      <c r="AHC187" s="1"/>
      <c r="AHD187" s="1"/>
      <c r="AHE187" s="1"/>
      <c r="AHF187" s="1"/>
      <c r="AHG187" s="1"/>
      <c r="AHH187" s="1"/>
      <c r="AHI187" s="1"/>
      <c r="AHJ187" s="1"/>
      <c r="AHK187" s="1"/>
      <c r="AHL187" s="1"/>
      <c r="AHM187" s="1"/>
      <c r="AHN187" s="1"/>
      <c r="AHO187" s="1"/>
      <c r="AHP187" s="1"/>
      <c r="AHQ187" s="1"/>
      <c r="AHR187" s="1"/>
      <c r="AHS187" s="1"/>
      <c r="AHT187" s="1"/>
      <c r="AHU187" s="1"/>
      <c r="AHV187" s="1"/>
      <c r="AHW187" s="1"/>
      <c r="AHX187" s="1"/>
      <c r="AHY187" s="1"/>
      <c r="AHZ187" s="1"/>
      <c r="AIA187" s="1"/>
      <c r="AIB187" s="1"/>
      <c r="AIC187" s="1"/>
      <c r="AID187" s="1"/>
      <c r="AIE187" s="1"/>
      <c r="AIF187" s="1"/>
      <c r="AIG187" s="1"/>
      <c r="AIH187" s="1"/>
      <c r="AII187" s="1"/>
      <c r="AIJ187" s="1"/>
      <c r="AIK187" s="1"/>
      <c r="AIL187" s="1"/>
      <c r="AIM187" s="1"/>
      <c r="AIN187" s="1"/>
      <c r="AIO187" s="1"/>
      <c r="AIP187" s="1"/>
      <c r="AIQ187" s="1"/>
      <c r="AIR187" s="1"/>
      <c r="AIS187" s="1"/>
      <c r="AIT187" s="1"/>
      <c r="AIU187" s="1"/>
      <c r="AIV187" s="1"/>
      <c r="AIW187" s="1"/>
      <c r="AIX187" s="1"/>
      <c r="AIY187" s="1"/>
      <c r="AIZ187" s="1"/>
      <c r="AJA187" s="1"/>
      <c r="AJB187" s="1"/>
      <c r="AJC187" s="1"/>
      <c r="AJD187" s="1"/>
      <c r="AJE187" s="1"/>
      <c r="AJF187" s="1"/>
      <c r="AJG187" s="1"/>
      <c r="AJH187" s="1"/>
      <c r="AJI187" s="1"/>
      <c r="AJJ187" s="1"/>
      <c r="AJK187" s="1"/>
      <c r="AJL187" s="1"/>
      <c r="AJM187" s="1"/>
      <c r="AJN187" s="1"/>
      <c r="AJO187" s="1"/>
      <c r="AJP187" s="1"/>
      <c r="AJQ187" s="1"/>
      <c r="AJR187" s="1"/>
      <c r="AJS187" s="1"/>
      <c r="AJT187" s="1"/>
      <c r="AJU187" s="1"/>
      <c r="AJV187" s="1"/>
      <c r="AJW187" s="1"/>
      <c r="AJX187" s="1"/>
      <c r="AJY187" s="1"/>
      <c r="AJZ187" s="1"/>
      <c r="AKA187" s="1"/>
      <c r="AKB187" s="1"/>
      <c r="AKC187" s="1"/>
      <c r="AKD187" s="1"/>
      <c r="AKE187" s="1"/>
      <c r="AKF187" s="1"/>
      <c r="AKG187" s="1"/>
      <c r="AKH187" s="1"/>
      <c r="AKI187" s="1"/>
      <c r="AKJ187" s="1"/>
      <c r="AKK187" s="1"/>
      <c r="AKL187" s="1"/>
      <c r="AKM187" s="1"/>
      <c r="AKN187" s="1"/>
      <c r="AKO187" s="1"/>
      <c r="AKP187" s="1"/>
      <c r="AKQ187" s="1"/>
      <c r="AKR187" s="1"/>
      <c r="AKS187" s="1"/>
      <c r="AKT187" s="1"/>
      <c r="AKU187" s="1"/>
      <c r="AKV187" s="1"/>
      <c r="AKW187" s="1"/>
      <c r="AKX187" s="1"/>
      <c r="AKY187" s="1"/>
      <c r="AKZ187" s="1"/>
      <c r="ALA187" s="1"/>
      <c r="ALB187" s="1"/>
      <c r="ALC187" s="1"/>
      <c r="ALD187" s="1"/>
      <c r="ALE187" s="1"/>
      <c r="ALF187" s="1"/>
      <c r="ALG187" s="1"/>
      <c r="ALH187" s="1"/>
      <c r="ALI187" s="1"/>
      <c r="ALJ187" s="1"/>
      <c r="ALK187" s="1"/>
      <c r="ALL187" s="1"/>
      <c r="ALM187" s="1"/>
      <c r="ALN187" s="1"/>
      <c r="ALO187" s="1"/>
      <c r="ALP187" s="1"/>
      <c r="ALQ187" s="1"/>
      <c r="ALR187" s="1"/>
      <c r="ALS187" s="1"/>
      <c r="ALT187" s="1"/>
      <c r="ALU187" s="1"/>
      <c r="ALV187" s="1"/>
      <c r="ALW187" s="1"/>
      <c r="ALX187" s="1"/>
      <c r="ALY187" s="1"/>
      <c r="ALZ187" s="1"/>
      <c r="AMA187" s="1"/>
      <c r="AMB187" s="1"/>
      <c r="AMC187" s="1"/>
      <c r="AMD187" s="1"/>
      <c r="AME187" s="1"/>
      <c r="AMF187" s="1"/>
      <c r="AMG187" s="1"/>
      <c r="AMH187" s="1"/>
      <c r="AMI187" s="1"/>
      <c r="AMJ187" s="1"/>
      <c r="AMK187" s="1"/>
      <c r="AML187" s="1"/>
      <c r="AMM187" s="1"/>
      <c r="AMN187" s="1"/>
      <c r="AMO187" s="1"/>
    </row>
    <row r="188" spans="1:1030" x14ac:dyDescent="0.2">
      <c r="A188" s="3" t="str">
        <f t="shared" si="669"/>
        <v>ntr1_rat_4XES</v>
      </c>
      <c r="B188" s="3" t="s">
        <v>914</v>
      </c>
      <c r="C188" s="3" t="s">
        <v>1357</v>
      </c>
      <c r="D188" s="3" t="str">
        <f>IFERROR(MID(VLOOKUP($B188,Seqs!$A:$B,2,0),E188,1),"")</f>
        <v>I</v>
      </c>
      <c r="E188" s="3">
        <v>61</v>
      </c>
      <c r="F188" s="3" t="str">
        <f>IFERROR(MID(VLOOKUP($B188,Seqs!$A:$B,2,0),G188,1),"")</f>
        <v>K</v>
      </c>
      <c r="G188" s="3">
        <v>92</v>
      </c>
      <c r="H188" s="3" t="str">
        <f>IFERROR(MID(VLOOKUP($B188,Seqs!$A:$B,2,0),I188,1),"")</f>
        <v/>
      </c>
      <c r="I188" s="23" t="s">
        <v>23</v>
      </c>
      <c r="J188" s="3" t="str">
        <f>IFERROR(MID(VLOOKUP($B188,Seqs!$A:$B,2,0),K188,1),"")</f>
        <v/>
      </c>
      <c r="K188" s="23" t="s">
        <v>23</v>
      </c>
      <c r="L188" s="3" t="str">
        <f>IFERROR(MID(VLOOKUP($B188,Seqs!$A:$B,2,0),M188,1),"")</f>
        <v>S</v>
      </c>
      <c r="M188" s="3">
        <v>97</v>
      </c>
      <c r="N188" s="3" t="str">
        <f>IFERROR(MID(VLOOKUP($B188,Seqs!$A:$B,2,0),O188,1),"")</f>
        <v>V</v>
      </c>
      <c r="O188" s="3">
        <v>131</v>
      </c>
      <c r="P188" s="3" t="str">
        <f>IFERROR(MID(VLOOKUP($B188,Seqs!$A:$B,2,0),Q188,1),"")</f>
        <v>P</v>
      </c>
      <c r="Q188" s="3">
        <v>134</v>
      </c>
      <c r="R188" s="3" t="str">
        <f>IFERROR(MID(VLOOKUP($B188,Seqs!$A:$B,2,0),S188,1),"")</f>
        <v>F</v>
      </c>
      <c r="S188" s="3">
        <v>137</v>
      </c>
      <c r="T188" s="3" t="str">
        <f>IFERROR(MID(VLOOKUP($B188,Seqs!$A:$B,2,0),U188,1),"")</f>
        <v>G</v>
      </c>
      <c r="U188" s="3">
        <v>138</v>
      </c>
      <c r="V188" s="3" t="str">
        <f>IFERROR(MID(VLOOKUP($B188,Seqs!$A:$B,2,0),W188,1),"")</f>
        <v>H</v>
      </c>
      <c r="W188" s="3">
        <v>173</v>
      </c>
      <c r="X188" s="3" t="str">
        <f>IFERROR(MID(VLOOKUP($B188,Seqs!$A:$B,2,0),Y188,1),"")</f>
        <v>P</v>
      </c>
      <c r="Y188" s="3">
        <v>174</v>
      </c>
      <c r="Z188" s="3" t="str">
        <f>IFERROR(MID(VLOOKUP($B188,Seqs!$A:$B,2,0),AA188,1),"")</f>
        <v>M</v>
      </c>
      <c r="AA188" s="3">
        <v>181</v>
      </c>
      <c r="AB188" s="3" t="str">
        <f>IFERROR(MID(VLOOKUP($B188,Seqs!$A:$B,2,0),AC188,1),"")</f>
        <v>S</v>
      </c>
      <c r="AC188" s="9">
        <v>182</v>
      </c>
      <c r="AD188" s="3" t="str">
        <f>IFERROR(MID(VLOOKUP($B188,Seqs!$A:$B,2,0),AE188,1),"")</f>
        <v>M</v>
      </c>
      <c r="AE188" s="3">
        <v>208</v>
      </c>
      <c r="AF188" s="3" t="str">
        <f>IFERROR(MID(VLOOKUP($B188,Seqs!$A:$B,2,0),AG188,1),"")</f>
        <v>C</v>
      </c>
      <c r="AG188" s="3">
        <v>225</v>
      </c>
      <c r="AH188" s="3" t="str">
        <f>IFERROR(MID(VLOOKUP($B188,Seqs!$A:$B,2,0),AI188,1),"")</f>
        <v>P</v>
      </c>
      <c r="AI188" s="3">
        <v>227</v>
      </c>
      <c r="AJ188" s="3" t="str">
        <f>IFERROR(MID(VLOOKUP($B188,Seqs!$A:$B,2,0),AK188,1),"")</f>
        <v>T</v>
      </c>
      <c r="AK188" s="3">
        <v>231</v>
      </c>
      <c r="AL188" s="3" t="str">
        <f>IFERROR(MID(VLOOKUP($B188,Seqs!$A:$B,2,0),AM188,1),"")</f>
        <v>V</v>
      </c>
      <c r="AM188" s="3">
        <v>268</v>
      </c>
      <c r="AN188" s="3" t="str">
        <f>IFERROR(MID(VLOOKUP($B188,Seqs!$A:$B,2,0),AO188,1),"")</f>
        <v>A</v>
      </c>
      <c r="AO188" s="3">
        <v>302</v>
      </c>
      <c r="AP188" s="3" t="str">
        <f>IFERROR(MID(VLOOKUP($B188,Seqs!$A:$B,2,0),AQ188,1),"")</f>
        <v>I</v>
      </c>
      <c r="AQ188" s="3">
        <v>334</v>
      </c>
      <c r="AR188" s="3" t="str">
        <f>IFERROR(MID(VLOOKUP($B188,Seqs!$A:$B,2,0),AS188,1),"")</f>
        <v>T</v>
      </c>
      <c r="AS188" s="3">
        <v>340</v>
      </c>
      <c r="AT188" s="3" t="str">
        <f>IFERROR(MID(VLOOKUP($B188,Seqs!$A:$B,2,0),AU188,1),"")</f>
        <v>I</v>
      </c>
      <c r="AU188" s="3">
        <v>364</v>
      </c>
      <c r="AV188" s="3" t="str">
        <f>IFERROR(MID(VLOOKUP($B188,Seqs!$A:$B,2,0),AW188,1),"")</f>
        <v/>
      </c>
      <c r="AW188" s="3" t="s">
        <v>23</v>
      </c>
      <c r="AX188" s="3" t="str">
        <f>IFERROR(MID(VLOOKUP($B188,Seqs!$A:$B,2,0),AY188,1),"")</f>
        <v/>
      </c>
      <c r="AY188" s="3" t="s">
        <v>23</v>
      </c>
      <c r="AZ188" s="77" t="str">
        <f>VLOOKUP(B188,Classification!A:D,2,0)</f>
        <v>A</v>
      </c>
      <c r="BA188" s="94" t="str">
        <f>VLOOKUP(B188,Classification!A:D,4,0)</f>
        <v>Neurotensin</v>
      </c>
      <c r="BB188" s="27" t="b">
        <f t="shared" si="670"/>
        <v>1</v>
      </c>
      <c r="BC188" s="23">
        <f t="shared" si="643"/>
        <v>243</v>
      </c>
      <c r="BD188" s="5" t="s">
        <v>1440</v>
      </c>
      <c r="BE188" s="3" t="s">
        <v>1439</v>
      </c>
      <c r="BF188" s="119">
        <v>2.6</v>
      </c>
      <c r="BG188" s="49" t="s">
        <v>1384</v>
      </c>
      <c r="BH188" s="49" t="s">
        <v>1384</v>
      </c>
      <c r="BI188" s="1"/>
      <c r="BJ188" s="70" t="s">
        <v>1293</v>
      </c>
      <c r="BK188" s="57" t="s">
        <v>1293</v>
      </c>
      <c r="BL188" s="57" t="s">
        <v>1293</v>
      </c>
      <c r="BM188" s="57" t="s">
        <v>1293</v>
      </c>
      <c r="BN188" s="57" t="s">
        <v>1293</v>
      </c>
      <c r="BO188" s="57" t="s">
        <v>1293</v>
      </c>
      <c r="BP188" s="57" t="s">
        <v>1293</v>
      </c>
      <c r="BQ188" s="57" t="s">
        <v>1293</v>
      </c>
      <c r="BR188" s="57" t="s">
        <v>1293</v>
      </c>
      <c r="BS188" s="57" t="s">
        <v>1293</v>
      </c>
      <c r="BT188" s="57" t="s">
        <v>1293</v>
      </c>
      <c r="BU188" s="57" t="s">
        <v>1293</v>
      </c>
      <c r="BV188" s="70">
        <f t="shared" si="644"/>
        <v>61</v>
      </c>
      <c r="BW188" s="71" t="str">
        <f t="shared" si="645"/>
        <v>-</v>
      </c>
      <c r="BX188" s="72">
        <f t="shared" si="646"/>
        <v>97</v>
      </c>
      <c r="BY188" s="71">
        <f t="shared" si="647"/>
        <v>134</v>
      </c>
      <c r="BZ188" s="72">
        <f t="shared" si="648"/>
        <v>138</v>
      </c>
      <c r="CA188" s="71">
        <f t="shared" si="649"/>
        <v>174</v>
      </c>
      <c r="CB188" s="72">
        <f t="shared" si="650"/>
        <v>182</v>
      </c>
      <c r="CC188" s="71">
        <f t="shared" si="651"/>
        <v>225</v>
      </c>
      <c r="CD188" s="72">
        <f t="shared" si="652"/>
        <v>231</v>
      </c>
      <c r="CE188" s="71">
        <f t="shared" si="653"/>
        <v>302</v>
      </c>
      <c r="CF188" s="72">
        <f t="shared" si="654"/>
        <v>340</v>
      </c>
      <c r="CG188" s="71" t="str">
        <f t="shared" si="655"/>
        <v>-</v>
      </c>
      <c r="CH188" s="70">
        <f t="shared" si="656"/>
        <v>92</v>
      </c>
      <c r="CI188" s="71" t="str">
        <f t="shared" si="657"/>
        <v>-</v>
      </c>
      <c r="CJ188" s="72">
        <f t="shared" si="658"/>
        <v>131</v>
      </c>
      <c r="CK188" s="72">
        <f t="shared" si="659"/>
        <v>137</v>
      </c>
      <c r="CL188" s="72">
        <f t="shared" si="660"/>
        <v>173</v>
      </c>
      <c r="CM188" s="72">
        <f t="shared" si="661"/>
        <v>181</v>
      </c>
      <c r="CN188" s="72">
        <f t="shared" si="662"/>
        <v>208</v>
      </c>
      <c r="CO188" s="72">
        <f t="shared" si="663"/>
        <v>227</v>
      </c>
      <c r="CP188" s="72">
        <f t="shared" si="664"/>
        <v>268</v>
      </c>
      <c r="CQ188" s="72">
        <f t="shared" si="665"/>
        <v>334</v>
      </c>
      <c r="CR188" s="72">
        <f t="shared" si="666"/>
        <v>364</v>
      </c>
      <c r="CS188" s="72" t="str">
        <f t="shared" si="667"/>
        <v>-</v>
      </c>
      <c r="CT188" s="23" t="e">
        <f t="shared" si="668"/>
        <v>#VALUE!</v>
      </c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  <c r="OK188" s="1"/>
      <c r="OL188" s="1"/>
      <c r="OM188" s="1"/>
      <c r="ON188" s="1"/>
      <c r="OO188" s="1"/>
      <c r="OP188" s="1"/>
      <c r="OQ188" s="1"/>
      <c r="OR188" s="1"/>
      <c r="OS188" s="1"/>
      <c r="OT188" s="1"/>
      <c r="OU188" s="1"/>
      <c r="OV188" s="1"/>
      <c r="OW188" s="1"/>
      <c r="OX188" s="1"/>
      <c r="OY188" s="1"/>
      <c r="OZ188" s="1"/>
      <c r="PA188" s="1"/>
      <c r="PB188" s="1"/>
      <c r="PC188" s="1"/>
      <c r="PD188" s="1"/>
      <c r="PE188" s="1"/>
      <c r="PF188" s="1"/>
      <c r="PG188" s="1"/>
      <c r="PH188" s="1"/>
      <c r="PI188" s="1"/>
      <c r="PJ188" s="1"/>
      <c r="PK188" s="1"/>
      <c r="PL188" s="1"/>
      <c r="PM188" s="1"/>
      <c r="PN188" s="1"/>
      <c r="PO188" s="1"/>
      <c r="PP188" s="1"/>
      <c r="PQ188" s="1"/>
      <c r="PR188" s="1"/>
      <c r="PS188" s="1"/>
      <c r="PT188" s="1"/>
      <c r="PU188" s="1"/>
      <c r="PV188" s="1"/>
      <c r="PW188" s="1"/>
      <c r="PX188" s="1"/>
      <c r="PY188" s="1"/>
      <c r="PZ188" s="1"/>
      <c r="QA188" s="1"/>
      <c r="QB188" s="1"/>
      <c r="QC188" s="1"/>
      <c r="QD188" s="1"/>
      <c r="QE188" s="1"/>
      <c r="QF188" s="1"/>
      <c r="QG188" s="1"/>
      <c r="QH188" s="1"/>
      <c r="QI188" s="1"/>
      <c r="QJ188" s="1"/>
      <c r="QK188" s="1"/>
      <c r="QL188" s="1"/>
      <c r="QM188" s="1"/>
      <c r="QN188" s="1"/>
      <c r="QO188" s="1"/>
      <c r="QP188" s="1"/>
      <c r="QQ188" s="1"/>
      <c r="QR188" s="1"/>
      <c r="QS188" s="1"/>
      <c r="QT188" s="1"/>
      <c r="QU188" s="1"/>
      <c r="QV188" s="1"/>
      <c r="QW188" s="1"/>
      <c r="QX188" s="1"/>
      <c r="QY188" s="1"/>
      <c r="QZ188" s="1"/>
      <c r="RA188" s="1"/>
      <c r="RB188" s="1"/>
      <c r="RC188" s="1"/>
      <c r="RD188" s="1"/>
      <c r="RE188" s="1"/>
      <c r="RF188" s="1"/>
      <c r="RG188" s="1"/>
      <c r="RH188" s="1"/>
      <c r="RI188" s="1"/>
      <c r="RJ188" s="1"/>
      <c r="RK188" s="1"/>
      <c r="RL188" s="1"/>
      <c r="RM188" s="1"/>
      <c r="RN188" s="1"/>
      <c r="RO188" s="1"/>
      <c r="RP188" s="1"/>
      <c r="RQ188" s="1"/>
      <c r="RR188" s="1"/>
      <c r="RS188" s="1"/>
      <c r="RT188" s="1"/>
      <c r="RU188" s="1"/>
      <c r="RV188" s="1"/>
      <c r="RW188" s="1"/>
      <c r="RX188" s="1"/>
      <c r="RY188" s="1"/>
      <c r="RZ188" s="1"/>
      <c r="SA188" s="1"/>
      <c r="SB188" s="1"/>
      <c r="SC188" s="1"/>
      <c r="SD188" s="1"/>
      <c r="SE188" s="1"/>
      <c r="SF188" s="1"/>
      <c r="SG188" s="1"/>
      <c r="SH188" s="1"/>
      <c r="SI188" s="1"/>
      <c r="SJ188" s="1"/>
      <c r="SK188" s="1"/>
      <c r="SL188" s="1"/>
      <c r="SM188" s="1"/>
      <c r="SN188" s="1"/>
      <c r="SO188" s="1"/>
      <c r="SP188" s="1"/>
      <c r="SQ188" s="1"/>
      <c r="SR188" s="1"/>
      <c r="SS188" s="1"/>
      <c r="ST188" s="1"/>
      <c r="SU188" s="1"/>
      <c r="SV188" s="1"/>
      <c r="SW188" s="1"/>
      <c r="SX188" s="1"/>
      <c r="SY188" s="1"/>
      <c r="SZ188" s="1"/>
      <c r="TA188" s="1"/>
      <c r="TB188" s="1"/>
      <c r="TC188" s="1"/>
      <c r="TD188" s="1"/>
      <c r="TE188" s="1"/>
      <c r="TF188" s="1"/>
      <c r="TG188" s="1"/>
      <c r="TH188" s="1"/>
      <c r="TI188" s="1"/>
      <c r="TJ188" s="1"/>
      <c r="TK188" s="1"/>
      <c r="TL188" s="1"/>
      <c r="TM188" s="1"/>
      <c r="TN188" s="1"/>
      <c r="TO188" s="1"/>
      <c r="TP188" s="1"/>
      <c r="TQ188" s="1"/>
      <c r="TR188" s="1"/>
      <c r="TS188" s="1"/>
      <c r="TT188" s="1"/>
      <c r="TU188" s="1"/>
      <c r="TV188" s="1"/>
      <c r="TW188" s="1"/>
      <c r="TX188" s="1"/>
      <c r="TY188" s="1"/>
      <c r="TZ188" s="1"/>
      <c r="UA188" s="1"/>
      <c r="UB188" s="1"/>
      <c r="UC188" s="1"/>
      <c r="UD188" s="1"/>
      <c r="UE188" s="1"/>
      <c r="UF188" s="1"/>
      <c r="UG188" s="1"/>
      <c r="UH188" s="1"/>
      <c r="UI188" s="1"/>
      <c r="UJ188" s="1"/>
      <c r="UK188" s="1"/>
      <c r="UL188" s="1"/>
      <c r="UM188" s="1"/>
      <c r="UN188" s="1"/>
      <c r="UO188" s="1"/>
      <c r="UP188" s="1"/>
      <c r="UQ188" s="1"/>
      <c r="UR188" s="1"/>
      <c r="US188" s="1"/>
      <c r="UT188" s="1"/>
      <c r="UU188" s="1"/>
      <c r="UV188" s="1"/>
      <c r="UW188" s="1"/>
      <c r="UX188" s="1"/>
      <c r="UY188" s="1"/>
      <c r="UZ188" s="1"/>
      <c r="VA188" s="1"/>
      <c r="VB188" s="1"/>
      <c r="VC188" s="1"/>
      <c r="VD188" s="1"/>
      <c r="VE188" s="1"/>
      <c r="VF188" s="1"/>
      <c r="VG188" s="1"/>
      <c r="VH188" s="1"/>
      <c r="VI188" s="1"/>
      <c r="VJ188" s="1"/>
      <c r="VK188" s="1"/>
      <c r="VL188" s="1"/>
      <c r="VM188" s="1"/>
      <c r="VN188" s="1"/>
      <c r="VO188" s="1"/>
      <c r="VP188" s="1"/>
      <c r="VQ188" s="1"/>
      <c r="VR188" s="1"/>
      <c r="VS188" s="1"/>
      <c r="VT188" s="1"/>
      <c r="VU188" s="1"/>
      <c r="VV188" s="1"/>
      <c r="VW188" s="1"/>
      <c r="VX188" s="1"/>
      <c r="VY188" s="1"/>
      <c r="VZ188" s="1"/>
      <c r="WA188" s="1"/>
      <c r="WB188" s="1"/>
      <c r="WC188" s="1"/>
      <c r="WD188" s="1"/>
      <c r="WE188" s="1"/>
      <c r="WF188" s="1"/>
      <c r="WG188" s="1"/>
      <c r="WH188" s="1"/>
      <c r="WI188" s="1"/>
      <c r="WJ188" s="1"/>
      <c r="WK188" s="1"/>
      <c r="WL188" s="1"/>
      <c r="WM188" s="1"/>
      <c r="WN188" s="1"/>
      <c r="WO188" s="1"/>
      <c r="WP188" s="1"/>
      <c r="WQ188" s="1"/>
      <c r="WR188" s="1"/>
      <c r="WS188" s="1"/>
      <c r="WT188" s="1"/>
      <c r="WU188" s="1"/>
      <c r="WV188" s="1"/>
      <c r="WW188" s="1"/>
      <c r="WX188" s="1"/>
      <c r="WY188" s="1"/>
      <c r="WZ188" s="1"/>
      <c r="XA188" s="1"/>
      <c r="XB188" s="1"/>
      <c r="XC188" s="1"/>
      <c r="XD188" s="1"/>
      <c r="XE188" s="1"/>
      <c r="XF188" s="1"/>
      <c r="XG188" s="1"/>
      <c r="XH188" s="1"/>
      <c r="XI188" s="1"/>
      <c r="XJ188" s="1"/>
      <c r="XK188" s="1"/>
      <c r="XL188" s="1"/>
      <c r="XM188" s="1"/>
      <c r="XN188" s="1"/>
      <c r="XO188" s="1"/>
      <c r="XP188" s="1"/>
      <c r="XQ188" s="1"/>
      <c r="XR188" s="1"/>
      <c r="XS188" s="1"/>
      <c r="XT188" s="1"/>
      <c r="XU188" s="1"/>
      <c r="XV188" s="1"/>
      <c r="XW188" s="1"/>
      <c r="XX188" s="1"/>
      <c r="XY188" s="1"/>
      <c r="XZ188" s="1"/>
      <c r="YA188" s="1"/>
      <c r="YB188" s="1"/>
      <c r="YC188" s="1"/>
      <c r="YD188" s="1"/>
      <c r="YE188" s="1"/>
      <c r="YF188" s="1"/>
      <c r="YG188" s="1"/>
      <c r="YH188" s="1"/>
      <c r="YI188" s="1"/>
      <c r="YJ188" s="1"/>
      <c r="YK188" s="1"/>
      <c r="YL188" s="1"/>
      <c r="YM188" s="1"/>
      <c r="YN188" s="1"/>
      <c r="YO188" s="1"/>
      <c r="YP188" s="1"/>
      <c r="YQ188" s="1"/>
      <c r="YR188" s="1"/>
      <c r="YS188" s="1"/>
      <c r="YT188" s="1"/>
      <c r="YU188" s="1"/>
      <c r="YV188" s="1"/>
      <c r="YW188" s="1"/>
      <c r="YX188" s="1"/>
      <c r="YY188" s="1"/>
      <c r="YZ188" s="1"/>
      <c r="ZA188" s="1"/>
      <c r="ZB188" s="1"/>
      <c r="ZC188" s="1"/>
      <c r="ZD188" s="1"/>
      <c r="ZE188" s="1"/>
      <c r="ZF188" s="1"/>
      <c r="ZG188" s="1"/>
      <c r="ZH188" s="1"/>
      <c r="ZI188" s="1"/>
      <c r="ZJ188" s="1"/>
      <c r="ZK188" s="1"/>
      <c r="ZL188" s="1"/>
      <c r="ZM188" s="1"/>
      <c r="ZN188" s="1"/>
      <c r="ZO188" s="1"/>
      <c r="ZP188" s="1"/>
      <c r="ZQ188" s="1"/>
      <c r="ZR188" s="1"/>
      <c r="ZS188" s="1"/>
      <c r="ZT188" s="1"/>
      <c r="ZU188" s="1"/>
      <c r="ZV188" s="1"/>
      <c r="ZW188" s="1"/>
      <c r="ZX188" s="1"/>
      <c r="ZY188" s="1"/>
      <c r="ZZ188" s="1"/>
      <c r="AAA188" s="1"/>
      <c r="AAB188" s="1"/>
      <c r="AAC188" s="1"/>
      <c r="AAD188" s="1"/>
      <c r="AAE188" s="1"/>
      <c r="AAF188" s="1"/>
      <c r="AAG188" s="1"/>
      <c r="AAH188" s="1"/>
      <c r="AAI188" s="1"/>
      <c r="AAJ188" s="1"/>
      <c r="AAK188" s="1"/>
      <c r="AAL188" s="1"/>
      <c r="AAM188" s="1"/>
      <c r="AAN188" s="1"/>
      <c r="AAO188" s="1"/>
      <c r="AAP188" s="1"/>
      <c r="AAQ188" s="1"/>
      <c r="AAR188" s="1"/>
      <c r="AAS188" s="1"/>
      <c r="AAT188" s="1"/>
      <c r="AAU188" s="1"/>
      <c r="AAV188" s="1"/>
      <c r="AAW188" s="1"/>
      <c r="AAX188" s="1"/>
      <c r="AAY188" s="1"/>
      <c r="AAZ188" s="1"/>
      <c r="ABA188" s="1"/>
      <c r="ABB188" s="1"/>
      <c r="ABC188" s="1"/>
      <c r="ABD188" s="1"/>
      <c r="ABE188" s="1"/>
      <c r="ABF188" s="1"/>
      <c r="ABG188" s="1"/>
      <c r="ABH188" s="1"/>
      <c r="ABI188" s="1"/>
      <c r="ABJ188" s="1"/>
      <c r="ABK188" s="1"/>
      <c r="ABL188" s="1"/>
      <c r="ABM188" s="1"/>
      <c r="ABN188" s="1"/>
      <c r="ABO188" s="1"/>
      <c r="ABP188" s="1"/>
      <c r="ABQ188" s="1"/>
      <c r="ABR188" s="1"/>
      <c r="ABS188" s="1"/>
      <c r="ABT188" s="1"/>
      <c r="ABU188" s="1"/>
      <c r="ABV188" s="1"/>
      <c r="ABW188" s="1"/>
      <c r="ABX188" s="1"/>
      <c r="ABY188" s="1"/>
      <c r="ABZ188" s="1"/>
      <c r="ACA188" s="1"/>
      <c r="ACB188" s="1"/>
      <c r="ACC188" s="1"/>
      <c r="ACD188" s="1"/>
      <c r="ACE188" s="1"/>
      <c r="ACF188" s="1"/>
      <c r="ACG188" s="1"/>
      <c r="ACH188" s="1"/>
      <c r="ACI188" s="1"/>
      <c r="ACJ188" s="1"/>
      <c r="ACK188" s="1"/>
      <c r="ACL188" s="1"/>
      <c r="ACM188" s="1"/>
      <c r="ACN188" s="1"/>
      <c r="ACO188" s="1"/>
      <c r="ACP188" s="1"/>
      <c r="ACQ188" s="1"/>
      <c r="ACR188" s="1"/>
      <c r="ACS188" s="1"/>
      <c r="ACT188" s="1"/>
      <c r="ACU188" s="1"/>
      <c r="ACV188" s="1"/>
      <c r="ACW188" s="1"/>
      <c r="ACX188" s="1"/>
      <c r="ACY188" s="1"/>
      <c r="ACZ188" s="1"/>
      <c r="ADA188" s="1"/>
      <c r="ADB188" s="1"/>
      <c r="ADC188" s="1"/>
      <c r="ADD188" s="1"/>
      <c r="ADE188" s="1"/>
      <c r="ADF188" s="1"/>
      <c r="ADG188" s="1"/>
      <c r="ADH188" s="1"/>
      <c r="ADI188" s="1"/>
      <c r="ADJ188" s="1"/>
      <c r="ADK188" s="1"/>
      <c r="ADL188" s="1"/>
      <c r="ADM188" s="1"/>
      <c r="ADN188" s="1"/>
      <c r="ADO188" s="1"/>
      <c r="ADP188" s="1"/>
      <c r="ADQ188" s="1"/>
      <c r="ADR188" s="1"/>
      <c r="ADS188" s="1"/>
      <c r="ADT188" s="1"/>
      <c r="ADU188" s="1"/>
      <c r="ADV188" s="1"/>
      <c r="ADW188" s="1"/>
      <c r="ADX188" s="1"/>
      <c r="ADY188" s="1"/>
      <c r="ADZ188" s="1"/>
      <c r="AEA188" s="1"/>
      <c r="AEB188" s="1"/>
      <c r="AEC188" s="1"/>
      <c r="AED188" s="1"/>
      <c r="AEE188" s="1"/>
      <c r="AEF188" s="1"/>
      <c r="AEG188" s="1"/>
      <c r="AEH188" s="1"/>
      <c r="AEI188" s="1"/>
      <c r="AEJ188" s="1"/>
      <c r="AEK188" s="1"/>
      <c r="AEL188" s="1"/>
      <c r="AEM188" s="1"/>
      <c r="AEN188" s="1"/>
      <c r="AEO188" s="1"/>
      <c r="AEP188" s="1"/>
      <c r="AEQ188" s="1"/>
      <c r="AER188" s="1"/>
      <c r="AES188" s="1"/>
      <c r="AET188" s="1"/>
      <c r="AEU188" s="1"/>
      <c r="AEV188" s="1"/>
      <c r="AEW188" s="1"/>
      <c r="AEX188" s="1"/>
      <c r="AEY188" s="1"/>
      <c r="AEZ188" s="1"/>
      <c r="AFA188" s="1"/>
      <c r="AFB188" s="1"/>
      <c r="AFC188" s="1"/>
      <c r="AFD188" s="1"/>
      <c r="AFE188" s="1"/>
      <c r="AFF188" s="1"/>
      <c r="AFG188" s="1"/>
      <c r="AFH188" s="1"/>
      <c r="AFI188" s="1"/>
      <c r="AFJ188" s="1"/>
      <c r="AFK188" s="1"/>
      <c r="AFL188" s="1"/>
      <c r="AFM188" s="1"/>
      <c r="AFN188" s="1"/>
      <c r="AFO188" s="1"/>
      <c r="AFP188" s="1"/>
      <c r="AFQ188" s="1"/>
      <c r="AFR188" s="1"/>
      <c r="AFS188" s="1"/>
      <c r="AFT188" s="1"/>
      <c r="AFU188" s="1"/>
      <c r="AFV188" s="1"/>
      <c r="AFW188" s="1"/>
      <c r="AFX188" s="1"/>
      <c r="AFY188" s="1"/>
      <c r="AFZ188" s="1"/>
      <c r="AGA188" s="1"/>
      <c r="AGB188" s="1"/>
      <c r="AGC188" s="1"/>
      <c r="AGD188" s="1"/>
      <c r="AGE188" s="1"/>
      <c r="AGF188" s="1"/>
      <c r="AGG188" s="1"/>
      <c r="AGH188" s="1"/>
      <c r="AGI188" s="1"/>
      <c r="AGJ188" s="1"/>
      <c r="AGK188" s="1"/>
      <c r="AGL188" s="1"/>
      <c r="AGM188" s="1"/>
      <c r="AGN188" s="1"/>
      <c r="AGO188" s="1"/>
      <c r="AGP188" s="1"/>
      <c r="AGQ188" s="1"/>
      <c r="AGR188" s="1"/>
      <c r="AGS188" s="1"/>
      <c r="AGT188" s="1"/>
      <c r="AGU188" s="1"/>
      <c r="AGV188" s="1"/>
      <c r="AGW188" s="1"/>
      <c r="AGX188" s="1"/>
      <c r="AGY188" s="1"/>
      <c r="AGZ188" s="1"/>
      <c r="AHA188" s="1"/>
      <c r="AHB188" s="1"/>
      <c r="AHC188" s="1"/>
      <c r="AHD188" s="1"/>
      <c r="AHE188" s="1"/>
      <c r="AHF188" s="1"/>
      <c r="AHG188" s="1"/>
      <c r="AHH188" s="1"/>
      <c r="AHI188" s="1"/>
      <c r="AHJ188" s="1"/>
      <c r="AHK188" s="1"/>
      <c r="AHL188" s="1"/>
      <c r="AHM188" s="1"/>
      <c r="AHN188" s="1"/>
      <c r="AHO188" s="1"/>
      <c r="AHP188" s="1"/>
      <c r="AHQ188" s="1"/>
      <c r="AHR188" s="1"/>
      <c r="AHS188" s="1"/>
      <c r="AHT188" s="1"/>
      <c r="AHU188" s="1"/>
      <c r="AHV188" s="1"/>
      <c r="AHW188" s="1"/>
      <c r="AHX188" s="1"/>
      <c r="AHY188" s="1"/>
      <c r="AHZ188" s="1"/>
      <c r="AIA188" s="1"/>
      <c r="AIB188" s="1"/>
      <c r="AIC188" s="1"/>
      <c r="AID188" s="1"/>
      <c r="AIE188" s="1"/>
      <c r="AIF188" s="1"/>
      <c r="AIG188" s="1"/>
      <c r="AIH188" s="1"/>
      <c r="AII188" s="1"/>
      <c r="AIJ188" s="1"/>
      <c r="AIK188" s="1"/>
      <c r="AIL188" s="1"/>
      <c r="AIM188" s="1"/>
      <c r="AIN188" s="1"/>
      <c r="AIO188" s="1"/>
      <c r="AIP188" s="1"/>
      <c r="AIQ188" s="1"/>
      <c r="AIR188" s="1"/>
      <c r="AIS188" s="1"/>
      <c r="AIT188" s="1"/>
      <c r="AIU188" s="1"/>
      <c r="AIV188" s="1"/>
      <c r="AIW188" s="1"/>
      <c r="AIX188" s="1"/>
      <c r="AIY188" s="1"/>
      <c r="AIZ188" s="1"/>
      <c r="AJA188" s="1"/>
      <c r="AJB188" s="1"/>
      <c r="AJC188" s="1"/>
      <c r="AJD188" s="1"/>
      <c r="AJE188" s="1"/>
      <c r="AJF188" s="1"/>
      <c r="AJG188" s="1"/>
      <c r="AJH188" s="1"/>
      <c r="AJI188" s="1"/>
      <c r="AJJ188" s="1"/>
      <c r="AJK188" s="1"/>
      <c r="AJL188" s="1"/>
      <c r="AJM188" s="1"/>
      <c r="AJN188" s="1"/>
      <c r="AJO188" s="1"/>
      <c r="AJP188" s="1"/>
      <c r="AJQ188" s="1"/>
      <c r="AJR188" s="1"/>
      <c r="AJS188" s="1"/>
      <c r="AJT188" s="1"/>
      <c r="AJU188" s="1"/>
      <c r="AJV188" s="1"/>
      <c r="AJW188" s="1"/>
      <c r="AJX188" s="1"/>
      <c r="AJY188" s="1"/>
      <c r="AJZ188" s="1"/>
      <c r="AKA188" s="1"/>
      <c r="AKB188" s="1"/>
      <c r="AKC188" s="1"/>
      <c r="AKD188" s="1"/>
      <c r="AKE188" s="1"/>
      <c r="AKF188" s="1"/>
      <c r="AKG188" s="1"/>
      <c r="AKH188" s="1"/>
      <c r="AKI188" s="1"/>
      <c r="AKJ188" s="1"/>
      <c r="AKK188" s="1"/>
      <c r="AKL188" s="1"/>
      <c r="AKM188" s="1"/>
      <c r="AKN188" s="1"/>
      <c r="AKO188" s="1"/>
      <c r="AKP188" s="1"/>
      <c r="AKQ188" s="1"/>
      <c r="AKR188" s="1"/>
      <c r="AKS188" s="1"/>
      <c r="AKT188" s="1"/>
      <c r="AKU188" s="1"/>
      <c r="AKV188" s="1"/>
      <c r="AKW188" s="1"/>
      <c r="AKX188" s="1"/>
      <c r="AKY188" s="1"/>
      <c r="AKZ188" s="1"/>
      <c r="ALA188" s="1"/>
      <c r="ALB188" s="1"/>
      <c r="ALC188" s="1"/>
      <c r="ALD188" s="1"/>
      <c r="ALE188" s="1"/>
      <c r="ALF188" s="1"/>
      <c r="ALG188" s="1"/>
      <c r="ALH188" s="1"/>
      <c r="ALI188" s="1"/>
      <c r="ALJ188" s="1"/>
      <c r="ALK188" s="1"/>
      <c r="ALL188" s="1"/>
      <c r="ALM188" s="1"/>
      <c r="ALN188" s="1"/>
      <c r="ALO188" s="1"/>
      <c r="ALP188" s="1"/>
      <c r="ALQ188" s="1"/>
      <c r="ALR188" s="1"/>
      <c r="ALS188" s="1"/>
      <c r="ALT188" s="1"/>
      <c r="ALU188" s="1"/>
      <c r="ALV188" s="1"/>
      <c r="ALW188" s="1"/>
      <c r="ALX188" s="1"/>
      <c r="ALY188" s="1"/>
      <c r="ALZ188" s="1"/>
      <c r="AMA188" s="1"/>
      <c r="AMB188" s="1"/>
      <c r="AMC188" s="1"/>
      <c r="AMD188" s="1"/>
      <c r="AME188" s="1"/>
      <c r="AMF188" s="1"/>
      <c r="AMG188" s="1"/>
      <c r="AMH188" s="1"/>
      <c r="AMI188" s="1"/>
      <c r="AMJ188" s="1"/>
      <c r="AMK188" s="1"/>
      <c r="AML188" s="1"/>
      <c r="AMM188" s="1"/>
      <c r="AMN188" s="1"/>
      <c r="AMO188" s="1"/>
    </row>
    <row r="189" spans="1:1030" x14ac:dyDescent="0.2">
      <c r="A189" s="3" t="str">
        <f>CONCATENATE(B189,"_",C189)</f>
        <v>ntr1_rat_5T04</v>
      </c>
      <c r="B189" s="3" t="s">
        <v>914</v>
      </c>
      <c r="C189" s="3" t="s">
        <v>1392</v>
      </c>
      <c r="D189" s="3" t="str">
        <f>IFERROR(MID(VLOOKUP($B189,Seqs!$A:$B,2,0),E189,1),"")</f>
        <v>I</v>
      </c>
      <c r="E189" s="3">
        <v>61</v>
      </c>
      <c r="F189" s="3" t="str">
        <f>IFERROR(MID(VLOOKUP($B189,Seqs!$A:$B,2,0),G189,1),"")</f>
        <v>T</v>
      </c>
      <c r="G189" s="3">
        <v>88</v>
      </c>
      <c r="H189" s="3" t="str">
        <f>IFERROR(MID(VLOOKUP($B189,Seqs!$A:$B,2,0),I189,1),"")</f>
        <v/>
      </c>
      <c r="I189" s="23" t="s">
        <v>23</v>
      </c>
      <c r="J189" s="3" t="str">
        <f>IFERROR(MID(VLOOKUP($B189,Seqs!$A:$B,2,0),K189,1),"")</f>
        <v/>
      </c>
      <c r="K189" s="23" t="s">
        <v>23</v>
      </c>
      <c r="L189" s="3" t="str">
        <f>IFERROR(MID(VLOOKUP($B189,Seqs!$A:$B,2,0),M189,1),"")</f>
        <v>H</v>
      </c>
      <c r="M189" s="3">
        <v>103</v>
      </c>
      <c r="N189" s="3" t="str">
        <f>IFERROR(MID(VLOOKUP($B189,Seqs!$A:$B,2,0),O189,1),"")</f>
        <v>V</v>
      </c>
      <c r="O189" s="3">
        <v>131</v>
      </c>
      <c r="P189" s="3" t="str">
        <f>IFERROR(MID(VLOOKUP($B189,Seqs!$A:$B,2,0),Q189,1),"")</f>
        <v>P</v>
      </c>
      <c r="Q189" s="3">
        <v>134</v>
      </c>
      <c r="R189" s="3" t="str">
        <f>IFERROR(MID(VLOOKUP($B189,Seqs!$A:$B,2,0),S189,1),"")</f>
        <v>F</v>
      </c>
      <c r="S189" s="3">
        <v>137</v>
      </c>
      <c r="T189" s="3" t="str">
        <f>IFERROR(MID(VLOOKUP($B189,Seqs!$A:$B,2,0),U189,1),"")</f>
        <v>G</v>
      </c>
      <c r="U189" s="3">
        <v>138</v>
      </c>
      <c r="V189" s="3" t="str">
        <f>IFERROR(MID(VLOOKUP($B189,Seqs!$A:$B,2,0),W189,1),"")</f>
        <v>H</v>
      </c>
      <c r="W189" s="3">
        <v>173</v>
      </c>
      <c r="X189" s="3" t="str">
        <f>IFERROR(MID(VLOOKUP($B189,Seqs!$A:$B,2,0),Y189,1),"")</f>
        <v>P</v>
      </c>
      <c r="Y189" s="3">
        <v>174</v>
      </c>
      <c r="Z189" s="3" t="str">
        <f>IFERROR(MID(VLOOKUP($B189,Seqs!$A:$B,2,0),AA189,1),"")</f>
        <v>M</v>
      </c>
      <c r="AA189" s="3">
        <v>181</v>
      </c>
      <c r="AB189" s="3" t="str">
        <f>IFERROR(MID(VLOOKUP($B189,Seqs!$A:$B,2,0),AC189,1),"")</f>
        <v>S</v>
      </c>
      <c r="AC189" s="3">
        <v>182</v>
      </c>
      <c r="AD189" s="3" t="str">
        <f>IFERROR(MID(VLOOKUP($B189,Seqs!$A:$B,2,0),AE189,1),"")</f>
        <v>M</v>
      </c>
      <c r="AE189" s="3">
        <v>208</v>
      </c>
      <c r="AF189" s="3" t="str">
        <f>IFERROR(MID(VLOOKUP($B189,Seqs!$A:$B,2,0),AG189,1),"")</f>
        <v>C</v>
      </c>
      <c r="AG189" s="3">
        <v>225</v>
      </c>
      <c r="AH189" s="3" t="str">
        <f>IFERROR(MID(VLOOKUP($B189,Seqs!$A:$B,2,0),AI189,1),"")</f>
        <v>P</v>
      </c>
      <c r="AI189" s="3">
        <v>227</v>
      </c>
      <c r="AJ189" s="3" t="str">
        <f>IFERROR(MID(VLOOKUP($B189,Seqs!$A:$B,2,0),AK189,1),"")</f>
        <v>T</v>
      </c>
      <c r="AK189" s="3">
        <v>231</v>
      </c>
      <c r="AL189" s="3" t="str">
        <f>IFERROR(MID(VLOOKUP($B189,Seqs!$A:$B,2,0),AM189,1),"")</f>
        <v>V</v>
      </c>
      <c r="AM189" s="3">
        <v>268</v>
      </c>
      <c r="AN189" s="3" t="str">
        <f>IFERROR(MID(VLOOKUP($B189,Seqs!$A:$B,2,0),AO189,1),"")</f>
        <v>P</v>
      </c>
      <c r="AO189" s="3">
        <v>297</v>
      </c>
      <c r="AP189" s="3" t="str">
        <f>IFERROR(MID(VLOOKUP($B189,Seqs!$A:$B,2,0),AQ189,1),"")</f>
        <v>I</v>
      </c>
      <c r="AQ189" s="3">
        <v>334</v>
      </c>
      <c r="AR189" s="3" t="str">
        <f>IFERROR(MID(VLOOKUP($B189,Seqs!$A:$B,2,0),AS189,1),"")</f>
        <v>T</v>
      </c>
      <c r="AS189" s="3">
        <v>340</v>
      </c>
      <c r="AT189" s="3" t="str">
        <f>IFERROR(MID(VLOOKUP($B189,Seqs!$A:$B,2,0),AU189,1),"")</f>
        <v>I</v>
      </c>
      <c r="AU189" s="3">
        <v>364</v>
      </c>
      <c r="AV189" s="3" t="str">
        <f>IFERROR(MID(VLOOKUP($B189,Seqs!$A:$B,2,0),AW189,1),"")</f>
        <v/>
      </c>
      <c r="AW189" s="3" t="s">
        <v>23</v>
      </c>
      <c r="AX189" s="3" t="str">
        <f>IFERROR(MID(VLOOKUP($B189,Seqs!$A:$B,2,0),AY189,1),"")</f>
        <v/>
      </c>
      <c r="AY189" s="3" t="s">
        <v>23</v>
      </c>
      <c r="AZ189" s="77" t="str">
        <f>VLOOKUP(B189,Classification!A:D,2,0)</f>
        <v>A</v>
      </c>
      <c r="BA189" s="94" t="str">
        <f>VLOOKUP(B189,Classification!A:D,4,0)</f>
        <v>Neurotensin</v>
      </c>
      <c r="BB189" s="27" t="b">
        <f>AND(E189&lt;G189,OR(G189&lt;I189,I189="-"),OR(I189&lt;K189,I189="-"),OR(K189&lt;M189,K189="-"),M189&lt;O189,OR(O189&lt;Q189,Q189="-"),OR(Q189&lt;S189,Q189="-"),OR(S189&lt;U189,S189="-"),U189&lt;W189,OR(W189&lt;Y189,Y189="-"),OR(Y189&lt;AA189,Y189="-"),OR(AA189&lt;AC189,AA189="-"),AC189&lt;AE189,OR(AE189&lt;AG189,AG189="-"),OR(AG189&lt;AI189,AG189="-"),OR(AI189&lt;AK189,AI189="-"),AK189&lt;AM189,AM189&lt;AO189,AO189&lt;AQ189,AQ189&lt;AS189,AS189&lt;AU189,OR(AU189&lt;AW189,AW189="-"),OR(AW189&lt;AY189,AW189="-"))</f>
        <v>1</v>
      </c>
      <c r="BC189" s="23">
        <f>_xlfn.AGGREGATE(9,6,CH189:CS189)-_xlfn.AGGREGATE(9,6,BV189:CG189)+12</f>
        <v>238</v>
      </c>
      <c r="BD189" s="5" t="s">
        <v>1382</v>
      </c>
      <c r="BE189" s="3" t="s">
        <v>1297</v>
      </c>
      <c r="BF189" s="119">
        <v>3.3</v>
      </c>
      <c r="BG189" s="49" t="s">
        <v>1384</v>
      </c>
      <c r="BH189" s="49" t="s">
        <v>1384</v>
      </c>
      <c r="BI189" s="1"/>
      <c r="BJ189" s="70" t="s">
        <v>1293</v>
      </c>
      <c r="BK189" s="57" t="s">
        <v>1293</v>
      </c>
      <c r="BL189" s="57" t="s">
        <v>1293</v>
      </c>
      <c r="BM189" s="57" t="s">
        <v>1293</v>
      </c>
      <c r="BN189" s="57" t="s">
        <v>1293</v>
      </c>
      <c r="BO189" s="57" t="s">
        <v>1293</v>
      </c>
      <c r="BP189" s="57" t="s">
        <v>1293</v>
      </c>
      <c r="BQ189" s="57" t="s">
        <v>1293</v>
      </c>
      <c r="BR189" s="57" t="s">
        <v>1293</v>
      </c>
      <c r="BS189" s="57" t="s">
        <v>1293</v>
      </c>
      <c r="BT189" s="57" t="s">
        <v>1293</v>
      </c>
      <c r="BU189" s="57" t="s">
        <v>1293</v>
      </c>
      <c r="BV189" s="70">
        <f>E189</f>
        <v>61</v>
      </c>
      <c r="BW189" s="71" t="str">
        <f>I189</f>
        <v>-</v>
      </c>
      <c r="BX189" s="72">
        <f>M189</f>
        <v>103</v>
      </c>
      <c r="BY189" s="71">
        <f>Q189</f>
        <v>134</v>
      </c>
      <c r="BZ189" s="72">
        <f>U189</f>
        <v>138</v>
      </c>
      <c r="CA189" s="71">
        <f>Y189</f>
        <v>174</v>
      </c>
      <c r="CB189" s="72">
        <f>AC189</f>
        <v>182</v>
      </c>
      <c r="CC189" s="71">
        <f>AG189</f>
        <v>225</v>
      </c>
      <c r="CD189" s="72">
        <f>AK189</f>
        <v>231</v>
      </c>
      <c r="CE189" s="71">
        <f>AO189</f>
        <v>297</v>
      </c>
      <c r="CF189" s="72">
        <f>AS189</f>
        <v>340</v>
      </c>
      <c r="CG189" s="71" t="str">
        <f>AW189</f>
        <v>-</v>
      </c>
      <c r="CH189" s="70">
        <f>G189</f>
        <v>88</v>
      </c>
      <c r="CI189" s="71" t="str">
        <f>K189</f>
        <v>-</v>
      </c>
      <c r="CJ189" s="72">
        <f>O189</f>
        <v>131</v>
      </c>
      <c r="CK189" s="72">
        <f>S189</f>
        <v>137</v>
      </c>
      <c r="CL189" s="72">
        <f>W189</f>
        <v>173</v>
      </c>
      <c r="CM189" s="72">
        <f>AA189</f>
        <v>181</v>
      </c>
      <c r="CN189" s="72">
        <f>AE189</f>
        <v>208</v>
      </c>
      <c r="CO189" s="72">
        <f>AI189</f>
        <v>227</v>
      </c>
      <c r="CP189" s="72">
        <f>AM189</f>
        <v>268</v>
      </c>
      <c r="CQ189" s="72">
        <f>AQ189</f>
        <v>334</v>
      </c>
      <c r="CR189" s="72">
        <f>AU189</f>
        <v>364</v>
      </c>
      <c r="CS189" s="72" t="str">
        <f>AY189</f>
        <v>-</v>
      </c>
      <c r="CT189" s="23" t="e">
        <f>M189-K189</f>
        <v>#VALUE!</v>
      </c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  <c r="OK189" s="1"/>
      <c r="OL189" s="1"/>
      <c r="OM189" s="1"/>
      <c r="ON189" s="1"/>
      <c r="OO189" s="1"/>
      <c r="OP189" s="1"/>
      <c r="OQ189" s="1"/>
      <c r="OR189" s="1"/>
      <c r="OS189" s="1"/>
      <c r="OT189" s="1"/>
      <c r="OU189" s="1"/>
      <c r="OV189" s="1"/>
      <c r="OW189" s="1"/>
      <c r="OX189" s="1"/>
      <c r="OY189" s="1"/>
      <c r="OZ189" s="1"/>
      <c r="PA189" s="1"/>
      <c r="PB189" s="1"/>
      <c r="PC189" s="1"/>
      <c r="PD189" s="1"/>
      <c r="PE189" s="1"/>
      <c r="PF189" s="1"/>
      <c r="PG189" s="1"/>
      <c r="PH189" s="1"/>
      <c r="PI189" s="1"/>
      <c r="PJ189" s="1"/>
      <c r="PK189" s="1"/>
      <c r="PL189" s="1"/>
      <c r="PM189" s="1"/>
      <c r="PN189" s="1"/>
      <c r="PO189" s="1"/>
      <c r="PP189" s="1"/>
      <c r="PQ189" s="1"/>
      <c r="PR189" s="1"/>
      <c r="PS189" s="1"/>
      <c r="PT189" s="1"/>
      <c r="PU189" s="1"/>
      <c r="PV189" s="1"/>
      <c r="PW189" s="1"/>
      <c r="PX189" s="1"/>
      <c r="PY189" s="1"/>
      <c r="PZ189" s="1"/>
      <c r="QA189" s="1"/>
      <c r="QB189" s="1"/>
      <c r="QC189" s="1"/>
      <c r="QD189" s="1"/>
      <c r="QE189" s="1"/>
      <c r="QF189" s="1"/>
      <c r="QG189" s="1"/>
      <c r="QH189" s="1"/>
      <c r="QI189" s="1"/>
      <c r="QJ189" s="1"/>
      <c r="QK189" s="1"/>
      <c r="QL189" s="1"/>
      <c r="QM189" s="1"/>
      <c r="QN189" s="1"/>
      <c r="QO189" s="1"/>
      <c r="QP189" s="1"/>
      <c r="QQ189" s="1"/>
      <c r="QR189" s="1"/>
      <c r="QS189" s="1"/>
      <c r="QT189" s="1"/>
      <c r="QU189" s="1"/>
      <c r="QV189" s="1"/>
      <c r="QW189" s="1"/>
      <c r="QX189" s="1"/>
      <c r="QY189" s="1"/>
      <c r="QZ189" s="1"/>
      <c r="RA189" s="1"/>
      <c r="RB189" s="1"/>
      <c r="RC189" s="1"/>
      <c r="RD189" s="1"/>
      <c r="RE189" s="1"/>
      <c r="RF189" s="1"/>
      <c r="RG189" s="1"/>
      <c r="RH189" s="1"/>
      <c r="RI189" s="1"/>
      <c r="RJ189" s="1"/>
      <c r="RK189" s="1"/>
      <c r="RL189" s="1"/>
      <c r="RM189" s="1"/>
      <c r="RN189" s="1"/>
      <c r="RO189" s="1"/>
      <c r="RP189" s="1"/>
      <c r="RQ189" s="1"/>
      <c r="RR189" s="1"/>
      <c r="RS189" s="1"/>
      <c r="RT189" s="1"/>
      <c r="RU189" s="1"/>
      <c r="RV189" s="1"/>
      <c r="RW189" s="1"/>
      <c r="RX189" s="1"/>
      <c r="RY189" s="1"/>
      <c r="RZ189" s="1"/>
      <c r="SA189" s="1"/>
      <c r="SB189" s="1"/>
      <c r="SC189" s="1"/>
      <c r="SD189" s="1"/>
      <c r="SE189" s="1"/>
      <c r="SF189" s="1"/>
      <c r="SG189" s="1"/>
      <c r="SH189" s="1"/>
      <c r="SI189" s="1"/>
      <c r="SJ189" s="1"/>
      <c r="SK189" s="1"/>
      <c r="SL189" s="1"/>
      <c r="SM189" s="1"/>
      <c r="SN189" s="1"/>
      <c r="SO189" s="1"/>
      <c r="SP189" s="1"/>
      <c r="SQ189" s="1"/>
      <c r="SR189" s="1"/>
      <c r="SS189" s="1"/>
      <c r="ST189" s="1"/>
      <c r="SU189" s="1"/>
      <c r="SV189" s="1"/>
      <c r="SW189" s="1"/>
      <c r="SX189" s="1"/>
      <c r="SY189" s="1"/>
      <c r="SZ189" s="1"/>
      <c r="TA189" s="1"/>
      <c r="TB189" s="1"/>
      <c r="TC189" s="1"/>
      <c r="TD189" s="1"/>
      <c r="TE189" s="1"/>
      <c r="TF189" s="1"/>
      <c r="TG189" s="1"/>
      <c r="TH189" s="1"/>
      <c r="TI189" s="1"/>
      <c r="TJ189" s="1"/>
      <c r="TK189" s="1"/>
      <c r="TL189" s="1"/>
      <c r="TM189" s="1"/>
      <c r="TN189" s="1"/>
      <c r="TO189" s="1"/>
      <c r="TP189" s="1"/>
      <c r="TQ189" s="1"/>
      <c r="TR189" s="1"/>
      <c r="TS189" s="1"/>
      <c r="TT189" s="1"/>
      <c r="TU189" s="1"/>
      <c r="TV189" s="1"/>
      <c r="TW189" s="1"/>
      <c r="TX189" s="1"/>
      <c r="TY189" s="1"/>
      <c r="TZ189" s="1"/>
      <c r="UA189" s="1"/>
      <c r="UB189" s="1"/>
      <c r="UC189" s="1"/>
      <c r="UD189" s="1"/>
      <c r="UE189" s="1"/>
      <c r="UF189" s="1"/>
      <c r="UG189" s="1"/>
      <c r="UH189" s="1"/>
      <c r="UI189" s="1"/>
      <c r="UJ189" s="1"/>
      <c r="UK189" s="1"/>
      <c r="UL189" s="1"/>
      <c r="UM189" s="1"/>
      <c r="UN189" s="1"/>
      <c r="UO189" s="1"/>
      <c r="UP189" s="1"/>
      <c r="UQ189" s="1"/>
      <c r="UR189" s="1"/>
      <c r="US189" s="1"/>
      <c r="UT189" s="1"/>
      <c r="UU189" s="1"/>
      <c r="UV189" s="1"/>
      <c r="UW189" s="1"/>
      <c r="UX189" s="1"/>
      <c r="UY189" s="1"/>
      <c r="UZ189" s="1"/>
      <c r="VA189" s="1"/>
      <c r="VB189" s="1"/>
      <c r="VC189" s="1"/>
      <c r="VD189" s="1"/>
      <c r="VE189" s="1"/>
      <c r="VF189" s="1"/>
      <c r="VG189" s="1"/>
      <c r="VH189" s="1"/>
      <c r="VI189" s="1"/>
      <c r="VJ189" s="1"/>
      <c r="VK189" s="1"/>
      <c r="VL189" s="1"/>
      <c r="VM189" s="1"/>
      <c r="VN189" s="1"/>
      <c r="VO189" s="1"/>
      <c r="VP189" s="1"/>
      <c r="VQ189" s="1"/>
      <c r="VR189" s="1"/>
      <c r="VS189" s="1"/>
      <c r="VT189" s="1"/>
      <c r="VU189" s="1"/>
      <c r="VV189" s="1"/>
      <c r="VW189" s="1"/>
      <c r="VX189" s="1"/>
      <c r="VY189" s="1"/>
      <c r="VZ189" s="1"/>
      <c r="WA189" s="1"/>
      <c r="WB189" s="1"/>
      <c r="WC189" s="1"/>
      <c r="WD189" s="1"/>
      <c r="WE189" s="1"/>
      <c r="WF189" s="1"/>
      <c r="WG189" s="1"/>
      <c r="WH189" s="1"/>
      <c r="WI189" s="1"/>
      <c r="WJ189" s="1"/>
      <c r="WK189" s="1"/>
      <c r="WL189" s="1"/>
      <c r="WM189" s="1"/>
      <c r="WN189" s="1"/>
      <c r="WO189" s="1"/>
      <c r="WP189" s="1"/>
      <c r="WQ189" s="1"/>
      <c r="WR189" s="1"/>
      <c r="WS189" s="1"/>
      <c r="WT189" s="1"/>
      <c r="WU189" s="1"/>
      <c r="WV189" s="1"/>
      <c r="WW189" s="1"/>
      <c r="WX189" s="1"/>
      <c r="WY189" s="1"/>
      <c r="WZ189" s="1"/>
      <c r="XA189" s="1"/>
      <c r="XB189" s="1"/>
      <c r="XC189" s="1"/>
      <c r="XD189" s="1"/>
      <c r="XE189" s="1"/>
      <c r="XF189" s="1"/>
      <c r="XG189" s="1"/>
      <c r="XH189" s="1"/>
      <c r="XI189" s="1"/>
      <c r="XJ189" s="1"/>
      <c r="XK189" s="1"/>
      <c r="XL189" s="1"/>
      <c r="XM189" s="1"/>
      <c r="XN189" s="1"/>
      <c r="XO189" s="1"/>
      <c r="XP189" s="1"/>
      <c r="XQ189" s="1"/>
      <c r="XR189" s="1"/>
      <c r="XS189" s="1"/>
      <c r="XT189" s="1"/>
      <c r="XU189" s="1"/>
      <c r="XV189" s="1"/>
      <c r="XW189" s="1"/>
      <c r="XX189" s="1"/>
      <c r="XY189" s="1"/>
      <c r="XZ189" s="1"/>
      <c r="YA189" s="1"/>
      <c r="YB189" s="1"/>
      <c r="YC189" s="1"/>
      <c r="YD189" s="1"/>
      <c r="YE189" s="1"/>
      <c r="YF189" s="1"/>
      <c r="YG189" s="1"/>
      <c r="YH189" s="1"/>
      <c r="YI189" s="1"/>
      <c r="YJ189" s="1"/>
      <c r="YK189" s="1"/>
      <c r="YL189" s="1"/>
      <c r="YM189" s="1"/>
      <c r="YN189" s="1"/>
      <c r="YO189" s="1"/>
      <c r="YP189" s="1"/>
      <c r="YQ189" s="1"/>
      <c r="YR189" s="1"/>
      <c r="YS189" s="1"/>
      <c r="YT189" s="1"/>
      <c r="YU189" s="1"/>
      <c r="YV189" s="1"/>
      <c r="YW189" s="1"/>
      <c r="YX189" s="1"/>
      <c r="YY189" s="1"/>
      <c r="YZ189" s="1"/>
      <c r="ZA189" s="1"/>
      <c r="ZB189" s="1"/>
      <c r="ZC189" s="1"/>
      <c r="ZD189" s="1"/>
      <c r="ZE189" s="1"/>
      <c r="ZF189" s="1"/>
      <c r="ZG189" s="1"/>
      <c r="ZH189" s="1"/>
      <c r="ZI189" s="1"/>
      <c r="ZJ189" s="1"/>
      <c r="ZK189" s="1"/>
      <c r="ZL189" s="1"/>
      <c r="ZM189" s="1"/>
      <c r="ZN189" s="1"/>
      <c r="ZO189" s="1"/>
      <c r="ZP189" s="1"/>
      <c r="ZQ189" s="1"/>
      <c r="ZR189" s="1"/>
      <c r="ZS189" s="1"/>
      <c r="ZT189" s="1"/>
      <c r="ZU189" s="1"/>
      <c r="ZV189" s="1"/>
      <c r="ZW189" s="1"/>
      <c r="ZX189" s="1"/>
      <c r="ZY189" s="1"/>
      <c r="ZZ189" s="1"/>
      <c r="AAA189" s="1"/>
      <c r="AAB189" s="1"/>
      <c r="AAC189" s="1"/>
      <c r="AAD189" s="1"/>
      <c r="AAE189" s="1"/>
      <c r="AAF189" s="1"/>
      <c r="AAG189" s="1"/>
      <c r="AAH189" s="1"/>
      <c r="AAI189" s="1"/>
      <c r="AAJ189" s="1"/>
      <c r="AAK189" s="1"/>
      <c r="AAL189" s="1"/>
      <c r="AAM189" s="1"/>
      <c r="AAN189" s="1"/>
      <c r="AAO189" s="1"/>
      <c r="AAP189" s="1"/>
      <c r="AAQ189" s="1"/>
      <c r="AAR189" s="1"/>
      <c r="AAS189" s="1"/>
      <c r="AAT189" s="1"/>
      <c r="AAU189" s="1"/>
      <c r="AAV189" s="1"/>
      <c r="AAW189" s="1"/>
      <c r="AAX189" s="1"/>
      <c r="AAY189" s="1"/>
      <c r="AAZ189" s="1"/>
      <c r="ABA189" s="1"/>
      <c r="ABB189" s="1"/>
      <c r="ABC189" s="1"/>
      <c r="ABD189" s="1"/>
      <c r="ABE189" s="1"/>
      <c r="ABF189" s="1"/>
      <c r="ABG189" s="1"/>
      <c r="ABH189" s="1"/>
      <c r="ABI189" s="1"/>
      <c r="ABJ189" s="1"/>
      <c r="ABK189" s="1"/>
      <c r="ABL189" s="1"/>
      <c r="ABM189" s="1"/>
      <c r="ABN189" s="1"/>
      <c r="ABO189" s="1"/>
      <c r="ABP189" s="1"/>
      <c r="ABQ189" s="1"/>
      <c r="ABR189" s="1"/>
      <c r="ABS189" s="1"/>
      <c r="ABT189" s="1"/>
      <c r="ABU189" s="1"/>
      <c r="ABV189" s="1"/>
      <c r="ABW189" s="1"/>
      <c r="ABX189" s="1"/>
      <c r="ABY189" s="1"/>
      <c r="ABZ189" s="1"/>
      <c r="ACA189" s="1"/>
      <c r="ACB189" s="1"/>
      <c r="ACC189" s="1"/>
      <c r="ACD189" s="1"/>
      <c r="ACE189" s="1"/>
      <c r="ACF189" s="1"/>
      <c r="ACG189" s="1"/>
      <c r="ACH189" s="1"/>
      <c r="ACI189" s="1"/>
      <c r="ACJ189" s="1"/>
      <c r="ACK189" s="1"/>
      <c r="ACL189" s="1"/>
      <c r="ACM189" s="1"/>
      <c r="ACN189" s="1"/>
      <c r="ACO189" s="1"/>
      <c r="ACP189" s="1"/>
      <c r="ACQ189" s="1"/>
      <c r="ACR189" s="1"/>
      <c r="ACS189" s="1"/>
      <c r="ACT189" s="1"/>
      <c r="ACU189" s="1"/>
      <c r="ACV189" s="1"/>
      <c r="ACW189" s="1"/>
      <c r="ACX189" s="1"/>
      <c r="ACY189" s="1"/>
      <c r="ACZ189" s="1"/>
      <c r="ADA189" s="1"/>
      <c r="ADB189" s="1"/>
      <c r="ADC189" s="1"/>
      <c r="ADD189" s="1"/>
      <c r="ADE189" s="1"/>
      <c r="ADF189" s="1"/>
      <c r="ADG189" s="1"/>
      <c r="ADH189" s="1"/>
      <c r="ADI189" s="1"/>
      <c r="ADJ189" s="1"/>
      <c r="ADK189" s="1"/>
      <c r="ADL189" s="1"/>
      <c r="ADM189" s="1"/>
      <c r="ADN189" s="1"/>
      <c r="ADO189" s="1"/>
      <c r="ADP189" s="1"/>
      <c r="ADQ189" s="1"/>
      <c r="ADR189" s="1"/>
      <c r="ADS189" s="1"/>
      <c r="ADT189" s="1"/>
      <c r="ADU189" s="1"/>
      <c r="ADV189" s="1"/>
      <c r="ADW189" s="1"/>
      <c r="ADX189" s="1"/>
      <c r="ADY189" s="1"/>
      <c r="ADZ189" s="1"/>
      <c r="AEA189" s="1"/>
      <c r="AEB189" s="1"/>
      <c r="AEC189" s="1"/>
      <c r="AED189" s="1"/>
      <c r="AEE189" s="1"/>
      <c r="AEF189" s="1"/>
      <c r="AEG189" s="1"/>
      <c r="AEH189" s="1"/>
      <c r="AEI189" s="1"/>
      <c r="AEJ189" s="1"/>
      <c r="AEK189" s="1"/>
      <c r="AEL189" s="1"/>
      <c r="AEM189" s="1"/>
      <c r="AEN189" s="1"/>
      <c r="AEO189" s="1"/>
      <c r="AEP189" s="1"/>
      <c r="AEQ189" s="1"/>
      <c r="AER189" s="1"/>
      <c r="AES189" s="1"/>
      <c r="AET189" s="1"/>
      <c r="AEU189" s="1"/>
      <c r="AEV189" s="1"/>
      <c r="AEW189" s="1"/>
      <c r="AEX189" s="1"/>
      <c r="AEY189" s="1"/>
      <c r="AEZ189" s="1"/>
      <c r="AFA189" s="1"/>
      <c r="AFB189" s="1"/>
      <c r="AFC189" s="1"/>
      <c r="AFD189" s="1"/>
      <c r="AFE189" s="1"/>
      <c r="AFF189" s="1"/>
      <c r="AFG189" s="1"/>
      <c r="AFH189" s="1"/>
      <c r="AFI189" s="1"/>
      <c r="AFJ189" s="1"/>
      <c r="AFK189" s="1"/>
      <c r="AFL189" s="1"/>
      <c r="AFM189" s="1"/>
      <c r="AFN189" s="1"/>
      <c r="AFO189" s="1"/>
      <c r="AFP189" s="1"/>
      <c r="AFQ189" s="1"/>
      <c r="AFR189" s="1"/>
      <c r="AFS189" s="1"/>
      <c r="AFT189" s="1"/>
      <c r="AFU189" s="1"/>
      <c r="AFV189" s="1"/>
      <c r="AFW189" s="1"/>
      <c r="AFX189" s="1"/>
      <c r="AFY189" s="1"/>
      <c r="AFZ189" s="1"/>
      <c r="AGA189" s="1"/>
      <c r="AGB189" s="1"/>
      <c r="AGC189" s="1"/>
      <c r="AGD189" s="1"/>
      <c r="AGE189" s="1"/>
      <c r="AGF189" s="1"/>
      <c r="AGG189" s="1"/>
      <c r="AGH189" s="1"/>
      <c r="AGI189" s="1"/>
      <c r="AGJ189" s="1"/>
      <c r="AGK189" s="1"/>
      <c r="AGL189" s="1"/>
      <c r="AGM189" s="1"/>
      <c r="AGN189" s="1"/>
      <c r="AGO189" s="1"/>
      <c r="AGP189" s="1"/>
      <c r="AGQ189" s="1"/>
      <c r="AGR189" s="1"/>
      <c r="AGS189" s="1"/>
      <c r="AGT189" s="1"/>
      <c r="AGU189" s="1"/>
      <c r="AGV189" s="1"/>
      <c r="AGW189" s="1"/>
      <c r="AGX189" s="1"/>
      <c r="AGY189" s="1"/>
      <c r="AGZ189" s="1"/>
      <c r="AHA189" s="1"/>
      <c r="AHB189" s="1"/>
      <c r="AHC189" s="1"/>
      <c r="AHD189" s="1"/>
      <c r="AHE189" s="1"/>
      <c r="AHF189" s="1"/>
      <c r="AHG189" s="1"/>
      <c r="AHH189" s="1"/>
      <c r="AHI189" s="1"/>
      <c r="AHJ189" s="1"/>
      <c r="AHK189" s="1"/>
      <c r="AHL189" s="1"/>
      <c r="AHM189" s="1"/>
      <c r="AHN189" s="1"/>
      <c r="AHO189" s="1"/>
      <c r="AHP189" s="1"/>
      <c r="AHQ189" s="1"/>
      <c r="AHR189" s="1"/>
      <c r="AHS189" s="1"/>
      <c r="AHT189" s="1"/>
      <c r="AHU189" s="1"/>
      <c r="AHV189" s="1"/>
      <c r="AHW189" s="1"/>
      <c r="AHX189" s="1"/>
      <c r="AHY189" s="1"/>
      <c r="AHZ189" s="1"/>
      <c r="AIA189" s="1"/>
      <c r="AIB189" s="1"/>
      <c r="AIC189" s="1"/>
      <c r="AID189" s="1"/>
      <c r="AIE189" s="1"/>
      <c r="AIF189" s="1"/>
      <c r="AIG189" s="1"/>
      <c r="AIH189" s="1"/>
      <c r="AII189" s="1"/>
      <c r="AIJ189" s="1"/>
      <c r="AIK189" s="1"/>
      <c r="AIL189" s="1"/>
      <c r="AIM189" s="1"/>
      <c r="AIN189" s="1"/>
      <c r="AIO189" s="1"/>
      <c r="AIP189" s="1"/>
      <c r="AIQ189" s="1"/>
      <c r="AIR189" s="1"/>
      <c r="AIS189" s="1"/>
      <c r="AIT189" s="1"/>
      <c r="AIU189" s="1"/>
      <c r="AIV189" s="1"/>
      <c r="AIW189" s="1"/>
      <c r="AIX189" s="1"/>
      <c r="AIY189" s="1"/>
      <c r="AIZ189" s="1"/>
      <c r="AJA189" s="1"/>
      <c r="AJB189" s="1"/>
      <c r="AJC189" s="1"/>
      <c r="AJD189" s="1"/>
      <c r="AJE189" s="1"/>
      <c r="AJF189" s="1"/>
      <c r="AJG189" s="1"/>
      <c r="AJH189" s="1"/>
      <c r="AJI189" s="1"/>
      <c r="AJJ189" s="1"/>
      <c r="AJK189" s="1"/>
      <c r="AJL189" s="1"/>
      <c r="AJM189" s="1"/>
      <c r="AJN189" s="1"/>
      <c r="AJO189" s="1"/>
      <c r="AJP189" s="1"/>
      <c r="AJQ189" s="1"/>
      <c r="AJR189" s="1"/>
      <c r="AJS189" s="1"/>
      <c r="AJT189" s="1"/>
      <c r="AJU189" s="1"/>
      <c r="AJV189" s="1"/>
      <c r="AJW189" s="1"/>
      <c r="AJX189" s="1"/>
      <c r="AJY189" s="1"/>
      <c r="AJZ189" s="1"/>
      <c r="AKA189" s="1"/>
      <c r="AKB189" s="1"/>
      <c r="AKC189" s="1"/>
      <c r="AKD189" s="1"/>
      <c r="AKE189" s="1"/>
      <c r="AKF189" s="1"/>
      <c r="AKG189" s="1"/>
      <c r="AKH189" s="1"/>
      <c r="AKI189" s="1"/>
      <c r="AKJ189" s="1"/>
      <c r="AKK189" s="1"/>
      <c r="AKL189" s="1"/>
      <c r="AKM189" s="1"/>
      <c r="AKN189" s="1"/>
      <c r="AKO189" s="1"/>
      <c r="AKP189" s="1"/>
      <c r="AKQ189" s="1"/>
      <c r="AKR189" s="1"/>
      <c r="AKS189" s="1"/>
      <c r="AKT189" s="1"/>
      <c r="AKU189" s="1"/>
      <c r="AKV189" s="1"/>
      <c r="AKW189" s="1"/>
      <c r="AKX189" s="1"/>
      <c r="AKY189" s="1"/>
      <c r="AKZ189" s="1"/>
      <c r="ALA189" s="1"/>
      <c r="ALB189" s="1"/>
      <c r="ALC189" s="1"/>
      <c r="ALD189" s="1"/>
      <c r="ALE189" s="1"/>
      <c r="ALF189" s="1"/>
      <c r="ALG189" s="1"/>
      <c r="ALH189" s="1"/>
      <c r="ALI189" s="1"/>
      <c r="ALJ189" s="1"/>
      <c r="ALK189" s="1"/>
      <c r="ALL189" s="1"/>
      <c r="ALM189" s="1"/>
      <c r="ALN189" s="1"/>
      <c r="ALO189" s="1"/>
      <c r="ALP189" s="1"/>
      <c r="ALQ189" s="1"/>
      <c r="ALR189" s="1"/>
      <c r="ALS189" s="1"/>
      <c r="ALT189" s="1"/>
      <c r="ALU189" s="1"/>
      <c r="ALV189" s="1"/>
      <c r="ALW189" s="1"/>
      <c r="ALX189" s="1"/>
      <c r="ALY189" s="1"/>
      <c r="ALZ189" s="1"/>
      <c r="AMA189" s="1"/>
      <c r="AMB189" s="1"/>
      <c r="AMC189" s="1"/>
      <c r="AMD189" s="1"/>
      <c r="AME189" s="1"/>
      <c r="AMF189" s="1"/>
      <c r="AMG189" s="1"/>
      <c r="AMH189" s="1"/>
      <c r="AMI189" s="1"/>
      <c r="AMJ189" s="1"/>
      <c r="AMK189" s="1"/>
      <c r="AML189" s="1"/>
      <c r="AMM189" s="1"/>
      <c r="AMN189" s="1"/>
      <c r="AMO189" s="1"/>
    </row>
    <row r="190" spans="1:1030" x14ac:dyDescent="0.2">
      <c r="A190" s="3" t="str">
        <f t="shared" si="669"/>
        <v>oprd_human__wt</v>
      </c>
      <c r="B190" s="3" t="s">
        <v>335</v>
      </c>
      <c r="C190" s="3" t="s">
        <v>100</v>
      </c>
      <c r="D190" s="3" t="str">
        <f>IFERROR(MID(VLOOKUP($B190,Seqs!$A:$B,2,0),E190,1),"")</f>
        <v>G</v>
      </c>
      <c r="E190" s="3">
        <v>39</v>
      </c>
      <c r="F190" s="3" t="str">
        <f>IFERROR(MID(VLOOKUP($B190,Seqs!$A:$B,2,0),G190,1),"")</f>
        <v>Y</v>
      </c>
      <c r="G190" s="3">
        <v>77</v>
      </c>
      <c r="H190" s="3" t="str">
        <f>IFERROR(MID(VLOOKUP($B190,Seqs!$A:$B,2,0),I190,1),"")</f>
        <v>T</v>
      </c>
      <c r="I190" s="23">
        <v>78</v>
      </c>
      <c r="J190" s="3" t="str">
        <f>IFERROR(MID(VLOOKUP($B190,Seqs!$A:$B,2,0),K190,1),"")</f>
        <v>K</v>
      </c>
      <c r="K190" s="23">
        <v>81</v>
      </c>
      <c r="L190" s="3" t="str">
        <f>IFERROR(MID(VLOOKUP($B190,Seqs!$A:$B,2,0),M190,1),"")</f>
        <v>T</v>
      </c>
      <c r="M190" s="3">
        <v>82</v>
      </c>
      <c r="N190" s="3" t="str">
        <f>IFERROR(MID(VLOOKUP($B190,Seqs!$A:$B,2,0),O190,1),"")</f>
        <v>M</v>
      </c>
      <c r="O190" s="3">
        <v>111</v>
      </c>
      <c r="P190" s="3" t="str">
        <f>IFERROR(MID(VLOOKUP($B190,Seqs!$A:$B,2,0),Q190,1),"")</f>
        <v>T</v>
      </c>
      <c r="Q190" s="3">
        <v>113</v>
      </c>
      <c r="R190" s="3" t="str">
        <f>IFERROR(MID(VLOOKUP($B190,Seqs!$A:$B,2,0),S190,1),"")</f>
        <v>F</v>
      </c>
      <c r="S190" s="3">
        <v>116</v>
      </c>
      <c r="T190" s="3" t="str">
        <f>IFERROR(MID(VLOOKUP($B190,Seqs!$A:$B,2,0),U190,1),"")</f>
        <v>G</v>
      </c>
      <c r="U190" s="3">
        <v>117</v>
      </c>
      <c r="V190" s="3" t="str">
        <f>IFERROR(MID(VLOOKUP($B190,Seqs!$A:$B,2,0),W190,1),"")</f>
        <v>H</v>
      </c>
      <c r="W190" s="3">
        <v>152</v>
      </c>
      <c r="X190" s="3" t="str">
        <f>IFERROR(MID(VLOOKUP($B190,Seqs!$A:$B,2,0),Y190,1),"")</f>
        <v>P</v>
      </c>
      <c r="Y190" s="3">
        <v>153</v>
      </c>
      <c r="Z190" s="3" t="str">
        <f>IFERROR(MID(VLOOKUP($B190,Seqs!$A:$B,2,0),AA190,1),"")</f>
        <v>R</v>
      </c>
      <c r="AA190" s="3">
        <v>160</v>
      </c>
      <c r="AB190" s="3" t="str">
        <f>IFERROR(MID(VLOOKUP($B190,Seqs!$A:$B,2,0),AC190,1),"")</f>
        <v>T</v>
      </c>
      <c r="AC190" s="9">
        <v>161</v>
      </c>
      <c r="AD190" s="3" t="str">
        <f>IFERROR(MID(VLOOKUP($B190,Seqs!$A:$B,2,0),AE190,1),"")</f>
        <v>A</v>
      </c>
      <c r="AE190" s="3">
        <v>187</v>
      </c>
      <c r="AF190" s="3" t="str">
        <f>IFERROR(MID(VLOOKUP($B190,Seqs!$A:$B,2,0),AG190,1),"")</f>
        <v>C</v>
      </c>
      <c r="AG190" s="3">
        <v>198</v>
      </c>
      <c r="AH190" s="3" t="str">
        <f>IFERROR(MID(VLOOKUP($B190,Seqs!$A:$B,2,0),AI190,1),"")</f>
        <v>L</v>
      </c>
      <c r="AI190" s="3">
        <v>200</v>
      </c>
      <c r="AJ190" s="3" t="str">
        <f>IFERROR(MID(VLOOKUP($B190,Seqs!$A:$B,2,0),AK190,1),"")</f>
        <v>S</v>
      </c>
      <c r="AK190" s="3">
        <v>206</v>
      </c>
      <c r="AL190" s="3" t="str">
        <f>IFERROR(MID(VLOOKUP($B190,Seqs!$A:$B,2,0),AM190,1),"")</f>
        <v>V</v>
      </c>
      <c r="AM190" s="3">
        <v>243</v>
      </c>
      <c r="AN190" s="3" t="str">
        <f>IFERROR(MID(VLOOKUP($B190,Seqs!$A:$B,2,0),AO190,1),"")</f>
        <v>S</v>
      </c>
      <c r="AO190" s="3">
        <v>249</v>
      </c>
      <c r="AP190" s="3" t="str">
        <f>IFERROR(MID(VLOOKUP($B190,Seqs!$A:$B,2,0),AQ190,1),"")</f>
        <v>V</v>
      </c>
      <c r="AQ190" s="3">
        <v>287</v>
      </c>
      <c r="AR190" s="3" t="str">
        <f>IFERROR(MID(VLOOKUP($B190,Seqs!$A:$B,2,0),AS190,1),"")</f>
        <v>D</v>
      </c>
      <c r="AS190" s="3">
        <v>293</v>
      </c>
      <c r="AT190" s="3" t="str">
        <f>IFERROR(MID(VLOOKUP($B190,Seqs!$A:$B,2,0),AU190,1),"")</f>
        <v>L</v>
      </c>
      <c r="AU190" s="3">
        <v>321</v>
      </c>
      <c r="AV190" s="3" t="str">
        <f>IFERROR(MID(VLOOKUP($B190,Seqs!$A:$B,2,0),AW190,1),"")</f>
        <v>D</v>
      </c>
      <c r="AW190" s="3">
        <v>322</v>
      </c>
      <c r="AX190" s="3" t="str">
        <f>IFERROR(MID(VLOOKUP($B190,Seqs!$A:$B,2,0),AY190,1),"")</f>
        <v>K</v>
      </c>
      <c r="AY190" s="3">
        <v>335</v>
      </c>
      <c r="AZ190" s="77" t="str">
        <f>VLOOKUP(B190,Classification!A:D,2,0)</f>
        <v>A</v>
      </c>
      <c r="BA190" s="94" t="str">
        <f>VLOOKUP(B190,Classification!A:D,4,0)</f>
        <v>Opioid</v>
      </c>
      <c r="BB190" s="27" t="b">
        <f t="shared" si="670"/>
        <v>1</v>
      </c>
      <c r="BC190" s="23">
        <f t="shared" si="643"/>
        <v>271</v>
      </c>
      <c r="BD190" s="56" t="s">
        <v>1379</v>
      </c>
      <c r="BE190" s="3" t="s">
        <v>23</v>
      </c>
      <c r="BF190" s="119" t="s">
        <v>23</v>
      </c>
      <c r="BG190" s="49" t="s">
        <v>1379</v>
      </c>
      <c r="BH190" s="49" t="s">
        <v>1384</v>
      </c>
      <c r="BI190" s="1"/>
      <c r="BJ190" s="70" t="s">
        <v>1293</v>
      </c>
      <c r="BK190" s="57" t="s">
        <v>1293</v>
      </c>
      <c r="BL190" s="57" t="s">
        <v>1293</v>
      </c>
      <c r="BM190" s="57" t="s">
        <v>1293</v>
      </c>
      <c r="BN190" s="57" t="s">
        <v>1293</v>
      </c>
      <c r="BO190" s="57" t="s">
        <v>1293</v>
      </c>
      <c r="BP190" s="57" t="s">
        <v>1293</v>
      </c>
      <c r="BQ190" s="57" t="s">
        <v>1293</v>
      </c>
      <c r="BR190" s="57" t="s">
        <v>1293</v>
      </c>
      <c r="BS190" s="57" t="s">
        <v>1293</v>
      </c>
      <c r="BT190" s="57" t="s">
        <v>1293</v>
      </c>
      <c r="BU190" s="57" t="s">
        <v>1293</v>
      </c>
      <c r="BV190" s="70">
        <f t="shared" si="644"/>
        <v>39</v>
      </c>
      <c r="BW190" s="71">
        <f t="shared" si="645"/>
        <v>78</v>
      </c>
      <c r="BX190" s="72">
        <f t="shared" si="646"/>
        <v>82</v>
      </c>
      <c r="BY190" s="71">
        <f t="shared" si="647"/>
        <v>113</v>
      </c>
      <c r="BZ190" s="72">
        <f t="shared" si="648"/>
        <v>117</v>
      </c>
      <c r="CA190" s="71">
        <f t="shared" si="649"/>
        <v>153</v>
      </c>
      <c r="CB190" s="72">
        <f t="shared" si="650"/>
        <v>161</v>
      </c>
      <c r="CC190" s="71">
        <f t="shared" si="651"/>
        <v>198</v>
      </c>
      <c r="CD190" s="72">
        <f t="shared" si="652"/>
        <v>206</v>
      </c>
      <c r="CE190" s="71">
        <f t="shared" si="653"/>
        <v>249</v>
      </c>
      <c r="CF190" s="72">
        <f t="shared" si="654"/>
        <v>293</v>
      </c>
      <c r="CG190" s="71">
        <f t="shared" si="655"/>
        <v>322</v>
      </c>
      <c r="CH190" s="70">
        <f t="shared" si="656"/>
        <v>77</v>
      </c>
      <c r="CI190" s="71">
        <f t="shared" si="657"/>
        <v>81</v>
      </c>
      <c r="CJ190" s="72">
        <f t="shared" si="658"/>
        <v>111</v>
      </c>
      <c r="CK190" s="72">
        <f t="shared" si="659"/>
        <v>116</v>
      </c>
      <c r="CL190" s="72">
        <f t="shared" si="660"/>
        <v>152</v>
      </c>
      <c r="CM190" s="72">
        <f t="shared" si="661"/>
        <v>160</v>
      </c>
      <c r="CN190" s="72">
        <f t="shared" si="662"/>
        <v>187</v>
      </c>
      <c r="CO190" s="72">
        <f t="shared" si="663"/>
        <v>200</v>
      </c>
      <c r="CP190" s="72">
        <f t="shared" si="664"/>
        <v>243</v>
      </c>
      <c r="CQ190" s="72">
        <f t="shared" si="665"/>
        <v>287</v>
      </c>
      <c r="CR190" s="72">
        <f t="shared" si="666"/>
        <v>321</v>
      </c>
      <c r="CS190" s="72">
        <f t="shared" si="667"/>
        <v>335</v>
      </c>
      <c r="CT190" s="23">
        <f t="shared" si="668"/>
        <v>1</v>
      </c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  <c r="OK190" s="1"/>
      <c r="OL190" s="1"/>
      <c r="OM190" s="1"/>
      <c r="ON190" s="1"/>
      <c r="OO190" s="1"/>
      <c r="OP190" s="1"/>
      <c r="OQ190" s="1"/>
      <c r="OR190" s="1"/>
      <c r="OS190" s="1"/>
      <c r="OT190" s="1"/>
      <c r="OU190" s="1"/>
      <c r="OV190" s="1"/>
      <c r="OW190" s="1"/>
      <c r="OX190" s="1"/>
      <c r="OY190" s="1"/>
      <c r="OZ190" s="1"/>
      <c r="PA190" s="1"/>
      <c r="PB190" s="1"/>
      <c r="PC190" s="1"/>
      <c r="PD190" s="1"/>
      <c r="PE190" s="1"/>
      <c r="PF190" s="1"/>
      <c r="PG190" s="1"/>
      <c r="PH190" s="1"/>
      <c r="PI190" s="1"/>
      <c r="PJ190" s="1"/>
      <c r="PK190" s="1"/>
      <c r="PL190" s="1"/>
      <c r="PM190" s="1"/>
      <c r="PN190" s="1"/>
      <c r="PO190" s="1"/>
      <c r="PP190" s="1"/>
      <c r="PQ190" s="1"/>
      <c r="PR190" s="1"/>
      <c r="PS190" s="1"/>
      <c r="PT190" s="1"/>
      <c r="PU190" s="1"/>
      <c r="PV190" s="1"/>
      <c r="PW190" s="1"/>
      <c r="PX190" s="1"/>
      <c r="PY190" s="1"/>
      <c r="PZ190" s="1"/>
      <c r="QA190" s="1"/>
      <c r="QB190" s="1"/>
      <c r="QC190" s="1"/>
      <c r="QD190" s="1"/>
      <c r="QE190" s="1"/>
      <c r="QF190" s="1"/>
      <c r="QG190" s="1"/>
      <c r="QH190" s="1"/>
      <c r="QI190" s="1"/>
      <c r="QJ190" s="1"/>
      <c r="QK190" s="1"/>
      <c r="QL190" s="1"/>
      <c r="QM190" s="1"/>
      <c r="QN190" s="1"/>
      <c r="QO190" s="1"/>
      <c r="QP190" s="1"/>
      <c r="QQ190" s="1"/>
      <c r="QR190" s="1"/>
      <c r="QS190" s="1"/>
      <c r="QT190" s="1"/>
      <c r="QU190" s="1"/>
      <c r="QV190" s="1"/>
      <c r="QW190" s="1"/>
      <c r="QX190" s="1"/>
      <c r="QY190" s="1"/>
      <c r="QZ190" s="1"/>
      <c r="RA190" s="1"/>
      <c r="RB190" s="1"/>
      <c r="RC190" s="1"/>
      <c r="RD190" s="1"/>
      <c r="RE190" s="1"/>
      <c r="RF190" s="1"/>
      <c r="RG190" s="1"/>
      <c r="RH190" s="1"/>
      <c r="RI190" s="1"/>
      <c r="RJ190" s="1"/>
      <c r="RK190" s="1"/>
      <c r="RL190" s="1"/>
      <c r="RM190" s="1"/>
      <c r="RN190" s="1"/>
      <c r="RO190" s="1"/>
      <c r="RP190" s="1"/>
      <c r="RQ190" s="1"/>
      <c r="RR190" s="1"/>
      <c r="RS190" s="1"/>
      <c r="RT190" s="1"/>
      <c r="RU190" s="1"/>
      <c r="RV190" s="1"/>
      <c r="RW190" s="1"/>
      <c r="RX190" s="1"/>
      <c r="RY190" s="1"/>
      <c r="RZ190" s="1"/>
      <c r="SA190" s="1"/>
      <c r="SB190" s="1"/>
      <c r="SC190" s="1"/>
      <c r="SD190" s="1"/>
      <c r="SE190" s="1"/>
      <c r="SF190" s="1"/>
      <c r="SG190" s="1"/>
      <c r="SH190" s="1"/>
      <c r="SI190" s="1"/>
      <c r="SJ190" s="1"/>
      <c r="SK190" s="1"/>
      <c r="SL190" s="1"/>
      <c r="SM190" s="1"/>
      <c r="SN190" s="1"/>
      <c r="SO190" s="1"/>
      <c r="SP190" s="1"/>
      <c r="SQ190" s="1"/>
      <c r="SR190" s="1"/>
      <c r="SS190" s="1"/>
      <c r="ST190" s="1"/>
      <c r="SU190" s="1"/>
      <c r="SV190" s="1"/>
      <c r="SW190" s="1"/>
      <c r="SX190" s="1"/>
      <c r="SY190" s="1"/>
      <c r="SZ190" s="1"/>
      <c r="TA190" s="1"/>
      <c r="TB190" s="1"/>
      <c r="TC190" s="1"/>
      <c r="TD190" s="1"/>
      <c r="TE190" s="1"/>
      <c r="TF190" s="1"/>
      <c r="TG190" s="1"/>
      <c r="TH190" s="1"/>
      <c r="TI190" s="1"/>
      <c r="TJ190" s="1"/>
      <c r="TK190" s="1"/>
      <c r="TL190" s="1"/>
      <c r="TM190" s="1"/>
      <c r="TN190" s="1"/>
      <c r="TO190" s="1"/>
      <c r="TP190" s="1"/>
      <c r="TQ190" s="1"/>
      <c r="TR190" s="1"/>
      <c r="TS190" s="1"/>
      <c r="TT190" s="1"/>
      <c r="TU190" s="1"/>
      <c r="TV190" s="1"/>
      <c r="TW190" s="1"/>
      <c r="TX190" s="1"/>
      <c r="TY190" s="1"/>
      <c r="TZ190" s="1"/>
      <c r="UA190" s="1"/>
      <c r="UB190" s="1"/>
      <c r="UC190" s="1"/>
      <c r="UD190" s="1"/>
      <c r="UE190" s="1"/>
      <c r="UF190" s="1"/>
      <c r="UG190" s="1"/>
      <c r="UH190" s="1"/>
      <c r="UI190" s="1"/>
      <c r="UJ190" s="1"/>
      <c r="UK190" s="1"/>
      <c r="UL190" s="1"/>
      <c r="UM190" s="1"/>
      <c r="UN190" s="1"/>
      <c r="UO190" s="1"/>
      <c r="UP190" s="1"/>
      <c r="UQ190" s="1"/>
      <c r="UR190" s="1"/>
      <c r="US190" s="1"/>
      <c r="UT190" s="1"/>
      <c r="UU190" s="1"/>
      <c r="UV190" s="1"/>
      <c r="UW190" s="1"/>
      <c r="UX190" s="1"/>
      <c r="UY190" s="1"/>
      <c r="UZ190" s="1"/>
      <c r="VA190" s="1"/>
      <c r="VB190" s="1"/>
      <c r="VC190" s="1"/>
      <c r="VD190" s="1"/>
      <c r="VE190" s="1"/>
      <c r="VF190" s="1"/>
      <c r="VG190" s="1"/>
      <c r="VH190" s="1"/>
      <c r="VI190" s="1"/>
      <c r="VJ190" s="1"/>
      <c r="VK190" s="1"/>
      <c r="VL190" s="1"/>
      <c r="VM190" s="1"/>
      <c r="VN190" s="1"/>
      <c r="VO190" s="1"/>
      <c r="VP190" s="1"/>
      <c r="VQ190" s="1"/>
      <c r="VR190" s="1"/>
      <c r="VS190" s="1"/>
      <c r="VT190" s="1"/>
      <c r="VU190" s="1"/>
      <c r="VV190" s="1"/>
      <c r="VW190" s="1"/>
      <c r="VX190" s="1"/>
      <c r="VY190" s="1"/>
      <c r="VZ190" s="1"/>
      <c r="WA190" s="1"/>
      <c r="WB190" s="1"/>
      <c r="WC190" s="1"/>
      <c r="WD190" s="1"/>
      <c r="WE190" s="1"/>
      <c r="WF190" s="1"/>
      <c r="WG190" s="1"/>
      <c r="WH190" s="1"/>
      <c r="WI190" s="1"/>
      <c r="WJ190" s="1"/>
      <c r="WK190" s="1"/>
      <c r="WL190" s="1"/>
      <c r="WM190" s="1"/>
      <c r="WN190" s="1"/>
      <c r="WO190" s="1"/>
      <c r="WP190" s="1"/>
      <c r="WQ190" s="1"/>
      <c r="WR190" s="1"/>
      <c r="WS190" s="1"/>
      <c r="WT190" s="1"/>
      <c r="WU190" s="1"/>
      <c r="WV190" s="1"/>
      <c r="WW190" s="1"/>
      <c r="WX190" s="1"/>
      <c r="WY190" s="1"/>
      <c r="WZ190" s="1"/>
      <c r="XA190" s="1"/>
      <c r="XB190" s="1"/>
      <c r="XC190" s="1"/>
      <c r="XD190" s="1"/>
      <c r="XE190" s="1"/>
      <c r="XF190" s="1"/>
      <c r="XG190" s="1"/>
      <c r="XH190" s="1"/>
      <c r="XI190" s="1"/>
      <c r="XJ190" s="1"/>
      <c r="XK190" s="1"/>
      <c r="XL190" s="1"/>
      <c r="XM190" s="1"/>
      <c r="XN190" s="1"/>
      <c r="XO190" s="1"/>
      <c r="XP190" s="1"/>
      <c r="XQ190" s="1"/>
      <c r="XR190" s="1"/>
      <c r="XS190" s="1"/>
      <c r="XT190" s="1"/>
      <c r="XU190" s="1"/>
      <c r="XV190" s="1"/>
      <c r="XW190" s="1"/>
      <c r="XX190" s="1"/>
      <c r="XY190" s="1"/>
      <c r="XZ190" s="1"/>
      <c r="YA190" s="1"/>
      <c r="YB190" s="1"/>
      <c r="YC190" s="1"/>
      <c r="YD190" s="1"/>
      <c r="YE190" s="1"/>
      <c r="YF190" s="1"/>
      <c r="YG190" s="1"/>
      <c r="YH190" s="1"/>
      <c r="YI190" s="1"/>
      <c r="YJ190" s="1"/>
      <c r="YK190" s="1"/>
      <c r="YL190" s="1"/>
      <c r="YM190" s="1"/>
      <c r="YN190" s="1"/>
      <c r="YO190" s="1"/>
      <c r="YP190" s="1"/>
      <c r="YQ190" s="1"/>
      <c r="YR190" s="1"/>
      <c r="YS190" s="1"/>
      <c r="YT190" s="1"/>
      <c r="YU190" s="1"/>
      <c r="YV190" s="1"/>
      <c r="YW190" s="1"/>
      <c r="YX190" s="1"/>
      <c r="YY190" s="1"/>
      <c r="YZ190" s="1"/>
      <c r="ZA190" s="1"/>
      <c r="ZB190" s="1"/>
      <c r="ZC190" s="1"/>
      <c r="ZD190" s="1"/>
      <c r="ZE190" s="1"/>
      <c r="ZF190" s="1"/>
      <c r="ZG190" s="1"/>
      <c r="ZH190" s="1"/>
      <c r="ZI190" s="1"/>
      <c r="ZJ190" s="1"/>
      <c r="ZK190" s="1"/>
      <c r="ZL190" s="1"/>
      <c r="ZM190" s="1"/>
      <c r="ZN190" s="1"/>
      <c r="ZO190" s="1"/>
      <c r="ZP190" s="1"/>
      <c r="ZQ190" s="1"/>
      <c r="ZR190" s="1"/>
      <c r="ZS190" s="1"/>
      <c r="ZT190" s="1"/>
      <c r="ZU190" s="1"/>
      <c r="ZV190" s="1"/>
      <c r="ZW190" s="1"/>
      <c r="ZX190" s="1"/>
      <c r="ZY190" s="1"/>
      <c r="ZZ190" s="1"/>
      <c r="AAA190" s="1"/>
      <c r="AAB190" s="1"/>
      <c r="AAC190" s="1"/>
      <c r="AAD190" s="1"/>
      <c r="AAE190" s="1"/>
      <c r="AAF190" s="1"/>
      <c r="AAG190" s="1"/>
      <c r="AAH190" s="1"/>
      <c r="AAI190" s="1"/>
      <c r="AAJ190" s="1"/>
      <c r="AAK190" s="1"/>
      <c r="AAL190" s="1"/>
      <c r="AAM190" s="1"/>
      <c r="AAN190" s="1"/>
      <c r="AAO190" s="1"/>
      <c r="AAP190" s="1"/>
      <c r="AAQ190" s="1"/>
      <c r="AAR190" s="1"/>
      <c r="AAS190" s="1"/>
      <c r="AAT190" s="1"/>
      <c r="AAU190" s="1"/>
      <c r="AAV190" s="1"/>
      <c r="AAW190" s="1"/>
      <c r="AAX190" s="1"/>
      <c r="AAY190" s="1"/>
      <c r="AAZ190" s="1"/>
      <c r="ABA190" s="1"/>
      <c r="ABB190" s="1"/>
      <c r="ABC190" s="1"/>
      <c r="ABD190" s="1"/>
      <c r="ABE190" s="1"/>
      <c r="ABF190" s="1"/>
      <c r="ABG190" s="1"/>
      <c r="ABH190" s="1"/>
      <c r="ABI190" s="1"/>
      <c r="ABJ190" s="1"/>
      <c r="ABK190" s="1"/>
      <c r="ABL190" s="1"/>
      <c r="ABM190" s="1"/>
      <c r="ABN190" s="1"/>
      <c r="ABO190" s="1"/>
      <c r="ABP190" s="1"/>
      <c r="ABQ190" s="1"/>
      <c r="ABR190" s="1"/>
      <c r="ABS190" s="1"/>
      <c r="ABT190" s="1"/>
      <c r="ABU190" s="1"/>
      <c r="ABV190" s="1"/>
      <c r="ABW190" s="1"/>
      <c r="ABX190" s="1"/>
      <c r="ABY190" s="1"/>
      <c r="ABZ190" s="1"/>
      <c r="ACA190" s="1"/>
      <c r="ACB190" s="1"/>
      <c r="ACC190" s="1"/>
      <c r="ACD190" s="1"/>
      <c r="ACE190" s="1"/>
      <c r="ACF190" s="1"/>
      <c r="ACG190" s="1"/>
      <c r="ACH190" s="1"/>
      <c r="ACI190" s="1"/>
      <c r="ACJ190" s="1"/>
      <c r="ACK190" s="1"/>
      <c r="ACL190" s="1"/>
      <c r="ACM190" s="1"/>
      <c r="ACN190" s="1"/>
      <c r="ACO190" s="1"/>
      <c r="ACP190" s="1"/>
      <c r="ACQ190" s="1"/>
      <c r="ACR190" s="1"/>
      <c r="ACS190" s="1"/>
      <c r="ACT190" s="1"/>
      <c r="ACU190" s="1"/>
      <c r="ACV190" s="1"/>
      <c r="ACW190" s="1"/>
      <c r="ACX190" s="1"/>
      <c r="ACY190" s="1"/>
      <c r="ACZ190" s="1"/>
      <c r="ADA190" s="1"/>
      <c r="ADB190" s="1"/>
      <c r="ADC190" s="1"/>
      <c r="ADD190" s="1"/>
      <c r="ADE190" s="1"/>
      <c r="ADF190" s="1"/>
      <c r="ADG190" s="1"/>
      <c r="ADH190" s="1"/>
      <c r="ADI190" s="1"/>
      <c r="ADJ190" s="1"/>
      <c r="ADK190" s="1"/>
      <c r="ADL190" s="1"/>
      <c r="ADM190" s="1"/>
      <c r="ADN190" s="1"/>
      <c r="ADO190" s="1"/>
      <c r="ADP190" s="1"/>
      <c r="ADQ190" s="1"/>
      <c r="ADR190" s="1"/>
      <c r="ADS190" s="1"/>
      <c r="ADT190" s="1"/>
      <c r="ADU190" s="1"/>
      <c r="ADV190" s="1"/>
      <c r="ADW190" s="1"/>
      <c r="ADX190" s="1"/>
      <c r="ADY190" s="1"/>
      <c r="ADZ190" s="1"/>
      <c r="AEA190" s="1"/>
      <c r="AEB190" s="1"/>
      <c r="AEC190" s="1"/>
      <c r="AED190" s="1"/>
      <c r="AEE190" s="1"/>
      <c r="AEF190" s="1"/>
      <c r="AEG190" s="1"/>
      <c r="AEH190" s="1"/>
      <c r="AEI190" s="1"/>
      <c r="AEJ190" s="1"/>
      <c r="AEK190" s="1"/>
      <c r="AEL190" s="1"/>
      <c r="AEM190" s="1"/>
      <c r="AEN190" s="1"/>
      <c r="AEO190" s="1"/>
      <c r="AEP190" s="1"/>
      <c r="AEQ190" s="1"/>
      <c r="AER190" s="1"/>
      <c r="AES190" s="1"/>
      <c r="AET190" s="1"/>
      <c r="AEU190" s="1"/>
      <c r="AEV190" s="1"/>
      <c r="AEW190" s="1"/>
      <c r="AEX190" s="1"/>
      <c r="AEY190" s="1"/>
      <c r="AEZ190" s="1"/>
      <c r="AFA190" s="1"/>
      <c r="AFB190" s="1"/>
      <c r="AFC190" s="1"/>
      <c r="AFD190" s="1"/>
      <c r="AFE190" s="1"/>
      <c r="AFF190" s="1"/>
      <c r="AFG190" s="1"/>
      <c r="AFH190" s="1"/>
      <c r="AFI190" s="1"/>
      <c r="AFJ190" s="1"/>
      <c r="AFK190" s="1"/>
      <c r="AFL190" s="1"/>
      <c r="AFM190" s="1"/>
      <c r="AFN190" s="1"/>
      <c r="AFO190" s="1"/>
      <c r="AFP190" s="1"/>
      <c r="AFQ190" s="1"/>
      <c r="AFR190" s="1"/>
      <c r="AFS190" s="1"/>
      <c r="AFT190" s="1"/>
      <c r="AFU190" s="1"/>
      <c r="AFV190" s="1"/>
      <c r="AFW190" s="1"/>
      <c r="AFX190" s="1"/>
      <c r="AFY190" s="1"/>
      <c r="AFZ190" s="1"/>
      <c r="AGA190" s="1"/>
      <c r="AGB190" s="1"/>
      <c r="AGC190" s="1"/>
      <c r="AGD190" s="1"/>
      <c r="AGE190" s="1"/>
      <c r="AGF190" s="1"/>
      <c r="AGG190" s="1"/>
      <c r="AGH190" s="1"/>
      <c r="AGI190" s="1"/>
      <c r="AGJ190" s="1"/>
      <c r="AGK190" s="1"/>
      <c r="AGL190" s="1"/>
      <c r="AGM190" s="1"/>
      <c r="AGN190" s="1"/>
      <c r="AGO190" s="1"/>
      <c r="AGP190" s="1"/>
      <c r="AGQ190" s="1"/>
      <c r="AGR190" s="1"/>
      <c r="AGS190" s="1"/>
      <c r="AGT190" s="1"/>
      <c r="AGU190" s="1"/>
      <c r="AGV190" s="1"/>
      <c r="AGW190" s="1"/>
      <c r="AGX190" s="1"/>
      <c r="AGY190" s="1"/>
      <c r="AGZ190" s="1"/>
      <c r="AHA190" s="1"/>
      <c r="AHB190" s="1"/>
      <c r="AHC190" s="1"/>
      <c r="AHD190" s="1"/>
      <c r="AHE190" s="1"/>
      <c r="AHF190" s="1"/>
      <c r="AHG190" s="1"/>
      <c r="AHH190" s="1"/>
      <c r="AHI190" s="1"/>
      <c r="AHJ190" s="1"/>
      <c r="AHK190" s="1"/>
      <c r="AHL190" s="1"/>
      <c r="AHM190" s="1"/>
      <c r="AHN190" s="1"/>
      <c r="AHO190" s="1"/>
      <c r="AHP190" s="1"/>
      <c r="AHQ190" s="1"/>
      <c r="AHR190" s="1"/>
      <c r="AHS190" s="1"/>
      <c r="AHT190" s="1"/>
      <c r="AHU190" s="1"/>
      <c r="AHV190" s="1"/>
      <c r="AHW190" s="1"/>
      <c r="AHX190" s="1"/>
      <c r="AHY190" s="1"/>
      <c r="AHZ190" s="1"/>
      <c r="AIA190" s="1"/>
      <c r="AIB190" s="1"/>
      <c r="AIC190" s="1"/>
      <c r="AID190" s="1"/>
      <c r="AIE190" s="1"/>
      <c r="AIF190" s="1"/>
      <c r="AIG190" s="1"/>
      <c r="AIH190" s="1"/>
      <c r="AII190" s="1"/>
      <c r="AIJ190" s="1"/>
      <c r="AIK190" s="1"/>
      <c r="AIL190" s="1"/>
      <c r="AIM190" s="1"/>
      <c r="AIN190" s="1"/>
      <c r="AIO190" s="1"/>
      <c r="AIP190" s="1"/>
      <c r="AIQ190" s="1"/>
      <c r="AIR190" s="1"/>
      <c r="AIS190" s="1"/>
      <c r="AIT190" s="1"/>
      <c r="AIU190" s="1"/>
      <c r="AIV190" s="1"/>
      <c r="AIW190" s="1"/>
      <c r="AIX190" s="1"/>
      <c r="AIY190" s="1"/>
      <c r="AIZ190" s="1"/>
      <c r="AJA190" s="1"/>
      <c r="AJB190" s="1"/>
      <c r="AJC190" s="1"/>
      <c r="AJD190" s="1"/>
      <c r="AJE190" s="1"/>
      <c r="AJF190" s="1"/>
      <c r="AJG190" s="1"/>
      <c r="AJH190" s="1"/>
      <c r="AJI190" s="1"/>
      <c r="AJJ190" s="1"/>
      <c r="AJK190" s="1"/>
      <c r="AJL190" s="1"/>
      <c r="AJM190" s="1"/>
      <c r="AJN190" s="1"/>
      <c r="AJO190" s="1"/>
      <c r="AJP190" s="1"/>
      <c r="AJQ190" s="1"/>
      <c r="AJR190" s="1"/>
      <c r="AJS190" s="1"/>
      <c r="AJT190" s="1"/>
      <c r="AJU190" s="1"/>
      <c r="AJV190" s="1"/>
      <c r="AJW190" s="1"/>
      <c r="AJX190" s="1"/>
      <c r="AJY190" s="1"/>
      <c r="AJZ190" s="1"/>
      <c r="AKA190" s="1"/>
      <c r="AKB190" s="1"/>
      <c r="AKC190" s="1"/>
      <c r="AKD190" s="1"/>
      <c r="AKE190" s="1"/>
      <c r="AKF190" s="1"/>
      <c r="AKG190" s="1"/>
      <c r="AKH190" s="1"/>
      <c r="AKI190" s="1"/>
      <c r="AKJ190" s="1"/>
      <c r="AKK190" s="1"/>
      <c r="AKL190" s="1"/>
      <c r="AKM190" s="1"/>
      <c r="AKN190" s="1"/>
      <c r="AKO190" s="1"/>
      <c r="AKP190" s="1"/>
      <c r="AKQ190" s="1"/>
      <c r="AKR190" s="1"/>
      <c r="AKS190" s="1"/>
      <c r="AKT190" s="1"/>
      <c r="AKU190" s="1"/>
      <c r="AKV190" s="1"/>
      <c r="AKW190" s="1"/>
      <c r="AKX190" s="1"/>
      <c r="AKY190" s="1"/>
      <c r="AKZ190" s="1"/>
      <c r="ALA190" s="1"/>
      <c r="ALB190" s="1"/>
      <c r="ALC190" s="1"/>
      <c r="ALD190" s="1"/>
      <c r="ALE190" s="1"/>
      <c r="ALF190" s="1"/>
      <c r="ALG190" s="1"/>
      <c r="ALH190" s="1"/>
      <c r="ALI190" s="1"/>
      <c r="ALJ190" s="1"/>
      <c r="ALK190" s="1"/>
      <c r="ALL190" s="1"/>
      <c r="ALM190" s="1"/>
      <c r="ALN190" s="1"/>
      <c r="ALO190" s="1"/>
      <c r="ALP190" s="1"/>
      <c r="ALQ190" s="1"/>
      <c r="ALR190" s="1"/>
      <c r="ALS190" s="1"/>
      <c r="ALT190" s="1"/>
      <c r="ALU190" s="1"/>
      <c r="ALV190" s="1"/>
      <c r="ALW190" s="1"/>
      <c r="ALX190" s="1"/>
      <c r="ALY190" s="1"/>
      <c r="ALZ190" s="1"/>
      <c r="AMA190" s="1"/>
      <c r="AMB190" s="1"/>
      <c r="AMC190" s="1"/>
      <c r="AMD190" s="1"/>
      <c r="AME190" s="1"/>
      <c r="AMF190" s="1"/>
      <c r="AMG190" s="1"/>
      <c r="AMH190" s="1"/>
      <c r="AMI190" s="1"/>
      <c r="AMJ190" s="1"/>
      <c r="AMK190" s="1"/>
      <c r="AML190" s="1"/>
      <c r="AMM190" s="1"/>
      <c r="AMN190" s="1"/>
      <c r="AMO190" s="1"/>
    </row>
    <row r="191" spans="1:1030" x14ac:dyDescent="0.2">
      <c r="A191" s="3" t="str">
        <f t="shared" si="669"/>
        <v>oprd_human_4N6H</v>
      </c>
      <c r="B191" s="3" t="s">
        <v>335</v>
      </c>
      <c r="C191" s="3" t="s">
        <v>87</v>
      </c>
      <c r="D191" s="3" t="str">
        <f>IFERROR(MID(VLOOKUP($B191,Seqs!$A:$B,2,0),E191,1),"")</f>
        <v>G</v>
      </c>
      <c r="E191" s="3">
        <v>39</v>
      </c>
      <c r="F191" s="3" t="str">
        <f>IFERROR(MID(VLOOKUP($B191,Seqs!$A:$B,2,0),G191,1),"")</f>
        <v>Y</v>
      </c>
      <c r="G191" s="3">
        <v>77</v>
      </c>
      <c r="H191" s="3" t="str">
        <f>IFERROR(MID(VLOOKUP($B191,Seqs!$A:$B,2,0),I191,1),"")</f>
        <v>T</v>
      </c>
      <c r="I191" s="23">
        <v>78</v>
      </c>
      <c r="J191" s="3" t="str">
        <f>IFERROR(MID(VLOOKUP($B191,Seqs!$A:$B,2,0),K191,1),"")</f>
        <v>K</v>
      </c>
      <c r="K191" s="23">
        <v>81</v>
      </c>
      <c r="L191" s="3" t="str">
        <f>IFERROR(MID(VLOOKUP($B191,Seqs!$A:$B,2,0),M191,1),"")</f>
        <v>T</v>
      </c>
      <c r="M191" s="3">
        <v>82</v>
      </c>
      <c r="N191" s="3" t="str">
        <f>IFERROR(MID(VLOOKUP($B191,Seqs!$A:$B,2,0),O191,1),"")</f>
        <v>M</v>
      </c>
      <c r="O191" s="3">
        <v>111</v>
      </c>
      <c r="P191" s="3" t="str">
        <f>IFERROR(MID(VLOOKUP($B191,Seqs!$A:$B,2,0),Q191,1),"")</f>
        <v>T</v>
      </c>
      <c r="Q191" s="3">
        <v>113</v>
      </c>
      <c r="R191" s="3" t="str">
        <f>IFERROR(MID(VLOOKUP($B191,Seqs!$A:$B,2,0),S191,1),"")</f>
        <v>F</v>
      </c>
      <c r="S191" s="3">
        <v>116</v>
      </c>
      <c r="T191" s="3" t="str">
        <f>IFERROR(MID(VLOOKUP($B191,Seqs!$A:$B,2,0),U191,1),"")</f>
        <v>G</v>
      </c>
      <c r="U191" s="3">
        <v>117</v>
      </c>
      <c r="V191" s="3" t="str">
        <f>IFERROR(MID(VLOOKUP($B191,Seqs!$A:$B,2,0),W191,1),"")</f>
        <v>H</v>
      </c>
      <c r="W191" s="3">
        <v>152</v>
      </c>
      <c r="X191" s="3" t="str">
        <f>IFERROR(MID(VLOOKUP($B191,Seqs!$A:$B,2,0),Y191,1),"")</f>
        <v>P</v>
      </c>
      <c r="Y191" s="3">
        <v>153</v>
      </c>
      <c r="Z191" s="3" t="str">
        <f>IFERROR(MID(VLOOKUP($B191,Seqs!$A:$B,2,0),AA191,1),"")</f>
        <v>R</v>
      </c>
      <c r="AA191" s="3">
        <v>160</v>
      </c>
      <c r="AB191" s="3" t="str">
        <f>IFERROR(MID(VLOOKUP($B191,Seqs!$A:$B,2,0),AC191,1),"")</f>
        <v>T</v>
      </c>
      <c r="AC191" s="9">
        <v>161</v>
      </c>
      <c r="AD191" s="3" t="str">
        <f>IFERROR(MID(VLOOKUP($B191,Seqs!$A:$B,2,0),AE191,1),"")</f>
        <v>A</v>
      </c>
      <c r="AE191" s="3">
        <v>187</v>
      </c>
      <c r="AF191" s="3" t="str">
        <f>IFERROR(MID(VLOOKUP($B191,Seqs!$A:$B,2,0),AG191,1),"")</f>
        <v>C</v>
      </c>
      <c r="AG191" s="3">
        <v>198</v>
      </c>
      <c r="AH191" s="3" t="str">
        <f>IFERROR(MID(VLOOKUP($B191,Seqs!$A:$B,2,0),AI191,1),"")</f>
        <v>L</v>
      </c>
      <c r="AI191" s="3">
        <v>200</v>
      </c>
      <c r="AJ191" s="3" t="str">
        <f>IFERROR(MID(VLOOKUP($B191,Seqs!$A:$B,2,0),AK191,1),"")</f>
        <v>S</v>
      </c>
      <c r="AK191" s="3">
        <v>206</v>
      </c>
      <c r="AL191" s="3" t="str">
        <f>IFERROR(MID(VLOOKUP($B191,Seqs!$A:$B,2,0),AM191,1),"")</f>
        <v>V</v>
      </c>
      <c r="AM191" s="3">
        <v>243</v>
      </c>
      <c r="AN191" s="3" t="str">
        <f>IFERROR(MID(VLOOKUP($B191,Seqs!$A:$B,2,0),AO191,1),"")</f>
        <v>S</v>
      </c>
      <c r="AO191" s="3">
        <v>249</v>
      </c>
      <c r="AP191" s="3" t="str">
        <f>IFERROR(MID(VLOOKUP($B191,Seqs!$A:$B,2,0),AQ191,1),"")</f>
        <v>V</v>
      </c>
      <c r="AQ191" s="3">
        <v>287</v>
      </c>
      <c r="AR191" s="3" t="str">
        <f>IFERROR(MID(VLOOKUP($B191,Seqs!$A:$B,2,0),AS191,1),"")</f>
        <v>D</v>
      </c>
      <c r="AS191" s="3">
        <v>293</v>
      </c>
      <c r="AT191" s="3" t="str">
        <f>IFERROR(MID(VLOOKUP($B191,Seqs!$A:$B,2,0),AU191,1),"")</f>
        <v>L</v>
      </c>
      <c r="AU191" s="3">
        <v>321</v>
      </c>
      <c r="AV191" s="3" t="str">
        <f>IFERROR(MID(VLOOKUP($B191,Seqs!$A:$B,2,0),AW191,1),"")</f>
        <v>D</v>
      </c>
      <c r="AW191" s="3">
        <v>322</v>
      </c>
      <c r="AX191" s="3" t="str">
        <f>IFERROR(MID(VLOOKUP($B191,Seqs!$A:$B,2,0),AY191,1),"")</f>
        <v>K</v>
      </c>
      <c r="AY191" s="3">
        <v>335</v>
      </c>
      <c r="AZ191" s="77" t="str">
        <f>VLOOKUP(B191,Classification!A:D,2,0)</f>
        <v>A</v>
      </c>
      <c r="BA191" s="94" t="str">
        <f>VLOOKUP(B191,Classification!A:D,4,0)</f>
        <v>Opioid</v>
      </c>
      <c r="BB191" s="27" t="b">
        <f t="shared" si="670"/>
        <v>1</v>
      </c>
      <c r="BC191" s="23">
        <f t="shared" si="643"/>
        <v>271</v>
      </c>
      <c r="BD191" s="16" t="s">
        <v>1383</v>
      </c>
      <c r="BE191" s="3" t="s">
        <v>1381</v>
      </c>
      <c r="BF191" s="119">
        <v>1.8</v>
      </c>
      <c r="BG191" s="49" t="s">
        <v>1384</v>
      </c>
      <c r="BH191" s="49" t="s">
        <v>1384</v>
      </c>
      <c r="BJ191" s="70" t="s">
        <v>1293</v>
      </c>
      <c r="BK191" s="57" t="s">
        <v>1293</v>
      </c>
      <c r="BL191" s="57" t="s">
        <v>1293</v>
      </c>
      <c r="BM191" s="57" t="s">
        <v>1293</v>
      </c>
      <c r="BN191" s="57" t="s">
        <v>1293</v>
      </c>
      <c r="BO191" s="57" t="s">
        <v>1293</v>
      </c>
      <c r="BP191" s="57" t="s">
        <v>1293</v>
      </c>
      <c r="BQ191" s="57" t="s">
        <v>1293</v>
      </c>
      <c r="BR191" s="57" t="s">
        <v>1293</v>
      </c>
      <c r="BS191" s="57" t="s">
        <v>1293</v>
      </c>
      <c r="BT191" s="57" t="s">
        <v>1293</v>
      </c>
      <c r="BU191" s="57" t="s">
        <v>1293</v>
      </c>
      <c r="BV191" s="70">
        <f t="shared" si="644"/>
        <v>39</v>
      </c>
      <c r="BW191" s="71">
        <f t="shared" si="645"/>
        <v>78</v>
      </c>
      <c r="BX191" s="72">
        <f t="shared" si="646"/>
        <v>82</v>
      </c>
      <c r="BY191" s="71">
        <f t="shared" si="647"/>
        <v>113</v>
      </c>
      <c r="BZ191" s="72">
        <f t="shared" si="648"/>
        <v>117</v>
      </c>
      <c r="CA191" s="71">
        <f t="shared" si="649"/>
        <v>153</v>
      </c>
      <c r="CB191" s="72">
        <f t="shared" si="650"/>
        <v>161</v>
      </c>
      <c r="CC191" s="71">
        <f t="shared" si="651"/>
        <v>198</v>
      </c>
      <c r="CD191" s="72">
        <f t="shared" si="652"/>
        <v>206</v>
      </c>
      <c r="CE191" s="71">
        <f t="shared" si="653"/>
        <v>249</v>
      </c>
      <c r="CF191" s="72">
        <f t="shared" si="654"/>
        <v>293</v>
      </c>
      <c r="CG191" s="71">
        <f t="shared" si="655"/>
        <v>322</v>
      </c>
      <c r="CH191" s="70">
        <f t="shared" si="656"/>
        <v>77</v>
      </c>
      <c r="CI191" s="71">
        <f t="shared" si="657"/>
        <v>81</v>
      </c>
      <c r="CJ191" s="72">
        <f t="shared" si="658"/>
        <v>111</v>
      </c>
      <c r="CK191" s="72">
        <f t="shared" si="659"/>
        <v>116</v>
      </c>
      <c r="CL191" s="72">
        <f t="shared" si="660"/>
        <v>152</v>
      </c>
      <c r="CM191" s="72">
        <f t="shared" si="661"/>
        <v>160</v>
      </c>
      <c r="CN191" s="72">
        <f t="shared" si="662"/>
        <v>187</v>
      </c>
      <c r="CO191" s="72">
        <f t="shared" si="663"/>
        <v>200</v>
      </c>
      <c r="CP191" s="72">
        <f t="shared" si="664"/>
        <v>243</v>
      </c>
      <c r="CQ191" s="72">
        <f t="shared" si="665"/>
        <v>287</v>
      </c>
      <c r="CR191" s="72">
        <f t="shared" si="666"/>
        <v>321</v>
      </c>
      <c r="CS191" s="72">
        <f t="shared" si="667"/>
        <v>335</v>
      </c>
      <c r="CT191" s="23">
        <f t="shared" si="668"/>
        <v>1</v>
      </c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  <c r="OK191" s="1"/>
      <c r="OL191" s="1"/>
      <c r="OM191" s="1"/>
      <c r="ON191" s="1"/>
      <c r="OO191" s="1"/>
      <c r="OP191" s="1"/>
      <c r="OQ191" s="1"/>
      <c r="OR191" s="1"/>
      <c r="OS191" s="1"/>
      <c r="OT191" s="1"/>
      <c r="OU191" s="1"/>
      <c r="OV191" s="1"/>
      <c r="OW191" s="1"/>
      <c r="OX191" s="1"/>
      <c r="OY191" s="1"/>
      <c r="OZ191" s="1"/>
      <c r="PA191" s="1"/>
      <c r="PB191" s="1"/>
      <c r="PC191" s="1"/>
      <c r="PD191" s="1"/>
      <c r="PE191" s="1"/>
      <c r="PF191" s="1"/>
      <c r="PG191" s="1"/>
      <c r="PH191" s="1"/>
      <c r="PI191" s="1"/>
      <c r="PJ191" s="1"/>
      <c r="PK191" s="1"/>
      <c r="PL191" s="1"/>
      <c r="PM191" s="1"/>
      <c r="PN191" s="1"/>
      <c r="PO191" s="1"/>
      <c r="PP191" s="1"/>
      <c r="PQ191" s="1"/>
      <c r="PR191" s="1"/>
      <c r="PS191" s="1"/>
      <c r="PT191" s="1"/>
      <c r="PU191" s="1"/>
      <c r="PV191" s="1"/>
      <c r="PW191" s="1"/>
      <c r="PX191" s="1"/>
      <c r="PY191" s="1"/>
      <c r="PZ191" s="1"/>
      <c r="QA191" s="1"/>
      <c r="QB191" s="1"/>
      <c r="QC191" s="1"/>
      <c r="QD191" s="1"/>
      <c r="QE191" s="1"/>
      <c r="QF191" s="1"/>
      <c r="QG191" s="1"/>
      <c r="QH191" s="1"/>
      <c r="QI191" s="1"/>
      <c r="QJ191" s="1"/>
      <c r="QK191" s="1"/>
      <c r="QL191" s="1"/>
      <c r="QM191" s="1"/>
      <c r="QN191" s="1"/>
      <c r="QO191" s="1"/>
      <c r="QP191" s="1"/>
      <c r="QQ191" s="1"/>
      <c r="QR191" s="1"/>
      <c r="QS191" s="1"/>
      <c r="QT191" s="1"/>
      <c r="QU191" s="1"/>
      <c r="QV191" s="1"/>
      <c r="QW191" s="1"/>
      <c r="QX191" s="1"/>
      <c r="QY191" s="1"/>
      <c r="QZ191" s="1"/>
      <c r="RA191" s="1"/>
      <c r="RB191" s="1"/>
      <c r="RC191" s="1"/>
      <c r="RD191" s="1"/>
      <c r="RE191" s="1"/>
      <c r="RF191" s="1"/>
      <c r="RG191" s="1"/>
      <c r="RH191" s="1"/>
      <c r="RI191" s="1"/>
      <c r="RJ191" s="1"/>
      <c r="RK191" s="1"/>
      <c r="RL191" s="1"/>
      <c r="RM191" s="1"/>
      <c r="RN191" s="1"/>
      <c r="RO191" s="1"/>
      <c r="RP191" s="1"/>
      <c r="RQ191" s="1"/>
      <c r="RR191" s="1"/>
      <c r="RS191" s="1"/>
      <c r="RT191" s="1"/>
      <c r="RU191" s="1"/>
      <c r="RV191" s="1"/>
      <c r="RW191" s="1"/>
      <c r="RX191" s="1"/>
      <c r="RY191" s="1"/>
      <c r="RZ191" s="1"/>
      <c r="SA191" s="1"/>
      <c r="SB191" s="1"/>
      <c r="SC191" s="1"/>
      <c r="SD191" s="1"/>
      <c r="SE191" s="1"/>
      <c r="SF191" s="1"/>
      <c r="SG191" s="1"/>
      <c r="SH191" s="1"/>
      <c r="SI191" s="1"/>
      <c r="SJ191" s="1"/>
      <c r="SK191" s="1"/>
      <c r="SL191" s="1"/>
      <c r="SM191" s="1"/>
      <c r="SN191" s="1"/>
      <c r="SO191" s="1"/>
      <c r="SP191" s="1"/>
      <c r="SQ191" s="1"/>
      <c r="SR191" s="1"/>
      <c r="SS191" s="1"/>
      <c r="ST191" s="1"/>
      <c r="SU191" s="1"/>
      <c r="SV191" s="1"/>
      <c r="SW191" s="1"/>
      <c r="SX191" s="1"/>
      <c r="SY191" s="1"/>
      <c r="SZ191" s="1"/>
      <c r="TA191" s="1"/>
      <c r="TB191" s="1"/>
      <c r="TC191" s="1"/>
      <c r="TD191" s="1"/>
      <c r="TE191" s="1"/>
      <c r="TF191" s="1"/>
      <c r="TG191" s="1"/>
      <c r="TH191" s="1"/>
      <c r="TI191" s="1"/>
      <c r="TJ191" s="1"/>
      <c r="TK191" s="1"/>
      <c r="TL191" s="1"/>
      <c r="TM191" s="1"/>
      <c r="TN191" s="1"/>
      <c r="TO191" s="1"/>
      <c r="TP191" s="1"/>
      <c r="TQ191" s="1"/>
      <c r="TR191" s="1"/>
      <c r="TS191" s="1"/>
      <c r="TT191" s="1"/>
      <c r="TU191" s="1"/>
      <c r="TV191" s="1"/>
      <c r="TW191" s="1"/>
      <c r="TX191" s="1"/>
      <c r="TY191" s="1"/>
      <c r="TZ191" s="1"/>
      <c r="UA191" s="1"/>
      <c r="UB191" s="1"/>
      <c r="UC191" s="1"/>
      <c r="UD191" s="1"/>
      <c r="UE191" s="1"/>
      <c r="UF191" s="1"/>
      <c r="UG191" s="1"/>
      <c r="UH191" s="1"/>
      <c r="UI191" s="1"/>
      <c r="UJ191" s="1"/>
      <c r="UK191" s="1"/>
      <c r="UL191" s="1"/>
      <c r="UM191" s="1"/>
      <c r="UN191" s="1"/>
      <c r="UO191" s="1"/>
      <c r="UP191" s="1"/>
      <c r="UQ191" s="1"/>
      <c r="UR191" s="1"/>
      <c r="US191" s="1"/>
      <c r="UT191" s="1"/>
      <c r="UU191" s="1"/>
      <c r="UV191" s="1"/>
      <c r="UW191" s="1"/>
      <c r="UX191" s="1"/>
      <c r="UY191" s="1"/>
      <c r="UZ191" s="1"/>
      <c r="VA191" s="1"/>
      <c r="VB191" s="1"/>
      <c r="VC191" s="1"/>
      <c r="VD191" s="1"/>
      <c r="VE191" s="1"/>
      <c r="VF191" s="1"/>
      <c r="VG191" s="1"/>
      <c r="VH191" s="1"/>
      <c r="VI191" s="1"/>
      <c r="VJ191" s="1"/>
      <c r="VK191" s="1"/>
      <c r="VL191" s="1"/>
      <c r="VM191" s="1"/>
      <c r="VN191" s="1"/>
      <c r="VO191" s="1"/>
      <c r="VP191" s="1"/>
      <c r="VQ191" s="1"/>
      <c r="VR191" s="1"/>
      <c r="VS191" s="1"/>
      <c r="VT191" s="1"/>
      <c r="VU191" s="1"/>
      <c r="VV191" s="1"/>
      <c r="VW191" s="1"/>
      <c r="VX191" s="1"/>
      <c r="VY191" s="1"/>
      <c r="VZ191" s="1"/>
      <c r="WA191" s="1"/>
      <c r="WB191" s="1"/>
      <c r="WC191" s="1"/>
      <c r="WD191" s="1"/>
      <c r="WE191" s="1"/>
      <c r="WF191" s="1"/>
      <c r="WG191" s="1"/>
      <c r="WH191" s="1"/>
      <c r="WI191" s="1"/>
      <c r="WJ191" s="1"/>
      <c r="WK191" s="1"/>
      <c r="WL191" s="1"/>
      <c r="WM191" s="1"/>
      <c r="WN191" s="1"/>
      <c r="WO191" s="1"/>
      <c r="WP191" s="1"/>
      <c r="WQ191" s="1"/>
      <c r="WR191" s="1"/>
      <c r="WS191" s="1"/>
      <c r="WT191" s="1"/>
      <c r="WU191" s="1"/>
      <c r="WV191" s="1"/>
      <c r="WW191" s="1"/>
      <c r="WX191" s="1"/>
      <c r="WY191" s="1"/>
      <c r="WZ191" s="1"/>
      <c r="XA191" s="1"/>
      <c r="XB191" s="1"/>
      <c r="XC191" s="1"/>
      <c r="XD191" s="1"/>
      <c r="XE191" s="1"/>
      <c r="XF191" s="1"/>
      <c r="XG191" s="1"/>
      <c r="XH191" s="1"/>
      <c r="XI191" s="1"/>
      <c r="XJ191" s="1"/>
      <c r="XK191" s="1"/>
      <c r="XL191" s="1"/>
      <c r="XM191" s="1"/>
      <c r="XN191" s="1"/>
      <c r="XO191" s="1"/>
      <c r="XP191" s="1"/>
      <c r="XQ191" s="1"/>
      <c r="XR191" s="1"/>
      <c r="XS191" s="1"/>
      <c r="XT191" s="1"/>
      <c r="XU191" s="1"/>
      <c r="XV191" s="1"/>
      <c r="XW191" s="1"/>
      <c r="XX191" s="1"/>
      <c r="XY191" s="1"/>
      <c r="XZ191" s="1"/>
      <c r="YA191" s="1"/>
      <c r="YB191" s="1"/>
      <c r="YC191" s="1"/>
      <c r="YD191" s="1"/>
      <c r="YE191" s="1"/>
      <c r="YF191" s="1"/>
      <c r="YG191" s="1"/>
      <c r="YH191" s="1"/>
      <c r="YI191" s="1"/>
      <c r="YJ191" s="1"/>
      <c r="YK191" s="1"/>
      <c r="YL191" s="1"/>
      <c r="YM191" s="1"/>
      <c r="YN191" s="1"/>
      <c r="YO191" s="1"/>
      <c r="YP191" s="1"/>
      <c r="YQ191" s="1"/>
      <c r="YR191" s="1"/>
      <c r="YS191" s="1"/>
      <c r="YT191" s="1"/>
      <c r="YU191" s="1"/>
      <c r="YV191" s="1"/>
      <c r="YW191" s="1"/>
      <c r="YX191" s="1"/>
      <c r="YY191" s="1"/>
      <c r="YZ191" s="1"/>
      <c r="ZA191" s="1"/>
      <c r="ZB191" s="1"/>
      <c r="ZC191" s="1"/>
      <c r="ZD191" s="1"/>
      <c r="ZE191" s="1"/>
      <c r="ZF191" s="1"/>
      <c r="ZG191" s="1"/>
      <c r="ZH191" s="1"/>
      <c r="ZI191" s="1"/>
      <c r="ZJ191" s="1"/>
      <c r="ZK191" s="1"/>
      <c r="ZL191" s="1"/>
      <c r="ZM191" s="1"/>
      <c r="ZN191" s="1"/>
      <c r="ZO191" s="1"/>
      <c r="ZP191" s="1"/>
      <c r="ZQ191" s="1"/>
      <c r="ZR191" s="1"/>
      <c r="ZS191" s="1"/>
      <c r="ZT191" s="1"/>
      <c r="ZU191" s="1"/>
      <c r="ZV191" s="1"/>
      <c r="ZW191" s="1"/>
      <c r="ZX191" s="1"/>
      <c r="ZY191" s="1"/>
      <c r="ZZ191" s="1"/>
      <c r="AAA191" s="1"/>
      <c r="AAB191" s="1"/>
      <c r="AAC191" s="1"/>
      <c r="AAD191" s="1"/>
      <c r="AAE191" s="1"/>
      <c r="AAF191" s="1"/>
      <c r="AAG191" s="1"/>
      <c r="AAH191" s="1"/>
      <c r="AAI191" s="1"/>
      <c r="AAJ191" s="1"/>
      <c r="AAK191" s="1"/>
      <c r="AAL191" s="1"/>
      <c r="AAM191" s="1"/>
      <c r="AAN191" s="1"/>
      <c r="AAO191" s="1"/>
      <c r="AAP191" s="1"/>
      <c r="AAQ191" s="1"/>
      <c r="AAR191" s="1"/>
      <c r="AAS191" s="1"/>
      <c r="AAT191" s="1"/>
      <c r="AAU191" s="1"/>
      <c r="AAV191" s="1"/>
      <c r="AAW191" s="1"/>
      <c r="AAX191" s="1"/>
      <c r="AAY191" s="1"/>
      <c r="AAZ191" s="1"/>
      <c r="ABA191" s="1"/>
      <c r="ABB191" s="1"/>
      <c r="ABC191" s="1"/>
      <c r="ABD191" s="1"/>
      <c r="ABE191" s="1"/>
      <c r="ABF191" s="1"/>
      <c r="ABG191" s="1"/>
      <c r="ABH191" s="1"/>
      <c r="ABI191" s="1"/>
      <c r="ABJ191" s="1"/>
      <c r="ABK191" s="1"/>
      <c r="ABL191" s="1"/>
      <c r="ABM191" s="1"/>
      <c r="ABN191" s="1"/>
      <c r="ABO191" s="1"/>
      <c r="ABP191" s="1"/>
      <c r="ABQ191" s="1"/>
      <c r="ABR191" s="1"/>
      <c r="ABS191" s="1"/>
      <c r="ABT191" s="1"/>
      <c r="ABU191" s="1"/>
      <c r="ABV191" s="1"/>
      <c r="ABW191" s="1"/>
      <c r="ABX191" s="1"/>
      <c r="ABY191" s="1"/>
      <c r="ABZ191" s="1"/>
      <c r="ACA191" s="1"/>
      <c r="ACB191" s="1"/>
      <c r="ACC191" s="1"/>
      <c r="ACD191" s="1"/>
      <c r="ACE191" s="1"/>
      <c r="ACF191" s="1"/>
      <c r="ACG191" s="1"/>
      <c r="ACH191" s="1"/>
      <c r="ACI191" s="1"/>
      <c r="ACJ191" s="1"/>
      <c r="ACK191" s="1"/>
      <c r="ACL191" s="1"/>
      <c r="ACM191" s="1"/>
      <c r="ACN191" s="1"/>
      <c r="ACO191" s="1"/>
      <c r="ACP191" s="1"/>
      <c r="ACQ191" s="1"/>
      <c r="ACR191" s="1"/>
      <c r="ACS191" s="1"/>
      <c r="ACT191" s="1"/>
      <c r="ACU191" s="1"/>
      <c r="ACV191" s="1"/>
      <c r="ACW191" s="1"/>
      <c r="ACX191" s="1"/>
      <c r="ACY191" s="1"/>
      <c r="ACZ191" s="1"/>
      <c r="ADA191" s="1"/>
      <c r="ADB191" s="1"/>
      <c r="ADC191" s="1"/>
      <c r="ADD191" s="1"/>
      <c r="ADE191" s="1"/>
      <c r="ADF191" s="1"/>
      <c r="ADG191" s="1"/>
      <c r="ADH191" s="1"/>
      <c r="ADI191" s="1"/>
      <c r="ADJ191" s="1"/>
      <c r="ADK191" s="1"/>
      <c r="ADL191" s="1"/>
      <c r="ADM191" s="1"/>
      <c r="ADN191" s="1"/>
      <c r="ADO191" s="1"/>
      <c r="ADP191" s="1"/>
      <c r="ADQ191" s="1"/>
      <c r="ADR191" s="1"/>
      <c r="ADS191" s="1"/>
      <c r="ADT191" s="1"/>
      <c r="ADU191" s="1"/>
      <c r="ADV191" s="1"/>
      <c r="ADW191" s="1"/>
      <c r="ADX191" s="1"/>
      <c r="ADY191" s="1"/>
      <c r="ADZ191" s="1"/>
      <c r="AEA191" s="1"/>
      <c r="AEB191" s="1"/>
      <c r="AEC191" s="1"/>
      <c r="AED191" s="1"/>
      <c r="AEE191" s="1"/>
      <c r="AEF191" s="1"/>
      <c r="AEG191" s="1"/>
      <c r="AEH191" s="1"/>
      <c r="AEI191" s="1"/>
      <c r="AEJ191" s="1"/>
      <c r="AEK191" s="1"/>
      <c r="AEL191" s="1"/>
      <c r="AEM191" s="1"/>
      <c r="AEN191" s="1"/>
      <c r="AEO191" s="1"/>
      <c r="AEP191" s="1"/>
      <c r="AEQ191" s="1"/>
      <c r="AER191" s="1"/>
      <c r="AES191" s="1"/>
      <c r="AET191" s="1"/>
      <c r="AEU191" s="1"/>
      <c r="AEV191" s="1"/>
      <c r="AEW191" s="1"/>
      <c r="AEX191" s="1"/>
      <c r="AEY191" s="1"/>
      <c r="AEZ191" s="1"/>
      <c r="AFA191" s="1"/>
      <c r="AFB191" s="1"/>
      <c r="AFC191" s="1"/>
      <c r="AFD191" s="1"/>
      <c r="AFE191" s="1"/>
      <c r="AFF191" s="1"/>
      <c r="AFG191" s="1"/>
      <c r="AFH191" s="1"/>
      <c r="AFI191" s="1"/>
      <c r="AFJ191" s="1"/>
      <c r="AFK191" s="1"/>
      <c r="AFL191" s="1"/>
      <c r="AFM191" s="1"/>
      <c r="AFN191" s="1"/>
      <c r="AFO191" s="1"/>
      <c r="AFP191" s="1"/>
      <c r="AFQ191" s="1"/>
      <c r="AFR191" s="1"/>
      <c r="AFS191" s="1"/>
      <c r="AFT191" s="1"/>
      <c r="AFU191" s="1"/>
      <c r="AFV191" s="1"/>
      <c r="AFW191" s="1"/>
      <c r="AFX191" s="1"/>
      <c r="AFY191" s="1"/>
      <c r="AFZ191" s="1"/>
      <c r="AGA191" s="1"/>
      <c r="AGB191" s="1"/>
      <c r="AGC191" s="1"/>
      <c r="AGD191" s="1"/>
      <c r="AGE191" s="1"/>
      <c r="AGF191" s="1"/>
      <c r="AGG191" s="1"/>
      <c r="AGH191" s="1"/>
      <c r="AGI191" s="1"/>
      <c r="AGJ191" s="1"/>
      <c r="AGK191" s="1"/>
      <c r="AGL191" s="1"/>
      <c r="AGM191" s="1"/>
      <c r="AGN191" s="1"/>
      <c r="AGO191" s="1"/>
      <c r="AGP191" s="1"/>
      <c r="AGQ191" s="1"/>
      <c r="AGR191" s="1"/>
      <c r="AGS191" s="1"/>
      <c r="AGT191" s="1"/>
      <c r="AGU191" s="1"/>
      <c r="AGV191" s="1"/>
      <c r="AGW191" s="1"/>
      <c r="AGX191" s="1"/>
      <c r="AGY191" s="1"/>
      <c r="AGZ191" s="1"/>
      <c r="AHA191" s="1"/>
      <c r="AHB191" s="1"/>
      <c r="AHC191" s="1"/>
      <c r="AHD191" s="1"/>
      <c r="AHE191" s="1"/>
      <c r="AHF191" s="1"/>
      <c r="AHG191" s="1"/>
      <c r="AHH191" s="1"/>
      <c r="AHI191" s="1"/>
      <c r="AHJ191" s="1"/>
      <c r="AHK191" s="1"/>
      <c r="AHL191" s="1"/>
      <c r="AHM191" s="1"/>
      <c r="AHN191" s="1"/>
      <c r="AHO191" s="1"/>
      <c r="AHP191" s="1"/>
      <c r="AHQ191" s="1"/>
      <c r="AHR191" s="1"/>
      <c r="AHS191" s="1"/>
      <c r="AHT191" s="1"/>
      <c r="AHU191" s="1"/>
      <c r="AHV191" s="1"/>
      <c r="AHW191" s="1"/>
      <c r="AHX191" s="1"/>
      <c r="AHY191" s="1"/>
      <c r="AHZ191" s="1"/>
      <c r="AIA191" s="1"/>
      <c r="AIB191" s="1"/>
      <c r="AIC191" s="1"/>
      <c r="AID191" s="1"/>
      <c r="AIE191" s="1"/>
      <c r="AIF191" s="1"/>
      <c r="AIG191" s="1"/>
      <c r="AIH191" s="1"/>
      <c r="AII191" s="1"/>
      <c r="AIJ191" s="1"/>
      <c r="AIK191" s="1"/>
      <c r="AIL191" s="1"/>
      <c r="AIM191" s="1"/>
      <c r="AIN191" s="1"/>
      <c r="AIO191" s="1"/>
      <c r="AIP191" s="1"/>
      <c r="AIQ191" s="1"/>
      <c r="AIR191" s="1"/>
      <c r="AIS191" s="1"/>
      <c r="AIT191" s="1"/>
      <c r="AIU191" s="1"/>
      <c r="AIV191" s="1"/>
      <c r="AIW191" s="1"/>
      <c r="AIX191" s="1"/>
      <c r="AIY191" s="1"/>
      <c r="AIZ191" s="1"/>
      <c r="AJA191" s="1"/>
      <c r="AJB191" s="1"/>
      <c r="AJC191" s="1"/>
      <c r="AJD191" s="1"/>
      <c r="AJE191" s="1"/>
      <c r="AJF191" s="1"/>
      <c r="AJG191" s="1"/>
      <c r="AJH191" s="1"/>
      <c r="AJI191" s="1"/>
      <c r="AJJ191" s="1"/>
      <c r="AJK191" s="1"/>
      <c r="AJL191" s="1"/>
      <c r="AJM191" s="1"/>
      <c r="AJN191" s="1"/>
      <c r="AJO191" s="1"/>
      <c r="AJP191" s="1"/>
      <c r="AJQ191" s="1"/>
      <c r="AJR191" s="1"/>
      <c r="AJS191" s="1"/>
      <c r="AJT191" s="1"/>
      <c r="AJU191" s="1"/>
      <c r="AJV191" s="1"/>
      <c r="AJW191" s="1"/>
      <c r="AJX191" s="1"/>
      <c r="AJY191" s="1"/>
      <c r="AJZ191" s="1"/>
      <c r="AKA191" s="1"/>
      <c r="AKB191" s="1"/>
      <c r="AKC191" s="1"/>
      <c r="AKD191" s="1"/>
      <c r="AKE191" s="1"/>
      <c r="AKF191" s="1"/>
      <c r="AKG191" s="1"/>
      <c r="AKH191" s="1"/>
      <c r="AKI191" s="1"/>
      <c r="AKJ191" s="1"/>
      <c r="AKK191" s="1"/>
      <c r="AKL191" s="1"/>
      <c r="AKM191" s="1"/>
      <c r="AKN191" s="1"/>
      <c r="AKO191" s="1"/>
      <c r="AKP191" s="1"/>
      <c r="AKQ191" s="1"/>
      <c r="AKR191" s="1"/>
      <c r="AKS191" s="1"/>
      <c r="AKT191" s="1"/>
      <c r="AKU191" s="1"/>
      <c r="AKV191" s="1"/>
      <c r="AKW191" s="1"/>
      <c r="AKX191" s="1"/>
      <c r="AKY191" s="1"/>
      <c r="AKZ191" s="1"/>
      <c r="ALA191" s="1"/>
      <c r="ALB191" s="1"/>
      <c r="ALC191" s="1"/>
      <c r="ALD191" s="1"/>
      <c r="ALE191" s="1"/>
      <c r="ALF191" s="1"/>
      <c r="ALG191" s="1"/>
      <c r="ALH191" s="1"/>
      <c r="ALI191" s="1"/>
      <c r="ALJ191" s="1"/>
      <c r="ALK191" s="1"/>
      <c r="ALL191" s="1"/>
      <c r="ALM191" s="1"/>
      <c r="ALN191" s="1"/>
      <c r="ALO191" s="1"/>
      <c r="ALP191" s="1"/>
      <c r="ALQ191" s="1"/>
      <c r="ALR191" s="1"/>
      <c r="ALS191" s="1"/>
      <c r="ALT191" s="1"/>
      <c r="ALU191" s="1"/>
      <c r="ALV191" s="1"/>
      <c r="ALW191" s="1"/>
      <c r="ALX191" s="1"/>
      <c r="ALY191" s="1"/>
      <c r="ALZ191" s="1"/>
      <c r="AMA191" s="1"/>
      <c r="AMB191" s="1"/>
      <c r="AMC191" s="1"/>
      <c r="AMD191" s="1"/>
      <c r="AME191" s="1"/>
      <c r="AMF191" s="1"/>
      <c r="AMG191" s="1"/>
      <c r="AMH191" s="1"/>
      <c r="AMI191" s="1"/>
      <c r="AMJ191" s="1"/>
      <c r="AMK191" s="1"/>
      <c r="AML191" s="1"/>
      <c r="AMM191" s="1"/>
      <c r="AMN191" s="1"/>
      <c r="AMO191" s="1"/>
    </row>
    <row r="192" spans="1:1030" s="2" customFormat="1" x14ac:dyDescent="0.2">
      <c r="A192" s="3" t="str">
        <f t="shared" si="669"/>
        <v>oprd_human_4RWD</v>
      </c>
      <c r="B192" s="1" t="s">
        <v>335</v>
      </c>
      <c r="C192" s="1" t="s">
        <v>1344</v>
      </c>
      <c r="D192" s="3" t="str">
        <f>IFERROR(MID(VLOOKUP($B192,Seqs!$A:$B,2,0),E192,1),"")</f>
        <v>A</v>
      </c>
      <c r="E192" s="3">
        <v>43</v>
      </c>
      <c r="F192" s="3" t="str">
        <f>IFERROR(MID(VLOOKUP($B192,Seqs!$A:$B,2,0),G192,1),"")</f>
        <v>Y</v>
      </c>
      <c r="G192" s="3">
        <v>77</v>
      </c>
      <c r="H192" s="3" t="str">
        <f>IFERROR(MID(VLOOKUP($B192,Seqs!$A:$B,2,0),I192,1),"")</f>
        <v>T</v>
      </c>
      <c r="I192" s="23">
        <v>78</v>
      </c>
      <c r="J192" s="3" t="str">
        <f>IFERROR(MID(VLOOKUP($B192,Seqs!$A:$B,2,0),K192,1),"")</f>
        <v>K</v>
      </c>
      <c r="K192" s="23">
        <v>81</v>
      </c>
      <c r="L192" s="3" t="str">
        <f>IFERROR(MID(VLOOKUP($B192,Seqs!$A:$B,2,0),M192,1),"")</f>
        <v>T</v>
      </c>
      <c r="M192" s="3">
        <v>82</v>
      </c>
      <c r="N192" s="3" t="str">
        <f>IFERROR(MID(VLOOKUP($B192,Seqs!$A:$B,2,0),O192,1),"")</f>
        <v>M</v>
      </c>
      <c r="O192" s="3">
        <v>111</v>
      </c>
      <c r="P192" s="3" t="str">
        <f>IFERROR(MID(VLOOKUP($B192,Seqs!$A:$B,2,0),Q192,1),"")</f>
        <v>T</v>
      </c>
      <c r="Q192" s="3">
        <v>113</v>
      </c>
      <c r="R192" s="3" t="str">
        <f>IFERROR(MID(VLOOKUP($B192,Seqs!$A:$B,2,0),S192,1),"")</f>
        <v>F</v>
      </c>
      <c r="S192" s="3">
        <v>116</v>
      </c>
      <c r="T192" s="3" t="str">
        <f>IFERROR(MID(VLOOKUP($B192,Seqs!$A:$B,2,0),U192,1),"")</f>
        <v>G</v>
      </c>
      <c r="U192" s="3">
        <v>117</v>
      </c>
      <c r="V192" s="3" t="str">
        <f>IFERROR(MID(VLOOKUP($B192,Seqs!$A:$B,2,0),W192,1),"")</f>
        <v>H</v>
      </c>
      <c r="W192" s="3">
        <v>152</v>
      </c>
      <c r="X192" s="3" t="str">
        <f>IFERROR(MID(VLOOKUP($B192,Seqs!$A:$B,2,0),Y192,1),"")</f>
        <v>P</v>
      </c>
      <c r="Y192" s="3">
        <v>153</v>
      </c>
      <c r="Z192" s="3" t="str">
        <f>IFERROR(MID(VLOOKUP($B192,Seqs!$A:$B,2,0),AA192,1),"")</f>
        <v>R</v>
      </c>
      <c r="AA192" s="3">
        <v>160</v>
      </c>
      <c r="AB192" s="3" t="str">
        <f>IFERROR(MID(VLOOKUP($B192,Seqs!$A:$B,2,0),AC192,1),"")</f>
        <v>T</v>
      </c>
      <c r="AC192" s="9">
        <v>161</v>
      </c>
      <c r="AD192" s="3" t="str">
        <f>IFERROR(MID(VLOOKUP($B192,Seqs!$A:$B,2,0),AE192,1),"")</f>
        <v>A</v>
      </c>
      <c r="AE192" s="3">
        <v>187</v>
      </c>
      <c r="AF192" s="3" t="str">
        <f>IFERROR(MID(VLOOKUP($B192,Seqs!$A:$B,2,0),AG192,1),"")</f>
        <v>C</v>
      </c>
      <c r="AG192" s="3">
        <v>198</v>
      </c>
      <c r="AH192" s="3" t="str">
        <f>IFERROR(MID(VLOOKUP($B192,Seqs!$A:$B,2,0),AI192,1),"")</f>
        <v>L</v>
      </c>
      <c r="AI192" s="3">
        <v>200</v>
      </c>
      <c r="AJ192" s="3" t="str">
        <f>IFERROR(MID(VLOOKUP($B192,Seqs!$A:$B,2,0),AK192,1),"")</f>
        <v>S</v>
      </c>
      <c r="AK192" s="3">
        <v>206</v>
      </c>
      <c r="AL192" s="3" t="str">
        <f>IFERROR(MID(VLOOKUP($B192,Seqs!$A:$B,2,0),AM192,1),"")</f>
        <v>V</v>
      </c>
      <c r="AM192" s="3">
        <v>243</v>
      </c>
      <c r="AN192" s="3" t="str">
        <f>IFERROR(MID(VLOOKUP($B192,Seqs!$A:$B,2,0),AO192,1),"")</f>
        <v>S</v>
      </c>
      <c r="AO192" s="3">
        <v>249</v>
      </c>
      <c r="AP192" s="3" t="str">
        <f>IFERROR(MID(VLOOKUP($B192,Seqs!$A:$B,2,0),AQ192,1),"")</f>
        <v>V</v>
      </c>
      <c r="AQ192" s="3">
        <v>287</v>
      </c>
      <c r="AR192" s="3" t="str">
        <f>IFERROR(MID(VLOOKUP($B192,Seqs!$A:$B,2,0),AS192,1),"")</f>
        <v>D</v>
      </c>
      <c r="AS192" s="3">
        <v>293</v>
      </c>
      <c r="AT192" s="3" t="str">
        <f>IFERROR(MID(VLOOKUP($B192,Seqs!$A:$B,2,0),AU192,1),"")</f>
        <v>L</v>
      </c>
      <c r="AU192" s="3">
        <v>321</v>
      </c>
      <c r="AV192" s="3" t="str">
        <f>IFERROR(MID(VLOOKUP($B192,Seqs!$A:$B,2,0),AW192,1),"")</f>
        <v>D</v>
      </c>
      <c r="AW192" s="3">
        <v>322</v>
      </c>
      <c r="AX192" s="3" t="str">
        <f>IFERROR(MID(VLOOKUP($B192,Seqs!$A:$B,2,0),AY192,1),"")</f>
        <v>C</v>
      </c>
      <c r="AY192" s="3">
        <v>333</v>
      </c>
      <c r="AZ192" s="77" t="str">
        <f>VLOOKUP(B192,Classification!A:D,2,0)</f>
        <v>A</v>
      </c>
      <c r="BA192" s="94" t="str">
        <f>VLOOKUP(B192,Classification!A:D,4,0)</f>
        <v>Opioid</v>
      </c>
      <c r="BB192" s="27" t="b">
        <f t="shared" si="670"/>
        <v>1</v>
      </c>
      <c r="BC192" s="23">
        <f t="shared" si="643"/>
        <v>265</v>
      </c>
      <c r="BD192" s="16" t="s">
        <v>23</v>
      </c>
      <c r="BE192" s="3" t="s">
        <v>1381</v>
      </c>
      <c r="BF192" s="119">
        <v>2.7</v>
      </c>
      <c r="BG192" s="49" t="s">
        <v>1384</v>
      </c>
      <c r="BH192" s="49" t="s">
        <v>1384</v>
      </c>
      <c r="BI192" s="3"/>
      <c r="BJ192" s="70" t="s">
        <v>1293</v>
      </c>
      <c r="BK192" s="57" t="s">
        <v>1293</v>
      </c>
      <c r="BL192" s="57" t="s">
        <v>1293</v>
      </c>
      <c r="BM192" s="57" t="s">
        <v>1293</v>
      </c>
      <c r="BN192" s="57" t="s">
        <v>1293</v>
      </c>
      <c r="BO192" s="57" t="s">
        <v>1293</v>
      </c>
      <c r="BP192" s="57" t="s">
        <v>1293</v>
      </c>
      <c r="BQ192" s="57" t="s">
        <v>1293</v>
      </c>
      <c r="BR192" s="57" t="s">
        <v>1293</v>
      </c>
      <c r="BS192" s="57" t="s">
        <v>1293</v>
      </c>
      <c r="BT192" s="57" t="s">
        <v>1293</v>
      </c>
      <c r="BU192" s="57" t="s">
        <v>1293</v>
      </c>
      <c r="BV192" s="70">
        <f t="shared" si="644"/>
        <v>43</v>
      </c>
      <c r="BW192" s="71">
        <f t="shared" si="645"/>
        <v>78</v>
      </c>
      <c r="BX192" s="72">
        <f t="shared" si="646"/>
        <v>82</v>
      </c>
      <c r="BY192" s="71">
        <f t="shared" si="647"/>
        <v>113</v>
      </c>
      <c r="BZ192" s="72">
        <f t="shared" si="648"/>
        <v>117</v>
      </c>
      <c r="CA192" s="71">
        <f t="shared" si="649"/>
        <v>153</v>
      </c>
      <c r="CB192" s="72">
        <f t="shared" si="650"/>
        <v>161</v>
      </c>
      <c r="CC192" s="71">
        <f t="shared" si="651"/>
        <v>198</v>
      </c>
      <c r="CD192" s="72">
        <f t="shared" si="652"/>
        <v>206</v>
      </c>
      <c r="CE192" s="71">
        <f t="shared" si="653"/>
        <v>249</v>
      </c>
      <c r="CF192" s="72">
        <f t="shared" si="654"/>
        <v>293</v>
      </c>
      <c r="CG192" s="71">
        <f t="shared" si="655"/>
        <v>322</v>
      </c>
      <c r="CH192" s="70">
        <f t="shared" si="656"/>
        <v>77</v>
      </c>
      <c r="CI192" s="71">
        <f t="shared" si="657"/>
        <v>81</v>
      </c>
      <c r="CJ192" s="72">
        <f t="shared" si="658"/>
        <v>111</v>
      </c>
      <c r="CK192" s="72">
        <f t="shared" si="659"/>
        <v>116</v>
      </c>
      <c r="CL192" s="72">
        <f t="shared" si="660"/>
        <v>152</v>
      </c>
      <c r="CM192" s="72">
        <f t="shared" si="661"/>
        <v>160</v>
      </c>
      <c r="CN192" s="72">
        <f t="shared" si="662"/>
        <v>187</v>
      </c>
      <c r="CO192" s="72">
        <f t="shared" si="663"/>
        <v>200</v>
      </c>
      <c r="CP192" s="72">
        <f t="shared" si="664"/>
        <v>243</v>
      </c>
      <c r="CQ192" s="72">
        <f t="shared" si="665"/>
        <v>287</v>
      </c>
      <c r="CR192" s="72">
        <f t="shared" si="666"/>
        <v>321</v>
      </c>
      <c r="CS192" s="72">
        <f t="shared" si="667"/>
        <v>333</v>
      </c>
      <c r="CT192" s="23">
        <f t="shared" si="668"/>
        <v>1</v>
      </c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  <c r="OK192" s="1"/>
      <c r="OL192" s="1"/>
      <c r="OM192" s="1"/>
      <c r="ON192" s="1"/>
      <c r="OO192" s="1"/>
      <c r="OP192" s="1"/>
      <c r="OQ192" s="1"/>
      <c r="OR192" s="1"/>
      <c r="OS192" s="1"/>
      <c r="OT192" s="1"/>
      <c r="OU192" s="1"/>
      <c r="OV192" s="1"/>
      <c r="OW192" s="1"/>
      <c r="OX192" s="1"/>
      <c r="OY192" s="1"/>
      <c r="OZ192" s="1"/>
      <c r="PA192" s="1"/>
      <c r="PB192" s="1"/>
      <c r="PC192" s="1"/>
      <c r="PD192" s="1"/>
      <c r="PE192" s="1"/>
      <c r="PF192" s="1"/>
      <c r="PG192" s="1"/>
      <c r="PH192" s="1"/>
      <c r="PI192" s="1"/>
      <c r="PJ192" s="1"/>
      <c r="PK192" s="1"/>
      <c r="PL192" s="1"/>
      <c r="PM192" s="1"/>
      <c r="PN192" s="1"/>
      <c r="PO192" s="1"/>
      <c r="PP192" s="1"/>
      <c r="PQ192" s="1"/>
      <c r="PR192" s="1"/>
      <c r="PS192" s="1"/>
      <c r="PT192" s="1"/>
      <c r="PU192" s="1"/>
      <c r="PV192" s="1"/>
      <c r="PW192" s="1"/>
      <c r="PX192" s="1"/>
      <c r="PY192" s="1"/>
      <c r="PZ192" s="1"/>
      <c r="QA192" s="1"/>
      <c r="QB192" s="1"/>
      <c r="QC192" s="1"/>
      <c r="QD192" s="1"/>
      <c r="QE192" s="1"/>
      <c r="QF192" s="1"/>
      <c r="QG192" s="1"/>
      <c r="QH192" s="1"/>
      <c r="QI192" s="1"/>
      <c r="QJ192" s="1"/>
      <c r="QK192" s="1"/>
      <c r="QL192" s="1"/>
      <c r="QM192" s="1"/>
      <c r="QN192" s="1"/>
      <c r="QO192" s="1"/>
      <c r="QP192" s="1"/>
      <c r="QQ192" s="1"/>
      <c r="QR192" s="1"/>
      <c r="QS192" s="1"/>
      <c r="QT192" s="1"/>
      <c r="QU192" s="1"/>
      <c r="QV192" s="1"/>
      <c r="QW192" s="1"/>
      <c r="QX192" s="1"/>
      <c r="QY192" s="1"/>
      <c r="QZ192" s="1"/>
      <c r="RA192" s="1"/>
      <c r="RB192" s="1"/>
      <c r="RC192" s="1"/>
      <c r="RD192" s="1"/>
      <c r="RE192" s="1"/>
      <c r="RF192" s="1"/>
      <c r="RG192" s="1"/>
      <c r="RH192" s="1"/>
      <c r="RI192" s="1"/>
      <c r="RJ192" s="1"/>
      <c r="RK192" s="1"/>
      <c r="RL192" s="1"/>
      <c r="RM192" s="1"/>
      <c r="RN192" s="1"/>
      <c r="RO192" s="1"/>
      <c r="RP192" s="1"/>
      <c r="RQ192" s="1"/>
      <c r="RR192" s="1"/>
      <c r="RS192" s="1"/>
      <c r="RT192" s="1"/>
      <c r="RU192" s="1"/>
      <c r="RV192" s="1"/>
      <c r="RW192" s="1"/>
      <c r="RX192" s="1"/>
      <c r="RY192" s="1"/>
      <c r="RZ192" s="1"/>
      <c r="SA192" s="1"/>
      <c r="SB192" s="1"/>
      <c r="SC192" s="1"/>
      <c r="SD192" s="1"/>
      <c r="SE192" s="1"/>
      <c r="SF192" s="1"/>
      <c r="SG192" s="1"/>
      <c r="SH192" s="1"/>
      <c r="SI192" s="1"/>
      <c r="SJ192" s="1"/>
      <c r="SK192" s="1"/>
      <c r="SL192" s="1"/>
      <c r="SM192" s="1"/>
      <c r="SN192" s="1"/>
      <c r="SO192" s="1"/>
      <c r="SP192" s="1"/>
      <c r="SQ192" s="1"/>
      <c r="SR192" s="1"/>
      <c r="SS192" s="1"/>
      <c r="ST192" s="1"/>
      <c r="SU192" s="1"/>
      <c r="SV192" s="1"/>
      <c r="SW192" s="1"/>
      <c r="SX192" s="1"/>
      <c r="SY192" s="1"/>
      <c r="SZ192" s="1"/>
      <c r="TA192" s="1"/>
      <c r="TB192" s="1"/>
      <c r="TC192" s="1"/>
      <c r="TD192" s="1"/>
      <c r="TE192" s="1"/>
      <c r="TF192" s="1"/>
      <c r="TG192" s="1"/>
      <c r="TH192" s="1"/>
      <c r="TI192" s="1"/>
      <c r="TJ192" s="1"/>
      <c r="TK192" s="1"/>
      <c r="TL192" s="1"/>
      <c r="TM192" s="1"/>
      <c r="TN192" s="1"/>
      <c r="TO192" s="1"/>
      <c r="TP192" s="1"/>
      <c r="TQ192" s="1"/>
      <c r="TR192" s="1"/>
      <c r="TS192" s="1"/>
      <c r="TT192" s="1"/>
      <c r="TU192" s="1"/>
      <c r="TV192" s="1"/>
      <c r="TW192" s="1"/>
      <c r="TX192" s="1"/>
      <c r="TY192" s="1"/>
      <c r="TZ192" s="1"/>
      <c r="UA192" s="1"/>
      <c r="UB192" s="1"/>
      <c r="UC192" s="1"/>
      <c r="UD192" s="1"/>
      <c r="UE192" s="1"/>
      <c r="UF192" s="1"/>
      <c r="UG192" s="1"/>
      <c r="UH192" s="1"/>
      <c r="UI192" s="1"/>
      <c r="UJ192" s="1"/>
      <c r="UK192" s="1"/>
      <c r="UL192" s="1"/>
      <c r="UM192" s="1"/>
      <c r="UN192" s="1"/>
      <c r="UO192" s="1"/>
      <c r="UP192" s="1"/>
      <c r="UQ192" s="1"/>
      <c r="UR192" s="1"/>
      <c r="US192" s="1"/>
      <c r="UT192" s="1"/>
      <c r="UU192" s="1"/>
      <c r="UV192" s="1"/>
      <c r="UW192" s="1"/>
      <c r="UX192" s="1"/>
      <c r="UY192" s="1"/>
      <c r="UZ192" s="1"/>
      <c r="VA192" s="1"/>
      <c r="VB192" s="1"/>
      <c r="VC192" s="1"/>
      <c r="VD192" s="1"/>
      <c r="VE192" s="1"/>
      <c r="VF192" s="1"/>
      <c r="VG192" s="1"/>
      <c r="VH192" s="1"/>
      <c r="VI192" s="1"/>
      <c r="VJ192" s="1"/>
      <c r="VK192" s="1"/>
      <c r="VL192" s="1"/>
      <c r="VM192" s="1"/>
      <c r="VN192" s="1"/>
      <c r="VO192" s="1"/>
      <c r="VP192" s="1"/>
      <c r="VQ192" s="1"/>
      <c r="VR192" s="1"/>
      <c r="VS192" s="1"/>
      <c r="VT192" s="1"/>
      <c r="VU192" s="1"/>
      <c r="VV192" s="1"/>
      <c r="VW192" s="1"/>
      <c r="VX192" s="1"/>
      <c r="VY192" s="1"/>
      <c r="VZ192" s="1"/>
      <c r="WA192" s="1"/>
      <c r="WB192" s="1"/>
      <c r="WC192" s="1"/>
      <c r="WD192" s="1"/>
      <c r="WE192" s="1"/>
      <c r="WF192" s="1"/>
      <c r="WG192" s="1"/>
      <c r="WH192" s="1"/>
      <c r="WI192" s="1"/>
      <c r="WJ192" s="1"/>
      <c r="WK192" s="1"/>
      <c r="WL192" s="1"/>
      <c r="WM192" s="1"/>
      <c r="WN192" s="1"/>
      <c r="WO192" s="1"/>
      <c r="WP192" s="1"/>
      <c r="WQ192" s="1"/>
      <c r="WR192" s="1"/>
      <c r="WS192" s="1"/>
      <c r="WT192" s="1"/>
      <c r="WU192" s="1"/>
      <c r="WV192" s="1"/>
      <c r="WW192" s="1"/>
      <c r="WX192" s="1"/>
      <c r="WY192" s="1"/>
      <c r="WZ192" s="1"/>
      <c r="XA192" s="1"/>
      <c r="XB192" s="1"/>
      <c r="XC192" s="1"/>
      <c r="XD192" s="1"/>
      <c r="XE192" s="1"/>
      <c r="XF192" s="1"/>
      <c r="XG192" s="1"/>
      <c r="XH192" s="1"/>
      <c r="XI192" s="1"/>
      <c r="XJ192" s="1"/>
      <c r="XK192" s="1"/>
      <c r="XL192" s="1"/>
      <c r="XM192" s="1"/>
      <c r="XN192" s="1"/>
      <c r="XO192" s="1"/>
      <c r="XP192" s="1"/>
      <c r="XQ192" s="1"/>
      <c r="XR192" s="1"/>
      <c r="XS192" s="1"/>
      <c r="XT192" s="1"/>
      <c r="XU192" s="1"/>
      <c r="XV192" s="1"/>
      <c r="XW192" s="1"/>
      <c r="XX192" s="1"/>
      <c r="XY192" s="1"/>
      <c r="XZ192" s="1"/>
      <c r="YA192" s="1"/>
      <c r="YB192" s="1"/>
      <c r="YC192" s="1"/>
      <c r="YD192" s="1"/>
      <c r="YE192" s="1"/>
      <c r="YF192" s="1"/>
      <c r="YG192" s="1"/>
      <c r="YH192" s="1"/>
      <c r="YI192" s="1"/>
      <c r="YJ192" s="1"/>
      <c r="YK192" s="1"/>
      <c r="YL192" s="1"/>
      <c r="YM192" s="1"/>
      <c r="YN192" s="1"/>
      <c r="YO192" s="1"/>
      <c r="YP192" s="1"/>
      <c r="YQ192" s="1"/>
      <c r="YR192" s="1"/>
      <c r="YS192" s="1"/>
      <c r="YT192" s="1"/>
      <c r="YU192" s="1"/>
      <c r="YV192" s="1"/>
      <c r="YW192" s="1"/>
      <c r="YX192" s="1"/>
      <c r="YY192" s="1"/>
      <c r="YZ192" s="1"/>
      <c r="ZA192" s="1"/>
      <c r="ZB192" s="1"/>
      <c r="ZC192" s="1"/>
      <c r="ZD192" s="1"/>
      <c r="ZE192" s="1"/>
      <c r="ZF192" s="1"/>
      <c r="ZG192" s="1"/>
      <c r="ZH192" s="1"/>
      <c r="ZI192" s="1"/>
      <c r="ZJ192" s="1"/>
      <c r="ZK192" s="1"/>
      <c r="ZL192" s="1"/>
      <c r="ZM192" s="1"/>
      <c r="ZN192" s="1"/>
      <c r="ZO192" s="1"/>
      <c r="ZP192" s="1"/>
      <c r="ZQ192" s="1"/>
      <c r="ZR192" s="1"/>
      <c r="ZS192" s="1"/>
      <c r="ZT192" s="1"/>
      <c r="ZU192" s="1"/>
      <c r="ZV192" s="1"/>
      <c r="ZW192" s="1"/>
      <c r="ZX192" s="1"/>
      <c r="ZY192" s="1"/>
      <c r="ZZ192" s="1"/>
      <c r="AAA192" s="1"/>
      <c r="AAB192" s="1"/>
      <c r="AAC192" s="1"/>
      <c r="AAD192" s="1"/>
      <c r="AAE192" s="1"/>
      <c r="AAF192" s="1"/>
      <c r="AAG192" s="1"/>
      <c r="AAH192" s="1"/>
      <c r="AAI192" s="1"/>
      <c r="AAJ192" s="1"/>
      <c r="AAK192" s="1"/>
      <c r="AAL192" s="1"/>
      <c r="AAM192" s="1"/>
      <c r="AAN192" s="1"/>
      <c r="AAO192" s="1"/>
      <c r="AAP192" s="1"/>
      <c r="AAQ192" s="1"/>
      <c r="AAR192" s="1"/>
      <c r="AAS192" s="1"/>
      <c r="AAT192" s="1"/>
      <c r="AAU192" s="1"/>
      <c r="AAV192" s="1"/>
      <c r="AAW192" s="1"/>
      <c r="AAX192" s="1"/>
      <c r="AAY192" s="1"/>
      <c r="AAZ192" s="1"/>
      <c r="ABA192" s="1"/>
      <c r="ABB192" s="1"/>
      <c r="ABC192" s="1"/>
      <c r="ABD192" s="1"/>
      <c r="ABE192" s="1"/>
      <c r="ABF192" s="1"/>
      <c r="ABG192" s="1"/>
      <c r="ABH192" s="1"/>
      <c r="ABI192" s="1"/>
      <c r="ABJ192" s="1"/>
      <c r="ABK192" s="1"/>
      <c r="ABL192" s="1"/>
      <c r="ABM192" s="1"/>
      <c r="ABN192" s="1"/>
      <c r="ABO192" s="1"/>
      <c r="ABP192" s="1"/>
      <c r="ABQ192" s="1"/>
      <c r="ABR192" s="1"/>
      <c r="ABS192" s="1"/>
      <c r="ABT192" s="1"/>
      <c r="ABU192" s="1"/>
      <c r="ABV192" s="1"/>
      <c r="ABW192" s="1"/>
      <c r="ABX192" s="1"/>
      <c r="ABY192" s="1"/>
      <c r="ABZ192" s="1"/>
      <c r="ACA192" s="1"/>
      <c r="ACB192" s="1"/>
      <c r="ACC192" s="1"/>
      <c r="ACD192" s="1"/>
      <c r="ACE192" s="1"/>
      <c r="ACF192" s="1"/>
      <c r="ACG192" s="1"/>
      <c r="ACH192" s="1"/>
      <c r="ACI192" s="1"/>
      <c r="ACJ192" s="1"/>
      <c r="ACK192" s="1"/>
      <c r="ACL192" s="1"/>
      <c r="ACM192" s="1"/>
      <c r="ACN192" s="1"/>
      <c r="ACO192" s="1"/>
      <c r="ACP192" s="1"/>
      <c r="ACQ192" s="1"/>
      <c r="ACR192" s="1"/>
      <c r="ACS192" s="1"/>
      <c r="ACT192" s="1"/>
      <c r="ACU192" s="1"/>
      <c r="ACV192" s="1"/>
      <c r="ACW192" s="1"/>
      <c r="ACX192" s="1"/>
      <c r="ACY192" s="1"/>
      <c r="ACZ192" s="1"/>
      <c r="ADA192" s="1"/>
      <c r="ADB192" s="1"/>
      <c r="ADC192" s="1"/>
      <c r="ADD192" s="1"/>
      <c r="ADE192" s="1"/>
      <c r="ADF192" s="1"/>
      <c r="ADG192" s="1"/>
      <c r="ADH192" s="1"/>
      <c r="ADI192" s="1"/>
      <c r="ADJ192" s="1"/>
      <c r="ADK192" s="1"/>
      <c r="ADL192" s="1"/>
      <c r="ADM192" s="1"/>
      <c r="ADN192" s="1"/>
      <c r="ADO192" s="1"/>
      <c r="ADP192" s="1"/>
      <c r="ADQ192" s="1"/>
      <c r="ADR192" s="1"/>
      <c r="ADS192" s="1"/>
      <c r="ADT192" s="1"/>
      <c r="ADU192" s="1"/>
      <c r="ADV192" s="1"/>
      <c r="ADW192" s="1"/>
      <c r="ADX192" s="1"/>
      <c r="ADY192" s="1"/>
      <c r="ADZ192" s="1"/>
      <c r="AEA192" s="1"/>
      <c r="AEB192" s="1"/>
      <c r="AEC192" s="1"/>
      <c r="AED192" s="1"/>
      <c r="AEE192" s="1"/>
      <c r="AEF192" s="1"/>
      <c r="AEG192" s="1"/>
      <c r="AEH192" s="1"/>
      <c r="AEI192" s="1"/>
      <c r="AEJ192" s="1"/>
      <c r="AEK192" s="1"/>
      <c r="AEL192" s="1"/>
      <c r="AEM192" s="1"/>
      <c r="AEN192" s="1"/>
      <c r="AEO192" s="1"/>
      <c r="AEP192" s="1"/>
      <c r="AEQ192" s="1"/>
      <c r="AER192" s="1"/>
      <c r="AES192" s="1"/>
      <c r="AET192" s="1"/>
      <c r="AEU192" s="1"/>
      <c r="AEV192" s="1"/>
      <c r="AEW192" s="1"/>
      <c r="AEX192" s="1"/>
      <c r="AEY192" s="1"/>
      <c r="AEZ192" s="1"/>
      <c r="AFA192" s="1"/>
      <c r="AFB192" s="1"/>
      <c r="AFC192" s="1"/>
      <c r="AFD192" s="1"/>
      <c r="AFE192" s="1"/>
      <c r="AFF192" s="1"/>
      <c r="AFG192" s="1"/>
      <c r="AFH192" s="1"/>
      <c r="AFI192" s="1"/>
      <c r="AFJ192" s="1"/>
      <c r="AFK192" s="1"/>
      <c r="AFL192" s="1"/>
      <c r="AFM192" s="1"/>
      <c r="AFN192" s="1"/>
      <c r="AFO192" s="1"/>
      <c r="AFP192" s="1"/>
      <c r="AFQ192" s="1"/>
      <c r="AFR192" s="1"/>
      <c r="AFS192" s="1"/>
      <c r="AFT192" s="1"/>
      <c r="AFU192" s="1"/>
      <c r="AFV192" s="1"/>
      <c r="AFW192" s="1"/>
      <c r="AFX192" s="1"/>
      <c r="AFY192" s="1"/>
      <c r="AFZ192" s="1"/>
      <c r="AGA192" s="1"/>
      <c r="AGB192" s="1"/>
      <c r="AGC192" s="1"/>
      <c r="AGD192" s="1"/>
      <c r="AGE192" s="1"/>
      <c r="AGF192" s="1"/>
      <c r="AGG192" s="1"/>
      <c r="AGH192" s="1"/>
      <c r="AGI192" s="1"/>
      <c r="AGJ192" s="1"/>
      <c r="AGK192" s="1"/>
      <c r="AGL192" s="1"/>
      <c r="AGM192" s="1"/>
      <c r="AGN192" s="1"/>
      <c r="AGO192" s="1"/>
      <c r="AGP192" s="1"/>
      <c r="AGQ192" s="1"/>
      <c r="AGR192" s="1"/>
      <c r="AGS192" s="1"/>
      <c r="AGT192" s="1"/>
      <c r="AGU192" s="1"/>
      <c r="AGV192" s="1"/>
      <c r="AGW192" s="1"/>
      <c r="AGX192" s="1"/>
      <c r="AGY192" s="1"/>
      <c r="AGZ192" s="1"/>
      <c r="AHA192" s="1"/>
      <c r="AHB192" s="1"/>
      <c r="AHC192" s="1"/>
      <c r="AHD192" s="1"/>
      <c r="AHE192" s="1"/>
      <c r="AHF192" s="1"/>
      <c r="AHG192" s="1"/>
      <c r="AHH192" s="1"/>
      <c r="AHI192" s="1"/>
      <c r="AHJ192" s="1"/>
      <c r="AHK192" s="1"/>
      <c r="AHL192" s="1"/>
      <c r="AHM192" s="1"/>
      <c r="AHN192" s="1"/>
      <c r="AHO192" s="1"/>
      <c r="AHP192" s="1"/>
      <c r="AHQ192" s="1"/>
      <c r="AHR192" s="1"/>
      <c r="AHS192" s="1"/>
      <c r="AHT192" s="1"/>
      <c r="AHU192" s="1"/>
      <c r="AHV192" s="1"/>
      <c r="AHW192" s="1"/>
      <c r="AHX192" s="1"/>
      <c r="AHY192" s="1"/>
      <c r="AHZ192" s="1"/>
      <c r="AIA192" s="1"/>
      <c r="AIB192" s="1"/>
      <c r="AIC192" s="1"/>
      <c r="AID192" s="1"/>
      <c r="AIE192" s="1"/>
      <c r="AIF192" s="1"/>
      <c r="AIG192" s="1"/>
      <c r="AIH192" s="1"/>
      <c r="AII192" s="1"/>
      <c r="AIJ192" s="1"/>
      <c r="AIK192" s="1"/>
      <c r="AIL192" s="1"/>
      <c r="AIM192" s="1"/>
      <c r="AIN192" s="1"/>
      <c r="AIO192" s="1"/>
      <c r="AIP192" s="1"/>
      <c r="AIQ192" s="1"/>
      <c r="AIR192" s="1"/>
      <c r="AIS192" s="1"/>
      <c r="AIT192" s="1"/>
      <c r="AIU192" s="1"/>
      <c r="AIV192" s="1"/>
      <c r="AIW192" s="1"/>
      <c r="AIX192" s="1"/>
      <c r="AIY192" s="1"/>
      <c r="AIZ192" s="1"/>
      <c r="AJA192" s="1"/>
      <c r="AJB192" s="1"/>
      <c r="AJC192" s="1"/>
      <c r="AJD192" s="1"/>
      <c r="AJE192" s="1"/>
      <c r="AJF192" s="1"/>
      <c r="AJG192" s="1"/>
      <c r="AJH192" s="1"/>
      <c r="AJI192" s="1"/>
      <c r="AJJ192" s="1"/>
      <c r="AJK192" s="1"/>
      <c r="AJL192" s="1"/>
      <c r="AJM192" s="1"/>
      <c r="AJN192" s="1"/>
      <c r="AJO192" s="1"/>
      <c r="AJP192" s="1"/>
      <c r="AJQ192" s="1"/>
      <c r="AJR192" s="1"/>
      <c r="AJS192" s="1"/>
      <c r="AJT192" s="1"/>
      <c r="AJU192" s="1"/>
      <c r="AJV192" s="1"/>
      <c r="AJW192" s="1"/>
      <c r="AJX192" s="1"/>
      <c r="AJY192" s="1"/>
      <c r="AJZ192" s="1"/>
      <c r="AKA192" s="1"/>
      <c r="AKB192" s="1"/>
      <c r="AKC192" s="1"/>
      <c r="AKD192" s="1"/>
      <c r="AKE192" s="1"/>
      <c r="AKF192" s="1"/>
      <c r="AKG192" s="1"/>
      <c r="AKH192" s="1"/>
      <c r="AKI192" s="1"/>
      <c r="AKJ192" s="1"/>
      <c r="AKK192" s="1"/>
      <c r="AKL192" s="1"/>
      <c r="AKM192" s="1"/>
      <c r="AKN192" s="1"/>
      <c r="AKO192" s="1"/>
      <c r="AKP192" s="1"/>
      <c r="AKQ192" s="1"/>
      <c r="AKR192" s="1"/>
      <c r="AKS192" s="1"/>
      <c r="AKT192" s="1"/>
      <c r="AKU192" s="1"/>
      <c r="AKV192" s="1"/>
      <c r="AKW192" s="1"/>
      <c r="AKX192" s="1"/>
      <c r="AKY192" s="1"/>
      <c r="AKZ192" s="1"/>
      <c r="ALA192" s="1"/>
      <c r="ALB192" s="1"/>
      <c r="ALC192" s="1"/>
      <c r="ALD192" s="1"/>
      <c r="ALE192" s="1"/>
      <c r="ALF192" s="1"/>
      <c r="ALG192" s="1"/>
      <c r="ALH192" s="1"/>
      <c r="ALI192" s="1"/>
      <c r="ALJ192" s="1"/>
      <c r="ALK192" s="1"/>
      <c r="ALL192" s="1"/>
      <c r="ALM192" s="1"/>
      <c r="ALN192" s="1"/>
      <c r="ALO192" s="1"/>
      <c r="ALP192" s="1"/>
      <c r="ALQ192" s="1"/>
      <c r="ALR192" s="1"/>
      <c r="ALS192" s="1"/>
      <c r="ALT192" s="1"/>
      <c r="ALU192" s="1"/>
      <c r="ALV192" s="1"/>
      <c r="ALW192" s="1"/>
      <c r="ALX192" s="1"/>
      <c r="ALY192" s="1"/>
      <c r="ALZ192" s="1"/>
      <c r="AMA192" s="1"/>
      <c r="AMB192" s="1"/>
      <c r="AMC192" s="1"/>
      <c r="AMD192" s="1"/>
      <c r="AME192" s="1"/>
      <c r="AMF192" s="1"/>
      <c r="AMG192" s="1"/>
      <c r="AMH192" s="1"/>
      <c r="AMI192" s="1"/>
      <c r="AMJ192" s="1"/>
      <c r="AMK192" s="1"/>
      <c r="AML192" s="1"/>
      <c r="AMM192" s="1"/>
      <c r="AMN192" s="1"/>
      <c r="AMO192" s="1"/>
      <c r="AMP192" s="1"/>
    </row>
    <row r="193" spans="1:1030" s="2" customFormat="1" x14ac:dyDescent="0.2">
      <c r="A193" s="3" t="str">
        <f t="shared" si="669"/>
        <v>oprd_mouse__wt</v>
      </c>
      <c r="B193" s="3" t="s">
        <v>916</v>
      </c>
      <c r="C193" s="3" t="s">
        <v>100</v>
      </c>
      <c r="D193" s="3" t="str">
        <f>IFERROR(MID(VLOOKUP($B193,Seqs!$A:$B,2,0),E193,1),"")</f>
        <v>R</v>
      </c>
      <c r="E193" s="3">
        <v>41</v>
      </c>
      <c r="F193" s="3" t="str">
        <f>IFERROR(MID(VLOOKUP($B193,Seqs!$A:$B,2,0),G193,1),"")</f>
        <v>Y</v>
      </c>
      <c r="G193" s="3">
        <v>77</v>
      </c>
      <c r="H193" s="3" t="str">
        <f>IFERROR(MID(VLOOKUP($B193,Seqs!$A:$B,2,0),I193,1),"")</f>
        <v>T</v>
      </c>
      <c r="I193" s="23">
        <v>78</v>
      </c>
      <c r="J193" s="3" t="str">
        <f>IFERROR(MID(VLOOKUP($B193,Seqs!$A:$B,2,0),K193,1),"")</f>
        <v>K</v>
      </c>
      <c r="K193" s="23">
        <v>81</v>
      </c>
      <c r="L193" s="3" t="str">
        <f>IFERROR(MID(VLOOKUP($B193,Seqs!$A:$B,2,0),M193,1),"")</f>
        <v>T</v>
      </c>
      <c r="M193" s="3">
        <v>82</v>
      </c>
      <c r="N193" s="3" t="str">
        <f>IFERROR(MID(VLOOKUP($B193,Seqs!$A:$B,2,0),O193,1),"")</f>
        <v>M</v>
      </c>
      <c r="O193" s="3">
        <v>111</v>
      </c>
      <c r="P193" s="3" t="str">
        <f>IFERROR(MID(VLOOKUP($B193,Seqs!$A:$B,2,0),Q193,1),"")</f>
        <v>T</v>
      </c>
      <c r="Q193" s="3">
        <v>113</v>
      </c>
      <c r="R193" s="3" t="str">
        <f>IFERROR(MID(VLOOKUP($B193,Seqs!$A:$B,2,0),S193,1),"")</f>
        <v>F</v>
      </c>
      <c r="S193" s="3">
        <v>116</v>
      </c>
      <c r="T193" s="3" t="str">
        <f>IFERROR(MID(VLOOKUP($B193,Seqs!$A:$B,2,0),U193,1),"")</f>
        <v>G</v>
      </c>
      <c r="U193" s="3">
        <v>117</v>
      </c>
      <c r="V193" s="3" t="str">
        <f>IFERROR(MID(VLOOKUP($B193,Seqs!$A:$B,2,0),W193,1),"")</f>
        <v>H</v>
      </c>
      <c r="W193" s="3">
        <v>152</v>
      </c>
      <c r="X193" s="3" t="str">
        <f>IFERROR(MID(VLOOKUP($B193,Seqs!$A:$B,2,0),Y193,1),"")</f>
        <v>P</v>
      </c>
      <c r="Y193" s="3">
        <v>153</v>
      </c>
      <c r="Z193" s="3" t="str">
        <f>IFERROR(MID(VLOOKUP($B193,Seqs!$A:$B,2,0),AA193,1),"")</f>
        <v>R</v>
      </c>
      <c r="AA193" s="3">
        <v>160</v>
      </c>
      <c r="AB193" s="3" t="str">
        <f>IFERROR(MID(VLOOKUP($B193,Seqs!$A:$B,2,0),AC193,1),"")</f>
        <v>T</v>
      </c>
      <c r="AC193" s="9">
        <v>161</v>
      </c>
      <c r="AD193" s="3" t="str">
        <f>IFERROR(MID(VLOOKUP($B193,Seqs!$A:$B,2,0),AE193,1),"")</f>
        <v>A</v>
      </c>
      <c r="AE193" s="3">
        <v>187</v>
      </c>
      <c r="AF193" s="3" t="str">
        <f>IFERROR(MID(VLOOKUP($B193,Seqs!$A:$B,2,0),AG193,1),"")</f>
        <v>C</v>
      </c>
      <c r="AG193" s="3">
        <v>198</v>
      </c>
      <c r="AH193" s="3" t="str">
        <f>IFERROR(MID(VLOOKUP($B193,Seqs!$A:$B,2,0),AI193,1),"")</f>
        <v>L</v>
      </c>
      <c r="AI193" s="3">
        <v>200</v>
      </c>
      <c r="AJ193" s="3" t="str">
        <f>IFERROR(MID(VLOOKUP($B193,Seqs!$A:$B,2,0),AK193,1),"")</f>
        <v>S</v>
      </c>
      <c r="AK193" s="3">
        <v>206</v>
      </c>
      <c r="AL193" s="3" t="str">
        <f>IFERROR(MID(VLOOKUP($B193,Seqs!$A:$B,2,0),AM193,1),"")</f>
        <v>V</v>
      </c>
      <c r="AM193" s="3">
        <v>243</v>
      </c>
      <c r="AN193" s="3" t="str">
        <f>IFERROR(MID(VLOOKUP($B193,Seqs!$A:$B,2,0),AO193,1),"")</f>
        <v>S</v>
      </c>
      <c r="AO193" s="3">
        <v>249</v>
      </c>
      <c r="AP193" s="3" t="str">
        <f>IFERROR(MID(VLOOKUP($B193,Seqs!$A:$B,2,0),AQ193,1),"")</f>
        <v>V</v>
      </c>
      <c r="AQ193" s="3">
        <v>287</v>
      </c>
      <c r="AR193" s="3" t="str">
        <f>IFERROR(MID(VLOOKUP($B193,Seqs!$A:$B,2,0),AS193,1),"")</f>
        <v>D</v>
      </c>
      <c r="AS193" s="3">
        <v>293</v>
      </c>
      <c r="AT193" s="3" t="str">
        <f>IFERROR(MID(VLOOKUP($B193,Seqs!$A:$B,2,0),AU193,1),"")</f>
        <v>L</v>
      </c>
      <c r="AU193" s="3">
        <v>321</v>
      </c>
      <c r="AV193" s="3" t="str">
        <f>IFERROR(MID(VLOOKUP($B193,Seqs!$A:$B,2,0),AW193,1),"")</f>
        <v>D</v>
      </c>
      <c r="AW193" s="3">
        <v>322</v>
      </c>
      <c r="AX193" s="3" t="str">
        <f>IFERROR(MID(VLOOKUP($B193,Seqs!$A:$B,2,0),AY193,1),"")</f>
        <v>T</v>
      </c>
      <c r="AY193" s="3">
        <v>335</v>
      </c>
      <c r="AZ193" s="77" t="str">
        <f>VLOOKUP(B193,Classification!A:D,2,0)</f>
        <v>A</v>
      </c>
      <c r="BA193" s="94" t="str">
        <f>VLOOKUP(B193,Classification!A:D,4,0)</f>
        <v>Opioid</v>
      </c>
      <c r="BB193" s="27" t="b">
        <f t="shared" si="670"/>
        <v>1</v>
      </c>
      <c r="BC193" s="23">
        <f t="shared" si="643"/>
        <v>269</v>
      </c>
      <c r="BD193" s="56" t="s">
        <v>1379</v>
      </c>
      <c r="BE193" s="3" t="s">
        <v>23</v>
      </c>
      <c r="BF193" s="119" t="s">
        <v>23</v>
      </c>
      <c r="BG193" s="49" t="s">
        <v>1379</v>
      </c>
      <c r="BH193" s="49" t="s">
        <v>1384</v>
      </c>
      <c r="BI193" s="1"/>
      <c r="BJ193" s="70" t="s">
        <v>1293</v>
      </c>
      <c r="BK193" s="57" t="s">
        <v>1293</v>
      </c>
      <c r="BL193" s="57" t="s">
        <v>1293</v>
      </c>
      <c r="BM193" s="57" t="s">
        <v>1293</v>
      </c>
      <c r="BN193" s="57" t="s">
        <v>1293</v>
      </c>
      <c r="BO193" s="57" t="s">
        <v>1293</v>
      </c>
      <c r="BP193" s="57" t="s">
        <v>1293</v>
      </c>
      <c r="BQ193" s="57" t="s">
        <v>1293</v>
      </c>
      <c r="BR193" s="57" t="s">
        <v>1293</v>
      </c>
      <c r="BS193" s="57" t="s">
        <v>1293</v>
      </c>
      <c r="BT193" s="57" t="s">
        <v>1293</v>
      </c>
      <c r="BU193" s="57" t="s">
        <v>1293</v>
      </c>
      <c r="BV193" s="70">
        <f t="shared" si="644"/>
        <v>41</v>
      </c>
      <c r="BW193" s="71">
        <f t="shared" si="645"/>
        <v>78</v>
      </c>
      <c r="BX193" s="72">
        <f t="shared" si="646"/>
        <v>82</v>
      </c>
      <c r="BY193" s="71">
        <f t="shared" si="647"/>
        <v>113</v>
      </c>
      <c r="BZ193" s="72">
        <f t="shared" si="648"/>
        <v>117</v>
      </c>
      <c r="CA193" s="71">
        <f t="shared" si="649"/>
        <v>153</v>
      </c>
      <c r="CB193" s="72">
        <f t="shared" si="650"/>
        <v>161</v>
      </c>
      <c r="CC193" s="71">
        <f t="shared" si="651"/>
        <v>198</v>
      </c>
      <c r="CD193" s="72">
        <f t="shared" si="652"/>
        <v>206</v>
      </c>
      <c r="CE193" s="71">
        <f t="shared" si="653"/>
        <v>249</v>
      </c>
      <c r="CF193" s="72">
        <f t="shared" si="654"/>
        <v>293</v>
      </c>
      <c r="CG193" s="71">
        <f t="shared" si="655"/>
        <v>322</v>
      </c>
      <c r="CH193" s="70">
        <f t="shared" si="656"/>
        <v>77</v>
      </c>
      <c r="CI193" s="71">
        <f t="shared" si="657"/>
        <v>81</v>
      </c>
      <c r="CJ193" s="72">
        <f t="shared" si="658"/>
        <v>111</v>
      </c>
      <c r="CK193" s="72">
        <f t="shared" si="659"/>
        <v>116</v>
      </c>
      <c r="CL193" s="72">
        <f t="shared" si="660"/>
        <v>152</v>
      </c>
      <c r="CM193" s="72">
        <f t="shared" si="661"/>
        <v>160</v>
      </c>
      <c r="CN193" s="72">
        <f t="shared" si="662"/>
        <v>187</v>
      </c>
      <c r="CO193" s="72">
        <f t="shared" si="663"/>
        <v>200</v>
      </c>
      <c r="CP193" s="72">
        <f t="shared" si="664"/>
        <v>243</v>
      </c>
      <c r="CQ193" s="72">
        <f t="shared" si="665"/>
        <v>287</v>
      </c>
      <c r="CR193" s="72">
        <f t="shared" si="666"/>
        <v>321</v>
      </c>
      <c r="CS193" s="72">
        <f t="shared" si="667"/>
        <v>335</v>
      </c>
      <c r="CT193" s="23">
        <f t="shared" si="668"/>
        <v>1</v>
      </c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  <c r="OK193" s="1"/>
      <c r="OL193" s="1"/>
      <c r="OM193" s="1"/>
      <c r="ON193" s="1"/>
      <c r="OO193" s="1"/>
      <c r="OP193" s="1"/>
      <c r="OQ193" s="1"/>
      <c r="OR193" s="1"/>
      <c r="OS193" s="1"/>
      <c r="OT193" s="1"/>
      <c r="OU193" s="1"/>
      <c r="OV193" s="1"/>
      <c r="OW193" s="1"/>
      <c r="OX193" s="1"/>
      <c r="OY193" s="1"/>
      <c r="OZ193" s="1"/>
      <c r="PA193" s="1"/>
      <c r="PB193" s="1"/>
      <c r="PC193" s="1"/>
      <c r="PD193" s="1"/>
      <c r="PE193" s="1"/>
      <c r="PF193" s="1"/>
      <c r="PG193" s="1"/>
      <c r="PH193" s="1"/>
      <c r="PI193" s="1"/>
      <c r="PJ193" s="1"/>
      <c r="PK193" s="1"/>
      <c r="PL193" s="1"/>
      <c r="PM193" s="1"/>
      <c r="PN193" s="1"/>
      <c r="PO193" s="1"/>
      <c r="PP193" s="1"/>
      <c r="PQ193" s="1"/>
      <c r="PR193" s="1"/>
      <c r="PS193" s="1"/>
      <c r="PT193" s="1"/>
      <c r="PU193" s="1"/>
      <c r="PV193" s="1"/>
      <c r="PW193" s="1"/>
      <c r="PX193" s="1"/>
      <c r="PY193" s="1"/>
      <c r="PZ193" s="1"/>
      <c r="QA193" s="1"/>
      <c r="QB193" s="1"/>
      <c r="QC193" s="1"/>
      <c r="QD193" s="1"/>
      <c r="QE193" s="1"/>
      <c r="QF193" s="1"/>
      <c r="QG193" s="1"/>
      <c r="QH193" s="1"/>
      <c r="QI193" s="1"/>
      <c r="QJ193" s="1"/>
      <c r="QK193" s="1"/>
      <c r="QL193" s="1"/>
      <c r="QM193" s="1"/>
      <c r="QN193" s="1"/>
      <c r="QO193" s="1"/>
      <c r="QP193" s="1"/>
      <c r="QQ193" s="1"/>
      <c r="QR193" s="1"/>
      <c r="QS193" s="1"/>
      <c r="QT193" s="1"/>
      <c r="QU193" s="1"/>
      <c r="QV193" s="1"/>
      <c r="QW193" s="1"/>
      <c r="QX193" s="1"/>
      <c r="QY193" s="1"/>
      <c r="QZ193" s="1"/>
      <c r="RA193" s="1"/>
      <c r="RB193" s="1"/>
      <c r="RC193" s="1"/>
      <c r="RD193" s="1"/>
      <c r="RE193" s="1"/>
      <c r="RF193" s="1"/>
      <c r="RG193" s="1"/>
      <c r="RH193" s="1"/>
      <c r="RI193" s="1"/>
      <c r="RJ193" s="1"/>
      <c r="RK193" s="1"/>
      <c r="RL193" s="1"/>
      <c r="RM193" s="1"/>
      <c r="RN193" s="1"/>
      <c r="RO193" s="1"/>
      <c r="RP193" s="1"/>
      <c r="RQ193" s="1"/>
      <c r="RR193" s="1"/>
      <c r="RS193" s="1"/>
      <c r="RT193" s="1"/>
      <c r="RU193" s="1"/>
      <c r="RV193" s="1"/>
      <c r="RW193" s="1"/>
      <c r="RX193" s="1"/>
      <c r="RY193" s="1"/>
      <c r="RZ193" s="1"/>
      <c r="SA193" s="1"/>
      <c r="SB193" s="1"/>
      <c r="SC193" s="1"/>
      <c r="SD193" s="1"/>
      <c r="SE193" s="1"/>
      <c r="SF193" s="1"/>
      <c r="SG193" s="1"/>
      <c r="SH193" s="1"/>
      <c r="SI193" s="1"/>
      <c r="SJ193" s="1"/>
      <c r="SK193" s="1"/>
      <c r="SL193" s="1"/>
      <c r="SM193" s="1"/>
      <c r="SN193" s="1"/>
      <c r="SO193" s="1"/>
      <c r="SP193" s="1"/>
      <c r="SQ193" s="1"/>
      <c r="SR193" s="1"/>
      <c r="SS193" s="1"/>
      <c r="ST193" s="1"/>
      <c r="SU193" s="1"/>
      <c r="SV193" s="1"/>
      <c r="SW193" s="1"/>
      <c r="SX193" s="1"/>
      <c r="SY193" s="1"/>
      <c r="SZ193" s="1"/>
      <c r="TA193" s="1"/>
      <c r="TB193" s="1"/>
      <c r="TC193" s="1"/>
      <c r="TD193" s="1"/>
      <c r="TE193" s="1"/>
      <c r="TF193" s="1"/>
      <c r="TG193" s="1"/>
      <c r="TH193" s="1"/>
      <c r="TI193" s="1"/>
      <c r="TJ193" s="1"/>
      <c r="TK193" s="1"/>
      <c r="TL193" s="1"/>
      <c r="TM193" s="1"/>
      <c r="TN193" s="1"/>
      <c r="TO193" s="1"/>
      <c r="TP193" s="1"/>
      <c r="TQ193" s="1"/>
      <c r="TR193" s="1"/>
      <c r="TS193" s="1"/>
      <c r="TT193" s="1"/>
      <c r="TU193" s="1"/>
      <c r="TV193" s="1"/>
      <c r="TW193" s="1"/>
      <c r="TX193" s="1"/>
      <c r="TY193" s="1"/>
      <c r="TZ193" s="1"/>
      <c r="UA193" s="1"/>
      <c r="UB193" s="1"/>
      <c r="UC193" s="1"/>
      <c r="UD193" s="1"/>
      <c r="UE193" s="1"/>
      <c r="UF193" s="1"/>
      <c r="UG193" s="1"/>
      <c r="UH193" s="1"/>
      <c r="UI193" s="1"/>
      <c r="UJ193" s="1"/>
      <c r="UK193" s="1"/>
      <c r="UL193" s="1"/>
      <c r="UM193" s="1"/>
      <c r="UN193" s="1"/>
      <c r="UO193" s="1"/>
      <c r="UP193" s="1"/>
      <c r="UQ193" s="1"/>
      <c r="UR193" s="1"/>
      <c r="US193" s="1"/>
      <c r="UT193" s="1"/>
      <c r="UU193" s="1"/>
      <c r="UV193" s="1"/>
      <c r="UW193" s="1"/>
      <c r="UX193" s="1"/>
      <c r="UY193" s="1"/>
      <c r="UZ193" s="1"/>
      <c r="VA193" s="1"/>
      <c r="VB193" s="1"/>
      <c r="VC193" s="1"/>
      <c r="VD193" s="1"/>
      <c r="VE193" s="1"/>
      <c r="VF193" s="1"/>
      <c r="VG193" s="1"/>
      <c r="VH193" s="1"/>
      <c r="VI193" s="1"/>
      <c r="VJ193" s="1"/>
      <c r="VK193" s="1"/>
      <c r="VL193" s="1"/>
      <c r="VM193" s="1"/>
      <c r="VN193" s="1"/>
      <c r="VO193" s="1"/>
      <c r="VP193" s="1"/>
      <c r="VQ193" s="1"/>
      <c r="VR193" s="1"/>
      <c r="VS193" s="1"/>
      <c r="VT193" s="1"/>
      <c r="VU193" s="1"/>
      <c r="VV193" s="1"/>
      <c r="VW193" s="1"/>
      <c r="VX193" s="1"/>
      <c r="VY193" s="1"/>
      <c r="VZ193" s="1"/>
      <c r="WA193" s="1"/>
      <c r="WB193" s="1"/>
      <c r="WC193" s="1"/>
      <c r="WD193" s="1"/>
      <c r="WE193" s="1"/>
      <c r="WF193" s="1"/>
      <c r="WG193" s="1"/>
      <c r="WH193" s="1"/>
      <c r="WI193" s="1"/>
      <c r="WJ193" s="1"/>
      <c r="WK193" s="1"/>
      <c r="WL193" s="1"/>
      <c r="WM193" s="1"/>
      <c r="WN193" s="1"/>
      <c r="WO193" s="1"/>
      <c r="WP193" s="1"/>
      <c r="WQ193" s="1"/>
      <c r="WR193" s="1"/>
      <c r="WS193" s="1"/>
      <c r="WT193" s="1"/>
      <c r="WU193" s="1"/>
      <c r="WV193" s="1"/>
      <c r="WW193" s="1"/>
      <c r="WX193" s="1"/>
      <c r="WY193" s="1"/>
      <c r="WZ193" s="1"/>
      <c r="XA193" s="1"/>
      <c r="XB193" s="1"/>
      <c r="XC193" s="1"/>
      <c r="XD193" s="1"/>
      <c r="XE193" s="1"/>
      <c r="XF193" s="1"/>
      <c r="XG193" s="1"/>
      <c r="XH193" s="1"/>
      <c r="XI193" s="1"/>
      <c r="XJ193" s="1"/>
      <c r="XK193" s="1"/>
      <c r="XL193" s="1"/>
      <c r="XM193" s="1"/>
      <c r="XN193" s="1"/>
      <c r="XO193" s="1"/>
      <c r="XP193" s="1"/>
      <c r="XQ193" s="1"/>
      <c r="XR193" s="1"/>
      <c r="XS193" s="1"/>
      <c r="XT193" s="1"/>
      <c r="XU193" s="1"/>
      <c r="XV193" s="1"/>
      <c r="XW193" s="1"/>
      <c r="XX193" s="1"/>
      <c r="XY193" s="1"/>
      <c r="XZ193" s="1"/>
      <c r="YA193" s="1"/>
      <c r="YB193" s="1"/>
      <c r="YC193" s="1"/>
      <c r="YD193" s="1"/>
      <c r="YE193" s="1"/>
      <c r="YF193" s="1"/>
      <c r="YG193" s="1"/>
      <c r="YH193" s="1"/>
      <c r="YI193" s="1"/>
      <c r="YJ193" s="1"/>
      <c r="YK193" s="1"/>
      <c r="YL193" s="1"/>
      <c r="YM193" s="1"/>
      <c r="YN193" s="1"/>
      <c r="YO193" s="1"/>
      <c r="YP193" s="1"/>
      <c r="YQ193" s="1"/>
      <c r="YR193" s="1"/>
      <c r="YS193" s="1"/>
      <c r="YT193" s="1"/>
      <c r="YU193" s="1"/>
      <c r="YV193" s="1"/>
      <c r="YW193" s="1"/>
      <c r="YX193" s="1"/>
      <c r="YY193" s="1"/>
      <c r="YZ193" s="1"/>
      <c r="ZA193" s="1"/>
      <c r="ZB193" s="1"/>
      <c r="ZC193" s="1"/>
      <c r="ZD193" s="1"/>
      <c r="ZE193" s="1"/>
      <c r="ZF193" s="1"/>
      <c r="ZG193" s="1"/>
      <c r="ZH193" s="1"/>
      <c r="ZI193" s="1"/>
      <c r="ZJ193" s="1"/>
      <c r="ZK193" s="1"/>
      <c r="ZL193" s="1"/>
      <c r="ZM193" s="1"/>
      <c r="ZN193" s="1"/>
      <c r="ZO193" s="1"/>
      <c r="ZP193" s="1"/>
      <c r="ZQ193" s="1"/>
      <c r="ZR193" s="1"/>
      <c r="ZS193" s="1"/>
      <c r="ZT193" s="1"/>
      <c r="ZU193" s="1"/>
      <c r="ZV193" s="1"/>
      <c r="ZW193" s="1"/>
      <c r="ZX193" s="1"/>
      <c r="ZY193" s="1"/>
      <c r="ZZ193" s="1"/>
      <c r="AAA193" s="1"/>
      <c r="AAB193" s="1"/>
      <c r="AAC193" s="1"/>
      <c r="AAD193" s="1"/>
      <c r="AAE193" s="1"/>
      <c r="AAF193" s="1"/>
      <c r="AAG193" s="1"/>
      <c r="AAH193" s="1"/>
      <c r="AAI193" s="1"/>
      <c r="AAJ193" s="1"/>
      <c r="AAK193" s="1"/>
      <c r="AAL193" s="1"/>
      <c r="AAM193" s="1"/>
      <c r="AAN193" s="1"/>
      <c r="AAO193" s="1"/>
      <c r="AAP193" s="1"/>
      <c r="AAQ193" s="1"/>
      <c r="AAR193" s="1"/>
      <c r="AAS193" s="1"/>
      <c r="AAT193" s="1"/>
      <c r="AAU193" s="1"/>
      <c r="AAV193" s="1"/>
      <c r="AAW193" s="1"/>
      <c r="AAX193" s="1"/>
      <c r="AAY193" s="1"/>
      <c r="AAZ193" s="1"/>
      <c r="ABA193" s="1"/>
      <c r="ABB193" s="1"/>
      <c r="ABC193" s="1"/>
      <c r="ABD193" s="1"/>
      <c r="ABE193" s="1"/>
      <c r="ABF193" s="1"/>
      <c r="ABG193" s="1"/>
      <c r="ABH193" s="1"/>
      <c r="ABI193" s="1"/>
      <c r="ABJ193" s="1"/>
      <c r="ABK193" s="1"/>
      <c r="ABL193" s="1"/>
      <c r="ABM193" s="1"/>
      <c r="ABN193" s="1"/>
      <c r="ABO193" s="1"/>
      <c r="ABP193" s="1"/>
      <c r="ABQ193" s="1"/>
      <c r="ABR193" s="1"/>
      <c r="ABS193" s="1"/>
      <c r="ABT193" s="1"/>
      <c r="ABU193" s="1"/>
      <c r="ABV193" s="1"/>
      <c r="ABW193" s="1"/>
      <c r="ABX193" s="1"/>
      <c r="ABY193" s="1"/>
      <c r="ABZ193" s="1"/>
      <c r="ACA193" s="1"/>
      <c r="ACB193" s="1"/>
      <c r="ACC193" s="1"/>
      <c r="ACD193" s="1"/>
      <c r="ACE193" s="1"/>
      <c r="ACF193" s="1"/>
      <c r="ACG193" s="1"/>
      <c r="ACH193" s="1"/>
      <c r="ACI193" s="1"/>
      <c r="ACJ193" s="1"/>
      <c r="ACK193" s="1"/>
      <c r="ACL193" s="1"/>
      <c r="ACM193" s="1"/>
      <c r="ACN193" s="1"/>
      <c r="ACO193" s="1"/>
      <c r="ACP193" s="1"/>
      <c r="ACQ193" s="1"/>
      <c r="ACR193" s="1"/>
      <c r="ACS193" s="1"/>
      <c r="ACT193" s="1"/>
      <c r="ACU193" s="1"/>
      <c r="ACV193" s="1"/>
      <c r="ACW193" s="1"/>
      <c r="ACX193" s="1"/>
      <c r="ACY193" s="1"/>
      <c r="ACZ193" s="1"/>
      <c r="ADA193" s="1"/>
      <c r="ADB193" s="1"/>
      <c r="ADC193" s="1"/>
      <c r="ADD193" s="1"/>
      <c r="ADE193" s="1"/>
      <c r="ADF193" s="1"/>
      <c r="ADG193" s="1"/>
      <c r="ADH193" s="1"/>
      <c r="ADI193" s="1"/>
      <c r="ADJ193" s="1"/>
      <c r="ADK193" s="1"/>
      <c r="ADL193" s="1"/>
      <c r="ADM193" s="1"/>
      <c r="ADN193" s="1"/>
      <c r="ADO193" s="1"/>
      <c r="ADP193" s="1"/>
      <c r="ADQ193" s="1"/>
      <c r="ADR193" s="1"/>
      <c r="ADS193" s="1"/>
      <c r="ADT193" s="1"/>
      <c r="ADU193" s="1"/>
      <c r="ADV193" s="1"/>
      <c r="ADW193" s="1"/>
      <c r="ADX193" s="1"/>
      <c r="ADY193" s="1"/>
      <c r="ADZ193" s="1"/>
      <c r="AEA193" s="1"/>
      <c r="AEB193" s="1"/>
      <c r="AEC193" s="1"/>
      <c r="AED193" s="1"/>
      <c r="AEE193" s="1"/>
      <c r="AEF193" s="1"/>
      <c r="AEG193" s="1"/>
      <c r="AEH193" s="1"/>
      <c r="AEI193" s="1"/>
      <c r="AEJ193" s="1"/>
      <c r="AEK193" s="1"/>
      <c r="AEL193" s="1"/>
      <c r="AEM193" s="1"/>
      <c r="AEN193" s="1"/>
      <c r="AEO193" s="1"/>
      <c r="AEP193" s="1"/>
      <c r="AEQ193" s="1"/>
      <c r="AER193" s="1"/>
      <c r="AES193" s="1"/>
      <c r="AET193" s="1"/>
      <c r="AEU193" s="1"/>
      <c r="AEV193" s="1"/>
      <c r="AEW193" s="1"/>
      <c r="AEX193" s="1"/>
      <c r="AEY193" s="1"/>
      <c r="AEZ193" s="1"/>
      <c r="AFA193" s="1"/>
      <c r="AFB193" s="1"/>
      <c r="AFC193" s="1"/>
      <c r="AFD193" s="1"/>
      <c r="AFE193" s="1"/>
      <c r="AFF193" s="1"/>
      <c r="AFG193" s="1"/>
      <c r="AFH193" s="1"/>
      <c r="AFI193" s="1"/>
      <c r="AFJ193" s="1"/>
      <c r="AFK193" s="1"/>
      <c r="AFL193" s="1"/>
      <c r="AFM193" s="1"/>
      <c r="AFN193" s="1"/>
      <c r="AFO193" s="1"/>
      <c r="AFP193" s="1"/>
      <c r="AFQ193" s="1"/>
      <c r="AFR193" s="1"/>
      <c r="AFS193" s="1"/>
      <c r="AFT193" s="1"/>
      <c r="AFU193" s="1"/>
      <c r="AFV193" s="1"/>
      <c r="AFW193" s="1"/>
      <c r="AFX193" s="1"/>
      <c r="AFY193" s="1"/>
      <c r="AFZ193" s="1"/>
      <c r="AGA193" s="1"/>
      <c r="AGB193" s="1"/>
      <c r="AGC193" s="1"/>
      <c r="AGD193" s="1"/>
      <c r="AGE193" s="1"/>
      <c r="AGF193" s="1"/>
      <c r="AGG193" s="1"/>
      <c r="AGH193" s="1"/>
      <c r="AGI193" s="1"/>
      <c r="AGJ193" s="1"/>
      <c r="AGK193" s="1"/>
      <c r="AGL193" s="1"/>
      <c r="AGM193" s="1"/>
      <c r="AGN193" s="1"/>
      <c r="AGO193" s="1"/>
      <c r="AGP193" s="1"/>
      <c r="AGQ193" s="1"/>
      <c r="AGR193" s="1"/>
      <c r="AGS193" s="1"/>
      <c r="AGT193" s="1"/>
      <c r="AGU193" s="1"/>
      <c r="AGV193" s="1"/>
      <c r="AGW193" s="1"/>
      <c r="AGX193" s="1"/>
      <c r="AGY193" s="1"/>
      <c r="AGZ193" s="1"/>
      <c r="AHA193" s="1"/>
      <c r="AHB193" s="1"/>
      <c r="AHC193" s="1"/>
      <c r="AHD193" s="1"/>
      <c r="AHE193" s="1"/>
      <c r="AHF193" s="1"/>
      <c r="AHG193" s="1"/>
      <c r="AHH193" s="1"/>
      <c r="AHI193" s="1"/>
      <c r="AHJ193" s="1"/>
      <c r="AHK193" s="1"/>
      <c r="AHL193" s="1"/>
      <c r="AHM193" s="1"/>
      <c r="AHN193" s="1"/>
      <c r="AHO193" s="1"/>
      <c r="AHP193" s="1"/>
      <c r="AHQ193" s="1"/>
      <c r="AHR193" s="1"/>
      <c r="AHS193" s="1"/>
      <c r="AHT193" s="1"/>
      <c r="AHU193" s="1"/>
      <c r="AHV193" s="1"/>
      <c r="AHW193" s="1"/>
      <c r="AHX193" s="1"/>
      <c r="AHY193" s="1"/>
      <c r="AHZ193" s="1"/>
      <c r="AIA193" s="1"/>
      <c r="AIB193" s="1"/>
      <c r="AIC193" s="1"/>
      <c r="AID193" s="1"/>
      <c r="AIE193" s="1"/>
      <c r="AIF193" s="1"/>
      <c r="AIG193" s="1"/>
      <c r="AIH193" s="1"/>
      <c r="AII193" s="1"/>
      <c r="AIJ193" s="1"/>
      <c r="AIK193" s="1"/>
      <c r="AIL193" s="1"/>
      <c r="AIM193" s="1"/>
      <c r="AIN193" s="1"/>
      <c r="AIO193" s="1"/>
      <c r="AIP193" s="1"/>
      <c r="AIQ193" s="1"/>
      <c r="AIR193" s="1"/>
      <c r="AIS193" s="1"/>
      <c r="AIT193" s="1"/>
      <c r="AIU193" s="1"/>
      <c r="AIV193" s="1"/>
      <c r="AIW193" s="1"/>
      <c r="AIX193" s="1"/>
      <c r="AIY193" s="1"/>
      <c r="AIZ193" s="1"/>
      <c r="AJA193" s="1"/>
      <c r="AJB193" s="1"/>
      <c r="AJC193" s="1"/>
      <c r="AJD193" s="1"/>
      <c r="AJE193" s="1"/>
      <c r="AJF193" s="1"/>
      <c r="AJG193" s="1"/>
      <c r="AJH193" s="1"/>
      <c r="AJI193" s="1"/>
      <c r="AJJ193" s="1"/>
      <c r="AJK193" s="1"/>
      <c r="AJL193" s="1"/>
      <c r="AJM193" s="1"/>
      <c r="AJN193" s="1"/>
      <c r="AJO193" s="1"/>
      <c r="AJP193" s="1"/>
      <c r="AJQ193" s="1"/>
      <c r="AJR193" s="1"/>
      <c r="AJS193" s="1"/>
      <c r="AJT193" s="1"/>
      <c r="AJU193" s="1"/>
      <c r="AJV193" s="1"/>
      <c r="AJW193" s="1"/>
      <c r="AJX193" s="1"/>
      <c r="AJY193" s="1"/>
      <c r="AJZ193" s="1"/>
      <c r="AKA193" s="1"/>
      <c r="AKB193" s="1"/>
      <c r="AKC193" s="1"/>
      <c r="AKD193" s="1"/>
      <c r="AKE193" s="1"/>
      <c r="AKF193" s="1"/>
      <c r="AKG193" s="1"/>
      <c r="AKH193" s="1"/>
      <c r="AKI193" s="1"/>
      <c r="AKJ193" s="1"/>
      <c r="AKK193" s="1"/>
      <c r="AKL193" s="1"/>
      <c r="AKM193" s="1"/>
      <c r="AKN193" s="1"/>
      <c r="AKO193" s="1"/>
      <c r="AKP193" s="1"/>
      <c r="AKQ193" s="1"/>
      <c r="AKR193" s="1"/>
      <c r="AKS193" s="1"/>
      <c r="AKT193" s="1"/>
      <c r="AKU193" s="1"/>
      <c r="AKV193" s="1"/>
      <c r="AKW193" s="1"/>
      <c r="AKX193" s="1"/>
      <c r="AKY193" s="1"/>
      <c r="AKZ193" s="1"/>
      <c r="ALA193" s="1"/>
      <c r="ALB193" s="1"/>
      <c r="ALC193" s="1"/>
      <c r="ALD193" s="1"/>
      <c r="ALE193" s="1"/>
      <c r="ALF193" s="1"/>
      <c r="ALG193" s="1"/>
      <c r="ALH193" s="1"/>
      <c r="ALI193" s="1"/>
      <c r="ALJ193" s="1"/>
      <c r="ALK193" s="1"/>
      <c r="ALL193" s="1"/>
      <c r="ALM193" s="1"/>
      <c r="ALN193" s="1"/>
      <c r="ALO193" s="1"/>
      <c r="ALP193" s="1"/>
      <c r="ALQ193" s="1"/>
      <c r="ALR193" s="1"/>
      <c r="ALS193" s="1"/>
      <c r="ALT193" s="1"/>
      <c r="ALU193" s="1"/>
      <c r="ALV193" s="1"/>
      <c r="ALW193" s="1"/>
      <c r="ALX193" s="1"/>
      <c r="ALY193" s="1"/>
      <c r="ALZ193" s="1"/>
      <c r="AMA193" s="1"/>
      <c r="AMB193" s="1"/>
      <c r="AMC193" s="1"/>
      <c r="AMD193" s="1"/>
      <c r="AME193" s="1"/>
      <c r="AMF193" s="1"/>
      <c r="AMG193" s="1"/>
      <c r="AMH193" s="1"/>
      <c r="AMI193" s="1"/>
      <c r="AMJ193" s="1"/>
      <c r="AMK193" s="1"/>
      <c r="AML193" s="1"/>
      <c r="AMM193" s="1"/>
      <c r="AMN193" s="1"/>
      <c r="AMO193" s="1"/>
      <c r="AMP193" s="1"/>
    </row>
    <row r="194" spans="1:1030" s="2" customFormat="1" x14ac:dyDescent="0.2">
      <c r="A194" s="3" t="str">
        <f t="shared" si="669"/>
        <v>oprd_mouse_4EJ4</v>
      </c>
      <c r="B194" s="3" t="s">
        <v>916</v>
      </c>
      <c r="C194" s="3" t="s">
        <v>64</v>
      </c>
      <c r="D194" s="3" t="str">
        <f>IFERROR(MID(VLOOKUP($B194,Seqs!$A:$B,2,0),E194,1),"")</f>
        <v>R</v>
      </c>
      <c r="E194" s="3">
        <v>41</v>
      </c>
      <c r="F194" s="3" t="str">
        <f>IFERROR(MID(VLOOKUP($B194,Seqs!$A:$B,2,0),G194,1),"")</f>
        <v>Y</v>
      </c>
      <c r="G194" s="3">
        <v>77</v>
      </c>
      <c r="H194" s="3" t="str">
        <f>IFERROR(MID(VLOOKUP($B194,Seqs!$A:$B,2,0),I194,1),"")</f>
        <v>T</v>
      </c>
      <c r="I194" s="23">
        <v>78</v>
      </c>
      <c r="J194" s="3" t="str">
        <f>IFERROR(MID(VLOOKUP($B194,Seqs!$A:$B,2,0),K194,1),"")</f>
        <v>K</v>
      </c>
      <c r="K194" s="23">
        <v>81</v>
      </c>
      <c r="L194" s="3" t="str">
        <f>IFERROR(MID(VLOOKUP($B194,Seqs!$A:$B,2,0),M194,1),"")</f>
        <v>T</v>
      </c>
      <c r="M194" s="3">
        <v>82</v>
      </c>
      <c r="N194" s="3" t="str">
        <f>IFERROR(MID(VLOOKUP($B194,Seqs!$A:$B,2,0),O194,1),"")</f>
        <v>M</v>
      </c>
      <c r="O194" s="3">
        <v>111</v>
      </c>
      <c r="P194" s="3" t="str">
        <f>IFERROR(MID(VLOOKUP($B194,Seqs!$A:$B,2,0),Q194,1),"")</f>
        <v>T</v>
      </c>
      <c r="Q194" s="3">
        <v>113</v>
      </c>
      <c r="R194" s="3" t="str">
        <f>IFERROR(MID(VLOOKUP($B194,Seqs!$A:$B,2,0),S194,1),"")</f>
        <v>F</v>
      </c>
      <c r="S194" s="3">
        <v>116</v>
      </c>
      <c r="T194" s="3" t="str">
        <f>IFERROR(MID(VLOOKUP($B194,Seqs!$A:$B,2,0),U194,1),"")</f>
        <v>G</v>
      </c>
      <c r="U194" s="3">
        <v>117</v>
      </c>
      <c r="V194" s="3" t="str">
        <f>IFERROR(MID(VLOOKUP($B194,Seqs!$A:$B,2,0),W194,1),"")</f>
        <v>H</v>
      </c>
      <c r="W194" s="3">
        <v>152</v>
      </c>
      <c r="X194" s="3" t="str">
        <f>IFERROR(MID(VLOOKUP($B194,Seqs!$A:$B,2,0),Y194,1),"")</f>
        <v>P</v>
      </c>
      <c r="Y194" s="3">
        <v>153</v>
      </c>
      <c r="Z194" s="3" t="str">
        <f>IFERROR(MID(VLOOKUP($B194,Seqs!$A:$B,2,0),AA194,1),"")</f>
        <v>R</v>
      </c>
      <c r="AA194" s="3">
        <v>160</v>
      </c>
      <c r="AB194" s="3" t="str">
        <f>IFERROR(MID(VLOOKUP($B194,Seqs!$A:$B,2,0),AC194,1),"")</f>
        <v>T</v>
      </c>
      <c r="AC194" s="9">
        <v>161</v>
      </c>
      <c r="AD194" s="3" t="str">
        <f>IFERROR(MID(VLOOKUP($B194,Seqs!$A:$B,2,0),AE194,1),"")</f>
        <v>A</v>
      </c>
      <c r="AE194" s="3">
        <v>187</v>
      </c>
      <c r="AF194" s="3" t="str">
        <f>IFERROR(MID(VLOOKUP($B194,Seqs!$A:$B,2,0),AG194,1),"")</f>
        <v>C</v>
      </c>
      <c r="AG194" s="3">
        <v>198</v>
      </c>
      <c r="AH194" s="3" t="str">
        <f>IFERROR(MID(VLOOKUP($B194,Seqs!$A:$B,2,0),AI194,1),"")</f>
        <v>L</v>
      </c>
      <c r="AI194" s="3">
        <v>200</v>
      </c>
      <c r="AJ194" s="3" t="str">
        <f>IFERROR(MID(VLOOKUP($B194,Seqs!$A:$B,2,0),AK194,1),"")</f>
        <v>S</v>
      </c>
      <c r="AK194" s="3">
        <v>206</v>
      </c>
      <c r="AL194" s="3" t="str">
        <f>IFERROR(MID(VLOOKUP($B194,Seqs!$A:$B,2,0),AM194,1),"")</f>
        <v>L</v>
      </c>
      <c r="AM194" s="3">
        <v>238</v>
      </c>
      <c r="AN194" s="3" t="str">
        <f>IFERROR(MID(VLOOKUP($B194,Seqs!$A:$B,2,0),AO194,1),"")</f>
        <v>R</v>
      </c>
      <c r="AO194" s="3">
        <v>258</v>
      </c>
      <c r="AP194" s="3" t="str">
        <f>IFERROR(MID(VLOOKUP($B194,Seqs!$A:$B,2,0),AQ194,1),"")</f>
        <v>V</v>
      </c>
      <c r="AQ194" s="3">
        <v>287</v>
      </c>
      <c r="AR194" s="3" t="str">
        <f>IFERROR(MID(VLOOKUP($B194,Seqs!$A:$B,2,0),AS194,1),"")</f>
        <v>D</v>
      </c>
      <c r="AS194" s="3">
        <v>293</v>
      </c>
      <c r="AT194" s="3" t="str">
        <f>IFERROR(MID(VLOOKUP($B194,Seqs!$A:$B,2,0),AU194,1),"")</f>
        <v>L</v>
      </c>
      <c r="AU194" s="3">
        <v>321</v>
      </c>
      <c r="AV194" s="3" t="str">
        <f>IFERROR(MID(VLOOKUP($B194,Seqs!$A:$B,2,0),AW194,1),"")</f>
        <v>D</v>
      </c>
      <c r="AW194" s="3">
        <v>322</v>
      </c>
      <c r="AX194" s="3" t="str">
        <f>IFERROR(MID(VLOOKUP($B194,Seqs!$A:$B,2,0),AY194,1),"")</f>
        <v>C</v>
      </c>
      <c r="AY194" s="3">
        <v>328</v>
      </c>
      <c r="AZ194" s="77" t="str">
        <f>VLOOKUP(B194,Classification!A:D,2,0)</f>
        <v>A</v>
      </c>
      <c r="BA194" s="94" t="str">
        <f>VLOOKUP(B194,Classification!A:D,4,0)</f>
        <v>Opioid</v>
      </c>
      <c r="BB194" s="27" t="b">
        <f t="shared" si="670"/>
        <v>1</v>
      </c>
      <c r="BC194" s="23">
        <f t="shared" si="643"/>
        <v>248</v>
      </c>
      <c r="BD194" s="2" t="s">
        <v>1383</v>
      </c>
      <c r="BE194" s="3" t="s">
        <v>1381</v>
      </c>
      <c r="BF194" s="119">
        <v>3.4</v>
      </c>
      <c r="BG194" s="49" t="s">
        <v>1384</v>
      </c>
      <c r="BH194" s="49" t="s">
        <v>1384</v>
      </c>
      <c r="BI194" s="1"/>
      <c r="BJ194" s="70" t="s">
        <v>1293</v>
      </c>
      <c r="BK194" s="57" t="s">
        <v>1293</v>
      </c>
      <c r="BL194" s="57" t="s">
        <v>1293</v>
      </c>
      <c r="BM194" s="57" t="s">
        <v>1293</v>
      </c>
      <c r="BN194" s="57" t="s">
        <v>1293</v>
      </c>
      <c r="BO194" s="57" t="s">
        <v>1293</v>
      </c>
      <c r="BP194" s="57" t="s">
        <v>1293</v>
      </c>
      <c r="BQ194" s="57" t="s">
        <v>1293</v>
      </c>
      <c r="BR194" s="57" t="s">
        <v>1293</v>
      </c>
      <c r="BS194" s="57" t="s">
        <v>1293</v>
      </c>
      <c r="BT194" s="57" t="s">
        <v>1293</v>
      </c>
      <c r="BU194" s="57" t="s">
        <v>1293</v>
      </c>
      <c r="BV194" s="70">
        <f t="shared" si="644"/>
        <v>41</v>
      </c>
      <c r="BW194" s="71">
        <f t="shared" si="645"/>
        <v>78</v>
      </c>
      <c r="BX194" s="72">
        <f t="shared" si="646"/>
        <v>82</v>
      </c>
      <c r="BY194" s="71">
        <f t="shared" si="647"/>
        <v>113</v>
      </c>
      <c r="BZ194" s="72">
        <f t="shared" si="648"/>
        <v>117</v>
      </c>
      <c r="CA194" s="71">
        <f t="shared" si="649"/>
        <v>153</v>
      </c>
      <c r="CB194" s="72">
        <f t="shared" si="650"/>
        <v>161</v>
      </c>
      <c r="CC194" s="71">
        <f t="shared" si="651"/>
        <v>198</v>
      </c>
      <c r="CD194" s="72">
        <f t="shared" si="652"/>
        <v>206</v>
      </c>
      <c r="CE194" s="71">
        <f t="shared" si="653"/>
        <v>258</v>
      </c>
      <c r="CF194" s="72">
        <f t="shared" si="654"/>
        <v>293</v>
      </c>
      <c r="CG194" s="71">
        <f t="shared" si="655"/>
        <v>322</v>
      </c>
      <c r="CH194" s="70">
        <f t="shared" si="656"/>
        <v>77</v>
      </c>
      <c r="CI194" s="71">
        <f t="shared" si="657"/>
        <v>81</v>
      </c>
      <c r="CJ194" s="72">
        <f t="shared" si="658"/>
        <v>111</v>
      </c>
      <c r="CK194" s="72">
        <f t="shared" si="659"/>
        <v>116</v>
      </c>
      <c r="CL194" s="72">
        <f t="shared" si="660"/>
        <v>152</v>
      </c>
      <c r="CM194" s="72">
        <f t="shared" si="661"/>
        <v>160</v>
      </c>
      <c r="CN194" s="72">
        <f t="shared" si="662"/>
        <v>187</v>
      </c>
      <c r="CO194" s="72">
        <f t="shared" si="663"/>
        <v>200</v>
      </c>
      <c r="CP194" s="72">
        <f t="shared" si="664"/>
        <v>238</v>
      </c>
      <c r="CQ194" s="72">
        <f t="shared" si="665"/>
        <v>287</v>
      </c>
      <c r="CR194" s="72">
        <f t="shared" si="666"/>
        <v>321</v>
      </c>
      <c r="CS194" s="72">
        <f t="shared" si="667"/>
        <v>328</v>
      </c>
      <c r="CT194" s="23">
        <f t="shared" si="668"/>
        <v>1</v>
      </c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  <c r="OK194" s="1"/>
      <c r="OL194" s="1"/>
      <c r="OM194" s="1"/>
      <c r="ON194" s="1"/>
      <c r="OO194" s="1"/>
      <c r="OP194" s="1"/>
      <c r="OQ194" s="1"/>
      <c r="OR194" s="1"/>
      <c r="OS194" s="1"/>
      <c r="OT194" s="1"/>
      <c r="OU194" s="1"/>
      <c r="OV194" s="1"/>
      <c r="OW194" s="1"/>
      <c r="OX194" s="1"/>
      <c r="OY194" s="1"/>
      <c r="OZ194" s="1"/>
      <c r="PA194" s="1"/>
      <c r="PB194" s="1"/>
      <c r="PC194" s="1"/>
      <c r="PD194" s="1"/>
      <c r="PE194" s="1"/>
      <c r="PF194" s="1"/>
      <c r="PG194" s="1"/>
      <c r="PH194" s="1"/>
      <c r="PI194" s="1"/>
      <c r="PJ194" s="1"/>
      <c r="PK194" s="1"/>
      <c r="PL194" s="1"/>
      <c r="PM194" s="1"/>
      <c r="PN194" s="1"/>
      <c r="PO194" s="1"/>
      <c r="PP194" s="1"/>
      <c r="PQ194" s="1"/>
      <c r="PR194" s="1"/>
      <c r="PS194" s="1"/>
      <c r="PT194" s="1"/>
      <c r="PU194" s="1"/>
      <c r="PV194" s="1"/>
      <c r="PW194" s="1"/>
      <c r="PX194" s="1"/>
      <c r="PY194" s="1"/>
      <c r="PZ194" s="1"/>
      <c r="QA194" s="1"/>
      <c r="QB194" s="1"/>
      <c r="QC194" s="1"/>
      <c r="QD194" s="1"/>
      <c r="QE194" s="1"/>
      <c r="QF194" s="1"/>
      <c r="QG194" s="1"/>
      <c r="QH194" s="1"/>
      <c r="QI194" s="1"/>
      <c r="QJ194" s="1"/>
      <c r="QK194" s="1"/>
      <c r="QL194" s="1"/>
      <c r="QM194" s="1"/>
      <c r="QN194" s="1"/>
      <c r="QO194" s="1"/>
      <c r="QP194" s="1"/>
      <c r="QQ194" s="1"/>
      <c r="QR194" s="1"/>
      <c r="QS194" s="1"/>
      <c r="QT194" s="1"/>
      <c r="QU194" s="1"/>
      <c r="QV194" s="1"/>
      <c r="QW194" s="1"/>
      <c r="QX194" s="1"/>
      <c r="QY194" s="1"/>
      <c r="QZ194" s="1"/>
      <c r="RA194" s="1"/>
      <c r="RB194" s="1"/>
      <c r="RC194" s="1"/>
      <c r="RD194" s="1"/>
      <c r="RE194" s="1"/>
      <c r="RF194" s="1"/>
      <c r="RG194" s="1"/>
      <c r="RH194" s="1"/>
      <c r="RI194" s="1"/>
      <c r="RJ194" s="1"/>
      <c r="RK194" s="1"/>
      <c r="RL194" s="1"/>
      <c r="RM194" s="1"/>
      <c r="RN194" s="1"/>
      <c r="RO194" s="1"/>
      <c r="RP194" s="1"/>
      <c r="RQ194" s="1"/>
      <c r="RR194" s="1"/>
      <c r="RS194" s="1"/>
      <c r="RT194" s="1"/>
      <c r="RU194" s="1"/>
      <c r="RV194" s="1"/>
      <c r="RW194" s="1"/>
      <c r="RX194" s="1"/>
      <c r="RY194" s="1"/>
      <c r="RZ194" s="1"/>
      <c r="SA194" s="1"/>
      <c r="SB194" s="1"/>
      <c r="SC194" s="1"/>
      <c r="SD194" s="1"/>
      <c r="SE194" s="1"/>
      <c r="SF194" s="1"/>
      <c r="SG194" s="1"/>
      <c r="SH194" s="1"/>
      <c r="SI194" s="1"/>
      <c r="SJ194" s="1"/>
      <c r="SK194" s="1"/>
      <c r="SL194" s="1"/>
      <c r="SM194" s="1"/>
      <c r="SN194" s="1"/>
      <c r="SO194" s="1"/>
      <c r="SP194" s="1"/>
      <c r="SQ194" s="1"/>
      <c r="SR194" s="1"/>
      <c r="SS194" s="1"/>
      <c r="ST194" s="1"/>
      <c r="SU194" s="1"/>
      <c r="SV194" s="1"/>
      <c r="SW194" s="1"/>
      <c r="SX194" s="1"/>
      <c r="SY194" s="1"/>
      <c r="SZ194" s="1"/>
      <c r="TA194" s="1"/>
      <c r="TB194" s="1"/>
      <c r="TC194" s="1"/>
      <c r="TD194" s="1"/>
      <c r="TE194" s="1"/>
      <c r="TF194" s="1"/>
      <c r="TG194" s="1"/>
      <c r="TH194" s="1"/>
      <c r="TI194" s="1"/>
      <c r="TJ194" s="1"/>
      <c r="TK194" s="1"/>
      <c r="TL194" s="1"/>
      <c r="TM194" s="1"/>
      <c r="TN194" s="1"/>
      <c r="TO194" s="1"/>
      <c r="TP194" s="1"/>
      <c r="TQ194" s="1"/>
      <c r="TR194" s="1"/>
      <c r="TS194" s="1"/>
      <c r="TT194" s="1"/>
      <c r="TU194" s="1"/>
      <c r="TV194" s="1"/>
      <c r="TW194" s="1"/>
      <c r="TX194" s="1"/>
      <c r="TY194" s="1"/>
      <c r="TZ194" s="1"/>
      <c r="UA194" s="1"/>
      <c r="UB194" s="1"/>
      <c r="UC194" s="1"/>
      <c r="UD194" s="1"/>
      <c r="UE194" s="1"/>
      <c r="UF194" s="1"/>
      <c r="UG194" s="1"/>
      <c r="UH194" s="1"/>
      <c r="UI194" s="1"/>
      <c r="UJ194" s="1"/>
      <c r="UK194" s="1"/>
      <c r="UL194" s="1"/>
      <c r="UM194" s="1"/>
      <c r="UN194" s="1"/>
      <c r="UO194" s="1"/>
      <c r="UP194" s="1"/>
      <c r="UQ194" s="1"/>
      <c r="UR194" s="1"/>
      <c r="US194" s="1"/>
      <c r="UT194" s="1"/>
      <c r="UU194" s="1"/>
      <c r="UV194" s="1"/>
      <c r="UW194" s="1"/>
      <c r="UX194" s="1"/>
      <c r="UY194" s="1"/>
      <c r="UZ194" s="1"/>
      <c r="VA194" s="1"/>
      <c r="VB194" s="1"/>
      <c r="VC194" s="1"/>
      <c r="VD194" s="1"/>
      <c r="VE194" s="1"/>
      <c r="VF194" s="1"/>
      <c r="VG194" s="1"/>
      <c r="VH194" s="1"/>
      <c r="VI194" s="1"/>
      <c r="VJ194" s="1"/>
      <c r="VK194" s="1"/>
      <c r="VL194" s="1"/>
      <c r="VM194" s="1"/>
      <c r="VN194" s="1"/>
      <c r="VO194" s="1"/>
      <c r="VP194" s="1"/>
      <c r="VQ194" s="1"/>
      <c r="VR194" s="1"/>
      <c r="VS194" s="1"/>
      <c r="VT194" s="1"/>
      <c r="VU194" s="1"/>
      <c r="VV194" s="1"/>
      <c r="VW194" s="1"/>
      <c r="VX194" s="1"/>
      <c r="VY194" s="1"/>
      <c r="VZ194" s="1"/>
      <c r="WA194" s="1"/>
      <c r="WB194" s="1"/>
      <c r="WC194" s="1"/>
      <c r="WD194" s="1"/>
      <c r="WE194" s="1"/>
      <c r="WF194" s="1"/>
      <c r="WG194" s="1"/>
      <c r="WH194" s="1"/>
      <c r="WI194" s="1"/>
      <c r="WJ194" s="1"/>
      <c r="WK194" s="1"/>
      <c r="WL194" s="1"/>
      <c r="WM194" s="1"/>
      <c r="WN194" s="1"/>
      <c r="WO194" s="1"/>
      <c r="WP194" s="1"/>
      <c r="WQ194" s="1"/>
      <c r="WR194" s="1"/>
      <c r="WS194" s="1"/>
      <c r="WT194" s="1"/>
      <c r="WU194" s="1"/>
      <c r="WV194" s="1"/>
      <c r="WW194" s="1"/>
      <c r="WX194" s="1"/>
      <c r="WY194" s="1"/>
      <c r="WZ194" s="1"/>
      <c r="XA194" s="1"/>
      <c r="XB194" s="1"/>
      <c r="XC194" s="1"/>
      <c r="XD194" s="1"/>
      <c r="XE194" s="1"/>
      <c r="XF194" s="1"/>
      <c r="XG194" s="1"/>
      <c r="XH194" s="1"/>
      <c r="XI194" s="1"/>
      <c r="XJ194" s="1"/>
      <c r="XK194" s="1"/>
      <c r="XL194" s="1"/>
      <c r="XM194" s="1"/>
      <c r="XN194" s="1"/>
      <c r="XO194" s="1"/>
      <c r="XP194" s="1"/>
      <c r="XQ194" s="1"/>
      <c r="XR194" s="1"/>
      <c r="XS194" s="1"/>
      <c r="XT194" s="1"/>
      <c r="XU194" s="1"/>
      <c r="XV194" s="1"/>
      <c r="XW194" s="1"/>
      <c r="XX194" s="1"/>
      <c r="XY194" s="1"/>
      <c r="XZ194" s="1"/>
      <c r="YA194" s="1"/>
      <c r="YB194" s="1"/>
      <c r="YC194" s="1"/>
      <c r="YD194" s="1"/>
      <c r="YE194" s="1"/>
      <c r="YF194" s="1"/>
      <c r="YG194" s="1"/>
      <c r="YH194" s="1"/>
      <c r="YI194" s="1"/>
      <c r="YJ194" s="1"/>
      <c r="YK194" s="1"/>
      <c r="YL194" s="1"/>
      <c r="YM194" s="1"/>
      <c r="YN194" s="1"/>
      <c r="YO194" s="1"/>
      <c r="YP194" s="1"/>
      <c r="YQ194" s="1"/>
      <c r="YR194" s="1"/>
      <c r="YS194" s="1"/>
      <c r="YT194" s="1"/>
      <c r="YU194" s="1"/>
      <c r="YV194" s="1"/>
      <c r="YW194" s="1"/>
      <c r="YX194" s="1"/>
      <c r="YY194" s="1"/>
      <c r="YZ194" s="1"/>
      <c r="ZA194" s="1"/>
      <c r="ZB194" s="1"/>
      <c r="ZC194" s="1"/>
      <c r="ZD194" s="1"/>
      <c r="ZE194" s="1"/>
      <c r="ZF194" s="1"/>
      <c r="ZG194" s="1"/>
      <c r="ZH194" s="1"/>
      <c r="ZI194" s="1"/>
      <c r="ZJ194" s="1"/>
      <c r="ZK194" s="1"/>
      <c r="ZL194" s="1"/>
      <c r="ZM194" s="1"/>
      <c r="ZN194" s="1"/>
      <c r="ZO194" s="1"/>
      <c r="ZP194" s="1"/>
      <c r="ZQ194" s="1"/>
      <c r="ZR194" s="1"/>
      <c r="ZS194" s="1"/>
      <c r="ZT194" s="1"/>
      <c r="ZU194" s="1"/>
      <c r="ZV194" s="1"/>
      <c r="ZW194" s="1"/>
      <c r="ZX194" s="1"/>
      <c r="ZY194" s="1"/>
      <c r="ZZ194" s="1"/>
      <c r="AAA194" s="1"/>
      <c r="AAB194" s="1"/>
      <c r="AAC194" s="1"/>
      <c r="AAD194" s="1"/>
      <c r="AAE194" s="1"/>
      <c r="AAF194" s="1"/>
      <c r="AAG194" s="1"/>
      <c r="AAH194" s="1"/>
      <c r="AAI194" s="1"/>
      <c r="AAJ194" s="1"/>
      <c r="AAK194" s="1"/>
      <c r="AAL194" s="1"/>
      <c r="AAM194" s="1"/>
      <c r="AAN194" s="1"/>
      <c r="AAO194" s="1"/>
      <c r="AAP194" s="1"/>
      <c r="AAQ194" s="1"/>
      <c r="AAR194" s="1"/>
      <c r="AAS194" s="1"/>
      <c r="AAT194" s="1"/>
      <c r="AAU194" s="1"/>
      <c r="AAV194" s="1"/>
      <c r="AAW194" s="1"/>
      <c r="AAX194" s="1"/>
      <c r="AAY194" s="1"/>
      <c r="AAZ194" s="1"/>
      <c r="ABA194" s="1"/>
      <c r="ABB194" s="1"/>
      <c r="ABC194" s="1"/>
      <c r="ABD194" s="1"/>
      <c r="ABE194" s="1"/>
      <c r="ABF194" s="1"/>
      <c r="ABG194" s="1"/>
      <c r="ABH194" s="1"/>
      <c r="ABI194" s="1"/>
      <c r="ABJ194" s="1"/>
      <c r="ABK194" s="1"/>
      <c r="ABL194" s="1"/>
      <c r="ABM194" s="1"/>
      <c r="ABN194" s="1"/>
      <c r="ABO194" s="1"/>
      <c r="ABP194" s="1"/>
      <c r="ABQ194" s="1"/>
      <c r="ABR194" s="1"/>
      <c r="ABS194" s="1"/>
      <c r="ABT194" s="1"/>
      <c r="ABU194" s="1"/>
      <c r="ABV194" s="1"/>
      <c r="ABW194" s="1"/>
      <c r="ABX194" s="1"/>
      <c r="ABY194" s="1"/>
      <c r="ABZ194" s="1"/>
      <c r="ACA194" s="1"/>
      <c r="ACB194" s="1"/>
      <c r="ACC194" s="1"/>
      <c r="ACD194" s="1"/>
      <c r="ACE194" s="1"/>
      <c r="ACF194" s="1"/>
      <c r="ACG194" s="1"/>
      <c r="ACH194" s="1"/>
      <c r="ACI194" s="1"/>
      <c r="ACJ194" s="1"/>
      <c r="ACK194" s="1"/>
      <c r="ACL194" s="1"/>
      <c r="ACM194" s="1"/>
      <c r="ACN194" s="1"/>
      <c r="ACO194" s="1"/>
      <c r="ACP194" s="1"/>
      <c r="ACQ194" s="1"/>
      <c r="ACR194" s="1"/>
      <c r="ACS194" s="1"/>
      <c r="ACT194" s="1"/>
      <c r="ACU194" s="1"/>
      <c r="ACV194" s="1"/>
      <c r="ACW194" s="1"/>
      <c r="ACX194" s="1"/>
      <c r="ACY194" s="1"/>
      <c r="ACZ194" s="1"/>
      <c r="ADA194" s="1"/>
      <c r="ADB194" s="1"/>
      <c r="ADC194" s="1"/>
      <c r="ADD194" s="1"/>
      <c r="ADE194" s="1"/>
      <c r="ADF194" s="1"/>
      <c r="ADG194" s="1"/>
      <c r="ADH194" s="1"/>
      <c r="ADI194" s="1"/>
      <c r="ADJ194" s="1"/>
      <c r="ADK194" s="1"/>
      <c r="ADL194" s="1"/>
      <c r="ADM194" s="1"/>
      <c r="ADN194" s="1"/>
      <c r="ADO194" s="1"/>
      <c r="ADP194" s="1"/>
      <c r="ADQ194" s="1"/>
      <c r="ADR194" s="1"/>
      <c r="ADS194" s="1"/>
      <c r="ADT194" s="1"/>
      <c r="ADU194" s="1"/>
      <c r="ADV194" s="1"/>
      <c r="ADW194" s="1"/>
      <c r="ADX194" s="1"/>
      <c r="ADY194" s="1"/>
      <c r="ADZ194" s="1"/>
      <c r="AEA194" s="1"/>
      <c r="AEB194" s="1"/>
      <c r="AEC194" s="1"/>
      <c r="AED194" s="1"/>
      <c r="AEE194" s="1"/>
      <c r="AEF194" s="1"/>
      <c r="AEG194" s="1"/>
      <c r="AEH194" s="1"/>
      <c r="AEI194" s="1"/>
      <c r="AEJ194" s="1"/>
      <c r="AEK194" s="1"/>
      <c r="AEL194" s="1"/>
      <c r="AEM194" s="1"/>
      <c r="AEN194" s="1"/>
      <c r="AEO194" s="1"/>
      <c r="AEP194" s="1"/>
      <c r="AEQ194" s="1"/>
      <c r="AER194" s="1"/>
      <c r="AES194" s="1"/>
      <c r="AET194" s="1"/>
      <c r="AEU194" s="1"/>
      <c r="AEV194" s="1"/>
      <c r="AEW194" s="1"/>
      <c r="AEX194" s="1"/>
      <c r="AEY194" s="1"/>
      <c r="AEZ194" s="1"/>
      <c r="AFA194" s="1"/>
      <c r="AFB194" s="1"/>
      <c r="AFC194" s="1"/>
      <c r="AFD194" s="1"/>
      <c r="AFE194" s="1"/>
      <c r="AFF194" s="1"/>
      <c r="AFG194" s="1"/>
      <c r="AFH194" s="1"/>
      <c r="AFI194" s="1"/>
      <c r="AFJ194" s="1"/>
      <c r="AFK194" s="1"/>
      <c r="AFL194" s="1"/>
      <c r="AFM194" s="1"/>
      <c r="AFN194" s="1"/>
      <c r="AFO194" s="1"/>
      <c r="AFP194" s="1"/>
      <c r="AFQ194" s="1"/>
      <c r="AFR194" s="1"/>
      <c r="AFS194" s="1"/>
      <c r="AFT194" s="1"/>
      <c r="AFU194" s="1"/>
      <c r="AFV194" s="1"/>
      <c r="AFW194" s="1"/>
      <c r="AFX194" s="1"/>
      <c r="AFY194" s="1"/>
      <c r="AFZ194" s="1"/>
      <c r="AGA194" s="1"/>
      <c r="AGB194" s="1"/>
      <c r="AGC194" s="1"/>
      <c r="AGD194" s="1"/>
      <c r="AGE194" s="1"/>
      <c r="AGF194" s="1"/>
      <c r="AGG194" s="1"/>
      <c r="AGH194" s="1"/>
      <c r="AGI194" s="1"/>
      <c r="AGJ194" s="1"/>
      <c r="AGK194" s="1"/>
      <c r="AGL194" s="1"/>
      <c r="AGM194" s="1"/>
      <c r="AGN194" s="1"/>
      <c r="AGO194" s="1"/>
      <c r="AGP194" s="1"/>
      <c r="AGQ194" s="1"/>
      <c r="AGR194" s="1"/>
      <c r="AGS194" s="1"/>
      <c r="AGT194" s="1"/>
      <c r="AGU194" s="1"/>
      <c r="AGV194" s="1"/>
      <c r="AGW194" s="1"/>
      <c r="AGX194" s="1"/>
      <c r="AGY194" s="1"/>
      <c r="AGZ194" s="1"/>
      <c r="AHA194" s="1"/>
      <c r="AHB194" s="1"/>
      <c r="AHC194" s="1"/>
      <c r="AHD194" s="1"/>
      <c r="AHE194" s="1"/>
      <c r="AHF194" s="1"/>
      <c r="AHG194" s="1"/>
      <c r="AHH194" s="1"/>
      <c r="AHI194" s="1"/>
      <c r="AHJ194" s="1"/>
      <c r="AHK194" s="1"/>
      <c r="AHL194" s="1"/>
      <c r="AHM194" s="1"/>
      <c r="AHN194" s="1"/>
      <c r="AHO194" s="1"/>
      <c r="AHP194" s="1"/>
      <c r="AHQ194" s="1"/>
      <c r="AHR194" s="1"/>
      <c r="AHS194" s="1"/>
      <c r="AHT194" s="1"/>
      <c r="AHU194" s="1"/>
      <c r="AHV194" s="1"/>
      <c r="AHW194" s="1"/>
      <c r="AHX194" s="1"/>
      <c r="AHY194" s="1"/>
      <c r="AHZ194" s="1"/>
      <c r="AIA194" s="1"/>
      <c r="AIB194" s="1"/>
      <c r="AIC194" s="1"/>
      <c r="AID194" s="1"/>
      <c r="AIE194" s="1"/>
      <c r="AIF194" s="1"/>
      <c r="AIG194" s="1"/>
      <c r="AIH194" s="1"/>
      <c r="AII194" s="1"/>
      <c r="AIJ194" s="1"/>
      <c r="AIK194" s="1"/>
      <c r="AIL194" s="1"/>
      <c r="AIM194" s="1"/>
      <c r="AIN194" s="1"/>
      <c r="AIO194" s="1"/>
      <c r="AIP194" s="1"/>
      <c r="AIQ194" s="1"/>
      <c r="AIR194" s="1"/>
      <c r="AIS194" s="1"/>
      <c r="AIT194" s="1"/>
      <c r="AIU194" s="1"/>
      <c r="AIV194" s="1"/>
      <c r="AIW194" s="1"/>
      <c r="AIX194" s="1"/>
      <c r="AIY194" s="1"/>
      <c r="AIZ194" s="1"/>
      <c r="AJA194" s="1"/>
      <c r="AJB194" s="1"/>
      <c r="AJC194" s="1"/>
      <c r="AJD194" s="1"/>
      <c r="AJE194" s="1"/>
      <c r="AJF194" s="1"/>
      <c r="AJG194" s="1"/>
      <c r="AJH194" s="1"/>
      <c r="AJI194" s="1"/>
      <c r="AJJ194" s="1"/>
      <c r="AJK194" s="1"/>
      <c r="AJL194" s="1"/>
      <c r="AJM194" s="1"/>
      <c r="AJN194" s="1"/>
      <c r="AJO194" s="1"/>
      <c r="AJP194" s="1"/>
      <c r="AJQ194" s="1"/>
      <c r="AJR194" s="1"/>
      <c r="AJS194" s="1"/>
      <c r="AJT194" s="1"/>
      <c r="AJU194" s="1"/>
      <c r="AJV194" s="1"/>
      <c r="AJW194" s="1"/>
      <c r="AJX194" s="1"/>
      <c r="AJY194" s="1"/>
      <c r="AJZ194" s="1"/>
      <c r="AKA194" s="1"/>
      <c r="AKB194" s="1"/>
      <c r="AKC194" s="1"/>
      <c r="AKD194" s="1"/>
      <c r="AKE194" s="1"/>
      <c r="AKF194" s="1"/>
      <c r="AKG194" s="1"/>
      <c r="AKH194" s="1"/>
      <c r="AKI194" s="1"/>
      <c r="AKJ194" s="1"/>
      <c r="AKK194" s="1"/>
      <c r="AKL194" s="1"/>
      <c r="AKM194" s="1"/>
      <c r="AKN194" s="1"/>
      <c r="AKO194" s="1"/>
      <c r="AKP194" s="1"/>
      <c r="AKQ194" s="1"/>
      <c r="AKR194" s="1"/>
      <c r="AKS194" s="1"/>
      <c r="AKT194" s="1"/>
      <c r="AKU194" s="1"/>
      <c r="AKV194" s="1"/>
      <c r="AKW194" s="1"/>
      <c r="AKX194" s="1"/>
      <c r="AKY194" s="1"/>
      <c r="AKZ194" s="1"/>
      <c r="ALA194" s="1"/>
      <c r="ALB194" s="1"/>
      <c r="ALC194" s="1"/>
      <c r="ALD194" s="1"/>
      <c r="ALE194" s="1"/>
      <c r="ALF194" s="1"/>
      <c r="ALG194" s="1"/>
      <c r="ALH194" s="1"/>
      <c r="ALI194" s="1"/>
      <c r="ALJ194" s="1"/>
      <c r="ALK194" s="1"/>
      <c r="ALL194" s="1"/>
      <c r="ALM194" s="1"/>
      <c r="ALN194" s="1"/>
      <c r="ALO194" s="1"/>
      <c r="ALP194" s="1"/>
      <c r="ALQ194" s="1"/>
      <c r="ALR194" s="1"/>
      <c r="ALS194" s="1"/>
      <c r="ALT194" s="1"/>
      <c r="ALU194" s="1"/>
      <c r="ALV194" s="1"/>
      <c r="ALW194" s="1"/>
      <c r="ALX194" s="1"/>
      <c r="ALY194" s="1"/>
      <c r="ALZ194" s="1"/>
      <c r="AMA194" s="1"/>
      <c r="AMB194" s="1"/>
      <c r="AMC194" s="1"/>
      <c r="AMD194" s="1"/>
      <c r="AME194" s="1"/>
      <c r="AMF194" s="1"/>
      <c r="AMG194" s="1"/>
      <c r="AMH194" s="1"/>
      <c r="AMI194" s="1"/>
      <c r="AMJ194" s="1"/>
      <c r="AMK194" s="1"/>
      <c r="AML194" s="1"/>
      <c r="AMM194" s="1"/>
      <c r="AMN194" s="1"/>
      <c r="AMO194" s="1"/>
      <c r="AMP194" s="1"/>
    </row>
    <row r="195" spans="1:1030" x14ac:dyDescent="0.2">
      <c r="A195" s="3" t="str">
        <f t="shared" si="669"/>
        <v>oprk_human__wt</v>
      </c>
      <c r="B195" s="3" t="s">
        <v>336</v>
      </c>
      <c r="C195" s="3" t="s">
        <v>100</v>
      </c>
      <c r="D195" s="3" t="str">
        <f>IFERROR(MID(VLOOKUP($B195,Seqs!$A:$B,2,0),E195,1),"")</f>
        <v>A</v>
      </c>
      <c r="E195" s="3">
        <v>57</v>
      </c>
      <c r="F195" s="3" t="str">
        <f>IFERROR(MID(VLOOKUP($B195,Seqs!$A:$B,2,0),G195,1),"")</f>
        <v>Y</v>
      </c>
      <c r="G195" s="3">
        <v>87</v>
      </c>
      <c r="H195" s="3" t="str">
        <f>IFERROR(MID(VLOOKUP($B195,Seqs!$A:$B,2,0),I195,1),"")</f>
        <v>T</v>
      </c>
      <c r="I195" s="23">
        <v>88</v>
      </c>
      <c r="J195" s="3" t="str">
        <f>IFERROR(MID(VLOOKUP($B195,Seqs!$A:$B,2,0),K195,1),"")</f>
        <v>K</v>
      </c>
      <c r="K195" s="23">
        <v>91</v>
      </c>
      <c r="L195" s="3" t="str">
        <f>IFERROR(MID(VLOOKUP($B195,Seqs!$A:$B,2,0),M195,1),"")</f>
        <v>T</v>
      </c>
      <c r="M195" s="3">
        <v>92</v>
      </c>
      <c r="N195" s="3" t="str">
        <f>IFERROR(MID(VLOOKUP($B195,Seqs!$A:$B,2,0),O195,1),"")</f>
        <v>N</v>
      </c>
      <c r="O195" s="105">
        <v>122</v>
      </c>
      <c r="P195" s="3" t="str">
        <f>IFERROR(MID(VLOOKUP($B195,Seqs!$A:$B,2,0),Q195,1),"")</f>
        <v>S</v>
      </c>
      <c r="Q195" s="3">
        <v>123</v>
      </c>
      <c r="R195" s="3" t="str">
        <f>IFERROR(MID(VLOOKUP($B195,Seqs!$A:$B,2,0),S195,1),"")</f>
        <v>F</v>
      </c>
      <c r="S195" s="3">
        <v>126</v>
      </c>
      <c r="T195" s="3" t="str">
        <f>IFERROR(MID(VLOOKUP($B195,Seqs!$A:$B,2,0),U195,1),"")</f>
        <v>G</v>
      </c>
      <c r="U195" s="3">
        <v>127</v>
      </c>
      <c r="V195" s="3" t="str">
        <f>IFERROR(MID(VLOOKUP($B195,Seqs!$A:$B,2,0),W195,1),"")</f>
        <v>H</v>
      </c>
      <c r="W195" s="3">
        <v>162</v>
      </c>
      <c r="X195" s="3" t="str">
        <f>IFERROR(MID(VLOOKUP($B195,Seqs!$A:$B,2,0),Y195,1),"")</f>
        <v>P</v>
      </c>
      <c r="Y195" s="3">
        <v>163</v>
      </c>
      <c r="Z195" s="3" t="str">
        <f>IFERROR(MID(VLOOKUP($B195,Seqs!$A:$B,2,0),AA195,1),"")</f>
        <v>R</v>
      </c>
      <c r="AA195" s="3">
        <v>170</v>
      </c>
      <c r="AB195" s="3" t="str">
        <f>IFERROR(MID(VLOOKUP($B195,Seqs!$A:$B,2,0),AC195,1),"")</f>
        <v>T</v>
      </c>
      <c r="AC195" s="9">
        <v>171</v>
      </c>
      <c r="AD195" s="3" t="str">
        <f>IFERROR(MID(VLOOKUP($B195,Seqs!$A:$B,2,0),AE195,1),"")</f>
        <v>G</v>
      </c>
      <c r="AE195" s="3">
        <v>197</v>
      </c>
      <c r="AF195" s="3" t="str">
        <f>IFERROR(MID(VLOOKUP($B195,Seqs!$A:$B,2,0),AG195,1),"")</f>
        <v>C</v>
      </c>
      <c r="AG195" s="3">
        <v>210</v>
      </c>
      <c r="AH195" s="3" t="str">
        <f>IFERROR(MID(VLOOKUP($B195,Seqs!$A:$B,2,0),AI195,1),"")</f>
        <v>L</v>
      </c>
      <c r="AI195" s="3">
        <v>212</v>
      </c>
      <c r="AJ195" s="3" t="str">
        <f>IFERROR(MID(VLOOKUP($B195,Seqs!$A:$B,2,0),AK195,1),"")</f>
        <v>D</v>
      </c>
      <c r="AK195" s="105">
        <v>218</v>
      </c>
      <c r="AL195" s="3" t="str">
        <f>IFERROR(MID(VLOOKUP($B195,Seqs!$A:$B,2,0),AM195,1),"")</f>
        <v>V</v>
      </c>
      <c r="AM195" s="3">
        <v>256</v>
      </c>
      <c r="AN195" s="3" t="str">
        <f>IFERROR(MID(VLOOKUP($B195,Seqs!$A:$B,2,0),AO195,1),"")</f>
        <v>S</v>
      </c>
      <c r="AO195" s="3">
        <v>262</v>
      </c>
      <c r="AP195" s="3" t="str">
        <f>IFERROR(MID(VLOOKUP($B195,Seqs!$A:$B,2,0),AQ195,1),"")</f>
        <v>G</v>
      </c>
      <c r="AQ195" s="3">
        <v>300</v>
      </c>
      <c r="AR195" s="3" t="str">
        <f>IFERROR(MID(VLOOKUP($B195,Seqs!$A:$B,2,0),AS195,1),"")</f>
        <v>S</v>
      </c>
      <c r="AS195" s="3">
        <v>305</v>
      </c>
      <c r="AT195" s="3" t="str">
        <f>IFERROR(MID(VLOOKUP($B195,Seqs!$A:$B,2,0),AU195,1),"")</f>
        <v>L</v>
      </c>
      <c r="AU195" s="3">
        <v>333</v>
      </c>
      <c r="AV195" s="3" t="str">
        <f>IFERROR(MID(VLOOKUP($B195,Seqs!$A:$B,2,0),AW195,1),"")</f>
        <v>D</v>
      </c>
      <c r="AW195" s="3">
        <v>334</v>
      </c>
      <c r="AX195" s="3" t="str">
        <f>IFERROR(MID(VLOOKUP($B195,Seqs!$A:$B,2,0),AY195,1),"")</f>
        <v>F</v>
      </c>
      <c r="AY195" s="3">
        <v>346</v>
      </c>
      <c r="AZ195" s="77" t="str">
        <f>VLOOKUP(B195,Classification!A:D,2,0)</f>
        <v>A</v>
      </c>
      <c r="BA195" s="94" t="str">
        <f>VLOOKUP(B195,Classification!A:D,4,0)</f>
        <v>Opioid</v>
      </c>
      <c r="BB195" s="27" t="b">
        <f t="shared" si="670"/>
        <v>1</v>
      </c>
      <c r="BC195" s="23">
        <f t="shared" si="643"/>
        <v>264</v>
      </c>
      <c r="BD195" s="56" t="s">
        <v>1379</v>
      </c>
      <c r="BE195" s="3" t="s">
        <v>23</v>
      </c>
      <c r="BF195" s="119" t="s">
        <v>23</v>
      </c>
      <c r="BG195" s="49" t="s">
        <v>1379</v>
      </c>
      <c r="BH195" s="49" t="s">
        <v>1384</v>
      </c>
      <c r="BI195" s="1"/>
      <c r="BJ195" s="70" t="s">
        <v>1293</v>
      </c>
      <c r="BK195" s="57" t="s">
        <v>1293</v>
      </c>
      <c r="BL195" s="57" t="s">
        <v>1293</v>
      </c>
      <c r="BM195" s="57" t="s">
        <v>1293</v>
      </c>
      <c r="BN195" s="57" t="s">
        <v>1293</v>
      </c>
      <c r="BO195" s="57" t="s">
        <v>1293</v>
      </c>
      <c r="BP195" s="57" t="s">
        <v>1293</v>
      </c>
      <c r="BQ195" s="57" t="s">
        <v>1293</v>
      </c>
      <c r="BR195" s="57" t="s">
        <v>1293</v>
      </c>
      <c r="BS195" s="57" t="s">
        <v>1293</v>
      </c>
      <c r="BT195" s="57" t="s">
        <v>1293</v>
      </c>
      <c r="BU195" s="57" t="s">
        <v>1293</v>
      </c>
      <c r="BV195" s="70">
        <f t="shared" si="644"/>
        <v>57</v>
      </c>
      <c r="BW195" s="71">
        <f t="shared" si="645"/>
        <v>88</v>
      </c>
      <c r="BX195" s="72">
        <f t="shared" si="646"/>
        <v>92</v>
      </c>
      <c r="BY195" s="71">
        <f t="shared" si="647"/>
        <v>123</v>
      </c>
      <c r="BZ195" s="72">
        <f t="shared" si="648"/>
        <v>127</v>
      </c>
      <c r="CA195" s="71">
        <f t="shared" si="649"/>
        <v>163</v>
      </c>
      <c r="CB195" s="72">
        <f t="shared" si="650"/>
        <v>171</v>
      </c>
      <c r="CC195" s="71">
        <f t="shared" si="651"/>
        <v>210</v>
      </c>
      <c r="CD195" s="72">
        <f t="shared" si="652"/>
        <v>218</v>
      </c>
      <c r="CE195" s="71">
        <f t="shared" si="653"/>
        <v>262</v>
      </c>
      <c r="CF195" s="72">
        <f t="shared" si="654"/>
        <v>305</v>
      </c>
      <c r="CG195" s="71">
        <f t="shared" si="655"/>
        <v>334</v>
      </c>
      <c r="CH195" s="70">
        <f t="shared" si="656"/>
        <v>87</v>
      </c>
      <c r="CI195" s="71">
        <f t="shared" si="657"/>
        <v>91</v>
      </c>
      <c r="CJ195" s="72">
        <f t="shared" si="658"/>
        <v>122</v>
      </c>
      <c r="CK195" s="72">
        <f t="shared" si="659"/>
        <v>126</v>
      </c>
      <c r="CL195" s="72">
        <f t="shared" si="660"/>
        <v>162</v>
      </c>
      <c r="CM195" s="72">
        <f t="shared" si="661"/>
        <v>170</v>
      </c>
      <c r="CN195" s="72">
        <f t="shared" si="662"/>
        <v>197</v>
      </c>
      <c r="CO195" s="72">
        <f t="shared" si="663"/>
        <v>212</v>
      </c>
      <c r="CP195" s="72">
        <f t="shared" si="664"/>
        <v>256</v>
      </c>
      <c r="CQ195" s="72">
        <f t="shared" si="665"/>
        <v>300</v>
      </c>
      <c r="CR195" s="72">
        <f t="shared" si="666"/>
        <v>333</v>
      </c>
      <c r="CS195" s="72">
        <f t="shared" si="667"/>
        <v>346</v>
      </c>
      <c r="CT195" s="23">
        <f t="shared" si="668"/>
        <v>1</v>
      </c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  <c r="OK195" s="1"/>
      <c r="OL195" s="1"/>
      <c r="OM195" s="1"/>
      <c r="ON195" s="1"/>
      <c r="OO195" s="1"/>
      <c r="OP195" s="1"/>
      <c r="OQ195" s="1"/>
      <c r="OR195" s="1"/>
      <c r="OS195" s="1"/>
      <c r="OT195" s="1"/>
      <c r="OU195" s="1"/>
      <c r="OV195" s="1"/>
      <c r="OW195" s="1"/>
      <c r="OX195" s="1"/>
      <c r="OY195" s="1"/>
      <c r="OZ195" s="1"/>
      <c r="PA195" s="1"/>
      <c r="PB195" s="1"/>
      <c r="PC195" s="1"/>
      <c r="PD195" s="1"/>
      <c r="PE195" s="1"/>
      <c r="PF195" s="1"/>
      <c r="PG195" s="1"/>
      <c r="PH195" s="1"/>
      <c r="PI195" s="1"/>
      <c r="PJ195" s="1"/>
      <c r="PK195" s="1"/>
      <c r="PL195" s="1"/>
      <c r="PM195" s="1"/>
      <c r="PN195" s="1"/>
      <c r="PO195" s="1"/>
      <c r="PP195" s="1"/>
      <c r="PQ195" s="1"/>
      <c r="PR195" s="1"/>
      <c r="PS195" s="1"/>
      <c r="PT195" s="1"/>
      <c r="PU195" s="1"/>
      <c r="PV195" s="1"/>
      <c r="PW195" s="1"/>
      <c r="PX195" s="1"/>
      <c r="PY195" s="1"/>
      <c r="PZ195" s="1"/>
      <c r="QA195" s="1"/>
      <c r="QB195" s="1"/>
      <c r="QC195" s="1"/>
      <c r="QD195" s="1"/>
      <c r="QE195" s="1"/>
      <c r="QF195" s="1"/>
      <c r="QG195" s="1"/>
      <c r="QH195" s="1"/>
      <c r="QI195" s="1"/>
      <c r="QJ195" s="1"/>
      <c r="QK195" s="1"/>
      <c r="QL195" s="1"/>
      <c r="QM195" s="1"/>
      <c r="QN195" s="1"/>
      <c r="QO195" s="1"/>
      <c r="QP195" s="1"/>
      <c r="QQ195" s="1"/>
      <c r="QR195" s="1"/>
      <c r="QS195" s="1"/>
      <c r="QT195" s="1"/>
      <c r="QU195" s="1"/>
      <c r="QV195" s="1"/>
      <c r="QW195" s="1"/>
      <c r="QX195" s="1"/>
      <c r="QY195" s="1"/>
      <c r="QZ195" s="1"/>
      <c r="RA195" s="1"/>
      <c r="RB195" s="1"/>
      <c r="RC195" s="1"/>
      <c r="RD195" s="1"/>
      <c r="RE195" s="1"/>
      <c r="RF195" s="1"/>
      <c r="RG195" s="1"/>
      <c r="RH195" s="1"/>
      <c r="RI195" s="1"/>
      <c r="RJ195" s="1"/>
      <c r="RK195" s="1"/>
      <c r="RL195" s="1"/>
      <c r="RM195" s="1"/>
      <c r="RN195" s="1"/>
      <c r="RO195" s="1"/>
      <c r="RP195" s="1"/>
      <c r="RQ195" s="1"/>
      <c r="RR195" s="1"/>
      <c r="RS195" s="1"/>
      <c r="RT195" s="1"/>
      <c r="RU195" s="1"/>
      <c r="RV195" s="1"/>
      <c r="RW195" s="1"/>
      <c r="RX195" s="1"/>
      <c r="RY195" s="1"/>
      <c r="RZ195" s="1"/>
      <c r="SA195" s="1"/>
      <c r="SB195" s="1"/>
      <c r="SC195" s="1"/>
      <c r="SD195" s="1"/>
      <c r="SE195" s="1"/>
      <c r="SF195" s="1"/>
      <c r="SG195" s="1"/>
      <c r="SH195" s="1"/>
      <c r="SI195" s="1"/>
      <c r="SJ195" s="1"/>
      <c r="SK195" s="1"/>
      <c r="SL195" s="1"/>
      <c r="SM195" s="1"/>
      <c r="SN195" s="1"/>
      <c r="SO195" s="1"/>
      <c r="SP195" s="1"/>
      <c r="SQ195" s="1"/>
      <c r="SR195" s="1"/>
      <c r="SS195" s="1"/>
      <c r="ST195" s="1"/>
      <c r="SU195" s="1"/>
      <c r="SV195" s="1"/>
      <c r="SW195" s="1"/>
      <c r="SX195" s="1"/>
      <c r="SY195" s="1"/>
      <c r="SZ195" s="1"/>
      <c r="TA195" s="1"/>
      <c r="TB195" s="1"/>
      <c r="TC195" s="1"/>
      <c r="TD195" s="1"/>
      <c r="TE195" s="1"/>
      <c r="TF195" s="1"/>
      <c r="TG195" s="1"/>
      <c r="TH195" s="1"/>
      <c r="TI195" s="1"/>
      <c r="TJ195" s="1"/>
      <c r="TK195" s="1"/>
      <c r="TL195" s="1"/>
      <c r="TM195" s="1"/>
      <c r="TN195" s="1"/>
      <c r="TO195" s="1"/>
      <c r="TP195" s="1"/>
      <c r="TQ195" s="1"/>
      <c r="TR195" s="1"/>
      <c r="TS195" s="1"/>
      <c r="TT195" s="1"/>
      <c r="TU195" s="1"/>
      <c r="TV195" s="1"/>
      <c r="TW195" s="1"/>
      <c r="TX195" s="1"/>
      <c r="TY195" s="1"/>
      <c r="TZ195" s="1"/>
      <c r="UA195" s="1"/>
      <c r="UB195" s="1"/>
      <c r="UC195" s="1"/>
      <c r="UD195" s="1"/>
      <c r="UE195" s="1"/>
      <c r="UF195" s="1"/>
      <c r="UG195" s="1"/>
      <c r="UH195" s="1"/>
      <c r="UI195" s="1"/>
      <c r="UJ195" s="1"/>
      <c r="UK195" s="1"/>
      <c r="UL195" s="1"/>
      <c r="UM195" s="1"/>
      <c r="UN195" s="1"/>
      <c r="UO195" s="1"/>
      <c r="UP195" s="1"/>
      <c r="UQ195" s="1"/>
      <c r="UR195" s="1"/>
      <c r="US195" s="1"/>
      <c r="UT195" s="1"/>
      <c r="UU195" s="1"/>
      <c r="UV195" s="1"/>
      <c r="UW195" s="1"/>
      <c r="UX195" s="1"/>
      <c r="UY195" s="1"/>
      <c r="UZ195" s="1"/>
      <c r="VA195" s="1"/>
      <c r="VB195" s="1"/>
      <c r="VC195" s="1"/>
      <c r="VD195" s="1"/>
      <c r="VE195" s="1"/>
      <c r="VF195" s="1"/>
      <c r="VG195" s="1"/>
      <c r="VH195" s="1"/>
      <c r="VI195" s="1"/>
      <c r="VJ195" s="1"/>
      <c r="VK195" s="1"/>
      <c r="VL195" s="1"/>
      <c r="VM195" s="1"/>
      <c r="VN195" s="1"/>
      <c r="VO195" s="1"/>
      <c r="VP195" s="1"/>
      <c r="VQ195" s="1"/>
      <c r="VR195" s="1"/>
      <c r="VS195" s="1"/>
      <c r="VT195" s="1"/>
      <c r="VU195" s="1"/>
      <c r="VV195" s="1"/>
      <c r="VW195" s="1"/>
      <c r="VX195" s="1"/>
      <c r="VY195" s="1"/>
      <c r="VZ195" s="1"/>
      <c r="WA195" s="1"/>
      <c r="WB195" s="1"/>
      <c r="WC195" s="1"/>
      <c r="WD195" s="1"/>
      <c r="WE195" s="1"/>
      <c r="WF195" s="1"/>
      <c r="WG195" s="1"/>
      <c r="WH195" s="1"/>
      <c r="WI195" s="1"/>
      <c r="WJ195" s="1"/>
      <c r="WK195" s="1"/>
      <c r="WL195" s="1"/>
      <c r="WM195" s="1"/>
      <c r="WN195" s="1"/>
      <c r="WO195" s="1"/>
      <c r="WP195" s="1"/>
      <c r="WQ195" s="1"/>
      <c r="WR195" s="1"/>
      <c r="WS195" s="1"/>
      <c r="WT195" s="1"/>
      <c r="WU195" s="1"/>
      <c r="WV195" s="1"/>
      <c r="WW195" s="1"/>
      <c r="WX195" s="1"/>
      <c r="WY195" s="1"/>
      <c r="WZ195" s="1"/>
      <c r="XA195" s="1"/>
      <c r="XB195" s="1"/>
      <c r="XC195" s="1"/>
      <c r="XD195" s="1"/>
      <c r="XE195" s="1"/>
      <c r="XF195" s="1"/>
      <c r="XG195" s="1"/>
      <c r="XH195" s="1"/>
      <c r="XI195" s="1"/>
      <c r="XJ195" s="1"/>
      <c r="XK195" s="1"/>
      <c r="XL195" s="1"/>
      <c r="XM195" s="1"/>
      <c r="XN195" s="1"/>
      <c r="XO195" s="1"/>
      <c r="XP195" s="1"/>
      <c r="XQ195" s="1"/>
      <c r="XR195" s="1"/>
      <c r="XS195" s="1"/>
      <c r="XT195" s="1"/>
      <c r="XU195" s="1"/>
      <c r="XV195" s="1"/>
      <c r="XW195" s="1"/>
      <c r="XX195" s="1"/>
      <c r="XY195" s="1"/>
      <c r="XZ195" s="1"/>
      <c r="YA195" s="1"/>
      <c r="YB195" s="1"/>
      <c r="YC195" s="1"/>
      <c r="YD195" s="1"/>
      <c r="YE195" s="1"/>
      <c r="YF195" s="1"/>
      <c r="YG195" s="1"/>
      <c r="YH195" s="1"/>
      <c r="YI195" s="1"/>
      <c r="YJ195" s="1"/>
      <c r="YK195" s="1"/>
      <c r="YL195" s="1"/>
      <c r="YM195" s="1"/>
      <c r="YN195" s="1"/>
      <c r="YO195" s="1"/>
      <c r="YP195" s="1"/>
      <c r="YQ195" s="1"/>
      <c r="YR195" s="1"/>
      <c r="YS195" s="1"/>
      <c r="YT195" s="1"/>
      <c r="YU195" s="1"/>
      <c r="YV195" s="1"/>
      <c r="YW195" s="1"/>
      <c r="YX195" s="1"/>
      <c r="YY195" s="1"/>
      <c r="YZ195" s="1"/>
      <c r="ZA195" s="1"/>
      <c r="ZB195" s="1"/>
      <c r="ZC195" s="1"/>
      <c r="ZD195" s="1"/>
      <c r="ZE195" s="1"/>
      <c r="ZF195" s="1"/>
      <c r="ZG195" s="1"/>
      <c r="ZH195" s="1"/>
      <c r="ZI195" s="1"/>
      <c r="ZJ195" s="1"/>
      <c r="ZK195" s="1"/>
      <c r="ZL195" s="1"/>
      <c r="ZM195" s="1"/>
      <c r="ZN195" s="1"/>
      <c r="ZO195" s="1"/>
      <c r="ZP195" s="1"/>
      <c r="ZQ195" s="1"/>
      <c r="ZR195" s="1"/>
      <c r="ZS195" s="1"/>
      <c r="ZT195" s="1"/>
      <c r="ZU195" s="1"/>
      <c r="ZV195" s="1"/>
      <c r="ZW195" s="1"/>
      <c r="ZX195" s="1"/>
      <c r="ZY195" s="1"/>
      <c r="ZZ195" s="1"/>
      <c r="AAA195" s="1"/>
      <c r="AAB195" s="1"/>
      <c r="AAC195" s="1"/>
      <c r="AAD195" s="1"/>
      <c r="AAE195" s="1"/>
      <c r="AAF195" s="1"/>
      <c r="AAG195" s="1"/>
      <c r="AAH195" s="1"/>
      <c r="AAI195" s="1"/>
      <c r="AAJ195" s="1"/>
      <c r="AAK195" s="1"/>
      <c r="AAL195" s="1"/>
      <c r="AAM195" s="1"/>
      <c r="AAN195" s="1"/>
      <c r="AAO195" s="1"/>
      <c r="AAP195" s="1"/>
      <c r="AAQ195" s="1"/>
      <c r="AAR195" s="1"/>
      <c r="AAS195" s="1"/>
      <c r="AAT195" s="1"/>
      <c r="AAU195" s="1"/>
      <c r="AAV195" s="1"/>
      <c r="AAW195" s="1"/>
      <c r="AAX195" s="1"/>
      <c r="AAY195" s="1"/>
      <c r="AAZ195" s="1"/>
      <c r="ABA195" s="1"/>
      <c r="ABB195" s="1"/>
      <c r="ABC195" s="1"/>
      <c r="ABD195" s="1"/>
      <c r="ABE195" s="1"/>
      <c r="ABF195" s="1"/>
      <c r="ABG195" s="1"/>
      <c r="ABH195" s="1"/>
      <c r="ABI195" s="1"/>
      <c r="ABJ195" s="1"/>
      <c r="ABK195" s="1"/>
      <c r="ABL195" s="1"/>
      <c r="ABM195" s="1"/>
      <c r="ABN195" s="1"/>
      <c r="ABO195" s="1"/>
      <c r="ABP195" s="1"/>
      <c r="ABQ195" s="1"/>
      <c r="ABR195" s="1"/>
      <c r="ABS195" s="1"/>
      <c r="ABT195" s="1"/>
      <c r="ABU195" s="1"/>
      <c r="ABV195" s="1"/>
      <c r="ABW195" s="1"/>
      <c r="ABX195" s="1"/>
      <c r="ABY195" s="1"/>
      <c r="ABZ195" s="1"/>
      <c r="ACA195" s="1"/>
      <c r="ACB195" s="1"/>
      <c r="ACC195" s="1"/>
      <c r="ACD195" s="1"/>
      <c r="ACE195" s="1"/>
      <c r="ACF195" s="1"/>
      <c r="ACG195" s="1"/>
      <c r="ACH195" s="1"/>
      <c r="ACI195" s="1"/>
      <c r="ACJ195" s="1"/>
      <c r="ACK195" s="1"/>
      <c r="ACL195" s="1"/>
      <c r="ACM195" s="1"/>
      <c r="ACN195" s="1"/>
      <c r="ACO195" s="1"/>
      <c r="ACP195" s="1"/>
      <c r="ACQ195" s="1"/>
      <c r="ACR195" s="1"/>
      <c r="ACS195" s="1"/>
      <c r="ACT195" s="1"/>
      <c r="ACU195" s="1"/>
      <c r="ACV195" s="1"/>
      <c r="ACW195" s="1"/>
      <c r="ACX195" s="1"/>
      <c r="ACY195" s="1"/>
      <c r="ACZ195" s="1"/>
      <c r="ADA195" s="1"/>
      <c r="ADB195" s="1"/>
      <c r="ADC195" s="1"/>
      <c r="ADD195" s="1"/>
      <c r="ADE195" s="1"/>
      <c r="ADF195" s="1"/>
      <c r="ADG195" s="1"/>
      <c r="ADH195" s="1"/>
      <c r="ADI195" s="1"/>
      <c r="ADJ195" s="1"/>
      <c r="ADK195" s="1"/>
      <c r="ADL195" s="1"/>
      <c r="ADM195" s="1"/>
      <c r="ADN195" s="1"/>
      <c r="ADO195" s="1"/>
      <c r="ADP195" s="1"/>
      <c r="ADQ195" s="1"/>
      <c r="ADR195" s="1"/>
      <c r="ADS195" s="1"/>
      <c r="ADT195" s="1"/>
      <c r="ADU195" s="1"/>
      <c r="ADV195" s="1"/>
      <c r="ADW195" s="1"/>
      <c r="ADX195" s="1"/>
      <c r="ADY195" s="1"/>
      <c r="ADZ195" s="1"/>
      <c r="AEA195" s="1"/>
      <c r="AEB195" s="1"/>
      <c r="AEC195" s="1"/>
      <c r="AED195" s="1"/>
      <c r="AEE195" s="1"/>
      <c r="AEF195" s="1"/>
      <c r="AEG195" s="1"/>
      <c r="AEH195" s="1"/>
      <c r="AEI195" s="1"/>
      <c r="AEJ195" s="1"/>
      <c r="AEK195" s="1"/>
      <c r="AEL195" s="1"/>
      <c r="AEM195" s="1"/>
      <c r="AEN195" s="1"/>
      <c r="AEO195" s="1"/>
      <c r="AEP195" s="1"/>
      <c r="AEQ195" s="1"/>
      <c r="AER195" s="1"/>
      <c r="AES195" s="1"/>
      <c r="AET195" s="1"/>
      <c r="AEU195" s="1"/>
      <c r="AEV195" s="1"/>
      <c r="AEW195" s="1"/>
      <c r="AEX195" s="1"/>
      <c r="AEY195" s="1"/>
      <c r="AEZ195" s="1"/>
      <c r="AFA195" s="1"/>
      <c r="AFB195" s="1"/>
      <c r="AFC195" s="1"/>
      <c r="AFD195" s="1"/>
      <c r="AFE195" s="1"/>
      <c r="AFF195" s="1"/>
      <c r="AFG195" s="1"/>
      <c r="AFH195" s="1"/>
      <c r="AFI195" s="1"/>
      <c r="AFJ195" s="1"/>
      <c r="AFK195" s="1"/>
      <c r="AFL195" s="1"/>
      <c r="AFM195" s="1"/>
      <c r="AFN195" s="1"/>
      <c r="AFO195" s="1"/>
      <c r="AFP195" s="1"/>
      <c r="AFQ195" s="1"/>
      <c r="AFR195" s="1"/>
      <c r="AFS195" s="1"/>
      <c r="AFT195" s="1"/>
      <c r="AFU195" s="1"/>
      <c r="AFV195" s="1"/>
      <c r="AFW195" s="1"/>
      <c r="AFX195" s="1"/>
      <c r="AFY195" s="1"/>
      <c r="AFZ195" s="1"/>
      <c r="AGA195" s="1"/>
      <c r="AGB195" s="1"/>
      <c r="AGC195" s="1"/>
      <c r="AGD195" s="1"/>
      <c r="AGE195" s="1"/>
      <c r="AGF195" s="1"/>
      <c r="AGG195" s="1"/>
      <c r="AGH195" s="1"/>
      <c r="AGI195" s="1"/>
      <c r="AGJ195" s="1"/>
      <c r="AGK195" s="1"/>
      <c r="AGL195" s="1"/>
      <c r="AGM195" s="1"/>
      <c r="AGN195" s="1"/>
      <c r="AGO195" s="1"/>
      <c r="AGP195" s="1"/>
      <c r="AGQ195" s="1"/>
      <c r="AGR195" s="1"/>
      <c r="AGS195" s="1"/>
      <c r="AGT195" s="1"/>
      <c r="AGU195" s="1"/>
      <c r="AGV195" s="1"/>
      <c r="AGW195" s="1"/>
      <c r="AGX195" s="1"/>
      <c r="AGY195" s="1"/>
      <c r="AGZ195" s="1"/>
      <c r="AHA195" s="1"/>
      <c r="AHB195" s="1"/>
      <c r="AHC195" s="1"/>
      <c r="AHD195" s="1"/>
      <c r="AHE195" s="1"/>
      <c r="AHF195" s="1"/>
      <c r="AHG195" s="1"/>
      <c r="AHH195" s="1"/>
      <c r="AHI195" s="1"/>
      <c r="AHJ195" s="1"/>
      <c r="AHK195" s="1"/>
      <c r="AHL195" s="1"/>
      <c r="AHM195" s="1"/>
      <c r="AHN195" s="1"/>
      <c r="AHO195" s="1"/>
      <c r="AHP195" s="1"/>
      <c r="AHQ195" s="1"/>
      <c r="AHR195" s="1"/>
      <c r="AHS195" s="1"/>
      <c r="AHT195" s="1"/>
      <c r="AHU195" s="1"/>
      <c r="AHV195" s="1"/>
      <c r="AHW195" s="1"/>
      <c r="AHX195" s="1"/>
      <c r="AHY195" s="1"/>
      <c r="AHZ195" s="1"/>
      <c r="AIA195" s="1"/>
      <c r="AIB195" s="1"/>
      <c r="AIC195" s="1"/>
      <c r="AID195" s="1"/>
      <c r="AIE195" s="1"/>
      <c r="AIF195" s="1"/>
      <c r="AIG195" s="1"/>
      <c r="AIH195" s="1"/>
      <c r="AII195" s="1"/>
      <c r="AIJ195" s="1"/>
      <c r="AIK195" s="1"/>
      <c r="AIL195" s="1"/>
      <c r="AIM195" s="1"/>
      <c r="AIN195" s="1"/>
      <c r="AIO195" s="1"/>
      <c r="AIP195" s="1"/>
      <c r="AIQ195" s="1"/>
      <c r="AIR195" s="1"/>
      <c r="AIS195" s="1"/>
      <c r="AIT195" s="1"/>
      <c r="AIU195" s="1"/>
      <c r="AIV195" s="1"/>
      <c r="AIW195" s="1"/>
      <c r="AIX195" s="1"/>
      <c r="AIY195" s="1"/>
      <c r="AIZ195" s="1"/>
      <c r="AJA195" s="1"/>
      <c r="AJB195" s="1"/>
      <c r="AJC195" s="1"/>
      <c r="AJD195" s="1"/>
      <c r="AJE195" s="1"/>
      <c r="AJF195" s="1"/>
      <c r="AJG195" s="1"/>
      <c r="AJH195" s="1"/>
      <c r="AJI195" s="1"/>
      <c r="AJJ195" s="1"/>
      <c r="AJK195" s="1"/>
      <c r="AJL195" s="1"/>
      <c r="AJM195" s="1"/>
      <c r="AJN195" s="1"/>
      <c r="AJO195" s="1"/>
      <c r="AJP195" s="1"/>
      <c r="AJQ195" s="1"/>
      <c r="AJR195" s="1"/>
      <c r="AJS195" s="1"/>
      <c r="AJT195" s="1"/>
      <c r="AJU195" s="1"/>
      <c r="AJV195" s="1"/>
      <c r="AJW195" s="1"/>
      <c r="AJX195" s="1"/>
      <c r="AJY195" s="1"/>
      <c r="AJZ195" s="1"/>
      <c r="AKA195" s="1"/>
      <c r="AKB195" s="1"/>
      <c r="AKC195" s="1"/>
      <c r="AKD195" s="1"/>
      <c r="AKE195" s="1"/>
      <c r="AKF195" s="1"/>
      <c r="AKG195" s="1"/>
      <c r="AKH195" s="1"/>
      <c r="AKI195" s="1"/>
      <c r="AKJ195" s="1"/>
      <c r="AKK195" s="1"/>
      <c r="AKL195" s="1"/>
      <c r="AKM195" s="1"/>
      <c r="AKN195" s="1"/>
      <c r="AKO195" s="1"/>
      <c r="AKP195" s="1"/>
      <c r="AKQ195" s="1"/>
      <c r="AKR195" s="1"/>
      <c r="AKS195" s="1"/>
      <c r="AKT195" s="1"/>
      <c r="AKU195" s="1"/>
      <c r="AKV195" s="1"/>
      <c r="AKW195" s="1"/>
      <c r="AKX195" s="1"/>
      <c r="AKY195" s="1"/>
      <c r="AKZ195" s="1"/>
      <c r="ALA195" s="1"/>
      <c r="ALB195" s="1"/>
      <c r="ALC195" s="1"/>
      <c r="ALD195" s="1"/>
      <c r="ALE195" s="1"/>
      <c r="ALF195" s="1"/>
      <c r="ALG195" s="1"/>
      <c r="ALH195" s="1"/>
      <c r="ALI195" s="1"/>
      <c r="ALJ195" s="1"/>
      <c r="ALK195" s="1"/>
      <c r="ALL195" s="1"/>
      <c r="ALM195" s="1"/>
      <c r="ALN195" s="1"/>
      <c r="ALO195" s="1"/>
      <c r="ALP195" s="1"/>
      <c r="ALQ195" s="1"/>
      <c r="ALR195" s="1"/>
      <c r="ALS195" s="1"/>
      <c r="ALT195" s="1"/>
      <c r="ALU195" s="1"/>
      <c r="ALV195" s="1"/>
      <c r="ALW195" s="1"/>
      <c r="ALX195" s="1"/>
      <c r="ALY195" s="1"/>
      <c r="ALZ195" s="1"/>
      <c r="AMA195" s="1"/>
      <c r="AMB195" s="1"/>
      <c r="AMC195" s="1"/>
      <c r="AMD195" s="1"/>
      <c r="AME195" s="1"/>
      <c r="AMF195" s="1"/>
      <c r="AMG195" s="1"/>
      <c r="AMH195" s="1"/>
      <c r="AMI195" s="1"/>
      <c r="AMJ195" s="1"/>
      <c r="AMK195" s="1"/>
      <c r="AML195" s="1"/>
      <c r="AMM195" s="1"/>
      <c r="AMN195" s="1"/>
      <c r="AMO195" s="1"/>
    </row>
    <row r="196" spans="1:1030" x14ac:dyDescent="0.2">
      <c r="A196" s="3" t="str">
        <f t="shared" si="669"/>
        <v>oprk_human_4DJH</v>
      </c>
      <c r="B196" s="3" t="s">
        <v>336</v>
      </c>
      <c r="C196" s="3" t="s">
        <v>88</v>
      </c>
      <c r="D196" s="3" t="str">
        <f>IFERROR(MID(VLOOKUP($B196,Seqs!$A:$B,2,0),E196,1),"")</f>
        <v>A</v>
      </c>
      <c r="E196" s="3">
        <v>57</v>
      </c>
      <c r="F196" s="3" t="str">
        <f>IFERROR(MID(VLOOKUP($B196,Seqs!$A:$B,2,0),G196,1),"")</f>
        <v>Y</v>
      </c>
      <c r="G196" s="3">
        <v>87</v>
      </c>
      <c r="H196" s="3" t="str">
        <f>IFERROR(MID(VLOOKUP($B196,Seqs!$A:$B,2,0),I196,1),"")</f>
        <v>T</v>
      </c>
      <c r="I196" s="23">
        <v>88</v>
      </c>
      <c r="J196" s="3" t="str">
        <f>IFERROR(MID(VLOOKUP($B196,Seqs!$A:$B,2,0),K196,1),"")</f>
        <v>K</v>
      </c>
      <c r="K196" s="23">
        <v>91</v>
      </c>
      <c r="L196" s="3" t="str">
        <f>IFERROR(MID(VLOOKUP($B196,Seqs!$A:$B,2,0),M196,1),"")</f>
        <v>T</v>
      </c>
      <c r="M196" s="3">
        <v>92</v>
      </c>
      <c r="N196" s="3" t="str">
        <f>IFERROR(MID(VLOOKUP($B196,Seqs!$A:$B,2,0),O196,1),"")</f>
        <v>N</v>
      </c>
      <c r="O196" s="3">
        <v>122</v>
      </c>
      <c r="P196" s="3" t="str">
        <f>IFERROR(MID(VLOOKUP($B196,Seqs!$A:$B,2,0),Q196,1),"")</f>
        <v>S</v>
      </c>
      <c r="Q196" s="3">
        <v>123</v>
      </c>
      <c r="R196" s="3" t="str">
        <f>IFERROR(MID(VLOOKUP($B196,Seqs!$A:$B,2,0),S196,1),"")</f>
        <v>F</v>
      </c>
      <c r="S196" s="3">
        <v>126</v>
      </c>
      <c r="T196" s="3" t="str">
        <f>IFERROR(MID(VLOOKUP($B196,Seqs!$A:$B,2,0),U196,1),"")</f>
        <v>G</v>
      </c>
      <c r="U196" s="3">
        <v>127</v>
      </c>
      <c r="V196" s="3" t="str">
        <f>IFERROR(MID(VLOOKUP($B196,Seqs!$A:$B,2,0),W196,1),"")</f>
        <v>H</v>
      </c>
      <c r="W196" s="3">
        <v>162</v>
      </c>
      <c r="X196" s="3" t="str">
        <f>IFERROR(MID(VLOOKUP($B196,Seqs!$A:$B,2,0),Y196,1),"")</f>
        <v/>
      </c>
      <c r="Y196" s="3" t="s">
        <v>23</v>
      </c>
      <c r="Z196" s="3" t="str">
        <f>IFERROR(MID(VLOOKUP($B196,Seqs!$A:$B,2,0),AA196,1),"")</f>
        <v/>
      </c>
      <c r="AA196" s="3" t="s">
        <v>23</v>
      </c>
      <c r="AB196" s="3" t="str">
        <f>IFERROR(MID(VLOOKUP($B196,Seqs!$A:$B,2,0),AC196,1),"")</f>
        <v>R</v>
      </c>
      <c r="AC196" s="9">
        <v>170</v>
      </c>
      <c r="AD196" s="3" t="str">
        <f>IFERROR(MID(VLOOKUP($B196,Seqs!$A:$B,2,0),AE196,1),"")</f>
        <v>G</v>
      </c>
      <c r="AE196" s="3">
        <v>197</v>
      </c>
      <c r="AF196" s="3" t="str">
        <f>IFERROR(MID(VLOOKUP($B196,Seqs!$A:$B,2,0),AG196,1),"")</f>
        <v>C</v>
      </c>
      <c r="AG196" s="3">
        <v>210</v>
      </c>
      <c r="AH196" s="3" t="str">
        <f>IFERROR(MID(VLOOKUP($B196,Seqs!$A:$B,2,0),AI196,1),"")</f>
        <v>L</v>
      </c>
      <c r="AI196" s="3">
        <v>212</v>
      </c>
      <c r="AJ196" s="3" t="str">
        <f>IFERROR(MID(VLOOKUP($B196,Seqs!$A:$B,2,0),AK196,1),"")</f>
        <v>D</v>
      </c>
      <c r="AK196" s="3">
        <v>218</v>
      </c>
      <c r="AL196" s="3" t="str">
        <f>IFERROR(MID(VLOOKUP($B196,Seqs!$A:$B,2,0),AM196,1),"")</f>
        <v>V</v>
      </c>
      <c r="AM196" s="3">
        <v>256</v>
      </c>
      <c r="AN196" s="3" t="str">
        <f>IFERROR(MID(VLOOKUP($B196,Seqs!$A:$B,2,0),AO196,1),"")</f>
        <v>R</v>
      </c>
      <c r="AO196" s="3">
        <v>267</v>
      </c>
      <c r="AP196" s="3" t="str">
        <f>IFERROR(MID(VLOOKUP($B196,Seqs!$A:$B,2,0),AQ196,1),"")</f>
        <v>G</v>
      </c>
      <c r="AQ196" s="3">
        <v>300</v>
      </c>
      <c r="AR196" s="3" t="str">
        <f>IFERROR(MID(VLOOKUP($B196,Seqs!$A:$B,2,0),AS196,1),"")</f>
        <v>A</v>
      </c>
      <c r="AS196" s="3">
        <v>308</v>
      </c>
      <c r="AT196" s="3" t="str">
        <f>IFERROR(MID(VLOOKUP($B196,Seqs!$A:$B,2,0),AU196,1),"")</f>
        <v>L</v>
      </c>
      <c r="AU196" s="3">
        <v>333</v>
      </c>
      <c r="AV196" s="3" t="str">
        <f>IFERROR(MID(VLOOKUP($B196,Seqs!$A:$B,2,0),AW196,1),"")</f>
        <v>D</v>
      </c>
      <c r="AW196" s="3">
        <v>334</v>
      </c>
      <c r="AX196" s="3" t="str">
        <f>IFERROR(MID(VLOOKUP($B196,Seqs!$A:$B,2,0),AY196,1),"")</f>
        <v>F</v>
      </c>
      <c r="AY196" s="3">
        <v>346</v>
      </c>
      <c r="AZ196" s="77" t="str">
        <f>VLOOKUP(B196,Classification!A:D,2,0)</f>
        <v>A</v>
      </c>
      <c r="BA196" s="94" t="str">
        <f>VLOOKUP(B196,Classification!A:D,4,0)</f>
        <v>Opioid</v>
      </c>
      <c r="BB196" s="27" t="b">
        <f t="shared" si="670"/>
        <v>1</v>
      </c>
      <c r="BC196" s="23">
        <f t="shared" si="643"/>
        <v>250</v>
      </c>
      <c r="BD196" s="2" t="s">
        <v>1383</v>
      </c>
      <c r="BE196" s="3" t="s">
        <v>1381</v>
      </c>
      <c r="BF196" s="119">
        <v>2.9</v>
      </c>
      <c r="BG196" s="49" t="s">
        <v>1384</v>
      </c>
      <c r="BH196" s="49" t="s">
        <v>1384</v>
      </c>
      <c r="BI196" s="1"/>
      <c r="BJ196" s="70" t="s">
        <v>1293</v>
      </c>
      <c r="BK196" s="57" t="s">
        <v>1293</v>
      </c>
      <c r="BL196" s="57" t="s">
        <v>1293</v>
      </c>
      <c r="BM196" s="57" t="s">
        <v>1293</v>
      </c>
      <c r="BN196" s="57" t="s">
        <v>1293</v>
      </c>
      <c r="BO196" s="57" t="s">
        <v>1293</v>
      </c>
      <c r="BP196" s="57" t="s">
        <v>1293</v>
      </c>
      <c r="BQ196" s="57" t="s">
        <v>1293</v>
      </c>
      <c r="BR196" s="57" t="s">
        <v>1293</v>
      </c>
      <c r="BS196" s="57" t="s">
        <v>1293</v>
      </c>
      <c r="BT196" s="57" t="s">
        <v>1293</v>
      </c>
      <c r="BU196" s="57" t="s">
        <v>1293</v>
      </c>
      <c r="BV196" s="70">
        <f t="shared" si="644"/>
        <v>57</v>
      </c>
      <c r="BW196" s="71">
        <f t="shared" si="645"/>
        <v>88</v>
      </c>
      <c r="BX196" s="72">
        <f t="shared" si="646"/>
        <v>92</v>
      </c>
      <c r="BY196" s="71">
        <f t="shared" si="647"/>
        <v>123</v>
      </c>
      <c r="BZ196" s="72">
        <f t="shared" si="648"/>
        <v>127</v>
      </c>
      <c r="CA196" s="71" t="str">
        <f t="shared" si="649"/>
        <v>-</v>
      </c>
      <c r="CB196" s="72">
        <f t="shared" si="650"/>
        <v>170</v>
      </c>
      <c r="CC196" s="71">
        <f t="shared" si="651"/>
        <v>210</v>
      </c>
      <c r="CD196" s="72">
        <f t="shared" si="652"/>
        <v>218</v>
      </c>
      <c r="CE196" s="71">
        <f t="shared" si="653"/>
        <v>267</v>
      </c>
      <c r="CF196" s="72">
        <f t="shared" si="654"/>
        <v>308</v>
      </c>
      <c r="CG196" s="71">
        <f t="shared" si="655"/>
        <v>334</v>
      </c>
      <c r="CH196" s="70">
        <f t="shared" si="656"/>
        <v>87</v>
      </c>
      <c r="CI196" s="71">
        <f t="shared" si="657"/>
        <v>91</v>
      </c>
      <c r="CJ196" s="72">
        <f t="shared" si="658"/>
        <v>122</v>
      </c>
      <c r="CK196" s="72">
        <f t="shared" si="659"/>
        <v>126</v>
      </c>
      <c r="CL196" s="72">
        <f t="shared" si="660"/>
        <v>162</v>
      </c>
      <c r="CM196" s="72" t="str">
        <f t="shared" si="661"/>
        <v>-</v>
      </c>
      <c r="CN196" s="72">
        <f t="shared" si="662"/>
        <v>197</v>
      </c>
      <c r="CO196" s="72">
        <f t="shared" si="663"/>
        <v>212</v>
      </c>
      <c r="CP196" s="72">
        <f t="shared" si="664"/>
        <v>256</v>
      </c>
      <c r="CQ196" s="72">
        <f t="shared" si="665"/>
        <v>300</v>
      </c>
      <c r="CR196" s="72">
        <f t="shared" si="666"/>
        <v>333</v>
      </c>
      <c r="CS196" s="72">
        <f t="shared" si="667"/>
        <v>346</v>
      </c>
      <c r="CT196" s="23">
        <f t="shared" si="668"/>
        <v>1</v>
      </c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  <c r="OK196" s="1"/>
      <c r="OL196" s="1"/>
      <c r="OM196" s="1"/>
      <c r="ON196" s="1"/>
      <c r="OO196" s="1"/>
      <c r="OP196" s="1"/>
      <c r="OQ196" s="1"/>
      <c r="OR196" s="1"/>
      <c r="OS196" s="1"/>
      <c r="OT196" s="1"/>
      <c r="OU196" s="1"/>
      <c r="OV196" s="1"/>
      <c r="OW196" s="1"/>
      <c r="OX196" s="1"/>
      <c r="OY196" s="1"/>
      <c r="OZ196" s="1"/>
      <c r="PA196" s="1"/>
      <c r="PB196" s="1"/>
      <c r="PC196" s="1"/>
      <c r="PD196" s="1"/>
      <c r="PE196" s="1"/>
      <c r="PF196" s="1"/>
      <c r="PG196" s="1"/>
      <c r="PH196" s="1"/>
      <c r="PI196" s="1"/>
      <c r="PJ196" s="1"/>
      <c r="PK196" s="1"/>
      <c r="PL196" s="1"/>
      <c r="PM196" s="1"/>
      <c r="PN196" s="1"/>
      <c r="PO196" s="1"/>
      <c r="PP196" s="1"/>
      <c r="PQ196" s="1"/>
      <c r="PR196" s="1"/>
      <c r="PS196" s="1"/>
      <c r="PT196" s="1"/>
      <c r="PU196" s="1"/>
      <c r="PV196" s="1"/>
      <c r="PW196" s="1"/>
      <c r="PX196" s="1"/>
      <c r="PY196" s="1"/>
      <c r="PZ196" s="1"/>
      <c r="QA196" s="1"/>
      <c r="QB196" s="1"/>
      <c r="QC196" s="1"/>
      <c r="QD196" s="1"/>
      <c r="QE196" s="1"/>
      <c r="QF196" s="1"/>
      <c r="QG196" s="1"/>
      <c r="QH196" s="1"/>
      <c r="QI196" s="1"/>
      <c r="QJ196" s="1"/>
      <c r="QK196" s="1"/>
      <c r="QL196" s="1"/>
      <c r="QM196" s="1"/>
      <c r="QN196" s="1"/>
      <c r="QO196" s="1"/>
      <c r="QP196" s="1"/>
      <c r="QQ196" s="1"/>
      <c r="QR196" s="1"/>
      <c r="QS196" s="1"/>
      <c r="QT196" s="1"/>
      <c r="QU196" s="1"/>
      <c r="QV196" s="1"/>
      <c r="QW196" s="1"/>
      <c r="QX196" s="1"/>
      <c r="QY196" s="1"/>
      <c r="QZ196" s="1"/>
      <c r="RA196" s="1"/>
      <c r="RB196" s="1"/>
      <c r="RC196" s="1"/>
      <c r="RD196" s="1"/>
      <c r="RE196" s="1"/>
      <c r="RF196" s="1"/>
      <c r="RG196" s="1"/>
      <c r="RH196" s="1"/>
      <c r="RI196" s="1"/>
      <c r="RJ196" s="1"/>
      <c r="RK196" s="1"/>
      <c r="RL196" s="1"/>
      <c r="RM196" s="1"/>
      <c r="RN196" s="1"/>
      <c r="RO196" s="1"/>
      <c r="RP196" s="1"/>
      <c r="RQ196" s="1"/>
      <c r="RR196" s="1"/>
      <c r="RS196" s="1"/>
      <c r="RT196" s="1"/>
      <c r="RU196" s="1"/>
      <c r="RV196" s="1"/>
      <c r="RW196" s="1"/>
      <c r="RX196" s="1"/>
      <c r="RY196" s="1"/>
      <c r="RZ196" s="1"/>
      <c r="SA196" s="1"/>
      <c r="SB196" s="1"/>
      <c r="SC196" s="1"/>
      <c r="SD196" s="1"/>
      <c r="SE196" s="1"/>
      <c r="SF196" s="1"/>
      <c r="SG196" s="1"/>
      <c r="SH196" s="1"/>
      <c r="SI196" s="1"/>
      <c r="SJ196" s="1"/>
      <c r="SK196" s="1"/>
      <c r="SL196" s="1"/>
      <c r="SM196" s="1"/>
      <c r="SN196" s="1"/>
      <c r="SO196" s="1"/>
      <c r="SP196" s="1"/>
      <c r="SQ196" s="1"/>
      <c r="SR196" s="1"/>
      <c r="SS196" s="1"/>
      <c r="ST196" s="1"/>
      <c r="SU196" s="1"/>
      <c r="SV196" s="1"/>
      <c r="SW196" s="1"/>
      <c r="SX196" s="1"/>
      <c r="SY196" s="1"/>
      <c r="SZ196" s="1"/>
      <c r="TA196" s="1"/>
      <c r="TB196" s="1"/>
      <c r="TC196" s="1"/>
      <c r="TD196" s="1"/>
      <c r="TE196" s="1"/>
      <c r="TF196" s="1"/>
      <c r="TG196" s="1"/>
      <c r="TH196" s="1"/>
      <c r="TI196" s="1"/>
      <c r="TJ196" s="1"/>
      <c r="TK196" s="1"/>
      <c r="TL196" s="1"/>
      <c r="TM196" s="1"/>
      <c r="TN196" s="1"/>
      <c r="TO196" s="1"/>
      <c r="TP196" s="1"/>
      <c r="TQ196" s="1"/>
      <c r="TR196" s="1"/>
      <c r="TS196" s="1"/>
      <c r="TT196" s="1"/>
      <c r="TU196" s="1"/>
      <c r="TV196" s="1"/>
      <c r="TW196" s="1"/>
      <c r="TX196" s="1"/>
      <c r="TY196" s="1"/>
      <c r="TZ196" s="1"/>
      <c r="UA196" s="1"/>
      <c r="UB196" s="1"/>
      <c r="UC196" s="1"/>
      <c r="UD196" s="1"/>
      <c r="UE196" s="1"/>
      <c r="UF196" s="1"/>
      <c r="UG196" s="1"/>
      <c r="UH196" s="1"/>
      <c r="UI196" s="1"/>
      <c r="UJ196" s="1"/>
      <c r="UK196" s="1"/>
      <c r="UL196" s="1"/>
      <c r="UM196" s="1"/>
      <c r="UN196" s="1"/>
      <c r="UO196" s="1"/>
      <c r="UP196" s="1"/>
      <c r="UQ196" s="1"/>
      <c r="UR196" s="1"/>
      <c r="US196" s="1"/>
      <c r="UT196" s="1"/>
      <c r="UU196" s="1"/>
      <c r="UV196" s="1"/>
      <c r="UW196" s="1"/>
      <c r="UX196" s="1"/>
      <c r="UY196" s="1"/>
      <c r="UZ196" s="1"/>
      <c r="VA196" s="1"/>
      <c r="VB196" s="1"/>
      <c r="VC196" s="1"/>
      <c r="VD196" s="1"/>
      <c r="VE196" s="1"/>
      <c r="VF196" s="1"/>
      <c r="VG196" s="1"/>
      <c r="VH196" s="1"/>
      <c r="VI196" s="1"/>
      <c r="VJ196" s="1"/>
      <c r="VK196" s="1"/>
      <c r="VL196" s="1"/>
      <c r="VM196" s="1"/>
      <c r="VN196" s="1"/>
      <c r="VO196" s="1"/>
      <c r="VP196" s="1"/>
      <c r="VQ196" s="1"/>
      <c r="VR196" s="1"/>
      <c r="VS196" s="1"/>
      <c r="VT196" s="1"/>
      <c r="VU196" s="1"/>
      <c r="VV196" s="1"/>
      <c r="VW196" s="1"/>
      <c r="VX196" s="1"/>
      <c r="VY196" s="1"/>
      <c r="VZ196" s="1"/>
      <c r="WA196" s="1"/>
      <c r="WB196" s="1"/>
      <c r="WC196" s="1"/>
      <c r="WD196" s="1"/>
      <c r="WE196" s="1"/>
      <c r="WF196" s="1"/>
      <c r="WG196" s="1"/>
      <c r="WH196" s="1"/>
      <c r="WI196" s="1"/>
      <c r="WJ196" s="1"/>
      <c r="WK196" s="1"/>
      <c r="WL196" s="1"/>
      <c r="WM196" s="1"/>
      <c r="WN196" s="1"/>
      <c r="WO196" s="1"/>
      <c r="WP196" s="1"/>
      <c r="WQ196" s="1"/>
      <c r="WR196" s="1"/>
      <c r="WS196" s="1"/>
      <c r="WT196" s="1"/>
      <c r="WU196" s="1"/>
      <c r="WV196" s="1"/>
      <c r="WW196" s="1"/>
      <c r="WX196" s="1"/>
      <c r="WY196" s="1"/>
      <c r="WZ196" s="1"/>
      <c r="XA196" s="1"/>
      <c r="XB196" s="1"/>
      <c r="XC196" s="1"/>
      <c r="XD196" s="1"/>
      <c r="XE196" s="1"/>
      <c r="XF196" s="1"/>
      <c r="XG196" s="1"/>
      <c r="XH196" s="1"/>
      <c r="XI196" s="1"/>
      <c r="XJ196" s="1"/>
      <c r="XK196" s="1"/>
      <c r="XL196" s="1"/>
      <c r="XM196" s="1"/>
      <c r="XN196" s="1"/>
      <c r="XO196" s="1"/>
      <c r="XP196" s="1"/>
      <c r="XQ196" s="1"/>
      <c r="XR196" s="1"/>
      <c r="XS196" s="1"/>
      <c r="XT196" s="1"/>
      <c r="XU196" s="1"/>
      <c r="XV196" s="1"/>
      <c r="XW196" s="1"/>
      <c r="XX196" s="1"/>
      <c r="XY196" s="1"/>
      <c r="XZ196" s="1"/>
      <c r="YA196" s="1"/>
      <c r="YB196" s="1"/>
      <c r="YC196" s="1"/>
      <c r="YD196" s="1"/>
      <c r="YE196" s="1"/>
      <c r="YF196" s="1"/>
      <c r="YG196" s="1"/>
      <c r="YH196" s="1"/>
      <c r="YI196" s="1"/>
      <c r="YJ196" s="1"/>
      <c r="YK196" s="1"/>
      <c r="YL196" s="1"/>
      <c r="YM196" s="1"/>
      <c r="YN196" s="1"/>
      <c r="YO196" s="1"/>
      <c r="YP196" s="1"/>
      <c r="YQ196" s="1"/>
      <c r="YR196" s="1"/>
      <c r="YS196" s="1"/>
      <c r="YT196" s="1"/>
      <c r="YU196" s="1"/>
      <c r="YV196" s="1"/>
      <c r="YW196" s="1"/>
      <c r="YX196" s="1"/>
      <c r="YY196" s="1"/>
      <c r="YZ196" s="1"/>
      <c r="ZA196" s="1"/>
      <c r="ZB196" s="1"/>
      <c r="ZC196" s="1"/>
      <c r="ZD196" s="1"/>
      <c r="ZE196" s="1"/>
      <c r="ZF196" s="1"/>
      <c r="ZG196" s="1"/>
      <c r="ZH196" s="1"/>
      <c r="ZI196" s="1"/>
      <c r="ZJ196" s="1"/>
      <c r="ZK196" s="1"/>
      <c r="ZL196" s="1"/>
      <c r="ZM196" s="1"/>
      <c r="ZN196" s="1"/>
      <c r="ZO196" s="1"/>
      <c r="ZP196" s="1"/>
      <c r="ZQ196" s="1"/>
      <c r="ZR196" s="1"/>
      <c r="ZS196" s="1"/>
      <c r="ZT196" s="1"/>
      <c r="ZU196" s="1"/>
      <c r="ZV196" s="1"/>
      <c r="ZW196" s="1"/>
      <c r="ZX196" s="1"/>
      <c r="ZY196" s="1"/>
      <c r="ZZ196" s="1"/>
      <c r="AAA196" s="1"/>
      <c r="AAB196" s="1"/>
      <c r="AAC196" s="1"/>
      <c r="AAD196" s="1"/>
      <c r="AAE196" s="1"/>
      <c r="AAF196" s="1"/>
      <c r="AAG196" s="1"/>
      <c r="AAH196" s="1"/>
      <c r="AAI196" s="1"/>
      <c r="AAJ196" s="1"/>
      <c r="AAK196" s="1"/>
      <c r="AAL196" s="1"/>
      <c r="AAM196" s="1"/>
      <c r="AAN196" s="1"/>
      <c r="AAO196" s="1"/>
      <c r="AAP196" s="1"/>
      <c r="AAQ196" s="1"/>
      <c r="AAR196" s="1"/>
      <c r="AAS196" s="1"/>
      <c r="AAT196" s="1"/>
      <c r="AAU196" s="1"/>
      <c r="AAV196" s="1"/>
      <c r="AAW196" s="1"/>
      <c r="AAX196" s="1"/>
      <c r="AAY196" s="1"/>
      <c r="AAZ196" s="1"/>
      <c r="ABA196" s="1"/>
      <c r="ABB196" s="1"/>
      <c r="ABC196" s="1"/>
      <c r="ABD196" s="1"/>
      <c r="ABE196" s="1"/>
      <c r="ABF196" s="1"/>
      <c r="ABG196" s="1"/>
      <c r="ABH196" s="1"/>
      <c r="ABI196" s="1"/>
      <c r="ABJ196" s="1"/>
      <c r="ABK196" s="1"/>
      <c r="ABL196" s="1"/>
      <c r="ABM196" s="1"/>
      <c r="ABN196" s="1"/>
      <c r="ABO196" s="1"/>
      <c r="ABP196" s="1"/>
      <c r="ABQ196" s="1"/>
      <c r="ABR196" s="1"/>
      <c r="ABS196" s="1"/>
      <c r="ABT196" s="1"/>
      <c r="ABU196" s="1"/>
      <c r="ABV196" s="1"/>
      <c r="ABW196" s="1"/>
      <c r="ABX196" s="1"/>
      <c r="ABY196" s="1"/>
      <c r="ABZ196" s="1"/>
      <c r="ACA196" s="1"/>
      <c r="ACB196" s="1"/>
      <c r="ACC196" s="1"/>
      <c r="ACD196" s="1"/>
      <c r="ACE196" s="1"/>
      <c r="ACF196" s="1"/>
      <c r="ACG196" s="1"/>
      <c r="ACH196" s="1"/>
      <c r="ACI196" s="1"/>
      <c r="ACJ196" s="1"/>
      <c r="ACK196" s="1"/>
      <c r="ACL196" s="1"/>
      <c r="ACM196" s="1"/>
      <c r="ACN196" s="1"/>
      <c r="ACO196" s="1"/>
      <c r="ACP196" s="1"/>
      <c r="ACQ196" s="1"/>
      <c r="ACR196" s="1"/>
      <c r="ACS196" s="1"/>
      <c r="ACT196" s="1"/>
      <c r="ACU196" s="1"/>
      <c r="ACV196" s="1"/>
      <c r="ACW196" s="1"/>
      <c r="ACX196" s="1"/>
      <c r="ACY196" s="1"/>
      <c r="ACZ196" s="1"/>
      <c r="ADA196" s="1"/>
      <c r="ADB196" s="1"/>
      <c r="ADC196" s="1"/>
      <c r="ADD196" s="1"/>
      <c r="ADE196" s="1"/>
      <c r="ADF196" s="1"/>
      <c r="ADG196" s="1"/>
      <c r="ADH196" s="1"/>
      <c r="ADI196" s="1"/>
      <c r="ADJ196" s="1"/>
      <c r="ADK196" s="1"/>
      <c r="ADL196" s="1"/>
      <c r="ADM196" s="1"/>
      <c r="ADN196" s="1"/>
      <c r="ADO196" s="1"/>
      <c r="ADP196" s="1"/>
      <c r="ADQ196" s="1"/>
      <c r="ADR196" s="1"/>
      <c r="ADS196" s="1"/>
      <c r="ADT196" s="1"/>
      <c r="ADU196" s="1"/>
      <c r="ADV196" s="1"/>
      <c r="ADW196" s="1"/>
      <c r="ADX196" s="1"/>
      <c r="ADY196" s="1"/>
      <c r="ADZ196" s="1"/>
      <c r="AEA196" s="1"/>
      <c r="AEB196" s="1"/>
      <c r="AEC196" s="1"/>
      <c r="AED196" s="1"/>
      <c r="AEE196" s="1"/>
      <c r="AEF196" s="1"/>
      <c r="AEG196" s="1"/>
      <c r="AEH196" s="1"/>
      <c r="AEI196" s="1"/>
      <c r="AEJ196" s="1"/>
      <c r="AEK196" s="1"/>
      <c r="AEL196" s="1"/>
      <c r="AEM196" s="1"/>
      <c r="AEN196" s="1"/>
      <c r="AEO196" s="1"/>
      <c r="AEP196" s="1"/>
      <c r="AEQ196" s="1"/>
      <c r="AER196" s="1"/>
      <c r="AES196" s="1"/>
      <c r="AET196" s="1"/>
      <c r="AEU196" s="1"/>
      <c r="AEV196" s="1"/>
      <c r="AEW196" s="1"/>
      <c r="AEX196" s="1"/>
      <c r="AEY196" s="1"/>
      <c r="AEZ196" s="1"/>
      <c r="AFA196" s="1"/>
      <c r="AFB196" s="1"/>
      <c r="AFC196" s="1"/>
      <c r="AFD196" s="1"/>
      <c r="AFE196" s="1"/>
      <c r="AFF196" s="1"/>
      <c r="AFG196" s="1"/>
      <c r="AFH196" s="1"/>
      <c r="AFI196" s="1"/>
      <c r="AFJ196" s="1"/>
      <c r="AFK196" s="1"/>
      <c r="AFL196" s="1"/>
      <c r="AFM196" s="1"/>
      <c r="AFN196" s="1"/>
      <c r="AFO196" s="1"/>
      <c r="AFP196" s="1"/>
      <c r="AFQ196" s="1"/>
      <c r="AFR196" s="1"/>
      <c r="AFS196" s="1"/>
      <c r="AFT196" s="1"/>
      <c r="AFU196" s="1"/>
      <c r="AFV196" s="1"/>
      <c r="AFW196" s="1"/>
      <c r="AFX196" s="1"/>
      <c r="AFY196" s="1"/>
      <c r="AFZ196" s="1"/>
      <c r="AGA196" s="1"/>
      <c r="AGB196" s="1"/>
      <c r="AGC196" s="1"/>
      <c r="AGD196" s="1"/>
      <c r="AGE196" s="1"/>
      <c r="AGF196" s="1"/>
      <c r="AGG196" s="1"/>
      <c r="AGH196" s="1"/>
      <c r="AGI196" s="1"/>
      <c r="AGJ196" s="1"/>
      <c r="AGK196" s="1"/>
      <c r="AGL196" s="1"/>
      <c r="AGM196" s="1"/>
      <c r="AGN196" s="1"/>
      <c r="AGO196" s="1"/>
      <c r="AGP196" s="1"/>
      <c r="AGQ196" s="1"/>
      <c r="AGR196" s="1"/>
      <c r="AGS196" s="1"/>
      <c r="AGT196" s="1"/>
      <c r="AGU196" s="1"/>
      <c r="AGV196" s="1"/>
      <c r="AGW196" s="1"/>
      <c r="AGX196" s="1"/>
      <c r="AGY196" s="1"/>
      <c r="AGZ196" s="1"/>
      <c r="AHA196" s="1"/>
      <c r="AHB196" s="1"/>
      <c r="AHC196" s="1"/>
      <c r="AHD196" s="1"/>
      <c r="AHE196" s="1"/>
      <c r="AHF196" s="1"/>
      <c r="AHG196" s="1"/>
      <c r="AHH196" s="1"/>
      <c r="AHI196" s="1"/>
      <c r="AHJ196" s="1"/>
      <c r="AHK196" s="1"/>
      <c r="AHL196" s="1"/>
      <c r="AHM196" s="1"/>
      <c r="AHN196" s="1"/>
      <c r="AHO196" s="1"/>
      <c r="AHP196" s="1"/>
      <c r="AHQ196" s="1"/>
      <c r="AHR196" s="1"/>
      <c r="AHS196" s="1"/>
      <c r="AHT196" s="1"/>
      <c r="AHU196" s="1"/>
      <c r="AHV196" s="1"/>
      <c r="AHW196" s="1"/>
      <c r="AHX196" s="1"/>
      <c r="AHY196" s="1"/>
      <c r="AHZ196" s="1"/>
      <c r="AIA196" s="1"/>
      <c r="AIB196" s="1"/>
      <c r="AIC196" s="1"/>
      <c r="AID196" s="1"/>
      <c r="AIE196" s="1"/>
      <c r="AIF196" s="1"/>
      <c r="AIG196" s="1"/>
      <c r="AIH196" s="1"/>
      <c r="AII196" s="1"/>
      <c r="AIJ196" s="1"/>
      <c r="AIK196" s="1"/>
      <c r="AIL196" s="1"/>
      <c r="AIM196" s="1"/>
      <c r="AIN196" s="1"/>
      <c r="AIO196" s="1"/>
      <c r="AIP196" s="1"/>
      <c r="AIQ196" s="1"/>
      <c r="AIR196" s="1"/>
      <c r="AIS196" s="1"/>
      <c r="AIT196" s="1"/>
      <c r="AIU196" s="1"/>
      <c r="AIV196" s="1"/>
      <c r="AIW196" s="1"/>
      <c r="AIX196" s="1"/>
      <c r="AIY196" s="1"/>
      <c r="AIZ196" s="1"/>
      <c r="AJA196" s="1"/>
      <c r="AJB196" s="1"/>
      <c r="AJC196" s="1"/>
      <c r="AJD196" s="1"/>
      <c r="AJE196" s="1"/>
      <c r="AJF196" s="1"/>
      <c r="AJG196" s="1"/>
      <c r="AJH196" s="1"/>
      <c r="AJI196" s="1"/>
      <c r="AJJ196" s="1"/>
      <c r="AJK196" s="1"/>
      <c r="AJL196" s="1"/>
      <c r="AJM196" s="1"/>
      <c r="AJN196" s="1"/>
      <c r="AJO196" s="1"/>
      <c r="AJP196" s="1"/>
      <c r="AJQ196" s="1"/>
      <c r="AJR196" s="1"/>
      <c r="AJS196" s="1"/>
      <c r="AJT196" s="1"/>
      <c r="AJU196" s="1"/>
      <c r="AJV196" s="1"/>
      <c r="AJW196" s="1"/>
      <c r="AJX196" s="1"/>
      <c r="AJY196" s="1"/>
      <c r="AJZ196" s="1"/>
      <c r="AKA196" s="1"/>
      <c r="AKB196" s="1"/>
      <c r="AKC196" s="1"/>
      <c r="AKD196" s="1"/>
      <c r="AKE196" s="1"/>
      <c r="AKF196" s="1"/>
      <c r="AKG196" s="1"/>
      <c r="AKH196" s="1"/>
      <c r="AKI196" s="1"/>
      <c r="AKJ196" s="1"/>
      <c r="AKK196" s="1"/>
      <c r="AKL196" s="1"/>
      <c r="AKM196" s="1"/>
      <c r="AKN196" s="1"/>
      <c r="AKO196" s="1"/>
      <c r="AKP196" s="1"/>
      <c r="AKQ196" s="1"/>
      <c r="AKR196" s="1"/>
      <c r="AKS196" s="1"/>
      <c r="AKT196" s="1"/>
      <c r="AKU196" s="1"/>
      <c r="AKV196" s="1"/>
      <c r="AKW196" s="1"/>
      <c r="AKX196" s="1"/>
      <c r="AKY196" s="1"/>
      <c r="AKZ196" s="1"/>
      <c r="ALA196" s="1"/>
      <c r="ALB196" s="1"/>
      <c r="ALC196" s="1"/>
      <c r="ALD196" s="1"/>
      <c r="ALE196" s="1"/>
      <c r="ALF196" s="1"/>
      <c r="ALG196" s="1"/>
      <c r="ALH196" s="1"/>
      <c r="ALI196" s="1"/>
      <c r="ALJ196" s="1"/>
      <c r="ALK196" s="1"/>
      <c r="ALL196" s="1"/>
      <c r="ALM196" s="1"/>
      <c r="ALN196" s="1"/>
      <c r="ALO196" s="1"/>
      <c r="ALP196" s="1"/>
      <c r="ALQ196" s="1"/>
      <c r="ALR196" s="1"/>
      <c r="ALS196" s="1"/>
      <c r="ALT196" s="1"/>
      <c r="ALU196" s="1"/>
      <c r="ALV196" s="1"/>
      <c r="ALW196" s="1"/>
      <c r="ALX196" s="1"/>
      <c r="ALY196" s="1"/>
      <c r="ALZ196" s="1"/>
      <c r="AMA196" s="1"/>
      <c r="AMB196" s="1"/>
      <c r="AMC196" s="1"/>
      <c r="AMD196" s="1"/>
      <c r="AME196" s="1"/>
      <c r="AMF196" s="1"/>
      <c r="AMG196" s="1"/>
      <c r="AMH196" s="1"/>
      <c r="AMI196" s="1"/>
      <c r="AMJ196" s="1"/>
      <c r="AMK196" s="1"/>
      <c r="AML196" s="1"/>
      <c r="AMM196" s="1"/>
      <c r="AMN196" s="1"/>
      <c r="AMO196" s="1"/>
    </row>
    <row r="197" spans="1:1030" s="12" customFormat="1" x14ac:dyDescent="0.2">
      <c r="A197" s="9" t="str">
        <f>CONCATENATE(B197,"_",C197)</f>
        <v>oprk_human_6B73</v>
      </c>
      <c r="B197" s="9" t="s">
        <v>336</v>
      </c>
      <c r="C197" s="9" t="s">
        <v>1476</v>
      </c>
      <c r="D197" s="9" t="str">
        <f>IFERROR(MID(VLOOKUP($B197,Seqs!$A:$B,2,0),E197,1),"")</f>
        <v>A</v>
      </c>
      <c r="E197" s="9">
        <v>57</v>
      </c>
      <c r="F197" s="9" t="str">
        <f>IFERROR(MID(VLOOKUP($B197,Seqs!$A:$B,2,0),G197,1),"")</f>
        <v>Y</v>
      </c>
      <c r="G197" s="9">
        <v>87</v>
      </c>
      <c r="H197" s="9" t="str">
        <f>IFERROR(MID(VLOOKUP($B197,Seqs!$A:$B,2,0),I197,1),"")</f>
        <v/>
      </c>
      <c r="I197" s="109" t="s">
        <v>23</v>
      </c>
      <c r="J197" s="9" t="str">
        <f>IFERROR(MID(VLOOKUP($B197,Seqs!$A:$B,2,0),K197,1),"")</f>
        <v/>
      </c>
      <c r="K197" s="109" t="s">
        <v>23</v>
      </c>
      <c r="L197" s="9" t="str">
        <f>IFERROR(MID(VLOOKUP($B197,Seqs!$A:$B,2,0),M197,1),"")</f>
        <v>T</v>
      </c>
      <c r="M197" s="9">
        <v>92</v>
      </c>
      <c r="N197" s="9" t="str">
        <f>IFERROR(MID(VLOOKUP($B197,Seqs!$A:$B,2,0),O197,1),"")</f>
        <v>N</v>
      </c>
      <c r="O197" s="9">
        <v>122</v>
      </c>
      <c r="P197" s="9" t="str">
        <f>IFERROR(MID(VLOOKUP($B197,Seqs!$A:$B,2,0),Q197,1),"")</f>
        <v>S</v>
      </c>
      <c r="Q197" s="9">
        <v>123</v>
      </c>
      <c r="R197" s="9" t="str">
        <f>IFERROR(MID(VLOOKUP($B197,Seqs!$A:$B,2,0),S197,1),"")</f>
        <v>F</v>
      </c>
      <c r="S197" s="9">
        <v>126</v>
      </c>
      <c r="T197" s="9" t="str">
        <f>IFERROR(MID(VLOOKUP($B197,Seqs!$A:$B,2,0),U197,1),"")</f>
        <v>G</v>
      </c>
      <c r="U197" s="9">
        <v>127</v>
      </c>
      <c r="V197" s="9" t="str">
        <f>IFERROR(MID(VLOOKUP($B197,Seqs!$A:$B,2,0),W197,1),"")</f>
        <v>H</v>
      </c>
      <c r="W197" s="9">
        <v>162</v>
      </c>
      <c r="X197" s="9" t="str">
        <f>IFERROR(MID(VLOOKUP($B197,Seqs!$A:$B,2,0),Y197,1),"")</f>
        <v>P</v>
      </c>
      <c r="Y197" s="9">
        <v>163</v>
      </c>
      <c r="Z197" s="9" t="str">
        <f>IFERROR(MID(VLOOKUP($B197,Seqs!$A:$B,2,0),AA197,1),"")</f>
        <v>R</v>
      </c>
      <c r="AA197" s="9">
        <v>170</v>
      </c>
      <c r="AB197" s="9" t="str">
        <f>IFERROR(MID(VLOOKUP($B197,Seqs!$A:$B,2,0),AC197,1),"")</f>
        <v>T</v>
      </c>
      <c r="AC197" s="9">
        <v>171</v>
      </c>
      <c r="AD197" s="9" t="str">
        <f>IFERROR(MID(VLOOKUP($B197,Seqs!$A:$B,2,0),AE197,1),"")</f>
        <v>G</v>
      </c>
      <c r="AE197" s="9">
        <v>197</v>
      </c>
      <c r="AF197" s="9" t="str">
        <f>IFERROR(MID(VLOOKUP($B197,Seqs!$A:$B,2,0),AG197,1),"")</f>
        <v>C</v>
      </c>
      <c r="AG197" s="9">
        <v>210</v>
      </c>
      <c r="AH197" s="9" t="str">
        <f>IFERROR(MID(VLOOKUP($B197,Seqs!$A:$B,2,0),AI197,1),"")</f>
        <v>L</v>
      </c>
      <c r="AI197" s="9">
        <v>212</v>
      </c>
      <c r="AJ197" s="9" t="str">
        <f>IFERROR(MID(VLOOKUP($B197,Seqs!$A:$B,2,0),AK197,1),"")</f>
        <v>W</v>
      </c>
      <c r="AK197" s="9">
        <v>221</v>
      </c>
      <c r="AL197" s="9" t="str">
        <f>IFERROR(MID(VLOOKUP($B197,Seqs!$A:$B,2,0),AM197,1),"")</f>
        <v>S</v>
      </c>
      <c r="AM197" s="9">
        <v>255</v>
      </c>
      <c r="AN197" s="9" t="str">
        <f>IFERROR(MID(VLOOKUP($B197,Seqs!$A:$B,2,0),AO197,1),"")</f>
        <v>S</v>
      </c>
      <c r="AO197" s="9">
        <v>262</v>
      </c>
      <c r="AP197" s="9" t="str">
        <f>IFERROR(MID(VLOOKUP($B197,Seqs!$A:$B,2,0),AQ197,1),"")</f>
        <v>G</v>
      </c>
      <c r="AQ197" s="9">
        <v>300</v>
      </c>
      <c r="AR197" s="9" t="str">
        <f>IFERROR(MID(VLOOKUP($B197,Seqs!$A:$B,2,0),AS197,1),"")</f>
        <v>S</v>
      </c>
      <c r="AS197" s="9">
        <v>305</v>
      </c>
      <c r="AT197" s="9" t="str">
        <f>IFERROR(MID(VLOOKUP($B197,Seqs!$A:$B,2,0),AU197,1),"")</f>
        <v>I</v>
      </c>
      <c r="AU197" s="9">
        <v>328</v>
      </c>
      <c r="AV197" s="9" t="str">
        <f>IFERROR(MID(VLOOKUP($B197,Seqs!$A:$B,2,0),AW197,1),"")</f>
        <v/>
      </c>
      <c r="AW197" s="9" t="s">
        <v>23</v>
      </c>
      <c r="AX197" s="9" t="str">
        <f>IFERROR(MID(VLOOKUP($B197,Seqs!$A:$B,2,0),AY197,1),"")</f>
        <v/>
      </c>
      <c r="AY197" s="9" t="s">
        <v>23</v>
      </c>
      <c r="AZ197" s="110" t="str">
        <f>VLOOKUP(B197,Classification!A:D,2,0)</f>
        <v>A</v>
      </c>
      <c r="BA197" s="98" t="str">
        <f>VLOOKUP(B197,Classification!A:D,4,0)</f>
        <v>Opioid</v>
      </c>
      <c r="BB197" s="36" t="b">
        <f>AND(E197&lt;G197,OR(G197&lt;I197,I197="-"),OR(I197&lt;K197,I197="-"),OR(K197&lt;M197,K197="-"),M197&lt;O197,OR(O197&lt;Q197,Q197="-"),OR(Q197&lt;S197,Q197="-"),OR(S197&lt;U197,S197="-"),U197&lt;W197,OR(W197&lt;Y197,Y197="-"),OR(Y197&lt;AA197,Y197="-"),OR(AA197&lt;AC197,AA197="-"),AC197&lt;AE197,OR(AE197&lt;AG197,AG197="-"),OR(AG197&lt;AI197,AG197="-"),OR(AI197&lt;AK197,AI197="-"),AK197&lt;AM197,AM197&lt;AO197,AO197&lt;AQ197,AQ197&lt;AS197,AS197&lt;AU197,OR(AU197&lt;AW197,AW197="-"),OR(AW197&lt;AY197,AW197="-"))</f>
        <v>1</v>
      </c>
      <c r="BC197" s="109">
        <f>_xlfn.AGGREGATE(9,6,CH197:CS197)-_xlfn.AGGREGATE(9,6,BV197:CG197)+12</f>
        <v>240</v>
      </c>
      <c r="BD197" s="40" t="s">
        <v>1382</v>
      </c>
      <c r="BE197" s="9" t="s">
        <v>1297</v>
      </c>
      <c r="BF197" s="120">
        <v>3.1</v>
      </c>
      <c r="BG197" s="51" t="s">
        <v>1</v>
      </c>
      <c r="BH197" s="51" t="s">
        <v>1</v>
      </c>
      <c r="BJ197" s="111" t="s">
        <v>1293</v>
      </c>
      <c r="BK197" s="112" t="s">
        <v>1293</v>
      </c>
      <c r="BL197" s="112" t="s">
        <v>1293</v>
      </c>
      <c r="BM197" s="112" t="s">
        <v>1293</v>
      </c>
      <c r="BN197" s="112" t="s">
        <v>1293</v>
      </c>
      <c r="BO197" s="112" t="s">
        <v>1293</v>
      </c>
      <c r="BP197" s="112" t="s">
        <v>1293</v>
      </c>
      <c r="BQ197" s="112" t="s">
        <v>1293</v>
      </c>
      <c r="BR197" s="112" t="s">
        <v>1293</v>
      </c>
      <c r="BS197" s="112" t="s">
        <v>1293</v>
      </c>
      <c r="BT197" s="112" t="s">
        <v>1293</v>
      </c>
      <c r="BU197" s="112" t="s">
        <v>1293</v>
      </c>
      <c r="BV197" s="111">
        <f>E197</f>
        <v>57</v>
      </c>
      <c r="BW197" s="113" t="str">
        <f>I197</f>
        <v>-</v>
      </c>
      <c r="BX197" s="114">
        <f>M197</f>
        <v>92</v>
      </c>
      <c r="BY197" s="113">
        <f>Q197</f>
        <v>123</v>
      </c>
      <c r="BZ197" s="114">
        <f>U197</f>
        <v>127</v>
      </c>
      <c r="CA197" s="113">
        <f>Y197</f>
        <v>163</v>
      </c>
      <c r="CB197" s="114">
        <f>AC197</f>
        <v>171</v>
      </c>
      <c r="CC197" s="113">
        <f>AG197</f>
        <v>210</v>
      </c>
      <c r="CD197" s="114">
        <f>AK197</f>
        <v>221</v>
      </c>
      <c r="CE197" s="113">
        <f>AO197</f>
        <v>262</v>
      </c>
      <c r="CF197" s="114">
        <f>AS197</f>
        <v>305</v>
      </c>
      <c r="CG197" s="113" t="str">
        <f>AW197</f>
        <v>-</v>
      </c>
      <c r="CH197" s="111">
        <f>G197</f>
        <v>87</v>
      </c>
      <c r="CI197" s="113" t="str">
        <f>K197</f>
        <v>-</v>
      </c>
      <c r="CJ197" s="114">
        <f>O197</f>
        <v>122</v>
      </c>
      <c r="CK197" s="114">
        <f>S197</f>
        <v>126</v>
      </c>
      <c r="CL197" s="114">
        <f>W197</f>
        <v>162</v>
      </c>
      <c r="CM197" s="114">
        <f>AA197</f>
        <v>170</v>
      </c>
      <c r="CN197" s="114">
        <f>AE197</f>
        <v>197</v>
      </c>
      <c r="CO197" s="114">
        <f>AI197</f>
        <v>212</v>
      </c>
      <c r="CP197" s="114">
        <f>AM197</f>
        <v>255</v>
      </c>
      <c r="CQ197" s="114">
        <f>AQ197</f>
        <v>300</v>
      </c>
      <c r="CR197" s="114">
        <f>AU197</f>
        <v>328</v>
      </c>
      <c r="CS197" s="114" t="str">
        <f>AY197</f>
        <v>-</v>
      </c>
      <c r="CT197" s="109" t="e">
        <f>M197-K197</f>
        <v>#VALUE!</v>
      </c>
    </row>
    <row r="198" spans="1:1030" x14ac:dyDescent="0.2">
      <c r="A198" s="3" t="str">
        <f t="shared" si="669"/>
        <v>oprm_mouse__wt</v>
      </c>
      <c r="B198" s="3" t="s">
        <v>918</v>
      </c>
      <c r="C198" s="3" t="s">
        <v>100</v>
      </c>
      <c r="D198" s="3" t="str">
        <f>IFERROR(MID(VLOOKUP($B198,Seqs!$A:$B,2,0),E198,1),"")</f>
        <v>M</v>
      </c>
      <c r="E198" s="3">
        <v>65</v>
      </c>
      <c r="F198" s="3" t="str">
        <f>IFERROR(MID(VLOOKUP($B198,Seqs!$A:$B,2,0),G198,1),"")</f>
        <v>Y</v>
      </c>
      <c r="G198" s="3">
        <v>96</v>
      </c>
      <c r="H198" s="3" t="str">
        <f>IFERROR(MID(VLOOKUP($B198,Seqs!$A:$B,2,0),I198,1),"")</f>
        <v>T</v>
      </c>
      <c r="I198" s="23">
        <v>97</v>
      </c>
      <c r="J198" s="3" t="str">
        <f>IFERROR(MID(VLOOKUP($B198,Seqs!$A:$B,2,0),K198,1),"")</f>
        <v>K</v>
      </c>
      <c r="K198" s="23">
        <v>100</v>
      </c>
      <c r="L198" s="3" t="str">
        <f>IFERROR(MID(VLOOKUP($B198,Seqs!$A:$B,2,0),M198,1),"")</f>
        <v>T</v>
      </c>
      <c r="M198" s="3">
        <v>101</v>
      </c>
      <c r="N198" s="3" t="str">
        <f>IFERROR(MID(VLOOKUP($B198,Seqs!$A:$B,2,0),O198,1),"")</f>
        <v>M</v>
      </c>
      <c r="O198" s="3">
        <v>130</v>
      </c>
      <c r="P198" s="3" t="str">
        <f>IFERROR(MID(VLOOKUP($B198,Seqs!$A:$B,2,0),Q198,1),"")</f>
        <v>T</v>
      </c>
      <c r="Q198" s="3">
        <v>132</v>
      </c>
      <c r="R198" s="3" t="str">
        <f>IFERROR(MID(VLOOKUP($B198,Seqs!$A:$B,2,0),S198,1),"")</f>
        <v>F</v>
      </c>
      <c r="S198" s="3">
        <v>135</v>
      </c>
      <c r="T198" s="3" t="str">
        <f>IFERROR(MID(VLOOKUP($B198,Seqs!$A:$B,2,0),U198,1),"")</f>
        <v>G</v>
      </c>
      <c r="U198" s="3">
        <v>136</v>
      </c>
      <c r="V198" s="3" t="str">
        <f>IFERROR(MID(VLOOKUP($B198,Seqs!$A:$B,2,0),W198,1),"")</f>
        <v>H</v>
      </c>
      <c r="W198" s="3">
        <v>171</v>
      </c>
      <c r="X198" s="3" t="str">
        <f>IFERROR(MID(VLOOKUP($B198,Seqs!$A:$B,2,0),Y198,1),"")</f>
        <v>P</v>
      </c>
      <c r="Y198" s="3">
        <v>172</v>
      </c>
      <c r="Z198" s="3" t="str">
        <f>IFERROR(MID(VLOOKUP($B198,Seqs!$A:$B,2,0),AA198,1),"")</f>
        <v>R</v>
      </c>
      <c r="AA198" s="3">
        <v>179</v>
      </c>
      <c r="AB198" s="3" t="str">
        <f>IFERROR(MID(VLOOKUP($B198,Seqs!$A:$B,2,0),AC198,1),"")</f>
        <v>T</v>
      </c>
      <c r="AC198" s="9">
        <v>180</v>
      </c>
      <c r="AD198" s="3" t="str">
        <f>IFERROR(MID(VLOOKUP($B198,Seqs!$A:$B,2,0),AE198,1),"")</f>
        <v>A</v>
      </c>
      <c r="AE198" s="3">
        <v>206</v>
      </c>
      <c r="AF198" s="3" t="str">
        <f>IFERROR(MID(VLOOKUP($B198,Seqs!$A:$B,2,0),AG198,1),"")</f>
        <v>C</v>
      </c>
      <c r="AG198" s="3">
        <v>217</v>
      </c>
      <c r="AH198" s="3" t="str">
        <f>IFERROR(MID(VLOOKUP($B198,Seqs!$A:$B,2,0),AI198,1),"")</f>
        <v>L</v>
      </c>
      <c r="AI198" s="3">
        <v>219</v>
      </c>
      <c r="AJ198" s="3" t="str">
        <f>IFERROR(MID(VLOOKUP($B198,Seqs!$A:$B,2,0),AK198,1),"")</f>
        <v>T</v>
      </c>
      <c r="AK198" s="3">
        <v>225</v>
      </c>
      <c r="AL198" s="3" t="str">
        <f>IFERROR(MID(VLOOKUP($B198,Seqs!$A:$B,2,0),AM198,1),"")</f>
        <v>V</v>
      </c>
      <c r="AM198" s="3">
        <v>262</v>
      </c>
      <c r="AN198" s="3" t="str">
        <f>IFERROR(MID(VLOOKUP($B198,Seqs!$A:$B,2,0),AO198,1),"")</f>
        <v>S</v>
      </c>
      <c r="AO198" s="3">
        <v>268</v>
      </c>
      <c r="AP198" s="3" t="str">
        <f>IFERROR(MID(VLOOKUP($B198,Seqs!$A:$B,2,0),AQ198,1),"")</f>
        <v>I</v>
      </c>
      <c r="AQ198" s="3">
        <v>306</v>
      </c>
      <c r="AR198" s="3" t="str">
        <f>IFERROR(MID(VLOOKUP($B198,Seqs!$A:$B,2,0),AS198,1),"")</f>
        <v>T</v>
      </c>
      <c r="AS198" s="3">
        <v>311</v>
      </c>
      <c r="AT198" s="3" t="str">
        <f>IFERROR(MID(VLOOKUP($B198,Seqs!$A:$B,2,0),AU198,1),"")</f>
        <v>L</v>
      </c>
      <c r="AU198" s="3">
        <v>339</v>
      </c>
      <c r="AV198" s="3" t="str">
        <f>IFERROR(MID(VLOOKUP($B198,Seqs!$A:$B,2,0),AW198,1),"")</f>
        <v>D</v>
      </c>
      <c r="AW198" s="3">
        <v>340</v>
      </c>
      <c r="AX198" s="3" t="str">
        <f>IFERROR(MID(VLOOKUP($B198,Seqs!$A:$B,2,0),AY198,1),"")</f>
        <v>I</v>
      </c>
      <c r="AY198" s="3">
        <v>352</v>
      </c>
      <c r="AZ198" s="77" t="str">
        <f>VLOOKUP(B198,Classification!A:D,2,0)</f>
        <v>A</v>
      </c>
      <c r="BA198" s="94" t="str">
        <f>VLOOKUP(B198,Classification!A:D,4,0)</f>
        <v>Opioid</v>
      </c>
      <c r="BB198" s="27" t="b">
        <f t="shared" si="670"/>
        <v>1</v>
      </c>
      <c r="BC198" s="23">
        <f t="shared" si="643"/>
        <v>263</v>
      </c>
      <c r="BD198" s="56" t="s">
        <v>1379</v>
      </c>
      <c r="BE198" s="3" t="s">
        <v>23</v>
      </c>
      <c r="BF198" s="119" t="s">
        <v>23</v>
      </c>
      <c r="BG198" s="49" t="s">
        <v>1379</v>
      </c>
      <c r="BH198" s="49" t="s">
        <v>1384</v>
      </c>
      <c r="BI198" s="1"/>
      <c r="BJ198" s="70" t="s">
        <v>1293</v>
      </c>
      <c r="BK198" s="57" t="s">
        <v>1293</v>
      </c>
      <c r="BL198" s="57" t="s">
        <v>1293</v>
      </c>
      <c r="BM198" s="57" t="s">
        <v>1293</v>
      </c>
      <c r="BN198" s="57" t="s">
        <v>1293</v>
      </c>
      <c r="BO198" s="57" t="s">
        <v>1293</v>
      </c>
      <c r="BP198" s="57" t="s">
        <v>1293</v>
      </c>
      <c r="BQ198" s="57" t="s">
        <v>1293</v>
      </c>
      <c r="BR198" s="57" t="s">
        <v>1293</v>
      </c>
      <c r="BS198" s="57" t="s">
        <v>1293</v>
      </c>
      <c r="BT198" s="57" t="s">
        <v>1293</v>
      </c>
      <c r="BU198" s="57" t="s">
        <v>1293</v>
      </c>
      <c r="BV198" s="70">
        <f t="shared" si="644"/>
        <v>65</v>
      </c>
      <c r="BW198" s="71">
        <f t="shared" si="645"/>
        <v>97</v>
      </c>
      <c r="BX198" s="72">
        <f t="shared" si="646"/>
        <v>101</v>
      </c>
      <c r="BY198" s="71">
        <f t="shared" si="647"/>
        <v>132</v>
      </c>
      <c r="BZ198" s="72">
        <f t="shared" si="648"/>
        <v>136</v>
      </c>
      <c r="CA198" s="71">
        <f t="shared" si="649"/>
        <v>172</v>
      </c>
      <c r="CB198" s="72">
        <f t="shared" si="650"/>
        <v>180</v>
      </c>
      <c r="CC198" s="71">
        <f t="shared" si="651"/>
        <v>217</v>
      </c>
      <c r="CD198" s="72">
        <f t="shared" si="652"/>
        <v>225</v>
      </c>
      <c r="CE198" s="71">
        <f t="shared" si="653"/>
        <v>268</v>
      </c>
      <c r="CF198" s="72">
        <f t="shared" si="654"/>
        <v>311</v>
      </c>
      <c r="CG198" s="71">
        <f t="shared" si="655"/>
        <v>340</v>
      </c>
      <c r="CH198" s="70">
        <f t="shared" si="656"/>
        <v>96</v>
      </c>
      <c r="CI198" s="71">
        <f t="shared" si="657"/>
        <v>100</v>
      </c>
      <c r="CJ198" s="72">
        <f t="shared" si="658"/>
        <v>130</v>
      </c>
      <c r="CK198" s="72">
        <f t="shared" si="659"/>
        <v>135</v>
      </c>
      <c r="CL198" s="72">
        <f t="shared" si="660"/>
        <v>171</v>
      </c>
      <c r="CM198" s="72">
        <f t="shared" si="661"/>
        <v>179</v>
      </c>
      <c r="CN198" s="72">
        <f t="shared" si="662"/>
        <v>206</v>
      </c>
      <c r="CO198" s="72">
        <f t="shared" si="663"/>
        <v>219</v>
      </c>
      <c r="CP198" s="72">
        <f t="shared" si="664"/>
        <v>262</v>
      </c>
      <c r="CQ198" s="72">
        <f t="shared" si="665"/>
        <v>306</v>
      </c>
      <c r="CR198" s="72">
        <f t="shared" si="666"/>
        <v>339</v>
      </c>
      <c r="CS198" s="72">
        <f t="shared" si="667"/>
        <v>352</v>
      </c>
      <c r="CT198" s="23">
        <f t="shared" si="668"/>
        <v>1</v>
      </c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  <c r="OK198" s="1"/>
      <c r="OL198" s="1"/>
      <c r="OM198" s="1"/>
      <c r="ON198" s="1"/>
      <c r="OO198" s="1"/>
      <c r="OP198" s="1"/>
      <c r="OQ198" s="1"/>
      <c r="OR198" s="1"/>
      <c r="OS198" s="1"/>
      <c r="OT198" s="1"/>
      <c r="OU198" s="1"/>
      <c r="OV198" s="1"/>
      <c r="OW198" s="1"/>
      <c r="OX198" s="1"/>
      <c r="OY198" s="1"/>
      <c r="OZ198" s="1"/>
      <c r="PA198" s="1"/>
      <c r="PB198" s="1"/>
      <c r="PC198" s="1"/>
      <c r="PD198" s="1"/>
      <c r="PE198" s="1"/>
      <c r="PF198" s="1"/>
      <c r="PG198" s="1"/>
      <c r="PH198" s="1"/>
      <c r="PI198" s="1"/>
      <c r="PJ198" s="1"/>
      <c r="PK198" s="1"/>
      <c r="PL198" s="1"/>
      <c r="PM198" s="1"/>
      <c r="PN198" s="1"/>
      <c r="PO198" s="1"/>
      <c r="PP198" s="1"/>
      <c r="PQ198" s="1"/>
      <c r="PR198" s="1"/>
      <c r="PS198" s="1"/>
      <c r="PT198" s="1"/>
      <c r="PU198" s="1"/>
      <c r="PV198" s="1"/>
      <c r="PW198" s="1"/>
      <c r="PX198" s="1"/>
      <c r="PY198" s="1"/>
      <c r="PZ198" s="1"/>
      <c r="QA198" s="1"/>
      <c r="QB198" s="1"/>
      <c r="QC198" s="1"/>
      <c r="QD198" s="1"/>
      <c r="QE198" s="1"/>
      <c r="QF198" s="1"/>
      <c r="QG198" s="1"/>
      <c r="QH198" s="1"/>
      <c r="QI198" s="1"/>
      <c r="QJ198" s="1"/>
      <c r="QK198" s="1"/>
      <c r="QL198" s="1"/>
      <c r="QM198" s="1"/>
      <c r="QN198" s="1"/>
      <c r="QO198" s="1"/>
      <c r="QP198" s="1"/>
      <c r="QQ198" s="1"/>
      <c r="QR198" s="1"/>
      <c r="QS198" s="1"/>
      <c r="QT198" s="1"/>
      <c r="QU198" s="1"/>
      <c r="QV198" s="1"/>
      <c r="QW198" s="1"/>
      <c r="QX198" s="1"/>
      <c r="QY198" s="1"/>
      <c r="QZ198" s="1"/>
      <c r="RA198" s="1"/>
      <c r="RB198" s="1"/>
      <c r="RC198" s="1"/>
      <c r="RD198" s="1"/>
      <c r="RE198" s="1"/>
      <c r="RF198" s="1"/>
      <c r="RG198" s="1"/>
      <c r="RH198" s="1"/>
      <c r="RI198" s="1"/>
      <c r="RJ198" s="1"/>
      <c r="RK198" s="1"/>
      <c r="RL198" s="1"/>
      <c r="RM198" s="1"/>
      <c r="RN198" s="1"/>
      <c r="RO198" s="1"/>
      <c r="RP198" s="1"/>
      <c r="RQ198" s="1"/>
      <c r="RR198" s="1"/>
      <c r="RS198" s="1"/>
      <c r="RT198" s="1"/>
      <c r="RU198" s="1"/>
      <c r="RV198" s="1"/>
      <c r="RW198" s="1"/>
      <c r="RX198" s="1"/>
      <c r="RY198" s="1"/>
      <c r="RZ198" s="1"/>
      <c r="SA198" s="1"/>
      <c r="SB198" s="1"/>
      <c r="SC198" s="1"/>
      <c r="SD198" s="1"/>
      <c r="SE198" s="1"/>
      <c r="SF198" s="1"/>
      <c r="SG198" s="1"/>
      <c r="SH198" s="1"/>
      <c r="SI198" s="1"/>
      <c r="SJ198" s="1"/>
      <c r="SK198" s="1"/>
      <c r="SL198" s="1"/>
      <c r="SM198" s="1"/>
      <c r="SN198" s="1"/>
      <c r="SO198" s="1"/>
      <c r="SP198" s="1"/>
      <c r="SQ198" s="1"/>
      <c r="SR198" s="1"/>
      <c r="SS198" s="1"/>
      <c r="ST198" s="1"/>
      <c r="SU198" s="1"/>
      <c r="SV198" s="1"/>
      <c r="SW198" s="1"/>
      <c r="SX198" s="1"/>
      <c r="SY198" s="1"/>
      <c r="SZ198" s="1"/>
      <c r="TA198" s="1"/>
      <c r="TB198" s="1"/>
      <c r="TC198" s="1"/>
      <c r="TD198" s="1"/>
      <c r="TE198" s="1"/>
      <c r="TF198" s="1"/>
      <c r="TG198" s="1"/>
      <c r="TH198" s="1"/>
      <c r="TI198" s="1"/>
      <c r="TJ198" s="1"/>
      <c r="TK198" s="1"/>
      <c r="TL198" s="1"/>
      <c r="TM198" s="1"/>
      <c r="TN198" s="1"/>
      <c r="TO198" s="1"/>
      <c r="TP198" s="1"/>
      <c r="TQ198" s="1"/>
      <c r="TR198" s="1"/>
      <c r="TS198" s="1"/>
      <c r="TT198" s="1"/>
      <c r="TU198" s="1"/>
      <c r="TV198" s="1"/>
      <c r="TW198" s="1"/>
      <c r="TX198" s="1"/>
      <c r="TY198" s="1"/>
      <c r="TZ198" s="1"/>
      <c r="UA198" s="1"/>
      <c r="UB198" s="1"/>
      <c r="UC198" s="1"/>
      <c r="UD198" s="1"/>
      <c r="UE198" s="1"/>
      <c r="UF198" s="1"/>
      <c r="UG198" s="1"/>
      <c r="UH198" s="1"/>
      <c r="UI198" s="1"/>
      <c r="UJ198" s="1"/>
      <c r="UK198" s="1"/>
      <c r="UL198" s="1"/>
      <c r="UM198" s="1"/>
      <c r="UN198" s="1"/>
      <c r="UO198" s="1"/>
      <c r="UP198" s="1"/>
      <c r="UQ198" s="1"/>
      <c r="UR198" s="1"/>
      <c r="US198" s="1"/>
      <c r="UT198" s="1"/>
      <c r="UU198" s="1"/>
      <c r="UV198" s="1"/>
      <c r="UW198" s="1"/>
      <c r="UX198" s="1"/>
      <c r="UY198" s="1"/>
      <c r="UZ198" s="1"/>
      <c r="VA198" s="1"/>
      <c r="VB198" s="1"/>
      <c r="VC198" s="1"/>
      <c r="VD198" s="1"/>
      <c r="VE198" s="1"/>
      <c r="VF198" s="1"/>
      <c r="VG198" s="1"/>
      <c r="VH198" s="1"/>
      <c r="VI198" s="1"/>
      <c r="VJ198" s="1"/>
      <c r="VK198" s="1"/>
      <c r="VL198" s="1"/>
      <c r="VM198" s="1"/>
      <c r="VN198" s="1"/>
      <c r="VO198" s="1"/>
      <c r="VP198" s="1"/>
      <c r="VQ198" s="1"/>
      <c r="VR198" s="1"/>
      <c r="VS198" s="1"/>
      <c r="VT198" s="1"/>
      <c r="VU198" s="1"/>
      <c r="VV198" s="1"/>
      <c r="VW198" s="1"/>
      <c r="VX198" s="1"/>
      <c r="VY198" s="1"/>
      <c r="VZ198" s="1"/>
      <c r="WA198" s="1"/>
      <c r="WB198" s="1"/>
      <c r="WC198" s="1"/>
      <c r="WD198" s="1"/>
      <c r="WE198" s="1"/>
      <c r="WF198" s="1"/>
      <c r="WG198" s="1"/>
      <c r="WH198" s="1"/>
      <c r="WI198" s="1"/>
      <c r="WJ198" s="1"/>
      <c r="WK198" s="1"/>
      <c r="WL198" s="1"/>
      <c r="WM198" s="1"/>
      <c r="WN198" s="1"/>
      <c r="WO198" s="1"/>
      <c r="WP198" s="1"/>
      <c r="WQ198" s="1"/>
      <c r="WR198" s="1"/>
      <c r="WS198" s="1"/>
      <c r="WT198" s="1"/>
      <c r="WU198" s="1"/>
      <c r="WV198" s="1"/>
      <c r="WW198" s="1"/>
      <c r="WX198" s="1"/>
      <c r="WY198" s="1"/>
      <c r="WZ198" s="1"/>
      <c r="XA198" s="1"/>
      <c r="XB198" s="1"/>
      <c r="XC198" s="1"/>
      <c r="XD198" s="1"/>
      <c r="XE198" s="1"/>
      <c r="XF198" s="1"/>
      <c r="XG198" s="1"/>
      <c r="XH198" s="1"/>
      <c r="XI198" s="1"/>
      <c r="XJ198" s="1"/>
      <c r="XK198" s="1"/>
      <c r="XL198" s="1"/>
      <c r="XM198" s="1"/>
      <c r="XN198" s="1"/>
      <c r="XO198" s="1"/>
      <c r="XP198" s="1"/>
      <c r="XQ198" s="1"/>
      <c r="XR198" s="1"/>
      <c r="XS198" s="1"/>
      <c r="XT198" s="1"/>
      <c r="XU198" s="1"/>
      <c r="XV198" s="1"/>
      <c r="XW198" s="1"/>
      <c r="XX198" s="1"/>
      <c r="XY198" s="1"/>
      <c r="XZ198" s="1"/>
      <c r="YA198" s="1"/>
      <c r="YB198" s="1"/>
      <c r="YC198" s="1"/>
      <c r="YD198" s="1"/>
      <c r="YE198" s="1"/>
      <c r="YF198" s="1"/>
      <c r="YG198" s="1"/>
      <c r="YH198" s="1"/>
      <c r="YI198" s="1"/>
      <c r="YJ198" s="1"/>
      <c r="YK198" s="1"/>
      <c r="YL198" s="1"/>
      <c r="YM198" s="1"/>
      <c r="YN198" s="1"/>
      <c r="YO198" s="1"/>
      <c r="YP198" s="1"/>
      <c r="YQ198" s="1"/>
      <c r="YR198" s="1"/>
      <c r="YS198" s="1"/>
      <c r="YT198" s="1"/>
      <c r="YU198" s="1"/>
      <c r="YV198" s="1"/>
      <c r="YW198" s="1"/>
      <c r="YX198" s="1"/>
      <c r="YY198" s="1"/>
      <c r="YZ198" s="1"/>
      <c r="ZA198" s="1"/>
      <c r="ZB198" s="1"/>
      <c r="ZC198" s="1"/>
      <c r="ZD198" s="1"/>
      <c r="ZE198" s="1"/>
      <c r="ZF198" s="1"/>
      <c r="ZG198" s="1"/>
      <c r="ZH198" s="1"/>
      <c r="ZI198" s="1"/>
      <c r="ZJ198" s="1"/>
      <c r="ZK198" s="1"/>
      <c r="ZL198" s="1"/>
      <c r="ZM198" s="1"/>
      <c r="ZN198" s="1"/>
      <c r="ZO198" s="1"/>
      <c r="ZP198" s="1"/>
      <c r="ZQ198" s="1"/>
      <c r="ZR198" s="1"/>
      <c r="ZS198" s="1"/>
      <c r="ZT198" s="1"/>
      <c r="ZU198" s="1"/>
      <c r="ZV198" s="1"/>
      <c r="ZW198" s="1"/>
      <c r="ZX198" s="1"/>
      <c r="ZY198" s="1"/>
      <c r="ZZ198" s="1"/>
      <c r="AAA198" s="1"/>
      <c r="AAB198" s="1"/>
      <c r="AAC198" s="1"/>
      <c r="AAD198" s="1"/>
      <c r="AAE198" s="1"/>
      <c r="AAF198" s="1"/>
      <c r="AAG198" s="1"/>
      <c r="AAH198" s="1"/>
      <c r="AAI198" s="1"/>
      <c r="AAJ198" s="1"/>
      <c r="AAK198" s="1"/>
      <c r="AAL198" s="1"/>
      <c r="AAM198" s="1"/>
      <c r="AAN198" s="1"/>
      <c r="AAO198" s="1"/>
      <c r="AAP198" s="1"/>
      <c r="AAQ198" s="1"/>
      <c r="AAR198" s="1"/>
      <c r="AAS198" s="1"/>
      <c r="AAT198" s="1"/>
      <c r="AAU198" s="1"/>
      <c r="AAV198" s="1"/>
      <c r="AAW198" s="1"/>
      <c r="AAX198" s="1"/>
      <c r="AAY198" s="1"/>
      <c r="AAZ198" s="1"/>
      <c r="ABA198" s="1"/>
      <c r="ABB198" s="1"/>
      <c r="ABC198" s="1"/>
      <c r="ABD198" s="1"/>
      <c r="ABE198" s="1"/>
      <c r="ABF198" s="1"/>
      <c r="ABG198" s="1"/>
      <c r="ABH198" s="1"/>
      <c r="ABI198" s="1"/>
      <c r="ABJ198" s="1"/>
      <c r="ABK198" s="1"/>
      <c r="ABL198" s="1"/>
      <c r="ABM198" s="1"/>
      <c r="ABN198" s="1"/>
      <c r="ABO198" s="1"/>
      <c r="ABP198" s="1"/>
      <c r="ABQ198" s="1"/>
      <c r="ABR198" s="1"/>
      <c r="ABS198" s="1"/>
      <c r="ABT198" s="1"/>
      <c r="ABU198" s="1"/>
      <c r="ABV198" s="1"/>
      <c r="ABW198" s="1"/>
      <c r="ABX198" s="1"/>
      <c r="ABY198" s="1"/>
      <c r="ABZ198" s="1"/>
      <c r="ACA198" s="1"/>
      <c r="ACB198" s="1"/>
      <c r="ACC198" s="1"/>
      <c r="ACD198" s="1"/>
      <c r="ACE198" s="1"/>
      <c r="ACF198" s="1"/>
      <c r="ACG198" s="1"/>
      <c r="ACH198" s="1"/>
      <c r="ACI198" s="1"/>
      <c r="ACJ198" s="1"/>
      <c r="ACK198" s="1"/>
      <c r="ACL198" s="1"/>
      <c r="ACM198" s="1"/>
      <c r="ACN198" s="1"/>
      <c r="ACO198" s="1"/>
      <c r="ACP198" s="1"/>
      <c r="ACQ198" s="1"/>
      <c r="ACR198" s="1"/>
      <c r="ACS198" s="1"/>
      <c r="ACT198" s="1"/>
      <c r="ACU198" s="1"/>
      <c r="ACV198" s="1"/>
      <c r="ACW198" s="1"/>
      <c r="ACX198" s="1"/>
      <c r="ACY198" s="1"/>
      <c r="ACZ198" s="1"/>
      <c r="ADA198" s="1"/>
      <c r="ADB198" s="1"/>
      <c r="ADC198" s="1"/>
      <c r="ADD198" s="1"/>
      <c r="ADE198" s="1"/>
      <c r="ADF198" s="1"/>
      <c r="ADG198" s="1"/>
      <c r="ADH198" s="1"/>
      <c r="ADI198" s="1"/>
      <c r="ADJ198" s="1"/>
      <c r="ADK198" s="1"/>
      <c r="ADL198" s="1"/>
      <c r="ADM198" s="1"/>
      <c r="ADN198" s="1"/>
      <c r="ADO198" s="1"/>
      <c r="ADP198" s="1"/>
      <c r="ADQ198" s="1"/>
      <c r="ADR198" s="1"/>
      <c r="ADS198" s="1"/>
      <c r="ADT198" s="1"/>
      <c r="ADU198" s="1"/>
      <c r="ADV198" s="1"/>
      <c r="ADW198" s="1"/>
      <c r="ADX198" s="1"/>
      <c r="ADY198" s="1"/>
      <c r="ADZ198" s="1"/>
      <c r="AEA198" s="1"/>
      <c r="AEB198" s="1"/>
      <c r="AEC198" s="1"/>
      <c r="AED198" s="1"/>
      <c r="AEE198" s="1"/>
      <c r="AEF198" s="1"/>
      <c r="AEG198" s="1"/>
      <c r="AEH198" s="1"/>
      <c r="AEI198" s="1"/>
      <c r="AEJ198" s="1"/>
      <c r="AEK198" s="1"/>
      <c r="AEL198" s="1"/>
      <c r="AEM198" s="1"/>
      <c r="AEN198" s="1"/>
      <c r="AEO198" s="1"/>
      <c r="AEP198" s="1"/>
      <c r="AEQ198" s="1"/>
      <c r="AER198" s="1"/>
      <c r="AES198" s="1"/>
      <c r="AET198" s="1"/>
      <c r="AEU198" s="1"/>
      <c r="AEV198" s="1"/>
      <c r="AEW198" s="1"/>
      <c r="AEX198" s="1"/>
      <c r="AEY198" s="1"/>
      <c r="AEZ198" s="1"/>
      <c r="AFA198" s="1"/>
      <c r="AFB198" s="1"/>
      <c r="AFC198" s="1"/>
      <c r="AFD198" s="1"/>
      <c r="AFE198" s="1"/>
      <c r="AFF198" s="1"/>
      <c r="AFG198" s="1"/>
      <c r="AFH198" s="1"/>
      <c r="AFI198" s="1"/>
      <c r="AFJ198" s="1"/>
      <c r="AFK198" s="1"/>
      <c r="AFL198" s="1"/>
      <c r="AFM198" s="1"/>
      <c r="AFN198" s="1"/>
      <c r="AFO198" s="1"/>
      <c r="AFP198" s="1"/>
      <c r="AFQ198" s="1"/>
      <c r="AFR198" s="1"/>
      <c r="AFS198" s="1"/>
      <c r="AFT198" s="1"/>
      <c r="AFU198" s="1"/>
      <c r="AFV198" s="1"/>
      <c r="AFW198" s="1"/>
      <c r="AFX198" s="1"/>
      <c r="AFY198" s="1"/>
      <c r="AFZ198" s="1"/>
      <c r="AGA198" s="1"/>
      <c r="AGB198" s="1"/>
      <c r="AGC198" s="1"/>
      <c r="AGD198" s="1"/>
      <c r="AGE198" s="1"/>
      <c r="AGF198" s="1"/>
      <c r="AGG198" s="1"/>
      <c r="AGH198" s="1"/>
      <c r="AGI198" s="1"/>
      <c r="AGJ198" s="1"/>
      <c r="AGK198" s="1"/>
      <c r="AGL198" s="1"/>
      <c r="AGM198" s="1"/>
      <c r="AGN198" s="1"/>
      <c r="AGO198" s="1"/>
      <c r="AGP198" s="1"/>
      <c r="AGQ198" s="1"/>
      <c r="AGR198" s="1"/>
      <c r="AGS198" s="1"/>
      <c r="AGT198" s="1"/>
      <c r="AGU198" s="1"/>
      <c r="AGV198" s="1"/>
      <c r="AGW198" s="1"/>
      <c r="AGX198" s="1"/>
      <c r="AGY198" s="1"/>
      <c r="AGZ198" s="1"/>
      <c r="AHA198" s="1"/>
      <c r="AHB198" s="1"/>
      <c r="AHC198" s="1"/>
      <c r="AHD198" s="1"/>
      <c r="AHE198" s="1"/>
      <c r="AHF198" s="1"/>
      <c r="AHG198" s="1"/>
      <c r="AHH198" s="1"/>
      <c r="AHI198" s="1"/>
      <c r="AHJ198" s="1"/>
      <c r="AHK198" s="1"/>
      <c r="AHL198" s="1"/>
      <c r="AHM198" s="1"/>
      <c r="AHN198" s="1"/>
      <c r="AHO198" s="1"/>
      <c r="AHP198" s="1"/>
      <c r="AHQ198" s="1"/>
      <c r="AHR198" s="1"/>
      <c r="AHS198" s="1"/>
      <c r="AHT198" s="1"/>
      <c r="AHU198" s="1"/>
      <c r="AHV198" s="1"/>
      <c r="AHW198" s="1"/>
      <c r="AHX198" s="1"/>
      <c r="AHY198" s="1"/>
      <c r="AHZ198" s="1"/>
      <c r="AIA198" s="1"/>
      <c r="AIB198" s="1"/>
      <c r="AIC198" s="1"/>
      <c r="AID198" s="1"/>
      <c r="AIE198" s="1"/>
      <c r="AIF198" s="1"/>
      <c r="AIG198" s="1"/>
      <c r="AIH198" s="1"/>
      <c r="AII198" s="1"/>
      <c r="AIJ198" s="1"/>
      <c r="AIK198" s="1"/>
      <c r="AIL198" s="1"/>
      <c r="AIM198" s="1"/>
      <c r="AIN198" s="1"/>
      <c r="AIO198" s="1"/>
      <c r="AIP198" s="1"/>
      <c r="AIQ198" s="1"/>
      <c r="AIR198" s="1"/>
      <c r="AIS198" s="1"/>
      <c r="AIT198" s="1"/>
      <c r="AIU198" s="1"/>
      <c r="AIV198" s="1"/>
      <c r="AIW198" s="1"/>
      <c r="AIX198" s="1"/>
      <c r="AIY198" s="1"/>
      <c r="AIZ198" s="1"/>
      <c r="AJA198" s="1"/>
      <c r="AJB198" s="1"/>
      <c r="AJC198" s="1"/>
      <c r="AJD198" s="1"/>
      <c r="AJE198" s="1"/>
      <c r="AJF198" s="1"/>
      <c r="AJG198" s="1"/>
      <c r="AJH198" s="1"/>
      <c r="AJI198" s="1"/>
      <c r="AJJ198" s="1"/>
      <c r="AJK198" s="1"/>
      <c r="AJL198" s="1"/>
      <c r="AJM198" s="1"/>
      <c r="AJN198" s="1"/>
      <c r="AJO198" s="1"/>
      <c r="AJP198" s="1"/>
      <c r="AJQ198" s="1"/>
      <c r="AJR198" s="1"/>
      <c r="AJS198" s="1"/>
      <c r="AJT198" s="1"/>
      <c r="AJU198" s="1"/>
      <c r="AJV198" s="1"/>
      <c r="AJW198" s="1"/>
      <c r="AJX198" s="1"/>
      <c r="AJY198" s="1"/>
      <c r="AJZ198" s="1"/>
      <c r="AKA198" s="1"/>
      <c r="AKB198" s="1"/>
      <c r="AKC198" s="1"/>
      <c r="AKD198" s="1"/>
      <c r="AKE198" s="1"/>
      <c r="AKF198" s="1"/>
      <c r="AKG198" s="1"/>
      <c r="AKH198" s="1"/>
      <c r="AKI198" s="1"/>
      <c r="AKJ198" s="1"/>
      <c r="AKK198" s="1"/>
      <c r="AKL198" s="1"/>
      <c r="AKM198" s="1"/>
      <c r="AKN198" s="1"/>
      <c r="AKO198" s="1"/>
      <c r="AKP198" s="1"/>
      <c r="AKQ198" s="1"/>
      <c r="AKR198" s="1"/>
      <c r="AKS198" s="1"/>
      <c r="AKT198" s="1"/>
      <c r="AKU198" s="1"/>
      <c r="AKV198" s="1"/>
      <c r="AKW198" s="1"/>
      <c r="AKX198" s="1"/>
      <c r="AKY198" s="1"/>
      <c r="AKZ198" s="1"/>
      <c r="ALA198" s="1"/>
      <c r="ALB198" s="1"/>
      <c r="ALC198" s="1"/>
      <c r="ALD198" s="1"/>
      <c r="ALE198" s="1"/>
      <c r="ALF198" s="1"/>
      <c r="ALG198" s="1"/>
      <c r="ALH198" s="1"/>
      <c r="ALI198" s="1"/>
      <c r="ALJ198" s="1"/>
      <c r="ALK198" s="1"/>
      <c r="ALL198" s="1"/>
      <c r="ALM198" s="1"/>
      <c r="ALN198" s="1"/>
      <c r="ALO198" s="1"/>
      <c r="ALP198" s="1"/>
      <c r="ALQ198" s="1"/>
      <c r="ALR198" s="1"/>
      <c r="ALS198" s="1"/>
      <c r="ALT198" s="1"/>
      <c r="ALU198" s="1"/>
      <c r="ALV198" s="1"/>
      <c r="ALW198" s="1"/>
      <c r="ALX198" s="1"/>
      <c r="ALY198" s="1"/>
      <c r="ALZ198" s="1"/>
      <c r="AMA198" s="1"/>
      <c r="AMB198" s="1"/>
      <c r="AMC198" s="1"/>
      <c r="AMD198" s="1"/>
      <c r="AME198" s="1"/>
      <c r="AMF198" s="1"/>
      <c r="AMG198" s="1"/>
      <c r="AMH198" s="1"/>
      <c r="AMI198" s="1"/>
      <c r="AMJ198" s="1"/>
      <c r="AMK198" s="1"/>
      <c r="AML198" s="1"/>
      <c r="AMM198" s="1"/>
      <c r="AMN198" s="1"/>
      <c r="AMO198" s="1"/>
    </row>
    <row r="199" spans="1:1030" x14ac:dyDescent="0.2">
      <c r="A199" s="3" t="str">
        <f t="shared" si="669"/>
        <v>oprm_mouse_4DKL</v>
      </c>
      <c r="B199" s="3" t="s">
        <v>918</v>
      </c>
      <c r="C199" s="3" t="s">
        <v>65</v>
      </c>
      <c r="D199" s="3" t="str">
        <f>IFERROR(MID(VLOOKUP($B199,Seqs!$A:$B,2,0),E199,1),"")</f>
        <v>M</v>
      </c>
      <c r="E199" s="3">
        <v>65</v>
      </c>
      <c r="F199" s="3" t="str">
        <f>IFERROR(MID(VLOOKUP($B199,Seqs!$A:$B,2,0),G199,1),"")</f>
        <v>Y</v>
      </c>
      <c r="G199" s="3">
        <v>96</v>
      </c>
      <c r="H199" s="3" t="str">
        <f>IFERROR(MID(VLOOKUP($B199,Seqs!$A:$B,2,0),I199,1),"")</f>
        <v>T</v>
      </c>
      <c r="I199" s="23">
        <v>97</v>
      </c>
      <c r="J199" s="3" t="str">
        <f>IFERROR(MID(VLOOKUP($B199,Seqs!$A:$B,2,0),K199,1),"")</f>
        <v>K</v>
      </c>
      <c r="K199" s="23">
        <v>100</v>
      </c>
      <c r="L199" s="3" t="str">
        <f>IFERROR(MID(VLOOKUP($B199,Seqs!$A:$B,2,0),M199,1),"")</f>
        <v>T</v>
      </c>
      <c r="M199" s="3">
        <v>101</v>
      </c>
      <c r="N199" s="3" t="str">
        <f>IFERROR(MID(VLOOKUP($B199,Seqs!$A:$B,2,0),O199,1),"")</f>
        <v>M</v>
      </c>
      <c r="O199" s="3">
        <v>130</v>
      </c>
      <c r="P199" s="3" t="str">
        <f>IFERROR(MID(VLOOKUP($B199,Seqs!$A:$B,2,0),Q199,1),"")</f>
        <v>T</v>
      </c>
      <c r="Q199" s="3">
        <v>132</v>
      </c>
      <c r="R199" s="3" t="str">
        <f>IFERROR(MID(VLOOKUP($B199,Seqs!$A:$B,2,0),S199,1),"")</f>
        <v>F</v>
      </c>
      <c r="S199" s="3">
        <v>135</v>
      </c>
      <c r="T199" s="3" t="str">
        <f>IFERROR(MID(VLOOKUP($B199,Seqs!$A:$B,2,0),U199,1),"")</f>
        <v>G</v>
      </c>
      <c r="U199" s="3">
        <v>136</v>
      </c>
      <c r="V199" s="3" t="str">
        <f>IFERROR(MID(VLOOKUP($B199,Seqs!$A:$B,2,0),W199,1),"")</f>
        <v>H</v>
      </c>
      <c r="W199" s="3">
        <v>171</v>
      </c>
      <c r="X199" s="3" t="str">
        <f>IFERROR(MID(VLOOKUP($B199,Seqs!$A:$B,2,0),Y199,1),"")</f>
        <v>P</v>
      </c>
      <c r="Y199" s="3">
        <v>172</v>
      </c>
      <c r="Z199" s="3" t="str">
        <f>IFERROR(MID(VLOOKUP($B199,Seqs!$A:$B,2,0),AA199,1),"")</f>
        <v>R</v>
      </c>
      <c r="AA199" s="3">
        <v>179</v>
      </c>
      <c r="AB199" s="3" t="str">
        <f>IFERROR(MID(VLOOKUP($B199,Seqs!$A:$B,2,0),AC199,1),"")</f>
        <v>T</v>
      </c>
      <c r="AC199" s="9">
        <v>180</v>
      </c>
      <c r="AD199" s="3" t="str">
        <f>IFERROR(MID(VLOOKUP($B199,Seqs!$A:$B,2,0),AE199,1),"")</f>
        <v>A</v>
      </c>
      <c r="AE199" s="3">
        <v>206</v>
      </c>
      <c r="AF199" s="3" t="str">
        <f>IFERROR(MID(VLOOKUP($B199,Seqs!$A:$B,2,0),AG199,1),"")</f>
        <v>C</v>
      </c>
      <c r="AG199" s="3">
        <v>217</v>
      </c>
      <c r="AH199" s="3" t="str">
        <f>IFERROR(MID(VLOOKUP($B199,Seqs!$A:$B,2,0),AI199,1),"")</f>
        <v>L</v>
      </c>
      <c r="AI199" s="3">
        <v>219</v>
      </c>
      <c r="AJ199" s="3" t="str">
        <f>IFERROR(MID(VLOOKUP($B199,Seqs!$A:$B,2,0),AK199,1),"")</f>
        <v>T</v>
      </c>
      <c r="AK199" s="3">
        <v>225</v>
      </c>
      <c r="AL199" s="3" t="str">
        <f>IFERROR(MID(VLOOKUP($B199,Seqs!$A:$B,2,0),AM199,1),"")</f>
        <v>L</v>
      </c>
      <c r="AM199" s="3">
        <v>257</v>
      </c>
      <c r="AN199" s="3" t="str">
        <f>IFERROR(MID(VLOOKUP($B199,Seqs!$A:$B,2,0),AO199,1),"")</f>
        <v>N</v>
      </c>
      <c r="AO199" s="3">
        <v>274</v>
      </c>
      <c r="AP199" s="3" t="str">
        <f>IFERROR(MID(VLOOKUP($B199,Seqs!$A:$B,2,0),AQ199,1),"")</f>
        <v>I</v>
      </c>
      <c r="AQ199" s="3">
        <v>306</v>
      </c>
      <c r="AR199" s="3" t="str">
        <f>IFERROR(MID(VLOOKUP($B199,Seqs!$A:$B,2,0),AS199,1),"")</f>
        <v>T</v>
      </c>
      <c r="AS199" s="3">
        <v>311</v>
      </c>
      <c r="AT199" s="3" t="str">
        <f>IFERROR(MID(VLOOKUP($B199,Seqs!$A:$B,2,0),AU199,1),"")</f>
        <v>L</v>
      </c>
      <c r="AU199" s="3">
        <v>339</v>
      </c>
      <c r="AV199" s="3" t="str">
        <f>IFERROR(MID(VLOOKUP($B199,Seqs!$A:$B,2,0),AW199,1),"")</f>
        <v>D</v>
      </c>
      <c r="AW199" s="3">
        <v>340</v>
      </c>
      <c r="AX199" s="3" t="str">
        <f>IFERROR(MID(VLOOKUP($B199,Seqs!$A:$B,2,0),AY199,1),"")</f>
        <v>I</v>
      </c>
      <c r="AY199" s="3">
        <v>352</v>
      </c>
      <c r="AZ199" s="77" t="str">
        <f>VLOOKUP(B199,Classification!A:D,2,0)</f>
        <v>A</v>
      </c>
      <c r="BA199" s="94" t="str">
        <f>VLOOKUP(B199,Classification!A:D,4,0)</f>
        <v>Opioid</v>
      </c>
      <c r="BB199" s="27" t="b">
        <f t="shared" si="670"/>
        <v>1</v>
      </c>
      <c r="BC199" s="23">
        <f t="shared" si="643"/>
        <v>252</v>
      </c>
      <c r="BD199" s="2" t="s">
        <v>1383</v>
      </c>
      <c r="BE199" s="3" t="s">
        <v>1381</v>
      </c>
      <c r="BF199" s="119">
        <v>2.8</v>
      </c>
      <c r="BG199" s="49" t="s">
        <v>1384</v>
      </c>
      <c r="BH199" s="49" t="s">
        <v>1384</v>
      </c>
      <c r="BI199" s="1"/>
      <c r="BJ199" s="70" t="s">
        <v>1293</v>
      </c>
      <c r="BK199" s="57" t="s">
        <v>1293</v>
      </c>
      <c r="BL199" s="57" t="s">
        <v>1293</v>
      </c>
      <c r="BM199" s="57" t="s">
        <v>1293</v>
      </c>
      <c r="BN199" s="57" t="s">
        <v>1293</v>
      </c>
      <c r="BO199" s="57" t="s">
        <v>1293</v>
      </c>
      <c r="BP199" s="57" t="s">
        <v>1293</v>
      </c>
      <c r="BQ199" s="57" t="s">
        <v>1293</v>
      </c>
      <c r="BR199" s="57" t="s">
        <v>1293</v>
      </c>
      <c r="BS199" s="57" t="s">
        <v>1293</v>
      </c>
      <c r="BT199" s="57" t="s">
        <v>1293</v>
      </c>
      <c r="BU199" s="57" t="s">
        <v>1293</v>
      </c>
      <c r="BV199" s="70">
        <f t="shared" si="644"/>
        <v>65</v>
      </c>
      <c r="BW199" s="71">
        <f t="shared" si="645"/>
        <v>97</v>
      </c>
      <c r="BX199" s="72">
        <f t="shared" si="646"/>
        <v>101</v>
      </c>
      <c r="BY199" s="71">
        <f t="shared" si="647"/>
        <v>132</v>
      </c>
      <c r="BZ199" s="72">
        <f t="shared" si="648"/>
        <v>136</v>
      </c>
      <c r="CA199" s="71">
        <f t="shared" si="649"/>
        <v>172</v>
      </c>
      <c r="CB199" s="72">
        <f t="shared" si="650"/>
        <v>180</v>
      </c>
      <c r="CC199" s="71">
        <f t="shared" si="651"/>
        <v>217</v>
      </c>
      <c r="CD199" s="72">
        <f t="shared" si="652"/>
        <v>225</v>
      </c>
      <c r="CE199" s="71">
        <f t="shared" si="653"/>
        <v>274</v>
      </c>
      <c r="CF199" s="72">
        <f t="shared" si="654"/>
        <v>311</v>
      </c>
      <c r="CG199" s="71">
        <f t="shared" si="655"/>
        <v>340</v>
      </c>
      <c r="CH199" s="70">
        <f t="shared" si="656"/>
        <v>96</v>
      </c>
      <c r="CI199" s="71">
        <f t="shared" si="657"/>
        <v>100</v>
      </c>
      <c r="CJ199" s="72">
        <f t="shared" si="658"/>
        <v>130</v>
      </c>
      <c r="CK199" s="72">
        <f t="shared" si="659"/>
        <v>135</v>
      </c>
      <c r="CL199" s="72">
        <f t="shared" si="660"/>
        <v>171</v>
      </c>
      <c r="CM199" s="72">
        <f t="shared" si="661"/>
        <v>179</v>
      </c>
      <c r="CN199" s="72">
        <f t="shared" si="662"/>
        <v>206</v>
      </c>
      <c r="CO199" s="72">
        <f t="shared" si="663"/>
        <v>219</v>
      </c>
      <c r="CP199" s="72">
        <f t="shared" si="664"/>
        <v>257</v>
      </c>
      <c r="CQ199" s="72">
        <f t="shared" si="665"/>
        <v>306</v>
      </c>
      <c r="CR199" s="72">
        <f t="shared" si="666"/>
        <v>339</v>
      </c>
      <c r="CS199" s="72">
        <f t="shared" si="667"/>
        <v>352</v>
      </c>
      <c r="CT199" s="23">
        <f t="shared" si="668"/>
        <v>1</v>
      </c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  <c r="OK199" s="1"/>
      <c r="OL199" s="1"/>
      <c r="OM199" s="1"/>
      <c r="ON199" s="1"/>
      <c r="OO199" s="1"/>
      <c r="OP199" s="1"/>
      <c r="OQ199" s="1"/>
      <c r="OR199" s="1"/>
      <c r="OS199" s="1"/>
      <c r="OT199" s="1"/>
      <c r="OU199" s="1"/>
      <c r="OV199" s="1"/>
      <c r="OW199" s="1"/>
      <c r="OX199" s="1"/>
      <c r="OY199" s="1"/>
      <c r="OZ199" s="1"/>
      <c r="PA199" s="1"/>
      <c r="PB199" s="1"/>
      <c r="PC199" s="1"/>
      <c r="PD199" s="1"/>
      <c r="PE199" s="1"/>
      <c r="PF199" s="1"/>
      <c r="PG199" s="1"/>
      <c r="PH199" s="1"/>
      <c r="PI199" s="1"/>
      <c r="PJ199" s="1"/>
      <c r="PK199" s="1"/>
      <c r="PL199" s="1"/>
      <c r="PM199" s="1"/>
      <c r="PN199" s="1"/>
      <c r="PO199" s="1"/>
      <c r="PP199" s="1"/>
      <c r="PQ199" s="1"/>
      <c r="PR199" s="1"/>
      <c r="PS199" s="1"/>
      <c r="PT199" s="1"/>
      <c r="PU199" s="1"/>
      <c r="PV199" s="1"/>
      <c r="PW199" s="1"/>
      <c r="PX199" s="1"/>
      <c r="PY199" s="1"/>
      <c r="PZ199" s="1"/>
      <c r="QA199" s="1"/>
      <c r="QB199" s="1"/>
      <c r="QC199" s="1"/>
      <c r="QD199" s="1"/>
      <c r="QE199" s="1"/>
      <c r="QF199" s="1"/>
      <c r="QG199" s="1"/>
      <c r="QH199" s="1"/>
      <c r="QI199" s="1"/>
      <c r="QJ199" s="1"/>
      <c r="QK199" s="1"/>
      <c r="QL199" s="1"/>
      <c r="QM199" s="1"/>
      <c r="QN199" s="1"/>
      <c r="QO199" s="1"/>
      <c r="QP199" s="1"/>
      <c r="QQ199" s="1"/>
      <c r="QR199" s="1"/>
      <c r="QS199" s="1"/>
      <c r="QT199" s="1"/>
      <c r="QU199" s="1"/>
      <c r="QV199" s="1"/>
      <c r="QW199" s="1"/>
      <c r="QX199" s="1"/>
      <c r="QY199" s="1"/>
      <c r="QZ199" s="1"/>
      <c r="RA199" s="1"/>
      <c r="RB199" s="1"/>
      <c r="RC199" s="1"/>
      <c r="RD199" s="1"/>
      <c r="RE199" s="1"/>
      <c r="RF199" s="1"/>
      <c r="RG199" s="1"/>
      <c r="RH199" s="1"/>
      <c r="RI199" s="1"/>
      <c r="RJ199" s="1"/>
      <c r="RK199" s="1"/>
      <c r="RL199" s="1"/>
      <c r="RM199" s="1"/>
      <c r="RN199" s="1"/>
      <c r="RO199" s="1"/>
      <c r="RP199" s="1"/>
      <c r="RQ199" s="1"/>
      <c r="RR199" s="1"/>
      <c r="RS199" s="1"/>
      <c r="RT199" s="1"/>
      <c r="RU199" s="1"/>
      <c r="RV199" s="1"/>
      <c r="RW199" s="1"/>
      <c r="RX199" s="1"/>
      <c r="RY199" s="1"/>
      <c r="RZ199" s="1"/>
      <c r="SA199" s="1"/>
      <c r="SB199" s="1"/>
      <c r="SC199" s="1"/>
      <c r="SD199" s="1"/>
      <c r="SE199" s="1"/>
      <c r="SF199" s="1"/>
      <c r="SG199" s="1"/>
      <c r="SH199" s="1"/>
      <c r="SI199" s="1"/>
      <c r="SJ199" s="1"/>
      <c r="SK199" s="1"/>
      <c r="SL199" s="1"/>
      <c r="SM199" s="1"/>
      <c r="SN199" s="1"/>
      <c r="SO199" s="1"/>
      <c r="SP199" s="1"/>
      <c r="SQ199" s="1"/>
      <c r="SR199" s="1"/>
      <c r="SS199" s="1"/>
      <c r="ST199" s="1"/>
      <c r="SU199" s="1"/>
      <c r="SV199" s="1"/>
      <c r="SW199" s="1"/>
      <c r="SX199" s="1"/>
      <c r="SY199" s="1"/>
      <c r="SZ199" s="1"/>
      <c r="TA199" s="1"/>
      <c r="TB199" s="1"/>
      <c r="TC199" s="1"/>
      <c r="TD199" s="1"/>
      <c r="TE199" s="1"/>
      <c r="TF199" s="1"/>
      <c r="TG199" s="1"/>
      <c r="TH199" s="1"/>
      <c r="TI199" s="1"/>
      <c r="TJ199" s="1"/>
      <c r="TK199" s="1"/>
      <c r="TL199" s="1"/>
      <c r="TM199" s="1"/>
      <c r="TN199" s="1"/>
      <c r="TO199" s="1"/>
      <c r="TP199" s="1"/>
      <c r="TQ199" s="1"/>
      <c r="TR199" s="1"/>
      <c r="TS199" s="1"/>
      <c r="TT199" s="1"/>
      <c r="TU199" s="1"/>
      <c r="TV199" s="1"/>
      <c r="TW199" s="1"/>
      <c r="TX199" s="1"/>
      <c r="TY199" s="1"/>
      <c r="TZ199" s="1"/>
      <c r="UA199" s="1"/>
      <c r="UB199" s="1"/>
      <c r="UC199" s="1"/>
      <c r="UD199" s="1"/>
      <c r="UE199" s="1"/>
      <c r="UF199" s="1"/>
      <c r="UG199" s="1"/>
      <c r="UH199" s="1"/>
      <c r="UI199" s="1"/>
      <c r="UJ199" s="1"/>
      <c r="UK199" s="1"/>
      <c r="UL199" s="1"/>
      <c r="UM199" s="1"/>
      <c r="UN199" s="1"/>
      <c r="UO199" s="1"/>
      <c r="UP199" s="1"/>
      <c r="UQ199" s="1"/>
      <c r="UR199" s="1"/>
      <c r="US199" s="1"/>
      <c r="UT199" s="1"/>
      <c r="UU199" s="1"/>
      <c r="UV199" s="1"/>
      <c r="UW199" s="1"/>
      <c r="UX199" s="1"/>
      <c r="UY199" s="1"/>
      <c r="UZ199" s="1"/>
      <c r="VA199" s="1"/>
      <c r="VB199" s="1"/>
      <c r="VC199" s="1"/>
      <c r="VD199" s="1"/>
      <c r="VE199" s="1"/>
      <c r="VF199" s="1"/>
      <c r="VG199" s="1"/>
      <c r="VH199" s="1"/>
      <c r="VI199" s="1"/>
      <c r="VJ199" s="1"/>
      <c r="VK199" s="1"/>
      <c r="VL199" s="1"/>
      <c r="VM199" s="1"/>
      <c r="VN199" s="1"/>
      <c r="VO199" s="1"/>
      <c r="VP199" s="1"/>
      <c r="VQ199" s="1"/>
      <c r="VR199" s="1"/>
      <c r="VS199" s="1"/>
      <c r="VT199" s="1"/>
      <c r="VU199" s="1"/>
      <c r="VV199" s="1"/>
      <c r="VW199" s="1"/>
      <c r="VX199" s="1"/>
      <c r="VY199" s="1"/>
      <c r="VZ199" s="1"/>
      <c r="WA199" s="1"/>
      <c r="WB199" s="1"/>
      <c r="WC199" s="1"/>
      <c r="WD199" s="1"/>
      <c r="WE199" s="1"/>
      <c r="WF199" s="1"/>
      <c r="WG199" s="1"/>
      <c r="WH199" s="1"/>
      <c r="WI199" s="1"/>
      <c r="WJ199" s="1"/>
      <c r="WK199" s="1"/>
      <c r="WL199" s="1"/>
      <c r="WM199" s="1"/>
      <c r="WN199" s="1"/>
      <c r="WO199" s="1"/>
      <c r="WP199" s="1"/>
      <c r="WQ199" s="1"/>
      <c r="WR199" s="1"/>
      <c r="WS199" s="1"/>
      <c r="WT199" s="1"/>
      <c r="WU199" s="1"/>
      <c r="WV199" s="1"/>
      <c r="WW199" s="1"/>
      <c r="WX199" s="1"/>
      <c r="WY199" s="1"/>
      <c r="WZ199" s="1"/>
      <c r="XA199" s="1"/>
      <c r="XB199" s="1"/>
      <c r="XC199" s="1"/>
      <c r="XD199" s="1"/>
      <c r="XE199" s="1"/>
      <c r="XF199" s="1"/>
      <c r="XG199" s="1"/>
      <c r="XH199" s="1"/>
      <c r="XI199" s="1"/>
      <c r="XJ199" s="1"/>
      <c r="XK199" s="1"/>
      <c r="XL199" s="1"/>
      <c r="XM199" s="1"/>
      <c r="XN199" s="1"/>
      <c r="XO199" s="1"/>
      <c r="XP199" s="1"/>
      <c r="XQ199" s="1"/>
      <c r="XR199" s="1"/>
      <c r="XS199" s="1"/>
      <c r="XT199" s="1"/>
      <c r="XU199" s="1"/>
      <c r="XV199" s="1"/>
      <c r="XW199" s="1"/>
      <c r="XX199" s="1"/>
      <c r="XY199" s="1"/>
      <c r="XZ199" s="1"/>
      <c r="YA199" s="1"/>
      <c r="YB199" s="1"/>
      <c r="YC199" s="1"/>
      <c r="YD199" s="1"/>
      <c r="YE199" s="1"/>
      <c r="YF199" s="1"/>
      <c r="YG199" s="1"/>
      <c r="YH199" s="1"/>
      <c r="YI199" s="1"/>
      <c r="YJ199" s="1"/>
      <c r="YK199" s="1"/>
      <c r="YL199" s="1"/>
      <c r="YM199" s="1"/>
      <c r="YN199" s="1"/>
      <c r="YO199" s="1"/>
      <c r="YP199" s="1"/>
      <c r="YQ199" s="1"/>
      <c r="YR199" s="1"/>
      <c r="YS199" s="1"/>
      <c r="YT199" s="1"/>
      <c r="YU199" s="1"/>
      <c r="YV199" s="1"/>
      <c r="YW199" s="1"/>
      <c r="YX199" s="1"/>
      <c r="YY199" s="1"/>
      <c r="YZ199" s="1"/>
      <c r="ZA199" s="1"/>
      <c r="ZB199" s="1"/>
      <c r="ZC199" s="1"/>
      <c r="ZD199" s="1"/>
      <c r="ZE199" s="1"/>
      <c r="ZF199" s="1"/>
      <c r="ZG199" s="1"/>
      <c r="ZH199" s="1"/>
      <c r="ZI199" s="1"/>
      <c r="ZJ199" s="1"/>
      <c r="ZK199" s="1"/>
      <c r="ZL199" s="1"/>
      <c r="ZM199" s="1"/>
      <c r="ZN199" s="1"/>
      <c r="ZO199" s="1"/>
      <c r="ZP199" s="1"/>
      <c r="ZQ199" s="1"/>
      <c r="ZR199" s="1"/>
      <c r="ZS199" s="1"/>
      <c r="ZT199" s="1"/>
      <c r="ZU199" s="1"/>
      <c r="ZV199" s="1"/>
      <c r="ZW199" s="1"/>
      <c r="ZX199" s="1"/>
      <c r="ZY199" s="1"/>
      <c r="ZZ199" s="1"/>
      <c r="AAA199" s="1"/>
      <c r="AAB199" s="1"/>
      <c r="AAC199" s="1"/>
      <c r="AAD199" s="1"/>
      <c r="AAE199" s="1"/>
      <c r="AAF199" s="1"/>
      <c r="AAG199" s="1"/>
      <c r="AAH199" s="1"/>
      <c r="AAI199" s="1"/>
      <c r="AAJ199" s="1"/>
      <c r="AAK199" s="1"/>
      <c r="AAL199" s="1"/>
      <c r="AAM199" s="1"/>
      <c r="AAN199" s="1"/>
      <c r="AAO199" s="1"/>
      <c r="AAP199" s="1"/>
      <c r="AAQ199" s="1"/>
      <c r="AAR199" s="1"/>
      <c r="AAS199" s="1"/>
      <c r="AAT199" s="1"/>
      <c r="AAU199" s="1"/>
      <c r="AAV199" s="1"/>
      <c r="AAW199" s="1"/>
      <c r="AAX199" s="1"/>
      <c r="AAY199" s="1"/>
      <c r="AAZ199" s="1"/>
      <c r="ABA199" s="1"/>
      <c r="ABB199" s="1"/>
      <c r="ABC199" s="1"/>
      <c r="ABD199" s="1"/>
      <c r="ABE199" s="1"/>
      <c r="ABF199" s="1"/>
      <c r="ABG199" s="1"/>
      <c r="ABH199" s="1"/>
      <c r="ABI199" s="1"/>
      <c r="ABJ199" s="1"/>
      <c r="ABK199" s="1"/>
      <c r="ABL199" s="1"/>
      <c r="ABM199" s="1"/>
      <c r="ABN199" s="1"/>
      <c r="ABO199" s="1"/>
      <c r="ABP199" s="1"/>
      <c r="ABQ199" s="1"/>
      <c r="ABR199" s="1"/>
      <c r="ABS199" s="1"/>
      <c r="ABT199" s="1"/>
      <c r="ABU199" s="1"/>
      <c r="ABV199" s="1"/>
      <c r="ABW199" s="1"/>
      <c r="ABX199" s="1"/>
      <c r="ABY199" s="1"/>
      <c r="ABZ199" s="1"/>
      <c r="ACA199" s="1"/>
      <c r="ACB199" s="1"/>
      <c r="ACC199" s="1"/>
      <c r="ACD199" s="1"/>
      <c r="ACE199" s="1"/>
      <c r="ACF199" s="1"/>
      <c r="ACG199" s="1"/>
      <c r="ACH199" s="1"/>
      <c r="ACI199" s="1"/>
      <c r="ACJ199" s="1"/>
      <c r="ACK199" s="1"/>
      <c r="ACL199" s="1"/>
      <c r="ACM199" s="1"/>
      <c r="ACN199" s="1"/>
      <c r="ACO199" s="1"/>
      <c r="ACP199" s="1"/>
      <c r="ACQ199" s="1"/>
      <c r="ACR199" s="1"/>
      <c r="ACS199" s="1"/>
      <c r="ACT199" s="1"/>
      <c r="ACU199" s="1"/>
      <c r="ACV199" s="1"/>
      <c r="ACW199" s="1"/>
      <c r="ACX199" s="1"/>
      <c r="ACY199" s="1"/>
      <c r="ACZ199" s="1"/>
      <c r="ADA199" s="1"/>
      <c r="ADB199" s="1"/>
      <c r="ADC199" s="1"/>
      <c r="ADD199" s="1"/>
      <c r="ADE199" s="1"/>
      <c r="ADF199" s="1"/>
      <c r="ADG199" s="1"/>
      <c r="ADH199" s="1"/>
      <c r="ADI199" s="1"/>
      <c r="ADJ199" s="1"/>
      <c r="ADK199" s="1"/>
      <c r="ADL199" s="1"/>
      <c r="ADM199" s="1"/>
      <c r="ADN199" s="1"/>
      <c r="ADO199" s="1"/>
      <c r="ADP199" s="1"/>
      <c r="ADQ199" s="1"/>
      <c r="ADR199" s="1"/>
      <c r="ADS199" s="1"/>
      <c r="ADT199" s="1"/>
      <c r="ADU199" s="1"/>
      <c r="ADV199" s="1"/>
      <c r="ADW199" s="1"/>
      <c r="ADX199" s="1"/>
      <c r="ADY199" s="1"/>
      <c r="ADZ199" s="1"/>
      <c r="AEA199" s="1"/>
      <c r="AEB199" s="1"/>
      <c r="AEC199" s="1"/>
      <c r="AED199" s="1"/>
      <c r="AEE199" s="1"/>
      <c r="AEF199" s="1"/>
      <c r="AEG199" s="1"/>
      <c r="AEH199" s="1"/>
      <c r="AEI199" s="1"/>
      <c r="AEJ199" s="1"/>
      <c r="AEK199" s="1"/>
      <c r="AEL199" s="1"/>
      <c r="AEM199" s="1"/>
      <c r="AEN199" s="1"/>
      <c r="AEO199" s="1"/>
      <c r="AEP199" s="1"/>
      <c r="AEQ199" s="1"/>
      <c r="AER199" s="1"/>
      <c r="AES199" s="1"/>
      <c r="AET199" s="1"/>
      <c r="AEU199" s="1"/>
      <c r="AEV199" s="1"/>
      <c r="AEW199" s="1"/>
      <c r="AEX199" s="1"/>
      <c r="AEY199" s="1"/>
      <c r="AEZ199" s="1"/>
      <c r="AFA199" s="1"/>
      <c r="AFB199" s="1"/>
      <c r="AFC199" s="1"/>
      <c r="AFD199" s="1"/>
      <c r="AFE199" s="1"/>
      <c r="AFF199" s="1"/>
      <c r="AFG199" s="1"/>
      <c r="AFH199" s="1"/>
      <c r="AFI199" s="1"/>
      <c r="AFJ199" s="1"/>
      <c r="AFK199" s="1"/>
      <c r="AFL199" s="1"/>
      <c r="AFM199" s="1"/>
      <c r="AFN199" s="1"/>
      <c r="AFO199" s="1"/>
      <c r="AFP199" s="1"/>
      <c r="AFQ199" s="1"/>
      <c r="AFR199" s="1"/>
      <c r="AFS199" s="1"/>
      <c r="AFT199" s="1"/>
      <c r="AFU199" s="1"/>
      <c r="AFV199" s="1"/>
      <c r="AFW199" s="1"/>
      <c r="AFX199" s="1"/>
      <c r="AFY199" s="1"/>
      <c r="AFZ199" s="1"/>
      <c r="AGA199" s="1"/>
      <c r="AGB199" s="1"/>
      <c r="AGC199" s="1"/>
      <c r="AGD199" s="1"/>
      <c r="AGE199" s="1"/>
      <c r="AGF199" s="1"/>
      <c r="AGG199" s="1"/>
      <c r="AGH199" s="1"/>
      <c r="AGI199" s="1"/>
      <c r="AGJ199" s="1"/>
      <c r="AGK199" s="1"/>
      <c r="AGL199" s="1"/>
      <c r="AGM199" s="1"/>
      <c r="AGN199" s="1"/>
      <c r="AGO199" s="1"/>
      <c r="AGP199" s="1"/>
      <c r="AGQ199" s="1"/>
      <c r="AGR199" s="1"/>
      <c r="AGS199" s="1"/>
      <c r="AGT199" s="1"/>
      <c r="AGU199" s="1"/>
      <c r="AGV199" s="1"/>
      <c r="AGW199" s="1"/>
      <c r="AGX199" s="1"/>
      <c r="AGY199" s="1"/>
      <c r="AGZ199" s="1"/>
      <c r="AHA199" s="1"/>
      <c r="AHB199" s="1"/>
      <c r="AHC199" s="1"/>
      <c r="AHD199" s="1"/>
      <c r="AHE199" s="1"/>
      <c r="AHF199" s="1"/>
      <c r="AHG199" s="1"/>
      <c r="AHH199" s="1"/>
      <c r="AHI199" s="1"/>
      <c r="AHJ199" s="1"/>
      <c r="AHK199" s="1"/>
      <c r="AHL199" s="1"/>
      <c r="AHM199" s="1"/>
      <c r="AHN199" s="1"/>
      <c r="AHO199" s="1"/>
      <c r="AHP199" s="1"/>
      <c r="AHQ199" s="1"/>
      <c r="AHR199" s="1"/>
      <c r="AHS199" s="1"/>
      <c r="AHT199" s="1"/>
      <c r="AHU199" s="1"/>
      <c r="AHV199" s="1"/>
      <c r="AHW199" s="1"/>
      <c r="AHX199" s="1"/>
      <c r="AHY199" s="1"/>
      <c r="AHZ199" s="1"/>
      <c r="AIA199" s="1"/>
      <c r="AIB199" s="1"/>
      <c r="AIC199" s="1"/>
      <c r="AID199" s="1"/>
      <c r="AIE199" s="1"/>
      <c r="AIF199" s="1"/>
      <c r="AIG199" s="1"/>
      <c r="AIH199" s="1"/>
      <c r="AII199" s="1"/>
      <c r="AIJ199" s="1"/>
      <c r="AIK199" s="1"/>
      <c r="AIL199" s="1"/>
      <c r="AIM199" s="1"/>
      <c r="AIN199" s="1"/>
      <c r="AIO199" s="1"/>
      <c r="AIP199" s="1"/>
      <c r="AIQ199" s="1"/>
      <c r="AIR199" s="1"/>
      <c r="AIS199" s="1"/>
      <c r="AIT199" s="1"/>
      <c r="AIU199" s="1"/>
      <c r="AIV199" s="1"/>
      <c r="AIW199" s="1"/>
      <c r="AIX199" s="1"/>
      <c r="AIY199" s="1"/>
      <c r="AIZ199" s="1"/>
      <c r="AJA199" s="1"/>
      <c r="AJB199" s="1"/>
      <c r="AJC199" s="1"/>
      <c r="AJD199" s="1"/>
      <c r="AJE199" s="1"/>
      <c r="AJF199" s="1"/>
      <c r="AJG199" s="1"/>
      <c r="AJH199" s="1"/>
      <c r="AJI199" s="1"/>
      <c r="AJJ199" s="1"/>
      <c r="AJK199" s="1"/>
      <c r="AJL199" s="1"/>
      <c r="AJM199" s="1"/>
      <c r="AJN199" s="1"/>
      <c r="AJO199" s="1"/>
      <c r="AJP199" s="1"/>
      <c r="AJQ199" s="1"/>
      <c r="AJR199" s="1"/>
      <c r="AJS199" s="1"/>
      <c r="AJT199" s="1"/>
      <c r="AJU199" s="1"/>
      <c r="AJV199" s="1"/>
      <c r="AJW199" s="1"/>
      <c r="AJX199" s="1"/>
      <c r="AJY199" s="1"/>
      <c r="AJZ199" s="1"/>
      <c r="AKA199" s="1"/>
      <c r="AKB199" s="1"/>
      <c r="AKC199" s="1"/>
      <c r="AKD199" s="1"/>
      <c r="AKE199" s="1"/>
      <c r="AKF199" s="1"/>
      <c r="AKG199" s="1"/>
      <c r="AKH199" s="1"/>
      <c r="AKI199" s="1"/>
      <c r="AKJ199" s="1"/>
      <c r="AKK199" s="1"/>
      <c r="AKL199" s="1"/>
      <c r="AKM199" s="1"/>
      <c r="AKN199" s="1"/>
      <c r="AKO199" s="1"/>
      <c r="AKP199" s="1"/>
      <c r="AKQ199" s="1"/>
      <c r="AKR199" s="1"/>
      <c r="AKS199" s="1"/>
      <c r="AKT199" s="1"/>
      <c r="AKU199" s="1"/>
      <c r="AKV199" s="1"/>
      <c r="AKW199" s="1"/>
      <c r="AKX199" s="1"/>
      <c r="AKY199" s="1"/>
      <c r="AKZ199" s="1"/>
      <c r="ALA199" s="1"/>
      <c r="ALB199" s="1"/>
      <c r="ALC199" s="1"/>
      <c r="ALD199" s="1"/>
      <c r="ALE199" s="1"/>
      <c r="ALF199" s="1"/>
      <c r="ALG199" s="1"/>
      <c r="ALH199" s="1"/>
      <c r="ALI199" s="1"/>
      <c r="ALJ199" s="1"/>
      <c r="ALK199" s="1"/>
      <c r="ALL199" s="1"/>
      <c r="ALM199" s="1"/>
      <c r="ALN199" s="1"/>
      <c r="ALO199" s="1"/>
      <c r="ALP199" s="1"/>
      <c r="ALQ199" s="1"/>
      <c r="ALR199" s="1"/>
      <c r="ALS199" s="1"/>
      <c r="ALT199" s="1"/>
      <c r="ALU199" s="1"/>
      <c r="ALV199" s="1"/>
      <c r="ALW199" s="1"/>
      <c r="ALX199" s="1"/>
      <c r="ALY199" s="1"/>
      <c r="ALZ199" s="1"/>
      <c r="AMA199" s="1"/>
      <c r="AMB199" s="1"/>
      <c r="AMC199" s="1"/>
      <c r="AMD199" s="1"/>
      <c r="AME199" s="1"/>
      <c r="AMF199" s="1"/>
      <c r="AMG199" s="1"/>
      <c r="AMH199" s="1"/>
      <c r="AMI199" s="1"/>
      <c r="AMJ199" s="1"/>
      <c r="AMK199" s="1"/>
      <c r="AML199" s="1"/>
      <c r="AMM199" s="1"/>
      <c r="AMN199" s="1"/>
      <c r="AMO199" s="1"/>
    </row>
    <row r="200" spans="1:1030" x14ac:dyDescent="0.2">
      <c r="A200" s="3" t="str">
        <f t="shared" si="669"/>
        <v>oprm_mouse_5C1M</v>
      </c>
      <c r="B200" s="3" t="s">
        <v>918</v>
      </c>
      <c r="C200" s="3" t="s">
        <v>84</v>
      </c>
      <c r="D200" s="3" t="str">
        <f>IFERROR(MID(VLOOKUP($B200,Seqs!$A:$B,2,0),E200,1),"")</f>
        <v>M</v>
      </c>
      <c r="E200" s="3">
        <v>65</v>
      </c>
      <c r="F200" s="3" t="str">
        <f>IFERROR(MID(VLOOKUP($B200,Seqs!$A:$B,2,0),G200,1),"")</f>
        <v>Y</v>
      </c>
      <c r="G200" s="3">
        <v>96</v>
      </c>
      <c r="H200" s="3" t="str">
        <f>IFERROR(MID(VLOOKUP($B200,Seqs!$A:$B,2,0),I200,1),"")</f>
        <v/>
      </c>
      <c r="I200" s="23" t="s">
        <v>23</v>
      </c>
      <c r="J200" s="3" t="str">
        <f>IFERROR(MID(VLOOKUP($B200,Seqs!$A:$B,2,0),K200,1),"")</f>
        <v/>
      </c>
      <c r="K200" s="23" t="s">
        <v>23</v>
      </c>
      <c r="L200" s="3" t="str">
        <f>IFERROR(MID(VLOOKUP($B200,Seqs!$A:$B,2,0),M200,1),"")</f>
        <v>T</v>
      </c>
      <c r="M200" s="3">
        <v>101</v>
      </c>
      <c r="N200" s="3" t="str">
        <f>IFERROR(MID(VLOOKUP($B200,Seqs!$A:$B,2,0),O200,1),"")</f>
        <v>M</v>
      </c>
      <c r="O200" s="3">
        <v>130</v>
      </c>
      <c r="P200" s="3" t="str">
        <f>IFERROR(MID(VLOOKUP($B200,Seqs!$A:$B,2,0),Q200,1),"")</f>
        <v>T</v>
      </c>
      <c r="Q200" s="3">
        <v>132</v>
      </c>
      <c r="R200" s="3" t="str">
        <f>IFERROR(MID(VLOOKUP($B200,Seqs!$A:$B,2,0),S200,1),"")</f>
        <v>F</v>
      </c>
      <c r="S200" s="3">
        <v>135</v>
      </c>
      <c r="T200" s="3" t="str">
        <f>IFERROR(MID(VLOOKUP($B200,Seqs!$A:$B,2,0),U200,1),"")</f>
        <v>G</v>
      </c>
      <c r="U200" s="3">
        <v>136</v>
      </c>
      <c r="V200" s="3" t="str">
        <f>IFERROR(MID(VLOOKUP($B200,Seqs!$A:$B,2,0),W200,1),"")</f>
        <v>H</v>
      </c>
      <c r="W200" s="3">
        <v>171</v>
      </c>
      <c r="X200" s="3" t="str">
        <f>IFERROR(MID(VLOOKUP($B200,Seqs!$A:$B,2,0),Y200,1),"")</f>
        <v>P</v>
      </c>
      <c r="Y200" s="3">
        <v>172</v>
      </c>
      <c r="Z200" s="3" t="str">
        <f>IFERROR(MID(VLOOKUP($B200,Seqs!$A:$B,2,0),AA200,1),"")</f>
        <v>R</v>
      </c>
      <c r="AA200" s="3">
        <v>179</v>
      </c>
      <c r="AB200" s="3" t="str">
        <f>IFERROR(MID(VLOOKUP($B200,Seqs!$A:$B,2,0),AC200,1),"")</f>
        <v>T</v>
      </c>
      <c r="AC200" s="9">
        <v>180</v>
      </c>
      <c r="AD200" s="3" t="str">
        <f>IFERROR(MID(VLOOKUP($B200,Seqs!$A:$B,2,0),AE200,1),"")</f>
        <v>A</v>
      </c>
      <c r="AE200" s="3">
        <v>206</v>
      </c>
      <c r="AF200" s="3" t="str">
        <f>IFERROR(MID(VLOOKUP($B200,Seqs!$A:$B,2,0),AG200,1),"")</f>
        <v>C</v>
      </c>
      <c r="AG200" s="3">
        <v>217</v>
      </c>
      <c r="AH200" s="3" t="str">
        <f>IFERROR(MID(VLOOKUP($B200,Seqs!$A:$B,2,0),AI200,1),"")</f>
        <v>L</v>
      </c>
      <c r="AI200" s="3">
        <v>219</v>
      </c>
      <c r="AJ200" s="3" t="str">
        <f>IFERROR(MID(VLOOKUP($B200,Seqs!$A:$B,2,0),AK200,1),"")</f>
        <v>T</v>
      </c>
      <c r="AK200" s="3">
        <v>225</v>
      </c>
      <c r="AL200" s="3" t="str">
        <f>IFERROR(MID(VLOOKUP($B200,Seqs!$A:$B,2,0),AM200,1),"")</f>
        <v>V</v>
      </c>
      <c r="AM200" s="3">
        <v>262</v>
      </c>
      <c r="AN200" s="3" t="str">
        <f>IFERROR(MID(VLOOKUP($B200,Seqs!$A:$B,2,0),AO200,1),"")</f>
        <v>S</v>
      </c>
      <c r="AO200" s="3">
        <v>268</v>
      </c>
      <c r="AP200" s="3" t="str">
        <f>IFERROR(MID(VLOOKUP($B200,Seqs!$A:$B,2,0),AQ200,1),"")</f>
        <v>I</v>
      </c>
      <c r="AQ200" s="3">
        <v>306</v>
      </c>
      <c r="AR200" s="3" t="str">
        <f>IFERROR(MID(VLOOKUP($B200,Seqs!$A:$B,2,0),AS200,1),"")</f>
        <v>T</v>
      </c>
      <c r="AS200" s="3">
        <v>311</v>
      </c>
      <c r="AT200" s="3" t="str">
        <f>IFERROR(MID(VLOOKUP($B200,Seqs!$A:$B,2,0),AU200,1),"")</f>
        <v>P</v>
      </c>
      <c r="AU200" s="3">
        <v>333</v>
      </c>
      <c r="AV200" s="3" t="str">
        <f>IFERROR(MID(VLOOKUP($B200,Seqs!$A:$B,2,0),AW200,1),"")</f>
        <v/>
      </c>
      <c r="AW200" s="3" t="s">
        <v>23</v>
      </c>
      <c r="AX200" s="3" t="str">
        <f>IFERROR(MID(VLOOKUP($B200,Seqs!$A:$B,2,0),AY200,1),"")</f>
        <v/>
      </c>
      <c r="AY200" s="3" t="s">
        <v>23</v>
      </c>
      <c r="AZ200" s="77" t="str">
        <f>VLOOKUP(B200,Classification!A:D,2,0)</f>
        <v>A</v>
      </c>
      <c r="BA200" s="94" t="str">
        <f>VLOOKUP(B200,Classification!A:D,4,0)</f>
        <v>Opioid</v>
      </c>
      <c r="BB200" s="27" t="b">
        <f t="shared" si="670"/>
        <v>1</v>
      </c>
      <c r="BC200" s="23">
        <f t="shared" si="643"/>
        <v>242</v>
      </c>
      <c r="BD200" s="5" t="s">
        <v>1382</v>
      </c>
      <c r="BE200" s="3" t="s">
        <v>1297</v>
      </c>
      <c r="BF200" s="119">
        <v>2.1</v>
      </c>
      <c r="BG200" s="49" t="s">
        <v>1384</v>
      </c>
      <c r="BH200" s="49" t="s">
        <v>1384</v>
      </c>
      <c r="BI200" s="1"/>
      <c r="BJ200" s="70" t="s">
        <v>1293</v>
      </c>
      <c r="BK200" s="57" t="s">
        <v>1293</v>
      </c>
      <c r="BL200" s="57" t="s">
        <v>1293</v>
      </c>
      <c r="BM200" s="57" t="s">
        <v>1293</v>
      </c>
      <c r="BN200" s="57" t="s">
        <v>1293</v>
      </c>
      <c r="BO200" s="57" t="s">
        <v>1293</v>
      </c>
      <c r="BP200" s="57" t="s">
        <v>1293</v>
      </c>
      <c r="BQ200" s="57" t="s">
        <v>1293</v>
      </c>
      <c r="BR200" s="57" t="s">
        <v>1293</v>
      </c>
      <c r="BS200" s="57" t="s">
        <v>1293</v>
      </c>
      <c r="BT200" s="57" t="s">
        <v>1293</v>
      </c>
      <c r="BU200" s="57" t="s">
        <v>1293</v>
      </c>
      <c r="BV200" s="70">
        <f t="shared" si="644"/>
        <v>65</v>
      </c>
      <c r="BW200" s="71" t="str">
        <f t="shared" si="645"/>
        <v>-</v>
      </c>
      <c r="BX200" s="72">
        <f t="shared" si="646"/>
        <v>101</v>
      </c>
      <c r="BY200" s="71">
        <f t="shared" si="647"/>
        <v>132</v>
      </c>
      <c r="BZ200" s="72">
        <f t="shared" si="648"/>
        <v>136</v>
      </c>
      <c r="CA200" s="71">
        <f t="shared" si="649"/>
        <v>172</v>
      </c>
      <c r="CB200" s="72">
        <f t="shared" si="650"/>
        <v>180</v>
      </c>
      <c r="CC200" s="71">
        <f t="shared" si="651"/>
        <v>217</v>
      </c>
      <c r="CD200" s="72">
        <f t="shared" si="652"/>
        <v>225</v>
      </c>
      <c r="CE200" s="71">
        <f t="shared" si="653"/>
        <v>268</v>
      </c>
      <c r="CF200" s="72">
        <f t="shared" si="654"/>
        <v>311</v>
      </c>
      <c r="CG200" s="71" t="str">
        <f t="shared" si="655"/>
        <v>-</v>
      </c>
      <c r="CH200" s="70">
        <f t="shared" si="656"/>
        <v>96</v>
      </c>
      <c r="CI200" s="71" t="str">
        <f t="shared" si="657"/>
        <v>-</v>
      </c>
      <c r="CJ200" s="72">
        <f t="shared" si="658"/>
        <v>130</v>
      </c>
      <c r="CK200" s="72">
        <f t="shared" si="659"/>
        <v>135</v>
      </c>
      <c r="CL200" s="72">
        <f t="shared" si="660"/>
        <v>171</v>
      </c>
      <c r="CM200" s="72">
        <f t="shared" si="661"/>
        <v>179</v>
      </c>
      <c r="CN200" s="72">
        <f t="shared" si="662"/>
        <v>206</v>
      </c>
      <c r="CO200" s="72">
        <f t="shared" si="663"/>
        <v>219</v>
      </c>
      <c r="CP200" s="72">
        <f t="shared" si="664"/>
        <v>262</v>
      </c>
      <c r="CQ200" s="72">
        <f t="shared" si="665"/>
        <v>306</v>
      </c>
      <c r="CR200" s="72">
        <f t="shared" si="666"/>
        <v>333</v>
      </c>
      <c r="CS200" s="72" t="str">
        <f t="shared" si="667"/>
        <v>-</v>
      </c>
      <c r="CT200" s="23" t="e">
        <f t="shared" si="668"/>
        <v>#VALUE!</v>
      </c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  <c r="OK200" s="1"/>
      <c r="OL200" s="1"/>
      <c r="OM200" s="1"/>
      <c r="ON200" s="1"/>
      <c r="OO200" s="1"/>
      <c r="OP200" s="1"/>
      <c r="OQ200" s="1"/>
      <c r="OR200" s="1"/>
      <c r="OS200" s="1"/>
      <c r="OT200" s="1"/>
      <c r="OU200" s="1"/>
      <c r="OV200" s="1"/>
      <c r="OW200" s="1"/>
      <c r="OX200" s="1"/>
      <c r="OY200" s="1"/>
      <c r="OZ200" s="1"/>
      <c r="PA200" s="1"/>
      <c r="PB200" s="1"/>
      <c r="PC200" s="1"/>
      <c r="PD200" s="1"/>
      <c r="PE200" s="1"/>
      <c r="PF200" s="1"/>
      <c r="PG200" s="1"/>
      <c r="PH200" s="1"/>
      <c r="PI200" s="1"/>
      <c r="PJ200" s="1"/>
      <c r="PK200" s="1"/>
      <c r="PL200" s="1"/>
      <c r="PM200" s="1"/>
      <c r="PN200" s="1"/>
      <c r="PO200" s="1"/>
      <c r="PP200" s="1"/>
      <c r="PQ200" s="1"/>
      <c r="PR200" s="1"/>
      <c r="PS200" s="1"/>
      <c r="PT200" s="1"/>
      <c r="PU200" s="1"/>
      <c r="PV200" s="1"/>
      <c r="PW200" s="1"/>
      <c r="PX200" s="1"/>
      <c r="PY200" s="1"/>
      <c r="PZ200" s="1"/>
      <c r="QA200" s="1"/>
      <c r="QB200" s="1"/>
      <c r="QC200" s="1"/>
      <c r="QD200" s="1"/>
      <c r="QE200" s="1"/>
      <c r="QF200" s="1"/>
      <c r="QG200" s="1"/>
      <c r="QH200" s="1"/>
      <c r="QI200" s="1"/>
      <c r="QJ200" s="1"/>
      <c r="QK200" s="1"/>
      <c r="QL200" s="1"/>
      <c r="QM200" s="1"/>
      <c r="QN200" s="1"/>
      <c r="QO200" s="1"/>
      <c r="QP200" s="1"/>
      <c r="QQ200" s="1"/>
      <c r="QR200" s="1"/>
      <c r="QS200" s="1"/>
      <c r="QT200" s="1"/>
      <c r="QU200" s="1"/>
      <c r="QV200" s="1"/>
      <c r="QW200" s="1"/>
      <c r="QX200" s="1"/>
      <c r="QY200" s="1"/>
      <c r="QZ200" s="1"/>
      <c r="RA200" s="1"/>
      <c r="RB200" s="1"/>
      <c r="RC200" s="1"/>
      <c r="RD200" s="1"/>
      <c r="RE200" s="1"/>
      <c r="RF200" s="1"/>
      <c r="RG200" s="1"/>
      <c r="RH200" s="1"/>
      <c r="RI200" s="1"/>
      <c r="RJ200" s="1"/>
      <c r="RK200" s="1"/>
      <c r="RL200" s="1"/>
      <c r="RM200" s="1"/>
      <c r="RN200" s="1"/>
      <c r="RO200" s="1"/>
      <c r="RP200" s="1"/>
      <c r="RQ200" s="1"/>
      <c r="RR200" s="1"/>
      <c r="RS200" s="1"/>
      <c r="RT200" s="1"/>
      <c r="RU200" s="1"/>
      <c r="RV200" s="1"/>
      <c r="RW200" s="1"/>
      <c r="RX200" s="1"/>
      <c r="RY200" s="1"/>
      <c r="RZ200" s="1"/>
      <c r="SA200" s="1"/>
      <c r="SB200" s="1"/>
      <c r="SC200" s="1"/>
      <c r="SD200" s="1"/>
      <c r="SE200" s="1"/>
      <c r="SF200" s="1"/>
      <c r="SG200" s="1"/>
      <c r="SH200" s="1"/>
      <c r="SI200" s="1"/>
      <c r="SJ200" s="1"/>
      <c r="SK200" s="1"/>
      <c r="SL200" s="1"/>
      <c r="SM200" s="1"/>
      <c r="SN200" s="1"/>
      <c r="SO200" s="1"/>
      <c r="SP200" s="1"/>
      <c r="SQ200" s="1"/>
      <c r="SR200" s="1"/>
      <c r="SS200" s="1"/>
      <c r="ST200" s="1"/>
      <c r="SU200" s="1"/>
      <c r="SV200" s="1"/>
      <c r="SW200" s="1"/>
      <c r="SX200" s="1"/>
      <c r="SY200" s="1"/>
      <c r="SZ200" s="1"/>
      <c r="TA200" s="1"/>
      <c r="TB200" s="1"/>
      <c r="TC200" s="1"/>
      <c r="TD200" s="1"/>
      <c r="TE200" s="1"/>
      <c r="TF200" s="1"/>
      <c r="TG200" s="1"/>
      <c r="TH200" s="1"/>
      <c r="TI200" s="1"/>
      <c r="TJ200" s="1"/>
      <c r="TK200" s="1"/>
      <c r="TL200" s="1"/>
      <c r="TM200" s="1"/>
      <c r="TN200" s="1"/>
      <c r="TO200" s="1"/>
      <c r="TP200" s="1"/>
      <c r="TQ200" s="1"/>
      <c r="TR200" s="1"/>
      <c r="TS200" s="1"/>
      <c r="TT200" s="1"/>
      <c r="TU200" s="1"/>
      <c r="TV200" s="1"/>
      <c r="TW200" s="1"/>
      <c r="TX200" s="1"/>
      <c r="TY200" s="1"/>
      <c r="TZ200" s="1"/>
      <c r="UA200" s="1"/>
      <c r="UB200" s="1"/>
      <c r="UC200" s="1"/>
      <c r="UD200" s="1"/>
      <c r="UE200" s="1"/>
      <c r="UF200" s="1"/>
      <c r="UG200" s="1"/>
      <c r="UH200" s="1"/>
      <c r="UI200" s="1"/>
      <c r="UJ200" s="1"/>
      <c r="UK200" s="1"/>
      <c r="UL200" s="1"/>
      <c r="UM200" s="1"/>
      <c r="UN200" s="1"/>
      <c r="UO200" s="1"/>
      <c r="UP200" s="1"/>
      <c r="UQ200" s="1"/>
      <c r="UR200" s="1"/>
      <c r="US200" s="1"/>
      <c r="UT200" s="1"/>
      <c r="UU200" s="1"/>
      <c r="UV200" s="1"/>
      <c r="UW200" s="1"/>
      <c r="UX200" s="1"/>
      <c r="UY200" s="1"/>
      <c r="UZ200" s="1"/>
      <c r="VA200" s="1"/>
      <c r="VB200" s="1"/>
      <c r="VC200" s="1"/>
      <c r="VD200" s="1"/>
      <c r="VE200" s="1"/>
      <c r="VF200" s="1"/>
      <c r="VG200" s="1"/>
      <c r="VH200" s="1"/>
      <c r="VI200" s="1"/>
      <c r="VJ200" s="1"/>
      <c r="VK200" s="1"/>
      <c r="VL200" s="1"/>
      <c r="VM200" s="1"/>
      <c r="VN200" s="1"/>
      <c r="VO200" s="1"/>
      <c r="VP200" s="1"/>
      <c r="VQ200" s="1"/>
      <c r="VR200" s="1"/>
      <c r="VS200" s="1"/>
      <c r="VT200" s="1"/>
      <c r="VU200" s="1"/>
      <c r="VV200" s="1"/>
      <c r="VW200" s="1"/>
      <c r="VX200" s="1"/>
      <c r="VY200" s="1"/>
      <c r="VZ200" s="1"/>
      <c r="WA200" s="1"/>
      <c r="WB200" s="1"/>
      <c r="WC200" s="1"/>
      <c r="WD200" s="1"/>
      <c r="WE200" s="1"/>
      <c r="WF200" s="1"/>
      <c r="WG200" s="1"/>
      <c r="WH200" s="1"/>
      <c r="WI200" s="1"/>
      <c r="WJ200" s="1"/>
      <c r="WK200" s="1"/>
      <c r="WL200" s="1"/>
      <c r="WM200" s="1"/>
      <c r="WN200" s="1"/>
      <c r="WO200" s="1"/>
      <c r="WP200" s="1"/>
      <c r="WQ200" s="1"/>
      <c r="WR200" s="1"/>
      <c r="WS200" s="1"/>
      <c r="WT200" s="1"/>
      <c r="WU200" s="1"/>
      <c r="WV200" s="1"/>
      <c r="WW200" s="1"/>
      <c r="WX200" s="1"/>
      <c r="WY200" s="1"/>
      <c r="WZ200" s="1"/>
      <c r="XA200" s="1"/>
      <c r="XB200" s="1"/>
      <c r="XC200" s="1"/>
      <c r="XD200" s="1"/>
      <c r="XE200" s="1"/>
      <c r="XF200" s="1"/>
      <c r="XG200" s="1"/>
      <c r="XH200" s="1"/>
      <c r="XI200" s="1"/>
      <c r="XJ200" s="1"/>
      <c r="XK200" s="1"/>
      <c r="XL200" s="1"/>
      <c r="XM200" s="1"/>
      <c r="XN200" s="1"/>
      <c r="XO200" s="1"/>
      <c r="XP200" s="1"/>
      <c r="XQ200" s="1"/>
      <c r="XR200" s="1"/>
      <c r="XS200" s="1"/>
      <c r="XT200" s="1"/>
      <c r="XU200" s="1"/>
      <c r="XV200" s="1"/>
      <c r="XW200" s="1"/>
      <c r="XX200" s="1"/>
      <c r="XY200" s="1"/>
      <c r="XZ200" s="1"/>
      <c r="YA200" s="1"/>
      <c r="YB200" s="1"/>
      <c r="YC200" s="1"/>
      <c r="YD200" s="1"/>
      <c r="YE200" s="1"/>
      <c r="YF200" s="1"/>
      <c r="YG200" s="1"/>
      <c r="YH200" s="1"/>
      <c r="YI200" s="1"/>
      <c r="YJ200" s="1"/>
      <c r="YK200" s="1"/>
      <c r="YL200" s="1"/>
      <c r="YM200" s="1"/>
      <c r="YN200" s="1"/>
      <c r="YO200" s="1"/>
      <c r="YP200" s="1"/>
      <c r="YQ200" s="1"/>
      <c r="YR200" s="1"/>
      <c r="YS200" s="1"/>
      <c r="YT200" s="1"/>
      <c r="YU200" s="1"/>
      <c r="YV200" s="1"/>
      <c r="YW200" s="1"/>
      <c r="YX200" s="1"/>
      <c r="YY200" s="1"/>
      <c r="YZ200" s="1"/>
      <c r="ZA200" s="1"/>
      <c r="ZB200" s="1"/>
      <c r="ZC200" s="1"/>
      <c r="ZD200" s="1"/>
      <c r="ZE200" s="1"/>
      <c r="ZF200" s="1"/>
      <c r="ZG200" s="1"/>
      <c r="ZH200" s="1"/>
      <c r="ZI200" s="1"/>
      <c r="ZJ200" s="1"/>
      <c r="ZK200" s="1"/>
      <c r="ZL200" s="1"/>
      <c r="ZM200" s="1"/>
      <c r="ZN200" s="1"/>
      <c r="ZO200" s="1"/>
      <c r="ZP200" s="1"/>
      <c r="ZQ200" s="1"/>
      <c r="ZR200" s="1"/>
      <c r="ZS200" s="1"/>
      <c r="ZT200" s="1"/>
      <c r="ZU200" s="1"/>
      <c r="ZV200" s="1"/>
      <c r="ZW200" s="1"/>
      <c r="ZX200" s="1"/>
      <c r="ZY200" s="1"/>
      <c r="ZZ200" s="1"/>
      <c r="AAA200" s="1"/>
      <c r="AAB200" s="1"/>
      <c r="AAC200" s="1"/>
      <c r="AAD200" s="1"/>
      <c r="AAE200" s="1"/>
      <c r="AAF200" s="1"/>
      <c r="AAG200" s="1"/>
      <c r="AAH200" s="1"/>
      <c r="AAI200" s="1"/>
      <c r="AAJ200" s="1"/>
      <c r="AAK200" s="1"/>
      <c r="AAL200" s="1"/>
      <c r="AAM200" s="1"/>
      <c r="AAN200" s="1"/>
      <c r="AAO200" s="1"/>
      <c r="AAP200" s="1"/>
      <c r="AAQ200" s="1"/>
      <c r="AAR200" s="1"/>
      <c r="AAS200" s="1"/>
      <c r="AAT200" s="1"/>
      <c r="AAU200" s="1"/>
      <c r="AAV200" s="1"/>
      <c r="AAW200" s="1"/>
      <c r="AAX200" s="1"/>
      <c r="AAY200" s="1"/>
      <c r="AAZ200" s="1"/>
      <c r="ABA200" s="1"/>
      <c r="ABB200" s="1"/>
      <c r="ABC200" s="1"/>
      <c r="ABD200" s="1"/>
      <c r="ABE200" s="1"/>
      <c r="ABF200" s="1"/>
      <c r="ABG200" s="1"/>
      <c r="ABH200" s="1"/>
      <c r="ABI200" s="1"/>
      <c r="ABJ200" s="1"/>
      <c r="ABK200" s="1"/>
      <c r="ABL200" s="1"/>
      <c r="ABM200" s="1"/>
      <c r="ABN200" s="1"/>
      <c r="ABO200" s="1"/>
      <c r="ABP200" s="1"/>
      <c r="ABQ200" s="1"/>
      <c r="ABR200" s="1"/>
      <c r="ABS200" s="1"/>
      <c r="ABT200" s="1"/>
      <c r="ABU200" s="1"/>
      <c r="ABV200" s="1"/>
      <c r="ABW200" s="1"/>
      <c r="ABX200" s="1"/>
      <c r="ABY200" s="1"/>
      <c r="ABZ200" s="1"/>
      <c r="ACA200" s="1"/>
      <c r="ACB200" s="1"/>
      <c r="ACC200" s="1"/>
      <c r="ACD200" s="1"/>
      <c r="ACE200" s="1"/>
      <c r="ACF200" s="1"/>
      <c r="ACG200" s="1"/>
      <c r="ACH200" s="1"/>
      <c r="ACI200" s="1"/>
      <c r="ACJ200" s="1"/>
      <c r="ACK200" s="1"/>
      <c r="ACL200" s="1"/>
      <c r="ACM200" s="1"/>
      <c r="ACN200" s="1"/>
      <c r="ACO200" s="1"/>
      <c r="ACP200" s="1"/>
      <c r="ACQ200" s="1"/>
      <c r="ACR200" s="1"/>
      <c r="ACS200" s="1"/>
      <c r="ACT200" s="1"/>
      <c r="ACU200" s="1"/>
      <c r="ACV200" s="1"/>
      <c r="ACW200" s="1"/>
      <c r="ACX200" s="1"/>
      <c r="ACY200" s="1"/>
      <c r="ACZ200" s="1"/>
      <c r="ADA200" s="1"/>
      <c r="ADB200" s="1"/>
      <c r="ADC200" s="1"/>
      <c r="ADD200" s="1"/>
      <c r="ADE200" s="1"/>
      <c r="ADF200" s="1"/>
      <c r="ADG200" s="1"/>
      <c r="ADH200" s="1"/>
      <c r="ADI200" s="1"/>
      <c r="ADJ200" s="1"/>
      <c r="ADK200" s="1"/>
      <c r="ADL200" s="1"/>
      <c r="ADM200" s="1"/>
      <c r="ADN200" s="1"/>
      <c r="ADO200" s="1"/>
      <c r="ADP200" s="1"/>
      <c r="ADQ200" s="1"/>
      <c r="ADR200" s="1"/>
      <c r="ADS200" s="1"/>
      <c r="ADT200" s="1"/>
      <c r="ADU200" s="1"/>
      <c r="ADV200" s="1"/>
      <c r="ADW200" s="1"/>
      <c r="ADX200" s="1"/>
      <c r="ADY200" s="1"/>
      <c r="ADZ200" s="1"/>
      <c r="AEA200" s="1"/>
      <c r="AEB200" s="1"/>
      <c r="AEC200" s="1"/>
      <c r="AED200" s="1"/>
      <c r="AEE200" s="1"/>
      <c r="AEF200" s="1"/>
      <c r="AEG200" s="1"/>
      <c r="AEH200" s="1"/>
      <c r="AEI200" s="1"/>
      <c r="AEJ200" s="1"/>
      <c r="AEK200" s="1"/>
      <c r="AEL200" s="1"/>
      <c r="AEM200" s="1"/>
      <c r="AEN200" s="1"/>
      <c r="AEO200" s="1"/>
      <c r="AEP200" s="1"/>
      <c r="AEQ200" s="1"/>
      <c r="AER200" s="1"/>
      <c r="AES200" s="1"/>
      <c r="AET200" s="1"/>
      <c r="AEU200" s="1"/>
      <c r="AEV200" s="1"/>
      <c r="AEW200" s="1"/>
      <c r="AEX200" s="1"/>
      <c r="AEY200" s="1"/>
      <c r="AEZ200" s="1"/>
      <c r="AFA200" s="1"/>
      <c r="AFB200" s="1"/>
      <c r="AFC200" s="1"/>
      <c r="AFD200" s="1"/>
      <c r="AFE200" s="1"/>
      <c r="AFF200" s="1"/>
      <c r="AFG200" s="1"/>
      <c r="AFH200" s="1"/>
      <c r="AFI200" s="1"/>
      <c r="AFJ200" s="1"/>
      <c r="AFK200" s="1"/>
      <c r="AFL200" s="1"/>
      <c r="AFM200" s="1"/>
      <c r="AFN200" s="1"/>
      <c r="AFO200" s="1"/>
      <c r="AFP200" s="1"/>
      <c r="AFQ200" s="1"/>
      <c r="AFR200" s="1"/>
      <c r="AFS200" s="1"/>
      <c r="AFT200" s="1"/>
      <c r="AFU200" s="1"/>
      <c r="AFV200" s="1"/>
      <c r="AFW200" s="1"/>
      <c r="AFX200" s="1"/>
      <c r="AFY200" s="1"/>
      <c r="AFZ200" s="1"/>
      <c r="AGA200" s="1"/>
      <c r="AGB200" s="1"/>
      <c r="AGC200" s="1"/>
      <c r="AGD200" s="1"/>
      <c r="AGE200" s="1"/>
      <c r="AGF200" s="1"/>
      <c r="AGG200" s="1"/>
      <c r="AGH200" s="1"/>
      <c r="AGI200" s="1"/>
      <c r="AGJ200" s="1"/>
      <c r="AGK200" s="1"/>
      <c r="AGL200" s="1"/>
      <c r="AGM200" s="1"/>
      <c r="AGN200" s="1"/>
      <c r="AGO200" s="1"/>
      <c r="AGP200" s="1"/>
      <c r="AGQ200" s="1"/>
      <c r="AGR200" s="1"/>
      <c r="AGS200" s="1"/>
      <c r="AGT200" s="1"/>
      <c r="AGU200" s="1"/>
      <c r="AGV200" s="1"/>
      <c r="AGW200" s="1"/>
      <c r="AGX200" s="1"/>
      <c r="AGY200" s="1"/>
      <c r="AGZ200" s="1"/>
      <c r="AHA200" s="1"/>
      <c r="AHB200" s="1"/>
      <c r="AHC200" s="1"/>
      <c r="AHD200" s="1"/>
      <c r="AHE200" s="1"/>
      <c r="AHF200" s="1"/>
      <c r="AHG200" s="1"/>
      <c r="AHH200" s="1"/>
      <c r="AHI200" s="1"/>
      <c r="AHJ200" s="1"/>
      <c r="AHK200" s="1"/>
      <c r="AHL200" s="1"/>
      <c r="AHM200" s="1"/>
      <c r="AHN200" s="1"/>
      <c r="AHO200" s="1"/>
      <c r="AHP200" s="1"/>
      <c r="AHQ200" s="1"/>
      <c r="AHR200" s="1"/>
      <c r="AHS200" s="1"/>
      <c r="AHT200" s="1"/>
      <c r="AHU200" s="1"/>
      <c r="AHV200" s="1"/>
      <c r="AHW200" s="1"/>
      <c r="AHX200" s="1"/>
      <c r="AHY200" s="1"/>
      <c r="AHZ200" s="1"/>
      <c r="AIA200" s="1"/>
      <c r="AIB200" s="1"/>
      <c r="AIC200" s="1"/>
      <c r="AID200" s="1"/>
      <c r="AIE200" s="1"/>
      <c r="AIF200" s="1"/>
      <c r="AIG200" s="1"/>
      <c r="AIH200" s="1"/>
      <c r="AII200" s="1"/>
      <c r="AIJ200" s="1"/>
      <c r="AIK200" s="1"/>
      <c r="AIL200" s="1"/>
      <c r="AIM200" s="1"/>
      <c r="AIN200" s="1"/>
      <c r="AIO200" s="1"/>
      <c r="AIP200" s="1"/>
      <c r="AIQ200" s="1"/>
      <c r="AIR200" s="1"/>
      <c r="AIS200" s="1"/>
      <c r="AIT200" s="1"/>
      <c r="AIU200" s="1"/>
      <c r="AIV200" s="1"/>
      <c r="AIW200" s="1"/>
      <c r="AIX200" s="1"/>
      <c r="AIY200" s="1"/>
      <c r="AIZ200" s="1"/>
      <c r="AJA200" s="1"/>
      <c r="AJB200" s="1"/>
      <c r="AJC200" s="1"/>
      <c r="AJD200" s="1"/>
      <c r="AJE200" s="1"/>
      <c r="AJF200" s="1"/>
      <c r="AJG200" s="1"/>
      <c r="AJH200" s="1"/>
      <c r="AJI200" s="1"/>
      <c r="AJJ200" s="1"/>
      <c r="AJK200" s="1"/>
      <c r="AJL200" s="1"/>
      <c r="AJM200" s="1"/>
      <c r="AJN200" s="1"/>
      <c r="AJO200" s="1"/>
      <c r="AJP200" s="1"/>
      <c r="AJQ200" s="1"/>
      <c r="AJR200" s="1"/>
      <c r="AJS200" s="1"/>
      <c r="AJT200" s="1"/>
      <c r="AJU200" s="1"/>
      <c r="AJV200" s="1"/>
      <c r="AJW200" s="1"/>
      <c r="AJX200" s="1"/>
      <c r="AJY200" s="1"/>
      <c r="AJZ200" s="1"/>
      <c r="AKA200" s="1"/>
      <c r="AKB200" s="1"/>
      <c r="AKC200" s="1"/>
      <c r="AKD200" s="1"/>
      <c r="AKE200" s="1"/>
      <c r="AKF200" s="1"/>
      <c r="AKG200" s="1"/>
      <c r="AKH200" s="1"/>
      <c r="AKI200" s="1"/>
      <c r="AKJ200" s="1"/>
      <c r="AKK200" s="1"/>
      <c r="AKL200" s="1"/>
      <c r="AKM200" s="1"/>
      <c r="AKN200" s="1"/>
      <c r="AKO200" s="1"/>
      <c r="AKP200" s="1"/>
      <c r="AKQ200" s="1"/>
      <c r="AKR200" s="1"/>
      <c r="AKS200" s="1"/>
      <c r="AKT200" s="1"/>
      <c r="AKU200" s="1"/>
      <c r="AKV200" s="1"/>
      <c r="AKW200" s="1"/>
      <c r="AKX200" s="1"/>
      <c r="AKY200" s="1"/>
      <c r="AKZ200" s="1"/>
      <c r="ALA200" s="1"/>
      <c r="ALB200" s="1"/>
      <c r="ALC200" s="1"/>
      <c r="ALD200" s="1"/>
      <c r="ALE200" s="1"/>
      <c r="ALF200" s="1"/>
      <c r="ALG200" s="1"/>
      <c r="ALH200" s="1"/>
      <c r="ALI200" s="1"/>
      <c r="ALJ200" s="1"/>
      <c r="ALK200" s="1"/>
      <c r="ALL200" s="1"/>
      <c r="ALM200" s="1"/>
      <c r="ALN200" s="1"/>
      <c r="ALO200" s="1"/>
      <c r="ALP200" s="1"/>
      <c r="ALQ200" s="1"/>
      <c r="ALR200" s="1"/>
      <c r="ALS200" s="1"/>
      <c r="ALT200" s="1"/>
      <c r="ALU200" s="1"/>
      <c r="ALV200" s="1"/>
      <c r="ALW200" s="1"/>
      <c r="ALX200" s="1"/>
      <c r="ALY200" s="1"/>
      <c r="ALZ200" s="1"/>
      <c r="AMA200" s="1"/>
      <c r="AMB200" s="1"/>
      <c r="AMC200" s="1"/>
      <c r="AMD200" s="1"/>
      <c r="AME200" s="1"/>
      <c r="AMF200" s="1"/>
      <c r="AMG200" s="1"/>
      <c r="AMH200" s="1"/>
      <c r="AMI200" s="1"/>
      <c r="AMJ200" s="1"/>
      <c r="AMK200" s="1"/>
      <c r="AML200" s="1"/>
      <c r="AMM200" s="1"/>
      <c r="AMN200" s="1"/>
      <c r="AMO200" s="1"/>
    </row>
    <row r="201" spans="1:1030" s="12" customFormat="1" x14ac:dyDescent="0.2">
      <c r="A201" s="9" t="str">
        <f>CONCATENATE(B201,"_",C201)</f>
        <v>oprm_mouse_6DDE</v>
      </c>
      <c r="B201" s="9" t="s">
        <v>918</v>
      </c>
      <c r="C201" s="9" t="s">
        <v>1516</v>
      </c>
      <c r="D201" s="9" t="str">
        <f>IFERROR(MID(VLOOKUP($B201,Seqs!$A:$B,2,0),E201,1),"")</f>
        <v>T</v>
      </c>
      <c r="E201" s="9">
        <v>67</v>
      </c>
      <c r="F201" s="9" t="str">
        <f>IFERROR(MID(VLOOKUP($B201,Seqs!$A:$B,2,0),G201,1),"")</f>
        <v>K</v>
      </c>
      <c r="G201" s="9">
        <v>98</v>
      </c>
      <c r="H201" s="9" t="str">
        <f>IFERROR(MID(VLOOKUP($B201,Seqs!$A:$B,2,0),I201,1),"")</f>
        <v/>
      </c>
      <c r="I201" s="109" t="s">
        <v>23</v>
      </c>
      <c r="J201" s="9" t="str">
        <f>IFERROR(MID(VLOOKUP($B201,Seqs!$A:$B,2,0),K201,1),"")</f>
        <v/>
      </c>
      <c r="K201" s="109" t="s">
        <v>23</v>
      </c>
      <c r="L201" s="9" t="str">
        <f>IFERROR(MID(VLOOKUP($B201,Seqs!$A:$B,2,0),M201,1),"")</f>
        <v>A</v>
      </c>
      <c r="M201" s="9">
        <v>102</v>
      </c>
      <c r="N201" s="9" t="str">
        <f>IFERROR(MID(VLOOKUP($B201,Seqs!$A:$B,2,0),O201,1),"")</f>
        <v>G</v>
      </c>
      <c r="O201" s="9">
        <v>131</v>
      </c>
      <c r="P201" s="9" t="str">
        <f>IFERROR(MID(VLOOKUP($B201,Seqs!$A:$B,2,0),Q201,1),"")</f>
        <v>T</v>
      </c>
      <c r="Q201" s="9">
        <v>132</v>
      </c>
      <c r="R201" s="9" t="str">
        <f>IFERROR(MID(VLOOKUP($B201,Seqs!$A:$B,2,0),S201,1),"")</f>
        <v>F</v>
      </c>
      <c r="S201" s="9">
        <v>135</v>
      </c>
      <c r="T201" s="9" t="str">
        <f>IFERROR(MID(VLOOKUP($B201,Seqs!$A:$B,2,0),U201,1),"")</f>
        <v>G</v>
      </c>
      <c r="U201" s="9">
        <v>136</v>
      </c>
      <c r="V201" s="9" t="str">
        <f>IFERROR(MID(VLOOKUP($B201,Seqs!$A:$B,2,0),W201,1),"")</f>
        <v>H</v>
      </c>
      <c r="W201" s="9">
        <v>171</v>
      </c>
      <c r="X201" s="9" t="str">
        <f>IFERROR(MID(VLOOKUP($B201,Seqs!$A:$B,2,0),Y201,1),"")</f>
        <v>P</v>
      </c>
      <c r="Y201" s="9">
        <v>172</v>
      </c>
      <c r="Z201" s="9" t="str">
        <f>IFERROR(MID(VLOOKUP($B201,Seqs!$A:$B,2,0),AA201,1),"")</f>
        <v>R</v>
      </c>
      <c r="AA201" s="9">
        <v>179</v>
      </c>
      <c r="AB201" s="9" t="str">
        <f>IFERROR(MID(VLOOKUP($B201,Seqs!$A:$B,2,0),AC201,1),"")</f>
        <v>T</v>
      </c>
      <c r="AC201" s="9">
        <v>180</v>
      </c>
      <c r="AD201" s="9" t="str">
        <f>IFERROR(MID(VLOOKUP($B201,Seqs!$A:$B,2,0),AE201,1),"")</f>
        <v>F</v>
      </c>
      <c r="AE201" s="9">
        <v>204</v>
      </c>
      <c r="AF201" s="9" t="str">
        <f>IFERROR(MID(VLOOKUP($B201,Seqs!$A:$B,2,0),AG201,1),"")</f>
        <v>C</v>
      </c>
      <c r="AG201" s="9">
        <v>217</v>
      </c>
      <c r="AH201" s="9" t="str">
        <f>IFERROR(MID(VLOOKUP($B201,Seqs!$A:$B,2,0),AI201,1),"")</f>
        <v>L</v>
      </c>
      <c r="AI201" s="9">
        <v>219</v>
      </c>
      <c r="AJ201" s="9" t="str">
        <f>IFERROR(MID(VLOOKUP($B201,Seqs!$A:$B,2,0),AK201,1),"")</f>
        <v>Y</v>
      </c>
      <c r="AK201" s="9">
        <v>227</v>
      </c>
      <c r="AL201" s="9" t="str">
        <f>IFERROR(MID(VLOOKUP($B201,Seqs!$A:$B,2,0),AM201,1),"")</f>
        <v>V</v>
      </c>
      <c r="AM201" s="9">
        <v>262</v>
      </c>
      <c r="AN201" s="9" t="str">
        <f>IFERROR(MID(VLOOKUP($B201,Seqs!$A:$B,2,0),AO201,1),"")</f>
        <v>S</v>
      </c>
      <c r="AO201" s="9">
        <v>268</v>
      </c>
      <c r="AP201" s="9" t="str">
        <f>IFERROR(MID(VLOOKUP($B201,Seqs!$A:$B,2,0),AQ201,1),"")</f>
        <v>I</v>
      </c>
      <c r="AQ201" s="9">
        <v>306</v>
      </c>
      <c r="AR201" s="9" t="str">
        <f>IFERROR(MID(VLOOKUP($B201,Seqs!$A:$B,2,0),AS201,1),"")</f>
        <v>F</v>
      </c>
      <c r="AS201" s="9">
        <v>313</v>
      </c>
      <c r="AT201" s="9" t="str">
        <f>IFERROR(MID(VLOOKUP($B201,Seqs!$A:$B,2,0),AU201,1),"")</f>
        <v>Y</v>
      </c>
      <c r="AU201" s="9">
        <v>336</v>
      </c>
      <c r="AV201" s="9" t="str">
        <f>IFERROR(MID(VLOOKUP($B201,Seqs!$A:$B,2,0),AW201,1),"")</f>
        <v/>
      </c>
      <c r="AW201" s="9" t="s">
        <v>23</v>
      </c>
      <c r="AX201" s="9" t="str">
        <f>IFERROR(MID(VLOOKUP($B201,Seqs!$A:$B,2,0),AY201,1),"")</f>
        <v/>
      </c>
      <c r="AY201" s="9" t="s">
        <v>23</v>
      </c>
      <c r="AZ201" s="110" t="str">
        <f>VLOOKUP(B201,Classification!A:D,2,0)</f>
        <v>A</v>
      </c>
      <c r="BA201" s="98" t="str">
        <f>VLOOKUP(B201,Classification!A:D,4,0)</f>
        <v>Opioid</v>
      </c>
      <c r="BB201" s="36" t="b">
        <f>AND(E201&lt;G201,OR(G201&lt;I201,I201="-"),OR(I201&lt;K201,I201="-"),OR(K201&lt;M201,K201="-"),M201&lt;O201,OR(O201&lt;Q201,Q201="-"),OR(Q201&lt;S201,Q201="-"),OR(S201&lt;U201,S201="-"),U201&lt;W201,OR(W201&lt;Y201,Y201="-"),OR(Y201&lt;AA201,Y201="-"),OR(AA201&lt;AC201,AA201="-"),AC201&lt;AE201,OR(AE201&lt;AG201,AG201="-"),OR(AG201&lt;AI201,AG201="-"),OR(AI201&lt;AK201,AI201="-"),AK201&lt;AM201,AM201&lt;AO201,AO201&lt;AQ201,AQ201&lt;AS201,AS201&lt;AU201,OR(AU201&lt;AW201,AW201="-"),OR(AW201&lt;AY201,AW201="-"))</f>
        <v>1</v>
      </c>
      <c r="BC201" s="109">
        <f>_xlfn.AGGREGATE(9,6,CH201:CS201)-_xlfn.AGGREGATE(9,6,BV201:CG201)+12</f>
        <v>239</v>
      </c>
      <c r="BD201" s="13" t="s">
        <v>23</v>
      </c>
      <c r="BE201" s="9" t="s">
        <v>1297</v>
      </c>
      <c r="BF201" s="120">
        <v>3.5</v>
      </c>
      <c r="BG201" s="51" t="s">
        <v>1433</v>
      </c>
      <c r="BH201" s="51" t="s">
        <v>1433</v>
      </c>
      <c r="BJ201" s="111" t="s">
        <v>1293</v>
      </c>
      <c r="BK201" s="112" t="s">
        <v>1293</v>
      </c>
      <c r="BL201" s="112" t="s">
        <v>1293</v>
      </c>
      <c r="BM201" s="112" t="s">
        <v>1293</v>
      </c>
      <c r="BN201" s="112" t="s">
        <v>1293</v>
      </c>
      <c r="BO201" s="112" t="s">
        <v>1293</v>
      </c>
      <c r="BP201" s="112" t="s">
        <v>1293</v>
      </c>
      <c r="BQ201" s="112" t="s">
        <v>1293</v>
      </c>
      <c r="BR201" s="112" t="s">
        <v>1293</v>
      </c>
      <c r="BS201" s="112" t="s">
        <v>1293</v>
      </c>
      <c r="BT201" s="112" t="s">
        <v>1293</v>
      </c>
      <c r="BU201" s="112" t="s">
        <v>1293</v>
      </c>
      <c r="BV201" s="111">
        <f>E201</f>
        <v>67</v>
      </c>
      <c r="BW201" s="113" t="str">
        <f>I201</f>
        <v>-</v>
      </c>
      <c r="BX201" s="114">
        <f>M201</f>
        <v>102</v>
      </c>
      <c r="BY201" s="113">
        <f>Q201</f>
        <v>132</v>
      </c>
      <c r="BZ201" s="114">
        <f>U201</f>
        <v>136</v>
      </c>
      <c r="CA201" s="113">
        <f>Y201</f>
        <v>172</v>
      </c>
      <c r="CB201" s="114">
        <f>AC201</f>
        <v>180</v>
      </c>
      <c r="CC201" s="113">
        <f>AG201</f>
        <v>217</v>
      </c>
      <c r="CD201" s="114">
        <f>AK201</f>
        <v>227</v>
      </c>
      <c r="CE201" s="113">
        <f>AO201</f>
        <v>268</v>
      </c>
      <c r="CF201" s="114">
        <f>AS201</f>
        <v>313</v>
      </c>
      <c r="CG201" s="113" t="str">
        <f>AW201</f>
        <v>-</v>
      </c>
      <c r="CH201" s="111">
        <f>G201</f>
        <v>98</v>
      </c>
      <c r="CI201" s="113" t="str">
        <f>K201</f>
        <v>-</v>
      </c>
      <c r="CJ201" s="114">
        <f>O201</f>
        <v>131</v>
      </c>
      <c r="CK201" s="114">
        <f>S201</f>
        <v>135</v>
      </c>
      <c r="CL201" s="114">
        <f>W201</f>
        <v>171</v>
      </c>
      <c r="CM201" s="114">
        <f>AA201</f>
        <v>179</v>
      </c>
      <c r="CN201" s="114">
        <f>AE201</f>
        <v>204</v>
      </c>
      <c r="CO201" s="114">
        <f>AI201</f>
        <v>219</v>
      </c>
      <c r="CP201" s="114">
        <f>AM201</f>
        <v>262</v>
      </c>
      <c r="CQ201" s="114">
        <f>AQ201</f>
        <v>306</v>
      </c>
      <c r="CR201" s="114">
        <f>AU201</f>
        <v>336</v>
      </c>
      <c r="CS201" s="114" t="str">
        <f>AY201</f>
        <v>-</v>
      </c>
      <c r="CT201" s="109" t="e">
        <f>M201-K201</f>
        <v>#VALUE!</v>
      </c>
    </row>
    <row r="202" spans="1:1030" s="12" customFormat="1" x14ac:dyDescent="0.2">
      <c r="A202" s="9" t="str">
        <f>CONCATENATE(B202,"_",C202)</f>
        <v>oprm_mouse_6DDF</v>
      </c>
      <c r="B202" s="9" t="s">
        <v>918</v>
      </c>
      <c r="C202" s="9" t="s">
        <v>1517</v>
      </c>
      <c r="D202" s="9" t="str">
        <f>IFERROR(MID(VLOOKUP($B202,Seqs!$A:$B,2,0),E202,1),"")</f>
        <v>T</v>
      </c>
      <c r="E202" s="9">
        <v>67</v>
      </c>
      <c r="F202" s="9" t="str">
        <f>IFERROR(MID(VLOOKUP($B202,Seqs!$A:$B,2,0),G202,1),"")</f>
        <v>K</v>
      </c>
      <c r="G202" s="9">
        <v>98</v>
      </c>
      <c r="H202" s="9" t="str">
        <f>IFERROR(MID(VLOOKUP($B202,Seqs!$A:$B,2,0),I202,1),"")</f>
        <v/>
      </c>
      <c r="I202" s="109" t="s">
        <v>23</v>
      </c>
      <c r="J202" s="9" t="str">
        <f>IFERROR(MID(VLOOKUP($B202,Seqs!$A:$B,2,0),K202,1),"")</f>
        <v/>
      </c>
      <c r="K202" s="109" t="s">
        <v>23</v>
      </c>
      <c r="L202" s="9" t="str">
        <f>IFERROR(MID(VLOOKUP($B202,Seqs!$A:$B,2,0),M202,1),"")</f>
        <v>A</v>
      </c>
      <c r="M202" s="9">
        <v>102</v>
      </c>
      <c r="N202" s="9" t="str">
        <f>IFERROR(MID(VLOOKUP($B202,Seqs!$A:$B,2,0),O202,1),"")</f>
        <v>G</v>
      </c>
      <c r="O202" s="9">
        <v>131</v>
      </c>
      <c r="P202" s="9" t="str">
        <f>IFERROR(MID(VLOOKUP($B202,Seqs!$A:$B,2,0),Q202,1),"")</f>
        <v>T</v>
      </c>
      <c r="Q202" s="9">
        <v>132</v>
      </c>
      <c r="R202" s="9" t="str">
        <f>IFERROR(MID(VLOOKUP($B202,Seqs!$A:$B,2,0),S202,1),"")</f>
        <v>F</v>
      </c>
      <c r="S202" s="9">
        <v>135</v>
      </c>
      <c r="T202" s="9" t="str">
        <f>IFERROR(MID(VLOOKUP($B202,Seqs!$A:$B,2,0),U202,1),"")</f>
        <v>G</v>
      </c>
      <c r="U202" s="9">
        <v>136</v>
      </c>
      <c r="V202" s="9" t="str">
        <f>IFERROR(MID(VLOOKUP($B202,Seqs!$A:$B,2,0),W202,1),"")</f>
        <v>H</v>
      </c>
      <c r="W202" s="9">
        <v>171</v>
      </c>
      <c r="X202" s="9" t="str">
        <f>IFERROR(MID(VLOOKUP($B202,Seqs!$A:$B,2,0),Y202,1),"")</f>
        <v>P</v>
      </c>
      <c r="Y202" s="9">
        <v>172</v>
      </c>
      <c r="Z202" s="9" t="str">
        <f>IFERROR(MID(VLOOKUP($B202,Seqs!$A:$B,2,0),AA202,1),"")</f>
        <v>R</v>
      </c>
      <c r="AA202" s="9">
        <v>179</v>
      </c>
      <c r="AB202" s="9" t="str">
        <f>IFERROR(MID(VLOOKUP($B202,Seqs!$A:$B,2,0),AC202,1),"")</f>
        <v>T</v>
      </c>
      <c r="AC202" s="9">
        <v>180</v>
      </c>
      <c r="AD202" s="9" t="str">
        <f>IFERROR(MID(VLOOKUP($B202,Seqs!$A:$B,2,0),AE202,1),"")</f>
        <v>F</v>
      </c>
      <c r="AE202" s="9">
        <v>204</v>
      </c>
      <c r="AF202" s="9" t="str">
        <f>IFERROR(MID(VLOOKUP($B202,Seqs!$A:$B,2,0),AG202,1),"")</f>
        <v>C</v>
      </c>
      <c r="AG202" s="9">
        <v>217</v>
      </c>
      <c r="AH202" s="9" t="str">
        <f>IFERROR(MID(VLOOKUP($B202,Seqs!$A:$B,2,0),AI202,1),"")</f>
        <v>L</v>
      </c>
      <c r="AI202" s="9">
        <v>219</v>
      </c>
      <c r="AJ202" s="9" t="str">
        <f>IFERROR(MID(VLOOKUP($B202,Seqs!$A:$B,2,0),AK202,1),"")</f>
        <v>Y</v>
      </c>
      <c r="AK202" s="9">
        <v>227</v>
      </c>
      <c r="AL202" s="9" t="str">
        <f>IFERROR(MID(VLOOKUP($B202,Seqs!$A:$B,2,0),AM202,1),"")</f>
        <v>V</v>
      </c>
      <c r="AM202" s="9">
        <v>262</v>
      </c>
      <c r="AN202" s="9" t="str">
        <f>IFERROR(MID(VLOOKUP($B202,Seqs!$A:$B,2,0),AO202,1),"")</f>
        <v>S</v>
      </c>
      <c r="AO202" s="9">
        <v>268</v>
      </c>
      <c r="AP202" s="9" t="str">
        <f>IFERROR(MID(VLOOKUP($B202,Seqs!$A:$B,2,0),AQ202,1),"")</f>
        <v>I</v>
      </c>
      <c r="AQ202" s="9">
        <v>306</v>
      </c>
      <c r="AR202" s="9" t="str">
        <f>IFERROR(MID(VLOOKUP($B202,Seqs!$A:$B,2,0),AS202,1),"")</f>
        <v>F</v>
      </c>
      <c r="AS202" s="9">
        <v>313</v>
      </c>
      <c r="AT202" s="9" t="str">
        <f>IFERROR(MID(VLOOKUP($B202,Seqs!$A:$B,2,0),AU202,1),"")</f>
        <v>Y</v>
      </c>
      <c r="AU202" s="9">
        <v>336</v>
      </c>
      <c r="AV202" s="9" t="str">
        <f>IFERROR(MID(VLOOKUP($B202,Seqs!$A:$B,2,0),AW202,1),"")</f>
        <v/>
      </c>
      <c r="AW202" s="9" t="s">
        <v>23</v>
      </c>
      <c r="AX202" s="9" t="str">
        <f>IFERROR(MID(VLOOKUP($B202,Seqs!$A:$B,2,0),AY202,1),"")</f>
        <v/>
      </c>
      <c r="AY202" s="9" t="s">
        <v>23</v>
      </c>
      <c r="AZ202" s="110" t="str">
        <f>VLOOKUP(B202,Classification!A:D,2,0)</f>
        <v>A</v>
      </c>
      <c r="BA202" s="98" t="str">
        <f>VLOOKUP(B202,Classification!A:D,4,0)</f>
        <v>Opioid</v>
      </c>
      <c r="BB202" s="36" t="b">
        <f>AND(E202&lt;G202,OR(G202&lt;I202,I202="-"),OR(I202&lt;K202,I202="-"),OR(K202&lt;M202,K202="-"),M202&lt;O202,OR(O202&lt;Q202,Q202="-"),OR(Q202&lt;S202,Q202="-"),OR(S202&lt;U202,S202="-"),U202&lt;W202,OR(W202&lt;Y202,Y202="-"),OR(Y202&lt;AA202,Y202="-"),OR(AA202&lt;AC202,AA202="-"),AC202&lt;AE202,OR(AE202&lt;AG202,AG202="-"),OR(AG202&lt;AI202,AG202="-"),OR(AI202&lt;AK202,AI202="-"),AK202&lt;AM202,AM202&lt;AO202,AO202&lt;AQ202,AQ202&lt;AS202,AS202&lt;AU202,OR(AU202&lt;AW202,AW202="-"),OR(AW202&lt;AY202,AW202="-"))</f>
        <v>1</v>
      </c>
      <c r="BC202" s="109">
        <f>_xlfn.AGGREGATE(9,6,CH202:CS202)-_xlfn.AGGREGATE(9,6,BV202:CG202)+12</f>
        <v>239</v>
      </c>
      <c r="BD202" s="13" t="s">
        <v>23</v>
      </c>
      <c r="BE202" s="9" t="s">
        <v>1297</v>
      </c>
      <c r="BF202" s="120">
        <v>4.5</v>
      </c>
      <c r="BG202" s="51" t="s">
        <v>1433</v>
      </c>
      <c r="BH202" s="51" t="s">
        <v>1433</v>
      </c>
      <c r="BJ202" s="111" t="s">
        <v>1293</v>
      </c>
      <c r="BK202" s="112" t="s">
        <v>1293</v>
      </c>
      <c r="BL202" s="112" t="s">
        <v>1293</v>
      </c>
      <c r="BM202" s="112" t="s">
        <v>1293</v>
      </c>
      <c r="BN202" s="112" t="s">
        <v>1293</v>
      </c>
      <c r="BO202" s="112" t="s">
        <v>1293</v>
      </c>
      <c r="BP202" s="112" t="s">
        <v>1293</v>
      </c>
      <c r="BQ202" s="112" t="s">
        <v>1293</v>
      </c>
      <c r="BR202" s="112" t="s">
        <v>1293</v>
      </c>
      <c r="BS202" s="112" t="s">
        <v>1293</v>
      </c>
      <c r="BT202" s="112" t="s">
        <v>1293</v>
      </c>
      <c r="BU202" s="112" t="s">
        <v>1293</v>
      </c>
      <c r="BV202" s="111">
        <f>E202</f>
        <v>67</v>
      </c>
      <c r="BW202" s="113" t="str">
        <f>I202</f>
        <v>-</v>
      </c>
      <c r="BX202" s="114">
        <f>M202</f>
        <v>102</v>
      </c>
      <c r="BY202" s="113">
        <f>Q202</f>
        <v>132</v>
      </c>
      <c r="BZ202" s="114">
        <f>U202</f>
        <v>136</v>
      </c>
      <c r="CA202" s="113">
        <f>Y202</f>
        <v>172</v>
      </c>
      <c r="CB202" s="114">
        <f>AC202</f>
        <v>180</v>
      </c>
      <c r="CC202" s="113">
        <f>AG202</f>
        <v>217</v>
      </c>
      <c r="CD202" s="114">
        <f>AK202</f>
        <v>227</v>
      </c>
      <c r="CE202" s="113">
        <f>AO202</f>
        <v>268</v>
      </c>
      <c r="CF202" s="114">
        <f>AS202</f>
        <v>313</v>
      </c>
      <c r="CG202" s="113" t="str">
        <f>AW202</f>
        <v>-</v>
      </c>
      <c r="CH202" s="111">
        <f>G202</f>
        <v>98</v>
      </c>
      <c r="CI202" s="113" t="str">
        <f>K202</f>
        <v>-</v>
      </c>
      <c r="CJ202" s="114">
        <f>O202</f>
        <v>131</v>
      </c>
      <c r="CK202" s="114">
        <f>S202</f>
        <v>135</v>
      </c>
      <c r="CL202" s="114">
        <f>W202</f>
        <v>171</v>
      </c>
      <c r="CM202" s="114">
        <f>AA202</f>
        <v>179</v>
      </c>
      <c r="CN202" s="114">
        <f>AE202</f>
        <v>204</v>
      </c>
      <c r="CO202" s="114">
        <f>AI202</f>
        <v>219</v>
      </c>
      <c r="CP202" s="114">
        <f>AM202</f>
        <v>262</v>
      </c>
      <c r="CQ202" s="114">
        <f>AQ202</f>
        <v>306</v>
      </c>
      <c r="CR202" s="114">
        <f>AU202</f>
        <v>336</v>
      </c>
      <c r="CS202" s="114" t="str">
        <f>AY202</f>
        <v>-</v>
      </c>
      <c r="CT202" s="109" t="e">
        <f>M202-K202</f>
        <v>#VALUE!</v>
      </c>
    </row>
    <row r="203" spans="1:1030" x14ac:dyDescent="0.2">
      <c r="A203" s="3" t="str">
        <f t="shared" si="669"/>
        <v>oprx_human__wt</v>
      </c>
      <c r="B203" s="3" t="s">
        <v>1174</v>
      </c>
      <c r="C203" s="3" t="s">
        <v>100</v>
      </c>
      <c r="D203" s="3" t="str">
        <f>IFERROR(MID(VLOOKUP($B203,Seqs!$A:$B,2,0),E203,1),"")</f>
        <v>L</v>
      </c>
      <c r="E203" s="3">
        <v>48</v>
      </c>
      <c r="F203" s="3" t="str">
        <f>IFERROR(MID(VLOOKUP($B203,Seqs!$A:$B,2,0),G203,1),"")</f>
        <v>H</v>
      </c>
      <c r="G203" s="3">
        <v>79</v>
      </c>
      <c r="H203" s="3" t="str">
        <f>IFERROR(MID(VLOOKUP($B203,Seqs!$A:$B,2,0),I203,1),"")</f>
        <v>T</v>
      </c>
      <c r="I203" s="23">
        <v>80</v>
      </c>
      <c r="J203" s="3" t="str">
        <f>IFERROR(MID(VLOOKUP($B203,Seqs!$A:$B,2,0),K203,1),"")</f>
        <v>K</v>
      </c>
      <c r="K203" s="23">
        <v>83</v>
      </c>
      <c r="L203" s="3" t="str">
        <f>IFERROR(MID(VLOOKUP($B203,Seqs!$A:$B,2,0),M203,1),"")</f>
        <v>T</v>
      </c>
      <c r="M203" s="3">
        <v>84</v>
      </c>
      <c r="N203" s="3" t="str">
        <f>IFERROR(MID(VLOOKUP($B203,Seqs!$A:$B,2,0),O203,1),"")</f>
        <v>L</v>
      </c>
      <c r="O203" s="3">
        <v>113</v>
      </c>
      <c r="P203" s="3" t="str">
        <f>IFERROR(MID(VLOOKUP($B203,Seqs!$A:$B,2,0),Q203,1),"")</f>
        <v>F</v>
      </c>
      <c r="Q203" s="3">
        <v>115</v>
      </c>
      <c r="R203" s="3" t="str">
        <f>IFERROR(MID(VLOOKUP($B203,Seqs!$A:$B,2,0),S203,1),"")</f>
        <v>F</v>
      </c>
      <c r="S203" s="3">
        <v>118</v>
      </c>
      <c r="T203" s="3" t="str">
        <f>IFERROR(MID(VLOOKUP($B203,Seqs!$A:$B,2,0),U203,1),"")</f>
        <v>G</v>
      </c>
      <c r="U203" s="3">
        <v>119</v>
      </c>
      <c r="V203" s="3" t="str">
        <f>IFERROR(MID(VLOOKUP($B203,Seqs!$A:$B,2,0),W203,1),"")</f>
        <v>H</v>
      </c>
      <c r="W203" s="3">
        <v>154</v>
      </c>
      <c r="X203" s="3" t="str">
        <f>IFERROR(MID(VLOOKUP($B203,Seqs!$A:$B,2,0),Y203,1),"")</f>
        <v>P</v>
      </c>
      <c r="Y203" s="3">
        <v>155</v>
      </c>
      <c r="Z203" s="3" t="str">
        <f>IFERROR(MID(VLOOKUP($B203,Seqs!$A:$B,2,0),AA203,1),"")</f>
        <v>R</v>
      </c>
      <c r="AA203" s="3">
        <v>162</v>
      </c>
      <c r="AB203" s="3" t="str">
        <f>IFERROR(MID(VLOOKUP($B203,Seqs!$A:$B,2,0),AC203,1),"")</f>
        <v>T</v>
      </c>
      <c r="AC203" s="9">
        <v>163</v>
      </c>
      <c r="AD203" s="3" t="str">
        <f>IFERROR(MID(VLOOKUP($B203,Seqs!$A:$B,2,0),AE203,1),"")</f>
        <v>G</v>
      </c>
      <c r="AE203" s="3">
        <v>189</v>
      </c>
      <c r="AF203" s="3" t="str">
        <f>IFERROR(MID(VLOOKUP($B203,Seqs!$A:$B,2,0),AG203,1),"")</f>
        <v>C</v>
      </c>
      <c r="AG203" s="3">
        <v>200</v>
      </c>
      <c r="AH203" s="3" t="str">
        <f>IFERROR(MID(VLOOKUP($B203,Seqs!$A:$B,2,0),AI203,1),"")</f>
        <v>V</v>
      </c>
      <c r="AI203" s="3">
        <v>202</v>
      </c>
      <c r="AJ203" s="3" t="str">
        <f>IFERROR(MID(VLOOKUP($B203,Seqs!$A:$B,2,0),AK203,1),"")</f>
        <v>Q</v>
      </c>
      <c r="AK203" s="3">
        <v>208</v>
      </c>
      <c r="AL203" s="3" t="str">
        <f>IFERROR(MID(VLOOKUP($B203,Seqs!$A:$B,2,0),AM203,1),"")</f>
        <v>V</v>
      </c>
      <c r="AM203" s="3">
        <v>245</v>
      </c>
      <c r="AN203" s="3" t="str">
        <f>IFERROR(MID(VLOOKUP($B203,Seqs!$A:$B,2,0),AO203,1),"")</f>
        <v>S</v>
      </c>
      <c r="AO203" s="3">
        <v>251</v>
      </c>
      <c r="AP203" s="3" t="str">
        <f>IFERROR(MID(VLOOKUP($B203,Seqs!$A:$B,2,0),AQ203,1),"")</f>
        <v>G</v>
      </c>
      <c r="AQ203" s="3">
        <v>289</v>
      </c>
      <c r="AR203" s="3" t="str">
        <f>IFERROR(MID(VLOOKUP($B203,Seqs!$A:$B,2,0),AS203,1),"")</f>
        <v>S</v>
      </c>
      <c r="AS203" s="3">
        <v>294</v>
      </c>
      <c r="AT203" s="3" t="str">
        <f>IFERROR(MID(VLOOKUP($B203,Seqs!$A:$B,2,0),AU203,1),"")</f>
        <v>L</v>
      </c>
      <c r="AU203" s="3">
        <v>322</v>
      </c>
      <c r="AV203" s="3" t="str">
        <f>IFERROR(MID(VLOOKUP($B203,Seqs!$A:$B,2,0),AW203,1),"")</f>
        <v>D</v>
      </c>
      <c r="AW203" s="3">
        <v>323</v>
      </c>
      <c r="AX203" s="3" t="str">
        <f>IFERROR(MID(VLOOKUP($B203,Seqs!$A:$B,2,0),AY203,1),"")</f>
        <v>C</v>
      </c>
      <c r="AY203" s="3">
        <v>335</v>
      </c>
      <c r="AZ203" s="77" t="str">
        <f>VLOOKUP(B203,Classification!A:D,2,0)</f>
        <v>A</v>
      </c>
      <c r="BA203" s="94" t="str">
        <f>VLOOKUP(B203,Classification!A:D,4,0)</f>
        <v>Opioid</v>
      </c>
      <c r="BB203" s="27" t="b">
        <f t="shared" si="670"/>
        <v>1</v>
      </c>
      <c r="BC203" s="23">
        <f t="shared" si="643"/>
        <v>263</v>
      </c>
      <c r="BD203" s="56" t="s">
        <v>1379</v>
      </c>
      <c r="BE203" s="3" t="s">
        <v>23</v>
      </c>
      <c r="BF203" s="119" t="s">
        <v>23</v>
      </c>
      <c r="BG203" s="49" t="s">
        <v>1379</v>
      </c>
      <c r="BH203" s="49" t="s">
        <v>1384</v>
      </c>
      <c r="BI203" s="1"/>
      <c r="BJ203" s="70" t="s">
        <v>1293</v>
      </c>
      <c r="BK203" s="57" t="s">
        <v>1293</v>
      </c>
      <c r="BL203" s="57" t="s">
        <v>1293</v>
      </c>
      <c r="BM203" s="57" t="s">
        <v>1293</v>
      </c>
      <c r="BN203" s="57" t="s">
        <v>1293</v>
      </c>
      <c r="BO203" s="57" t="s">
        <v>1293</v>
      </c>
      <c r="BP203" s="57" t="s">
        <v>1293</v>
      </c>
      <c r="BQ203" s="57" t="s">
        <v>1293</v>
      </c>
      <c r="BR203" s="57" t="s">
        <v>1293</v>
      </c>
      <c r="BS203" s="57" t="s">
        <v>1293</v>
      </c>
      <c r="BT203" s="57" t="s">
        <v>1293</v>
      </c>
      <c r="BU203" s="57" t="s">
        <v>1293</v>
      </c>
      <c r="BV203" s="70">
        <f t="shared" si="644"/>
        <v>48</v>
      </c>
      <c r="BW203" s="71">
        <f t="shared" si="645"/>
        <v>80</v>
      </c>
      <c r="BX203" s="72">
        <f t="shared" si="646"/>
        <v>84</v>
      </c>
      <c r="BY203" s="71">
        <f t="shared" si="647"/>
        <v>115</v>
      </c>
      <c r="BZ203" s="72">
        <f t="shared" si="648"/>
        <v>119</v>
      </c>
      <c r="CA203" s="71">
        <f t="shared" si="649"/>
        <v>155</v>
      </c>
      <c r="CB203" s="72">
        <f t="shared" si="650"/>
        <v>163</v>
      </c>
      <c r="CC203" s="71">
        <f t="shared" si="651"/>
        <v>200</v>
      </c>
      <c r="CD203" s="72">
        <f t="shared" si="652"/>
        <v>208</v>
      </c>
      <c r="CE203" s="71">
        <f t="shared" si="653"/>
        <v>251</v>
      </c>
      <c r="CF203" s="72">
        <f t="shared" si="654"/>
        <v>294</v>
      </c>
      <c r="CG203" s="71">
        <f t="shared" si="655"/>
        <v>323</v>
      </c>
      <c r="CH203" s="70">
        <f t="shared" si="656"/>
        <v>79</v>
      </c>
      <c r="CI203" s="71">
        <f t="shared" si="657"/>
        <v>83</v>
      </c>
      <c r="CJ203" s="72">
        <f t="shared" si="658"/>
        <v>113</v>
      </c>
      <c r="CK203" s="72">
        <f t="shared" si="659"/>
        <v>118</v>
      </c>
      <c r="CL203" s="72">
        <f t="shared" si="660"/>
        <v>154</v>
      </c>
      <c r="CM203" s="72">
        <f t="shared" si="661"/>
        <v>162</v>
      </c>
      <c r="CN203" s="72">
        <f t="shared" si="662"/>
        <v>189</v>
      </c>
      <c r="CO203" s="72">
        <f t="shared" si="663"/>
        <v>202</v>
      </c>
      <c r="CP203" s="72">
        <f t="shared" si="664"/>
        <v>245</v>
      </c>
      <c r="CQ203" s="72">
        <f t="shared" si="665"/>
        <v>289</v>
      </c>
      <c r="CR203" s="72">
        <f t="shared" si="666"/>
        <v>322</v>
      </c>
      <c r="CS203" s="72">
        <f t="shared" si="667"/>
        <v>335</v>
      </c>
      <c r="CT203" s="23">
        <f t="shared" si="668"/>
        <v>1</v>
      </c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  <c r="OK203" s="1"/>
      <c r="OL203" s="1"/>
      <c r="OM203" s="1"/>
      <c r="ON203" s="1"/>
      <c r="OO203" s="1"/>
      <c r="OP203" s="1"/>
      <c r="OQ203" s="1"/>
      <c r="OR203" s="1"/>
      <c r="OS203" s="1"/>
      <c r="OT203" s="1"/>
      <c r="OU203" s="1"/>
      <c r="OV203" s="1"/>
      <c r="OW203" s="1"/>
      <c r="OX203" s="1"/>
      <c r="OY203" s="1"/>
      <c r="OZ203" s="1"/>
      <c r="PA203" s="1"/>
      <c r="PB203" s="1"/>
      <c r="PC203" s="1"/>
      <c r="PD203" s="1"/>
      <c r="PE203" s="1"/>
      <c r="PF203" s="1"/>
      <c r="PG203" s="1"/>
      <c r="PH203" s="1"/>
      <c r="PI203" s="1"/>
      <c r="PJ203" s="1"/>
      <c r="PK203" s="1"/>
      <c r="PL203" s="1"/>
      <c r="PM203" s="1"/>
      <c r="PN203" s="1"/>
      <c r="PO203" s="1"/>
      <c r="PP203" s="1"/>
      <c r="PQ203" s="1"/>
      <c r="PR203" s="1"/>
      <c r="PS203" s="1"/>
      <c r="PT203" s="1"/>
      <c r="PU203" s="1"/>
      <c r="PV203" s="1"/>
      <c r="PW203" s="1"/>
      <c r="PX203" s="1"/>
      <c r="PY203" s="1"/>
      <c r="PZ203" s="1"/>
      <c r="QA203" s="1"/>
      <c r="QB203" s="1"/>
      <c r="QC203" s="1"/>
      <c r="QD203" s="1"/>
      <c r="QE203" s="1"/>
      <c r="QF203" s="1"/>
      <c r="QG203" s="1"/>
      <c r="QH203" s="1"/>
      <c r="QI203" s="1"/>
      <c r="QJ203" s="1"/>
      <c r="QK203" s="1"/>
      <c r="QL203" s="1"/>
      <c r="QM203" s="1"/>
      <c r="QN203" s="1"/>
      <c r="QO203" s="1"/>
      <c r="QP203" s="1"/>
      <c r="QQ203" s="1"/>
      <c r="QR203" s="1"/>
      <c r="QS203" s="1"/>
      <c r="QT203" s="1"/>
      <c r="QU203" s="1"/>
      <c r="QV203" s="1"/>
      <c r="QW203" s="1"/>
      <c r="QX203" s="1"/>
      <c r="QY203" s="1"/>
      <c r="QZ203" s="1"/>
      <c r="RA203" s="1"/>
      <c r="RB203" s="1"/>
      <c r="RC203" s="1"/>
      <c r="RD203" s="1"/>
      <c r="RE203" s="1"/>
      <c r="RF203" s="1"/>
      <c r="RG203" s="1"/>
      <c r="RH203" s="1"/>
      <c r="RI203" s="1"/>
      <c r="RJ203" s="1"/>
      <c r="RK203" s="1"/>
      <c r="RL203" s="1"/>
      <c r="RM203" s="1"/>
      <c r="RN203" s="1"/>
      <c r="RO203" s="1"/>
      <c r="RP203" s="1"/>
      <c r="RQ203" s="1"/>
      <c r="RR203" s="1"/>
      <c r="RS203" s="1"/>
      <c r="RT203" s="1"/>
      <c r="RU203" s="1"/>
      <c r="RV203" s="1"/>
      <c r="RW203" s="1"/>
      <c r="RX203" s="1"/>
      <c r="RY203" s="1"/>
      <c r="RZ203" s="1"/>
      <c r="SA203" s="1"/>
      <c r="SB203" s="1"/>
      <c r="SC203" s="1"/>
      <c r="SD203" s="1"/>
      <c r="SE203" s="1"/>
      <c r="SF203" s="1"/>
      <c r="SG203" s="1"/>
      <c r="SH203" s="1"/>
      <c r="SI203" s="1"/>
      <c r="SJ203" s="1"/>
      <c r="SK203" s="1"/>
      <c r="SL203" s="1"/>
      <c r="SM203" s="1"/>
      <c r="SN203" s="1"/>
      <c r="SO203" s="1"/>
      <c r="SP203" s="1"/>
      <c r="SQ203" s="1"/>
      <c r="SR203" s="1"/>
      <c r="SS203" s="1"/>
      <c r="ST203" s="1"/>
      <c r="SU203" s="1"/>
      <c r="SV203" s="1"/>
      <c r="SW203" s="1"/>
      <c r="SX203" s="1"/>
      <c r="SY203" s="1"/>
      <c r="SZ203" s="1"/>
      <c r="TA203" s="1"/>
      <c r="TB203" s="1"/>
      <c r="TC203" s="1"/>
      <c r="TD203" s="1"/>
      <c r="TE203" s="1"/>
      <c r="TF203" s="1"/>
      <c r="TG203" s="1"/>
      <c r="TH203" s="1"/>
      <c r="TI203" s="1"/>
      <c r="TJ203" s="1"/>
      <c r="TK203" s="1"/>
      <c r="TL203" s="1"/>
      <c r="TM203" s="1"/>
      <c r="TN203" s="1"/>
      <c r="TO203" s="1"/>
      <c r="TP203" s="1"/>
      <c r="TQ203" s="1"/>
      <c r="TR203" s="1"/>
      <c r="TS203" s="1"/>
      <c r="TT203" s="1"/>
      <c r="TU203" s="1"/>
      <c r="TV203" s="1"/>
      <c r="TW203" s="1"/>
      <c r="TX203" s="1"/>
      <c r="TY203" s="1"/>
      <c r="TZ203" s="1"/>
      <c r="UA203" s="1"/>
      <c r="UB203" s="1"/>
      <c r="UC203" s="1"/>
      <c r="UD203" s="1"/>
      <c r="UE203" s="1"/>
      <c r="UF203" s="1"/>
      <c r="UG203" s="1"/>
      <c r="UH203" s="1"/>
      <c r="UI203" s="1"/>
      <c r="UJ203" s="1"/>
      <c r="UK203" s="1"/>
      <c r="UL203" s="1"/>
      <c r="UM203" s="1"/>
      <c r="UN203" s="1"/>
      <c r="UO203" s="1"/>
      <c r="UP203" s="1"/>
      <c r="UQ203" s="1"/>
      <c r="UR203" s="1"/>
      <c r="US203" s="1"/>
      <c r="UT203" s="1"/>
      <c r="UU203" s="1"/>
      <c r="UV203" s="1"/>
      <c r="UW203" s="1"/>
      <c r="UX203" s="1"/>
      <c r="UY203" s="1"/>
      <c r="UZ203" s="1"/>
      <c r="VA203" s="1"/>
      <c r="VB203" s="1"/>
      <c r="VC203" s="1"/>
      <c r="VD203" s="1"/>
      <c r="VE203" s="1"/>
      <c r="VF203" s="1"/>
      <c r="VG203" s="1"/>
      <c r="VH203" s="1"/>
      <c r="VI203" s="1"/>
      <c r="VJ203" s="1"/>
      <c r="VK203" s="1"/>
      <c r="VL203" s="1"/>
      <c r="VM203" s="1"/>
      <c r="VN203" s="1"/>
      <c r="VO203" s="1"/>
      <c r="VP203" s="1"/>
      <c r="VQ203" s="1"/>
      <c r="VR203" s="1"/>
      <c r="VS203" s="1"/>
      <c r="VT203" s="1"/>
      <c r="VU203" s="1"/>
      <c r="VV203" s="1"/>
      <c r="VW203" s="1"/>
      <c r="VX203" s="1"/>
      <c r="VY203" s="1"/>
      <c r="VZ203" s="1"/>
      <c r="WA203" s="1"/>
      <c r="WB203" s="1"/>
      <c r="WC203" s="1"/>
      <c r="WD203" s="1"/>
      <c r="WE203" s="1"/>
      <c r="WF203" s="1"/>
      <c r="WG203" s="1"/>
      <c r="WH203" s="1"/>
      <c r="WI203" s="1"/>
      <c r="WJ203" s="1"/>
      <c r="WK203" s="1"/>
      <c r="WL203" s="1"/>
      <c r="WM203" s="1"/>
      <c r="WN203" s="1"/>
      <c r="WO203" s="1"/>
      <c r="WP203" s="1"/>
      <c r="WQ203" s="1"/>
      <c r="WR203" s="1"/>
      <c r="WS203" s="1"/>
      <c r="WT203" s="1"/>
      <c r="WU203" s="1"/>
      <c r="WV203" s="1"/>
      <c r="WW203" s="1"/>
      <c r="WX203" s="1"/>
      <c r="WY203" s="1"/>
      <c r="WZ203" s="1"/>
      <c r="XA203" s="1"/>
      <c r="XB203" s="1"/>
      <c r="XC203" s="1"/>
      <c r="XD203" s="1"/>
      <c r="XE203" s="1"/>
      <c r="XF203" s="1"/>
      <c r="XG203" s="1"/>
      <c r="XH203" s="1"/>
      <c r="XI203" s="1"/>
      <c r="XJ203" s="1"/>
      <c r="XK203" s="1"/>
      <c r="XL203" s="1"/>
      <c r="XM203" s="1"/>
      <c r="XN203" s="1"/>
      <c r="XO203" s="1"/>
      <c r="XP203" s="1"/>
      <c r="XQ203" s="1"/>
      <c r="XR203" s="1"/>
      <c r="XS203" s="1"/>
      <c r="XT203" s="1"/>
      <c r="XU203" s="1"/>
      <c r="XV203" s="1"/>
      <c r="XW203" s="1"/>
      <c r="XX203" s="1"/>
      <c r="XY203" s="1"/>
      <c r="XZ203" s="1"/>
      <c r="YA203" s="1"/>
      <c r="YB203" s="1"/>
      <c r="YC203" s="1"/>
      <c r="YD203" s="1"/>
      <c r="YE203" s="1"/>
      <c r="YF203" s="1"/>
      <c r="YG203" s="1"/>
      <c r="YH203" s="1"/>
      <c r="YI203" s="1"/>
      <c r="YJ203" s="1"/>
      <c r="YK203" s="1"/>
      <c r="YL203" s="1"/>
      <c r="YM203" s="1"/>
      <c r="YN203" s="1"/>
      <c r="YO203" s="1"/>
      <c r="YP203" s="1"/>
      <c r="YQ203" s="1"/>
      <c r="YR203" s="1"/>
      <c r="YS203" s="1"/>
      <c r="YT203" s="1"/>
      <c r="YU203" s="1"/>
      <c r="YV203" s="1"/>
      <c r="YW203" s="1"/>
      <c r="YX203" s="1"/>
      <c r="YY203" s="1"/>
      <c r="YZ203" s="1"/>
      <c r="ZA203" s="1"/>
      <c r="ZB203" s="1"/>
      <c r="ZC203" s="1"/>
      <c r="ZD203" s="1"/>
      <c r="ZE203" s="1"/>
      <c r="ZF203" s="1"/>
      <c r="ZG203" s="1"/>
      <c r="ZH203" s="1"/>
      <c r="ZI203" s="1"/>
      <c r="ZJ203" s="1"/>
      <c r="ZK203" s="1"/>
      <c r="ZL203" s="1"/>
      <c r="ZM203" s="1"/>
      <c r="ZN203" s="1"/>
      <c r="ZO203" s="1"/>
      <c r="ZP203" s="1"/>
      <c r="ZQ203" s="1"/>
      <c r="ZR203" s="1"/>
      <c r="ZS203" s="1"/>
      <c r="ZT203" s="1"/>
      <c r="ZU203" s="1"/>
      <c r="ZV203" s="1"/>
      <c r="ZW203" s="1"/>
      <c r="ZX203" s="1"/>
      <c r="ZY203" s="1"/>
      <c r="ZZ203" s="1"/>
      <c r="AAA203" s="1"/>
      <c r="AAB203" s="1"/>
      <c r="AAC203" s="1"/>
      <c r="AAD203" s="1"/>
      <c r="AAE203" s="1"/>
      <c r="AAF203" s="1"/>
      <c r="AAG203" s="1"/>
      <c r="AAH203" s="1"/>
      <c r="AAI203" s="1"/>
      <c r="AAJ203" s="1"/>
      <c r="AAK203" s="1"/>
      <c r="AAL203" s="1"/>
      <c r="AAM203" s="1"/>
      <c r="AAN203" s="1"/>
      <c r="AAO203" s="1"/>
      <c r="AAP203" s="1"/>
      <c r="AAQ203" s="1"/>
      <c r="AAR203" s="1"/>
      <c r="AAS203" s="1"/>
      <c r="AAT203" s="1"/>
      <c r="AAU203" s="1"/>
      <c r="AAV203" s="1"/>
      <c r="AAW203" s="1"/>
      <c r="AAX203" s="1"/>
      <c r="AAY203" s="1"/>
      <c r="AAZ203" s="1"/>
      <c r="ABA203" s="1"/>
      <c r="ABB203" s="1"/>
      <c r="ABC203" s="1"/>
      <c r="ABD203" s="1"/>
      <c r="ABE203" s="1"/>
      <c r="ABF203" s="1"/>
      <c r="ABG203" s="1"/>
      <c r="ABH203" s="1"/>
      <c r="ABI203" s="1"/>
      <c r="ABJ203" s="1"/>
      <c r="ABK203" s="1"/>
      <c r="ABL203" s="1"/>
      <c r="ABM203" s="1"/>
      <c r="ABN203" s="1"/>
      <c r="ABO203" s="1"/>
      <c r="ABP203" s="1"/>
      <c r="ABQ203" s="1"/>
      <c r="ABR203" s="1"/>
      <c r="ABS203" s="1"/>
      <c r="ABT203" s="1"/>
      <c r="ABU203" s="1"/>
      <c r="ABV203" s="1"/>
      <c r="ABW203" s="1"/>
      <c r="ABX203" s="1"/>
      <c r="ABY203" s="1"/>
      <c r="ABZ203" s="1"/>
      <c r="ACA203" s="1"/>
      <c r="ACB203" s="1"/>
      <c r="ACC203" s="1"/>
      <c r="ACD203" s="1"/>
      <c r="ACE203" s="1"/>
      <c r="ACF203" s="1"/>
      <c r="ACG203" s="1"/>
      <c r="ACH203" s="1"/>
      <c r="ACI203" s="1"/>
      <c r="ACJ203" s="1"/>
      <c r="ACK203" s="1"/>
      <c r="ACL203" s="1"/>
      <c r="ACM203" s="1"/>
      <c r="ACN203" s="1"/>
      <c r="ACO203" s="1"/>
      <c r="ACP203" s="1"/>
      <c r="ACQ203" s="1"/>
      <c r="ACR203" s="1"/>
      <c r="ACS203" s="1"/>
      <c r="ACT203" s="1"/>
      <c r="ACU203" s="1"/>
      <c r="ACV203" s="1"/>
      <c r="ACW203" s="1"/>
      <c r="ACX203" s="1"/>
      <c r="ACY203" s="1"/>
      <c r="ACZ203" s="1"/>
      <c r="ADA203" s="1"/>
      <c r="ADB203" s="1"/>
      <c r="ADC203" s="1"/>
      <c r="ADD203" s="1"/>
      <c r="ADE203" s="1"/>
      <c r="ADF203" s="1"/>
      <c r="ADG203" s="1"/>
      <c r="ADH203" s="1"/>
      <c r="ADI203" s="1"/>
      <c r="ADJ203" s="1"/>
      <c r="ADK203" s="1"/>
      <c r="ADL203" s="1"/>
      <c r="ADM203" s="1"/>
      <c r="ADN203" s="1"/>
      <c r="ADO203" s="1"/>
      <c r="ADP203" s="1"/>
      <c r="ADQ203" s="1"/>
      <c r="ADR203" s="1"/>
      <c r="ADS203" s="1"/>
      <c r="ADT203" s="1"/>
      <c r="ADU203" s="1"/>
      <c r="ADV203" s="1"/>
      <c r="ADW203" s="1"/>
      <c r="ADX203" s="1"/>
      <c r="ADY203" s="1"/>
      <c r="ADZ203" s="1"/>
      <c r="AEA203" s="1"/>
      <c r="AEB203" s="1"/>
      <c r="AEC203" s="1"/>
      <c r="AED203" s="1"/>
      <c r="AEE203" s="1"/>
      <c r="AEF203" s="1"/>
      <c r="AEG203" s="1"/>
      <c r="AEH203" s="1"/>
      <c r="AEI203" s="1"/>
      <c r="AEJ203" s="1"/>
      <c r="AEK203" s="1"/>
      <c r="AEL203" s="1"/>
      <c r="AEM203" s="1"/>
      <c r="AEN203" s="1"/>
      <c r="AEO203" s="1"/>
      <c r="AEP203" s="1"/>
      <c r="AEQ203" s="1"/>
      <c r="AER203" s="1"/>
      <c r="AES203" s="1"/>
      <c r="AET203" s="1"/>
      <c r="AEU203" s="1"/>
      <c r="AEV203" s="1"/>
      <c r="AEW203" s="1"/>
      <c r="AEX203" s="1"/>
      <c r="AEY203" s="1"/>
      <c r="AEZ203" s="1"/>
      <c r="AFA203" s="1"/>
      <c r="AFB203" s="1"/>
      <c r="AFC203" s="1"/>
      <c r="AFD203" s="1"/>
      <c r="AFE203" s="1"/>
      <c r="AFF203" s="1"/>
      <c r="AFG203" s="1"/>
      <c r="AFH203" s="1"/>
      <c r="AFI203" s="1"/>
      <c r="AFJ203" s="1"/>
      <c r="AFK203" s="1"/>
      <c r="AFL203" s="1"/>
      <c r="AFM203" s="1"/>
      <c r="AFN203" s="1"/>
      <c r="AFO203" s="1"/>
      <c r="AFP203" s="1"/>
      <c r="AFQ203" s="1"/>
      <c r="AFR203" s="1"/>
      <c r="AFS203" s="1"/>
      <c r="AFT203" s="1"/>
      <c r="AFU203" s="1"/>
      <c r="AFV203" s="1"/>
      <c r="AFW203" s="1"/>
      <c r="AFX203" s="1"/>
      <c r="AFY203" s="1"/>
      <c r="AFZ203" s="1"/>
      <c r="AGA203" s="1"/>
      <c r="AGB203" s="1"/>
      <c r="AGC203" s="1"/>
      <c r="AGD203" s="1"/>
      <c r="AGE203" s="1"/>
      <c r="AGF203" s="1"/>
      <c r="AGG203" s="1"/>
      <c r="AGH203" s="1"/>
      <c r="AGI203" s="1"/>
      <c r="AGJ203" s="1"/>
      <c r="AGK203" s="1"/>
      <c r="AGL203" s="1"/>
      <c r="AGM203" s="1"/>
      <c r="AGN203" s="1"/>
      <c r="AGO203" s="1"/>
      <c r="AGP203" s="1"/>
      <c r="AGQ203" s="1"/>
      <c r="AGR203" s="1"/>
      <c r="AGS203" s="1"/>
      <c r="AGT203" s="1"/>
      <c r="AGU203" s="1"/>
      <c r="AGV203" s="1"/>
      <c r="AGW203" s="1"/>
      <c r="AGX203" s="1"/>
      <c r="AGY203" s="1"/>
      <c r="AGZ203" s="1"/>
      <c r="AHA203" s="1"/>
      <c r="AHB203" s="1"/>
      <c r="AHC203" s="1"/>
      <c r="AHD203" s="1"/>
      <c r="AHE203" s="1"/>
      <c r="AHF203" s="1"/>
      <c r="AHG203" s="1"/>
      <c r="AHH203" s="1"/>
      <c r="AHI203" s="1"/>
      <c r="AHJ203" s="1"/>
      <c r="AHK203" s="1"/>
      <c r="AHL203" s="1"/>
      <c r="AHM203" s="1"/>
      <c r="AHN203" s="1"/>
      <c r="AHO203" s="1"/>
      <c r="AHP203" s="1"/>
      <c r="AHQ203" s="1"/>
      <c r="AHR203" s="1"/>
      <c r="AHS203" s="1"/>
      <c r="AHT203" s="1"/>
      <c r="AHU203" s="1"/>
      <c r="AHV203" s="1"/>
      <c r="AHW203" s="1"/>
      <c r="AHX203" s="1"/>
      <c r="AHY203" s="1"/>
      <c r="AHZ203" s="1"/>
      <c r="AIA203" s="1"/>
      <c r="AIB203" s="1"/>
      <c r="AIC203" s="1"/>
      <c r="AID203" s="1"/>
      <c r="AIE203" s="1"/>
      <c r="AIF203" s="1"/>
      <c r="AIG203" s="1"/>
      <c r="AIH203" s="1"/>
      <c r="AII203" s="1"/>
      <c r="AIJ203" s="1"/>
      <c r="AIK203" s="1"/>
      <c r="AIL203" s="1"/>
      <c r="AIM203" s="1"/>
      <c r="AIN203" s="1"/>
      <c r="AIO203" s="1"/>
      <c r="AIP203" s="1"/>
      <c r="AIQ203" s="1"/>
      <c r="AIR203" s="1"/>
      <c r="AIS203" s="1"/>
      <c r="AIT203" s="1"/>
      <c r="AIU203" s="1"/>
      <c r="AIV203" s="1"/>
      <c r="AIW203" s="1"/>
      <c r="AIX203" s="1"/>
      <c r="AIY203" s="1"/>
      <c r="AIZ203" s="1"/>
      <c r="AJA203" s="1"/>
      <c r="AJB203" s="1"/>
      <c r="AJC203" s="1"/>
      <c r="AJD203" s="1"/>
      <c r="AJE203" s="1"/>
      <c r="AJF203" s="1"/>
      <c r="AJG203" s="1"/>
      <c r="AJH203" s="1"/>
      <c r="AJI203" s="1"/>
      <c r="AJJ203" s="1"/>
      <c r="AJK203" s="1"/>
      <c r="AJL203" s="1"/>
      <c r="AJM203" s="1"/>
      <c r="AJN203" s="1"/>
      <c r="AJO203" s="1"/>
      <c r="AJP203" s="1"/>
      <c r="AJQ203" s="1"/>
      <c r="AJR203" s="1"/>
      <c r="AJS203" s="1"/>
      <c r="AJT203" s="1"/>
      <c r="AJU203" s="1"/>
      <c r="AJV203" s="1"/>
      <c r="AJW203" s="1"/>
      <c r="AJX203" s="1"/>
      <c r="AJY203" s="1"/>
      <c r="AJZ203" s="1"/>
      <c r="AKA203" s="1"/>
      <c r="AKB203" s="1"/>
      <c r="AKC203" s="1"/>
      <c r="AKD203" s="1"/>
      <c r="AKE203" s="1"/>
      <c r="AKF203" s="1"/>
      <c r="AKG203" s="1"/>
      <c r="AKH203" s="1"/>
      <c r="AKI203" s="1"/>
      <c r="AKJ203" s="1"/>
      <c r="AKK203" s="1"/>
      <c r="AKL203" s="1"/>
      <c r="AKM203" s="1"/>
      <c r="AKN203" s="1"/>
      <c r="AKO203" s="1"/>
      <c r="AKP203" s="1"/>
      <c r="AKQ203" s="1"/>
      <c r="AKR203" s="1"/>
      <c r="AKS203" s="1"/>
      <c r="AKT203" s="1"/>
      <c r="AKU203" s="1"/>
      <c r="AKV203" s="1"/>
      <c r="AKW203" s="1"/>
      <c r="AKX203" s="1"/>
      <c r="AKY203" s="1"/>
      <c r="AKZ203" s="1"/>
      <c r="ALA203" s="1"/>
      <c r="ALB203" s="1"/>
      <c r="ALC203" s="1"/>
      <c r="ALD203" s="1"/>
      <c r="ALE203" s="1"/>
      <c r="ALF203" s="1"/>
      <c r="ALG203" s="1"/>
      <c r="ALH203" s="1"/>
      <c r="ALI203" s="1"/>
      <c r="ALJ203" s="1"/>
      <c r="ALK203" s="1"/>
      <c r="ALL203" s="1"/>
      <c r="ALM203" s="1"/>
      <c r="ALN203" s="1"/>
      <c r="ALO203" s="1"/>
      <c r="ALP203" s="1"/>
      <c r="ALQ203" s="1"/>
      <c r="ALR203" s="1"/>
      <c r="ALS203" s="1"/>
      <c r="ALT203" s="1"/>
      <c r="ALU203" s="1"/>
      <c r="ALV203" s="1"/>
      <c r="ALW203" s="1"/>
      <c r="ALX203" s="1"/>
      <c r="ALY203" s="1"/>
      <c r="ALZ203" s="1"/>
      <c r="AMA203" s="1"/>
      <c r="AMB203" s="1"/>
      <c r="AMC203" s="1"/>
      <c r="AMD203" s="1"/>
      <c r="AME203" s="1"/>
      <c r="AMF203" s="1"/>
      <c r="AMG203" s="1"/>
      <c r="AMH203" s="1"/>
      <c r="AMI203" s="1"/>
      <c r="AMJ203" s="1"/>
      <c r="AMK203" s="1"/>
      <c r="AML203" s="1"/>
      <c r="AMM203" s="1"/>
      <c r="AMN203" s="1"/>
      <c r="AMO203" s="1"/>
    </row>
    <row r="204" spans="1:1030" x14ac:dyDescent="0.2">
      <c r="A204" s="3" t="str">
        <f t="shared" si="669"/>
        <v>oprx_human_4EA3</v>
      </c>
      <c r="B204" s="3" t="s">
        <v>1174</v>
      </c>
      <c r="C204" s="3" t="s">
        <v>67</v>
      </c>
      <c r="D204" s="3" t="str">
        <f>IFERROR(MID(VLOOKUP($B204,Seqs!$A:$B,2,0),E204,1),"")</f>
        <v>L</v>
      </c>
      <c r="E204" s="3">
        <v>48</v>
      </c>
      <c r="F204" s="3" t="str">
        <f>IFERROR(MID(VLOOKUP($B204,Seqs!$A:$B,2,0),G204,1),"")</f>
        <v>H</v>
      </c>
      <c r="G204" s="3">
        <v>79</v>
      </c>
      <c r="H204" s="3" t="str">
        <f>IFERROR(MID(VLOOKUP($B204,Seqs!$A:$B,2,0),I204,1),"")</f>
        <v/>
      </c>
      <c r="I204" s="23" t="s">
        <v>23</v>
      </c>
      <c r="J204" s="3" t="str">
        <f>IFERROR(MID(VLOOKUP($B204,Seqs!$A:$B,2,0),K204,1),"")</f>
        <v/>
      </c>
      <c r="K204" s="23" t="s">
        <v>23</v>
      </c>
      <c r="L204" s="3" t="str">
        <f>IFERROR(MID(VLOOKUP($B204,Seqs!$A:$B,2,0),M204,1),"")</f>
        <v>T</v>
      </c>
      <c r="M204" s="3">
        <v>84</v>
      </c>
      <c r="N204" s="3" t="str">
        <f>IFERROR(MID(VLOOKUP($B204,Seqs!$A:$B,2,0),O204,1),"")</f>
        <v>L</v>
      </c>
      <c r="O204" s="3">
        <v>113</v>
      </c>
      <c r="P204" s="3" t="str">
        <f>IFERROR(MID(VLOOKUP($B204,Seqs!$A:$B,2,0),Q204,1),"")</f>
        <v>F</v>
      </c>
      <c r="Q204" s="3">
        <v>115</v>
      </c>
      <c r="R204" s="3" t="str">
        <f>IFERROR(MID(VLOOKUP($B204,Seqs!$A:$B,2,0),S204,1),"")</f>
        <v>F</v>
      </c>
      <c r="S204" s="3">
        <v>118</v>
      </c>
      <c r="T204" s="3" t="str">
        <f>IFERROR(MID(VLOOKUP($B204,Seqs!$A:$B,2,0),U204,1),"")</f>
        <v>G</v>
      </c>
      <c r="U204" s="3">
        <v>119</v>
      </c>
      <c r="V204" s="3" t="str">
        <f>IFERROR(MID(VLOOKUP($B204,Seqs!$A:$B,2,0),W204,1),"")</f>
        <v>H</v>
      </c>
      <c r="W204" s="3">
        <v>154</v>
      </c>
      <c r="X204" s="3" t="str">
        <f>IFERROR(MID(VLOOKUP($B204,Seqs!$A:$B,2,0),Y204,1),"")</f>
        <v/>
      </c>
      <c r="Y204" s="3" t="s">
        <v>23</v>
      </c>
      <c r="Z204" s="3" t="str">
        <f>IFERROR(MID(VLOOKUP($B204,Seqs!$A:$B,2,0),AA204,1),"")</f>
        <v/>
      </c>
      <c r="AA204" s="3" t="s">
        <v>23</v>
      </c>
      <c r="AB204" s="3" t="str">
        <f>IFERROR(MID(VLOOKUP($B204,Seqs!$A:$B,2,0),AC204,1),"")</f>
        <v>T</v>
      </c>
      <c r="AC204" s="9">
        <v>163</v>
      </c>
      <c r="AD204" s="3" t="str">
        <f>IFERROR(MID(VLOOKUP($B204,Seqs!$A:$B,2,0),AE204,1),"")</f>
        <v>G</v>
      </c>
      <c r="AE204" s="3">
        <v>189</v>
      </c>
      <c r="AF204" s="3" t="str">
        <f>IFERROR(MID(VLOOKUP($B204,Seqs!$A:$B,2,0),AG204,1),"")</f>
        <v>C</v>
      </c>
      <c r="AG204" s="3">
        <v>200</v>
      </c>
      <c r="AH204" s="3" t="str">
        <f>IFERROR(MID(VLOOKUP($B204,Seqs!$A:$B,2,0),AI204,1),"")</f>
        <v>V</v>
      </c>
      <c r="AI204" s="3">
        <v>202</v>
      </c>
      <c r="AJ204" s="3" t="str">
        <f>IFERROR(MID(VLOOKUP($B204,Seqs!$A:$B,2,0),AK204,1),"")</f>
        <v>Q</v>
      </c>
      <c r="AK204" s="3">
        <v>208</v>
      </c>
      <c r="AL204" s="3" t="str">
        <f>IFERROR(MID(VLOOKUP($B204,Seqs!$A:$B,2,0),AM204,1),"")</f>
        <v>L</v>
      </c>
      <c r="AM204" s="3">
        <v>242</v>
      </c>
      <c r="AN204" s="3" t="str">
        <f>IFERROR(MID(VLOOKUP($B204,Seqs!$A:$B,2,0),AO204,1),"")</f>
        <v>S</v>
      </c>
      <c r="AO204" s="3">
        <v>251</v>
      </c>
      <c r="AP204" s="3" t="str">
        <f>IFERROR(MID(VLOOKUP($B204,Seqs!$A:$B,2,0),AQ204,1),"")</f>
        <v>G</v>
      </c>
      <c r="AQ204" s="3">
        <v>289</v>
      </c>
      <c r="AR204" s="3" t="str">
        <f>IFERROR(MID(VLOOKUP($B204,Seqs!$A:$B,2,0),AS204,1),"")</f>
        <v>S</v>
      </c>
      <c r="AS204" s="3">
        <v>294</v>
      </c>
      <c r="AT204" s="3" t="str">
        <f>IFERROR(MID(VLOOKUP($B204,Seqs!$A:$B,2,0),AU204,1),"")</f>
        <v>L</v>
      </c>
      <c r="AU204" s="3">
        <v>322</v>
      </c>
      <c r="AV204" s="3" t="str">
        <f>IFERROR(MID(VLOOKUP($B204,Seqs!$A:$B,2,0),AW204,1),"")</f>
        <v>D</v>
      </c>
      <c r="AW204" s="3">
        <v>323</v>
      </c>
      <c r="AX204" s="3" t="str">
        <f>IFERROR(MID(VLOOKUP($B204,Seqs!$A:$B,2,0),AY204,1),"")</f>
        <v>R</v>
      </c>
      <c r="AY204" s="3">
        <v>331</v>
      </c>
      <c r="AZ204" s="77" t="str">
        <f>VLOOKUP(B204,Classification!A:D,2,0)</f>
        <v>A</v>
      </c>
      <c r="BA204" s="94" t="str">
        <f>VLOOKUP(B204,Classification!A:D,4,0)</f>
        <v>Opioid</v>
      </c>
      <c r="BB204" s="27" t="b">
        <f t="shared" si="670"/>
        <v>1</v>
      </c>
      <c r="BC204" s="23">
        <f t="shared" si="643"/>
        <v>246</v>
      </c>
      <c r="BD204" s="5" t="s">
        <v>23</v>
      </c>
      <c r="BE204" s="3" t="s">
        <v>1381</v>
      </c>
      <c r="BF204" s="119">
        <v>3.01</v>
      </c>
      <c r="BG204" s="49" t="s">
        <v>1384</v>
      </c>
      <c r="BH204" s="49" t="s">
        <v>1384</v>
      </c>
      <c r="BI204" s="1"/>
      <c r="BJ204" s="70" t="s">
        <v>1293</v>
      </c>
      <c r="BK204" s="57" t="s">
        <v>1293</v>
      </c>
      <c r="BL204" s="57" t="s">
        <v>1293</v>
      </c>
      <c r="BM204" s="57" t="s">
        <v>1293</v>
      </c>
      <c r="BN204" s="57" t="s">
        <v>1293</v>
      </c>
      <c r="BO204" s="57" t="s">
        <v>1293</v>
      </c>
      <c r="BP204" s="57" t="s">
        <v>1293</v>
      </c>
      <c r="BQ204" s="57" t="s">
        <v>1293</v>
      </c>
      <c r="BR204" s="57" t="s">
        <v>1293</v>
      </c>
      <c r="BS204" s="57" t="s">
        <v>1293</v>
      </c>
      <c r="BT204" s="57" t="s">
        <v>1293</v>
      </c>
      <c r="BU204" s="57" t="s">
        <v>1293</v>
      </c>
      <c r="BV204" s="70">
        <f t="shared" si="644"/>
        <v>48</v>
      </c>
      <c r="BW204" s="71" t="str">
        <f t="shared" si="645"/>
        <v>-</v>
      </c>
      <c r="BX204" s="72">
        <f t="shared" si="646"/>
        <v>84</v>
      </c>
      <c r="BY204" s="71">
        <f t="shared" si="647"/>
        <v>115</v>
      </c>
      <c r="BZ204" s="72">
        <f t="shared" si="648"/>
        <v>119</v>
      </c>
      <c r="CA204" s="71" t="str">
        <f t="shared" si="649"/>
        <v>-</v>
      </c>
      <c r="CB204" s="72">
        <f t="shared" si="650"/>
        <v>163</v>
      </c>
      <c r="CC204" s="71">
        <f t="shared" si="651"/>
        <v>200</v>
      </c>
      <c r="CD204" s="72">
        <f t="shared" si="652"/>
        <v>208</v>
      </c>
      <c r="CE204" s="71">
        <f t="shared" si="653"/>
        <v>251</v>
      </c>
      <c r="CF204" s="72">
        <f t="shared" si="654"/>
        <v>294</v>
      </c>
      <c r="CG204" s="71">
        <f t="shared" si="655"/>
        <v>323</v>
      </c>
      <c r="CH204" s="70">
        <f t="shared" si="656"/>
        <v>79</v>
      </c>
      <c r="CI204" s="71" t="str">
        <f t="shared" si="657"/>
        <v>-</v>
      </c>
      <c r="CJ204" s="72">
        <f t="shared" si="658"/>
        <v>113</v>
      </c>
      <c r="CK204" s="72">
        <f t="shared" si="659"/>
        <v>118</v>
      </c>
      <c r="CL204" s="72">
        <f t="shared" si="660"/>
        <v>154</v>
      </c>
      <c r="CM204" s="72" t="str">
        <f t="shared" si="661"/>
        <v>-</v>
      </c>
      <c r="CN204" s="72">
        <f t="shared" si="662"/>
        <v>189</v>
      </c>
      <c r="CO204" s="72">
        <f t="shared" si="663"/>
        <v>202</v>
      </c>
      <c r="CP204" s="72">
        <f t="shared" si="664"/>
        <v>242</v>
      </c>
      <c r="CQ204" s="72">
        <f t="shared" si="665"/>
        <v>289</v>
      </c>
      <c r="CR204" s="72">
        <f t="shared" si="666"/>
        <v>322</v>
      </c>
      <c r="CS204" s="72">
        <f t="shared" si="667"/>
        <v>331</v>
      </c>
      <c r="CT204" s="23" t="e">
        <f t="shared" si="668"/>
        <v>#VALUE!</v>
      </c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  <c r="OK204" s="1"/>
      <c r="OL204" s="1"/>
      <c r="OM204" s="1"/>
      <c r="ON204" s="1"/>
      <c r="OO204" s="1"/>
      <c r="OP204" s="1"/>
      <c r="OQ204" s="1"/>
      <c r="OR204" s="1"/>
      <c r="OS204" s="1"/>
      <c r="OT204" s="1"/>
      <c r="OU204" s="1"/>
      <c r="OV204" s="1"/>
      <c r="OW204" s="1"/>
      <c r="OX204" s="1"/>
      <c r="OY204" s="1"/>
      <c r="OZ204" s="1"/>
      <c r="PA204" s="1"/>
      <c r="PB204" s="1"/>
      <c r="PC204" s="1"/>
      <c r="PD204" s="1"/>
      <c r="PE204" s="1"/>
      <c r="PF204" s="1"/>
      <c r="PG204" s="1"/>
      <c r="PH204" s="1"/>
      <c r="PI204" s="1"/>
      <c r="PJ204" s="1"/>
      <c r="PK204" s="1"/>
      <c r="PL204" s="1"/>
      <c r="PM204" s="1"/>
      <c r="PN204" s="1"/>
      <c r="PO204" s="1"/>
      <c r="PP204" s="1"/>
      <c r="PQ204" s="1"/>
      <c r="PR204" s="1"/>
      <c r="PS204" s="1"/>
      <c r="PT204" s="1"/>
      <c r="PU204" s="1"/>
      <c r="PV204" s="1"/>
      <c r="PW204" s="1"/>
      <c r="PX204" s="1"/>
      <c r="PY204" s="1"/>
      <c r="PZ204" s="1"/>
      <c r="QA204" s="1"/>
      <c r="QB204" s="1"/>
      <c r="QC204" s="1"/>
      <c r="QD204" s="1"/>
      <c r="QE204" s="1"/>
      <c r="QF204" s="1"/>
      <c r="QG204" s="1"/>
      <c r="QH204" s="1"/>
      <c r="QI204" s="1"/>
      <c r="QJ204" s="1"/>
      <c r="QK204" s="1"/>
      <c r="QL204" s="1"/>
      <c r="QM204" s="1"/>
      <c r="QN204" s="1"/>
      <c r="QO204" s="1"/>
      <c r="QP204" s="1"/>
      <c r="QQ204" s="1"/>
      <c r="QR204" s="1"/>
      <c r="QS204" s="1"/>
      <c r="QT204" s="1"/>
      <c r="QU204" s="1"/>
      <c r="QV204" s="1"/>
      <c r="QW204" s="1"/>
      <c r="QX204" s="1"/>
      <c r="QY204" s="1"/>
      <c r="QZ204" s="1"/>
      <c r="RA204" s="1"/>
      <c r="RB204" s="1"/>
      <c r="RC204" s="1"/>
      <c r="RD204" s="1"/>
      <c r="RE204" s="1"/>
      <c r="RF204" s="1"/>
      <c r="RG204" s="1"/>
      <c r="RH204" s="1"/>
      <c r="RI204" s="1"/>
      <c r="RJ204" s="1"/>
      <c r="RK204" s="1"/>
      <c r="RL204" s="1"/>
      <c r="RM204" s="1"/>
      <c r="RN204" s="1"/>
      <c r="RO204" s="1"/>
      <c r="RP204" s="1"/>
      <c r="RQ204" s="1"/>
      <c r="RR204" s="1"/>
      <c r="RS204" s="1"/>
      <c r="RT204" s="1"/>
      <c r="RU204" s="1"/>
      <c r="RV204" s="1"/>
      <c r="RW204" s="1"/>
      <c r="RX204" s="1"/>
      <c r="RY204" s="1"/>
      <c r="RZ204" s="1"/>
      <c r="SA204" s="1"/>
      <c r="SB204" s="1"/>
      <c r="SC204" s="1"/>
      <c r="SD204" s="1"/>
      <c r="SE204" s="1"/>
      <c r="SF204" s="1"/>
      <c r="SG204" s="1"/>
      <c r="SH204" s="1"/>
      <c r="SI204" s="1"/>
      <c r="SJ204" s="1"/>
      <c r="SK204" s="1"/>
      <c r="SL204" s="1"/>
      <c r="SM204" s="1"/>
      <c r="SN204" s="1"/>
      <c r="SO204" s="1"/>
      <c r="SP204" s="1"/>
      <c r="SQ204" s="1"/>
      <c r="SR204" s="1"/>
      <c r="SS204" s="1"/>
      <c r="ST204" s="1"/>
      <c r="SU204" s="1"/>
      <c r="SV204" s="1"/>
      <c r="SW204" s="1"/>
      <c r="SX204" s="1"/>
      <c r="SY204" s="1"/>
      <c r="SZ204" s="1"/>
      <c r="TA204" s="1"/>
      <c r="TB204" s="1"/>
      <c r="TC204" s="1"/>
      <c r="TD204" s="1"/>
      <c r="TE204" s="1"/>
      <c r="TF204" s="1"/>
      <c r="TG204" s="1"/>
      <c r="TH204" s="1"/>
      <c r="TI204" s="1"/>
      <c r="TJ204" s="1"/>
      <c r="TK204" s="1"/>
      <c r="TL204" s="1"/>
      <c r="TM204" s="1"/>
      <c r="TN204" s="1"/>
      <c r="TO204" s="1"/>
      <c r="TP204" s="1"/>
      <c r="TQ204" s="1"/>
      <c r="TR204" s="1"/>
      <c r="TS204" s="1"/>
      <c r="TT204" s="1"/>
      <c r="TU204" s="1"/>
      <c r="TV204" s="1"/>
      <c r="TW204" s="1"/>
      <c r="TX204" s="1"/>
      <c r="TY204" s="1"/>
      <c r="TZ204" s="1"/>
      <c r="UA204" s="1"/>
      <c r="UB204" s="1"/>
      <c r="UC204" s="1"/>
      <c r="UD204" s="1"/>
      <c r="UE204" s="1"/>
      <c r="UF204" s="1"/>
      <c r="UG204" s="1"/>
      <c r="UH204" s="1"/>
      <c r="UI204" s="1"/>
      <c r="UJ204" s="1"/>
      <c r="UK204" s="1"/>
      <c r="UL204" s="1"/>
      <c r="UM204" s="1"/>
      <c r="UN204" s="1"/>
      <c r="UO204" s="1"/>
      <c r="UP204" s="1"/>
      <c r="UQ204" s="1"/>
      <c r="UR204" s="1"/>
      <c r="US204" s="1"/>
      <c r="UT204" s="1"/>
      <c r="UU204" s="1"/>
      <c r="UV204" s="1"/>
      <c r="UW204" s="1"/>
      <c r="UX204" s="1"/>
      <c r="UY204" s="1"/>
      <c r="UZ204" s="1"/>
      <c r="VA204" s="1"/>
      <c r="VB204" s="1"/>
      <c r="VC204" s="1"/>
      <c r="VD204" s="1"/>
      <c r="VE204" s="1"/>
      <c r="VF204" s="1"/>
      <c r="VG204" s="1"/>
      <c r="VH204" s="1"/>
      <c r="VI204" s="1"/>
      <c r="VJ204" s="1"/>
      <c r="VK204" s="1"/>
      <c r="VL204" s="1"/>
      <c r="VM204" s="1"/>
      <c r="VN204" s="1"/>
      <c r="VO204" s="1"/>
      <c r="VP204" s="1"/>
      <c r="VQ204" s="1"/>
      <c r="VR204" s="1"/>
      <c r="VS204" s="1"/>
      <c r="VT204" s="1"/>
      <c r="VU204" s="1"/>
      <c r="VV204" s="1"/>
      <c r="VW204" s="1"/>
      <c r="VX204" s="1"/>
      <c r="VY204" s="1"/>
      <c r="VZ204" s="1"/>
      <c r="WA204" s="1"/>
      <c r="WB204" s="1"/>
      <c r="WC204" s="1"/>
      <c r="WD204" s="1"/>
      <c r="WE204" s="1"/>
      <c r="WF204" s="1"/>
      <c r="WG204" s="1"/>
      <c r="WH204" s="1"/>
      <c r="WI204" s="1"/>
      <c r="WJ204" s="1"/>
      <c r="WK204" s="1"/>
      <c r="WL204" s="1"/>
      <c r="WM204" s="1"/>
      <c r="WN204" s="1"/>
      <c r="WO204" s="1"/>
      <c r="WP204" s="1"/>
      <c r="WQ204" s="1"/>
      <c r="WR204" s="1"/>
      <c r="WS204" s="1"/>
      <c r="WT204" s="1"/>
      <c r="WU204" s="1"/>
      <c r="WV204" s="1"/>
      <c r="WW204" s="1"/>
      <c r="WX204" s="1"/>
      <c r="WY204" s="1"/>
      <c r="WZ204" s="1"/>
      <c r="XA204" s="1"/>
      <c r="XB204" s="1"/>
      <c r="XC204" s="1"/>
      <c r="XD204" s="1"/>
      <c r="XE204" s="1"/>
      <c r="XF204" s="1"/>
      <c r="XG204" s="1"/>
      <c r="XH204" s="1"/>
      <c r="XI204" s="1"/>
      <c r="XJ204" s="1"/>
      <c r="XK204" s="1"/>
      <c r="XL204" s="1"/>
      <c r="XM204" s="1"/>
      <c r="XN204" s="1"/>
      <c r="XO204" s="1"/>
      <c r="XP204" s="1"/>
      <c r="XQ204" s="1"/>
      <c r="XR204" s="1"/>
      <c r="XS204" s="1"/>
      <c r="XT204" s="1"/>
      <c r="XU204" s="1"/>
      <c r="XV204" s="1"/>
      <c r="XW204" s="1"/>
      <c r="XX204" s="1"/>
      <c r="XY204" s="1"/>
      <c r="XZ204" s="1"/>
      <c r="YA204" s="1"/>
      <c r="YB204" s="1"/>
      <c r="YC204" s="1"/>
      <c r="YD204" s="1"/>
      <c r="YE204" s="1"/>
      <c r="YF204" s="1"/>
      <c r="YG204" s="1"/>
      <c r="YH204" s="1"/>
      <c r="YI204" s="1"/>
      <c r="YJ204" s="1"/>
      <c r="YK204" s="1"/>
      <c r="YL204" s="1"/>
      <c r="YM204" s="1"/>
      <c r="YN204" s="1"/>
      <c r="YO204" s="1"/>
      <c r="YP204" s="1"/>
      <c r="YQ204" s="1"/>
      <c r="YR204" s="1"/>
      <c r="YS204" s="1"/>
      <c r="YT204" s="1"/>
      <c r="YU204" s="1"/>
      <c r="YV204" s="1"/>
      <c r="YW204" s="1"/>
      <c r="YX204" s="1"/>
      <c r="YY204" s="1"/>
      <c r="YZ204" s="1"/>
      <c r="ZA204" s="1"/>
      <c r="ZB204" s="1"/>
      <c r="ZC204" s="1"/>
      <c r="ZD204" s="1"/>
      <c r="ZE204" s="1"/>
      <c r="ZF204" s="1"/>
      <c r="ZG204" s="1"/>
      <c r="ZH204" s="1"/>
      <c r="ZI204" s="1"/>
      <c r="ZJ204" s="1"/>
      <c r="ZK204" s="1"/>
      <c r="ZL204" s="1"/>
      <c r="ZM204" s="1"/>
      <c r="ZN204" s="1"/>
      <c r="ZO204" s="1"/>
      <c r="ZP204" s="1"/>
      <c r="ZQ204" s="1"/>
      <c r="ZR204" s="1"/>
      <c r="ZS204" s="1"/>
      <c r="ZT204" s="1"/>
      <c r="ZU204" s="1"/>
      <c r="ZV204" s="1"/>
      <c r="ZW204" s="1"/>
      <c r="ZX204" s="1"/>
      <c r="ZY204" s="1"/>
      <c r="ZZ204" s="1"/>
      <c r="AAA204" s="1"/>
      <c r="AAB204" s="1"/>
      <c r="AAC204" s="1"/>
      <c r="AAD204" s="1"/>
      <c r="AAE204" s="1"/>
      <c r="AAF204" s="1"/>
      <c r="AAG204" s="1"/>
      <c r="AAH204" s="1"/>
      <c r="AAI204" s="1"/>
      <c r="AAJ204" s="1"/>
      <c r="AAK204" s="1"/>
      <c r="AAL204" s="1"/>
      <c r="AAM204" s="1"/>
      <c r="AAN204" s="1"/>
      <c r="AAO204" s="1"/>
      <c r="AAP204" s="1"/>
      <c r="AAQ204" s="1"/>
      <c r="AAR204" s="1"/>
      <c r="AAS204" s="1"/>
      <c r="AAT204" s="1"/>
      <c r="AAU204" s="1"/>
      <c r="AAV204" s="1"/>
      <c r="AAW204" s="1"/>
      <c r="AAX204" s="1"/>
      <c r="AAY204" s="1"/>
      <c r="AAZ204" s="1"/>
      <c r="ABA204" s="1"/>
      <c r="ABB204" s="1"/>
      <c r="ABC204" s="1"/>
      <c r="ABD204" s="1"/>
      <c r="ABE204" s="1"/>
      <c r="ABF204" s="1"/>
      <c r="ABG204" s="1"/>
      <c r="ABH204" s="1"/>
      <c r="ABI204" s="1"/>
      <c r="ABJ204" s="1"/>
      <c r="ABK204" s="1"/>
      <c r="ABL204" s="1"/>
      <c r="ABM204" s="1"/>
      <c r="ABN204" s="1"/>
      <c r="ABO204" s="1"/>
      <c r="ABP204" s="1"/>
      <c r="ABQ204" s="1"/>
      <c r="ABR204" s="1"/>
      <c r="ABS204" s="1"/>
      <c r="ABT204" s="1"/>
      <c r="ABU204" s="1"/>
      <c r="ABV204" s="1"/>
      <c r="ABW204" s="1"/>
      <c r="ABX204" s="1"/>
      <c r="ABY204" s="1"/>
      <c r="ABZ204" s="1"/>
      <c r="ACA204" s="1"/>
      <c r="ACB204" s="1"/>
      <c r="ACC204" s="1"/>
      <c r="ACD204" s="1"/>
      <c r="ACE204" s="1"/>
      <c r="ACF204" s="1"/>
      <c r="ACG204" s="1"/>
      <c r="ACH204" s="1"/>
      <c r="ACI204" s="1"/>
      <c r="ACJ204" s="1"/>
      <c r="ACK204" s="1"/>
      <c r="ACL204" s="1"/>
      <c r="ACM204" s="1"/>
      <c r="ACN204" s="1"/>
      <c r="ACO204" s="1"/>
      <c r="ACP204" s="1"/>
      <c r="ACQ204" s="1"/>
      <c r="ACR204" s="1"/>
      <c r="ACS204" s="1"/>
      <c r="ACT204" s="1"/>
      <c r="ACU204" s="1"/>
      <c r="ACV204" s="1"/>
      <c r="ACW204" s="1"/>
      <c r="ACX204" s="1"/>
      <c r="ACY204" s="1"/>
      <c r="ACZ204" s="1"/>
      <c r="ADA204" s="1"/>
      <c r="ADB204" s="1"/>
      <c r="ADC204" s="1"/>
      <c r="ADD204" s="1"/>
      <c r="ADE204" s="1"/>
      <c r="ADF204" s="1"/>
      <c r="ADG204" s="1"/>
      <c r="ADH204" s="1"/>
      <c r="ADI204" s="1"/>
      <c r="ADJ204" s="1"/>
      <c r="ADK204" s="1"/>
      <c r="ADL204" s="1"/>
      <c r="ADM204" s="1"/>
      <c r="ADN204" s="1"/>
      <c r="ADO204" s="1"/>
      <c r="ADP204" s="1"/>
      <c r="ADQ204" s="1"/>
      <c r="ADR204" s="1"/>
      <c r="ADS204" s="1"/>
      <c r="ADT204" s="1"/>
      <c r="ADU204" s="1"/>
      <c r="ADV204" s="1"/>
      <c r="ADW204" s="1"/>
      <c r="ADX204" s="1"/>
      <c r="ADY204" s="1"/>
      <c r="ADZ204" s="1"/>
      <c r="AEA204" s="1"/>
      <c r="AEB204" s="1"/>
      <c r="AEC204" s="1"/>
      <c r="AED204" s="1"/>
      <c r="AEE204" s="1"/>
      <c r="AEF204" s="1"/>
      <c r="AEG204" s="1"/>
      <c r="AEH204" s="1"/>
      <c r="AEI204" s="1"/>
      <c r="AEJ204" s="1"/>
      <c r="AEK204" s="1"/>
      <c r="AEL204" s="1"/>
      <c r="AEM204" s="1"/>
      <c r="AEN204" s="1"/>
      <c r="AEO204" s="1"/>
      <c r="AEP204" s="1"/>
      <c r="AEQ204" s="1"/>
      <c r="AER204" s="1"/>
      <c r="AES204" s="1"/>
      <c r="AET204" s="1"/>
      <c r="AEU204" s="1"/>
      <c r="AEV204" s="1"/>
      <c r="AEW204" s="1"/>
      <c r="AEX204" s="1"/>
      <c r="AEY204" s="1"/>
      <c r="AEZ204" s="1"/>
      <c r="AFA204" s="1"/>
      <c r="AFB204" s="1"/>
      <c r="AFC204" s="1"/>
      <c r="AFD204" s="1"/>
      <c r="AFE204" s="1"/>
      <c r="AFF204" s="1"/>
      <c r="AFG204" s="1"/>
      <c r="AFH204" s="1"/>
      <c r="AFI204" s="1"/>
      <c r="AFJ204" s="1"/>
      <c r="AFK204" s="1"/>
      <c r="AFL204" s="1"/>
      <c r="AFM204" s="1"/>
      <c r="AFN204" s="1"/>
      <c r="AFO204" s="1"/>
      <c r="AFP204" s="1"/>
      <c r="AFQ204" s="1"/>
      <c r="AFR204" s="1"/>
      <c r="AFS204" s="1"/>
      <c r="AFT204" s="1"/>
      <c r="AFU204" s="1"/>
      <c r="AFV204" s="1"/>
      <c r="AFW204" s="1"/>
      <c r="AFX204" s="1"/>
      <c r="AFY204" s="1"/>
      <c r="AFZ204" s="1"/>
      <c r="AGA204" s="1"/>
      <c r="AGB204" s="1"/>
      <c r="AGC204" s="1"/>
      <c r="AGD204" s="1"/>
      <c r="AGE204" s="1"/>
      <c r="AGF204" s="1"/>
      <c r="AGG204" s="1"/>
      <c r="AGH204" s="1"/>
      <c r="AGI204" s="1"/>
      <c r="AGJ204" s="1"/>
      <c r="AGK204" s="1"/>
      <c r="AGL204" s="1"/>
      <c r="AGM204" s="1"/>
      <c r="AGN204" s="1"/>
      <c r="AGO204" s="1"/>
      <c r="AGP204" s="1"/>
      <c r="AGQ204" s="1"/>
      <c r="AGR204" s="1"/>
      <c r="AGS204" s="1"/>
      <c r="AGT204" s="1"/>
      <c r="AGU204" s="1"/>
      <c r="AGV204" s="1"/>
      <c r="AGW204" s="1"/>
      <c r="AGX204" s="1"/>
      <c r="AGY204" s="1"/>
      <c r="AGZ204" s="1"/>
      <c r="AHA204" s="1"/>
      <c r="AHB204" s="1"/>
      <c r="AHC204" s="1"/>
      <c r="AHD204" s="1"/>
      <c r="AHE204" s="1"/>
      <c r="AHF204" s="1"/>
      <c r="AHG204" s="1"/>
      <c r="AHH204" s="1"/>
      <c r="AHI204" s="1"/>
      <c r="AHJ204" s="1"/>
      <c r="AHK204" s="1"/>
      <c r="AHL204" s="1"/>
      <c r="AHM204" s="1"/>
      <c r="AHN204" s="1"/>
      <c r="AHO204" s="1"/>
      <c r="AHP204" s="1"/>
      <c r="AHQ204" s="1"/>
      <c r="AHR204" s="1"/>
      <c r="AHS204" s="1"/>
      <c r="AHT204" s="1"/>
      <c r="AHU204" s="1"/>
      <c r="AHV204" s="1"/>
      <c r="AHW204" s="1"/>
      <c r="AHX204" s="1"/>
      <c r="AHY204" s="1"/>
      <c r="AHZ204" s="1"/>
      <c r="AIA204" s="1"/>
      <c r="AIB204" s="1"/>
      <c r="AIC204" s="1"/>
      <c r="AID204" s="1"/>
      <c r="AIE204" s="1"/>
      <c r="AIF204" s="1"/>
      <c r="AIG204" s="1"/>
      <c r="AIH204" s="1"/>
      <c r="AII204" s="1"/>
      <c r="AIJ204" s="1"/>
      <c r="AIK204" s="1"/>
      <c r="AIL204" s="1"/>
      <c r="AIM204" s="1"/>
      <c r="AIN204" s="1"/>
      <c r="AIO204" s="1"/>
      <c r="AIP204" s="1"/>
      <c r="AIQ204" s="1"/>
      <c r="AIR204" s="1"/>
      <c r="AIS204" s="1"/>
      <c r="AIT204" s="1"/>
      <c r="AIU204" s="1"/>
      <c r="AIV204" s="1"/>
      <c r="AIW204" s="1"/>
      <c r="AIX204" s="1"/>
      <c r="AIY204" s="1"/>
      <c r="AIZ204" s="1"/>
      <c r="AJA204" s="1"/>
      <c r="AJB204" s="1"/>
      <c r="AJC204" s="1"/>
      <c r="AJD204" s="1"/>
      <c r="AJE204" s="1"/>
      <c r="AJF204" s="1"/>
      <c r="AJG204" s="1"/>
      <c r="AJH204" s="1"/>
      <c r="AJI204" s="1"/>
      <c r="AJJ204" s="1"/>
      <c r="AJK204" s="1"/>
      <c r="AJL204" s="1"/>
      <c r="AJM204" s="1"/>
      <c r="AJN204" s="1"/>
      <c r="AJO204" s="1"/>
      <c r="AJP204" s="1"/>
      <c r="AJQ204" s="1"/>
      <c r="AJR204" s="1"/>
      <c r="AJS204" s="1"/>
      <c r="AJT204" s="1"/>
      <c r="AJU204" s="1"/>
      <c r="AJV204" s="1"/>
      <c r="AJW204" s="1"/>
      <c r="AJX204" s="1"/>
      <c r="AJY204" s="1"/>
      <c r="AJZ204" s="1"/>
      <c r="AKA204" s="1"/>
      <c r="AKB204" s="1"/>
      <c r="AKC204" s="1"/>
      <c r="AKD204" s="1"/>
      <c r="AKE204" s="1"/>
      <c r="AKF204" s="1"/>
      <c r="AKG204" s="1"/>
      <c r="AKH204" s="1"/>
      <c r="AKI204" s="1"/>
      <c r="AKJ204" s="1"/>
      <c r="AKK204" s="1"/>
      <c r="AKL204" s="1"/>
      <c r="AKM204" s="1"/>
      <c r="AKN204" s="1"/>
      <c r="AKO204" s="1"/>
      <c r="AKP204" s="1"/>
      <c r="AKQ204" s="1"/>
      <c r="AKR204" s="1"/>
      <c r="AKS204" s="1"/>
      <c r="AKT204" s="1"/>
      <c r="AKU204" s="1"/>
      <c r="AKV204" s="1"/>
      <c r="AKW204" s="1"/>
      <c r="AKX204" s="1"/>
      <c r="AKY204" s="1"/>
      <c r="AKZ204" s="1"/>
      <c r="ALA204" s="1"/>
      <c r="ALB204" s="1"/>
      <c r="ALC204" s="1"/>
      <c r="ALD204" s="1"/>
      <c r="ALE204" s="1"/>
      <c r="ALF204" s="1"/>
      <c r="ALG204" s="1"/>
      <c r="ALH204" s="1"/>
      <c r="ALI204" s="1"/>
      <c r="ALJ204" s="1"/>
      <c r="ALK204" s="1"/>
      <c r="ALL204" s="1"/>
      <c r="ALM204" s="1"/>
      <c r="ALN204" s="1"/>
      <c r="ALO204" s="1"/>
      <c r="ALP204" s="1"/>
      <c r="ALQ204" s="1"/>
      <c r="ALR204" s="1"/>
      <c r="ALS204" s="1"/>
      <c r="ALT204" s="1"/>
      <c r="ALU204" s="1"/>
      <c r="ALV204" s="1"/>
      <c r="ALW204" s="1"/>
      <c r="ALX204" s="1"/>
      <c r="ALY204" s="1"/>
      <c r="ALZ204" s="1"/>
      <c r="AMA204" s="1"/>
      <c r="AMB204" s="1"/>
      <c r="AMC204" s="1"/>
      <c r="AMD204" s="1"/>
      <c r="AME204" s="1"/>
      <c r="AMF204" s="1"/>
      <c r="AMG204" s="1"/>
      <c r="AMH204" s="1"/>
      <c r="AMI204" s="1"/>
      <c r="AMJ204" s="1"/>
      <c r="AMK204" s="1"/>
      <c r="AML204" s="1"/>
      <c r="AMM204" s="1"/>
      <c r="AMN204" s="1"/>
      <c r="AMO204" s="1"/>
    </row>
    <row r="205" spans="1:1030" x14ac:dyDescent="0.2">
      <c r="A205" s="3" t="str">
        <f t="shared" si="669"/>
        <v>oprx_human_5DHG</v>
      </c>
      <c r="B205" s="3" t="s">
        <v>1174</v>
      </c>
      <c r="C205" s="3" t="s">
        <v>1361</v>
      </c>
      <c r="D205" s="3" t="str">
        <f>IFERROR(MID(VLOOKUP($B205,Seqs!$A:$B,2,0),E205,1),"")</f>
        <v>L</v>
      </c>
      <c r="E205" s="3">
        <v>48</v>
      </c>
      <c r="F205" s="3" t="str">
        <f>IFERROR(MID(VLOOKUP($B205,Seqs!$A:$B,2,0),G205,1),"")</f>
        <v>H</v>
      </c>
      <c r="G205" s="3">
        <v>79</v>
      </c>
      <c r="H205" s="3" t="str">
        <f>IFERROR(MID(VLOOKUP($B205,Seqs!$A:$B,2,0),I205,1),"")</f>
        <v/>
      </c>
      <c r="I205" s="23" t="s">
        <v>23</v>
      </c>
      <c r="J205" s="3" t="str">
        <f>IFERROR(MID(VLOOKUP($B205,Seqs!$A:$B,2,0),K205,1),"")</f>
        <v/>
      </c>
      <c r="K205" s="23" t="s">
        <v>23</v>
      </c>
      <c r="L205" s="3" t="str">
        <f>IFERROR(MID(VLOOKUP($B205,Seqs!$A:$B,2,0),M205,1),"")</f>
        <v>T</v>
      </c>
      <c r="M205" s="3">
        <v>84</v>
      </c>
      <c r="N205" s="3" t="str">
        <f>IFERROR(MID(VLOOKUP($B205,Seqs!$A:$B,2,0),O205,1),"")</f>
        <v>L</v>
      </c>
      <c r="O205" s="3">
        <v>113</v>
      </c>
      <c r="P205" s="3" t="str">
        <f>IFERROR(MID(VLOOKUP($B205,Seqs!$A:$B,2,0),Q205,1),"")</f>
        <v>F</v>
      </c>
      <c r="Q205" s="3">
        <v>115</v>
      </c>
      <c r="R205" s="3" t="str">
        <f>IFERROR(MID(VLOOKUP($B205,Seqs!$A:$B,2,0),S205,1),"")</f>
        <v>F</v>
      </c>
      <c r="S205" s="3">
        <v>118</v>
      </c>
      <c r="T205" s="3" t="str">
        <f>IFERROR(MID(VLOOKUP($B205,Seqs!$A:$B,2,0),U205,1),"")</f>
        <v>G</v>
      </c>
      <c r="U205" s="3">
        <v>119</v>
      </c>
      <c r="V205" s="3" t="str">
        <f>IFERROR(MID(VLOOKUP($B205,Seqs!$A:$B,2,0),W205,1),"")</f>
        <v>H</v>
      </c>
      <c r="W205" s="3">
        <v>154</v>
      </c>
      <c r="X205" s="3" t="str">
        <f>IFERROR(MID(VLOOKUP($B205,Seqs!$A:$B,2,0),Y205,1),"")</f>
        <v/>
      </c>
      <c r="Y205" s="3" t="s">
        <v>23</v>
      </c>
      <c r="Z205" s="3" t="str">
        <f>IFERROR(MID(VLOOKUP($B205,Seqs!$A:$B,2,0),AA205,1),"")</f>
        <v/>
      </c>
      <c r="AA205" s="3" t="s">
        <v>23</v>
      </c>
      <c r="AB205" s="3" t="str">
        <f>IFERROR(MID(VLOOKUP($B205,Seqs!$A:$B,2,0),AC205,1),"")</f>
        <v>T</v>
      </c>
      <c r="AC205" s="9">
        <v>163</v>
      </c>
      <c r="AD205" s="3" t="str">
        <f>IFERROR(MID(VLOOKUP($B205,Seqs!$A:$B,2,0),AE205,1),"")</f>
        <v>G</v>
      </c>
      <c r="AE205" s="3">
        <v>189</v>
      </c>
      <c r="AF205" s="3" t="str">
        <f>IFERROR(MID(VLOOKUP($B205,Seqs!$A:$B,2,0),AG205,1),"")</f>
        <v>C</v>
      </c>
      <c r="AG205" s="3">
        <v>200</v>
      </c>
      <c r="AH205" s="3" t="str">
        <f>IFERROR(MID(VLOOKUP($B205,Seqs!$A:$B,2,0),AI205,1),"")</f>
        <v>V</v>
      </c>
      <c r="AI205" s="3">
        <v>202</v>
      </c>
      <c r="AJ205" s="3" t="str">
        <f>IFERROR(MID(VLOOKUP($B205,Seqs!$A:$B,2,0),AK205,1),"")</f>
        <v>Q</v>
      </c>
      <c r="AK205" s="3">
        <v>208</v>
      </c>
      <c r="AL205" s="3" t="str">
        <f>IFERROR(MID(VLOOKUP($B205,Seqs!$A:$B,2,0),AM205,1),"")</f>
        <v>L</v>
      </c>
      <c r="AM205" s="3">
        <v>242</v>
      </c>
      <c r="AN205" s="3" t="str">
        <f>IFERROR(MID(VLOOKUP($B205,Seqs!$A:$B,2,0),AO205,1),"")</f>
        <v>S</v>
      </c>
      <c r="AO205" s="3">
        <v>251</v>
      </c>
      <c r="AP205" s="3" t="str">
        <f>IFERROR(MID(VLOOKUP($B205,Seqs!$A:$B,2,0),AQ205,1),"")</f>
        <v>G</v>
      </c>
      <c r="AQ205" s="3">
        <v>289</v>
      </c>
      <c r="AR205" s="3" t="str">
        <f>IFERROR(MID(VLOOKUP($B205,Seqs!$A:$B,2,0),AS205,1),"")</f>
        <v>S</v>
      </c>
      <c r="AS205" s="3">
        <v>294</v>
      </c>
      <c r="AT205" s="3" t="str">
        <f>IFERROR(MID(VLOOKUP($B205,Seqs!$A:$B,2,0),AU205,1),"")</f>
        <v>L</v>
      </c>
      <c r="AU205" s="3">
        <v>322</v>
      </c>
      <c r="AV205" s="3" t="str">
        <f>IFERROR(MID(VLOOKUP($B205,Seqs!$A:$B,2,0),AW205,1),"")</f>
        <v>D</v>
      </c>
      <c r="AW205" s="3">
        <v>323</v>
      </c>
      <c r="AX205" s="3" t="str">
        <f>IFERROR(MID(VLOOKUP($B205,Seqs!$A:$B,2,0),AY205,1),"")</f>
        <v>F</v>
      </c>
      <c r="AY205" s="3">
        <v>333</v>
      </c>
      <c r="AZ205" s="77" t="str">
        <f>VLOOKUP(B205,Classification!A:D,2,0)</f>
        <v>A</v>
      </c>
      <c r="BA205" s="94" t="str">
        <f>VLOOKUP(B205,Classification!A:D,4,0)</f>
        <v>Opioid</v>
      </c>
      <c r="BB205" s="27" t="b">
        <f t="shared" si="670"/>
        <v>1</v>
      </c>
      <c r="BC205" s="23">
        <f t="shared" si="643"/>
        <v>248</v>
      </c>
      <c r="BD205" s="16" t="s">
        <v>1383</v>
      </c>
      <c r="BE205" s="3" t="s">
        <v>1381</v>
      </c>
      <c r="BF205" s="119">
        <v>3</v>
      </c>
      <c r="BG205" s="49" t="s">
        <v>1287</v>
      </c>
      <c r="BH205" s="49" t="s">
        <v>1384</v>
      </c>
      <c r="BI205" s="1"/>
      <c r="BJ205" s="70" t="s">
        <v>1293</v>
      </c>
      <c r="BK205" s="57" t="s">
        <v>1293</v>
      </c>
      <c r="BL205" s="57" t="s">
        <v>1293</v>
      </c>
      <c r="BM205" s="57" t="s">
        <v>1293</v>
      </c>
      <c r="BN205" s="57" t="s">
        <v>1293</v>
      </c>
      <c r="BO205" s="57" t="s">
        <v>1293</v>
      </c>
      <c r="BP205" s="57" t="s">
        <v>1293</v>
      </c>
      <c r="BQ205" s="57" t="s">
        <v>1293</v>
      </c>
      <c r="BR205" s="57" t="s">
        <v>1293</v>
      </c>
      <c r="BS205" s="57" t="s">
        <v>1293</v>
      </c>
      <c r="BT205" s="57" t="s">
        <v>1293</v>
      </c>
      <c r="BU205" s="57" t="s">
        <v>1293</v>
      </c>
      <c r="BV205" s="70">
        <f t="shared" si="644"/>
        <v>48</v>
      </c>
      <c r="BW205" s="71" t="str">
        <f t="shared" si="645"/>
        <v>-</v>
      </c>
      <c r="BX205" s="72">
        <f t="shared" si="646"/>
        <v>84</v>
      </c>
      <c r="BY205" s="71">
        <f t="shared" si="647"/>
        <v>115</v>
      </c>
      <c r="BZ205" s="72">
        <f t="shared" si="648"/>
        <v>119</v>
      </c>
      <c r="CA205" s="71" t="str">
        <f t="shared" si="649"/>
        <v>-</v>
      </c>
      <c r="CB205" s="72">
        <f t="shared" si="650"/>
        <v>163</v>
      </c>
      <c r="CC205" s="71">
        <f t="shared" si="651"/>
        <v>200</v>
      </c>
      <c r="CD205" s="72">
        <f t="shared" si="652"/>
        <v>208</v>
      </c>
      <c r="CE205" s="71">
        <f t="shared" si="653"/>
        <v>251</v>
      </c>
      <c r="CF205" s="72">
        <f t="shared" si="654"/>
        <v>294</v>
      </c>
      <c r="CG205" s="71">
        <f t="shared" si="655"/>
        <v>323</v>
      </c>
      <c r="CH205" s="70">
        <f t="shared" si="656"/>
        <v>79</v>
      </c>
      <c r="CI205" s="71" t="str">
        <f t="shared" si="657"/>
        <v>-</v>
      </c>
      <c r="CJ205" s="72">
        <f t="shared" si="658"/>
        <v>113</v>
      </c>
      <c r="CK205" s="72">
        <f t="shared" si="659"/>
        <v>118</v>
      </c>
      <c r="CL205" s="72">
        <f t="shared" si="660"/>
        <v>154</v>
      </c>
      <c r="CM205" s="72" t="str">
        <f t="shared" si="661"/>
        <v>-</v>
      </c>
      <c r="CN205" s="72">
        <f t="shared" si="662"/>
        <v>189</v>
      </c>
      <c r="CO205" s="72">
        <f t="shared" si="663"/>
        <v>202</v>
      </c>
      <c r="CP205" s="72">
        <f t="shared" si="664"/>
        <v>242</v>
      </c>
      <c r="CQ205" s="72">
        <f t="shared" si="665"/>
        <v>289</v>
      </c>
      <c r="CR205" s="72">
        <f t="shared" si="666"/>
        <v>322</v>
      </c>
      <c r="CS205" s="72">
        <f t="shared" si="667"/>
        <v>333</v>
      </c>
      <c r="CT205" s="23" t="e">
        <f t="shared" si="668"/>
        <v>#VALUE!</v>
      </c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  <c r="OK205" s="1"/>
      <c r="OL205" s="1"/>
      <c r="OM205" s="1"/>
      <c r="ON205" s="1"/>
      <c r="OO205" s="1"/>
      <c r="OP205" s="1"/>
      <c r="OQ205" s="1"/>
      <c r="OR205" s="1"/>
      <c r="OS205" s="1"/>
      <c r="OT205" s="1"/>
      <c r="OU205" s="1"/>
      <c r="OV205" s="1"/>
      <c r="OW205" s="1"/>
      <c r="OX205" s="1"/>
      <c r="OY205" s="1"/>
      <c r="OZ205" s="1"/>
      <c r="PA205" s="1"/>
      <c r="PB205" s="1"/>
      <c r="PC205" s="1"/>
      <c r="PD205" s="1"/>
      <c r="PE205" s="1"/>
      <c r="PF205" s="1"/>
      <c r="PG205" s="1"/>
      <c r="PH205" s="1"/>
      <c r="PI205" s="1"/>
      <c r="PJ205" s="1"/>
      <c r="PK205" s="1"/>
      <c r="PL205" s="1"/>
      <c r="PM205" s="1"/>
      <c r="PN205" s="1"/>
      <c r="PO205" s="1"/>
      <c r="PP205" s="1"/>
      <c r="PQ205" s="1"/>
      <c r="PR205" s="1"/>
      <c r="PS205" s="1"/>
      <c r="PT205" s="1"/>
      <c r="PU205" s="1"/>
      <c r="PV205" s="1"/>
      <c r="PW205" s="1"/>
      <c r="PX205" s="1"/>
      <c r="PY205" s="1"/>
      <c r="PZ205" s="1"/>
      <c r="QA205" s="1"/>
      <c r="QB205" s="1"/>
      <c r="QC205" s="1"/>
      <c r="QD205" s="1"/>
      <c r="QE205" s="1"/>
      <c r="QF205" s="1"/>
      <c r="QG205" s="1"/>
      <c r="QH205" s="1"/>
      <c r="QI205" s="1"/>
      <c r="QJ205" s="1"/>
      <c r="QK205" s="1"/>
      <c r="QL205" s="1"/>
      <c r="QM205" s="1"/>
      <c r="QN205" s="1"/>
      <c r="QO205" s="1"/>
      <c r="QP205" s="1"/>
      <c r="QQ205" s="1"/>
      <c r="QR205" s="1"/>
      <c r="QS205" s="1"/>
      <c r="QT205" s="1"/>
      <c r="QU205" s="1"/>
      <c r="QV205" s="1"/>
      <c r="QW205" s="1"/>
      <c r="QX205" s="1"/>
      <c r="QY205" s="1"/>
      <c r="QZ205" s="1"/>
      <c r="RA205" s="1"/>
      <c r="RB205" s="1"/>
      <c r="RC205" s="1"/>
      <c r="RD205" s="1"/>
      <c r="RE205" s="1"/>
      <c r="RF205" s="1"/>
      <c r="RG205" s="1"/>
      <c r="RH205" s="1"/>
      <c r="RI205" s="1"/>
      <c r="RJ205" s="1"/>
      <c r="RK205" s="1"/>
      <c r="RL205" s="1"/>
      <c r="RM205" s="1"/>
      <c r="RN205" s="1"/>
      <c r="RO205" s="1"/>
      <c r="RP205" s="1"/>
      <c r="RQ205" s="1"/>
      <c r="RR205" s="1"/>
      <c r="RS205" s="1"/>
      <c r="RT205" s="1"/>
      <c r="RU205" s="1"/>
      <c r="RV205" s="1"/>
      <c r="RW205" s="1"/>
      <c r="RX205" s="1"/>
      <c r="RY205" s="1"/>
      <c r="RZ205" s="1"/>
      <c r="SA205" s="1"/>
      <c r="SB205" s="1"/>
      <c r="SC205" s="1"/>
      <c r="SD205" s="1"/>
      <c r="SE205" s="1"/>
      <c r="SF205" s="1"/>
      <c r="SG205" s="1"/>
      <c r="SH205" s="1"/>
      <c r="SI205" s="1"/>
      <c r="SJ205" s="1"/>
      <c r="SK205" s="1"/>
      <c r="SL205" s="1"/>
      <c r="SM205" s="1"/>
      <c r="SN205" s="1"/>
      <c r="SO205" s="1"/>
      <c r="SP205" s="1"/>
      <c r="SQ205" s="1"/>
      <c r="SR205" s="1"/>
      <c r="SS205" s="1"/>
      <c r="ST205" s="1"/>
      <c r="SU205" s="1"/>
      <c r="SV205" s="1"/>
      <c r="SW205" s="1"/>
      <c r="SX205" s="1"/>
      <c r="SY205" s="1"/>
      <c r="SZ205" s="1"/>
      <c r="TA205" s="1"/>
      <c r="TB205" s="1"/>
      <c r="TC205" s="1"/>
      <c r="TD205" s="1"/>
      <c r="TE205" s="1"/>
      <c r="TF205" s="1"/>
      <c r="TG205" s="1"/>
      <c r="TH205" s="1"/>
      <c r="TI205" s="1"/>
      <c r="TJ205" s="1"/>
      <c r="TK205" s="1"/>
      <c r="TL205" s="1"/>
      <c r="TM205" s="1"/>
      <c r="TN205" s="1"/>
      <c r="TO205" s="1"/>
      <c r="TP205" s="1"/>
      <c r="TQ205" s="1"/>
      <c r="TR205" s="1"/>
      <c r="TS205" s="1"/>
      <c r="TT205" s="1"/>
      <c r="TU205" s="1"/>
      <c r="TV205" s="1"/>
      <c r="TW205" s="1"/>
      <c r="TX205" s="1"/>
      <c r="TY205" s="1"/>
      <c r="TZ205" s="1"/>
      <c r="UA205" s="1"/>
      <c r="UB205" s="1"/>
      <c r="UC205" s="1"/>
      <c r="UD205" s="1"/>
      <c r="UE205" s="1"/>
      <c r="UF205" s="1"/>
      <c r="UG205" s="1"/>
      <c r="UH205" s="1"/>
      <c r="UI205" s="1"/>
      <c r="UJ205" s="1"/>
      <c r="UK205" s="1"/>
      <c r="UL205" s="1"/>
      <c r="UM205" s="1"/>
      <c r="UN205" s="1"/>
      <c r="UO205" s="1"/>
      <c r="UP205" s="1"/>
      <c r="UQ205" s="1"/>
      <c r="UR205" s="1"/>
      <c r="US205" s="1"/>
      <c r="UT205" s="1"/>
      <c r="UU205" s="1"/>
      <c r="UV205" s="1"/>
      <c r="UW205" s="1"/>
      <c r="UX205" s="1"/>
      <c r="UY205" s="1"/>
      <c r="UZ205" s="1"/>
      <c r="VA205" s="1"/>
      <c r="VB205" s="1"/>
      <c r="VC205" s="1"/>
      <c r="VD205" s="1"/>
      <c r="VE205" s="1"/>
      <c r="VF205" s="1"/>
      <c r="VG205" s="1"/>
      <c r="VH205" s="1"/>
      <c r="VI205" s="1"/>
      <c r="VJ205" s="1"/>
      <c r="VK205" s="1"/>
      <c r="VL205" s="1"/>
      <c r="VM205" s="1"/>
      <c r="VN205" s="1"/>
      <c r="VO205" s="1"/>
      <c r="VP205" s="1"/>
      <c r="VQ205" s="1"/>
      <c r="VR205" s="1"/>
      <c r="VS205" s="1"/>
      <c r="VT205" s="1"/>
      <c r="VU205" s="1"/>
      <c r="VV205" s="1"/>
      <c r="VW205" s="1"/>
      <c r="VX205" s="1"/>
      <c r="VY205" s="1"/>
      <c r="VZ205" s="1"/>
      <c r="WA205" s="1"/>
      <c r="WB205" s="1"/>
      <c r="WC205" s="1"/>
      <c r="WD205" s="1"/>
      <c r="WE205" s="1"/>
      <c r="WF205" s="1"/>
      <c r="WG205" s="1"/>
      <c r="WH205" s="1"/>
      <c r="WI205" s="1"/>
      <c r="WJ205" s="1"/>
      <c r="WK205" s="1"/>
      <c r="WL205" s="1"/>
      <c r="WM205" s="1"/>
      <c r="WN205" s="1"/>
      <c r="WO205" s="1"/>
      <c r="WP205" s="1"/>
      <c r="WQ205" s="1"/>
      <c r="WR205" s="1"/>
      <c r="WS205" s="1"/>
      <c r="WT205" s="1"/>
      <c r="WU205" s="1"/>
      <c r="WV205" s="1"/>
      <c r="WW205" s="1"/>
      <c r="WX205" s="1"/>
      <c r="WY205" s="1"/>
      <c r="WZ205" s="1"/>
      <c r="XA205" s="1"/>
      <c r="XB205" s="1"/>
      <c r="XC205" s="1"/>
      <c r="XD205" s="1"/>
      <c r="XE205" s="1"/>
      <c r="XF205" s="1"/>
      <c r="XG205" s="1"/>
      <c r="XH205" s="1"/>
      <c r="XI205" s="1"/>
      <c r="XJ205" s="1"/>
      <c r="XK205" s="1"/>
      <c r="XL205" s="1"/>
      <c r="XM205" s="1"/>
      <c r="XN205" s="1"/>
      <c r="XO205" s="1"/>
      <c r="XP205" s="1"/>
      <c r="XQ205" s="1"/>
      <c r="XR205" s="1"/>
      <c r="XS205" s="1"/>
      <c r="XT205" s="1"/>
      <c r="XU205" s="1"/>
      <c r="XV205" s="1"/>
      <c r="XW205" s="1"/>
      <c r="XX205" s="1"/>
      <c r="XY205" s="1"/>
      <c r="XZ205" s="1"/>
      <c r="YA205" s="1"/>
      <c r="YB205" s="1"/>
      <c r="YC205" s="1"/>
      <c r="YD205" s="1"/>
      <c r="YE205" s="1"/>
      <c r="YF205" s="1"/>
      <c r="YG205" s="1"/>
      <c r="YH205" s="1"/>
      <c r="YI205" s="1"/>
      <c r="YJ205" s="1"/>
      <c r="YK205" s="1"/>
      <c r="YL205" s="1"/>
      <c r="YM205" s="1"/>
      <c r="YN205" s="1"/>
      <c r="YO205" s="1"/>
      <c r="YP205" s="1"/>
      <c r="YQ205" s="1"/>
      <c r="YR205" s="1"/>
      <c r="YS205" s="1"/>
      <c r="YT205" s="1"/>
      <c r="YU205" s="1"/>
      <c r="YV205" s="1"/>
      <c r="YW205" s="1"/>
      <c r="YX205" s="1"/>
      <c r="YY205" s="1"/>
      <c r="YZ205" s="1"/>
      <c r="ZA205" s="1"/>
      <c r="ZB205" s="1"/>
      <c r="ZC205" s="1"/>
      <c r="ZD205" s="1"/>
      <c r="ZE205" s="1"/>
      <c r="ZF205" s="1"/>
      <c r="ZG205" s="1"/>
      <c r="ZH205" s="1"/>
      <c r="ZI205" s="1"/>
      <c r="ZJ205" s="1"/>
      <c r="ZK205" s="1"/>
      <c r="ZL205" s="1"/>
      <c r="ZM205" s="1"/>
      <c r="ZN205" s="1"/>
      <c r="ZO205" s="1"/>
      <c r="ZP205" s="1"/>
      <c r="ZQ205" s="1"/>
      <c r="ZR205" s="1"/>
      <c r="ZS205" s="1"/>
      <c r="ZT205" s="1"/>
      <c r="ZU205" s="1"/>
      <c r="ZV205" s="1"/>
      <c r="ZW205" s="1"/>
      <c r="ZX205" s="1"/>
      <c r="ZY205" s="1"/>
      <c r="ZZ205" s="1"/>
      <c r="AAA205" s="1"/>
      <c r="AAB205" s="1"/>
      <c r="AAC205" s="1"/>
      <c r="AAD205" s="1"/>
      <c r="AAE205" s="1"/>
      <c r="AAF205" s="1"/>
      <c r="AAG205" s="1"/>
      <c r="AAH205" s="1"/>
      <c r="AAI205" s="1"/>
      <c r="AAJ205" s="1"/>
      <c r="AAK205" s="1"/>
      <c r="AAL205" s="1"/>
      <c r="AAM205" s="1"/>
      <c r="AAN205" s="1"/>
      <c r="AAO205" s="1"/>
      <c r="AAP205" s="1"/>
      <c r="AAQ205" s="1"/>
      <c r="AAR205" s="1"/>
      <c r="AAS205" s="1"/>
      <c r="AAT205" s="1"/>
      <c r="AAU205" s="1"/>
      <c r="AAV205" s="1"/>
      <c r="AAW205" s="1"/>
      <c r="AAX205" s="1"/>
      <c r="AAY205" s="1"/>
      <c r="AAZ205" s="1"/>
      <c r="ABA205" s="1"/>
      <c r="ABB205" s="1"/>
      <c r="ABC205" s="1"/>
      <c r="ABD205" s="1"/>
      <c r="ABE205" s="1"/>
      <c r="ABF205" s="1"/>
      <c r="ABG205" s="1"/>
      <c r="ABH205" s="1"/>
      <c r="ABI205" s="1"/>
      <c r="ABJ205" s="1"/>
      <c r="ABK205" s="1"/>
      <c r="ABL205" s="1"/>
      <c r="ABM205" s="1"/>
      <c r="ABN205" s="1"/>
      <c r="ABO205" s="1"/>
      <c r="ABP205" s="1"/>
      <c r="ABQ205" s="1"/>
      <c r="ABR205" s="1"/>
      <c r="ABS205" s="1"/>
      <c r="ABT205" s="1"/>
      <c r="ABU205" s="1"/>
      <c r="ABV205" s="1"/>
      <c r="ABW205" s="1"/>
      <c r="ABX205" s="1"/>
      <c r="ABY205" s="1"/>
      <c r="ABZ205" s="1"/>
      <c r="ACA205" s="1"/>
      <c r="ACB205" s="1"/>
      <c r="ACC205" s="1"/>
      <c r="ACD205" s="1"/>
      <c r="ACE205" s="1"/>
      <c r="ACF205" s="1"/>
      <c r="ACG205" s="1"/>
      <c r="ACH205" s="1"/>
      <c r="ACI205" s="1"/>
      <c r="ACJ205" s="1"/>
      <c r="ACK205" s="1"/>
      <c r="ACL205" s="1"/>
      <c r="ACM205" s="1"/>
      <c r="ACN205" s="1"/>
      <c r="ACO205" s="1"/>
      <c r="ACP205" s="1"/>
      <c r="ACQ205" s="1"/>
      <c r="ACR205" s="1"/>
      <c r="ACS205" s="1"/>
      <c r="ACT205" s="1"/>
      <c r="ACU205" s="1"/>
      <c r="ACV205" s="1"/>
      <c r="ACW205" s="1"/>
      <c r="ACX205" s="1"/>
      <c r="ACY205" s="1"/>
      <c r="ACZ205" s="1"/>
      <c r="ADA205" s="1"/>
      <c r="ADB205" s="1"/>
      <c r="ADC205" s="1"/>
      <c r="ADD205" s="1"/>
      <c r="ADE205" s="1"/>
      <c r="ADF205" s="1"/>
      <c r="ADG205" s="1"/>
      <c r="ADH205" s="1"/>
      <c r="ADI205" s="1"/>
      <c r="ADJ205" s="1"/>
      <c r="ADK205" s="1"/>
      <c r="ADL205" s="1"/>
      <c r="ADM205" s="1"/>
      <c r="ADN205" s="1"/>
      <c r="ADO205" s="1"/>
      <c r="ADP205" s="1"/>
      <c r="ADQ205" s="1"/>
      <c r="ADR205" s="1"/>
      <c r="ADS205" s="1"/>
      <c r="ADT205" s="1"/>
      <c r="ADU205" s="1"/>
      <c r="ADV205" s="1"/>
      <c r="ADW205" s="1"/>
      <c r="ADX205" s="1"/>
      <c r="ADY205" s="1"/>
      <c r="ADZ205" s="1"/>
      <c r="AEA205" s="1"/>
      <c r="AEB205" s="1"/>
      <c r="AEC205" s="1"/>
      <c r="AED205" s="1"/>
      <c r="AEE205" s="1"/>
      <c r="AEF205" s="1"/>
      <c r="AEG205" s="1"/>
      <c r="AEH205" s="1"/>
      <c r="AEI205" s="1"/>
      <c r="AEJ205" s="1"/>
      <c r="AEK205" s="1"/>
      <c r="AEL205" s="1"/>
      <c r="AEM205" s="1"/>
      <c r="AEN205" s="1"/>
      <c r="AEO205" s="1"/>
      <c r="AEP205" s="1"/>
      <c r="AEQ205" s="1"/>
      <c r="AER205" s="1"/>
      <c r="AES205" s="1"/>
      <c r="AET205" s="1"/>
      <c r="AEU205" s="1"/>
      <c r="AEV205" s="1"/>
      <c r="AEW205" s="1"/>
      <c r="AEX205" s="1"/>
      <c r="AEY205" s="1"/>
      <c r="AEZ205" s="1"/>
      <c r="AFA205" s="1"/>
      <c r="AFB205" s="1"/>
      <c r="AFC205" s="1"/>
      <c r="AFD205" s="1"/>
      <c r="AFE205" s="1"/>
      <c r="AFF205" s="1"/>
      <c r="AFG205" s="1"/>
      <c r="AFH205" s="1"/>
      <c r="AFI205" s="1"/>
      <c r="AFJ205" s="1"/>
      <c r="AFK205" s="1"/>
      <c r="AFL205" s="1"/>
      <c r="AFM205" s="1"/>
      <c r="AFN205" s="1"/>
      <c r="AFO205" s="1"/>
      <c r="AFP205" s="1"/>
      <c r="AFQ205" s="1"/>
      <c r="AFR205" s="1"/>
      <c r="AFS205" s="1"/>
      <c r="AFT205" s="1"/>
      <c r="AFU205" s="1"/>
      <c r="AFV205" s="1"/>
      <c r="AFW205" s="1"/>
      <c r="AFX205" s="1"/>
      <c r="AFY205" s="1"/>
      <c r="AFZ205" s="1"/>
      <c r="AGA205" s="1"/>
      <c r="AGB205" s="1"/>
      <c r="AGC205" s="1"/>
      <c r="AGD205" s="1"/>
      <c r="AGE205" s="1"/>
      <c r="AGF205" s="1"/>
      <c r="AGG205" s="1"/>
      <c r="AGH205" s="1"/>
      <c r="AGI205" s="1"/>
      <c r="AGJ205" s="1"/>
      <c r="AGK205" s="1"/>
      <c r="AGL205" s="1"/>
      <c r="AGM205" s="1"/>
      <c r="AGN205" s="1"/>
      <c r="AGO205" s="1"/>
      <c r="AGP205" s="1"/>
      <c r="AGQ205" s="1"/>
      <c r="AGR205" s="1"/>
      <c r="AGS205" s="1"/>
      <c r="AGT205" s="1"/>
      <c r="AGU205" s="1"/>
      <c r="AGV205" s="1"/>
      <c r="AGW205" s="1"/>
      <c r="AGX205" s="1"/>
      <c r="AGY205" s="1"/>
      <c r="AGZ205" s="1"/>
      <c r="AHA205" s="1"/>
      <c r="AHB205" s="1"/>
      <c r="AHC205" s="1"/>
      <c r="AHD205" s="1"/>
      <c r="AHE205" s="1"/>
      <c r="AHF205" s="1"/>
      <c r="AHG205" s="1"/>
      <c r="AHH205" s="1"/>
      <c r="AHI205" s="1"/>
      <c r="AHJ205" s="1"/>
      <c r="AHK205" s="1"/>
      <c r="AHL205" s="1"/>
      <c r="AHM205" s="1"/>
      <c r="AHN205" s="1"/>
      <c r="AHO205" s="1"/>
      <c r="AHP205" s="1"/>
      <c r="AHQ205" s="1"/>
      <c r="AHR205" s="1"/>
      <c r="AHS205" s="1"/>
      <c r="AHT205" s="1"/>
      <c r="AHU205" s="1"/>
      <c r="AHV205" s="1"/>
      <c r="AHW205" s="1"/>
      <c r="AHX205" s="1"/>
      <c r="AHY205" s="1"/>
      <c r="AHZ205" s="1"/>
      <c r="AIA205" s="1"/>
      <c r="AIB205" s="1"/>
      <c r="AIC205" s="1"/>
      <c r="AID205" s="1"/>
      <c r="AIE205" s="1"/>
      <c r="AIF205" s="1"/>
      <c r="AIG205" s="1"/>
      <c r="AIH205" s="1"/>
      <c r="AII205" s="1"/>
      <c r="AIJ205" s="1"/>
      <c r="AIK205" s="1"/>
      <c r="AIL205" s="1"/>
      <c r="AIM205" s="1"/>
      <c r="AIN205" s="1"/>
      <c r="AIO205" s="1"/>
      <c r="AIP205" s="1"/>
      <c r="AIQ205" s="1"/>
      <c r="AIR205" s="1"/>
      <c r="AIS205" s="1"/>
      <c r="AIT205" s="1"/>
      <c r="AIU205" s="1"/>
      <c r="AIV205" s="1"/>
      <c r="AIW205" s="1"/>
      <c r="AIX205" s="1"/>
      <c r="AIY205" s="1"/>
      <c r="AIZ205" s="1"/>
      <c r="AJA205" s="1"/>
      <c r="AJB205" s="1"/>
      <c r="AJC205" s="1"/>
      <c r="AJD205" s="1"/>
      <c r="AJE205" s="1"/>
      <c r="AJF205" s="1"/>
      <c r="AJG205" s="1"/>
      <c r="AJH205" s="1"/>
      <c r="AJI205" s="1"/>
      <c r="AJJ205" s="1"/>
      <c r="AJK205" s="1"/>
      <c r="AJL205" s="1"/>
      <c r="AJM205" s="1"/>
      <c r="AJN205" s="1"/>
      <c r="AJO205" s="1"/>
      <c r="AJP205" s="1"/>
      <c r="AJQ205" s="1"/>
      <c r="AJR205" s="1"/>
      <c r="AJS205" s="1"/>
      <c r="AJT205" s="1"/>
      <c r="AJU205" s="1"/>
      <c r="AJV205" s="1"/>
      <c r="AJW205" s="1"/>
      <c r="AJX205" s="1"/>
      <c r="AJY205" s="1"/>
      <c r="AJZ205" s="1"/>
      <c r="AKA205" s="1"/>
      <c r="AKB205" s="1"/>
      <c r="AKC205" s="1"/>
      <c r="AKD205" s="1"/>
      <c r="AKE205" s="1"/>
      <c r="AKF205" s="1"/>
      <c r="AKG205" s="1"/>
      <c r="AKH205" s="1"/>
      <c r="AKI205" s="1"/>
      <c r="AKJ205" s="1"/>
      <c r="AKK205" s="1"/>
      <c r="AKL205" s="1"/>
      <c r="AKM205" s="1"/>
      <c r="AKN205" s="1"/>
      <c r="AKO205" s="1"/>
      <c r="AKP205" s="1"/>
      <c r="AKQ205" s="1"/>
      <c r="AKR205" s="1"/>
      <c r="AKS205" s="1"/>
      <c r="AKT205" s="1"/>
      <c r="AKU205" s="1"/>
      <c r="AKV205" s="1"/>
      <c r="AKW205" s="1"/>
      <c r="AKX205" s="1"/>
      <c r="AKY205" s="1"/>
      <c r="AKZ205" s="1"/>
      <c r="ALA205" s="1"/>
      <c r="ALB205" s="1"/>
      <c r="ALC205" s="1"/>
      <c r="ALD205" s="1"/>
      <c r="ALE205" s="1"/>
      <c r="ALF205" s="1"/>
      <c r="ALG205" s="1"/>
      <c r="ALH205" s="1"/>
      <c r="ALI205" s="1"/>
      <c r="ALJ205" s="1"/>
      <c r="ALK205" s="1"/>
      <c r="ALL205" s="1"/>
      <c r="ALM205" s="1"/>
      <c r="ALN205" s="1"/>
      <c r="ALO205" s="1"/>
      <c r="ALP205" s="1"/>
      <c r="ALQ205" s="1"/>
      <c r="ALR205" s="1"/>
      <c r="ALS205" s="1"/>
      <c r="ALT205" s="1"/>
      <c r="ALU205" s="1"/>
      <c r="ALV205" s="1"/>
      <c r="ALW205" s="1"/>
      <c r="ALX205" s="1"/>
      <c r="ALY205" s="1"/>
      <c r="ALZ205" s="1"/>
      <c r="AMA205" s="1"/>
      <c r="AMB205" s="1"/>
      <c r="AMC205" s="1"/>
      <c r="AMD205" s="1"/>
      <c r="AME205" s="1"/>
      <c r="AMF205" s="1"/>
      <c r="AMG205" s="1"/>
      <c r="AMH205" s="1"/>
      <c r="AMI205" s="1"/>
      <c r="AMJ205" s="1"/>
      <c r="AMK205" s="1"/>
      <c r="AML205" s="1"/>
      <c r="AMM205" s="1"/>
      <c r="AMN205" s="1"/>
      <c r="AMO205" s="1"/>
    </row>
    <row r="206" spans="1:1030" x14ac:dyDescent="0.2">
      <c r="A206" s="3" t="str">
        <f t="shared" si="669"/>
        <v>oprx_human_5DHH</v>
      </c>
      <c r="B206" s="3" t="s">
        <v>1174</v>
      </c>
      <c r="C206" s="3" t="s">
        <v>1362</v>
      </c>
      <c r="D206" s="3" t="str">
        <f>IFERROR(MID(VLOOKUP($B206,Seqs!$A:$B,2,0),E206,1),"")</f>
        <v>L</v>
      </c>
      <c r="E206" s="3">
        <v>48</v>
      </c>
      <c r="F206" s="3" t="str">
        <f>IFERROR(MID(VLOOKUP($B206,Seqs!$A:$B,2,0),G206,1),"")</f>
        <v>H</v>
      </c>
      <c r="G206" s="3">
        <v>79</v>
      </c>
      <c r="H206" s="3" t="str">
        <f>IFERROR(MID(VLOOKUP($B206,Seqs!$A:$B,2,0),I206,1),"")</f>
        <v/>
      </c>
      <c r="I206" s="23" t="s">
        <v>23</v>
      </c>
      <c r="J206" s="3" t="str">
        <f>IFERROR(MID(VLOOKUP($B206,Seqs!$A:$B,2,0),K206,1),"")</f>
        <v/>
      </c>
      <c r="K206" s="23" t="s">
        <v>23</v>
      </c>
      <c r="L206" s="3" t="str">
        <f>IFERROR(MID(VLOOKUP($B206,Seqs!$A:$B,2,0),M206,1),"")</f>
        <v>T</v>
      </c>
      <c r="M206" s="3">
        <v>84</v>
      </c>
      <c r="N206" s="3" t="str">
        <f>IFERROR(MID(VLOOKUP($B206,Seqs!$A:$B,2,0),O206,1),"")</f>
        <v>L</v>
      </c>
      <c r="O206" s="3">
        <v>113</v>
      </c>
      <c r="P206" s="3" t="str">
        <f>IFERROR(MID(VLOOKUP($B206,Seqs!$A:$B,2,0),Q206,1),"")</f>
        <v>F</v>
      </c>
      <c r="Q206" s="3">
        <v>115</v>
      </c>
      <c r="R206" s="3" t="str">
        <f>IFERROR(MID(VLOOKUP($B206,Seqs!$A:$B,2,0),S206,1),"")</f>
        <v>F</v>
      </c>
      <c r="S206" s="3">
        <v>118</v>
      </c>
      <c r="T206" s="3" t="str">
        <f>IFERROR(MID(VLOOKUP($B206,Seqs!$A:$B,2,0),U206,1),"")</f>
        <v>G</v>
      </c>
      <c r="U206" s="3">
        <v>119</v>
      </c>
      <c r="V206" s="3" t="str">
        <f>IFERROR(MID(VLOOKUP($B206,Seqs!$A:$B,2,0),W206,1),"")</f>
        <v>H</v>
      </c>
      <c r="W206" s="3">
        <v>154</v>
      </c>
      <c r="X206" s="3" t="str">
        <f>IFERROR(MID(VLOOKUP($B206,Seqs!$A:$B,2,0),Y206,1),"")</f>
        <v/>
      </c>
      <c r="Y206" s="3" t="s">
        <v>23</v>
      </c>
      <c r="Z206" s="3" t="str">
        <f>IFERROR(MID(VLOOKUP($B206,Seqs!$A:$B,2,0),AA206,1),"")</f>
        <v/>
      </c>
      <c r="AA206" s="3" t="s">
        <v>23</v>
      </c>
      <c r="AB206" s="3" t="str">
        <f>IFERROR(MID(VLOOKUP($B206,Seqs!$A:$B,2,0),AC206,1),"")</f>
        <v>T</v>
      </c>
      <c r="AC206" s="9">
        <v>163</v>
      </c>
      <c r="AD206" s="3" t="str">
        <f>IFERROR(MID(VLOOKUP($B206,Seqs!$A:$B,2,0),AE206,1),"")</f>
        <v>G</v>
      </c>
      <c r="AE206" s="3">
        <v>189</v>
      </c>
      <c r="AF206" s="3" t="str">
        <f>IFERROR(MID(VLOOKUP($B206,Seqs!$A:$B,2,0),AG206,1),"")</f>
        <v>C</v>
      </c>
      <c r="AG206" s="3">
        <v>200</v>
      </c>
      <c r="AH206" s="3" t="str">
        <f>IFERROR(MID(VLOOKUP($B206,Seqs!$A:$B,2,0),AI206,1),"")</f>
        <v>V</v>
      </c>
      <c r="AI206" s="3">
        <v>202</v>
      </c>
      <c r="AJ206" s="3" t="str">
        <f>IFERROR(MID(VLOOKUP($B206,Seqs!$A:$B,2,0),AK206,1),"")</f>
        <v>Q</v>
      </c>
      <c r="AK206" s="3">
        <v>208</v>
      </c>
      <c r="AL206" s="3" t="str">
        <f>IFERROR(MID(VLOOKUP($B206,Seqs!$A:$B,2,0),AM206,1),"")</f>
        <v>L</v>
      </c>
      <c r="AM206" s="3">
        <v>242</v>
      </c>
      <c r="AN206" s="3" t="str">
        <f>IFERROR(MID(VLOOKUP($B206,Seqs!$A:$B,2,0),AO206,1),"")</f>
        <v>S</v>
      </c>
      <c r="AO206" s="3">
        <v>251</v>
      </c>
      <c r="AP206" s="3" t="str">
        <f>IFERROR(MID(VLOOKUP($B206,Seqs!$A:$B,2,0),AQ206,1),"")</f>
        <v>G</v>
      </c>
      <c r="AQ206" s="3">
        <v>289</v>
      </c>
      <c r="AR206" s="3" t="str">
        <f>IFERROR(MID(VLOOKUP($B206,Seqs!$A:$B,2,0),AS206,1),"")</f>
        <v>S</v>
      </c>
      <c r="AS206" s="3">
        <v>294</v>
      </c>
      <c r="AT206" s="3" t="str">
        <f>IFERROR(MID(VLOOKUP($B206,Seqs!$A:$B,2,0),AU206,1),"")</f>
        <v>L</v>
      </c>
      <c r="AU206" s="3">
        <v>322</v>
      </c>
      <c r="AV206" s="3" t="str">
        <f>IFERROR(MID(VLOOKUP($B206,Seqs!$A:$B,2,0),AW206,1),"")</f>
        <v>D</v>
      </c>
      <c r="AW206" s="3">
        <v>323</v>
      </c>
      <c r="AX206" s="3" t="str">
        <f>IFERROR(MID(VLOOKUP($B206,Seqs!$A:$B,2,0),AY206,1),"")</f>
        <v>R</v>
      </c>
      <c r="AY206" s="3">
        <v>331</v>
      </c>
      <c r="AZ206" s="77" t="str">
        <f>VLOOKUP(B206,Classification!A:D,2,0)</f>
        <v>A</v>
      </c>
      <c r="BA206" s="94" t="str">
        <f>VLOOKUP(B206,Classification!A:D,4,0)</f>
        <v>Opioid</v>
      </c>
      <c r="BB206" s="27" t="b">
        <f t="shared" si="670"/>
        <v>1</v>
      </c>
      <c r="BC206" s="23">
        <f t="shared" si="643"/>
        <v>246</v>
      </c>
      <c r="BD206" s="5" t="s">
        <v>23</v>
      </c>
      <c r="BE206" s="3" t="s">
        <v>1381</v>
      </c>
      <c r="BF206" s="119">
        <v>3</v>
      </c>
      <c r="BG206" s="49" t="s">
        <v>1</v>
      </c>
      <c r="BH206" s="49" t="s">
        <v>1384</v>
      </c>
      <c r="BI206" s="1" t="s">
        <v>1366</v>
      </c>
      <c r="BJ206" s="70" t="s">
        <v>1293</v>
      </c>
      <c r="BK206" s="57" t="s">
        <v>1293</v>
      </c>
      <c r="BL206" s="57" t="s">
        <v>1293</v>
      </c>
      <c r="BM206" s="57" t="s">
        <v>1293</v>
      </c>
      <c r="BN206" s="57" t="s">
        <v>1293</v>
      </c>
      <c r="BO206" s="57" t="s">
        <v>1293</v>
      </c>
      <c r="BP206" s="57" t="s">
        <v>1293</v>
      </c>
      <c r="BQ206" s="57" t="s">
        <v>1293</v>
      </c>
      <c r="BR206" s="57" t="s">
        <v>1293</v>
      </c>
      <c r="BS206" s="57" t="s">
        <v>1293</v>
      </c>
      <c r="BT206" s="57" t="s">
        <v>1293</v>
      </c>
      <c r="BU206" s="57" t="s">
        <v>1293</v>
      </c>
      <c r="BV206" s="70">
        <f t="shared" si="644"/>
        <v>48</v>
      </c>
      <c r="BW206" s="71" t="str">
        <f t="shared" si="645"/>
        <v>-</v>
      </c>
      <c r="BX206" s="72">
        <f t="shared" si="646"/>
        <v>84</v>
      </c>
      <c r="BY206" s="71">
        <f t="shared" si="647"/>
        <v>115</v>
      </c>
      <c r="BZ206" s="72">
        <f t="shared" si="648"/>
        <v>119</v>
      </c>
      <c r="CA206" s="71" t="str">
        <f t="shared" si="649"/>
        <v>-</v>
      </c>
      <c r="CB206" s="72">
        <f t="shared" si="650"/>
        <v>163</v>
      </c>
      <c r="CC206" s="71">
        <f t="shared" si="651"/>
        <v>200</v>
      </c>
      <c r="CD206" s="72">
        <f t="shared" si="652"/>
        <v>208</v>
      </c>
      <c r="CE206" s="71">
        <f t="shared" si="653"/>
        <v>251</v>
      </c>
      <c r="CF206" s="72">
        <f t="shared" si="654"/>
        <v>294</v>
      </c>
      <c r="CG206" s="71">
        <f t="shared" si="655"/>
        <v>323</v>
      </c>
      <c r="CH206" s="70">
        <f t="shared" si="656"/>
        <v>79</v>
      </c>
      <c r="CI206" s="71" t="str">
        <f t="shared" si="657"/>
        <v>-</v>
      </c>
      <c r="CJ206" s="72">
        <f t="shared" si="658"/>
        <v>113</v>
      </c>
      <c r="CK206" s="72">
        <f t="shared" si="659"/>
        <v>118</v>
      </c>
      <c r="CL206" s="72">
        <f t="shared" si="660"/>
        <v>154</v>
      </c>
      <c r="CM206" s="72" t="str">
        <f t="shared" si="661"/>
        <v>-</v>
      </c>
      <c r="CN206" s="72">
        <f t="shared" si="662"/>
        <v>189</v>
      </c>
      <c r="CO206" s="72">
        <f t="shared" si="663"/>
        <v>202</v>
      </c>
      <c r="CP206" s="72">
        <f t="shared" si="664"/>
        <v>242</v>
      </c>
      <c r="CQ206" s="72">
        <f t="shared" si="665"/>
        <v>289</v>
      </c>
      <c r="CR206" s="72">
        <f t="shared" si="666"/>
        <v>322</v>
      </c>
      <c r="CS206" s="72">
        <f t="shared" si="667"/>
        <v>331</v>
      </c>
      <c r="CT206" s="23" t="e">
        <f t="shared" si="668"/>
        <v>#VALUE!</v>
      </c>
    </row>
    <row r="207" spans="1:1030" x14ac:dyDescent="0.2">
      <c r="A207" s="3" t="str">
        <f t="shared" si="669"/>
        <v>opsd_bovin__wt</v>
      </c>
      <c r="B207" s="3" t="s">
        <v>920</v>
      </c>
      <c r="C207" s="3" t="s">
        <v>100</v>
      </c>
      <c r="D207" s="3" t="str">
        <f>IFERROR(MID(VLOOKUP($B207,Seqs!$A:$B,2,0),E207,1),"")</f>
        <v>E</v>
      </c>
      <c r="E207" s="105">
        <v>33</v>
      </c>
      <c r="F207" s="3" t="str">
        <f>IFERROR(MID(VLOOKUP($B207,Seqs!$A:$B,2,0),G207,1),"")</f>
        <v>H</v>
      </c>
      <c r="G207" s="3">
        <v>65</v>
      </c>
      <c r="H207" s="3" t="str">
        <f>IFERROR(MID(VLOOKUP($B207,Seqs!$A:$B,2,0),I207,1),"")</f>
        <v>K</v>
      </c>
      <c r="I207" s="23">
        <v>66</v>
      </c>
      <c r="J207" s="3" t="str">
        <f>IFERROR(MID(VLOOKUP($B207,Seqs!$A:$B,2,0),K207,1),"")</f>
        <v>R</v>
      </c>
      <c r="K207" s="23">
        <v>69</v>
      </c>
      <c r="L207" s="3" t="str">
        <f>IFERROR(MID(VLOOKUP($B207,Seqs!$A:$B,2,0),M207,1),"")</f>
        <v>T</v>
      </c>
      <c r="M207" s="3">
        <v>70</v>
      </c>
      <c r="N207" s="3" t="str">
        <f>IFERROR(MID(VLOOKUP($B207,Seqs!$A:$B,2,0),O207,1),"")</f>
        <v>H</v>
      </c>
      <c r="O207" s="3">
        <v>100</v>
      </c>
      <c r="P207" s="3" t="str">
        <f>IFERROR(MID(VLOOKUP($B207,Seqs!$A:$B,2,0),Q207,1),"")</f>
        <v>Y</v>
      </c>
      <c r="Q207" s="3">
        <v>102</v>
      </c>
      <c r="R207" s="3" t="str">
        <f>IFERROR(MID(VLOOKUP($B207,Seqs!$A:$B,2,0),S207,1),"")</f>
        <v>F</v>
      </c>
      <c r="S207" s="3">
        <v>105</v>
      </c>
      <c r="T207" s="3" t="str">
        <f>IFERROR(MID(VLOOKUP($B207,Seqs!$A:$B,2,0),U207,1),"")</f>
        <v>G</v>
      </c>
      <c r="U207" s="3">
        <v>106</v>
      </c>
      <c r="V207" s="3" t="str">
        <f>IFERROR(MID(VLOOKUP($B207,Seqs!$A:$B,2,0),W207,1),"")</f>
        <v>K</v>
      </c>
      <c r="W207" s="3">
        <v>141</v>
      </c>
      <c r="X207" s="3" t="str">
        <f>IFERROR(MID(VLOOKUP($B207,Seqs!$A:$B,2,0),Y207,1),"")</f>
        <v>P</v>
      </c>
      <c r="Y207" s="3">
        <v>142</v>
      </c>
      <c r="Z207" s="3" t="str">
        <f>IFERROR(MID(VLOOKUP($B207,Seqs!$A:$B,2,0),AA207,1),"")</f>
        <v>F</v>
      </c>
      <c r="AA207" s="105">
        <v>148</v>
      </c>
      <c r="AB207" s="3" t="str">
        <f>IFERROR(MID(VLOOKUP($B207,Seqs!$A:$B,2,0),AC207,1),"")</f>
        <v>G</v>
      </c>
      <c r="AC207" s="105">
        <v>149</v>
      </c>
      <c r="AD207" s="3" t="str">
        <f>IFERROR(MID(VLOOKUP($B207,Seqs!$A:$B,2,0),AE207,1),"")</f>
        <v>V</v>
      </c>
      <c r="AE207" s="3">
        <v>173</v>
      </c>
      <c r="AF207" s="3" t="str">
        <f>IFERROR(MID(VLOOKUP($B207,Seqs!$A:$B,2,0),AG207,1),"")</f>
        <v>C</v>
      </c>
      <c r="AG207" s="3">
        <v>187</v>
      </c>
      <c r="AH207" s="3" t="str">
        <f>IFERROR(MID(VLOOKUP($B207,Seqs!$A:$B,2,0),AI207,1),"")</f>
        <v>I</v>
      </c>
      <c r="AI207" s="3">
        <v>189</v>
      </c>
      <c r="AJ207" s="3" t="str">
        <f>IFERROR(MID(VLOOKUP($B207,Seqs!$A:$B,2,0),AK207,1),"")</f>
        <v>N</v>
      </c>
      <c r="AK207" s="3">
        <v>199</v>
      </c>
      <c r="AL207" s="3" t="str">
        <f>IFERROR(MID(VLOOKUP($B207,Seqs!$A:$B,2,0),AM207,1),"")</f>
        <v>Q</v>
      </c>
      <c r="AM207" s="3">
        <v>237</v>
      </c>
      <c r="AN207" s="3" t="str">
        <f>IFERROR(MID(VLOOKUP($B207,Seqs!$A:$B,2,0),AO207,1),"")</f>
        <v>A</v>
      </c>
      <c r="AO207" s="3">
        <v>241</v>
      </c>
      <c r="AP207" s="3" t="str">
        <f>IFERROR(MID(VLOOKUP($B207,Seqs!$A:$B,2,0),AQ207,1),"")</f>
        <v>H</v>
      </c>
      <c r="AQ207" s="3">
        <v>278</v>
      </c>
      <c r="AR207" s="3" t="str">
        <f>IFERROR(MID(VLOOKUP($B207,Seqs!$A:$B,2,0),AS207,1),"")</f>
        <v>G</v>
      </c>
      <c r="AS207" s="3">
        <v>284</v>
      </c>
      <c r="AT207" s="3" t="str">
        <f>IFERROR(MID(VLOOKUP($B207,Seqs!$A:$B,2,0),AU207,1),"")</f>
        <v>M</v>
      </c>
      <c r="AU207" s="3">
        <v>309</v>
      </c>
      <c r="AV207" s="3" t="str">
        <f>IFERROR(MID(VLOOKUP($B207,Seqs!$A:$B,2,0),AW207,1),"")</f>
        <v>N</v>
      </c>
      <c r="AW207" s="3">
        <v>310</v>
      </c>
      <c r="AX207" s="3" t="str">
        <f>IFERROR(MID(VLOOKUP($B207,Seqs!$A:$B,2,0),AY207,1),"")</f>
        <v>C</v>
      </c>
      <c r="AY207" s="3">
        <v>322</v>
      </c>
      <c r="AZ207" s="77" t="str">
        <f>VLOOKUP(B207,Classification!A:D,2,0)</f>
        <v>A</v>
      </c>
      <c r="BA207" s="94" t="str">
        <f>VLOOKUP(B207,Classification!A:D,4,0)</f>
        <v>Opsins</v>
      </c>
      <c r="BB207" s="27" t="b">
        <f t="shared" si="670"/>
        <v>1</v>
      </c>
      <c r="BC207" s="23">
        <f t="shared" si="643"/>
        <v>259</v>
      </c>
      <c r="BD207" s="34" t="s">
        <v>1379</v>
      </c>
      <c r="BE207" s="3" t="s">
        <v>23</v>
      </c>
      <c r="BF207" s="119" t="s">
        <v>23</v>
      </c>
      <c r="BG207" s="49" t="s">
        <v>1379</v>
      </c>
      <c r="BH207" s="49" t="s">
        <v>1384</v>
      </c>
      <c r="BI207" s="1"/>
      <c r="BJ207" s="70" t="s">
        <v>1293</v>
      </c>
      <c r="BK207" s="57" t="s">
        <v>1293</v>
      </c>
      <c r="BL207" s="57" t="s">
        <v>1293</v>
      </c>
      <c r="BM207" s="57" t="s">
        <v>1293</v>
      </c>
      <c r="BN207" s="57" t="s">
        <v>1293</v>
      </c>
      <c r="BO207" s="57" t="s">
        <v>1293</v>
      </c>
      <c r="BP207" s="57" t="s">
        <v>1293</v>
      </c>
      <c r="BQ207" s="57" t="s">
        <v>1293</v>
      </c>
      <c r="BR207" s="57" t="s">
        <v>1293</v>
      </c>
      <c r="BS207" s="57" t="s">
        <v>1293</v>
      </c>
      <c r="BT207" s="57" t="s">
        <v>1293</v>
      </c>
      <c r="BU207" s="57" t="s">
        <v>1293</v>
      </c>
      <c r="BV207" s="70">
        <f t="shared" si="644"/>
        <v>33</v>
      </c>
      <c r="BW207" s="71">
        <f t="shared" si="645"/>
        <v>66</v>
      </c>
      <c r="BX207" s="72">
        <f t="shared" si="646"/>
        <v>70</v>
      </c>
      <c r="BY207" s="71">
        <f t="shared" si="647"/>
        <v>102</v>
      </c>
      <c r="BZ207" s="72">
        <f t="shared" si="648"/>
        <v>106</v>
      </c>
      <c r="CA207" s="71">
        <f t="shared" si="649"/>
        <v>142</v>
      </c>
      <c r="CB207" s="72">
        <f t="shared" si="650"/>
        <v>149</v>
      </c>
      <c r="CC207" s="71">
        <f t="shared" si="651"/>
        <v>187</v>
      </c>
      <c r="CD207" s="72">
        <f t="shared" si="652"/>
        <v>199</v>
      </c>
      <c r="CE207" s="71">
        <f t="shared" si="653"/>
        <v>241</v>
      </c>
      <c r="CF207" s="72">
        <f t="shared" si="654"/>
        <v>284</v>
      </c>
      <c r="CG207" s="71">
        <f t="shared" si="655"/>
        <v>310</v>
      </c>
      <c r="CH207" s="70">
        <f t="shared" si="656"/>
        <v>65</v>
      </c>
      <c r="CI207" s="71">
        <f t="shared" si="657"/>
        <v>69</v>
      </c>
      <c r="CJ207" s="72">
        <f t="shared" si="658"/>
        <v>100</v>
      </c>
      <c r="CK207" s="72">
        <f t="shared" si="659"/>
        <v>105</v>
      </c>
      <c r="CL207" s="72">
        <f t="shared" si="660"/>
        <v>141</v>
      </c>
      <c r="CM207" s="72">
        <f t="shared" si="661"/>
        <v>148</v>
      </c>
      <c r="CN207" s="72">
        <f t="shared" si="662"/>
        <v>173</v>
      </c>
      <c r="CO207" s="72">
        <f t="shared" si="663"/>
        <v>189</v>
      </c>
      <c r="CP207" s="72">
        <f t="shared" si="664"/>
        <v>237</v>
      </c>
      <c r="CQ207" s="72">
        <f t="shared" si="665"/>
        <v>278</v>
      </c>
      <c r="CR207" s="72">
        <f t="shared" si="666"/>
        <v>309</v>
      </c>
      <c r="CS207" s="72">
        <f t="shared" si="667"/>
        <v>322</v>
      </c>
      <c r="CT207" s="23">
        <f t="shared" si="668"/>
        <v>1</v>
      </c>
    </row>
    <row r="208" spans="1:1030" x14ac:dyDescent="0.2">
      <c r="A208" s="3" t="str">
        <f t="shared" si="669"/>
        <v>opsd_bovin_1GZM</v>
      </c>
      <c r="B208" s="3" t="s">
        <v>920</v>
      </c>
      <c r="C208" s="3" t="s">
        <v>1343</v>
      </c>
      <c r="D208" s="3" t="str">
        <f>IFERROR(MID(VLOOKUP($B208,Seqs!$A:$B,2,0),E208,1),"")</f>
        <v>E</v>
      </c>
      <c r="E208" s="105">
        <v>33</v>
      </c>
      <c r="F208" s="3" t="str">
        <f>IFERROR(MID(VLOOKUP($B208,Seqs!$A:$B,2,0),G208,1),"")</f>
        <v>H</v>
      </c>
      <c r="G208" s="3">
        <v>65</v>
      </c>
      <c r="H208" s="3" t="str">
        <f>IFERROR(MID(VLOOKUP($B208,Seqs!$A:$B,2,0),I208,1),"")</f>
        <v>K</v>
      </c>
      <c r="I208" s="23">
        <v>66</v>
      </c>
      <c r="J208" s="3" t="str">
        <f>IFERROR(MID(VLOOKUP($B208,Seqs!$A:$B,2,0),K208,1),"")</f>
        <v>R</v>
      </c>
      <c r="K208" s="23">
        <v>69</v>
      </c>
      <c r="L208" s="3" t="str">
        <f>IFERROR(MID(VLOOKUP($B208,Seqs!$A:$B,2,0),M208,1),"")</f>
        <v>T</v>
      </c>
      <c r="M208" s="3">
        <v>70</v>
      </c>
      <c r="N208" s="3" t="str">
        <f>IFERROR(MID(VLOOKUP($B208,Seqs!$A:$B,2,0),O208,1),"")</f>
        <v>H</v>
      </c>
      <c r="O208" s="3">
        <v>100</v>
      </c>
      <c r="P208" s="3" t="str">
        <f>IFERROR(MID(VLOOKUP($B208,Seqs!$A:$B,2,0),Q208,1),"")</f>
        <v>Y</v>
      </c>
      <c r="Q208" s="3">
        <v>102</v>
      </c>
      <c r="R208" s="3" t="str">
        <f>IFERROR(MID(VLOOKUP($B208,Seqs!$A:$B,2,0),S208,1),"")</f>
        <v>F</v>
      </c>
      <c r="S208" s="3">
        <v>105</v>
      </c>
      <c r="T208" s="3" t="str">
        <f>IFERROR(MID(VLOOKUP($B208,Seqs!$A:$B,2,0),U208,1),"")</f>
        <v>G</v>
      </c>
      <c r="U208" s="3">
        <v>106</v>
      </c>
      <c r="V208" s="3" t="str">
        <f>IFERROR(MID(VLOOKUP($B208,Seqs!$A:$B,2,0),W208,1),"")</f>
        <v>K</v>
      </c>
      <c r="W208" s="3">
        <v>141</v>
      </c>
      <c r="X208" s="3" t="str">
        <f>IFERROR(MID(VLOOKUP($B208,Seqs!$A:$B,2,0),Y208,1),"")</f>
        <v/>
      </c>
      <c r="Y208" s="3" t="s">
        <v>23</v>
      </c>
      <c r="Z208" s="3" t="str">
        <f>IFERROR(MID(VLOOKUP($B208,Seqs!$A:$B,2,0),AA208,1),"")</f>
        <v/>
      </c>
      <c r="AA208" s="3" t="s">
        <v>23</v>
      </c>
      <c r="AB208" s="3" t="str">
        <f>IFERROR(MID(VLOOKUP($B208,Seqs!$A:$B,2,0),AC208,1),"")</f>
        <v>G</v>
      </c>
      <c r="AC208" s="9">
        <v>149</v>
      </c>
      <c r="AD208" s="3" t="str">
        <f>IFERROR(MID(VLOOKUP($B208,Seqs!$A:$B,2,0),AE208,1),"")</f>
        <v>V</v>
      </c>
      <c r="AE208" s="3">
        <v>173</v>
      </c>
      <c r="AF208" s="3" t="str">
        <f>IFERROR(MID(VLOOKUP($B208,Seqs!$A:$B,2,0),AG208,1),"")</f>
        <v>C</v>
      </c>
      <c r="AG208" s="3">
        <v>187</v>
      </c>
      <c r="AH208" s="3" t="str">
        <f>IFERROR(MID(VLOOKUP($B208,Seqs!$A:$B,2,0),AI208,1),"")</f>
        <v>I</v>
      </c>
      <c r="AI208" s="3">
        <v>189</v>
      </c>
      <c r="AJ208" s="3" t="str">
        <f>IFERROR(MID(VLOOKUP($B208,Seqs!$A:$B,2,0),AK208,1),"")</f>
        <v>N</v>
      </c>
      <c r="AK208" s="3">
        <v>199</v>
      </c>
      <c r="AL208" s="3" t="str">
        <f>IFERROR(MID(VLOOKUP($B208,Seqs!$A:$B,2,0),AM208,1),"")</f>
        <v>A</v>
      </c>
      <c r="AM208" s="3">
        <v>233</v>
      </c>
      <c r="AN208" s="3" t="str">
        <f>IFERROR(MID(VLOOKUP($B208,Seqs!$A:$B,2,0),AO208,1),"")</f>
        <v>A</v>
      </c>
      <c r="AO208" s="3">
        <v>241</v>
      </c>
      <c r="AP208" s="3" t="str">
        <f>IFERROR(MID(VLOOKUP($B208,Seqs!$A:$B,2,0),AQ208,1),"")</f>
        <v>H</v>
      </c>
      <c r="AQ208" s="3">
        <v>278</v>
      </c>
      <c r="AR208" s="3" t="str">
        <f>IFERROR(MID(VLOOKUP($B208,Seqs!$A:$B,2,0),AS208,1),"")</f>
        <v>G</v>
      </c>
      <c r="AS208" s="3">
        <v>284</v>
      </c>
      <c r="AT208" s="3" t="str">
        <f>IFERROR(MID(VLOOKUP($B208,Seqs!$A:$B,2,0),AU208,1),"")</f>
        <v>M</v>
      </c>
      <c r="AU208" s="3">
        <v>309</v>
      </c>
      <c r="AV208" s="3" t="str">
        <f>IFERROR(MID(VLOOKUP($B208,Seqs!$A:$B,2,0),AW208,1),"")</f>
        <v>N</v>
      </c>
      <c r="AW208" s="3">
        <v>310</v>
      </c>
      <c r="AX208" s="3" t="str">
        <f>IFERROR(MID(VLOOKUP($B208,Seqs!$A:$B,2,0),AY208,1),"")</f>
        <v>C</v>
      </c>
      <c r="AY208" s="3">
        <v>322</v>
      </c>
      <c r="AZ208" s="77" t="str">
        <f>VLOOKUP(B208,Classification!A:D,2,0)</f>
        <v>A</v>
      </c>
      <c r="BA208" s="94" t="str">
        <f>VLOOKUP(B208,Classification!A:D,4,0)</f>
        <v>Opsins</v>
      </c>
      <c r="BB208" s="27" t="b">
        <f t="shared" si="670"/>
        <v>1</v>
      </c>
      <c r="BC208" s="23">
        <f t="shared" si="643"/>
        <v>249</v>
      </c>
      <c r="BD208" s="56" t="s">
        <v>1383</v>
      </c>
      <c r="BE208" s="3" t="s">
        <v>1381</v>
      </c>
      <c r="BF208" s="119">
        <v>2.65</v>
      </c>
      <c r="BG208" s="49" t="s">
        <v>1384</v>
      </c>
      <c r="BH208" s="49" t="s">
        <v>1384</v>
      </c>
      <c r="BI208" s="1"/>
      <c r="BJ208" s="70" t="s">
        <v>1293</v>
      </c>
      <c r="BK208" s="57" t="s">
        <v>1293</v>
      </c>
      <c r="BL208" s="57" t="s">
        <v>1293</v>
      </c>
      <c r="BM208" s="57" t="s">
        <v>1293</v>
      </c>
      <c r="BN208" s="57" t="s">
        <v>1293</v>
      </c>
      <c r="BO208" s="57" t="s">
        <v>1293</v>
      </c>
      <c r="BP208" s="57" t="s">
        <v>1293</v>
      </c>
      <c r="BQ208" s="57" t="s">
        <v>1293</v>
      </c>
      <c r="BR208" s="57" t="s">
        <v>1293</v>
      </c>
      <c r="BS208" s="57" t="s">
        <v>1293</v>
      </c>
      <c r="BT208" s="57" t="s">
        <v>1293</v>
      </c>
      <c r="BU208" s="57" t="s">
        <v>1293</v>
      </c>
      <c r="BV208" s="70">
        <f t="shared" si="644"/>
        <v>33</v>
      </c>
      <c r="BW208" s="71">
        <f t="shared" si="645"/>
        <v>66</v>
      </c>
      <c r="BX208" s="72">
        <f t="shared" si="646"/>
        <v>70</v>
      </c>
      <c r="BY208" s="71">
        <f t="shared" si="647"/>
        <v>102</v>
      </c>
      <c r="BZ208" s="72">
        <f t="shared" si="648"/>
        <v>106</v>
      </c>
      <c r="CA208" s="71" t="str">
        <f t="shared" si="649"/>
        <v>-</v>
      </c>
      <c r="CB208" s="72">
        <f t="shared" si="650"/>
        <v>149</v>
      </c>
      <c r="CC208" s="71">
        <f t="shared" si="651"/>
        <v>187</v>
      </c>
      <c r="CD208" s="72">
        <f t="shared" si="652"/>
        <v>199</v>
      </c>
      <c r="CE208" s="71">
        <f t="shared" si="653"/>
        <v>241</v>
      </c>
      <c r="CF208" s="72">
        <f t="shared" si="654"/>
        <v>284</v>
      </c>
      <c r="CG208" s="71">
        <f t="shared" si="655"/>
        <v>310</v>
      </c>
      <c r="CH208" s="70">
        <f t="shared" si="656"/>
        <v>65</v>
      </c>
      <c r="CI208" s="71">
        <f t="shared" si="657"/>
        <v>69</v>
      </c>
      <c r="CJ208" s="72">
        <f t="shared" si="658"/>
        <v>100</v>
      </c>
      <c r="CK208" s="72">
        <f t="shared" si="659"/>
        <v>105</v>
      </c>
      <c r="CL208" s="72">
        <f t="shared" si="660"/>
        <v>141</v>
      </c>
      <c r="CM208" s="72" t="str">
        <f t="shared" si="661"/>
        <v>-</v>
      </c>
      <c r="CN208" s="72">
        <f t="shared" si="662"/>
        <v>173</v>
      </c>
      <c r="CO208" s="72">
        <f t="shared" si="663"/>
        <v>189</v>
      </c>
      <c r="CP208" s="72">
        <f t="shared" si="664"/>
        <v>233</v>
      </c>
      <c r="CQ208" s="72">
        <f t="shared" si="665"/>
        <v>278</v>
      </c>
      <c r="CR208" s="72">
        <f t="shared" si="666"/>
        <v>309</v>
      </c>
      <c r="CS208" s="72">
        <f t="shared" si="667"/>
        <v>322</v>
      </c>
      <c r="CT208" s="23">
        <f t="shared" si="668"/>
        <v>1</v>
      </c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  <c r="OK208" s="1"/>
      <c r="OL208" s="1"/>
      <c r="OM208" s="1"/>
      <c r="ON208" s="1"/>
      <c r="OO208" s="1"/>
      <c r="OP208" s="1"/>
      <c r="OQ208" s="1"/>
      <c r="OR208" s="1"/>
      <c r="OS208" s="1"/>
      <c r="OT208" s="1"/>
      <c r="OU208" s="1"/>
      <c r="OV208" s="1"/>
      <c r="OW208" s="1"/>
      <c r="OX208" s="1"/>
      <c r="OY208" s="1"/>
      <c r="OZ208" s="1"/>
      <c r="PA208" s="1"/>
      <c r="PB208" s="1"/>
      <c r="PC208" s="1"/>
      <c r="PD208" s="1"/>
      <c r="PE208" s="1"/>
      <c r="PF208" s="1"/>
      <c r="PG208" s="1"/>
      <c r="PH208" s="1"/>
      <c r="PI208" s="1"/>
      <c r="PJ208" s="1"/>
      <c r="PK208" s="1"/>
      <c r="PL208" s="1"/>
      <c r="PM208" s="1"/>
      <c r="PN208" s="1"/>
      <c r="PO208" s="1"/>
      <c r="PP208" s="1"/>
      <c r="PQ208" s="1"/>
      <c r="PR208" s="1"/>
      <c r="PS208" s="1"/>
      <c r="PT208" s="1"/>
      <c r="PU208" s="1"/>
      <c r="PV208" s="1"/>
      <c r="PW208" s="1"/>
      <c r="PX208" s="1"/>
      <c r="PY208" s="1"/>
      <c r="PZ208" s="1"/>
      <c r="QA208" s="1"/>
      <c r="QB208" s="1"/>
      <c r="QC208" s="1"/>
      <c r="QD208" s="1"/>
      <c r="QE208" s="1"/>
      <c r="QF208" s="1"/>
      <c r="QG208" s="1"/>
      <c r="QH208" s="1"/>
      <c r="QI208" s="1"/>
      <c r="QJ208" s="1"/>
      <c r="QK208" s="1"/>
      <c r="QL208" s="1"/>
      <c r="QM208" s="1"/>
      <c r="QN208" s="1"/>
      <c r="QO208" s="1"/>
      <c r="QP208" s="1"/>
      <c r="QQ208" s="1"/>
      <c r="QR208" s="1"/>
      <c r="QS208" s="1"/>
      <c r="QT208" s="1"/>
      <c r="QU208" s="1"/>
      <c r="QV208" s="1"/>
      <c r="QW208" s="1"/>
      <c r="QX208" s="1"/>
      <c r="QY208" s="1"/>
      <c r="QZ208" s="1"/>
      <c r="RA208" s="1"/>
      <c r="RB208" s="1"/>
      <c r="RC208" s="1"/>
      <c r="RD208" s="1"/>
      <c r="RE208" s="1"/>
      <c r="RF208" s="1"/>
      <c r="RG208" s="1"/>
      <c r="RH208" s="1"/>
      <c r="RI208" s="1"/>
      <c r="RJ208" s="1"/>
      <c r="RK208" s="1"/>
      <c r="RL208" s="1"/>
      <c r="RM208" s="1"/>
      <c r="RN208" s="1"/>
      <c r="RO208" s="1"/>
      <c r="RP208" s="1"/>
      <c r="RQ208" s="1"/>
      <c r="RR208" s="1"/>
      <c r="RS208" s="1"/>
      <c r="RT208" s="1"/>
      <c r="RU208" s="1"/>
      <c r="RV208" s="1"/>
      <c r="RW208" s="1"/>
      <c r="RX208" s="1"/>
      <c r="RY208" s="1"/>
      <c r="RZ208" s="1"/>
      <c r="SA208" s="1"/>
      <c r="SB208" s="1"/>
      <c r="SC208" s="1"/>
      <c r="SD208" s="1"/>
      <c r="SE208" s="1"/>
      <c r="SF208" s="1"/>
      <c r="SG208" s="1"/>
      <c r="SH208" s="1"/>
      <c r="SI208" s="1"/>
      <c r="SJ208" s="1"/>
      <c r="SK208" s="1"/>
      <c r="SL208" s="1"/>
      <c r="SM208" s="1"/>
      <c r="SN208" s="1"/>
      <c r="SO208" s="1"/>
      <c r="SP208" s="1"/>
      <c r="SQ208" s="1"/>
      <c r="SR208" s="1"/>
      <c r="SS208" s="1"/>
      <c r="ST208" s="1"/>
      <c r="SU208" s="1"/>
      <c r="SV208" s="1"/>
      <c r="SW208" s="1"/>
      <c r="SX208" s="1"/>
      <c r="SY208" s="1"/>
      <c r="SZ208" s="1"/>
      <c r="TA208" s="1"/>
      <c r="TB208" s="1"/>
      <c r="TC208" s="1"/>
      <c r="TD208" s="1"/>
      <c r="TE208" s="1"/>
      <c r="TF208" s="1"/>
      <c r="TG208" s="1"/>
      <c r="TH208" s="1"/>
      <c r="TI208" s="1"/>
      <c r="TJ208" s="1"/>
      <c r="TK208" s="1"/>
      <c r="TL208" s="1"/>
      <c r="TM208" s="1"/>
      <c r="TN208" s="1"/>
      <c r="TO208" s="1"/>
      <c r="TP208" s="1"/>
      <c r="TQ208" s="1"/>
      <c r="TR208" s="1"/>
      <c r="TS208" s="1"/>
      <c r="TT208" s="1"/>
      <c r="TU208" s="1"/>
      <c r="TV208" s="1"/>
      <c r="TW208" s="1"/>
      <c r="TX208" s="1"/>
      <c r="TY208" s="1"/>
      <c r="TZ208" s="1"/>
      <c r="UA208" s="1"/>
      <c r="UB208" s="1"/>
      <c r="UC208" s="1"/>
      <c r="UD208" s="1"/>
      <c r="UE208" s="1"/>
      <c r="UF208" s="1"/>
      <c r="UG208" s="1"/>
      <c r="UH208" s="1"/>
      <c r="UI208" s="1"/>
      <c r="UJ208" s="1"/>
      <c r="UK208" s="1"/>
      <c r="UL208" s="1"/>
      <c r="UM208" s="1"/>
      <c r="UN208" s="1"/>
      <c r="UO208" s="1"/>
      <c r="UP208" s="1"/>
      <c r="UQ208" s="1"/>
      <c r="UR208" s="1"/>
      <c r="US208" s="1"/>
      <c r="UT208" s="1"/>
      <c r="UU208" s="1"/>
      <c r="UV208" s="1"/>
      <c r="UW208" s="1"/>
      <c r="UX208" s="1"/>
      <c r="UY208" s="1"/>
      <c r="UZ208" s="1"/>
      <c r="VA208" s="1"/>
      <c r="VB208" s="1"/>
      <c r="VC208" s="1"/>
      <c r="VD208" s="1"/>
      <c r="VE208" s="1"/>
      <c r="VF208" s="1"/>
      <c r="VG208" s="1"/>
      <c r="VH208" s="1"/>
      <c r="VI208" s="1"/>
      <c r="VJ208" s="1"/>
      <c r="VK208" s="1"/>
      <c r="VL208" s="1"/>
      <c r="VM208" s="1"/>
      <c r="VN208" s="1"/>
      <c r="VO208" s="1"/>
      <c r="VP208" s="1"/>
      <c r="VQ208" s="1"/>
      <c r="VR208" s="1"/>
      <c r="VS208" s="1"/>
      <c r="VT208" s="1"/>
      <c r="VU208" s="1"/>
      <c r="VV208" s="1"/>
      <c r="VW208" s="1"/>
      <c r="VX208" s="1"/>
      <c r="VY208" s="1"/>
      <c r="VZ208" s="1"/>
      <c r="WA208" s="1"/>
      <c r="WB208" s="1"/>
      <c r="WC208" s="1"/>
      <c r="WD208" s="1"/>
      <c r="WE208" s="1"/>
      <c r="WF208" s="1"/>
      <c r="WG208" s="1"/>
      <c r="WH208" s="1"/>
      <c r="WI208" s="1"/>
      <c r="WJ208" s="1"/>
      <c r="WK208" s="1"/>
      <c r="WL208" s="1"/>
      <c r="WM208" s="1"/>
      <c r="WN208" s="1"/>
      <c r="WO208" s="1"/>
      <c r="WP208" s="1"/>
      <c r="WQ208" s="1"/>
      <c r="WR208" s="1"/>
      <c r="WS208" s="1"/>
      <c r="WT208" s="1"/>
      <c r="WU208" s="1"/>
      <c r="WV208" s="1"/>
      <c r="WW208" s="1"/>
      <c r="WX208" s="1"/>
      <c r="WY208" s="1"/>
      <c r="WZ208" s="1"/>
      <c r="XA208" s="1"/>
      <c r="XB208" s="1"/>
      <c r="XC208" s="1"/>
      <c r="XD208" s="1"/>
      <c r="XE208" s="1"/>
      <c r="XF208" s="1"/>
      <c r="XG208" s="1"/>
      <c r="XH208" s="1"/>
      <c r="XI208" s="1"/>
      <c r="XJ208" s="1"/>
      <c r="XK208" s="1"/>
      <c r="XL208" s="1"/>
      <c r="XM208" s="1"/>
      <c r="XN208" s="1"/>
      <c r="XO208" s="1"/>
      <c r="XP208" s="1"/>
      <c r="XQ208" s="1"/>
      <c r="XR208" s="1"/>
      <c r="XS208" s="1"/>
      <c r="XT208" s="1"/>
      <c r="XU208" s="1"/>
      <c r="XV208" s="1"/>
      <c r="XW208" s="1"/>
      <c r="XX208" s="1"/>
      <c r="XY208" s="1"/>
      <c r="XZ208" s="1"/>
      <c r="YA208" s="1"/>
      <c r="YB208" s="1"/>
      <c r="YC208" s="1"/>
      <c r="YD208" s="1"/>
      <c r="YE208" s="1"/>
      <c r="YF208" s="1"/>
      <c r="YG208" s="1"/>
      <c r="YH208" s="1"/>
      <c r="YI208" s="1"/>
      <c r="YJ208" s="1"/>
      <c r="YK208" s="1"/>
      <c r="YL208" s="1"/>
      <c r="YM208" s="1"/>
      <c r="YN208" s="1"/>
      <c r="YO208" s="1"/>
      <c r="YP208" s="1"/>
      <c r="YQ208" s="1"/>
      <c r="YR208" s="1"/>
      <c r="YS208" s="1"/>
      <c r="YT208" s="1"/>
      <c r="YU208" s="1"/>
      <c r="YV208" s="1"/>
      <c r="YW208" s="1"/>
      <c r="YX208" s="1"/>
      <c r="YY208" s="1"/>
      <c r="YZ208" s="1"/>
      <c r="ZA208" s="1"/>
      <c r="ZB208" s="1"/>
      <c r="ZC208" s="1"/>
      <c r="ZD208" s="1"/>
      <c r="ZE208" s="1"/>
      <c r="ZF208" s="1"/>
      <c r="ZG208" s="1"/>
      <c r="ZH208" s="1"/>
      <c r="ZI208" s="1"/>
      <c r="ZJ208" s="1"/>
      <c r="ZK208" s="1"/>
      <c r="ZL208" s="1"/>
      <c r="ZM208" s="1"/>
      <c r="ZN208" s="1"/>
      <c r="ZO208" s="1"/>
      <c r="ZP208" s="1"/>
      <c r="ZQ208" s="1"/>
      <c r="ZR208" s="1"/>
      <c r="ZS208" s="1"/>
      <c r="ZT208" s="1"/>
      <c r="ZU208" s="1"/>
      <c r="ZV208" s="1"/>
      <c r="ZW208" s="1"/>
      <c r="ZX208" s="1"/>
      <c r="ZY208" s="1"/>
      <c r="ZZ208" s="1"/>
      <c r="AAA208" s="1"/>
      <c r="AAB208" s="1"/>
      <c r="AAC208" s="1"/>
      <c r="AAD208" s="1"/>
      <c r="AAE208" s="1"/>
      <c r="AAF208" s="1"/>
      <c r="AAG208" s="1"/>
      <c r="AAH208" s="1"/>
      <c r="AAI208" s="1"/>
      <c r="AAJ208" s="1"/>
      <c r="AAK208" s="1"/>
      <c r="AAL208" s="1"/>
      <c r="AAM208" s="1"/>
      <c r="AAN208" s="1"/>
      <c r="AAO208" s="1"/>
      <c r="AAP208" s="1"/>
      <c r="AAQ208" s="1"/>
      <c r="AAR208" s="1"/>
      <c r="AAS208" s="1"/>
      <c r="AAT208" s="1"/>
      <c r="AAU208" s="1"/>
      <c r="AAV208" s="1"/>
      <c r="AAW208" s="1"/>
      <c r="AAX208" s="1"/>
      <c r="AAY208" s="1"/>
      <c r="AAZ208" s="1"/>
      <c r="ABA208" s="1"/>
      <c r="ABB208" s="1"/>
      <c r="ABC208" s="1"/>
      <c r="ABD208" s="1"/>
      <c r="ABE208" s="1"/>
      <c r="ABF208" s="1"/>
      <c r="ABG208" s="1"/>
      <c r="ABH208" s="1"/>
      <c r="ABI208" s="1"/>
      <c r="ABJ208" s="1"/>
      <c r="ABK208" s="1"/>
      <c r="ABL208" s="1"/>
      <c r="ABM208" s="1"/>
      <c r="ABN208" s="1"/>
      <c r="ABO208" s="1"/>
      <c r="ABP208" s="1"/>
      <c r="ABQ208" s="1"/>
      <c r="ABR208" s="1"/>
      <c r="ABS208" s="1"/>
      <c r="ABT208" s="1"/>
      <c r="ABU208" s="1"/>
      <c r="ABV208" s="1"/>
      <c r="ABW208" s="1"/>
      <c r="ABX208" s="1"/>
      <c r="ABY208" s="1"/>
      <c r="ABZ208" s="1"/>
      <c r="ACA208" s="1"/>
      <c r="ACB208" s="1"/>
      <c r="ACC208" s="1"/>
      <c r="ACD208" s="1"/>
      <c r="ACE208" s="1"/>
      <c r="ACF208" s="1"/>
      <c r="ACG208" s="1"/>
      <c r="ACH208" s="1"/>
      <c r="ACI208" s="1"/>
      <c r="ACJ208" s="1"/>
      <c r="ACK208" s="1"/>
      <c r="ACL208" s="1"/>
      <c r="ACM208" s="1"/>
      <c r="ACN208" s="1"/>
      <c r="ACO208" s="1"/>
      <c r="ACP208" s="1"/>
      <c r="ACQ208" s="1"/>
      <c r="ACR208" s="1"/>
      <c r="ACS208" s="1"/>
      <c r="ACT208" s="1"/>
      <c r="ACU208" s="1"/>
      <c r="ACV208" s="1"/>
      <c r="ACW208" s="1"/>
      <c r="ACX208" s="1"/>
      <c r="ACY208" s="1"/>
      <c r="ACZ208" s="1"/>
      <c r="ADA208" s="1"/>
      <c r="ADB208" s="1"/>
      <c r="ADC208" s="1"/>
      <c r="ADD208" s="1"/>
      <c r="ADE208" s="1"/>
      <c r="ADF208" s="1"/>
      <c r="ADG208" s="1"/>
      <c r="ADH208" s="1"/>
      <c r="ADI208" s="1"/>
      <c r="ADJ208" s="1"/>
      <c r="ADK208" s="1"/>
      <c r="ADL208" s="1"/>
      <c r="ADM208" s="1"/>
      <c r="ADN208" s="1"/>
      <c r="ADO208" s="1"/>
      <c r="ADP208" s="1"/>
      <c r="ADQ208" s="1"/>
      <c r="ADR208" s="1"/>
      <c r="ADS208" s="1"/>
      <c r="ADT208" s="1"/>
      <c r="ADU208" s="1"/>
      <c r="ADV208" s="1"/>
      <c r="ADW208" s="1"/>
      <c r="ADX208" s="1"/>
      <c r="ADY208" s="1"/>
      <c r="ADZ208" s="1"/>
      <c r="AEA208" s="1"/>
      <c r="AEB208" s="1"/>
      <c r="AEC208" s="1"/>
      <c r="AED208" s="1"/>
      <c r="AEE208" s="1"/>
      <c r="AEF208" s="1"/>
      <c r="AEG208" s="1"/>
      <c r="AEH208" s="1"/>
      <c r="AEI208" s="1"/>
      <c r="AEJ208" s="1"/>
      <c r="AEK208" s="1"/>
      <c r="AEL208" s="1"/>
      <c r="AEM208" s="1"/>
      <c r="AEN208" s="1"/>
      <c r="AEO208" s="1"/>
      <c r="AEP208" s="1"/>
      <c r="AEQ208" s="1"/>
      <c r="AER208" s="1"/>
      <c r="AES208" s="1"/>
      <c r="AET208" s="1"/>
      <c r="AEU208" s="1"/>
      <c r="AEV208" s="1"/>
      <c r="AEW208" s="1"/>
      <c r="AEX208" s="1"/>
      <c r="AEY208" s="1"/>
      <c r="AEZ208" s="1"/>
      <c r="AFA208" s="1"/>
      <c r="AFB208" s="1"/>
      <c r="AFC208" s="1"/>
      <c r="AFD208" s="1"/>
      <c r="AFE208" s="1"/>
      <c r="AFF208" s="1"/>
      <c r="AFG208" s="1"/>
      <c r="AFH208" s="1"/>
      <c r="AFI208" s="1"/>
      <c r="AFJ208" s="1"/>
      <c r="AFK208" s="1"/>
      <c r="AFL208" s="1"/>
      <c r="AFM208" s="1"/>
      <c r="AFN208" s="1"/>
      <c r="AFO208" s="1"/>
      <c r="AFP208" s="1"/>
      <c r="AFQ208" s="1"/>
      <c r="AFR208" s="1"/>
      <c r="AFS208" s="1"/>
      <c r="AFT208" s="1"/>
      <c r="AFU208" s="1"/>
      <c r="AFV208" s="1"/>
      <c r="AFW208" s="1"/>
      <c r="AFX208" s="1"/>
      <c r="AFY208" s="1"/>
      <c r="AFZ208" s="1"/>
      <c r="AGA208" s="1"/>
      <c r="AGB208" s="1"/>
      <c r="AGC208" s="1"/>
      <c r="AGD208" s="1"/>
      <c r="AGE208" s="1"/>
      <c r="AGF208" s="1"/>
      <c r="AGG208" s="1"/>
      <c r="AGH208" s="1"/>
      <c r="AGI208" s="1"/>
      <c r="AGJ208" s="1"/>
      <c r="AGK208" s="1"/>
      <c r="AGL208" s="1"/>
      <c r="AGM208" s="1"/>
      <c r="AGN208" s="1"/>
      <c r="AGO208" s="1"/>
      <c r="AGP208" s="1"/>
      <c r="AGQ208" s="1"/>
      <c r="AGR208" s="1"/>
      <c r="AGS208" s="1"/>
      <c r="AGT208" s="1"/>
      <c r="AGU208" s="1"/>
      <c r="AGV208" s="1"/>
      <c r="AGW208" s="1"/>
      <c r="AGX208" s="1"/>
      <c r="AGY208" s="1"/>
      <c r="AGZ208" s="1"/>
      <c r="AHA208" s="1"/>
      <c r="AHB208" s="1"/>
      <c r="AHC208" s="1"/>
      <c r="AHD208" s="1"/>
      <c r="AHE208" s="1"/>
      <c r="AHF208" s="1"/>
      <c r="AHG208" s="1"/>
      <c r="AHH208" s="1"/>
      <c r="AHI208" s="1"/>
      <c r="AHJ208" s="1"/>
      <c r="AHK208" s="1"/>
      <c r="AHL208" s="1"/>
      <c r="AHM208" s="1"/>
      <c r="AHN208" s="1"/>
      <c r="AHO208" s="1"/>
      <c r="AHP208" s="1"/>
      <c r="AHQ208" s="1"/>
      <c r="AHR208" s="1"/>
      <c r="AHS208" s="1"/>
      <c r="AHT208" s="1"/>
      <c r="AHU208" s="1"/>
      <c r="AHV208" s="1"/>
      <c r="AHW208" s="1"/>
      <c r="AHX208" s="1"/>
      <c r="AHY208" s="1"/>
      <c r="AHZ208" s="1"/>
      <c r="AIA208" s="1"/>
      <c r="AIB208" s="1"/>
      <c r="AIC208" s="1"/>
      <c r="AID208" s="1"/>
      <c r="AIE208" s="1"/>
      <c r="AIF208" s="1"/>
      <c r="AIG208" s="1"/>
      <c r="AIH208" s="1"/>
      <c r="AII208" s="1"/>
      <c r="AIJ208" s="1"/>
      <c r="AIK208" s="1"/>
      <c r="AIL208" s="1"/>
      <c r="AIM208" s="1"/>
      <c r="AIN208" s="1"/>
      <c r="AIO208" s="1"/>
      <c r="AIP208" s="1"/>
      <c r="AIQ208" s="1"/>
      <c r="AIR208" s="1"/>
      <c r="AIS208" s="1"/>
      <c r="AIT208" s="1"/>
      <c r="AIU208" s="1"/>
      <c r="AIV208" s="1"/>
      <c r="AIW208" s="1"/>
      <c r="AIX208" s="1"/>
      <c r="AIY208" s="1"/>
      <c r="AIZ208" s="1"/>
      <c r="AJA208" s="1"/>
      <c r="AJB208" s="1"/>
      <c r="AJC208" s="1"/>
      <c r="AJD208" s="1"/>
      <c r="AJE208" s="1"/>
      <c r="AJF208" s="1"/>
      <c r="AJG208" s="1"/>
      <c r="AJH208" s="1"/>
      <c r="AJI208" s="1"/>
      <c r="AJJ208" s="1"/>
      <c r="AJK208" s="1"/>
      <c r="AJL208" s="1"/>
      <c r="AJM208" s="1"/>
      <c r="AJN208" s="1"/>
      <c r="AJO208" s="1"/>
      <c r="AJP208" s="1"/>
      <c r="AJQ208" s="1"/>
      <c r="AJR208" s="1"/>
      <c r="AJS208" s="1"/>
      <c r="AJT208" s="1"/>
      <c r="AJU208" s="1"/>
      <c r="AJV208" s="1"/>
      <c r="AJW208" s="1"/>
      <c r="AJX208" s="1"/>
      <c r="AJY208" s="1"/>
      <c r="AJZ208" s="1"/>
      <c r="AKA208" s="1"/>
      <c r="AKB208" s="1"/>
      <c r="AKC208" s="1"/>
      <c r="AKD208" s="1"/>
      <c r="AKE208" s="1"/>
      <c r="AKF208" s="1"/>
      <c r="AKG208" s="1"/>
      <c r="AKH208" s="1"/>
      <c r="AKI208" s="1"/>
      <c r="AKJ208" s="1"/>
      <c r="AKK208" s="1"/>
      <c r="AKL208" s="1"/>
      <c r="AKM208" s="1"/>
      <c r="AKN208" s="1"/>
      <c r="AKO208" s="1"/>
      <c r="AKP208" s="1"/>
      <c r="AKQ208" s="1"/>
      <c r="AKR208" s="1"/>
      <c r="AKS208" s="1"/>
      <c r="AKT208" s="1"/>
      <c r="AKU208" s="1"/>
      <c r="AKV208" s="1"/>
      <c r="AKW208" s="1"/>
      <c r="AKX208" s="1"/>
      <c r="AKY208" s="1"/>
      <c r="AKZ208" s="1"/>
      <c r="ALA208" s="1"/>
      <c r="ALB208" s="1"/>
      <c r="ALC208" s="1"/>
      <c r="ALD208" s="1"/>
      <c r="ALE208" s="1"/>
      <c r="ALF208" s="1"/>
      <c r="ALG208" s="1"/>
      <c r="ALH208" s="1"/>
      <c r="ALI208" s="1"/>
      <c r="ALJ208" s="1"/>
      <c r="ALK208" s="1"/>
      <c r="ALL208" s="1"/>
      <c r="ALM208" s="1"/>
      <c r="ALN208" s="1"/>
      <c r="ALO208" s="1"/>
      <c r="ALP208" s="1"/>
      <c r="ALQ208" s="1"/>
      <c r="ALR208" s="1"/>
      <c r="ALS208" s="1"/>
      <c r="ALT208" s="1"/>
      <c r="ALU208" s="1"/>
      <c r="ALV208" s="1"/>
      <c r="ALW208" s="1"/>
      <c r="ALX208" s="1"/>
      <c r="ALY208" s="1"/>
      <c r="ALZ208" s="1"/>
      <c r="AMA208" s="1"/>
      <c r="AMB208" s="1"/>
      <c r="AMC208" s="1"/>
      <c r="AMD208" s="1"/>
      <c r="AME208" s="1"/>
      <c r="AMF208" s="1"/>
      <c r="AMG208" s="1"/>
      <c r="AMH208" s="1"/>
      <c r="AMI208" s="1"/>
      <c r="AMJ208" s="1"/>
      <c r="AMK208" s="1"/>
      <c r="AML208" s="1"/>
      <c r="AMM208" s="1"/>
      <c r="AMN208" s="1"/>
      <c r="AMO208" s="1"/>
    </row>
    <row r="209" spans="1:1030" x14ac:dyDescent="0.2">
      <c r="A209" s="3" t="str">
        <f t="shared" si="669"/>
        <v>opsd_bovin_1U19</v>
      </c>
      <c r="B209" s="3" t="s">
        <v>920</v>
      </c>
      <c r="C209" s="3" t="s">
        <v>53</v>
      </c>
      <c r="D209" s="3" t="str">
        <f>IFERROR(MID(VLOOKUP($B209,Seqs!$A:$B,2,0),E209,1),"")</f>
        <v>E</v>
      </c>
      <c r="E209" s="105">
        <v>33</v>
      </c>
      <c r="F209" s="3" t="str">
        <f>IFERROR(MID(VLOOKUP($B209,Seqs!$A:$B,2,0),G209,1),"")</f>
        <v>H</v>
      </c>
      <c r="G209" s="3">
        <v>65</v>
      </c>
      <c r="H209" s="3" t="str">
        <f>IFERROR(MID(VLOOKUP($B209,Seqs!$A:$B,2,0),I209,1),"")</f>
        <v>K</v>
      </c>
      <c r="I209" s="23">
        <v>66</v>
      </c>
      <c r="J209" s="3" t="str">
        <f>IFERROR(MID(VLOOKUP($B209,Seqs!$A:$B,2,0),K209,1),"")</f>
        <v>R</v>
      </c>
      <c r="K209" s="23">
        <v>69</v>
      </c>
      <c r="L209" s="3" t="str">
        <f>IFERROR(MID(VLOOKUP($B209,Seqs!$A:$B,2,0),M209,1),"")</f>
        <v>T</v>
      </c>
      <c r="M209" s="3">
        <v>70</v>
      </c>
      <c r="N209" s="3" t="str">
        <f>IFERROR(MID(VLOOKUP($B209,Seqs!$A:$B,2,0),O209,1),"")</f>
        <v>H</v>
      </c>
      <c r="O209" s="3">
        <v>100</v>
      </c>
      <c r="P209" s="3" t="str">
        <f>IFERROR(MID(VLOOKUP($B209,Seqs!$A:$B,2,0),Q209,1),"")</f>
        <v>Y</v>
      </c>
      <c r="Q209" s="3">
        <v>102</v>
      </c>
      <c r="R209" s="3" t="str">
        <f>IFERROR(MID(VLOOKUP($B209,Seqs!$A:$B,2,0),S209,1),"")</f>
        <v>F</v>
      </c>
      <c r="S209" s="3">
        <v>105</v>
      </c>
      <c r="T209" s="3" t="str">
        <f>IFERROR(MID(VLOOKUP($B209,Seqs!$A:$B,2,0),U209,1),"")</f>
        <v>G</v>
      </c>
      <c r="U209" s="3">
        <v>106</v>
      </c>
      <c r="V209" s="3" t="str">
        <f>IFERROR(MID(VLOOKUP($B209,Seqs!$A:$B,2,0),W209,1),"")</f>
        <v>K</v>
      </c>
      <c r="W209" s="3">
        <v>141</v>
      </c>
      <c r="X209" s="3" t="str">
        <f>IFERROR(MID(VLOOKUP($B209,Seqs!$A:$B,2,0),Y209,1),"")</f>
        <v/>
      </c>
      <c r="Y209" s="3" t="s">
        <v>23</v>
      </c>
      <c r="Z209" s="3" t="str">
        <f>IFERROR(MID(VLOOKUP($B209,Seqs!$A:$B,2,0),AA209,1),"")</f>
        <v/>
      </c>
      <c r="AA209" s="3" t="s">
        <v>23</v>
      </c>
      <c r="AB209" s="3" t="str">
        <f>IFERROR(MID(VLOOKUP($B209,Seqs!$A:$B,2,0),AC209,1),"")</f>
        <v>G</v>
      </c>
      <c r="AC209" s="9">
        <v>149</v>
      </c>
      <c r="AD209" s="3" t="str">
        <f>IFERROR(MID(VLOOKUP($B209,Seqs!$A:$B,2,0),AE209,1),"")</f>
        <v>V</v>
      </c>
      <c r="AE209" s="3">
        <v>173</v>
      </c>
      <c r="AF209" s="3" t="str">
        <f>IFERROR(MID(VLOOKUP($B209,Seqs!$A:$B,2,0),AG209,1),"")</f>
        <v>C</v>
      </c>
      <c r="AG209" s="3">
        <v>187</v>
      </c>
      <c r="AH209" s="3" t="str">
        <f>IFERROR(MID(VLOOKUP($B209,Seqs!$A:$B,2,0),AI209,1),"")</f>
        <v>I</v>
      </c>
      <c r="AI209" s="3">
        <v>189</v>
      </c>
      <c r="AJ209" s="3" t="str">
        <f>IFERROR(MID(VLOOKUP($B209,Seqs!$A:$B,2,0),AK209,1),"")</f>
        <v>N</v>
      </c>
      <c r="AK209" s="3">
        <v>199</v>
      </c>
      <c r="AL209" s="3" t="str">
        <f>IFERROR(MID(VLOOKUP($B209,Seqs!$A:$B,2,0),AM209,1),"")</f>
        <v>Q</v>
      </c>
      <c r="AM209" s="3">
        <v>225</v>
      </c>
      <c r="AN209" s="3" t="str">
        <f>IFERROR(MID(VLOOKUP($B209,Seqs!$A:$B,2,0),AO209,1),"")</f>
        <v>T</v>
      </c>
      <c r="AO209" s="3">
        <v>243</v>
      </c>
      <c r="AP209" s="3" t="str">
        <f>IFERROR(MID(VLOOKUP($B209,Seqs!$A:$B,2,0),AQ209,1),"")</f>
        <v>H</v>
      </c>
      <c r="AQ209" s="3">
        <v>278</v>
      </c>
      <c r="AR209" s="3" t="str">
        <f>IFERROR(MID(VLOOKUP($B209,Seqs!$A:$B,2,0),AS209,1),"")</f>
        <v>G</v>
      </c>
      <c r="AS209" s="3">
        <v>284</v>
      </c>
      <c r="AT209" s="3" t="str">
        <f>IFERROR(MID(VLOOKUP($B209,Seqs!$A:$B,2,0),AU209,1),"")</f>
        <v>M</v>
      </c>
      <c r="AU209" s="3">
        <v>309</v>
      </c>
      <c r="AV209" s="3" t="str">
        <f>IFERROR(MID(VLOOKUP($B209,Seqs!$A:$B,2,0),AW209,1),"")</f>
        <v>N</v>
      </c>
      <c r="AW209" s="3">
        <v>310</v>
      </c>
      <c r="AX209" s="3" t="str">
        <f>IFERROR(MID(VLOOKUP($B209,Seqs!$A:$B,2,0),AY209,1),"")</f>
        <v>C</v>
      </c>
      <c r="AY209" s="3">
        <v>322</v>
      </c>
      <c r="AZ209" s="77" t="str">
        <f>VLOOKUP(B209,Classification!A:D,2,0)</f>
        <v>A</v>
      </c>
      <c r="BA209" s="94" t="str">
        <f>VLOOKUP(B209,Classification!A:D,4,0)</f>
        <v>Opsins</v>
      </c>
      <c r="BB209" s="27" t="b">
        <f t="shared" si="670"/>
        <v>1</v>
      </c>
      <c r="BC209" s="23">
        <f t="shared" si="643"/>
        <v>239</v>
      </c>
      <c r="BD209" s="74" t="s">
        <v>23</v>
      </c>
      <c r="BE209" s="3" t="s">
        <v>1381</v>
      </c>
      <c r="BF209" s="119">
        <v>2.2000000000000002</v>
      </c>
      <c r="BG209" s="49" t="s">
        <v>1</v>
      </c>
      <c r="BH209" s="49" t="s">
        <v>1384</v>
      </c>
      <c r="BI209" s="1"/>
      <c r="BJ209" s="70" t="s">
        <v>1293</v>
      </c>
      <c r="BK209" s="57" t="s">
        <v>1293</v>
      </c>
      <c r="BL209" s="57" t="s">
        <v>1293</v>
      </c>
      <c r="BM209" s="57" t="s">
        <v>1293</v>
      </c>
      <c r="BN209" s="57" t="s">
        <v>1293</v>
      </c>
      <c r="BO209" s="57" t="s">
        <v>1293</v>
      </c>
      <c r="BP209" s="57" t="s">
        <v>1293</v>
      </c>
      <c r="BQ209" s="57" t="s">
        <v>1293</v>
      </c>
      <c r="BR209" s="57" t="s">
        <v>1293</v>
      </c>
      <c r="BS209" s="57" t="s">
        <v>1293</v>
      </c>
      <c r="BT209" s="57" t="s">
        <v>1293</v>
      </c>
      <c r="BU209" s="57" t="s">
        <v>1293</v>
      </c>
      <c r="BV209" s="70">
        <f t="shared" si="644"/>
        <v>33</v>
      </c>
      <c r="BW209" s="71">
        <f t="shared" si="645"/>
        <v>66</v>
      </c>
      <c r="BX209" s="72">
        <f t="shared" si="646"/>
        <v>70</v>
      </c>
      <c r="BY209" s="71">
        <f t="shared" si="647"/>
        <v>102</v>
      </c>
      <c r="BZ209" s="72">
        <f t="shared" si="648"/>
        <v>106</v>
      </c>
      <c r="CA209" s="71" t="str">
        <f t="shared" si="649"/>
        <v>-</v>
      </c>
      <c r="CB209" s="72">
        <f t="shared" si="650"/>
        <v>149</v>
      </c>
      <c r="CC209" s="71">
        <f t="shared" si="651"/>
        <v>187</v>
      </c>
      <c r="CD209" s="72">
        <f t="shared" si="652"/>
        <v>199</v>
      </c>
      <c r="CE209" s="71">
        <f t="shared" si="653"/>
        <v>243</v>
      </c>
      <c r="CF209" s="72">
        <f t="shared" si="654"/>
        <v>284</v>
      </c>
      <c r="CG209" s="71">
        <f t="shared" si="655"/>
        <v>310</v>
      </c>
      <c r="CH209" s="70">
        <f t="shared" si="656"/>
        <v>65</v>
      </c>
      <c r="CI209" s="71">
        <f t="shared" si="657"/>
        <v>69</v>
      </c>
      <c r="CJ209" s="72">
        <f t="shared" si="658"/>
        <v>100</v>
      </c>
      <c r="CK209" s="72">
        <f t="shared" si="659"/>
        <v>105</v>
      </c>
      <c r="CL209" s="72">
        <f t="shared" si="660"/>
        <v>141</v>
      </c>
      <c r="CM209" s="72" t="str">
        <f t="shared" si="661"/>
        <v>-</v>
      </c>
      <c r="CN209" s="72">
        <f t="shared" si="662"/>
        <v>173</v>
      </c>
      <c r="CO209" s="72">
        <f t="shared" si="663"/>
        <v>189</v>
      </c>
      <c r="CP209" s="72">
        <f t="shared" si="664"/>
        <v>225</v>
      </c>
      <c r="CQ209" s="72">
        <f t="shared" si="665"/>
        <v>278</v>
      </c>
      <c r="CR209" s="72">
        <f t="shared" si="666"/>
        <v>309</v>
      </c>
      <c r="CS209" s="72">
        <f t="shared" si="667"/>
        <v>322</v>
      </c>
      <c r="CT209" s="23">
        <f t="shared" si="668"/>
        <v>1</v>
      </c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  <c r="OK209" s="1"/>
      <c r="OL209" s="1"/>
      <c r="OM209" s="1"/>
      <c r="ON209" s="1"/>
      <c r="OO209" s="1"/>
      <c r="OP209" s="1"/>
      <c r="OQ209" s="1"/>
      <c r="OR209" s="1"/>
      <c r="OS209" s="1"/>
      <c r="OT209" s="1"/>
      <c r="OU209" s="1"/>
      <c r="OV209" s="1"/>
      <c r="OW209" s="1"/>
      <c r="OX209" s="1"/>
      <c r="OY209" s="1"/>
      <c r="OZ209" s="1"/>
      <c r="PA209" s="1"/>
      <c r="PB209" s="1"/>
      <c r="PC209" s="1"/>
      <c r="PD209" s="1"/>
      <c r="PE209" s="1"/>
      <c r="PF209" s="1"/>
      <c r="PG209" s="1"/>
      <c r="PH209" s="1"/>
      <c r="PI209" s="1"/>
      <c r="PJ209" s="1"/>
      <c r="PK209" s="1"/>
      <c r="PL209" s="1"/>
      <c r="PM209" s="1"/>
      <c r="PN209" s="1"/>
      <c r="PO209" s="1"/>
      <c r="PP209" s="1"/>
      <c r="PQ209" s="1"/>
      <c r="PR209" s="1"/>
      <c r="PS209" s="1"/>
      <c r="PT209" s="1"/>
      <c r="PU209" s="1"/>
      <c r="PV209" s="1"/>
      <c r="PW209" s="1"/>
      <c r="PX209" s="1"/>
      <c r="PY209" s="1"/>
      <c r="PZ209" s="1"/>
      <c r="QA209" s="1"/>
      <c r="QB209" s="1"/>
      <c r="QC209" s="1"/>
      <c r="QD209" s="1"/>
      <c r="QE209" s="1"/>
      <c r="QF209" s="1"/>
      <c r="QG209" s="1"/>
      <c r="QH209" s="1"/>
      <c r="QI209" s="1"/>
      <c r="QJ209" s="1"/>
      <c r="QK209" s="1"/>
      <c r="QL209" s="1"/>
      <c r="QM209" s="1"/>
      <c r="QN209" s="1"/>
      <c r="QO209" s="1"/>
      <c r="QP209" s="1"/>
      <c r="QQ209" s="1"/>
      <c r="QR209" s="1"/>
      <c r="QS209" s="1"/>
      <c r="QT209" s="1"/>
      <c r="QU209" s="1"/>
      <c r="QV209" s="1"/>
      <c r="QW209" s="1"/>
      <c r="QX209" s="1"/>
      <c r="QY209" s="1"/>
      <c r="QZ209" s="1"/>
      <c r="RA209" s="1"/>
      <c r="RB209" s="1"/>
      <c r="RC209" s="1"/>
      <c r="RD209" s="1"/>
      <c r="RE209" s="1"/>
      <c r="RF209" s="1"/>
      <c r="RG209" s="1"/>
      <c r="RH209" s="1"/>
      <c r="RI209" s="1"/>
      <c r="RJ209" s="1"/>
      <c r="RK209" s="1"/>
      <c r="RL209" s="1"/>
      <c r="RM209" s="1"/>
      <c r="RN209" s="1"/>
      <c r="RO209" s="1"/>
      <c r="RP209" s="1"/>
      <c r="RQ209" s="1"/>
      <c r="RR209" s="1"/>
      <c r="RS209" s="1"/>
      <c r="RT209" s="1"/>
      <c r="RU209" s="1"/>
      <c r="RV209" s="1"/>
      <c r="RW209" s="1"/>
      <c r="RX209" s="1"/>
      <c r="RY209" s="1"/>
      <c r="RZ209" s="1"/>
      <c r="SA209" s="1"/>
      <c r="SB209" s="1"/>
      <c r="SC209" s="1"/>
      <c r="SD209" s="1"/>
      <c r="SE209" s="1"/>
      <c r="SF209" s="1"/>
      <c r="SG209" s="1"/>
      <c r="SH209" s="1"/>
      <c r="SI209" s="1"/>
      <c r="SJ209" s="1"/>
      <c r="SK209" s="1"/>
      <c r="SL209" s="1"/>
      <c r="SM209" s="1"/>
      <c r="SN209" s="1"/>
      <c r="SO209" s="1"/>
      <c r="SP209" s="1"/>
      <c r="SQ209" s="1"/>
      <c r="SR209" s="1"/>
      <c r="SS209" s="1"/>
      <c r="ST209" s="1"/>
      <c r="SU209" s="1"/>
      <c r="SV209" s="1"/>
      <c r="SW209" s="1"/>
      <c r="SX209" s="1"/>
      <c r="SY209" s="1"/>
      <c r="SZ209" s="1"/>
      <c r="TA209" s="1"/>
      <c r="TB209" s="1"/>
      <c r="TC209" s="1"/>
      <c r="TD209" s="1"/>
      <c r="TE209" s="1"/>
      <c r="TF209" s="1"/>
      <c r="TG209" s="1"/>
      <c r="TH209" s="1"/>
      <c r="TI209" s="1"/>
      <c r="TJ209" s="1"/>
      <c r="TK209" s="1"/>
      <c r="TL209" s="1"/>
      <c r="TM209" s="1"/>
      <c r="TN209" s="1"/>
      <c r="TO209" s="1"/>
      <c r="TP209" s="1"/>
      <c r="TQ209" s="1"/>
      <c r="TR209" s="1"/>
      <c r="TS209" s="1"/>
      <c r="TT209" s="1"/>
      <c r="TU209" s="1"/>
      <c r="TV209" s="1"/>
      <c r="TW209" s="1"/>
      <c r="TX209" s="1"/>
      <c r="TY209" s="1"/>
      <c r="TZ209" s="1"/>
      <c r="UA209" s="1"/>
      <c r="UB209" s="1"/>
      <c r="UC209" s="1"/>
      <c r="UD209" s="1"/>
      <c r="UE209" s="1"/>
      <c r="UF209" s="1"/>
      <c r="UG209" s="1"/>
      <c r="UH209" s="1"/>
      <c r="UI209" s="1"/>
      <c r="UJ209" s="1"/>
      <c r="UK209" s="1"/>
      <c r="UL209" s="1"/>
      <c r="UM209" s="1"/>
      <c r="UN209" s="1"/>
      <c r="UO209" s="1"/>
      <c r="UP209" s="1"/>
      <c r="UQ209" s="1"/>
      <c r="UR209" s="1"/>
      <c r="US209" s="1"/>
      <c r="UT209" s="1"/>
      <c r="UU209" s="1"/>
      <c r="UV209" s="1"/>
      <c r="UW209" s="1"/>
      <c r="UX209" s="1"/>
      <c r="UY209" s="1"/>
      <c r="UZ209" s="1"/>
      <c r="VA209" s="1"/>
      <c r="VB209" s="1"/>
      <c r="VC209" s="1"/>
      <c r="VD209" s="1"/>
      <c r="VE209" s="1"/>
      <c r="VF209" s="1"/>
      <c r="VG209" s="1"/>
      <c r="VH209" s="1"/>
      <c r="VI209" s="1"/>
      <c r="VJ209" s="1"/>
      <c r="VK209" s="1"/>
      <c r="VL209" s="1"/>
      <c r="VM209" s="1"/>
      <c r="VN209" s="1"/>
      <c r="VO209" s="1"/>
      <c r="VP209" s="1"/>
      <c r="VQ209" s="1"/>
      <c r="VR209" s="1"/>
      <c r="VS209" s="1"/>
      <c r="VT209" s="1"/>
      <c r="VU209" s="1"/>
      <c r="VV209" s="1"/>
      <c r="VW209" s="1"/>
      <c r="VX209" s="1"/>
      <c r="VY209" s="1"/>
      <c r="VZ209" s="1"/>
      <c r="WA209" s="1"/>
      <c r="WB209" s="1"/>
      <c r="WC209" s="1"/>
      <c r="WD209" s="1"/>
      <c r="WE209" s="1"/>
      <c r="WF209" s="1"/>
      <c r="WG209" s="1"/>
      <c r="WH209" s="1"/>
      <c r="WI209" s="1"/>
      <c r="WJ209" s="1"/>
      <c r="WK209" s="1"/>
      <c r="WL209" s="1"/>
      <c r="WM209" s="1"/>
      <c r="WN209" s="1"/>
      <c r="WO209" s="1"/>
      <c r="WP209" s="1"/>
      <c r="WQ209" s="1"/>
      <c r="WR209" s="1"/>
      <c r="WS209" s="1"/>
      <c r="WT209" s="1"/>
      <c r="WU209" s="1"/>
      <c r="WV209" s="1"/>
      <c r="WW209" s="1"/>
      <c r="WX209" s="1"/>
      <c r="WY209" s="1"/>
      <c r="WZ209" s="1"/>
      <c r="XA209" s="1"/>
      <c r="XB209" s="1"/>
      <c r="XC209" s="1"/>
      <c r="XD209" s="1"/>
      <c r="XE209" s="1"/>
      <c r="XF209" s="1"/>
      <c r="XG209" s="1"/>
      <c r="XH209" s="1"/>
      <c r="XI209" s="1"/>
      <c r="XJ209" s="1"/>
      <c r="XK209" s="1"/>
      <c r="XL209" s="1"/>
      <c r="XM209" s="1"/>
      <c r="XN209" s="1"/>
      <c r="XO209" s="1"/>
      <c r="XP209" s="1"/>
      <c r="XQ209" s="1"/>
      <c r="XR209" s="1"/>
      <c r="XS209" s="1"/>
      <c r="XT209" s="1"/>
      <c r="XU209" s="1"/>
      <c r="XV209" s="1"/>
      <c r="XW209" s="1"/>
      <c r="XX209" s="1"/>
      <c r="XY209" s="1"/>
      <c r="XZ209" s="1"/>
      <c r="YA209" s="1"/>
      <c r="YB209" s="1"/>
      <c r="YC209" s="1"/>
      <c r="YD209" s="1"/>
      <c r="YE209" s="1"/>
      <c r="YF209" s="1"/>
      <c r="YG209" s="1"/>
      <c r="YH209" s="1"/>
      <c r="YI209" s="1"/>
      <c r="YJ209" s="1"/>
      <c r="YK209" s="1"/>
      <c r="YL209" s="1"/>
      <c r="YM209" s="1"/>
      <c r="YN209" s="1"/>
      <c r="YO209" s="1"/>
      <c r="YP209" s="1"/>
      <c r="YQ209" s="1"/>
      <c r="YR209" s="1"/>
      <c r="YS209" s="1"/>
      <c r="YT209" s="1"/>
      <c r="YU209" s="1"/>
      <c r="YV209" s="1"/>
      <c r="YW209" s="1"/>
      <c r="YX209" s="1"/>
      <c r="YY209" s="1"/>
      <c r="YZ209" s="1"/>
      <c r="ZA209" s="1"/>
      <c r="ZB209" s="1"/>
      <c r="ZC209" s="1"/>
      <c r="ZD209" s="1"/>
      <c r="ZE209" s="1"/>
      <c r="ZF209" s="1"/>
      <c r="ZG209" s="1"/>
      <c r="ZH209" s="1"/>
      <c r="ZI209" s="1"/>
      <c r="ZJ209" s="1"/>
      <c r="ZK209" s="1"/>
      <c r="ZL209" s="1"/>
      <c r="ZM209" s="1"/>
      <c r="ZN209" s="1"/>
      <c r="ZO209" s="1"/>
      <c r="ZP209" s="1"/>
      <c r="ZQ209" s="1"/>
      <c r="ZR209" s="1"/>
      <c r="ZS209" s="1"/>
      <c r="ZT209" s="1"/>
      <c r="ZU209" s="1"/>
      <c r="ZV209" s="1"/>
      <c r="ZW209" s="1"/>
      <c r="ZX209" s="1"/>
      <c r="ZY209" s="1"/>
      <c r="ZZ209" s="1"/>
      <c r="AAA209" s="1"/>
      <c r="AAB209" s="1"/>
      <c r="AAC209" s="1"/>
      <c r="AAD209" s="1"/>
      <c r="AAE209" s="1"/>
      <c r="AAF209" s="1"/>
      <c r="AAG209" s="1"/>
      <c r="AAH209" s="1"/>
      <c r="AAI209" s="1"/>
      <c r="AAJ209" s="1"/>
      <c r="AAK209" s="1"/>
      <c r="AAL209" s="1"/>
      <c r="AAM209" s="1"/>
      <c r="AAN209" s="1"/>
      <c r="AAO209" s="1"/>
      <c r="AAP209" s="1"/>
      <c r="AAQ209" s="1"/>
      <c r="AAR209" s="1"/>
      <c r="AAS209" s="1"/>
      <c r="AAT209" s="1"/>
      <c r="AAU209" s="1"/>
      <c r="AAV209" s="1"/>
      <c r="AAW209" s="1"/>
      <c r="AAX209" s="1"/>
      <c r="AAY209" s="1"/>
      <c r="AAZ209" s="1"/>
      <c r="ABA209" s="1"/>
      <c r="ABB209" s="1"/>
      <c r="ABC209" s="1"/>
      <c r="ABD209" s="1"/>
      <c r="ABE209" s="1"/>
      <c r="ABF209" s="1"/>
      <c r="ABG209" s="1"/>
      <c r="ABH209" s="1"/>
      <c r="ABI209" s="1"/>
      <c r="ABJ209" s="1"/>
      <c r="ABK209" s="1"/>
      <c r="ABL209" s="1"/>
      <c r="ABM209" s="1"/>
      <c r="ABN209" s="1"/>
      <c r="ABO209" s="1"/>
      <c r="ABP209" s="1"/>
      <c r="ABQ209" s="1"/>
      <c r="ABR209" s="1"/>
      <c r="ABS209" s="1"/>
      <c r="ABT209" s="1"/>
      <c r="ABU209" s="1"/>
      <c r="ABV209" s="1"/>
      <c r="ABW209" s="1"/>
      <c r="ABX209" s="1"/>
      <c r="ABY209" s="1"/>
      <c r="ABZ209" s="1"/>
      <c r="ACA209" s="1"/>
      <c r="ACB209" s="1"/>
      <c r="ACC209" s="1"/>
      <c r="ACD209" s="1"/>
      <c r="ACE209" s="1"/>
      <c r="ACF209" s="1"/>
      <c r="ACG209" s="1"/>
      <c r="ACH209" s="1"/>
      <c r="ACI209" s="1"/>
      <c r="ACJ209" s="1"/>
      <c r="ACK209" s="1"/>
      <c r="ACL209" s="1"/>
      <c r="ACM209" s="1"/>
      <c r="ACN209" s="1"/>
      <c r="ACO209" s="1"/>
      <c r="ACP209" s="1"/>
      <c r="ACQ209" s="1"/>
      <c r="ACR209" s="1"/>
      <c r="ACS209" s="1"/>
      <c r="ACT209" s="1"/>
      <c r="ACU209" s="1"/>
      <c r="ACV209" s="1"/>
      <c r="ACW209" s="1"/>
      <c r="ACX209" s="1"/>
      <c r="ACY209" s="1"/>
      <c r="ACZ209" s="1"/>
      <c r="ADA209" s="1"/>
      <c r="ADB209" s="1"/>
      <c r="ADC209" s="1"/>
      <c r="ADD209" s="1"/>
      <c r="ADE209" s="1"/>
      <c r="ADF209" s="1"/>
      <c r="ADG209" s="1"/>
      <c r="ADH209" s="1"/>
      <c r="ADI209" s="1"/>
      <c r="ADJ209" s="1"/>
      <c r="ADK209" s="1"/>
      <c r="ADL209" s="1"/>
      <c r="ADM209" s="1"/>
      <c r="ADN209" s="1"/>
      <c r="ADO209" s="1"/>
      <c r="ADP209" s="1"/>
      <c r="ADQ209" s="1"/>
      <c r="ADR209" s="1"/>
      <c r="ADS209" s="1"/>
      <c r="ADT209" s="1"/>
      <c r="ADU209" s="1"/>
      <c r="ADV209" s="1"/>
      <c r="ADW209" s="1"/>
      <c r="ADX209" s="1"/>
      <c r="ADY209" s="1"/>
      <c r="ADZ209" s="1"/>
      <c r="AEA209" s="1"/>
      <c r="AEB209" s="1"/>
      <c r="AEC209" s="1"/>
      <c r="AED209" s="1"/>
      <c r="AEE209" s="1"/>
      <c r="AEF209" s="1"/>
      <c r="AEG209" s="1"/>
      <c r="AEH209" s="1"/>
      <c r="AEI209" s="1"/>
      <c r="AEJ209" s="1"/>
      <c r="AEK209" s="1"/>
      <c r="AEL209" s="1"/>
      <c r="AEM209" s="1"/>
      <c r="AEN209" s="1"/>
      <c r="AEO209" s="1"/>
      <c r="AEP209" s="1"/>
      <c r="AEQ209" s="1"/>
      <c r="AER209" s="1"/>
      <c r="AES209" s="1"/>
      <c r="AET209" s="1"/>
      <c r="AEU209" s="1"/>
      <c r="AEV209" s="1"/>
      <c r="AEW209" s="1"/>
      <c r="AEX209" s="1"/>
      <c r="AEY209" s="1"/>
      <c r="AEZ209" s="1"/>
      <c r="AFA209" s="1"/>
      <c r="AFB209" s="1"/>
      <c r="AFC209" s="1"/>
      <c r="AFD209" s="1"/>
      <c r="AFE209" s="1"/>
      <c r="AFF209" s="1"/>
      <c r="AFG209" s="1"/>
      <c r="AFH209" s="1"/>
      <c r="AFI209" s="1"/>
      <c r="AFJ209" s="1"/>
      <c r="AFK209" s="1"/>
      <c r="AFL209" s="1"/>
      <c r="AFM209" s="1"/>
      <c r="AFN209" s="1"/>
      <c r="AFO209" s="1"/>
      <c r="AFP209" s="1"/>
      <c r="AFQ209" s="1"/>
      <c r="AFR209" s="1"/>
      <c r="AFS209" s="1"/>
      <c r="AFT209" s="1"/>
      <c r="AFU209" s="1"/>
      <c r="AFV209" s="1"/>
      <c r="AFW209" s="1"/>
      <c r="AFX209" s="1"/>
      <c r="AFY209" s="1"/>
      <c r="AFZ209" s="1"/>
      <c r="AGA209" s="1"/>
      <c r="AGB209" s="1"/>
      <c r="AGC209" s="1"/>
      <c r="AGD209" s="1"/>
      <c r="AGE209" s="1"/>
      <c r="AGF209" s="1"/>
      <c r="AGG209" s="1"/>
      <c r="AGH209" s="1"/>
      <c r="AGI209" s="1"/>
      <c r="AGJ209" s="1"/>
      <c r="AGK209" s="1"/>
      <c r="AGL209" s="1"/>
      <c r="AGM209" s="1"/>
      <c r="AGN209" s="1"/>
      <c r="AGO209" s="1"/>
      <c r="AGP209" s="1"/>
      <c r="AGQ209" s="1"/>
      <c r="AGR209" s="1"/>
      <c r="AGS209" s="1"/>
      <c r="AGT209" s="1"/>
      <c r="AGU209" s="1"/>
      <c r="AGV209" s="1"/>
      <c r="AGW209" s="1"/>
      <c r="AGX209" s="1"/>
      <c r="AGY209" s="1"/>
      <c r="AGZ209" s="1"/>
      <c r="AHA209" s="1"/>
      <c r="AHB209" s="1"/>
      <c r="AHC209" s="1"/>
      <c r="AHD209" s="1"/>
      <c r="AHE209" s="1"/>
      <c r="AHF209" s="1"/>
      <c r="AHG209" s="1"/>
      <c r="AHH209" s="1"/>
      <c r="AHI209" s="1"/>
      <c r="AHJ209" s="1"/>
      <c r="AHK209" s="1"/>
      <c r="AHL209" s="1"/>
      <c r="AHM209" s="1"/>
      <c r="AHN209" s="1"/>
      <c r="AHO209" s="1"/>
      <c r="AHP209" s="1"/>
      <c r="AHQ209" s="1"/>
      <c r="AHR209" s="1"/>
      <c r="AHS209" s="1"/>
      <c r="AHT209" s="1"/>
      <c r="AHU209" s="1"/>
      <c r="AHV209" s="1"/>
      <c r="AHW209" s="1"/>
      <c r="AHX209" s="1"/>
      <c r="AHY209" s="1"/>
      <c r="AHZ209" s="1"/>
      <c r="AIA209" s="1"/>
      <c r="AIB209" s="1"/>
      <c r="AIC209" s="1"/>
      <c r="AID209" s="1"/>
      <c r="AIE209" s="1"/>
      <c r="AIF209" s="1"/>
      <c r="AIG209" s="1"/>
      <c r="AIH209" s="1"/>
      <c r="AII209" s="1"/>
      <c r="AIJ209" s="1"/>
      <c r="AIK209" s="1"/>
      <c r="AIL209" s="1"/>
      <c r="AIM209" s="1"/>
      <c r="AIN209" s="1"/>
      <c r="AIO209" s="1"/>
      <c r="AIP209" s="1"/>
      <c r="AIQ209" s="1"/>
      <c r="AIR209" s="1"/>
      <c r="AIS209" s="1"/>
      <c r="AIT209" s="1"/>
      <c r="AIU209" s="1"/>
      <c r="AIV209" s="1"/>
      <c r="AIW209" s="1"/>
      <c r="AIX209" s="1"/>
      <c r="AIY209" s="1"/>
      <c r="AIZ209" s="1"/>
      <c r="AJA209" s="1"/>
      <c r="AJB209" s="1"/>
      <c r="AJC209" s="1"/>
      <c r="AJD209" s="1"/>
      <c r="AJE209" s="1"/>
      <c r="AJF209" s="1"/>
      <c r="AJG209" s="1"/>
      <c r="AJH209" s="1"/>
      <c r="AJI209" s="1"/>
      <c r="AJJ209" s="1"/>
      <c r="AJK209" s="1"/>
      <c r="AJL209" s="1"/>
      <c r="AJM209" s="1"/>
      <c r="AJN209" s="1"/>
      <c r="AJO209" s="1"/>
      <c r="AJP209" s="1"/>
      <c r="AJQ209" s="1"/>
      <c r="AJR209" s="1"/>
      <c r="AJS209" s="1"/>
      <c r="AJT209" s="1"/>
      <c r="AJU209" s="1"/>
      <c r="AJV209" s="1"/>
      <c r="AJW209" s="1"/>
      <c r="AJX209" s="1"/>
      <c r="AJY209" s="1"/>
      <c r="AJZ209" s="1"/>
      <c r="AKA209" s="1"/>
      <c r="AKB209" s="1"/>
      <c r="AKC209" s="1"/>
      <c r="AKD209" s="1"/>
      <c r="AKE209" s="1"/>
      <c r="AKF209" s="1"/>
      <c r="AKG209" s="1"/>
      <c r="AKH209" s="1"/>
      <c r="AKI209" s="1"/>
      <c r="AKJ209" s="1"/>
      <c r="AKK209" s="1"/>
      <c r="AKL209" s="1"/>
      <c r="AKM209" s="1"/>
      <c r="AKN209" s="1"/>
      <c r="AKO209" s="1"/>
      <c r="AKP209" s="1"/>
      <c r="AKQ209" s="1"/>
      <c r="AKR209" s="1"/>
      <c r="AKS209" s="1"/>
      <c r="AKT209" s="1"/>
      <c r="AKU209" s="1"/>
      <c r="AKV209" s="1"/>
      <c r="AKW209" s="1"/>
      <c r="AKX209" s="1"/>
      <c r="AKY209" s="1"/>
      <c r="AKZ209" s="1"/>
      <c r="ALA209" s="1"/>
      <c r="ALB209" s="1"/>
      <c r="ALC209" s="1"/>
      <c r="ALD209" s="1"/>
      <c r="ALE209" s="1"/>
      <c r="ALF209" s="1"/>
      <c r="ALG209" s="1"/>
      <c r="ALH209" s="1"/>
      <c r="ALI209" s="1"/>
      <c r="ALJ209" s="1"/>
      <c r="ALK209" s="1"/>
      <c r="ALL209" s="1"/>
      <c r="ALM209" s="1"/>
      <c r="ALN209" s="1"/>
      <c r="ALO209" s="1"/>
      <c r="ALP209" s="1"/>
      <c r="ALQ209" s="1"/>
      <c r="ALR209" s="1"/>
      <c r="ALS209" s="1"/>
      <c r="ALT209" s="1"/>
      <c r="ALU209" s="1"/>
      <c r="ALV209" s="1"/>
      <c r="ALW209" s="1"/>
      <c r="ALX209" s="1"/>
      <c r="ALY209" s="1"/>
      <c r="ALZ209" s="1"/>
      <c r="AMA209" s="1"/>
      <c r="AMB209" s="1"/>
      <c r="AMC209" s="1"/>
      <c r="AMD209" s="1"/>
      <c r="AME209" s="1"/>
      <c r="AMF209" s="1"/>
      <c r="AMG209" s="1"/>
      <c r="AMH209" s="1"/>
      <c r="AMI209" s="1"/>
      <c r="AMJ209" s="1"/>
      <c r="AMK209" s="1"/>
      <c r="AML209" s="1"/>
      <c r="AMM209" s="1"/>
      <c r="AMN209" s="1"/>
      <c r="AMO209" s="1"/>
    </row>
    <row r="210" spans="1:1030" x14ac:dyDescent="0.2">
      <c r="A210" s="3" t="str">
        <f t="shared" si="669"/>
        <v>opsd_bovin_2X72</v>
      </c>
      <c r="B210" s="2" t="s">
        <v>920</v>
      </c>
      <c r="C210" s="3" t="s">
        <v>1376</v>
      </c>
      <c r="D210" s="3" t="str">
        <f>IFERROR(MID(VLOOKUP($B210,Seqs!$A:$B,2,0),E210,1),"")</f>
        <v>E</v>
      </c>
      <c r="E210" s="105">
        <v>33</v>
      </c>
      <c r="F210" s="3" t="str">
        <f>IFERROR(MID(VLOOKUP($B210,Seqs!$A:$B,2,0),G210,1),"")</f>
        <v>H</v>
      </c>
      <c r="G210" s="3">
        <v>65</v>
      </c>
      <c r="H210" s="3" t="str">
        <f>IFERROR(MID(VLOOKUP($B210,Seqs!$A:$B,2,0),I210,1),"")</f>
        <v>K</v>
      </c>
      <c r="I210" s="23">
        <v>66</v>
      </c>
      <c r="J210" s="3" t="str">
        <f>IFERROR(MID(VLOOKUP($B210,Seqs!$A:$B,2,0),K210,1),"")</f>
        <v>R</v>
      </c>
      <c r="K210" s="23">
        <v>69</v>
      </c>
      <c r="L210" s="3" t="str">
        <f>IFERROR(MID(VLOOKUP($B210,Seqs!$A:$B,2,0),M210,1),"")</f>
        <v>T</v>
      </c>
      <c r="M210" s="3">
        <v>70</v>
      </c>
      <c r="N210" s="3" t="str">
        <f>IFERROR(MID(VLOOKUP($B210,Seqs!$A:$B,2,0),O210,1),"")</f>
        <v>H</v>
      </c>
      <c r="O210" s="3">
        <v>100</v>
      </c>
      <c r="P210" s="3" t="str">
        <f>IFERROR(MID(VLOOKUP($B210,Seqs!$A:$B,2,0),Q210,1),"")</f>
        <v>Y</v>
      </c>
      <c r="Q210" s="3">
        <v>102</v>
      </c>
      <c r="R210" s="3" t="str">
        <f>IFERROR(MID(VLOOKUP($B210,Seqs!$A:$B,2,0),S210,1),"")</f>
        <v>F</v>
      </c>
      <c r="S210" s="3">
        <v>105</v>
      </c>
      <c r="T210" s="3" t="str">
        <f>IFERROR(MID(VLOOKUP($B210,Seqs!$A:$B,2,0),U210,1),"")</f>
        <v>G</v>
      </c>
      <c r="U210" s="3">
        <v>106</v>
      </c>
      <c r="V210" s="3" t="str">
        <f>IFERROR(MID(VLOOKUP($B210,Seqs!$A:$B,2,0),W210,1),"")</f>
        <v>K</v>
      </c>
      <c r="W210" s="3">
        <v>141</v>
      </c>
      <c r="X210" s="3" t="str">
        <f>IFERROR(MID(VLOOKUP($B210,Seqs!$A:$B,2,0),Y210,1),"")</f>
        <v/>
      </c>
      <c r="Y210" s="3" t="s">
        <v>23</v>
      </c>
      <c r="Z210" s="3" t="str">
        <f>IFERROR(MID(VLOOKUP($B210,Seqs!$A:$B,2,0),AA210,1),"")</f>
        <v/>
      </c>
      <c r="AA210" s="3" t="s">
        <v>23</v>
      </c>
      <c r="AB210" s="3" t="str">
        <f>IFERROR(MID(VLOOKUP($B210,Seqs!$A:$B,2,0),AC210,1),"")</f>
        <v>G</v>
      </c>
      <c r="AC210" s="9">
        <v>149</v>
      </c>
      <c r="AD210" s="3" t="str">
        <f>IFERROR(MID(VLOOKUP($B210,Seqs!$A:$B,2,0),AE210,1),"")</f>
        <v>V</v>
      </c>
      <c r="AE210" s="3">
        <v>173</v>
      </c>
      <c r="AF210" s="3" t="str">
        <f>IFERROR(MID(VLOOKUP($B210,Seqs!$A:$B,2,0),AG210,1),"")</f>
        <v>C</v>
      </c>
      <c r="AG210" s="3">
        <v>187</v>
      </c>
      <c r="AH210" s="3" t="str">
        <f>IFERROR(MID(VLOOKUP($B210,Seqs!$A:$B,2,0),AI210,1),"")</f>
        <v>I</v>
      </c>
      <c r="AI210" s="3">
        <v>189</v>
      </c>
      <c r="AJ210" s="3" t="str">
        <f>IFERROR(MID(VLOOKUP($B210,Seqs!$A:$B,2,0),AK210,1),"")</f>
        <v>N</v>
      </c>
      <c r="AK210" s="3">
        <v>199</v>
      </c>
      <c r="AL210" s="3" t="str">
        <f>IFERROR(MID(VLOOKUP($B210,Seqs!$A:$B,2,0),AM210,1),"")</f>
        <v>Q</v>
      </c>
      <c r="AM210" s="3">
        <v>237</v>
      </c>
      <c r="AN210" s="3" t="str">
        <f>IFERROR(MID(VLOOKUP($B210,Seqs!$A:$B,2,0),AO210,1),"")</f>
        <v>A</v>
      </c>
      <c r="AO210" s="3">
        <v>241</v>
      </c>
      <c r="AP210" s="3" t="str">
        <f>IFERROR(MID(VLOOKUP($B210,Seqs!$A:$B,2,0),AQ210,1),"")</f>
        <v>H</v>
      </c>
      <c r="AQ210" s="3">
        <v>278</v>
      </c>
      <c r="AR210" s="3" t="str">
        <f>IFERROR(MID(VLOOKUP($B210,Seqs!$A:$B,2,0),AS210,1),"")</f>
        <v>G</v>
      </c>
      <c r="AS210" s="3">
        <v>284</v>
      </c>
      <c r="AT210" s="3" t="str">
        <f>IFERROR(MID(VLOOKUP($B210,Seqs!$A:$B,2,0),AU210,1),"")</f>
        <v>M</v>
      </c>
      <c r="AU210" s="3">
        <v>309</v>
      </c>
      <c r="AV210" s="3" t="str">
        <f>IFERROR(MID(VLOOKUP($B210,Seqs!$A:$B,2,0),AW210,1),"")</f>
        <v>N</v>
      </c>
      <c r="AW210" s="3">
        <v>310</v>
      </c>
      <c r="AX210" s="3" t="str">
        <f>IFERROR(MID(VLOOKUP($B210,Seqs!$A:$B,2,0),AY210,1),"")</f>
        <v>C</v>
      </c>
      <c r="AY210" s="3">
        <v>322</v>
      </c>
      <c r="AZ210" s="77" t="str">
        <f>VLOOKUP(B210,Classification!A:D,2,0)</f>
        <v>A</v>
      </c>
      <c r="BA210" s="94" t="str">
        <f>VLOOKUP(B210,Classification!A:D,4,0)</f>
        <v>Opsins</v>
      </c>
      <c r="BB210" s="27" t="b">
        <f>AND(E210&lt;G210,OR(G210&lt;I210,I210="-"),OR(I210&lt;K210,I210="-"),OR(K210&lt;M210,K210="-"),M210&lt;O210,OR(O210&lt;Q210,Q210="-"),OR(Q210&lt;S210,Q210="-"),OR(S210&lt;U210,S210="-"),U210&lt;W210,OR(W210&lt;Y210,Y210="-"),OR(Y210&lt;AA210,Y210="-"),OR(AA210&lt;AC210,AA210="-"),AC210&lt;AE210,OR(AE210&lt;AG210,AG210="-"),OR(AG210&lt;AI210,AG210="-"),OR(AI210&lt;AK210,AI210="-"),AK210&lt;AM210,AM210&lt;AO210,AO210&lt;AQ210,AQ210&lt;AS210,AS210&lt;AU210,OR(AU210&lt;AW210,AW210="-"),OR(AW210&lt;AY210,AW210="-"))</f>
        <v>1</v>
      </c>
      <c r="BC210" s="23">
        <f>_xlfn.AGGREGATE(9,6,CH210:CS210)-_xlfn.AGGREGATE(9,6,BV210:CG210)+12</f>
        <v>253</v>
      </c>
      <c r="BD210" s="56" t="s">
        <v>23</v>
      </c>
      <c r="BE210" s="3" t="s">
        <v>1297</v>
      </c>
      <c r="BF210" s="119">
        <v>3</v>
      </c>
      <c r="BG210" s="49" t="s">
        <v>1384</v>
      </c>
      <c r="BH210" s="49" t="s">
        <v>1384</v>
      </c>
      <c r="BI210" s="1"/>
      <c r="BJ210" s="70" t="s">
        <v>1293</v>
      </c>
      <c r="BK210" s="57" t="s">
        <v>1293</v>
      </c>
      <c r="BL210" s="57" t="s">
        <v>1293</v>
      </c>
      <c r="BM210" s="57" t="s">
        <v>1293</v>
      </c>
      <c r="BN210" s="57" t="s">
        <v>1293</v>
      </c>
      <c r="BO210" s="57" t="s">
        <v>1293</v>
      </c>
      <c r="BP210" s="57" t="s">
        <v>1293</v>
      </c>
      <c r="BQ210" s="57" t="s">
        <v>1293</v>
      </c>
      <c r="BR210" s="57" t="s">
        <v>1293</v>
      </c>
      <c r="BS210" s="57" t="s">
        <v>1293</v>
      </c>
      <c r="BT210" s="57" t="s">
        <v>1293</v>
      </c>
      <c r="BU210" s="57" t="s">
        <v>1293</v>
      </c>
      <c r="BV210" s="70">
        <f>E210</f>
        <v>33</v>
      </c>
      <c r="BW210" s="71">
        <f>I210</f>
        <v>66</v>
      </c>
      <c r="BX210" s="72">
        <f>M210</f>
        <v>70</v>
      </c>
      <c r="BY210" s="71">
        <f>Q210</f>
        <v>102</v>
      </c>
      <c r="BZ210" s="72">
        <f>U210</f>
        <v>106</v>
      </c>
      <c r="CA210" s="71" t="str">
        <f>Y210</f>
        <v>-</v>
      </c>
      <c r="CB210" s="72">
        <f>AC210</f>
        <v>149</v>
      </c>
      <c r="CC210" s="71">
        <f>AG210</f>
        <v>187</v>
      </c>
      <c r="CD210" s="72">
        <f>AK210</f>
        <v>199</v>
      </c>
      <c r="CE210" s="71">
        <f>AO210</f>
        <v>241</v>
      </c>
      <c r="CF210" s="72">
        <f>AS210</f>
        <v>284</v>
      </c>
      <c r="CG210" s="71">
        <f>AW210</f>
        <v>310</v>
      </c>
      <c r="CH210" s="70">
        <f>G210</f>
        <v>65</v>
      </c>
      <c r="CI210" s="71">
        <f>K210</f>
        <v>69</v>
      </c>
      <c r="CJ210" s="72">
        <f>O210</f>
        <v>100</v>
      </c>
      <c r="CK210" s="72">
        <f>S210</f>
        <v>105</v>
      </c>
      <c r="CL210" s="72">
        <f>W210</f>
        <v>141</v>
      </c>
      <c r="CM210" s="72" t="str">
        <f>AA210</f>
        <v>-</v>
      </c>
      <c r="CN210" s="72">
        <f>AE210</f>
        <v>173</v>
      </c>
      <c r="CO210" s="72">
        <f>AI210</f>
        <v>189</v>
      </c>
      <c r="CP210" s="72">
        <f>AM210</f>
        <v>237</v>
      </c>
      <c r="CQ210" s="72">
        <f>AQ210</f>
        <v>278</v>
      </c>
      <c r="CR210" s="72">
        <f>AU210</f>
        <v>309</v>
      </c>
      <c r="CS210" s="72">
        <f>AY210</f>
        <v>322</v>
      </c>
      <c r="CT210" s="23">
        <f>M210-K210</f>
        <v>1</v>
      </c>
      <c r="CU210" s="6"/>
      <c r="CV210" s="6"/>
      <c r="CW210" s="6"/>
      <c r="CX210" s="6"/>
      <c r="CY210" s="6"/>
      <c r="CZ210" s="6"/>
      <c r="DA210" s="6"/>
      <c r="DB210" s="6"/>
      <c r="DC210" s="6"/>
      <c r="DD210" s="6"/>
      <c r="DE210" s="6"/>
      <c r="DF210" s="6"/>
      <c r="DG210" s="6"/>
      <c r="DH210" s="6"/>
      <c r="DI210" s="6"/>
      <c r="DJ210" s="6"/>
      <c r="DK210" s="6"/>
      <c r="DL210" s="6"/>
      <c r="DM210" s="6"/>
      <c r="DN210" s="6"/>
      <c r="DO210" s="6"/>
      <c r="DP210" s="6"/>
      <c r="DQ210" s="6"/>
      <c r="DR210" s="6"/>
      <c r="DS210" s="6"/>
      <c r="DT210" s="6"/>
      <c r="DU210" s="6"/>
      <c r="DV210" s="6"/>
      <c r="DW210" s="6"/>
      <c r="DX210" s="6"/>
      <c r="DY210" s="6"/>
      <c r="DZ210" s="6"/>
      <c r="EA210" s="6"/>
      <c r="EB210" s="6"/>
      <c r="EC210" s="6"/>
      <c r="ED210" s="6"/>
      <c r="EE210" s="6"/>
      <c r="EF210" s="6"/>
      <c r="EG210" s="6"/>
      <c r="EH210" s="6"/>
      <c r="EI210" s="6"/>
      <c r="EJ210" s="6"/>
      <c r="EK210" s="6"/>
      <c r="EL210" s="6"/>
      <c r="EM210" s="6"/>
      <c r="EN210" s="6"/>
      <c r="EO210" s="6"/>
      <c r="EP210" s="6"/>
      <c r="EQ210" s="6"/>
      <c r="ER210" s="6"/>
      <c r="ES210" s="6"/>
      <c r="ET210" s="6"/>
      <c r="EU210" s="6"/>
      <c r="EV210" s="6"/>
      <c r="EW210" s="6"/>
      <c r="EX210" s="6"/>
      <c r="EY210" s="6"/>
      <c r="EZ210" s="6"/>
      <c r="FA210" s="6"/>
      <c r="FB210" s="6"/>
      <c r="FC210" s="6"/>
      <c r="FD210" s="6"/>
      <c r="FE210" s="6"/>
      <c r="FF210" s="6"/>
      <c r="FG210" s="6"/>
      <c r="FH210" s="6"/>
      <c r="FI210" s="6"/>
      <c r="FJ210" s="6"/>
      <c r="FK210" s="6"/>
      <c r="FL210" s="6"/>
      <c r="FM210" s="6"/>
      <c r="FN210" s="6"/>
      <c r="FO210" s="6"/>
      <c r="FP210" s="6"/>
      <c r="FQ210" s="6"/>
      <c r="FR210" s="6"/>
      <c r="FS210" s="6"/>
      <c r="FT210" s="6"/>
      <c r="FU210" s="6"/>
      <c r="FV210" s="6"/>
      <c r="FW210" s="6"/>
      <c r="FX210" s="6"/>
      <c r="FY210" s="6"/>
      <c r="FZ210" s="6"/>
      <c r="GA210" s="6"/>
      <c r="GB210" s="6"/>
      <c r="GC210" s="6"/>
      <c r="GD210" s="6"/>
      <c r="GE210" s="6"/>
      <c r="GF210" s="6"/>
      <c r="GG210" s="6"/>
      <c r="GH210" s="6"/>
      <c r="GI210" s="6"/>
      <c r="GJ210" s="6"/>
      <c r="GK210" s="6"/>
      <c r="GL210" s="6"/>
      <c r="GM210" s="6"/>
      <c r="GN210" s="6"/>
      <c r="GO210" s="6"/>
      <c r="GP210" s="6"/>
      <c r="GQ210" s="6"/>
      <c r="GR210" s="6"/>
      <c r="GS210" s="6"/>
      <c r="GT210" s="6"/>
      <c r="GU210" s="6"/>
      <c r="GV210" s="6"/>
      <c r="GW210" s="6"/>
      <c r="GX210" s="6"/>
      <c r="GY210" s="6"/>
      <c r="GZ210" s="6"/>
      <c r="HA210" s="6"/>
      <c r="HB210" s="6"/>
      <c r="HC210" s="6"/>
      <c r="HD210" s="6"/>
      <c r="HE210" s="6"/>
      <c r="HF210" s="6"/>
      <c r="HG210" s="6"/>
      <c r="HH210" s="6"/>
      <c r="HI210" s="6"/>
      <c r="HJ210" s="6"/>
      <c r="HK210" s="6"/>
      <c r="HL210" s="6"/>
      <c r="HM210" s="6"/>
      <c r="HN210" s="6"/>
      <c r="HO210" s="6"/>
      <c r="HP210" s="6"/>
      <c r="HQ210" s="6"/>
      <c r="HR210" s="6"/>
      <c r="HS210" s="6"/>
      <c r="HT210" s="6"/>
      <c r="HU210" s="6"/>
      <c r="HV210" s="6"/>
      <c r="HW210" s="6"/>
      <c r="HX210" s="6"/>
      <c r="HY210" s="6"/>
      <c r="HZ210" s="6"/>
      <c r="IA210" s="6"/>
      <c r="IB210" s="6"/>
      <c r="IC210" s="6"/>
      <c r="ID210" s="6"/>
      <c r="IE210" s="6"/>
      <c r="IF210" s="6"/>
      <c r="IG210" s="6"/>
      <c r="IH210" s="6"/>
      <c r="II210" s="6"/>
      <c r="IJ210" s="6"/>
      <c r="IK210" s="6"/>
      <c r="IL210" s="6"/>
      <c r="IM210" s="6"/>
      <c r="IN210" s="6"/>
      <c r="IO210" s="6"/>
      <c r="IP210" s="6"/>
      <c r="IQ210" s="6"/>
      <c r="IR210" s="6"/>
      <c r="IS210" s="6"/>
      <c r="IT210" s="6"/>
      <c r="IU210" s="6"/>
      <c r="IV210" s="6"/>
      <c r="IW210" s="6"/>
      <c r="IX210" s="6"/>
      <c r="IY210" s="6"/>
      <c r="IZ210" s="6"/>
      <c r="JA210" s="6"/>
      <c r="JB210" s="6"/>
      <c r="JC210" s="6"/>
      <c r="JD210" s="6"/>
      <c r="JE210" s="6"/>
      <c r="JF210" s="6"/>
      <c r="JG210" s="6"/>
      <c r="JH210" s="6"/>
      <c r="JI210" s="6"/>
      <c r="JJ210" s="6"/>
      <c r="JK210" s="6"/>
      <c r="JL210" s="6"/>
      <c r="JM210" s="6"/>
      <c r="JN210" s="6"/>
      <c r="JO210" s="6"/>
      <c r="JP210" s="6"/>
      <c r="JQ210" s="6"/>
      <c r="JR210" s="6"/>
      <c r="JS210" s="6"/>
      <c r="JT210" s="6"/>
      <c r="JU210" s="6"/>
      <c r="JV210" s="6"/>
      <c r="JW210" s="6"/>
      <c r="JX210" s="6"/>
      <c r="JY210" s="6"/>
      <c r="JZ210" s="6"/>
      <c r="KA210" s="6"/>
      <c r="KB210" s="6"/>
      <c r="KC210" s="6"/>
      <c r="KD210" s="6"/>
      <c r="KE210" s="6"/>
      <c r="KF210" s="6"/>
      <c r="KG210" s="6"/>
      <c r="KH210" s="6"/>
      <c r="KI210" s="6"/>
      <c r="KJ210" s="6"/>
      <c r="KK210" s="6"/>
      <c r="KL210" s="6"/>
      <c r="KM210" s="6"/>
      <c r="KN210" s="6"/>
      <c r="KO210" s="6"/>
      <c r="KP210" s="6"/>
      <c r="KQ210" s="6"/>
      <c r="KR210" s="6"/>
      <c r="KS210" s="6"/>
      <c r="KT210" s="6"/>
      <c r="KU210" s="6"/>
      <c r="KV210" s="6"/>
      <c r="KW210" s="6"/>
      <c r="KX210" s="6"/>
      <c r="KY210" s="6"/>
      <c r="KZ210" s="6"/>
      <c r="LA210" s="6"/>
      <c r="LB210" s="6"/>
      <c r="LC210" s="6"/>
      <c r="LD210" s="6"/>
      <c r="LE210" s="6"/>
      <c r="LF210" s="6"/>
      <c r="LG210" s="6"/>
      <c r="LH210" s="6"/>
      <c r="LI210" s="6"/>
      <c r="LJ210" s="6"/>
      <c r="LK210" s="6"/>
      <c r="LL210" s="6"/>
      <c r="LM210" s="6"/>
      <c r="LN210" s="6"/>
      <c r="LO210" s="6"/>
      <c r="LP210" s="6"/>
      <c r="LQ210" s="6"/>
      <c r="LR210" s="6"/>
      <c r="LS210" s="6"/>
      <c r="LT210" s="6"/>
      <c r="LU210" s="6"/>
      <c r="LV210" s="6"/>
      <c r="LW210" s="6"/>
      <c r="LX210" s="6"/>
      <c r="LY210" s="6"/>
      <c r="LZ210" s="6"/>
      <c r="MA210" s="6"/>
      <c r="MB210" s="6"/>
      <c r="MC210" s="6"/>
      <c r="MD210" s="6"/>
      <c r="ME210" s="6"/>
      <c r="MF210" s="6"/>
      <c r="MG210" s="6"/>
      <c r="MH210" s="6"/>
      <c r="MI210" s="6"/>
      <c r="MJ210" s="6"/>
      <c r="MK210" s="6"/>
      <c r="ML210" s="6"/>
      <c r="MM210" s="6"/>
      <c r="MN210" s="6"/>
      <c r="MO210" s="6"/>
      <c r="MP210" s="6"/>
      <c r="MQ210" s="6"/>
      <c r="MR210" s="6"/>
      <c r="MS210" s="6"/>
      <c r="MT210" s="6"/>
      <c r="MU210" s="6"/>
      <c r="MV210" s="6"/>
      <c r="MW210" s="6"/>
      <c r="MX210" s="6"/>
      <c r="MY210" s="6"/>
      <c r="MZ210" s="6"/>
      <c r="NA210" s="6"/>
      <c r="NB210" s="6"/>
      <c r="NC210" s="6"/>
      <c r="ND210" s="6"/>
      <c r="NE210" s="6"/>
      <c r="NF210" s="6"/>
      <c r="NG210" s="6"/>
      <c r="NH210" s="6"/>
      <c r="NI210" s="6"/>
      <c r="NJ210" s="6"/>
      <c r="NK210" s="6"/>
      <c r="NL210" s="6"/>
      <c r="NM210" s="6"/>
      <c r="NN210" s="6"/>
      <c r="NO210" s="6"/>
      <c r="NP210" s="6"/>
      <c r="NQ210" s="6"/>
      <c r="NR210" s="6"/>
      <c r="NS210" s="6"/>
      <c r="NT210" s="6"/>
      <c r="NU210" s="6"/>
      <c r="NV210" s="6"/>
      <c r="NW210" s="6"/>
      <c r="NX210" s="6"/>
      <c r="NY210" s="6"/>
      <c r="NZ210" s="6"/>
      <c r="OA210" s="6"/>
      <c r="OB210" s="6"/>
      <c r="OC210" s="6"/>
      <c r="OD210" s="6"/>
      <c r="OE210" s="6"/>
      <c r="OF210" s="6"/>
      <c r="OG210" s="6"/>
      <c r="OH210" s="6"/>
      <c r="OI210" s="6"/>
      <c r="OJ210" s="6"/>
      <c r="OK210" s="6"/>
      <c r="OL210" s="6"/>
      <c r="OM210" s="6"/>
      <c r="ON210" s="6"/>
      <c r="OO210" s="6"/>
      <c r="OP210" s="6"/>
      <c r="OQ210" s="6"/>
      <c r="OR210" s="6"/>
      <c r="OS210" s="6"/>
      <c r="OT210" s="6"/>
      <c r="OU210" s="6"/>
      <c r="OV210" s="6"/>
      <c r="OW210" s="6"/>
      <c r="OX210" s="6"/>
      <c r="OY210" s="6"/>
      <c r="OZ210" s="6"/>
      <c r="PA210" s="6"/>
      <c r="PB210" s="6"/>
      <c r="PC210" s="6"/>
      <c r="PD210" s="6"/>
      <c r="PE210" s="6"/>
      <c r="PF210" s="6"/>
      <c r="PG210" s="6"/>
      <c r="PH210" s="6"/>
      <c r="PI210" s="6"/>
      <c r="PJ210" s="6"/>
      <c r="PK210" s="6"/>
      <c r="PL210" s="6"/>
      <c r="PM210" s="6"/>
      <c r="PN210" s="6"/>
      <c r="PO210" s="6"/>
      <c r="PP210" s="6"/>
      <c r="PQ210" s="6"/>
      <c r="PR210" s="6"/>
      <c r="PS210" s="6"/>
      <c r="PT210" s="6"/>
      <c r="PU210" s="6"/>
      <c r="PV210" s="6"/>
      <c r="PW210" s="6"/>
      <c r="PX210" s="6"/>
      <c r="PY210" s="6"/>
      <c r="PZ210" s="6"/>
      <c r="QA210" s="6"/>
      <c r="QB210" s="6"/>
      <c r="QC210" s="6"/>
      <c r="QD210" s="6"/>
      <c r="QE210" s="6"/>
      <c r="QF210" s="6"/>
      <c r="QG210" s="6"/>
      <c r="QH210" s="6"/>
      <c r="QI210" s="6"/>
      <c r="QJ210" s="6"/>
      <c r="QK210" s="6"/>
      <c r="QL210" s="6"/>
      <c r="QM210" s="6"/>
      <c r="QN210" s="6"/>
      <c r="QO210" s="6"/>
      <c r="QP210" s="6"/>
      <c r="QQ210" s="6"/>
      <c r="QR210" s="6"/>
      <c r="QS210" s="6"/>
      <c r="QT210" s="6"/>
      <c r="QU210" s="6"/>
      <c r="QV210" s="6"/>
      <c r="QW210" s="6"/>
      <c r="QX210" s="6"/>
      <c r="QY210" s="6"/>
      <c r="QZ210" s="6"/>
      <c r="RA210" s="6"/>
      <c r="RB210" s="6"/>
      <c r="RC210" s="6"/>
      <c r="RD210" s="6"/>
      <c r="RE210" s="6"/>
      <c r="RF210" s="6"/>
      <c r="RG210" s="6"/>
      <c r="RH210" s="6"/>
      <c r="RI210" s="6"/>
      <c r="RJ210" s="6"/>
      <c r="RK210" s="6"/>
      <c r="RL210" s="6"/>
      <c r="RM210" s="6"/>
      <c r="RN210" s="6"/>
      <c r="RO210" s="6"/>
      <c r="RP210" s="6"/>
      <c r="RQ210" s="6"/>
      <c r="RR210" s="6"/>
      <c r="RS210" s="6"/>
      <c r="RT210" s="6"/>
      <c r="RU210" s="6"/>
      <c r="RV210" s="6"/>
      <c r="RW210" s="6"/>
      <c r="RX210" s="6"/>
      <c r="RY210" s="6"/>
      <c r="RZ210" s="6"/>
      <c r="SA210" s="6"/>
      <c r="SB210" s="6"/>
      <c r="SC210" s="6"/>
      <c r="SD210" s="6"/>
      <c r="SE210" s="6"/>
      <c r="SF210" s="6"/>
      <c r="SG210" s="6"/>
      <c r="SH210" s="6"/>
      <c r="SI210" s="6"/>
      <c r="SJ210" s="6"/>
      <c r="SK210" s="6"/>
      <c r="SL210" s="6"/>
      <c r="SM210" s="6"/>
      <c r="SN210" s="6"/>
      <c r="SO210" s="6"/>
      <c r="SP210" s="6"/>
      <c r="SQ210" s="6"/>
      <c r="SR210" s="6"/>
      <c r="SS210" s="6"/>
      <c r="ST210" s="6"/>
      <c r="SU210" s="6"/>
      <c r="SV210" s="6"/>
      <c r="SW210" s="6"/>
      <c r="SX210" s="6"/>
      <c r="SY210" s="6"/>
      <c r="SZ210" s="6"/>
      <c r="TA210" s="6"/>
      <c r="TB210" s="6"/>
      <c r="TC210" s="6"/>
      <c r="TD210" s="6"/>
      <c r="TE210" s="6"/>
      <c r="TF210" s="6"/>
      <c r="TG210" s="6"/>
      <c r="TH210" s="6"/>
      <c r="TI210" s="6"/>
      <c r="TJ210" s="6"/>
      <c r="TK210" s="6"/>
      <c r="TL210" s="6"/>
      <c r="TM210" s="6"/>
      <c r="TN210" s="6"/>
      <c r="TO210" s="6"/>
      <c r="TP210" s="6"/>
      <c r="TQ210" s="6"/>
      <c r="TR210" s="6"/>
      <c r="TS210" s="6"/>
      <c r="TT210" s="6"/>
      <c r="TU210" s="6"/>
      <c r="TV210" s="6"/>
      <c r="TW210" s="6"/>
      <c r="TX210" s="6"/>
      <c r="TY210" s="6"/>
      <c r="TZ210" s="6"/>
      <c r="UA210" s="6"/>
      <c r="UB210" s="6"/>
      <c r="UC210" s="6"/>
      <c r="UD210" s="6"/>
      <c r="UE210" s="6"/>
      <c r="UF210" s="6"/>
      <c r="UG210" s="6"/>
      <c r="UH210" s="6"/>
      <c r="UI210" s="6"/>
      <c r="UJ210" s="6"/>
      <c r="UK210" s="6"/>
      <c r="UL210" s="6"/>
      <c r="UM210" s="6"/>
      <c r="UN210" s="6"/>
      <c r="UO210" s="6"/>
      <c r="UP210" s="6"/>
      <c r="UQ210" s="6"/>
      <c r="UR210" s="6"/>
      <c r="US210" s="6"/>
      <c r="UT210" s="6"/>
      <c r="UU210" s="6"/>
      <c r="UV210" s="6"/>
      <c r="UW210" s="6"/>
      <c r="UX210" s="6"/>
      <c r="UY210" s="6"/>
      <c r="UZ210" s="6"/>
      <c r="VA210" s="6"/>
      <c r="VB210" s="6"/>
      <c r="VC210" s="6"/>
      <c r="VD210" s="6"/>
      <c r="VE210" s="6"/>
      <c r="VF210" s="6"/>
      <c r="VG210" s="6"/>
      <c r="VH210" s="6"/>
      <c r="VI210" s="6"/>
      <c r="VJ210" s="6"/>
      <c r="VK210" s="6"/>
      <c r="VL210" s="6"/>
      <c r="VM210" s="6"/>
      <c r="VN210" s="6"/>
      <c r="VO210" s="6"/>
      <c r="VP210" s="6"/>
      <c r="VQ210" s="6"/>
      <c r="VR210" s="6"/>
      <c r="VS210" s="6"/>
      <c r="VT210" s="6"/>
      <c r="VU210" s="6"/>
      <c r="VV210" s="6"/>
      <c r="VW210" s="6"/>
      <c r="VX210" s="6"/>
      <c r="VY210" s="6"/>
      <c r="VZ210" s="6"/>
      <c r="WA210" s="6"/>
      <c r="WB210" s="6"/>
      <c r="WC210" s="6"/>
      <c r="WD210" s="6"/>
      <c r="WE210" s="6"/>
      <c r="WF210" s="6"/>
      <c r="WG210" s="6"/>
      <c r="WH210" s="6"/>
      <c r="WI210" s="6"/>
      <c r="WJ210" s="6"/>
      <c r="WK210" s="6"/>
      <c r="WL210" s="6"/>
      <c r="WM210" s="6"/>
      <c r="WN210" s="6"/>
      <c r="WO210" s="6"/>
      <c r="WP210" s="6"/>
      <c r="WQ210" s="6"/>
      <c r="WR210" s="6"/>
      <c r="WS210" s="6"/>
      <c r="WT210" s="6"/>
      <c r="WU210" s="6"/>
      <c r="WV210" s="6"/>
      <c r="WW210" s="6"/>
      <c r="WX210" s="6"/>
      <c r="WY210" s="6"/>
      <c r="WZ210" s="6"/>
      <c r="XA210" s="6"/>
      <c r="XB210" s="6"/>
      <c r="XC210" s="6"/>
      <c r="XD210" s="6"/>
      <c r="XE210" s="6"/>
      <c r="XF210" s="6"/>
      <c r="XG210" s="6"/>
      <c r="XH210" s="6"/>
      <c r="XI210" s="6"/>
      <c r="XJ210" s="6"/>
      <c r="XK210" s="6"/>
      <c r="XL210" s="6"/>
      <c r="XM210" s="6"/>
      <c r="XN210" s="6"/>
      <c r="XO210" s="6"/>
      <c r="XP210" s="6"/>
      <c r="XQ210" s="6"/>
      <c r="XR210" s="6"/>
      <c r="XS210" s="6"/>
      <c r="XT210" s="6"/>
      <c r="XU210" s="6"/>
      <c r="XV210" s="6"/>
      <c r="XW210" s="6"/>
      <c r="XX210" s="6"/>
      <c r="XY210" s="6"/>
      <c r="XZ210" s="6"/>
      <c r="YA210" s="6"/>
      <c r="YB210" s="6"/>
      <c r="YC210" s="6"/>
      <c r="YD210" s="6"/>
      <c r="YE210" s="6"/>
      <c r="YF210" s="6"/>
      <c r="YG210" s="6"/>
      <c r="YH210" s="6"/>
      <c r="YI210" s="6"/>
      <c r="YJ210" s="6"/>
      <c r="YK210" s="6"/>
      <c r="YL210" s="6"/>
      <c r="YM210" s="6"/>
      <c r="YN210" s="6"/>
      <c r="YO210" s="6"/>
      <c r="YP210" s="6"/>
      <c r="YQ210" s="6"/>
      <c r="YR210" s="6"/>
      <c r="YS210" s="6"/>
      <c r="YT210" s="6"/>
      <c r="YU210" s="6"/>
      <c r="YV210" s="6"/>
      <c r="YW210" s="6"/>
      <c r="YX210" s="6"/>
      <c r="YY210" s="6"/>
      <c r="YZ210" s="6"/>
      <c r="ZA210" s="6"/>
      <c r="ZB210" s="6"/>
      <c r="ZC210" s="6"/>
      <c r="ZD210" s="6"/>
      <c r="ZE210" s="6"/>
      <c r="ZF210" s="6"/>
      <c r="ZG210" s="6"/>
      <c r="ZH210" s="6"/>
      <c r="ZI210" s="6"/>
      <c r="ZJ210" s="6"/>
      <c r="ZK210" s="6"/>
      <c r="ZL210" s="6"/>
      <c r="ZM210" s="6"/>
      <c r="ZN210" s="6"/>
      <c r="ZO210" s="6"/>
      <c r="ZP210" s="6"/>
      <c r="ZQ210" s="6"/>
      <c r="ZR210" s="6"/>
      <c r="ZS210" s="6"/>
      <c r="ZT210" s="6"/>
      <c r="ZU210" s="6"/>
      <c r="ZV210" s="6"/>
      <c r="ZW210" s="6"/>
      <c r="ZX210" s="6"/>
      <c r="ZY210" s="6"/>
      <c r="ZZ210" s="6"/>
      <c r="AAA210" s="6"/>
      <c r="AAB210" s="6"/>
      <c r="AAC210" s="6"/>
      <c r="AAD210" s="6"/>
      <c r="AAE210" s="6"/>
      <c r="AAF210" s="6"/>
      <c r="AAG210" s="6"/>
      <c r="AAH210" s="6"/>
      <c r="AAI210" s="6"/>
      <c r="AAJ210" s="6"/>
      <c r="AAK210" s="6"/>
      <c r="AAL210" s="6"/>
      <c r="AAM210" s="6"/>
      <c r="AAN210" s="6"/>
      <c r="AAO210" s="6"/>
      <c r="AAP210" s="6"/>
      <c r="AAQ210" s="6"/>
      <c r="AAR210" s="6"/>
      <c r="AAS210" s="6"/>
      <c r="AAT210" s="6"/>
      <c r="AAU210" s="6"/>
      <c r="AAV210" s="6"/>
      <c r="AAW210" s="6"/>
      <c r="AAX210" s="6"/>
      <c r="AAY210" s="6"/>
      <c r="AAZ210" s="6"/>
      <c r="ABA210" s="6"/>
      <c r="ABB210" s="6"/>
      <c r="ABC210" s="6"/>
      <c r="ABD210" s="6"/>
      <c r="ABE210" s="6"/>
      <c r="ABF210" s="6"/>
      <c r="ABG210" s="6"/>
      <c r="ABH210" s="6"/>
      <c r="ABI210" s="6"/>
      <c r="ABJ210" s="6"/>
      <c r="ABK210" s="6"/>
      <c r="ABL210" s="6"/>
      <c r="ABM210" s="6"/>
      <c r="ABN210" s="6"/>
      <c r="ABO210" s="6"/>
      <c r="ABP210" s="6"/>
      <c r="ABQ210" s="6"/>
      <c r="ABR210" s="6"/>
      <c r="ABS210" s="6"/>
      <c r="ABT210" s="6"/>
      <c r="ABU210" s="6"/>
      <c r="ABV210" s="6"/>
      <c r="ABW210" s="6"/>
      <c r="ABX210" s="6"/>
      <c r="ABY210" s="6"/>
      <c r="ABZ210" s="6"/>
      <c r="ACA210" s="6"/>
      <c r="ACB210" s="6"/>
      <c r="ACC210" s="6"/>
      <c r="ACD210" s="6"/>
      <c r="ACE210" s="6"/>
      <c r="ACF210" s="6"/>
      <c r="ACG210" s="6"/>
      <c r="ACH210" s="6"/>
      <c r="ACI210" s="6"/>
      <c r="ACJ210" s="6"/>
      <c r="ACK210" s="6"/>
      <c r="ACL210" s="6"/>
      <c r="ACM210" s="6"/>
      <c r="ACN210" s="6"/>
      <c r="ACO210" s="6"/>
      <c r="ACP210" s="6"/>
      <c r="ACQ210" s="6"/>
      <c r="ACR210" s="6"/>
      <c r="ACS210" s="6"/>
      <c r="ACT210" s="6"/>
      <c r="ACU210" s="6"/>
      <c r="ACV210" s="6"/>
      <c r="ACW210" s="6"/>
      <c r="ACX210" s="6"/>
      <c r="ACY210" s="6"/>
      <c r="ACZ210" s="6"/>
      <c r="ADA210" s="6"/>
      <c r="ADB210" s="6"/>
      <c r="ADC210" s="6"/>
      <c r="ADD210" s="6"/>
      <c r="ADE210" s="6"/>
      <c r="ADF210" s="6"/>
      <c r="ADG210" s="6"/>
      <c r="ADH210" s="6"/>
      <c r="ADI210" s="6"/>
      <c r="ADJ210" s="6"/>
      <c r="ADK210" s="6"/>
      <c r="ADL210" s="6"/>
      <c r="ADM210" s="6"/>
      <c r="ADN210" s="6"/>
      <c r="ADO210" s="6"/>
      <c r="ADP210" s="6"/>
      <c r="ADQ210" s="6"/>
      <c r="ADR210" s="6"/>
      <c r="ADS210" s="6"/>
      <c r="ADT210" s="6"/>
      <c r="ADU210" s="6"/>
      <c r="ADV210" s="6"/>
      <c r="ADW210" s="6"/>
      <c r="ADX210" s="6"/>
      <c r="ADY210" s="6"/>
      <c r="ADZ210" s="6"/>
      <c r="AEA210" s="6"/>
      <c r="AEB210" s="6"/>
      <c r="AEC210" s="6"/>
      <c r="AED210" s="6"/>
      <c r="AEE210" s="6"/>
      <c r="AEF210" s="6"/>
      <c r="AEG210" s="6"/>
      <c r="AEH210" s="6"/>
      <c r="AEI210" s="6"/>
      <c r="AEJ210" s="6"/>
      <c r="AEK210" s="6"/>
      <c r="AEL210" s="6"/>
      <c r="AEM210" s="6"/>
      <c r="AEN210" s="6"/>
      <c r="AEO210" s="6"/>
      <c r="AEP210" s="6"/>
      <c r="AEQ210" s="6"/>
      <c r="AER210" s="6"/>
      <c r="AES210" s="6"/>
      <c r="AET210" s="6"/>
      <c r="AEU210" s="6"/>
      <c r="AEV210" s="6"/>
      <c r="AEW210" s="6"/>
      <c r="AEX210" s="6"/>
      <c r="AEY210" s="6"/>
      <c r="AEZ210" s="6"/>
      <c r="AFA210" s="6"/>
      <c r="AFB210" s="6"/>
      <c r="AFC210" s="6"/>
      <c r="AFD210" s="6"/>
      <c r="AFE210" s="6"/>
      <c r="AFF210" s="6"/>
      <c r="AFG210" s="6"/>
      <c r="AFH210" s="6"/>
      <c r="AFI210" s="6"/>
      <c r="AFJ210" s="6"/>
      <c r="AFK210" s="6"/>
      <c r="AFL210" s="6"/>
      <c r="AFM210" s="6"/>
      <c r="AFN210" s="6"/>
      <c r="AFO210" s="6"/>
      <c r="AFP210" s="6"/>
      <c r="AFQ210" s="6"/>
      <c r="AFR210" s="6"/>
      <c r="AFS210" s="6"/>
      <c r="AFT210" s="6"/>
      <c r="AFU210" s="6"/>
      <c r="AFV210" s="6"/>
      <c r="AFW210" s="6"/>
      <c r="AFX210" s="6"/>
      <c r="AFY210" s="6"/>
      <c r="AFZ210" s="6"/>
      <c r="AGA210" s="6"/>
      <c r="AGB210" s="6"/>
      <c r="AGC210" s="6"/>
      <c r="AGD210" s="6"/>
      <c r="AGE210" s="6"/>
      <c r="AGF210" s="6"/>
      <c r="AGG210" s="6"/>
      <c r="AGH210" s="6"/>
      <c r="AGI210" s="6"/>
      <c r="AGJ210" s="6"/>
      <c r="AGK210" s="6"/>
      <c r="AGL210" s="6"/>
      <c r="AGM210" s="6"/>
      <c r="AGN210" s="6"/>
      <c r="AGO210" s="6"/>
      <c r="AGP210" s="6"/>
      <c r="AGQ210" s="6"/>
      <c r="AGR210" s="6"/>
      <c r="AGS210" s="6"/>
      <c r="AGT210" s="6"/>
      <c r="AGU210" s="6"/>
      <c r="AGV210" s="6"/>
      <c r="AGW210" s="6"/>
      <c r="AGX210" s="6"/>
      <c r="AGY210" s="6"/>
      <c r="AGZ210" s="6"/>
      <c r="AHA210" s="6"/>
      <c r="AHB210" s="6"/>
      <c r="AHC210" s="6"/>
      <c r="AHD210" s="6"/>
      <c r="AHE210" s="6"/>
      <c r="AHF210" s="6"/>
      <c r="AHG210" s="6"/>
      <c r="AHH210" s="6"/>
      <c r="AHI210" s="6"/>
      <c r="AHJ210" s="6"/>
      <c r="AHK210" s="6"/>
      <c r="AHL210" s="6"/>
      <c r="AHM210" s="6"/>
      <c r="AHN210" s="6"/>
      <c r="AHO210" s="6"/>
      <c r="AHP210" s="6"/>
      <c r="AHQ210" s="6"/>
      <c r="AHR210" s="6"/>
      <c r="AHS210" s="6"/>
      <c r="AHT210" s="6"/>
      <c r="AHU210" s="6"/>
      <c r="AHV210" s="6"/>
      <c r="AHW210" s="6"/>
      <c r="AHX210" s="6"/>
      <c r="AHY210" s="6"/>
      <c r="AHZ210" s="6"/>
      <c r="AIA210" s="6"/>
      <c r="AIB210" s="6"/>
      <c r="AIC210" s="6"/>
      <c r="AID210" s="6"/>
      <c r="AIE210" s="6"/>
      <c r="AIF210" s="6"/>
      <c r="AIG210" s="6"/>
      <c r="AIH210" s="6"/>
      <c r="AII210" s="6"/>
      <c r="AIJ210" s="6"/>
      <c r="AIK210" s="6"/>
      <c r="AIL210" s="6"/>
      <c r="AIM210" s="6"/>
      <c r="AIN210" s="6"/>
      <c r="AIO210" s="6"/>
      <c r="AIP210" s="6"/>
      <c r="AIQ210" s="6"/>
      <c r="AIR210" s="6"/>
      <c r="AIS210" s="6"/>
      <c r="AIT210" s="6"/>
      <c r="AIU210" s="6"/>
      <c r="AIV210" s="6"/>
      <c r="AIW210" s="6"/>
      <c r="AIX210" s="6"/>
      <c r="AIY210" s="6"/>
      <c r="AIZ210" s="6"/>
      <c r="AJA210" s="6"/>
      <c r="AJB210" s="6"/>
      <c r="AJC210" s="6"/>
      <c r="AJD210" s="6"/>
      <c r="AJE210" s="6"/>
      <c r="AJF210" s="6"/>
      <c r="AJG210" s="6"/>
      <c r="AJH210" s="6"/>
      <c r="AJI210" s="6"/>
      <c r="AJJ210" s="6"/>
      <c r="AJK210" s="6"/>
      <c r="AJL210" s="6"/>
      <c r="AJM210" s="6"/>
      <c r="AJN210" s="6"/>
      <c r="AJO210" s="6"/>
      <c r="AJP210" s="6"/>
      <c r="AJQ210" s="6"/>
      <c r="AJR210" s="6"/>
      <c r="AJS210" s="6"/>
      <c r="AJT210" s="6"/>
      <c r="AJU210" s="6"/>
      <c r="AJV210" s="6"/>
      <c r="AJW210" s="6"/>
      <c r="AJX210" s="6"/>
      <c r="AJY210" s="6"/>
      <c r="AJZ210" s="6"/>
      <c r="AKA210" s="6"/>
      <c r="AKB210" s="6"/>
      <c r="AKC210" s="6"/>
      <c r="AKD210" s="6"/>
      <c r="AKE210" s="6"/>
      <c r="AKF210" s="6"/>
      <c r="AKG210" s="6"/>
      <c r="AKH210" s="6"/>
      <c r="AKI210" s="6"/>
      <c r="AKJ210" s="6"/>
      <c r="AKK210" s="6"/>
      <c r="AKL210" s="6"/>
      <c r="AKM210" s="6"/>
      <c r="AKN210" s="6"/>
      <c r="AKO210" s="6"/>
      <c r="AKP210" s="6"/>
      <c r="AKQ210" s="6"/>
      <c r="AKR210" s="6"/>
      <c r="AKS210" s="6"/>
      <c r="AKT210" s="6"/>
      <c r="AKU210" s="6"/>
      <c r="AKV210" s="6"/>
      <c r="AKW210" s="6"/>
      <c r="AKX210" s="6"/>
      <c r="AKY210" s="6"/>
      <c r="AKZ210" s="6"/>
      <c r="ALA210" s="6"/>
      <c r="ALB210" s="6"/>
      <c r="ALC210" s="6"/>
      <c r="ALD210" s="6"/>
      <c r="ALE210" s="6"/>
      <c r="ALF210" s="6"/>
      <c r="ALG210" s="6"/>
      <c r="ALH210" s="6"/>
      <c r="ALI210" s="6"/>
      <c r="ALJ210" s="6"/>
      <c r="ALK210" s="6"/>
      <c r="ALL210" s="6"/>
      <c r="ALM210" s="6"/>
      <c r="ALN210" s="6"/>
      <c r="ALO210" s="6"/>
      <c r="ALP210" s="6"/>
      <c r="ALQ210" s="6"/>
      <c r="ALR210" s="6"/>
      <c r="ALS210" s="6"/>
      <c r="ALT210" s="6"/>
      <c r="ALU210" s="6"/>
      <c r="ALV210" s="6"/>
      <c r="ALW210" s="6"/>
      <c r="ALX210" s="6"/>
      <c r="ALY210" s="6"/>
      <c r="ALZ210" s="6"/>
      <c r="AMA210" s="6"/>
      <c r="AMB210" s="6"/>
      <c r="AMC210" s="6"/>
      <c r="AMD210" s="6"/>
      <c r="AME210" s="6"/>
      <c r="AMF210" s="6"/>
      <c r="AMG210" s="6"/>
      <c r="AMH210" s="6"/>
      <c r="AMI210" s="6"/>
      <c r="AMJ210" s="6"/>
      <c r="AMK210" s="6"/>
      <c r="AML210" s="6"/>
      <c r="AMM210" s="6"/>
      <c r="AMN210" s="6"/>
      <c r="AMO210" s="6"/>
      <c r="AMP210" s="6"/>
    </row>
    <row r="211" spans="1:1030" x14ac:dyDescent="0.2">
      <c r="A211" s="3" t="str">
        <f t="shared" si="669"/>
        <v>opsd_bovin_3DQB</v>
      </c>
      <c r="B211" s="3" t="s">
        <v>920</v>
      </c>
      <c r="C211" s="3" t="s">
        <v>54</v>
      </c>
      <c r="D211" s="3" t="str">
        <f>IFERROR(MID(VLOOKUP($B211,Seqs!$A:$B,2,0),E211,1),"")</f>
        <v>E</v>
      </c>
      <c r="E211" s="105">
        <v>33</v>
      </c>
      <c r="F211" s="3" t="str">
        <f>IFERROR(MID(VLOOKUP($B211,Seqs!$A:$B,2,0),G211,1),"")</f>
        <v>H</v>
      </c>
      <c r="G211" s="3">
        <v>65</v>
      </c>
      <c r="H211" s="3" t="str">
        <f>IFERROR(MID(VLOOKUP($B211,Seqs!$A:$B,2,0),I211,1),"")</f>
        <v>K</v>
      </c>
      <c r="I211" s="23">
        <v>66</v>
      </c>
      <c r="J211" s="3" t="str">
        <f>IFERROR(MID(VLOOKUP($B211,Seqs!$A:$B,2,0),K211,1),"")</f>
        <v>R</v>
      </c>
      <c r="K211" s="23">
        <v>69</v>
      </c>
      <c r="L211" s="3" t="str">
        <f>IFERROR(MID(VLOOKUP($B211,Seqs!$A:$B,2,0),M211,1),"")</f>
        <v>T</v>
      </c>
      <c r="M211" s="3">
        <v>70</v>
      </c>
      <c r="N211" s="3" t="str">
        <f>IFERROR(MID(VLOOKUP($B211,Seqs!$A:$B,2,0),O211,1),"")</f>
        <v>H</v>
      </c>
      <c r="O211" s="3">
        <v>100</v>
      </c>
      <c r="P211" s="3" t="str">
        <f>IFERROR(MID(VLOOKUP($B211,Seqs!$A:$B,2,0),Q211,1),"")</f>
        <v>Y</v>
      </c>
      <c r="Q211" s="3">
        <v>102</v>
      </c>
      <c r="R211" s="3" t="str">
        <f>IFERROR(MID(VLOOKUP($B211,Seqs!$A:$B,2,0),S211,1),"")</f>
        <v>F</v>
      </c>
      <c r="S211" s="3">
        <v>105</v>
      </c>
      <c r="T211" s="3" t="str">
        <f>IFERROR(MID(VLOOKUP($B211,Seqs!$A:$B,2,0),U211,1),"")</f>
        <v>G</v>
      </c>
      <c r="U211" s="3">
        <v>106</v>
      </c>
      <c r="V211" s="3" t="str">
        <f>IFERROR(MID(VLOOKUP($B211,Seqs!$A:$B,2,0),W211,1),"")</f>
        <v>K</v>
      </c>
      <c r="W211" s="3">
        <v>141</v>
      </c>
      <c r="X211" s="3" t="str">
        <f>IFERROR(MID(VLOOKUP($B211,Seqs!$A:$B,2,0),Y211,1),"")</f>
        <v/>
      </c>
      <c r="Y211" s="3" t="s">
        <v>23</v>
      </c>
      <c r="Z211" s="3" t="str">
        <f>IFERROR(MID(VLOOKUP($B211,Seqs!$A:$B,2,0),AA211,1),"")</f>
        <v/>
      </c>
      <c r="AA211" s="3" t="s">
        <v>23</v>
      </c>
      <c r="AB211" s="3" t="str">
        <f>IFERROR(MID(VLOOKUP($B211,Seqs!$A:$B,2,0),AC211,1),"")</f>
        <v>G</v>
      </c>
      <c r="AC211" s="9">
        <v>149</v>
      </c>
      <c r="AD211" s="3" t="str">
        <f>IFERROR(MID(VLOOKUP($B211,Seqs!$A:$B,2,0),AE211,1),"")</f>
        <v>V</v>
      </c>
      <c r="AE211" s="3">
        <v>173</v>
      </c>
      <c r="AF211" s="3" t="str">
        <f>IFERROR(MID(VLOOKUP($B211,Seqs!$A:$B,2,0),AG211,1),"")</f>
        <v>C</v>
      </c>
      <c r="AG211" s="3">
        <v>187</v>
      </c>
      <c r="AH211" s="3" t="str">
        <f>IFERROR(MID(VLOOKUP($B211,Seqs!$A:$B,2,0),AI211,1),"")</f>
        <v>I</v>
      </c>
      <c r="AI211" s="3">
        <v>189</v>
      </c>
      <c r="AJ211" s="3" t="str">
        <f>IFERROR(MID(VLOOKUP($B211,Seqs!$A:$B,2,0),AK211,1),"")</f>
        <v>N</v>
      </c>
      <c r="AK211" s="3">
        <v>199</v>
      </c>
      <c r="AL211" s="3" t="str">
        <f>IFERROR(MID(VLOOKUP($B211,Seqs!$A:$B,2,0),AM211,1),"")</f>
        <v>Q</v>
      </c>
      <c r="AM211" s="3">
        <v>237</v>
      </c>
      <c r="AN211" s="3" t="str">
        <f>IFERROR(MID(VLOOKUP($B211,Seqs!$A:$B,2,0),AO211,1),"")</f>
        <v>A</v>
      </c>
      <c r="AO211" s="3">
        <v>241</v>
      </c>
      <c r="AP211" s="3" t="str">
        <f>IFERROR(MID(VLOOKUP($B211,Seqs!$A:$B,2,0),AQ211,1),"")</f>
        <v>H</v>
      </c>
      <c r="AQ211" s="3">
        <v>278</v>
      </c>
      <c r="AR211" s="3" t="str">
        <f>IFERROR(MID(VLOOKUP($B211,Seqs!$A:$B,2,0),AS211,1),"")</f>
        <v>G</v>
      </c>
      <c r="AS211" s="3">
        <v>284</v>
      </c>
      <c r="AT211" s="3" t="str">
        <f>IFERROR(MID(VLOOKUP($B211,Seqs!$A:$B,2,0),AU211,1),"")</f>
        <v>M</v>
      </c>
      <c r="AU211" s="3">
        <v>309</v>
      </c>
      <c r="AV211" s="3" t="str">
        <f>IFERROR(MID(VLOOKUP($B211,Seqs!$A:$B,2,0),AW211,1),"")</f>
        <v>N</v>
      </c>
      <c r="AW211" s="3">
        <v>310</v>
      </c>
      <c r="AX211" s="3" t="str">
        <f>IFERROR(MID(VLOOKUP($B211,Seqs!$A:$B,2,0),AY211,1),"")</f>
        <v>C</v>
      </c>
      <c r="AY211" s="3">
        <v>322</v>
      </c>
      <c r="AZ211" s="77" t="str">
        <f>VLOOKUP(B211,Classification!A:D,2,0)</f>
        <v>A</v>
      </c>
      <c r="BA211" s="94" t="str">
        <f>VLOOKUP(B211,Classification!A:D,4,0)</f>
        <v>Opsins</v>
      </c>
      <c r="BB211" s="27" t="b">
        <f t="shared" si="670"/>
        <v>1</v>
      </c>
      <c r="BC211" s="23">
        <f>_xlfn.AGGREGATE(9,6,CH211:CS211)-_xlfn.AGGREGATE(9,6,BV211:CG211)+12</f>
        <v>253</v>
      </c>
      <c r="BD211" s="74" t="s">
        <v>23</v>
      </c>
      <c r="BE211" s="3" t="s">
        <v>1297</v>
      </c>
      <c r="BF211" s="119">
        <v>3.2</v>
      </c>
      <c r="BG211" s="49" t="s">
        <v>1384</v>
      </c>
      <c r="BH211" s="49" t="s">
        <v>1384</v>
      </c>
      <c r="BI211" s="1"/>
      <c r="BJ211" s="70" t="s">
        <v>1293</v>
      </c>
      <c r="BK211" s="57" t="s">
        <v>1293</v>
      </c>
      <c r="BL211" s="57" t="s">
        <v>1293</v>
      </c>
      <c r="BM211" s="57" t="s">
        <v>1293</v>
      </c>
      <c r="BN211" s="57" t="s">
        <v>1293</v>
      </c>
      <c r="BO211" s="57" t="s">
        <v>1293</v>
      </c>
      <c r="BP211" s="57" t="s">
        <v>1293</v>
      </c>
      <c r="BQ211" s="57" t="s">
        <v>1293</v>
      </c>
      <c r="BR211" s="57" t="s">
        <v>1293</v>
      </c>
      <c r="BS211" s="57" t="s">
        <v>1293</v>
      </c>
      <c r="BT211" s="57" t="s">
        <v>1293</v>
      </c>
      <c r="BU211" s="57" t="s">
        <v>1293</v>
      </c>
      <c r="BV211" s="70">
        <f>E211</f>
        <v>33</v>
      </c>
      <c r="BW211" s="71">
        <f>I211</f>
        <v>66</v>
      </c>
      <c r="BX211" s="72">
        <f>M211</f>
        <v>70</v>
      </c>
      <c r="BY211" s="71">
        <f>Q211</f>
        <v>102</v>
      </c>
      <c r="BZ211" s="72">
        <f>U211</f>
        <v>106</v>
      </c>
      <c r="CA211" s="71" t="str">
        <f>Y211</f>
        <v>-</v>
      </c>
      <c r="CB211" s="72">
        <f>AC211</f>
        <v>149</v>
      </c>
      <c r="CC211" s="71">
        <f>AG211</f>
        <v>187</v>
      </c>
      <c r="CD211" s="72">
        <f>AK211</f>
        <v>199</v>
      </c>
      <c r="CE211" s="71">
        <f>AO211</f>
        <v>241</v>
      </c>
      <c r="CF211" s="72">
        <f>AS211</f>
        <v>284</v>
      </c>
      <c r="CG211" s="71">
        <f>AW211</f>
        <v>310</v>
      </c>
      <c r="CH211" s="70">
        <f>G211</f>
        <v>65</v>
      </c>
      <c r="CI211" s="71">
        <f>K211</f>
        <v>69</v>
      </c>
      <c r="CJ211" s="72">
        <f>O211</f>
        <v>100</v>
      </c>
      <c r="CK211" s="72">
        <f>S211</f>
        <v>105</v>
      </c>
      <c r="CL211" s="72">
        <f>W211</f>
        <v>141</v>
      </c>
      <c r="CM211" s="72" t="str">
        <f>AA211</f>
        <v>-</v>
      </c>
      <c r="CN211" s="72">
        <f>AE211</f>
        <v>173</v>
      </c>
      <c r="CO211" s="72">
        <f>AI211</f>
        <v>189</v>
      </c>
      <c r="CP211" s="72">
        <f>AM211</f>
        <v>237</v>
      </c>
      <c r="CQ211" s="72">
        <f>AQ211</f>
        <v>278</v>
      </c>
      <c r="CR211" s="72">
        <f>AU211</f>
        <v>309</v>
      </c>
      <c r="CS211" s="72">
        <f>AY211</f>
        <v>322</v>
      </c>
      <c r="CT211" s="23">
        <f>M211-K211</f>
        <v>1</v>
      </c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  <c r="OK211" s="1"/>
      <c r="OL211" s="1"/>
      <c r="OM211" s="1"/>
      <c r="ON211" s="1"/>
      <c r="OO211" s="1"/>
      <c r="OP211" s="1"/>
      <c r="OQ211" s="1"/>
      <c r="OR211" s="1"/>
      <c r="OS211" s="1"/>
      <c r="OT211" s="1"/>
      <c r="OU211" s="1"/>
      <c r="OV211" s="1"/>
      <c r="OW211" s="1"/>
      <c r="OX211" s="1"/>
      <c r="OY211" s="1"/>
      <c r="OZ211" s="1"/>
      <c r="PA211" s="1"/>
      <c r="PB211" s="1"/>
      <c r="PC211" s="1"/>
      <c r="PD211" s="1"/>
      <c r="PE211" s="1"/>
      <c r="PF211" s="1"/>
      <c r="PG211" s="1"/>
      <c r="PH211" s="1"/>
      <c r="PI211" s="1"/>
      <c r="PJ211" s="1"/>
      <c r="PK211" s="1"/>
      <c r="PL211" s="1"/>
      <c r="PM211" s="1"/>
      <c r="PN211" s="1"/>
      <c r="PO211" s="1"/>
      <c r="PP211" s="1"/>
      <c r="PQ211" s="1"/>
      <c r="PR211" s="1"/>
      <c r="PS211" s="1"/>
      <c r="PT211" s="1"/>
      <c r="PU211" s="1"/>
      <c r="PV211" s="1"/>
      <c r="PW211" s="1"/>
      <c r="PX211" s="1"/>
      <c r="PY211" s="1"/>
      <c r="PZ211" s="1"/>
      <c r="QA211" s="1"/>
      <c r="QB211" s="1"/>
      <c r="QC211" s="1"/>
      <c r="QD211" s="1"/>
      <c r="QE211" s="1"/>
      <c r="QF211" s="1"/>
      <c r="QG211" s="1"/>
      <c r="QH211" s="1"/>
      <c r="QI211" s="1"/>
      <c r="QJ211" s="1"/>
      <c r="QK211" s="1"/>
      <c r="QL211" s="1"/>
      <c r="QM211" s="1"/>
      <c r="QN211" s="1"/>
      <c r="QO211" s="1"/>
      <c r="QP211" s="1"/>
      <c r="QQ211" s="1"/>
      <c r="QR211" s="1"/>
      <c r="QS211" s="1"/>
      <c r="QT211" s="1"/>
      <c r="QU211" s="1"/>
      <c r="QV211" s="1"/>
      <c r="QW211" s="1"/>
      <c r="QX211" s="1"/>
      <c r="QY211" s="1"/>
      <c r="QZ211" s="1"/>
      <c r="RA211" s="1"/>
      <c r="RB211" s="1"/>
      <c r="RC211" s="1"/>
      <c r="RD211" s="1"/>
      <c r="RE211" s="1"/>
      <c r="RF211" s="1"/>
      <c r="RG211" s="1"/>
      <c r="RH211" s="1"/>
      <c r="RI211" s="1"/>
      <c r="RJ211" s="1"/>
      <c r="RK211" s="1"/>
      <c r="RL211" s="1"/>
      <c r="RM211" s="1"/>
      <c r="RN211" s="1"/>
      <c r="RO211" s="1"/>
      <c r="RP211" s="1"/>
      <c r="RQ211" s="1"/>
      <c r="RR211" s="1"/>
      <c r="RS211" s="1"/>
      <c r="RT211" s="1"/>
      <c r="RU211" s="1"/>
      <c r="RV211" s="1"/>
      <c r="RW211" s="1"/>
      <c r="RX211" s="1"/>
      <c r="RY211" s="1"/>
      <c r="RZ211" s="1"/>
      <c r="SA211" s="1"/>
      <c r="SB211" s="1"/>
      <c r="SC211" s="1"/>
      <c r="SD211" s="1"/>
      <c r="SE211" s="1"/>
      <c r="SF211" s="1"/>
      <c r="SG211" s="1"/>
      <c r="SH211" s="1"/>
      <c r="SI211" s="1"/>
      <c r="SJ211" s="1"/>
      <c r="SK211" s="1"/>
      <c r="SL211" s="1"/>
      <c r="SM211" s="1"/>
      <c r="SN211" s="1"/>
      <c r="SO211" s="1"/>
      <c r="SP211" s="1"/>
      <c r="SQ211" s="1"/>
      <c r="SR211" s="1"/>
      <c r="SS211" s="1"/>
      <c r="ST211" s="1"/>
      <c r="SU211" s="1"/>
      <c r="SV211" s="1"/>
      <c r="SW211" s="1"/>
      <c r="SX211" s="1"/>
      <c r="SY211" s="1"/>
      <c r="SZ211" s="1"/>
      <c r="TA211" s="1"/>
      <c r="TB211" s="1"/>
      <c r="TC211" s="1"/>
      <c r="TD211" s="1"/>
      <c r="TE211" s="1"/>
      <c r="TF211" s="1"/>
      <c r="TG211" s="1"/>
      <c r="TH211" s="1"/>
      <c r="TI211" s="1"/>
      <c r="TJ211" s="1"/>
      <c r="TK211" s="1"/>
      <c r="TL211" s="1"/>
      <c r="TM211" s="1"/>
      <c r="TN211" s="1"/>
      <c r="TO211" s="1"/>
      <c r="TP211" s="1"/>
      <c r="TQ211" s="1"/>
      <c r="TR211" s="1"/>
      <c r="TS211" s="1"/>
      <c r="TT211" s="1"/>
      <c r="TU211" s="1"/>
      <c r="TV211" s="1"/>
      <c r="TW211" s="1"/>
      <c r="TX211" s="1"/>
      <c r="TY211" s="1"/>
      <c r="TZ211" s="1"/>
      <c r="UA211" s="1"/>
      <c r="UB211" s="1"/>
      <c r="UC211" s="1"/>
      <c r="UD211" s="1"/>
      <c r="UE211" s="1"/>
      <c r="UF211" s="1"/>
      <c r="UG211" s="1"/>
      <c r="UH211" s="1"/>
      <c r="UI211" s="1"/>
      <c r="UJ211" s="1"/>
      <c r="UK211" s="1"/>
      <c r="UL211" s="1"/>
      <c r="UM211" s="1"/>
      <c r="UN211" s="1"/>
      <c r="UO211" s="1"/>
      <c r="UP211" s="1"/>
      <c r="UQ211" s="1"/>
      <c r="UR211" s="1"/>
      <c r="US211" s="1"/>
      <c r="UT211" s="1"/>
      <c r="UU211" s="1"/>
      <c r="UV211" s="1"/>
      <c r="UW211" s="1"/>
      <c r="UX211" s="1"/>
      <c r="UY211" s="1"/>
      <c r="UZ211" s="1"/>
      <c r="VA211" s="1"/>
      <c r="VB211" s="1"/>
      <c r="VC211" s="1"/>
      <c r="VD211" s="1"/>
      <c r="VE211" s="1"/>
      <c r="VF211" s="1"/>
      <c r="VG211" s="1"/>
      <c r="VH211" s="1"/>
      <c r="VI211" s="1"/>
      <c r="VJ211" s="1"/>
      <c r="VK211" s="1"/>
      <c r="VL211" s="1"/>
      <c r="VM211" s="1"/>
      <c r="VN211" s="1"/>
      <c r="VO211" s="1"/>
      <c r="VP211" s="1"/>
      <c r="VQ211" s="1"/>
      <c r="VR211" s="1"/>
      <c r="VS211" s="1"/>
      <c r="VT211" s="1"/>
      <c r="VU211" s="1"/>
      <c r="VV211" s="1"/>
      <c r="VW211" s="1"/>
      <c r="VX211" s="1"/>
      <c r="VY211" s="1"/>
      <c r="VZ211" s="1"/>
      <c r="WA211" s="1"/>
      <c r="WB211" s="1"/>
      <c r="WC211" s="1"/>
      <c r="WD211" s="1"/>
      <c r="WE211" s="1"/>
      <c r="WF211" s="1"/>
      <c r="WG211" s="1"/>
      <c r="WH211" s="1"/>
      <c r="WI211" s="1"/>
      <c r="WJ211" s="1"/>
      <c r="WK211" s="1"/>
      <c r="WL211" s="1"/>
      <c r="WM211" s="1"/>
      <c r="WN211" s="1"/>
      <c r="WO211" s="1"/>
      <c r="WP211" s="1"/>
      <c r="WQ211" s="1"/>
      <c r="WR211" s="1"/>
      <c r="WS211" s="1"/>
      <c r="WT211" s="1"/>
      <c r="WU211" s="1"/>
      <c r="WV211" s="1"/>
      <c r="WW211" s="1"/>
      <c r="WX211" s="1"/>
      <c r="WY211" s="1"/>
      <c r="WZ211" s="1"/>
      <c r="XA211" s="1"/>
      <c r="XB211" s="1"/>
      <c r="XC211" s="1"/>
      <c r="XD211" s="1"/>
      <c r="XE211" s="1"/>
      <c r="XF211" s="1"/>
      <c r="XG211" s="1"/>
      <c r="XH211" s="1"/>
      <c r="XI211" s="1"/>
      <c r="XJ211" s="1"/>
      <c r="XK211" s="1"/>
      <c r="XL211" s="1"/>
      <c r="XM211" s="1"/>
      <c r="XN211" s="1"/>
      <c r="XO211" s="1"/>
      <c r="XP211" s="1"/>
      <c r="XQ211" s="1"/>
      <c r="XR211" s="1"/>
      <c r="XS211" s="1"/>
      <c r="XT211" s="1"/>
      <c r="XU211" s="1"/>
      <c r="XV211" s="1"/>
      <c r="XW211" s="1"/>
      <c r="XX211" s="1"/>
      <c r="XY211" s="1"/>
      <c r="XZ211" s="1"/>
      <c r="YA211" s="1"/>
      <c r="YB211" s="1"/>
      <c r="YC211" s="1"/>
      <c r="YD211" s="1"/>
      <c r="YE211" s="1"/>
      <c r="YF211" s="1"/>
      <c r="YG211" s="1"/>
      <c r="YH211" s="1"/>
      <c r="YI211" s="1"/>
      <c r="YJ211" s="1"/>
      <c r="YK211" s="1"/>
      <c r="YL211" s="1"/>
      <c r="YM211" s="1"/>
      <c r="YN211" s="1"/>
      <c r="YO211" s="1"/>
      <c r="YP211" s="1"/>
      <c r="YQ211" s="1"/>
      <c r="YR211" s="1"/>
      <c r="YS211" s="1"/>
      <c r="YT211" s="1"/>
      <c r="YU211" s="1"/>
      <c r="YV211" s="1"/>
      <c r="YW211" s="1"/>
      <c r="YX211" s="1"/>
      <c r="YY211" s="1"/>
      <c r="YZ211" s="1"/>
      <c r="ZA211" s="1"/>
      <c r="ZB211" s="1"/>
      <c r="ZC211" s="1"/>
      <c r="ZD211" s="1"/>
      <c r="ZE211" s="1"/>
      <c r="ZF211" s="1"/>
      <c r="ZG211" s="1"/>
      <c r="ZH211" s="1"/>
      <c r="ZI211" s="1"/>
      <c r="ZJ211" s="1"/>
      <c r="ZK211" s="1"/>
      <c r="ZL211" s="1"/>
      <c r="ZM211" s="1"/>
      <c r="ZN211" s="1"/>
      <c r="ZO211" s="1"/>
      <c r="ZP211" s="1"/>
      <c r="ZQ211" s="1"/>
      <c r="ZR211" s="1"/>
      <c r="ZS211" s="1"/>
      <c r="ZT211" s="1"/>
      <c r="ZU211" s="1"/>
      <c r="ZV211" s="1"/>
      <c r="ZW211" s="1"/>
      <c r="ZX211" s="1"/>
      <c r="ZY211" s="1"/>
      <c r="ZZ211" s="1"/>
      <c r="AAA211" s="1"/>
      <c r="AAB211" s="1"/>
      <c r="AAC211" s="1"/>
      <c r="AAD211" s="1"/>
      <c r="AAE211" s="1"/>
      <c r="AAF211" s="1"/>
      <c r="AAG211" s="1"/>
      <c r="AAH211" s="1"/>
      <c r="AAI211" s="1"/>
      <c r="AAJ211" s="1"/>
      <c r="AAK211" s="1"/>
      <c r="AAL211" s="1"/>
      <c r="AAM211" s="1"/>
      <c r="AAN211" s="1"/>
      <c r="AAO211" s="1"/>
      <c r="AAP211" s="1"/>
      <c r="AAQ211" s="1"/>
      <c r="AAR211" s="1"/>
      <c r="AAS211" s="1"/>
      <c r="AAT211" s="1"/>
      <c r="AAU211" s="1"/>
      <c r="AAV211" s="1"/>
      <c r="AAW211" s="1"/>
      <c r="AAX211" s="1"/>
      <c r="AAY211" s="1"/>
      <c r="AAZ211" s="1"/>
      <c r="ABA211" s="1"/>
      <c r="ABB211" s="1"/>
      <c r="ABC211" s="1"/>
      <c r="ABD211" s="1"/>
      <c r="ABE211" s="1"/>
      <c r="ABF211" s="1"/>
      <c r="ABG211" s="1"/>
      <c r="ABH211" s="1"/>
      <c r="ABI211" s="1"/>
      <c r="ABJ211" s="1"/>
      <c r="ABK211" s="1"/>
      <c r="ABL211" s="1"/>
      <c r="ABM211" s="1"/>
      <c r="ABN211" s="1"/>
      <c r="ABO211" s="1"/>
      <c r="ABP211" s="1"/>
      <c r="ABQ211" s="1"/>
      <c r="ABR211" s="1"/>
      <c r="ABS211" s="1"/>
      <c r="ABT211" s="1"/>
      <c r="ABU211" s="1"/>
      <c r="ABV211" s="1"/>
      <c r="ABW211" s="1"/>
      <c r="ABX211" s="1"/>
      <c r="ABY211" s="1"/>
      <c r="ABZ211" s="1"/>
      <c r="ACA211" s="1"/>
      <c r="ACB211" s="1"/>
      <c r="ACC211" s="1"/>
      <c r="ACD211" s="1"/>
      <c r="ACE211" s="1"/>
      <c r="ACF211" s="1"/>
      <c r="ACG211" s="1"/>
      <c r="ACH211" s="1"/>
      <c r="ACI211" s="1"/>
      <c r="ACJ211" s="1"/>
      <c r="ACK211" s="1"/>
      <c r="ACL211" s="1"/>
      <c r="ACM211" s="1"/>
      <c r="ACN211" s="1"/>
      <c r="ACO211" s="1"/>
      <c r="ACP211" s="1"/>
      <c r="ACQ211" s="1"/>
      <c r="ACR211" s="1"/>
      <c r="ACS211" s="1"/>
      <c r="ACT211" s="1"/>
      <c r="ACU211" s="1"/>
      <c r="ACV211" s="1"/>
      <c r="ACW211" s="1"/>
      <c r="ACX211" s="1"/>
      <c r="ACY211" s="1"/>
      <c r="ACZ211" s="1"/>
      <c r="ADA211" s="1"/>
      <c r="ADB211" s="1"/>
      <c r="ADC211" s="1"/>
      <c r="ADD211" s="1"/>
      <c r="ADE211" s="1"/>
      <c r="ADF211" s="1"/>
      <c r="ADG211" s="1"/>
      <c r="ADH211" s="1"/>
      <c r="ADI211" s="1"/>
      <c r="ADJ211" s="1"/>
      <c r="ADK211" s="1"/>
      <c r="ADL211" s="1"/>
      <c r="ADM211" s="1"/>
      <c r="ADN211" s="1"/>
      <c r="ADO211" s="1"/>
      <c r="ADP211" s="1"/>
      <c r="ADQ211" s="1"/>
      <c r="ADR211" s="1"/>
      <c r="ADS211" s="1"/>
      <c r="ADT211" s="1"/>
      <c r="ADU211" s="1"/>
      <c r="ADV211" s="1"/>
      <c r="ADW211" s="1"/>
      <c r="ADX211" s="1"/>
      <c r="ADY211" s="1"/>
      <c r="ADZ211" s="1"/>
      <c r="AEA211" s="1"/>
      <c r="AEB211" s="1"/>
      <c r="AEC211" s="1"/>
      <c r="AED211" s="1"/>
      <c r="AEE211" s="1"/>
      <c r="AEF211" s="1"/>
      <c r="AEG211" s="1"/>
      <c r="AEH211" s="1"/>
      <c r="AEI211" s="1"/>
      <c r="AEJ211" s="1"/>
      <c r="AEK211" s="1"/>
      <c r="AEL211" s="1"/>
      <c r="AEM211" s="1"/>
      <c r="AEN211" s="1"/>
      <c r="AEO211" s="1"/>
      <c r="AEP211" s="1"/>
      <c r="AEQ211" s="1"/>
      <c r="AER211" s="1"/>
      <c r="AES211" s="1"/>
      <c r="AET211" s="1"/>
      <c r="AEU211" s="1"/>
      <c r="AEV211" s="1"/>
      <c r="AEW211" s="1"/>
      <c r="AEX211" s="1"/>
      <c r="AEY211" s="1"/>
      <c r="AEZ211" s="1"/>
      <c r="AFA211" s="1"/>
      <c r="AFB211" s="1"/>
      <c r="AFC211" s="1"/>
      <c r="AFD211" s="1"/>
      <c r="AFE211" s="1"/>
      <c r="AFF211" s="1"/>
      <c r="AFG211" s="1"/>
      <c r="AFH211" s="1"/>
      <c r="AFI211" s="1"/>
      <c r="AFJ211" s="1"/>
      <c r="AFK211" s="1"/>
      <c r="AFL211" s="1"/>
      <c r="AFM211" s="1"/>
      <c r="AFN211" s="1"/>
      <c r="AFO211" s="1"/>
      <c r="AFP211" s="1"/>
      <c r="AFQ211" s="1"/>
      <c r="AFR211" s="1"/>
      <c r="AFS211" s="1"/>
      <c r="AFT211" s="1"/>
      <c r="AFU211" s="1"/>
      <c r="AFV211" s="1"/>
      <c r="AFW211" s="1"/>
      <c r="AFX211" s="1"/>
      <c r="AFY211" s="1"/>
      <c r="AFZ211" s="1"/>
      <c r="AGA211" s="1"/>
      <c r="AGB211" s="1"/>
      <c r="AGC211" s="1"/>
      <c r="AGD211" s="1"/>
      <c r="AGE211" s="1"/>
      <c r="AGF211" s="1"/>
      <c r="AGG211" s="1"/>
      <c r="AGH211" s="1"/>
      <c r="AGI211" s="1"/>
      <c r="AGJ211" s="1"/>
      <c r="AGK211" s="1"/>
      <c r="AGL211" s="1"/>
      <c r="AGM211" s="1"/>
      <c r="AGN211" s="1"/>
      <c r="AGO211" s="1"/>
      <c r="AGP211" s="1"/>
      <c r="AGQ211" s="1"/>
      <c r="AGR211" s="1"/>
      <c r="AGS211" s="1"/>
      <c r="AGT211" s="1"/>
      <c r="AGU211" s="1"/>
      <c r="AGV211" s="1"/>
      <c r="AGW211" s="1"/>
      <c r="AGX211" s="1"/>
      <c r="AGY211" s="1"/>
      <c r="AGZ211" s="1"/>
      <c r="AHA211" s="1"/>
      <c r="AHB211" s="1"/>
      <c r="AHC211" s="1"/>
      <c r="AHD211" s="1"/>
      <c r="AHE211" s="1"/>
      <c r="AHF211" s="1"/>
      <c r="AHG211" s="1"/>
      <c r="AHH211" s="1"/>
      <c r="AHI211" s="1"/>
      <c r="AHJ211" s="1"/>
      <c r="AHK211" s="1"/>
      <c r="AHL211" s="1"/>
      <c r="AHM211" s="1"/>
      <c r="AHN211" s="1"/>
      <c r="AHO211" s="1"/>
      <c r="AHP211" s="1"/>
      <c r="AHQ211" s="1"/>
      <c r="AHR211" s="1"/>
      <c r="AHS211" s="1"/>
      <c r="AHT211" s="1"/>
      <c r="AHU211" s="1"/>
      <c r="AHV211" s="1"/>
      <c r="AHW211" s="1"/>
      <c r="AHX211" s="1"/>
      <c r="AHY211" s="1"/>
      <c r="AHZ211" s="1"/>
      <c r="AIA211" s="1"/>
      <c r="AIB211" s="1"/>
      <c r="AIC211" s="1"/>
      <c r="AID211" s="1"/>
      <c r="AIE211" s="1"/>
      <c r="AIF211" s="1"/>
      <c r="AIG211" s="1"/>
      <c r="AIH211" s="1"/>
      <c r="AII211" s="1"/>
      <c r="AIJ211" s="1"/>
      <c r="AIK211" s="1"/>
      <c r="AIL211" s="1"/>
      <c r="AIM211" s="1"/>
      <c r="AIN211" s="1"/>
      <c r="AIO211" s="1"/>
      <c r="AIP211" s="1"/>
      <c r="AIQ211" s="1"/>
      <c r="AIR211" s="1"/>
      <c r="AIS211" s="1"/>
      <c r="AIT211" s="1"/>
      <c r="AIU211" s="1"/>
      <c r="AIV211" s="1"/>
      <c r="AIW211" s="1"/>
      <c r="AIX211" s="1"/>
      <c r="AIY211" s="1"/>
      <c r="AIZ211" s="1"/>
      <c r="AJA211" s="1"/>
      <c r="AJB211" s="1"/>
      <c r="AJC211" s="1"/>
      <c r="AJD211" s="1"/>
      <c r="AJE211" s="1"/>
      <c r="AJF211" s="1"/>
      <c r="AJG211" s="1"/>
      <c r="AJH211" s="1"/>
      <c r="AJI211" s="1"/>
      <c r="AJJ211" s="1"/>
      <c r="AJK211" s="1"/>
      <c r="AJL211" s="1"/>
      <c r="AJM211" s="1"/>
      <c r="AJN211" s="1"/>
      <c r="AJO211" s="1"/>
      <c r="AJP211" s="1"/>
      <c r="AJQ211" s="1"/>
      <c r="AJR211" s="1"/>
      <c r="AJS211" s="1"/>
      <c r="AJT211" s="1"/>
      <c r="AJU211" s="1"/>
      <c r="AJV211" s="1"/>
      <c r="AJW211" s="1"/>
      <c r="AJX211" s="1"/>
      <c r="AJY211" s="1"/>
      <c r="AJZ211" s="1"/>
      <c r="AKA211" s="1"/>
      <c r="AKB211" s="1"/>
      <c r="AKC211" s="1"/>
      <c r="AKD211" s="1"/>
      <c r="AKE211" s="1"/>
      <c r="AKF211" s="1"/>
      <c r="AKG211" s="1"/>
      <c r="AKH211" s="1"/>
      <c r="AKI211" s="1"/>
      <c r="AKJ211" s="1"/>
      <c r="AKK211" s="1"/>
      <c r="AKL211" s="1"/>
      <c r="AKM211" s="1"/>
      <c r="AKN211" s="1"/>
      <c r="AKO211" s="1"/>
      <c r="AKP211" s="1"/>
      <c r="AKQ211" s="1"/>
      <c r="AKR211" s="1"/>
      <c r="AKS211" s="1"/>
      <c r="AKT211" s="1"/>
      <c r="AKU211" s="1"/>
      <c r="AKV211" s="1"/>
      <c r="AKW211" s="1"/>
      <c r="AKX211" s="1"/>
      <c r="AKY211" s="1"/>
      <c r="AKZ211" s="1"/>
      <c r="ALA211" s="1"/>
      <c r="ALB211" s="1"/>
      <c r="ALC211" s="1"/>
      <c r="ALD211" s="1"/>
      <c r="ALE211" s="1"/>
      <c r="ALF211" s="1"/>
      <c r="ALG211" s="1"/>
      <c r="ALH211" s="1"/>
      <c r="ALI211" s="1"/>
      <c r="ALJ211" s="1"/>
      <c r="ALK211" s="1"/>
      <c r="ALL211" s="1"/>
      <c r="ALM211" s="1"/>
      <c r="ALN211" s="1"/>
      <c r="ALO211" s="1"/>
      <c r="ALP211" s="1"/>
      <c r="ALQ211" s="1"/>
      <c r="ALR211" s="1"/>
      <c r="ALS211" s="1"/>
      <c r="ALT211" s="1"/>
      <c r="ALU211" s="1"/>
      <c r="ALV211" s="1"/>
      <c r="ALW211" s="1"/>
      <c r="ALX211" s="1"/>
      <c r="ALY211" s="1"/>
      <c r="ALZ211" s="1"/>
      <c r="AMA211" s="1"/>
      <c r="AMB211" s="1"/>
      <c r="AMC211" s="1"/>
      <c r="AMD211" s="1"/>
      <c r="AME211" s="1"/>
      <c r="AMF211" s="1"/>
      <c r="AMG211" s="1"/>
      <c r="AMH211" s="1"/>
      <c r="AMI211" s="1"/>
      <c r="AMJ211" s="1"/>
      <c r="AMK211" s="1"/>
      <c r="AML211" s="1"/>
      <c r="AMM211" s="1"/>
      <c r="AMN211" s="1"/>
      <c r="AMO211" s="1"/>
    </row>
    <row r="212" spans="1:1030" x14ac:dyDescent="0.2">
      <c r="A212" s="3" t="str">
        <f t="shared" si="669"/>
        <v>opsd_bovin_3PQR</v>
      </c>
      <c r="B212" s="3" t="s">
        <v>920</v>
      </c>
      <c r="C212" s="3" t="s">
        <v>1033</v>
      </c>
      <c r="D212" s="3" t="str">
        <f>IFERROR(MID(VLOOKUP($B212,Seqs!$A:$B,2,0),E212,1),"")</f>
        <v>E</v>
      </c>
      <c r="E212" s="105">
        <v>33</v>
      </c>
      <c r="F212" s="3" t="str">
        <f>IFERROR(MID(VLOOKUP($B212,Seqs!$A:$B,2,0),G212,1),"")</f>
        <v>H</v>
      </c>
      <c r="G212" s="3">
        <v>65</v>
      </c>
      <c r="H212" s="3" t="str">
        <f>IFERROR(MID(VLOOKUP($B212,Seqs!$A:$B,2,0),I212,1),"")</f>
        <v>K</v>
      </c>
      <c r="I212" s="23">
        <v>66</v>
      </c>
      <c r="J212" s="3" t="str">
        <f>IFERROR(MID(VLOOKUP($B212,Seqs!$A:$B,2,0),K212,1),"")</f>
        <v>R</v>
      </c>
      <c r="K212" s="23">
        <v>69</v>
      </c>
      <c r="L212" s="3" t="str">
        <f>IFERROR(MID(VLOOKUP($B212,Seqs!$A:$B,2,0),M212,1),"")</f>
        <v>T</v>
      </c>
      <c r="M212" s="3">
        <v>70</v>
      </c>
      <c r="N212" s="3" t="str">
        <f>IFERROR(MID(VLOOKUP($B212,Seqs!$A:$B,2,0),O212,1),"")</f>
        <v>H</v>
      </c>
      <c r="O212" s="3">
        <v>100</v>
      </c>
      <c r="P212" s="3" t="str">
        <f>IFERROR(MID(VLOOKUP($B212,Seqs!$A:$B,2,0),Q212,1),"")</f>
        <v>Y</v>
      </c>
      <c r="Q212" s="3">
        <v>102</v>
      </c>
      <c r="R212" s="3" t="str">
        <f>IFERROR(MID(VLOOKUP($B212,Seqs!$A:$B,2,0),S212,1),"")</f>
        <v>F</v>
      </c>
      <c r="S212" s="3">
        <v>105</v>
      </c>
      <c r="T212" s="3" t="str">
        <f>IFERROR(MID(VLOOKUP($B212,Seqs!$A:$B,2,0),U212,1),"")</f>
        <v>G</v>
      </c>
      <c r="U212" s="3">
        <v>106</v>
      </c>
      <c r="V212" s="3" t="str">
        <f>IFERROR(MID(VLOOKUP($B212,Seqs!$A:$B,2,0),W212,1),"")</f>
        <v>K</v>
      </c>
      <c r="W212" s="3">
        <v>141</v>
      </c>
      <c r="X212" s="3" t="str">
        <f>IFERROR(MID(VLOOKUP($B212,Seqs!$A:$B,2,0),Y212,1),"")</f>
        <v/>
      </c>
      <c r="Y212" s="3" t="s">
        <v>23</v>
      </c>
      <c r="Z212" s="3" t="str">
        <f>IFERROR(MID(VLOOKUP($B212,Seqs!$A:$B,2,0),AA212,1),"")</f>
        <v/>
      </c>
      <c r="AA212" s="3" t="s">
        <v>23</v>
      </c>
      <c r="AB212" s="3" t="str">
        <f>IFERROR(MID(VLOOKUP($B212,Seqs!$A:$B,2,0),AC212,1),"")</f>
        <v>G</v>
      </c>
      <c r="AC212" s="9">
        <v>149</v>
      </c>
      <c r="AD212" s="3" t="str">
        <f>IFERROR(MID(VLOOKUP($B212,Seqs!$A:$B,2,0),AE212,1),"")</f>
        <v>V</v>
      </c>
      <c r="AE212" s="3">
        <v>173</v>
      </c>
      <c r="AF212" s="3" t="str">
        <f>IFERROR(MID(VLOOKUP($B212,Seqs!$A:$B,2,0),AG212,1),"")</f>
        <v>C</v>
      </c>
      <c r="AG212" s="3">
        <v>187</v>
      </c>
      <c r="AH212" s="3" t="str">
        <f>IFERROR(MID(VLOOKUP($B212,Seqs!$A:$B,2,0),AI212,1),"")</f>
        <v>I</v>
      </c>
      <c r="AI212" s="3">
        <v>189</v>
      </c>
      <c r="AJ212" s="3" t="str">
        <f>IFERROR(MID(VLOOKUP($B212,Seqs!$A:$B,2,0),AK212,1),"")</f>
        <v>N</v>
      </c>
      <c r="AK212" s="3">
        <v>199</v>
      </c>
      <c r="AL212" s="3" t="str">
        <f>IFERROR(MID(VLOOKUP($B212,Seqs!$A:$B,2,0),AM212,1),"")</f>
        <v>Q</v>
      </c>
      <c r="AM212" s="3">
        <v>237</v>
      </c>
      <c r="AN212" s="3" t="str">
        <f>IFERROR(MID(VLOOKUP($B212,Seqs!$A:$B,2,0),AO212,1),"")</f>
        <v>A</v>
      </c>
      <c r="AO212" s="3">
        <v>241</v>
      </c>
      <c r="AP212" s="3" t="str">
        <f>IFERROR(MID(VLOOKUP($B212,Seqs!$A:$B,2,0),AQ212,1),"")</f>
        <v>H</v>
      </c>
      <c r="AQ212" s="3">
        <v>278</v>
      </c>
      <c r="AR212" s="3" t="str">
        <f>IFERROR(MID(VLOOKUP($B212,Seqs!$A:$B,2,0),AS212,1),"")</f>
        <v>G</v>
      </c>
      <c r="AS212" s="3">
        <v>284</v>
      </c>
      <c r="AT212" s="3" t="str">
        <f>IFERROR(MID(VLOOKUP($B212,Seqs!$A:$B,2,0),AU212,1),"")</f>
        <v>M</v>
      </c>
      <c r="AU212" s="3">
        <v>309</v>
      </c>
      <c r="AV212" s="3" t="str">
        <f>IFERROR(MID(VLOOKUP($B212,Seqs!$A:$B,2,0),AW212,1),"")</f>
        <v>N</v>
      </c>
      <c r="AW212" s="3">
        <v>310</v>
      </c>
      <c r="AX212" s="3" t="str">
        <f>IFERROR(MID(VLOOKUP($B212,Seqs!$A:$B,2,0),AY212,1),"")</f>
        <v>C</v>
      </c>
      <c r="AY212" s="3">
        <v>322</v>
      </c>
      <c r="AZ212" s="77" t="str">
        <f>VLOOKUP(B212,Classification!A:D,2,0)</f>
        <v>A</v>
      </c>
      <c r="BA212" s="94" t="str">
        <f>VLOOKUP(B212,Classification!A:D,4,0)</f>
        <v>Opsins</v>
      </c>
      <c r="BB212" s="27" t="b">
        <f t="shared" si="670"/>
        <v>1</v>
      </c>
      <c r="BC212" s="23">
        <f>_xlfn.AGGREGATE(9,6,CH212:CS212)-_xlfn.AGGREGATE(9,6,BV212:CG212)+12</f>
        <v>253</v>
      </c>
      <c r="BD212" s="4" t="s">
        <v>23</v>
      </c>
      <c r="BE212" s="3" t="s">
        <v>1297</v>
      </c>
      <c r="BF212" s="119">
        <v>2.85</v>
      </c>
      <c r="BG212" s="49" t="s">
        <v>1384</v>
      </c>
      <c r="BH212" s="49" t="s">
        <v>1384</v>
      </c>
      <c r="BI212" s="1"/>
      <c r="BJ212" s="70" t="s">
        <v>1293</v>
      </c>
      <c r="BK212" s="57" t="s">
        <v>1293</v>
      </c>
      <c r="BL212" s="57" t="s">
        <v>1293</v>
      </c>
      <c r="BM212" s="57" t="s">
        <v>1293</v>
      </c>
      <c r="BN212" s="57" t="s">
        <v>1293</v>
      </c>
      <c r="BO212" s="57" t="s">
        <v>1293</v>
      </c>
      <c r="BP212" s="57" t="s">
        <v>1293</v>
      </c>
      <c r="BQ212" s="57" t="s">
        <v>1293</v>
      </c>
      <c r="BR212" s="57" t="s">
        <v>1293</v>
      </c>
      <c r="BS212" s="57" t="s">
        <v>1293</v>
      </c>
      <c r="BT212" s="57" t="s">
        <v>1293</v>
      </c>
      <c r="BU212" s="57" t="s">
        <v>1293</v>
      </c>
      <c r="BV212" s="70">
        <f>E212</f>
        <v>33</v>
      </c>
      <c r="BW212" s="71">
        <f>I212</f>
        <v>66</v>
      </c>
      <c r="BX212" s="72">
        <f>M212</f>
        <v>70</v>
      </c>
      <c r="BY212" s="71">
        <f>Q212</f>
        <v>102</v>
      </c>
      <c r="BZ212" s="72">
        <f>U212</f>
        <v>106</v>
      </c>
      <c r="CA212" s="71" t="str">
        <f>Y212</f>
        <v>-</v>
      </c>
      <c r="CB212" s="72">
        <f>AC212</f>
        <v>149</v>
      </c>
      <c r="CC212" s="71">
        <f>AG212</f>
        <v>187</v>
      </c>
      <c r="CD212" s="72">
        <f>AK212</f>
        <v>199</v>
      </c>
      <c r="CE212" s="71">
        <f>AO212</f>
        <v>241</v>
      </c>
      <c r="CF212" s="72">
        <f>AS212</f>
        <v>284</v>
      </c>
      <c r="CG212" s="71">
        <f>AW212</f>
        <v>310</v>
      </c>
      <c r="CH212" s="70">
        <f>G212</f>
        <v>65</v>
      </c>
      <c r="CI212" s="71">
        <f>K212</f>
        <v>69</v>
      </c>
      <c r="CJ212" s="72">
        <f>O212</f>
        <v>100</v>
      </c>
      <c r="CK212" s="72">
        <f>S212</f>
        <v>105</v>
      </c>
      <c r="CL212" s="72">
        <f>W212</f>
        <v>141</v>
      </c>
      <c r="CM212" s="72" t="str">
        <f>AA212</f>
        <v>-</v>
      </c>
      <c r="CN212" s="72">
        <f>AE212</f>
        <v>173</v>
      </c>
      <c r="CO212" s="72">
        <f>AI212</f>
        <v>189</v>
      </c>
      <c r="CP212" s="72">
        <f>AM212</f>
        <v>237</v>
      </c>
      <c r="CQ212" s="72">
        <f>AQ212</f>
        <v>278</v>
      </c>
      <c r="CR212" s="72">
        <f>AU212</f>
        <v>309</v>
      </c>
      <c r="CS212" s="72">
        <f>AY212</f>
        <v>322</v>
      </c>
      <c r="CT212" s="23">
        <f>M212-K212</f>
        <v>1</v>
      </c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  <c r="OK212" s="1"/>
      <c r="OL212" s="1"/>
      <c r="OM212" s="1"/>
      <c r="ON212" s="1"/>
      <c r="OO212" s="1"/>
      <c r="OP212" s="1"/>
      <c r="OQ212" s="1"/>
      <c r="OR212" s="1"/>
      <c r="OS212" s="1"/>
      <c r="OT212" s="1"/>
      <c r="OU212" s="1"/>
      <c r="OV212" s="1"/>
      <c r="OW212" s="1"/>
      <c r="OX212" s="1"/>
      <c r="OY212" s="1"/>
      <c r="OZ212" s="1"/>
      <c r="PA212" s="1"/>
      <c r="PB212" s="1"/>
      <c r="PC212" s="1"/>
      <c r="PD212" s="1"/>
      <c r="PE212" s="1"/>
      <c r="PF212" s="1"/>
      <c r="PG212" s="1"/>
      <c r="PH212" s="1"/>
      <c r="PI212" s="1"/>
      <c r="PJ212" s="1"/>
      <c r="PK212" s="1"/>
      <c r="PL212" s="1"/>
      <c r="PM212" s="1"/>
      <c r="PN212" s="1"/>
      <c r="PO212" s="1"/>
      <c r="PP212" s="1"/>
      <c r="PQ212" s="1"/>
      <c r="PR212" s="1"/>
      <c r="PS212" s="1"/>
      <c r="PT212" s="1"/>
      <c r="PU212" s="1"/>
      <c r="PV212" s="1"/>
      <c r="PW212" s="1"/>
      <c r="PX212" s="1"/>
      <c r="PY212" s="1"/>
      <c r="PZ212" s="1"/>
      <c r="QA212" s="1"/>
      <c r="QB212" s="1"/>
      <c r="QC212" s="1"/>
      <c r="QD212" s="1"/>
      <c r="QE212" s="1"/>
      <c r="QF212" s="1"/>
      <c r="QG212" s="1"/>
      <c r="QH212" s="1"/>
      <c r="QI212" s="1"/>
      <c r="QJ212" s="1"/>
      <c r="QK212" s="1"/>
      <c r="QL212" s="1"/>
      <c r="QM212" s="1"/>
      <c r="QN212" s="1"/>
      <c r="QO212" s="1"/>
      <c r="QP212" s="1"/>
      <c r="QQ212" s="1"/>
      <c r="QR212" s="1"/>
      <c r="QS212" s="1"/>
      <c r="QT212" s="1"/>
      <c r="QU212" s="1"/>
      <c r="QV212" s="1"/>
      <c r="QW212" s="1"/>
      <c r="QX212" s="1"/>
      <c r="QY212" s="1"/>
      <c r="QZ212" s="1"/>
      <c r="RA212" s="1"/>
      <c r="RB212" s="1"/>
      <c r="RC212" s="1"/>
      <c r="RD212" s="1"/>
      <c r="RE212" s="1"/>
      <c r="RF212" s="1"/>
      <c r="RG212" s="1"/>
      <c r="RH212" s="1"/>
      <c r="RI212" s="1"/>
      <c r="RJ212" s="1"/>
      <c r="RK212" s="1"/>
      <c r="RL212" s="1"/>
      <c r="RM212" s="1"/>
      <c r="RN212" s="1"/>
      <c r="RO212" s="1"/>
      <c r="RP212" s="1"/>
      <c r="RQ212" s="1"/>
      <c r="RR212" s="1"/>
      <c r="RS212" s="1"/>
      <c r="RT212" s="1"/>
      <c r="RU212" s="1"/>
      <c r="RV212" s="1"/>
      <c r="RW212" s="1"/>
      <c r="RX212" s="1"/>
      <c r="RY212" s="1"/>
      <c r="RZ212" s="1"/>
      <c r="SA212" s="1"/>
      <c r="SB212" s="1"/>
      <c r="SC212" s="1"/>
      <c r="SD212" s="1"/>
      <c r="SE212" s="1"/>
      <c r="SF212" s="1"/>
      <c r="SG212" s="1"/>
      <c r="SH212" s="1"/>
      <c r="SI212" s="1"/>
      <c r="SJ212" s="1"/>
      <c r="SK212" s="1"/>
      <c r="SL212" s="1"/>
      <c r="SM212" s="1"/>
      <c r="SN212" s="1"/>
      <c r="SO212" s="1"/>
      <c r="SP212" s="1"/>
      <c r="SQ212" s="1"/>
      <c r="SR212" s="1"/>
      <c r="SS212" s="1"/>
      <c r="ST212" s="1"/>
      <c r="SU212" s="1"/>
      <c r="SV212" s="1"/>
      <c r="SW212" s="1"/>
      <c r="SX212" s="1"/>
      <c r="SY212" s="1"/>
      <c r="SZ212" s="1"/>
      <c r="TA212" s="1"/>
      <c r="TB212" s="1"/>
      <c r="TC212" s="1"/>
      <c r="TD212" s="1"/>
      <c r="TE212" s="1"/>
      <c r="TF212" s="1"/>
      <c r="TG212" s="1"/>
      <c r="TH212" s="1"/>
      <c r="TI212" s="1"/>
      <c r="TJ212" s="1"/>
      <c r="TK212" s="1"/>
      <c r="TL212" s="1"/>
      <c r="TM212" s="1"/>
      <c r="TN212" s="1"/>
      <c r="TO212" s="1"/>
      <c r="TP212" s="1"/>
      <c r="TQ212" s="1"/>
      <c r="TR212" s="1"/>
      <c r="TS212" s="1"/>
      <c r="TT212" s="1"/>
      <c r="TU212" s="1"/>
      <c r="TV212" s="1"/>
      <c r="TW212" s="1"/>
      <c r="TX212" s="1"/>
      <c r="TY212" s="1"/>
      <c r="TZ212" s="1"/>
      <c r="UA212" s="1"/>
      <c r="UB212" s="1"/>
      <c r="UC212" s="1"/>
      <c r="UD212" s="1"/>
      <c r="UE212" s="1"/>
      <c r="UF212" s="1"/>
      <c r="UG212" s="1"/>
      <c r="UH212" s="1"/>
      <c r="UI212" s="1"/>
      <c r="UJ212" s="1"/>
      <c r="UK212" s="1"/>
      <c r="UL212" s="1"/>
      <c r="UM212" s="1"/>
      <c r="UN212" s="1"/>
      <c r="UO212" s="1"/>
      <c r="UP212" s="1"/>
      <c r="UQ212" s="1"/>
      <c r="UR212" s="1"/>
      <c r="US212" s="1"/>
      <c r="UT212" s="1"/>
      <c r="UU212" s="1"/>
      <c r="UV212" s="1"/>
      <c r="UW212" s="1"/>
      <c r="UX212" s="1"/>
      <c r="UY212" s="1"/>
      <c r="UZ212" s="1"/>
      <c r="VA212" s="1"/>
      <c r="VB212" s="1"/>
      <c r="VC212" s="1"/>
      <c r="VD212" s="1"/>
      <c r="VE212" s="1"/>
      <c r="VF212" s="1"/>
      <c r="VG212" s="1"/>
      <c r="VH212" s="1"/>
      <c r="VI212" s="1"/>
      <c r="VJ212" s="1"/>
      <c r="VK212" s="1"/>
      <c r="VL212" s="1"/>
      <c r="VM212" s="1"/>
      <c r="VN212" s="1"/>
      <c r="VO212" s="1"/>
      <c r="VP212" s="1"/>
      <c r="VQ212" s="1"/>
      <c r="VR212" s="1"/>
      <c r="VS212" s="1"/>
      <c r="VT212" s="1"/>
      <c r="VU212" s="1"/>
      <c r="VV212" s="1"/>
      <c r="VW212" s="1"/>
      <c r="VX212" s="1"/>
      <c r="VY212" s="1"/>
      <c r="VZ212" s="1"/>
      <c r="WA212" s="1"/>
      <c r="WB212" s="1"/>
      <c r="WC212" s="1"/>
      <c r="WD212" s="1"/>
      <c r="WE212" s="1"/>
      <c r="WF212" s="1"/>
      <c r="WG212" s="1"/>
      <c r="WH212" s="1"/>
      <c r="WI212" s="1"/>
      <c r="WJ212" s="1"/>
      <c r="WK212" s="1"/>
      <c r="WL212" s="1"/>
      <c r="WM212" s="1"/>
      <c r="WN212" s="1"/>
      <c r="WO212" s="1"/>
      <c r="WP212" s="1"/>
      <c r="WQ212" s="1"/>
      <c r="WR212" s="1"/>
      <c r="WS212" s="1"/>
      <c r="WT212" s="1"/>
      <c r="WU212" s="1"/>
      <c r="WV212" s="1"/>
      <c r="WW212" s="1"/>
      <c r="WX212" s="1"/>
      <c r="WY212" s="1"/>
      <c r="WZ212" s="1"/>
      <c r="XA212" s="1"/>
      <c r="XB212" s="1"/>
      <c r="XC212" s="1"/>
      <c r="XD212" s="1"/>
      <c r="XE212" s="1"/>
      <c r="XF212" s="1"/>
      <c r="XG212" s="1"/>
      <c r="XH212" s="1"/>
      <c r="XI212" s="1"/>
      <c r="XJ212" s="1"/>
      <c r="XK212" s="1"/>
      <c r="XL212" s="1"/>
      <c r="XM212" s="1"/>
      <c r="XN212" s="1"/>
      <c r="XO212" s="1"/>
      <c r="XP212" s="1"/>
      <c r="XQ212" s="1"/>
      <c r="XR212" s="1"/>
      <c r="XS212" s="1"/>
      <c r="XT212" s="1"/>
      <c r="XU212" s="1"/>
      <c r="XV212" s="1"/>
      <c r="XW212" s="1"/>
      <c r="XX212" s="1"/>
      <c r="XY212" s="1"/>
      <c r="XZ212" s="1"/>
      <c r="YA212" s="1"/>
      <c r="YB212" s="1"/>
      <c r="YC212" s="1"/>
      <c r="YD212" s="1"/>
      <c r="YE212" s="1"/>
      <c r="YF212" s="1"/>
      <c r="YG212" s="1"/>
      <c r="YH212" s="1"/>
      <c r="YI212" s="1"/>
      <c r="YJ212" s="1"/>
      <c r="YK212" s="1"/>
      <c r="YL212" s="1"/>
      <c r="YM212" s="1"/>
      <c r="YN212" s="1"/>
      <c r="YO212" s="1"/>
      <c r="YP212" s="1"/>
      <c r="YQ212" s="1"/>
      <c r="YR212" s="1"/>
      <c r="YS212" s="1"/>
      <c r="YT212" s="1"/>
      <c r="YU212" s="1"/>
      <c r="YV212" s="1"/>
      <c r="YW212" s="1"/>
      <c r="YX212" s="1"/>
      <c r="YY212" s="1"/>
      <c r="YZ212" s="1"/>
      <c r="ZA212" s="1"/>
      <c r="ZB212" s="1"/>
      <c r="ZC212" s="1"/>
      <c r="ZD212" s="1"/>
      <c r="ZE212" s="1"/>
      <c r="ZF212" s="1"/>
      <c r="ZG212" s="1"/>
      <c r="ZH212" s="1"/>
      <c r="ZI212" s="1"/>
      <c r="ZJ212" s="1"/>
      <c r="ZK212" s="1"/>
      <c r="ZL212" s="1"/>
      <c r="ZM212" s="1"/>
      <c r="ZN212" s="1"/>
      <c r="ZO212" s="1"/>
      <c r="ZP212" s="1"/>
      <c r="ZQ212" s="1"/>
      <c r="ZR212" s="1"/>
      <c r="ZS212" s="1"/>
      <c r="ZT212" s="1"/>
      <c r="ZU212" s="1"/>
      <c r="ZV212" s="1"/>
      <c r="ZW212" s="1"/>
      <c r="ZX212" s="1"/>
      <c r="ZY212" s="1"/>
      <c r="ZZ212" s="1"/>
      <c r="AAA212" s="1"/>
      <c r="AAB212" s="1"/>
      <c r="AAC212" s="1"/>
      <c r="AAD212" s="1"/>
      <c r="AAE212" s="1"/>
      <c r="AAF212" s="1"/>
      <c r="AAG212" s="1"/>
      <c r="AAH212" s="1"/>
      <c r="AAI212" s="1"/>
      <c r="AAJ212" s="1"/>
      <c r="AAK212" s="1"/>
      <c r="AAL212" s="1"/>
      <c r="AAM212" s="1"/>
      <c r="AAN212" s="1"/>
      <c r="AAO212" s="1"/>
      <c r="AAP212" s="1"/>
      <c r="AAQ212" s="1"/>
      <c r="AAR212" s="1"/>
      <c r="AAS212" s="1"/>
      <c r="AAT212" s="1"/>
      <c r="AAU212" s="1"/>
      <c r="AAV212" s="1"/>
      <c r="AAW212" s="1"/>
      <c r="AAX212" s="1"/>
      <c r="AAY212" s="1"/>
      <c r="AAZ212" s="1"/>
      <c r="ABA212" s="1"/>
      <c r="ABB212" s="1"/>
      <c r="ABC212" s="1"/>
      <c r="ABD212" s="1"/>
      <c r="ABE212" s="1"/>
      <c r="ABF212" s="1"/>
      <c r="ABG212" s="1"/>
      <c r="ABH212" s="1"/>
      <c r="ABI212" s="1"/>
      <c r="ABJ212" s="1"/>
      <c r="ABK212" s="1"/>
      <c r="ABL212" s="1"/>
      <c r="ABM212" s="1"/>
      <c r="ABN212" s="1"/>
      <c r="ABO212" s="1"/>
      <c r="ABP212" s="1"/>
      <c r="ABQ212" s="1"/>
      <c r="ABR212" s="1"/>
      <c r="ABS212" s="1"/>
      <c r="ABT212" s="1"/>
      <c r="ABU212" s="1"/>
      <c r="ABV212" s="1"/>
      <c r="ABW212" s="1"/>
      <c r="ABX212" s="1"/>
      <c r="ABY212" s="1"/>
      <c r="ABZ212" s="1"/>
      <c r="ACA212" s="1"/>
      <c r="ACB212" s="1"/>
      <c r="ACC212" s="1"/>
      <c r="ACD212" s="1"/>
      <c r="ACE212" s="1"/>
      <c r="ACF212" s="1"/>
      <c r="ACG212" s="1"/>
      <c r="ACH212" s="1"/>
      <c r="ACI212" s="1"/>
      <c r="ACJ212" s="1"/>
      <c r="ACK212" s="1"/>
      <c r="ACL212" s="1"/>
      <c r="ACM212" s="1"/>
      <c r="ACN212" s="1"/>
      <c r="ACO212" s="1"/>
      <c r="ACP212" s="1"/>
      <c r="ACQ212" s="1"/>
      <c r="ACR212" s="1"/>
      <c r="ACS212" s="1"/>
      <c r="ACT212" s="1"/>
      <c r="ACU212" s="1"/>
      <c r="ACV212" s="1"/>
      <c r="ACW212" s="1"/>
      <c r="ACX212" s="1"/>
      <c r="ACY212" s="1"/>
      <c r="ACZ212" s="1"/>
      <c r="ADA212" s="1"/>
      <c r="ADB212" s="1"/>
      <c r="ADC212" s="1"/>
      <c r="ADD212" s="1"/>
      <c r="ADE212" s="1"/>
      <c r="ADF212" s="1"/>
      <c r="ADG212" s="1"/>
      <c r="ADH212" s="1"/>
      <c r="ADI212" s="1"/>
      <c r="ADJ212" s="1"/>
      <c r="ADK212" s="1"/>
      <c r="ADL212" s="1"/>
      <c r="ADM212" s="1"/>
      <c r="ADN212" s="1"/>
      <c r="ADO212" s="1"/>
      <c r="ADP212" s="1"/>
      <c r="ADQ212" s="1"/>
      <c r="ADR212" s="1"/>
      <c r="ADS212" s="1"/>
      <c r="ADT212" s="1"/>
      <c r="ADU212" s="1"/>
      <c r="ADV212" s="1"/>
      <c r="ADW212" s="1"/>
      <c r="ADX212" s="1"/>
      <c r="ADY212" s="1"/>
      <c r="ADZ212" s="1"/>
      <c r="AEA212" s="1"/>
      <c r="AEB212" s="1"/>
      <c r="AEC212" s="1"/>
      <c r="AED212" s="1"/>
      <c r="AEE212" s="1"/>
      <c r="AEF212" s="1"/>
      <c r="AEG212" s="1"/>
      <c r="AEH212" s="1"/>
      <c r="AEI212" s="1"/>
      <c r="AEJ212" s="1"/>
      <c r="AEK212" s="1"/>
      <c r="AEL212" s="1"/>
      <c r="AEM212" s="1"/>
      <c r="AEN212" s="1"/>
      <c r="AEO212" s="1"/>
      <c r="AEP212" s="1"/>
      <c r="AEQ212" s="1"/>
      <c r="AER212" s="1"/>
      <c r="AES212" s="1"/>
      <c r="AET212" s="1"/>
      <c r="AEU212" s="1"/>
      <c r="AEV212" s="1"/>
      <c r="AEW212" s="1"/>
      <c r="AEX212" s="1"/>
      <c r="AEY212" s="1"/>
      <c r="AEZ212" s="1"/>
      <c r="AFA212" s="1"/>
      <c r="AFB212" s="1"/>
      <c r="AFC212" s="1"/>
      <c r="AFD212" s="1"/>
      <c r="AFE212" s="1"/>
      <c r="AFF212" s="1"/>
      <c r="AFG212" s="1"/>
      <c r="AFH212" s="1"/>
      <c r="AFI212" s="1"/>
      <c r="AFJ212" s="1"/>
      <c r="AFK212" s="1"/>
      <c r="AFL212" s="1"/>
      <c r="AFM212" s="1"/>
      <c r="AFN212" s="1"/>
      <c r="AFO212" s="1"/>
      <c r="AFP212" s="1"/>
      <c r="AFQ212" s="1"/>
      <c r="AFR212" s="1"/>
      <c r="AFS212" s="1"/>
      <c r="AFT212" s="1"/>
      <c r="AFU212" s="1"/>
      <c r="AFV212" s="1"/>
      <c r="AFW212" s="1"/>
      <c r="AFX212" s="1"/>
      <c r="AFY212" s="1"/>
      <c r="AFZ212" s="1"/>
      <c r="AGA212" s="1"/>
      <c r="AGB212" s="1"/>
      <c r="AGC212" s="1"/>
      <c r="AGD212" s="1"/>
      <c r="AGE212" s="1"/>
      <c r="AGF212" s="1"/>
      <c r="AGG212" s="1"/>
      <c r="AGH212" s="1"/>
      <c r="AGI212" s="1"/>
      <c r="AGJ212" s="1"/>
      <c r="AGK212" s="1"/>
      <c r="AGL212" s="1"/>
      <c r="AGM212" s="1"/>
      <c r="AGN212" s="1"/>
      <c r="AGO212" s="1"/>
      <c r="AGP212" s="1"/>
      <c r="AGQ212" s="1"/>
      <c r="AGR212" s="1"/>
      <c r="AGS212" s="1"/>
      <c r="AGT212" s="1"/>
      <c r="AGU212" s="1"/>
      <c r="AGV212" s="1"/>
      <c r="AGW212" s="1"/>
      <c r="AGX212" s="1"/>
      <c r="AGY212" s="1"/>
      <c r="AGZ212" s="1"/>
      <c r="AHA212" s="1"/>
      <c r="AHB212" s="1"/>
      <c r="AHC212" s="1"/>
      <c r="AHD212" s="1"/>
      <c r="AHE212" s="1"/>
      <c r="AHF212" s="1"/>
      <c r="AHG212" s="1"/>
      <c r="AHH212" s="1"/>
      <c r="AHI212" s="1"/>
      <c r="AHJ212" s="1"/>
      <c r="AHK212" s="1"/>
      <c r="AHL212" s="1"/>
      <c r="AHM212" s="1"/>
      <c r="AHN212" s="1"/>
      <c r="AHO212" s="1"/>
      <c r="AHP212" s="1"/>
      <c r="AHQ212" s="1"/>
      <c r="AHR212" s="1"/>
      <c r="AHS212" s="1"/>
      <c r="AHT212" s="1"/>
      <c r="AHU212" s="1"/>
      <c r="AHV212" s="1"/>
      <c r="AHW212" s="1"/>
      <c r="AHX212" s="1"/>
      <c r="AHY212" s="1"/>
      <c r="AHZ212" s="1"/>
      <c r="AIA212" s="1"/>
      <c r="AIB212" s="1"/>
      <c r="AIC212" s="1"/>
      <c r="AID212" s="1"/>
      <c r="AIE212" s="1"/>
      <c r="AIF212" s="1"/>
      <c r="AIG212" s="1"/>
      <c r="AIH212" s="1"/>
      <c r="AII212" s="1"/>
      <c r="AIJ212" s="1"/>
      <c r="AIK212" s="1"/>
      <c r="AIL212" s="1"/>
      <c r="AIM212" s="1"/>
      <c r="AIN212" s="1"/>
      <c r="AIO212" s="1"/>
      <c r="AIP212" s="1"/>
      <c r="AIQ212" s="1"/>
      <c r="AIR212" s="1"/>
      <c r="AIS212" s="1"/>
      <c r="AIT212" s="1"/>
      <c r="AIU212" s="1"/>
      <c r="AIV212" s="1"/>
      <c r="AIW212" s="1"/>
      <c r="AIX212" s="1"/>
      <c r="AIY212" s="1"/>
      <c r="AIZ212" s="1"/>
      <c r="AJA212" s="1"/>
      <c r="AJB212" s="1"/>
      <c r="AJC212" s="1"/>
      <c r="AJD212" s="1"/>
      <c r="AJE212" s="1"/>
      <c r="AJF212" s="1"/>
      <c r="AJG212" s="1"/>
      <c r="AJH212" s="1"/>
      <c r="AJI212" s="1"/>
      <c r="AJJ212" s="1"/>
      <c r="AJK212" s="1"/>
      <c r="AJL212" s="1"/>
      <c r="AJM212" s="1"/>
      <c r="AJN212" s="1"/>
      <c r="AJO212" s="1"/>
      <c r="AJP212" s="1"/>
      <c r="AJQ212" s="1"/>
      <c r="AJR212" s="1"/>
      <c r="AJS212" s="1"/>
      <c r="AJT212" s="1"/>
      <c r="AJU212" s="1"/>
      <c r="AJV212" s="1"/>
      <c r="AJW212" s="1"/>
      <c r="AJX212" s="1"/>
      <c r="AJY212" s="1"/>
      <c r="AJZ212" s="1"/>
      <c r="AKA212" s="1"/>
      <c r="AKB212" s="1"/>
      <c r="AKC212" s="1"/>
      <c r="AKD212" s="1"/>
      <c r="AKE212" s="1"/>
      <c r="AKF212" s="1"/>
      <c r="AKG212" s="1"/>
      <c r="AKH212" s="1"/>
      <c r="AKI212" s="1"/>
      <c r="AKJ212" s="1"/>
      <c r="AKK212" s="1"/>
      <c r="AKL212" s="1"/>
      <c r="AKM212" s="1"/>
      <c r="AKN212" s="1"/>
      <c r="AKO212" s="1"/>
      <c r="AKP212" s="1"/>
      <c r="AKQ212" s="1"/>
      <c r="AKR212" s="1"/>
      <c r="AKS212" s="1"/>
      <c r="AKT212" s="1"/>
      <c r="AKU212" s="1"/>
      <c r="AKV212" s="1"/>
      <c r="AKW212" s="1"/>
      <c r="AKX212" s="1"/>
      <c r="AKY212" s="1"/>
      <c r="AKZ212" s="1"/>
      <c r="ALA212" s="1"/>
      <c r="ALB212" s="1"/>
      <c r="ALC212" s="1"/>
      <c r="ALD212" s="1"/>
      <c r="ALE212" s="1"/>
      <c r="ALF212" s="1"/>
      <c r="ALG212" s="1"/>
      <c r="ALH212" s="1"/>
      <c r="ALI212" s="1"/>
      <c r="ALJ212" s="1"/>
      <c r="ALK212" s="1"/>
      <c r="ALL212" s="1"/>
      <c r="ALM212" s="1"/>
      <c r="ALN212" s="1"/>
      <c r="ALO212" s="1"/>
      <c r="ALP212" s="1"/>
      <c r="ALQ212" s="1"/>
      <c r="ALR212" s="1"/>
      <c r="ALS212" s="1"/>
      <c r="ALT212" s="1"/>
      <c r="ALU212" s="1"/>
      <c r="ALV212" s="1"/>
      <c r="ALW212" s="1"/>
      <c r="ALX212" s="1"/>
      <c r="ALY212" s="1"/>
      <c r="ALZ212" s="1"/>
      <c r="AMA212" s="1"/>
      <c r="AMB212" s="1"/>
      <c r="AMC212" s="1"/>
      <c r="AMD212" s="1"/>
      <c r="AME212" s="1"/>
      <c r="AMF212" s="1"/>
      <c r="AMG212" s="1"/>
      <c r="AMH212" s="1"/>
      <c r="AMI212" s="1"/>
      <c r="AMJ212" s="1"/>
      <c r="AMK212" s="1"/>
      <c r="AML212" s="1"/>
      <c r="AMM212" s="1"/>
      <c r="AMN212" s="1"/>
      <c r="AMO212" s="1"/>
    </row>
    <row r="213" spans="1:1030" x14ac:dyDescent="0.2">
      <c r="A213" s="3" t="str">
        <f t="shared" si="669"/>
        <v>opsd_bovin_4A4M</v>
      </c>
      <c r="B213" s="2" t="s">
        <v>920</v>
      </c>
      <c r="C213" s="3" t="s">
        <v>1377</v>
      </c>
      <c r="D213" s="3" t="str">
        <f>IFERROR(MID(VLOOKUP($B213,Seqs!$A:$B,2,0),E213,1),"")</f>
        <v>E</v>
      </c>
      <c r="E213" s="105">
        <v>33</v>
      </c>
      <c r="F213" s="3" t="str">
        <f>IFERROR(MID(VLOOKUP($B213,Seqs!$A:$B,2,0),G213,1),"")</f>
        <v>H</v>
      </c>
      <c r="G213" s="3">
        <v>65</v>
      </c>
      <c r="H213" s="3" t="str">
        <f>IFERROR(MID(VLOOKUP($B213,Seqs!$A:$B,2,0),I213,1),"")</f>
        <v>K</v>
      </c>
      <c r="I213" s="23">
        <v>66</v>
      </c>
      <c r="J213" s="3" t="str">
        <f>IFERROR(MID(VLOOKUP($B213,Seqs!$A:$B,2,0),K213,1),"")</f>
        <v>R</v>
      </c>
      <c r="K213" s="23">
        <v>69</v>
      </c>
      <c r="L213" s="3" t="str">
        <f>IFERROR(MID(VLOOKUP($B213,Seqs!$A:$B,2,0),M213,1),"")</f>
        <v>T</v>
      </c>
      <c r="M213" s="3">
        <v>70</v>
      </c>
      <c r="N213" s="3" t="str">
        <f>IFERROR(MID(VLOOKUP($B213,Seqs!$A:$B,2,0),O213,1),"")</f>
        <v>H</v>
      </c>
      <c r="O213" s="3">
        <v>100</v>
      </c>
      <c r="P213" s="3" t="str">
        <f>IFERROR(MID(VLOOKUP($B213,Seqs!$A:$B,2,0),Q213,1),"")</f>
        <v>Y</v>
      </c>
      <c r="Q213" s="3">
        <v>102</v>
      </c>
      <c r="R213" s="3" t="str">
        <f>IFERROR(MID(VLOOKUP($B213,Seqs!$A:$B,2,0),S213,1),"")</f>
        <v>F</v>
      </c>
      <c r="S213" s="3">
        <v>105</v>
      </c>
      <c r="T213" s="3" t="str">
        <f>IFERROR(MID(VLOOKUP($B213,Seqs!$A:$B,2,0),U213,1),"")</f>
        <v>G</v>
      </c>
      <c r="U213" s="3">
        <v>106</v>
      </c>
      <c r="V213" s="3" t="str">
        <f>IFERROR(MID(VLOOKUP($B213,Seqs!$A:$B,2,0),W213,1),"")</f>
        <v>K</v>
      </c>
      <c r="W213" s="3">
        <v>141</v>
      </c>
      <c r="X213" s="3" t="str">
        <f>IFERROR(MID(VLOOKUP($B213,Seqs!$A:$B,2,0),Y213,1),"")</f>
        <v/>
      </c>
      <c r="Y213" s="3" t="s">
        <v>23</v>
      </c>
      <c r="Z213" s="3" t="str">
        <f>IFERROR(MID(VLOOKUP($B213,Seqs!$A:$B,2,0),AA213,1),"")</f>
        <v/>
      </c>
      <c r="AA213" s="3" t="s">
        <v>23</v>
      </c>
      <c r="AB213" s="3" t="str">
        <f>IFERROR(MID(VLOOKUP($B213,Seqs!$A:$B,2,0),AC213,1),"")</f>
        <v>G</v>
      </c>
      <c r="AC213" s="9">
        <v>149</v>
      </c>
      <c r="AD213" s="3" t="str">
        <f>IFERROR(MID(VLOOKUP($B213,Seqs!$A:$B,2,0),AE213,1),"")</f>
        <v>V</v>
      </c>
      <c r="AE213" s="3">
        <v>173</v>
      </c>
      <c r="AF213" s="3" t="str">
        <f>IFERROR(MID(VLOOKUP($B213,Seqs!$A:$B,2,0),AG213,1),"")</f>
        <v>C</v>
      </c>
      <c r="AG213" s="3">
        <v>187</v>
      </c>
      <c r="AH213" s="3" t="str">
        <f>IFERROR(MID(VLOOKUP($B213,Seqs!$A:$B,2,0),AI213,1),"")</f>
        <v>I</v>
      </c>
      <c r="AI213" s="3">
        <v>189</v>
      </c>
      <c r="AJ213" s="3" t="str">
        <f>IFERROR(MID(VLOOKUP($B213,Seqs!$A:$B,2,0),AK213,1),"")</f>
        <v>N</v>
      </c>
      <c r="AK213" s="3">
        <v>199</v>
      </c>
      <c r="AL213" s="3" t="str">
        <f>IFERROR(MID(VLOOKUP($B213,Seqs!$A:$B,2,0),AM213,1),"")</f>
        <v>Q</v>
      </c>
      <c r="AM213" s="3">
        <v>237</v>
      </c>
      <c r="AN213" s="3" t="str">
        <f>IFERROR(MID(VLOOKUP($B213,Seqs!$A:$B,2,0),AO213,1),"")</f>
        <v>A</v>
      </c>
      <c r="AO213" s="3">
        <v>241</v>
      </c>
      <c r="AP213" s="3" t="str">
        <f>IFERROR(MID(VLOOKUP($B213,Seqs!$A:$B,2,0),AQ213,1),"")</f>
        <v>H</v>
      </c>
      <c r="AQ213" s="3">
        <v>278</v>
      </c>
      <c r="AR213" s="3" t="str">
        <f>IFERROR(MID(VLOOKUP($B213,Seqs!$A:$B,2,0),AS213,1),"")</f>
        <v>G</v>
      </c>
      <c r="AS213" s="3">
        <v>284</v>
      </c>
      <c r="AT213" s="3" t="str">
        <f>IFERROR(MID(VLOOKUP($B213,Seqs!$A:$B,2,0),AU213,1),"")</f>
        <v>M</v>
      </c>
      <c r="AU213" s="3">
        <v>309</v>
      </c>
      <c r="AV213" s="3" t="str">
        <f>IFERROR(MID(VLOOKUP($B213,Seqs!$A:$B,2,0),AW213,1),"")</f>
        <v>N</v>
      </c>
      <c r="AW213" s="3">
        <v>310</v>
      </c>
      <c r="AX213" s="3" t="str">
        <f>IFERROR(MID(VLOOKUP($B213,Seqs!$A:$B,2,0),AY213,1),"")</f>
        <v>C</v>
      </c>
      <c r="AY213" s="3">
        <v>322</v>
      </c>
      <c r="AZ213" s="77" t="str">
        <f>VLOOKUP(B213,Classification!A:D,2,0)</f>
        <v>A</v>
      </c>
      <c r="BA213" s="94" t="str">
        <f>VLOOKUP(B213,Classification!A:D,4,0)</f>
        <v>Opsins</v>
      </c>
      <c r="BB213" s="27" t="b">
        <f>AND(E213&lt;G213,OR(G213&lt;I213,I213="-"),OR(I213&lt;K213,I213="-"),OR(K213&lt;M213,K213="-"),M213&lt;O213,OR(O213&lt;Q213,Q213="-"),OR(Q213&lt;S213,Q213="-"),OR(S213&lt;U213,S213="-"),U213&lt;W213,OR(W213&lt;Y213,Y213="-"),OR(Y213&lt;AA213,Y213="-"),OR(AA213&lt;AC213,AA213="-"),AC213&lt;AE213,OR(AE213&lt;AG213,AG213="-"),OR(AG213&lt;AI213,AG213="-"),OR(AI213&lt;AK213,AI213="-"),AK213&lt;AM213,AM213&lt;AO213,AO213&lt;AQ213,AQ213&lt;AS213,AS213&lt;AU213,OR(AU213&lt;AW213,AW213="-"),OR(AW213&lt;AY213,AW213="-"))</f>
        <v>1</v>
      </c>
      <c r="BC213" s="23">
        <f>_xlfn.AGGREGATE(9,6,CH213:CS213)-_xlfn.AGGREGATE(9,6,BV213:CG213)+12</f>
        <v>253</v>
      </c>
      <c r="BD213" s="4" t="s">
        <v>23</v>
      </c>
      <c r="BE213" s="3" t="s">
        <v>1297</v>
      </c>
      <c r="BF213" s="119">
        <v>3.3</v>
      </c>
      <c r="BG213" s="49" t="s">
        <v>1384</v>
      </c>
      <c r="BH213" s="49" t="s">
        <v>1384</v>
      </c>
      <c r="BI213" s="1"/>
      <c r="BJ213" s="70" t="s">
        <v>1293</v>
      </c>
      <c r="BK213" s="57" t="s">
        <v>1293</v>
      </c>
      <c r="BL213" s="57" t="s">
        <v>1293</v>
      </c>
      <c r="BM213" s="57" t="s">
        <v>1293</v>
      </c>
      <c r="BN213" s="57" t="s">
        <v>1293</v>
      </c>
      <c r="BO213" s="57" t="s">
        <v>1293</v>
      </c>
      <c r="BP213" s="57" t="s">
        <v>1293</v>
      </c>
      <c r="BQ213" s="57" t="s">
        <v>1293</v>
      </c>
      <c r="BR213" s="57" t="s">
        <v>1293</v>
      </c>
      <c r="BS213" s="57" t="s">
        <v>1293</v>
      </c>
      <c r="BT213" s="57" t="s">
        <v>1293</v>
      </c>
      <c r="BU213" s="57" t="s">
        <v>1293</v>
      </c>
      <c r="BV213" s="70">
        <f>E213</f>
        <v>33</v>
      </c>
      <c r="BW213" s="71">
        <f>I213</f>
        <v>66</v>
      </c>
      <c r="BX213" s="72">
        <f>M213</f>
        <v>70</v>
      </c>
      <c r="BY213" s="71">
        <f>Q213</f>
        <v>102</v>
      </c>
      <c r="BZ213" s="72">
        <f>U213</f>
        <v>106</v>
      </c>
      <c r="CA213" s="71" t="str">
        <f>Y213</f>
        <v>-</v>
      </c>
      <c r="CB213" s="72">
        <f>AC213</f>
        <v>149</v>
      </c>
      <c r="CC213" s="71">
        <f>AG213</f>
        <v>187</v>
      </c>
      <c r="CD213" s="72">
        <f>AK213</f>
        <v>199</v>
      </c>
      <c r="CE213" s="71">
        <f>AO213</f>
        <v>241</v>
      </c>
      <c r="CF213" s="72">
        <f>AS213</f>
        <v>284</v>
      </c>
      <c r="CG213" s="71">
        <f>AW213</f>
        <v>310</v>
      </c>
      <c r="CH213" s="70">
        <f>G213</f>
        <v>65</v>
      </c>
      <c r="CI213" s="71">
        <f>K213</f>
        <v>69</v>
      </c>
      <c r="CJ213" s="72">
        <f>O213</f>
        <v>100</v>
      </c>
      <c r="CK213" s="72">
        <f>S213</f>
        <v>105</v>
      </c>
      <c r="CL213" s="72">
        <f>W213</f>
        <v>141</v>
      </c>
      <c r="CM213" s="72" t="str">
        <f>AA213</f>
        <v>-</v>
      </c>
      <c r="CN213" s="72">
        <f>AE213</f>
        <v>173</v>
      </c>
      <c r="CO213" s="72">
        <f>AI213</f>
        <v>189</v>
      </c>
      <c r="CP213" s="72">
        <f>AM213</f>
        <v>237</v>
      </c>
      <c r="CQ213" s="72">
        <f>AQ213</f>
        <v>278</v>
      </c>
      <c r="CR213" s="72">
        <f>AU213</f>
        <v>309</v>
      </c>
      <c r="CS213" s="72">
        <f>AY213</f>
        <v>322</v>
      </c>
      <c r="CT213" s="23">
        <f>M213-K213</f>
        <v>1</v>
      </c>
      <c r="CU213" s="6"/>
      <c r="CV213" s="6"/>
      <c r="CW213" s="6"/>
      <c r="CX213" s="6"/>
      <c r="CY213" s="6"/>
      <c r="CZ213" s="6"/>
      <c r="DA213" s="6"/>
      <c r="DB213" s="6"/>
      <c r="DC213" s="6"/>
      <c r="DD213" s="6"/>
      <c r="DE213" s="6"/>
      <c r="DF213" s="6"/>
      <c r="DG213" s="6"/>
      <c r="DH213" s="6"/>
      <c r="DI213" s="6"/>
      <c r="DJ213" s="6"/>
      <c r="DK213" s="6"/>
      <c r="DL213" s="6"/>
      <c r="DM213" s="6"/>
      <c r="DN213" s="6"/>
      <c r="DO213" s="6"/>
      <c r="DP213" s="6"/>
      <c r="DQ213" s="6"/>
      <c r="DR213" s="6"/>
      <c r="DS213" s="6"/>
      <c r="DT213" s="6"/>
      <c r="DU213" s="6"/>
      <c r="DV213" s="6"/>
      <c r="DW213" s="6"/>
      <c r="DX213" s="6"/>
      <c r="DY213" s="6"/>
      <c r="DZ213" s="6"/>
      <c r="EA213" s="6"/>
      <c r="EB213" s="6"/>
      <c r="EC213" s="6"/>
      <c r="ED213" s="6"/>
      <c r="EE213" s="6"/>
      <c r="EF213" s="6"/>
      <c r="EG213" s="6"/>
      <c r="EH213" s="6"/>
      <c r="EI213" s="6"/>
      <c r="EJ213" s="6"/>
      <c r="EK213" s="6"/>
      <c r="EL213" s="6"/>
      <c r="EM213" s="6"/>
      <c r="EN213" s="6"/>
      <c r="EO213" s="6"/>
      <c r="EP213" s="6"/>
      <c r="EQ213" s="6"/>
      <c r="ER213" s="6"/>
      <c r="ES213" s="6"/>
      <c r="ET213" s="6"/>
      <c r="EU213" s="6"/>
      <c r="EV213" s="6"/>
      <c r="EW213" s="6"/>
      <c r="EX213" s="6"/>
      <c r="EY213" s="6"/>
      <c r="EZ213" s="6"/>
      <c r="FA213" s="6"/>
      <c r="FB213" s="6"/>
      <c r="FC213" s="6"/>
      <c r="FD213" s="6"/>
      <c r="FE213" s="6"/>
      <c r="FF213" s="6"/>
      <c r="FG213" s="6"/>
      <c r="FH213" s="6"/>
      <c r="FI213" s="6"/>
      <c r="FJ213" s="6"/>
      <c r="FK213" s="6"/>
      <c r="FL213" s="6"/>
      <c r="FM213" s="6"/>
      <c r="FN213" s="6"/>
      <c r="FO213" s="6"/>
      <c r="FP213" s="6"/>
      <c r="FQ213" s="6"/>
      <c r="FR213" s="6"/>
      <c r="FS213" s="6"/>
      <c r="FT213" s="6"/>
      <c r="FU213" s="6"/>
      <c r="FV213" s="6"/>
      <c r="FW213" s="6"/>
      <c r="FX213" s="6"/>
      <c r="FY213" s="6"/>
      <c r="FZ213" s="6"/>
      <c r="GA213" s="6"/>
      <c r="GB213" s="6"/>
      <c r="GC213" s="6"/>
      <c r="GD213" s="6"/>
      <c r="GE213" s="6"/>
      <c r="GF213" s="6"/>
      <c r="GG213" s="6"/>
      <c r="GH213" s="6"/>
      <c r="GI213" s="6"/>
      <c r="GJ213" s="6"/>
      <c r="GK213" s="6"/>
      <c r="GL213" s="6"/>
      <c r="GM213" s="6"/>
      <c r="GN213" s="6"/>
      <c r="GO213" s="6"/>
      <c r="GP213" s="6"/>
      <c r="GQ213" s="6"/>
      <c r="GR213" s="6"/>
      <c r="GS213" s="6"/>
      <c r="GT213" s="6"/>
      <c r="GU213" s="6"/>
      <c r="GV213" s="6"/>
      <c r="GW213" s="6"/>
      <c r="GX213" s="6"/>
      <c r="GY213" s="6"/>
      <c r="GZ213" s="6"/>
      <c r="HA213" s="6"/>
      <c r="HB213" s="6"/>
      <c r="HC213" s="6"/>
      <c r="HD213" s="6"/>
      <c r="HE213" s="6"/>
      <c r="HF213" s="6"/>
      <c r="HG213" s="6"/>
      <c r="HH213" s="6"/>
      <c r="HI213" s="6"/>
      <c r="HJ213" s="6"/>
      <c r="HK213" s="6"/>
      <c r="HL213" s="6"/>
      <c r="HM213" s="6"/>
      <c r="HN213" s="6"/>
      <c r="HO213" s="6"/>
      <c r="HP213" s="6"/>
      <c r="HQ213" s="6"/>
      <c r="HR213" s="6"/>
      <c r="HS213" s="6"/>
      <c r="HT213" s="6"/>
      <c r="HU213" s="6"/>
      <c r="HV213" s="6"/>
      <c r="HW213" s="6"/>
      <c r="HX213" s="6"/>
      <c r="HY213" s="6"/>
      <c r="HZ213" s="6"/>
      <c r="IA213" s="6"/>
      <c r="IB213" s="6"/>
      <c r="IC213" s="6"/>
      <c r="ID213" s="6"/>
      <c r="IE213" s="6"/>
      <c r="IF213" s="6"/>
      <c r="IG213" s="6"/>
      <c r="IH213" s="6"/>
      <c r="II213" s="6"/>
      <c r="IJ213" s="6"/>
      <c r="IK213" s="6"/>
      <c r="IL213" s="6"/>
      <c r="IM213" s="6"/>
      <c r="IN213" s="6"/>
      <c r="IO213" s="6"/>
      <c r="IP213" s="6"/>
      <c r="IQ213" s="6"/>
      <c r="IR213" s="6"/>
      <c r="IS213" s="6"/>
      <c r="IT213" s="6"/>
      <c r="IU213" s="6"/>
      <c r="IV213" s="6"/>
      <c r="IW213" s="6"/>
      <c r="IX213" s="6"/>
      <c r="IY213" s="6"/>
      <c r="IZ213" s="6"/>
      <c r="JA213" s="6"/>
      <c r="JB213" s="6"/>
      <c r="JC213" s="6"/>
      <c r="JD213" s="6"/>
      <c r="JE213" s="6"/>
      <c r="JF213" s="6"/>
      <c r="JG213" s="6"/>
      <c r="JH213" s="6"/>
      <c r="JI213" s="6"/>
      <c r="JJ213" s="6"/>
      <c r="JK213" s="6"/>
      <c r="JL213" s="6"/>
      <c r="JM213" s="6"/>
      <c r="JN213" s="6"/>
      <c r="JO213" s="6"/>
      <c r="JP213" s="6"/>
      <c r="JQ213" s="6"/>
      <c r="JR213" s="6"/>
      <c r="JS213" s="6"/>
      <c r="JT213" s="6"/>
      <c r="JU213" s="6"/>
      <c r="JV213" s="6"/>
      <c r="JW213" s="6"/>
      <c r="JX213" s="6"/>
      <c r="JY213" s="6"/>
      <c r="JZ213" s="6"/>
      <c r="KA213" s="6"/>
      <c r="KB213" s="6"/>
      <c r="KC213" s="6"/>
      <c r="KD213" s="6"/>
      <c r="KE213" s="6"/>
      <c r="KF213" s="6"/>
      <c r="KG213" s="6"/>
      <c r="KH213" s="6"/>
      <c r="KI213" s="6"/>
      <c r="KJ213" s="6"/>
      <c r="KK213" s="6"/>
      <c r="KL213" s="6"/>
      <c r="KM213" s="6"/>
      <c r="KN213" s="6"/>
      <c r="KO213" s="6"/>
      <c r="KP213" s="6"/>
      <c r="KQ213" s="6"/>
      <c r="KR213" s="6"/>
      <c r="KS213" s="6"/>
      <c r="KT213" s="6"/>
      <c r="KU213" s="6"/>
      <c r="KV213" s="6"/>
      <c r="KW213" s="6"/>
      <c r="KX213" s="6"/>
      <c r="KY213" s="6"/>
      <c r="KZ213" s="6"/>
      <c r="LA213" s="6"/>
      <c r="LB213" s="6"/>
      <c r="LC213" s="6"/>
      <c r="LD213" s="6"/>
      <c r="LE213" s="6"/>
      <c r="LF213" s="6"/>
      <c r="LG213" s="6"/>
      <c r="LH213" s="6"/>
      <c r="LI213" s="6"/>
      <c r="LJ213" s="6"/>
      <c r="LK213" s="6"/>
      <c r="LL213" s="6"/>
      <c r="LM213" s="6"/>
      <c r="LN213" s="6"/>
      <c r="LO213" s="6"/>
      <c r="LP213" s="6"/>
      <c r="LQ213" s="6"/>
      <c r="LR213" s="6"/>
      <c r="LS213" s="6"/>
      <c r="LT213" s="6"/>
      <c r="LU213" s="6"/>
      <c r="LV213" s="6"/>
      <c r="LW213" s="6"/>
      <c r="LX213" s="6"/>
      <c r="LY213" s="6"/>
      <c r="LZ213" s="6"/>
      <c r="MA213" s="6"/>
      <c r="MB213" s="6"/>
      <c r="MC213" s="6"/>
      <c r="MD213" s="6"/>
      <c r="ME213" s="6"/>
      <c r="MF213" s="6"/>
      <c r="MG213" s="6"/>
      <c r="MH213" s="6"/>
      <c r="MI213" s="6"/>
      <c r="MJ213" s="6"/>
      <c r="MK213" s="6"/>
      <c r="ML213" s="6"/>
      <c r="MM213" s="6"/>
      <c r="MN213" s="6"/>
      <c r="MO213" s="6"/>
      <c r="MP213" s="6"/>
      <c r="MQ213" s="6"/>
      <c r="MR213" s="6"/>
      <c r="MS213" s="6"/>
      <c r="MT213" s="6"/>
      <c r="MU213" s="6"/>
      <c r="MV213" s="6"/>
      <c r="MW213" s="6"/>
      <c r="MX213" s="6"/>
      <c r="MY213" s="6"/>
      <c r="MZ213" s="6"/>
      <c r="NA213" s="6"/>
      <c r="NB213" s="6"/>
      <c r="NC213" s="6"/>
      <c r="ND213" s="6"/>
      <c r="NE213" s="6"/>
      <c r="NF213" s="6"/>
      <c r="NG213" s="6"/>
      <c r="NH213" s="6"/>
      <c r="NI213" s="6"/>
      <c r="NJ213" s="6"/>
      <c r="NK213" s="6"/>
      <c r="NL213" s="6"/>
      <c r="NM213" s="6"/>
      <c r="NN213" s="6"/>
      <c r="NO213" s="6"/>
      <c r="NP213" s="6"/>
      <c r="NQ213" s="6"/>
      <c r="NR213" s="6"/>
      <c r="NS213" s="6"/>
      <c r="NT213" s="6"/>
      <c r="NU213" s="6"/>
      <c r="NV213" s="6"/>
      <c r="NW213" s="6"/>
      <c r="NX213" s="6"/>
      <c r="NY213" s="6"/>
      <c r="NZ213" s="6"/>
      <c r="OA213" s="6"/>
      <c r="OB213" s="6"/>
      <c r="OC213" s="6"/>
      <c r="OD213" s="6"/>
      <c r="OE213" s="6"/>
      <c r="OF213" s="6"/>
      <c r="OG213" s="6"/>
      <c r="OH213" s="6"/>
      <c r="OI213" s="6"/>
      <c r="OJ213" s="6"/>
      <c r="OK213" s="6"/>
      <c r="OL213" s="6"/>
      <c r="OM213" s="6"/>
      <c r="ON213" s="6"/>
      <c r="OO213" s="6"/>
      <c r="OP213" s="6"/>
      <c r="OQ213" s="6"/>
      <c r="OR213" s="6"/>
      <c r="OS213" s="6"/>
      <c r="OT213" s="6"/>
      <c r="OU213" s="6"/>
      <c r="OV213" s="6"/>
      <c r="OW213" s="6"/>
      <c r="OX213" s="6"/>
      <c r="OY213" s="6"/>
      <c r="OZ213" s="6"/>
      <c r="PA213" s="6"/>
      <c r="PB213" s="6"/>
      <c r="PC213" s="6"/>
      <c r="PD213" s="6"/>
      <c r="PE213" s="6"/>
      <c r="PF213" s="6"/>
      <c r="PG213" s="6"/>
      <c r="PH213" s="6"/>
      <c r="PI213" s="6"/>
      <c r="PJ213" s="6"/>
      <c r="PK213" s="6"/>
      <c r="PL213" s="6"/>
      <c r="PM213" s="6"/>
      <c r="PN213" s="6"/>
      <c r="PO213" s="6"/>
      <c r="PP213" s="6"/>
      <c r="PQ213" s="6"/>
      <c r="PR213" s="6"/>
      <c r="PS213" s="6"/>
      <c r="PT213" s="6"/>
      <c r="PU213" s="6"/>
      <c r="PV213" s="6"/>
      <c r="PW213" s="6"/>
      <c r="PX213" s="6"/>
      <c r="PY213" s="6"/>
      <c r="PZ213" s="6"/>
      <c r="QA213" s="6"/>
      <c r="QB213" s="6"/>
      <c r="QC213" s="6"/>
      <c r="QD213" s="6"/>
      <c r="QE213" s="6"/>
      <c r="QF213" s="6"/>
      <c r="QG213" s="6"/>
      <c r="QH213" s="6"/>
      <c r="QI213" s="6"/>
      <c r="QJ213" s="6"/>
      <c r="QK213" s="6"/>
      <c r="QL213" s="6"/>
      <c r="QM213" s="6"/>
      <c r="QN213" s="6"/>
      <c r="QO213" s="6"/>
      <c r="QP213" s="6"/>
      <c r="QQ213" s="6"/>
      <c r="QR213" s="6"/>
      <c r="QS213" s="6"/>
      <c r="QT213" s="6"/>
      <c r="QU213" s="6"/>
      <c r="QV213" s="6"/>
      <c r="QW213" s="6"/>
      <c r="QX213" s="6"/>
      <c r="QY213" s="6"/>
      <c r="QZ213" s="6"/>
      <c r="RA213" s="6"/>
      <c r="RB213" s="6"/>
      <c r="RC213" s="6"/>
      <c r="RD213" s="6"/>
      <c r="RE213" s="6"/>
      <c r="RF213" s="6"/>
      <c r="RG213" s="6"/>
      <c r="RH213" s="6"/>
      <c r="RI213" s="6"/>
      <c r="RJ213" s="6"/>
      <c r="RK213" s="6"/>
      <c r="RL213" s="6"/>
      <c r="RM213" s="6"/>
      <c r="RN213" s="6"/>
      <c r="RO213" s="6"/>
      <c r="RP213" s="6"/>
      <c r="RQ213" s="6"/>
      <c r="RR213" s="6"/>
      <c r="RS213" s="6"/>
      <c r="RT213" s="6"/>
      <c r="RU213" s="6"/>
      <c r="RV213" s="6"/>
      <c r="RW213" s="6"/>
      <c r="RX213" s="6"/>
      <c r="RY213" s="6"/>
      <c r="RZ213" s="6"/>
      <c r="SA213" s="6"/>
      <c r="SB213" s="6"/>
      <c r="SC213" s="6"/>
      <c r="SD213" s="6"/>
      <c r="SE213" s="6"/>
      <c r="SF213" s="6"/>
      <c r="SG213" s="6"/>
      <c r="SH213" s="6"/>
      <c r="SI213" s="6"/>
      <c r="SJ213" s="6"/>
      <c r="SK213" s="6"/>
      <c r="SL213" s="6"/>
      <c r="SM213" s="6"/>
      <c r="SN213" s="6"/>
      <c r="SO213" s="6"/>
      <c r="SP213" s="6"/>
      <c r="SQ213" s="6"/>
      <c r="SR213" s="6"/>
      <c r="SS213" s="6"/>
      <c r="ST213" s="6"/>
      <c r="SU213" s="6"/>
      <c r="SV213" s="6"/>
      <c r="SW213" s="6"/>
      <c r="SX213" s="6"/>
      <c r="SY213" s="6"/>
      <c r="SZ213" s="6"/>
      <c r="TA213" s="6"/>
      <c r="TB213" s="6"/>
      <c r="TC213" s="6"/>
      <c r="TD213" s="6"/>
      <c r="TE213" s="6"/>
      <c r="TF213" s="6"/>
      <c r="TG213" s="6"/>
      <c r="TH213" s="6"/>
      <c r="TI213" s="6"/>
      <c r="TJ213" s="6"/>
      <c r="TK213" s="6"/>
      <c r="TL213" s="6"/>
      <c r="TM213" s="6"/>
      <c r="TN213" s="6"/>
      <c r="TO213" s="6"/>
      <c r="TP213" s="6"/>
      <c r="TQ213" s="6"/>
      <c r="TR213" s="6"/>
      <c r="TS213" s="6"/>
      <c r="TT213" s="6"/>
      <c r="TU213" s="6"/>
      <c r="TV213" s="6"/>
      <c r="TW213" s="6"/>
      <c r="TX213" s="6"/>
      <c r="TY213" s="6"/>
      <c r="TZ213" s="6"/>
      <c r="UA213" s="6"/>
      <c r="UB213" s="6"/>
      <c r="UC213" s="6"/>
      <c r="UD213" s="6"/>
      <c r="UE213" s="6"/>
      <c r="UF213" s="6"/>
      <c r="UG213" s="6"/>
      <c r="UH213" s="6"/>
      <c r="UI213" s="6"/>
      <c r="UJ213" s="6"/>
      <c r="UK213" s="6"/>
      <c r="UL213" s="6"/>
      <c r="UM213" s="6"/>
      <c r="UN213" s="6"/>
      <c r="UO213" s="6"/>
      <c r="UP213" s="6"/>
      <c r="UQ213" s="6"/>
      <c r="UR213" s="6"/>
      <c r="US213" s="6"/>
      <c r="UT213" s="6"/>
      <c r="UU213" s="6"/>
      <c r="UV213" s="6"/>
      <c r="UW213" s="6"/>
      <c r="UX213" s="6"/>
      <c r="UY213" s="6"/>
      <c r="UZ213" s="6"/>
      <c r="VA213" s="6"/>
      <c r="VB213" s="6"/>
      <c r="VC213" s="6"/>
      <c r="VD213" s="6"/>
      <c r="VE213" s="6"/>
      <c r="VF213" s="6"/>
      <c r="VG213" s="6"/>
      <c r="VH213" s="6"/>
      <c r="VI213" s="6"/>
      <c r="VJ213" s="6"/>
      <c r="VK213" s="6"/>
      <c r="VL213" s="6"/>
      <c r="VM213" s="6"/>
      <c r="VN213" s="6"/>
      <c r="VO213" s="6"/>
      <c r="VP213" s="6"/>
      <c r="VQ213" s="6"/>
      <c r="VR213" s="6"/>
      <c r="VS213" s="6"/>
      <c r="VT213" s="6"/>
      <c r="VU213" s="6"/>
      <c r="VV213" s="6"/>
      <c r="VW213" s="6"/>
      <c r="VX213" s="6"/>
      <c r="VY213" s="6"/>
      <c r="VZ213" s="6"/>
      <c r="WA213" s="6"/>
      <c r="WB213" s="6"/>
      <c r="WC213" s="6"/>
      <c r="WD213" s="6"/>
      <c r="WE213" s="6"/>
      <c r="WF213" s="6"/>
      <c r="WG213" s="6"/>
      <c r="WH213" s="6"/>
      <c r="WI213" s="6"/>
      <c r="WJ213" s="6"/>
      <c r="WK213" s="6"/>
      <c r="WL213" s="6"/>
      <c r="WM213" s="6"/>
      <c r="WN213" s="6"/>
      <c r="WO213" s="6"/>
      <c r="WP213" s="6"/>
      <c r="WQ213" s="6"/>
      <c r="WR213" s="6"/>
      <c r="WS213" s="6"/>
      <c r="WT213" s="6"/>
      <c r="WU213" s="6"/>
      <c r="WV213" s="6"/>
      <c r="WW213" s="6"/>
      <c r="WX213" s="6"/>
      <c r="WY213" s="6"/>
      <c r="WZ213" s="6"/>
      <c r="XA213" s="6"/>
      <c r="XB213" s="6"/>
      <c r="XC213" s="6"/>
      <c r="XD213" s="6"/>
      <c r="XE213" s="6"/>
      <c r="XF213" s="6"/>
      <c r="XG213" s="6"/>
      <c r="XH213" s="6"/>
      <c r="XI213" s="6"/>
      <c r="XJ213" s="6"/>
      <c r="XK213" s="6"/>
      <c r="XL213" s="6"/>
      <c r="XM213" s="6"/>
      <c r="XN213" s="6"/>
      <c r="XO213" s="6"/>
      <c r="XP213" s="6"/>
      <c r="XQ213" s="6"/>
      <c r="XR213" s="6"/>
      <c r="XS213" s="6"/>
      <c r="XT213" s="6"/>
      <c r="XU213" s="6"/>
      <c r="XV213" s="6"/>
      <c r="XW213" s="6"/>
      <c r="XX213" s="6"/>
      <c r="XY213" s="6"/>
      <c r="XZ213" s="6"/>
      <c r="YA213" s="6"/>
      <c r="YB213" s="6"/>
      <c r="YC213" s="6"/>
      <c r="YD213" s="6"/>
      <c r="YE213" s="6"/>
      <c r="YF213" s="6"/>
      <c r="YG213" s="6"/>
      <c r="YH213" s="6"/>
      <c r="YI213" s="6"/>
      <c r="YJ213" s="6"/>
      <c r="YK213" s="6"/>
      <c r="YL213" s="6"/>
      <c r="YM213" s="6"/>
      <c r="YN213" s="6"/>
      <c r="YO213" s="6"/>
      <c r="YP213" s="6"/>
      <c r="YQ213" s="6"/>
      <c r="YR213" s="6"/>
      <c r="YS213" s="6"/>
      <c r="YT213" s="6"/>
      <c r="YU213" s="6"/>
      <c r="YV213" s="6"/>
      <c r="YW213" s="6"/>
      <c r="YX213" s="6"/>
      <c r="YY213" s="6"/>
      <c r="YZ213" s="6"/>
      <c r="ZA213" s="6"/>
      <c r="ZB213" s="6"/>
      <c r="ZC213" s="6"/>
      <c r="ZD213" s="6"/>
      <c r="ZE213" s="6"/>
      <c r="ZF213" s="6"/>
      <c r="ZG213" s="6"/>
      <c r="ZH213" s="6"/>
      <c r="ZI213" s="6"/>
      <c r="ZJ213" s="6"/>
      <c r="ZK213" s="6"/>
      <c r="ZL213" s="6"/>
      <c r="ZM213" s="6"/>
      <c r="ZN213" s="6"/>
      <c r="ZO213" s="6"/>
      <c r="ZP213" s="6"/>
      <c r="ZQ213" s="6"/>
      <c r="ZR213" s="6"/>
      <c r="ZS213" s="6"/>
      <c r="ZT213" s="6"/>
      <c r="ZU213" s="6"/>
      <c r="ZV213" s="6"/>
      <c r="ZW213" s="6"/>
      <c r="ZX213" s="6"/>
      <c r="ZY213" s="6"/>
      <c r="ZZ213" s="6"/>
      <c r="AAA213" s="6"/>
      <c r="AAB213" s="6"/>
      <c r="AAC213" s="6"/>
      <c r="AAD213" s="6"/>
      <c r="AAE213" s="6"/>
      <c r="AAF213" s="6"/>
      <c r="AAG213" s="6"/>
      <c r="AAH213" s="6"/>
      <c r="AAI213" s="6"/>
      <c r="AAJ213" s="6"/>
      <c r="AAK213" s="6"/>
      <c r="AAL213" s="6"/>
      <c r="AAM213" s="6"/>
      <c r="AAN213" s="6"/>
      <c r="AAO213" s="6"/>
      <c r="AAP213" s="6"/>
      <c r="AAQ213" s="6"/>
      <c r="AAR213" s="6"/>
      <c r="AAS213" s="6"/>
      <c r="AAT213" s="6"/>
      <c r="AAU213" s="6"/>
      <c r="AAV213" s="6"/>
      <c r="AAW213" s="6"/>
      <c r="AAX213" s="6"/>
      <c r="AAY213" s="6"/>
      <c r="AAZ213" s="6"/>
      <c r="ABA213" s="6"/>
      <c r="ABB213" s="6"/>
      <c r="ABC213" s="6"/>
      <c r="ABD213" s="6"/>
      <c r="ABE213" s="6"/>
      <c r="ABF213" s="6"/>
      <c r="ABG213" s="6"/>
      <c r="ABH213" s="6"/>
      <c r="ABI213" s="6"/>
      <c r="ABJ213" s="6"/>
      <c r="ABK213" s="6"/>
      <c r="ABL213" s="6"/>
      <c r="ABM213" s="6"/>
      <c r="ABN213" s="6"/>
      <c r="ABO213" s="6"/>
      <c r="ABP213" s="6"/>
      <c r="ABQ213" s="6"/>
      <c r="ABR213" s="6"/>
      <c r="ABS213" s="6"/>
      <c r="ABT213" s="6"/>
      <c r="ABU213" s="6"/>
      <c r="ABV213" s="6"/>
      <c r="ABW213" s="6"/>
      <c r="ABX213" s="6"/>
      <c r="ABY213" s="6"/>
      <c r="ABZ213" s="6"/>
      <c r="ACA213" s="6"/>
      <c r="ACB213" s="6"/>
      <c r="ACC213" s="6"/>
      <c r="ACD213" s="6"/>
      <c r="ACE213" s="6"/>
      <c r="ACF213" s="6"/>
      <c r="ACG213" s="6"/>
      <c r="ACH213" s="6"/>
      <c r="ACI213" s="6"/>
      <c r="ACJ213" s="6"/>
      <c r="ACK213" s="6"/>
      <c r="ACL213" s="6"/>
      <c r="ACM213" s="6"/>
      <c r="ACN213" s="6"/>
      <c r="ACO213" s="6"/>
      <c r="ACP213" s="6"/>
      <c r="ACQ213" s="6"/>
      <c r="ACR213" s="6"/>
      <c r="ACS213" s="6"/>
      <c r="ACT213" s="6"/>
      <c r="ACU213" s="6"/>
      <c r="ACV213" s="6"/>
      <c r="ACW213" s="6"/>
      <c r="ACX213" s="6"/>
      <c r="ACY213" s="6"/>
      <c r="ACZ213" s="6"/>
      <c r="ADA213" s="6"/>
      <c r="ADB213" s="6"/>
      <c r="ADC213" s="6"/>
      <c r="ADD213" s="6"/>
      <c r="ADE213" s="6"/>
      <c r="ADF213" s="6"/>
      <c r="ADG213" s="6"/>
      <c r="ADH213" s="6"/>
      <c r="ADI213" s="6"/>
      <c r="ADJ213" s="6"/>
      <c r="ADK213" s="6"/>
      <c r="ADL213" s="6"/>
      <c r="ADM213" s="6"/>
      <c r="ADN213" s="6"/>
      <c r="ADO213" s="6"/>
      <c r="ADP213" s="6"/>
      <c r="ADQ213" s="6"/>
      <c r="ADR213" s="6"/>
      <c r="ADS213" s="6"/>
      <c r="ADT213" s="6"/>
      <c r="ADU213" s="6"/>
      <c r="ADV213" s="6"/>
      <c r="ADW213" s="6"/>
      <c r="ADX213" s="6"/>
      <c r="ADY213" s="6"/>
      <c r="ADZ213" s="6"/>
      <c r="AEA213" s="6"/>
      <c r="AEB213" s="6"/>
      <c r="AEC213" s="6"/>
      <c r="AED213" s="6"/>
      <c r="AEE213" s="6"/>
      <c r="AEF213" s="6"/>
      <c r="AEG213" s="6"/>
      <c r="AEH213" s="6"/>
      <c r="AEI213" s="6"/>
      <c r="AEJ213" s="6"/>
      <c r="AEK213" s="6"/>
      <c r="AEL213" s="6"/>
      <c r="AEM213" s="6"/>
      <c r="AEN213" s="6"/>
      <c r="AEO213" s="6"/>
      <c r="AEP213" s="6"/>
      <c r="AEQ213" s="6"/>
      <c r="AER213" s="6"/>
      <c r="AES213" s="6"/>
      <c r="AET213" s="6"/>
      <c r="AEU213" s="6"/>
      <c r="AEV213" s="6"/>
      <c r="AEW213" s="6"/>
      <c r="AEX213" s="6"/>
      <c r="AEY213" s="6"/>
      <c r="AEZ213" s="6"/>
      <c r="AFA213" s="6"/>
      <c r="AFB213" s="6"/>
      <c r="AFC213" s="6"/>
      <c r="AFD213" s="6"/>
      <c r="AFE213" s="6"/>
      <c r="AFF213" s="6"/>
      <c r="AFG213" s="6"/>
      <c r="AFH213" s="6"/>
      <c r="AFI213" s="6"/>
      <c r="AFJ213" s="6"/>
      <c r="AFK213" s="6"/>
      <c r="AFL213" s="6"/>
      <c r="AFM213" s="6"/>
      <c r="AFN213" s="6"/>
      <c r="AFO213" s="6"/>
      <c r="AFP213" s="6"/>
      <c r="AFQ213" s="6"/>
      <c r="AFR213" s="6"/>
      <c r="AFS213" s="6"/>
      <c r="AFT213" s="6"/>
      <c r="AFU213" s="6"/>
      <c r="AFV213" s="6"/>
      <c r="AFW213" s="6"/>
      <c r="AFX213" s="6"/>
      <c r="AFY213" s="6"/>
      <c r="AFZ213" s="6"/>
      <c r="AGA213" s="6"/>
      <c r="AGB213" s="6"/>
      <c r="AGC213" s="6"/>
      <c r="AGD213" s="6"/>
      <c r="AGE213" s="6"/>
      <c r="AGF213" s="6"/>
      <c r="AGG213" s="6"/>
      <c r="AGH213" s="6"/>
      <c r="AGI213" s="6"/>
      <c r="AGJ213" s="6"/>
      <c r="AGK213" s="6"/>
      <c r="AGL213" s="6"/>
      <c r="AGM213" s="6"/>
      <c r="AGN213" s="6"/>
      <c r="AGO213" s="6"/>
      <c r="AGP213" s="6"/>
      <c r="AGQ213" s="6"/>
      <c r="AGR213" s="6"/>
      <c r="AGS213" s="6"/>
      <c r="AGT213" s="6"/>
      <c r="AGU213" s="6"/>
      <c r="AGV213" s="6"/>
      <c r="AGW213" s="6"/>
      <c r="AGX213" s="6"/>
      <c r="AGY213" s="6"/>
      <c r="AGZ213" s="6"/>
      <c r="AHA213" s="6"/>
      <c r="AHB213" s="6"/>
      <c r="AHC213" s="6"/>
      <c r="AHD213" s="6"/>
      <c r="AHE213" s="6"/>
      <c r="AHF213" s="6"/>
      <c r="AHG213" s="6"/>
      <c r="AHH213" s="6"/>
      <c r="AHI213" s="6"/>
      <c r="AHJ213" s="6"/>
      <c r="AHK213" s="6"/>
      <c r="AHL213" s="6"/>
      <c r="AHM213" s="6"/>
      <c r="AHN213" s="6"/>
      <c r="AHO213" s="6"/>
      <c r="AHP213" s="6"/>
      <c r="AHQ213" s="6"/>
      <c r="AHR213" s="6"/>
      <c r="AHS213" s="6"/>
      <c r="AHT213" s="6"/>
      <c r="AHU213" s="6"/>
      <c r="AHV213" s="6"/>
      <c r="AHW213" s="6"/>
      <c r="AHX213" s="6"/>
      <c r="AHY213" s="6"/>
      <c r="AHZ213" s="6"/>
      <c r="AIA213" s="6"/>
      <c r="AIB213" s="6"/>
      <c r="AIC213" s="6"/>
      <c r="AID213" s="6"/>
      <c r="AIE213" s="6"/>
      <c r="AIF213" s="6"/>
      <c r="AIG213" s="6"/>
      <c r="AIH213" s="6"/>
      <c r="AII213" s="6"/>
      <c r="AIJ213" s="6"/>
      <c r="AIK213" s="6"/>
      <c r="AIL213" s="6"/>
      <c r="AIM213" s="6"/>
      <c r="AIN213" s="6"/>
      <c r="AIO213" s="6"/>
      <c r="AIP213" s="6"/>
      <c r="AIQ213" s="6"/>
      <c r="AIR213" s="6"/>
      <c r="AIS213" s="6"/>
      <c r="AIT213" s="6"/>
      <c r="AIU213" s="6"/>
      <c r="AIV213" s="6"/>
      <c r="AIW213" s="6"/>
      <c r="AIX213" s="6"/>
      <c r="AIY213" s="6"/>
      <c r="AIZ213" s="6"/>
      <c r="AJA213" s="6"/>
      <c r="AJB213" s="6"/>
      <c r="AJC213" s="6"/>
      <c r="AJD213" s="6"/>
      <c r="AJE213" s="6"/>
      <c r="AJF213" s="6"/>
      <c r="AJG213" s="6"/>
      <c r="AJH213" s="6"/>
      <c r="AJI213" s="6"/>
      <c r="AJJ213" s="6"/>
      <c r="AJK213" s="6"/>
      <c r="AJL213" s="6"/>
      <c r="AJM213" s="6"/>
      <c r="AJN213" s="6"/>
      <c r="AJO213" s="6"/>
      <c r="AJP213" s="6"/>
      <c r="AJQ213" s="6"/>
      <c r="AJR213" s="6"/>
      <c r="AJS213" s="6"/>
      <c r="AJT213" s="6"/>
      <c r="AJU213" s="6"/>
      <c r="AJV213" s="6"/>
      <c r="AJW213" s="6"/>
      <c r="AJX213" s="6"/>
      <c r="AJY213" s="6"/>
      <c r="AJZ213" s="6"/>
      <c r="AKA213" s="6"/>
      <c r="AKB213" s="6"/>
      <c r="AKC213" s="6"/>
      <c r="AKD213" s="6"/>
      <c r="AKE213" s="6"/>
      <c r="AKF213" s="6"/>
      <c r="AKG213" s="6"/>
      <c r="AKH213" s="6"/>
      <c r="AKI213" s="6"/>
      <c r="AKJ213" s="6"/>
      <c r="AKK213" s="6"/>
      <c r="AKL213" s="6"/>
      <c r="AKM213" s="6"/>
      <c r="AKN213" s="6"/>
      <c r="AKO213" s="6"/>
      <c r="AKP213" s="6"/>
      <c r="AKQ213" s="6"/>
      <c r="AKR213" s="6"/>
      <c r="AKS213" s="6"/>
      <c r="AKT213" s="6"/>
      <c r="AKU213" s="6"/>
      <c r="AKV213" s="6"/>
      <c r="AKW213" s="6"/>
      <c r="AKX213" s="6"/>
      <c r="AKY213" s="6"/>
      <c r="AKZ213" s="6"/>
      <c r="ALA213" s="6"/>
      <c r="ALB213" s="6"/>
      <c r="ALC213" s="6"/>
      <c r="ALD213" s="6"/>
      <c r="ALE213" s="6"/>
      <c r="ALF213" s="6"/>
      <c r="ALG213" s="6"/>
      <c r="ALH213" s="6"/>
      <c r="ALI213" s="6"/>
      <c r="ALJ213" s="6"/>
      <c r="ALK213" s="6"/>
      <c r="ALL213" s="6"/>
      <c r="ALM213" s="6"/>
      <c r="ALN213" s="6"/>
      <c r="ALO213" s="6"/>
      <c r="ALP213" s="6"/>
      <c r="ALQ213" s="6"/>
      <c r="ALR213" s="6"/>
      <c r="ALS213" s="6"/>
      <c r="ALT213" s="6"/>
      <c r="ALU213" s="6"/>
      <c r="ALV213" s="6"/>
      <c r="ALW213" s="6"/>
      <c r="ALX213" s="6"/>
      <c r="ALY213" s="6"/>
      <c r="ALZ213" s="6"/>
      <c r="AMA213" s="6"/>
      <c r="AMB213" s="6"/>
      <c r="AMC213" s="6"/>
      <c r="AMD213" s="6"/>
      <c r="AME213" s="6"/>
      <c r="AMF213" s="6"/>
      <c r="AMG213" s="6"/>
      <c r="AMH213" s="6"/>
      <c r="AMI213" s="6"/>
      <c r="AMJ213" s="6"/>
      <c r="AMK213" s="6"/>
      <c r="AML213" s="6"/>
      <c r="AMM213" s="6"/>
      <c r="AMN213" s="6"/>
      <c r="AMO213" s="6"/>
      <c r="AMP213" s="6"/>
    </row>
    <row r="214" spans="1:1030" x14ac:dyDescent="0.2">
      <c r="A214" s="3" t="str">
        <f t="shared" si="669"/>
        <v>opsd_bovin_4J4Q</v>
      </c>
      <c r="B214" s="3" t="s">
        <v>920</v>
      </c>
      <c r="C214" s="3" t="s">
        <v>1044</v>
      </c>
      <c r="D214" s="3" t="str">
        <f>IFERROR(MID(VLOOKUP($B214,Seqs!$A:$B,2,0),E214,1),"")</f>
        <v>E</v>
      </c>
      <c r="E214" s="105">
        <v>33</v>
      </c>
      <c r="F214" s="3" t="str">
        <f>IFERROR(MID(VLOOKUP($B214,Seqs!$A:$B,2,0),G214,1),"")</f>
        <v>H</v>
      </c>
      <c r="G214" s="3">
        <v>65</v>
      </c>
      <c r="H214" s="3" t="str">
        <f>IFERROR(MID(VLOOKUP($B214,Seqs!$A:$B,2,0),I214,1),"")</f>
        <v>K</v>
      </c>
      <c r="I214" s="23">
        <v>66</v>
      </c>
      <c r="J214" s="3" t="str">
        <f>IFERROR(MID(VLOOKUP($B214,Seqs!$A:$B,2,0),K214,1),"")</f>
        <v>R</v>
      </c>
      <c r="K214" s="23">
        <v>69</v>
      </c>
      <c r="L214" s="3" t="str">
        <f>IFERROR(MID(VLOOKUP($B214,Seqs!$A:$B,2,0),M214,1),"")</f>
        <v>T</v>
      </c>
      <c r="M214" s="3">
        <v>70</v>
      </c>
      <c r="N214" s="3" t="str">
        <f>IFERROR(MID(VLOOKUP($B214,Seqs!$A:$B,2,0),O214,1),"")</f>
        <v>H</v>
      </c>
      <c r="O214" s="3">
        <v>100</v>
      </c>
      <c r="P214" s="3" t="str">
        <f>IFERROR(MID(VLOOKUP($B214,Seqs!$A:$B,2,0),Q214,1),"")</f>
        <v>Y</v>
      </c>
      <c r="Q214" s="3">
        <v>102</v>
      </c>
      <c r="R214" s="3" t="str">
        <f>IFERROR(MID(VLOOKUP($B214,Seqs!$A:$B,2,0),S214,1),"")</f>
        <v>F</v>
      </c>
      <c r="S214" s="3">
        <v>105</v>
      </c>
      <c r="T214" s="3" t="str">
        <f>IFERROR(MID(VLOOKUP($B214,Seqs!$A:$B,2,0),U214,1),"")</f>
        <v>G</v>
      </c>
      <c r="U214" s="3">
        <v>106</v>
      </c>
      <c r="V214" s="3" t="str">
        <f>IFERROR(MID(VLOOKUP($B214,Seqs!$A:$B,2,0),W214,1),"")</f>
        <v>K</v>
      </c>
      <c r="W214" s="3">
        <v>141</v>
      </c>
      <c r="X214" s="3" t="str">
        <f>IFERROR(MID(VLOOKUP($B214,Seqs!$A:$B,2,0),Y214,1),"")</f>
        <v/>
      </c>
      <c r="Y214" s="3" t="s">
        <v>23</v>
      </c>
      <c r="Z214" s="3" t="str">
        <f>IFERROR(MID(VLOOKUP($B214,Seqs!$A:$B,2,0),AA214,1),"")</f>
        <v/>
      </c>
      <c r="AA214" s="3" t="s">
        <v>23</v>
      </c>
      <c r="AB214" s="3" t="str">
        <f>IFERROR(MID(VLOOKUP($B214,Seqs!$A:$B,2,0),AC214,1),"")</f>
        <v>G</v>
      </c>
      <c r="AC214" s="9">
        <v>149</v>
      </c>
      <c r="AD214" s="3" t="str">
        <f>IFERROR(MID(VLOOKUP($B214,Seqs!$A:$B,2,0),AE214,1),"")</f>
        <v>V</v>
      </c>
      <c r="AE214" s="3">
        <v>173</v>
      </c>
      <c r="AF214" s="3" t="str">
        <f>IFERROR(MID(VLOOKUP($B214,Seqs!$A:$B,2,0),AG214,1),"")</f>
        <v>C</v>
      </c>
      <c r="AG214" s="3">
        <v>187</v>
      </c>
      <c r="AH214" s="3" t="str">
        <f>IFERROR(MID(VLOOKUP($B214,Seqs!$A:$B,2,0),AI214,1),"")</f>
        <v>I</v>
      </c>
      <c r="AI214" s="3">
        <v>189</v>
      </c>
      <c r="AJ214" s="3" t="str">
        <f>IFERROR(MID(VLOOKUP($B214,Seqs!$A:$B,2,0),AK214,1),"")</f>
        <v>N</v>
      </c>
      <c r="AK214" s="3">
        <v>199</v>
      </c>
      <c r="AL214" s="3" t="str">
        <f>IFERROR(MID(VLOOKUP($B214,Seqs!$A:$B,2,0),AM214,1),"")</f>
        <v>Q</v>
      </c>
      <c r="AM214" s="3">
        <v>237</v>
      </c>
      <c r="AN214" s="3" t="str">
        <f>IFERROR(MID(VLOOKUP($B214,Seqs!$A:$B,2,0),AO214,1),"")</f>
        <v>A</v>
      </c>
      <c r="AO214" s="3">
        <v>241</v>
      </c>
      <c r="AP214" s="3" t="str">
        <f>IFERROR(MID(VLOOKUP($B214,Seqs!$A:$B,2,0),AQ214,1),"")</f>
        <v>H</v>
      </c>
      <c r="AQ214" s="3">
        <v>278</v>
      </c>
      <c r="AR214" s="3" t="str">
        <f>IFERROR(MID(VLOOKUP($B214,Seqs!$A:$B,2,0),AS214,1),"")</f>
        <v>G</v>
      </c>
      <c r="AS214" s="3">
        <v>284</v>
      </c>
      <c r="AT214" s="3" t="str">
        <f>IFERROR(MID(VLOOKUP($B214,Seqs!$A:$B,2,0),AU214,1),"")</f>
        <v>M</v>
      </c>
      <c r="AU214" s="3">
        <v>309</v>
      </c>
      <c r="AV214" s="3" t="str">
        <f>IFERROR(MID(VLOOKUP($B214,Seqs!$A:$B,2,0),AW214,1),"")</f>
        <v>N</v>
      </c>
      <c r="AW214" s="3">
        <v>310</v>
      </c>
      <c r="AX214" s="3" t="str">
        <f>IFERROR(MID(VLOOKUP($B214,Seqs!$A:$B,2,0),AY214,1),"")</f>
        <v>C</v>
      </c>
      <c r="AY214" s="3">
        <v>322</v>
      </c>
      <c r="AZ214" s="77" t="str">
        <f>VLOOKUP(B214,Classification!A:D,2,0)</f>
        <v>A</v>
      </c>
      <c r="BA214" s="94" t="str">
        <f>VLOOKUP(B214,Classification!A:D,4,0)</f>
        <v>Opsins</v>
      </c>
      <c r="BB214" s="27" t="b">
        <f t="shared" si="670"/>
        <v>1</v>
      </c>
      <c r="BC214" s="23">
        <f t="shared" ref="BC214:BC275" si="727">_xlfn.AGGREGATE(9,6,CH214:CS214)-_xlfn.AGGREGATE(9,6,BV214:CG214)+12</f>
        <v>253</v>
      </c>
      <c r="BD214" s="4" t="s">
        <v>23</v>
      </c>
      <c r="BE214" s="3" t="s">
        <v>1297</v>
      </c>
      <c r="BF214" s="119">
        <v>2.65</v>
      </c>
      <c r="BG214" s="49" t="s">
        <v>1384</v>
      </c>
      <c r="BH214" s="49" t="s">
        <v>1384</v>
      </c>
      <c r="BI214" s="1"/>
      <c r="BJ214" s="70" t="s">
        <v>1293</v>
      </c>
      <c r="BK214" s="57" t="s">
        <v>1293</v>
      </c>
      <c r="BL214" s="57" t="s">
        <v>1293</v>
      </c>
      <c r="BM214" s="57" t="s">
        <v>1293</v>
      </c>
      <c r="BN214" s="57" t="s">
        <v>1293</v>
      </c>
      <c r="BO214" s="57" t="s">
        <v>1293</v>
      </c>
      <c r="BP214" s="57" t="s">
        <v>1293</v>
      </c>
      <c r="BQ214" s="57" t="s">
        <v>1293</v>
      </c>
      <c r="BR214" s="57" t="s">
        <v>1293</v>
      </c>
      <c r="BS214" s="57" t="s">
        <v>1293</v>
      </c>
      <c r="BT214" s="57" t="s">
        <v>1293</v>
      </c>
      <c r="BU214" s="57" t="s">
        <v>1293</v>
      </c>
      <c r="BV214" s="70">
        <f t="shared" ref="BV214:BV275" si="728">E214</f>
        <v>33</v>
      </c>
      <c r="BW214" s="71">
        <f t="shared" ref="BW214:BW275" si="729">I214</f>
        <v>66</v>
      </c>
      <c r="BX214" s="72">
        <f t="shared" ref="BX214:BX275" si="730">M214</f>
        <v>70</v>
      </c>
      <c r="BY214" s="71">
        <f t="shared" ref="BY214:BY275" si="731">Q214</f>
        <v>102</v>
      </c>
      <c r="BZ214" s="72">
        <f t="shared" ref="BZ214:BZ275" si="732">U214</f>
        <v>106</v>
      </c>
      <c r="CA214" s="71" t="str">
        <f t="shared" ref="CA214:CA275" si="733">Y214</f>
        <v>-</v>
      </c>
      <c r="CB214" s="72">
        <f t="shared" ref="CB214:CB275" si="734">AC214</f>
        <v>149</v>
      </c>
      <c r="CC214" s="71">
        <f t="shared" ref="CC214:CC275" si="735">AG214</f>
        <v>187</v>
      </c>
      <c r="CD214" s="72">
        <f t="shared" ref="CD214:CD275" si="736">AK214</f>
        <v>199</v>
      </c>
      <c r="CE214" s="71">
        <f t="shared" ref="CE214:CE275" si="737">AO214</f>
        <v>241</v>
      </c>
      <c r="CF214" s="72">
        <f t="shared" ref="CF214:CF275" si="738">AS214</f>
        <v>284</v>
      </c>
      <c r="CG214" s="71">
        <f t="shared" ref="CG214:CG275" si="739">AW214</f>
        <v>310</v>
      </c>
      <c r="CH214" s="70">
        <f t="shared" ref="CH214:CH275" si="740">G214</f>
        <v>65</v>
      </c>
      <c r="CI214" s="71">
        <f t="shared" ref="CI214:CI275" si="741">K214</f>
        <v>69</v>
      </c>
      <c r="CJ214" s="72">
        <f t="shared" ref="CJ214:CJ275" si="742">O214</f>
        <v>100</v>
      </c>
      <c r="CK214" s="72">
        <f t="shared" ref="CK214:CK275" si="743">S214</f>
        <v>105</v>
      </c>
      <c r="CL214" s="72">
        <f t="shared" ref="CL214:CL275" si="744">W214</f>
        <v>141</v>
      </c>
      <c r="CM214" s="72" t="str">
        <f t="shared" ref="CM214:CM275" si="745">AA214</f>
        <v>-</v>
      </c>
      <c r="CN214" s="72">
        <f t="shared" ref="CN214:CN275" si="746">AE214</f>
        <v>173</v>
      </c>
      <c r="CO214" s="72">
        <f t="shared" ref="CO214:CO275" si="747">AI214</f>
        <v>189</v>
      </c>
      <c r="CP214" s="72">
        <f t="shared" ref="CP214:CP275" si="748">AM214</f>
        <v>237</v>
      </c>
      <c r="CQ214" s="72">
        <f t="shared" ref="CQ214:CQ275" si="749">AQ214</f>
        <v>278</v>
      </c>
      <c r="CR214" s="72">
        <f t="shared" ref="CR214:CR275" si="750">AU214</f>
        <v>309</v>
      </c>
      <c r="CS214" s="72">
        <f t="shared" ref="CS214:CS275" si="751">AY214</f>
        <v>322</v>
      </c>
      <c r="CT214" s="23">
        <f t="shared" ref="CT214:CT275" si="752">M214-K214</f>
        <v>1</v>
      </c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  <c r="OK214" s="1"/>
      <c r="OL214" s="1"/>
      <c r="OM214" s="1"/>
      <c r="ON214" s="1"/>
      <c r="OO214" s="1"/>
      <c r="OP214" s="1"/>
      <c r="OQ214" s="1"/>
      <c r="OR214" s="1"/>
      <c r="OS214" s="1"/>
      <c r="OT214" s="1"/>
      <c r="OU214" s="1"/>
      <c r="OV214" s="1"/>
      <c r="OW214" s="1"/>
      <c r="OX214" s="1"/>
      <c r="OY214" s="1"/>
      <c r="OZ214" s="1"/>
      <c r="PA214" s="1"/>
      <c r="PB214" s="1"/>
      <c r="PC214" s="1"/>
      <c r="PD214" s="1"/>
      <c r="PE214" s="1"/>
      <c r="PF214" s="1"/>
      <c r="PG214" s="1"/>
      <c r="PH214" s="1"/>
      <c r="PI214" s="1"/>
      <c r="PJ214" s="1"/>
      <c r="PK214" s="1"/>
      <c r="PL214" s="1"/>
      <c r="PM214" s="1"/>
      <c r="PN214" s="1"/>
      <c r="PO214" s="1"/>
      <c r="PP214" s="1"/>
      <c r="PQ214" s="1"/>
      <c r="PR214" s="1"/>
      <c r="PS214" s="1"/>
      <c r="PT214" s="1"/>
      <c r="PU214" s="1"/>
      <c r="PV214" s="1"/>
      <c r="PW214" s="1"/>
      <c r="PX214" s="1"/>
      <c r="PY214" s="1"/>
      <c r="PZ214" s="1"/>
      <c r="QA214" s="1"/>
      <c r="QB214" s="1"/>
      <c r="QC214" s="1"/>
      <c r="QD214" s="1"/>
      <c r="QE214" s="1"/>
      <c r="QF214" s="1"/>
      <c r="QG214" s="1"/>
      <c r="QH214" s="1"/>
      <c r="QI214" s="1"/>
      <c r="QJ214" s="1"/>
      <c r="QK214" s="1"/>
      <c r="QL214" s="1"/>
      <c r="QM214" s="1"/>
      <c r="QN214" s="1"/>
      <c r="QO214" s="1"/>
      <c r="QP214" s="1"/>
      <c r="QQ214" s="1"/>
      <c r="QR214" s="1"/>
      <c r="QS214" s="1"/>
      <c r="QT214" s="1"/>
      <c r="QU214" s="1"/>
      <c r="QV214" s="1"/>
      <c r="QW214" s="1"/>
      <c r="QX214" s="1"/>
      <c r="QY214" s="1"/>
      <c r="QZ214" s="1"/>
      <c r="RA214" s="1"/>
      <c r="RB214" s="1"/>
      <c r="RC214" s="1"/>
      <c r="RD214" s="1"/>
      <c r="RE214" s="1"/>
      <c r="RF214" s="1"/>
      <c r="RG214" s="1"/>
      <c r="RH214" s="1"/>
      <c r="RI214" s="1"/>
      <c r="RJ214" s="1"/>
      <c r="RK214" s="1"/>
      <c r="RL214" s="1"/>
      <c r="RM214" s="1"/>
      <c r="RN214" s="1"/>
      <c r="RO214" s="1"/>
      <c r="RP214" s="1"/>
      <c r="RQ214" s="1"/>
      <c r="RR214" s="1"/>
      <c r="RS214" s="1"/>
      <c r="RT214" s="1"/>
      <c r="RU214" s="1"/>
      <c r="RV214" s="1"/>
      <c r="RW214" s="1"/>
      <c r="RX214" s="1"/>
      <c r="RY214" s="1"/>
      <c r="RZ214" s="1"/>
      <c r="SA214" s="1"/>
      <c r="SB214" s="1"/>
      <c r="SC214" s="1"/>
      <c r="SD214" s="1"/>
      <c r="SE214" s="1"/>
      <c r="SF214" s="1"/>
      <c r="SG214" s="1"/>
      <c r="SH214" s="1"/>
      <c r="SI214" s="1"/>
      <c r="SJ214" s="1"/>
      <c r="SK214" s="1"/>
      <c r="SL214" s="1"/>
      <c r="SM214" s="1"/>
      <c r="SN214" s="1"/>
      <c r="SO214" s="1"/>
      <c r="SP214" s="1"/>
      <c r="SQ214" s="1"/>
      <c r="SR214" s="1"/>
      <c r="SS214" s="1"/>
      <c r="ST214" s="1"/>
      <c r="SU214" s="1"/>
      <c r="SV214" s="1"/>
      <c r="SW214" s="1"/>
      <c r="SX214" s="1"/>
      <c r="SY214" s="1"/>
      <c r="SZ214" s="1"/>
      <c r="TA214" s="1"/>
      <c r="TB214" s="1"/>
      <c r="TC214" s="1"/>
      <c r="TD214" s="1"/>
      <c r="TE214" s="1"/>
      <c r="TF214" s="1"/>
      <c r="TG214" s="1"/>
      <c r="TH214" s="1"/>
      <c r="TI214" s="1"/>
      <c r="TJ214" s="1"/>
      <c r="TK214" s="1"/>
      <c r="TL214" s="1"/>
      <c r="TM214" s="1"/>
      <c r="TN214" s="1"/>
      <c r="TO214" s="1"/>
      <c r="TP214" s="1"/>
      <c r="TQ214" s="1"/>
      <c r="TR214" s="1"/>
      <c r="TS214" s="1"/>
      <c r="TT214" s="1"/>
      <c r="TU214" s="1"/>
      <c r="TV214" s="1"/>
      <c r="TW214" s="1"/>
      <c r="TX214" s="1"/>
      <c r="TY214" s="1"/>
      <c r="TZ214" s="1"/>
      <c r="UA214" s="1"/>
      <c r="UB214" s="1"/>
      <c r="UC214" s="1"/>
      <c r="UD214" s="1"/>
      <c r="UE214" s="1"/>
      <c r="UF214" s="1"/>
      <c r="UG214" s="1"/>
      <c r="UH214" s="1"/>
      <c r="UI214" s="1"/>
      <c r="UJ214" s="1"/>
      <c r="UK214" s="1"/>
      <c r="UL214" s="1"/>
      <c r="UM214" s="1"/>
      <c r="UN214" s="1"/>
      <c r="UO214" s="1"/>
      <c r="UP214" s="1"/>
      <c r="UQ214" s="1"/>
      <c r="UR214" s="1"/>
      <c r="US214" s="1"/>
      <c r="UT214" s="1"/>
      <c r="UU214" s="1"/>
      <c r="UV214" s="1"/>
      <c r="UW214" s="1"/>
      <c r="UX214" s="1"/>
      <c r="UY214" s="1"/>
      <c r="UZ214" s="1"/>
      <c r="VA214" s="1"/>
      <c r="VB214" s="1"/>
      <c r="VC214" s="1"/>
      <c r="VD214" s="1"/>
      <c r="VE214" s="1"/>
      <c r="VF214" s="1"/>
      <c r="VG214" s="1"/>
      <c r="VH214" s="1"/>
      <c r="VI214" s="1"/>
      <c r="VJ214" s="1"/>
      <c r="VK214" s="1"/>
      <c r="VL214" s="1"/>
      <c r="VM214" s="1"/>
      <c r="VN214" s="1"/>
      <c r="VO214" s="1"/>
      <c r="VP214" s="1"/>
      <c r="VQ214" s="1"/>
      <c r="VR214" s="1"/>
      <c r="VS214" s="1"/>
      <c r="VT214" s="1"/>
      <c r="VU214" s="1"/>
      <c r="VV214" s="1"/>
      <c r="VW214" s="1"/>
      <c r="VX214" s="1"/>
      <c r="VY214" s="1"/>
      <c r="VZ214" s="1"/>
      <c r="WA214" s="1"/>
      <c r="WB214" s="1"/>
      <c r="WC214" s="1"/>
      <c r="WD214" s="1"/>
      <c r="WE214" s="1"/>
      <c r="WF214" s="1"/>
      <c r="WG214" s="1"/>
      <c r="WH214" s="1"/>
      <c r="WI214" s="1"/>
      <c r="WJ214" s="1"/>
      <c r="WK214" s="1"/>
      <c r="WL214" s="1"/>
      <c r="WM214" s="1"/>
      <c r="WN214" s="1"/>
      <c r="WO214" s="1"/>
      <c r="WP214" s="1"/>
      <c r="WQ214" s="1"/>
      <c r="WR214" s="1"/>
      <c r="WS214" s="1"/>
      <c r="WT214" s="1"/>
      <c r="WU214" s="1"/>
      <c r="WV214" s="1"/>
      <c r="WW214" s="1"/>
      <c r="WX214" s="1"/>
      <c r="WY214" s="1"/>
      <c r="WZ214" s="1"/>
      <c r="XA214" s="1"/>
      <c r="XB214" s="1"/>
      <c r="XC214" s="1"/>
      <c r="XD214" s="1"/>
      <c r="XE214" s="1"/>
      <c r="XF214" s="1"/>
      <c r="XG214" s="1"/>
      <c r="XH214" s="1"/>
      <c r="XI214" s="1"/>
      <c r="XJ214" s="1"/>
      <c r="XK214" s="1"/>
      <c r="XL214" s="1"/>
      <c r="XM214" s="1"/>
      <c r="XN214" s="1"/>
      <c r="XO214" s="1"/>
      <c r="XP214" s="1"/>
      <c r="XQ214" s="1"/>
      <c r="XR214" s="1"/>
      <c r="XS214" s="1"/>
      <c r="XT214" s="1"/>
      <c r="XU214" s="1"/>
      <c r="XV214" s="1"/>
      <c r="XW214" s="1"/>
      <c r="XX214" s="1"/>
      <c r="XY214" s="1"/>
      <c r="XZ214" s="1"/>
      <c r="YA214" s="1"/>
      <c r="YB214" s="1"/>
      <c r="YC214" s="1"/>
      <c r="YD214" s="1"/>
      <c r="YE214" s="1"/>
      <c r="YF214" s="1"/>
      <c r="YG214" s="1"/>
      <c r="YH214" s="1"/>
      <c r="YI214" s="1"/>
      <c r="YJ214" s="1"/>
      <c r="YK214" s="1"/>
      <c r="YL214" s="1"/>
      <c r="YM214" s="1"/>
      <c r="YN214" s="1"/>
      <c r="YO214" s="1"/>
      <c r="YP214" s="1"/>
      <c r="YQ214" s="1"/>
      <c r="YR214" s="1"/>
      <c r="YS214" s="1"/>
      <c r="YT214" s="1"/>
      <c r="YU214" s="1"/>
      <c r="YV214" s="1"/>
      <c r="YW214" s="1"/>
      <c r="YX214" s="1"/>
      <c r="YY214" s="1"/>
      <c r="YZ214" s="1"/>
      <c r="ZA214" s="1"/>
      <c r="ZB214" s="1"/>
      <c r="ZC214" s="1"/>
      <c r="ZD214" s="1"/>
      <c r="ZE214" s="1"/>
      <c r="ZF214" s="1"/>
      <c r="ZG214" s="1"/>
      <c r="ZH214" s="1"/>
      <c r="ZI214" s="1"/>
      <c r="ZJ214" s="1"/>
      <c r="ZK214" s="1"/>
      <c r="ZL214" s="1"/>
      <c r="ZM214" s="1"/>
      <c r="ZN214" s="1"/>
      <c r="ZO214" s="1"/>
      <c r="ZP214" s="1"/>
      <c r="ZQ214" s="1"/>
      <c r="ZR214" s="1"/>
      <c r="ZS214" s="1"/>
      <c r="ZT214" s="1"/>
      <c r="ZU214" s="1"/>
      <c r="ZV214" s="1"/>
      <c r="ZW214" s="1"/>
      <c r="ZX214" s="1"/>
      <c r="ZY214" s="1"/>
      <c r="ZZ214" s="1"/>
      <c r="AAA214" s="1"/>
      <c r="AAB214" s="1"/>
      <c r="AAC214" s="1"/>
      <c r="AAD214" s="1"/>
      <c r="AAE214" s="1"/>
      <c r="AAF214" s="1"/>
      <c r="AAG214" s="1"/>
      <c r="AAH214" s="1"/>
      <c r="AAI214" s="1"/>
      <c r="AAJ214" s="1"/>
      <c r="AAK214" s="1"/>
      <c r="AAL214" s="1"/>
      <c r="AAM214" s="1"/>
      <c r="AAN214" s="1"/>
      <c r="AAO214" s="1"/>
      <c r="AAP214" s="1"/>
      <c r="AAQ214" s="1"/>
      <c r="AAR214" s="1"/>
      <c r="AAS214" s="1"/>
      <c r="AAT214" s="1"/>
      <c r="AAU214" s="1"/>
      <c r="AAV214" s="1"/>
      <c r="AAW214" s="1"/>
      <c r="AAX214" s="1"/>
      <c r="AAY214" s="1"/>
      <c r="AAZ214" s="1"/>
      <c r="ABA214" s="1"/>
      <c r="ABB214" s="1"/>
      <c r="ABC214" s="1"/>
      <c r="ABD214" s="1"/>
      <c r="ABE214" s="1"/>
      <c r="ABF214" s="1"/>
      <c r="ABG214" s="1"/>
      <c r="ABH214" s="1"/>
      <c r="ABI214" s="1"/>
      <c r="ABJ214" s="1"/>
      <c r="ABK214" s="1"/>
      <c r="ABL214" s="1"/>
      <c r="ABM214" s="1"/>
      <c r="ABN214" s="1"/>
      <c r="ABO214" s="1"/>
      <c r="ABP214" s="1"/>
      <c r="ABQ214" s="1"/>
      <c r="ABR214" s="1"/>
      <c r="ABS214" s="1"/>
      <c r="ABT214" s="1"/>
      <c r="ABU214" s="1"/>
      <c r="ABV214" s="1"/>
      <c r="ABW214" s="1"/>
      <c r="ABX214" s="1"/>
      <c r="ABY214" s="1"/>
      <c r="ABZ214" s="1"/>
      <c r="ACA214" s="1"/>
      <c r="ACB214" s="1"/>
      <c r="ACC214" s="1"/>
      <c r="ACD214" s="1"/>
      <c r="ACE214" s="1"/>
      <c r="ACF214" s="1"/>
      <c r="ACG214" s="1"/>
      <c r="ACH214" s="1"/>
      <c r="ACI214" s="1"/>
      <c r="ACJ214" s="1"/>
      <c r="ACK214" s="1"/>
      <c r="ACL214" s="1"/>
      <c r="ACM214" s="1"/>
      <c r="ACN214" s="1"/>
      <c r="ACO214" s="1"/>
      <c r="ACP214" s="1"/>
      <c r="ACQ214" s="1"/>
      <c r="ACR214" s="1"/>
      <c r="ACS214" s="1"/>
      <c r="ACT214" s="1"/>
      <c r="ACU214" s="1"/>
      <c r="ACV214" s="1"/>
      <c r="ACW214" s="1"/>
      <c r="ACX214" s="1"/>
      <c r="ACY214" s="1"/>
      <c r="ACZ214" s="1"/>
      <c r="ADA214" s="1"/>
      <c r="ADB214" s="1"/>
      <c r="ADC214" s="1"/>
      <c r="ADD214" s="1"/>
      <c r="ADE214" s="1"/>
      <c r="ADF214" s="1"/>
      <c r="ADG214" s="1"/>
      <c r="ADH214" s="1"/>
      <c r="ADI214" s="1"/>
      <c r="ADJ214" s="1"/>
      <c r="ADK214" s="1"/>
      <c r="ADL214" s="1"/>
      <c r="ADM214" s="1"/>
      <c r="ADN214" s="1"/>
      <c r="ADO214" s="1"/>
      <c r="ADP214" s="1"/>
      <c r="ADQ214" s="1"/>
      <c r="ADR214" s="1"/>
      <c r="ADS214" s="1"/>
      <c r="ADT214" s="1"/>
      <c r="ADU214" s="1"/>
      <c r="ADV214" s="1"/>
      <c r="ADW214" s="1"/>
      <c r="ADX214" s="1"/>
      <c r="ADY214" s="1"/>
      <c r="ADZ214" s="1"/>
      <c r="AEA214" s="1"/>
      <c r="AEB214" s="1"/>
      <c r="AEC214" s="1"/>
      <c r="AED214" s="1"/>
      <c r="AEE214" s="1"/>
      <c r="AEF214" s="1"/>
      <c r="AEG214" s="1"/>
      <c r="AEH214" s="1"/>
      <c r="AEI214" s="1"/>
      <c r="AEJ214" s="1"/>
      <c r="AEK214" s="1"/>
      <c r="AEL214" s="1"/>
      <c r="AEM214" s="1"/>
      <c r="AEN214" s="1"/>
      <c r="AEO214" s="1"/>
      <c r="AEP214" s="1"/>
      <c r="AEQ214" s="1"/>
      <c r="AER214" s="1"/>
      <c r="AES214" s="1"/>
      <c r="AET214" s="1"/>
      <c r="AEU214" s="1"/>
      <c r="AEV214" s="1"/>
      <c r="AEW214" s="1"/>
      <c r="AEX214" s="1"/>
      <c r="AEY214" s="1"/>
      <c r="AEZ214" s="1"/>
      <c r="AFA214" s="1"/>
      <c r="AFB214" s="1"/>
      <c r="AFC214" s="1"/>
      <c r="AFD214" s="1"/>
      <c r="AFE214" s="1"/>
      <c r="AFF214" s="1"/>
      <c r="AFG214" s="1"/>
      <c r="AFH214" s="1"/>
      <c r="AFI214" s="1"/>
      <c r="AFJ214" s="1"/>
      <c r="AFK214" s="1"/>
      <c r="AFL214" s="1"/>
      <c r="AFM214" s="1"/>
      <c r="AFN214" s="1"/>
      <c r="AFO214" s="1"/>
      <c r="AFP214" s="1"/>
      <c r="AFQ214" s="1"/>
      <c r="AFR214" s="1"/>
      <c r="AFS214" s="1"/>
      <c r="AFT214" s="1"/>
      <c r="AFU214" s="1"/>
      <c r="AFV214" s="1"/>
      <c r="AFW214" s="1"/>
      <c r="AFX214" s="1"/>
      <c r="AFY214" s="1"/>
      <c r="AFZ214" s="1"/>
      <c r="AGA214" s="1"/>
      <c r="AGB214" s="1"/>
      <c r="AGC214" s="1"/>
      <c r="AGD214" s="1"/>
      <c r="AGE214" s="1"/>
      <c r="AGF214" s="1"/>
      <c r="AGG214" s="1"/>
      <c r="AGH214" s="1"/>
      <c r="AGI214" s="1"/>
      <c r="AGJ214" s="1"/>
      <c r="AGK214" s="1"/>
      <c r="AGL214" s="1"/>
      <c r="AGM214" s="1"/>
      <c r="AGN214" s="1"/>
      <c r="AGO214" s="1"/>
      <c r="AGP214" s="1"/>
      <c r="AGQ214" s="1"/>
      <c r="AGR214" s="1"/>
      <c r="AGS214" s="1"/>
      <c r="AGT214" s="1"/>
      <c r="AGU214" s="1"/>
      <c r="AGV214" s="1"/>
      <c r="AGW214" s="1"/>
      <c r="AGX214" s="1"/>
      <c r="AGY214" s="1"/>
      <c r="AGZ214" s="1"/>
      <c r="AHA214" s="1"/>
      <c r="AHB214" s="1"/>
      <c r="AHC214" s="1"/>
      <c r="AHD214" s="1"/>
      <c r="AHE214" s="1"/>
      <c r="AHF214" s="1"/>
      <c r="AHG214" s="1"/>
      <c r="AHH214" s="1"/>
      <c r="AHI214" s="1"/>
      <c r="AHJ214" s="1"/>
      <c r="AHK214" s="1"/>
      <c r="AHL214" s="1"/>
      <c r="AHM214" s="1"/>
      <c r="AHN214" s="1"/>
      <c r="AHO214" s="1"/>
      <c r="AHP214" s="1"/>
      <c r="AHQ214" s="1"/>
      <c r="AHR214" s="1"/>
      <c r="AHS214" s="1"/>
      <c r="AHT214" s="1"/>
      <c r="AHU214" s="1"/>
      <c r="AHV214" s="1"/>
      <c r="AHW214" s="1"/>
      <c r="AHX214" s="1"/>
      <c r="AHY214" s="1"/>
      <c r="AHZ214" s="1"/>
      <c r="AIA214" s="1"/>
      <c r="AIB214" s="1"/>
      <c r="AIC214" s="1"/>
      <c r="AID214" s="1"/>
      <c r="AIE214" s="1"/>
      <c r="AIF214" s="1"/>
      <c r="AIG214" s="1"/>
      <c r="AIH214" s="1"/>
      <c r="AII214" s="1"/>
      <c r="AIJ214" s="1"/>
      <c r="AIK214" s="1"/>
      <c r="AIL214" s="1"/>
      <c r="AIM214" s="1"/>
      <c r="AIN214" s="1"/>
      <c r="AIO214" s="1"/>
      <c r="AIP214" s="1"/>
      <c r="AIQ214" s="1"/>
      <c r="AIR214" s="1"/>
      <c r="AIS214" s="1"/>
      <c r="AIT214" s="1"/>
      <c r="AIU214" s="1"/>
      <c r="AIV214" s="1"/>
      <c r="AIW214" s="1"/>
      <c r="AIX214" s="1"/>
      <c r="AIY214" s="1"/>
      <c r="AIZ214" s="1"/>
      <c r="AJA214" s="1"/>
      <c r="AJB214" s="1"/>
      <c r="AJC214" s="1"/>
      <c r="AJD214" s="1"/>
      <c r="AJE214" s="1"/>
      <c r="AJF214" s="1"/>
      <c r="AJG214" s="1"/>
      <c r="AJH214" s="1"/>
      <c r="AJI214" s="1"/>
      <c r="AJJ214" s="1"/>
      <c r="AJK214" s="1"/>
      <c r="AJL214" s="1"/>
      <c r="AJM214" s="1"/>
      <c r="AJN214" s="1"/>
      <c r="AJO214" s="1"/>
      <c r="AJP214" s="1"/>
      <c r="AJQ214" s="1"/>
      <c r="AJR214" s="1"/>
      <c r="AJS214" s="1"/>
      <c r="AJT214" s="1"/>
      <c r="AJU214" s="1"/>
      <c r="AJV214" s="1"/>
      <c r="AJW214" s="1"/>
      <c r="AJX214" s="1"/>
      <c r="AJY214" s="1"/>
      <c r="AJZ214" s="1"/>
      <c r="AKA214" s="1"/>
      <c r="AKB214" s="1"/>
      <c r="AKC214" s="1"/>
      <c r="AKD214" s="1"/>
      <c r="AKE214" s="1"/>
      <c r="AKF214" s="1"/>
      <c r="AKG214" s="1"/>
      <c r="AKH214" s="1"/>
      <c r="AKI214" s="1"/>
      <c r="AKJ214" s="1"/>
      <c r="AKK214" s="1"/>
      <c r="AKL214" s="1"/>
      <c r="AKM214" s="1"/>
      <c r="AKN214" s="1"/>
      <c r="AKO214" s="1"/>
      <c r="AKP214" s="1"/>
      <c r="AKQ214" s="1"/>
      <c r="AKR214" s="1"/>
      <c r="AKS214" s="1"/>
      <c r="AKT214" s="1"/>
      <c r="AKU214" s="1"/>
      <c r="AKV214" s="1"/>
      <c r="AKW214" s="1"/>
      <c r="AKX214" s="1"/>
      <c r="AKY214" s="1"/>
      <c r="AKZ214" s="1"/>
      <c r="ALA214" s="1"/>
      <c r="ALB214" s="1"/>
      <c r="ALC214" s="1"/>
      <c r="ALD214" s="1"/>
      <c r="ALE214" s="1"/>
      <c r="ALF214" s="1"/>
      <c r="ALG214" s="1"/>
      <c r="ALH214" s="1"/>
      <c r="ALI214" s="1"/>
      <c r="ALJ214" s="1"/>
      <c r="ALK214" s="1"/>
      <c r="ALL214" s="1"/>
      <c r="ALM214" s="1"/>
      <c r="ALN214" s="1"/>
      <c r="ALO214" s="1"/>
      <c r="ALP214" s="1"/>
      <c r="ALQ214" s="1"/>
      <c r="ALR214" s="1"/>
      <c r="ALS214" s="1"/>
      <c r="ALT214" s="1"/>
      <c r="ALU214" s="1"/>
      <c r="ALV214" s="1"/>
      <c r="ALW214" s="1"/>
      <c r="ALX214" s="1"/>
      <c r="ALY214" s="1"/>
      <c r="ALZ214" s="1"/>
      <c r="AMA214" s="1"/>
      <c r="AMB214" s="1"/>
      <c r="AMC214" s="1"/>
      <c r="AMD214" s="1"/>
      <c r="AME214" s="1"/>
      <c r="AMF214" s="1"/>
      <c r="AMG214" s="1"/>
      <c r="AMH214" s="1"/>
      <c r="AMI214" s="1"/>
      <c r="AMJ214" s="1"/>
      <c r="AMK214" s="1"/>
      <c r="AML214" s="1"/>
      <c r="AMM214" s="1"/>
      <c r="AMN214" s="1"/>
      <c r="AMO214" s="1"/>
    </row>
    <row r="215" spans="1:1030" x14ac:dyDescent="0.2">
      <c r="A215" s="3" t="str">
        <f t="shared" si="669"/>
        <v>opsd_bovin_5DYS</v>
      </c>
      <c r="B215" s="3" t="s">
        <v>920</v>
      </c>
      <c r="C215" s="3" t="s">
        <v>1363</v>
      </c>
      <c r="D215" s="3" t="str">
        <f>IFERROR(MID(VLOOKUP($B215,Seqs!$A:$B,2,0),E215,1),"")</f>
        <v>E</v>
      </c>
      <c r="E215" s="105">
        <v>33</v>
      </c>
      <c r="F215" s="3" t="str">
        <f>IFERROR(MID(VLOOKUP($B215,Seqs!$A:$B,2,0),G215,1),"")</f>
        <v>H</v>
      </c>
      <c r="G215" s="3">
        <v>65</v>
      </c>
      <c r="H215" s="3" t="str">
        <f>IFERROR(MID(VLOOKUP($B215,Seqs!$A:$B,2,0),I215,1),"")</f>
        <v>K</v>
      </c>
      <c r="I215" s="23">
        <v>66</v>
      </c>
      <c r="J215" s="3" t="str">
        <f>IFERROR(MID(VLOOKUP($B215,Seqs!$A:$B,2,0),K215,1),"")</f>
        <v>R</v>
      </c>
      <c r="K215" s="23">
        <v>69</v>
      </c>
      <c r="L215" s="3" t="str">
        <f>IFERROR(MID(VLOOKUP($B215,Seqs!$A:$B,2,0),M215,1),"")</f>
        <v>T</v>
      </c>
      <c r="M215" s="3">
        <v>70</v>
      </c>
      <c r="N215" s="3" t="str">
        <f>IFERROR(MID(VLOOKUP($B215,Seqs!$A:$B,2,0),O215,1),"")</f>
        <v>H</v>
      </c>
      <c r="O215" s="3">
        <v>100</v>
      </c>
      <c r="P215" s="3" t="str">
        <f>IFERROR(MID(VLOOKUP($B215,Seqs!$A:$B,2,0),Q215,1),"")</f>
        <v>Y</v>
      </c>
      <c r="Q215" s="3">
        <v>102</v>
      </c>
      <c r="R215" s="3" t="str">
        <f>IFERROR(MID(VLOOKUP($B215,Seqs!$A:$B,2,0),S215,1),"")</f>
        <v>F</v>
      </c>
      <c r="S215" s="3">
        <v>105</v>
      </c>
      <c r="T215" s="3" t="str">
        <f>IFERROR(MID(VLOOKUP($B215,Seqs!$A:$B,2,0),U215,1),"")</f>
        <v>G</v>
      </c>
      <c r="U215" s="3">
        <v>106</v>
      </c>
      <c r="V215" s="3" t="str">
        <f>IFERROR(MID(VLOOKUP($B215,Seqs!$A:$B,2,0),W215,1),"")</f>
        <v>K</v>
      </c>
      <c r="W215" s="3">
        <v>141</v>
      </c>
      <c r="X215" s="3" t="str">
        <f>IFERROR(MID(VLOOKUP($B215,Seqs!$A:$B,2,0),Y215,1),"")</f>
        <v/>
      </c>
      <c r="Y215" s="3" t="s">
        <v>23</v>
      </c>
      <c r="Z215" s="3" t="str">
        <f>IFERROR(MID(VLOOKUP($B215,Seqs!$A:$B,2,0),AA215,1),"")</f>
        <v/>
      </c>
      <c r="AA215" s="3" t="s">
        <v>23</v>
      </c>
      <c r="AB215" s="3" t="str">
        <f>IFERROR(MID(VLOOKUP($B215,Seqs!$A:$B,2,0),AC215,1),"")</f>
        <v>G</v>
      </c>
      <c r="AC215" s="9">
        <v>149</v>
      </c>
      <c r="AD215" s="3" t="str">
        <f>IFERROR(MID(VLOOKUP($B215,Seqs!$A:$B,2,0),AE215,1),"")</f>
        <v>V</v>
      </c>
      <c r="AE215" s="3">
        <v>173</v>
      </c>
      <c r="AF215" s="3" t="str">
        <f>IFERROR(MID(VLOOKUP($B215,Seqs!$A:$B,2,0),AG215,1),"")</f>
        <v>C</v>
      </c>
      <c r="AG215" s="3">
        <v>187</v>
      </c>
      <c r="AH215" s="3" t="str">
        <f>IFERROR(MID(VLOOKUP($B215,Seqs!$A:$B,2,0),AI215,1),"")</f>
        <v>I</v>
      </c>
      <c r="AI215" s="3">
        <v>189</v>
      </c>
      <c r="AJ215" s="3" t="str">
        <f>IFERROR(MID(VLOOKUP($B215,Seqs!$A:$B,2,0),AK215,1),"")</f>
        <v>N</v>
      </c>
      <c r="AK215" s="3">
        <v>199</v>
      </c>
      <c r="AL215" s="3" t="str">
        <f>IFERROR(MID(VLOOKUP($B215,Seqs!$A:$B,2,0),AM215,1),"")</f>
        <v>Q</v>
      </c>
      <c r="AM215" s="3">
        <v>237</v>
      </c>
      <c r="AN215" s="3" t="str">
        <f>IFERROR(MID(VLOOKUP($B215,Seqs!$A:$B,2,0),AO215,1),"")</f>
        <v>A</v>
      </c>
      <c r="AO215" s="3">
        <v>241</v>
      </c>
      <c r="AP215" s="3" t="str">
        <f>IFERROR(MID(VLOOKUP($B215,Seqs!$A:$B,2,0),AQ215,1),"")</f>
        <v>H</v>
      </c>
      <c r="AQ215" s="3">
        <v>278</v>
      </c>
      <c r="AR215" s="3" t="str">
        <f>IFERROR(MID(VLOOKUP($B215,Seqs!$A:$B,2,0),AS215,1),"")</f>
        <v>G</v>
      </c>
      <c r="AS215" s="3">
        <v>284</v>
      </c>
      <c r="AT215" s="3" t="str">
        <f>IFERROR(MID(VLOOKUP($B215,Seqs!$A:$B,2,0),AU215,1),"")</f>
        <v>M</v>
      </c>
      <c r="AU215" s="3">
        <v>309</v>
      </c>
      <c r="AV215" s="3" t="str">
        <f>IFERROR(MID(VLOOKUP($B215,Seqs!$A:$B,2,0),AW215,1),"")</f>
        <v>N</v>
      </c>
      <c r="AW215" s="3">
        <v>310</v>
      </c>
      <c r="AX215" s="3" t="str">
        <f>IFERROR(MID(VLOOKUP($B215,Seqs!$A:$B,2,0),AY215,1),"")</f>
        <v>C</v>
      </c>
      <c r="AY215" s="3">
        <v>322</v>
      </c>
      <c r="AZ215" s="77" t="str">
        <f>VLOOKUP(B215,Classification!A:D,2,0)</f>
        <v>A</v>
      </c>
      <c r="BA215" s="94" t="str">
        <f>VLOOKUP(B215,Classification!A:D,4,0)</f>
        <v>Opsins</v>
      </c>
      <c r="BB215" s="27" t="b">
        <f t="shared" si="670"/>
        <v>1</v>
      </c>
      <c r="BC215" s="23">
        <f t="shared" si="727"/>
        <v>253</v>
      </c>
      <c r="BD215" s="5" t="s">
        <v>1382</v>
      </c>
      <c r="BE215" s="3" t="s">
        <v>1297</v>
      </c>
      <c r="BF215" s="119">
        <v>2.2999999999999998</v>
      </c>
      <c r="BG215" s="49" t="s">
        <v>1384</v>
      </c>
      <c r="BH215" s="49" t="s">
        <v>1384</v>
      </c>
      <c r="BI215" s="1"/>
      <c r="BJ215" s="70" t="s">
        <v>1293</v>
      </c>
      <c r="BK215" s="57" t="s">
        <v>1293</v>
      </c>
      <c r="BL215" s="57" t="s">
        <v>1293</v>
      </c>
      <c r="BM215" s="57" t="s">
        <v>1293</v>
      </c>
      <c r="BN215" s="57" t="s">
        <v>1293</v>
      </c>
      <c r="BO215" s="57" t="s">
        <v>1293</v>
      </c>
      <c r="BP215" s="57" t="s">
        <v>1293</v>
      </c>
      <c r="BQ215" s="57" t="s">
        <v>1293</v>
      </c>
      <c r="BR215" s="57" t="s">
        <v>1293</v>
      </c>
      <c r="BS215" s="57" t="s">
        <v>1293</v>
      </c>
      <c r="BT215" s="57" t="s">
        <v>1293</v>
      </c>
      <c r="BU215" s="57" t="s">
        <v>1293</v>
      </c>
      <c r="BV215" s="70">
        <f t="shared" si="728"/>
        <v>33</v>
      </c>
      <c r="BW215" s="71">
        <f t="shared" si="729"/>
        <v>66</v>
      </c>
      <c r="BX215" s="72">
        <f t="shared" si="730"/>
        <v>70</v>
      </c>
      <c r="BY215" s="71">
        <f t="shared" si="731"/>
        <v>102</v>
      </c>
      <c r="BZ215" s="72">
        <f t="shared" si="732"/>
        <v>106</v>
      </c>
      <c r="CA215" s="71" t="str">
        <f t="shared" si="733"/>
        <v>-</v>
      </c>
      <c r="CB215" s="72">
        <f t="shared" si="734"/>
        <v>149</v>
      </c>
      <c r="CC215" s="71">
        <f t="shared" si="735"/>
        <v>187</v>
      </c>
      <c r="CD215" s="72">
        <f t="shared" si="736"/>
        <v>199</v>
      </c>
      <c r="CE215" s="71">
        <f t="shared" si="737"/>
        <v>241</v>
      </c>
      <c r="CF215" s="72">
        <f t="shared" si="738"/>
        <v>284</v>
      </c>
      <c r="CG215" s="71">
        <f t="shared" si="739"/>
        <v>310</v>
      </c>
      <c r="CH215" s="70">
        <f t="shared" si="740"/>
        <v>65</v>
      </c>
      <c r="CI215" s="71">
        <f t="shared" si="741"/>
        <v>69</v>
      </c>
      <c r="CJ215" s="72">
        <f t="shared" si="742"/>
        <v>100</v>
      </c>
      <c r="CK215" s="72">
        <f t="shared" si="743"/>
        <v>105</v>
      </c>
      <c r="CL215" s="72">
        <f t="shared" si="744"/>
        <v>141</v>
      </c>
      <c r="CM215" s="72" t="str">
        <f t="shared" si="745"/>
        <v>-</v>
      </c>
      <c r="CN215" s="72">
        <f t="shared" si="746"/>
        <v>173</v>
      </c>
      <c r="CO215" s="72">
        <f t="shared" si="747"/>
        <v>189</v>
      </c>
      <c r="CP215" s="72">
        <f t="shared" si="748"/>
        <v>237</v>
      </c>
      <c r="CQ215" s="72">
        <f t="shared" si="749"/>
        <v>278</v>
      </c>
      <c r="CR215" s="72">
        <f t="shared" si="750"/>
        <v>309</v>
      </c>
      <c r="CS215" s="72">
        <f t="shared" si="751"/>
        <v>322</v>
      </c>
      <c r="CT215" s="23">
        <f t="shared" si="752"/>
        <v>1</v>
      </c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  <c r="OK215" s="1"/>
      <c r="OL215" s="1"/>
      <c r="OM215" s="1"/>
      <c r="ON215" s="1"/>
      <c r="OO215" s="1"/>
      <c r="OP215" s="1"/>
      <c r="OQ215" s="1"/>
      <c r="OR215" s="1"/>
      <c r="OS215" s="1"/>
      <c r="OT215" s="1"/>
      <c r="OU215" s="1"/>
      <c r="OV215" s="1"/>
      <c r="OW215" s="1"/>
      <c r="OX215" s="1"/>
      <c r="OY215" s="1"/>
      <c r="OZ215" s="1"/>
      <c r="PA215" s="1"/>
      <c r="PB215" s="1"/>
      <c r="PC215" s="1"/>
      <c r="PD215" s="1"/>
      <c r="PE215" s="1"/>
      <c r="PF215" s="1"/>
      <c r="PG215" s="1"/>
      <c r="PH215" s="1"/>
      <c r="PI215" s="1"/>
      <c r="PJ215" s="1"/>
      <c r="PK215" s="1"/>
      <c r="PL215" s="1"/>
      <c r="PM215" s="1"/>
      <c r="PN215" s="1"/>
      <c r="PO215" s="1"/>
      <c r="PP215" s="1"/>
      <c r="PQ215" s="1"/>
      <c r="PR215" s="1"/>
      <c r="PS215" s="1"/>
      <c r="PT215" s="1"/>
      <c r="PU215" s="1"/>
      <c r="PV215" s="1"/>
      <c r="PW215" s="1"/>
      <c r="PX215" s="1"/>
      <c r="PY215" s="1"/>
      <c r="PZ215" s="1"/>
      <c r="QA215" s="1"/>
      <c r="QB215" s="1"/>
      <c r="QC215" s="1"/>
      <c r="QD215" s="1"/>
      <c r="QE215" s="1"/>
      <c r="QF215" s="1"/>
      <c r="QG215" s="1"/>
      <c r="QH215" s="1"/>
      <c r="QI215" s="1"/>
      <c r="QJ215" s="1"/>
      <c r="QK215" s="1"/>
      <c r="QL215" s="1"/>
      <c r="QM215" s="1"/>
      <c r="QN215" s="1"/>
      <c r="QO215" s="1"/>
      <c r="QP215" s="1"/>
      <c r="QQ215" s="1"/>
      <c r="QR215" s="1"/>
      <c r="QS215" s="1"/>
      <c r="QT215" s="1"/>
      <c r="QU215" s="1"/>
      <c r="QV215" s="1"/>
      <c r="QW215" s="1"/>
      <c r="QX215" s="1"/>
      <c r="QY215" s="1"/>
      <c r="QZ215" s="1"/>
      <c r="RA215" s="1"/>
      <c r="RB215" s="1"/>
      <c r="RC215" s="1"/>
      <c r="RD215" s="1"/>
      <c r="RE215" s="1"/>
      <c r="RF215" s="1"/>
      <c r="RG215" s="1"/>
      <c r="RH215" s="1"/>
      <c r="RI215" s="1"/>
      <c r="RJ215" s="1"/>
      <c r="RK215" s="1"/>
      <c r="RL215" s="1"/>
      <c r="RM215" s="1"/>
      <c r="RN215" s="1"/>
      <c r="RO215" s="1"/>
      <c r="RP215" s="1"/>
      <c r="RQ215" s="1"/>
      <c r="RR215" s="1"/>
      <c r="RS215" s="1"/>
      <c r="RT215" s="1"/>
      <c r="RU215" s="1"/>
      <c r="RV215" s="1"/>
      <c r="RW215" s="1"/>
      <c r="RX215" s="1"/>
      <c r="RY215" s="1"/>
      <c r="RZ215" s="1"/>
      <c r="SA215" s="1"/>
      <c r="SB215" s="1"/>
      <c r="SC215" s="1"/>
      <c r="SD215" s="1"/>
      <c r="SE215" s="1"/>
      <c r="SF215" s="1"/>
      <c r="SG215" s="1"/>
      <c r="SH215" s="1"/>
      <c r="SI215" s="1"/>
      <c r="SJ215" s="1"/>
      <c r="SK215" s="1"/>
      <c r="SL215" s="1"/>
      <c r="SM215" s="1"/>
      <c r="SN215" s="1"/>
      <c r="SO215" s="1"/>
      <c r="SP215" s="1"/>
      <c r="SQ215" s="1"/>
      <c r="SR215" s="1"/>
      <c r="SS215" s="1"/>
      <c r="ST215" s="1"/>
      <c r="SU215" s="1"/>
      <c r="SV215" s="1"/>
      <c r="SW215" s="1"/>
      <c r="SX215" s="1"/>
      <c r="SY215" s="1"/>
      <c r="SZ215" s="1"/>
      <c r="TA215" s="1"/>
      <c r="TB215" s="1"/>
      <c r="TC215" s="1"/>
      <c r="TD215" s="1"/>
      <c r="TE215" s="1"/>
      <c r="TF215" s="1"/>
      <c r="TG215" s="1"/>
      <c r="TH215" s="1"/>
      <c r="TI215" s="1"/>
      <c r="TJ215" s="1"/>
      <c r="TK215" s="1"/>
      <c r="TL215" s="1"/>
      <c r="TM215" s="1"/>
      <c r="TN215" s="1"/>
      <c r="TO215" s="1"/>
      <c r="TP215" s="1"/>
      <c r="TQ215" s="1"/>
      <c r="TR215" s="1"/>
      <c r="TS215" s="1"/>
      <c r="TT215" s="1"/>
      <c r="TU215" s="1"/>
      <c r="TV215" s="1"/>
      <c r="TW215" s="1"/>
      <c r="TX215" s="1"/>
      <c r="TY215" s="1"/>
      <c r="TZ215" s="1"/>
      <c r="UA215" s="1"/>
      <c r="UB215" s="1"/>
      <c r="UC215" s="1"/>
      <c r="UD215" s="1"/>
      <c r="UE215" s="1"/>
      <c r="UF215" s="1"/>
      <c r="UG215" s="1"/>
      <c r="UH215" s="1"/>
      <c r="UI215" s="1"/>
      <c r="UJ215" s="1"/>
      <c r="UK215" s="1"/>
      <c r="UL215" s="1"/>
      <c r="UM215" s="1"/>
      <c r="UN215" s="1"/>
      <c r="UO215" s="1"/>
      <c r="UP215" s="1"/>
      <c r="UQ215" s="1"/>
      <c r="UR215" s="1"/>
      <c r="US215" s="1"/>
      <c r="UT215" s="1"/>
      <c r="UU215" s="1"/>
      <c r="UV215" s="1"/>
      <c r="UW215" s="1"/>
      <c r="UX215" s="1"/>
      <c r="UY215" s="1"/>
      <c r="UZ215" s="1"/>
      <c r="VA215" s="1"/>
      <c r="VB215" s="1"/>
      <c r="VC215" s="1"/>
      <c r="VD215" s="1"/>
      <c r="VE215" s="1"/>
      <c r="VF215" s="1"/>
      <c r="VG215" s="1"/>
      <c r="VH215" s="1"/>
      <c r="VI215" s="1"/>
      <c r="VJ215" s="1"/>
      <c r="VK215" s="1"/>
      <c r="VL215" s="1"/>
      <c r="VM215" s="1"/>
      <c r="VN215" s="1"/>
      <c r="VO215" s="1"/>
      <c r="VP215" s="1"/>
      <c r="VQ215" s="1"/>
      <c r="VR215" s="1"/>
      <c r="VS215" s="1"/>
      <c r="VT215" s="1"/>
      <c r="VU215" s="1"/>
      <c r="VV215" s="1"/>
      <c r="VW215" s="1"/>
      <c r="VX215" s="1"/>
      <c r="VY215" s="1"/>
      <c r="VZ215" s="1"/>
      <c r="WA215" s="1"/>
      <c r="WB215" s="1"/>
      <c r="WC215" s="1"/>
      <c r="WD215" s="1"/>
      <c r="WE215" s="1"/>
      <c r="WF215" s="1"/>
      <c r="WG215" s="1"/>
      <c r="WH215" s="1"/>
      <c r="WI215" s="1"/>
      <c r="WJ215" s="1"/>
      <c r="WK215" s="1"/>
      <c r="WL215" s="1"/>
      <c r="WM215" s="1"/>
      <c r="WN215" s="1"/>
      <c r="WO215" s="1"/>
      <c r="WP215" s="1"/>
      <c r="WQ215" s="1"/>
      <c r="WR215" s="1"/>
      <c r="WS215" s="1"/>
      <c r="WT215" s="1"/>
      <c r="WU215" s="1"/>
      <c r="WV215" s="1"/>
      <c r="WW215" s="1"/>
      <c r="WX215" s="1"/>
      <c r="WY215" s="1"/>
      <c r="WZ215" s="1"/>
      <c r="XA215" s="1"/>
      <c r="XB215" s="1"/>
      <c r="XC215" s="1"/>
      <c r="XD215" s="1"/>
      <c r="XE215" s="1"/>
      <c r="XF215" s="1"/>
      <c r="XG215" s="1"/>
      <c r="XH215" s="1"/>
      <c r="XI215" s="1"/>
      <c r="XJ215" s="1"/>
      <c r="XK215" s="1"/>
      <c r="XL215" s="1"/>
      <c r="XM215" s="1"/>
      <c r="XN215" s="1"/>
      <c r="XO215" s="1"/>
      <c r="XP215" s="1"/>
      <c r="XQ215" s="1"/>
      <c r="XR215" s="1"/>
      <c r="XS215" s="1"/>
      <c r="XT215" s="1"/>
      <c r="XU215" s="1"/>
      <c r="XV215" s="1"/>
      <c r="XW215" s="1"/>
      <c r="XX215" s="1"/>
      <c r="XY215" s="1"/>
      <c r="XZ215" s="1"/>
      <c r="YA215" s="1"/>
      <c r="YB215" s="1"/>
      <c r="YC215" s="1"/>
      <c r="YD215" s="1"/>
      <c r="YE215" s="1"/>
      <c r="YF215" s="1"/>
      <c r="YG215" s="1"/>
      <c r="YH215" s="1"/>
      <c r="YI215" s="1"/>
      <c r="YJ215" s="1"/>
      <c r="YK215" s="1"/>
      <c r="YL215" s="1"/>
      <c r="YM215" s="1"/>
      <c r="YN215" s="1"/>
      <c r="YO215" s="1"/>
      <c r="YP215" s="1"/>
      <c r="YQ215" s="1"/>
      <c r="YR215" s="1"/>
      <c r="YS215" s="1"/>
      <c r="YT215" s="1"/>
      <c r="YU215" s="1"/>
      <c r="YV215" s="1"/>
      <c r="YW215" s="1"/>
      <c r="YX215" s="1"/>
      <c r="YY215" s="1"/>
      <c r="YZ215" s="1"/>
      <c r="ZA215" s="1"/>
      <c r="ZB215" s="1"/>
      <c r="ZC215" s="1"/>
      <c r="ZD215" s="1"/>
      <c r="ZE215" s="1"/>
      <c r="ZF215" s="1"/>
      <c r="ZG215" s="1"/>
      <c r="ZH215" s="1"/>
      <c r="ZI215" s="1"/>
      <c r="ZJ215" s="1"/>
      <c r="ZK215" s="1"/>
      <c r="ZL215" s="1"/>
      <c r="ZM215" s="1"/>
      <c r="ZN215" s="1"/>
      <c r="ZO215" s="1"/>
      <c r="ZP215" s="1"/>
      <c r="ZQ215" s="1"/>
      <c r="ZR215" s="1"/>
      <c r="ZS215" s="1"/>
      <c r="ZT215" s="1"/>
      <c r="ZU215" s="1"/>
      <c r="ZV215" s="1"/>
      <c r="ZW215" s="1"/>
      <c r="ZX215" s="1"/>
      <c r="ZY215" s="1"/>
      <c r="ZZ215" s="1"/>
      <c r="AAA215" s="1"/>
      <c r="AAB215" s="1"/>
      <c r="AAC215" s="1"/>
      <c r="AAD215" s="1"/>
      <c r="AAE215" s="1"/>
      <c r="AAF215" s="1"/>
      <c r="AAG215" s="1"/>
      <c r="AAH215" s="1"/>
      <c r="AAI215" s="1"/>
      <c r="AAJ215" s="1"/>
      <c r="AAK215" s="1"/>
      <c r="AAL215" s="1"/>
      <c r="AAM215" s="1"/>
      <c r="AAN215" s="1"/>
      <c r="AAO215" s="1"/>
      <c r="AAP215" s="1"/>
      <c r="AAQ215" s="1"/>
      <c r="AAR215" s="1"/>
      <c r="AAS215" s="1"/>
      <c r="AAT215" s="1"/>
      <c r="AAU215" s="1"/>
      <c r="AAV215" s="1"/>
      <c r="AAW215" s="1"/>
      <c r="AAX215" s="1"/>
      <c r="AAY215" s="1"/>
      <c r="AAZ215" s="1"/>
      <c r="ABA215" s="1"/>
      <c r="ABB215" s="1"/>
      <c r="ABC215" s="1"/>
      <c r="ABD215" s="1"/>
      <c r="ABE215" s="1"/>
      <c r="ABF215" s="1"/>
      <c r="ABG215" s="1"/>
      <c r="ABH215" s="1"/>
      <c r="ABI215" s="1"/>
      <c r="ABJ215" s="1"/>
      <c r="ABK215" s="1"/>
      <c r="ABL215" s="1"/>
      <c r="ABM215" s="1"/>
      <c r="ABN215" s="1"/>
      <c r="ABO215" s="1"/>
      <c r="ABP215" s="1"/>
      <c r="ABQ215" s="1"/>
      <c r="ABR215" s="1"/>
      <c r="ABS215" s="1"/>
      <c r="ABT215" s="1"/>
      <c r="ABU215" s="1"/>
      <c r="ABV215" s="1"/>
      <c r="ABW215" s="1"/>
      <c r="ABX215" s="1"/>
      <c r="ABY215" s="1"/>
      <c r="ABZ215" s="1"/>
      <c r="ACA215" s="1"/>
      <c r="ACB215" s="1"/>
      <c r="ACC215" s="1"/>
      <c r="ACD215" s="1"/>
      <c r="ACE215" s="1"/>
      <c r="ACF215" s="1"/>
      <c r="ACG215" s="1"/>
      <c r="ACH215" s="1"/>
      <c r="ACI215" s="1"/>
      <c r="ACJ215" s="1"/>
      <c r="ACK215" s="1"/>
      <c r="ACL215" s="1"/>
      <c r="ACM215" s="1"/>
      <c r="ACN215" s="1"/>
      <c r="ACO215" s="1"/>
      <c r="ACP215" s="1"/>
      <c r="ACQ215" s="1"/>
      <c r="ACR215" s="1"/>
      <c r="ACS215" s="1"/>
      <c r="ACT215" s="1"/>
      <c r="ACU215" s="1"/>
      <c r="ACV215" s="1"/>
      <c r="ACW215" s="1"/>
      <c r="ACX215" s="1"/>
      <c r="ACY215" s="1"/>
      <c r="ACZ215" s="1"/>
      <c r="ADA215" s="1"/>
      <c r="ADB215" s="1"/>
      <c r="ADC215" s="1"/>
      <c r="ADD215" s="1"/>
      <c r="ADE215" s="1"/>
      <c r="ADF215" s="1"/>
      <c r="ADG215" s="1"/>
      <c r="ADH215" s="1"/>
      <c r="ADI215" s="1"/>
      <c r="ADJ215" s="1"/>
      <c r="ADK215" s="1"/>
      <c r="ADL215" s="1"/>
      <c r="ADM215" s="1"/>
      <c r="ADN215" s="1"/>
      <c r="ADO215" s="1"/>
      <c r="ADP215" s="1"/>
      <c r="ADQ215" s="1"/>
      <c r="ADR215" s="1"/>
      <c r="ADS215" s="1"/>
      <c r="ADT215" s="1"/>
      <c r="ADU215" s="1"/>
      <c r="ADV215" s="1"/>
      <c r="ADW215" s="1"/>
      <c r="ADX215" s="1"/>
      <c r="ADY215" s="1"/>
      <c r="ADZ215" s="1"/>
      <c r="AEA215" s="1"/>
      <c r="AEB215" s="1"/>
      <c r="AEC215" s="1"/>
      <c r="AED215" s="1"/>
      <c r="AEE215" s="1"/>
      <c r="AEF215" s="1"/>
      <c r="AEG215" s="1"/>
      <c r="AEH215" s="1"/>
      <c r="AEI215" s="1"/>
      <c r="AEJ215" s="1"/>
      <c r="AEK215" s="1"/>
      <c r="AEL215" s="1"/>
      <c r="AEM215" s="1"/>
      <c r="AEN215" s="1"/>
      <c r="AEO215" s="1"/>
      <c r="AEP215" s="1"/>
      <c r="AEQ215" s="1"/>
      <c r="AER215" s="1"/>
      <c r="AES215" s="1"/>
      <c r="AET215" s="1"/>
      <c r="AEU215" s="1"/>
      <c r="AEV215" s="1"/>
      <c r="AEW215" s="1"/>
      <c r="AEX215" s="1"/>
      <c r="AEY215" s="1"/>
      <c r="AEZ215" s="1"/>
      <c r="AFA215" s="1"/>
      <c r="AFB215" s="1"/>
      <c r="AFC215" s="1"/>
      <c r="AFD215" s="1"/>
      <c r="AFE215" s="1"/>
      <c r="AFF215" s="1"/>
      <c r="AFG215" s="1"/>
      <c r="AFH215" s="1"/>
      <c r="AFI215" s="1"/>
      <c r="AFJ215" s="1"/>
      <c r="AFK215" s="1"/>
      <c r="AFL215" s="1"/>
      <c r="AFM215" s="1"/>
      <c r="AFN215" s="1"/>
      <c r="AFO215" s="1"/>
      <c r="AFP215" s="1"/>
      <c r="AFQ215" s="1"/>
      <c r="AFR215" s="1"/>
      <c r="AFS215" s="1"/>
      <c r="AFT215" s="1"/>
      <c r="AFU215" s="1"/>
      <c r="AFV215" s="1"/>
      <c r="AFW215" s="1"/>
      <c r="AFX215" s="1"/>
      <c r="AFY215" s="1"/>
      <c r="AFZ215" s="1"/>
      <c r="AGA215" s="1"/>
      <c r="AGB215" s="1"/>
      <c r="AGC215" s="1"/>
      <c r="AGD215" s="1"/>
      <c r="AGE215" s="1"/>
      <c r="AGF215" s="1"/>
      <c r="AGG215" s="1"/>
      <c r="AGH215" s="1"/>
      <c r="AGI215" s="1"/>
      <c r="AGJ215" s="1"/>
      <c r="AGK215" s="1"/>
      <c r="AGL215" s="1"/>
      <c r="AGM215" s="1"/>
      <c r="AGN215" s="1"/>
      <c r="AGO215" s="1"/>
      <c r="AGP215" s="1"/>
      <c r="AGQ215" s="1"/>
      <c r="AGR215" s="1"/>
      <c r="AGS215" s="1"/>
      <c r="AGT215" s="1"/>
      <c r="AGU215" s="1"/>
      <c r="AGV215" s="1"/>
      <c r="AGW215" s="1"/>
      <c r="AGX215" s="1"/>
      <c r="AGY215" s="1"/>
      <c r="AGZ215" s="1"/>
      <c r="AHA215" s="1"/>
      <c r="AHB215" s="1"/>
      <c r="AHC215" s="1"/>
      <c r="AHD215" s="1"/>
      <c r="AHE215" s="1"/>
      <c r="AHF215" s="1"/>
      <c r="AHG215" s="1"/>
      <c r="AHH215" s="1"/>
      <c r="AHI215" s="1"/>
      <c r="AHJ215" s="1"/>
      <c r="AHK215" s="1"/>
      <c r="AHL215" s="1"/>
      <c r="AHM215" s="1"/>
      <c r="AHN215" s="1"/>
      <c r="AHO215" s="1"/>
      <c r="AHP215" s="1"/>
      <c r="AHQ215" s="1"/>
      <c r="AHR215" s="1"/>
      <c r="AHS215" s="1"/>
      <c r="AHT215" s="1"/>
      <c r="AHU215" s="1"/>
      <c r="AHV215" s="1"/>
      <c r="AHW215" s="1"/>
      <c r="AHX215" s="1"/>
      <c r="AHY215" s="1"/>
      <c r="AHZ215" s="1"/>
      <c r="AIA215" s="1"/>
      <c r="AIB215" s="1"/>
      <c r="AIC215" s="1"/>
      <c r="AID215" s="1"/>
      <c r="AIE215" s="1"/>
      <c r="AIF215" s="1"/>
      <c r="AIG215" s="1"/>
      <c r="AIH215" s="1"/>
      <c r="AII215" s="1"/>
      <c r="AIJ215" s="1"/>
      <c r="AIK215" s="1"/>
      <c r="AIL215" s="1"/>
      <c r="AIM215" s="1"/>
      <c r="AIN215" s="1"/>
      <c r="AIO215" s="1"/>
      <c r="AIP215" s="1"/>
      <c r="AIQ215" s="1"/>
      <c r="AIR215" s="1"/>
      <c r="AIS215" s="1"/>
      <c r="AIT215" s="1"/>
      <c r="AIU215" s="1"/>
      <c r="AIV215" s="1"/>
      <c r="AIW215" s="1"/>
      <c r="AIX215" s="1"/>
      <c r="AIY215" s="1"/>
      <c r="AIZ215" s="1"/>
      <c r="AJA215" s="1"/>
      <c r="AJB215" s="1"/>
      <c r="AJC215" s="1"/>
      <c r="AJD215" s="1"/>
      <c r="AJE215" s="1"/>
      <c r="AJF215" s="1"/>
      <c r="AJG215" s="1"/>
      <c r="AJH215" s="1"/>
      <c r="AJI215" s="1"/>
      <c r="AJJ215" s="1"/>
      <c r="AJK215" s="1"/>
      <c r="AJL215" s="1"/>
      <c r="AJM215" s="1"/>
      <c r="AJN215" s="1"/>
      <c r="AJO215" s="1"/>
      <c r="AJP215" s="1"/>
      <c r="AJQ215" s="1"/>
      <c r="AJR215" s="1"/>
      <c r="AJS215" s="1"/>
      <c r="AJT215" s="1"/>
      <c r="AJU215" s="1"/>
      <c r="AJV215" s="1"/>
      <c r="AJW215" s="1"/>
      <c r="AJX215" s="1"/>
      <c r="AJY215" s="1"/>
      <c r="AJZ215" s="1"/>
      <c r="AKA215" s="1"/>
      <c r="AKB215" s="1"/>
      <c r="AKC215" s="1"/>
      <c r="AKD215" s="1"/>
      <c r="AKE215" s="1"/>
      <c r="AKF215" s="1"/>
      <c r="AKG215" s="1"/>
      <c r="AKH215" s="1"/>
      <c r="AKI215" s="1"/>
      <c r="AKJ215" s="1"/>
      <c r="AKK215" s="1"/>
      <c r="AKL215" s="1"/>
      <c r="AKM215" s="1"/>
      <c r="AKN215" s="1"/>
      <c r="AKO215" s="1"/>
      <c r="AKP215" s="1"/>
      <c r="AKQ215" s="1"/>
      <c r="AKR215" s="1"/>
      <c r="AKS215" s="1"/>
      <c r="AKT215" s="1"/>
      <c r="AKU215" s="1"/>
      <c r="AKV215" s="1"/>
      <c r="AKW215" s="1"/>
      <c r="AKX215" s="1"/>
      <c r="AKY215" s="1"/>
      <c r="AKZ215" s="1"/>
      <c r="ALA215" s="1"/>
      <c r="ALB215" s="1"/>
      <c r="ALC215" s="1"/>
      <c r="ALD215" s="1"/>
      <c r="ALE215" s="1"/>
      <c r="ALF215" s="1"/>
      <c r="ALG215" s="1"/>
      <c r="ALH215" s="1"/>
      <c r="ALI215" s="1"/>
      <c r="ALJ215" s="1"/>
      <c r="ALK215" s="1"/>
      <c r="ALL215" s="1"/>
      <c r="ALM215" s="1"/>
      <c r="ALN215" s="1"/>
      <c r="ALO215" s="1"/>
      <c r="ALP215" s="1"/>
      <c r="ALQ215" s="1"/>
      <c r="ALR215" s="1"/>
      <c r="ALS215" s="1"/>
      <c r="ALT215" s="1"/>
      <c r="ALU215" s="1"/>
      <c r="ALV215" s="1"/>
      <c r="ALW215" s="1"/>
      <c r="ALX215" s="1"/>
      <c r="ALY215" s="1"/>
      <c r="ALZ215" s="1"/>
      <c r="AMA215" s="1"/>
      <c r="AMB215" s="1"/>
      <c r="AMC215" s="1"/>
      <c r="AMD215" s="1"/>
      <c r="AME215" s="1"/>
      <c r="AMF215" s="1"/>
      <c r="AMG215" s="1"/>
      <c r="AMH215" s="1"/>
      <c r="AMI215" s="1"/>
      <c r="AMJ215" s="1"/>
      <c r="AMK215" s="1"/>
      <c r="AML215" s="1"/>
      <c r="AMM215" s="1"/>
      <c r="AMN215" s="1"/>
      <c r="AMO215" s="1"/>
    </row>
    <row r="216" spans="1:1030" x14ac:dyDescent="0.2">
      <c r="A216" s="3" t="str">
        <f t="shared" ref="A216:A291" si="753">CONCATENATE(B216,"_",C216)</f>
        <v>opsd_bovin_5EN0</v>
      </c>
      <c r="B216" s="3" t="s">
        <v>920</v>
      </c>
      <c r="C216" s="3" t="s">
        <v>1364</v>
      </c>
      <c r="D216" s="3" t="str">
        <f>IFERROR(MID(VLOOKUP($B216,Seqs!$A:$B,2,0),E216,1),"")</f>
        <v>E</v>
      </c>
      <c r="E216" s="105">
        <v>33</v>
      </c>
      <c r="F216" s="3" t="str">
        <f>IFERROR(MID(VLOOKUP($B216,Seqs!$A:$B,2,0),G216,1),"")</f>
        <v>H</v>
      </c>
      <c r="G216" s="3">
        <v>65</v>
      </c>
      <c r="H216" s="3" t="str">
        <f>IFERROR(MID(VLOOKUP($B216,Seqs!$A:$B,2,0),I216,1),"")</f>
        <v>K</v>
      </c>
      <c r="I216" s="23">
        <v>66</v>
      </c>
      <c r="J216" s="3" t="str">
        <f>IFERROR(MID(VLOOKUP($B216,Seqs!$A:$B,2,0),K216,1),"")</f>
        <v>R</v>
      </c>
      <c r="K216" s="23">
        <v>69</v>
      </c>
      <c r="L216" s="3" t="str">
        <f>IFERROR(MID(VLOOKUP($B216,Seqs!$A:$B,2,0),M216,1),"")</f>
        <v>T</v>
      </c>
      <c r="M216" s="3">
        <v>70</v>
      </c>
      <c r="N216" s="3" t="str">
        <f>IFERROR(MID(VLOOKUP($B216,Seqs!$A:$B,2,0),O216,1),"")</f>
        <v>H</v>
      </c>
      <c r="O216" s="3">
        <v>100</v>
      </c>
      <c r="P216" s="3" t="str">
        <f>IFERROR(MID(VLOOKUP($B216,Seqs!$A:$B,2,0),Q216,1),"")</f>
        <v>Y</v>
      </c>
      <c r="Q216" s="3">
        <v>102</v>
      </c>
      <c r="R216" s="3" t="str">
        <f>IFERROR(MID(VLOOKUP($B216,Seqs!$A:$B,2,0),S216,1),"")</f>
        <v>F</v>
      </c>
      <c r="S216" s="3">
        <v>105</v>
      </c>
      <c r="T216" s="3" t="str">
        <f>IFERROR(MID(VLOOKUP($B216,Seqs!$A:$B,2,0),U216,1),"")</f>
        <v>G</v>
      </c>
      <c r="U216" s="3">
        <v>106</v>
      </c>
      <c r="V216" s="3" t="str">
        <f>IFERROR(MID(VLOOKUP($B216,Seqs!$A:$B,2,0),W216,1),"")</f>
        <v>K</v>
      </c>
      <c r="W216" s="3">
        <v>141</v>
      </c>
      <c r="X216" s="3" t="str">
        <f>IFERROR(MID(VLOOKUP($B216,Seqs!$A:$B,2,0),Y216,1),"")</f>
        <v/>
      </c>
      <c r="Y216" s="3" t="s">
        <v>23</v>
      </c>
      <c r="Z216" s="3" t="str">
        <f>IFERROR(MID(VLOOKUP($B216,Seqs!$A:$B,2,0),AA216,1),"")</f>
        <v/>
      </c>
      <c r="AA216" s="3" t="s">
        <v>23</v>
      </c>
      <c r="AB216" s="3" t="str">
        <f>IFERROR(MID(VLOOKUP($B216,Seqs!$A:$B,2,0),AC216,1),"")</f>
        <v>G</v>
      </c>
      <c r="AC216" s="9">
        <v>149</v>
      </c>
      <c r="AD216" s="3" t="str">
        <f>IFERROR(MID(VLOOKUP($B216,Seqs!$A:$B,2,0),AE216,1),"")</f>
        <v>V</v>
      </c>
      <c r="AE216" s="3">
        <v>173</v>
      </c>
      <c r="AF216" s="3" t="str">
        <f>IFERROR(MID(VLOOKUP($B216,Seqs!$A:$B,2,0),AG216,1),"")</f>
        <v>C</v>
      </c>
      <c r="AG216" s="3">
        <v>187</v>
      </c>
      <c r="AH216" s="3" t="str">
        <f>IFERROR(MID(VLOOKUP($B216,Seqs!$A:$B,2,0),AI216,1),"")</f>
        <v>I</v>
      </c>
      <c r="AI216" s="3">
        <v>189</v>
      </c>
      <c r="AJ216" s="3" t="str">
        <f>IFERROR(MID(VLOOKUP($B216,Seqs!$A:$B,2,0),AK216,1),"")</f>
        <v>N</v>
      </c>
      <c r="AK216" s="3">
        <v>199</v>
      </c>
      <c r="AL216" s="3" t="str">
        <f>IFERROR(MID(VLOOKUP($B216,Seqs!$A:$B,2,0),AM216,1),"")</f>
        <v>Q</v>
      </c>
      <c r="AM216" s="3">
        <v>237</v>
      </c>
      <c r="AN216" s="3" t="str">
        <f>IFERROR(MID(VLOOKUP($B216,Seqs!$A:$B,2,0),AO216,1),"")</f>
        <v>A</v>
      </c>
      <c r="AO216" s="3">
        <v>241</v>
      </c>
      <c r="AP216" s="3" t="str">
        <f>IFERROR(MID(VLOOKUP($B216,Seqs!$A:$B,2,0),AQ216,1),"")</f>
        <v>H</v>
      </c>
      <c r="AQ216" s="3">
        <v>278</v>
      </c>
      <c r="AR216" s="3" t="str">
        <f>IFERROR(MID(VLOOKUP($B216,Seqs!$A:$B,2,0),AS216,1),"")</f>
        <v>G</v>
      </c>
      <c r="AS216" s="3">
        <v>284</v>
      </c>
      <c r="AT216" s="3" t="str">
        <f>IFERROR(MID(VLOOKUP($B216,Seqs!$A:$B,2,0),AU216,1),"")</f>
        <v>M</v>
      </c>
      <c r="AU216" s="3">
        <v>309</v>
      </c>
      <c r="AV216" s="3" t="str">
        <f>IFERROR(MID(VLOOKUP($B216,Seqs!$A:$B,2,0),AW216,1),"")</f>
        <v>N</v>
      </c>
      <c r="AW216" s="3">
        <v>310</v>
      </c>
      <c r="AX216" s="3" t="str">
        <f>IFERROR(MID(VLOOKUP($B216,Seqs!$A:$B,2,0),AY216,1),"")</f>
        <v>C</v>
      </c>
      <c r="AY216" s="3">
        <v>322</v>
      </c>
      <c r="AZ216" s="77" t="str">
        <f>VLOOKUP(B216,Classification!A:D,2,0)</f>
        <v>A</v>
      </c>
      <c r="BA216" s="94" t="str">
        <f>VLOOKUP(B216,Classification!A:D,4,0)</f>
        <v>Opsins</v>
      </c>
      <c r="BB216" s="27" t="b">
        <f t="shared" ref="BB216:BB291" si="754">AND(E216&lt;G216,OR(G216&lt;I216,I216="-"),OR(I216&lt;K216,I216="-"),OR(K216&lt;M216,K216="-"),M216&lt;O216,OR(O216&lt;Q216,Q216="-"),OR(Q216&lt;S216,Q216="-"),OR(S216&lt;U216,S216="-"),U216&lt;W216,OR(W216&lt;Y216,Y216="-"),OR(Y216&lt;AA216,Y216="-"),OR(AA216&lt;AC216,AA216="-"),AC216&lt;AE216,OR(AE216&lt;AG216,AG216="-"),OR(AG216&lt;AI216,AG216="-"),OR(AI216&lt;AK216,AI216="-"),AK216&lt;AM216,AM216&lt;AO216,AO216&lt;AQ216,AQ216&lt;AS216,AS216&lt;AU216,OR(AU216&lt;AW216,AW216="-"),OR(AW216&lt;AY216,AW216="-"))</f>
        <v>1</v>
      </c>
      <c r="BC216" s="23">
        <f t="shared" si="727"/>
        <v>253</v>
      </c>
      <c r="BD216" s="4" t="s">
        <v>23</v>
      </c>
      <c r="BE216" s="3" t="s">
        <v>1297</v>
      </c>
      <c r="BF216" s="119">
        <v>2.81</v>
      </c>
      <c r="BG216" s="49" t="s">
        <v>1384</v>
      </c>
      <c r="BH216" s="49" t="s">
        <v>1384</v>
      </c>
      <c r="BI216" s="1"/>
      <c r="BJ216" s="70" t="s">
        <v>1293</v>
      </c>
      <c r="BK216" s="57" t="s">
        <v>1293</v>
      </c>
      <c r="BL216" s="57" t="s">
        <v>1293</v>
      </c>
      <c r="BM216" s="57" t="s">
        <v>1293</v>
      </c>
      <c r="BN216" s="57" t="s">
        <v>1293</v>
      </c>
      <c r="BO216" s="57" t="s">
        <v>1293</v>
      </c>
      <c r="BP216" s="57" t="s">
        <v>1293</v>
      </c>
      <c r="BQ216" s="57" t="s">
        <v>1293</v>
      </c>
      <c r="BR216" s="57" t="s">
        <v>1293</v>
      </c>
      <c r="BS216" s="57" t="s">
        <v>1293</v>
      </c>
      <c r="BT216" s="57" t="s">
        <v>1293</v>
      </c>
      <c r="BU216" s="57" t="s">
        <v>1293</v>
      </c>
      <c r="BV216" s="70">
        <f t="shared" si="728"/>
        <v>33</v>
      </c>
      <c r="BW216" s="71">
        <f t="shared" si="729"/>
        <v>66</v>
      </c>
      <c r="BX216" s="72">
        <f t="shared" si="730"/>
        <v>70</v>
      </c>
      <c r="BY216" s="71">
        <f t="shared" si="731"/>
        <v>102</v>
      </c>
      <c r="BZ216" s="72">
        <f t="shared" si="732"/>
        <v>106</v>
      </c>
      <c r="CA216" s="71" t="str">
        <f t="shared" si="733"/>
        <v>-</v>
      </c>
      <c r="CB216" s="72">
        <f t="shared" si="734"/>
        <v>149</v>
      </c>
      <c r="CC216" s="71">
        <f t="shared" si="735"/>
        <v>187</v>
      </c>
      <c r="CD216" s="72">
        <f t="shared" si="736"/>
        <v>199</v>
      </c>
      <c r="CE216" s="71">
        <f t="shared" si="737"/>
        <v>241</v>
      </c>
      <c r="CF216" s="72">
        <f t="shared" si="738"/>
        <v>284</v>
      </c>
      <c r="CG216" s="71">
        <f t="shared" si="739"/>
        <v>310</v>
      </c>
      <c r="CH216" s="70">
        <f t="shared" si="740"/>
        <v>65</v>
      </c>
      <c r="CI216" s="71">
        <f t="shared" si="741"/>
        <v>69</v>
      </c>
      <c r="CJ216" s="72">
        <f t="shared" si="742"/>
        <v>100</v>
      </c>
      <c r="CK216" s="72">
        <f t="shared" si="743"/>
        <v>105</v>
      </c>
      <c r="CL216" s="72">
        <f t="shared" si="744"/>
        <v>141</v>
      </c>
      <c r="CM216" s="72" t="str">
        <f t="shared" si="745"/>
        <v>-</v>
      </c>
      <c r="CN216" s="72">
        <f t="shared" si="746"/>
        <v>173</v>
      </c>
      <c r="CO216" s="72">
        <f t="shared" si="747"/>
        <v>189</v>
      </c>
      <c r="CP216" s="72">
        <f t="shared" si="748"/>
        <v>237</v>
      </c>
      <c r="CQ216" s="72">
        <f t="shared" si="749"/>
        <v>278</v>
      </c>
      <c r="CR216" s="72">
        <f t="shared" si="750"/>
        <v>309</v>
      </c>
      <c r="CS216" s="72">
        <f t="shared" si="751"/>
        <v>322</v>
      </c>
      <c r="CT216" s="23">
        <f t="shared" si="752"/>
        <v>1</v>
      </c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  <c r="OK216" s="1"/>
      <c r="OL216" s="1"/>
      <c r="OM216" s="1"/>
      <c r="ON216" s="1"/>
      <c r="OO216" s="1"/>
      <c r="OP216" s="1"/>
      <c r="OQ216" s="1"/>
      <c r="OR216" s="1"/>
      <c r="OS216" s="1"/>
      <c r="OT216" s="1"/>
      <c r="OU216" s="1"/>
      <c r="OV216" s="1"/>
      <c r="OW216" s="1"/>
      <c r="OX216" s="1"/>
      <c r="OY216" s="1"/>
      <c r="OZ216" s="1"/>
      <c r="PA216" s="1"/>
      <c r="PB216" s="1"/>
      <c r="PC216" s="1"/>
      <c r="PD216" s="1"/>
      <c r="PE216" s="1"/>
      <c r="PF216" s="1"/>
      <c r="PG216" s="1"/>
      <c r="PH216" s="1"/>
      <c r="PI216" s="1"/>
      <c r="PJ216" s="1"/>
      <c r="PK216" s="1"/>
      <c r="PL216" s="1"/>
      <c r="PM216" s="1"/>
      <c r="PN216" s="1"/>
      <c r="PO216" s="1"/>
      <c r="PP216" s="1"/>
      <c r="PQ216" s="1"/>
      <c r="PR216" s="1"/>
      <c r="PS216" s="1"/>
      <c r="PT216" s="1"/>
      <c r="PU216" s="1"/>
      <c r="PV216" s="1"/>
      <c r="PW216" s="1"/>
      <c r="PX216" s="1"/>
      <c r="PY216" s="1"/>
      <c r="PZ216" s="1"/>
      <c r="QA216" s="1"/>
      <c r="QB216" s="1"/>
      <c r="QC216" s="1"/>
      <c r="QD216" s="1"/>
      <c r="QE216" s="1"/>
      <c r="QF216" s="1"/>
      <c r="QG216" s="1"/>
      <c r="QH216" s="1"/>
      <c r="QI216" s="1"/>
      <c r="QJ216" s="1"/>
      <c r="QK216" s="1"/>
      <c r="QL216" s="1"/>
      <c r="QM216" s="1"/>
      <c r="QN216" s="1"/>
      <c r="QO216" s="1"/>
      <c r="QP216" s="1"/>
      <c r="QQ216" s="1"/>
      <c r="QR216" s="1"/>
      <c r="QS216" s="1"/>
      <c r="QT216" s="1"/>
      <c r="QU216" s="1"/>
      <c r="QV216" s="1"/>
      <c r="QW216" s="1"/>
      <c r="QX216" s="1"/>
      <c r="QY216" s="1"/>
      <c r="QZ216" s="1"/>
      <c r="RA216" s="1"/>
      <c r="RB216" s="1"/>
      <c r="RC216" s="1"/>
      <c r="RD216" s="1"/>
      <c r="RE216" s="1"/>
      <c r="RF216" s="1"/>
      <c r="RG216" s="1"/>
      <c r="RH216" s="1"/>
      <c r="RI216" s="1"/>
      <c r="RJ216" s="1"/>
      <c r="RK216" s="1"/>
      <c r="RL216" s="1"/>
      <c r="RM216" s="1"/>
      <c r="RN216" s="1"/>
      <c r="RO216" s="1"/>
      <c r="RP216" s="1"/>
      <c r="RQ216" s="1"/>
      <c r="RR216" s="1"/>
      <c r="RS216" s="1"/>
      <c r="RT216" s="1"/>
      <c r="RU216" s="1"/>
      <c r="RV216" s="1"/>
      <c r="RW216" s="1"/>
      <c r="RX216" s="1"/>
      <c r="RY216" s="1"/>
      <c r="RZ216" s="1"/>
      <c r="SA216" s="1"/>
      <c r="SB216" s="1"/>
      <c r="SC216" s="1"/>
      <c r="SD216" s="1"/>
      <c r="SE216" s="1"/>
      <c r="SF216" s="1"/>
      <c r="SG216" s="1"/>
      <c r="SH216" s="1"/>
      <c r="SI216" s="1"/>
      <c r="SJ216" s="1"/>
      <c r="SK216" s="1"/>
      <c r="SL216" s="1"/>
      <c r="SM216" s="1"/>
      <c r="SN216" s="1"/>
      <c r="SO216" s="1"/>
      <c r="SP216" s="1"/>
      <c r="SQ216" s="1"/>
      <c r="SR216" s="1"/>
      <c r="SS216" s="1"/>
      <c r="ST216" s="1"/>
      <c r="SU216" s="1"/>
      <c r="SV216" s="1"/>
      <c r="SW216" s="1"/>
      <c r="SX216" s="1"/>
      <c r="SY216" s="1"/>
      <c r="SZ216" s="1"/>
      <c r="TA216" s="1"/>
      <c r="TB216" s="1"/>
      <c r="TC216" s="1"/>
      <c r="TD216" s="1"/>
      <c r="TE216" s="1"/>
      <c r="TF216" s="1"/>
      <c r="TG216" s="1"/>
      <c r="TH216" s="1"/>
      <c r="TI216" s="1"/>
      <c r="TJ216" s="1"/>
      <c r="TK216" s="1"/>
      <c r="TL216" s="1"/>
      <c r="TM216" s="1"/>
      <c r="TN216" s="1"/>
      <c r="TO216" s="1"/>
      <c r="TP216" s="1"/>
      <c r="TQ216" s="1"/>
      <c r="TR216" s="1"/>
      <c r="TS216" s="1"/>
      <c r="TT216" s="1"/>
      <c r="TU216" s="1"/>
      <c r="TV216" s="1"/>
      <c r="TW216" s="1"/>
      <c r="TX216" s="1"/>
      <c r="TY216" s="1"/>
      <c r="TZ216" s="1"/>
      <c r="UA216" s="1"/>
      <c r="UB216" s="1"/>
      <c r="UC216" s="1"/>
      <c r="UD216" s="1"/>
      <c r="UE216" s="1"/>
      <c r="UF216" s="1"/>
      <c r="UG216" s="1"/>
      <c r="UH216" s="1"/>
      <c r="UI216" s="1"/>
      <c r="UJ216" s="1"/>
      <c r="UK216" s="1"/>
      <c r="UL216" s="1"/>
      <c r="UM216" s="1"/>
      <c r="UN216" s="1"/>
      <c r="UO216" s="1"/>
      <c r="UP216" s="1"/>
      <c r="UQ216" s="1"/>
      <c r="UR216" s="1"/>
      <c r="US216" s="1"/>
      <c r="UT216" s="1"/>
      <c r="UU216" s="1"/>
      <c r="UV216" s="1"/>
      <c r="UW216" s="1"/>
      <c r="UX216" s="1"/>
      <c r="UY216" s="1"/>
      <c r="UZ216" s="1"/>
      <c r="VA216" s="1"/>
      <c r="VB216" s="1"/>
      <c r="VC216" s="1"/>
      <c r="VD216" s="1"/>
      <c r="VE216" s="1"/>
      <c r="VF216" s="1"/>
      <c r="VG216" s="1"/>
      <c r="VH216" s="1"/>
      <c r="VI216" s="1"/>
      <c r="VJ216" s="1"/>
      <c r="VK216" s="1"/>
      <c r="VL216" s="1"/>
      <c r="VM216" s="1"/>
      <c r="VN216" s="1"/>
      <c r="VO216" s="1"/>
      <c r="VP216" s="1"/>
      <c r="VQ216" s="1"/>
      <c r="VR216" s="1"/>
      <c r="VS216" s="1"/>
      <c r="VT216" s="1"/>
      <c r="VU216" s="1"/>
      <c r="VV216" s="1"/>
      <c r="VW216" s="1"/>
      <c r="VX216" s="1"/>
      <c r="VY216" s="1"/>
      <c r="VZ216" s="1"/>
      <c r="WA216" s="1"/>
      <c r="WB216" s="1"/>
      <c r="WC216" s="1"/>
      <c r="WD216" s="1"/>
      <c r="WE216" s="1"/>
      <c r="WF216" s="1"/>
      <c r="WG216" s="1"/>
      <c r="WH216" s="1"/>
      <c r="WI216" s="1"/>
      <c r="WJ216" s="1"/>
      <c r="WK216" s="1"/>
      <c r="WL216" s="1"/>
      <c r="WM216" s="1"/>
      <c r="WN216" s="1"/>
      <c r="WO216" s="1"/>
      <c r="WP216" s="1"/>
      <c r="WQ216" s="1"/>
      <c r="WR216" s="1"/>
      <c r="WS216" s="1"/>
      <c r="WT216" s="1"/>
      <c r="WU216" s="1"/>
      <c r="WV216" s="1"/>
      <c r="WW216" s="1"/>
      <c r="WX216" s="1"/>
      <c r="WY216" s="1"/>
      <c r="WZ216" s="1"/>
      <c r="XA216" s="1"/>
      <c r="XB216" s="1"/>
      <c r="XC216" s="1"/>
      <c r="XD216" s="1"/>
      <c r="XE216" s="1"/>
      <c r="XF216" s="1"/>
      <c r="XG216" s="1"/>
      <c r="XH216" s="1"/>
      <c r="XI216" s="1"/>
      <c r="XJ216" s="1"/>
      <c r="XK216" s="1"/>
      <c r="XL216" s="1"/>
      <c r="XM216" s="1"/>
      <c r="XN216" s="1"/>
      <c r="XO216" s="1"/>
      <c r="XP216" s="1"/>
      <c r="XQ216" s="1"/>
      <c r="XR216" s="1"/>
      <c r="XS216" s="1"/>
      <c r="XT216" s="1"/>
      <c r="XU216" s="1"/>
      <c r="XV216" s="1"/>
      <c r="XW216" s="1"/>
      <c r="XX216" s="1"/>
      <c r="XY216" s="1"/>
      <c r="XZ216" s="1"/>
      <c r="YA216" s="1"/>
      <c r="YB216" s="1"/>
      <c r="YC216" s="1"/>
      <c r="YD216" s="1"/>
      <c r="YE216" s="1"/>
      <c r="YF216" s="1"/>
      <c r="YG216" s="1"/>
      <c r="YH216" s="1"/>
      <c r="YI216" s="1"/>
      <c r="YJ216" s="1"/>
      <c r="YK216" s="1"/>
      <c r="YL216" s="1"/>
      <c r="YM216" s="1"/>
      <c r="YN216" s="1"/>
      <c r="YO216" s="1"/>
      <c r="YP216" s="1"/>
      <c r="YQ216" s="1"/>
      <c r="YR216" s="1"/>
      <c r="YS216" s="1"/>
      <c r="YT216" s="1"/>
      <c r="YU216" s="1"/>
      <c r="YV216" s="1"/>
      <c r="YW216" s="1"/>
      <c r="YX216" s="1"/>
      <c r="YY216" s="1"/>
      <c r="YZ216" s="1"/>
      <c r="ZA216" s="1"/>
      <c r="ZB216" s="1"/>
      <c r="ZC216" s="1"/>
      <c r="ZD216" s="1"/>
      <c r="ZE216" s="1"/>
      <c r="ZF216" s="1"/>
      <c r="ZG216" s="1"/>
      <c r="ZH216" s="1"/>
      <c r="ZI216" s="1"/>
      <c r="ZJ216" s="1"/>
      <c r="ZK216" s="1"/>
      <c r="ZL216" s="1"/>
      <c r="ZM216" s="1"/>
      <c r="ZN216" s="1"/>
      <c r="ZO216" s="1"/>
      <c r="ZP216" s="1"/>
      <c r="ZQ216" s="1"/>
      <c r="ZR216" s="1"/>
      <c r="ZS216" s="1"/>
      <c r="ZT216" s="1"/>
      <c r="ZU216" s="1"/>
      <c r="ZV216" s="1"/>
      <c r="ZW216" s="1"/>
      <c r="ZX216" s="1"/>
      <c r="ZY216" s="1"/>
      <c r="ZZ216" s="1"/>
      <c r="AAA216" s="1"/>
      <c r="AAB216" s="1"/>
      <c r="AAC216" s="1"/>
      <c r="AAD216" s="1"/>
      <c r="AAE216" s="1"/>
      <c r="AAF216" s="1"/>
      <c r="AAG216" s="1"/>
      <c r="AAH216" s="1"/>
      <c r="AAI216" s="1"/>
      <c r="AAJ216" s="1"/>
      <c r="AAK216" s="1"/>
      <c r="AAL216" s="1"/>
      <c r="AAM216" s="1"/>
      <c r="AAN216" s="1"/>
      <c r="AAO216" s="1"/>
      <c r="AAP216" s="1"/>
      <c r="AAQ216" s="1"/>
      <c r="AAR216" s="1"/>
      <c r="AAS216" s="1"/>
      <c r="AAT216" s="1"/>
      <c r="AAU216" s="1"/>
      <c r="AAV216" s="1"/>
      <c r="AAW216" s="1"/>
      <c r="AAX216" s="1"/>
      <c r="AAY216" s="1"/>
      <c r="AAZ216" s="1"/>
      <c r="ABA216" s="1"/>
      <c r="ABB216" s="1"/>
      <c r="ABC216" s="1"/>
      <c r="ABD216" s="1"/>
      <c r="ABE216" s="1"/>
      <c r="ABF216" s="1"/>
      <c r="ABG216" s="1"/>
      <c r="ABH216" s="1"/>
      <c r="ABI216" s="1"/>
      <c r="ABJ216" s="1"/>
      <c r="ABK216" s="1"/>
      <c r="ABL216" s="1"/>
      <c r="ABM216" s="1"/>
      <c r="ABN216" s="1"/>
      <c r="ABO216" s="1"/>
      <c r="ABP216" s="1"/>
      <c r="ABQ216" s="1"/>
      <c r="ABR216" s="1"/>
      <c r="ABS216" s="1"/>
      <c r="ABT216" s="1"/>
      <c r="ABU216" s="1"/>
      <c r="ABV216" s="1"/>
      <c r="ABW216" s="1"/>
      <c r="ABX216" s="1"/>
      <c r="ABY216" s="1"/>
      <c r="ABZ216" s="1"/>
      <c r="ACA216" s="1"/>
      <c r="ACB216" s="1"/>
      <c r="ACC216" s="1"/>
      <c r="ACD216" s="1"/>
      <c r="ACE216" s="1"/>
      <c r="ACF216" s="1"/>
      <c r="ACG216" s="1"/>
      <c r="ACH216" s="1"/>
      <c r="ACI216" s="1"/>
      <c r="ACJ216" s="1"/>
      <c r="ACK216" s="1"/>
      <c r="ACL216" s="1"/>
      <c r="ACM216" s="1"/>
      <c r="ACN216" s="1"/>
      <c r="ACO216" s="1"/>
      <c r="ACP216" s="1"/>
      <c r="ACQ216" s="1"/>
      <c r="ACR216" s="1"/>
      <c r="ACS216" s="1"/>
      <c r="ACT216" s="1"/>
      <c r="ACU216" s="1"/>
      <c r="ACV216" s="1"/>
      <c r="ACW216" s="1"/>
      <c r="ACX216" s="1"/>
      <c r="ACY216" s="1"/>
      <c r="ACZ216" s="1"/>
      <c r="ADA216" s="1"/>
      <c r="ADB216" s="1"/>
      <c r="ADC216" s="1"/>
      <c r="ADD216" s="1"/>
      <c r="ADE216" s="1"/>
      <c r="ADF216" s="1"/>
      <c r="ADG216" s="1"/>
      <c r="ADH216" s="1"/>
      <c r="ADI216" s="1"/>
      <c r="ADJ216" s="1"/>
      <c r="ADK216" s="1"/>
      <c r="ADL216" s="1"/>
      <c r="ADM216" s="1"/>
      <c r="ADN216" s="1"/>
      <c r="ADO216" s="1"/>
      <c r="ADP216" s="1"/>
      <c r="ADQ216" s="1"/>
      <c r="ADR216" s="1"/>
      <c r="ADS216" s="1"/>
      <c r="ADT216" s="1"/>
      <c r="ADU216" s="1"/>
      <c r="ADV216" s="1"/>
      <c r="ADW216" s="1"/>
      <c r="ADX216" s="1"/>
      <c r="ADY216" s="1"/>
      <c r="ADZ216" s="1"/>
      <c r="AEA216" s="1"/>
      <c r="AEB216" s="1"/>
      <c r="AEC216" s="1"/>
      <c r="AED216" s="1"/>
      <c r="AEE216" s="1"/>
      <c r="AEF216" s="1"/>
      <c r="AEG216" s="1"/>
      <c r="AEH216" s="1"/>
      <c r="AEI216" s="1"/>
      <c r="AEJ216" s="1"/>
      <c r="AEK216" s="1"/>
      <c r="AEL216" s="1"/>
      <c r="AEM216" s="1"/>
      <c r="AEN216" s="1"/>
      <c r="AEO216" s="1"/>
      <c r="AEP216" s="1"/>
      <c r="AEQ216" s="1"/>
      <c r="AER216" s="1"/>
      <c r="AES216" s="1"/>
      <c r="AET216" s="1"/>
      <c r="AEU216" s="1"/>
      <c r="AEV216" s="1"/>
      <c r="AEW216" s="1"/>
      <c r="AEX216" s="1"/>
      <c r="AEY216" s="1"/>
      <c r="AEZ216" s="1"/>
      <c r="AFA216" s="1"/>
      <c r="AFB216" s="1"/>
      <c r="AFC216" s="1"/>
      <c r="AFD216" s="1"/>
      <c r="AFE216" s="1"/>
      <c r="AFF216" s="1"/>
      <c r="AFG216" s="1"/>
      <c r="AFH216" s="1"/>
      <c r="AFI216" s="1"/>
      <c r="AFJ216" s="1"/>
      <c r="AFK216" s="1"/>
      <c r="AFL216" s="1"/>
      <c r="AFM216" s="1"/>
      <c r="AFN216" s="1"/>
      <c r="AFO216" s="1"/>
      <c r="AFP216" s="1"/>
      <c r="AFQ216" s="1"/>
      <c r="AFR216" s="1"/>
      <c r="AFS216" s="1"/>
      <c r="AFT216" s="1"/>
      <c r="AFU216" s="1"/>
      <c r="AFV216" s="1"/>
      <c r="AFW216" s="1"/>
      <c r="AFX216" s="1"/>
      <c r="AFY216" s="1"/>
      <c r="AFZ216" s="1"/>
      <c r="AGA216" s="1"/>
      <c r="AGB216" s="1"/>
      <c r="AGC216" s="1"/>
      <c r="AGD216" s="1"/>
      <c r="AGE216" s="1"/>
      <c r="AGF216" s="1"/>
      <c r="AGG216" s="1"/>
      <c r="AGH216" s="1"/>
      <c r="AGI216" s="1"/>
      <c r="AGJ216" s="1"/>
      <c r="AGK216" s="1"/>
      <c r="AGL216" s="1"/>
      <c r="AGM216" s="1"/>
      <c r="AGN216" s="1"/>
      <c r="AGO216" s="1"/>
      <c r="AGP216" s="1"/>
      <c r="AGQ216" s="1"/>
      <c r="AGR216" s="1"/>
      <c r="AGS216" s="1"/>
      <c r="AGT216" s="1"/>
      <c r="AGU216" s="1"/>
      <c r="AGV216" s="1"/>
      <c r="AGW216" s="1"/>
      <c r="AGX216" s="1"/>
      <c r="AGY216" s="1"/>
      <c r="AGZ216" s="1"/>
      <c r="AHA216" s="1"/>
      <c r="AHB216" s="1"/>
      <c r="AHC216" s="1"/>
      <c r="AHD216" s="1"/>
      <c r="AHE216" s="1"/>
      <c r="AHF216" s="1"/>
      <c r="AHG216" s="1"/>
      <c r="AHH216" s="1"/>
      <c r="AHI216" s="1"/>
      <c r="AHJ216" s="1"/>
      <c r="AHK216" s="1"/>
      <c r="AHL216" s="1"/>
      <c r="AHM216" s="1"/>
      <c r="AHN216" s="1"/>
      <c r="AHO216" s="1"/>
      <c r="AHP216" s="1"/>
      <c r="AHQ216" s="1"/>
      <c r="AHR216" s="1"/>
      <c r="AHS216" s="1"/>
      <c r="AHT216" s="1"/>
      <c r="AHU216" s="1"/>
      <c r="AHV216" s="1"/>
      <c r="AHW216" s="1"/>
      <c r="AHX216" s="1"/>
      <c r="AHY216" s="1"/>
      <c r="AHZ216" s="1"/>
      <c r="AIA216" s="1"/>
      <c r="AIB216" s="1"/>
      <c r="AIC216" s="1"/>
      <c r="AID216" s="1"/>
      <c r="AIE216" s="1"/>
      <c r="AIF216" s="1"/>
      <c r="AIG216" s="1"/>
      <c r="AIH216" s="1"/>
      <c r="AII216" s="1"/>
      <c r="AIJ216" s="1"/>
      <c r="AIK216" s="1"/>
      <c r="AIL216" s="1"/>
      <c r="AIM216" s="1"/>
      <c r="AIN216" s="1"/>
      <c r="AIO216" s="1"/>
      <c r="AIP216" s="1"/>
      <c r="AIQ216" s="1"/>
      <c r="AIR216" s="1"/>
      <c r="AIS216" s="1"/>
      <c r="AIT216" s="1"/>
      <c r="AIU216" s="1"/>
      <c r="AIV216" s="1"/>
      <c r="AIW216" s="1"/>
      <c r="AIX216" s="1"/>
      <c r="AIY216" s="1"/>
      <c r="AIZ216" s="1"/>
      <c r="AJA216" s="1"/>
      <c r="AJB216" s="1"/>
      <c r="AJC216" s="1"/>
      <c r="AJD216" s="1"/>
      <c r="AJE216" s="1"/>
      <c r="AJF216" s="1"/>
      <c r="AJG216" s="1"/>
      <c r="AJH216" s="1"/>
      <c r="AJI216" s="1"/>
      <c r="AJJ216" s="1"/>
      <c r="AJK216" s="1"/>
      <c r="AJL216" s="1"/>
      <c r="AJM216" s="1"/>
      <c r="AJN216" s="1"/>
      <c r="AJO216" s="1"/>
      <c r="AJP216" s="1"/>
      <c r="AJQ216" s="1"/>
      <c r="AJR216" s="1"/>
      <c r="AJS216" s="1"/>
      <c r="AJT216" s="1"/>
      <c r="AJU216" s="1"/>
      <c r="AJV216" s="1"/>
      <c r="AJW216" s="1"/>
      <c r="AJX216" s="1"/>
      <c r="AJY216" s="1"/>
      <c r="AJZ216" s="1"/>
      <c r="AKA216" s="1"/>
      <c r="AKB216" s="1"/>
      <c r="AKC216" s="1"/>
      <c r="AKD216" s="1"/>
      <c r="AKE216" s="1"/>
      <c r="AKF216" s="1"/>
      <c r="AKG216" s="1"/>
      <c r="AKH216" s="1"/>
      <c r="AKI216" s="1"/>
      <c r="AKJ216" s="1"/>
      <c r="AKK216" s="1"/>
      <c r="AKL216" s="1"/>
      <c r="AKM216" s="1"/>
      <c r="AKN216" s="1"/>
      <c r="AKO216" s="1"/>
      <c r="AKP216" s="1"/>
      <c r="AKQ216" s="1"/>
      <c r="AKR216" s="1"/>
      <c r="AKS216" s="1"/>
      <c r="AKT216" s="1"/>
      <c r="AKU216" s="1"/>
      <c r="AKV216" s="1"/>
      <c r="AKW216" s="1"/>
      <c r="AKX216" s="1"/>
      <c r="AKY216" s="1"/>
      <c r="AKZ216" s="1"/>
      <c r="ALA216" s="1"/>
      <c r="ALB216" s="1"/>
      <c r="ALC216" s="1"/>
      <c r="ALD216" s="1"/>
      <c r="ALE216" s="1"/>
      <c r="ALF216" s="1"/>
      <c r="ALG216" s="1"/>
      <c r="ALH216" s="1"/>
      <c r="ALI216" s="1"/>
      <c r="ALJ216" s="1"/>
      <c r="ALK216" s="1"/>
      <c r="ALL216" s="1"/>
      <c r="ALM216" s="1"/>
      <c r="ALN216" s="1"/>
      <c r="ALO216" s="1"/>
      <c r="ALP216" s="1"/>
      <c r="ALQ216" s="1"/>
      <c r="ALR216" s="1"/>
      <c r="ALS216" s="1"/>
      <c r="ALT216" s="1"/>
      <c r="ALU216" s="1"/>
      <c r="ALV216" s="1"/>
      <c r="ALW216" s="1"/>
      <c r="ALX216" s="1"/>
      <c r="ALY216" s="1"/>
      <c r="ALZ216" s="1"/>
      <c r="AMA216" s="1"/>
      <c r="AMB216" s="1"/>
      <c r="AMC216" s="1"/>
      <c r="AMD216" s="1"/>
      <c r="AME216" s="1"/>
      <c r="AMF216" s="1"/>
      <c r="AMG216" s="1"/>
      <c r="AMH216" s="1"/>
      <c r="AMI216" s="1"/>
      <c r="AMJ216" s="1"/>
      <c r="AMK216" s="1"/>
      <c r="AML216" s="1"/>
      <c r="AMM216" s="1"/>
      <c r="AMN216" s="1"/>
      <c r="AMO216" s="1"/>
    </row>
    <row r="217" spans="1:1030" x14ac:dyDescent="0.2">
      <c r="A217" s="3" t="str">
        <f t="shared" ref="A217:A227" si="755">CONCATENATE(B217,"_",C217)</f>
        <v>opsd_bovin_5TE3</v>
      </c>
      <c r="B217" s="3" t="s">
        <v>920</v>
      </c>
      <c r="C217" s="3" t="s">
        <v>1407</v>
      </c>
      <c r="D217" s="3" t="str">
        <f>IFERROR(MID(VLOOKUP($B217,Seqs!$A:$B,2,0),E217,1),"")</f>
        <v>E</v>
      </c>
      <c r="E217" s="105">
        <v>33</v>
      </c>
      <c r="F217" s="3" t="str">
        <f>IFERROR(MID(VLOOKUP($B217,Seqs!$A:$B,2,0),G217,1),"")</f>
        <v>H</v>
      </c>
      <c r="G217" s="3">
        <v>65</v>
      </c>
      <c r="H217" s="3" t="str">
        <f>IFERROR(MID(VLOOKUP($B217,Seqs!$A:$B,2,0),I217,1),"")</f>
        <v>K</v>
      </c>
      <c r="I217" s="23">
        <v>66</v>
      </c>
      <c r="J217" s="3" t="str">
        <f>IFERROR(MID(VLOOKUP($B217,Seqs!$A:$B,2,0),K217,1),"")</f>
        <v>R</v>
      </c>
      <c r="K217" s="23">
        <v>69</v>
      </c>
      <c r="L217" s="3" t="str">
        <f>IFERROR(MID(VLOOKUP($B217,Seqs!$A:$B,2,0),M217,1),"")</f>
        <v>T</v>
      </c>
      <c r="M217" s="3">
        <v>70</v>
      </c>
      <c r="N217" s="3" t="str">
        <f>IFERROR(MID(VLOOKUP($B217,Seqs!$A:$B,2,0),O217,1),"")</f>
        <v>H</v>
      </c>
      <c r="O217" s="3">
        <v>100</v>
      </c>
      <c r="P217" s="3" t="str">
        <f>IFERROR(MID(VLOOKUP($B217,Seqs!$A:$B,2,0),Q217,1),"")</f>
        <v>Y</v>
      </c>
      <c r="Q217" s="3">
        <v>102</v>
      </c>
      <c r="R217" s="3" t="str">
        <f>IFERROR(MID(VLOOKUP($B217,Seqs!$A:$B,2,0),S217,1),"")</f>
        <v>F</v>
      </c>
      <c r="S217" s="3">
        <v>105</v>
      </c>
      <c r="T217" s="3" t="str">
        <f>IFERROR(MID(VLOOKUP($B217,Seqs!$A:$B,2,0),U217,1),"")</f>
        <v>G</v>
      </c>
      <c r="U217" s="3">
        <v>106</v>
      </c>
      <c r="V217" s="3" t="str">
        <f>IFERROR(MID(VLOOKUP($B217,Seqs!$A:$B,2,0),W217,1),"")</f>
        <v>K</v>
      </c>
      <c r="W217" s="3">
        <v>141</v>
      </c>
      <c r="X217" s="3" t="str">
        <f>IFERROR(MID(VLOOKUP($B217,Seqs!$A:$B,2,0),Y217,1),"")</f>
        <v/>
      </c>
      <c r="Y217" s="3" t="s">
        <v>23</v>
      </c>
      <c r="Z217" s="3" t="str">
        <f>IFERROR(MID(VLOOKUP($B217,Seqs!$A:$B,2,0),AA217,1),"")</f>
        <v/>
      </c>
      <c r="AA217" s="3" t="s">
        <v>23</v>
      </c>
      <c r="AB217" s="3" t="str">
        <f>IFERROR(MID(VLOOKUP($B217,Seqs!$A:$B,2,0),AC217,1),"")</f>
        <v>G</v>
      </c>
      <c r="AC217" s="3">
        <v>149</v>
      </c>
      <c r="AD217" s="3" t="str">
        <f>IFERROR(MID(VLOOKUP($B217,Seqs!$A:$B,2,0),AE217,1),"")</f>
        <v>V</v>
      </c>
      <c r="AE217" s="3">
        <v>173</v>
      </c>
      <c r="AF217" s="3" t="str">
        <f>IFERROR(MID(VLOOKUP($B217,Seqs!$A:$B,2,0),AG217,1),"")</f>
        <v>C</v>
      </c>
      <c r="AG217" s="3">
        <v>187</v>
      </c>
      <c r="AH217" s="3" t="str">
        <f>IFERROR(MID(VLOOKUP($B217,Seqs!$A:$B,2,0),AI217,1),"")</f>
        <v>I</v>
      </c>
      <c r="AI217" s="3">
        <v>189</v>
      </c>
      <c r="AJ217" s="3" t="str">
        <f>IFERROR(MID(VLOOKUP($B217,Seqs!$A:$B,2,0),AK217,1),"")</f>
        <v>N</v>
      </c>
      <c r="AK217" s="3">
        <v>199</v>
      </c>
      <c r="AL217" s="3" t="str">
        <f>IFERROR(MID(VLOOKUP($B217,Seqs!$A:$B,2,0),AM217,1),"")</f>
        <v>Q</v>
      </c>
      <c r="AM217" s="3">
        <v>237</v>
      </c>
      <c r="AN217" s="3" t="str">
        <f>IFERROR(MID(VLOOKUP($B217,Seqs!$A:$B,2,0),AO217,1),"")</f>
        <v>A</v>
      </c>
      <c r="AO217" s="3">
        <v>241</v>
      </c>
      <c r="AP217" s="3" t="str">
        <f>IFERROR(MID(VLOOKUP($B217,Seqs!$A:$B,2,0),AQ217,1),"")</f>
        <v>H</v>
      </c>
      <c r="AQ217" s="3">
        <v>278</v>
      </c>
      <c r="AR217" s="3" t="str">
        <f>IFERROR(MID(VLOOKUP($B217,Seqs!$A:$B,2,0),AS217,1),"")</f>
        <v>G</v>
      </c>
      <c r="AS217" s="3">
        <v>284</v>
      </c>
      <c r="AT217" s="3" t="str">
        <f>IFERROR(MID(VLOOKUP($B217,Seqs!$A:$B,2,0),AU217,1),"")</f>
        <v>M</v>
      </c>
      <c r="AU217" s="3">
        <v>309</v>
      </c>
      <c r="AV217" s="3" t="str">
        <f>IFERROR(MID(VLOOKUP($B217,Seqs!$A:$B,2,0),AW217,1),"")</f>
        <v>N</v>
      </c>
      <c r="AW217" s="3">
        <v>310</v>
      </c>
      <c r="AX217" s="3" t="str">
        <f>IFERROR(MID(VLOOKUP($B217,Seqs!$A:$B,2,0),AY217,1),"")</f>
        <v>C</v>
      </c>
      <c r="AY217" s="3">
        <v>322</v>
      </c>
      <c r="AZ217" s="77" t="str">
        <f>VLOOKUP(B217,Classification!A:D,2,0)</f>
        <v>A</v>
      </c>
      <c r="BA217" s="94" t="str">
        <f>VLOOKUP(B217,Classification!A:D,4,0)</f>
        <v>Opsins</v>
      </c>
      <c r="BB217" s="27" t="b">
        <f t="shared" ref="BB217:BB227" si="756">AND(E217&lt;G217,OR(G217&lt;I217,I217="-"),OR(I217&lt;K217,I217="-"),OR(K217&lt;M217,K217="-"),M217&lt;O217,OR(O217&lt;Q217,Q217="-"),OR(Q217&lt;S217,Q217="-"),OR(S217&lt;U217,S217="-"),U217&lt;W217,OR(W217&lt;Y217,Y217="-"),OR(Y217&lt;AA217,Y217="-"),OR(AA217&lt;AC217,AA217="-"),AC217&lt;AE217,OR(AE217&lt;AG217,AG217="-"),OR(AG217&lt;AI217,AG217="-"),OR(AI217&lt;AK217,AI217="-"),AK217&lt;AM217,AM217&lt;AO217,AO217&lt;AQ217,AQ217&lt;AS217,AS217&lt;AU217,OR(AU217&lt;AW217,AW217="-"),OR(AW217&lt;AY217,AW217="-"))</f>
        <v>1</v>
      </c>
      <c r="BC217" s="23">
        <f t="shared" ref="BC217:BC227" si="757">_xlfn.AGGREGATE(9,6,CH217:CS217)-_xlfn.AGGREGATE(9,6,BV217:CG217)+12</f>
        <v>253</v>
      </c>
      <c r="BD217" s="2" t="s">
        <v>23</v>
      </c>
      <c r="BE217" s="3" t="s">
        <v>1297</v>
      </c>
      <c r="BF217" s="119">
        <v>2.7</v>
      </c>
      <c r="BG217" s="49" t="s">
        <v>1</v>
      </c>
      <c r="BH217" s="49" t="s">
        <v>1384</v>
      </c>
      <c r="BI217" s="1"/>
      <c r="BJ217" s="70" t="s">
        <v>1293</v>
      </c>
      <c r="BK217" s="57" t="s">
        <v>1293</v>
      </c>
      <c r="BL217" s="57" t="s">
        <v>1293</v>
      </c>
      <c r="BM217" s="57" t="s">
        <v>1293</v>
      </c>
      <c r="BN217" s="57" t="s">
        <v>1293</v>
      </c>
      <c r="BO217" s="57" t="s">
        <v>1293</v>
      </c>
      <c r="BP217" s="57" t="s">
        <v>1293</v>
      </c>
      <c r="BQ217" s="57" t="s">
        <v>1293</v>
      </c>
      <c r="BR217" s="57" t="s">
        <v>1293</v>
      </c>
      <c r="BS217" s="57" t="s">
        <v>1293</v>
      </c>
      <c r="BT217" s="57" t="s">
        <v>1293</v>
      </c>
      <c r="BU217" s="57" t="s">
        <v>1293</v>
      </c>
      <c r="BV217" s="70">
        <f t="shared" ref="BV217:BV227" si="758">E217</f>
        <v>33</v>
      </c>
      <c r="BW217" s="71">
        <f t="shared" ref="BW217:BW227" si="759">I217</f>
        <v>66</v>
      </c>
      <c r="BX217" s="72">
        <f t="shared" ref="BX217:BX227" si="760">M217</f>
        <v>70</v>
      </c>
      <c r="BY217" s="71">
        <f t="shared" ref="BY217:BY227" si="761">Q217</f>
        <v>102</v>
      </c>
      <c r="BZ217" s="72">
        <f t="shared" ref="BZ217:BZ227" si="762">U217</f>
        <v>106</v>
      </c>
      <c r="CA217" s="71" t="str">
        <f t="shared" ref="CA217:CA227" si="763">Y217</f>
        <v>-</v>
      </c>
      <c r="CB217" s="72">
        <f t="shared" ref="CB217:CB227" si="764">AC217</f>
        <v>149</v>
      </c>
      <c r="CC217" s="71">
        <f t="shared" ref="CC217:CC227" si="765">AG217</f>
        <v>187</v>
      </c>
      <c r="CD217" s="72">
        <f t="shared" ref="CD217:CD227" si="766">AK217</f>
        <v>199</v>
      </c>
      <c r="CE217" s="71">
        <f t="shared" ref="CE217:CE227" si="767">AO217</f>
        <v>241</v>
      </c>
      <c r="CF217" s="72">
        <f t="shared" ref="CF217:CF227" si="768">AS217</f>
        <v>284</v>
      </c>
      <c r="CG217" s="71">
        <f t="shared" ref="CG217:CG227" si="769">AW217</f>
        <v>310</v>
      </c>
      <c r="CH217" s="70">
        <f t="shared" ref="CH217:CH227" si="770">G217</f>
        <v>65</v>
      </c>
      <c r="CI217" s="71">
        <f t="shared" ref="CI217:CI227" si="771">K217</f>
        <v>69</v>
      </c>
      <c r="CJ217" s="72">
        <f t="shared" ref="CJ217:CJ227" si="772">O217</f>
        <v>100</v>
      </c>
      <c r="CK217" s="72">
        <f t="shared" ref="CK217:CK227" si="773">S217</f>
        <v>105</v>
      </c>
      <c r="CL217" s="72">
        <f t="shared" ref="CL217:CL227" si="774">W217</f>
        <v>141</v>
      </c>
      <c r="CM217" s="72" t="str">
        <f t="shared" ref="CM217:CM227" si="775">AA217</f>
        <v>-</v>
      </c>
      <c r="CN217" s="72">
        <f t="shared" ref="CN217:CN227" si="776">AE217</f>
        <v>173</v>
      </c>
      <c r="CO217" s="72">
        <f t="shared" ref="CO217:CO227" si="777">AI217</f>
        <v>189</v>
      </c>
      <c r="CP217" s="72">
        <f t="shared" ref="CP217:CP227" si="778">AM217</f>
        <v>237</v>
      </c>
      <c r="CQ217" s="72">
        <f t="shared" ref="CQ217:CQ227" si="779">AQ217</f>
        <v>278</v>
      </c>
      <c r="CR217" s="72">
        <f t="shared" ref="CR217:CR227" si="780">AU217</f>
        <v>309</v>
      </c>
      <c r="CS217" s="72">
        <f t="shared" ref="CS217:CS227" si="781">AY217</f>
        <v>322</v>
      </c>
      <c r="CT217" s="23">
        <f t="shared" ref="CT217:CT227" si="782">M217-K217</f>
        <v>1</v>
      </c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  <c r="OK217" s="1"/>
      <c r="OL217" s="1"/>
      <c r="OM217" s="1"/>
      <c r="ON217" s="1"/>
      <c r="OO217" s="1"/>
      <c r="OP217" s="1"/>
      <c r="OQ217" s="1"/>
      <c r="OR217" s="1"/>
      <c r="OS217" s="1"/>
      <c r="OT217" s="1"/>
      <c r="OU217" s="1"/>
      <c r="OV217" s="1"/>
      <c r="OW217" s="1"/>
      <c r="OX217" s="1"/>
      <c r="OY217" s="1"/>
      <c r="OZ217" s="1"/>
      <c r="PA217" s="1"/>
      <c r="PB217" s="1"/>
      <c r="PC217" s="1"/>
      <c r="PD217" s="1"/>
      <c r="PE217" s="1"/>
      <c r="PF217" s="1"/>
      <c r="PG217" s="1"/>
      <c r="PH217" s="1"/>
      <c r="PI217" s="1"/>
      <c r="PJ217" s="1"/>
      <c r="PK217" s="1"/>
      <c r="PL217" s="1"/>
      <c r="PM217" s="1"/>
      <c r="PN217" s="1"/>
      <c r="PO217" s="1"/>
      <c r="PP217" s="1"/>
      <c r="PQ217" s="1"/>
      <c r="PR217" s="1"/>
      <c r="PS217" s="1"/>
      <c r="PT217" s="1"/>
      <c r="PU217" s="1"/>
      <c r="PV217" s="1"/>
      <c r="PW217" s="1"/>
      <c r="PX217" s="1"/>
      <c r="PY217" s="1"/>
      <c r="PZ217" s="1"/>
      <c r="QA217" s="1"/>
      <c r="QB217" s="1"/>
      <c r="QC217" s="1"/>
      <c r="QD217" s="1"/>
      <c r="QE217" s="1"/>
      <c r="QF217" s="1"/>
      <c r="QG217" s="1"/>
      <c r="QH217" s="1"/>
      <c r="QI217" s="1"/>
      <c r="QJ217" s="1"/>
      <c r="QK217" s="1"/>
      <c r="QL217" s="1"/>
      <c r="QM217" s="1"/>
      <c r="QN217" s="1"/>
      <c r="QO217" s="1"/>
      <c r="QP217" s="1"/>
      <c r="QQ217" s="1"/>
      <c r="QR217" s="1"/>
      <c r="QS217" s="1"/>
      <c r="QT217" s="1"/>
      <c r="QU217" s="1"/>
      <c r="QV217" s="1"/>
      <c r="QW217" s="1"/>
      <c r="QX217" s="1"/>
      <c r="QY217" s="1"/>
      <c r="QZ217" s="1"/>
      <c r="RA217" s="1"/>
      <c r="RB217" s="1"/>
      <c r="RC217" s="1"/>
      <c r="RD217" s="1"/>
      <c r="RE217" s="1"/>
      <c r="RF217" s="1"/>
      <c r="RG217" s="1"/>
      <c r="RH217" s="1"/>
      <c r="RI217" s="1"/>
      <c r="RJ217" s="1"/>
      <c r="RK217" s="1"/>
      <c r="RL217" s="1"/>
      <c r="RM217" s="1"/>
      <c r="RN217" s="1"/>
      <c r="RO217" s="1"/>
      <c r="RP217" s="1"/>
      <c r="RQ217" s="1"/>
      <c r="RR217" s="1"/>
      <c r="RS217" s="1"/>
      <c r="RT217" s="1"/>
      <c r="RU217" s="1"/>
      <c r="RV217" s="1"/>
      <c r="RW217" s="1"/>
      <c r="RX217" s="1"/>
      <c r="RY217" s="1"/>
      <c r="RZ217" s="1"/>
      <c r="SA217" s="1"/>
      <c r="SB217" s="1"/>
      <c r="SC217" s="1"/>
      <c r="SD217" s="1"/>
      <c r="SE217" s="1"/>
      <c r="SF217" s="1"/>
      <c r="SG217" s="1"/>
      <c r="SH217" s="1"/>
      <c r="SI217" s="1"/>
      <c r="SJ217" s="1"/>
      <c r="SK217" s="1"/>
      <c r="SL217" s="1"/>
      <c r="SM217" s="1"/>
      <c r="SN217" s="1"/>
      <c r="SO217" s="1"/>
      <c r="SP217" s="1"/>
      <c r="SQ217" s="1"/>
      <c r="SR217" s="1"/>
      <c r="SS217" s="1"/>
      <c r="ST217" s="1"/>
      <c r="SU217" s="1"/>
      <c r="SV217" s="1"/>
      <c r="SW217" s="1"/>
      <c r="SX217" s="1"/>
      <c r="SY217" s="1"/>
      <c r="SZ217" s="1"/>
      <c r="TA217" s="1"/>
      <c r="TB217" s="1"/>
      <c r="TC217" s="1"/>
      <c r="TD217" s="1"/>
      <c r="TE217" s="1"/>
      <c r="TF217" s="1"/>
      <c r="TG217" s="1"/>
      <c r="TH217" s="1"/>
      <c r="TI217" s="1"/>
      <c r="TJ217" s="1"/>
      <c r="TK217" s="1"/>
      <c r="TL217" s="1"/>
      <c r="TM217" s="1"/>
      <c r="TN217" s="1"/>
      <c r="TO217" s="1"/>
      <c r="TP217" s="1"/>
      <c r="TQ217" s="1"/>
      <c r="TR217" s="1"/>
      <c r="TS217" s="1"/>
      <c r="TT217" s="1"/>
      <c r="TU217" s="1"/>
      <c r="TV217" s="1"/>
      <c r="TW217" s="1"/>
      <c r="TX217" s="1"/>
      <c r="TY217" s="1"/>
      <c r="TZ217" s="1"/>
      <c r="UA217" s="1"/>
      <c r="UB217" s="1"/>
      <c r="UC217" s="1"/>
      <c r="UD217" s="1"/>
      <c r="UE217" s="1"/>
      <c r="UF217" s="1"/>
      <c r="UG217" s="1"/>
      <c r="UH217" s="1"/>
      <c r="UI217" s="1"/>
      <c r="UJ217" s="1"/>
      <c r="UK217" s="1"/>
      <c r="UL217" s="1"/>
      <c r="UM217" s="1"/>
      <c r="UN217" s="1"/>
      <c r="UO217" s="1"/>
      <c r="UP217" s="1"/>
      <c r="UQ217" s="1"/>
      <c r="UR217" s="1"/>
      <c r="US217" s="1"/>
      <c r="UT217" s="1"/>
      <c r="UU217" s="1"/>
      <c r="UV217" s="1"/>
      <c r="UW217" s="1"/>
      <c r="UX217" s="1"/>
      <c r="UY217" s="1"/>
      <c r="UZ217" s="1"/>
      <c r="VA217" s="1"/>
      <c r="VB217" s="1"/>
      <c r="VC217" s="1"/>
      <c r="VD217" s="1"/>
      <c r="VE217" s="1"/>
      <c r="VF217" s="1"/>
      <c r="VG217" s="1"/>
      <c r="VH217" s="1"/>
      <c r="VI217" s="1"/>
      <c r="VJ217" s="1"/>
      <c r="VK217" s="1"/>
      <c r="VL217" s="1"/>
      <c r="VM217" s="1"/>
      <c r="VN217" s="1"/>
      <c r="VO217" s="1"/>
      <c r="VP217" s="1"/>
      <c r="VQ217" s="1"/>
      <c r="VR217" s="1"/>
      <c r="VS217" s="1"/>
      <c r="VT217" s="1"/>
      <c r="VU217" s="1"/>
      <c r="VV217" s="1"/>
      <c r="VW217" s="1"/>
      <c r="VX217" s="1"/>
      <c r="VY217" s="1"/>
      <c r="VZ217" s="1"/>
      <c r="WA217" s="1"/>
      <c r="WB217" s="1"/>
      <c r="WC217" s="1"/>
      <c r="WD217" s="1"/>
      <c r="WE217" s="1"/>
      <c r="WF217" s="1"/>
      <c r="WG217" s="1"/>
      <c r="WH217" s="1"/>
      <c r="WI217" s="1"/>
      <c r="WJ217" s="1"/>
      <c r="WK217" s="1"/>
      <c r="WL217" s="1"/>
      <c r="WM217" s="1"/>
      <c r="WN217" s="1"/>
      <c r="WO217" s="1"/>
      <c r="WP217" s="1"/>
      <c r="WQ217" s="1"/>
      <c r="WR217" s="1"/>
      <c r="WS217" s="1"/>
      <c r="WT217" s="1"/>
      <c r="WU217" s="1"/>
      <c r="WV217" s="1"/>
      <c r="WW217" s="1"/>
      <c r="WX217" s="1"/>
      <c r="WY217" s="1"/>
      <c r="WZ217" s="1"/>
      <c r="XA217" s="1"/>
      <c r="XB217" s="1"/>
      <c r="XC217" s="1"/>
      <c r="XD217" s="1"/>
      <c r="XE217" s="1"/>
      <c r="XF217" s="1"/>
      <c r="XG217" s="1"/>
      <c r="XH217" s="1"/>
      <c r="XI217" s="1"/>
      <c r="XJ217" s="1"/>
      <c r="XK217" s="1"/>
      <c r="XL217" s="1"/>
      <c r="XM217" s="1"/>
      <c r="XN217" s="1"/>
      <c r="XO217" s="1"/>
      <c r="XP217" s="1"/>
      <c r="XQ217" s="1"/>
      <c r="XR217" s="1"/>
      <c r="XS217" s="1"/>
      <c r="XT217" s="1"/>
      <c r="XU217" s="1"/>
      <c r="XV217" s="1"/>
      <c r="XW217" s="1"/>
      <c r="XX217" s="1"/>
      <c r="XY217" s="1"/>
      <c r="XZ217" s="1"/>
      <c r="YA217" s="1"/>
      <c r="YB217" s="1"/>
      <c r="YC217" s="1"/>
      <c r="YD217" s="1"/>
      <c r="YE217" s="1"/>
      <c r="YF217" s="1"/>
      <c r="YG217" s="1"/>
      <c r="YH217" s="1"/>
      <c r="YI217" s="1"/>
      <c r="YJ217" s="1"/>
      <c r="YK217" s="1"/>
      <c r="YL217" s="1"/>
      <c r="YM217" s="1"/>
      <c r="YN217" s="1"/>
      <c r="YO217" s="1"/>
      <c r="YP217" s="1"/>
      <c r="YQ217" s="1"/>
      <c r="YR217" s="1"/>
      <c r="YS217" s="1"/>
      <c r="YT217" s="1"/>
      <c r="YU217" s="1"/>
      <c r="YV217" s="1"/>
      <c r="YW217" s="1"/>
      <c r="YX217" s="1"/>
      <c r="YY217" s="1"/>
      <c r="YZ217" s="1"/>
      <c r="ZA217" s="1"/>
      <c r="ZB217" s="1"/>
      <c r="ZC217" s="1"/>
      <c r="ZD217" s="1"/>
      <c r="ZE217" s="1"/>
      <c r="ZF217" s="1"/>
      <c r="ZG217" s="1"/>
      <c r="ZH217" s="1"/>
      <c r="ZI217" s="1"/>
      <c r="ZJ217" s="1"/>
      <c r="ZK217" s="1"/>
      <c r="ZL217" s="1"/>
      <c r="ZM217" s="1"/>
      <c r="ZN217" s="1"/>
      <c r="ZO217" s="1"/>
      <c r="ZP217" s="1"/>
      <c r="ZQ217" s="1"/>
      <c r="ZR217" s="1"/>
      <c r="ZS217" s="1"/>
      <c r="ZT217" s="1"/>
      <c r="ZU217" s="1"/>
      <c r="ZV217" s="1"/>
      <c r="ZW217" s="1"/>
      <c r="ZX217" s="1"/>
      <c r="ZY217" s="1"/>
      <c r="ZZ217" s="1"/>
      <c r="AAA217" s="1"/>
      <c r="AAB217" s="1"/>
      <c r="AAC217" s="1"/>
      <c r="AAD217" s="1"/>
      <c r="AAE217" s="1"/>
      <c r="AAF217" s="1"/>
      <c r="AAG217" s="1"/>
      <c r="AAH217" s="1"/>
      <c r="AAI217" s="1"/>
      <c r="AAJ217" s="1"/>
      <c r="AAK217" s="1"/>
      <c r="AAL217" s="1"/>
      <c r="AAM217" s="1"/>
      <c r="AAN217" s="1"/>
      <c r="AAO217" s="1"/>
      <c r="AAP217" s="1"/>
      <c r="AAQ217" s="1"/>
      <c r="AAR217" s="1"/>
      <c r="AAS217" s="1"/>
      <c r="AAT217" s="1"/>
      <c r="AAU217" s="1"/>
      <c r="AAV217" s="1"/>
      <c r="AAW217" s="1"/>
      <c r="AAX217" s="1"/>
      <c r="AAY217" s="1"/>
      <c r="AAZ217" s="1"/>
      <c r="ABA217" s="1"/>
      <c r="ABB217" s="1"/>
      <c r="ABC217" s="1"/>
      <c r="ABD217" s="1"/>
      <c r="ABE217" s="1"/>
      <c r="ABF217" s="1"/>
      <c r="ABG217" s="1"/>
      <c r="ABH217" s="1"/>
      <c r="ABI217" s="1"/>
      <c r="ABJ217" s="1"/>
      <c r="ABK217" s="1"/>
      <c r="ABL217" s="1"/>
      <c r="ABM217" s="1"/>
      <c r="ABN217" s="1"/>
      <c r="ABO217" s="1"/>
      <c r="ABP217" s="1"/>
      <c r="ABQ217" s="1"/>
      <c r="ABR217" s="1"/>
      <c r="ABS217" s="1"/>
      <c r="ABT217" s="1"/>
      <c r="ABU217" s="1"/>
      <c r="ABV217" s="1"/>
      <c r="ABW217" s="1"/>
      <c r="ABX217" s="1"/>
      <c r="ABY217" s="1"/>
      <c r="ABZ217" s="1"/>
      <c r="ACA217" s="1"/>
      <c r="ACB217" s="1"/>
      <c r="ACC217" s="1"/>
      <c r="ACD217" s="1"/>
      <c r="ACE217" s="1"/>
      <c r="ACF217" s="1"/>
      <c r="ACG217" s="1"/>
      <c r="ACH217" s="1"/>
      <c r="ACI217" s="1"/>
      <c r="ACJ217" s="1"/>
      <c r="ACK217" s="1"/>
      <c r="ACL217" s="1"/>
      <c r="ACM217" s="1"/>
      <c r="ACN217" s="1"/>
      <c r="ACO217" s="1"/>
      <c r="ACP217" s="1"/>
      <c r="ACQ217" s="1"/>
      <c r="ACR217" s="1"/>
      <c r="ACS217" s="1"/>
      <c r="ACT217" s="1"/>
      <c r="ACU217" s="1"/>
      <c r="ACV217" s="1"/>
      <c r="ACW217" s="1"/>
      <c r="ACX217" s="1"/>
      <c r="ACY217" s="1"/>
      <c r="ACZ217" s="1"/>
      <c r="ADA217" s="1"/>
      <c r="ADB217" s="1"/>
      <c r="ADC217" s="1"/>
      <c r="ADD217" s="1"/>
      <c r="ADE217" s="1"/>
      <c r="ADF217" s="1"/>
      <c r="ADG217" s="1"/>
      <c r="ADH217" s="1"/>
      <c r="ADI217" s="1"/>
      <c r="ADJ217" s="1"/>
      <c r="ADK217" s="1"/>
      <c r="ADL217" s="1"/>
      <c r="ADM217" s="1"/>
      <c r="ADN217" s="1"/>
      <c r="ADO217" s="1"/>
      <c r="ADP217" s="1"/>
      <c r="ADQ217" s="1"/>
      <c r="ADR217" s="1"/>
      <c r="ADS217" s="1"/>
      <c r="ADT217" s="1"/>
      <c r="ADU217" s="1"/>
      <c r="ADV217" s="1"/>
      <c r="ADW217" s="1"/>
      <c r="ADX217" s="1"/>
      <c r="ADY217" s="1"/>
      <c r="ADZ217" s="1"/>
      <c r="AEA217" s="1"/>
      <c r="AEB217" s="1"/>
      <c r="AEC217" s="1"/>
      <c r="AED217" s="1"/>
      <c r="AEE217" s="1"/>
      <c r="AEF217" s="1"/>
      <c r="AEG217" s="1"/>
      <c r="AEH217" s="1"/>
      <c r="AEI217" s="1"/>
      <c r="AEJ217" s="1"/>
      <c r="AEK217" s="1"/>
      <c r="AEL217" s="1"/>
      <c r="AEM217" s="1"/>
      <c r="AEN217" s="1"/>
      <c r="AEO217" s="1"/>
      <c r="AEP217" s="1"/>
      <c r="AEQ217" s="1"/>
      <c r="AER217" s="1"/>
      <c r="AES217" s="1"/>
      <c r="AET217" s="1"/>
      <c r="AEU217" s="1"/>
      <c r="AEV217" s="1"/>
      <c r="AEW217" s="1"/>
      <c r="AEX217" s="1"/>
      <c r="AEY217" s="1"/>
      <c r="AEZ217" s="1"/>
      <c r="AFA217" s="1"/>
      <c r="AFB217" s="1"/>
      <c r="AFC217" s="1"/>
      <c r="AFD217" s="1"/>
      <c r="AFE217" s="1"/>
      <c r="AFF217" s="1"/>
      <c r="AFG217" s="1"/>
      <c r="AFH217" s="1"/>
      <c r="AFI217" s="1"/>
      <c r="AFJ217" s="1"/>
      <c r="AFK217" s="1"/>
      <c r="AFL217" s="1"/>
      <c r="AFM217" s="1"/>
      <c r="AFN217" s="1"/>
      <c r="AFO217" s="1"/>
      <c r="AFP217" s="1"/>
      <c r="AFQ217" s="1"/>
      <c r="AFR217" s="1"/>
      <c r="AFS217" s="1"/>
      <c r="AFT217" s="1"/>
      <c r="AFU217" s="1"/>
      <c r="AFV217" s="1"/>
      <c r="AFW217" s="1"/>
      <c r="AFX217" s="1"/>
      <c r="AFY217" s="1"/>
      <c r="AFZ217" s="1"/>
      <c r="AGA217" s="1"/>
      <c r="AGB217" s="1"/>
      <c r="AGC217" s="1"/>
      <c r="AGD217" s="1"/>
      <c r="AGE217" s="1"/>
      <c r="AGF217" s="1"/>
      <c r="AGG217" s="1"/>
      <c r="AGH217" s="1"/>
      <c r="AGI217" s="1"/>
      <c r="AGJ217" s="1"/>
      <c r="AGK217" s="1"/>
      <c r="AGL217" s="1"/>
      <c r="AGM217" s="1"/>
      <c r="AGN217" s="1"/>
      <c r="AGO217" s="1"/>
      <c r="AGP217" s="1"/>
      <c r="AGQ217" s="1"/>
      <c r="AGR217" s="1"/>
      <c r="AGS217" s="1"/>
      <c r="AGT217" s="1"/>
      <c r="AGU217" s="1"/>
      <c r="AGV217" s="1"/>
      <c r="AGW217" s="1"/>
      <c r="AGX217" s="1"/>
      <c r="AGY217" s="1"/>
      <c r="AGZ217" s="1"/>
      <c r="AHA217" s="1"/>
      <c r="AHB217" s="1"/>
      <c r="AHC217" s="1"/>
      <c r="AHD217" s="1"/>
      <c r="AHE217" s="1"/>
      <c r="AHF217" s="1"/>
      <c r="AHG217" s="1"/>
      <c r="AHH217" s="1"/>
      <c r="AHI217" s="1"/>
      <c r="AHJ217" s="1"/>
      <c r="AHK217" s="1"/>
      <c r="AHL217" s="1"/>
      <c r="AHM217" s="1"/>
      <c r="AHN217" s="1"/>
      <c r="AHO217" s="1"/>
      <c r="AHP217" s="1"/>
      <c r="AHQ217" s="1"/>
      <c r="AHR217" s="1"/>
      <c r="AHS217" s="1"/>
      <c r="AHT217" s="1"/>
      <c r="AHU217" s="1"/>
      <c r="AHV217" s="1"/>
      <c r="AHW217" s="1"/>
      <c r="AHX217" s="1"/>
      <c r="AHY217" s="1"/>
      <c r="AHZ217" s="1"/>
      <c r="AIA217" s="1"/>
      <c r="AIB217" s="1"/>
      <c r="AIC217" s="1"/>
      <c r="AID217" s="1"/>
      <c r="AIE217" s="1"/>
      <c r="AIF217" s="1"/>
      <c r="AIG217" s="1"/>
      <c r="AIH217" s="1"/>
      <c r="AII217" s="1"/>
      <c r="AIJ217" s="1"/>
      <c r="AIK217" s="1"/>
      <c r="AIL217" s="1"/>
      <c r="AIM217" s="1"/>
      <c r="AIN217" s="1"/>
      <c r="AIO217" s="1"/>
      <c r="AIP217" s="1"/>
      <c r="AIQ217" s="1"/>
      <c r="AIR217" s="1"/>
      <c r="AIS217" s="1"/>
      <c r="AIT217" s="1"/>
      <c r="AIU217" s="1"/>
      <c r="AIV217" s="1"/>
      <c r="AIW217" s="1"/>
      <c r="AIX217" s="1"/>
      <c r="AIY217" s="1"/>
      <c r="AIZ217" s="1"/>
      <c r="AJA217" s="1"/>
      <c r="AJB217" s="1"/>
      <c r="AJC217" s="1"/>
      <c r="AJD217" s="1"/>
      <c r="AJE217" s="1"/>
      <c r="AJF217" s="1"/>
      <c r="AJG217" s="1"/>
      <c r="AJH217" s="1"/>
      <c r="AJI217" s="1"/>
      <c r="AJJ217" s="1"/>
      <c r="AJK217" s="1"/>
      <c r="AJL217" s="1"/>
      <c r="AJM217" s="1"/>
      <c r="AJN217" s="1"/>
      <c r="AJO217" s="1"/>
      <c r="AJP217" s="1"/>
      <c r="AJQ217" s="1"/>
      <c r="AJR217" s="1"/>
      <c r="AJS217" s="1"/>
      <c r="AJT217" s="1"/>
      <c r="AJU217" s="1"/>
      <c r="AJV217" s="1"/>
      <c r="AJW217" s="1"/>
      <c r="AJX217" s="1"/>
      <c r="AJY217" s="1"/>
      <c r="AJZ217" s="1"/>
      <c r="AKA217" s="1"/>
      <c r="AKB217" s="1"/>
      <c r="AKC217" s="1"/>
      <c r="AKD217" s="1"/>
      <c r="AKE217" s="1"/>
      <c r="AKF217" s="1"/>
      <c r="AKG217" s="1"/>
      <c r="AKH217" s="1"/>
      <c r="AKI217" s="1"/>
      <c r="AKJ217" s="1"/>
      <c r="AKK217" s="1"/>
      <c r="AKL217" s="1"/>
      <c r="AKM217" s="1"/>
      <c r="AKN217" s="1"/>
      <c r="AKO217" s="1"/>
      <c r="AKP217" s="1"/>
      <c r="AKQ217" s="1"/>
      <c r="AKR217" s="1"/>
      <c r="AKS217" s="1"/>
      <c r="AKT217" s="1"/>
      <c r="AKU217" s="1"/>
      <c r="AKV217" s="1"/>
      <c r="AKW217" s="1"/>
      <c r="AKX217" s="1"/>
      <c r="AKY217" s="1"/>
      <c r="AKZ217" s="1"/>
      <c r="ALA217" s="1"/>
      <c r="ALB217" s="1"/>
      <c r="ALC217" s="1"/>
      <c r="ALD217" s="1"/>
      <c r="ALE217" s="1"/>
      <c r="ALF217" s="1"/>
      <c r="ALG217" s="1"/>
      <c r="ALH217" s="1"/>
      <c r="ALI217" s="1"/>
      <c r="ALJ217" s="1"/>
      <c r="ALK217" s="1"/>
      <c r="ALL217" s="1"/>
      <c r="ALM217" s="1"/>
      <c r="ALN217" s="1"/>
      <c r="ALO217" s="1"/>
      <c r="ALP217" s="1"/>
      <c r="ALQ217" s="1"/>
      <c r="ALR217" s="1"/>
      <c r="ALS217" s="1"/>
      <c r="ALT217" s="1"/>
      <c r="ALU217" s="1"/>
      <c r="ALV217" s="1"/>
      <c r="ALW217" s="1"/>
      <c r="ALX217" s="1"/>
      <c r="ALY217" s="1"/>
      <c r="ALZ217" s="1"/>
      <c r="AMA217" s="1"/>
      <c r="AMB217" s="1"/>
      <c r="AMC217" s="1"/>
      <c r="AMD217" s="1"/>
      <c r="AME217" s="1"/>
      <c r="AMF217" s="1"/>
      <c r="AMG217" s="1"/>
      <c r="AMH217" s="1"/>
      <c r="AMI217" s="1"/>
      <c r="AMJ217" s="1"/>
      <c r="AMK217" s="1"/>
      <c r="AML217" s="1"/>
      <c r="AMM217" s="1"/>
      <c r="AMN217" s="1"/>
      <c r="AMO217" s="1"/>
    </row>
    <row r="218" spans="1:1030" x14ac:dyDescent="0.2">
      <c r="A218" s="3" t="str">
        <f t="shared" si="755"/>
        <v>opsd_bovin_5TE5</v>
      </c>
      <c r="B218" s="3" t="s">
        <v>920</v>
      </c>
      <c r="C218" s="3" t="s">
        <v>1408</v>
      </c>
      <c r="D218" s="3" t="str">
        <f>IFERROR(MID(VLOOKUP($B218,Seqs!$A:$B,2,0),E218,1),"")</f>
        <v>Q</v>
      </c>
      <c r="E218" s="3">
        <v>36</v>
      </c>
      <c r="F218" s="3" t="str">
        <f>IFERROR(MID(VLOOKUP($B218,Seqs!$A:$B,2,0),G218,1),"")</f>
        <v>H</v>
      </c>
      <c r="G218" s="3">
        <v>65</v>
      </c>
      <c r="H218" s="3" t="str">
        <f>IFERROR(MID(VLOOKUP($B218,Seqs!$A:$B,2,0),I218,1),"")</f>
        <v>K</v>
      </c>
      <c r="I218" s="23">
        <v>66</v>
      </c>
      <c r="J218" s="3" t="str">
        <f>IFERROR(MID(VLOOKUP($B218,Seqs!$A:$B,2,0),K218,1),"")</f>
        <v>R</v>
      </c>
      <c r="K218" s="23">
        <v>69</v>
      </c>
      <c r="L218" s="3" t="str">
        <f>IFERROR(MID(VLOOKUP($B218,Seqs!$A:$B,2,0),M218,1),"")</f>
        <v>T</v>
      </c>
      <c r="M218" s="3">
        <v>70</v>
      </c>
      <c r="N218" s="3" t="str">
        <f>IFERROR(MID(VLOOKUP($B218,Seqs!$A:$B,2,0),O218,1),"")</f>
        <v>G</v>
      </c>
      <c r="O218" s="3">
        <v>101</v>
      </c>
      <c r="P218" s="3" t="str">
        <f>IFERROR(MID(VLOOKUP($B218,Seqs!$A:$B,2,0),Q218,1),"")</f>
        <v>Y</v>
      </c>
      <c r="Q218" s="3">
        <v>102</v>
      </c>
      <c r="R218" s="3" t="str">
        <f>IFERROR(MID(VLOOKUP($B218,Seqs!$A:$B,2,0),S218,1),"")</f>
        <v>F</v>
      </c>
      <c r="S218" s="3">
        <v>105</v>
      </c>
      <c r="T218" s="3" t="str">
        <f>IFERROR(MID(VLOOKUP($B218,Seqs!$A:$B,2,0),U218,1),"")</f>
        <v>G</v>
      </c>
      <c r="U218" s="3">
        <v>106</v>
      </c>
      <c r="V218" s="3" t="str">
        <f>IFERROR(MID(VLOOKUP($B218,Seqs!$A:$B,2,0),W218,1),"")</f>
        <v>K</v>
      </c>
      <c r="W218" s="3">
        <v>141</v>
      </c>
      <c r="X218" s="3" t="str">
        <f>IFERROR(MID(VLOOKUP($B218,Seqs!$A:$B,2,0),Y218,1),"")</f>
        <v/>
      </c>
      <c r="Y218" s="3" t="s">
        <v>23</v>
      </c>
      <c r="Z218" s="3" t="str">
        <f>IFERROR(MID(VLOOKUP($B218,Seqs!$A:$B,2,0),AA218,1),"")</f>
        <v/>
      </c>
      <c r="AA218" s="3" t="s">
        <v>23</v>
      </c>
      <c r="AB218" s="3" t="str">
        <f>IFERROR(MID(VLOOKUP($B218,Seqs!$A:$B,2,0),AC218,1),"")</f>
        <v>G</v>
      </c>
      <c r="AC218" s="3">
        <v>149</v>
      </c>
      <c r="AD218" s="3" t="str">
        <f>IFERROR(MID(VLOOKUP($B218,Seqs!$A:$B,2,0),AE218,1),"")</f>
        <v>V</v>
      </c>
      <c r="AE218" s="3">
        <v>173</v>
      </c>
      <c r="AF218" s="3" t="str">
        <f>IFERROR(MID(VLOOKUP($B218,Seqs!$A:$B,2,0),AG218,1),"")</f>
        <v>C</v>
      </c>
      <c r="AG218" s="3">
        <v>187</v>
      </c>
      <c r="AH218" s="3" t="str">
        <f>IFERROR(MID(VLOOKUP($B218,Seqs!$A:$B,2,0),AI218,1),"")</f>
        <v>I</v>
      </c>
      <c r="AI218" s="3">
        <v>189</v>
      </c>
      <c r="AJ218" s="3" t="str">
        <f>IFERROR(MID(VLOOKUP($B218,Seqs!$A:$B,2,0),AK218,1),"")</f>
        <v>S</v>
      </c>
      <c r="AK218" s="3">
        <v>202</v>
      </c>
      <c r="AL218" s="3" t="str">
        <f>IFERROR(MID(VLOOKUP($B218,Seqs!$A:$B,2,0),AM218,1),"")</f>
        <v>L</v>
      </c>
      <c r="AM218" s="3">
        <v>226</v>
      </c>
      <c r="AN218" s="3" t="str">
        <f>IFERROR(MID(VLOOKUP($B218,Seqs!$A:$B,2,0),AO218,1),"")</f>
        <v>T</v>
      </c>
      <c r="AO218" s="3">
        <v>243</v>
      </c>
      <c r="AP218" s="3" t="str">
        <f>IFERROR(MID(VLOOKUP($B218,Seqs!$A:$B,2,0),AQ218,1),"")</f>
        <v>H</v>
      </c>
      <c r="AQ218" s="3">
        <v>278</v>
      </c>
      <c r="AR218" s="3" t="str">
        <f>IFERROR(MID(VLOOKUP($B218,Seqs!$A:$B,2,0),AS218,1),"")</f>
        <v>P</v>
      </c>
      <c r="AS218" s="3">
        <v>285</v>
      </c>
      <c r="AT218" s="3" t="str">
        <f>IFERROR(MID(VLOOKUP($B218,Seqs!$A:$B,2,0),AU218,1),"")</f>
        <v>M</v>
      </c>
      <c r="AU218" s="3">
        <v>309</v>
      </c>
      <c r="AV218" s="3" t="str">
        <f>IFERROR(MID(VLOOKUP($B218,Seqs!$A:$B,2,0),AW218,1),"")</f>
        <v>N</v>
      </c>
      <c r="AW218" s="3">
        <v>310</v>
      </c>
      <c r="AX218" s="3" t="str">
        <f>IFERROR(MID(VLOOKUP($B218,Seqs!$A:$B,2,0),AY218,1),"")</f>
        <v>C</v>
      </c>
      <c r="AY218" s="3">
        <v>323</v>
      </c>
      <c r="AZ218" s="77" t="str">
        <f>VLOOKUP(B218,Classification!A:D,2,0)</f>
        <v>A</v>
      </c>
      <c r="BA218" s="94" t="str">
        <f>VLOOKUP(B218,Classification!A:D,4,0)</f>
        <v>Opsins</v>
      </c>
      <c r="BB218" s="27" t="b">
        <f t="shared" si="756"/>
        <v>1</v>
      </c>
      <c r="BC218" s="23">
        <f t="shared" si="757"/>
        <v>235</v>
      </c>
      <c r="BD218" s="2" t="s">
        <v>23</v>
      </c>
      <c r="BE218" s="3" t="s">
        <v>1381</v>
      </c>
      <c r="BF218" s="119">
        <v>4.01</v>
      </c>
      <c r="BG218" s="49" t="s">
        <v>1384</v>
      </c>
      <c r="BH218" s="49" t="s">
        <v>1384</v>
      </c>
      <c r="BI218" s="1"/>
      <c r="BJ218" s="70" t="s">
        <v>1293</v>
      </c>
      <c r="BK218" s="57" t="s">
        <v>1293</v>
      </c>
      <c r="BL218" s="57" t="s">
        <v>1293</v>
      </c>
      <c r="BM218" s="57" t="s">
        <v>1293</v>
      </c>
      <c r="BN218" s="57" t="s">
        <v>1293</v>
      </c>
      <c r="BO218" s="57" t="s">
        <v>1293</v>
      </c>
      <c r="BP218" s="57" t="s">
        <v>1293</v>
      </c>
      <c r="BQ218" s="57" t="s">
        <v>1293</v>
      </c>
      <c r="BR218" s="57" t="s">
        <v>1293</v>
      </c>
      <c r="BS218" s="57" t="s">
        <v>1293</v>
      </c>
      <c r="BT218" s="57" t="s">
        <v>1293</v>
      </c>
      <c r="BU218" s="57" t="s">
        <v>1293</v>
      </c>
      <c r="BV218" s="70">
        <f t="shared" si="758"/>
        <v>36</v>
      </c>
      <c r="BW218" s="71">
        <f t="shared" si="759"/>
        <v>66</v>
      </c>
      <c r="BX218" s="72">
        <f t="shared" si="760"/>
        <v>70</v>
      </c>
      <c r="BY218" s="71">
        <f t="shared" si="761"/>
        <v>102</v>
      </c>
      <c r="BZ218" s="72">
        <f t="shared" si="762"/>
        <v>106</v>
      </c>
      <c r="CA218" s="71" t="str">
        <f t="shared" si="763"/>
        <v>-</v>
      </c>
      <c r="CB218" s="72">
        <f t="shared" si="764"/>
        <v>149</v>
      </c>
      <c r="CC218" s="71">
        <f t="shared" si="765"/>
        <v>187</v>
      </c>
      <c r="CD218" s="72">
        <f t="shared" si="766"/>
        <v>202</v>
      </c>
      <c r="CE218" s="71">
        <f t="shared" si="767"/>
        <v>243</v>
      </c>
      <c r="CF218" s="72">
        <f t="shared" si="768"/>
        <v>285</v>
      </c>
      <c r="CG218" s="71">
        <f t="shared" si="769"/>
        <v>310</v>
      </c>
      <c r="CH218" s="70">
        <f t="shared" si="770"/>
        <v>65</v>
      </c>
      <c r="CI218" s="71">
        <f t="shared" si="771"/>
        <v>69</v>
      </c>
      <c r="CJ218" s="72">
        <f t="shared" si="772"/>
        <v>101</v>
      </c>
      <c r="CK218" s="72">
        <f t="shared" si="773"/>
        <v>105</v>
      </c>
      <c r="CL218" s="72">
        <f t="shared" si="774"/>
        <v>141</v>
      </c>
      <c r="CM218" s="72" t="str">
        <f t="shared" si="775"/>
        <v>-</v>
      </c>
      <c r="CN218" s="72">
        <f t="shared" si="776"/>
        <v>173</v>
      </c>
      <c r="CO218" s="72">
        <f t="shared" si="777"/>
        <v>189</v>
      </c>
      <c r="CP218" s="72">
        <f t="shared" si="778"/>
        <v>226</v>
      </c>
      <c r="CQ218" s="72">
        <f t="shared" si="779"/>
        <v>278</v>
      </c>
      <c r="CR218" s="72">
        <f t="shared" si="780"/>
        <v>309</v>
      </c>
      <c r="CS218" s="72">
        <f t="shared" si="781"/>
        <v>323</v>
      </c>
      <c r="CT218" s="23">
        <f t="shared" si="782"/>
        <v>1</v>
      </c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  <c r="OK218" s="1"/>
      <c r="OL218" s="1"/>
      <c r="OM218" s="1"/>
      <c r="ON218" s="1"/>
      <c r="OO218" s="1"/>
      <c r="OP218" s="1"/>
      <c r="OQ218" s="1"/>
      <c r="OR218" s="1"/>
      <c r="OS218" s="1"/>
      <c r="OT218" s="1"/>
      <c r="OU218" s="1"/>
      <c r="OV218" s="1"/>
      <c r="OW218" s="1"/>
      <c r="OX218" s="1"/>
      <c r="OY218" s="1"/>
      <c r="OZ218" s="1"/>
      <c r="PA218" s="1"/>
      <c r="PB218" s="1"/>
      <c r="PC218" s="1"/>
      <c r="PD218" s="1"/>
      <c r="PE218" s="1"/>
      <c r="PF218" s="1"/>
      <c r="PG218" s="1"/>
      <c r="PH218" s="1"/>
      <c r="PI218" s="1"/>
      <c r="PJ218" s="1"/>
      <c r="PK218" s="1"/>
      <c r="PL218" s="1"/>
      <c r="PM218" s="1"/>
      <c r="PN218" s="1"/>
      <c r="PO218" s="1"/>
      <c r="PP218" s="1"/>
      <c r="PQ218" s="1"/>
      <c r="PR218" s="1"/>
      <c r="PS218" s="1"/>
      <c r="PT218" s="1"/>
      <c r="PU218" s="1"/>
      <c r="PV218" s="1"/>
      <c r="PW218" s="1"/>
      <c r="PX218" s="1"/>
      <c r="PY218" s="1"/>
      <c r="PZ218" s="1"/>
      <c r="QA218" s="1"/>
      <c r="QB218" s="1"/>
      <c r="QC218" s="1"/>
      <c r="QD218" s="1"/>
      <c r="QE218" s="1"/>
      <c r="QF218" s="1"/>
      <c r="QG218" s="1"/>
      <c r="QH218" s="1"/>
      <c r="QI218" s="1"/>
      <c r="QJ218" s="1"/>
      <c r="QK218" s="1"/>
      <c r="QL218" s="1"/>
      <c r="QM218" s="1"/>
      <c r="QN218" s="1"/>
      <c r="QO218" s="1"/>
      <c r="QP218" s="1"/>
      <c r="QQ218" s="1"/>
      <c r="QR218" s="1"/>
      <c r="QS218" s="1"/>
      <c r="QT218" s="1"/>
      <c r="QU218" s="1"/>
      <c r="QV218" s="1"/>
      <c r="QW218" s="1"/>
      <c r="QX218" s="1"/>
      <c r="QY218" s="1"/>
      <c r="QZ218" s="1"/>
      <c r="RA218" s="1"/>
      <c r="RB218" s="1"/>
      <c r="RC218" s="1"/>
      <c r="RD218" s="1"/>
      <c r="RE218" s="1"/>
      <c r="RF218" s="1"/>
      <c r="RG218" s="1"/>
      <c r="RH218" s="1"/>
      <c r="RI218" s="1"/>
      <c r="RJ218" s="1"/>
      <c r="RK218" s="1"/>
      <c r="RL218" s="1"/>
      <c r="RM218" s="1"/>
      <c r="RN218" s="1"/>
      <c r="RO218" s="1"/>
      <c r="RP218" s="1"/>
      <c r="RQ218" s="1"/>
      <c r="RR218" s="1"/>
      <c r="RS218" s="1"/>
      <c r="RT218" s="1"/>
      <c r="RU218" s="1"/>
      <c r="RV218" s="1"/>
      <c r="RW218" s="1"/>
      <c r="RX218" s="1"/>
      <c r="RY218" s="1"/>
      <c r="RZ218" s="1"/>
      <c r="SA218" s="1"/>
      <c r="SB218" s="1"/>
      <c r="SC218" s="1"/>
      <c r="SD218" s="1"/>
      <c r="SE218" s="1"/>
      <c r="SF218" s="1"/>
      <c r="SG218" s="1"/>
      <c r="SH218" s="1"/>
      <c r="SI218" s="1"/>
      <c r="SJ218" s="1"/>
      <c r="SK218" s="1"/>
      <c r="SL218" s="1"/>
      <c r="SM218" s="1"/>
      <c r="SN218" s="1"/>
      <c r="SO218" s="1"/>
      <c r="SP218" s="1"/>
      <c r="SQ218" s="1"/>
      <c r="SR218" s="1"/>
      <c r="SS218" s="1"/>
      <c r="ST218" s="1"/>
      <c r="SU218" s="1"/>
      <c r="SV218" s="1"/>
      <c r="SW218" s="1"/>
      <c r="SX218" s="1"/>
      <c r="SY218" s="1"/>
      <c r="SZ218" s="1"/>
      <c r="TA218" s="1"/>
      <c r="TB218" s="1"/>
      <c r="TC218" s="1"/>
      <c r="TD218" s="1"/>
      <c r="TE218" s="1"/>
      <c r="TF218" s="1"/>
      <c r="TG218" s="1"/>
      <c r="TH218" s="1"/>
      <c r="TI218" s="1"/>
      <c r="TJ218" s="1"/>
      <c r="TK218" s="1"/>
      <c r="TL218" s="1"/>
      <c r="TM218" s="1"/>
      <c r="TN218" s="1"/>
      <c r="TO218" s="1"/>
      <c r="TP218" s="1"/>
      <c r="TQ218" s="1"/>
      <c r="TR218" s="1"/>
      <c r="TS218" s="1"/>
      <c r="TT218" s="1"/>
      <c r="TU218" s="1"/>
      <c r="TV218" s="1"/>
      <c r="TW218" s="1"/>
      <c r="TX218" s="1"/>
      <c r="TY218" s="1"/>
      <c r="TZ218" s="1"/>
      <c r="UA218" s="1"/>
      <c r="UB218" s="1"/>
      <c r="UC218" s="1"/>
      <c r="UD218" s="1"/>
      <c r="UE218" s="1"/>
      <c r="UF218" s="1"/>
      <c r="UG218" s="1"/>
      <c r="UH218" s="1"/>
      <c r="UI218" s="1"/>
      <c r="UJ218" s="1"/>
      <c r="UK218" s="1"/>
      <c r="UL218" s="1"/>
      <c r="UM218" s="1"/>
      <c r="UN218" s="1"/>
      <c r="UO218" s="1"/>
      <c r="UP218" s="1"/>
      <c r="UQ218" s="1"/>
      <c r="UR218" s="1"/>
      <c r="US218" s="1"/>
      <c r="UT218" s="1"/>
      <c r="UU218" s="1"/>
      <c r="UV218" s="1"/>
      <c r="UW218" s="1"/>
      <c r="UX218" s="1"/>
      <c r="UY218" s="1"/>
      <c r="UZ218" s="1"/>
      <c r="VA218" s="1"/>
      <c r="VB218" s="1"/>
      <c r="VC218" s="1"/>
      <c r="VD218" s="1"/>
      <c r="VE218" s="1"/>
      <c r="VF218" s="1"/>
      <c r="VG218" s="1"/>
      <c r="VH218" s="1"/>
      <c r="VI218" s="1"/>
      <c r="VJ218" s="1"/>
      <c r="VK218" s="1"/>
      <c r="VL218" s="1"/>
      <c r="VM218" s="1"/>
      <c r="VN218" s="1"/>
      <c r="VO218" s="1"/>
      <c r="VP218" s="1"/>
      <c r="VQ218" s="1"/>
      <c r="VR218" s="1"/>
      <c r="VS218" s="1"/>
      <c r="VT218" s="1"/>
      <c r="VU218" s="1"/>
      <c r="VV218" s="1"/>
      <c r="VW218" s="1"/>
      <c r="VX218" s="1"/>
      <c r="VY218" s="1"/>
      <c r="VZ218" s="1"/>
      <c r="WA218" s="1"/>
      <c r="WB218" s="1"/>
      <c r="WC218" s="1"/>
      <c r="WD218" s="1"/>
      <c r="WE218" s="1"/>
      <c r="WF218" s="1"/>
      <c r="WG218" s="1"/>
      <c r="WH218" s="1"/>
      <c r="WI218" s="1"/>
      <c r="WJ218" s="1"/>
      <c r="WK218" s="1"/>
      <c r="WL218" s="1"/>
      <c r="WM218" s="1"/>
      <c r="WN218" s="1"/>
      <c r="WO218" s="1"/>
      <c r="WP218" s="1"/>
      <c r="WQ218" s="1"/>
      <c r="WR218" s="1"/>
      <c r="WS218" s="1"/>
      <c r="WT218" s="1"/>
      <c r="WU218" s="1"/>
      <c r="WV218" s="1"/>
      <c r="WW218" s="1"/>
      <c r="WX218" s="1"/>
      <c r="WY218" s="1"/>
      <c r="WZ218" s="1"/>
      <c r="XA218" s="1"/>
      <c r="XB218" s="1"/>
      <c r="XC218" s="1"/>
      <c r="XD218" s="1"/>
      <c r="XE218" s="1"/>
      <c r="XF218" s="1"/>
      <c r="XG218" s="1"/>
      <c r="XH218" s="1"/>
      <c r="XI218" s="1"/>
      <c r="XJ218" s="1"/>
      <c r="XK218" s="1"/>
      <c r="XL218" s="1"/>
      <c r="XM218" s="1"/>
      <c r="XN218" s="1"/>
      <c r="XO218" s="1"/>
      <c r="XP218" s="1"/>
      <c r="XQ218" s="1"/>
      <c r="XR218" s="1"/>
      <c r="XS218" s="1"/>
      <c r="XT218" s="1"/>
      <c r="XU218" s="1"/>
      <c r="XV218" s="1"/>
      <c r="XW218" s="1"/>
      <c r="XX218" s="1"/>
      <c r="XY218" s="1"/>
      <c r="XZ218" s="1"/>
      <c r="YA218" s="1"/>
      <c r="YB218" s="1"/>
      <c r="YC218" s="1"/>
      <c r="YD218" s="1"/>
      <c r="YE218" s="1"/>
      <c r="YF218" s="1"/>
      <c r="YG218" s="1"/>
      <c r="YH218" s="1"/>
      <c r="YI218" s="1"/>
      <c r="YJ218" s="1"/>
      <c r="YK218" s="1"/>
      <c r="YL218" s="1"/>
      <c r="YM218" s="1"/>
      <c r="YN218" s="1"/>
      <c r="YO218" s="1"/>
      <c r="YP218" s="1"/>
      <c r="YQ218" s="1"/>
      <c r="YR218" s="1"/>
      <c r="YS218" s="1"/>
      <c r="YT218" s="1"/>
      <c r="YU218" s="1"/>
      <c r="YV218" s="1"/>
      <c r="YW218" s="1"/>
      <c r="YX218" s="1"/>
      <c r="YY218" s="1"/>
      <c r="YZ218" s="1"/>
      <c r="ZA218" s="1"/>
      <c r="ZB218" s="1"/>
      <c r="ZC218" s="1"/>
      <c r="ZD218" s="1"/>
      <c r="ZE218" s="1"/>
      <c r="ZF218" s="1"/>
      <c r="ZG218" s="1"/>
      <c r="ZH218" s="1"/>
      <c r="ZI218" s="1"/>
      <c r="ZJ218" s="1"/>
      <c r="ZK218" s="1"/>
      <c r="ZL218" s="1"/>
      <c r="ZM218" s="1"/>
      <c r="ZN218" s="1"/>
      <c r="ZO218" s="1"/>
      <c r="ZP218" s="1"/>
      <c r="ZQ218" s="1"/>
      <c r="ZR218" s="1"/>
      <c r="ZS218" s="1"/>
      <c r="ZT218" s="1"/>
      <c r="ZU218" s="1"/>
      <c r="ZV218" s="1"/>
      <c r="ZW218" s="1"/>
      <c r="ZX218" s="1"/>
      <c r="ZY218" s="1"/>
      <c r="ZZ218" s="1"/>
      <c r="AAA218" s="1"/>
      <c r="AAB218" s="1"/>
      <c r="AAC218" s="1"/>
      <c r="AAD218" s="1"/>
      <c r="AAE218" s="1"/>
      <c r="AAF218" s="1"/>
      <c r="AAG218" s="1"/>
      <c r="AAH218" s="1"/>
      <c r="AAI218" s="1"/>
      <c r="AAJ218" s="1"/>
      <c r="AAK218" s="1"/>
      <c r="AAL218" s="1"/>
      <c r="AAM218" s="1"/>
      <c r="AAN218" s="1"/>
      <c r="AAO218" s="1"/>
      <c r="AAP218" s="1"/>
      <c r="AAQ218" s="1"/>
      <c r="AAR218" s="1"/>
      <c r="AAS218" s="1"/>
      <c r="AAT218" s="1"/>
      <c r="AAU218" s="1"/>
      <c r="AAV218" s="1"/>
      <c r="AAW218" s="1"/>
      <c r="AAX218" s="1"/>
      <c r="AAY218" s="1"/>
      <c r="AAZ218" s="1"/>
      <c r="ABA218" s="1"/>
      <c r="ABB218" s="1"/>
      <c r="ABC218" s="1"/>
      <c r="ABD218" s="1"/>
      <c r="ABE218" s="1"/>
      <c r="ABF218" s="1"/>
      <c r="ABG218" s="1"/>
      <c r="ABH218" s="1"/>
      <c r="ABI218" s="1"/>
      <c r="ABJ218" s="1"/>
      <c r="ABK218" s="1"/>
      <c r="ABL218" s="1"/>
      <c r="ABM218" s="1"/>
      <c r="ABN218" s="1"/>
      <c r="ABO218" s="1"/>
      <c r="ABP218" s="1"/>
      <c r="ABQ218" s="1"/>
      <c r="ABR218" s="1"/>
      <c r="ABS218" s="1"/>
      <c r="ABT218" s="1"/>
      <c r="ABU218" s="1"/>
      <c r="ABV218" s="1"/>
      <c r="ABW218" s="1"/>
      <c r="ABX218" s="1"/>
      <c r="ABY218" s="1"/>
      <c r="ABZ218" s="1"/>
      <c r="ACA218" s="1"/>
      <c r="ACB218" s="1"/>
      <c r="ACC218" s="1"/>
      <c r="ACD218" s="1"/>
      <c r="ACE218" s="1"/>
      <c r="ACF218" s="1"/>
      <c r="ACG218" s="1"/>
      <c r="ACH218" s="1"/>
      <c r="ACI218" s="1"/>
      <c r="ACJ218" s="1"/>
      <c r="ACK218" s="1"/>
      <c r="ACL218" s="1"/>
      <c r="ACM218" s="1"/>
      <c r="ACN218" s="1"/>
      <c r="ACO218" s="1"/>
      <c r="ACP218" s="1"/>
      <c r="ACQ218" s="1"/>
      <c r="ACR218" s="1"/>
      <c r="ACS218" s="1"/>
      <c r="ACT218" s="1"/>
      <c r="ACU218" s="1"/>
      <c r="ACV218" s="1"/>
      <c r="ACW218" s="1"/>
      <c r="ACX218" s="1"/>
      <c r="ACY218" s="1"/>
      <c r="ACZ218" s="1"/>
      <c r="ADA218" s="1"/>
      <c r="ADB218" s="1"/>
      <c r="ADC218" s="1"/>
      <c r="ADD218" s="1"/>
      <c r="ADE218" s="1"/>
      <c r="ADF218" s="1"/>
      <c r="ADG218" s="1"/>
      <c r="ADH218" s="1"/>
      <c r="ADI218" s="1"/>
      <c r="ADJ218" s="1"/>
      <c r="ADK218" s="1"/>
      <c r="ADL218" s="1"/>
      <c r="ADM218" s="1"/>
      <c r="ADN218" s="1"/>
      <c r="ADO218" s="1"/>
      <c r="ADP218" s="1"/>
      <c r="ADQ218" s="1"/>
      <c r="ADR218" s="1"/>
      <c r="ADS218" s="1"/>
      <c r="ADT218" s="1"/>
      <c r="ADU218" s="1"/>
      <c r="ADV218" s="1"/>
      <c r="ADW218" s="1"/>
      <c r="ADX218" s="1"/>
      <c r="ADY218" s="1"/>
      <c r="ADZ218" s="1"/>
      <c r="AEA218" s="1"/>
      <c r="AEB218" s="1"/>
      <c r="AEC218" s="1"/>
      <c r="AED218" s="1"/>
      <c r="AEE218" s="1"/>
      <c r="AEF218" s="1"/>
      <c r="AEG218" s="1"/>
      <c r="AEH218" s="1"/>
      <c r="AEI218" s="1"/>
      <c r="AEJ218" s="1"/>
      <c r="AEK218" s="1"/>
      <c r="AEL218" s="1"/>
      <c r="AEM218" s="1"/>
      <c r="AEN218" s="1"/>
      <c r="AEO218" s="1"/>
      <c r="AEP218" s="1"/>
      <c r="AEQ218" s="1"/>
      <c r="AER218" s="1"/>
      <c r="AES218" s="1"/>
      <c r="AET218" s="1"/>
      <c r="AEU218" s="1"/>
      <c r="AEV218" s="1"/>
      <c r="AEW218" s="1"/>
      <c r="AEX218" s="1"/>
      <c r="AEY218" s="1"/>
      <c r="AEZ218" s="1"/>
      <c r="AFA218" s="1"/>
      <c r="AFB218" s="1"/>
      <c r="AFC218" s="1"/>
      <c r="AFD218" s="1"/>
      <c r="AFE218" s="1"/>
      <c r="AFF218" s="1"/>
      <c r="AFG218" s="1"/>
      <c r="AFH218" s="1"/>
      <c r="AFI218" s="1"/>
      <c r="AFJ218" s="1"/>
      <c r="AFK218" s="1"/>
      <c r="AFL218" s="1"/>
      <c r="AFM218" s="1"/>
      <c r="AFN218" s="1"/>
      <c r="AFO218" s="1"/>
      <c r="AFP218" s="1"/>
      <c r="AFQ218" s="1"/>
      <c r="AFR218" s="1"/>
      <c r="AFS218" s="1"/>
      <c r="AFT218" s="1"/>
      <c r="AFU218" s="1"/>
      <c r="AFV218" s="1"/>
      <c r="AFW218" s="1"/>
      <c r="AFX218" s="1"/>
      <c r="AFY218" s="1"/>
      <c r="AFZ218" s="1"/>
      <c r="AGA218" s="1"/>
      <c r="AGB218" s="1"/>
      <c r="AGC218" s="1"/>
      <c r="AGD218" s="1"/>
      <c r="AGE218" s="1"/>
      <c r="AGF218" s="1"/>
      <c r="AGG218" s="1"/>
      <c r="AGH218" s="1"/>
      <c r="AGI218" s="1"/>
      <c r="AGJ218" s="1"/>
      <c r="AGK218" s="1"/>
      <c r="AGL218" s="1"/>
      <c r="AGM218" s="1"/>
      <c r="AGN218" s="1"/>
      <c r="AGO218" s="1"/>
      <c r="AGP218" s="1"/>
      <c r="AGQ218" s="1"/>
      <c r="AGR218" s="1"/>
      <c r="AGS218" s="1"/>
      <c r="AGT218" s="1"/>
      <c r="AGU218" s="1"/>
      <c r="AGV218" s="1"/>
      <c r="AGW218" s="1"/>
      <c r="AGX218" s="1"/>
      <c r="AGY218" s="1"/>
      <c r="AGZ218" s="1"/>
      <c r="AHA218" s="1"/>
      <c r="AHB218" s="1"/>
      <c r="AHC218" s="1"/>
      <c r="AHD218" s="1"/>
      <c r="AHE218" s="1"/>
      <c r="AHF218" s="1"/>
      <c r="AHG218" s="1"/>
      <c r="AHH218" s="1"/>
      <c r="AHI218" s="1"/>
      <c r="AHJ218" s="1"/>
      <c r="AHK218" s="1"/>
      <c r="AHL218" s="1"/>
      <c r="AHM218" s="1"/>
      <c r="AHN218" s="1"/>
      <c r="AHO218" s="1"/>
      <c r="AHP218" s="1"/>
      <c r="AHQ218" s="1"/>
      <c r="AHR218" s="1"/>
      <c r="AHS218" s="1"/>
      <c r="AHT218" s="1"/>
      <c r="AHU218" s="1"/>
      <c r="AHV218" s="1"/>
      <c r="AHW218" s="1"/>
      <c r="AHX218" s="1"/>
      <c r="AHY218" s="1"/>
      <c r="AHZ218" s="1"/>
      <c r="AIA218" s="1"/>
      <c r="AIB218" s="1"/>
      <c r="AIC218" s="1"/>
      <c r="AID218" s="1"/>
      <c r="AIE218" s="1"/>
      <c r="AIF218" s="1"/>
      <c r="AIG218" s="1"/>
      <c r="AIH218" s="1"/>
      <c r="AII218" s="1"/>
      <c r="AIJ218" s="1"/>
      <c r="AIK218" s="1"/>
      <c r="AIL218" s="1"/>
      <c r="AIM218" s="1"/>
      <c r="AIN218" s="1"/>
      <c r="AIO218" s="1"/>
      <c r="AIP218" s="1"/>
      <c r="AIQ218" s="1"/>
      <c r="AIR218" s="1"/>
      <c r="AIS218" s="1"/>
      <c r="AIT218" s="1"/>
      <c r="AIU218" s="1"/>
      <c r="AIV218" s="1"/>
      <c r="AIW218" s="1"/>
      <c r="AIX218" s="1"/>
      <c r="AIY218" s="1"/>
      <c r="AIZ218" s="1"/>
      <c r="AJA218" s="1"/>
      <c r="AJB218" s="1"/>
      <c r="AJC218" s="1"/>
      <c r="AJD218" s="1"/>
      <c r="AJE218" s="1"/>
      <c r="AJF218" s="1"/>
      <c r="AJG218" s="1"/>
      <c r="AJH218" s="1"/>
      <c r="AJI218" s="1"/>
      <c r="AJJ218" s="1"/>
      <c r="AJK218" s="1"/>
      <c r="AJL218" s="1"/>
      <c r="AJM218" s="1"/>
      <c r="AJN218" s="1"/>
      <c r="AJO218" s="1"/>
      <c r="AJP218" s="1"/>
      <c r="AJQ218" s="1"/>
      <c r="AJR218" s="1"/>
      <c r="AJS218" s="1"/>
      <c r="AJT218" s="1"/>
      <c r="AJU218" s="1"/>
      <c r="AJV218" s="1"/>
      <c r="AJW218" s="1"/>
      <c r="AJX218" s="1"/>
      <c r="AJY218" s="1"/>
      <c r="AJZ218" s="1"/>
      <c r="AKA218" s="1"/>
      <c r="AKB218" s="1"/>
      <c r="AKC218" s="1"/>
      <c r="AKD218" s="1"/>
      <c r="AKE218" s="1"/>
      <c r="AKF218" s="1"/>
      <c r="AKG218" s="1"/>
      <c r="AKH218" s="1"/>
      <c r="AKI218" s="1"/>
      <c r="AKJ218" s="1"/>
      <c r="AKK218" s="1"/>
      <c r="AKL218" s="1"/>
      <c r="AKM218" s="1"/>
      <c r="AKN218" s="1"/>
      <c r="AKO218" s="1"/>
      <c r="AKP218" s="1"/>
      <c r="AKQ218" s="1"/>
      <c r="AKR218" s="1"/>
      <c r="AKS218" s="1"/>
      <c r="AKT218" s="1"/>
      <c r="AKU218" s="1"/>
      <c r="AKV218" s="1"/>
      <c r="AKW218" s="1"/>
      <c r="AKX218" s="1"/>
      <c r="AKY218" s="1"/>
      <c r="AKZ218" s="1"/>
      <c r="ALA218" s="1"/>
      <c r="ALB218" s="1"/>
      <c r="ALC218" s="1"/>
      <c r="ALD218" s="1"/>
      <c r="ALE218" s="1"/>
      <c r="ALF218" s="1"/>
      <c r="ALG218" s="1"/>
      <c r="ALH218" s="1"/>
      <c r="ALI218" s="1"/>
      <c r="ALJ218" s="1"/>
      <c r="ALK218" s="1"/>
      <c r="ALL218" s="1"/>
      <c r="ALM218" s="1"/>
      <c r="ALN218" s="1"/>
      <c r="ALO218" s="1"/>
      <c r="ALP218" s="1"/>
      <c r="ALQ218" s="1"/>
      <c r="ALR218" s="1"/>
      <c r="ALS218" s="1"/>
      <c r="ALT218" s="1"/>
      <c r="ALU218" s="1"/>
      <c r="ALV218" s="1"/>
      <c r="ALW218" s="1"/>
      <c r="ALX218" s="1"/>
      <c r="ALY218" s="1"/>
      <c r="ALZ218" s="1"/>
      <c r="AMA218" s="1"/>
      <c r="AMB218" s="1"/>
      <c r="AMC218" s="1"/>
      <c r="AMD218" s="1"/>
      <c r="AME218" s="1"/>
      <c r="AMF218" s="1"/>
      <c r="AMG218" s="1"/>
      <c r="AMH218" s="1"/>
      <c r="AMI218" s="1"/>
      <c r="AMJ218" s="1"/>
      <c r="AMK218" s="1"/>
      <c r="AML218" s="1"/>
      <c r="AMM218" s="1"/>
      <c r="AMN218" s="1"/>
      <c r="AMO218" s="1"/>
    </row>
    <row r="219" spans="1:1030" x14ac:dyDescent="0.2">
      <c r="A219" s="3" t="str">
        <f t="shared" si="755"/>
        <v>opsd_bovin_5WKT</v>
      </c>
      <c r="B219" s="3" t="s">
        <v>920</v>
      </c>
      <c r="C219" s="3" t="s">
        <v>1462</v>
      </c>
      <c r="D219" s="3" t="str">
        <f>IFERROR(MID(VLOOKUP($B219,Seqs!$A:$B,2,0),E219,1),"")</f>
        <v>E</v>
      </c>
      <c r="E219" s="3">
        <v>33</v>
      </c>
      <c r="F219" s="3" t="str">
        <f>IFERROR(MID(VLOOKUP($B219,Seqs!$A:$B,2,0),G219,1),"")</f>
        <v>Q</v>
      </c>
      <c r="G219" s="3">
        <v>64</v>
      </c>
      <c r="H219" s="3" t="str">
        <f>IFERROR(MID(VLOOKUP($B219,Seqs!$A:$B,2,0),I219,1),"")</f>
        <v>K</v>
      </c>
      <c r="I219" s="23">
        <v>66</v>
      </c>
      <c r="J219" s="3" t="str">
        <f>IFERROR(MID(VLOOKUP($B219,Seqs!$A:$B,2,0),K219,1),"")</f>
        <v>R</v>
      </c>
      <c r="K219" s="23">
        <v>69</v>
      </c>
      <c r="L219" s="3" t="str">
        <f>IFERROR(MID(VLOOKUP($B219,Seqs!$A:$B,2,0),M219,1),"")</f>
        <v>N</v>
      </c>
      <c r="M219" s="3">
        <v>73</v>
      </c>
      <c r="N219" s="3" t="str">
        <f>IFERROR(MID(VLOOKUP($B219,Seqs!$A:$B,2,0),O219,1),"")</f>
        <v>G</v>
      </c>
      <c r="O219" s="3">
        <v>101</v>
      </c>
      <c r="P219" s="3" t="str">
        <f>IFERROR(MID(VLOOKUP($B219,Seqs!$A:$B,2,0),Q219,1),"")</f>
        <v>Y</v>
      </c>
      <c r="Q219" s="3">
        <v>102</v>
      </c>
      <c r="R219" s="3" t="str">
        <f>IFERROR(MID(VLOOKUP($B219,Seqs!$A:$B,2,0),S219,1),"")</f>
        <v>G</v>
      </c>
      <c r="S219" s="3">
        <v>106</v>
      </c>
      <c r="T219" s="3" t="str">
        <f>IFERROR(MID(VLOOKUP($B219,Seqs!$A:$B,2,0),U219,1),"")</f>
        <v>P</v>
      </c>
      <c r="U219" s="3">
        <v>107</v>
      </c>
      <c r="V219" s="3" t="str">
        <f>IFERROR(MID(VLOOKUP($B219,Seqs!$A:$B,2,0),W219,1),"")</f>
        <v>K</v>
      </c>
      <c r="W219" s="3">
        <v>141</v>
      </c>
      <c r="X219" s="3" t="str">
        <f>IFERROR(MID(VLOOKUP($B219,Seqs!$A:$B,2,0),Y219,1),"")</f>
        <v/>
      </c>
      <c r="Y219" s="3" t="s">
        <v>23</v>
      </c>
      <c r="Z219" s="3" t="str">
        <f>IFERROR(MID(VLOOKUP($B219,Seqs!$A:$B,2,0),AA219,1),"")</f>
        <v/>
      </c>
      <c r="AA219" s="3" t="s">
        <v>23</v>
      </c>
      <c r="AB219" s="3" t="str">
        <f>IFERROR(MID(VLOOKUP($B219,Seqs!$A:$B,2,0),AC219,1),"")</f>
        <v>G</v>
      </c>
      <c r="AC219" s="3">
        <v>149</v>
      </c>
      <c r="AD219" s="3" t="str">
        <f>IFERROR(MID(VLOOKUP($B219,Seqs!$A:$B,2,0),AE219,1),"")</f>
        <v>V</v>
      </c>
      <c r="AE219" s="3">
        <v>173</v>
      </c>
      <c r="AF219" s="3" t="str">
        <f>IFERROR(MID(VLOOKUP($B219,Seqs!$A:$B,2,0),AG219,1),"")</f>
        <v>C</v>
      </c>
      <c r="AG219" s="3">
        <v>187</v>
      </c>
      <c r="AH219" s="3" t="str">
        <f>IFERROR(MID(VLOOKUP($B219,Seqs!$A:$B,2,0),AI219,1),"")</f>
        <v>I</v>
      </c>
      <c r="AI219" s="3">
        <v>189</v>
      </c>
      <c r="AJ219" s="3" t="str">
        <f>IFERROR(MID(VLOOKUP($B219,Seqs!$A:$B,2,0),AK219,1),"")</f>
        <v>N</v>
      </c>
      <c r="AK219" s="3">
        <v>199</v>
      </c>
      <c r="AL219" s="3" t="str">
        <f>IFERROR(MID(VLOOKUP($B219,Seqs!$A:$B,2,0),AM219,1),"")</f>
        <v>Q</v>
      </c>
      <c r="AM219" s="3">
        <v>236</v>
      </c>
      <c r="AN219" s="3" t="str">
        <f>IFERROR(MID(VLOOKUP($B219,Seqs!$A:$B,2,0),AO219,1),"")</f>
        <v>S</v>
      </c>
      <c r="AO219" s="3">
        <v>240</v>
      </c>
      <c r="AP219" s="3" t="str">
        <f>IFERROR(MID(VLOOKUP($B219,Seqs!$A:$B,2,0),AQ219,1),"")</f>
        <v>H</v>
      </c>
      <c r="AQ219" s="3">
        <v>278</v>
      </c>
      <c r="AR219" s="3" t="str">
        <f>IFERROR(MID(VLOOKUP($B219,Seqs!$A:$B,2,0),AS219,1),"")</f>
        <v>G</v>
      </c>
      <c r="AS219" s="3">
        <v>284</v>
      </c>
      <c r="AT219" s="3" t="str">
        <f>IFERROR(MID(VLOOKUP($B219,Seqs!$A:$B,2,0),AU219,1),"")</f>
        <v>M</v>
      </c>
      <c r="AU219" s="3">
        <v>309</v>
      </c>
      <c r="AV219" s="3" t="str">
        <f>IFERROR(MID(VLOOKUP($B219,Seqs!$A:$B,2,0),AW219,1),"")</f>
        <v>N</v>
      </c>
      <c r="AW219" s="3">
        <v>310</v>
      </c>
      <c r="AX219" s="3" t="str">
        <f>IFERROR(MID(VLOOKUP($B219,Seqs!$A:$B,2,0),AY219,1),"")</f>
        <v>C</v>
      </c>
      <c r="AY219" s="3">
        <v>322</v>
      </c>
      <c r="AZ219" s="77" t="str">
        <f>VLOOKUP(B219,Classification!A:D,2,0)</f>
        <v>A</v>
      </c>
      <c r="BA219" s="94" t="str">
        <f>VLOOKUP(B219,Classification!A:D,4,0)</f>
        <v>Opsins</v>
      </c>
      <c r="BB219" s="27" t="b">
        <f t="shared" si="756"/>
        <v>1</v>
      </c>
      <c r="BC219" s="23">
        <f t="shared" si="757"/>
        <v>250</v>
      </c>
      <c r="BD219" s="2" t="s">
        <v>23</v>
      </c>
      <c r="BE219" s="3" t="s">
        <v>1297</v>
      </c>
      <c r="BF219" s="119">
        <v>3.2</v>
      </c>
      <c r="BG219" s="49" t="s">
        <v>1</v>
      </c>
      <c r="BH219" s="49" t="s">
        <v>1</v>
      </c>
      <c r="BI219" s="1"/>
      <c r="BJ219" s="70" t="s">
        <v>1293</v>
      </c>
      <c r="BK219" s="57" t="s">
        <v>1293</v>
      </c>
      <c r="BL219" s="57" t="s">
        <v>1293</v>
      </c>
      <c r="BM219" s="57" t="s">
        <v>1293</v>
      </c>
      <c r="BN219" s="57" t="s">
        <v>1293</v>
      </c>
      <c r="BO219" s="57" t="s">
        <v>1293</v>
      </c>
      <c r="BP219" s="57" t="s">
        <v>1293</v>
      </c>
      <c r="BQ219" s="57" t="s">
        <v>1293</v>
      </c>
      <c r="BR219" s="57" t="s">
        <v>1293</v>
      </c>
      <c r="BS219" s="57" t="s">
        <v>1293</v>
      </c>
      <c r="BT219" s="57" t="s">
        <v>1293</v>
      </c>
      <c r="BU219" s="57" t="s">
        <v>1293</v>
      </c>
      <c r="BV219" s="70">
        <f t="shared" si="758"/>
        <v>33</v>
      </c>
      <c r="BW219" s="71">
        <f t="shared" si="759"/>
        <v>66</v>
      </c>
      <c r="BX219" s="72">
        <f t="shared" si="760"/>
        <v>73</v>
      </c>
      <c r="BY219" s="71">
        <f t="shared" si="761"/>
        <v>102</v>
      </c>
      <c r="BZ219" s="72">
        <f t="shared" si="762"/>
        <v>107</v>
      </c>
      <c r="CA219" s="71" t="str">
        <f t="shared" si="763"/>
        <v>-</v>
      </c>
      <c r="CB219" s="72">
        <f t="shared" si="764"/>
        <v>149</v>
      </c>
      <c r="CC219" s="71">
        <f t="shared" si="765"/>
        <v>187</v>
      </c>
      <c r="CD219" s="72">
        <f t="shared" si="766"/>
        <v>199</v>
      </c>
      <c r="CE219" s="71">
        <f t="shared" si="767"/>
        <v>240</v>
      </c>
      <c r="CF219" s="72">
        <f t="shared" si="768"/>
        <v>284</v>
      </c>
      <c r="CG219" s="71">
        <f t="shared" si="769"/>
        <v>310</v>
      </c>
      <c r="CH219" s="70">
        <f t="shared" si="770"/>
        <v>64</v>
      </c>
      <c r="CI219" s="71">
        <f t="shared" si="771"/>
        <v>69</v>
      </c>
      <c r="CJ219" s="72">
        <f t="shared" si="772"/>
        <v>101</v>
      </c>
      <c r="CK219" s="72">
        <f t="shared" si="773"/>
        <v>106</v>
      </c>
      <c r="CL219" s="72">
        <f t="shared" si="774"/>
        <v>141</v>
      </c>
      <c r="CM219" s="72" t="str">
        <f t="shared" si="775"/>
        <v>-</v>
      </c>
      <c r="CN219" s="72">
        <f t="shared" si="776"/>
        <v>173</v>
      </c>
      <c r="CO219" s="72">
        <f t="shared" si="777"/>
        <v>189</v>
      </c>
      <c r="CP219" s="72">
        <f t="shared" si="778"/>
        <v>236</v>
      </c>
      <c r="CQ219" s="72">
        <f t="shared" si="779"/>
        <v>278</v>
      </c>
      <c r="CR219" s="72">
        <f t="shared" si="780"/>
        <v>309</v>
      </c>
      <c r="CS219" s="72">
        <f t="shared" si="781"/>
        <v>322</v>
      </c>
      <c r="CT219" s="23">
        <f t="shared" si="782"/>
        <v>4</v>
      </c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  <c r="OK219" s="1"/>
      <c r="OL219" s="1"/>
      <c r="OM219" s="1"/>
      <c r="ON219" s="1"/>
      <c r="OO219" s="1"/>
      <c r="OP219" s="1"/>
      <c r="OQ219" s="1"/>
      <c r="OR219" s="1"/>
      <c r="OS219" s="1"/>
      <c r="OT219" s="1"/>
      <c r="OU219" s="1"/>
      <c r="OV219" s="1"/>
      <c r="OW219" s="1"/>
      <c r="OX219" s="1"/>
      <c r="OY219" s="1"/>
      <c r="OZ219" s="1"/>
      <c r="PA219" s="1"/>
      <c r="PB219" s="1"/>
      <c r="PC219" s="1"/>
      <c r="PD219" s="1"/>
      <c r="PE219" s="1"/>
      <c r="PF219" s="1"/>
      <c r="PG219" s="1"/>
      <c r="PH219" s="1"/>
      <c r="PI219" s="1"/>
      <c r="PJ219" s="1"/>
      <c r="PK219" s="1"/>
      <c r="PL219" s="1"/>
      <c r="PM219" s="1"/>
      <c r="PN219" s="1"/>
      <c r="PO219" s="1"/>
      <c r="PP219" s="1"/>
      <c r="PQ219" s="1"/>
      <c r="PR219" s="1"/>
      <c r="PS219" s="1"/>
      <c r="PT219" s="1"/>
      <c r="PU219" s="1"/>
      <c r="PV219" s="1"/>
      <c r="PW219" s="1"/>
      <c r="PX219" s="1"/>
      <c r="PY219" s="1"/>
      <c r="PZ219" s="1"/>
      <c r="QA219" s="1"/>
      <c r="QB219" s="1"/>
      <c r="QC219" s="1"/>
      <c r="QD219" s="1"/>
      <c r="QE219" s="1"/>
      <c r="QF219" s="1"/>
      <c r="QG219" s="1"/>
      <c r="QH219" s="1"/>
      <c r="QI219" s="1"/>
      <c r="QJ219" s="1"/>
      <c r="QK219" s="1"/>
      <c r="QL219" s="1"/>
      <c r="QM219" s="1"/>
      <c r="QN219" s="1"/>
      <c r="QO219" s="1"/>
      <c r="QP219" s="1"/>
      <c r="QQ219" s="1"/>
      <c r="QR219" s="1"/>
      <c r="QS219" s="1"/>
      <c r="QT219" s="1"/>
      <c r="QU219" s="1"/>
      <c r="QV219" s="1"/>
      <c r="QW219" s="1"/>
      <c r="QX219" s="1"/>
      <c r="QY219" s="1"/>
      <c r="QZ219" s="1"/>
      <c r="RA219" s="1"/>
      <c r="RB219" s="1"/>
      <c r="RC219" s="1"/>
      <c r="RD219" s="1"/>
      <c r="RE219" s="1"/>
      <c r="RF219" s="1"/>
      <c r="RG219" s="1"/>
      <c r="RH219" s="1"/>
      <c r="RI219" s="1"/>
      <c r="RJ219" s="1"/>
      <c r="RK219" s="1"/>
      <c r="RL219" s="1"/>
      <c r="RM219" s="1"/>
      <c r="RN219" s="1"/>
      <c r="RO219" s="1"/>
      <c r="RP219" s="1"/>
      <c r="RQ219" s="1"/>
      <c r="RR219" s="1"/>
      <c r="RS219" s="1"/>
      <c r="RT219" s="1"/>
      <c r="RU219" s="1"/>
      <c r="RV219" s="1"/>
      <c r="RW219" s="1"/>
      <c r="RX219" s="1"/>
      <c r="RY219" s="1"/>
      <c r="RZ219" s="1"/>
      <c r="SA219" s="1"/>
      <c r="SB219" s="1"/>
      <c r="SC219" s="1"/>
      <c r="SD219" s="1"/>
      <c r="SE219" s="1"/>
      <c r="SF219" s="1"/>
      <c r="SG219" s="1"/>
      <c r="SH219" s="1"/>
      <c r="SI219" s="1"/>
      <c r="SJ219" s="1"/>
      <c r="SK219" s="1"/>
      <c r="SL219" s="1"/>
      <c r="SM219" s="1"/>
      <c r="SN219" s="1"/>
      <c r="SO219" s="1"/>
      <c r="SP219" s="1"/>
      <c r="SQ219" s="1"/>
      <c r="SR219" s="1"/>
      <c r="SS219" s="1"/>
      <c r="ST219" s="1"/>
      <c r="SU219" s="1"/>
      <c r="SV219" s="1"/>
      <c r="SW219" s="1"/>
      <c r="SX219" s="1"/>
      <c r="SY219" s="1"/>
      <c r="SZ219" s="1"/>
      <c r="TA219" s="1"/>
      <c r="TB219" s="1"/>
      <c r="TC219" s="1"/>
      <c r="TD219" s="1"/>
      <c r="TE219" s="1"/>
      <c r="TF219" s="1"/>
      <c r="TG219" s="1"/>
      <c r="TH219" s="1"/>
      <c r="TI219" s="1"/>
      <c r="TJ219" s="1"/>
      <c r="TK219" s="1"/>
      <c r="TL219" s="1"/>
      <c r="TM219" s="1"/>
      <c r="TN219" s="1"/>
      <c r="TO219" s="1"/>
      <c r="TP219" s="1"/>
      <c r="TQ219" s="1"/>
      <c r="TR219" s="1"/>
      <c r="TS219" s="1"/>
      <c r="TT219" s="1"/>
      <c r="TU219" s="1"/>
      <c r="TV219" s="1"/>
      <c r="TW219" s="1"/>
      <c r="TX219" s="1"/>
      <c r="TY219" s="1"/>
      <c r="TZ219" s="1"/>
      <c r="UA219" s="1"/>
      <c r="UB219" s="1"/>
      <c r="UC219" s="1"/>
      <c r="UD219" s="1"/>
      <c r="UE219" s="1"/>
      <c r="UF219" s="1"/>
      <c r="UG219" s="1"/>
      <c r="UH219" s="1"/>
      <c r="UI219" s="1"/>
      <c r="UJ219" s="1"/>
      <c r="UK219" s="1"/>
      <c r="UL219" s="1"/>
      <c r="UM219" s="1"/>
      <c r="UN219" s="1"/>
      <c r="UO219" s="1"/>
      <c r="UP219" s="1"/>
      <c r="UQ219" s="1"/>
      <c r="UR219" s="1"/>
      <c r="US219" s="1"/>
      <c r="UT219" s="1"/>
      <c r="UU219" s="1"/>
      <c r="UV219" s="1"/>
      <c r="UW219" s="1"/>
      <c r="UX219" s="1"/>
      <c r="UY219" s="1"/>
      <c r="UZ219" s="1"/>
      <c r="VA219" s="1"/>
      <c r="VB219" s="1"/>
      <c r="VC219" s="1"/>
      <c r="VD219" s="1"/>
      <c r="VE219" s="1"/>
      <c r="VF219" s="1"/>
      <c r="VG219" s="1"/>
      <c r="VH219" s="1"/>
      <c r="VI219" s="1"/>
      <c r="VJ219" s="1"/>
      <c r="VK219" s="1"/>
      <c r="VL219" s="1"/>
      <c r="VM219" s="1"/>
      <c r="VN219" s="1"/>
      <c r="VO219" s="1"/>
      <c r="VP219" s="1"/>
      <c r="VQ219" s="1"/>
      <c r="VR219" s="1"/>
      <c r="VS219" s="1"/>
      <c r="VT219" s="1"/>
      <c r="VU219" s="1"/>
      <c r="VV219" s="1"/>
      <c r="VW219" s="1"/>
      <c r="VX219" s="1"/>
      <c r="VY219" s="1"/>
      <c r="VZ219" s="1"/>
      <c r="WA219" s="1"/>
      <c r="WB219" s="1"/>
      <c r="WC219" s="1"/>
      <c r="WD219" s="1"/>
      <c r="WE219" s="1"/>
      <c r="WF219" s="1"/>
      <c r="WG219" s="1"/>
      <c r="WH219" s="1"/>
      <c r="WI219" s="1"/>
      <c r="WJ219" s="1"/>
      <c r="WK219" s="1"/>
      <c r="WL219" s="1"/>
      <c r="WM219" s="1"/>
      <c r="WN219" s="1"/>
      <c r="WO219" s="1"/>
      <c r="WP219" s="1"/>
      <c r="WQ219" s="1"/>
      <c r="WR219" s="1"/>
      <c r="WS219" s="1"/>
      <c r="WT219" s="1"/>
      <c r="WU219" s="1"/>
      <c r="WV219" s="1"/>
      <c r="WW219" s="1"/>
      <c r="WX219" s="1"/>
      <c r="WY219" s="1"/>
      <c r="WZ219" s="1"/>
      <c r="XA219" s="1"/>
      <c r="XB219" s="1"/>
      <c r="XC219" s="1"/>
      <c r="XD219" s="1"/>
      <c r="XE219" s="1"/>
      <c r="XF219" s="1"/>
      <c r="XG219" s="1"/>
      <c r="XH219" s="1"/>
      <c r="XI219" s="1"/>
      <c r="XJ219" s="1"/>
      <c r="XK219" s="1"/>
      <c r="XL219" s="1"/>
      <c r="XM219" s="1"/>
      <c r="XN219" s="1"/>
      <c r="XO219" s="1"/>
      <c r="XP219" s="1"/>
      <c r="XQ219" s="1"/>
      <c r="XR219" s="1"/>
      <c r="XS219" s="1"/>
      <c r="XT219" s="1"/>
      <c r="XU219" s="1"/>
      <c r="XV219" s="1"/>
      <c r="XW219" s="1"/>
      <c r="XX219" s="1"/>
      <c r="XY219" s="1"/>
      <c r="XZ219" s="1"/>
      <c r="YA219" s="1"/>
      <c r="YB219" s="1"/>
      <c r="YC219" s="1"/>
      <c r="YD219" s="1"/>
      <c r="YE219" s="1"/>
      <c r="YF219" s="1"/>
      <c r="YG219" s="1"/>
      <c r="YH219" s="1"/>
      <c r="YI219" s="1"/>
      <c r="YJ219" s="1"/>
      <c r="YK219" s="1"/>
      <c r="YL219" s="1"/>
      <c r="YM219" s="1"/>
      <c r="YN219" s="1"/>
      <c r="YO219" s="1"/>
      <c r="YP219" s="1"/>
      <c r="YQ219" s="1"/>
      <c r="YR219" s="1"/>
      <c r="YS219" s="1"/>
      <c r="YT219" s="1"/>
      <c r="YU219" s="1"/>
      <c r="YV219" s="1"/>
      <c r="YW219" s="1"/>
      <c r="YX219" s="1"/>
      <c r="YY219" s="1"/>
      <c r="YZ219" s="1"/>
      <c r="ZA219" s="1"/>
      <c r="ZB219" s="1"/>
      <c r="ZC219" s="1"/>
      <c r="ZD219" s="1"/>
      <c r="ZE219" s="1"/>
      <c r="ZF219" s="1"/>
      <c r="ZG219" s="1"/>
      <c r="ZH219" s="1"/>
      <c r="ZI219" s="1"/>
      <c r="ZJ219" s="1"/>
      <c r="ZK219" s="1"/>
      <c r="ZL219" s="1"/>
      <c r="ZM219" s="1"/>
      <c r="ZN219" s="1"/>
      <c r="ZO219" s="1"/>
      <c r="ZP219" s="1"/>
      <c r="ZQ219" s="1"/>
      <c r="ZR219" s="1"/>
      <c r="ZS219" s="1"/>
      <c r="ZT219" s="1"/>
      <c r="ZU219" s="1"/>
      <c r="ZV219" s="1"/>
      <c r="ZW219" s="1"/>
      <c r="ZX219" s="1"/>
      <c r="ZY219" s="1"/>
      <c r="ZZ219" s="1"/>
      <c r="AAA219" s="1"/>
      <c r="AAB219" s="1"/>
      <c r="AAC219" s="1"/>
      <c r="AAD219" s="1"/>
      <c r="AAE219" s="1"/>
      <c r="AAF219" s="1"/>
      <c r="AAG219" s="1"/>
      <c r="AAH219" s="1"/>
      <c r="AAI219" s="1"/>
      <c r="AAJ219" s="1"/>
      <c r="AAK219" s="1"/>
      <c r="AAL219" s="1"/>
      <c r="AAM219" s="1"/>
      <c r="AAN219" s="1"/>
      <c r="AAO219" s="1"/>
      <c r="AAP219" s="1"/>
      <c r="AAQ219" s="1"/>
      <c r="AAR219" s="1"/>
      <c r="AAS219" s="1"/>
      <c r="AAT219" s="1"/>
      <c r="AAU219" s="1"/>
      <c r="AAV219" s="1"/>
      <c r="AAW219" s="1"/>
      <c r="AAX219" s="1"/>
      <c r="AAY219" s="1"/>
      <c r="AAZ219" s="1"/>
      <c r="ABA219" s="1"/>
      <c r="ABB219" s="1"/>
      <c r="ABC219" s="1"/>
      <c r="ABD219" s="1"/>
      <c r="ABE219" s="1"/>
      <c r="ABF219" s="1"/>
      <c r="ABG219" s="1"/>
      <c r="ABH219" s="1"/>
      <c r="ABI219" s="1"/>
      <c r="ABJ219" s="1"/>
      <c r="ABK219" s="1"/>
      <c r="ABL219" s="1"/>
      <c r="ABM219" s="1"/>
      <c r="ABN219" s="1"/>
      <c r="ABO219" s="1"/>
      <c r="ABP219" s="1"/>
      <c r="ABQ219" s="1"/>
      <c r="ABR219" s="1"/>
      <c r="ABS219" s="1"/>
      <c r="ABT219" s="1"/>
      <c r="ABU219" s="1"/>
      <c r="ABV219" s="1"/>
      <c r="ABW219" s="1"/>
      <c r="ABX219" s="1"/>
      <c r="ABY219" s="1"/>
      <c r="ABZ219" s="1"/>
      <c r="ACA219" s="1"/>
      <c r="ACB219" s="1"/>
      <c r="ACC219" s="1"/>
      <c r="ACD219" s="1"/>
      <c r="ACE219" s="1"/>
      <c r="ACF219" s="1"/>
      <c r="ACG219" s="1"/>
      <c r="ACH219" s="1"/>
      <c r="ACI219" s="1"/>
      <c r="ACJ219" s="1"/>
      <c r="ACK219" s="1"/>
      <c r="ACL219" s="1"/>
      <c r="ACM219" s="1"/>
      <c r="ACN219" s="1"/>
      <c r="ACO219" s="1"/>
      <c r="ACP219" s="1"/>
      <c r="ACQ219" s="1"/>
      <c r="ACR219" s="1"/>
      <c r="ACS219" s="1"/>
      <c r="ACT219" s="1"/>
      <c r="ACU219" s="1"/>
      <c r="ACV219" s="1"/>
      <c r="ACW219" s="1"/>
      <c r="ACX219" s="1"/>
      <c r="ACY219" s="1"/>
      <c r="ACZ219" s="1"/>
      <c r="ADA219" s="1"/>
      <c r="ADB219" s="1"/>
      <c r="ADC219" s="1"/>
      <c r="ADD219" s="1"/>
      <c r="ADE219" s="1"/>
      <c r="ADF219" s="1"/>
      <c r="ADG219" s="1"/>
      <c r="ADH219" s="1"/>
      <c r="ADI219" s="1"/>
      <c r="ADJ219" s="1"/>
      <c r="ADK219" s="1"/>
      <c r="ADL219" s="1"/>
      <c r="ADM219" s="1"/>
      <c r="ADN219" s="1"/>
      <c r="ADO219" s="1"/>
      <c r="ADP219" s="1"/>
      <c r="ADQ219" s="1"/>
      <c r="ADR219" s="1"/>
      <c r="ADS219" s="1"/>
      <c r="ADT219" s="1"/>
      <c r="ADU219" s="1"/>
      <c r="ADV219" s="1"/>
      <c r="ADW219" s="1"/>
      <c r="ADX219" s="1"/>
      <c r="ADY219" s="1"/>
      <c r="ADZ219" s="1"/>
      <c r="AEA219" s="1"/>
      <c r="AEB219" s="1"/>
      <c r="AEC219" s="1"/>
      <c r="AED219" s="1"/>
      <c r="AEE219" s="1"/>
      <c r="AEF219" s="1"/>
      <c r="AEG219" s="1"/>
      <c r="AEH219" s="1"/>
      <c r="AEI219" s="1"/>
      <c r="AEJ219" s="1"/>
      <c r="AEK219" s="1"/>
      <c r="AEL219" s="1"/>
      <c r="AEM219" s="1"/>
      <c r="AEN219" s="1"/>
      <c r="AEO219" s="1"/>
      <c r="AEP219" s="1"/>
      <c r="AEQ219" s="1"/>
      <c r="AER219" s="1"/>
      <c r="AES219" s="1"/>
      <c r="AET219" s="1"/>
      <c r="AEU219" s="1"/>
      <c r="AEV219" s="1"/>
      <c r="AEW219" s="1"/>
      <c r="AEX219" s="1"/>
      <c r="AEY219" s="1"/>
      <c r="AEZ219" s="1"/>
      <c r="AFA219" s="1"/>
      <c r="AFB219" s="1"/>
      <c r="AFC219" s="1"/>
      <c r="AFD219" s="1"/>
      <c r="AFE219" s="1"/>
      <c r="AFF219" s="1"/>
      <c r="AFG219" s="1"/>
      <c r="AFH219" s="1"/>
      <c r="AFI219" s="1"/>
      <c r="AFJ219" s="1"/>
      <c r="AFK219" s="1"/>
      <c r="AFL219" s="1"/>
      <c r="AFM219" s="1"/>
      <c r="AFN219" s="1"/>
      <c r="AFO219" s="1"/>
      <c r="AFP219" s="1"/>
      <c r="AFQ219" s="1"/>
      <c r="AFR219" s="1"/>
      <c r="AFS219" s="1"/>
      <c r="AFT219" s="1"/>
      <c r="AFU219" s="1"/>
      <c r="AFV219" s="1"/>
      <c r="AFW219" s="1"/>
      <c r="AFX219" s="1"/>
      <c r="AFY219" s="1"/>
      <c r="AFZ219" s="1"/>
      <c r="AGA219" s="1"/>
      <c r="AGB219" s="1"/>
      <c r="AGC219" s="1"/>
      <c r="AGD219" s="1"/>
      <c r="AGE219" s="1"/>
      <c r="AGF219" s="1"/>
      <c r="AGG219" s="1"/>
      <c r="AGH219" s="1"/>
      <c r="AGI219" s="1"/>
      <c r="AGJ219" s="1"/>
      <c r="AGK219" s="1"/>
      <c r="AGL219" s="1"/>
      <c r="AGM219" s="1"/>
      <c r="AGN219" s="1"/>
      <c r="AGO219" s="1"/>
      <c r="AGP219" s="1"/>
      <c r="AGQ219" s="1"/>
      <c r="AGR219" s="1"/>
      <c r="AGS219" s="1"/>
      <c r="AGT219" s="1"/>
      <c r="AGU219" s="1"/>
      <c r="AGV219" s="1"/>
      <c r="AGW219" s="1"/>
      <c r="AGX219" s="1"/>
      <c r="AGY219" s="1"/>
      <c r="AGZ219" s="1"/>
      <c r="AHA219" s="1"/>
      <c r="AHB219" s="1"/>
      <c r="AHC219" s="1"/>
      <c r="AHD219" s="1"/>
      <c r="AHE219" s="1"/>
      <c r="AHF219" s="1"/>
      <c r="AHG219" s="1"/>
      <c r="AHH219" s="1"/>
      <c r="AHI219" s="1"/>
      <c r="AHJ219" s="1"/>
      <c r="AHK219" s="1"/>
      <c r="AHL219" s="1"/>
      <c r="AHM219" s="1"/>
      <c r="AHN219" s="1"/>
      <c r="AHO219" s="1"/>
      <c r="AHP219" s="1"/>
      <c r="AHQ219" s="1"/>
      <c r="AHR219" s="1"/>
      <c r="AHS219" s="1"/>
      <c r="AHT219" s="1"/>
      <c r="AHU219" s="1"/>
      <c r="AHV219" s="1"/>
      <c r="AHW219" s="1"/>
      <c r="AHX219" s="1"/>
      <c r="AHY219" s="1"/>
      <c r="AHZ219" s="1"/>
      <c r="AIA219" s="1"/>
      <c r="AIB219" s="1"/>
      <c r="AIC219" s="1"/>
      <c r="AID219" s="1"/>
      <c r="AIE219" s="1"/>
      <c r="AIF219" s="1"/>
      <c r="AIG219" s="1"/>
      <c r="AIH219" s="1"/>
      <c r="AII219" s="1"/>
      <c r="AIJ219" s="1"/>
      <c r="AIK219" s="1"/>
      <c r="AIL219" s="1"/>
      <c r="AIM219" s="1"/>
      <c r="AIN219" s="1"/>
      <c r="AIO219" s="1"/>
      <c r="AIP219" s="1"/>
      <c r="AIQ219" s="1"/>
      <c r="AIR219" s="1"/>
      <c r="AIS219" s="1"/>
      <c r="AIT219" s="1"/>
      <c r="AIU219" s="1"/>
      <c r="AIV219" s="1"/>
      <c r="AIW219" s="1"/>
      <c r="AIX219" s="1"/>
      <c r="AIY219" s="1"/>
      <c r="AIZ219" s="1"/>
      <c r="AJA219" s="1"/>
      <c r="AJB219" s="1"/>
      <c r="AJC219" s="1"/>
      <c r="AJD219" s="1"/>
      <c r="AJE219" s="1"/>
      <c r="AJF219" s="1"/>
      <c r="AJG219" s="1"/>
      <c r="AJH219" s="1"/>
      <c r="AJI219" s="1"/>
      <c r="AJJ219" s="1"/>
      <c r="AJK219" s="1"/>
      <c r="AJL219" s="1"/>
      <c r="AJM219" s="1"/>
      <c r="AJN219" s="1"/>
      <c r="AJO219" s="1"/>
      <c r="AJP219" s="1"/>
      <c r="AJQ219" s="1"/>
      <c r="AJR219" s="1"/>
      <c r="AJS219" s="1"/>
      <c r="AJT219" s="1"/>
      <c r="AJU219" s="1"/>
      <c r="AJV219" s="1"/>
      <c r="AJW219" s="1"/>
      <c r="AJX219" s="1"/>
      <c r="AJY219" s="1"/>
      <c r="AJZ219" s="1"/>
      <c r="AKA219" s="1"/>
      <c r="AKB219" s="1"/>
      <c r="AKC219" s="1"/>
      <c r="AKD219" s="1"/>
      <c r="AKE219" s="1"/>
      <c r="AKF219" s="1"/>
      <c r="AKG219" s="1"/>
      <c r="AKH219" s="1"/>
      <c r="AKI219" s="1"/>
      <c r="AKJ219" s="1"/>
      <c r="AKK219" s="1"/>
      <c r="AKL219" s="1"/>
      <c r="AKM219" s="1"/>
      <c r="AKN219" s="1"/>
      <c r="AKO219" s="1"/>
      <c r="AKP219" s="1"/>
      <c r="AKQ219" s="1"/>
      <c r="AKR219" s="1"/>
      <c r="AKS219" s="1"/>
      <c r="AKT219" s="1"/>
      <c r="AKU219" s="1"/>
      <c r="AKV219" s="1"/>
      <c r="AKW219" s="1"/>
      <c r="AKX219" s="1"/>
      <c r="AKY219" s="1"/>
      <c r="AKZ219" s="1"/>
      <c r="ALA219" s="1"/>
      <c r="ALB219" s="1"/>
      <c r="ALC219" s="1"/>
      <c r="ALD219" s="1"/>
      <c r="ALE219" s="1"/>
      <c r="ALF219" s="1"/>
      <c r="ALG219" s="1"/>
      <c r="ALH219" s="1"/>
      <c r="ALI219" s="1"/>
      <c r="ALJ219" s="1"/>
      <c r="ALK219" s="1"/>
      <c r="ALL219" s="1"/>
      <c r="ALM219" s="1"/>
      <c r="ALN219" s="1"/>
      <c r="ALO219" s="1"/>
      <c r="ALP219" s="1"/>
      <c r="ALQ219" s="1"/>
      <c r="ALR219" s="1"/>
      <c r="ALS219" s="1"/>
      <c r="ALT219" s="1"/>
      <c r="ALU219" s="1"/>
      <c r="ALV219" s="1"/>
      <c r="ALW219" s="1"/>
      <c r="ALX219" s="1"/>
      <c r="ALY219" s="1"/>
      <c r="ALZ219" s="1"/>
      <c r="AMA219" s="1"/>
      <c r="AMB219" s="1"/>
      <c r="AMC219" s="1"/>
      <c r="AMD219" s="1"/>
      <c r="AME219" s="1"/>
      <c r="AMF219" s="1"/>
      <c r="AMG219" s="1"/>
      <c r="AMH219" s="1"/>
      <c r="AMI219" s="1"/>
      <c r="AMJ219" s="1"/>
      <c r="AMK219" s="1"/>
      <c r="AML219" s="1"/>
      <c r="AMM219" s="1"/>
      <c r="AMN219" s="1"/>
      <c r="AMO219" s="1"/>
    </row>
    <row r="220" spans="1:1030" x14ac:dyDescent="0.2">
      <c r="A220" s="3" t="str">
        <f t="shared" si="755"/>
        <v>opsd_bovin_6FK6</v>
      </c>
      <c r="B220" s="3" t="s">
        <v>920</v>
      </c>
      <c r="C220" s="3" t="s">
        <v>1495</v>
      </c>
      <c r="D220" s="3" t="str">
        <f>IFERROR(MID(VLOOKUP($B220,Seqs!$A:$B,2,0),E220,1),"")</f>
        <v>E</v>
      </c>
      <c r="E220" s="3">
        <v>33</v>
      </c>
      <c r="F220" s="3" t="str">
        <f>IFERROR(MID(VLOOKUP($B220,Seqs!$A:$B,2,0),G220,1),"")</f>
        <v>Q</v>
      </c>
      <c r="G220" s="3">
        <v>64</v>
      </c>
      <c r="H220" s="3" t="str">
        <f>IFERROR(MID(VLOOKUP($B220,Seqs!$A:$B,2,0),I220,1),"")</f>
        <v>K</v>
      </c>
      <c r="I220" s="23">
        <v>66</v>
      </c>
      <c r="J220" s="3" t="str">
        <f>IFERROR(MID(VLOOKUP($B220,Seqs!$A:$B,2,0),K220,1),"")</f>
        <v>R</v>
      </c>
      <c r="K220" s="23">
        <v>69</v>
      </c>
      <c r="L220" s="3" t="str">
        <f>IFERROR(MID(VLOOKUP($B220,Seqs!$A:$B,2,0),M220,1),"")</f>
        <v>N</v>
      </c>
      <c r="M220" s="3">
        <v>73</v>
      </c>
      <c r="N220" s="3" t="str">
        <f>IFERROR(MID(VLOOKUP($B220,Seqs!$A:$B,2,0),O220,1),"")</f>
        <v>G</v>
      </c>
      <c r="O220" s="3">
        <v>101</v>
      </c>
      <c r="P220" s="3" t="str">
        <f>IFERROR(MID(VLOOKUP($B220,Seqs!$A:$B,2,0),Q220,1),"")</f>
        <v>Y</v>
      </c>
      <c r="Q220" s="3">
        <v>102</v>
      </c>
      <c r="R220" s="3" t="str">
        <f>IFERROR(MID(VLOOKUP($B220,Seqs!$A:$B,2,0),S220,1),"")</f>
        <v>G</v>
      </c>
      <c r="S220" s="3">
        <v>106</v>
      </c>
      <c r="T220" s="3" t="str">
        <f>IFERROR(MID(VLOOKUP($B220,Seqs!$A:$B,2,0),U220,1),"")</f>
        <v>P</v>
      </c>
      <c r="U220" s="3">
        <v>107</v>
      </c>
      <c r="V220" s="3" t="str">
        <f>IFERROR(MID(VLOOKUP($B220,Seqs!$A:$B,2,0),W220,1),"")</f>
        <v>K</v>
      </c>
      <c r="W220" s="3">
        <v>141</v>
      </c>
      <c r="X220" s="3" t="str">
        <f>IFERROR(MID(VLOOKUP($B220,Seqs!$A:$B,2,0),Y220,1),"")</f>
        <v/>
      </c>
      <c r="Y220" s="3" t="s">
        <v>23</v>
      </c>
      <c r="Z220" s="3" t="str">
        <f>IFERROR(MID(VLOOKUP($B220,Seqs!$A:$B,2,0),AA220,1),"")</f>
        <v/>
      </c>
      <c r="AA220" s="3" t="s">
        <v>23</v>
      </c>
      <c r="AB220" s="3" t="str">
        <f>IFERROR(MID(VLOOKUP($B220,Seqs!$A:$B,2,0),AC220,1),"")</f>
        <v>G</v>
      </c>
      <c r="AC220" s="3">
        <v>149</v>
      </c>
      <c r="AD220" s="3" t="str">
        <f>IFERROR(MID(VLOOKUP($B220,Seqs!$A:$B,2,0),AE220,1),"")</f>
        <v>V</v>
      </c>
      <c r="AE220" s="3">
        <v>173</v>
      </c>
      <c r="AF220" s="3" t="str">
        <f>IFERROR(MID(VLOOKUP($B220,Seqs!$A:$B,2,0),AG220,1),"")</f>
        <v>C</v>
      </c>
      <c r="AG220" s="3">
        <v>187</v>
      </c>
      <c r="AH220" s="3" t="str">
        <f>IFERROR(MID(VLOOKUP($B220,Seqs!$A:$B,2,0),AI220,1),"")</f>
        <v>I</v>
      </c>
      <c r="AI220" s="3">
        <v>189</v>
      </c>
      <c r="AJ220" s="3" t="str">
        <f>IFERROR(MID(VLOOKUP($B220,Seqs!$A:$B,2,0),AK220,1),"")</f>
        <v>N</v>
      </c>
      <c r="AK220" s="3">
        <v>199</v>
      </c>
      <c r="AL220" s="3" t="str">
        <f>IFERROR(MID(VLOOKUP($B220,Seqs!$A:$B,2,0),AM220,1),"")</f>
        <v>Q</v>
      </c>
      <c r="AM220" s="3">
        <v>236</v>
      </c>
      <c r="AN220" s="3" t="str">
        <f>IFERROR(MID(VLOOKUP($B220,Seqs!$A:$B,2,0),AO220,1),"")</f>
        <v>S</v>
      </c>
      <c r="AO220" s="3">
        <v>240</v>
      </c>
      <c r="AP220" s="3" t="str">
        <f>IFERROR(MID(VLOOKUP($B220,Seqs!$A:$B,2,0),AQ220,1),"")</f>
        <v>H</v>
      </c>
      <c r="AQ220" s="3">
        <v>278</v>
      </c>
      <c r="AR220" s="3" t="str">
        <f>IFERROR(MID(VLOOKUP($B220,Seqs!$A:$B,2,0),AS220,1),"")</f>
        <v>G</v>
      </c>
      <c r="AS220" s="3">
        <v>284</v>
      </c>
      <c r="AT220" s="3" t="str">
        <f>IFERROR(MID(VLOOKUP($B220,Seqs!$A:$B,2,0),AU220,1),"")</f>
        <v>M</v>
      </c>
      <c r="AU220" s="3">
        <v>309</v>
      </c>
      <c r="AV220" s="3" t="str">
        <f>IFERROR(MID(VLOOKUP($B220,Seqs!$A:$B,2,0),AW220,1),"")</f>
        <v>N</v>
      </c>
      <c r="AW220" s="3">
        <v>310</v>
      </c>
      <c r="AX220" s="3" t="str">
        <f>IFERROR(MID(VLOOKUP($B220,Seqs!$A:$B,2,0),AY220,1),"")</f>
        <v>C</v>
      </c>
      <c r="AY220" s="3">
        <v>322</v>
      </c>
      <c r="AZ220" s="77" t="str">
        <f>VLOOKUP(B220,Classification!A:D,2,0)</f>
        <v>A</v>
      </c>
      <c r="BA220" s="94" t="str">
        <f>VLOOKUP(B220,Classification!A:D,4,0)</f>
        <v>Opsins</v>
      </c>
      <c r="BB220" s="27" t="b">
        <f t="shared" si="756"/>
        <v>1</v>
      </c>
      <c r="BC220" s="23">
        <f t="shared" si="757"/>
        <v>250</v>
      </c>
      <c r="BD220" s="2" t="s">
        <v>23</v>
      </c>
      <c r="BE220" s="3" t="s">
        <v>1297</v>
      </c>
      <c r="BF220" s="119">
        <v>2.36</v>
      </c>
      <c r="BG220" s="49" t="s">
        <v>1</v>
      </c>
      <c r="BH220" s="49" t="s">
        <v>1</v>
      </c>
      <c r="BI220" s="1"/>
      <c r="BJ220" s="70" t="s">
        <v>1293</v>
      </c>
      <c r="BK220" s="57" t="s">
        <v>1293</v>
      </c>
      <c r="BL220" s="57" t="s">
        <v>1293</v>
      </c>
      <c r="BM220" s="57" t="s">
        <v>1293</v>
      </c>
      <c r="BN220" s="57" t="s">
        <v>1293</v>
      </c>
      <c r="BO220" s="57" t="s">
        <v>1293</v>
      </c>
      <c r="BP220" s="57" t="s">
        <v>1293</v>
      </c>
      <c r="BQ220" s="57" t="s">
        <v>1293</v>
      </c>
      <c r="BR220" s="57" t="s">
        <v>1293</v>
      </c>
      <c r="BS220" s="57" t="s">
        <v>1293</v>
      </c>
      <c r="BT220" s="57" t="s">
        <v>1293</v>
      </c>
      <c r="BU220" s="57" t="s">
        <v>1293</v>
      </c>
      <c r="BV220" s="70">
        <f t="shared" si="758"/>
        <v>33</v>
      </c>
      <c r="BW220" s="71">
        <f t="shared" si="759"/>
        <v>66</v>
      </c>
      <c r="BX220" s="72">
        <f t="shared" si="760"/>
        <v>73</v>
      </c>
      <c r="BY220" s="71">
        <f t="shared" si="761"/>
        <v>102</v>
      </c>
      <c r="BZ220" s="72">
        <f t="shared" si="762"/>
        <v>107</v>
      </c>
      <c r="CA220" s="71" t="str">
        <f t="shared" si="763"/>
        <v>-</v>
      </c>
      <c r="CB220" s="72">
        <f t="shared" si="764"/>
        <v>149</v>
      </c>
      <c r="CC220" s="71">
        <f t="shared" si="765"/>
        <v>187</v>
      </c>
      <c r="CD220" s="72">
        <f t="shared" si="766"/>
        <v>199</v>
      </c>
      <c r="CE220" s="71">
        <f t="shared" si="767"/>
        <v>240</v>
      </c>
      <c r="CF220" s="72">
        <f t="shared" si="768"/>
        <v>284</v>
      </c>
      <c r="CG220" s="71">
        <f t="shared" si="769"/>
        <v>310</v>
      </c>
      <c r="CH220" s="70">
        <f t="shared" si="770"/>
        <v>64</v>
      </c>
      <c r="CI220" s="71">
        <f t="shared" si="771"/>
        <v>69</v>
      </c>
      <c r="CJ220" s="72">
        <f t="shared" si="772"/>
        <v>101</v>
      </c>
      <c r="CK220" s="72">
        <f t="shared" si="773"/>
        <v>106</v>
      </c>
      <c r="CL220" s="72">
        <f t="shared" si="774"/>
        <v>141</v>
      </c>
      <c r="CM220" s="72" t="str">
        <f t="shared" si="775"/>
        <v>-</v>
      </c>
      <c r="CN220" s="72">
        <f t="shared" si="776"/>
        <v>173</v>
      </c>
      <c r="CO220" s="72">
        <f t="shared" si="777"/>
        <v>189</v>
      </c>
      <c r="CP220" s="72">
        <f t="shared" si="778"/>
        <v>236</v>
      </c>
      <c r="CQ220" s="72">
        <f t="shared" si="779"/>
        <v>278</v>
      </c>
      <c r="CR220" s="72">
        <f t="shared" si="780"/>
        <v>309</v>
      </c>
      <c r="CS220" s="72">
        <f t="shared" si="781"/>
        <v>322</v>
      </c>
      <c r="CT220" s="23">
        <f t="shared" si="782"/>
        <v>4</v>
      </c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  <c r="OK220" s="1"/>
      <c r="OL220" s="1"/>
      <c r="OM220" s="1"/>
      <c r="ON220" s="1"/>
      <c r="OO220" s="1"/>
      <c r="OP220" s="1"/>
      <c r="OQ220" s="1"/>
      <c r="OR220" s="1"/>
      <c r="OS220" s="1"/>
      <c r="OT220" s="1"/>
      <c r="OU220" s="1"/>
      <c r="OV220" s="1"/>
      <c r="OW220" s="1"/>
      <c r="OX220" s="1"/>
      <c r="OY220" s="1"/>
      <c r="OZ220" s="1"/>
      <c r="PA220" s="1"/>
      <c r="PB220" s="1"/>
      <c r="PC220" s="1"/>
      <c r="PD220" s="1"/>
      <c r="PE220" s="1"/>
      <c r="PF220" s="1"/>
      <c r="PG220" s="1"/>
      <c r="PH220" s="1"/>
      <c r="PI220" s="1"/>
      <c r="PJ220" s="1"/>
      <c r="PK220" s="1"/>
      <c r="PL220" s="1"/>
      <c r="PM220" s="1"/>
      <c r="PN220" s="1"/>
      <c r="PO220" s="1"/>
      <c r="PP220" s="1"/>
      <c r="PQ220" s="1"/>
      <c r="PR220" s="1"/>
      <c r="PS220" s="1"/>
      <c r="PT220" s="1"/>
      <c r="PU220" s="1"/>
      <c r="PV220" s="1"/>
      <c r="PW220" s="1"/>
      <c r="PX220" s="1"/>
      <c r="PY220" s="1"/>
      <c r="PZ220" s="1"/>
      <c r="QA220" s="1"/>
      <c r="QB220" s="1"/>
      <c r="QC220" s="1"/>
      <c r="QD220" s="1"/>
      <c r="QE220" s="1"/>
      <c r="QF220" s="1"/>
      <c r="QG220" s="1"/>
      <c r="QH220" s="1"/>
      <c r="QI220" s="1"/>
      <c r="QJ220" s="1"/>
      <c r="QK220" s="1"/>
      <c r="QL220" s="1"/>
      <c r="QM220" s="1"/>
      <c r="QN220" s="1"/>
      <c r="QO220" s="1"/>
      <c r="QP220" s="1"/>
      <c r="QQ220" s="1"/>
      <c r="QR220" s="1"/>
      <c r="QS220" s="1"/>
      <c r="QT220" s="1"/>
      <c r="QU220" s="1"/>
      <c r="QV220" s="1"/>
      <c r="QW220" s="1"/>
      <c r="QX220" s="1"/>
      <c r="QY220" s="1"/>
      <c r="QZ220" s="1"/>
      <c r="RA220" s="1"/>
      <c r="RB220" s="1"/>
      <c r="RC220" s="1"/>
      <c r="RD220" s="1"/>
      <c r="RE220" s="1"/>
      <c r="RF220" s="1"/>
      <c r="RG220" s="1"/>
      <c r="RH220" s="1"/>
      <c r="RI220" s="1"/>
      <c r="RJ220" s="1"/>
      <c r="RK220" s="1"/>
      <c r="RL220" s="1"/>
      <c r="RM220" s="1"/>
      <c r="RN220" s="1"/>
      <c r="RO220" s="1"/>
      <c r="RP220" s="1"/>
      <c r="RQ220" s="1"/>
      <c r="RR220" s="1"/>
      <c r="RS220" s="1"/>
      <c r="RT220" s="1"/>
      <c r="RU220" s="1"/>
      <c r="RV220" s="1"/>
      <c r="RW220" s="1"/>
      <c r="RX220" s="1"/>
      <c r="RY220" s="1"/>
      <c r="RZ220" s="1"/>
      <c r="SA220" s="1"/>
      <c r="SB220" s="1"/>
      <c r="SC220" s="1"/>
      <c r="SD220" s="1"/>
      <c r="SE220" s="1"/>
      <c r="SF220" s="1"/>
      <c r="SG220" s="1"/>
      <c r="SH220" s="1"/>
      <c r="SI220" s="1"/>
      <c r="SJ220" s="1"/>
      <c r="SK220" s="1"/>
      <c r="SL220" s="1"/>
      <c r="SM220" s="1"/>
      <c r="SN220" s="1"/>
      <c r="SO220" s="1"/>
      <c r="SP220" s="1"/>
      <c r="SQ220" s="1"/>
      <c r="SR220" s="1"/>
      <c r="SS220" s="1"/>
      <c r="ST220" s="1"/>
      <c r="SU220" s="1"/>
      <c r="SV220" s="1"/>
      <c r="SW220" s="1"/>
      <c r="SX220" s="1"/>
      <c r="SY220" s="1"/>
      <c r="SZ220" s="1"/>
      <c r="TA220" s="1"/>
      <c r="TB220" s="1"/>
      <c r="TC220" s="1"/>
      <c r="TD220" s="1"/>
      <c r="TE220" s="1"/>
      <c r="TF220" s="1"/>
      <c r="TG220" s="1"/>
      <c r="TH220" s="1"/>
      <c r="TI220" s="1"/>
      <c r="TJ220" s="1"/>
      <c r="TK220" s="1"/>
      <c r="TL220" s="1"/>
      <c r="TM220" s="1"/>
      <c r="TN220" s="1"/>
      <c r="TO220" s="1"/>
      <c r="TP220" s="1"/>
      <c r="TQ220" s="1"/>
      <c r="TR220" s="1"/>
      <c r="TS220" s="1"/>
      <c r="TT220" s="1"/>
      <c r="TU220" s="1"/>
      <c r="TV220" s="1"/>
      <c r="TW220" s="1"/>
      <c r="TX220" s="1"/>
      <c r="TY220" s="1"/>
      <c r="TZ220" s="1"/>
      <c r="UA220" s="1"/>
      <c r="UB220" s="1"/>
      <c r="UC220" s="1"/>
      <c r="UD220" s="1"/>
      <c r="UE220" s="1"/>
      <c r="UF220" s="1"/>
      <c r="UG220" s="1"/>
      <c r="UH220" s="1"/>
      <c r="UI220" s="1"/>
      <c r="UJ220" s="1"/>
      <c r="UK220" s="1"/>
      <c r="UL220" s="1"/>
      <c r="UM220" s="1"/>
      <c r="UN220" s="1"/>
      <c r="UO220" s="1"/>
      <c r="UP220" s="1"/>
      <c r="UQ220" s="1"/>
      <c r="UR220" s="1"/>
      <c r="US220" s="1"/>
      <c r="UT220" s="1"/>
      <c r="UU220" s="1"/>
      <c r="UV220" s="1"/>
      <c r="UW220" s="1"/>
      <c r="UX220" s="1"/>
      <c r="UY220" s="1"/>
      <c r="UZ220" s="1"/>
      <c r="VA220" s="1"/>
      <c r="VB220" s="1"/>
      <c r="VC220" s="1"/>
      <c r="VD220" s="1"/>
      <c r="VE220" s="1"/>
      <c r="VF220" s="1"/>
      <c r="VG220" s="1"/>
      <c r="VH220" s="1"/>
      <c r="VI220" s="1"/>
      <c r="VJ220" s="1"/>
      <c r="VK220" s="1"/>
      <c r="VL220" s="1"/>
      <c r="VM220" s="1"/>
      <c r="VN220" s="1"/>
      <c r="VO220" s="1"/>
      <c r="VP220" s="1"/>
      <c r="VQ220" s="1"/>
      <c r="VR220" s="1"/>
      <c r="VS220" s="1"/>
      <c r="VT220" s="1"/>
      <c r="VU220" s="1"/>
      <c r="VV220" s="1"/>
      <c r="VW220" s="1"/>
      <c r="VX220" s="1"/>
      <c r="VY220" s="1"/>
      <c r="VZ220" s="1"/>
      <c r="WA220" s="1"/>
      <c r="WB220" s="1"/>
      <c r="WC220" s="1"/>
      <c r="WD220" s="1"/>
      <c r="WE220" s="1"/>
      <c r="WF220" s="1"/>
      <c r="WG220" s="1"/>
      <c r="WH220" s="1"/>
      <c r="WI220" s="1"/>
      <c r="WJ220" s="1"/>
      <c r="WK220" s="1"/>
      <c r="WL220" s="1"/>
      <c r="WM220" s="1"/>
      <c r="WN220" s="1"/>
      <c r="WO220" s="1"/>
      <c r="WP220" s="1"/>
      <c r="WQ220" s="1"/>
      <c r="WR220" s="1"/>
      <c r="WS220" s="1"/>
      <c r="WT220" s="1"/>
      <c r="WU220" s="1"/>
      <c r="WV220" s="1"/>
      <c r="WW220" s="1"/>
      <c r="WX220" s="1"/>
      <c r="WY220" s="1"/>
      <c r="WZ220" s="1"/>
      <c r="XA220" s="1"/>
      <c r="XB220" s="1"/>
      <c r="XC220" s="1"/>
      <c r="XD220" s="1"/>
      <c r="XE220" s="1"/>
      <c r="XF220" s="1"/>
      <c r="XG220" s="1"/>
      <c r="XH220" s="1"/>
      <c r="XI220" s="1"/>
      <c r="XJ220" s="1"/>
      <c r="XK220" s="1"/>
      <c r="XL220" s="1"/>
      <c r="XM220" s="1"/>
      <c r="XN220" s="1"/>
      <c r="XO220" s="1"/>
      <c r="XP220" s="1"/>
      <c r="XQ220" s="1"/>
      <c r="XR220" s="1"/>
      <c r="XS220" s="1"/>
      <c r="XT220" s="1"/>
      <c r="XU220" s="1"/>
      <c r="XV220" s="1"/>
      <c r="XW220" s="1"/>
      <c r="XX220" s="1"/>
      <c r="XY220" s="1"/>
      <c r="XZ220" s="1"/>
      <c r="YA220" s="1"/>
      <c r="YB220" s="1"/>
      <c r="YC220" s="1"/>
      <c r="YD220" s="1"/>
      <c r="YE220" s="1"/>
      <c r="YF220" s="1"/>
      <c r="YG220" s="1"/>
      <c r="YH220" s="1"/>
      <c r="YI220" s="1"/>
      <c r="YJ220" s="1"/>
      <c r="YK220" s="1"/>
      <c r="YL220" s="1"/>
      <c r="YM220" s="1"/>
      <c r="YN220" s="1"/>
      <c r="YO220" s="1"/>
      <c r="YP220" s="1"/>
      <c r="YQ220" s="1"/>
      <c r="YR220" s="1"/>
      <c r="YS220" s="1"/>
      <c r="YT220" s="1"/>
      <c r="YU220" s="1"/>
      <c r="YV220" s="1"/>
      <c r="YW220" s="1"/>
      <c r="YX220" s="1"/>
      <c r="YY220" s="1"/>
      <c r="YZ220" s="1"/>
      <c r="ZA220" s="1"/>
      <c r="ZB220" s="1"/>
      <c r="ZC220" s="1"/>
      <c r="ZD220" s="1"/>
      <c r="ZE220" s="1"/>
      <c r="ZF220" s="1"/>
      <c r="ZG220" s="1"/>
      <c r="ZH220" s="1"/>
      <c r="ZI220" s="1"/>
      <c r="ZJ220" s="1"/>
      <c r="ZK220" s="1"/>
      <c r="ZL220" s="1"/>
      <c r="ZM220" s="1"/>
      <c r="ZN220" s="1"/>
      <c r="ZO220" s="1"/>
      <c r="ZP220" s="1"/>
      <c r="ZQ220" s="1"/>
      <c r="ZR220" s="1"/>
      <c r="ZS220" s="1"/>
      <c r="ZT220" s="1"/>
      <c r="ZU220" s="1"/>
      <c r="ZV220" s="1"/>
      <c r="ZW220" s="1"/>
      <c r="ZX220" s="1"/>
      <c r="ZY220" s="1"/>
      <c r="ZZ220" s="1"/>
      <c r="AAA220" s="1"/>
      <c r="AAB220" s="1"/>
      <c r="AAC220" s="1"/>
      <c r="AAD220" s="1"/>
      <c r="AAE220" s="1"/>
      <c r="AAF220" s="1"/>
      <c r="AAG220" s="1"/>
      <c r="AAH220" s="1"/>
      <c r="AAI220" s="1"/>
      <c r="AAJ220" s="1"/>
      <c r="AAK220" s="1"/>
      <c r="AAL220" s="1"/>
      <c r="AAM220" s="1"/>
      <c r="AAN220" s="1"/>
      <c r="AAO220" s="1"/>
      <c r="AAP220" s="1"/>
      <c r="AAQ220" s="1"/>
      <c r="AAR220" s="1"/>
      <c r="AAS220" s="1"/>
      <c r="AAT220" s="1"/>
      <c r="AAU220" s="1"/>
      <c r="AAV220" s="1"/>
      <c r="AAW220" s="1"/>
      <c r="AAX220" s="1"/>
      <c r="AAY220" s="1"/>
      <c r="AAZ220" s="1"/>
      <c r="ABA220" s="1"/>
      <c r="ABB220" s="1"/>
      <c r="ABC220" s="1"/>
      <c r="ABD220" s="1"/>
      <c r="ABE220" s="1"/>
      <c r="ABF220" s="1"/>
      <c r="ABG220" s="1"/>
      <c r="ABH220" s="1"/>
      <c r="ABI220" s="1"/>
      <c r="ABJ220" s="1"/>
      <c r="ABK220" s="1"/>
      <c r="ABL220" s="1"/>
      <c r="ABM220" s="1"/>
      <c r="ABN220" s="1"/>
      <c r="ABO220" s="1"/>
      <c r="ABP220" s="1"/>
      <c r="ABQ220" s="1"/>
      <c r="ABR220" s="1"/>
      <c r="ABS220" s="1"/>
      <c r="ABT220" s="1"/>
      <c r="ABU220" s="1"/>
      <c r="ABV220" s="1"/>
      <c r="ABW220" s="1"/>
      <c r="ABX220" s="1"/>
      <c r="ABY220" s="1"/>
      <c r="ABZ220" s="1"/>
      <c r="ACA220" s="1"/>
      <c r="ACB220" s="1"/>
      <c r="ACC220" s="1"/>
      <c r="ACD220" s="1"/>
      <c r="ACE220" s="1"/>
      <c r="ACF220" s="1"/>
      <c r="ACG220" s="1"/>
      <c r="ACH220" s="1"/>
      <c r="ACI220" s="1"/>
      <c r="ACJ220" s="1"/>
      <c r="ACK220" s="1"/>
      <c r="ACL220" s="1"/>
      <c r="ACM220" s="1"/>
      <c r="ACN220" s="1"/>
      <c r="ACO220" s="1"/>
      <c r="ACP220" s="1"/>
      <c r="ACQ220" s="1"/>
      <c r="ACR220" s="1"/>
      <c r="ACS220" s="1"/>
      <c r="ACT220" s="1"/>
      <c r="ACU220" s="1"/>
      <c r="ACV220" s="1"/>
      <c r="ACW220" s="1"/>
      <c r="ACX220" s="1"/>
      <c r="ACY220" s="1"/>
      <c r="ACZ220" s="1"/>
      <c r="ADA220" s="1"/>
      <c r="ADB220" s="1"/>
      <c r="ADC220" s="1"/>
      <c r="ADD220" s="1"/>
      <c r="ADE220" s="1"/>
      <c r="ADF220" s="1"/>
      <c r="ADG220" s="1"/>
      <c r="ADH220" s="1"/>
      <c r="ADI220" s="1"/>
      <c r="ADJ220" s="1"/>
      <c r="ADK220" s="1"/>
      <c r="ADL220" s="1"/>
      <c r="ADM220" s="1"/>
      <c r="ADN220" s="1"/>
      <c r="ADO220" s="1"/>
      <c r="ADP220" s="1"/>
      <c r="ADQ220" s="1"/>
      <c r="ADR220" s="1"/>
      <c r="ADS220" s="1"/>
      <c r="ADT220" s="1"/>
      <c r="ADU220" s="1"/>
      <c r="ADV220" s="1"/>
      <c r="ADW220" s="1"/>
      <c r="ADX220" s="1"/>
      <c r="ADY220" s="1"/>
      <c r="ADZ220" s="1"/>
      <c r="AEA220" s="1"/>
      <c r="AEB220" s="1"/>
      <c r="AEC220" s="1"/>
      <c r="AED220" s="1"/>
      <c r="AEE220" s="1"/>
      <c r="AEF220" s="1"/>
      <c r="AEG220" s="1"/>
      <c r="AEH220" s="1"/>
      <c r="AEI220" s="1"/>
      <c r="AEJ220" s="1"/>
      <c r="AEK220" s="1"/>
      <c r="AEL220" s="1"/>
      <c r="AEM220" s="1"/>
      <c r="AEN220" s="1"/>
      <c r="AEO220" s="1"/>
      <c r="AEP220" s="1"/>
      <c r="AEQ220" s="1"/>
      <c r="AER220" s="1"/>
      <c r="AES220" s="1"/>
      <c r="AET220" s="1"/>
      <c r="AEU220" s="1"/>
      <c r="AEV220" s="1"/>
      <c r="AEW220" s="1"/>
      <c r="AEX220" s="1"/>
      <c r="AEY220" s="1"/>
      <c r="AEZ220" s="1"/>
      <c r="AFA220" s="1"/>
      <c r="AFB220" s="1"/>
      <c r="AFC220" s="1"/>
      <c r="AFD220" s="1"/>
      <c r="AFE220" s="1"/>
      <c r="AFF220" s="1"/>
      <c r="AFG220" s="1"/>
      <c r="AFH220" s="1"/>
      <c r="AFI220" s="1"/>
      <c r="AFJ220" s="1"/>
      <c r="AFK220" s="1"/>
      <c r="AFL220" s="1"/>
      <c r="AFM220" s="1"/>
      <c r="AFN220" s="1"/>
      <c r="AFO220" s="1"/>
      <c r="AFP220" s="1"/>
      <c r="AFQ220" s="1"/>
      <c r="AFR220" s="1"/>
      <c r="AFS220" s="1"/>
      <c r="AFT220" s="1"/>
      <c r="AFU220" s="1"/>
      <c r="AFV220" s="1"/>
      <c r="AFW220" s="1"/>
      <c r="AFX220" s="1"/>
      <c r="AFY220" s="1"/>
      <c r="AFZ220" s="1"/>
      <c r="AGA220" s="1"/>
      <c r="AGB220" s="1"/>
      <c r="AGC220" s="1"/>
      <c r="AGD220" s="1"/>
      <c r="AGE220" s="1"/>
      <c r="AGF220" s="1"/>
      <c r="AGG220" s="1"/>
      <c r="AGH220" s="1"/>
      <c r="AGI220" s="1"/>
      <c r="AGJ220" s="1"/>
      <c r="AGK220" s="1"/>
      <c r="AGL220" s="1"/>
      <c r="AGM220" s="1"/>
      <c r="AGN220" s="1"/>
      <c r="AGO220" s="1"/>
      <c r="AGP220" s="1"/>
      <c r="AGQ220" s="1"/>
      <c r="AGR220" s="1"/>
      <c r="AGS220" s="1"/>
      <c r="AGT220" s="1"/>
      <c r="AGU220" s="1"/>
      <c r="AGV220" s="1"/>
      <c r="AGW220" s="1"/>
      <c r="AGX220" s="1"/>
      <c r="AGY220" s="1"/>
      <c r="AGZ220" s="1"/>
      <c r="AHA220" s="1"/>
      <c r="AHB220" s="1"/>
      <c r="AHC220" s="1"/>
      <c r="AHD220" s="1"/>
      <c r="AHE220" s="1"/>
      <c r="AHF220" s="1"/>
      <c r="AHG220" s="1"/>
      <c r="AHH220" s="1"/>
      <c r="AHI220" s="1"/>
      <c r="AHJ220" s="1"/>
      <c r="AHK220" s="1"/>
      <c r="AHL220" s="1"/>
      <c r="AHM220" s="1"/>
      <c r="AHN220" s="1"/>
      <c r="AHO220" s="1"/>
      <c r="AHP220" s="1"/>
      <c r="AHQ220" s="1"/>
      <c r="AHR220" s="1"/>
      <c r="AHS220" s="1"/>
      <c r="AHT220" s="1"/>
      <c r="AHU220" s="1"/>
      <c r="AHV220" s="1"/>
      <c r="AHW220" s="1"/>
      <c r="AHX220" s="1"/>
      <c r="AHY220" s="1"/>
      <c r="AHZ220" s="1"/>
      <c r="AIA220" s="1"/>
      <c r="AIB220" s="1"/>
      <c r="AIC220" s="1"/>
      <c r="AID220" s="1"/>
      <c r="AIE220" s="1"/>
      <c r="AIF220" s="1"/>
      <c r="AIG220" s="1"/>
      <c r="AIH220" s="1"/>
      <c r="AII220" s="1"/>
      <c r="AIJ220" s="1"/>
      <c r="AIK220" s="1"/>
      <c r="AIL220" s="1"/>
      <c r="AIM220" s="1"/>
      <c r="AIN220" s="1"/>
      <c r="AIO220" s="1"/>
      <c r="AIP220" s="1"/>
      <c r="AIQ220" s="1"/>
      <c r="AIR220" s="1"/>
      <c r="AIS220" s="1"/>
      <c r="AIT220" s="1"/>
      <c r="AIU220" s="1"/>
      <c r="AIV220" s="1"/>
      <c r="AIW220" s="1"/>
      <c r="AIX220" s="1"/>
      <c r="AIY220" s="1"/>
      <c r="AIZ220" s="1"/>
      <c r="AJA220" s="1"/>
      <c r="AJB220" s="1"/>
      <c r="AJC220" s="1"/>
      <c r="AJD220" s="1"/>
      <c r="AJE220" s="1"/>
      <c r="AJF220" s="1"/>
      <c r="AJG220" s="1"/>
      <c r="AJH220" s="1"/>
      <c r="AJI220" s="1"/>
      <c r="AJJ220" s="1"/>
      <c r="AJK220" s="1"/>
      <c r="AJL220" s="1"/>
      <c r="AJM220" s="1"/>
      <c r="AJN220" s="1"/>
      <c r="AJO220" s="1"/>
      <c r="AJP220" s="1"/>
      <c r="AJQ220" s="1"/>
      <c r="AJR220" s="1"/>
      <c r="AJS220" s="1"/>
      <c r="AJT220" s="1"/>
      <c r="AJU220" s="1"/>
      <c r="AJV220" s="1"/>
      <c r="AJW220" s="1"/>
      <c r="AJX220" s="1"/>
      <c r="AJY220" s="1"/>
      <c r="AJZ220" s="1"/>
      <c r="AKA220" s="1"/>
      <c r="AKB220" s="1"/>
      <c r="AKC220" s="1"/>
      <c r="AKD220" s="1"/>
      <c r="AKE220" s="1"/>
      <c r="AKF220" s="1"/>
      <c r="AKG220" s="1"/>
      <c r="AKH220" s="1"/>
      <c r="AKI220" s="1"/>
      <c r="AKJ220" s="1"/>
      <c r="AKK220" s="1"/>
      <c r="AKL220" s="1"/>
      <c r="AKM220" s="1"/>
      <c r="AKN220" s="1"/>
      <c r="AKO220" s="1"/>
      <c r="AKP220" s="1"/>
      <c r="AKQ220" s="1"/>
      <c r="AKR220" s="1"/>
      <c r="AKS220" s="1"/>
      <c r="AKT220" s="1"/>
      <c r="AKU220" s="1"/>
      <c r="AKV220" s="1"/>
      <c r="AKW220" s="1"/>
      <c r="AKX220" s="1"/>
      <c r="AKY220" s="1"/>
      <c r="AKZ220" s="1"/>
      <c r="ALA220" s="1"/>
      <c r="ALB220" s="1"/>
      <c r="ALC220" s="1"/>
      <c r="ALD220" s="1"/>
      <c r="ALE220" s="1"/>
      <c r="ALF220" s="1"/>
      <c r="ALG220" s="1"/>
      <c r="ALH220" s="1"/>
      <c r="ALI220" s="1"/>
      <c r="ALJ220" s="1"/>
      <c r="ALK220" s="1"/>
      <c r="ALL220" s="1"/>
      <c r="ALM220" s="1"/>
      <c r="ALN220" s="1"/>
      <c r="ALO220" s="1"/>
      <c r="ALP220" s="1"/>
      <c r="ALQ220" s="1"/>
      <c r="ALR220" s="1"/>
      <c r="ALS220" s="1"/>
      <c r="ALT220" s="1"/>
      <c r="ALU220" s="1"/>
      <c r="ALV220" s="1"/>
      <c r="ALW220" s="1"/>
      <c r="ALX220" s="1"/>
      <c r="ALY220" s="1"/>
      <c r="ALZ220" s="1"/>
      <c r="AMA220" s="1"/>
      <c r="AMB220" s="1"/>
      <c r="AMC220" s="1"/>
      <c r="AMD220" s="1"/>
      <c r="AME220" s="1"/>
      <c r="AMF220" s="1"/>
      <c r="AMG220" s="1"/>
      <c r="AMH220" s="1"/>
      <c r="AMI220" s="1"/>
      <c r="AMJ220" s="1"/>
      <c r="AMK220" s="1"/>
      <c r="AML220" s="1"/>
      <c r="AMM220" s="1"/>
      <c r="AMN220" s="1"/>
      <c r="AMO220" s="1"/>
    </row>
    <row r="221" spans="1:1030" x14ac:dyDescent="0.2">
      <c r="A221" s="3" t="str">
        <f t="shared" si="755"/>
        <v>opsd_bovin_6FK7</v>
      </c>
      <c r="B221" s="3" t="s">
        <v>920</v>
      </c>
      <c r="C221" s="3" t="s">
        <v>1496</v>
      </c>
      <c r="D221" s="3" t="str">
        <f>IFERROR(MID(VLOOKUP($B221,Seqs!$A:$B,2,0),E221,1),"")</f>
        <v>E</v>
      </c>
      <c r="E221" s="3">
        <v>33</v>
      </c>
      <c r="F221" s="3" t="str">
        <f>IFERROR(MID(VLOOKUP($B221,Seqs!$A:$B,2,0),G221,1),"")</f>
        <v>Q</v>
      </c>
      <c r="G221" s="3">
        <v>64</v>
      </c>
      <c r="H221" s="3" t="str">
        <f>IFERROR(MID(VLOOKUP($B221,Seqs!$A:$B,2,0),I221,1),"")</f>
        <v>K</v>
      </c>
      <c r="I221" s="23">
        <v>66</v>
      </c>
      <c r="J221" s="3" t="str">
        <f>IFERROR(MID(VLOOKUP($B221,Seqs!$A:$B,2,0),K221,1),"")</f>
        <v>R</v>
      </c>
      <c r="K221" s="23">
        <v>69</v>
      </c>
      <c r="L221" s="3" t="str">
        <f>IFERROR(MID(VLOOKUP($B221,Seqs!$A:$B,2,0),M221,1),"")</f>
        <v>N</v>
      </c>
      <c r="M221" s="3">
        <v>73</v>
      </c>
      <c r="N221" s="3" t="str">
        <f>IFERROR(MID(VLOOKUP($B221,Seqs!$A:$B,2,0),O221,1),"")</f>
        <v>G</v>
      </c>
      <c r="O221" s="3">
        <v>101</v>
      </c>
      <c r="P221" s="3" t="str">
        <f>IFERROR(MID(VLOOKUP($B221,Seqs!$A:$B,2,0),Q221,1),"")</f>
        <v>Y</v>
      </c>
      <c r="Q221" s="3">
        <v>102</v>
      </c>
      <c r="R221" s="3" t="str">
        <f>IFERROR(MID(VLOOKUP($B221,Seqs!$A:$B,2,0),S221,1),"")</f>
        <v>G</v>
      </c>
      <c r="S221" s="3">
        <v>106</v>
      </c>
      <c r="T221" s="3" t="str">
        <f>IFERROR(MID(VLOOKUP($B221,Seqs!$A:$B,2,0),U221,1),"")</f>
        <v>P</v>
      </c>
      <c r="U221" s="3">
        <v>107</v>
      </c>
      <c r="V221" s="3" t="str">
        <f>IFERROR(MID(VLOOKUP($B221,Seqs!$A:$B,2,0),W221,1),"")</f>
        <v>K</v>
      </c>
      <c r="W221" s="3">
        <v>141</v>
      </c>
      <c r="X221" s="3" t="str">
        <f>IFERROR(MID(VLOOKUP($B221,Seqs!$A:$B,2,0),Y221,1),"")</f>
        <v/>
      </c>
      <c r="Y221" s="3" t="s">
        <v>23</v>
      </c>
      <c r="Z221" s="3" t="str">
        <f>IFERROR(MID(VLOOKUP($B221,Seqs!$A:$B,2,0),AA221,1),"")</f>
        <v/>
      </c>
      <c r="AA221" s="3" t="s">
        <v>23</v>
      </c>
      <c r="AB221" s="3" t="str">
        <f>IFERROR(MID(VLOOKUP($B221,Seqs!$A:$B,2,0),AC221,1),"")</f>
        <v>G</v>
      </c>
      <c r="AC221" s="3">
        <v>149</v>
      </c>
      <c r="AD221" s="3" t="str">
        <f>IFERROR(MID(VLOOKUP($B221,Seqs!$A:$B,2,0),AE221,1),"")</f>
        <v>V</v>
      </c>
      <c r="AE221" s="3">
        <v>173</v>
      </c>
      <c r="AF221" s="3" t="str">
        <f>IFERROR(MID(VLOOKUP($B221,Seqs!$A:$B,2,0),AG221,1),"")</f>
        <v>C</v>
      </c>
      <c r="AG221" s="3">
        <v>187</v>
      </c>
      <c r="AH221" s="3" t="str">
        <f>IFERROR(MID(VLOOKUP($B221,Seqs!$A:$B,2,0),AI221,1),"")</f>
        <v>I</v>
      </c>
      <c r="AI221" s="3">
        <v>189</v>
      </c>
      <c r="AJ221" s="3" t="str">
        <f>IFERROR(MID(VLOOKUP($B221,Seqs!$A:$B,2,0),AK221,1),"")</f>
        <v>N</v>
      </c>
      <c r="AK221" s="3">
        <v>199</v>
      </c>
      <c r="AL221" s="3" t="str">
        <f>IFERROR(MID(VLOOKUP($B221,Seqs!$A:$B,2,0),AM221,1),"")</f>
        <v>Q</v>
      </c>
      <c r="AM221" s="3">
        <v>236</v>
      </c>
      <c r="AN221" s="3" t="str">
        <f>IFERROR(MID(VLOOKUP($B221,Seqs!$A:$B,2,0),AO221,1),"")</f>
        <v>S</v>
      </c>
      <c r="AO221" s="3">
        <v>240</v>
      </c>
      <c r="AP221" s="3" t="str">
        <f>IFERROR(MID(VLOOKUP($B221,Seqs!$A:$B,2,0),AQ221,1),"")</f>
        <v>H</v>
      </c>
      <c r="AQ221" s="3">
        <v>278</v>
      </c>
      <c r="AR221" s="3" t="str">
        <f>IFERROR(MID(VLOOKUP($B221,Seqs!$A:$B,2,0),AS221,1),"")</f>
        <v>G</v>
      </c>
      <c r="AS221" s="3">
        <v>284</v>
      </c>
      <c r="AT221" s="3" t="str">
        <f>IFERROR(MID(VLOOKUP($B221,Seqs!$A:$B,2,0),AU221,1),"")</f>
        <v>M</v>
      </c>
      <c r="AU221" s="3">
        <v>309</v>
      </c>
      <c r="AV221" s="3" t="str">
        <f>IFERROR(MID(VLOOKUP($B221,Seqs!$A:$B,2,0),AW221,1),"")</f>
        <v>N</v>
      </c>
      <c r="AW221" s="3">
        <v>310</v>
      </c>
      <c r="AX221" s="3" t="str">
        <f>IFERROR(MID(VLOOKUP($B221,Seqs!$A:$B,2,0),AY221,1),"")</f>
        <v>C</v>
      </c>
      <c r="AY221" s="3">
        <v>322</v>
      </c>
      <c r="AZ221" s="77" t="str">
        <f>VLOOKUP(B221,Classification!A:D,2,0)</f>
        <v>A</v>
      </c>
      <c r="BA221" s="94" t="str">
        <f>VLOOKUP(B221,Classification!A:D,4,0)</f>
        <v>Opsins</v>
      </c>
      <c r="BB221" s="27" t="b">
        <f t="shared" si="756"/>
        <v>1</v>
      </c>
      <c r="BC221" s="23">
        <f t="shared" si="757"/>
        <v>250</v>
      </c>
      <c r="BD221" s="2" t="s">
        <v>23</v>
      </c>
      <c r="BE221" s="3" t="s">
        <v>1297</v>
      </c>
      <c r="BF221" s="119">
        <v>2.62</v>
      </c>
      <c r="BG221" s="49" t="s">
        <v>1</v>
      </c>
      <c r="BH221" s="49" t="s">
        <v>1</v>
      </c>
      <c r="BI221" s="1"/>
      <c r="BJ221" s="70" t="s">
        <v>1293</v>
      </c>
      <c r="BK221" s="57" t="s">
        <v>1293</v>
      </c>
      <c r="BL221" s="57" t="s">
        <v>1293</v>
      </c>
      <c r="BM221" s="57" t="s">
        <v>1293</v>
      </c>
      <c r="BN221" s="57" t="s">
        <v>1293</v>
      </c>
      <c r="BO221" s="57" t="s">
        <v>1293</v>
      </c>
      <c r="BP221" s="57" t="s">
        <v>1293</v>
      </c>
      <c r="BQ221" s="57" t="s">
        <v>1293</v>
      </c>
      <c r="BR221" s="57" t="s">
        <v>1293</v>
      </c>
      <c r="BS221" s="57" t="s">
        <v>1293</v>
      </c>
      <c r="BT221" s="57" t="s">
        <v>1293</v>
      </c>
      <c r="BU221" s="57" t="s">
        <v>1293</v>
      </c>
      <c r="BV221" s="70">
        <f t="shared" si="758"/>
        <v>33</v>
      </c>
      <c r="BW221" s="71">
        <f t="shared" si="759"/>
        <v>66</v>
      </c>
      <c r="BX221" s="72">
        <f t="shared" si="760"/>
        <v>73</v>
      </c>
      <c r="BY221" s="71">
        <f t="shared" si="761"/>
        <v>102</v>
      </c>
      <c r="BZ221" s="72">
        <f t="shared" si="762"/>
        <v>107</v>
      </c>
      <c r="CA221" s="71" t="str">
        <f t="shared" si="763"/>
        <v>-</v>
      </c>
      <c r="CB221" s="72">
        <f t="shared" si="764"/>
        <v>149</v>
      </c>
      <c r="CC221" s="71">
        <f t="shared" si="765"/>
        <v>187</v>
      </c>
      <c r="CD221" s="72">
        <f t="shared" si="766"/>
        <v>199</v>
      </c>
      <c r="CE221" s="71">
        <f t="shared" si="767"/>
        <v>240</v>
      </c>
      <c r="CF221" s="72">
        <f t="shared" si="768"/>
        <v>284</v>
      </c>
      <c r="CG221" s="71">
        <f t="shared" si="769"/>
        <v>310</v>
      </c>
      <c r="CH221" s="70">
        <f t="shared" si="770"/>
        <v>64</v>
      </c>
      <c r="CI221" s="71">
        <f t="shared" si="771"/>
        <v>69</v>
      </c>
      <c r="CJ221" s="72">
        <f t="shared" si="772"/>
        <v>101</v>
      </c>
      <c r="CK221" s="72">
        <f t="shared" si="773"/>
        <v>106</v>
      </c>
      <c r="CL221" s="72">
        <f t="shared" si="774"/>
        <v>141</v>
      </c>
      <c r="CM221" s="72" t="str">
        <f t="shared" si="775"/>
        <v>-</v>
      </c>
      <c r="CN221" s="72">
        <f t="shared" si="776"/>
        <v>173</v>
      </c>
      <c r="CO221" s="72">
        <f t="shared" si="777"/>
        <v>189</v>
      </c>
      <c r="CP221" s="72">
        <f t="shared" si="778"/>
        <v>236</v>
      </c>
      <c r="CQ221" s="72">
        <f t="shared" si="779"/>
        <v>278</v>
      </c>
      <c r="CR221" s="72">
        <f t="shared" si="780"/>
        <v>309</v>
      </c>
      <c r="CS221" s="72">
        <f t="shared" si="781"/>
        <v>322</v>
      </c>
      <c r="CT221" s="23">
        <f t="shared" si="782"/>
        <v>4</v>
      </c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  <c r="OK221" s="1"/>
      <c r="OL221" s="1"/>
      <c r="OM221" s="1"/>
      <c r="ON221" s="1"/>
      <c r="OO221" s="1"/>
      <c r="OP221" s="1"/>
      <c r="OQ221" s="1"/>
      <c r="OR221" s="1"/>
      <c r="OS221" s="1"/>
      <c r="OT221" s="1"/>
      <c r="OU221" s="1"/>
      <c r="OV221" s="1"/>
      <c r="OW221" s="1"/>
      <c r="OX221" s="1"/>
      <c r="OY221" s="1"/>
      <c r="OZ221" s="1"/>
      <c r="PA221" s="1"/>
      <c r="PB221" s="1"/>
      <c r="PC221" s="1"/>
      <c r="PD221" s="1"/>
      <c r="PE221" s="1"/>
      <c r="PF221" s="1"/>
      <c r="PG221" s="1"/>
      <c r="PH221" s="1"/>
      <c r="PI221" s="1"/>
      <c r="PJ221" s="1"/>
      <c r="PK221" s="1"/>
      <c r="PL221" s="1"/>
      <c r="PM221" s="1"/>
      <c r="PN221" s="1"/>
      <c r="PO221" s="1"/>
      <c r="PP221" s="1"/>
      <c r="PQ221" s="1"/>
      <c r="PR221" s="1"/>
      <c r="PS221" s="1"/>
      <c r="PT221" s="1"/>
      <c r="PU221" s="1"/>
      <c r="PV221" s="1"/>
      <c r="PW221" s="1"/>
      <c r="PX221" s="1"/>
      <c r="PY221" s="1"/>
      <c r="PZ221" s="1"/>
      <c r="QA221" s="1"/>
      <c r="QB221" s="1"/>
      <c r="QC221" s="1"/>
      <c r="QD221" s="1"/>
      <c r="QE221" s="1"/>
      <c r="QF221" s="1"/>
      <c r="QG221" s="1"/>
      <c r="QH221" s="1"/>
      <c r="QI221" s="1"/>
      <c r="QJ221" s="1"/>
      <c r="QK221" s="1"/>
      <c r="QL221" s="1"/>
      <c r="QM221" s="1"/>
      <c r="QN221" s="1"/>
      <c r="QO221" s="1"/>
      <c r="QP221" s="1"/>
      <c r="QQ221" s="1"/>
      <c r="QR221" s="1"/>
      <c r="QS221" s="1"/>
      <c r="QT221" s="1"/>
      <c r="QU221" s="1"/>
      <c r="QV221" s="1"/>
      <c r="QW221" s="1"/>
      <c r="QX221" s="1"/>
      <c r="QY221" s="1"/>
      <c r="QZ221" s="1"/>
      <c r="RA221" s="1"/>
      <c r="RB221" s="1"/>
      <c r="RC221" s="1"/>
      <c r="RD221" s="1"/>
      <c r="RE221" s="1"/>
      <c r="RF221" s="1"/>
      <c r="RG221" s="1"/>
      <c r="RH221" s="1"/>
      <c r="RI221" s="1"/>
      <c r="RJ221" s="1"/>
      <c r="RK221" s="1"/>
      <c r="RL221" s="1"/>
      <c r="RM221" s="1"/>
      <c r="RN221" s="1"/>
      <c r="RO221" s="1"/>
      <c r="RP221" s="1"/>
      <c r="RQ221" s="1"/>
      <c r="RR221" s="1"/>
      <c r="RS221" s="1"/>
      <c r="RT221" s="1"/>
      <c r="RU221" s="1"/>
      <c r="RV221" s="1"/>
      <c r="RW221" s="1"/>
      <c r="RX221" s="1"/>
      <c r="RY221" s="1"/>
      <c r="RZ221" s="1"/>
      <c r="SA221" s="1"/>
      <c r="SB221" s="1"/>
      <c r="SC221" s="1"/>
      <c r="SD221" s="1"/>
      <c r="SE221" s="1"/>
      <c r="SF221" s="1"/>
      <c r="SG221" s="1"/>
      <c r="SH221" s="1"/>
      <c r="SI221" s="1"/>
      <c r="SJ221" s="1"/>
      <c r="SK221" s="1"/>
      <c r="SL221" s="1"/>
      <c r="SM221" s="1"/>
      <c r="SN221" s="1"/>
      <c r="SO221" s="1"/>
      <c r="SP221" s="1"/>
      <c r="SQ221" s="1"/>
      <c r="SR221" s="1"/>
      <c r="SS221" s="1"/>
      <c r="ST221" s="1"/>
      <c r="SU221" s="1"/>
      <c r="SV221" s="1"/>
      <c r="SW221" s="1"/>
      <c r="SX221" s="1"/>
      <c r="SY221" s="1"/>
      <c r="SZ221" s="1"/>
      <c r="TA221" s="1"/>
      <c r="TB221" s="1"/>
      <c r="TC221" s="1"/>
      <c r="TD221" s="1"/>
      <c r="TE221" s="1"/>
      <c r="TF221" s="1"/>
      <c r="TG221" s="1"/>
      <c r="TH221" s="1"/>
      <c r="TI221" s="1"/>
      <c r="TJ221" s="1"/>
      <c r="TK221" s="1"/>
      <c r="TL221" s="1"/>
      <c r="TM221" s="1"/>
      <c r="TN221" s="1"/>
      <c r="TO221" s="1"/>
      <c r="TP221" s="1"/>
      <c r="TQ221" s="1"/>
      <c r="TR221" s="1"/>
      <c r="TS221" s="1"/>
      <c r="TT221" s="1"/>
      <c r="TU221" s="1"/>
      <c r="TV221" s="1"/>
      <c r="TW221" s="1"/>
      <c r="TX221" s="1"/>
      <c r="TY221" s="1"/>
      <c r="TZ221" s="1"/>
      <c r="UA221" s="1"/>
      <c r="UB221" s="1"/>
      <c r="UC221" s="1"/>
      <c r="UD221" s="1"/>
      <c r="UE221" s="1"/>
      <c r="UF221" s="1"/>
      <c r="UG221" s="1"/>
      <c r="UH221" s="1"/>
      <c r="UI221" s="1"/>
      <c r="UJ221" s="1"/>
      <c r="UK221" s="1"/>
      <c r="UL221" s="1"/>
      <c r="UM221" s="1"/>
      <c r="UN221" s="1"/>
      <c r="UO221" s="1"/>
      <c r="UP221" s="1"/>
      <c r="UQ221" s="1"/>
      <c r="UR221" s="1"/>
      <c r="US221" s="1"/>
      <c r="UT221" s="1"/>
      <c r="UU221" s="1"/>
      <c r="UV221" s="1"/>
      <c r="UW221" s="1"/>
      <c r="UX221" s="1"/>
      <c r="UY221" s="1"/>
      <c r="UZ221" s="1"/>
      <c r="VA221" s="1"/>
      <c r="VB221" s="1"/>
      <c r="VC221" s="1"/>
      <c r="VD221" s="1"/>
      <c r="VE221" s="1"/>
      <c r="VF221" s="1"/>
      <c r="VG221" s="1"/>
      <c r="VH221" s="1"/>
      <c r="VI221" s="1"/>
      <c r="VJ221" s="1"/>
      <c r="VK221" s="1"/>
      <c r="VL221" s="1"/>
      <c r="VM221" s="1"/>
      <c r="VN221" s="1"/>
      <c r="VO221" s="1"/>
      <c r="VP221" s="1"/>
      <c r="VQ221" s="1"/>
      <c r="VR221" s="1"/>
      <c r="VS221" s="1"/>
      <c r="VT221" s="1"/>
      <c r="VU221" s="1"/>
      <c r="VV221" s="1"/>
      <c r="VW221" s="1"/>
      <c r="VX221" s="1"/>
      <c r="VY221" s="1"/>
      <c r="VZ221" s="1"/>
      <c r="WA221" s="1"/>
      <c r="WB221" s="1"/>
      <c r="WC221" s="1"/>
      <c r="WD221" s="1"/>
      <c r="WE221" s="1"/>
      <c r="WF221" s="1"/>
      <c r="WG221" s="1"/>
      <c r="WH221" s="1"/>
      <c r="WI221" s="1"/>
      <c r="WJ221" s="1"/>
      <c r="WK221" s="1"/>
      <c r="WL221" s="1"/>
      <c r="WM221" s="1"/>
      <c r="WN221" s="1"/>
      <c r="WO221" s="1"/>
      <c r="WP221" s="1"/>
      <c r="WQ221" s="1"/>
      <c r="WR221" s="1"/>
      <c r="WS221" s="1"/>
      <c r="WT221" s="1"/>
      <c r="WU221" s="1"/>
      <c r="WV221" s="1"/>
      <c r="WW221" s="1"/>
      <c r="WX221" s="1"/>
      <c r="WY221" s="1"/>
      <c r="WZ221" s="1"/>
      <c r="XA221" s="1"/>
      <c r="XB221" s="1"/>
      <c r="XC221" s="1"/>
      <c r="XD221" s="1"/>
      <c r="XE221" s="1"/>
      <c r="XF221" s="1"/>
      <c r="XG221" s="1"/>
      <c r="XH221" s="1"/>
      <c r="XI221" s="1"/>
      <c r="XJ221" s="1"/>
      <c r="XK221" s="1"/>
      <c r="XL221" s="1"/>
      <c r="XM221" s="1"/>
      <c r="XN221" s="1"/>
      <c r="XO221" s="1"/>
      <c r="XP221" s="1"/>
      <c r="XQ221" s="1"/>
      <c r="XR221" s="1"/>
      <c r="XS221" s="1"/>
      <c r="XT221" s="1"/>
      <c r="XU221" s="1"/>
      <c r="XV221" s="1"/>
      <c r="XW221" s="1"/>
      <c r="XX221" s="1"/>
      <c r="XY221" s="1"/>
      <c r="XZ221" s="1"/>
      <c r="YA221" s="1"/>
      <c r="YB221" s="1"/>
      <c r="YC221" s="1"/>
      <c r="YD221" s="1"/>
      <c r="YE221" s="1"/>
      <c r="YF221" s="1"/>
      <c r="YG221" s="1"/>
      <c r="YH221" s="1"/>
      <c r="YI221" s="1"/>
      <c r="YJ221" s="1"/>
      <c r="YK221" s="1"/>
      <c r="YL221" s="1"/>
      <c r="YM221" s="1"/>
      <c r="YN221" s="1"/>
      <c r="YO221" s="1"/>
      <c r="YP221" s="1"/>
      <c r="YQ221" s="1"/>
      <c r="YR221" s="1"/>
      <c r="YS221" s="1"/>
      <c r="YT221" s="1"/>
      <c r="YU221" s="1"/>
      <c r="YV221" s="1"/>
      <c r="YW221" s="1"/>
      <c r="YX221" s="1"/>
      <c r="YY221" s="1"/>
      <c r="YZ221" s="1"/>
      <c r="ZA221" s="1"/>
      <c r="ZB221" s="1"/>
      <c r="ZC221" s="1"/>
      <c r="ZD221" s="1"/>
      <c r="ZE221" s="1"/>
      <c r="ZF221" s="1"/>
      <c r="ZG221" s="1"/>
      <c r="ZH221" s="1"/>
      <c r="ZI221" s="1"/>
      <c r="ZJ221" s="1"/>
      <c r="ZK221" s="1"/>
      <c r="ZL221" s="1"/>
      <c r="ZM221" s="1"/>
      <c r="ZN221" s="1"/>
      <c r="ZO221" s="1"/>
      <c r="ZP221" s="1"/>
      <c r="ZQ221" s="1"/>
      <c r="ZR221" s="1"/>
      <c r="ZS221" s="1"/>
      <c r="ZT221" s="1"/>
      <c r="ZU221" s="1"/>
      <c r="ZV221" s="1"/>
      <c r="ZW221" s="1"/>
      <c r="ZX221" s="1"/>
      <c r="ZY221" s="1"/>
      <c r="ZZ221" s="1"/>
      <c r="AAA221" s="1"/>
      <c r="AAB221" s="1"/>
      <c r="AAC221" s="1"/>
      <c r="AAD221" s="1"/>
      <c r="AAE221" s="1"/>
      <c r="AAF221" s="1"/>
      <c r="AAG221" s="1"/>
      <c r="AAH221" s="1"/>
      <c r="AAI221" s="1"/>
      <c r="AAJ221" s="1"/>
      <c r="AAK221" s="1"/>
      <c r="AAL221" s="1"/>
      <c r="AAM221" s="1"/>
      <c r="AAN221" s="1"/>
      <c r="AAO221" s="1"/>
      <c r="AAP221" s="1"/>
      <c r="AAQ221" s="1"/>
      <c r="AAR221" s="1"/>
      <c r="AAS221" s="1"/>
      <c r="AAT221" s="1"/>
      <c r="AAU221" s="1"/>
      <c r="AAV221" s="1"/>
      <c r="AAW221" s="1"/>
      <c r="AAX221" s="1"/>
      <c r="AAY221" s="1"/>
      <c r="AAZ221" s="1"/>
      <c r="ABA221" s="1"/>
      <c r="ABB221" s="1"/>
      <c r="ABC221" s="1"/>
      <c r="ABD221" s="1"/>
      <c r="ABE221" s="1"/>
      <c r="ABF221" s="1"/>
      <c r="ABG221" s="1"/>
      <c r="ABH221" s="1"/>
      <c r="ABI221" s="1"/>
      <c r="ABJ221" s="1"/>
      <c r="ABK221" s="1"/>
      <c r="ABL221" s="1"/>
      <c r="ABM221" s="1"/>
      <c r="ABN221" s="1"/>
      <c r="ABO221" s="1"/>
      <c r="ABP221" s="1"/>
      <c r="ABQ221" s="1"/>
      <c r="ABR221" s="1"/>
      <c r="ABS221" s="1"/>
      <c r="ABT221" s="1"/>
      <c r="ABU221" s="1"/>
      <c r="ABV221" s="1"/>
      <c r="ABW221" s="1"/>
      <c r="ABX221" s="1"/>
      <c r="ABY221" s="1"/>
      <c r="ABZ221" s="1"/>
      <c r="ACA221" s="1"/>
      <c r="ACB221" s="1"/>
      <c r="ACC221" s="1"/>
      <c r="ACD221" s="1"/>
      <c r="ACE221" s="1"/>
      <c r="ACF221" s="1"/>
      <c r="ACG221" s="1"/>
      <c r="ACH221" s="1"/>
      <c r="ACI221" s="1"/>
      <c r="ACJ221" s="1"/>
      <c r="ACK221" s="1"/>
      <c r="ACL221" s="1"/>
      <c r="ACM221" s="1"/>
      <c r="ACN221" s="1"/>
      <c r="ACO221" s="1"/>
      <c r="ACP221" s="1"/>
      <c r="ACQ221" s="1"/>
      <c r="ACR221" s="1"/>
      <c r="ACS221" s="1"/>
      <c r="ACT221" s="1"/>
      <c r="ACU221" s="1"/>
      <c r="ACV221" s="1"/>
      <c r="ACW221" s="1"/>
      <c r="ACX221" s="1"/>
      <c r="ACY221" s="1"/>
      <c r="ACZ221" s="1"/>
      <c r="ADA221" s="1"/>
      <c r="ADB221" s="1"/>
      <c r="ADC221" s="1"/>
      <c r="ADD221" s="1"/>
      <c r="ADE221" s="1"/>
      <c r="ADF221" s="1"/>
      <c r="ADG221" s="1"/>
      <c r="ADH221" s="1"/>
      <c r="ADI221" s="1"/>
      <c r="ADJ221" s="1"/>
      <c r="ADK221" s="1"/>
      <c r="ADL221" s="1"/>
      <c r="ADM221" s="1"/>
      <c r="ADN221" s="1"/>
      <c r="ADO221" s="1"/>
      <c r="ADP221" s="1"/>
      <c r="ADQ221" s="1"/>
      <c r="ADR221" s="1"/>
      <c r="ADS221" s="1"/>
      <c r="ADT221" s="1"/>
      <c r="ADU221" s="1"/>
      <c r="ADV221" s="1"/>
      <c r="ADW221" s="1"/>
      <c r="ADX221" s="1"/>
      <c r="ADY221" s="1"/>
      <c r="ADZ221" s="1"/>
      <c r="AEA221" s="1"/>
      <c r="AEB221" s="1"/>
      <c r="AEC221" s="1"/>
      <c r="AED221" s="1"/>
      <c r="AEE221" s="1"/>
      <c r="AEF221" s="1"/>
      <c r="AEG221" s="1"/>
      <c r="AEH221" s="1"/>
      <c r="AEI221" s="1"/>
      <c r="AEJ221" s="1"/>
      <c r="AEK221" s="1"/>
      <c r="AEL221" s="1"/>
      <c r="AEM221" s="1"/>
      <c r="AEN221" s="1"/>
      <c r="AEO221" s="1"/>
      <c r="AEP221" s="1"/>
      <c r="AEQ221" s="1"/>
      <c r="AER221" s="1"/>
      <c r="AES221" s="1"/>
      <c r="AET221" s="1"/>
      <c r="AEU221" s="1"/>
      <c r="AEV221" s="1"/>
      <c r="AEW221" s="1"/>
      <c r="AEX221" s="1"/>
      <c r="AEY221" s="1"/>
      <c r="AEZ221" s="1"/>
      <c r="AFA221" s="1"/>
      <c r="AFB221" s="1"/>
      <c r="AFC221" s="1"/>
      <c r="AFD221" s="1"/>
      <c r="AFE221" s="1"/>
      <c r="AFF221" s="1"/>
      <c r="AFG221" s="1"/>
      <c r="AFH221" s="1"/>
      <c r="AFI221" s="1"/>
      <c r="AFJ221" s="1"/>
      <c r="AFK221" s="1"/>
      <c r="AFL221" s="1"/>
      <c r="AFM221" s="1"/>
      <c r="AFN221" s="1"/>
      <c r="AFO221" s="1"/>
      <c r="AFP221" s="1"/>
      <c r="AFQ221" s="1"/>
      <c r="AFR221" s="1"/>
      <c r="AFS221" s="1"/>
      <c r="AFT221" s="1"/>
      <c r="AFU221" s="1"/>
      <c r="AFV221" s="1"/>
      <c r="AFW221" s="1"/>
      <c r="AFX221" s="1"/>
      <c r="AFY221" s="1"/>
      <c r="AFZ221" s="1"/>
      <c r="AGA221" s="1"/>
      <c r="AGB221" s="1"/>
      <c r="AGC221" s="1"/>
      <c r="AGD221" s="1"/>
      <c r="AGE221" s="1"/>
      <c r="AGF221" s="1"/>
      <c r="AGG221" s="1"/>
      <c r="AGH221" s="1"/>
      <c r="AGI221" s="1"/>
      <c r="AGJ221" s="1"/>
      <c r="AGK221" s="1"/>
      <c r="AGL221" s="1"/>
      <c r="AGM221" s="1"/>
      <c r="AGN221" s="1"/>
      <c r="AGO221" s="1"/>
      <c r="AGP221" s="1"/>
      <c r="AGQ221" s="1"/>
      <c r="AGR221" s="1"/>
      <c r="AGS221" s="1"/>
      <c r="AGT221" s="1"/>
      <c r="AGU221" s="1"/>
      <c r="AGV221" s="1"/>
      <c r="AGW221" s="1"/>
      <c r="AGX221" s="1"/>
      <c r="AGY221" s="1"/>
      <c r="AGZ221" s="1"/>
      <c r="AHA221" s="1"/>
      <c r="AHB221" s="1"/>
      <c r="AHC221" s="1"/>
      <c r="AHD221" s="1"/>
      <c r="AHE221" s="1"/>
      <c r="AHF221" s="1"/>
      <c r="AHG221" s="1"/>
      <c r="AHH221" s="1"/>
      <c r="AHI221" s="1"/>
      <c r="AHJ221" s="1"/>
      <c r="AHK221" s="1"/>
      <c r="AHL221" s="1"/>
      <c r="AHM221" s="1"/>
      <c r="AHN221" s="1"/>
      <c r="AHO221" s="1"/>
      <c r="AHP221" s="1"/>
      <c r="AHQ221" s="1"/>
      <c r="AHR221" s="1"/>
      <c r="AHS221" s="1"/>
      <c r="AHT221" s="1"/>
      <c r="AHU221" s="1"/>
      <c r="AHV221" s="1"/>
      <c r="AHW221" s="1"/>
      <c r="AHX221" s="1"/>
      <c r="AHY221" s="1"/>
      <c r="AHZ221" s="1"/>
      <c r="AIA221" s="1"/>
      <c r="AIB221" s="1"/>
      <c r="AIC221" s="1"/>
      <c r="AID221" s="1"/>
      <c r="AIE221" s="1"/>
      <c r="AIF221" s="1"/>
      <c r="AIG221" s="1"/>
      <c r="AIH221" s="1"/>
      <c r="AII221" s="1"/>
      <c r="AIJ221" s="1"/>
      <c r="AIK221" s="1"/>
      <c r="AIL221" s="1"/>
      <c r="AIM221" s="1"/>
      <c r="AIN221" s="1"/>
      <c r="AIO221" s="1"/>
      <c r="AIP221" s="1"/>
      <c r="AIQ221" s="1"/>
      <c r="AIR221" s="1"/>
      <c r="AIS221" s="1"/>
      <c r="AIT221" s="1"/>
      <c r="AIU221" s="1"/>
      <c r="AIV221" s="1"/>
      <c r="AIW221" s="1"/>
      <c r="AIX221" s="1"/>
      <c r="AIY221" s="1"/>
      <c r="AIZ221" s="1"/>
      <c r="AJA221" s="1"/>
      <c r="AJB221" s="1"/>
      <c r="AJC221" s="1"/>
      <c r="AJD221" s="1"/>
      <c r="AJE221" s="1"/>
      <c r="AJF221" s="1"/>
      <c r="AJG221" s="1"/>
      <c r="AJH221" s="1"/>
      <c r="AJI221" s="1"/>
      <c r="AJJ221" s="1"/>
      <c r="AJK221" s="1"/>
      <c r="AJL221" s="1"/>
      <c r="AJM221" s="1"/>
      <c r="AJN221" s="1"/>
      <c r="AJO221" s="1"/>
      <c r="AJP221" s="1"/>
      <c r="AJQ221" s="1"/>
      <c r="AJR221" s="1"/>
      <c r="AJS221" s="1"/>
      <c r="AJT221" s="1"/>
      <c r="AJU221" s="1"/>
      <c r="AJV221" s="1"/>
      <c r="AJW221" s="1"/>
      <c r="AJX221" s="1"/>
      <c r="AJY221" s="1"/>
      <c r="AJZ221" s="1"/>
      <c r="AKA221" s="1"/>
      <c r="AKB221" s="1"/>
      <c r="AKC221" s="1"/>
      <c r="AKD221" s="1"/>
      <c r="AKE221" s="1"/>
      <c r="AKF221" s="1"/>
      <c r="AKG221" s="1"/>
      <c r="AKH221" s="1"/>
      <c r="AKI221" s="1"/>
      <c r="AKJ221" s="1"/>
      <c r="AKK221" s="1"/>
      <c r="AKL221" s="1"/>
      <c r="AKM221" s="1"/>
      <c r="AKN221" s="1"/>
      <c r="AKO221" s="1"/>
      <c r="AKP221" s="1"/>
      <c r="AKQ221" s="1"/>
      <c r="AKR221" s="1"/>
      <c r="AKS221" s="1"/>
      <c r="AKT221" s="1"/>
      <c r="AKU221" s="1"/>
      <c r="AKV221" s="1"/>
      <c r="AKW221" s="1"/>
      <c r="AKX221" s="1"/>
      <c r="AKY221" s="1"/>
      <c r="AKZ221" s="1"/>
      <c r="ALA221" s="1"/>
      <c r="ALB221" s="1"/>
      <c r="ALC221" s="1"/>
      <c r="ALD221" s="1"/>
      <c r="ALE221" s="1"/>
      <c r="ALF221" s="1"/>
      <c r="ALG221" s="1"/>
      <c r="ALH221" s="1"/>
      <c r="ALI221" s="1"/>
      <c r="ALJ221" s="1"/>
      <c r="ALK221" s="1"/>
      <c r="ALL221" s="1"/>
      <c r="ALM221" s="1"/>
      <c r="ALN221" s="1"/>
      <c r="ALO221" s="1"/>
      <c r="ALP221" s="1"/>
      <c r="ALQ221" s="1"/>
      <c r="ALR221" s="1"/>
      <c r="ALS221" s="1"/>
      <c r="ALT221" s="1"/>
      <c r="ALU221" s="1"/>
      <c r="ALV221" s="1"/>
      <c r="ALW221" s="1"/>
      <c r="ALX221" s="1"/>
      <c r="ALY221" s="1"/>
      <c r="ALZ221" s="1"/>
      <c r="AMA221" s="1"/>
      <c r="AMB221" s="1"/>
      <c r="AMC221" s="1"/>
      <c r="AMD221" s="1"/>
      <c r="AME221" s="1"/>
      <c r="AMF221" s="1"/>
      <c r="AMG221" s="1"/>
      <c r="AMH221" s="1"/>
      <c r="AMI221" s="1"/>
      <c r="AMJ221" s="1"/>
      <c r="AMK221" s="1"/>
      <c r="AML221" s="1"/>
      <c r="AMM221" s="1"/>
      <c r="AMN221" s="1"/>
      <c r="AMO221" s="1"/>
    </row>
    <row r="222" spans="1:1030" x14ac:dyDescent="0.2">
      <c r="A222" s="3" t="str">
        <f t="shared" si="755"/>
        <v>opsd_bovin_6FK8</v>
      </c>
      <c r="B222" s="3" t="s">
        <v>920</v>
      </c>
      <c r="C222" s="3" t="s">
        <v>1497</v>
      </c>
      <c r="D222" s="3" t="str">
        <f>IFERROR(MID(VLOOKUP($B222,Seqs!$A:$B,2,0),E222,1),"")</f>
        <v>E</v>
      </c>
      <c r="E222" s="3">
        <v>33</v>
      </c>
      <c r="F222" s="3" t="str">
        <f>IFERROR(MID(VLOOKUP($B222,Seqs!$A:$B,2,0),G222,1),"")</f>
        <v>Q</v>
      </c>
      <c r="G222" s="3">
        <v>64</v>
      </c>
      <c r="H222" s="3" t="str">
        <f>IFERROR(MID(VLOOKUP($B222,Seqs!$A:$B,2,0),I222,1),"")</f>
        <v>K</v>
      </c>
      <c r="I222" s="23">
        <v>66</v>
      </c>
      <c r="J222" s="3" t="str">
        <f>IFERROR(MID(VLOOKUP($B222,Seqs!$A:$B,2,0),K222,1),"")</f>
        <v>R</v>
      </c>
      <c r="K222" s="23">
        <v>69</v>
      </c>
      <c r="L222" s="3" t="str">
        <f>IFERROR(MID(VLOOKUP($B222,Seqs!$A:$B,2,0),M222,1),"")</f>
        <v>N</v>
      </c>
      <c r="M222" s="3">
        <v>73</v>
      </c>
      <c r="N222" s="3" t="str">
        <f>IFERROR(MID(VLOOKUP($B222,Seqs!$A:$B,2,0),O222,1),"")</f>
        <v>G</v>
      </c>
      <c r="O222" s="3">
        <v>101</v>
      </c>
      <c r="P222" s="3" t="str">
        <f>IFERROR(MID(VLOOKUP($B222,Seqs!$A:$B,2,0),Q222,1),"")</f>
        <v>Y</v>
      </c>
      <c r="Q222" s="3">
        <v>102</v>
      </c>
      <c r="R222" s="3" t="str">
        <f>IFERROR(MID(VLOOKUP($B222,Seqs!$A:$B,2,0),S222,1),"")</f>
        <v>G</v>
      </c>
      <c r="S222" s="3">
        <v>106</v>
      </c>
      <c r="T222" s="3" t="str">
        <f>IFERROR(MID(VLOOKUP($B222,Seqs!$A:$B,2,0),U222,1),"")</f>
        <v>P</v>
      </c>
      <c r="U222" s="3">
        <v>107</v>
      </c>
      <c r="V222" s="3" t="str">
        <f>IFERROR(MID(VLOOKUP($B222,Seqs!$A:$B,2,0),W222,1),"")</f>
        <v>K</v>
      </c>
      <c r="W222" s="3">
        <v>141</v>
      </c>
      <c r="X222" s="3" t="str">
        <f>IFERROR(MID(VLOOKUP($B222,Seqs!$A:$B,2,0),Y222,1),"")</f>
        <v/>
      </c>
      <c r="Y222" s="3" t="s">
        <v>23</v>
      </c>
      <c r="Z222" s="3" t="str">
        <f>IFERROR(MID(VLOOKUP($B222,Seqs!$A:$B,2,0),AA222,1),"")</f>
        <v/>
      </c>
      <c r="AA222" s="3" t="s">
        <v>23</v>
      </c>
      <c r="AB222" s="3" t="str">
        <f>IFERROR(MID(VLOOKUP($B222,Seqs!$A:$B,2,0),AC222,1),"")</f>
        <v>G</v>
      </c>
      <c r="AC222" s="3">
        <v>149</v>
      </c>
      <c r="AD222" s="3" t="str">
        <f>IFERROR(MID(VLOOKUP($B222,Seqs!$A:$B,2,0),AE222,1),"")</f>
        <v>V</v>
      </c>
      <c r="AE222" s="3">
        <v>173</v>
      </c>
      <c r="AF222" s="3" t="str">
        <f>IFERROR(MID(VLOOKUP($B222,Seqs!$A:$B,2,0),AG222,1),"")</f>
        <v>C</v>
      </c>
      <c r="AG222" s="3">
        <v>187</v>
      </c>
      <c r="AH222" s="3" t="str">
        <f>IFERROR(MID(VLOOKUP($B222,Seqs!$A:$B,2,0),AI222,1),"")</f>
        <v>I</v>
      </c>
      <c r="AI222" s="3">
        <v>189</v>
      </c>
      <c r="AJ222" s="3" t="str">
        <f>IFERROR(MID(VLOOKUP($B222,Seqs!$A:$B,2,0),AK222,1),"")</f>
        <v>N</v>
      </c>
      <c r="AK222" s="3">
        <v>199</v>
      </c>
      <c r="AL222" s="3" t="str">
        <f>IFERROR(MID(VLOOKUP($B222,Seqs!$A:$B,2,0),AM222,1),"")</f>
        <v>Q</v>
      </c>
      <c r="AM222" s="3">
        <v>236</v>
      </c>
      <c r="AN222" s="3" t="str">
        <f>IFERROR(MID(VLOOKUP($B222,Seqs!$A:$B,2,0),AO222,1),"")</f>
        <v>S</v>
      </c>
      <c r="AO222" s="3">
        <v>240</v>
      </c>
      <c r="AP222" s="3" t="str">
        <f>IFERROR(MID(VLOOKUP($B222,Seqs!$A:$B,2,0),AQ222,1),"")</f>
        <v>H</v>
      </c>
      <c r="AQ222" s="3">
        <v>278</v>
      </c>
      <c r="AR222" s="3" t="str">
        <f>IFERROR(MID(VLOOKUP($B222,Seqs!$A:$B,2,0),AS222,1),"")</f>
        <v>G</v>
      </c>
      <c r="AS222" s="3">
        <v>284</v>
      </c>
      <c r="AT222" s="3" t="str">
        <f>IFERROR(MID(VLOOKUP($B222,Seqs!$A:$B,2,0),AU222,1),"")</f>
        <v>M</v>
      </c>
      <c r="AU222" s="3">
        <v>309</v>
      </c>
      <c r="AV222" s="3" t="str">
        <f>IFERROR(MID(VLOOKUP($B222,Seqs!$A:$B,2,0),AW222,1),"")</f>
        <v>N</v>
      </c>
      <c r="AW222" s="3">
        <v>310</v>
      </c>
      <c r="AX222" s="3" t="str">
        <f>IFERROR(MID(VLOOKUP($B222,Seqs!$A:$B,2,0),AY222,1),"")</f>
        <v>C</v>
      </c>
      <c r="AY222" s="3">
        <v>322</v>
      </c>
      <c r="AZ222" s="77" t="str">
        <f>VLOOKUP(B222,Classification!A:D,2,0)</f>
        <v>A</v>
      </c>
      <c r="BA222" s="94" t="str">
        <f>VLOOKUP(B222,Classification!A:D,4,0)</f>
        <v>Opsins</v>
      </c>
      <c r="BB222" s="27" t="b">
        <f t="shared" si="756"/>
        <v>1</v>
      </c>
      <c r="BC222" s="23">
        <f t="shared" si="757"/>
        <v>250</v>
      </c>
      <c r="BD222" s="2" t="s">
        <v>23</v>
      </c>
      <c r="BE222" s="3" t="s">
        <v>1297</v>
      </c>
      <c r="BF222" s="119">
        <v>2.87</v>
      </c>
      <c r="BG222" s="49" t="s">
        <v>1</v>
      </c>
      <c r="BH222" s="49" t="s">
        <v>1</v>
      </c>
      <c r="BI222" s="1"/>
      <c r="BJ222" s="70" t="s">
        <v>1293</v>
      </c>
      <c r="BK222" s="57" t="s">
        <v>1293</v>
      </c>
      <c r="BL222" s="57" t="s">
        <v>1293</v>
      </c>
      <c r="BM222" s="57" t="s">
        <v>1293</v>
      </c>
      <c r="BN222" s="57" t="s">
        <v>1293</v>
      </c>
      <c r="BO222" s="57" t="s">
        <v>1293</v>
      </c>
      <c r="BP222" s="57" t="s">
        <v>1293</v>
      </c>
      <c r="BQ222" s="57" t="s">
        <v>1293</v>
      </c>
      <c r="BR222" s="57" t="s">
        <v>1293</v>
      </c>
      <c r="BS222" s="57" t="s">
        <v>1293</v>
      </c>
      <c r="BT222" s="57" t="s">
        <v>1293</v>
      </c>
      <c r="BU222" s="57" t="s">
        <v>1293</v>
      </c>
      <c r="BV222" s="70">
        <f t="shared" si="758"/>
        <v>33</v>
      </c>
      <c r="BW222" s="71">
        <f t="shared" si="759"/>
        <v>66</v>
      </c>
      <c r="BX222" s="72">
        <f t="shared" si="760"/>
        <v>73</v>
      </c>
      <c r="BY222" s="71">
        <f t="shared" si="761"/>
        <v>102</v>
      </c>
      <c r="BZ222" s="72">
        <f t="shared" si="762"/>
        <v>107</v>
      </c>
      <c r="CA222" s="71" t="str">
        <f t="shared" si="763"/>
        <v>-</v>
      </c>
      <c r="CB222" s="72">
        <f t="shared" si="764"/>
        <v>149</v>
      </c>
      <c r="CC222" s="71">
        <f t="shared" si="765"/>
        <v>187</v>
      </c>
      <c r="CD222" s="72">
        <f t="shared" si="766"/>
        <v>199</v>
      </c>
      <c r="CE222" s="71">
        <f t="shared" si="767"/>
        <v>240</v>
      </c>
      <c r="CF222" s="72">
        <f t="shared" si="768"/>
        <v>284</v>
      </c>
      <c r="CG222" s="71">
        <f t="shared" si="769"/>
        <v>310</v>
      </c>
      <c r="CH222" s="70">
        <f t="shared" si="770"/>
        <v>64</v>
      </c>
      <c r="CI222" s="71">
        <f t="shared" si="771"/>
        <v>69</v>
      </c>
      <c r="CJ222" s="72">
        <f t="shared" si="772"/>
        <v>101</v>
      </c>
      <c r="CK222" s="72">
        <f t="shared" si="773"/>
        <v>106</v>
      </c>
      <c r="CL222" s="72">
        <f t="shared" si="774"/>
        <v>141</v>
      </c>
      <c r="CM222" s="72" t="str">
        <f t="shared" si="775"/>
        <v>-</v>
      </c>
      <c r="CN222" s="72">
        <f t="shared" si="776"/>
        <v>173</v>
      </c>
      <c r="CO222" s="72">
        <f t="shared" si="777"/>
        <v>189</v>
      </c>
      <c r="CP222" s="72">
        <f t="shared" si="778"/>
        <v>236</v>
      </c>
      <c r="CQ222" s="72">
        <f t="shared" si="779"/>
        <v>278</v>
      </c>
      <c r="CR222" s="72">
        <f t="shared" si="780"/>
        <v>309</v>
      </c>
      <c r="CS222" s="72">
        <f t="shared" si="781"/>
        <v>322</v>
      </c>
      <c r="CT222" s="23">
        <f t="shared" si="782"/>
        <v>4</v>
      </c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  <c r="OK222" s="1"/>
      <c r="OL222" s="1"/>
      <c r="OM222" s="1"/>
      <c r="ON222" s="1"/>
      <c r="OO222" s="1"/>
      <c r="OP222" s="1"/>
      <c r="OQ222" s="1"/>
      <c r="OR222" s="1"/>
      <c r="OS222" s="1"/>
      <c r="OT222" s="1"/>
      <c r="OU222" s="1"/>
      <c r="OV222" s="1"/>
      <c r="OW222" s="1"/>
      <c r="OX222" s="1"/>
      <c r="OY222" s="1"/>
      <c r="OZ222" s="1"/>
      <c r="PA222" s="1"/>
      <c r="PB222" s="1"/>
      <c r="PC222" s="1"/>
      <c r="PD222" s="1"/>
      <c r="PE222" s="1"/>
      <c r="PF222" s="1"/>
      <c r="PG222" s="1"/>
      <c r="PH222" s="1"/>
      <c r="PI222" s="1"/>
      <c r="PJ222" s="1"/>
      <c r="PK222" s="1"/>
      <c r="PL222" s="1"/>
      <c r="PM222" s="1"/>
      <c r="PN222" s="1"/>
      <c r="PO222" s="1"/>
      <c r="PP222" s="1"/>
      <c r="PQ222" s="1"/>
      <c r="PR222" s="1"/>
      <c r="PS222" s="1"/>
      <c r="PT222" s="1"/>
      <c r="PU222" s="1"/>
      <c r="PV222" s="1"/>
      <c r="PW222" s="1"/>
      <c r="PX222" s="1"/>
      <c r="PY222" s="1"/>
      <c r="PZ222" s="1"/>
      <c r="QA222" s="1"/>
      <c r="QB222" s="1"/>
      <c r="QC222" s="1"/>
      <c r="QD222" s="1"/>
      <c r="QE222" s="1"/>
      <c r="QF222" s="1"/>
      <c r="QG222" s="1"/>
      <c r="QH222" s="1"/>
      <c r="QI222" s="1"/>
      <c r="QJ222" s="1"/>
      <c r="QK222" s="1"/>
      <c r="QL222" s="1"/>
      <c r="QM222" s="1"/>
      <c r="QN222" s="1"/>
      <c r="QO222" s="1"/>
      <c r="QP222" s="1"/>
      <c r="QQ222" s="1"/>
      <c r="QR222" s="1"/>
      <c r="QS222" s="1"/>
      <c r="QT222" s="1"/>
      <c r="QU222" s="1"/>
      <c r="QV222" s="1"/>
      <c r="QW222" s="1"/>
      <c r="QX222" s="1"/>
      <c r="QY222" s="1"/>
      <c r="QZ222" s="1"/>
      <c r="RA222" s="1"/>
      <c r="RB222" s="1"/>
      <c r="RC222" s="1"/>
      <c r="RD222" s="1"/>
      <c r="RE222" s="1"/>
      <c r="RF222" s="1"/>
      <c r="RG222" s="1"/>
      <c r="RH222" s="1"/>
      <c r="RI222" s="1"/>
      <c r="RJ222" s="1"/>
      <c r="RK222" s="1"/>
      <c r="RL222" s="1"/>
      <c r="RM222" s="1"/>
      <c r="RN222" s="1"/>
      <c r="RO222" s="1"/>
      <c r="RP222" s="1"/>
      <c r="RQ222" s="1"/>
      <c r="RR222" s="1"/>
      <c r="RS222" s="1"/>
      <c r="RT222" s="1"/>
      <c r="RU222" s="1"/>
      <c r="RV222" s="1"/>
      <c r="RW222" s="1"/>
      <c r="RX222" s="1"/>
      <c r="RY222" s="1"/>
      <c r="RZ222" s="1"/>
      <c r="SA222" s="1"/>
      <c r="SB222" s="1"/>
      <c r="SC222" s="1"/>
      <c r="SD222" s="1"/>
      <c r="SE222" s="1"/>
      <c r="SF222" s="1"/>
      <c r="SG222" s="1"/>
      <c r="SH222" s="1"/>
      <c r="SI222" s="1"/>
      <c r="SJ222" s="1"/>
      <c r="SK222" s="1"/>
      <c r="SL222" s="1"/>
      <c r="SM222" s="1"/>
      <c r="SN222" s="1"/>
      <c r="SO222" s="1"/>
      <c r="SP222" s="1"/>
      <c r="SQ222" s="1"/>
      <c r="SR222" s="1"/>
      <c r="SS222" s="1"/>
      <c r="ST222" s="1"/>
      <c r="SU222" s="1"/>
      <c r="SV222" s="1"/>
      <c r="SW222" s="1"/>
      <c r="SX222" s="1"/>
      <c r="SY222" s="1"/>
      <c r="SZ222" s="1"/>
      <c r="TA222" s="1"/>
      <c r="TB222" s="1"/>
      <c r="TC222" s="1"/>
      <c r="TD222" s="1"/>
      <c r="TE222" s="1"/>
      <c r="TF222" s="1"/>
      <c r="TG222" s="1"/>
      <c r="TH222" s="1"/>
      <c r="TI222" s="1"/>
      <c r="TJ222" s="1"/>
      <c r="TK222" s="1"/>
      <c r="TL222" s="1"/>
      <c r="TM222" s="1"/>
      <c r="TN222" s="1"/>
      <c r="TO222" s="1"/>
      <c r="TP222" s="1"/>
      <c r="TQ222" s="1"/>
      <c r="TR222" s="1"/>
      <c r="TS222" s="1"/>
      <c r="TT222" s="1"/>
      <c r="TU222" s="1"/>
      <c r="TV222" s="1"/>
      <c r="TW222" s="1"/>
      <c r="TX222" s="1"/>
      <c r="TY222" s="1"/>
      <c r="TZ222" s="1"/>
      <c r="UA222" s="1"/>
      <c r="UB222" s="1"/>
      <c r="UC222" s="1"/>
      <c r="UD222" s="1"/>
      <c r="UE222" s="1"/>
      <c r="UF222" s="1"/>
      <c r="UG222" s="1"/>
      <c r="UH222" s="1"/>
      <c r="UI222" s="1"/>
      <c r="UJ222" s="1"/>
      <c r="UK222" s="1"/>
      <c r="UL222" s="1"/>
      <c r="UM222" s="1"/>
      <c r="UN222" s="1"/>
      <c r="UO222" s="1"/>
      <c r="UP222" s="1"/>
      <c r="UQ222" s="1"/>
      <c r="UR222" s="1"/>
      <c r="US222" s="1"/>
      <c r="UT222" s="1"/>
      <c r="UU222" s="1"/>
      <c r="UV222" s="1"/>
      <c r="UW222" s="1"/>
      <c r="UX222" s="1"/>
      <c r="UY222" s="1"/>
      <c r="UZ222" s="1"/>
      <c r="VA222" s="1"/>
      <c r="VB222" s="1"/>
      <c r="VC222" s="1"/>
      <c r="VD222" s="1"/>
      <c r="VE222" s="1"/>
      <c r="VF222" s="1"/>
      <c r="VG222" s="1"/>
      <c r="VH222" s="1"/>
      <c r="VI222" s="1"/>
      <c r="VJ222" s="1"/>
      <c r="VK222" s="1"/>
      <c r="VL222" s="1"/>
      <c r="VM222" s="1"/>
      <c r="VN222" s="1"/>
      <c r="VO222" s="1"/>
      <c r="VP222" s="1"/>
      <c r="VQ222" s="1"/>
      <c r="VR222" s="1"/>
      <c r="VS222" s="1"/>
      <c r="VT222" s="1"/>
      <c r="VU222" s="1"/>
      <c r="VV222" s="1"/>
      <c r="VW222" s="1"/>
      <c r="VX222" s="1"/>
      <c r="VY222" s="1"/>
      <c r="VZ222" s="1"/>
      <c r="WA222" s="1"/>
      <c r="WB222" s="1"/>
      <c r="WC222" s="1"/>
      <c r="WD222" s="1"/>
      <c r="WE222" s="1"/>
      <c r="WF222" s="1"/>
      <c r="WG222" s="1"/>
      <c r="WH222" s="1"/>
      <c r="WI222" s="1"/>
      <c r="WJ222" s="1"/>
      <c r="WK222" s="1"/>
      <c r="WL222" s="1"/>
      <c r="WM222" s="1"/>
      <c r="WN222" s="1"/>
      <c r="WO222" s="1"/>
      <c r="WP222" s="1"/>
      <c r="WQ222" s="1"/>
      <c r="WR222" s="1"/>
      <c r="WS222" s="1"/>
      <c r="WT222" s="1"/>
      <c r="WU222" s="1"/>
      <c r="WV222" s="1"/>
      <c r="WW222" s="1"/>
      <c r="WX222" s="1"/>
      <c r="WY222" s="1"/>
      <c r="WZ222" s="1"/>
      <c r="XA222" s="1"/>
      <c r="XB222" s="1"/>
      <c r="XC222" s="1"/>
      <c r="XD222" s="1"/>
      <c r="XE222" s="1"/>
      <c r="XF222" s="1"/>
      <c r="XG222" s="1"/>
      <c r="XH222" s="1"/>
      <c r="XI222" s="1"/>
      <c r="XJ222" s="1"/>
      <c r="XK222" s="1"/>
      <c r="XL222" s="1"/>
      <c r="XM222" s="1"/>
      <c r="XN222" s="1"/>
      <c r="XO222" s="1"/>
      <c r="XP222" s="1"/>
      <c r="XQ222" s="1"/>
      <c r="XR222" s="1"/>
      <c r="XS222" s="1"/>
      <c r="XT222" s="1"/>
      <c r="XU222" s="1"/>
      <c r="XV222" s="1"/>
      <c r="XW222" s="1"/>
      <c r="XX222" s="1"/>
      <c r="XY222" s="1"/>
      <c r="XZ222" s="1"/>
      <c r="YA222" s="1"/>
      <c r="YB222" s="1"/>
      <c r="YC222" s="1"/>
      <c r="YD222" s="1"/>
      <c r="YE222" s="1"/>
      <c r="YF222" s="1"/>
      <c r="YG222" s="1"/>
      <c r="YH222" s="1"/>
      <c r="YI222" s="1"/>
      <c r="YJ222" s="1"/>
      <c r="YK222" s="1"/>
      <c r="YL222" s="1"/>
      <c r="YM222" s="1"/>
      <c r="YN222" s="1"/>
      <c r="YO222" s="1"/>
      <c r="YP222" s="1"/>
      <c r="YQ222" s="1"/>
      <c r="YR222" s="1"/>
      <c r="YS222" s="1"/>
      <c r="YT222" s="1"/>
      <c r="YU222" s="1"/>
      <c r="YV222" s="1"/>
      <c r="YW222" s="1"/>
      <c r="YX222" s="1"/>
      <c r="YY222" s="1"/>
      <c r="YZ222" s="1"/>
      <c r="ZA222" s="1"/>
      <c r="ZB222" s="1"/>
      <c r="ZC222" s="1"/>
      <c r="ZD222" s="1"/>
      <c r="ZE222" s="1"/>
      <c r="ZF222" s="1"/>
      <c r="ZG222" s="1"/>
      <c r="ZH222" s="1"/>
      <c r="ZI222" s="1"/>
      <c r="ZJ222" s="1"/>
      <c r="ZK222" s="1"/>
      <c r="ZL222" s="1"/>
      <c r="ZM222" s="1"/>
      <c r="ZN222" s="1"/>
      <c r="ZO222" s="1"/>
      <c r="ZP222" s="1"/>
      <c r="ZQ222" s="1"/>
      <c r="ZR222" s="1"/>
      <c r="ZS222" s="1"/>
      <c r="ZT222" s="1"/>
      <c r="ZU222" s="1"/>
      <c r="ZV222" s="1"/>
      <c r="ZW222" s="1"/>
      <c r="ZX222" s="1"/>
      <c r="ZY222" s="1"/>
      <c r="ZZ222" s="1"/>
      <c r="AAA222" s="1"/>
      <c r="AAB222" s="1"/>
      <c r="AAC222" s="1"/>
      <c r="AAD222" s="1"/>
      <c r="AAE222" s="1"/>
      <c r="AAF222" s="1"/>
      <c r="AAG222" s="1"/>
      <c r="AAH222" s="1"/>
      <c r="AAI222" s="1"/>
      <c r="AAJ222" s="1"/>
      <c r="AAK222" s="1"/>
      <c r="AAL222" s="1"/>
      <c r="AAM222" s="1"/>
      <c r="AAN222" s="1"/>
      <c r="AAO222" s="1"/>
      <c r="AAP222" s="1"/>
      <c r="AAQ222" s="1"/>
      <c r="AAR222" s="1"/>
      <c r="AAS222" s="1"/>
      <c r="AAT222" s="1"/>
      <c r="AAU222" s="1"/>
      <c r="AAV222" s="1"/>
      <c r="AAW222" s="1"/>
      <c r="AAX222" s="1"/>
      <c r="AAY222" s="1"/>
      <c r="AAZ222" s="1"/>
      <c r="ABA222" s="1"/>
      <c r="ABB222" s="1"/>
      <c r="ABC222" s="1"/>
      <c r="ABD222" s="1"/>
      <c r="ABE222" s="1"/>
      <c r="ABF222" s="1"/>
      <c r="ABG222" s="1"/>
      <c r="ABH222" s="1"/>
      <c r="ABI222" s="1"/>
      <c r="ABJ222" s="1"/>
      <c r="ABK222" s="1"/>
      <c r="ABL222" s="1"/>
      <c r="ABM222" s="1"/>
      <c r="ABN222" s="1"/>
      <c r="ABO222" s="1"/>
      <c r="ABP222" s="1"/>
      <c r="ABQ222" s="1"/>
      <c r="ABR222" s="1"/>
      <c r="ABS222" s="1"/>
      <c r="ABT222" s="1"/>
      <c r="ABU222" s="1"/>
      <c r="ABV222" s="1"/>
      <c r="ABW222" s="1"/>
      <c r="ABX222" s="1"/>
      <c r="ABY222" s="1"/>
      <c r="ABZ222" s="1"/>
      <c r="ACA222" s="1"/>
      <c r="ACB222" s="1"/>
      <c r="ACC222" s="1"/>
      <c r="ACD222" s="1"/>
      <c r="ACE222" s="1"/>
      <c r="ACF222" s="1"/>
      <c r="ACG222" s="1"/>
      <c r="ACH222" s="1"/>
      <c r="ACI222" s="1"/>
      <c r="ACJ222" s="1"/>
      <c r="ACK222" s="1"/>
      <c r="ACL222" s="1"/>
      <c r="ACM222" s="1"/>
      <c r="ACN222" s="1"/>
      <c r="ACO222" s="1"/>
      <c r="ACP222" s="1"/>
      <c r="ACQ222" s="1"/>
      <c r="ACR222" s="1"/>
      <c r="ACS222" s="1"/>
      <c r="ACT222" s="1"/>
      <c r="ACU222" s="1"/>
      <c r="ACV222" s="1"/>
      <c r="ACW222" s="1"/>
      <c r="ACX222" s="1"/>
      <c r="ACY222" s="1"/>
      <c r="ACZ222" s="1"/>
      <c r="ADA222" s="1"/>
      <c r="ADB222" s="1"/>
      <c r="ADC222" s="1"/>
      <c r="ADD222" s="1"/>
      <c r="ADE222" s="1"/>
      <c r="ADF222" s="1"/>
      <c r="ADG222" s="1"/>
      <c r="ADH222" s="1"/>
      <c r="ADI222" s="1"/>
      <c r="ADJ222" s="1"/>
      <c r="ADK222" s="1"/>
      <c r="ADL222" s="1"/>
      <c r="ADM222" s="1"/>
      <c r="ADN222" s="1"/>
      <c r="ADO222" s="1"/>
      <c r="ADP222" s="1"/>
      <c r="ADQ222" s="1"/>
      <c r="ADR222" s="1"/>
      <c r="ADS222" s="1"/>
      <c r="ADT222" s="1"/>
      <c r="ADU222" s="1"/>
      <c r="ADV222" s="1"/>
      <c r="ADW222" s="1"/>
      <c r="ADX222" s="1"/>
      <c r="ADY222" s="1"/>
      <c r="ADZ222" s="1"/>
      <c r="AEA222" s="1"/>
      <c r="AEB222" s="1"/>
      <c r="AEC222" s="1"/>
      <c r="AED222" s="1"/>
      <c r="AEE222" s="1"/>
      <c r="AEF222" s="1"/>
      <c r="AEG222" s="1"/>
      <c r="AEH222" s="1"/>
      <c r="AEI222" s="1"/>
      <c r="AEJ222" s="1"/>
      <c r="AEK222" s="1"/>
      <c r="AEL222" s="1"/>
      <c r="AEM222" s="1"/>
      <c r="AEN222" s="1"/>
      <c r="AEO222" s="1"/>
      <c r="AEP222" s="1"/>
      <c r="AEQ222" s="1"/>
      <c r="AER222" s="1"/>
      <c r="AES222" s="1"/>
      <c r="AET222" s="1"/>
      <c r="AEU222" s="1"/>
      <c r="AEV222" s="1"/>
      <c r="AEW222" s="1"/>
      <c r="AEX222" s="1"/>
      <c r="AEY222" s="1"/>
      <c r="AEZ222" s="1"/>
      <c r="AFA222" s="1"/>
      <c r="AFB222" s="1"/>
      <c r="AFC222" s="1"/>
      <c r="AFD222" s="1"/>
      <c r="AFE222" s="1"/>
      <c r="AFF222" s="1"/>
      <c r="AFG222" s="1"/>
      <c r="AFH222" s="1"/>
      <c r="AFI222" s="1"/>
      <c r="AFJ222" s="1"/>
      <c r="AFK222" s="1"/>
      <c r="AFL222" s="1"/>
      <c r="AFM222" s="1"/>
      <c r="AFN222" s="1"/>
      <c r="AFO222" s="1"/>
      <c r="AFP222" s="1"/>
      <c r="AFQ222" s="1"/>
      <c r="AFR222" s="1"/>
      <c r="AFS222" s="1"/>
      <c r="AFT222" s="1"/>
      <c r="AFU222" s="1"/>
      <c r="AFV222" s="1"/>
      <c r="AFW222" s="1"/>
      <c r="AFX222" s="1"/>
      <c r="AFY222" s="1"/>
      <c r="AFZ222" s="1"/>
      <c r="AGA222" s="1"/>
      <c r="AGB222" s="1"/>
      <c r="AGC222" s="1"/>
      <c r="AGD222" s="1"/>
      <c r="AGE222" s="1"/>
      <c r="AGF222" s="1"/>
      <c r="AGG222" s="1"/>
      <c r="AGH222" s="1"/>
      <c r="AGI222" s="1"/>
      <c r="AGJ222" s="1"/>
      <c r="AGK222" s="1"/>
      <c r="AGL222" s="1"/>
      <c r="AGM222" s="1"/>
      <c r="AGN222" s="1"/>
      <c r="AGO222" s="1"/>
      <c r="AGP222" s="1"/>
      <c r="AGQ222" s="1"/>
      <c r="AGR222" s="1"/>
      <c r="AGS222" s="1"/>
      <c r="AGT222" s="1"/>
      <c r="AGU222" s="1"/>
      <c r="AGV222" s="1"/>
      <c r="AGW222" s="1"/>
      <c r="AGX222" s="1"/>
      <c r="AGY222" s="1"/>
      <c r="AGZ222" s="1"/>
      <c r="AHA222" s="1"/>
      <c r="AHB222" s="1"/>
      <c r="AHC222" s="1"/>
      <c r="AHD222" s="1"/>
      <c r="AHE222" s="1"/>
      <c r="AHF222" s="1"/>
      <c r="AHG222" s="1"/>
      <c r="AHH222" s="1"/>
      <c r="AHI222" s="1"/>
      <c r="AHJ222" s="1"/>
      <c r="AHK222" s="1"/>
      <c r="AHL222" s="1"/>
      <c r="AHM222" s="1"/>
      <c r="AHN222" s="1"/>
      <c r="AHO222" s="1"/>
      <c r="AHP222" s="1"/>
      <c r="AHQ222" s="1"/>
      <c r="AHR222" s="1"/>
      <c r="AHS222" s="1"/>
      <c r="AHT222" s="1"/>
      <c r="AHU222" s="1"/>
      <c r="AHV222" s="1"/>
      <c r="AHW222" s="1"/>
      <c r="AHX222" s="1"/>
      <c r="AHY222" s="1"/>
      <c r="AHZ222" s="1"/>
      <c r="AIA222" s="1"/>
      <c r="AIB222" s="1"/>
      <c r="AIC222" s="1"/>
      <c r="AID222" s="1"/>
      <c r="AIE222" s="1"/>
      <c r="AIF222" s="1"/>
      <c r="AIG222" s="1"/>
      <c r="AIH222" s="1"/>
      <c r="AII222" s="1"/>
      <c r="AIJ222" s="1"/>
      <c r="AIK222" s="1"/>
      <c r="AIL222" s="1"/>
      <c r="AIM222" s="1"/>
      <c r="AIN222" s="1"/>
      <c r="AIO222" s="1"/>
      <c r="AIP222" s="1"/>
      <c r="AIQ222" s="1"/>
      <c r="AIR222" s="1"/>
      <c r="AIS222" s="1"/>
      <c r="AIT222" s="1"/>
      <c r="AIU222" s="1"/>
      <c r="AIV222" s="1"/>
      <c r="AIW222" s="1"/>
      <c r="AIX222" s="1"/>
      <c r="AIY222" s="1"/>
      <c r="AIZ222" s="1"/>
      <c r="AJA222" s="1"/>
      <c r="AJB222" s="1"/>
      <c r="AJC222" s="1"/>
      <c r="AJD222" s="1"/>
      <c r="AJE222" s="1"/>
      <c r="AJF222" s="1"/>
      <c r="AJG222" s="1"/>
      <c r="AJH222" s="1"/>
      <c r="AJI222" s="1"/>
      <c r="AJJ222" s="1"/>
      <c r="AJK222" s="1"/>
      <c r="AJL222" s="1"/>
      <c r="AJM222" s="1"/>
      <c r="AJN222" s="1"/>
      <c r="AJO222" s="1"/>
      <c r="AJP222" s="1"/>
      <c r="AJQ222" s="1"/>
      <c r="AJR222" s="1"/>
      <c r="AJS222" s="1"/>
      <c r="AJT222" s="1"/>
      <c r="AJU222" s="1"/>
      <c r="AJV222" s="1"/>
      <c r="AJW222" s="1"/>
      <c r="AJX222" s="1"/>
      <c r="AJY222" s="1"/>
      <c r="AJZ222" s="1"/>
      <c r="AKA222" s="1"/>
      <c r="AKB222" s="1"/>
      <c r="AKC222" s="1"/>
      <c r="AKD222" s="1"/>
      <c r="AKE222" s="1"/>
      <c r="AKF222" s="1"/>
      <c r="AKG222" s="1"/>
      <c r="AKH222" s="1"/>
      <c r="AKI222" s="1"/>
      <c r="AKJ222" s="1"/>
      <c r="AKK222" s="1"/>
      <c r="AKL222" s="1"/>
      <c r="AKM222" s="1"/>
      <c r="AKN222" s="1"/>
      <c r="AKO222" s="1"/>
      <c r="AKP222" s="1"/>
      <c r="AKQ222" s="1"/>
      <c r="AKR222" s="1"/>
      <c r="AKS222" s="1"/>
      <c r="AKT222" s="1"/>
      <c r="AKU222" s="1"/>
      <c r="AKV222" s="1"/>
      <c r="AKW222" s="1"/>
      <c r="AKX222" s="1"/>
      <c r="AKY222" s="1"/>
      <c r="AKZ222" s="1"/>
      <c r="ALA222" s="1"/>
      <c r="ALB222" s="1"/>
      <c r="ALC222" s="1"/>
      <c r="ALD222" s="1"/>
      <c r="ALE222" s="1"/>
      <c r="ALF222" s="1"/>
      <c r="ALG222" s="1"/>
      <c r="ALH222" s="1"/>
      <c r="ALI222" s="1"/>
      <c r="ALJ222" s="1"/>
      <c r="ALK222" s="1"/>
      <c r="ALL222" s="1"/>
      <c r="ALM222" s="1"/>
      <c r="ALN222" s="1"/>
      <c r="ALO222" s="1"/>
      <c r="ALP222" s="1"/>
      <c r="ALQ222" s="1"/>
      <c r="ALR222" s="1"/>
      <c r="ALS222" s="1"/>
      <c r="ALT222" s="1"/>
      <c r="ALU222" s="1"/>
      <c r="ALV222" s="1"/>
      <c r="ALW222" s="1"/>
      <c r="ALX222" s="1"/>
      <c r="ALY222" s="1"/>
      <c r="ALZ222" s="1"/>
      <c r="AMA222" s="1"/>
      <c r="AMB222" s="1"/>
      <c r="AMC222" s="1"/>
      <c r="AMD222" s="1"/>
      <c r="AME222" s="1"/>
      <c r="AMF222" s="1"/>
      <c r="AMG222" s="1"/>
      <c r="AMH222" s="1"/>
      <c r="AMI222" s="1"/>
      <c r="AMJ222" s="1"/>
      <c r="AMK222" s="1"/>
      <c r="AML222" s="1"/>
      <c r="AMM222" s="1"/>
      <c r="AMN222" s="1"/>
      <c r="AMO222" s="1"/>
    </row>
    <row r="223" spans="1:1030" x14ac:dyDescent="0.2">
      <c r="A223" s="3" t="str">
        <f t="shared" si="755"/>
        <v>opsd_bovin_6FK9</v>
      </c>
      <c r="B223" s="3" t="s">
        <v>920</v>
      </c>
      <c r="C223" s="3" t="s">
        <v>1498</v>
      </c>
      <c r="D223" s="3" t="str">
        <f>IFERROR(MID(VLOOKUP($B223,Seqs!$A:$B,2,0),E223,1),"")</f>
        <v>E</v>
      </c>
      <c r="E223" s="3">
        <v>33</v>
      </c>
      <c r="F223" s="3" t="str">
        <f>IFERROR(MID(VLOOKUP($B223,Seqs!$A:$B,2,0),G223,1),"")</f>
        <v>Q</v>
      </c>
      <c r="G223" s="3">
        <v>64</v>
      </c>
      <c r="H223" s="3" t="str">
        <f>IFERROR(MID(VLOOKUP($B223,Seqs!$A:$B,2,0),I223,1),"")</f>
        <v>K</v>
      </c>
      <c r="I223" s="23">
        <v>66</v>
      </c>
      <c r="J223" s="3" t="str">
        <f>IFERROR(MID(VLOOKUP($B223,Seqs!$A:$B,2,0),K223,1),"")</f>
        <v>R</v>
      </c>
      <c r="K223" s="23">
        <v>69</v>
      </c>
      <c r="L223" s="3" t="str">
        <f>IFERROR(MID(VLOOKUP($B223,Seqs!$A:$B,2,0),M223,1),"")</f>
        <v>N</v>
      </c>
      <c r="M223" s="3">
        <v>73</v>
      </c>
      <c r="N223" s="3" t="str">
        <f>IFERROR(MID(VLOOKUP($B223,Seqs!$A:$B,2,0),O223,1),"")</f>
        <v>G</v>
      </c>
      <c r="O223" s="3">
        <v>101</v>
      </c>
      <c r="P223" s="3" t="str">
        <f>IFERROR(MID(VLOOKUP($B223,Seqs!$A:$B,2,0),Q223,1),"")</f>
        <v>Y</v>
      </c>
      <c r="Q223" s="3">
        <v>102</v>
      </c>
      <c r="R223" s="3" t="str">
        <f>IFERROR(MID(VLOOKUP($B223,Seqs!$A:$B,2,0),S223,1),"")</f>
        <v>G</v>
      </c>
      <c r="S223" s="3">
        <v>106</v>
      </c>
      <c r="T223" s="3" t="str">
        <f>IFERROR(MID(VLOOKUP($B223,Seqs!$A:$B,2,0),U223,1),"")</f>
        <v>P</v>
      </c>
      <c r="U223" s="3">
        <v>107</v>
      </c>
      <c r="V223" s="3" t="str">
        <f>IFERROR(MID(VLOOKUP($B223,Seqs!$A:$B,2,0),W223,1),"")</f>
        <v>K</v>
      </c>
      <c r="W223" s="3">
        <v>141</v>
      </c>
      <c r="X223" s="3" t="str">
        <f>IFERROR(MID(VLOOKUP($B223,Seqs!$A:$B,2,0),Y223,1),"")</f>
        <v/>
      </c>
      <c r="Y223" s="3" t="s">
        <v>23</v>
      </c>
      <c r="Z223" s="3" t="str">
        <f>IFERROR(MID(VLOOKUP($B223,Seqs!$A:$B,2,0),AA223,1),"")</f>
        <v/>
      </c>
      <c r="AA223" s="3" t="s">
        <v>23</v>
      </c>
      <c r="AB223" s="3" t="str">
        <f>IFERROR(MID(VLOOKUP($B223,Seqs!$A:$B,2,0),AC223,1),"")</f>
        <v>G</v>
      </c>
      <c r="AC223" s="3">
        <v>149</v>
      </c>
      <c r="AD223" s="3" t="str">
        <f>IFERROR(MID(VLOOKUP($B223,Seqs!$A:$B,2,0),AE223,1),"")</f>
        <v>V</v>
      </c>
      <c r="AE223" s="3">
        <v>173</v>
      </c>
      <c r="AF223" s="3" t="str">
        <f>IFERROR(MID(VLOOKUP($B223,Seqs!$A:$B,2,0),AG223,1),"")</f>
        <v>C</v>
      </c>
      <c r="AG223" s="3">
        <v>187</v>
      </c>
      <c r="AH223" s="3" t="str">
        <f>IFERROR(MID(VLOOKUP($B223,Seqs!$A:$B,2,0),AI223,1),"")</f>
        <v>I</v>
      </c>
      <c r="AI223" s="3">
        <v>189</v>
      </c>
      <c r="AJ223" s="3" t="str">
        <f>IFERROR(MID(VLOOKUP($B223,Seqs!$A:$B,2,0),AK223,1),"")</f>
        <v>N</v>
      </c>
      <c r="AK223" s="3">
        <v>199</v>
      </c>
      <c r="AL223" s="3" t="str">
        <f>IFERROR(MID(VLOOKUP($B223,Seqs!$A:$B,2,0),AM223,1),"")</f>
        <v>Q</v>
      </c>
      <c r="AM223" s="3">
        <v>236</v>
      </c>
      <c r="AN223" s="3" t="str">
        <f>IFERROR(MID(VLOOKUP($B223,Seqs!$A:$B,2,0),AO223,1),"")</f>
        <v>S</v>
      </c>
      <c r="AO223" s="3">
        <v>240</v>
      </c>
      <c r="AP223" s="3" t="str">
        <f>IFERROR(MID(VLOOKUP($B223,Seqs!$A:$B,2,0),AQ223,1),"")</f>
        <v>H</v>
      </c>
      <c r="AQ223" s="3">
        <v>278</v>
      </c>
      <c r="AR223" s="3" t="str">
        <f>IFERROR(MID(VLOOKUP($B223,Seqs!$A:$B,2,0),AS223,1),"")</f>
        <v>G</v>
      </c>
      <c r="AS223" s="3">
        <v>284</v>
      </c>
      <c r="AT223" s="3" t="str">
        <f>IFERROR(MID(VLOOKUP($B223,Seqs!$A:$B,2,0),AU223,1),"")</f>
        <v>M</v>
      </c>
      <c r="AU223" s="3">
        <v>309</v>
      </c>
      <c r="AV223" s="3" t="str">
        <f>IFERROR(MID(VLOOKUP($B223,Seqs!$A:$B,2,0),AW223,1),"")</f>
        <v>N</v>
      </c>
      <c r="AW223" s="3">
        <v>310</v>
      </c>
      <c r="AX223" s="3" t="str">
        <f>IFERROR(MID(VLOOKUP($B223,Seqs!$A:$B,2,0),AY223,1),"")</f>
        <v>C</v>
      </c>
      <c r="AY223" s="3">
        <v>322</v>
      </c>
      <c r="AZ223" s="77" t="str">
        <f>VLOOKUP(B223,Classification!A:D,2,0)</f>
        <v>A</v>
      </c>
      <c r="BA223" s="94" t="str">
        <f>VLOOKUP(B223,Classification!A:D,4,0)</f>
        <v>Opsins</v>
      </c>
      <c r="BB223" s="27" t="b">
        <f t="shared" si="756"/>
        <v>1</v>
      </c>
      <c r="BC223" s="23">
        <f t="shared" si="757"/>
        <v>250</v>
      </c>
      <c r="BD223" s="2" t="s">
        <v>23</v>
      </c>
      <c r="BE223" s="3" t="s">
        <v>1297</v>
      </c>
      <c r="BF223" s="119">
        <v>2.63</v>
      </c>
      <c r="BG223" s="49" t="s">
        <v>1</v>
      </c>
      <c r="BH223" s="49" t="s">
        <v>1</v>
      </c>
      <c r="BI223" s="1"/>
      <c r="BJ223" s="70" t="s">
        <v>1293</v>
      </c>
      <c r="BK223" s="57" t="s">
        <v>1293</v>
      </c>
      <c r="BL223" s="57" t="s">
        <v>1293</v>
      </c>
      <c r="BM223" s="57" t="s">
        <v>1293</v>
      </c>
      <c r="BN223" s="57" t="s">
        <v>1293</v>
      </c>
      <c r="BO223" s="57" t="s">
        <v>1293</v>
      </c>
      <c r="BP223" s="57" t="s">
        <v>1293</v>
      </c>
      <c r="BQ223" s="57" t="s">
        <v>1293</v>
      </c>
      <c r="BR223" s="57" t="s">
        <v>1293</v>
      </c>
      <c r="BS223" s="57" t="s">
        <v>1293</v>
      </c>
      <c r="BT223" s="57" t="s">
        <v>1293</v>
      </c>
      <c r="BU223" s="57" t="s">
        <v>1293</v>
      </c>
      <c r="BV223" s="70">
        <f t="shared" si="758"/>
        <v>33</v>
      </c>
      <c r="BW223" s="71">
        <f t="shared" si="759"/>
        <v>66</v>
      </c>
      <c r="BX223" s="72">
        <f t="shared" si="760"/>
        <v>73</v>
      </c>
      <c r="BY223" s="71">
        <f t="shared" si="761"/>
        <v>102</v>
      </c>
      <c r="BZ223" s="72">
        <f t="shared" si="762"/>
        <v>107</v>
      </c>
      <c r="CA223" s="71" t="str">
        <f t="shared" si="763"/>
        <v>-</v>
      </c>
      <c r="CB223" s="72">
        <f t="shared" si="764"/>
        <v>149</v>
      </c>
      <c r="CC223" s="71">
        <f t="shared" si="765"/>
        <v>187</v>
      </c>
      <c r="CD223" s="72">
        <f t="shared" si="766"/>
        <v>199</v>
      </c>
      <c r="CE223" s="71">
        <f t="shared" si="767"/>
        <v>240</v>
      </c>
      <c r="CF223" s="72">
        <f t="shared" si="768"/>
        <v>284</v>
      </c>
      <c r="CG223" s="71">
        <f t="shared" si="769"/>
        <v>310</v>
      </c>
      <c r="CH223" s="70">
        <f t="shared" si="770"/>
        <v>64</v>
      </c>
      <c r="CI223" s="71">
        <f t="shared" si="771"/>
        <v>69</v>
      </c>
      <c r="CJ223" s="72">
        <f t="shared" si="772"/>
        <v>101</v>
      </c>
      <c r="CK223" s="72">
        <f t="shared" si="773"/>
        <v>106</v>
      </c>
      <c r="CL223" s="72">
        <f t="shared" si="774"/>
        <v>141</v>
      </c>
      <c r="CM223" s="72" t="str">
        <f t="shared" si="775"/>
        <v>-</v>
      </c>
      <c r="CN223" s="72">
        <f t="shared" si="776"/>
        <v>173</v>
      </c>
      <c r="CO223" s="72">
        <f t="shared" si="777"/>
        <v>189</v>
      </c>
      <c r="CP223" s="72">
        <f t="shared" si="778"/>
        <v>236</v>
      </c>
      <c r="CQ223" s="72">
        <f t="shared" si="779"/>
        <v>278</v>
      </c>
      <c r="CR223" s="72">
        <f t="shared" si="780"/>
        <v>309</v>
      </c>
      <c r="CS223" s="72">
        <f t="shared" si="781"/>
        <v>322</v>
      </c>
      <c r="CT223" s="23">
        <f t="shared" si="782"/>
        <v>4</v>
      </c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  <c r="OK223" s="1"/>
      <c r="OL223" s="1"/>
      <c r="OM223" s="1"/>
      <c r="ON223" s="1"/>
      <c r="OO223" s="1"/>
      <c r="OP223" s="1"/>
      <c r="OQ223" s="1"/>
      <c r="OR223" s="1"/>
      <c r="OS223" s="1"/>
      <c r="OT223" s="1"/>
      <c r="OU223" s="1"/>
      <c r="OV223" s="1"/>
      <c r="OW223" s="1"/>
      <c r="OX223" s="1"/>
      <c r="OY223" s="1"/>
      <c r="OZ223" s="1"/>
      <c r="PA223" s="1"/>
      <c r="PB223" s="1"/>
      <c r="PC223" s="1"/>
      <c r="PD223" s="1"/>
      <c r="PE223" s="1"/>
      <c r="PF223" s="1"/>
      <c r="PG223" s="1"/>
      <c r="PH223" s="1"/>
      <c r="PI223" s="1"/>
      <c r="PJ223" s="1"/>
      <c r="PK223" s="1"/>
      <c r="PL223" s="1"/>
      <c r="PM223" s="1"/>
      <c r="PN223" s="1"/>
      <c r="PO223" s="1"/>
      <c r="PP223" s="1"/>
      <c r="PQ223" s="1"/>
      <c r="PR223" s="1"/>
      <c r="PS223" s="1"/>
      <c r="PT223" s="1"/>
      <c r="PU223" s="1"/>
      <c r="PV223" s="1"/>
      <c r="PW223" s="1"/>
      <c r="PX223" s="1"/>
      <c r="PY223" s="1"/>
      <c r="PZ223" s="1"/>
      <c r="QA223" s="1"/>
      <c r="QB223" s="1"/>
      <c r="QC223" s="1"/>
      <c r="QD223" s="1"/>
      <c r="QE223" s="1"/>
      <c r="QF223" s="1"/>
      <c r="QG223" s="1"/>
      <c r="QH223" s="1"/>
      <c r="QI223" s="1"/>
      <c r="QJ223" s="1"/>
      <c r="QK223" s="1"/>
      <c r="QL223" s="1"/>
      <c r="QM223" s="1"/>
      <c r="QN223" s="1"/>
      <c r="QO223" s="1"/>
      <c r="QP223" s="1"/>
      <c r="QQ223" s="1"/>
      <c r="QR223" s="1"/>
      <c r="QS223" s="1"/>
      <c r="QT223" s="1"/>
      <c r="QU223" s="1"/>
      <c r="QV223" s="1"/>
      <c r="QW223" s="1"/>
      <c r="QX223" s="1"/>
      <c r="QY223" s="1"/>
      <c r="QZ223" s="1"/>
      <c r="RA223" s="1"/>
      <c r="RB223" s="1"/>
      <c r="RC223" s="1"/>
      <c r="RD223" s="1"/>
      <c r="RE223" s="1"/>
      <c r="RF223" s="1"/>
      <c r="RG223" s="1"/>
      <c r="RH223" s="1"/>
      <c r="RI223" s="1"/>
      <c r="RJ223" s="1"/>
      <c r="RK223" s="1"/>
      <c r="RL223" s="1"/>
      <c r="RM223" s="1"/>
      <c r="RN223" s="1"/>
      <c r="RO223" s="1"/>
      <c r="RP223" s="1"/>
      <c r="RQ223" s="1"/>
      <c r="RR223" s="1"/>
      <c r="RS223" s="1"/>
      <c r="RT223" s="1"/>
      <c r="RU223" s="1"/>
      <c r="RV223" s="1"/>
      <c r="RW223" s="1"/>
      <c r="RX223" s="1"/>
      <c r="RY223" s="1"/>
      <c r="RZ223" s="1"/>
      <c r="SA223" s="1"/>
      <c r="SB223" s="1"/>
      <c r="SC223" s="1"/>
      <c r="SD223" s="1"/>
      <c r="SE223" s="1"/>
      <c r="SF223" s="1"/>
      <c r="SG223" s="1"/>
      <c r="SH223" s="1"/>
      <c r="SI223" s="1"/>
      <c r="SJ223" s="1"/>
      <c r="SK223" s="1"/>
      <c r="SL223" s="1"/>
      <c r="SM223" s="1"/>
      <c r="SN223" s="1"/>
      <c r="SO223" s="1"/>
      <c r="SP223" s="1"/>
      <c r="SQ223" s="1"/>
      <c r="SR223" s="1"/>
      <c r="SS223" s="1"/>
      <c r="ST223" s="1"/>
      <c r="SU223" s="1"/>
      <c r="SV223" s="1"/>
      <c r="SW223" s="1"/>
      <c r="SX223" s="1"/>
      <c r="SY223" s="1"/>
      <c r="SZ223" s="1"/>
      <c r="TA223" s="1"/>
      <c r="TB223" s="1"/>
      <c r="TC223" s="1"/>
      <c r="TD223" s="1"/>
      <c r="TE223" s="1"/>
      <c r="TF223" s="1"/>
      <c r="TG223" s="1"/>
      <c r="TH223" s="1"/>
      <c r="TI223" s="1"/>
      <c r="TJ223" s="1"/>
      <c r="TK223" s="1"/>
      <c r="TL223" s="1"/>
      <c r="TM223" s="1"/>
      <c r="TN223" s="1"/>
      <c r="TO223" s="1"/>
      <c r="TP223" s="1"/>
      <c r="TQ223" s="1"/>
      <c r="TR223" s="1"/>
      <c r="TS223" s="1"/>
      <c r="TT223" s="1"/>
      <c r="TU223" s="1"/>
      <c r="TV223" s="1"/>
      <c r="TW223" s="1"/>
      <c r="TX223" s="1"/>
      <c r="TY223" s="1"/>
      <c r="TZ223" s="1"/>
      <c r="UA223" s="1"/>
      <c r="UB223" s="1"/>
      <c r="UC223" s="1"/>
      <c r="UD223" s="1"/>
      <c r="UE223" s="1"/>
      <c r="UF223" s="1"/>
      <c r="UG223" s="1"/>
      <c r="UH223" s="1"/>
      <c r="UI223" s="1"/>
      <c r="UJ223" s="1"/>
      <c r="UK223" s="1"/>
      <c r="UL223" s="1"/>
      <c r="UM223" s="1"/>
      <c r="UN223" s="1"/>
      <c r="UO223" s="1"/>
      <c r="UP223" s="1"/>
      <c r="UQ223" s="1"/>
      <c r="UR223" s="1"/>
      <c r="US223" s="1"/>
      <c r="UT223" s="1"/>
      <c r="UU223" s="1"/>
      <c r="UV223" s="1"/>
      <c r="UW223" s="1"/>
      <c r="UX223" s="1"/>
      <c r="UY223" s="1"/>
      <c r="UZ223" s="1"/>
      <c r="VA223" s="1"/>
      <c r="VB223" s="1"/>
      <c r="VC223" s="1"/>
      <c r="VD223" s="1"/>
      <c r="VE223" s="1"/>
      <c r="VF223" s="1"/>
      <c r="VG223" s="1"/>
      <c r="VH223" s="1"/>
      <c r="VI223" s="1"/>
      <c r="VJ223" s="1"/>
      <c r="VK223" s="1"/>
      <c r="VL223" s="1"/>
      <c r="VM223" s="1"/>
      <c r="VN223" s="1"/>
      <c r="VO223" s="1"/>
      <c r="VP223" s="1"/>
      <c r="VQ223" s="1"/>
      <c r="VR223" s="1"/>
      <c r="VS223" s="1"/>
      <c r="VT223" s="1"/>
      <c r="VU223" s="1"/>
      <c r="VV223" s="1"/>
      <c r="VW223" s="1"/>
      <c r="VX223" s="1"/>
      <c r="VY223" s="1"/>
      <c r="VZ223" s="1"/>
      <c r="WA223" s="1"/>
      <c r="WB223" s="1"/>
      <c r="WC223" s="1"/>
      <c r="WD223" s="1"/>
      <c r="WE223" s="1"/>
      <c r="WF223" s="1"/>
      <c r="WG223" s="1"/>
      <c r="WH223" s="1"/>
      <c r="WI223" s="1"/>
      <c r="WJ223" s="1"/>
      <c r="WK223" s="1"/>
      <c r="WL223" s="1"/>
      <c r="WM223" s="1"/>
      <c r="WN223" s="1"/>
      <c r="WO223" s="1"/>
      <c r="WP223" s="1"/>
      <c r="WQ223" s="1"/>
      <c r="WR223" s="1"/>
      <c r="WS223" s="1"/>
      <c r="WT223" s="1"/>
      <c r="WU223" s="1"/>
      <c r="WV223" s="1"/>
      <c r="WW223" s="1"/>
      <c r="WX223" s="1"/>
      <c r="WY223" s="1"/>
      <c r="WZ223" s="1"/>
      <c r="XA223" s="1"/>
      <c r="XB223" s="1"/>
      <c r="XC223" s="1"/>
      <c r="XD223" s="1"/>
      <c r="XE223" s="1"/>
      <c r="XF223" s="1"/>
      <c r="XG223" s="1"/>
      <c r="XH223" s="1"/>
      <c r="XI223" s="1"/>
      <c r="XJ223" s="1"/>
      <c r="XK223" s="1"/>
      <c r="XL223" s="1"/>
      <c r="XM223" s="1"/>
      <c r="XN223" s="1"/>
      <c r="XO223" s="1"/>
      <c r="XP223" s="1"/>
      <c r="XQ223" s="1"/>
      <c r="XR223" s="1"/>
      <c r="XS223" s="1"/>
      <c r="XT223" s="1"/>
      <c r="XU223" s="1"/>
      <c r="XV223" s="1"/>
      <c r="XW223" s="1"/>
      <c r="XX223" s="1"/>
      <c r="XY223" s="1"/>
      <c r="XZ223" s="1"/>
      <c r="YA223" s="1"/>
      <c r="YB223" s="1"/>
      <c r="YC223" s="1"/>
      <c r="YD223" s="1"/>
      <c r="YE223" s="1"/>
      <c r="YF223" s="1"/>
      <c r="YG223" s="1"/>
      <c r="YH223" s="1"/>
      <c r="YI223" s="1"/>
      <c r="YJ223" s="1"/>
      <c r="YK223" s="1"/>
      <c r="YL223" s="1"/>
      <c r="YM223" s="1"/>
      <c r="YN223" s="1"/>
      <c r="YO223" s="1"/>
      <c r="YP223" s="1"/>
      <c r="YQ223" s="1"/>
      <c r="YR223" s="1"/>
      <c r="YS223" s="1"/>
      <c r="YT223" s="1"/>
      <c r="YU223" s="1"/>
      <c r="YV223" s="1"/>
      <c r="YW223" s="1"/>
      <c r="YX223" s="1"/>
      <c r="YY223" s="1"/>
      <c r="YZ223" s="1"/>
      <c r="ZA223" s="1"/>
      <c r="ZB223" s="1"/>
      <c r="ZC223" s="1"/>
      <c r="ZD223" s="1"/>
      <c r="ZE223" s="1"/>
      <c r="ZF223" s="1"/>
      <c r="ZG223" s="1"/>
      <c r="ZH223" s="1"/>
      <c r="ZI223" s="1"/>
      <c r="ZJ223" s="1"/>
      <c r="ZK223" s="1"/>
      <c r="ZL223" s="1"/>
      <c r="ZM223" s="1"/>
      <c r="ZN223" s="1"/>
      <c r="ZO223" s="1"/>
      <c r="ZP223" s="1"/>
      <c r="ZQ223" s="1"/>
      <c r="ZR223" s="1"/>
      <c r="ZS223" s="1"/>
      <c r="ZT223" s="1"/>
      <c r="ZU223" s="1"/>
      <c r="ZV223" s="1"/>
      <c r="ZW223" s="1"/>
      <c r="ZX223" s="1"/>
      <c r="ZY223" s="1"/>
      <c r="ZZ223" s="1"/>
      <c r="AAA223" s="1"/>
      <c r="AAB223" s="1"/>
      <c r="AAC223" s="1"/>
      <c r="AAD223" s="1"/>
      <c r="AAE223" s="1"/>
      <c r="AAF223" s="1"/>
      <c r="AAG223" s="1"/>
      <c r="AAH223" s="1"/>
      <c r="AAI223" s="1"/>
      <c r="AAJ223" s="1"/>
      <c r="AAK223" s="1"/>
      <c r="AAL223" s="1"/>
      <c r="AAM223" s="1"/>
      <c r="AAN223" s="1"/>
      <c r="AAO223" s="1"/>
      <c r="AAP223" s="1"/>
      <c r="AAQ223" s="1"/>
      <c r="AAR223" s="1"/>
      <c r="AAS223" s="1"/>
      <c r="AAT223" s="1"/>
      <c r="AAU223" s="1"/>
      <c r="AAV223" s="1"/>
      <c r="AAW223" s="1"/>
      <c r="AAX223" s="1"/>
      <c r="AAY223" s="1"/>
      <c r="AAZ223" s="1"/>
      <c r="ABA223" s="1"/>
      <c r="ABB223" s="1"/>
      <c r="ABC223" s="1"/>
      <c r="ABD223" s="1"/>
      <c r="ABE223" s="1"/>
      <c r="ABF223" s="1"/>
      <c r="ABG223" s="1"/>
      <c r="ABH223" s="1"/>
      <c r="ABI223" s="1"/>
      <c r="ABJ223" s="1"/>
      <c r="ABK223" s="1"/>
      <c r="ABL223" s="1"/>
      <c r="ABM223" s="1"/>
      <c r="ABN223" s="1"/>
      <c r="ABO223" s="1"/>
      <c r="ABP223" s="1"/>
      <c r="ABQ223" s="1"/>
      <c r="ABR223" s="1"/>
      <c r="ABS223" s="1"/>
      <c r="ABT223" s="1"/>
      <c r="ABU223" s="1"/>
      <c r="ABV223" s="1"/>
      <c r="ABW223" s="1"/>
      <c r="ABX223" s="1"/>
      <c r="ABY223" s="1"/>
      <c r="ABZ223" s="1"/>
      <c r="ACA223" s="1"/>
      <c r="ACB223" s="1"/>
      <c r="ACC223" s="1"/>
      <c r="ACD223" s="1"/>
      <c r="ACE223" s="1"/>
      <c r="ACF223" s="1"/>
      <c r="ACG223" s="1"/>
      <c r="ACH223" s="1"/>
      <c r="ACI223" s="1"/>
      <c r="ACJ223" s="1"/>
      <c r="ACK223" s="1"/>
      <c r="ACL223" s="1"/>
      <c r="ACM223" s="1"/>
      <c r="ACN223" s="1"/>
      <c r="ACO223" s="1"/>
      <c r="ACP223" s="1"/>
      <c r="ACQ223" s="1"/>
      <c r="ACR223" s="1"/>
      <c r="ACS223" s="1"/>
      <c r="ACT223" s="1"/>
      <c r="ACU223" s="1"/>
      <c r="ACV223" s="1"/>
      <c r="ACW223" s="1"/>
      <c r="ACX223" s="1"/>
      <c r="ACY223" s="1"/>
      <c r="ACZ223" s="1"/>
      <c r="ADA223" s="1"/>
      <c r="ADB223" s="1"/>
      <c r="ADC223" s="1"/>
      <c r="ADD223" s="1"/>
      <c r="ADE223" s="1"/>
      <c r="ADF223" s="1"/>
      <c r="ADG223" s="1"/>
      <c r="ADH223" s="1"/>
      <c r="ADI223" s="1"/>
      <c r="ADJ223" s="1"/>
      <c r="ADK223" s="1"/>
      <c r="ADL223" s="1"/>
      <c r="ADM223" s="1"/>
      <c r="ADN223" s="1"/>
      <c r="ADO223" s="1"/>
      <c r="ADP223" s="1"/>
      <c r="ADQ223" s="1"/>
      <c r="ADR223" s="1"/>
      <c r="ADS223" s="1"/>
      <c r="ADT223" s="1"/>
      <c r="ADU223" s="1"/>
      <c r="ADV223" s="1"/>
      <c r="ADW223" s="1"/>
      <c r="ADX223" s="1"/>
      <c r="ADY223" s="1"/>
      <c r="ADZ223" s="1"/>
      <c r="AEA223" s="1"/>
      <c r="AEB223" s="1"/>
      <c r="AEC223" s="1"/>
      <c r="AED223" s="1"/>
      <c r="AEE223" s="1"/>
      <c r="AEF223" s="1"/>
      <c r="AEG223" s="1"/>
      <c r="AEH223" s="1"/>
      <c r="AEI223" s="1"/>
      <c r="AEJ223" s="1"/>
      <c r="AEK223" s="1"/>
      <c r="AEL223" s="1"/>
      <c r="AEM223" s="1"/>
      <c r="AEN223" s="1"/>
      <c r="AEO223" s="1"/>
      <c r="AEP223" s="1"/>
      <c r="AEQ223" s="1"/>
      <c r="AER223" s="1"/>
      <c r="AES223" s="1"/>
      <c r="AET223" s="1"/>
      <c r="AEU223" s="1"/>
      <c r="AEV223" s="1"/>
      <c r="AEW223" s="1"/>
      <c r="AEX223" s="1"/>
      <c r="AEY223" s="1"/>
      <c r="AEZ223" s="1"/>
      <c r="AFA223" s="1"/>
      <c r="AFB223" s="1"/>
      <c r="AFC223" s="1"/>
      <c r="AFD223" s="1"/>
      <c r="AFE223" s="1"/>
      <c r="AFF223" s="1"/>
      <c r="AFG223" s="1"/>
      <c r="AFH223" s="1"/>
      <c r="AFI223" s="1"/>
      <c r="AFJ223" s="1"/>
      <c r="AFK223" s="1"/>
      <c r="AFL223" s="1"/>
      <c r="AFM223" s="1"/>
      <c r="AFN223" s="1"/>
      <c r="AFO223" s="1"/>
      <c r="AFP223" s="1"/>
      <c r="AFQ223" s="1"/>
      <c r="AFR223" s="1"/>
      <c r="AFS223" s="1"/>
      <c r="AFT223" s="1"/>
      <c r="AFU223" s="1"/>
      <c r="AFV223" s="1"/>
      <c r="AFW223" s="1"/>
      <c r="AFX223" s="1"/>
      <c r="AFY223" s="1"/>
      <c r="AFZ223" s="1"/>
      <c r="AGA223" s="1"/>
      <c r="AGB223" s="1"/>
      <c r="AGC223" s="1"/>
      <c r="AGD223" s="1"/>
      <c r="AGE223" s="1"/>
      <c r="AGF223" s="1"/>
      <c r="AGG223" s="1"/>
      <c r="AGH223" s="1"/>
      <c r="AGI223" s="1"/>
      <c r="AGJ223" s="1"/>
      <c r="AGK223" s="1"/>
      <c r="AGL223" s="1"/>
      <c r="AGM223" s="1"/>
      <c r="AGN223" s="1"/>
      <c r="AGO223" s="1"/>
      <c r="AGP223" s="1"/>
      <c r="AGQ223" s="1"/>
      <c r="AGR223" s="1"/>
      <c r="AGS223" s="1"/>
      <c r="AGT223" s="1"/>
      <c r="AGU223" s="1"/>
      <c r="AGV223" s="1"/>
      <c r="AGW223" s="1"/>
      <c r="AGX223" s="1"/>
      <c r="AGY223" s="1"/>
      <c r="AGZ223" s="1"/>
      <c r="AHA223" s="1"/>
      <c r="AHB223" s="1"/>
      <c r="AHC223" s="1"/>
      <c r="AHD223" s="1"/>
      <c r="AHE223" s="1"/>
      <c r="AHF223" s="1"/>
      <c r="AHG223" s="1"/>
      <c r="AHH223" s="1"/>
      <c r="AHI223" s="1"/>
      <c r="AHJ223" s="1"/>
      <c r="AHK223" s="1"/>
      <c r="AHL223" s="1"/>
      <c r="AHM223" s="1"/>
      <c r="AHN223" s="1"/>
      <c r="AHO223" s="1"/>
      <c r="AHP223" s="1"/>
      <c r="AHQ223" s="1"/>
      <c r="AHR223" s="1"/>
      <c r="AHS223" s="1"/>
      <c r="AHT223" s="1"/>
      <c r="AHU223" s="1"/>
      <c r="AHV223" s="1"/>
      <c r="AHW223" s="1"/>
      <c r="AHX223" s="1"/>
      <c r="AHY223" s="1"/>
      <c r="AHZ223" s="1"/>
      <c r="AIA223" s="1"/>
      <c r="AIB223" s="1"/>
      <c r="AIC223" s="1"/>
      <c r="AID223" s="1"/>
      <c r="AIE223" s="1"/>
      <c r="AIF223" s="1"/>
      <c r="AIG223" s="1"/>
      <c r="AIH223" s="1"/>
      <c r="AII223" s="1"/>
      <c r="AIJ223" s="1"/>
      <c r="AIK223" s="1"/>
      <c r="AIL223" s="1"/>
      <c r="AIM223" s="1"/>
      <c r="AIN223" s="1"/>
      <c r="AIO223" s="1"/>
      <c r="AIP223" s="1"/>
      <c r="AIQ223" s="1"/>
      <c r="AIR223" s="1"/>
      <c r="AIS223" s="1"/>
      <c r="AIT223" s="1"/>
      <c r="AIU223" s="1"/>
      <c r="AIV223" s="1"/>
      <c r="AIW223" s="1"/>
      <c r="AIX223" s="1"/>
      <c r="AIY223" s="1"/>
      <c r="AIZ223" s="1"/>
      <c r="AJA223" s="1"/>
      <c r="AJB223" s="1"/>
      <c r="AJC223" s="1"/>
      <c r="AJD223" s="1"/>
      <c r="AJE223" s="1"/>
      <c r="AJF223" s="1"/>
      <c r="AJG223" s="1"/>
      <c r="AJH223" s="1"/>
      <c r="AJI223" s="1"/>
      <c r="AJJ223" s="1"/>
      <c r="AJK223" s="1"/>
      <c r="AJL223" s="1"/>
      <c r="AJM223" s="1"/>
      <c r="AJN223" s="1"/>
      <c r="AJO223" s="1"/>
      <c r="AJP223" s="1"/>
      <c r="AJQ223" s="1"/>
      <c r="AJR223" s="1"/>
      <c r="AJS223" s="1"/>
      <c r="AJT223" s="1"/>
      <c r="AJU223" s="1"/>
      <c r="AJV223" s="1"/>
      <c r="AJW223" s="1"/>
      <c r="AJX223" s="1"/>
      <c r="AJY223" s="1"/>
      <c r="AJZ223" s="1"/>
      <c r="AKA223" s="1"/>
      <c r="AKB223" s="1"/>
      <c r="AKC223" s="1"/>
      <c r="AKD223" s="1"/>
      <c r="AKE223" s="1"/>
      <c r="AKF223" s="1"/>
      <c r="AKG223" s="1"/>
      <c r="AKH223" s="1"/>
      <c r="AKI223" s="1"/>
      <c r="AKJ223" s="1"/>
      <c r="AKK223" s="1"/>
      <c r="AKL223" s="1"/>
      <c r="AKM223" s="1"/>
      <c r="AKN223" s="1"/>
      <c r="AKO223" s="1"/>
      <c r="AKP223" s="1"/>
      <c r="AKQ223" s="1"/>
      <c r="AKR223" s="1"/>
      <c r="AKS223" s="1"/>
      <c r="AKT223" s="1"/>
      <c r="AKU223" s="1"/>
      <c r="AKV223" s="1"/>
      <c r="AKW223" s="1"/>
      <c r="AKX223" s="1"/>
      <c r="AKY223" s="1"/>
      <c r="AKZ223" s="1"/>
      <c r="ALA223" s="1"/>
      <c r="ALB223" s="1"/>
      <c r="ALC223" s="1"/>
      <c r="ALD223" s="1"/>
      <c r="ALE223" s="1"/>
      <c r="ALF223" s="1"/>
      <c r="ALG223" s="1"/>
      <c r="ALH223" s="1"/>
      <c r="ALI223" s="1"/>
      <c r="ALJ223" s="1"/>
      <c r="ALK223" s="1"/>
      <c r="ALL223" s="1"/>
      <c r="ALM223" s="1"/>
      <c r="ALN223" s="1"/>
      <c r="ALO223" s="1"/>
      <c r="ALP223" s="1"/>
      <c r="ALQ223" s="1"/>
      <c r="ALR223" s="1"/>
      <c r="ALS223" s="1"/>
      <c r="ALT223" s="1"/>
      <c r="ALU223" s="1"/>
      <c r="ALV223" s="1"/>
      <c r="ALW223" s="1"/>
      <c r="ALX223" s="1"/>
      <c r="ALY223" s="1"/>
      <c r="ALZ223" s="1"/>
      <c r="AMA223" s="1"/>
      <c r="AMB223" s="1"/>
      <c r="AMC223" s="1"/>
      <c r="AMD223" s="1"/>
      <c r="AME223" s="1"/>
      <c r="AMF223" s="1"/>
      <c r="AMG223" s="1"/>
      <c r="AMH223" s="1"/>
      <c r="AMI223" s="1"/>
      <c r="AMJ223" s="1"/>
      <c r="AMK223" s="1"/>
      <c r="AML223" s="1"/>
      <c r="AMM223" s="1"/>
      <c r="AMN223" s="1"/>
      <c r="AMO223" s="1"/>
    </row>
    <row r="224" spans="1:1030" x14ac:dyDescent="0.2">
      <c r="A224" s="3" t="str">
        <f t="shared" si="755"/>
        <v>opsd_bovin_6FKA</v>
      </c>
      <c r="B224" s="3" t="s">
        <v>920</v>
      </c>
      <c r="C224" s="3" t="s">
        <v>1499</v>
      </c>
      <c r="D224" s="3" t="str">
        <f>IFERROR(MID(VLOOKUP($B224,Seqs!$A:$B,2,0),E224,1),"")</f>
        <v>E</v>
      </c>
      <c r="E224" s="3">
        <v>33</v>
      </c>
      <c r="F224" s="3" t="str">
        <f>IFERROR(MID(VLOOKUP($B224,Seqs!$A:$B,2,0),G224,1),"")</f>
        <v>Q</v>
      </c>
      <c r="G224" s="3">
        <v>64</v>
      </c>
      <c r="H224" s="3" t="str">
        <f>IFERROR(MID(VLOOKUP($B224,Seqs!$A:$B,2,0),I224,1),"")</f>
        <v>K</v>
      </c>
      <c r="I224" s="23">
        <v>66</v>
      </c>
      <c r="J224" s="3" t="str">
        <f>IFERROR(MID(VLOOKUP($B224,Seqs!$A:$B,2,0),K224,1),"")</f>
        <v>R</v>
      </c>
      <c r="K224" s="23">
        <v>69</v>
      </c>
      <c r="L224" s="3" t="str">
        <f>IFERROR(MID(VLOOKUP($B224,Seqs!$A:$B,2,0),M224,1),"")</f>
        <v>N</v>
      </c>
      <c r="M224" s="3">
        <v>73</v>
      </c>
      <c r="N224" s="3" t="str">
        <f>IFERROR(MID(VLOOKUP($B224,Seqs!$A:$B,2,0),O224,1),"")</f>
        <v>G</v>
      </c>
      <c r="O224" s="3">
        <v>101</v>
      </c>
      <c r="P224" s="3" t="str">
        <f>IFERROR(MID(VLOOKUP($B224,Seqs!$A:$B,2,0),Q224,1),"")</f>
        <v>Y</v>
      </c>
      <c r="Q224" s="3">
        <v>102</v>
      </c>
      <c r="R224" s="3" t="str">
        <f>IFERROR(MID(VLOOKUP($B224,Seqs!$A:$B,2,0),S224,1),"")</f>
        <v>G</v>
      </c>
      <c r="S224" s="3">
        <v>106</v>
      </c>
      <c r="T224" s="3" t="str">
        <f>IFERROR(MID(VLOOKUP($B224,Seqs!$A:$B,2,0),U224,1),"")</f>
        <v>P</v>
      </c>
      <c r="U224" s="3">
        <v>107</v>
      </c>
      <c r="V224" s="3" t="str">
        <f>IFERROR(MID(VLOOKUP($B224,Seqs!$A:$B,2,0),W224,1),"")</f>
        <v>K</v>
      </c>
      <c r="W224" s="3">
        <v>141</v>
      </c>
      <c r="X224" s="3" t="str">
        <f>IFERROR(MID(VLOOKUP($B224,Seqs!$A:$B,2,0),Y224,1),"")</f>
        <v/>
      </c>
      <c r="Y224" s="3" t="s">
        <v>23</v>
      </c>
      <c r="Z224" s="3" t="str">
        <f>IFERROR(MID(VLOOKUP($B224,Seqs!$A:$B,2,0),AA224,1),"")</f>
        <v/>
      </c>
      <c r="AA224" s="3" t="s">
        <v>23</v>
      </c>
      <c r="AB224" s="3" t="str">
        <f>IFERROR(MID(VLOOKUP($B224,Seqs!$A:$B,2,0),AC224,1),"")</f>
        <v>G</v>
      </c>
      <c r="AC224" s="3">
        <v>149</v>
      </c>
      <c r="AD224" s="3" t="str">
        <f>IFERROR(MID(VLOOKUP($B224,Seqs!$A:$B,2,0),AE224,1),"")</f>
        <v>V</v>
      </c>
      <c r="AE224" s="3">
        <v>173</v>
      </c>
      <c r="AF224" s="3" t="str">
        <f>IFERROR(MID(VLOOKUP($B224,Seqs!$A:$B,2,0),AG224,1),"")</f>
        <v>C</v>
      </c>
      <c r="AG224" s="3">
        <v>187</v>
      </c>
      <c r="AH224" s="3" t="str">
        <f>IFERROR(MID(VLOOKUP($B224,Seqs!$A:$B,2,0),AI224,1),"")</f>
        <v>I</v>
      </c>
      <c r="AI224" s="3">
        <v>189</v>
      </c>
      <c r="AJ224" s="3" t="str">
        <f>IFERROR(MID(VLOOKUP($B224,Seqs!$A:$B,2,0),AK224,1),"")</f>
        <v>N</v>
      </c>
      <c r="AK224" s="3">
        <v>199</v>
      </c>
      <c r="AL224" s="3" t="str">
        <f>IFERROR(MID(VLOOKUP($B224,Seqs!$A:$B,2,0),AM224,1),"")</f>
        <v>Q</v>
      </c>
      <c r="AM224" s="3">
        <v>236</v>
      </c>
      <c r="AN224" s="3" t="str">
        <f>IFERROR(MID(VLOOKUP($B224,Seqs!$A:$B,2,0),AO224,1),"")</f>
        <v>S</v>
      </c>
      <c r="AO224" s="3">
        <v>240</v>
      </c>
      <c r="AP224" s="3" t="str">
        <f>IFERROR(MID(VLOOKUP($B224,Seqs!$A:$B,2,0),AQ224,1),"")</f>
        <v>H</v>
      </c>
      <c r="AQ224" s="3">
        <v>278</v>
      </c>
      <c r="AR224" s="3" t="str">
        <f>IFERROR(MID(VLOOKUP($B224,Seqs!$A:$B,2,0),AS224,1),"")</f>
        <v>G</v>
      </c>
      <c r="AS224" s="3">
        <v>284</v>
      </c>
      <c r="AT224" s="3" t="str">
        <f>IFERROR(MID(VLOOKUP($B224,Seqs!$A:$B,2,0),AU224,1),"")</f>
        <v>M</v>
      </c>
      <c r="AU224" s="3">
        <v>309</v>
      </c>
      <c r="AV224" s="3" t="str">
        <f>IFERROR(MID(VLOOKUP($B224,Seqs!$A:$B,2,0),AW224,1),"")</f>
        <v>N</v>
      </c>
      <c r="AW224" s="3">
        <v>310</v>
      </c>
      <c r="AX224" s="3" t="str">
        <f>IFERROR(MID(VLOOKUP($B224,Seqs!$A:$B,2,0),AY224,1),"")</f>
        <v>C</v>
      </c>
      <c r="AY224" s="3">
        <v>322</v>
      </c>
      <c r="AZ224" s="77" t="str">
        <f>VLOOKUP(B224,Classification!A:D,2,0)</f>
        <v>A</v>
      </c>
      <c r="BA224" s="94" t="str">
        <f>VLOOKUP(B224,Classification!A:D,4,0)</f>
        <v>Opsins</v>
      </c>
      <c r="BB224" s="27" t="b">
        <f t="shared" si="756"/>
        <v>1</v>
      </c>
      <c r="BC224" s="23">
        <f t="shared" si="757"/>
        <v>250</v>
      </c>
      <c r="BD224" s="2" t="s">
        <v>23</v>
      </c>
      <c r="BE224" s="3" t="s">
        <v>1297</v>
      </c>
      <c r="BF224" s="119">
        <v>2.7</v>
      </c>
      <c r="BG224" s="49" t="s">
        <v>1</v>
      </c>
      <c r="BH224" s="49" t="s">
        <v>1</v>
      </c>
      <c r="BI224" s="1"/>
      <c r="BJ224" s="70" t="s">
        <v>1293</v>
      </c>
      <c r="BK224" s="57" t="s">
        <v>1293</v>
      </c>
      <c r="BL224" s="57" t="s">
        <v>1293</v>
      </c>
      <c r="BM224" s="57" t="s">
        <v>1293</v>
      </c>
      <c r="BN224" s="57" t="s">
        <v>1293</v>
      </c>
      <c r="BO224" s="57" t="s">
        <v>1293</v>
      </c>
      <c r="BP224" s="57" t="s">
        <v>1293</v>
      </c>
      <c r="BQ224" s="57" t="s">
        <v>1293</v>
      </c>
      <c r="BR224" s="57" t="s">
        <v>1293</v>
      </c>
      <c r="BS224" s="57" t="s">
        <v>1293</v>
      </c>
      <c r="BT224" s="57" t="s">
        <v>1293</v>
      </c>
      <c r="BU224" s="57" t="s">
        <v>1293</v>
      </c>
      <c r="BV224" s="70">
        <f t="shared" si="758"/>
        <v>33</v>
      </c>
      <c r="BW224" s="71">
        <f t="shared" si="759"/>
        <v>66</v>
      </c>
      <c r="BX224" s="72">
        <f t="shared" si="760"/>
        <v>73</v>
      </c>
      <c r="BY224" s="71">
        <f t="shared" si="761"/>
        <v>102</v>
      </c>
      <c r="BZ224" s="72">
        <f t="shared" si="762"/>
        <v>107</v>
      </c>
      <c r="CA224" s="71" t="str">
        <f t="shared" si="763"/>
        <v>-</v>
      </c>
      <c r="CB224" s="72">
        <f t="shared" si="764"/>
        <v>149</v>
      </c>
      <c r="CC224" s="71">
        <f t="shared" si="765"/>
        <v>187</v>
      </c>
      <c r="CD224" s="72">
        <f t="shared" si="766"/>
        <v>199</v>
      </c>
      <c r="CE224" s="71">
        <f t="shared" si="767"/>
        <v>240</v>
      </c>
      <c r="CF224" s="72">
        <f t="shared" si="768"/>
        <v>284</v>
      </c>
      <c r="CG224" s="71">
        <f t="shared" si="769"/>
        <v>310</v>
      </c>
      <c r="CH224" s="70">
        <f t="shared" si="770"/>
        <v>64</v>
      </c>
      <c r="CI224" s="71">
        <f t="shared" si="771"/>
        <v>69</v>
      </c>
      <c r="CJ224" s="72">
        <f t="shared" si="772"/>
        <v>101</v>
      </c>
      <c r="CK224" s="72">
        <f t="shared" si="773"/>
        <v>106</v>
      </c>
      <c r="CL224" s="72">
        <f t="shared" si="774"/>
        <v>141</v>
      </c>
      <c r="CM224" s="72" t="str">
        <f t="shared" si="775"/>
        <v>-</v>
      </c>
      <c r="CN224" s="72">
        <f t="shared" si="776"/>
        <v>173</v>
      </c>
      <c r="CO224" s="72">
        <f t="shared" si="777"/>
        <v>189</v>
      </c>
      <c r="CP224" s="72">
        <f t="shared" si="778"/>
        <v>236</v>
      </c>
      <c r="CQ224" s="72">
        <f t="shared" si="779"/>
        <v>278</v>
      </c>
      <c r="CR224" s="72">
        <f t="shared" si="780"/>
        <v>309</v>
      </c>
      <c r="CS224" s="72">
        <f t="shared" si="781"/>
        <v>322</v>
      </c>
      <c r="CT224" s="23">
        <f t="shared" si="782"/>
        <v>4</v>
      </c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  <c r="OK224" s="1"/>
      <c r="OL224" s="1"/>
      <c r="OM224" s="1"/>
      <c r="ON224" s="1"/>
      <c r="OO224" s="1"/>
      <c r="OP224" s="1"/>
      <c r="OQ224" s="1"/>
      <c r="OR224" s="1"/>
      <c r="OS224" s="1"/>
      <c r="OT224" s="1"/>
      <c r="OU224" s="1"/>
      <c r="OV224" s="1"/>
      <c r="OW224" s="1"/>
      <c r="OX224" s="1"/>
      <c r="OY224" s="1"/>
      <c r="OZ224" s="1"/>
      <c r="PA224" s="1"/>
      <c r="PB224" s="1"/>
      <c r="PC224" s="1"/>
      <c r="PD224" s="1"/>
      <c r="PE224" s="1"/>
      <c r="PF224" s="1"/>
      <c r="PG224" s="1"/>
      <c r="PH224" s="1"/>
      <c r="PI224" s="1"/>
      <c r="PJ224" s="1"/>
      <c r="PK224" s="1"/>
      <c r="PL224" s="1"/>
      <c r="PM224" s="1"/>
      <c r="PN224" s="1"/>
      <c r="PO224" s="1"/>
      <c r="PP224" s="1"/>
      <c r="PQ224" s="1"/>
      <c r="PR224" s="1"/>
      <c r="PS224" s="1"/>
      <c r="PT224" s="1"/>
      <c r="PU224" s="1"/>
      <c r="PV224" s="1"/>
      <c r="PW224" s="1"/>
      <c r="PX224" s="1"/>
      <c r="PY224" s="1"/>
      <c r="PZ224" s="1"/>
      <c r="QA224" s="1"/>
      <c r="QB224" s="1"/>
      <c r="QC224" s="1"/>
      <c r="QD224" s="1"/>
      <c r="QE224" s="1"/>
      <c r="QF224" s="1"/>
      <c r="QG224" s="1"/>
      <c r="QH224" s="1"/>
      <c r="QI224" s="1"/>
      <c r="QJ224" s="1"/>
      <c r="QK224" s="1"/>
      <c r="QL224" s="1"/>
      <c r="QM224" s="1"/>
      <c r="QN224" s="1"/>
      <c r="QO224" s="1"/>
      <c r="QP224" s="1"/>
      <c r="QQ224" s="1"/>
      <c r="QR224" s="1"/>
      <c r="QS224" s="1"/>
      <c r="QT224" s="1"/>
      <c r="QU224" s="1"/>
      <c r="QV224" s="1"/>
      <c r="QW224" s="1"/>
      <c r="QX224" s="1"/>
      <c r="QY224" s="1"/>
      <c r="QZ224" s="1"/>
      <c r="RA224" s="1"/>
      <c r="RB224" s="1"/>
      <c r="RC224" s="1"/>
      <c r="RD224" s="1"/>
      <c r="RE224" s="1"/>
      <c r="RF224" s="1"/>
      <c r="RG224" s="1"/>
      <c r="RH224" s="1"/>
      <c r="RI224" s="1"/>
      <c r="RJ224" s="1"/>
      <c r="RK224" s="1"/>
      <c r="RL224" s="1"/>
      <c r="RM224" s="1"/>
      <c r="RN224" s="1"/>
      <c r="RO224" s="1"/>
      <c r="RP224" s="1"/>
      <c r="RQ224" s="1"/>
      <c r="RR224" s="1"/>
      <c r="RS224" s="1"/>
      <c r="RT224" s="1"/>
      <c r="RU224" s="1"/>
      <c r="RV224" s="1"/>
      <c r="RW224" s="1"/>
      <c r="RX224" s="1"/>
      <c r="RY224" s="1"/>
      <c r="RZ224" s="1"/>
      <c r="SA224" s="1"/>
      <c r="SB224" s="1"/>
      <c r="SC224" s="1"/>
      <c r="SD224" s="1"/>
      <c r="SE224" s="1"/>
      <c r="SF224" s="1"/>
      <c r="SG224" s="1"/>
      <c r="SH224" s="1"/>
      <c r="SI224" s="1"/>
      <c r="SJ224" s="1"/>
      <c r="SK224" s="1"/>
      <c r="SL224" s="1"/>
      <c r="SM224" s="1"/>
      <c r="SN224" s="1"/>
      <c r="SO224" s="1"/>
      <c r="SP224" s="1"/>
      <c r="SQ224" s="1"/>
      <c r="SR224" s="1"/>
      <c r="SS224" s="1"/>
      <c r="ST224" s="1"/>
      <c r="SU224" s="1"/>
      <c r="SV224" s="1"/>
      <c r="SW224" s="1"/>
      <c r="SX224" s="1"/>
      <c r="SY224" s="1"/>
      <c r="SZ224" s="1"/>
      <c r="TA224" s="1"/>
      <c r="TB224" s="1"/>
      <c r="TC224" s="1"/>
      <c r="TD224" s="1"/>
      <c r="TE224" s="1"/>
      <c r="TF224" s="1"/>
      <c r="TG224" s="1"/>
      <c r="TH224" s="1"/>
      <c r="TI224" s="1"/>
      <c r="TJ224" s="1"/>
      <c r="TK224" s="1"/>
      <c r="TL224" s="1"/>
      <c r="TM224" s="1"/>
      <c r="TN224" s="1"/>
      <c r="TO224" s="1"/>
      <c r="TP224" s="1"/>
      <c r="TQ224" s="1"/>
      <c r="TR224" s="1"/>
      <c r="TS224" s="1"/>
      <c r="TT224" s="1"/>
      <c r="TU224" s="1"/>
      <c r="TV224" s="1"/>
      <c r="TW224" s="1"/>
      <c r="TX224" s="1"/>
      <c r="TY224" s="1"/>
      <c r="TZ224" s="1"/>
      <c r="UA224" s="1"/>
      <c r="UB224" s="1"/>
      <c r="UC224" s="1"/>
      <c r="UD224" s="1"/>
      <c r="UE224" s="1"/>
      <c r="UF224" s="1"/>
      <c r="UG224" s="1"/>
      <c r="UH224" s="1"/>
      <c r="UI224" s="1"/>
      <c r="UJ224" s="1"/>
      <c r="UK224" s="1"/>
      <c r="UL224" s="1"/>
      <c r="UM224" s="1"/>
      <c r="UN224" s="1"/>
      <c r="UO224" s="1"/>
      <c r="UP224" s="1"/>
      <c r="UQ224" s="1"/>
      <c r="UR224" s="1"/>
      <c r="US224" s="1"/>
      <c r="UT224" s="1"/>
      <c r="UU224" s="1"/>
      <c r="UV224" s="1"/>
      <c r="UW224" s="1"/>
      <c r="UX224" s="1"/>
      <c r="UY224" s="1"/>
      <c r="UZ224" s="1"/>
      <c r="VA224" s="1"/>
      <c r="VB224" s="1"/>
      <c r="VC224" s="1"/>
      <c r="VD224" s="1"/>
      <c r="VE224" s="1"/>
      <c r="VF224" s="1"/>
      <c r="VG224" s="1"/>
      <c r="VH224" s="1"/>
      <c r="VI224" s="1"/>
      <c r="VJ224" s="1"/>
      <c r="VK224" s="1"/>
      <c r="VL224" s="1"/>
      <c r="VM224" s="1"/>
      <c r="VN224" s="1"/>
      <c r="VO224" s="1"/>
      <c r="VP224" s="1"/>
      <c r="VQ224" s="1"/>
      <c r="VR224" s="1"/>
      <c r="VS224" s="1"/>
      <c r="VT224" s="1"/>
      <c r="VU224" s="1"/>
      <c r="VV224" s="1"/>
      <c r="VW224" s="1"/>
      <c r="VX224" s="1"/>
      <c r="VY224" s="1"/>
      <c r="VZ224" s="1"/>
      <c r="WA224" s="1"/>
      <c r="WB224" s="1"/>
      <c r="WC224" s="1"/>
      <c r="WD224" s="1"/>
      <c r="WE224" s="1"/>
      <c r="WF224" s="1"/>
      <c r="WG224" s="1"/>
      <c r="WH224" s="1"/>
      <c r="WI224" s="1"/>
      <c r="WJ224" s="1"/>
      <c r="WK224" s="1"/>
      <c r="WL224" s="1"/>
      <c r="WM224" s="1"/>
      <c r="WN224" s="1"/>
      <c r="WO224" s="1"/>
      <c r="WP224" s="1"/>
      <c r="WQ224" s="1"/>
      <c r="WR224" s="1"/>
      <c r="WS224" s="1"/>
      <c r="WT224" s="1"/>
      <c r="WU224" s="1"/>
      <c r="WV224" s="1"/>
      <c r="WW224" s="1"/>
      <c r="WX224" s="1"/>
      <c r="WY224" s="1"/>
      <c r="WZ224" s="1"/>
      <c r="XA224" s="1"/>
      <c r="XB224" s="1"/>
      <c r="XC224" s="1"/>
      <c r="XD224" s="1"/>
      <c r="XE224" s="1"/>
      <c r="XF224" s="1"/>
      <c r="XG224" s="1"/>
      <c r="XH224" s="1"/>
      <c r="XI224" s="1"/>
      <c r="XJ224" s="1"/>
      <c r="XK224" s="1"/>
      <c r="XL224" s="1"/>
      <c r="XM224" s="1"/>
      <c r="XN224" s="1"/>
      <c r="XO224" s="1"/>
      <c r="XP224" s="1"/>
      <c r="XQ224" s="1"/>
      <c r="XR224" s="1"/>
      <c r="XS224" s="1"/>
      <c r="XT224" s="1"/>
      <c r="XU224" s="1"/>
      <c r="XV224" s="1"/>
      <c r="XW224" s="1"/>
      <c r="XX224" s="1"/>
      <c r="XY224" s="1"/>
      <c r="XZ224" s="1"/>
      <c r="YA224" s="1"/>
      <c r="YB224" s="1"/>
      <c r="YC224" s="1"/>
      <c r="YD224" s="1"/>
      <c r="YE224" s="1"/>
      <c r="YF224" s="1"/>
      <c r="YG224" s="1"/>
      <c r="YH224" s="1"/>
      <c r="YI224" s="1"/>
      <c r="YJ224" s="1"/>
      <c r="YK224" s="1"/>
      <c r="YL224" s="1"/>
      <c r="YM224" s="1"/>
      <c r="YN224" s="1"/>
      <c r="YO224" s="1"/>
      <c r="YP224" s="1"/>
      <c r="YQ224" s="1"/>
      <c r="YR224" s="1"/>
      <c r="YS224" s="1"/>
      <c r="YT224" s="1"/>
      <c r="YU224" s="1"/>
      <c r="YV224" s="1"/>
      <c r="YW224" s="1"/>
      <c r="YX224" s="1"/>
      <c r="YY224" s="1"/>
      <c r="YZ224" s="1"/>
      <c r="ZA224" s="1"/>
      <c r="ZB224" s="1"/>
      <c r="ZC224" s="1"/>
      <c r="ZD224" s="1"/>
      <c r="ZE224" s="1"/>
      <c r="ZF224" s="1"/>
      <c r="ZG224" s="1"/>
      <c r="ZH224" s="1"/>
      <c r="ZI224" s="1"/>
      <c r="ZJ224" s="1"/>
      <c r="ZK224" s="1"/>
      <c r="ZL224" s="1"/>
      <c r="ZM224" s="1"/>
      <c r="ZN224" s="1"/>
      <c r="ZO224" s="1"/>
      <c r="ZP224" s="1"/>
      <c r="ZQ224" s="1"/>
      <c r="ZR224" s="1"/>
      <c r="ZS224" s="1"/>
      <c r="ZT224" s="1"/>
      <c r="ZU224" s="1"/>
      <c r="ZV224" s="1"/>
      <c r="ZW224" s="1"/>
      <c r="ZX224" s="1"/>
      <c r="ZY224" s="1"/>
      <c r="ZZ224" s="1"/>
      <c r="AAA224" s="1"/>
      <c r="AAB224" s="1"/>
      <c r="AAC224" s="1"/>
      <c r="AAD224" s="1"/>
      <c r="AAE224" s="1"/>
      <c r="AAF224" s="1"/>
      <c r="AAG224" s="1"/>
      <c r="AAH224" s="1"/>
      <c r="AAI224" s="1"/>
      <c r="AAJ224" s="1"/>
      <c r="AAK224" s="1"/>
      <c r="AAL224" s="1"/>
      <c r="AAM224" s="1"/>
      <c r="AAN224" s="1"/>
      <c r="AAO224" s="1"/>
      <c r="AAP224" s="1"/>
      <c r="AAQ224" s="1"/>
      <c r="AAR224" s="1"/>
      <c r="AAS224" s="1"/>
      <c r="AAT224" s="1"/>
      <c r="AAU224" s="1"/>
      <c r="AAV224" s="1"/>
      <c r="AAW224" s="1"/>
      <c r="AAX224" s="1"/>
      <c r="AAY224" s="1"/>
      <c r="AAZ224" s="1"/>
      <c r="ABA224" s="1"/>
      <c r="ABB224" s="1"/>
      <c r="ABC224" s="1"/>
      <c r="ABD224" s="1"/>
      <c r="ABE224" s="1"/>
      <c r="ABF224" s="1"/>
      <c r="ABG224" s="1"/>
      <c r="ABH224" s="1"/>
      <c r="ABI224" s="1"/>
      <c r="ABJ224" s="1"/>
      <c r="ABK224" s="1"/>
      <c r="ABL224" s="1"/>
      <c r="ABM224" s="1"/>
      <c r="ABN224" s="1"/>
      <c r="ABO224" s="1"/>
      <c r="ABP224" s="1"/>
      <c r="ABQ224" s="1"/>
      <c r="ABR224" s="1"/>
      <c r="ABS224" s="1"/>
      <c r="ABT224" s="1"/>
      <c r="ABU224" s="1"/>
      <c r="ABV224" s="1"/>
      <c r="ABW224" s="1"/>
      <c r="ABX224" s="1"/>
      <c r="ABY224" s="1"/>
      <c r="ABZ224" s="1"/>
      <c r="ACA224" s="1"/>
      <c r="ACB224" s="1"/>
      <c r="ACC224" s="1"/>
      <c r="ACD224" s="1"/>
      <c r="ACE224" s="1"/>
      <c r="ACF224" s="1"/>
      <c r="ACG224" s="1"/>
      <c r="ACH224" s="1"/>
      <c r="ACI224" s="1"/>
      <c r="ACJ224" s="1"/>
      <c r="ACK224" s="1"/>
      <c r="ACL224" s="1"/>
      <c r="ACM224" s="1"/>
      <c r="ACN224" s="1"/>
      <c r="ACO224" s="1"/>
      <c r="ACP224" s="1"/>
      <c r="ACQ224" s="1"/>
      <c r="ACR224" s="1"/>
      <c r="ACS224" s="1"/>
      <c r="ACT224" s="1"/>
      <c r="ACU224" s="1"/>
      <c r="ACV224" s="1"/>
      <c r="ACW224" s="1"/>
      <c r="ACX224" s="1"/>
      <c r="ACY224" s="1"/>
      <c r="ACZ224" s="1"/>
      <c r="ADA224" s="1"/>
      <c r="ADB224" s="1"/>
      <c r="ADC224" s="1"/>
      <c r="ADD224" s="1"/>
      <c r="ADE224" s="1"/>
      <c r="ADF224" s="1"/>
      <c r="ADG224" s="1"/>
      <c r="ADH224" s="1"/>
      <c r="ADI224" s="1"/>
      <c r="ADJ224" s="1"/>
      <c r="ADK224" s="1"/>
      <c r="ADL224" s="1"/>
      <c r="ADM224" s="1"/>
      <c r="ADN224" s="1"/>
      <c r="ADO224" s="1"/>
      <c r="ADP224" s="1"/>
      <c r="ADQ224" s="1"/>
      <c r="ADR224" s="1"/>
      <c r="ADS224" s="1"/>
      <c r="ADT224" s="1"/>
      <c r="ADU224" s="1"/>
      <c r="ADV224" s="1"/>
      <c r="ADW224" s="1"/>
      <c r="ADX224" s="1"/>
      <c r="ADY224" s="1"/>
      <c r="ADZ224" s="1"/>
      <c r="AEA224" s="1"/>
      <c r="AEB224" s="1"/>
      <c r="AEC224" s="1"/>
      <c r="AED224" s="1"/>
      <c r="AEE224" s="1"/>
      <c r="AEF224" s="1"/>
      <c r="AEG224" s="1"/>
      <c r="AEH224" s="1"/>
      <c r="AEI224" s="1"/>
      <c r="AEJ224" s="1"/>
      <c r="AEK224" s="1"/>
      <c r="AEL224" s="1"/>
      <c r="AEM224" s="1"/>
      <c r="AEN224" s="1"/>
      <c r="AEO224" s="1"/>
      <c r="AEP224" s="1"/>
      <c r="AEQ224" s="1"/>
      <c r="AER224" s="1"/>
      <c r="AES224" s="1"/>
      <c r="AET224" s="1"/>
      <c r="AEU224" s="1"/>
      <c r="AEV224" s="1"/>
      <c r="AEW224" s="1"/>
      <c r="AEX224" s="1"/>
      <c r="AEY224" s="1"/>
      <c r="AEZ224" s="1"/>
      <c r="AFA224" s="1"/>
      <c r="AFB224" s="1"/>
      <c r="AFC224" s="1"/>
      <c r="AFD224" s="1"/>
      <c r="AFE224" s="1"/>
      <c r="AFF224" s="1"/>
      <c r="AFG224" s="1"/>
      <c r="AFH224" s="1"/>
      <c r="AFI224" s="1"/>
      <c r="AFJ224" s="1"/>
      <c r="AFK224" s="1"/>
      <c r="AFL224" s="1"/>
      <c r="AFM224" s="1"/>
      <c r="AFN224" s="1"/>
      <c r="AFO224" s="1"/>
      <c r="AFP224" s="1"/>
      <c r="AFQ224" s="1"/>
      <c r="AFR224" s="1"/>
      <c r="AFS224" s="1"/>
      <c r="AFT224" s="1"/>
      <c r="AFU224" s="1"/>
      <c r="AFV224" s="1"/>
      <c r="AFW224" s="1"/>
      <c r="AFX224" s="1"/>
      <c r="AFY224" s="1"/>
      <c r="AFZ224" s="1"/>
      <c r="AGA224" s="1"/>
      <c r="AGB224" s="1"/>
      <c r="AGC224" s="1"/>
      <c r="AGD224" s="1"/>
      <c r="AGE224" s="1"/>
      <c r="AGF224" s="1"/>
      <c r="AGG224" s="1"/>
      <c r="AGH224" s="1"/>
      <c r="AGI224" s="1"/>
      <c r="AGJ224" s="1"/>
      <c r="AGK224" s="1"/>
      <c r="AGL224" s="1"/>
      <c r="AGM224" s="1"/>
      <c r="AGN224" s="1"/>
      <c r="AGO224" s="1"/>
      <c r="AGP224" s="1"/>
      <c r="AGQ224" s="1"/>
      <c r="AGR224" s="1"/>
      <c r="AGS224" s="1"/>
      <c r="AGT224" s="1"/>
      <c r="AGU224" s="1"/>
      <c r="AGV224" s="1"/>
      <c r="AGW224" s="1"/>
      <c r="AGX224" s="1"/>
      <c r="AGY224" s="1"/>
      <c r="AGZ224" s="1"/>
      <c r="AHA224" s="1"/>
      <c r="AHB224" s="1"/>
      <c r="AHC224" s="1"/>
      <c r="AHD224" s="1"/>
      <c r="AHE224" s="1"/>
      <c r="AHF224" s="1"/>
      <c r="AHG224" s="1"/>
      <c r="AHH224" s="1"/>
      <c r="AHI224" s="1"/>
      <c r="AHJ224" s="1"/>
      <c r="AHK224" s="1"/>
      <c r="AHL224" s="1"/>
      <c r="AHM224" s="1"/>
      <c r="AHN224" s="1"/>
      <c r="AHO224" s="1"/>
      <c r="AHP224" s="1"/>
      <c r="AHQ224" s="1"/>
      <c r="AHR224" s="1"/>
      <c r="AHS224" s="1"/>
      <c r="AHT224" s="1"/>
      <c r="AHU224" s="1"/>
      <c r="AHV224" s="1"/>
      <c r="AHW224" s="1"/>
      <c r="AHX224" s="1"/>
      <c r="AHY224" s="1"/>
      <c r="AHZ224" s="1"/>
      <c r="AIA224" s="1"/>
      <c r="AIB224" s="1"/>
      <c r="AIC224" s="1"/>
      <c r="AID224" s="1"/>
      <c r="AIE224" s="1"/>
      <c r="AIF224" s="1"/>
      <c r="AIG224" s="1"/>
      <c r="AIH224" s="1"/>
      <c r="AII224" s="1"/>
      <c r="AIJ224" s="1"/>
      <c r="AIK224" s="1"/>
      <c r="AIL224" s="1"/>
      <c r="AIM224" s="1"/>
      <c r="AIN224" s="1"/>
      <c r="AIO224" s="1"/>
      <c r="AIP224" s="1"/>
      <c r="AIQ224" s="1"/>
      <c r="AIR224" s="1"/>
      <c r="AIS224" s="1"/>
      <c r="AIT224" s="1"/>
      <c r="AIU224" s="1"/>
      <c r="AIV224" s="1"/>
      <c r="AIW224" s="1"/>
      <c r="AIX224" s="1"/>
      <c r="AIY224" s="1"/>
      <c r="AIZ224" s="1"/>
      <c r="AJA224" s="1"/>
      <c r="AJB224" s="1"/>
      <c r="AJC224" s="1"/>
      <c r="AJD224" s="1"/>
      <c r="AJE224" s="1"/>
      <c r="AJF224" s="1"/>
      <c r="AJG224" s="1"/>
      <c r="AJH224" s="1"/>
      <c r="AJI224" s="1"/>
      <c r="AJJ224" s="1"/>
      <c r="AJK224" s="1"/>
      <c r="AJL224" s="1"/>
      <c r="AJM224" s="1"/>
      <c r="AJN224" s="1"/>
      <c r="AJO224" s="1"/>
      <c r="AJP224" s="1"/>
      <c r="AJQ224" s="1"/>
      <c r="AJR224" s="1"/>
      <c r="AJS224" s="1"/>
      <c r="AJT224" s="1"/>
      <c r="AJU224" s="1"/>
      <c r="AJV224" s="1"/>
      <c r="AJW224" s="1"/>
      <c r="AJX224" s="1"/>
      <c r="AJY224" s="1"/>
      <c r="AJZ224" s="1"/>
      <c r="AKA224" s="1"/>
      <c r="AKB224" s="1"/>
      <c r="AKC224" s="1"/>
      <c r="AKD224" s="1"/>
      <c r="AKE224" s="1"/>
      <c r="AKF224" s="1"/>
      <c r="AKG224" s="1"/>
      <c r="AKH224" s="1"/>
      <c r="AKI224" s="1"/>
      <c r="AKJ224" s="1"/>
      <c r="AKK224" s="1"/>
      <c r="AKL224" s="1"/>
      <c r="AKM224" s="1"/>
      <c r="AKN224" s="1"/>
      <c r="AKO224" s="1"/>
      <c r="AKP224" s="1"/>
      <c r="AKQ224" s="1"/>
      <c r="AKR224" s="1"/>
      <c r="AKS224" s="1"/>
      <c r="AKT224" s="1"/>
      <c r="AKU224" s="1"/>
      <c r="AKV224" s="1"/>
      <c r="AKW224" s="1"/>
      <c r="AKX224" s="1"/>
      <c r="AKY224" s="1"/>
      <c r="AKZ224" s="1"/>
      <c r="ALA224" s="1"/>
      <c r="ALB224" s="1"/>
      <c r="ALC224" s="1"/>
      <c r="ALD224" s="1"/>
      <c r="ALE224" s="1"/>
      <c r="ALF224" s="1"/>
      <c r="ALG224" s="1"/>
      <c r="ALH224" s="1"/>
      <c r="ALI224" s="1"/>
      <c r="ALJ224" s="1"/>
      <c r="ALK224" s="1"/>
      <c r="ALL224" s="1"/>
      <c r="ALM224" s="1"/>
      <c r="ALN224" s="1"/>
      <c r="ALO224" s="1"/>
      <c r="ALP224" s="1"/>
      <c r="ALQ224" s="1"/>
      <c r="ALR224" s="1"/>
      <c r="ALS224" s="1"/>
      <c r="ALT224" s="1"/>
      <c r="ALU224" s="1"/>
      <c r="ALV224" s="1"/>
      <c r="ALW224" s="1"/>
      <c r="ALX224" s="1"/>
      <c r="ALY224" s="1"/>
      <c r="ALZ224" s="1"/>
      <c r="AMA224" s="1"/>
      <c r="AMB224" s="1"/>
      <c r="AMC224" s="1"/>
      <c r="AMD224" s="1"/>
      <c r="AME224" s="1"/>
      <c r="AMF224" s="1"/>
      <c r="AMG224" s="1"/>
      <c r="AMH224" s="1"/>
      <c r="AMI224" s="1"/>
      <c r="AMJ224" s="1"/>
      <c r="AMK224" s="1"/>
      <c r="AML224" s="1"/>
      <c r="AMM224" s="1"/>
      <c r="AMN224" s="1"/>
      <c r="AMO224" s="1"/>
    </row>
    <row r="225" spans="1:1030" x14ac:dyDescent="0.2">
      <c r="A225" s="3" t="str">
        <f t="shared" si="755"/>
        <v>opsd_bovin_6FKB</v>
      </c>
      <c r="B225" s="3" t="s">
        <v>920</v>
      </c>
      <c r="C225" s="3" t="s">
        <v>1500</v>
      </c>
      <c r="D225" s="3" t="str">
        <f>IFERROR(MID(VLOOKUP($B225,Seqs!$A:$B,2,0),E225,1),"")</f>
        <v>E</v>
      </c>
      <c r="E225" s="3">
        <v>33</v>
      </c>
      <c r="F225" s="3" t="str">
        <f>IFERROR(MID(VLOOKUP($B225,Seqs!$A:$B,2,0),G225,1),"")</f>
        <v>Q</v>
      </c>
      <c r="G225" s="3">
        <v>64</v>
      </c>
      <c r="H225" s="3" t="str">
        <f>IFERROR(MID(VLOOKUP($B225,Seqs!$A:$B,2,0),I225,1),"")</f>
        <v>K</v>
      </c>
      <c r="I225" s="23">
        <v>66</v>
      </c>
      <c r="J225" s="3" t="str">
        <f>IFERROR(MID(VLOOKUP($B225,Seqs!$A:$B,2,0),K225,1),"")</f>
        <v>R</v>
      </c>
      <c r="K225" s="23">
        <v>69</v>
      </c>
      <c r="L225" s="3" t="str">
        <f>IFERROR(MID(VLOOKUP($B225,Seqs!$A:$B,2,0),M225,1),"")</f>
        <v>N</v>
      </c>
      <c r="M225" s="3">
        <v>73</v>
      </c>
      <c r="N225" s="3" t="str">
        <f>IFERROR(MID(VLOOKUP($B225,Seqs!$A:$B,2,0),O225,1),"")</f>
        <v>G</v>
      </c>
      <c r="O225" s="3">
        <v>101</v>
      </c>
      <c r="P225" s="3" t="str">
        <f>IFERROR(MID(VLOOKUP($B225,Seqs!$A:$B,2,0),Q225,1),"")</f>
        <v>Y</v>
      </c>
      <c r="Q225" s="3">
        <v>102</v>
      </c>
      <c r="R225" s="3" t="str">
        <f>IFERROR(MID(VLOOKUP($B225,Seqs!$A:$B,2,0),S225,1),"")</f>
        <v>G</v>
      </c>
      <c r="S225" s="3">
        <v>106</v>
      </c>
      <c r="T225" s="3" t="str">
        <f>IFERROR(MID(VLOOKUP($B225,Seqs!$A:$B,2,0),U225,1),"")</f>
        <v>P</v>
      </c>
      <c r="U225" s="3">
        <v>107</v>
      </c>
      <c r="V225" s="3" t="str">
        <f>IFERROR(MID(VLOOKUP($B225,Seqs!$A:$B,2,0),W225,1),"")</f>
        <v>K</v>
      </c>
      <c r="W225" s="3">
        <v>141</v>
      </c>
      <c r="X225" s="3" t="str">
        <f>IFERROR(MID(VLOOKUP($B225,Seqs!$A:$B,2,0),Y225,1),"")</f>
        <v/>
      </c>
      <c r="Y225" s="3" t="s">
        <v>23</v>
      </c>
      <c r="Z225" s="3" t="str">
        <f>IFERROR(MID(VLOOKUP($B225,Seqs!$A:$B,2,0),AA225,1),"")</f>
        <v/>
      </c>
      <c r="AA225" s="3" t="s">
        <v>23</v>
      </c>
      <c r="AB225" s="3" t="str">
        <f>IFERROR(MID(VLOOKUP($B225,Seqs!$A:$B,2,0),AC225,1),"")</f>
        <v>G</v>
      </c>
      <c r="AC225" s="3">
        <v>149</v>
      </c>
      <c r="AD225" s="3" t="str">
        <f>IFERROR(MID(VLOOKUP($B225,Seqs!$A:$B,2,0),AE225,1),"")</f>
        <v>V</v>
      </c>
      <c r="AE225" s="3">
        <v>173</v>
      </c>
      <c r="AF225" s="3" t="str">
        <f>IFERROR(MID(VLOOKUP($B225,Seqs!$A:$B,2,0),AG225,1),"")</f>
        <v>C</v>
      </c>
      <c r="AG225" s="3">
        <v>187</v>
      </c>
      <c r="AH225" s="3" t="str">
        <f>IFERROR(MID(VLOOKUP($B225,Seqs!$A:$B,2,0),AI225,1),"")</f>
        <v>I</v>
      </c>
      <c r="AI225" s="3">
        <v>189</v>
      </c>
      <c r="AJ225" s="3" t="str">
        <f>IFERROR(MID(VLOOKUP($B225,Seqs!$A:$B,2,0),AK225,1),"")</f>
        <v>N</v>
      </c>
      <c r="AK225" s="3">
        <v>199</v>
      </c>
      <c r="AL225" s="3" t="str">
        <f>IFERROR(MID(VLOOKUP($B225,Seqs!$A:$B,2,0),AM225,1),"")</f>
        <v>Q</v>
      </c>
      <c r="AM225" s="3">
        <v>236</v>
      </c>
      <c r="AN225" s="3" t="str">
        <f>IFERROR(MID(VLOOKUP($B225,Seqs!$A:$B,2,0),AO225,1),"")</f>
        <v>S</v>
      </c>
      <c r="AO225" s="3">
        <v>240</v>
      </c>
      <c r="AP225" s="3" t="str">
        <f>IFERROR(MID(VLOOKUP($B225,Seqs!$A:$B,2,0),AQ225,1),"")</f>
        <v>H</v>
      </c>
      <c r="AQ225" s="3">
        <v>278</v>
      </c>
      <c r="AR225" s="3" t="str">
        <f>IFERROR(MID(VLOOKUP($B225,Seqs!$A:$B,2,0),AS225,1),"")</f>
        <v>G</v>
      </c>
      <c r="AS225" s="3">
        <v>284</v>
      </c>
      <c r="AT225" s="3" t="str">
        <f>IFERROR(MID(VLOOKUP($B225,Seqs!$A:$B,2,0),AU225,1),"")</f>
        <v>M</v>
      </c>
      <c r="AU225" s="3">
        <v>309</v>
      </c>
      <c r="AV225" s="3" t="str">
        <f>IFERROR(MID(VLOOKUP($B225,Seqs!$A:$B,2,0),AW225,1),"")</f>
        <v>N</v>
      </c>
      <c r="AW225" s="3">
        <v>310</v>
      </c>
      <c r="AX225" s="3" t="str">
        <f>IFERROR(MID(VLOOKUP($B225,Seqs!$A:$B,2,0),AY225,1),"")</f>
        <v>C</v>
      </c>
      <c r="AY225" s="3">
        <v>322</v>
      </c>
      <c r="AZ225" s="77" t="str">
        <f>VLOOKUP(B225,Classification!A:D,2,0)</f>
        <v>A</v>
      </c>
      <c r="BA225" s="94" t="str">
        <f>VLOOKUP(B225,Classification!A:D,4,0)</f>
        <v>Opsins</v>
      </c>
      <c r="BB225" s="27" t="b">
        <f t="shared" si="756"/>
        <v>1</v>
      </c>
      <c r="BC225" s="23">
        <f t="shared" si="757"/>
        <v>250</v>
      </c>
      <c r="BD225" s="2" t="s">
        <v>23</v>
      </c>
      <c r="BE225" s="3" t="s">
        <v>1297</v>
      </c>
      <c r="BF225" s="119">
        <v>3.03</v>
      </c>
      <c r="BG225" s="49" t="s">
        <v>1</v>
      </c>
      <c r="BH225" s="49" t="s">
        <v>1</v>
      </c>
      <c r="BI225" s="1"/>
      <c r="BJ225" s="70" t="s">
        <v>1293</v>
      </c>
      <c r="BK225" s="57" t="s">
        <v>1293</v>
      </c>
      <c r="BL225" s="57" t="s">
        <v>1293</v>
      </c>
      <c r="BM225" s="57" t="s">
        <v>1293</v>
      </c>
      <c r="BN225" s="57" t="s">
        <v>1293</v>
      </c>
      <c r="BO225" s="57" t="s">
        <v>1293</v>
      </c>
      <c r="BP225" s="57" t="s">
        <v>1293</v>
      </c>
      <c r="BQ225" s="57" t="s">
        <v>1293</v>
      </c>
      <c r="BR225" s="57" t="s">
        <v>1293</v>
      </c>
      <c r="BS225" s="57" t="s">
        <v>1293</v>
      </c>
      <c r="BT225" s="57" t="s">
        <v>1293</v>
      </c>
      <c r="BU225" s="57" t="s">
        <v>1293</v>
      </c>
      <c r="BV225" s="70">
        <f t="shared" si="758"/>
        <v>33</v>
      </c>
      <c r="BW225" s="71">
        <f t="shared" si="759"/>
        <v>66</v>
      </c>
      <c r="BX225" s="72">
        <f t="shared" si="760"/>
        <v>73</v>
      </c>
      <c r="BY225" s="71">
        <f t="shared" si="761"/>
        <v>102</v>
      </c>
      <c r="BZ225" s="72">
        <f t="shared" si="762"/>
        <v>107</v>
      </c>
      <c r="CA225" s="71" t="str">
        <f t="shared" si="763"/>
        <v>-</v>
      </c>
      <c r="CB225" s="72">
        <f t="shared" si="764"/>
        <v>149</v>
      </c>
      <c r="CC225" s="71">
        <f t="shared" si="765"/>
        <v>187</v>
      </c>
      <c r="CD225" s="72">
        <f t="shared" si="766"/>
        <v>199</v>
      </c>
      <c r="CE225" s="71">
        <f t="shared" si="767"/>
        <v>240</v>
      </c>
      <c r="CF225" s="72">
        <f t="shared" si="768"/>
        <v>284</v>
      </c>
      <c r="CG225" s="71">
        <f t="shared" si="769"/>
        <v>310</v>
      </c>
      <c r="CH225" s="70">
        <f t="shared" si="770"/>
        <v>64</v>
      </c>
      <c r="CI225" s="71">
        <f t="shared" si="771"/>
        <v>69</v>
      </c>
      <c r="CJ225" s="72">
        <f t="shared" si="772"/>
        <v>101</v>
      </c>
      <c r="CK225" s="72">
        <f t="shared" si="773"/>
        <v>106</v>
      </c>
      <c r="CL225" s="72">
        <f t="shared" si="774"/>
        <v>141</v>
      </c>
      <c r="CM225" s="72" t="str">
        <f t="shared" si="775"/>
        <v>-</v>
      </c>
      <c r="CN225" s="72">
        <f t="shared" si="776"/>
        <v>173</v>
      </c>
      <c r="CO225" s="72">
        <f t="shared" si="777"/>
        <v>189</v>
      </c>
      <c r="CP225" s="72">
        <f t="shared" si="778"/>
        <v>236</v>
      </c>
      <c r="CQ225" s="72">
        <f t="shared" si="779"/>
        <v>278</v>
      </c>
      <c r="CR225" s="72">
        <f t="shared" si="780"/>
        <v>309</v>
      </c>
      <c r="CS225" s="72">
        <f t="shared" si="781"/>
        <v>322</v>
      </c>
      <c r="CT225" s="23">
        <f t="shared" si="782"/>
        <v>4</v>
      </c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  <c r="OK225" s="1"/>
      <c r="OL225" s="1"/>
      <c r="OM225" s="1"/>
      <c r="ON225" s="1"/>
      <c r="OO225" s="1"/>
      <c r="OP225" s="1"/>
      <c r="OQ225" s="1"/>
      <c r="OR225" s="1"/>
      <c r="OS225" s="1"/>
      <c r="OT225" s="1"/>
      <c r="OU225" s="1"/>
      <c r="OV225" s="1"/>
      <c r="OW225" s="1"/>
      <c r="OX225" s="1"/>
      <c r="OY225" s="1"/>
      <c r="OZ225" s="1"/>
      <c r="PA225" s="1"/>
      <c r="PB225" s="1"/>
      <c r="PC225" s="1"/>
      <c r="PD225" s="1"/>
      <c r="PE225" s="1"/>
      <c r="PF225" s="1"/>
      <c r="PG225" s="1"/>
      <c r="PH225" s="1"/>
      <c r="PI225" s="1"/>
      <c r="PJ225" s="1"/>
      <c r="PK225" s="1"/>
      <c r="PL225" s="1"/>
      <c r="PM225" s="1"/>
      <c r="PN225" s="1"/>
      <c r="PO225" s="1"/>
      <c r="PP225" s="1"/>
      <c r="PQ225" s="1"/>
      <c r="PR225" s="1"/>
      <c r="PS225" s="1"/>
      <c r="PT225" s="1"/>
      <c r="PU225" s="1"/>
      <c r="PV225" s="1"/>
      <c r="PW225" s="1"/>
      <c r="PX225" s="1"/>
      <c r="PY225" s="1"/>
      <c r="PZ225" s="1"/>
      <c r="QA225" s="1"/>
      <c r="QB225" s="1"/>
      <c r="QC225" s="1"/>
      <c r="QD225" s="1"/>
      <c r="QE225" s="1"/>
      <c r="QF225" s="1"/>
      <c r="QG225" s="1"/>
      <c r="QH225" s="1"/>
      <c r="QI225" s="1"/>
      <c r="QJ225" s="1"/>
      <c r="QK225" s="1"/>
      <c r="QL225" s="1"/>
      <c r="QM225" s="1"/>
      <c r="QN225" s="1"/>
      <c r="QO225" s="1"/>
      <c r="QP225" s="1"/>
      <c r="QQ225" s="1"/>
      <c r="QR225" s="1"/>
      <c r="QS225" s="1"/>
      <c r="QT225" s="1"/>
      <c r="QU225" s="1"/>
      <c r="QV225" s="1"/>
      <c r="QW225" s="1"/>
      <c r="QX225" s="1"/>
      <c r="QY225" s="1"/>
      <c r="QZ225" s="1"/>
      <c r="RA225" s="1"/>
      <c r="RB225" s="1"/>
      <c r="RC225" s="1"/>
      <c r="RD225" s="1"/>
      <c r="RE225" s="1"/>
      <c r="RF225" s="1"/>
      <c r="RG225" s="1"/>
      <c r="RH225" s="1"/>
      <c r="RI225" s="1"/>
      <c r="RJ225" s="1"/>
      <c r="RK225" s="1"/>
      <c r="RL225" s="1"/>
      <c r="RM225" s="1"/>
      <c r="RN225" s="1"/>
      <c r="RO225" s="1"/>
      <c r="RP225" s="1"/>
      <c r="RQ225" s="1"/>
      <c r="RR225" s="1"/>
      <c r="RS225" s="1"/>
      <c r="RT225" s="1"/>
      <c r="RU225" s="1"/>
      <c r="RV225" s="1"/>
      <c r="RW225" s="1"/>
      <c r="RX225" s="1"/>
      <c r="RY225" s="1"/>
      <c r="RZ225" s="1"/>
      <c r="SA225" s="1"/>
      <c r="SB225" s="1"/>
      <c r="SC225" s="1"/>
      <c r="SD225" s="1"/>
      <c r="SE225" s="1"/>
      <c r="SF225" s="1"/>
      <c r="SG225" s="1"/>
      <c r="SH225" s="1"/>
      <c r="SI225" s="1"/>
      <c r="SJ225" s="1"/>
      <c r="SK225" s="1"/>
      <c r="SL225" s="1"/>
      <c r="SM225" s="1"/>
      <c r="SN225" s="1"/>
      <c r="SO225" s="1"/>
      <c r="SP225" s="1"/>
      <c r="SQ225" s="1"/>
      <c r="SR225" s="1"/>
      <c r="SS225" s="1"/>
      <c r="ST225" s="1"/>
      <c r="SU225" s="1"/>
      <c r="SV225" s="1"/>
      <c r="SW225" s="1"/>
      <c r="SX225" s="1"/>
      <c r="SY225" s="1"/>
      <c r="SZ225" s="1"/>
      <c r="TA225" s="1"/>
      <c r="TB225" s="1"/>
      <c r="TC225" s="1"/>
      <c r="TD225" s="1"/>
      <c r="TE225" s="1"/>
      <c r="TF225" s="1"/>
      <c r="TG225" s="1"/>
      <c r="TH225" s="1"/>
      <c r="TI225" s="1"/>
      <c r="TJ225" s="1"/>
      <c r="TK225" s="1"/>
      <c r="TL225" s="1"/>
      <c r="TM225" s="1"/>
      <c r="TN225" s="1"/>
      <c r="TO225" s="1"/>
      <c r="TP225" s="1"/>
      <c r="TQ225" s="1"/>
      <c r="TR225" s="1"/>
      <c r="TS225" s="1"/>
      <c r="TT225" s="1"/>
      <c r="TU225" s="1"/>
      <c r="TV225" s="1"/>
      <c r="TW225" s="1"/>
      <c r="TX225" s="1"/>
      <c r="TY225" s="1"/>
      <c r="TZ225" s="1"/>
      <c r="UA225" s="1"/>
      <c r="UB225" s="1"/>
      <c r="UC225" s="1"/>
      <c r="UD225" s="1"/>
      <c r="UE225" s="1"/>
      <c r="UF225" s="1"/>
      <c r="UG225" s="1"/>
      <c r="UH225" s="1"/>
      <c r="UI225" s="1"/>
      <c r="UJ225" s="1"/>
      <c r="UK225" s="1"/>
      <c r="UL225" s="1"/>
      <c r="UM225" s="1"/>
      <c r="UN225" s="1"/>
      <c r="UO225" s="1"/>
      <c r="UP225" s="1"/>
      <c r="UQ225" s="1"/>
      <c r="UR225" s="1"/>
      <c r="US225" s="1"/>
      <c r="UT225" s="1"/>
      <c r="UU225" s="1"/>
      <c r="UV225" s="1"/>
      <c r="UW225" s="1"/>
      <c r="UX225" s="1"/>
      <c r="UY225" s="1"/>
      <c r="UZ225" s="1"/>
      <c r="VA225" s="1"/>
      <c r="VB225" s="1"/>
      <c r="VC225" s="1"/>
      <c r="VD225" s="1"/>
      <c r="VE225" s="1"/>
      <c r="VF225" s="1"/>
      <c r="VG225" s="1"/>
      <c r="VH225" s="1"/>
      <c r="VI225" s="1"/>
      <c r="VJ225" s="1"/>
      <c r="VK225" s="1"/>
      <c r="VL225" s="1"/>
      <c r="VM225" s="1"/>
      <c r="VN225" s="1"/>
      <c r="VO225" s="1"/>
      <c r="VP225" s="1"/>
      <c r="VQ225" s="1"/>
      <c r="VR225" s="1"/>
      <c r="VS225" s="1"/>
      <c r="VT225" s="1"/>
      <c r="VU225" s="1"/>
      <c r="VV225" s="1"/>
      <c r="VW225" s="1"/>
      <c r="VX225" s="1"/>
      <c r="VY225" s="1"/>
      <c r="VZ225" s="1"/>
      <c r="WA225" s="1"/>
      <c r="WB225" s="1"/>
      <c r="WC225" s="1"/>
      <c r="WD225" s="1"/>
      <c r="WE225" s="1"/>
      <c r="WF225" s="1"/>
      <c r="WG225" s="1"/>
      <c r="WH225" s="1"/>
      <c r="WI225" s="1"/>
      <c r="WJ225" s="1"/>
      <c r="WK225" s="1"/>
      <c r="WL225" s="1"/>
      <c r="WM225" s="1"/>
      <c r="WN225" s="1"/>
      <c r="WO225" s="1"/>
      <c r="WP225" s="1"/>
      <c r="WQ225" s="1"/>
      <c r="WR225" s="1"/>
      <c r="WS225" s="1"/>
      <c r="WT225" s="1"/>
      <c r="WU225" s="1"/>
      <c r="WV225" s="1"/>
      <c r="WW225" s="1"/>
      <c r="WX225" s="1"/>
      <c r="WY225" s="1"/>
      <c r="WZ225" s="1"/>
      <c r="XA225" s="1"/>
      <c r="XB225" s="1"/>
      <c r="XC225" s="1"/>
      <c r="XD225" s="1"/>
      <c r="XE225" s="1"/>
      <c r="XF225" s="1"/>
      <c r="XG225" s="1"/>
      <c r="XH225" s="1"/>
      <c r="XI225" s="1"/>
      <c r="XJ225" s="1"/>
      <c r="XK225" s="1"/>
      <c r="XL225" s="1"/>
      <c r="XM225" s="1"/>
      <c r="XN225" s="1"/>
      <c r="XO225" s="1"/>
      <c r="XP225" s="1"/>
      <c r="XQ225" s="1"/>
      <c r="XR225" s="1"/>
      <c r="XS225" s="1"/>
      <c r="XT225" s="1"/>
      <c r="XU225" s="1"/>
      <c r="XV225" s="1"/>
      <c r="XW225" s="1"/>
      <c r="XX225" s="1"/>
      <c r="XY225" s="1"/>
      <c r="XZ225" s="1"/>
      <c r="YA225" s="1"/>
      <c r="YB225" s="1"/>
      <c r="YC225" s="1"/>
      <c r="YD225" s="1"/>
      <c r="YE225" s="1"/>
      <c r="YF225" s="1"/>
      <c r="YG225" s="1"/>
      <c r="YH225" s="1"/>
      <c r="YI225" s="1"/>
      <c r="YJ225" s="1"/>
      <c r="YK225" s="1"/>
      <c r="YL225" s="1"/>
      <c r="YM225" s="1"/>
      <c r="YN225" s="1"/>
      <c r="YO225" s="1"/>
      <c r="YP225" s="1"/>
      <c r="YQ225" s="1"/>
      <c r="YR225" s="1"/>
      <c r="YS225" s="1"/>
      <c r="YT225" s="1"/>
      <c r="YU225" s="1"/>
      <c r="YV225" s="1"/>
      <c r="YW225" s="1"/>
      <c r="YX225" s="1"/>
      <c r="YY225" s="1"/>
      <c r="YZ225" s="1"/>
      <c r="ZA225" s="1"/>
      <c r="ZB225" s="1"/>
      <c r="ZC225" s="1"/>
      <c r="ZD225" s="1"/>
      <c r="ZE225" s="1"/>
      <c r="ZF225" s="1"/>
      <c r="ZG225" s="1"/>
      <c r="ZH225" s="1"/>
      <c r="ZI225" s="1"/>
      <c r="ZJ225" s="1"/>
      <c r="ZK225" s="1"/>
      <c r="ZL225" s="1"/>
      <c r="ZM225" s="1"/>
      <c r="ZN225" s="1"/>
      <c r="ZO225" s="1"/>
      <c r="ZP225" s="1"/>
      <c r="ZQ225" s="1"/>
      <c r="ZR225" s="1"/>
      <c r="ZS225" s="1"/>
      <c r="ZT225" s="1"/>
      <c r="ZU225" s="1"/>
      <c r="ZV225" s="1"/>
      <c r="ZW225" s="1"/>
      <c r="ZX225" s="1"/>
      <c r="ZY225" s="1"/>
      <c r="ZZ225" s="1"/>
      <c r="AAA225" s="1"/>
      <c r="AAB225" s="1"/>
      <c r="AAC225" s="1"/>
      <c r="AAD225" s="1"/>
      <c r="AAE225" s="1"/>
      <c r="AAF225" s="1"/>
      <c r="AAG225" s="1"/>
      <c r="AAH225" s="1"/>
      <c r="AAI225" s="1"/>
      <c r="AAJ225" s="1"/>
      <c r="AAK225" s="1"/>
      <c r="AAL225" s="1"/>
      <c r="AAM225" s="1"/>
      <c r="AAN225" s="1"/>
      <c r="AAO225" s="1"/>
      <c r="AAP225" s="1"/>
      <c r="AAQ225" s="1"/>
      <c r="AAR225" s="1"/>
      <c r="AAS225" s="1"/>
      <c r="AAT225" s="1"/>
      <c r="AAU225" s="1"/>
      <c r="AAV225" s="1"/>
      <c r="AAW225" s="1"/>
      <c r="AAX225" s="1"/>
      <c r="AAY225" s="1"/>
      <c r="AAZ225" s="1"/>
      <c r="ABA225" s="1"/>
      <c r="ABB225" s="1"/>
      <c r="ABC225" s="1"/>
      <c r="ABD225" s="1"/>
      <c r="ABE225" s="1"/>
      <c r="ABF225" s="1"/>
      <c r="ABG225" s="1"/>
      <c r="ABH225" s="1"/>
      <c r="ABI225" s="1"/>
      <c r="ABJ225" s="1"/>
      <c r="ABK225" s="1"/>
      <c r="ABL225" s="1"/>
      <c r="ABM225" s="1"/>
      <c r="ABN225" s="1"/>
      <c r="ABO225" s="1"/>
      <c r="ABP225" s="1"/>
      <c r="ABQ225" s="1"/>
      <c r="ABR225" s="1"/>
      <c r="ABS225" s="1"/>
      <c r="ABT225" s="1"/>
      <c r="ABU225" s="1"/>
      <c r="ABV225" s="1"/>
      <c r="ABW225" s="1"/>
      <c r="ABX225" s="1"/>
      <c r="ABY225" s="1"/>
      <c r="ABZ225" s="1"/>
      <c r="ACA225" s="1"/>
      <c r="ACB225" s="1"/>
      <c r="ACC225" s="1"/>
      <c r="ACD225" s="1"/>
      <c r="ACE225" s="1"/>
      <c r="ACF225" s="1"/>
      <c r="ACG225" s="1"/>
      <c r="ACH225" s="1"/>
      <c r="ACI225" s="1"/>
      <c r="ACJ225" s="1"/>
      <c r="ACK225" s="1"/>
      <c r="ACL225" s="1"/>
      <c r="ACM225" s="1"/>
      <c r="ACN225" s="1"/>
      <c r="ACO225" s="1"/>
      <c r="ACP225" s="1"/>
      <c r="ACQ225" s="1"/>
      <c r="ACR225" s="1"/>
      <c r="ACS225" s="1"/>
      <c r="ACT225" s="1"/>
      <c r="ACU225" s="1"/>
      <c r="ACV225" s="1"/>
      <c r="ACW225" s="1"/>
      <c r="ACX225" s="1"/>
      <c r="ACY225" s="1"/>
      <c r="ACZ225" s="1"/>
      <c r="ADA225" s="1"/>
      <c r="ADB225" s="1"/>
      <c r="ADC225" s="1"/>
      <c r="ADD225" s="1"/>
      <c r="ADE225" s="1"/>
      <c r="ADF225" s="1"/>
      <c r="ADG225" s="1"/>
      <c r="ADH225" s="1"/>
      <c r="ADI225" s="1"/>
      <c r="ADJ225" s="1"/>
      <c r="ADK225" s="1"/>
      <c r="ADL225" s="1"/>
      <c r="ADM225" s="1"/>
      <c r="ADN225" s="1"/>
      <c r="ADO225" s="1"/>
      <c r="ADP225" s="1"/>
      <c r="ADQ225" s="1"/>
      <c r="ADR225" s="1"/>
      <c r="ADS225" s="1"/>
      <c r="ADT225" s="1"/>
      <c r="ADU225" s="1"/>
      <c r="ADV225" s="1"/>
      <c r="ADW225" s="1"/>
      <c r="ADX225" s="1"/>
      <c r="ADY225" s="1"/>
      <c r="ADZ225" s="1"/>
      <c r="AEA225" s="1"/>
      <c r="AEB225" s="1"/>
      <c r="AEC225" s="1"/>
      <c r="AED225" s="1"/>
      <c r="AEE225" s="1"/>
      <c r="AEF225" s="1"/>
      <c r="AEG225" s="1"/>
      <c r="AEH225" s="1"/>
      <c r="AEI225" s="1"/>
      <c r="AEJ225" s="1"/>
      <c r="AEK225" s="1"/>
      <c r="AEL225" s="1"/>
      <c r="AEM225" s="1"/>
      <c r="AEN225" s="1"/>
      <c r="AEO225" s="1"/>
      <c r="AEP225" s="1"/>
      <c r="AEQ225" s="1"/>
      <c r="AER225" s="1"/>
      <c r="AES225" s="1"/>
      <c r="AET225" s="1"/>
      <c r="AEU225" s="1"/>
      <c r="AEV225" s="1"/>
      <c r="AEW225" s="1"/>
      <c r="AEX225" s="1"/>
      <c r="AEY225" s="1"/>
      <c r="AEZ225" s="1"/>
      <c r="AFA225" s="1"/>
      <c r="AFB225" s="1"/>
      <c r="AFC225" s="1"/>
      <c r="AFD225" s="1"/>
      <c r="AFE225" s="1"/>
      <c r="AFF225" s="1"/>
      <c r="AFG225" s="1"/>
      <c r="AFH225" s="1"/>
      <c r="AFI225" s="1"/>
      <c r="AFJ225" s="1"/>
      <c r="AFK225" s="1"/>
      <c r="AFL225" s="1"/>
      <c r="AFM225" s="1"/>
      <c r="AFN225" s="1"/>
      <c r="AFO225" s="1"/>
      <c r="AFP225" s="1"/>
      <c r="AFQ225" s="1"/>
      <c r="AFR225" s="1"/>
      <c r="AFS225" s="1"/>
      <c r="AFT225" s="1"/>
      <c r="AFU225" s="1"/>
      <c r="AFV225" s="1"/>
      <c r="AFW225" s="1"/>
      <c r="AFX225" s="1"/>
      <c r="AFY225" s="1"/>
      <c r="AFZ225" s="1"/>
      <c r="AGA225" s="1"/>
      <c r="AGB225" s="1"/>
      <c r="AGC225" s="1"/>
      <c r="AGD225" s="1"/>
      <c r="AGE225" s="1"/>
      <c r="AGF225" s="1"/>
      <c r="AGG225" s="1"/>
      <c r="AGH225" s="1"/>
      <c r="AGI225" s="1"/>
      <c r="AGJ225" s="1"/>
      <c r="AGK225" s="1"/>
      <c r="AGL225" s="1"/>
      <c r="AGM225" s="1"/>
      <c r="AGN225" s="1"/>
      <c r="AGO225" s="1"/>
      <c r="AGP225" s="1"/>
      <c r="AGQ225" s="1"/>
      <c r="AGR225" s="1"/>
      <c r="AGS225" s="1"/>
      <c r="AGT225" s="1"/>
      <c r="AGU225" s="1"/>
      <c r="AGV225" s="1"/>
      <c r="AGW225" s="1"/>
      <c r="AGX225" s="1"/>
      <c r="AGY225" s="1"/>
      <c r="AGZ225" s="1"/>
      <c r="AHA225" s="1"/>
      <c r="AHB225" s="1"/>
      <c r="AHC225" s="1"/>
      <c r="AHD225" s="1"/>
      <c r="AHE225" s="1"/>
      <c r="AHF225" s="1"/>
      <c r="AHG225" s="1"/>
      <c r="AHH225" s="1"/>
      <c r="AHI225" s="1"/>
      <c r="AHJ225" s="1"/>
      <c r="AHK225" s="1"/>
      <c r="AHL225" s="1"/>
      <c r="AHM225" s="1"/>
      <c r="AHN225" s="1"/>
      <c r="AHO225" s="1"/>
      <c r="AHP225" s="1"/>
      <c r="AHQ225" s="1"/>
      <c r="AHR225" s="1"/>
      <c r="AHS225" s="1"/>
      <c r="AHT225" s="1"/>
      <c r="AHU225" s="1"/>
      <c r="AHV225" s="1"/>
      <c r="AHW225" s="1"/>
      <c r="AHX225" s="1"/>
      <c r="AHY225" s="1"/>
      <c r="AHZ225" s="1"/>
      <c r="AIA225" s="1"/>
      <c r="AIB225" s="1"/>
      <c r="AIC225" s="1"/>
      <c r="AID225" s="1"/>
      <c r="AIE225" s="1"/>
      <c r="AIF225" s="1"/>
      <c r="AIG225" s="1"/>
      <c r="AIH225" s="1"/>
      <c r="AII225" s="1"/>
      <c r="AIJ225" s="1"/>
      <c r="AIK225" s="1"/>
      <c r="AIL225" s="1"/>
      <c r="AIM225" s="1"/>
      <c r="AIN225" s="1"/>
      <c r="AIO225" s="1"/>
      <c r="AIP225" s="1"/>
      <c r="AIQ225" s="1"/>
      <c r="AIR225" s="1"/>
      <c r="AIS225" s="1"/>
      <c r="AIT225" s="1"/>
      <c r="AIU225" s="1"/>
      <c r="AIV225" s="1"/>
      <c r="AIW225" s="1"/>
      <c r="AIX225" s="1"/>
      <c r="AIY225" s="1"/>
      <c r="AIZ225" s="1"/>
      <c r="AJA225" s="1"/>
      <c r="AJB225" s="1"/>
      <c r="AJC225" s="1"/>
      <c r="AJD225" s="1"/>
      <c r="AJE225" s="1"/>
      <c r="AJF225" s="1"/>
      <c r="AJG225" s="1"/>
      <c r="AJH225" s="1"/>
      <c r="AJI225" s="1"/>
      <c r="AJJ225" s="1"/>
      <c r="AJK225" s="1"/>
      <c r="AJL225" s="1"/>
      <c r="AJM225" s="1"/>
      <c r="AJN225" s="1"/>
      <c r="AJO225" s="1"/>
      <c r="AJP225" s="1"/>
      <c r="AJQ225" s="1"/>
      <c r="AJR225" s="1"/>
      <c r="AJS225" s="1"/>
      <c r="AJT225" s="1"/>
      <c r="AJU225" s="1"/>
      <c r="AJV225" s="1"/>
      <c r="AJW225" s="1"/>
      <c r="AJX225" s="1"/>
      <c r="AJY225" s="1"/>
      <c r="AJZ225" s="1"/>
      <c r="AKA225" s="1"/>
      <c r="AKB225" s="1"/>
      <c r="AKC225" s="1"/>
      <c r="AKD225" s="1"/>
      <c r="AKE225" s="1"/>
      <c r="AKF225" s="1"/>
      <c r="AKG225" s="1"/>
      <c r="AKH225" s="1"/>
      <c r="AKI225" s="1"/>
      <c r="AKJ225" s="1"/>
      <c r="AKK225" s="1"/>
      <c r="AKL225" s="1"/>
      <c r="AKM225" s="1"/>
      <c r="AKN225" s="1"/>
      <c r="AKO225" s="1"/>
      <c r="AKP225" s="1"/>
      <c r="AKQ225" s="1"/>
      <c r="AKR225" s="1"/>
      <c r="AKS225" s="1"/>
      <c r="AKT225" s="1"/>
      <c r="AKU225" s="1"/>
      <c r="AKV225" s="1"/>
      <c r="AKW225" s="1"/>
      <c r="AKX225" s="1"/>
      <c r="AKY225" s="1"/>
      <c r="AKZ225" s="1"/>
      <c r="ALA225" s="1"/>
      <c r="ALB225" s="1"/>
      <c r="ALC225" s="1"/>
      <c r="ALD225" s="1"/>
      <c r="ALE225" s="1"/>
      <c r="ALF225" s="1"/>
      <c r="ALG225" s="1"/>
      <c r="ALH225" s="1"/>
      <c r="ALI225" s="1"/>
      <c r="ALJ225" s="1"/>
      <c r="ALK225" s="1"/>
      <c r="ALL225" s="1"/>
      <c r="ALM225" s="1"/>
      <c r="ALN225" s="1"/>
      <c r="ALO225" s="1"/>
      <c r="ALP225" s="1"/>
      <c r="ALQ225" s="1"/>
      <c r="ALR225" s="1"/>
      <c r="ALS225" s="1"/>
      <c r="ALT225" s="1"/>
      <c r="ALU225" s="1"/>
      <c r="ALV225" s="1"/>
      <c r="ALW225" s="1"/>
      <c r="ALX225" s="1"/>
      <c r="ALY225" s="1"/>
      <c r="ALZ225" s="1"/>
      <c r="AMA225" s="1"/>
      <c r="AMB225" s="1"/>
      <c r="AMC225" s="1"/>
      <c r="AMD225" s="1"/>
      <c r="AME225" s="1"/>
      <c r="AMF225" s="1"/>
      <c r="AMG225" s="1"/>
      <c r="AMH225" s="1"/>
      <c r="AMI225" s="1"/>
      <c r="AMJ225" s="1"/>
      <c r="AMK225" s="1"/>
      <c r="AML225" s="1"/>
      <c r="AMM225" s="1"/>
      <c r="AMN225" s="1"/>
      <c r="AMO225" s="1"/>
    </row>
    <row r="226" spans="1:1030" x14ac:dyDescent="0.2">
      <c r="A226" s="3" t="str">
        <f t="shared" si="755"/>
        <v>opsd_bovin_6FKC</v>
      </c>
      <c r="B226" s="3" t="s">
        <v>920</v>
      </c>
      <c r="C226" s="3" t="s">
        <v>1501</v>
      </c>
      <c r="D226" s="3" t="str">
        <f>IFERROR(MID(VLOOKUP($B226,Seqs!$A:$B,2,0),E226,1),"")</f>
        <v>E</v>
      </c>
      <c r="E226" s="3">
        <v>33</v>
      </c>
      <c r="F226" s="3" t="str">
        <f>IFERROR(MID(VLOOKUP($B226,Seqs!$A:$B,2,0),G226,1),"")</f>
        <v>Q</v>
      </c>
      <c r="G226" s="3">
        <v>64</v>
      </c>
      <c r="H226" s="3" t="str">
        <f>IFERROR(MID(VLOOKUP($B226,Seqs!$A:$B,2,0),I226,1),"")</f>
        <v>K</v>
      </c>
      <c r="I226" s="23">
        <v>66</v>
      </c>
      <c r="J226" s="3" t="str">
        <f>IFERROR(MID(VLOOKUP($B226,Seqs!$A:$B,2,0),K226,1),"")</f>
        <v>R</v>
      </c>
      <c r="K226" s="23">
        <v>69</v>
      </c>
      <c r="L226" s="3" t="str">
        <f>IFERROR(MID(VLOOKUP($B226,Seqs!$A:$B,2,0),M226,1),"")</f>
        <v>N</v>
      </c>
      <c r="M226" s="3">
        <v>73</v>
      </c>
      <c r="N226" s="3" t="str">
        <f>IFERROR(MID(VLOOKUP($B226,Seqs!$A:$B,2,0),O226,1),"")</f>
        <v>G</v>
      </c>
      <c r="O226" s="3">
        <v>101</v>
      </c>
      <c r="P226" s="3" t="str">
        <f>IFERROR(MID(VLOOKUP($B226,Seqs!$A:$B,2,0),Q226,1),"")</f>
        <v>Y</v>
      </c>
      <c r="Q226" s="3">
        <v>102</v>
      </c>
      <c r="R226" s="3" t="str">
        <f>IFERROR(MID(VLOOKUP($B226,Seqs!$A:$B,2,0),S226,1),"")</f>
        <v>G</v>
      </c>
      <c r="S226" s="3">
        <v>106</v>
      </c>
      <c r="T226" s="3" t="str">
        <f>IFERROR(MID(VLOOKUP($B226,Seqs!$A:$B,2,0),U226,1),"")</f>
        <v>P</v>
      </c>
      <c r="U226" s="3">
        <v>107</v>
      </c>
      <c r="V226" s="3" t="str">
        <f>IFERROR(MID(VLOOKUP($B226,Seqs!$A:$B,2,0),W226,1),"")</f>
        <v>K</v>
      </c>
      <c r="W226" s="3">
        <v>141</v>
      </c>
      <c r="X226" s="3" t="str">
        <f>IFERROR(MID(VLOOKUP($B226,Seqs!$A:$B,2,0),Y226,1),"")</f>
        <v/>
      </c>
      <c r="Y226" s="3" t="s">
        <v>23</v>
      </c>
      <c r="Z226" s="3" t="str">
        <f>IFERROR(MID(VLOOKUP($B226,Seqs!$A:$B,2,0),AA226,1),"")</f>
        <v/>
      </c>
      <c r="AA226" s="3" t="s">
        <v>23</v>
      </c>
      <c r="AB226" s="3" t="str">
        <f>IFERROR(MID(VLOOKUP($B226,Seqs!$A:$B,2,0),AC226,1),"")</f>
        <v>G</v>
      </c>
      <c r="AC226" s="3">
        <v>149</v>
      </c>
      <c r="AD226" s="3" t="str">
        <f>IFERROR(MID(VLOOKUP($B226,Seqs!$A:$B,2,0),AE226,1),"")</f>
        <v>V</v>
      </c>
      <c r="AE226" s="3">
        <v>173</v>
      </c>
      <c r="AF226" s="3" t="str">
        <f>IFERROR(MID(VLOOKUP($B226,Seqs!$A:$B,2,0),AG226,1),"")</f>
        <v>C</v>
      </c>
      <c r="AG226" s="3">
        <v>187</v>
      </c>
      <c r="AH226" s="3" t="str">
        <f>IFERROR(MID(VLOOKUP($B226,Seqs!$A:$B,2,0),AI226,1),"")</f>
        <v>I</v>
      </c>
      <c r="AI226" s="3">
        <v>189</v>
      </c>
      <c r="AJ226" s="3" t="str">
        <f>IFERROR(MID(VLOOKUP($B226,Seqs!$A:$B,2,0),AK226,1),"")</f>
        <v>N</v>
      </c>
      <c r="AK226" s="3">
        <v>199</v>
      </c>
      <c r="AL226" s="3" t="str">
        <f>IFERROR(MID(VLOOKUP($B226,Seqs!$A:$B,2,0),AM226,1),"")</f>
        <v>Q</v>
      </c>
      <c r="AM226" s="3">
        <v>236</v>
      </c>
      <c r="AN226" s="3" t="str">
        <f>IFERROR(MID(VLOOKUP($B226,Seqs!$A:$B,2,0),AO226,1),"")</f>
        <v>S</v>
      </c>
      <c r="AO226" s="3">
        <v>240</v>
      </c>
      <c r="AP226" s="3" t="str">
        <f>IFERROR(MID(VLOOKUP($B226,Seqs!$A:$B,2,0),AQ226,1),"")</f>
        <v>H</v>
      </c>
      <c r="AQ226" s="3">
        <v>278</v>
      </c>
      <c r="AR226" s="3" t="str">
        <f>IFERROR(MID(VLOOKUP($B226,Seqs!$A:$B,2,0),AS226,1),"")</f>
        <v>G</v>
      </c>
      <c r="AS226" s="3">
        <v>284</v>
      </c>
      <c r="AT226" s="3" t="str">
        <f>IFERROR(MID(VLOOKUP($B226,Seqs!$A:$B,2,0),AU226,1),"")</f>
        <v>M</v>
      </c>
      <c r="AU226" s="3">
        <v>309</v>
      </c>
      <c r="AV226" s="3" t="str">
        <f>IFERROR(MID(VLOOKUP($B226,Seqs!$A:$B,2,0),AW226,1),"")</f>
        <v>N</v>
      </c>
      <c r="AW226" s="3">
        <v>310</v>
      </c>
      <c r="AX226" s="3" t="str">
        <f>IFERROR(MID(VLOOKUP($B226,Seqs!$A:$B,2,0),AY226,1),"")</f>
        <v>C</v>
      </c>
      <c r="AY226" s="3">
        <v>322</v>
      </c>
      <c r="AZ226" s="77" t="str">
        <f>VLOOKUP(B226,Classification!A:D,2,0)</f>
        <v>A</v>
      </c>
      <c r="BA226" s="94" t="str">
        <f>VLOOKUP(B226,Classification!A:D,4,0)</f>
        <v>Opsins</v>
      </c>
      <c r="BB226" s="27" t="b">
        <f t="shared" si="756"/>
        <v>1</v>
      </c>
      <c r="BC226" s="23">
        <f t="shared" si="757"/>
        <v>250</v>
      </c>
      <c r="BD226" s="2" t="s">
        <v>23</v>
      </c>
      <c r="BE226" s="3" t="s">
        <v>1297</v>
      </c>
      <c r="BF226" s="119">
        <v>2.46</v>
      </c>
      <c r="BG226" s="49" t="s">
        <v>1</v>
      </c>
      <c r="BH226" s="49" t="s">
        <v>1</v>
      </c>
      <c r="BI226" s="1"/>
      <c r="BJ226" s="70" t="s">
        <v>1293</v>
      </c>
      <c r="BK226" s="57" t="s">
        <v>1293</v>
      </c>
      <c r="BL226" s="57" t="s">
        <v>1293</v>
      </c>
      <c r="BM226" s="57" t="s">
        <v>1293</v>
      </c>
      <c r="BN226" s="57" t="s">
        <v>1293</v>
      </c>
      <c r="BO226" s="57" t="s">
        <v>1293</v>
      </c>
      <c r="BP226" s="57" t="s">
        <v>1293</v>
      </c>
      <c r="BQ226" s="57" t="s">
        <v>1293</v>
      </c>
      <c r="BR226" s="57" t="s">
        <v>1293</v>
      </c>
      <c r="BS226" s="57" t="s">
        <v>1293</v>
      </c>
      <c r="BT226" s="57" t="s">
        <v>1293</v>
      </c>
      <c r="BU226" s="57" t="s">
        <v>1293</v>
      </c>
      <c r="BV226" s="70">
        <f t="shared" si="758"/>
        <v>33</v>
      </c>
      <c r="BW226" s="71">
        <f t="shared" si="759"/>
        <v>66</v>
      </c>
      <c r="BX226" s="72">
        <f t="shared" si="760"/>
        <v>73</v>
      </c>
      <c r="BY226" s="71">
        <f t="shared" si="761"/>
        <v>102</v>
      </c>
      <c r="BZ226" s="72">
        <f t="shared" si="762"/>
        <v>107</v>
      </c>
      <c r="CA226" s="71" t="str">
        <f t="shared" si="763"/>
        <v>-</v>
      </c>
      <c r="CB226" s="72">
        <f t="shared" si="764"/>
        <v>149</v>
      </c>
      <c r="CC226" s="71">
        <f t="shared" si="765"/>
        <v>187</v>
      </c>
      <c r="CD226" s="72">
        <f t="shared" si="766"/>
        <v>199</v>
      </c>
      <c r="CE226" s="71">
        <f t="shared" si="767"/>
        <v>240</v>
      </c>
      <c r="CF226" s="72">
        <f t="shared" si="768"/>
        <v>284</v>
      </c>
      <c r="CG226" s="71">
        <f t="shared" si="769"/>
        <v>310</v>
      </c>
      <c r="CH226" s="70">
        <f t="shared" si="770"/>
        <v>64</v>
      </c>
      <c r="CI226" s="71">
        <f t="shared" si="771"/>
        <v>69</v>
      </c>
      <c r="CJ226" s="72">
        <f t="shared" si="772"/>
        <v>101</v>
      </c>
      <c r="CK226" s="72">
        <f t="shared" si="773"/>
        <v>106</v>
      </c>
      <c r="CL226" s="72">
        <f t="shared" si="774"/>
        <v>141</v>
      </c>
      <c r="CM226" s="72" t="str">
        <f t="shared" si="775"/>
        <v>-</v>
      </c>
      <c r="CN226" s="72">
        <f t="shared" si="776"/>
        <v>173</v>
      </c>
      <c r="CO226" s="72">
        <f t="shared" si="777"/>
        <v>189</v>
      </c>
      <c r="CP226" s="72">
        <f t="shared" si="778"/>
        <v>236</v>
      </c>
      <c r="CQ226" s="72">
        <f t="shared" si="779"/>
        <v>278</v>
      </c>
      <c r="CR226" s="72">
        <f t="shared" si="780"/>
        <v>309</v>
      </c>
      <c r="CS226" s="72">
        <f t="shared" si="781"/>
        <v>322</v>
      </c>
      <c r="CT226" s="23">
        <f t="shared" si="782"/>
        <v>4</v>
      </c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  <c r="OK226" s="1"/>
      <c r="OL226" s="1"/>
      <c r="OM226" s="1"/>
      <c r="ON226" s="1"/>
      <c r="OO226" s="1"/>
      <c r="OP226" s="1"/>
      <c r="OQ226" s="1"/>
      <c r="OR226" s="1"/>
      <c r="OS226" s="1"/>
      <c r="OT226" s="1"/>
      <c r="OU226" s="1"/>
      <c r="OV226" s="1"/>
      <c r="OW226" s="1"/>
      <c r="OX226" s="1"/>
      <c r="OY226" s="1"/>
      <c r="OZ226" s="1"/>
      <c r="PA226" s="1"/>
      <c r="PB226" s="1"/>
      <c r="PC226" s="1"/>
      <c r="PD226" s="1"/>
      <c r="PE226" s="1"/>
      <c r="PF226" s="1"/>
      <c r="PG226" s="1"/>
      <c r="PH226" s="1"/>
      <c r="PI226" s="1"/>
      <c r="PJ226" s="1"/>
      <c r="PK226" s="1"/>
      <c r="PL226" s="1"/>
      <c r="PM226" s="1"/>
      <c r="PN226" s="1"/>
      <c r="PO226" s="1"/>
      <c r="PP226" s="1"/>
      <c r="PQ226" s="1"/>
      <c r="PR226" s="1"/>
      <c r="PS226" s="1"/>
      <c r="PT226" s="1"/>
      <c r="PU226" s="1"/>
      <c r="PV226" s="1"/>
      <c r="PW226" s="1"/>
      <c r="PX226" s="1"/>
      <c r="PY226" s="1"/>
      <c r="PZ226" s="1"/>
      <c r="QA226" s="1"/>
      <c r="QB226" s="1"/>
      <c r="QC226" s="1"/>
      <c r="QD226" s="1"/>
      <c r="QE226" s="1"/>
      <c r="QF226" s="1"/>
      <c r="QG226" s="1"/>
      <c r="QH226" s="1"/>
      <c r="QI226" s="1"/>
      <c r="QJ226" s="1"/>
      <c r="QK226" s="1"/>
      <c r="QL226" s="1"/>
      <c r="QM226" s="1"/>
      <c r="QN226" s="1"/>
      <c r="QO226" s="1"/>
      <c r="QP226" s="1"/>
      <c r="QQ226" s="1"/>
      <c r="QR226" s="1"/>
      <c r="QS226" s="1"/>
      <c r="QT226" s="1"/>
      <c r="QU226" s="1"/>
      <c r="QV226" s="1"/>
      <c r="QW226" s="1"/>
      <c r="QX226" s="1"/>
      <c r="QY226" s="1"/>
      <c r="QZ226" s="1"/>
      <c r="RA226" s="1"/>
      <c r="RB226" s="1"/>
      <c r="RC226" s="1"/>
      <c r="RD226" s="1"/>
      <c r="RE226" s="1"/>
      <c r="RF226" s="1"/>
      <c r="RG226" s="1"/>
      <c r="RH226" s="1"/>
      <c r="RI226" s="1"/>
      <c r="RJ226" s="1"/>
      <c r="RK226" s="1"/>
      <c r="RL226" s="1"/>
      <c r="RM226" s="1"/>
      <c r="RN226" s="1"/>
      <c r="RO226" s="1"/>
      <c r="RP226" s="1"/>
      <c r="RQ226" s="1"/>
      <c r="RR226" s="1"/>
      <c r="RS226" s="1"/>
      <c r="RT226" s="1"/>
      <c r="RU226" s="1"/>
      <c r="RV226" s="1"/>
      <c r="RW226" s="1"/>
      <c r="RX226" s="1"/>
      <c r="RY226" s="1"/>
      <c r="RZ226" s="1"/>
      <c r="SA226" s="1"/>
      <c r="SB226" s="1"/>
      <c r="SC226" s="1"/>
      <c r="SD226" s="1"/>
      <c r="SE226" s="1"/>
      <c r="SF226" s="1"/>
      <c r="SG226" s="1"/>
      <c r="SH226" s="1"/>
      <c r="SI226" s="1"/>
      <c r="SJ226" s="1"/>
      <c r="SK226" s="1"/>
      <c r="SL226" s="1"/>
      <c r="SM226" s="1"/>
      <c r="SN226" s="1"/>
      <c r="SO226" s="1"/>
      <c r="SP226" s="1"/>
      <c r="SQ226" s="1"/>
      <c r="SR226" s="1"/>
      <c r="SS226" s="1"/>
      <c r="ST226" s="1"/>
      <c r="SU226" s="1"/>
      <c r="SV226" s="1"/>
      <c r="SW226" s="1"/>
      <c r="SX226" s="1"/>
      <c r="SY226" s="1"/>
      <c r="SZ226" s="1"/>
      <c r="TA226" s="1"/>
      <c r="TB226" s="1"/>
      <c r="TC226" s="1"/>
      <c r="TD226" s="1"/>
      <c r="TE226" s="1"/>
      <c r="TF226" s="1"/>
      <c r="TG226" s="1"/>
      <c r="TH226" s="1"/>
      <c r="TI226" s="1"/>
      <c r="TJ226" s="1"/>
      <c r="TK226" s="1"/>
      <c r="TL226" s="1"/>
      <c r="TM226" s="1"/>
      <c r="TN226" s="1"/>
      <c r="TO226" s="1"/>
      <c r="TP226" s="1"/>
      <c r="TQ226" s="1"/>
      <c r="TR226" s="1"/>
      <c r="TS226" s="1"/>
      <c r="TT226" s="1"/>
      <c r="TU226" s="1"/>
      <c r="TV226" s="1"/>
      <c r="TW226" s="1"/>
      <c r="TX226" s="1"/>
      <c r="TY226" s="1"/>
      <c r="TZ226" s="1"/>
      <c r="UA226" s="1"/>
      <c r="UB226" s="1"/>
      <c r="UC226" s="1"/>
      <c r="UD226" s="1"/>
      <c r="UE226" s="1"/>
      <c r="UF226" s="1"/>
      <c r="UG226" s="1"/>
      <c r="UH226" s="1"/>
      <c r="UI226" s="1"/>
      <c r="UJ226" s="1"/>
      <c r="UK226" s="1"/>
      <c r="UL226" s="1"/>
      <c r="UM226" s="1"/>
      <c r="UN226" s="1"/>
      <c r="UO226" s="1"/>
      <c r="UP226" s="1"/>
      <c r="UQ226" s="1"/>
      <c r="UR226" s="1"/>
      <c r="US226" s="1"/>
      <c r="UT226" s="1"/>
      <c r="UU226" s="1"/>
      <c r="UV226" s="1"/>
      <c r="UW226" s="1"/>
      <c r="UX226" s="1"/>
      <c r="UY226" s="1"/>
      <c r="UZ226" s="1"/>
      <c r="VA226" s="1"/>
      <c r="VB226" s="1"/>
      <c r="VC226" s="1"/>
      <c r="VD226" s="1"/>
      <c r="VE226" s="1"/>
      <c r="VF226" s="1"/>
      <c r="VG226" s="1"/>
      <c r="VH226" s="1"/>
      <c r="VI226" s="1"/>
      <c r="VJ226" s="1"/>
      <c r="VK226" s="1"/>
      <c r="VL226" s="1"/>
      <c r="VM226" s="1"/>
      <c r="VN226" s="1"/>
      <c r="VO226" s="1"/>
      <c r="VP226" s="1"/>
      <c r="VQ226" s="1"/>
      <c r="VR226" s="1"/>
      <c r="VS226" s="1"/>
      <c r="VT226" s="1"/>
      <c r="VU226" s="1"/>
      <c r="VV226" s="1"/>
      <c r="VW226" s="1"/>
      <c r="VX226" s="1"/>
      <c r="VY226" s="1"/>
      <c r="VZ226" s="1"/>
      <c r="WA226" s="1"/>
      <c r="WB226" s="1"/>
      <c r="WC226" s="1"/>
      <c r="WD226" s="1"/>
      <c r="WE226" s="1"/>
      <c r="WF226" s="1"/>
      <c r="WG226" s="1"/>
      <c r="WH226" s="1"/>
      <c r="WI226" s="1"/>
      <c r="WJ226" s="1"/>
      <c r="WK226" s="1"/>
      <c r="WL226" s="1"/>
      <c r="WM226" s="1"/>
      <c r="WN226" s="1"/>
      <c r="WO226" s="1"/>
      <c r="WP226" s="1"/>
      <c r="WQ226" s="1"/>
      <c r="WR226" s="1"/>
      <c r="WS226" s="1"/>
      <c r="WT226" s="1"/>
      <c r="WU226" s="1"/>
      <c r="WV226" s="1"/>
      <c r="WW226" s="1"/>
      <c r="WX226" s="1"/>
      <c r="WY226" s="1"/>
      <c r="WZ226" s="1"/>
      <c r="XA226" s="1"/>
      <c r="XB226" s="1"/>
      <c r="XC226" s="1"/>
      <c r="XD226" s="1"/>
      <c r="XE226" s="1"/>
      <c r="XF226" s="1"/>
      <c r="XG226" s="1"/>
      <c r="XH226" s="1"/>
      <c r="XI226" s="1"/>
      <c r="XJ226" s="1"/>
      <c r="XK226" s="1"/>
      <c r="XL226" s="1"/>
      <c r="XM226" s="1"/>
      <c r="XN226" s="1"/>
      <c r="XO226" s="1"/>
      <c r="XP226" s="1"/>
      <c r="XQ226" s="1"/>
      <c r="XR226" s="1"/>
      <c r="XS226" s="1"/>
      <c r="XT226" s="1"/>
      <c r="XU226" s="1"/>
      <c r="XV226" s="1"/>
      <c r="XW226" s="1"/>
      <c r="XX226" s="1"/>
      <c r="XY226" s="1"/>
      <c r="XZ226" s="1"/>
      <c r="YA226" s="1"/>
      <c r="YB226" s="1"/>
      <c r="YC226" s="1"/>
      <c r="YD226" s="1"/>
      <c r="YE226" s="1"/>
      <c r="YF226" s="1"/>
      <c r="YG226" s="1"/>
      <c r="YH226" s="1"/>
      <c r="YI226" s="1"/>
      <c r="YJ226" s="1"/>
      <c r="YK226" s="1"/>
      <c r="YL226" s="1"/>
      <c r="YM226" s="1"/>
      <c r="YN226" s="1"/>
      <c r="YO226" s="1"/>
      <c r="YP226" s="1"/>
      <c r="YQ226" s="1"/>
      <c r="YR226" s="1"/>
      <c r="YS226" s="1"/>
      <c r="YT226" s="1"/>
      <c r="YU226" s="1"/>
      <c r="YV226" s="1"/>
      <c r="YW226" s="1"/>
      <c r="YX226" s="1"/>
      <c r="YY226" s="1"/>
      <c r="YZ226" s="1"/>
      <c r="ZA226" s="1"/>
      <c r="ZB226" s="1"/>
      <c r="ZC226" s="1"/>
      <c r="ZD226" s="1"/>
      <c r="ZE226" s="1"/>
      <c r="ZF226" s="1"/>
      <c r="ZG226" s="1"/>
      <c r="ZH226" s="1"/>
      <c r="ZI226" s="1"/>
      <c r="ZJ226" s="1"/>
      <c r="ZK226" s="1"/>
      <c r="ZL226" s="1"/>
      <c r="ZM226" s="1"/>
      <c r="ZN226" s="1"/>
      <c r="ZO226" s="1"/>
      <c r="ZP226" s="1"/>
      <c r="ZQ226" s="1"/>
      <c r="ZR226" s="1"/>
      <c r="ZS226" s="1"/>
      <c r="ZT226" s="1"/>
      <c r="ZU226" s="1"/>
      <c r="ZV226" s="1"/>
      <c r="ZW226" s="1"/>
      <c r="ZX226" s="1"/>
      <c r="ZY226" s="1"/>
      <c r="ZZ226" s="1"/>
      <c r="AAA226" s="1"/>
      <c r="AAB226" s="1"/>
      <c r="AAC226" s="1"/>
      <c r="AAD226" s="1"/>
      <c r="AAE226" s="1"/>
      <c r="AAF226" s="1"/>
      <c r="AAG226" s="1"/>
      <c r="AAH226" s="1"/>
      <c r="AAI226" s="1"/>
      <c r="AAJ226" s="1"/>
      <c r="AAK226" s="1"/>
      <c r="AAL226" s="1"/>
      <c r="AAM226" s="1"/>
      <c r="AAN226" s="1"/>
      <c r="AAO226" s="1"/>
      <c r="AAP226" s="1"/>
      <c r="AAQ226" s="1"/>
      <c r="AAR226" s="1"/>
      <c r="AAS226" s="1"/>
      <c r="AAT226" s="1"/>
      <c r="AAU226" s="1"/>
      <c r="AAV226" s="1"/>
      <c r="AAW226" s="1"/>
      <c r="AAX226" s="1"/>
      <c r="AAY226" s="1"/>
      <c r="AAZ226" s="1"/>
      <c r="ABA226" s="1"/>
      <c r="ABB226" s="1"/>
      <c r="ABC226" s="1"/>
      <c r="ABD226" s="1"/>
      <c r="ABE226" s="1"/>
      <c r="ABF226" s="1"/>
      <c r="ABG226" s="1"/>
      <c r="ABH226" s="1"/>
      <c r="ABI226" s="1"/>
      <c r="ABJ226" s="1"/>
      <c r="ABK226" s="1"/>
      <c r="ABL226" s="1"/>
      <c r="ABM226" s="1"/>
      <c r="ABN226" s="1"/>
      <c r="ABO226" s="1"/>
      <c r="ABP226" s="1"/>
      <c r="ABQ226" s="1"/>
      <c r="ABR226" s="1"/>
      <c r="ABS226" s="1"/>
      <c r="ABT226" s="1"/>
      <c r="ABU226" s="1"/>
      <c r="ABV226" s="1"/>
      <c r="ABW226" s="1"/>
      <c r="ABX226" s="1"/>
      <c r="ABY226" s="1"/>
      <c r="ABZ226" s="1"/>
      <c r="ACA226" s="1"/>
      <c r="ACB226" s="1"/>
      <c r="ACC226" s="1"/>
      <c r="ACD226" s="1"/>
      <c r="ACE226" s="1"/>
      <c r="ACF226" s="1"/>
      <c r="ACG226" s="1"/>
      <c r="ACH226" s="1"/>
      <c r="ACI226" s="1"/>
      <c r="ACJ226" s="1"/>
      <c r="ACK226" s="1"/>
      <c r="ACL226" s="1"/>
      <c r="ACM226" s="1"/>
      <c r="ACN226" s="1"/>
      <c r="ACO226" s="1"/>
      <c r="ACP226" s="1"/>
      <c r="ACQ226" s="1"/>
      <c r="ACR226" s="1"/>
      <c r="ACS226" s="1"/>
      <c r="ACT226" s="1"/>
      <c r="ACU226" s="1"/>
      <c r="ACV226" s="1"/>
      <c r="ACW226" s="1"/>
      <c r="ACX226" s="1"/>
      <c r="ACY226" s="1"/>
      <c r="ACZ226" s="1"/>
      <c r="ADA226" s="1"/>
      <c r="ADB226" s="1"/>
      <c r="ADC226" s="1"/>
      <c r="ADD226" s="1"/>
      <c r="ADE226" s="1"/>
      <c r="ADF226" s="1"/>
      <c r="ADG226" s="1"/>
      <c r="ADH226" s="1"/>
      <c r="ADI226" s="1"/>
      <c r="ADJ226" s="1"/>
      <c r="ADK226" s="1"/>
      <c r="ADL226" s="1"/>
      <c r="ADM226" s="1"/>
      <c r="ADN226" s="1"/>
      <c r="ADO226" s="1"/>
      <c r="ADP226" s="1"/>
      <c r="ADQ226" s="1"/>
      <c r="ADR226" s="1"/>
      <c r="ADS226" s="1"/>
      <c r="ADT226" s="1"/>
      <c r="ADU226" s="1"/>
      <c r="ADV226" s="1"/>
      <c r="ADW226" s="1"/>
      <c r="ADX226" s="1"/>
      <c r="ADY226" s="1"/>
      <c r="ADZ226" s="1"/>
      <c r="AEA226" s="1"/>
      <c r="AEB226" s="1"/>
      <c r="AEC226" s="1"/>
      <c r="AED226" s="1"/>
      <c r="AEE226" s="1"/>
      <c r="AEF226" s="1"/>
      <c r="AEG226" s="1"/>
      <c r="AEH226" s="1"/>
      <c r="AEI226" s="1"/>
      <c r="AEJ226" s="1"/>
      <c r="AEK226" s="1"/>
      <c r="AEL226" s="1"/>
      <c r="AEM226" s="1"/>
      <c r="AEN226" s="1"/>
      <c r="AEO226" s="1"/>
      <c r="AEP226" s="1"/>
      <c r="AEQ226" s="1"/>
      <c r="AER226" s="1"/>
      <c r="AES226" s="1"/>
      <c r="AET226" s="1"/>
      <c r="AEU226" s="1"/>
      <c r="AEV226" s="1"/>
      <c r="AEW226" s="1"/>
      <c r="AEX226" s="1"/>
      <c r="AEY226" s="1"/>
      <c r="AEZ226" s="1"/>
      <c r="AFA226" s="1"/>
      <c r="AFB226" s="1"/>
      <c r="AFC226" s="1"/>
      <c r="AFD226" s="1"/>
      <c r="AFE226" s="1"/>
      <c r="AFF226" s="1"/>
      <c r="AFG226" s="1"/>
      <c r="AFH226" s="1"/>
      <c r="AFI226" s="1"/>
      <c r="AFJ226" s="1"/>
      <c r="AFK226" s="1"/>
      <c r="AFL226" s="1"/>
      <c r="AFM226" s="1"/>
      <c r="AFN226" s="1"/>
      <c r="AFO226" s="1"/>
      <c r="AFP226" s="1"/>
      <c r="AFQ226" s="1"/>
      <c r="AFR226" s="1"/>
      <c r="AFS226" s="1"/>
      <c r="AFT226" s="1"/>
      <c r="AFU226" s="1"/>
      <c r="AFV226" s="1"/>
      <c r="AFW226" s="1"/>
      <c r="AFX226" s="1"/>
      <c r="AFY226" s="1"/>
      <c r="AFZ226" s="1"/>
      <c r="AGA226" s="1"/>
      <c r="AGB226" s="1"/>
      <c r="AGC226" s="1"/>
      <c r="AGD226" s="1"/>
      <c r="AGE226" s="1"/>
      <c r="AGF226" s="1"/>
      <c r="AGG226" s="1"/>
      <c r="AGH226" s="1"/>
      <c r="AGI226" s="1"/>
      <c r="AGJ226" s="1"/>
      <c r="AGK226" s="1"/>
      <c r="AGL226" s="1"/>
      <c r="AGM226" s="1"/>
      <c r="AGN226" s="1"/>
      <c r="AGO226" s="1"/>
      <c r="AGP226" s="1"/>
      <c r="AGQ226" s="1"/>
      <c r="AGR226" s="1"/>
      <c r="AGS226" s="1"/>
      <c r="AGT226" s="1"/>
      <c r="AGU226" s="1"/>
      <c r="AGV226" s="1"/>
      <c r="AGW226" s="1"/>
      <c r="AGX226" s="1"/>
      <c r="AGY226" s="1"/>
      <c r="AGZ226" s="1"/>
      <c r="AHA226" s="1"/>
      <c r="AHB226" s="1"/>
      <c r="AHC226" s="1"/>
      <c r="AHD226" s="1"/>
      <c r="AHE226" s="1"/>
      <c r="AHF226" s="1"/>
      <c r="AHG226" s="1"/>
      <c r="AHH226" s="1"/>
      <c r="AHI226" s="1"/>
      <c r="AHJ226" s="1"/>
      <c r="AHK226" s="1"/>
      <c r="AHL226" s="1"/>
      <c r="AHM226" s="1"/>
      <c r="AHN226" s="1"/>
      <c r="AHO226" s="1"/>
      <c r="AHP226" s="1"/>
      <c r="AHQ226" s="1"/>
      <c r="AHR226" s="1"/>
      <c r="AHS226" s="1"/>
      <c r="AHT226" s="1"/>
      <c r="AHU226" s="1"/>
      <c r="AHV226" s="1"/>
      <c r="AHW226" s="1"/>
      <c r="AHX226" s="1"/>
      <c r="AHY226" s="1"/>
      <c r="AHZ226" s="1"/>
      <c r="AIA226" s="1"/>
      <c r="AIB226" s="1"/>
      <c r="AIC226" s="1"/>
      <c r="AID226" s="1"/>
      <c r="AIE226" s="1"/>
      <c r="AIF226" s="1"/>
      <c r="AIG226" s="1"/>
      <c r="AIH226" s="1"/>
      <c r="AII226" s="1"/>
      <c r="AIJ226" s="1"/>
      <c r="AIK226" s="1"/>
      <c r="AIL226" s="1"/>
      <c r="AIM226" s="1"/>
      <c r="AIN226" s="1"/>
      <c r="AIO226" s="1"/>
      <c r="AIP226" s="1"/>
      <c r="AIQ226" s="1"/>
      <c r="AIR226" s="1"/>
      <c r="AIS226" s="1"/>
      <c r="AIT226" s="1"/>
      <c r="AIU226" s="1"/>
      <c r="AIV226" s="1"/>
      <c r="AIW226" s="1"/>
      <c r="AIX226" s="1"/>
      <c r="AIY226" s="1"/>
      <c r="AIZ226" s="1"/>
      <c r="AJA226" s="1"/>
      <c r="AJB226" s="1"/>
      <c r="AJC226" s="1"/>
      <c r="AJD226" s="1"/>
      <c r="AJE226" s="1"/>
      <c r="AJF226" s="1"/>
      <c r="AJG226" s="1"/>
      <c r="AJH226" s="1"/>
      <c r="AJI226" s="1"/>
      <c r="AJJ226" s="1"/>
      <c r="AJK226" s="1"/>
      <c r="AJL226" s="1"/>
      <c r="AJM226" s="1"/>
      <c r="AJN226" s="1"/>
      <c r="AJO226" s="1"/>
      <c r="AJP226" s="1"/>
      <c r="AJQ226" s="1"/>
      <c r="AJR226" s="1"/>
      <c r="AJS226" s="1"/>
      <c r="AJT226" s="1"/>
      <c r="AJU226" s="1"/>
      <c r="AJV226" s="1"/>
      <c r="AJW226" s="1"/>
      <c r="AJX226" s="1"/>
      <c r="AJY226" s="1"/>
      <c r="AJZ226" s="1"/>
      <c r="AKA226" s="1"/>
      <c r="AKB226" s="1"/>
      <c r="AKC226" s="1"/>
      <c r="AKD226" s="1"/>
      <c r="AKE226" s="1"/>
      <c r="AKF226" s="1"/>
      <c r="AKG226" s="1"/>
      <c r="AKH226" s="1"/>
      <c r="AKI226" s="1"/>
      <c r="AKJ226" s="1"/>
      <c r="AKK226" s="1"/>
      <c r="AKL226" s="1"/>
      <c r="AKM226" s="1"/>
      <c r="AKN226" s="1"/>
      <c r="AKO226" s="1"/>
      <c r="AKP226" s="1"/>
      <c r="AKQ226" s="1"/>
      <c r="AKR226" s="1"/>
      <c r="AKS226" s="1"/>
      <c r="AKT226" s="1"/>
      <c r="AKU226" s="1"/>
      <c r="AKV226" s="1"/>
      <c r="AKW226" s="1"/>
      <c r="AKX226" s="1"/>
      <c r="AKY226" s="1"/>
      <c r="AKZ226" s="1"/>
      <c r="ALA226" s="1"/>
      <c r="ALB226" s="1"/>
      <c r="ALC226" s="1"/>
      <c r="ALD226" s="1"/>
      <c r="ALE226" s="1"/>
      <c r="ALF226" s="1"/>
      <c r="ALG226" s="1"/>
      <c r="ALH226" s="1"/>
      <c r="ALI226" s="1"/>
      <c r="ALJ226" s="1"/>
      <c r="ALK226" s="1"/>
      <c r="ALL226" s="1"/>
      <c r="ALM226" s="1"/>
      <c r="ALN226" s="1"/>
      <c r="ALO226" s="1"/>
      <c r="ALP226" s="1"/>
      <c r="ALQ226" s="1"/>
      <c r="ALR226" s="1"/>
      <c r="ALS226" s="1"/>
      <c r="ALT226" s="1"/>
      <c r="ALU226" s="1"/>
      <c r="ALV226" s="1"/>
      <c r="ALW226" s="1"/>
      <c r="ALX226" s="1"/>
      <c r="ALY226" s="1"/>
      <c r="ALZ226" s="1"/>
      <c r="AMA226" s="1"/>
      <c r="AMB226" s="1"/>
      <c r="AMC226" s="1"/>
      <c r="AMD226" s="1"/>
      <c r="AME226" s="1"/>
      <c r="AMF226" s="1"/>
      <c r="AMG226" s="1"/>
      <c r="AMH226" s="1"/>
      <c r="AMI226" s="1"/>
      <c r="AMJ226" s="1"/>
      <c r="AMK226" s="1"/>
      <c r="AML226" s="1"/>
      <c r="AMM226" s="1"/>
      <c r="AMN226" s="1"/>
      <c r="AMO226" s="1"/>
    </row>
    <row r="227" spans="1:1030" x14ac:dyDescent="0.2">
      <c r="A227" s="3" t="str">
        <f t="shared" si="755"/>
        <v>opsd_bovin_6FKD</v>
      </c>
      <c r="B227" s="3" t="s">
        <v>920</v>
      </c>
      <c r="C227" s="3" t="s">
        <v>1502</v>
      </c>
      <c r="D227" s="3" t="str">
        <f>IFERROR(MID(VLOOKUP($B227,Seqs!$A:$B,2,0),E227,1),"")</f>
        <v>E</v>
      </c>
      <c r="E227" s="3">
        <v>33</v>
      </c>
      <c r="F227" s="3" t="str">
        <f>IFERROR(MID(VLOOKUP($B227,Seqs!$A:$B,2,0),G227,1),"")</f>
        <v>Q</v>
      </c>
      <c r="G227" s="3">
        <v>64</v>
      </c>
      <c r="H227" s="3" t="str">
        <f>IFERROR(MID(VLOOKUP($B227,Seqs!$A:$B,2,0),I227,1),"")</f>
        <v>K</v>
      </c>
      <c r="I227" s="23">
        <v>66</v>
      </c>
      <c r="J227" s="3" t="str">
        <f>IFERROR(MID(VLOOKUP($B227,Seqs!$A:$B,2,0),K227,1),"")</f>
        <v>R</v>
      </c>
      <c r="K227" s="23">
        <v>69</v>
      </c>
      <c r="L227" s="3" t="str">
        <f>IFERROR(MID(VLOOKUP($B227,Seqs!$A:$B,2,0),M227,1),"")</f>
        <v>N</v>
      </c>
      <c r="M227" s="3">
        <v>73</v>
      </c>
      <c r="N227" s="3" t="str">
        <f>IFERROR(MID(VLOOKUP($B227,Seqs!$A:$B,2,0),O227,1),"")</f>
        <v>G</v>
      </c>
      <c r="O227" s="3">
        <v>101</v>
      </c>
      <c r="P227" s="3" t="str">
        <f>IFERROR(MID(VLOOKUP($B227,Seqs!$A:$B,2,0),Q227,1),"")</f>
        <v>Y</v>
      </c>
      <c r="Q227" s="3">
        <v>102</v>
      </c>
      <c r="R227" s="3" t="str">
        <f>IFERROR(MID(VLOOKUP($B227,Seqs!$A:$B,2,0),S227,1),"")</f>
        <v>G</v>
      </c>
      <c r="S227" s="3">
        <v>106</v>
      </c>
      <c r="T227" s="3" t="str">
        <f>IFERROR(MID(VLOOKUP($B227,Seqs!$A:$B,2,0),U227,1),"")</f>
        <v>P</v>
      </c>
      <c r="U227" s="3">
        <v>107</v>
      </c>
      <c r="V227" s="3" t="str">
        <f>IFERROR(MID(VLOOKUP($B227,Seqs!$A:$B,2,0),W227,1),"")</f>
        <v>K</v>
      </c>
      <c r="W227" s="3">
        <v>141</v>
      </c>
      <c r="X227" s="3" t="str">
        <f>IFERROR(MID(VLOOKUP($B227,Seqs!$A:$B,2,0),Y227,1),"")</f>
        <v/>
      </c>
      <c r="Y227" s="3" t="s">
        <v>23</v>
      </c>
      <c r="Z227" s="3" t="str">
        <f>IFERROR(MID(VLOOKUP($B227,Seqs!$A:$B,2,0),AA227,1),"")</f>
        <v/>
      </c>
      <c r="AA227" s="3" t="s">
        <v>23</v>
      </c>
      <c r="AB227" s="3" t="str">
        <f>IFERROR(MID(VLOOKUP($B227,Seqs!$A:$B,2,0),AC227,1),"")</f>
        <v>G</v>
      </c>
      <c r="AC227" s="3">
        <v>149</v>
      </c>
      <c r="AD227" s="3" t="str">
        <f>IFERROR(MID(VLOOKUP($B227,Seqs!$A:$B,2,0),AE227,1),"")</f>
        <v>V</v>
      </c>
      <c r="AE227" s="3">
        <v>173</v>
      </c>
      <c r="AF227" s="3" t="str">
        <f>IFERROR(MID(VLOOKUP($B227,Seqs!$A:$B,2,0),AG227,1),"")</f>
        <v>C</v>
      </c>
      <c r="AG227" s="3">
        <v>187</v>
      </c>
      <c r="AH227" s="3" t="str">
        <f>IFERROR(MID(VLOOKUP($B227,Seqs!$A:$B,2,0),AI227,1),"")</f>
        <v>I</v>
      </c>
      <c r="AI227" s="3">
        <v>189</v>
      </c>
      <c r="AJ227" s="3" t="str">
        <f>IFERROR(MID(VLOOKUP($B227,Seqs!$A:$B,2,0),AK227,1),"")</f>
        <v>N</v>
      </c>
      <c r="AK227" s="3">
        <v>199</v>
      </c>
      <c r="AL227" s="3" t="str">
        <f>IFERROR(MID(VLOOKUP($B227,Seqs!$A:$B,2,0),AM227,1),"")</f>
        <v>Q</v>
      </c>
      <c r="AM227" s="3">
        <v>236</v>
      </c>
      <c r="AN227" s="3" t="str">
        <f>IFERROR(MID(VLOOKUP($B227,Seqs!$A:$B,2,0),AO227,1),"")</f>
        <v>S</v>
      </c>
      <c r="AO227" s="3">
        <v>240</v>
      </c>
      <c r="AP227" s="3" t="str">
        <f>IFERROR(MID(VLOOKUP($B227,Seqs!$A:$B,2,0),AQ227,1),"")</f>
        <v>H</v>
      </c>
      <c r="AQ227" s="3">
        <v>278</v>
      </c>
      <c r="AR227" s="3" t="str">
        <f>IFERROR(MID(VLOOKUP($B227,Seqs!$A:$B,2,0),AS227,1),"")</f>
        <v>G</v>
      </c>
      <c r="AS227" s="3">
        <v>284</v>
      </c>
      <c r="AT227" s="3" t="str">
        <f>IFERROR(MID(VLOOKUP($B227,Seqs!$A:$B,2,0),AU227,1),"")</f>
        <v>M</v>
      </c>
      <c r="AU227" s="3">
        <v>309</v>
      </c>
      <c r="AV227" s="3" t="str">
        <f>IFERROR(MID(VLOOKUP($B227,Seqs!$A:$B,2,0),AW227,1),"")</f>
        <v>N</v>
      </c>
      <c r="AW227" s="3">
        <v>310</v>
      </c>
      <c r="AX227" s="3" t="str">
        <f>IFERROR(MID(VLOOKUP($B227,Seqs!$A:$B,2,0),AY227,1),"")</f>
        <v>C</v>
      </c>
      <c r="AY227" s="3">
        <v>322</v>
      </c>
      <c r="AZ227" s="77" t="str">
        <f>VLOOKUP(B227,Classification!A:D,2,0)</f>
        <v>A</v>
      </c>
      <c r="BA227" s="94" t="str">
        <f>VLOOKUP(B227,Classification!A:D,4,0)</f>
        <v>Opsins</v>
      </c>
      <c r="BB227" s="27" t="b">
        <f t="shared" si="756"/>
        <v>1</v>
      </c>
      <c r="BC227" s="23">
        <f t="shared" si="757"/>
        <v>250</v>
      </c>
      <c r="BD227" s="2" t="s">
        <v>23</v>
      </c>
      <c r="BE227" s="3" t="s">
        <v>1297</v>
      </c>
      <c r="BF227" s="119">
        <v>2.4900000000000002</v>
      </c>
      <c r="BG227" s="49" t="s">
        <v>1</v>
      </c>
      <c r="BH227" s="49" t="s">
        <v>1</v>
      </c>
      <c r="BI227" s="1"/>
      <c r="BJ227" s="70" t="s">
        <v>1293</v>
      </c>
      <c r="BK227" s="57" t="s">
        <v>1293</v>
      </c>
      <c r="BL227" s="57" t="s">
        <v>1293</v>
      </c>
      <c r="BM227" s="57" t="s">
        <v>1293</v>
      </c>
      <c r="BN227" s="57" t="s">
        <v>1293</v>
      </c>
      <c r="BO227" s="57" t="s">
        <v>1293</v>
      </c>
      <c r="BP227" s="57" t="s">
        <v>1293</v>
      </c>
      <c r="BQ227" s="57" t="s">
        <v>1293</v>
      </c>
      <c r="BR227" s="57" t="s">
        <v>1293</v>
      </c>
      <c r="BS227" s="57" t="s">
        <v>1293</v>
      </c>
      <c r="BT227" s="57" t="s">
        <v>1293</v>
      </c>
      <c r="BU227" s="57" t="s">
        <v>1293</v>
      </c>
      <c r="BV227" s="70">
        <f t="shared" si="758"/>
        <v>33</v>
      </c>
      <c r="BW227" s="71">
        <f t="shared" si="759"/>
        <v>66</v>
      </c>
      <c r="BX227" s="72">
        <f t="shared" si="760"/>
        <v>73</v>
      </c>
      <c r="BY227" s="71">
        <f t="shared" si="761"/>
        <v>102</v>
      </c>
      <c r="BZ227" s="72">
        <f t="shared" si="762"/>
        <v>107</v>
      </c>
      <c r="CA227" s="71" t="str">
        <f t="shared" si="763"/>
        <v>-</v>
      </c>
      <c r="CB227" s="72">
        <f t="shared" si="764"/>
        <v>149</v>
      </c>
      <c r="CC227" s="71">
        <f t="shared" si="765"/>
        <v>187</v>
      </c>
      <c r="CD227" s="72">
        <f t="shared" si="766"/>
        <v>199</v>
      </c>
      <c r="CE227" s="71">
        <f t="shared" si="767"/>
        <v>240</v>
      </c>
      <c r="CF227" s="72">
        <f t="shared" si="768"/>
        <v>284</v>
      </c>
      <c r="CG227" s="71">
        <f t="shared" si="769"/>
        <v>310</v>
      </c>
      <c r="CH227" s="70">
        <f t="shared" si="770"/>
        <v>64</v>
      </c>
      <c r="CI227" s="71">
        <f t="shared" si="771"/>
        <v>69</v>
      </c>
      <c r="CJ227" s="72">
        <f t="shared" si="772"/>
        <v>101</v>
      </c>
      <c r="CK227" s="72">
        <f t="shared" si="773"/>
        <v>106</v>
      </c>
      <c r="CL227" s="72">
        <f t="shared" si="774"/>
        <v>141</v>
      </c>
      <c r="CM227" s="72" t="str">
        <f t="shared" si="775"/>
        <v>-</v>
      </c>
      <c r="CN227" s="72">
        <f t="shared" si="776"/>
        <v>173</v>
      </c>
      <c r="CO227" s="72">
        <f t="shared" si="777"/>
        <v>189</v>
      </c>
      <c r="CP227" s="72">
        <f t="shared" si="778"/>
        <v>236</v>
      </c>
      <c r="CQ227" s="72">
        <f t="shared" si="779"/>
        <v>278</v>
      </c>
      <c r="CR227" s="72">
        <f t="shared" si="780"/>
        <v>309</v>
      </c>
      <c r="CS227" s="72">
        <f t="shared" si="781"/>
        <v>322</v>
      </c>
      <c r="CT227" s="23">
        <f t="shared" si="782"/>
        <v>4</v>
      </c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  <c r="OK227" s="1"/>
      <c r="OL227" s="1"/>
      <c r="OM227" s="1"/>
      <c r="ON227" s="1"/>
      <c r="OO227" s="1"/>
      <c r="OP227" s="1"/>
      <c r="OQ227" s="1"/>
      <c r="OR227" s="1"/>
      <c r="OS227" s="1"/>
      <c r="OT227" s="1"/>
      <c r="OU227" s="1"/>
      <c r="OV227" s="1"/>
      <c r="OW227" s="1"/>
      <c r="OX227" s="1"/>
      <c r="OY227" s="1"/>
      <c r="OZ227" s="1"/>
      <c r="PA227" s="1"/>
      <c r="PB227" s="1"/>
      <c r="PC227" s="1"/>
      <c r="PD227" s="1"/>
      <c r="PE227" s="1"/>
      <c r="PF227" s="1"/>
      <c r="PG227" s="1"/>
      <c r="PH227" s="1"/>
      <c r="PI227" s="1"/>
      <c r="PJ227" s="1"/>
      <c r="PK227" s="1"/>
      <c r="PL227" s="1"/>
      <c r="PM227" s="1"/>
      <c r="PN227" s="1"/>
      <c r="PO227" s="1"/>
      <c r="PP227" s="1"/>
      <c r="PQ227" s="1"/>
      <c r="PR227" s="1"/>
      <c r="PS227" s="1"/>
      <c r="PT227" s="1"/>
      <c r="PU227" s="1"/>
      <c r="PV227" s="1"/>
      <c r="PW227" s="1"/>
      <c r="PX227" s="1"/>
      <c r="PY227" s="1"/>
      <c r="PZ227" s="1"/>
      <c r="QA227" s="1"/>
      <c r="QB227" s="1"/>
      <c r="QC227" s="1"/>
      <c r="QD227" s="1"/>
      <c r="QE227" s="1"/>
      <c r="QF227" s="1"/>
      <c r="QG227" s="1"/>
      <c r="QH227" s="1"/>
      <c r="QI227" s="1"/>
      <c r="QJ227" s="1"/>
      <c r="QK227" s="1"/>
      <c r="QL227" s="1"/>
      <c r="QM227" s="1"/>
      <c r="QN227" s="1"/>
      <c r="QO227" s="1"/>
      <c r="QP227" s="1"/>
      <c r="QQ227" s="1"/>
      <c r="QR227" s="1"/>
      <c r="QS227" s="1"/>
      <c r="QT227" s="1"/>
      <c r="QU227" s="1"/>
      <c r="QV227" s="1"/>
      <c r="QW227" s="1"/>
      <c r="QX227" s="1"/>
      <c r="QY227" s="1"/>
      <c r="QZ227" s="1"/>
      <c r="RA227" s="1"/>
      <c r="RB227" s="1"/>
      <c r="RC227" s="1"/>
      <c r="RD227" s="1"/>
      <c r="RE227" s="1"/>
      <c r="RF227" s="1"/>
      <c r="RG227" s="1"/>
      <c r="RH227" s="1"/>
      <c r="RI227" s="1"/>
      <c r="RJ227" s="1"/>
      <c r="RK227" s="1"/>
      <c r="RL227" s="1"/>
      <c r="RM227" s="1"/>
      <c r="RN227" s="1"/>
      <c r="RO227" s="1"/>
      <c r="RP227" s="1"/>
      <c r="RQ227" s="1"/>
      <c r="RR227" s="1"/>
      <c r="RS227" s="1"/>
      <c r="RT227" s="1"/>
      <c r="RU227" s="1"/>
      <c r="RV227" s="1"/>
      <c r="RW227" s="1"/>
      <c r="RX227" s="1"/>
      <c r="RY227" s="1"/>
      <c r="RZ227" s="1"/>
      <c r="SA227" s="1"/>
      <c r="SB227" s="1"/>
      <c r="SC227" s="1"/>
      <c r="SD227" s="1"/>
      <c r="SE227" s="1"/>
      <c r="SF227" s="1"/>
      <c r="SG227" s="1"/>
      <c r="SH227" s="1"/>
      <c r="SI227" s="1"/>
      <c r="SJ227" s="1"/>
      <c r="SK227" s="1"/>
      <c r="SL227" s="1"/>
      <c r="SM227" s="1"/>
      <c r="SN227" s="1"/>
      <c r="SO227" s="1"/>
      <c r="SP227" s="1"/>
      <c r="SQ227" s="1"/>
      <c r="SR227" s="1"/>
      <c r="SS227" s="1"/>
      <c r="ST227" s="1"/>
      <c r="SU227" s="1"/>
      <c r="SV227" s="1"/>
      <c r="SW227" s="1"/>
      <c r="SX227" s="1"/>
      <c r="SY227" s="1"/>
      <c r="SZ227" s="1"/>
      <c r="TA227" s="1"/>
      <c r="TB227" s="1"/>
      <c r="TC227" s="1"/>
      <c r="TD227" s="1"/>
      <c r="TE227" s="1"/>
      <c r="TF227" s="1"/>
      <c r="TG227" s="1"/>
      <c r="TH227" s="1"/>
      <c r="TI227" s="1"/>
      <c r="TJ227" s="1"/>
      <c r="TK227" s="1"/>
      <c r="TL227" s="1"/>
      <c r="TM227" s="1"/>
      <c r="TN227" s="1"/>
      <c r="TO227" s="1"/>
      <c r="TP227" s="1"/>
      <c r="TQ227" s="1"/>
      <c r="TR227" s="1"/>
      <c r="TS227" s="1"/>
      <c r="TT227" s="1"/>
      <c r="TU227" s="1"/>
      <c r="TV227" s="1"/>
      <c r="TW227" s="1"/>
      <c r="TX227" s="1"/>
      <c r="TY227" s="1"/>
      <c r="TZ227" s="1"/>
      <c r="UA227" s="1"/>
      <c r="UB227" s="1"/>
      <c r="UC227" s="1"/>
      <c r="UD227" s="1"/>
      <c r="UE227" s="1"/>
      <c r="UF227" s="1"/>
      <c r="UG227" s="1"/>
      <c r="UH227" s="1"/>
      <c r="UI227" s="1"/>
      <c r="UJ227" s="1"/>
      <c r="UK227" s="1"/>
      <c r="UL227" s="1"/>
      <c r="UM227" s="1"/>
      <c r="UN227" s="1"/>
      <c r="UO227" s="1"/>
      <c r="UP227" s="1"/>
      <c r="UQ227" s="1"/>
      <c r="UR227" s="1"/>
      <c r="US227" s="1"/>
      <c r="UT227" s="1"/>
      <c r="UU227" s="1"/>
      <c r="UV227" s="1"/>
      <c r="UW227" s="1"/>
      <c r="UX227" s="1"/>
      <c r="UY227" s="1"/>
      <c r="UZ227" s="1"/>
      <c r="VA227" s="1"/>
      <c r="VB227" s="1"/>
      <c r="VC227" s="1"/>
      <c r="VD227" s="1"/>
      <c r="VE227" s="1"/>
      <c r="VF227" s="1"/>
      <c r="VG227" s="1"/>
      <c r="VH227" s="1"/>
      <c r="VI227" s="1"/>
      <c r="VJ227" s="1"/>
      <c r="VK227" s="1"/>
      <c r="VL227" s="1"/>
      <c r="VM227" s="1"/>
      <c r="VN227" s="1"/>
      <c r="VO227" s="1"/>
      <c r="VP227" s="1"/>
      <c r="VQ227" s="1"/>
      <c r="VR227" s="1"/>
      <c r="VS227" s="1"/>
      <c r="VT227" s="1"/>
      <c r="VU227" s="1"/>
      <c r="VV227" s="1"/>
      <c r="VW227" s="1"/>
      <c r="VX227" s="1"/>
      <c r="VY227" s="1"/>
      <c r="VZ227" s="1"/>
      <c r="WA227" s="1"/>
      <c r="WB227" s="1"/>
      <c r="WC227" s="1"/>
      <c r="WD227" s="1"/>
      <c r="WE227" s="1"/>
      <c r="WF227" s="1"/>
      <c r="WG227" s="1"/>
      <c r="WH227" s="1"/>
      <c r="WI227" s="1"/>
      <c r="WJ227" s="1"/>
      <c r="WK227" s="1"/>
      <c r="WL227" s="1"/>
      <c r="WM227" s="1"/>
      <c r="WN227" s="1"/>
      <c r="WO227" s="1"/>
      <c r="WP227" s="1"/>
      <c r="WQ227" s="1"/>
      <c r="WR227" s="1"/>
      <c r="WS227" s="1"/>
      <c r="WT227" s="1"/>
      <c r="WU227" s="1"/>
      <c r="WV227" s="1"/>
      <c r="WW227" s="1"/>
      <c r="WX227" s="1"/>
      <c r="WY227" s="1"/>
      <c r="WZ227" s="1"/>
      <c r="XA227" s="1"/>
      <c r="XB227" s="1"/>
      <c r="XC227" s="1"/>
      <c r="XD227" s="1"/>
      <c r="XE227" s="1"/>
      <c r="XF227" s="1"/>
      <c r="XG227" s="1"/>
      <c r="XH227" s="1"/>
      <c r="XI227" s="1"/>
      <c r="XJ227" s="1"/>
      <c r="XK227" s="1"/>
      <c r="XL227" s="1"/>
      <c r="XM227" s="1"/>
      <c r="XN227" s="1"/>
      <c r="XO227" s="1"/>
      <c r="XP227" s="1"/>
      <c r="XQ227" s="1"/>
      <c r="XR227" s="1"/>
      <c r="XS227" s="1"/>
      <c r="XT227" s="1"/>
      <c r="XU227" s="1"/>
      <c r="XV227" s="1"/>
      <c r="XW227" s="1"/>
      <c r="XX227" s="1"/>
      <c r="XY227" s="1"/>
      <c r="XZ227" s="1"/>
      <c r="YA227" s="1"/>
      <c r="YB227" s="1"/>
      <c r="YC227" s="1"/>
      <c r="YD227" s="1"/>
      <c r="YE227" s="1"/>
      <c r="YF227" s="1"/>
      <c r="YG227" s="1"/>
      <c r="YH227" s="1"/>
      <c r="YI227" s="1"/>
      <c r="YJ227" s="1"/>
      <c r="YK227" s="1"/>
      <c r="YL227" s="1"/>
      <c r="YM227" s="1"/>
      <c r="YN227" s="1"/>
      <c r="YO227" s="1"/>
      <c r="YP227" s="1"/>
      <c r="YQ227" s="1"/>
      <c r="YR227" s="1"/>
      <c r="YS227" s="1"/>
      <c r="YT227" s="1"/>
      <c r="YU227" s="1"/>
      <c r="YV227" s="1"/>
      <c r="YW227" s="1"/>
      <c r="YX227" s="1"/>
      <c r="YY227" s="1"/>
      <c r="YZ227" s="1"/>
      <c r="ZA227" s="1"/>
      <c r="ZB227" s="1"/>
      <c r="ZC227" s="1"/>
      <c r="ZD227" s="1"/>
      <c r="ZE227" s="1"/>
      <c r="ZF227" s="1"/>
      <c r="ZG227" s="1"/>
      <c r="ZH227" s="1"/>
      <c r="ZI227" s="1"/>
      <c r="ZJ227" s="1"/>
      <c r="ZK227" s="1"/>
      <c r="ZL227" s="1"/>
      <c r="ZM227" s="1"/>
      <c r="ZN227" s="1"/>
      <c r="ZO227" s="1"/>
      <c r="ZP227" s="1"/>
      <c r="ZQ227" s="1"/>
      <c r="ZR227" s="1"/>
      <c r="ZS227" s="1"/>
      <c r="ZT227" s="1"/>
      <c r="ZU227" s="1"/>
      <c r="ZV227" s="1"/>
      <c r="ZW227" s="1"/>
      <c r="ZX227" s="1"/>
      <c r="ZY227" s="1"/>
      <c r="ZZ227" s="1"/>
      <c r="AAA227" s="1"/>
      <c r="AAB227" s="1"/>
      <c r="AAC227" s="1"/>
      <c r="AAD227" s="1"/>
      <c r="AAE227" s="1"/>
      <c r="AAF227" s="1"/>
      <c r="AAG227" s="1"/>
      <c r="AAH227" s="1"/>
      <c r="AAI227" s="1"/>
      <c r="AAJ227" s="1"/>
      <c r="AAK227" s="1"/>
      <c r="AAL227" s="1"/>
      <c r="AAM227" s="1"/>
      <c r="AAN227" s="1"/>
      <c r="AAO227" s="1"/>
      <c r="AAP227" s="1"/>
      <c r="AAQ227" s="1"/>
      <c r="AAR227" s="1"/>
      <c r="AAS227" s="1"/>
      <c r="AAT227" s="1"/>
      <c r="AAU227" s="1"/>
      <c r="AAV227" s="1"/>
      <c r="AAW227" s="1"/>
      <c r="AAX227" s="1"/>
      <c r="AAY227" s="1"/>
      <c r="AAZ227" s="1"/>
      <c r="ABA227" s="1"/>
      <c r="ABB227" s="1"/>
      <c r="ABC227" s="1"/>
      <c r="ABD227" s="1"/>
      <c r="ABE227" s="1"/>
      <c r="ABF227" s="1"/>
      <c r="ABG227" s="1"/>
      <c r="ABH227" s="1"/>
      <c r="ABI227" s="1"/>
      <c r="ABJ227" s="1"/>
      <c r="ABK227" s="1"/>
      <c r="ABL227" s="1"/>
      <c r="ABM227" s="1"/>
      <c r="ABN227" s="1"/>
      <c r="ABO227" s="1"/>
      <c r="ABP227" s="1"/>
      <c r="ABQ227" s="1"/>
      <c r="ABR227" s="1"/>
      <c r="ABS227" s="1"/>
      <c r="ABT227" s="1"/>
      <c r="ABU227" s="1"/>
      <c r="ABV227" s="1"/>
      <c r="ABW227" s="1"/>
      <c r="ABX227" s="1"/>
      <c r="ABY227" s="1"/>
      <c r="ABZ227" s="1"/>
      <c r="ACA227" s="1"/>
      <c r="ACB227" s="1"/>
      <c r="ACC227" s="1"/>
      <c r="ACD227" s="1"/>
      <c r="ACE227" s="1"/>
      <c r="ACF227" s="1"/>
      <c r="ACG227" s="1"/>
      <c r="ACH227" s="1"/>
      <c r="ACI227" s="1"/>
      <c r="ACJ227" s="1"/>
      <c r="ACK227" s="1"/>
      <c r="ACL227" s="1"/>
      <c r="ACM227" s="1"/>
      <c r="ACN227" s="1"/>
      <c r="ACO227" s="1"/>
      <c r="ACP227" s="1"/>
      <c r="ACQ227" s="1"/>
      <c r="ACR227" s="1"/>
      <c r="ACS227" s="1"/>
      <c r="ACT227" s="1"/>
      <c r="ACU227" s="1"/>
      <c r="ACV227" s="1"/>
      <c r="ACW227" s="1"/>
      <c r="ACX227" s="1"/>
      <c r="ACY227" s="1"/>
      <c r="ACZ227" s="1"/>
      <c r="ADA227" s="1"/>
      <c r="ADB227" s="1"/>
      <c r="ADC227" s="1"/>
      <c r="ADD227" s="1"/>
      <c r="ADE227" s="1"/>
      <c r="ADF227" s="1"/>
      <c r="ADG227" s="1"/>
      <c r="ADH227" s="1"/>
      <c r="ADI227" s="1"/>
      <c r="ADJ227" s="1"/>
      <c r="ADK227" s="1"/>
      <c r="ADL227" s="1"/>
      <c r="ADM227" s="1"/>
      <c r="ADN227" s="1"/>
      <c r="ADO227" s="1"/>
      <c r="ADP227" s="1"/>
      <c r="ADQ227" s="1"/>
      <c r="ADR227" s="1"/>
      <c r="ADS227" s="1"/>
      <c r="ADT227" s="1"/>
      <c r="ADU227" s="1"/>
      <c r="ADV227" s="1"/>
      <c r="ADW227" s="1"/>
      <c r="ADX227" s="1"/>
      <c r="ADY227" s="1"/>
      <c r="ADZ227" s="1"/>
      <c r="AEA227" s="1"/>
      <c r="AEB227" s="1"/>
      <c r="AEC227" s="1"/>
      <c r="AED227" s="1"/>
      <c r="AEE227" s="1"/>
      <c r="AEF227" s="1"/>
      <c r="AEG227" s="1"/>
      <c r="AEH227" s="1"/>
      <c r="AEI227" s="1"/>
      <c r="AEJ227" s="1"/>
      <c r="AEK227" s="1"/>
      <c r="AEL227" s="1"/>
      <c r="AEM227" s="1"/>
      <c r="AEN227" s="1"/>
      <c r="AEO227" s="1"/>
      <c r="AEP227" s="1"/>
      <c r="AEQ227" s="1"/>
      <c r="AER227" s="1"/>
      <c r="AES227" s="1"/>
      <c r="AET227" s="1"/>
      <c r="AEU227" s="1"/>
      <c r="AEV227" s="1"/>
      <c r="AEW227" s="1"/>
      <c r="AEX227" s="1"/>
      <c r="AEY227" s="1"/>
      <c r="AEZ227" s="1"/>
      <c r="AFA227" s="1"/>
      <c r="AFB227" s="1"/>
      <c r="AFC227" s="1"/>
      <c r="AFD227" s="1"/>
      <c r="AFE227" s="1"/>
      <c r="AFF227" s="1"/>
      <c r="AFG227" s="1"/>
      <c r="AFH227" s="1"/>
      <c r="AFI227" s="1"/>
      <c r="AFJ227" s="1"/>
      <c r="AFK227" s="1"/>
      <c r="AFL227" s="1"/>
      <c r="AFM227" s="1"/>
      <c r="AFN227" s="1"/>
      <c r="AFO227" s="1"/>
      <c r="AFP227" s="1"/>
      <c r="AFQ227" s="1"/>
      <c r="AFR227" s="1"/>
      <c r="AFS227" s="1"/>
      <c r="AFT227" s="1"/>
      <c r="AFU227" s="1"/>
      <c r="AFV227" s="1"/>
      <c r="AFW227" s="1"/>
      <c r="AFX227" s="1"/>
      <c r="AFY227" s="1"/>
      <c r="AFZ227" s="1"/>
      <c r="AGA227" s="1"/>
      <c r="AGB227" s="1"/>
      <c r="AGC227" s="1"/>
      <c r="AGD227" s="1"/>
      <c r="AGE227" s="1"/>
      <c r="AGF227" s="1"/>
      <c r="AGG227" s="1"/>
      <c r="AGH227" s="1"/>
      <c r="AGI227" s="1"/>
      <c r="AGJ227" s="1"/>
      <c r="AGK227" s="1"/>
      <c r="AGL227" s="1"/>
      <c r="AGM227" s="1"/>
      <c r="AGN227" s="1"/>
      <c r="AGO227" s="1"/>
      <c r="AGP227" s="1"/>
      <c r="AGQ227" s="1"/>
      <c r="AGR227" s="1"/>
      <c r="AGS227" s="1"/>
      <c r="AGT227" s="1"/>
      <c r="AGU227" s="1"/>
      <c r="AGV227" s="1"/>
      <c r="AGW227" s="1"/>
      <c r="AGX227" s="1"/>
      <c r="AGY227" s="1"/>
      <c r="AGZ227" s="1"/>
      <c r="AHA227" s="1"/>
      <c r="AHB227" s="1"/>
      <c r="AHC227" s="1"/>
      <c r="AHD227" s="1"/>
      <c r="AHE227" s="1"/>
      <c r="AHF227" s="1"/>
      <c r="AHG227" s="1"/>
      <c r="AHH227" s="1"/>
      <c r="AHI227" s="1"/>
      <c r="AHJ227" s="1"/>
      <c r="AHK227" s="1"/>
      <c r="AHL227" s="1"/>
      <c r="AHM227" s="1"/>
      <c r="AHN227" s="1"/>
      <c r="AHO227" s="1"/>
      <c r="AHP227" s="1"/>
      <c r="AHQ227" s="1"/>
      <c r="AHR227" s="1"/>
      <c r="AHS227" s="1"/>
      <c r="AHT227" s="1"/>
      <c r="AHU227" s="1"/>
      <c r="AHV227" s="1"/>
      <c r="AHW227" s="1"/>
      <c r="AHX227" s="1"/>
      <c r="AHY227" s="1"/>
      <c r="AHZ227" s="1"/>
      <c r="AIA227" s="1"/>
      <c r="AIB227" s="1"/>
      <c r="AIC227" s="1"/>
      <c r="AID227" s="1"/>
      <c r="AIE227" s="1"/>
      <c r="AIF227" s="1"/>
      <c r="AIG227" s="1"/>
      <c r="AIH227" s="1"/>
      <c r="AII227" s="1"/>
      <c r="AIJ227" s="1"/>
      <c r="AIK227" s="1"/>
      <c r="AIL227" s="1"/>
      <c r="AIM227" s="1"/>
      <c r="AIN227" s="1"/>
      <c r="AIO227" s="1"/>
      <c r="AIP227" s="1"/>
      <c r="AIQ227" s="1"/>
      <c r="AIR227" s="1"/>
      <c r="AIS227" s="1"/>
      <c r="AIT227" s="1"/>
      <c r="AIU227" s="1"/>
      <c r="AIV227" s="1"/>
      <c r="AIW227" s="1"/>
      <c r="AIX227" s="1"/>
      <c r="AIY227" s="1"/>
      <c r="AIZ227" s="1"/>
      <c r="AJA227" s="1"/>
      <c r="AJB227" s="1"/>
      <c r="AJC227" s="1"/>
      <c r="AJD227" s="1"/>
      <c r="AJE227" s="1"/>
      <c r="AJF227" s="1"/>
      <c r="AJG227" s="1"/>
      <c r="AJH227" s="1"/>
      <c r="AJI227" s="1"/>
      <c r="AJJ227" s="1"/>
      <c r="AJK227" s="1"/>
      <c r="AJL227" s="1"/>
      <c r="AJM227" s="1"/>
      <c r="AJN227" s="1"/>
      <c r="AJO227" s="1"/>
      <c r="AJP227" s="1"/>
      <c r="AJQ227" s="1"/>
      <c r="AJR227" s="1"/>
      <c r="AJS227" s="1"/>
      <c r="AJT227" s="1"/>
      <c r="AJU227" s="1"/>
      <c r="AJV227" s="1"/>
      <c r="AJW227" s="1"/>
      <c r="AJX227" s="1"/>
      <c r="AJY227" s="1"/>
      <c r="AJZ227" s="1"/>
      <c r="AKA227" s="1"/>
      <c r="AKB227" s="1"/>
      <c r="AKC227" s="1"/>
      <c r="AKD227" s="1"/>
      <c r="AKE227" s="1"/>
      <c r="AKF227" s="1"/>
      <c r="AKG227" s="1"/>
      <c r="AKH227" s="1"/>
      <c r="AKI227" s="1"/>
      <c r="AKJ227" s="1"/>
      <c r="AKK227" s="1"/>
      <c r="AKL227" s="1"/>
      <c r="AKM227" s="1"/>
      <c r="AKN227" s="1"/>
      <c r="AKO227" s="1"/>
      <c r="AKP227" s="1"/>
      <c r="AKQ227" s="1"/>
      <c r="AKR227" s="1"/>
      <c r="AKS227" s="1"/>
      <c r="AKT227" s="1"/>
      <c r="AKU227" s="1"/>
      <c r="AKV227" s="1"/>
      <c r="AKW227" s="1"/>
      <c r="AKX227" s="1"/>
      <c r="AKY227" s="1"/>
      <c r="AKZ227" s="1"/>
      <c r="ALA227" s="1"/>
      <c r="ALB227" s="1"/>
      <c r="ALC227" s="1"/>
      <c r="ALD227" s="1"/>
      <c r="ALE227" s="1"/>
      <c r="ALF227" s="1"/>
      <c r="ALG227" s="1"/>
      <c r="ALH227" s="1"/>
      <c r="ALI227" s="1"/>
      <c r="ALJ227" s="1"/>
      <c r="ALK227" s="1"/>
      <c r="ALL227" s="1"/>
      <c r="ALM227" s="1"/>
      <c r="ALN227" s="1"/>
      <c r="ALO227" s="1"/>
      <c r="ALP227" s="1"/>
      <c r="ALQ227" s="1"/>
      <c r="ALR227" s="1"/>
      <c r="ALS227" s="1"/>
      <c r="ALT227" s="1"/>
      <c r="ALU227" s="1"/>
      <c r="ALV227" s="1"/>
      <c r="ALW227" s="1"/>
      <c r="ALX227" s="1"/>
      <c r="ALY227" s="1"/>
      <c r="ALZ227" s="1"/>
      <c r="AMA227" s="1"/>
      <c r="AMB227" s="1"/>
      <c r="AMC227" s="1"/>
      <c r="AMD227" s="1"/>
      <c r="AME227" s="1"/>
      <c r="AMF227" s="1"/>
      <c r="AMG227" s="1"/>
      <c r="AMH227" s="1"/>
      <c r="AMI227" s="1"/>
      <c r="AMJ227" s="1"/>
      <c r="AMK227" s="1"/>
      <c r="AML227" s="1"/>
      <c r="AMM227" s="1"/>
      <c r="AMN227" s="1"/>
      <c r="AMO227" s="1"/>
    </row>
    <row r="228" spans="1:1030" s="12" customFormat="1" x14ac:dyDescent="0.2">
      <c r="A228" s="9" t="str">
        <f t="shared" ref="A228" si="783">CONCATENATE(B228,"_",C228)</f>
        <v>opsd_bovin_6FUF</v>
      </c>
      <c r="B228" s="9" t="s">
        <v>920</v>
      </c>
      <c r="C228" s="9" t="s">
        <v>1538</v>
      </c>
      <c r="D228" s="9" t="str">
        <f>IFERROR(MID(VLOOKUP($B228,Seqs!$A:$B,2,0),E228,1),"")</f>
        <v>E</v>
      </c>
      <c r="E228" s="9">
        <v>33</v>
      </c>
      <c r="F228" s="9" t="str">
        <f>IFERROR(MID(VLOOKUP($B228,Seqs!$A:$B,2,0),G228,1),"")</f>
        <v>H</v>
      </c>
      <c r="G228" s="9">
        <v>65</v>
      </c>
      <c r="H228" s="9" t="str">
        <f>IFERROR(MID(VLOOKUP($B228,Seqs!$A:$B,2,0),I228,1),"")</f>
        <v>K</v>
      </c>
      <c r="I228" s="109">
        <v>66</v>
      </c>
      <c r="J228" s="9" t="str">
        <f>IFERROR(MID(VLOOKUP($B228,Seqs!$A:$B,2,0),K228,1),"")</f>
        <v>R</v>
      </c>
      <c r="K228" s="109">
        <v>69</v>
      </c>
      <c r="L228" s="9" t="str">
        <f>IFERROR(MID(VLOOKUP($B228,Seqs!$A:$B,2,0),M228,1),"")</f>
        <v>N</v>
      </c>
      <c r="M228" s="9">
        <v>73</v>
      </c>
      <c r="N228" s="9" t="str">
        <f>IFERROR(MID(VLOOKUP($B228,Seqs!$A:$B,2,0),O228,1),"")</f>
        <v>G</v>
      </c>
      <c r="O228" s="9">
        <v>101</v>
      </c>
      <c r="P228" s="9" t="str">
        <f>IFERROR(MID(VLOOKUP($B228,Seqs!$A:$B,2,0),Q228,1),"")</f>
        <v>Y</v>
      </c>
      <c r="Q228" s="9">
        <v>102</v>
      </c>
      <c r="R228" s="9" t="str">
        <f>IFERROR(MID(VLOOKUP($B228,Seqs!$A:$B,2,0),S228,1),"")</f>
        <v>G</v>
      </c>
      <c r="S228" s="9">
        <v>106</v>
      </c>
      <c r="T228" s="9" t="str">
        <f>IFERROR(MID(VLOOKUP($B228,Seqs!$A:$B,2,0),U228,1),"")</f>
        <v>P</v>
      </c>
      <c r="U228" s="9">
        <v>107</v>
      </c>
      <c r="V228" s="9" t="str">
        <f>IFERROR(MID(VLOOKUP($B228,Seqs!$A:$B,2,0),W228,1),"")</f>
        <v>K</v>
      </c>
      <c r="W228" s="9">
        <v>141</v>
      </c>
      <c r="X228" s="9" t="str">
        <f>IFERROR(MID(VLOOKUP($B228,Seqs!$A:$B,2,0),Y228,1),"")</f>
        <v/>
      </c>
      <c r="Y228" s="9" t="s">
        <v>23</v>
      </c>
      <c r="Z228" s="9" t="str">
        <f>IFERROR(MID(VLOOKUP($B228,Seqs!$A:$B,2,0),AA228,1),"")</f>
        <v/>
      </c>
      <c r="AA228" s="9" t="s">
        <v>23</v>
      </c>
      <c r="AB228" s="9" t="str">
        <f>IFERROR(MID(VLOOKUP($B228,Seqs!$A:$B,2,0),AC228,1),"")</f>
        <v>G</v>
      </c>
      <c r="AC228" s="9">
        <v>149</v>
      </c>
      <c r="AD228" s="9" t="str">
        <f>IFERROR(MID(VLOOKUP($B228,Seqs!$A:$B,2,0),AE228,1),"")</f>
        <v>V</v>
      </c>
      <c r="AE228" s="9">
        <v>173</v>
      </c>
      <c r="AF228" s="9" t="str">
        <f>IFERROR(MID(VLOOKUP($B228,Seqs!$A:$B,2,0),AG228,1),"")</f>
        <v>C</v>
      </c>
      <c r="AG228" s="9">
        <v>187</v>
      </c>
      <c r="AH228" s="9" t="str">
        <f>IFERROR(MID(VLOOKUP($B228,Seqs!$A:$B,2,0),AI228,1),"")</f>
        <v>I</v>
      </c>
      <c r="AI228" s="9">
        <v>189</v>
      </c>
      <c r="AJ228" s="9" t="str">
        <f>IFERROR(MID(VLOOKUP($B228,Seqs!$A:$B,2,0),AK228,1),"")</f>
        <v>N</v>
      </c>
      <c r="AK228" s="9">
        <v>199</v>
      </c>
      <c r="AL228" s="9" t="str">
        <f>IFERROR(MID(VLOOKUP($B228,Seqs!$A:$B,2,0),AM228,1),"")</f>
        <v>Q</v>
      </c>
      <c r="AM228" s="9">
        <v>237</v>
      </c>
      <c r="AN228" s="9" t="str">
        <f>IFERROR(MID(VLOOKUP($B228,Seqs!$A:$B,2,0),AO228,1),"")</f>
        <v>S</v>
      </c>
      <c r="AO228" s="9">
        <v>240</v>
      </c>
      <c r="AP228" s="9" t="str">
        <f>IFERROR(MID(VLOOKUP($B228,Seqs!$A:$B,2,0),AQ228,1),"")</f>
        <v>H</v>
      </c>
      <c r="AQ228" s="9">
        <v>278</v>
      </c>
      <c r="AR228" s="9" t="str">
        <f>IFERROR(MID(VLOOKUP($B228,Seqs!$A:$B,2,0),AS228,1),"")</f>
        <v>T</v>
      </c>
      <c r="AS228" s="9">
        <v>289</v>
      </c>
      <c r="AT228" s="9" t="str">
        <f>IFERROR(MID(VLOOKUP($B228,Seqs!$A:$B,2,0),AU228,1),"")</f>
        <v>M</v>
      </c>
      <c r="AU228" s="9">
        <v>309</v>
      </c>
      <c r="AV228" s="9" t="str">
        <f>IFERROR(MID(VLOOKUP($B228,Seqs!$A:$B,2,0),AW228,1),"")</f>
        <v>N</v>
      </c>
      <c r="AW228" s="9">
        <v>310</v>
      </c>
      <c r="AX228" s="9" t="str">
        <f>IFERROR(MID(VLOOKUP($B228,Seqs!$A:$B,2,0),AY228,1),"")</f>
        <v>R</v>
      </c>
      <c r="AY228" s="9">
        <v>314</v>
      </c>
      <c r="AZ228" s="110" t="str">
        <f>VLOOKUP(B228,Classification!A:D,2,0)</f>
        <v>A</v>
      </c>
      <c r="BA228" s="98" t="str">
        <f>VLOOKUP(B228,Classification!A:D,4,0)</f>
        <v>Opsins</v>
      </c>
      <c r="BB228" s="36" t="b">
        <f t="shared" ref="BB228" si="784">AND(E228&lt;G228,OR(G228&lt;I228,I228="-"),OR(I228&lt;K228,I228="-"),OR(K228&lt;M228,K228="-"),M228&lt;O228,OR(O228&lt;Q228,Q228="-"),OR(Q228&lt;S228,Q228="-"),OR(S228&lt;U228,S228="-"),U228&lt;W228,OR(W228&lt;Y228,Y228="-"),OR(Y228&lt;AA228,Y228="-"),OR(AA228&lt;AC228,AA228="-"),AC228&lt;AE228,OR(AE228&lt;AG228,AG228="-"),OR(AG228&lt;AI228,AG228="-"),OR(AI228&lt;AK228,AI228="-"),AK228&lt;AM228,AM228&lt;AO228,AO228&lt;AQ228,AQ228&lt;AS228,AS228&lt;AU228,OR(AU228&lt;AW228,AW228="-"),OR(AW228&lt;AY228,AW228="-"))</f>
        <v>1</v>
      </c>
      <c r="BC228" s="109">
        <f t="shared" ref="BC228" si="785">_xlfn.AGGREGATE(9,6,CH228:CS228)-_xlfn.AGGREGATE(9,6,BV228:CG228)+12</f>
        <v>239</v>
      </c>
      <c r="BD228" s="40" t="s">
        <v>23</v>
      </c>
      <c r="BE228" s="9" t="s">
        <v>1297</v>
      </c>
      <c r="BF228" s="120">
        <v>3.12</v>
      </c>
      <c r="BG228" s="51" t="s">
        <v>1</v>
      </c>
      <c r="BH228" s="51" t="s">
        <v>1</v>
      </c>
      <c r="BJ228" s="111" t="s">
        <v>1293</v>
      </c>
      <c r="BK228" s="112" t="s">
        <v>1293</v>
      </c>
      <c r="BL228" s="112" t="s">
        <v>1293</v>
      </c>
      <c r="BM228" s="112" t="s">
        <v>1293</v>
      </c>
      <c r="BN228" s="112" t="s">
        <v>1293</v>
      </c>
      <c r="BO228" s="112" t="s">
        <v>1293</v>
      </c>
      <c r="BP228" s="112" t="s">
        <v>1293</v>
      </c>
      <c r="BQ228" s="112" t="s">
        <v>1293</v>
      </c>
      <c r="BR228" s="112" t="s">
        <v>1293</v>
      </c>
      <c r="BS228" s="112" t="s">
        <v>1293</v>
      </c>
      <c r="BT228" s="112" t="s">
        <v>1293</v>
      </c>
      <c r="BU228" s="112" t="s">
        <v>1293</v>
      </c>
      <c r="BV228" s="111">
        <f t="shared" ref="BV228" si="786">E228</f>
        <v>33</v>
      </c>
      <c r="BW228" s="113">
        <f t="shared" ref="BW228" si="787">I228</f>
        <v>66</v>
      </c>
      <c r="BX228" s="114">
        <f t="shared" ref="BX228" si="788">M228</f>
        <v>73</v>
      </c>
      <c r="BY228" s="113">
        <f t="shared" ref="BY228" si="789">Q228</f>
        <v>102</v>
      </c>
      <c r="BZ228" s="114">
        <f t="shared" ref="BZ228" si="790">U228</f>
        <v>107</v>
      </c>
      <c r="CA228" s="113" t="str">
        <f t="shared" ref="CA228" si="791">Y228</f>
        <v>-</v>
      </c>
      <c r="CB228" s="114">
        <f t="shared" ref="CB228" si="792">AC228</f>
        <v>149</v>
      </c>
      <c r="CC228" s="113">
        <f t="shared" ref="CC228" si="793">AG228</f>
        <v>187</v>
      </c>
      <c r="CD228" s="114">
        <f t="shared" ref="CD228" si="794">AK228</f>
        <v>199</v>
      </c>
      <c r="CE228" s="113">
        <f t="shared" ref="CE228" si="795">AO228</f>
        <v>240</v>
      </c>
      <c r="CF228" s="114">
        <f t="shared" ref="CF228" si="796">AS228</f>
        <v>289</v>
      </c>
      <c r="CG228" s="113">
        <f t="shared" ref="CG228" si="797">AW228</f>
        <v>310</v>
      </c>
      <c r="CH228" s="111">
        <f t="shared" ref="CH228" si="798">G228</f>
        <v>65</v>
      </c>
      <c r="CI228" s="113">
        <f t="shared" ref="CI228" si="799">K228</f>
        <v>69</v>
      </c>
      <c r="CJ228" s="114">
        <f t="shared" ref="CJ228" si="800">O228</f>
        <v>101</v>
      </c>
      <c r="CK228" s="114">
        <f t="shared" ref="CK228" si="801">S228</f>
        <v>106</v>
      </c>
      <c r="CL228" s="114">
        <f t="shared" ref="CL228" si="802">W228</f>
        <v>141</v>
      </c>
      <c r="CM228" s="114" t="str">
        <f t="shared" ref="CM228" si="803">AA228</f>
        <v>-</v>
      </c>
      <c r="CN228" s="114">
        <f t="shared" ref="CN228" si="804">AE228</f>
        <v>173</v>
      </c>
      <c r="CO228" s="114">
        <f t="shared" ref="CO228" si="805">AI228</f>
        <v>189</v>
      </c>
      <c r="CP228" s="114">
        <f t="shared" ref="CP228" si="806">AM228</f>
        <v>237</v>
      </c>
      <c r="CQ228" s="114">
        <f t="shared" ref="CQ228" si="807">AQ228</f>
        <v>278</v>
      </c>
      <c r="CR228" s="114">
        <f t="shared" ref="CR228" si="808">AU228</f>
        <v>309</v>
      </c>
      <c r="CS228" s="114">
        <f t="shared" ref="CS228" si="809">AY228</f>
        <v>314</v>
      </c>
      <c r="CT228" s="109">
        <f t="shared" ref="CT228" si="810">M228-K228</f>
        <v>4</v>
      </c>
    </row>
    <row r="229" spans="1:1030" x14ac:dyDescent="0.2">
      <c r="A229" s="3" t="str">
        <f t="shared" si="753"/>
        <v>opsd_human__wt</v>
      </c>
      <c r="B229" s="3" t="s">
        <v>339</v>
      </c>
      <c r="C229" s="3" t="s">
        <v>100</v>
      </c>
      <c r="D229" s="3" t="str">
        <f>IFERROR(MID(VLOOKUP($B229,Seqs!$A:$B,2,0),E229,1),"")</f>
        <v>P</v>
      </c>
      <c r="E229" s="3">
        <v>34</v>
      </c>
      <c r="F229" s="3" t="str">
        <f>IFERROR(MID(VLOOKUP($B229,Seqs!$A:$B,2,0),G229,1),"")</f>
        <v>H</v>
      </c>
      <c r="G229" s="3">
        <v>65</v>
      </c>
      <c r="H229" s="3" t="str">
        <f>IFERROR(MID(VLOOKUP($B229,Seqs!$A:$B,2,0),I229,1),"")</f>
        <v>K</v>
      </c>
      <c r="I229" s="23">
        <v>66</v>
      </c>
      <c r="J229" s="3" t="str">
        <f>IFERROR(MID(VLOOKUP($B229,Seqs!$A:$B,2,0),K229,1),"")</f>
        <v>R</v>
      </c>
      <c r="K229" s="23">
        <v>69</v>
      </c>
      <c r="L229" s="3" t="str">
        <f>IFERROR(MID(VLOOKUP($B229,Seqs!$A:$B,2,0),M229,1),"")</f>
        <v>T</v>
      </c>
      <c r="M229" s="3">
        <v>70</v>
      </c>
      <c r="N229" s="3" t="str">
        <f>IFERROR(MID(VLOOKUP($B229,Seqs!$A:$B,2,0),O229,1),"")</f>
        <v>H</v>
      </c>
      <c r="O229" s="3">
        <v>100</v>
      </c>
      <c r="P229" s="3" t="str">
        <f>IFERROR(MID(VLOOKUP($B229,Seqs!$A:$B,2,0),Q229,1),"")</f>
        <v>Y</v>
      </c>
      <c r="Q229" s="3">
        <v>102</v>
      </c>
      <c r="R229" s="3" t="str">
        <f>IFERROR(MID(VLOOKUP($B229,Seqs!$A:$B,2,0),S229,1),"")</f>
        <v>F</v>
      </c>
      <c r="S229" s="3">
        <v>105</v>
      </c>
      <c r="T229" s="3" t="str">
        <f>IFERROR(MID(VLOOKUP($B229,Seqs!$A:$B,2,0),U229,1),"")</f>
        <v>G</v>
      </c>
      <c r="U229" s="3">
        <v>106</v>
      </c>
      <c r="V229" s="3" t="str">
        <f>IFERROR(MID(VLOOKUP($B229,Seqs!$A:$B,2,0),W229,1),"")</f>
        <v>K</v>
      </c>
      <c r="W229" s="3">
        <v>141</v>
      </c>
      <c r="X229" s="3" t="str">
        <f>IFERROR(MID(VLOOKUP($B229,Seqs!$A:$B,2,0),Y229,1),"")</f>
        <v>P</v>
      </c>
      <c r="Y229" s="3">
        <v>142</v>
      </c>
      <c r="Z229" s="3" t="str">
        <f>IFERROR(MID(VLOOKUP($B229,Seqs!$A:$B,2,0),AA229,1),"")</f>
        <v>F</v>
      </c>
      <c r="AA229" s="3">
        <v>148</v>
      </c>
      <c r="AB229" s="3" t="str">
        <f>IFERROR(MID(VLOOKUP($B229,Seqs!$A:$B,2,0),AC229,1),"")</f>
        <v>G</v>
      </c>
      <c r="AC229" s="9">
        <v>149</v>
      </c>
      <c r="AD229" s="3" t="str">
        <f>IFERROR(MID(VLOOKUP($B229,Seqs!$A:$B,2,0),AE229,1),"")</f>
        <v>A</v>
      </c>
      <c r="AE229" s="3">
        <v>173</v>
      </c>
      <c r="AF229" s="3" t="str">
        <f>IFERROR(MID(VLOOKUP($B229,Seqs!$A:$B,2,0),AG229,1),"")</f>
        <v>C</v>
      </c>
      <c r="AG229" s="3">
        <v>187</v>
      </c>
      <c r="AH229" s="3" t="str">
        <f>IFERROR(MID(VLOOKUP($B229,Seqs!$A:$B,2,0),AI229,1),"")</f>
        <v>I</v>
      </c>
      <c r="AI229" s="3">
        <v>189</v>
      </c>
      <c r="AJ229" s="3" t="str">
        <f>IFERROR(MID(VLOOKUP($B229,Seqs!$A:$B,2,0),AK229,1),"")</f>
        <v>N</v>
      </c>
      <c r="AK229" s="3">
        <v>199</v>
      </c>
      <c r="AL229" s="3" t="str">
        <f>IFERROR(MID(VLOOKUP($B229,Seqs!$A:$B,2,0),AM229,1),"")</f>
        <v>Q</v>
      </c>
      <c r="AM229" s="3">
        <v>237</v>
      </c>
      <c r="AN229" s="3" t="str">
        <f>IFERROR(MID(VLOOKUP($B229,Seqs!$A:$B,2,0),AO229,1),"")</f>
        <v>A</v>
      </c>
      <c r="AO229" s="3">
        <v>241</v>
      </c>
      <c r="AP229" s="3" t="str">
        <f>IFERROR(MID(VLOOKUP($B229,Seqs!$A:$B,2,0),AQ229,1),"")</f>
        <v>H</v>
      </c>
      <c r="AQ229" s="3">
        <v>278</v>
      </c>
      <c r="AR229" s="3" t="str">
        <f>IFERROR(MID(VLOOKUP($B229,Seqs!$A:$B,2,0),AS229,1),"")</f>
        <v>G</v>
      </c>
      <c r="AS229" s="3">
        <v>284</v>
      </c>
      <c r="AT229" s="3" t="str">
        <f>IFERROR(MID(VLOOKUP($B229,Seqs!$A:$B,2,0),AU229,1),"")</f>
        <v>M</v>
      </c>
      <c r="AU229" s="3">
        <v>309</v>
      </c>
      <c r="AV229" s="3" t="str">
        <f>IFERROR(MID(VLOOKUP($B229,Seqs!$A:$B,2,0),AW229,1),"")</f>
        <v>N</v>
      </c>
      <c r="AW229" s="3">
        <v>310</v>
      </c>
      <c r="AX229" s="3" t="str">
        <f>IFERROR(MID(VLOOKUP($B229,Seqs!$A:$B,2,0),AY229,1),"")</f>
        <v>C</v>
      </c>
      <c r="AY229" s="3">
        <v>322</v>
      </c>
      <c r="AZ229" s="77" t="str">
        <f>VLOOKUP(B229,Classification!A:D,2,0)</f>
        <v>A</v>
      </c>
      <c r="BA229" s="94" t="str">
        <f>VLOOKUP(B229,Classification!A:D,4,0)</f>
        <v>Opsins</v>
      </c>
      <c r="BB229" s="27" t="b">
        <f t="shared" si="754"/>
        <v>1</v>
      </c>
      <c r="BC229" s="23">
        <f t="shared" si="727"/>
        <v>258</v>
      </c>
      <c r="BD229" s="56" t="s">
        <v>1379</v>
      </c>
      <c r="BE229" s="3" t="s">
        <v>23</v>
      </c>
      <c r="BF229" s="119" t="s">
        <v>23</v>
      </c>
      <c r="BG229" s="49" t="s">
        <v>1379</v>
      </c>
      <c r="BH229" s="49" t="s">
        <v>1384</v>
      </c>
      <c r="BI229" s="1"/>
      <c r="BJ229" s="70" t="s">
        <v>1293</v>
      </c>
      <c r="BK229" s="57" t="s">
        <v>1293</v>
      </c>
      <c r="BL229" s="57" t="s">
        <v>1293</v>
      </c>
      <c r="BM229" s="57" t="s">
        <v>1293</v>
      </c>
      <c r="BN229" s="57" t="s">
        <v>1293</v>
      </c>
      <c r="BO229" s="57" t="s">
        <v>1293</v>
      </c>
      <c r="BP229" s="57" t="s">
        <v>1293</v>
      </c>
      <c r="BQ229" s="57" t="s">
        <v>1293</v>
      </c>
      <c r="BR229" s="57" t="s">
        <v>1293</v>
      </c>
      <c r="BS229" s="57" t="s">
        <v>1293</v>
      </c>
      <c r="BT229" s="57" t="s">
        <v>1293</v>
      </c>
      <c r="BU229" s="57" t="s">
        <v>1293</v>
      </c>
      <c r="BV229" s="70">
        <f t="shared" si="728"/>
        <v>34</v>
      </c>
      <c r="BW229" s="71">
        <f t="shared" si="729"/>
        <v>66</v>
      </c>
      <c r="BX229" s="72">
        <f t="shared" si="730"/>
        <v>70</v>
      </c>
      <c r="BY229" s="71">
        <f t="shared" si="731"/>
        <v>102</v>
      </c>
      <c r="BZ229" s="72">
        <f t="shared" si="732"/>
        <v>106</v>
      </c>
      <c r="CA229" s="71">
        <f t="shared" si="733"/>
        <v>142</v>
      </c>
      <c r="CB229" s="72">
        <f t="shared" si="734"/>
        <v>149</v>
      </c>
      <c r="CC229" s="71">
        <f t="shared" si="735"/>
        <v>187</v>
      </c>
      <c r="CD229" s="72">
        <f t="shared" si="736"/>
        <v>199</v>
      </c>
      <c r="CE229" s="71">
        <f t="shared" si="737"/>
        <v>241</v>
      </c>
      <c r="CF229" s="72">
        <f t="shared" si="738"/>
        <v>284</v>
      </c>
      <c r="CG229" s="71">
        <f t="shared" si="739"/>
        <v>310</v>
      </c>
      <c r="CH229" s="70">
        <f t="shared" si="740"/>
        <v>65</v>
      </c>
      <c r="CI229" s="71">
        <f t="shared" si="741"/>
        <v>69</v>
      </c>
      <c r="CJ229" s="72">
        <f t="shared" si="742"/>
        <v>100</v>
      </c>
      <c r="CK229" s="72">
        <f t="shared" si="743"/>
        <v>105</v>
      </c>
      <c r="CL229" s="72">
        <f t="shared" si="744"/>
        <v>141</v>
      </c>
      <c r="CM229" s="72">
        <f t="shared" si="745"/>
        <v>148</v>
      </c>
      <c r="CN229" s="72">
        <f t="shared" si="746"/>
        <v>173</v>
      </c>
      <c r="CO229" s="72">
        <f t="shared" si="747"/>
        <v>189</v>
      </c>
      <c r="CP229" s="72">
        <f t="shared" si="748"/>
        <v>237</v>
      </c>
      <c r="CQ229" s="72">
        <f t="shared" si="749"/>
        <v>278</v>
      </c>
      <c r="CR229" s="72">
        <f t="shared" si="750"/>
        <v>309</v>
      </c>
      <c r="CS229" s="72">
        <f t="shared" si="751"/>
        <v>322</v>
      </c>
      <c r="CT229" s="23">
        <f t="shared" si="752"/>
        <v>1</v>
      </c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  <c r="OK229" s="1"/>
      <c r="OL229" s="1"/>
      <c r="OM229" s="1"/>
      <c r="ON229" s="1"/>
      <c r="OO229" s="1"/>
      <c r="OP229" s="1"/>
      <c r="OQ229" s="1"/>
      <c r="OR229" s="1"/>
      <c r="OS229" s="1"/>
      <c r="OT229" s="1"/>
      <c r="OU229" s="1"/>
      <c r="OV229" s="1"/>
      <c r="OW229" s="1"/>
      <c r="OX229" s="1"/>
      <c r="OY229" s="1"/>
      <c r="OZ229" s="1"/>
      <c r="PA229" s="1"/>
      <c r="PB229" s="1"/>
      <c r="PC229" s="1"/>
      <c r="PD229" s="1"/>
      <c r="PE229" s="1"/>
      <c r="PF229" s="1"/>
      <c r="PG229" s="1"/>
      <c r="PH229" s="1"/>
      <c r="PI229" s="1"/>
      <c r="PJ229" s="1"/>
      <c r="PK229" s="1"/>
      <c r="PL229" s="1"/>
      <c r="PM229" s="1"/>
      <c r="PN229" s="1"/>
      <c r="PO229" s="1"/>
      <c r="PP229" s="1"/>
      <c r="PQ229" s="1"/>
      <c r="PR229" s="1"/>
      <c r="PS229" s="1"/>
      <c r="PT229" s="1"/>
      <c r="PU229" s="1"/>
      <c r="PV229" s="1"/>
      <c r="PW229" s="1"/>
      <c r="PX229" s="1"/>
      <c r="PY229" s="1"/>
      <c r="PZ229" s="1"/>
      <c r="QA229" s="1"/>
      <c r="QB229" s="1"/>
      <c r="QC229" s="1"/>
      <c r="QD229" s="1"/>
      <c r="QE229" s="1"/>
      <c r="QF229" s="1"/>
      <c r="QG229" s="1"/>
      <c r="QH229" s="1"/>
      <c r="QI229" s="1"/>
      <c r="QJ229" s="1"/>
      <c r="QK229" s="1"/>
      <c r="QL229" s="1"/>
      <c r="QM229" s="1"/>
      <c r="QN229" s="1"/>
      <c r="QO229" s="1"/>
      <c r="QP229" s="1"/>
      <c r="QQ229" s="1"/>
      <c r="QR229" s="1"/>
      <c r="QS229" s="1"/>
      <c r="QT229" s="1"/>
      <c r="QU229" s="1"/>
      <c r="QV229" s="1"/>
      <c r="QW229" s="1"/>
      <c r="QX229" s="1"/>
      <c r="QY229" s="1"/>
      <c r="QZ229" s="1"/>
      <c r="RA229" s="1"/>
      <c r="RB229" s="1"/>
      <c r="RC229" s="1"/>
      <c r="RD229" s="1"/>
      <c r="RE229" s="1"/>
      <c r="RF229" s="1"/>
      <c r="RG229" s="1"/>
      <c r="RH229" s="1"/>
      <c r="RI229" s="1"/>
      <c r="RJ229" s="1"/>
      <c r="RK229" s="1"/>
      <c r="RL229" s="1"/>
      <c r="RM229" s="1"/>
      <c r="RN229" s="1"/>
      <c r="RO229" s="1"/>
      <c r="RP229" s="1"/>
      <c r="RQ229" s="1"/>
      <c r="RR229" s="1"/>
      <c r="RS229" s="1"/>
      <c r="RT229" s="1"/>
      <c r="RU229" s="1"/>
      <c r="RV229" s="1"/>
      <c r="RW229" s="1"/>
      <c r="RX229" s="1"/>
      <c r="RY229" s="1"/>
      <c r="RZ229" s="1"/>
      <c r="SA229" s="1"/>
      <c r="SB229" s="1"/>
      <c r="SC229" s="1"/>
      <c r="SD229" s="1"/>
      <c r="SE229" s="1"/>
      <c r="SF229" s="1"/>
      <c r="SG229" s="1"/>
      <c r="SH229" s="1"/>
      <c r="SI229" s="1"/>
      <c r="SJ229" s="1"/>
      <c r="SK229" s="1"/>
      <c r="SL229" s="1"/>
      <c r="SM229" s="1"/>
      <c r="SN229" s="1"/>
      <c r="SO229" s="1"/>
      <c r="SP229" s="1"/>
      <c r="SQ229" s="1"/>
      <c r="SR229" s="1"/>
      <c r="SS229" s="1"/>
      <c r="ST229" s="1"/>
      <c r="SU229" s="1"/>
      <c r="SV229" s="1"/>
      <c r="SW229" s="1"/>
      <c r="SX229" s="1"/>
      <c r="SY229" s="1"/>
      <c r="SZ229" s="1"/>
      <c r="TA229" s="1"/>
      <c r="TB229" s="1"/>
      <c r="TC229" s="1"/>
      <c r="TD229" s="1"/>
      <c r="TE229" s="1"/>
      <c r="TF229" s="1"/>
      <c r="TG229" s="1"/>
      <c r="TH229" s="1"/>
      <c r="TI229" s="1"/>
      <c r="TJ229" s="1"/>
      <c r="TK229" s="1"/>
      <c r="TL229" s="1"/>
      <c r="TM229" s="1"/>
      <c r="TN229" s="1"/>
      <c r="TO229" s="1"/>
      <c r="TP229" s="1"/>
      <c r="TQ229" s="1"/>
      <c r="TR229" s="1"/>
      <c r="TS229" s="1"/>
      <c r="TT229" s="1"/>
      <c r="TU229" s="1"/>
      <c r="TV229" s="1"/>
      <c r="TW229" s="1"/>
      <c r="TX229" s="1"/>
      <c r="TY229" s="1"/>
      <c r="TZ229" s="1"/>
      <c r="UA229" s="1"/>
      <c r="UB229" s="1"/>
      <c r="UC229" s="1"/>
      <c r="UD229" s="1"/>
      <c r="UE229" s="1"/>
      <c r="UF229" s="1"/>
      <c r="UG229" s="1"/>
      <c r="UH229" s="1"/>
      <c r="UI229" s="1"/>
      <c r="UJ229" s="1"/>
      <c r="UK229" s="1"/>
      <c r="UL229" s="1"/>
      <c r="UM229" s="1"/>
      <c r="UN229" s="1"/>
      <c r="UO229" s="1"/>
      <c r="UP229" s="1"/>
      <c r="UQ229" s="1"/>
      <c r="UR229" s="1"/>
      <c r="US229" s="1"/>
      <c r="UT229" s="1"/>
      <c r="UU229" s="1"/>
      <c r="UV229" s="1"/>
      <c r="UW229" s="1"/>
      <c r="UX229" s="1"/>
      <c r="UY229" s="1"/>
      <c r="UZ229" s="1"/>
      <c r="VA229" s="1"/>
      <c r="VB229" s="1"/>
      <c r="VC229" s="1"/>
      <c r="VD229" s="1"/>
      <c r="VE229" s="1"/>
      <c r="VF229" s="1"/>
      <c r="VG229" s="1"/>
      <c r="VH229" s="1"/>
      <c r="VI229" s="1"/>
      <c r="VJ229" s="1"/>
      <c r="VK229" s="1"/>
      <c r="VL229" s="1"/>
      <c r="VM229" s="1"/>
      <c r="VN229" s="1"/>
      <c r="VO229" s="1"/>
      <c r="VP229" s="1"/>
      <c r="VQ229" s="1"/>
      <c r="VR229" s="1"/>
      <c r="VS229" s="1"/>
      <c r="VT229" s="1"/>
      <c r="VU229" s="1"/>
      <c r="VV229" s="1"/>
      <c r="VW229" s="1"/>
      <c r="VX229" s="1"/>
      <c r="VY229" s="1"/>
      <c r="VZ229" s="1"/>
      <c r="WA229" s="1"/>
      <c r="WB229" s="1"/>
      <c r="WC229" s="1"/>
      <c r="WD229" s="1"/>
      <c r="WE229" s="1"/>
      <c r="WF229" s="1"/>
      <c r="WG229" s="1"/>
      <c r="WH229" s="1"/>
      <c r="WI229" s="1"/>
      <c r="WJ229" s="1"/>
      <c r="WK229" s="1"/>
      <c r="WL229" s="1"/>
      <c r="WM229" s="1"/>
      <c r="WN229" s="1"/>
      <c r="WO229" s="1"/>
      <c r="WP229" s="1"/>
      <c r="WQ229" s="1"/>
      <c r="WR229" s="1"/>
      <c r="WS229" s="1"/>
      <c r="WT229" s="1"/>
      <c r="WU229" s="1"/>
      <c r="WV229" s="1"/>
      <c r="WW229" s="1"/>
      <c r="WX229" s="1"/>
      <c r="WY229" s="1"/>
      <c r="WZ229" s="1"/>
      <c r="XA229" s="1"/>
      <c r="XB229" s="1"/>
      <c r="XC229" s="1"/>
      <c r="XD229" s="1"/>
      <c r="XE229" s="1"/>
      <c r="XF229" s="1"/>
      <c r="XG229" s="1"/>
      <c r="XH229" s="1"/>
      <c r="XI229" s="1"/>
      <c r="XJ229" s="1"/>
      <c r="XK229" s="1"/>
      <c r="XL229" s="1"/>
      <c r="XM229" s="1"/>
      <c r="XN229" s="1"/>
      <c r="XO229" s="1"/>
      <c r="XP229" s="1"/>
      <c r="XQ229" s="1"/>
      <c r="XR229" s="1"/>
      <c r="XS229" s="1"/>
      <c r="XT229" s="1"/>
      <c r="XU229" s="1"/>
      <c r="XV229" s="1"/>
      <c r="XW229" s="1"/>
      <c r="XX229" s="1"/>
      <c r="XY229" s="1"/>
      <c r="XZ229" s="1"/>
      <c r="YA229" s="1"/>
      <c r="YB229" s="1"/>
      <c r="YC229" s="1"/>
      <c r="YD229" s="1"/>
      <c r="YE229" s="1"/>
      <c r="YF229" s="1"/>
      <c r="YG229" s="1"/>
      <c r="YH229" s="1"/>
      <c r="YI229" s="1"/>
      <c r="YJ229" s="1"/>
      <c r="YK229" s="1"/>
      <c r="YL229" s="1"/>
      <c r="YM229" s="1"/>
      <c r="YN229" s="1"/>
      <c r="YO229" s="1"/>
      <c r="YP229" s="1"/>
      <c r="YQ229" s="1"/>
      <c r="YR229" s="1"/>
      <c r="YS229" s="1"/>
      <c r="YT229" s="1"/>
      <c r="YU229" s="1"/>
      <c r="YV229" s="1"/>
      <c r="YW229" s="1"/>
      <c r="YX229" s="1"/>
      <c r="YY229" s="1"/>
      <c r="YZ229" s="1"/>
      <c r="ZA229" s="1"/>
      <c r="ZB229" s="1"/>
      <c r="ZC229" s="1"/>
      <c r="ZD229" s="1"/>
      <c r="ZE229" s="1"/>
      <c r="ZF229" s="1"/>
      <c r="ZG229" s="1"/>
      <c r="ZH229" s="1"/>
      <c r="ZI229" s="1"/>
      <c r="ZJ229" s="1"/>
      <c r="ZK229" s="1"/>
      <c r="ZL229" s="1"/>
      <c r="ZM229" s="1"/>
      <c r="ZN229" s="1"/>
      <c r="ZO229" s="1"/>
      <c r="ZP229" s="1"/>
      <c r="ZQ229" s="1"/>
      <c r="ZR229" s="1"/>
      <c r="ZS229" s="1"/>
      <c r="ZT229" s="1"/>
      <c r="ZU229" s="1"/>
      <c r="ZV229" s="1"/>
      <c r="ZW229" s="1"/>
      <c r="ZX229" s="1"/>
      <c r="ZY229" s="1"/>
      <c r="ZZ229" s="1"/>
      <c r="AAA229" s="1"/>
      <c r="AAB229" s="1"/>
      <c r="AAC229" s="1"/>
      <c r="AAD229" s="1"/>
      <c r="AAE229" s="1"/>
      <c r="AAF229" s="1"/>
      <c r="AAG229" s="1"/>
      <c r="AAH229" s="1"/>
      <c r="AAI229" s="1"/>
      <c r="AAJ229" s="1"/>
      <c r="AAK229" s="1"/>
      <c r="AAL229" s="1"/>
      <c r="AAM229" s="1"/>
      <c r="AAN229" s="1"/>
      <c r="AAO229" s="1"/>
      <c r="AAP229" s="1"/>
      <c r="AAQ229" s="1"/>
      <c r="AAR229" s="1"/>
      <c r="AAS229" s="1"/>
      <c r="AAT229" s="1"/>
      <c r="AAU229" s="1"/>
      <c r="AAV229" s="1"/>
      <c r="AAW229" s="1"/>
      <c r="AAX229" s="1"/>
      <c r="AAY229" s="1"/>
      <c r="AAZ229" s="1"/>
      <c r="ABA229" s="1"/>
      <c r="ABB229" s="1"/>
      <c r="ABC229" s="1"/>
      <c r="ABD229" s="1"/>
      <c r="ABE229" s="1"/>
      <c r="ABF229" s="1"/>
      <c r="ABG229" s="1"/>
      <c r="ABH229" s="1"/>
      <c r="ABI229" s="1"/>
      <c r="ABJ229" s="1"/>
      <c r="ABK229" s="1"/>
      <c r="ABL229" s="1"/>
      <c r="ABM229" s="1"/>
      <c r="ABN229" s="1"/>
      <c r="ABO229" s="1"/>
      <c r="ABP229" s="1"/>
      <c r="ABQ229" s="1"/>
      <c r="ABR229" s="1"/>
      <c r="ABS229" s="1"/>
      <c r="ABT229" s="1"/>
      <c r="ABU229" s="1"/>
      <c r="ABV229" s="1"/>
      <c r="ABW229" s="1"/>
      <c r="ABX229" s="1"/>
      <c r="ABY229" s="1"/>
      <c r="ABZ229" s="1"/>
      <c r="ACA229" s="1"/>
      <c r="ACB229" s="1"/>
      <c r="ACC229" s="1"/>
      <c r="ACD229" s="1"/>
      <c r="ACE229" s="1"/>
      <c r="ACF229" s="1"/>
      <c r="ACG229" s="1"/>
      <c r="ACH229" s="1"/>
      <c r="ACI229" s="1"/>
      <c r="ACJ229" s="1"/>
      <c r="ACK229" s="1"/>
      <c r="ACL229" s="1"/>
      <c r="ACM229" s="1"/>
      <c r="ACN229" s="1"/>
      <c r="ACO229" s="1"/>
      <c r="ACP229" s="1"/>
      <c r="ACQ229" s="1"/>
      <c r="ACR229" s="1"/>
      <c r="ACS229" s="1"/>
      <c r="ACT229" s="1"/>
      <c r="ACU229" s="1"/>
      <c r="ACV229" s="1"/>
      <c r="ACW229" s="1"/>
      <c r="ACX229" s="1"/>
      <c r="ACY229" s="1"/>
      <c r="ACZ229" s="1"/>
      <c r="ADA229" s="1"/>
      <c r="ADB229" s="1"/>
      <c r="ADC229" s="1"/>
      <c r="ADD229" s="1"/>
      <c r="ADE229" s="1"/>
      <c r="ADF229" s="1"/>
      <c r="ADG229" s="1"/>
      <c r="ADH229" s="1"/>
      <c r="ADI229" s="1"/>
      <c r="ADJ229" s="1"/>
      <c r="ADK229" s="1"/>
      <c r="ADL229" s="1"/>
      <c r="ADM229" s="1"/>
      <c r="ADN229" s="1"/>
      <c r="ADO229" s="1"/>
      <c r="ADP229" s="1"/>
      <c r="ADQ229" s="1"/>
      <c r="ADR229" s="1"/>
      <c r="ADS229" s="1"/>
      <c r="ADT229" s="1"/>
      <c r="ADU229" s="1"/>
      <c r="ADV229" s="1"/>
      <c r="ADW229" s="1"/>
      <c r="ADX229" s="1"/>
      <c r="ADY229" s="1"/>
      <c r="ADZ229" s="1"/>
      <c r="AEA229" s="1"/>
      <c r="AEB229" s="1"/>
      <c r="AEC229" s="1"/>
      <c r="AED229" s="1"/>
      <c r="AEE229" s="1"/>
      <c r="AEF229" s="1"/>
      <c r="AEG229" s="1"/>
      <c r="AEH229" s="1"/>
      <c r="AEI229" s="1"/>
      <c r="AEJ229" s="1"/>
      <c r="AEK229" s="1"/>
      <c r="AEL229" s="1"/>
      <c r="AEM229" s="1"/>
      <c r="AEN229" s="1"/>
      <c r="AEO229" s="1"/>
      <c r="AEP229" s="1"/>
      <c r="AEQ229" s="1"/>
      <c r="AER229" s="1"/>
      <c r="AES229" s="1"/>
      <c r="AET229" s="1"/>
      <c r="AEU229" s="1"/>
      <c r="AEV229" s="1"/>
      <c r="AEW229" s="1"/>
      <c r="AEX229" s="1"/>
      <c r="AEY229" s="1"/>
      <c r="AEZ229" s="1"/>
      <c r="AFA229" s="1"/>
      <c r="AFB229" s="1"/>
      <c r="AFC229" s="1"/>
      <c r="AFD229" s="1"/>
      <c r="AFE229" s="1"/>
      <c r="AFF229" s="1"/>
      <c r="AFG229" s="1"/>
      <c r="AFH229" s="1"/>
      <c r="AFI229" s="1"/>
      <c r="AFJ229" s="1"/>
      <c r="AFK229" s="1"/>
      <c r="AFL229" s="1"/>
      <c r="AFM229" s="1"/>
      <c r="AFN229" s="1"/>
      <c r="AFO229" s="1"/>
      <c r="AFP229" s="1"/>
      <c r="AFQ229" s="1"/>
      <c r="AFR229" s="1"/>
      <c r="AFS229" s="1"/>
      <c r="AFT229" s="1"/>
      <c r="AFU229" s="1"/>
      <c r="AFV229" s="1"/>
      <c r="AFW229" s="1"/>
      <c r="AFX229" s="1"/>
      <c r="AFY229" s="1"/>
      <c r="AFZ229" s="1"/>
      <c r="AGA229" s="1"/>
      <c r="AGB229" s="1"/>
      <c r="AGC229" s="1"/>
      <c r="AGD229" s="1"/>
      <c r="AGE229" s="1"/>
      <c r="AGF229" s="1"/>
      <c r="AGG229" s="1"/>
      <c r="AGH229" s="1"/>
      <c r="AGI229" s="1"/>
      <c r="AGJ229" s="1"/>
      <c r="AGK229" s="1"/>
      <c r="AGL229" s="1"/>
      <c r="AGM229" s="1"/>
      <c r="AGN229" s="1"/>
      <c r="AGO229" s="1"/>
      <c r="AGP229" s="1"/>
      <c r="AGQ229" s="1"/>
      <c r="AGR229" s="1"/>
      <c r="AGS229" s="1"/>
      <c r="AGT229" s="1"/>
      <c r="AGU229" s="1"/>
      <c r="AGV229" s="1"/>
      <c r="AGW229" s="1"/>
      <c r="AGX229" s="1"/>
      <c r="AGY229" s="1"/>
      <c r="AGZ229" s="1"/>
      <c r="AHA229" s="1"/>
      <c r="AHB229" s="1"/>
      <c r="AHC229" s="1"/>
      <c r="AHD229" s="1"/>
      <c r="AHE229" s="1"/>
      <c r="AHF229" s="1"/>
      <c r="AHG229" s="1"/>
      <c r="AHH229" s="1"/>
      <c r="AHI229" s="1"/>
      <c r="AHJ229" s="1"/>
      <c r="AHK229" s="1"/>
      <c r="AHL229" s="1"/>
      <c r="AHM229" s="1"/>
      <c r="AHN229" s="1"/>
      <c r="AHO229" s="1"/>
      <c r="AHP229" s="1"/>
      <c r="AHQ229" s="1"/>
      <c r="AHR229" s="1"/>
      <c r="AHS229" s="1"/>
      <c r="AHT229" s="1"/>
      <c r="AHU229" s="1"/>
      <c r="AHV229" s="1"/>
      <c r="AHW229" s="1"/>
      <c r="AHX229" s="1"/>
      <c r="AHY229" s="1"/>
      <c r="AHZ229" s="1"/>
      <c r="AIA229" s="1"/>
      <c r="AIB229" s="1"/>
      <c r="AIC229" s="1"/>
      <c r="AID229" s="1"/>
      <c r="AIE229" s="1"/>
      <c r="AIF229" s="1"/>
      <c r="AIG229" s="1"/>
      <c r="AIH229" s="1"/>
      <c r="AII229" s="1"/>
      <c r="AIJ229" s="1"/>
      <c r="AIK229" s="1"/>
      <c r="AIL229" s="1"/>
      <c r="AIM229" s="1"/>
      <c r="AIN229" s="1"/>
      <c r="AIO229" s="1"/>
      <c r="AIP229" s="1"/>
      <c r="AIQ229" s="1"/>
      <c r="AIR229" s="1"/>
      <c r="AIS229" s="1"/>
      <c r="AIT229" s="1"/>
      <c r="AIU229" s="1"/>
      <c r="AIV229" s="1"/>
      <c r="AIW229" s="1"/>
      <c r="AIX229" s="1"/>
      <c r="AIY229" s="1"/>
      <c r="AIZ229" s="1"/>
      <c r="AJA229" s="1"/>
      <c r="AJB229" s="1"/>
      <c r="AJC229" s="1"/>
      <c r="AJD229" s="1"/>
      <c r="AJE229" s="1"/>
      <c r="AJF229" s="1"/>
      <c r="AJG229" s="1"/>
      <c r="AJH229" s="1"/>
      <c r="AJI229" s="1"/>
      <c r="AJJ229" s="1"/>
      <c r="AJK229" s="1"/>
      <c r="AJL229" s="1"/>
      <c r="AJM229" s="1"/>
      <c r="AJN229" s="1"/>
      <c r="AJO229" s="1"/>
      <c r="AJP229" s="1"/>
      <c r="AJQ229" s="1"/>
      <c r="AJR229" s="1"/>
      <c r="AJS229" s="1"/>
      <c r="AJT229" s="1"/>
      <c r="AJU229" s="1"/>
      <c r="AJV229" s="1"/>
      <c r="AJW229" s="1"/>
      <c r="AJX229" s="1"/>
      <c r="AJY229" s="1"/>
      <c r="AJZ229" s="1"/>
      <c r="AKA229" s="1"/>
      <c r="AKB229" s="1"/>
      <c r="AKC229" s="1"/>
      <c r="AKD229" s="1"/>
      <c r="AKE229" s="1"/>
      <c r="AKF229" s="1"/>
      <c r="AKG229" s="1"/>
      <c r="AKH229" s="1"/>
      <c r="AKI229" s="1"/>
      <c r="AKJ229" s="1"/>
      <c r="AKK229" s="1"/>
      <c r="AKL229" s="1"/>
      <c r="AKM229" s="1"/>
      <c r="AKN229" s="1"/>
      <c r="AKO229" s="1"/>
      <c r="AKP229" s="1"/>
      <c r="AKQ229" s="1"/>
      <c r="AKR229" s="1"/>
      <c r="AKS229" s="1"/>
      <c r="AKT229" s="1"/>
      <c r="AKU229" s="1"/>
      <c r="AKV229" s="1"/>
      <c r="AKW229" s="1"/>
      <c r="AKX229" s="1"/>
      <c r="AKY229" s="1"/>
      <c r="AKZ229" s="1"/>
      <c r="ALA229" s="1"/>
      <c r="ALB229" s="1"/>
      <c r="ALC229" s="1"/>
      <c r="ALD229" s="1"/>
      <c r="ALE229" s="1"/>
      <c r="ALF229" s="1"/>
      <c r="ALG229" s="1"/>
      <c r="ALH229" s="1"/>
      <c r="ALI229" s="1"/>
      <c r="ALJ229" s="1"/>
      <c r="ALK229" s="1"/>
      <c r="ALL229" s="1"/>
      <c r="ALM229" s="1"/>
      <c r="ALN229" s="1"/>
      <c r="ALO229" s="1"/>
      <c r="ALP229" s="1"/>
      <c r="ALQ229" s="1"/>
      <c r="ALR229" s="1"/>
      <c r="ALS229" s="1"/>
      <c r="ALT229" s="1"/>
      <c r="ALU229" s="1"/>
      <c r="ALV229" s="1"/>
      <c r="ALW229" s="1"/>
      <c r="ALX229" s="1"/>
      <c r="ALY229" s="1"/>
      <c r="ALZ229" s="1"/>
      <c r="AMA229" s="1"/>
      <c r="AMB229" s="1"/>
      <c r="AMC229" s="1"/>
      <c r="AMD229" s="1"/>
      <c r="AME229" s="1"/>
      <c r="AMF229" s="1"/>
      <c r="AMG229" s="1"/>
      <c r="AMH229" s="1"/>
      <c r="AMI229" s="1"/>
      <c r="AMJ229" s="1"/>
      <c r="AMK229" s="1"/>
      <c r="AML229" s="1"/>
      <c r="AMM229" s="1"/>
      <c r="AMN229" s="1"/>
      <c r="AMO229" s="1"/>
    </row>
    <row r="230" spans="1:1030" x14ac:dyDescent="0.2">
      <c r="A230" s="3" t="str">
        <f t="shared" si="753"/>
        <v>opsd_human_4ZWJ</v>
      </c>
      <c r="B230" s="3" t="s">
        <v>339</v>
      </c>
      <c r="C230" s="3" t="s">
        <v>55</v>
      </c>
      <c r="D230" s="3" t="str">
        <f>IFERROR(MID(VLOOKUP($B230,Seqs!$A:$B,2,0),E230,1),"")</f>
        <v>P</v>
      </c>
      <c r="E230" s="3">
        <v>34</v>
      </c>
      <c r="F230" s="3" t="str">
        <f>IFERROR(MID(VLOOKUP($B230,Seqs!$A:$B,2,0),G230,1),"")</f>
        <v>H</v>
      </c>
      <c r="G230" s="3">
        <v>65</v>
      </c>
      <c r="H230" s="3" t="str">
        <f>IFERROR(MID(VLOOKUP($B230,Seqs!$A:$B,2,0),I230,1),"")</f>
        <v>K</v>
      </c>
      <c r="I230" s="23">
        <v>66</v>
      </c>
      <c r="J230" s="3" t="str">
        <f>IFERROR(MID(VLOOKUP($B230,Seqs!$A:$B,2,0),K230,1),"")</f>
        <v>R</v>
      </c>
      <c r="K230" s="23">
        <v>69</v>
      </c>
      <c r="L230" s="3" t="str">
        <f>IFERROR(MID(VLOOKUP($B230,Seqs!$A:$B,2,0),M230,1),"")</f>
        <v>T</v>
      </c>
      <c r="M230" s="3">
        <v>70</v>
      </c>
      <c r="N230" s="3" t="str">
        <f>IFERROR(MID(VLOOKUP($B230,Seqs!$A:$B,2,0),O230,1),"")</f>
        <v>H</v>
      </c>
      <c r="O230" s="3">
        <v>100</v>
      </c>
      <c r="P230" s="3" t="str">
        <f>IFERROR(MID(VLOOKUP($B230,Seqs!$A:$B,2,0),Q230,1),"")</f>
        <v>Y</v>
      </c>
      <c r="Q230" s="3">
        <v>102</v>
      </c>
      <c r="R230" s="3" t="str">
        <f>IFERROR(MID(VLOOKUP($B230,Seqs!$A:$B,2,0),S230,1),"")</f>
        <v>F</v>
      </c>
      <c r="S230" s="3">
        <v>105</v>
      </c>
      <c r="T230" s="3" t="str">
        <f>IFERROR(MID(VLOOKUP($B230,Seqs!$A:$B,2,0),U230,1),"")</f>
        <v>G</v>
      </c>
      <c r="U230" s="3">
        <v>106</v>
      </c>
      <c r="V230" s="3" t="str">
        <f>IFERROR(MID(VLOOKUP($B230,Seqs!$A:$B,2,0),W230,1),"")</f>
        <v>K</v>
      </c>
      <c r="W230" s="3">
        <v>141</v>
      </c>
      <c r="X230" s="3" t="str">
        <f>IFERROR(MID(VLOOKUP($B230,Seqs!$A:$B,2,0),Y230,1),"")</f>
        <v>P</v>
      </c>
      <c r="Y230" s="3">
        <v>142</v>
      </c>
      <c r="Z230" s="3" t="str">
        <f>IFERROR(MID(VLOOKUP($B230,Seqs!$A:$B,2,0),AA230,1),"")</f>
        <v>F</v>
      </c>
      <c r="AA230" s="3">
        <v>148</v>
      </c>
      <c r="AB230" s="3" t="str">
        <f>IFERROR(MID(VLOOKUP($B230,Seqs!$A:$B,2,0),AC230,1),"")</f>
        <v>G</v>
      </c>
      <c r="AC230" s="9">
        <v>149</v>
      </c>
      <c r="AD230" s="3" t="str">
        <f>IFERROR(MID(VLOOKUP($B230,Seqs!$A:$B,2,0),AE230,1),"")</f>
        <v>A</v>
      </c>
      <c r="AE230" s="3">
        <v>173</v>
      </c>
      <c r="AF230" s="3" t="str">
        <f>IFERROR(MID(VLOOKUP($B230,Seqs!$A:$B,2,0),AG230,1),"")</f>
        <v>C</v>
      </c>
      <c r="AG230" s="3">
        <v>187</v>
      </c>
      <c r="AH230" s="3" t="str">
        <f>IFERROR(MID(VLOOKUP($B230,Seqs!$A:$B,2,0),AI230,1),"")</f>
        <v>I</v>
      </c>
      <c r="AI230" s="3">
        <v>189</v>
      </c>
      <c r="AJ230" s="3" t="str">
        <f>IFERROR(MID(VLOOKUP($B230,Seqs!$A:$B,2,0),AK230,1),"")</f>
        <v>N</v>
      </c>
      <c r="AK230" s="3">
        <v>199</v>
      </c>
      <c r="AL230" s="3" t="str">
        <f>IFERROR(MID(VLOOKUP($B230,Seqs!$A:$B,2,0),AM230,1),"")</f>
        <v>Q</v>
      </c>
      <c r="AM230" s="3">
        <v>237</v>
      </c>
      <c r="AN230" s="3" t="str">
        <f>IFERROR(MID(VLOOKUP($B230,Seqs!$A:$B,2,0),AO230,1),"")</f>
        <v>A</v>
      </c>
      <c r="AO230" s="3">
        <v>241</v>
      </c>
      <c r="AP230" s="3" t="str">
        <f>IFERROR(MID(VLOOKUP($B230,Seqs!$A:$B,2,0),AQ230,1),"")</f>
        <v>H</v>
      </c>
      <c r="AQ230" s="3">
        <v>278</v>
      </c>
      <c r="AR230" s="3" t="str">
        <f>IFERROR(MID(VLOOKUP($B230,Seqs!$A:$B,2,0),AS230,1),"")</f>
        <v>G</v>
      </c>
      <c r="AS230" s="3">
        <v>284</v>
      </c>
      <c r="AT230" s="3" t="str">
        <f>IFERROR(MID(VLOOKUP($B230,Seqs!$A:$B,2,0),AU230,1),"")</f>
        <v>M</v>
      </c>
      <c r="AU230" s="3">
        <v>309</v>
      </c>
      <c r="AV230" s="3" t="str">
        <f>IFERROR(MID(VLOOKUP($B230,Seqs!$A:$B,2,0),AW230,1),"")</f>
        <v>N</v>
      </c>
      <c r="AW230" s="3">
        <v>310</v>
      </c>
      <c r="AX230" s="3" t="str">
        <f>IFERROR(MID(VLOOKUP($B230,Seqs!$A:$B,2,0),AY230,1),"")</f>
        <v>C</v>
      </c>
      <c r="AY230" s="3">
        <v>322</v>
      </c>
      <c r="AZ230" s="77" t="str">
        <f>VLOOKUP(B230,Classification!A:D,2,0)</f>
        <v>A</v>
      </c>
      <c r="BA230" s="94" t="str">
        <f>VLOOKUP(B230,Classification!A:D,4,0)</f>
        <v>Opsins</v>
      </c>
      <c r="BB230" s="27" t="b">
        <f t="shared" si="754"/>
        <v>1</v>
      </c>
      <c r="BC230" s="23">
        <f t="shared" si="727"/>
        <v>258</v>
      </c>
      <c r="BD230" s="2" t="s">
        <v>1382</v>
      </c>
      <c r="BE230" s="3" t="s">
        <v>1297</v>
      </c>
      <c r="BF230" s="119">
        <v>3.3</v>
      </c>
      <c r="BG230" s="49" t="s">
        <v>1384</v>
      </c>
      <c r="BH230" s="49" t="s">
        <v>1384</v>
      </c>
      <c r="BI230" s="1"/>
      <c r="BJ230" s="70" t="s">
        <v>1293</v>
      </c>
      <c r="BK230" s="57" t="s">
        <v>1293</v>
      </c>
      <c r="BL230" s="57" t="s">
        <v>1293</v>
      </c>
      <c r="BM230" s="57" t="s">
        <v>1293</v>
      </c>
      <c r="BN230" s="57" t="s">
        <v>1293</v>
      </c>
      <c r="BO230" s="57" t="s">
        <v>1293</v>
      </c>
      <c r="BP230" s="57" t="s">
        <v>1293</v>
      </c>
      <c r="BQ230" s="57" t="s">
        <v>1293</v>
      </c>
      <c r="BR230" s="57" t="s">
        <v>1293</v>
      </c>
      <c r="BS230" s="57" t="s">
        <v>1293</v>
      </c>
      <c r="BT230" s="57" t="s">
        <v>1293</v>
      </c>
      <c r="BU230" s="57" t="s">
        <v>1293</v>
      </c>
      <c r="BV230" s="70">
        <f t="shared" si="728"/>
        <v>34</v>
      </c>
      <c r="BW230" s="71">
        <f t="shared" si="729"/>
        <v>66</v>
      </c>
      <c r="BX230" s="72">
        <f t="shared" si="730"/>
        <v>70</v>
      </c>
      <c r="BY230" s="71">
        <f t="shared" si="731"/>
        <v>102</v>
      </c>
      <c r="BZ230" s="72">
        <f t="shared" si="732"/>
        <v>106</v>
      </c>
      <c r="CA230" s="71">
        <f t="shared" si="733"/>
        <v>142</v>
      </c>
      <c r="CB230" s="72">
        <f t="shared" si="734"/>
        <v>149</v>
      </c>
      <c r="CC230" s="71">
        <f t="shared" si="735"/>
        <v>187</v>
      </c>
      <c r="CD230" s="72">
        <f t="shared" si="736"/>
        <v>199</v>
      </c>
      <c r="CE230" s="71">
        <f t="shared" si="737"/>
        <v>241</v>
      </c>
      <c r="CF230" s="72">
        <f t="shared" si="738"/>
        <v>284</v>
      </c>
      <c r="CG230" s="71">
        <f t="shared" si="739"/>
        <v>310</v>
      </c>
      <c r="CH230" s="70">
        <f t="shared" si="740"/>
        <v>65</v>
      </c>
      <c r="CI230" s="71">
        <f t="shared" si="741"/>
        <v>69</v>
      </c>
      <c r="CJ230" s="72">
        <f t="shared" si="742"/>
        <v>100</v>
      </c>
      <c r="CK230" s="72">
        <f t="shared" si="743"/>
        <v>105</v>
      </c>
      <c r="CL230" s="72">
        <f t="shared" si="744"/>
        <v>141</v>
      </c>
      <c r="CM230" s="72">
        <f t="shared" si="745"/>
        <v>148</v>
      </c>
      <c r="CN230" s="72">
        <f t="shared" si="746"/>
        <v>173</v>
      </c>
      <c r="CO230" s="72">
        <f t="shared" si="747"/>
        <v>189</v>
      </c>
      <c r="CP230" s="72">
        <f t="shared" si="748"/>
        <v>237</v>
      </c>
      <c r="CQ230" s="72">
        <f t="shared" si="749"/>
        <v>278</v>
      </c>
      <c r="CR230" s="72">
        <f t="shared" si="750"/>
        <v>309</v>
      </c>
      <c r="CS230" s="72">
        <f t="shared" si="751"/>
        <v>322</v>
      </c>
      <c r="CT230" s="23">
        <f t="shared" si="752"/>
        <v>1</v>
      </c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  <c r="OK230" s="1"/>
      <c r="OL230" s="1"/>
      <c r="OM230" s="1"/>
      <c r="ON230" s="1"/>
      <c r="OO230" s="1"/>
      <c r="OP230" s="1"/>
      <c r="OQ230" s="1"/>
      <c r="OR230" s="1"/>
      <c r="OS230" s="1"/>
      <c r="OT230" s="1"/>
      <c r="OU230" s="1"/>
      <c r="OV230" s="1"/>
      <c r="OW230" s="1"/>
      <c r="OX230" s="1"/>
      <c r="OY230" s="1"/>
      <c r="OZ230" s="1"/>
      <c r="PA230" s="1"/>
      <c r="PB230" s="1"/>
      <c r="PC230" s="1"/>
      <c r="PD230" s="1"/>
      <c r="PE230" s="1"/>
      <c r="PF230" s="1"/>
      <c r="PG230" s="1"/>
      <c r="PH230" s="1"/>
      <c r="PI230" s="1"/>
      <c r="PJ230" s="1"/>
      <c r="PK230" s="1"/>
      <c r="PL230" s="1"/>
      <c r="PM230" s="1"/>
      <c r="PN230" s="1"/>
      <c r="PO230" s="1"/>
      <c r="PP230" s="1"/>
      <c r="PQ230" s="1"/>
      <c r="PR230" s="1"/>
      <c r="PS230" s="1"/>
      <c r="PT230" s="1"/>
      <c r="PU230" s="1"/>
      <c r="PV230" s="1"/>
      <c r="PW230" s="1"/>
      <c r="PX230" s="1"/>
      <c r="PY230" s="1"/>
      <c r="PZ230" s="1"/>
      <c r="QA230" s="1"/>
      <c r="QB230" s="1"/>
      <c r="QC230" s="1"/>
      <c r="QD230" s="1"/>
      <c r="QE230" s="1"/>
      <c r="QF230" s="1"/>
      <c r="QG230" s="1"/>
      <c r="QH230" s="1"/>
      <c r="QI230" s="1"/>
      <c r="QJ230" s="1"/>
      <c r="QK230" s="1"/>
      <c r="QL230" s="1"/>
      <c r="QM230" s="1"/>
      <c r="QN230" s="1"/>
      <c r="QO230" s="1"/>
      <c r="QP230" s="1"/>
      <c r="QQ230" s="1"/>
      <c r="QR230" s="1"/>
      <c r="QS230" s="1"/>
      <c r="QT230" s="1"/>
      <c r="QU230" s="1"/>
      <c r="QV230" s="1"/>
      <c r="QW230" s="1"/>
      <c r="QX230" s="1"/>
      <c r="QY230" s="1"/>
      <c r="QZ230" s="1"/>
      <c r="RA230" s="1"/>
      <c r="RB230" s="1"/>
      <c r="RC230" s="1"/>
      <c r="RD230" s="1"/>
      <c r="RE230" s="1"/>
      <c r="RF230" s="1"/>
      <c r="RG230" s="1"/>
      <c r="RH230" s="1"/>
      <c r="RI230" s="1"/>
      <c r="RJ230" s="1"/>
      <c r="RK230" s="1"/>
      <c r="RL230" s="1"/>
      <c r="RM230" s="1"/>
      <c r="RN230" s="1"/>
      <c r="RO230" s="1"/>
      <c r="RP230" s="1"/>
      <c r="RQ230" s="1"/>
      <c r="RR230" s="1"/>
      <c r="RS230" s="1"/>
      <c r="RT230" s="1"/>
      <c r="RU230" s="1"/>
      <c r="RV230" s="1"/>
      <c r="RW230" s="1"/>
      <c r="RX230" s="1"/>
      <c r="RY230" s="1"/>
      <c r="RZ230" s="1"/>
      <c r="SA230" s="1"/>
      <c r="SB230" s="1"/>
      <c r="SC230" s="1"/>
      <c r="SD230" s="1"/>
      <c r="SE230" s="1"/>
      <c r="SF230" s="1"/>
      <c r="SG230" s="1"/>
      <c r="SH230" s="1"/>
      <c r="SI230" s="1"/>
      <c r="SJ230" s="1"/>
      <c r="SK230" s="1"/>
      <c r="SL230" s="1"/>
      <c r="SM230" s="1"/>
      <c r="SN230" s="1"/>
      <c r="SO230" s="1"/>
      <c r="SP230" s="1"/>
      <c r="SQ230" s="1"/>
      <c r="SR230" s="1"/>
      <c r="SS230" s="1"/>
      <c r="ST230" s="1"/>
      <c r="SU230" s="1"/>
      <c r="SV230" s="1"/>
      <c r="SW230" s="1"/>
      <c r="SX230" s="1"/>
      <c r="SY230" s="1"/>
      <c r="SZ230" s="1"/>
      <c r="TA230" s="1"/>
      <c r="TB230" s="1"/>
      <c r="TC230" s="1"/>
      <c r="TD230" s="1"/>
      <c r="TE230" s="1"/>
      <c r="TF230" s="1"/>
      <c r="TG230" s="1"/>
      <c r="TH230" s="1"/>
      <c r="TI230" s="1"/>
      <c r="TJ230" s="1"/>
      <c r="TK230" s="1"/>
      <c r="TL230" s="1"/>
      <c r="TM230" s="1"/>
      <c r="TN230" s="1"/>
      <c r="TO230" s="1"/>
      <c r="TP230" s="1"/>
      <c r="TQ230" s="1"/>
      <c r="TR230" s="1"/>
      <c r="TS230" s="1"/>
      <c r="TT230" s="1"/>
      <c r="TU230" s="1"/>
      <c r="TV230" s="1"/>
      <c r="TW230" s="1"/>
      <c r="TX230" s="1"/>
      <c r="TY230" s="1"/>
      <c r="TZ230" s="1"/>
      <c r="UA230" s="1"/>
      <c r="UB230" s="1"/>
      <c r="UC230" s="1"/>
      <c r="UD230" s="1"/>
      <c r="UE230" s="1"/>
      <c r="UF230" s="1"/>
      <c r="UG230" s="1"/>
      <c r="UH230" s="1"/>
      <c r="UI230" s="1"/>
      <c r="UJ230" s="1"/>
      <c r="UK230" s="1"/>
      <c r="UL230" s="1"/>
      <c r="UM230" s="1"/>
      <c r="UN230" s="1"/>
      <c r="UO230" s="1"/>
      <c r="UP230" s="1"/>
      <c r="UQ230" s="1"/>
      <c r="UR230" s="1"/>
      <c r="US230" s="1"/>
      <c r="UT230" s="1"/>
      <c r="UU230" s="1"/>
      <c r="UV230" s="1"/>
      <c r="UW230" s="1"/>
      <c r="UX230" s="1"/>
      <c r="UY230" s="1"/>
      <c r="UZ230" s="1"/>
      <c r="VA230" s="1"/>
      <c r="VB230" s="1"/>
      <c r="VC230" s="1"/>
      <c r="VD230" s="1"/>
      <c r="VE230" s="1"/>
      <c r="VF230" s="1"/>
      <c r="VG230" s="1"/>
      <c r="VH230" s="1"/>
      <c r="VI230" s="1"/>
      <c r="VJ230" s="1"/>
      <c r="VK230" s="1"/>
      <c r="VL230" s="1"/>
      <c r="VM230" s="1"/>
      <c r="VN230" s="1"/>
      <c r="VO230" s="1"/>
      <c r="VP230" s="1"/>
      <c r="VQ230" s="1"/>
      <c r="VR230" s="1"/>
      <c r="VS230" s="1"/>
      <c r="VT230" s="1"/>
      <c r="VU230" s="1"/>
      <c r="VV230" s="1"/>
      <c r="VW230" s="1"/>
      <c r="VX230" s="1"/>
      <c r="VY230" s="1"/>
      <c r="VZ230" s="1"/>
      <c r="WA230" s="1"/>
      <c r="WB230" s="1"/>
      <c r="WC230" s="1"/>
      <c r="WD230" s="1"/>
      <c r="WE230" s="1"/>
      <c r="WF230" s="1"/>
      <c r="WG230" s="1"/>
      <c r="WH230" s="1"/>
      <c r="WI230" s="1"/>
      <c r="WJ230" s="1"/>
      <c r="WK230" s="1"/>
      <c r="WL230" s="1"/>
      <c r="WM230" s="1"/>
      <c r="WN230" s="1"/>
      <c r="WO230" s="1"/>
      <c r="WP230" s="1"/>
      <c r="WQ230" s="1"/>
      <c r="WR230" s="1"/>
      <c r="WS230" s="1"/>
      <c r="WT230" s="1"/>
      <c r="WU230" s="1"/>
      <c r="WV230" s="1"/>
      <c r="WW230" s="1"/>
      <c r="WX230" s="1"/>
      <c r="WY230" s="1"/>
      <c r="WZ230" s="1"/>
      <c r="XA230" s="1"/>
      <c r="XB230" s="1"/>
      <c r="XC230" s="1"/>
      <c r="XD230" s="1"/>
      <c r="XE230" s="1"/>
      <c r="XF230" s="1"/>
      <c r="XG230" s="1"/>
      <c r="XH230" s="1"/>
      <c r="XI230" s="1"/>
      <c r="XJ230" s="1"/>
      <c r="XK230" s="1"/>
      <c r="XL230" s="1"/>
      <c r="XM230" s="1"/>
      <c r="XN230" s="1"/>
      <c r="XO230" s="1"/>
      <c r="XP230" s="1"/>
      <c r="XQ230" s="1"/>
      <c r="XR230" s="1"/>
      <c r="XS230" s="1"/>
      <c r="XT230" s="1"/>
      <c r="XU230" s="1"/>
      <c r="XV230" s="1"/>
      <c r="XW230" s="1"/>
      <c r="XX230" s="1"/>
      <c r="XY230" s="1"/>
      <c r="XZ230" s="1"/>
      <c r="YA230" s="1"/>
      <c r="YB230" s="1"/>
      <c r="YC230" s="1"/>
      <c r="YD230" s="1"/>
      <c r="YE230" s="1"/>
      <c r="YF230" s="1"/>
      <c r="YG230" s="1"/>
      <c r="YH230" s="1"/>
      <c r="YI230" s="1"/>
      <c r="YJ230" s="1"/>
      <c r="YK230" s="1"/>
      <c r="YL230" s="1"/>
      <c r="YM230" s="1"/>
      <c r="YN230" s="1"/>
      <c r="YO230" s="1"/>
      <c r="YP230" s="1"/>
      <c r="YQ230" s="1"/>
      <c r="YR230" s="1"/>
      <c r="YS230" s="1"/>
      <c r="YT230" s="1"/>
      <c r="YU230" s="1"/>
      <c r="YV230" s="1"/>
      <c r="YW230" s="1"/>
      <c r="YX230" s="1"/>
      <c r="YY230" s="1"/>
      <c r="YZ230" s="1"/>
      <c r="ZA230" s="1"/>
      <c r="ZB230" s="1"/>
      <c r="ZC230" s="1"/>
      <c r="ZD230" s="1"/>
      <c r="ZE230" s="1"/>
      <c r="ZF230" s="1"/>
      <c r="ZG230" s="1"/>
      <c r="ZH230" s="1"/>
      <c r="ZI230" s="1"/>
      <c r="ZJ230" s="1"/>
      <c r="ZK230" s="1"/>
      <c r="ZL230" s="1"/>
      <c r="ZM230" s="1"/>
      <c r="ZN230" s="1"/>
      <c r="ZO230" s="1"/>
      <c r="ZP230" s="1"/>
      <c r="ZQ230" s="1"/>
      <c r="ZR230" s="1"/>
      <c r="ZS230" s="1"/>
      <c r="ZT230" s="1"/>
      <c r="ZU230" s="1"/>
      <c r="ZV230" s="1"/>
      <c r="ZW230" s="1"/>
      <c r="ZX230" s="1"/>
      <c r="ZY230" s="1"/>
      <c r="ZZ230" s="1"/>
      <c r="AAA230" s="1"/>
      <c r="AAB230" s="1"/>
      <c r="AAC230" s="1"/>
      <c r="AAD230" s="1"/>
      <c r="AAE230" s="1"/>
      <c r="AAF230" s="1"/>
      <c r="AAG230" s="1"/>
      <c r="AAH230" s="1"/>
      <c r="AAI230" s="1"/>
      <c r="AAJ230" s="1"/>
      <c r="AAK230" s="1"/>
      <c r="AAL230" s="1"/>
      <c r="AAM230" s="1"/>
      <c r="AAN230" s="1"/>
      <c r="AAO230" s="1"/>
      <c r="AAP230" s="1"/>
      <c r="AAQ230" s="1"/>
      <c r="AAR230" s="1"/>
      <c r="AAS230" s="1"/>
      <c r="AAT230" s="1"/>
      <c r="AAU230" s="1"/>
      <c r="AAV230" s="1"/>
      <c r="AAW230" s="1"/>
      <c r="AAX230" s="1"/>
      <c r="AAY230" s="1"/>
      <c r="AAZ230" s="1"/>
      <c r="ABA230" s="1"/>
      <c r="ABB230" s="1"/>
      <c r="ABC230" s="1"/>
      <c r="ABD230" s="1"/>
      <c r="ABE230" s="1"/>
      <c r="ABF230" s="1"/>
      <c r="ABG230" s="1"/>
      <c r="ABH230" s="1"/>
      <c r="ABI230" s="1"/>
      <c r="ABJ230" s="1"/>
      <c r="ABK230" s="1"/>
      <c r="ABL230" s="1"/>
      <c r="ABM230" s="1"/>
      <c r="ABN230" s="1"/>
      <c r="ABO230" s="1"/>
      <c r="ABP230" s="1"/>
      <c r="ABQ230" s="1"/>
      <c r="ABR230" s="1"/>
      <c r="ABS230" s="1"/>
      <c r="ABT230" s="1"/>
      <c r="ABU230" s="1"/>
      <c r="ABV230" s="1"/>
      <c r="ABW230" s="1"/>
      <c r="ABX230" s="1"/>
      <c r="ABY230" s="1"/>
      <c r="ABZ230" s="1"/>
      <c r="ACA230" s="1"/>
      <c r="ACB230" s="1"/>
      <c r="ACC230" s="1"/>
      <c r="ACD230" s="1"/>
      <c r="ACE230" s="1"/>
      <c r="ACF230" s="1"/>
      <c r="ACG230" s="1"/>
      <c r="ACH230" s="1"/>
      <c r="ACI230" s="1"/>
      <c r="ACJ230" s="1"/>
      <c r="ACK230" s="1"/>
      <c r="ACL230" s="1"/>
      <c r="ACM230" s="1"/>
      <c r="ACN230" s="1"/>
      <c r="ACO230" s="1"/>
      <c r="ACP230" s="1"/>
      <c r="ACQ230" s="1"/>
      <c r="ACR230" s="1"/>
      <c r="ACS230" s="1"/>
      <c r="ACT230" s="1"/>
      <c r="ACU230" s="1"/>
      <c r="ACV230" s="1"/>
      <c r="ACW230" s="1"/>
      <c r="ACX230" s="1"/>
      <c r="ACY230" s="1"/>
      <c r="ACZ230" s="1"/>
      <c r="ADA230" s="1"/>
      <c r="ADB230" s="1"/>
      <c r="ADC230" s="1"/>
      <c r="ADD230" s="1"/>
      <c r="ADE230" s="1"/>
      <c r="ADF230" s="1"/>
      <c r="ADG230" s="1"/>
      <c r="ADH230" s="1"/>
      <c r="ADI230" s="1"/>
      <c r="ADJ230" s="1"/>
      <c r="ADK230" s="1"/>
      <c r="ADL230" s="1"/>
      <c r="ADM230" s="1"/>
      <c r="ADN230" s="1"/>
      <c r="ADO230" s="1"/>
      <c r="ADP230" s="1"/>
      <c r="ADQ230" s="1"/>
      <c r="ADR230" s="1"/>
      <c r="ADS230" s="1"/>
      <c r="ADT230" s="1"/>
      <c r="ADU230" s="1"/>
      <c r="ADV230" s="1"/>
      <c r="ADW230" s="1"/>
      <c r="ADX230" s="1"/>
      <c r="ADY230" s="1"/>
      <c r="ADZ230" s="1"/>
      <c r="AEA230" s="1"/>
      <c r="AEB230" s="1"/>
      <c r="AEC230" s="1"/>
      <c r="AED230" s="1"/>
      <c r="AEE230" s="1"/>
      <c r="AEF230" s="1"/>
      <c r="AEG230" s="1"/>
      <c r="AEH230" s="1"/>
      <c r="AEI230" s="1"/>
      <c r="AEJ230" s="1"/>
      <c r="AEK230" s="1"/>
      <c r="AEL230" s="1"/>
      <c r="AEM230" s="1"/>
      <c r="AEN230" s="1"/>
      <c r="AEO230" s="1"/>
      <c r="AEP230" s="1"/>
      <c r="AEQ230" s="1"/>
      <c r="AER230" s="1"/>
      <c r="AES230" s="1"/>
      <c r="AET230" s="1"/>
      <c r="AEU230" s="1"/>
      <c r="AEV230" s="1"/>
      <c r="AEW230" s="1"/>
      <c r="AEX230" s="1"/>
      <c r="AEY230" s="1"/>
      <c r="AEZ230" s="1"/>
      <c r="AFA230" s="1"/>
      <c r="AFB230" s="1"/>
      <c r="AFC230" s="1"/>
      <c r="AFD230" s="1"/>
      <c r="AFE230" s="1"/>
      <c r="AFF230" s="1"/>
      <c r="AFG230" s="1"/>
      <c r="AFH230" s="1"/>
      <c r="AFI230" s="1"/>
      <c r="AFJ230" s="1"/>
      <c r="AFK230" s="1"/>
      <c r="AFL230" s="1"/>
      <c r="AFM230" s="1"/>
      <c r="AFN230" s="1"/>
      <c r="AFO230" s="1"/>
      <c r="AFP230" s="1"/>
      <c r="AFQ230" s="1"/>
      <c r="AFR230" s="1"/>
      <c r="AFS230" s="1"/>
      <c r="AFT230" s="1"/>
      <c r="AFU230" s="1"/>
      <c r="AFV230" s="1"/>
      <c r="AFW230" s="1"/>
      <c r="AFX230" s="1"/>
      <c r="AFY230" s="1"/>
      <c r="AFZ230" s="1"/>
      <c r="AGA230" s="1"/>
      <c r="AGB230" s="1"/>
      <c r="AGC230" s="1"/>
      <c r="AGD230" s="1"/>
      <c r="AGE230" s="1"/>
      <c r="AGF230" s="1"/>
      <c r="AGG230" s="1"/>
      <c r="AGH230" s="1"/>
      <c r="AGI230" s="1"/>
      <c r="AGJ230" s="1"/>
      <c r="AGK230" s="1"/>
      <c r="AGL230" s="1"/>
      <c r="AGM230" s="1"/>
      <c r="AGN230" s="1"/>
      <c r="AGO230" s="1"/>
      <c r="AGP230" s="1"/>
      <c r="AGQ230" s="1"/>
      <c r="AGR230" s="1"/>
      <c r="AGS230" s="1"/>
      <c r="AGT230" s="1"/>
      <c r="AGU230" s="1"/>
      <c r="AGV230" s="1"/>
      <c r="AGW230" s="1"/>
      <c r="AGX230" s="1"/>
      <c r="AGY230" s="1"/>
      <c r="AGZ230" s="1"/>
      <c r="AHA230" s="1"/>
      <c r="AHB230" s="1"/>
      <c r="AHC230" s="1"/>
      <c r="AHD230" s="1"/>
      <c r="AHE230" s="1"/>
      <c r="AHF230" s="1"/>
      <c r="AHG230" s="1"/>
      <c r="AHH230" s="1"/>
      <c r="AHI230" s="1"/>
      <c r="AHJ230" s="1"/>
      <c r="AHK230" s="1"/>
      <c r="AHL230" s="1"/>
      <c r="AHM230" s="1"/>
      <c r="AHN230" s="1"/>
      <c r="AHO230" s="1"/>
      <c r="AHP230" s="1"/>
      <c r="AHQ230" s="1"/>
      <c r="AHR230" s="1"/>
      <c r="AHS230" s="1"/>
      <c r="AHT230" s="1"/>
      <c r="AHU230" s="1"/>
      <c r="AHV230" s="1"/>
      <c r="AHW230" s="1"/>
      <c r="AHX230" s="1"/>
      <c r="AHY230" s="1"/>
      <c r="AHZ230" s="1"/>
      <c r="AIA230" s="1"/>
      <c r="AIB230" s="1"/>
      <c r="AIC230" s="1"/>
      <c r="AID230" s="1"/>
      <c r="AIE230" s="1"/>
      <c r="AIF230" s="1"/>
      <c r="AIG230" s="1"/>
      <c r="AIH230" s="1"/>
      <c r="AII230" s="1"/>
      <c r="AIJ230" s="1"/>
      <c r="AIK230" s="1"/>
      <c r="AIL230" s="1"/>
      <c r="AIM230" s="1"/>
      <c r="AIN230" s="1"/>
      <c r="AIO230" s="1"/>
      <c r="AIP230" s="1"/>
      <c r="AIQ230" s="1"/>
      <c r="AIR230" s="1"/>
      <c r="AIS230" s="1"/>
      <c r="AIT230" s="1"/>
      <c r="AIU230" s="1"/>
      <c r="AIV230" s="1"/>
      <c r="AIW230" s="1"/>
      <c r="AIX230" s="1"/>
      <c r="AIY230" s="1"/>
      <c r="AIZ230" s="1"/>
      <c r="AJA230" s="1"/>
      <c r="AJB230" s="1"/>
      <c r="AJC230" s="1"/>
      <c r="AJD230" s="1"/>
      <c r="AJE230" s="1"/>
      <c r="AJF230" s="1"/>
      <c r="AJG230" s="1"/>
      <c r="AJH230" s="1"/>
      <c r="AJI230" s="1"/>
      <c r="AJJ230" s="1"/>
      <c r="AJK230" s="1"/>
      <c r="AJL230" s="1"/>
      <c r="AJM230" s="1"/>
      <c r="AJN230" s="1"/>
      <c r="AJO230" s="1"/>
      <c r="AJP230" s="1"/>
      <c r="AJQ230" s="1"/>
      <c r="AJR230" s="1"/>
      <c r="AJS230" s="1"/>
      <c r="AJT230" s="1"/>
      <c r="AJU230" s="1"/>
      <c r="AJV230" s="1"/>
      <c r="AJW230" s="1"/>
      <c r="AJX230" s="1"/>
      <c r="AJY230" s="1"/>
      <c r="AJZ230" s="1"/>
      <c r="AKA230" s="1"/>
      <c r="AKB230" s="1"/>
      <c r="AKC230" s="1"/>
      <c r="AKD230" s="1"/>
      <c r="AKE230" s="1"/>
      <c r="AKF230" s="1"/>
      <c r="AKG230" s="1"/>
      <c r="AKH230" s="1"/>
      <c r="AKI230" s="1"/>
      <c r="AKJ230" s="1"/>
      <c r="AKK230" s="1"/>
      <c r="AKL230" s="1"/>
      <c r="AKM230" s="1"/>
      <c r="AKN230" s="1"/>
      <c r="AKO230" s="1"/>
      <c r="AKP230" s="1"/>
      <c r="AKQ230" s="1"/>
      <c r="AKR230" s="1"/>
      <c r="AKS230" s="1"/>
      <c r="AKT230" s="1"/>
      <c r="AKU230" s="1"/>
      <c r="AKV230" s="1"/>
      <c r="AKW230" s="1"/>
      <c r="AKX230" s="1"/>
      <c r="AKY230" s="1"/>
      <c r="AKZ230" s="1"/>
      <c r="ALA230" s="1"/>
      <c r="ALB230" s="1"/>
      <c r="ALC230" s="1"/>
      <c r="ALD230" s="1"/>
      <c r="ALE230" s="1"/>
      <c r="ALF230" s="1"/>
      <c r="ALG230" s="1"/>
      <c r="ALH230" s="1"/>
      <c r="ALI230" s="1"/>
      <c r="ALJ230" s="1"/>
      <c r="ALK230" s="1"/>
      <c r="ALL230" s="1"/>
      <c r="ALM230" s="1"/>
      <c r="ALN230" s="1"/>
      <c r="ALO230" s="1"/>
      <c r="ALP230" s="1"/>
      <c r="ALQ230" s="1"/>
      <c r="ALR230" s="1"/>
      <c r="ALS230" s="1"/>
      <c r="ALT230" s="1"/>
      <c r="ALU230" s="1"/>
      <c r="ALV230" s="1"/>
      <c r="ALW230" s="1"/>
      <c r="ALX230" s="1"/>
      <c r="ALY230" s="1"/>
      <c r="ALZ230" s="1"/>
      <c r="AMA230" s="1"/>
      <c r="AMB230" s="1"/>
      <c r="AMC230" s="1"/>
      <c r="AMD230" s="1"/>
      <c r="AME230" s="1"/>
      <c r="AMF230" s="1"/>
      <c r="AMG230" s="1"/>
      <c r="AMH230" s="1"/>
      <c r="AMI230" s="1"/>
      <c r="AMJ230" s="1"/>
      <c r="AMK230" s="1"/>
      <c r="AML230" s="1"/>
      <c r="AMM230" s="1"/>
      <c r="AMN230" s="1"/>
      <c r="AMO230" s="1"/>
    </row>
    <row r="231" spans="1:1030" x14ac:dyDescent="0.2">
      <c r="A231" s="3" t="str">
        <f t="shared" si="753"/>
        <v>opsd_human_5DGY</v>
      </c>
      <c r="B231" s="3" t="s">
        <v>339</v>
      </c>
      <c r="C231" s="3" t="s">
        <v>1445</v>
      </c>
      <c r="D231" s="3" t="str">
        <f>IFERROR(MID(VLOOKUP($B231,Seqs!$A:$B,2,0),E231,1),"")</f>
        <v>P</v>
      </c>
      <c r="E231" s="3">
        <v>34</v>
      </c>
      <c r="F231" s="3" t="str">
        <f>IFERROR(MID(VLOOKUP($B231,Seqs!$A:$B,2,0),G231,1),"")</f>
        <v>H</v>
      </c>
      <c r="G231" s="3">
        <v>65</v>
      </c>
      <c r="H231" s="3" t="str">
        <f>IFERROR(MID(VLOOKUP($B231,Seqs!$A:$B,2,0),I231,1),"")</f>
        <v>K</v>
      </c>
      <c r="I231" s="23">
        <v>66</v>
      </c>
      <c r="J231" s="3" t="str">
        <f>IFERROR(MID(VLOOKUP($B231,Seqs!$A:$B,2,0),K231,1),"")</f>
        <v>R</v>
      </c>
      <c r="K231" s="23">
        <v>69</v>
      </c>
      <c r="L231" s="3" t="str">
        <f>IFERROR(MID(VLOOKUP($B231,Seqs!$A:$B,2,0),M231,1),"")</f>
        <v>T</v>
      </c>
      <c r="M231" s="3">
        <v>70</v>
      </c>
      <c r="N231" s="3" t="str">
        <f>IFERROR(MID(VLOOKUP($B231,Seqs!$A:$B,2,0),O231,1),"")</f>
        <v>H</v>
      </c>
      <c r="O231" s="3">
        <v>100</v>
      </c>
      <c r="P231" s="3" t="str">
        <f>IFERROR(MID(VLOOKUP($B231,Seqs!$A:$B,2,0),Q231,1),"")</f>
        <v>Y</v>
      </c>
      <c r="Q231" s="3">
        <v>102</v>
      </c>
      <c r="R231" s="3" t="str">
        <f>IFERROR(MID(VLOOKUP($B231,Seqs!$A:$B,2,0),S231,1),"")</f>
        <v>F</v>
      </c>
      <c r="S231" s="3">
        <v>105</v>
      </c>
      <c r="T231" s="3" t="str">
        <f>IFERROR(MID(VLOOKUP($B231,Seqs!$A:$B,2,0),U231,1),"")</f>
        <v>G</v>
      </c>
      <c r="U231" s="3">
        <v>106</v>
      </c>
      <c r="V231" s="3" t="str">
        <f>IFERROR(MID(VLOOKUP($B231,Seqs!$A:$B,2,0),W231,1),"")</f>
        <v>K</v>
      </c>
      <c r="W231" s="3">
        <v>141</v>
      </c>
      <c r="X231" s="3" t="str">
        <f>IFERROR(MID(VLOOKUP($B231,Seqs!$A:$B,2,0),Y231,1),"")</f>
        <v>P</v>
      </c>
      <c r="Y231" s="3">
        <v>142</v>
      </c>
      <c r="Z231" s="3" t="str">
        <f>IFERROR(MID(VLOOKUP($B231,Seqs!$A:$B,2,0),AA231,1),"")</f>
        <v>F</v>
      </c>
      <c r="AA231" s="3">
        <v>148</v>
      </c>
      <c r="AB231" s="3" t="str">
        <f>IFERROR(MID(VLOOKUP($B231,Seqs!$A:$B,2,0),AC231,1),"")</f>
        <v>G</v>
      </c>
      <c r="AC231" s="3">
        <v>149</v>
      </c>
      <c r="AD231" s="3" t="str">
        <f>IFERROR(MID(VLOOKUP($B231,Seqs!$A:$B,2,0),AE231,1),"")</f>
        <v>A</v>
      </c>
      <c r="AE231" s="3">
        <v>173</v>
      </c>
      <c r="AF231" s="3" t="str">
        <f>IFERROR(MID(VLOOKUP($B231,Seqs!$A:$B,2,0),AG231,1),"")</f>
        <v>C</v>
      </c>
      <c r="AG231" s="3">
        <v>187</v>
      </c>
      <c r="AH231" s="3" t="str">
        <f>IFERROR(MID(VLOOKUP($B231,Seqs!$A:$B,2,0),AI231,1),"")</f>
        <v>I</v>
      </c>
      <c r="AI231" s="3">
        <v>189</v>
      </c>
      <c r="AJ231" s="3" t="str">
        <f>IFERROR(MID(VLOOKUP($B231,Seqs!$A:$B,2,0),AK231,1),"")</f>
        <v>N</v>
      </c>
      <c r="AK231" s="3">
        <v>199</v>
      </c>
      <c r="AL231" s="3" t="str">
        <f>IFERROR(MID(VLOOKUP($B231,Seqs!$A:$B,2,0),AM231,1),"")</f>
        <v>Q</v>
      </c>
      <c r="AM231" s="3">
        <v>237</v>
      </c>
      <c r="AN231" s="3" t="str">
        <f>IFERROR(MID(VLOOKUP($B231,Seqs!$A:$B,2,0),AO231,1),"")</f>
        <v>A</v>
      </c>
      <c r="AO231" s="3">
        <v>241</v>
      </c>
      <c r="AP231" s="3" t="str">
        <f>IFERROR(MID(VLOOKUP($B231,Seqs!$A:$B,2,0),AQ231,1),"")</f>
        <v>H</v>
      </c>
      <c r="AQ231" s="3">
        <v>278</v>
      </c>
      <c r="AR231" s="3" t="str">
        <f>IFERROR(MID(VLOOKUP($B231,Seqs!$A:$B,2,0),AS231,1),"")</f>
        <v>G</v>
      </c>
      <c r="AS231" s="3">
        <v>284</v>
      </c>
      <c r="AT231" s="3" t="str">
        <f>IFERROR(MID(VLOOKUP($B231,Seqs!$A:$B,2,0),AU231,1),"")</f>
        <v>M</v>
      </c>
      <c r="AU231" s="3">
        <v>309</v>
      </c>
      <c r="AV231" s="3" t="str">
        <f>IFERROR(MID(VLOOKUP($B231,Seqs!$A:$B,2,0),AW231,1),"")</f>
        <v>N</v>
      </c>
      <c r="AW231" s="3">
        <v>310</v>
      </c>
      <c r="AX231" s="3" t="str">
        <f>IFERROR(MID(VLOOKUP($B231,Seqs!$A:$B,2,0),AY231,1),"")</f>
        <v>C</v>
      </c>
      <c r="AY231" s="3">
        <v>322</v>
      </c>
      <c r="AZ231" s="77" t="str">
        <f>VLOOKUP(B231,Classification!A:D,2,0)</f>
        <v>A</v>
      </c>
      <c r="BA231" s="94" t="str">
        <f>VLOOKUP(B231,Classification!A:D,4,0)</f>
        <v>Opsins</v>
      </c>
      <c r="BB231" s="27" t="b">
        <f t="shared" si="754"/>
        <v>1</v>
      </c>
      <c r="BC231" s="23">
        <f t="shared" si="727"/>
        <v>258</v>
      </c>
      <c r="BD231" s="2" t="s">
        <v>23</v>
      </c>
      <c r="BE231" s="3" t="s">
        <v>1297</v>
      </c>
      <c r="BF231" s="119">
        <v>7.7</v>
      </c>
      <c r="BG231" s="49" t="s">
        <v>1444</v>
      </c>
      <c r="BH231" s="49" t="s">
        <v>1444</v>
      </c>
      <c r="BI231" s="1"/>
      <c r="BJ231" s="70" t="s">
        <v>1293</v>
      </c>
      <c r="BK231" s="57" t="s">
        <v>1293</v>
      </c>
      <c r="BL231" s="57" t="s">
        <v>1293</v>
      </c>
      <c r="BM231" s="57" t="s">
        <v>1293</v>
      </c>
      <c r="BN231" s="57" t="s">
        <v>1293</v>
      </c>
      <c r="BO231" s="57" t="s">
        <v>1293</v>
      </c>
      <c r="BP231" s="57" t="s">
        <v>1293</v>
      </c>
      <c r="BQ231" s="57" t="s">
        <v>1293</v>
      </c>
      <c r="BR231" s="57" t="s">
        <v>1293</v>
      </c>
      <c r="BS231" s="57" t="s">
        <v>1293</v>
      </c>
      <c r="BT231" s="57" t="s">
        <v>1293</v>
      </c>
      <c r="BU231" s="57" t="s">
        <v>1293</v>
      </c>
      <c r="BV231" s="70">
        <f t="shared" si="728"/>
        <v>34</v>
      </c>
      <c r="BW231" s="71">
        <f t="shared" si="729"/>
        <v>66</v>
      </c>
      <c r="BX231" s="72">
        <f t="shared" si="730"/>
        <v>70</v>
      </c>
      <c r="BY231" s="71">
        <f t="shared" si="731"/>
        <v>102</v>
      </c>
      <c r="BZ231" s="72">
        <f t="shared" si="732"/>
        <v>106</v>
      </c>
      <c r="CA231" s="71">
        <f t="shared" si="733"/>
        <v>142</v>
      </c>
      <c r="CB231" s="72">
        <f t="shared" si="734"/>
        <v>149</v>
      </c>
      <c r="CC231" s="71">
        <f t="shared" si="735"/>
        <v>187</v>
      </c>
      <c r="CD231" s="72">
        <f t="shared" si="736"/>
        <v>199</v>
      </c>
      <c r="CE231" s="71">
        <f t="shared" si="737"/>
        <v>241</v>
      </c>
      <c r="CF231" s="72">
        <f t="shared" si="738"/>
        <v>284</v>
      </c>
      <c r="CG231" s="71">
        <f t="shared" si="739"/>
        <v>310</v>
      </c>
      <c r="CH231" s="70">
        <f t="shared" si="740"/>
        <v>65</v>
      </c>
      <c r="CI231" s="71">
        <f t="shared" si="741"/>
        <v>69</v>
      </c>
      <c r="CJ231" s="72">
        <f t="shared" si="742"/>
        <v>100</v>
      </c>
      <c r="CK231" s="72">
        <f t="shared" si="743"/>
        <v>105</v>
      </c>
      <c r="CL231" s="72">
        <f t="shared" si="744"/>
        <v>141</v>
      </c>
      <c r="CM231" s="72">
        <f t="shared" si="745"/>
        <v>148</v>
      </c>
      <c r="CN231" s="72">
        <f t="shared" si="746"/>
        <v>173</v>
      </c>
      <c r="CO231" s="72">
        <f t="shared" si="747"/>
        <v>189</v>
      </c>
      <c r="CP231" s="72">
        <f t="shared" si="748"/>
        <v>237</v>
      </c>
      <c r="CQ231" s="72">
        <f t="shared" si="749"/>
        <v>278</v>
      </c>
      <c r="CR231" s="72">
        <f t="shared" si="750"/>
        <v>309</v>
      </c>
      <c r="CS231" s="72">
        <f t="shared" si="751"/>
        <v>322</v>
      </c>
      <c r="CT231" s="23">
        <f t="shared" si="752"/>
        <v>1</v>
      </c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  <c r="OK231" s="1"/>
      <c r="OL231" s="1"/>
      <c r="OM231" s="1"/>
      <c r="ON231" s="1"/>
      <c r="OO231" s="1"/>
      <c r="OP231" s="1"/>
      <c r="OQ231" s="1"/>
      <c r="OR231" s="1"/>
      <c r="OS231" s="1"/>
      <c r="OT231" s="1"/>
      <c r="OU231" s="1"/>
      <c r="OV231" s="1"/>
      <c r="OW231" s="1"/>
      <c r="OX231" s="1"/>
      <c r="OY231" s="1"/>
      <c r="OZ231" s="1"/>
      <c r="PA231" s="1"/>
      <c r="PB231" s="1"/>
      <c r="PC231" s="1"/>
      <c r="PD231" s="1"/>
      <c r="PE231" s="1"/>
      <c r="PF231" s="1"/>
      <c r="PG231" s="1"/>
      <c r="PH231" s="1"/>
      <c r="PI231" s="1"/>
      <c r="PJ231" s="1"/>
      <c r="PK231" s="1"/>
      <c r="PL231" s="1"/>
      <c r="PM231" s="1"/>
      <c r="PN231" s="1"/>
      <c r="PO231" s="1"/>
      <c r="PP231" s="1"/>
      <c r="PQ231" s="1"/>
      <c r="PR231" s="1"/>
      <c r="PS231" s="1"/>
      <c r="PT231" s="1"/>
      <c r="PU231" s="1"/>
      <c r="PV231" s="1"/>
      <c r="PW231" s="1"/>
      <c r="PX231" s="1"/>
      <c r="PY231" s="1"/>
      <c r="PZ231" s="1"/>
      <c r="QA231" s="1"/>
      <c r="QB231" s="1"/>
      <c r="QC231" s="1"/>
      <c r="QD231" s="1"/>
      <c r="QE231" s="1"/>
      <c r="QF231" s="1"/>
      <c r="QG231" s="1"/>
      <c r="QH231" s="1"/>
      <c r="QI231" s="1"/>
      <c r="QJ231" s="1"/>
      <c r="QK231" s="1"/>
      <c r="QL231" s="1"/>
      <c r="QM231" s="1"/>
      <c r="QN231" s="1"/>
      <c r="QO231" s="1"/>
      <c r="QP231" s="1"/>
      <c r="QQ231" s="1"/>
      <c r="QR231" s="1"/>
      <c r="QS231" s="1"/>
      <c r="QT231" s="1"/>
      <c r="QU231" s="1"/>
      <c r="QV231" s="1"/>
      <c r="QW231" s="1"/>
      <c r="QX231" s="1"/>
      <c r="QY231" s="1"/>
      <c r="QZ231" s="1"/>
      <c r="RA231" s="1"/>
      <c r="RB231" s="1"/>
      <c r="RC231" s="1"/>
      <c r="RD231" s="1"/>
      <c r="RE231" s="1"/>
      <c r="RF231" s="1"/>
      <c r="RG231" s="1"/>
      <c r="RH231" s="1"/>
      <c r="RI231" s="1"/>
      <c r="RJ231" s="1"/>
      <c r="RK231" s="1"/>
      <c r="RL231" s="1"/>
      <c r="RM231" s="1"/>
      <c r="RN231" s="1"/>
      <c r="RO231" s="1"/>
      <c r="RP231" s="1"/>
      <c r="RQ231" s="1"/>
      <c r="RR231" s="1"/>
      <c r="RS231" s="1"/>
      <c r="RT231" s="1"/>
      <c r="RU231" s="1"/>
      <c r="RV231" s="1"/>
      <c r="RW231" s="1"/>
      <c r="RX231" s="1"/>
      <c r="RY231" s="1"/>
      <c r="RZ231" s="1"/>
      <c r="SA231" s="1"/>
      <c r="SB231" s="1"/>
      <c r="SC231" s="1"/>
      <c r="SD231" s="1"/>
      <c r="SE231" s="1"/>
      <c r="SF231" s="1"/>
      <c r="SG231" s="1"/>
      <c r="SH231" s="1"/>
      <c r="SI231" s="1"/>
      <c r="SJ231" s="1"/>
      <c r="SK231" s="1"/>
      <c r="SL231" s="1"/>
      <c r="SM231" s="1"/>
      <c r="SN231" s="1"/>
      <c r="SO231" s="1"/>
      <c r="SP231" s="1"/>
      <c r="SQ231" s="1"/>
      <c r="SR231" s="1"/>
      <c r="SS231" s="1"/>
      <c r="ST231" s="1"/>
      <c r="SU231" s="1"/>
      <c r="SV231" s="1"/>
      <c r="SW231" s="1"/>
      <c r="SX231" s="1"/>
      <c r="SY231" s="1"/>
      <c r="SZ231" s="1"/>
      <c r="TA231" s="1"/>
      <c r="TB231" s="1"/>
      <c r="TC231" s="1"/>
      <c r="TD231" s="1"/>
      <c r="TE231" s="1"/>
      <c r="TF231" s="1"/>
      <c r="TG231" s="1"/>
      <c r="TH231" s="1"/>
      <c r="TI231" s="1"/>
      <c r="TJ231" s="1"/>
      <c r="TK231" s="1"/>
      <c r="TL231" s="1"/>
      <c r="TM231" s="1"/>
      <c r="TN231" s="1"/>
      <c r="TO231" s="1"/>
      <c r="TP231" s="1"/>
      <c r="TQ231" s="1"/>
      <c r="TR231" s="1"/>
      <c r="TS231" s="1"/>
      <c r="TT231" s="1"/>
      <c r="TU231" s="1"/>
      <c r="TV231" s="1"/>
      <c r="TW231" s="1"/>
      <c r="TX231" s="1"/>
      <c r="TY231" s="1"/>
      <c r="TZ231" s="1"/>
      <c r="UA231" s="1"/>
      <c r="UB231" s="1"/>
      <c r="UC231" s="1"/>
      <c r="UD231" s="1"/>
      <c r="UE231" s="1"/>
      <c r="UF231" s="1"/>
      <c r="UG231" s="1"/>
      <c r="UH231" s="1"/>
      <c r="UI231" s="1"/>
      <c r="UJ231" s="1"/>
      <c r="UK231" s="1"/>
      <c r="UL231" s="1"/>
      <c r="UM231" s="1"/>
      <c r="UN231" s="1"/>
      <c r="UO231" s="1"/>
      <c r="UP231" s="1"/>
      <c r="UQ231" s="1"/>
      <c r="UR231" s="1"/>
      <c r="US231" s="1"/>
      <c r="UT231" s="1"/>
      <c r="UU231" s="1"/>
      <c r="UV231" s="1"/>
      <c r="UW231" s="1"/>
      <c r="UX231" s="1"/>
      <c r="UY231" s="1"/>
      <c r="UZ231" s="1"/>
      <c r="VA231" s="1"/>
      <c r="VB231" s="1"/>
      <c r="VC231" s="1"/>
      <c r="VD231" s="1"/>
      <c r="VE231" s="1"/>
      <c r="VF231" s="1"/>
      <c r="VG231" s="1"/>
      <c r="VH231" s="1"/>
      <c r="VI231" s="1"/>
      <c r="VJ231" s="1"/>
      <c r="VK231" s="1"/>
      <c r="VL231" s="1"/>
      <c r="VM231" s="1"/>
      <c r="VN231" s="1"/>
      <c r="VO231" s="1"/>
      <c r="VP231" s="1"/>
      <c r="VQ231" s="1"/>
      <c r="VR231" s="1"/>
      <c r="VS231" s="1"/>
      <c r="VT231" s="1"/>
      <c r="VU231" s="1"/>
      <c r="VV231" s="1"/>
      <c r="VW231" s="1"/>
      <c r="VX231" s="1"/>
      <c r="VY231" s="1"/>
      <c r="VZ231" s="1"/>
      <c r="WA231" s="1"/>
      <c r="WB231" s="1"/>
      <c r="WC231" s="1"/>
      <c r="WD231" s="1"/>
      <c r="WE231" s="1"/>
      <c r="WF231" s="1"/>
      <c r="WG231" s="1"/>
      <c r="WH231" s="1"/>
      <c r="WI231" s="1"/>
      <c r="WJ231" s="1"/>
      <c r="WK231" s="1"/>
      <c r="WL231" s="1"/>
      <c r="WM231" s="1"/>
      <c r="WN231" s="1"/>
      <c r="WO231" s="1"/>
      <c r="WP231" s="1"/>
      <c r="WQ231" s="1"/>
      <c r="WR231" s="1"/>
      <c r="WS231" s="1"/>
      <c r="WT231" s="1"/>
      <c r="WU231" s="1"/>
      <c r="WV231" s="1"/>
      <c r="WW231" s="1"/>
      <c r="WX231" s="1"/>
      <c r="WY231" s="1"/>
      <c r="WZ231" s="1"/>
      <c r="XA231" s="1"/>
      <c r="XB231" s="1"/>
      <c r="XC231" s="1"/>
      <c r="XD231" s="1"/>
      <c r="XE231" s="1"/>
      <c r="XF231" s="1"/>
      <c r="XG231" s="1"/>
      <c r="XH231" s="1"/>
      <c r="XI231" s="1"/>
      <c r="XJ231" s="1"/>
      <c r="XK231" s="1"/>
      <c r="XL231" s="1"/>
      <c r="XM231" s="1"/>
      <c r="XN231" s="1"/>
      <c r="XO231" s="1"/>
      <c r="XP231" s="1"/>
      <c r="XQ231" s="1"/>
      <c r="XR231" s="1"/>
      <c r="XS231" s="1"/>
      <c r="XT231" s="1"/>
      <c r="XU231" s="1"/>
      <c r="XV231" s="1"/>
      <c r="XW231" s="1"/>
      <c r="XX231" s="1"/>
      <c r="XY231" s="1"/>
      <c r="XZ231" s="1"/>
      <c r="YA231" s="1"/>
      <c r="YB231" s="1"/>
      <c r="YC231" s="1"/>
      <c r="YD231" s="1"/>
      <c r="YE231" s="1"/>
      <c r="YF231" s="1"/>
      <c r="YG231" s="1"/>
      <c r="YH231" s="1"/>
      <c r="YI231" s="1"/>
      <c r="YJ231" s="1"/>
      <c r="YK231" s="1"/>
      <c r="YL231" s="1"/>
      <c r="YM231" s="1"/>
      <c r="YN231" s="1"/>
      <c r="YO231" s="1"/>
      <c r="YP231" s="1"/>
      <c r="YQ231" s="1"/>
      <c r="YR231" s="1"/>
      <c r="YS231" s="1"/>
      <c r="YT231" s="1"/>
      <c r="YU231" s="1"/>
      <c r="YV231" s="1"/>
      <c r="YW231" s="1"/>
      <c r="YX231" s="1"/>
      <c r="YY231" s="1"/>
      <c r="YZ231" s="1"/>
      <c r="ZA231" s="1"/>
      <c r="ZB231" s="1"/>
      <c r="ZC231" s="1"/>
      <c r="ZD231" s="1"/>
      <c r="ZE231" s="1"/>
      <c r="ZF231" s="1"/>
      <c r="ZG231" s="1"/>
      <c r="ZH231" s="1"/>
      <c r="ZI231" s="1"/>
      <c r="ZJ231" s="1"/>
      <c r="ZK231" s="1"/>
      <c r="ZL231" s="1"/>
      <c r="ZM231" s="1"/>
      <c r="ZN231" s="1"/>
      <c r="ZO231" s="1"/>
      <c r="ZP231" s="1"/>
      <c r="ZQ231" s="1"/>
      <c r="ZR231" s="1"/>
      <c r="ZS231" s="1"/>
      <c r="ZT231" s="1"/>
      <c r="ZU231" s="1"/>
      <c r="ZV231" s="1"/>
      <c r="ZW231" s="1"/>
      <c r="ZX231" s="1"/>
      <c r="ZY231" s="1"/>
      <c r="ZZ231" s="1"/>
      <c r="AAA231" s="1"/>
      <c r="AAB231" s="1"/>
      <c r="AAC231" s="1"/>
      <c r="AAD231" s="1"/>
      <c r="AAE231" s="1"/>
      <c r="AAF231" s="1"/>
      <c r="AAG231" s="1"/>
      <c r="AAH231" s="1"/>
      <c r="AAI231" s="1"/>
      <c r="AAJ231" s="1"/>
      <c r="AAK231" s="1"/>
      <c r="AAL231" s="1"/>
      <c r="AAM231" s="1"/>
      <c r="AAN231" s="1"/>
      <c r="AAO231" s="1"/>
      <c r="AAP231" s="1"/>
      <c r="AAQ231" s="1"/>
      <c r="AAR231" s="1"/>
      <c r="AAS231" s="1"/>
      <c r="AAT231" s="1"/>
      <c r="AAU231" s="1"/>
      <c r="AAV231" s="1"/>
      <c r="AAW231" s="1"/>
      <c r="AAX231" s="1"/>
      <c r="AAY231" s="1"/>
      <c r="AAZ231" s="1"/>
      <c r="ABA231" s="1"/>
      <c r="ABB231" s="1"/>
      <c r="ABC231" s="1"/>
      <c r="ABD231" s="1"/>
      <c r="ABE231" s="1"/>
      <c r="ABF231" s="1"/>
      <c r="ABG231" s="1"/>
      <c r="ABH231" s="1"/>
      <c r="ABI231" s="1"/>
      <c r="ABJ231" s="1"/>
      <c r="ABK231" s="1"/>
      <c r="ABL231" s="1"/>
      <c r="ABM231" s="1"/>
      <c r="ABN231" s="1"/>
      <c r="ABO231" s="1"/>
      <c r="ABP231" s="1"/>
      <c r="ABQ231" s="1"/>
      <c r="ABR231" s="1"/>
      <c r="ABS231" s="1"/>
      <c r="ABT231" s="1"/>
      <c r="ABU231" s="1"/>
      <c r="ABV231" s="1"/>
      <c r="ABW231" s="1"/>
      <c r="ABX231" s="1"/>
      <c r="ABY231" s="1"/>
      <c r="ABZ231" s="1"/>
      <c r="ACA231" s="1"/>
      <c r="ACB231" s="1"/>
      <c r="ACC231" s="1"/>
      <c r="ACD231" s="1"/>
      <c r="ACE231" s="1"/>
      <c r="ACF231" s="1"/>
      <c r="ACG231" s="1"/>
      <c r="ACH231" s="1"/>
      <c r="ACI231" s="1"/>
      <c r="ACJ231" s="1"/>
      <c r="ACK231" s="1"/>
      <c r="ACL231" s="1"/>
      <c r="ACM231" s="1"/>
      <c r="ACN231" s="1"/>
      <c r="ACO231" s="1"/>
      <c r="ACP231" s="1"/>
      <c r="ACQ231" s="1"/>
      <c r="ACR231" s="1"/>
      <c r="ACS231" s="1"/>
      <c r="ACT231" s="1"/>
      <c r="ACU231" s="1"/>
      <c r="ACV231" s="1"/>
      <c r="ACW231" s="1"/>
      <c r="ACX231" s="1"/>
      <c r="ACY231" s="1"/>
      <c r="ACZ231" s="1"/>
      <c r="ADA231" s="1"/>
      <c r="ADB231" s="1"/>
      <c r="ADC231" s="1"/>
      <c r="ADD231" s="1"/>
      <c r="ADE231" s="1"/>
      <c r="ADF231" s="1"/>
      <c r="ADG231" s="1"/>
      <c r="ADH231" s="1"/>
      <c r="ADI231" s="1"/>
      <c r="ADJ231" s="1"/>
      <c r="ADK231" s="1"/>
      <c r="ADL231" s="1"/>
      <c r="ADM231" s="1"/>
      <c r="ADN231" s="1"/>
      <c r="ADO231" s="1"/>
      <c r="ADP231" s="1"/>
      <c r="ADQ231" s="1"/>
      <c r="ADR231" s="1"/>
      <c r="ADS231" s="1"/>
      <c r="ADT231" s="1"/>
      <c r="ADU231" s="1"/>
      <c r="ADV231" s="1"/>
      <c r="ADW231" s="1"/>
      <c r="ADX231" s="1"/>
      <c r="ADY231" s="1"/>
      <c r="ADZ231" s="1"/>
      <c r="AEA231" s="1"/>
      <c r="AEB231" s="1"/>
      <c r="AEC231" s="1"/>
      <c r="AED231" s="1"/>
      <c r="AEE231" s="1"/>
      <c r="AEF231" s="1"/>
      <c r="AEG231" s="1"/>
      <c r="AEH231" s="1"/>
      <c r="AEI231" s="1"/>
      <c r="AEJ231" s="1"/>
      <c r="AEK231" s="1"/>
      <c r="AEL231" s="1"/>
      <c r="AEM231" s="1"/>
      <c r="AEN231" s="1"/>
      <c r="AEO231" s="1"/>
      <c r="AEP231" s="1"/>
      <c r="AEQ231" s="1"/>
      <c r="AER231" s="1"/>
      <c r="AES231" s="1"/>
      <c r="AET231" s="1"/>
      <c r="AEU231" s="1"/>
      <c r="AEV231" s="1"/>
      <c r="AEW231" s="1"/>
      <c r="AEX231" s="1"/>
      <c r="AEY231" s="1"/>
      <c r="AEZ231" s="1"/>
      <c r="AFA231" s="1"/>
      <c r="AFB231" s="1"/>
      <c r="AFC231" s="1"/>
      <c r="AFD231" s="1"/>
      <c r="AFE231" s="1"/>
      <c r="AFF231" s="1"/>
      <c r="AFG231" s="1"/>
      <c r="AFH231" s="1"/>
      <c r="AFI231" s="1"/>
      <c r="AFJ231" s="1"/>
      <c r="AFK231" s="1"/>
      <c r="AFL231" s="1"/>
      <c r="AFM231" s="1"/>
      <c r="AFN231" s="1"/>
      <c r="AFO231" s="1"/>
      <c r="AFP231" s="1"/>
      <c r="AFQ231" s="1"/>
      <c r="AFR231" s="1"/>
      <c r="AFS231" s="1"/>
      <c r="AFT231" s="1"/>
      <c r="AFU231" s="1"/>
      <c r="AFV231" s="1"/>
      <c r="AFW231" s="1"/>
      <c r="AFX231" s="1"/>
      <c r="AFY231" s="1"/>
      <c r="AFZ231" s="1"/>
      <c r="AGA231" s="1"/>
      <c r="AGB231" s="1"/>
      <c r="AGC231" s="1"/>
      <c r="AGD231" s="1"/>
      <c r="AGE231" s="1"/>
      <c r="AGF231" s="1"/>
      <c r="AGG231" s="1"/>
      <c r="AGH231" s="1"/>
      <c r="AGI231" s="1"/>
      <c r="AGJ231" s="1"/>
      <c r="AGK231" s="1"/>
      <c r="AGL231" s="1"/>
      <c r="AGM231" s="1"/>
      <c r="AGN231" s="1"/>
      <c r="AGO231" s="1"/>
      <c r="AGP231" s="1"/>
      <c r="AGQ231" s="1"/>
      <c r="AGR231" s="1"/>
      <c r="AGS231" s="1"/>
      <c r="AGT231" s="1"/>
      <c r="AGU231" s="1"/>
      <c r="AGV231" s="1"/>
      <c r="AGW231" s="1"/>
      <c r="AGX231" s="1"/>
      <c r="AGY231" s="1"/>
      <c r="AGZ231" s="1"/>
      <c r="AHA231" s="1"/>
      <c r="AHB231" s="1"/>
      <c r="AHC231" s="1"/>
      <c r="AHD231" s="1"/>
      <c r="AHE231" s="1"/>
      <c r="AHF231" s="1"/>
      <c r="AHG231" s="1"/>
      <c r="AHH231" s="1"/>
      <c r="AHI231" s="1"/>
      <c r="AHJ231" s="1"/>
      <c r="AHK231" s="1"/>
      <c r="AHL231" s="1"/>
      <c r="AHM231" s="1"/>
      <c r="AHN231" s="1"/>
      <c r="AHO231" s="1"/>
      <c r="AHP231" s="1"/>
      <c r="AHQ231" s="1"/>
      <c r="AHR231" s="1"/>
      <c r="AHS231" s="1"/>
      <c r="AHT231" s="1"/>
      <c r="AHU231" s="1"/>
      <c r="AHV231" s="1"/>
      <c r="AHW231" s="1"/>
      <c r="AHX231" s="1"/>
      <c r="AHY231" s="1"/>
      <c r="AHZ231" s="1"/>
      <c r="AIA231" s="1"/>
      <c r="AIB231" s="1"/>
      <c r="AIC231" s="1"/>
      <c r="AID231" s="1"/>
      <c r="AIE231" s="1"/>
      <c r="AIF231" s="1"/>
      <c r="AIG231" s="1"/>
      <c r="AIH231" s="1"/>
      <c r="AII231" s="1"/>
      <c r="AIJ231" s="1"/>
      <c r="AIK231" s="1"/>
      <c r="AIL231" s="1"/>
      <c r="AIM231" s="1"/>
      <c r="AIN231" s="1"/>
      <c r="AIO231" s="1"/>
      <c r="AIP231" s="1"/>
      <c r="AIQ231" s="1"/>
      <c r="AIR231" s="1"/>
      <c r="AIS231" s="1"/>
      <c r="AIT231" s="1"/>
      <c r="AIU231" s="1"/>
      <c r="AIV231" s="1"/>
      <c r="AIW231" s="1"/>
      <c r="AIX231" s="1"/>
      <c r="AIY231" s="1"/>
      <c r="AIZ231" s="1"/>
      <c r="AJA231" s="1"/>
      <c r="AJB231" s="1"/>
      <c r="AJC231" s="1"/>
      <c r="AJD231" s="1"/>
      <c r="AJE231" s="1"/>
      <c r="AJF231" s="1"/>
      <c r="AJG231" s="1"/>
      <c r="AJH231" s="1"/>
      <c r="AJI231" s="1"/>
      <c r="AJJ231" s="1"/>
      <c r="AJK231" s="1"/>
      <c r="AJL231" s="1"/>
      <c r="AJM231" s="1"/>
      <c r="AJN231" s="1"/>
      <c r="AJO231" s="1"/>
      <c r="AJP231" s="1"/>
      <c r="AJQ231" s="1"/>
      <c r="AJR231" s="1"/>
      <c r="AJS231" s="1"/>
      <c r="AJT231" s="1"/>
      <c r="AJU231" s="1"/>
      <c r="AJV231" s="1"/>
      <c r="AJW231" s="1"/>
      <c r="AJX231" s="1"/>
      <c r="AJY231" s="1"/>
      <c r="AJZ231" s="1"/>
      <c r="AKA231" s="1"/>
      <c r="AKB231" s="1"/>
      <c r="AKC231" s="1"/>
      <c r="AKD231" s="1"/>
      <c r="AKE231" s="1"/>
      <c r="AKF231" s="1"/>
      <c r="AKG231" s="1"/>
      <c r="AKH231" s="1"/>
      <c r="AKI231" s="1"/>
      <c r="AKJ231" s="1"/>
      <c r="AKK231" s="1"/>
      <c r="AKL231" s="1"/>
      <c r="AKM231" s="1"/>
      <c r="AKN231" s="1"/>
      <c r="AKO231" s="1"/>
      <c r="AKP231" s="1"/>
      <c r="AKQ231" s="1"/>
      <c r="AKR231" s="1"/>
      <c r="AKS231" s="1"/>
      <c r="AKT231" s="1"/>
      <c r="AKU231" s="1"/>
      <c r="AKV231" s="1"/>
      <c r="AKW231" s="1"/>
      <c r="AKX231" s="1"/>
      <c r="AKY231" s="1"/>
      <c r="AKZ231" s="1"/>
      <c r="ALA231" s="1"/>
      <c r="ALB231" s="1"/>
      <c r="ALC231" s="1"/>
      <c r="ALD231" s="1"/>
      <c r="ALE231" s="1"/>
      <c r="ALF231" s="1"/>
      <c r="ALG231" s="1"/>
      <c r="ALH231" s="1"/>
      <c r="ALI231" s="1"/>
      <c r="ALJ231" s="1"/>
      <c r="ALK231" s="1"/>
      <c r="ALL231" s="1"/>
      <c r="ALM231" s="1"/>
      <c r="ALN231" s="1"/>
      <c r="ALO231" s="1"/>
      <c r="ALP231" s="1"/>
      <c r="ALQ231" s="1"/>
      <c r="ALR231" s="1"/>
      <c r="ALS231" s="1"/>
      <c r="ALT231" s="1"/>
      <c r="ALU231" s="1"/>
      <c r="ALV231" s="1"/>
      <c r="ALW231" s="1"/>
      <c r="ALX231" s="1"/>
      <c r="ALY231" s="1"/>
      <c r="ALZ231" s="1"/>
      <c r="AMA231" s="1"/>
      <c r="AMB231" s="1"/>
      <c r="AMC231" s="1"/>
      <c r="AMD231" s="1"/>
      <c r="AME231" s="1"/>
      <c r="AMF231" s="1"/>
      <c r="AMG231" s="1"/>
      <c r="AMH231" s="1"/>
      <c r="AMI231" s="1"/>
      <c r="AMJ231" s="1"/>
      <c r="AMK231" s="1"/>
      <c r="AML231" s="1"/>
      <c r="AMM231" s="1"/>
      <c r="AMN231" s="1"/>
      <c r="AMO231" s="1"/>
    </row>
    <row r="232" spans="1:1030" x14ac:dyDescent="0.2">
      <c r="A232" s="3" t="str">
        <f>CONCATENATE(B232,"_",C232)</f>
        <v>opsd_human_5W0P</v>
      </c>
      <c r="B232" s="3" t="s">
        <v>339</v>
      </c>
      <c r="C232" s="3" t="s">
        <v>1443</v>
      </c>
      <c r="D232" s="3" t="str">
        <f>IFERROR(MID(VLOOKUP($B232,Seqs!$A:$B,2,0),E232,1),"")</f>
        <v>P</v>
      </c>
      <c r="E232" s="3">
        <v>34</v>
      </c>
      <c r="F232" s="3" t="str">
        <f>IFERROR(MID(VLOOKUP($B232,Seqs!$A:$B,2,0),G232,1),"")</f>
        <v>H</v>
      </c>
      <c r="G232" s="3">
        <v>65</v>
      </c>
      <c r="H232" s="3" t="str">
        <f>IFERROR(MID(VLOOKUP($B232,Seqs!$A:$B,2,0),I232,1),"")</f>
        <v>K</v>
      </c>
      <c r="I232" s="23">
        <v>66</v>
      </c>
      <c r="J232" s="3" t="str">
        <f>IFERROR(MID(VLOOKUP($B232,Seqs!$A:$B,2,0),K232,1),"")</f>
        <v>R</v>
      </c>
      <c r="K232" s="23">
        <v>69</v>
      </c>
      <c r="L232" s="3" t="str">
        <f>IFERROR(MID(VLOOKUP($B232,Seqs!$A:$B,2,0),M232,1),"")</f>
        <v>T</v>
      </c>
      <c r="M232" s="3">
        <v>70</v>
      </c>
      <c r="N232" s="3" t="str">
        <f>IFERROR(MID(VLOOKUP($B232,Seqs!$A:$B,2,0),O232,1),"")</f>
        <v>H</v>
      </c>
      <c r="O232" s="3">
        <v>100</v>
      </c>
      <c r="P232" s="3" t="str">
        <f>IFERROR(MID(VLOOKUP($B232,Seqs!$A:$B,2,0),Q232,1),"")</f>
        <v>Y</v>
      </c>
      <c r="Q232" s="3">
        <v>102</v>
      </c>
      <c r="R232" s="3" t="str">
        <f>IFERROR(MID(VLOOKUP($B232,Seqs!$A:$B,2,0),S232,1),"")</f>
        <v>F</v>
      </c>
      <c r="S232" s="3">
        <v>105</v>
      </c>
      <c r="T232" s="3" t="str">
        <f>IFERROR(MID(VLOOKUP($B232,Seqs!$A:$B,2,0),U232,1),"")</f>
        <v>G</v>
      </c>
      <c r="U232" s="3">
        <v>106</v>
      </c>
      <c r="V232" s="3" t="str">
        <f>IFERROR(MID(VLOOKUP($B232,Seqs!$A:$B,2,0),W232,1),"")</f>
        <v>K</v>
      </c>
      <c r="W232" s="3">
        <v>141</v>
      </c>
      <c r="X232" s="3" t="str">
        <f>IFERROR(MID(VLOOKUP($B232,Seqs!$A:$B,2,0),Y232,1),"")</f>
        <v>P</v>
      </c>
      <c r="Y232" s="3">
        <v>142</v>
      </c>
      <c r="Z232" s="3" t="str">
        <f>IFERROR(MID(VLOOKUP($B232,Seqs!$A:$B,2,0),AA232,1),"")</f>
        <v>F</v>
      </c>
      <c r="AA232" s="3">
        <v>148</v>
      </c>
      <c r="AB232" s="3" t="str">
        <f>IFERROR(MID(VLOOKUP($B232,Seqs!$A:$B,2,0),AC232,1),"")</f>
        <v>G</v>
      </c>
      <c r="AC232" s="3">
        <v>149</v>
      </c>
      <c r="AD232" s="3" t="str">
        <f>IFERROR(MID(VLOOKUP($B232,Seqs!$A:$B,2,0),AE232,1),"")</f>
        <v>A</v>
      </c>
      <c r="AE232" s="3">
        <v>173</v>
      </c>
      <c r="AF232" s="3" t="str">
        <f>IFERROR(MID(VLOOKUP($B232,Seqs!$A:$B,2,0),AG232,1),"")</f>
        <v>C</v>
      </c>
      <c r="AG232" s="3">
        <v>187</v>
      </c>
      <c r="AH232" s="3" t="str">
        <f>IFERROR(MID(VLOOKUP($B232,Seqs!$A:$B,2,0),AI232,1),"")</f>
        <v>I</v>
      </c>
      <c r="AI232" s="3">
        <v>189</v>
      </c>
      <c r="AJ232" s="3" t="str">
        <f>IFERROR(MID(VLOOKUP($B232,Seqs!$A:$B,2,0),AK232,1),"")</f>
        <v>N</v>
      </c>
      <c r="AK232" s="3">
        <v>199</v>
      </c>
      <c r="AL232" s="3" t="str">
        <f>IFERROR(MID(VLOOKUP($B232,Seqs!$A:$B,2,0),AM232,1),"")</f>
        <v>Q</v>
      </c>
      <c r="AM232" s="3">
        <v>237</v>
      </c>
      <c r="AN232" s="3" t="str">
        <f>IFERROR(MID(VLOOKUP($B232,Seqs!$A:$B,2,0),AO232,1),"")</f>
        <v>A</v>
      </c>
      <c r="AO232" s="3">
        <v>241</v>
      </c>
      <c r="AP232" s="3" t="str">
        <f>IFERROR(MID(VLOOKUP($B232,Seqs!$A:$B,2,0),AQ232,1),"")</f>
        <v>H</v>
      </c>
      <c r="AQ232" s="3">
        <v>278</v>
      </c>
      <c r="AR232" s="3" t="str">
        <f>IFERROR(MID(VLOOKUP($B232,Seqs!$A:$B,2,0),AS232,1),"")</f>
        <v>G</v>
      </c>
      <c r="AS232" s="3">
        <v>284</v>
      </c>
      <c r="AT232" s="3" t="str">
        <f>IFERROR(MID(VLOOKUP($B232,Seqs!$A:$B,2,0),AU232,1),"")</f>
        <v>M</v>
      </c>
      <c r="AU232" s="3">
        <v>309</v>
      </c>
      <c r="AV232" s="3" t="str">
        <f>IFERROR(MID(VLOOKUP($B232,Seqs!$A:$B,2,0),AW232,1),"")</f>
        <v>N</v>
      </c>
      <c r="AW232" s="3">
        <v>310</v>
      </c>
      <c r="AX232" s="3" t="str">
        <f>IFERROR(MID(VLOOKUP($B232,Seqs!$A:$B,2,0),AY232,1),"")</f>
        <v>C</v>
      </c>
      <c r="AY232" s="3">
        <v>322</v>
      </c>
      <c r="AZ232" s="77" t="str">
        <f>VLOOKUP(B232,Classification!A:D,2,0)</f>
        <v>A</v>
      </c>
      <c r="BA232" s="94" t="str">
        <f>VLOOKUP(B232,Classification!A:D,4,0)</f>
        <v>Opsins</v>
      </c>
      <c r="BB232" s="27" t="b">
        <f>AND(E232&lt;G232,OR(G232&lt;I232,I232="-"),OR(I232&lt;K232,I232="-"),OR(K232&lt;M232,K232="-"),M232&lt;O232,OR(O232&lt;Q232,Q232="-"),OR(Q232&lt;S232,Q232="-"),OR(S232&lt;U232,S232="-"),U232&lt;W232,OR(W232&lt;Y232,Y232="-"),OR(Y232&lt;AA232,Y232="-"),OR(AA232&lt;AC232,AA232="-"),AC232&lt;AE232,OR(AE232&lt;AG232,AG232="-"),OR(AG232&lt;AI232,AG232="-"),OR(AI232&lt;AK232,AI232="-"),AK232&lt;AM232,AM232&lt;AO232,AO232&lt;AQ232,AQ232&lt;AS232,AS232&lt;AU232,OR(AU232&lt;AW232,AW232="-"),OR(AW232&lt;AY232,AW232="-"))</f>
        <v>1</v>
      </c>
      <c r="BC232" s="23">
        <f>_xlfn.AGGREGATE(9,6,CH232:CS232)-_xlfn.AGGREGATE(9,6,BV232:CG232)+12</f>
        <v>258</v>
      </c>
      <c r="BD232" s="2" t="s">
        <v>23</v>
      </c>
      <c r="BE232" s="3" t="s">
        <v>1297</v>
      </c>
      <c r="BF232" s="119">
        <v>3.01</v>
      </c>
      <c r="BG232" s="49" t="s">
        <v>1444</v>
      </c>
      <c r="BH232" s="49" t="s">
        <v>1444</v>
      </c>
      <c r="BI232" s="1"/>
      <c r="BJ232" s="70" t="s">
        <v>1293</v>
      </c>
      <c r="BK232" s="57" t="s">
        <v>1293</v>
      </c>
      <c r="BL232" s="57" t="s">
        <v>1293</v>
      </c>
      <c r="BM232" s="57" t="s">
        <v>1293</v>
      </c>
      <c r="BN232" s="57" t="s">
        <v>1293</v>
      </c>
      <c r="BO232" s="57" t="s">
        <v>1293</v>
      </c>
      <c r="BP232" s="57" t="s">
        <v>1293</v>
      </c>
      <c r="BQ232" s="57" t="s">
        <v>1293</v>
      </c>
      <c r="BR232" s="57" t="s">
        <v>1293</v>
      </c>
      <c r="BS232" s="57" t="s">
        <v>1293</v>
      </c>
      <c r="BT232" s="57" t="s">
        <v>1293</v>
      </c>
      <c r="BU232" s="57" t="s">
        <v>1293</v>
      </c>
      <c r="BV232" s="70">
        <f>E232</f>
        <v>34</v>
      </c>
      <c r="BW232" s="71">
        <f>I232</f>
        <v>66</v>
      </c>
      <c r="BX232" s="72">
        <f>M232</f>
        <v>70</v>
      </c>
      <c r="BY232" s="71">
        <f>Q232</f>
        <v>102</v>
      </c>
      <c r="BZ232" s="72">
        <f>U232</f>
        <v>106</v>
      </c>
      <c r="CA232" s="71">
        <f>Y232</f>
        <v>142</v>
      </c>
      <c r="CB232" s="72">
        <f>AC232</f>
        <v>149</v>
      </c>
      <c r="CC232" s="71">
        <f>AG232</f>
        <v>187</v>
      </c>
      <c r="CD232" s="72">
        <f>AK232</f>
        <v>199</v>
      </c>
      <c r="CE232" s="71">
        <f>AO232</f>
        <v>241</v>
      </c>
      <c r="CF232" s="72">
        <f>AS232</f>
        <v>284</v>
      </c>
      <c r="CG232" s="71">
        <f>AW232</f>
        <v>310</v>
      </c>
      <c r="CH232" s="70">
        <f>G232</f>
        <v>65</v>
      </c>
      <c r="CI232" s="71">
        <f>K232</f>
        <v>69</v>
      </c>
      <c r="CJ232" s="72">
        <f>O232</f>
        <v>100</v>
      </c>
      <c r="CK232" s="72">
        <f>S232</f>
        <v>105</v>
      </c>
      <c r="CL232" s="72">
        <f>W232</f>
        <v>141</v>
      </c>
      <c r="CM232" s="72">
        <f>AA232</f>
        <v>148</v>
      </c>
      <c r="CN232" s="72">
        <f>AE232</f>
        <v>173</v>
      </c>
      <c r="CO232" s="72">
        <f>AI232</f>
        <v>189</v>
      </c>
      <c r="CP232" s="72">
        <f>AM232</f>
        <v>237</v>
      </c>
      <c r="CQ232" s="72">
        <f>AQ232</f>
        <v>278</v>
      </c>
      <c r="CR232" s="72">
        <f>AU232</f>
        <v>309</v>
      </c>
      <c r="CS232" s="72">
        <f>AY232</f>
        <v>322</v>
      </c>
      <c r="CT232" s="23">
        <f>M232-K232</f>
        <v>1</v>
      </c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  <c r="OK232" s="1"/>
      <c r="OL232" s="1"/>
      <c r="OM232" s="1"/>
      <c r="ON232" s="1"/>
      <c r="OO232" s="1"/>
      <c r="OP232" s="1"/>
      <c r="OQ232" s="1"/>
      <c r="OR232" s="1"/>
      <c r="OS232" s="1"/>
      <c r="OT232" s="1"/>
      <c r="OU232" s="1"/>
      <c r="OV232" s="1"/>
      <c r="OW232" s="1"/>
      <c r="OX232" s="1"/>
      <c r="OY232" s="1"/>
      <c r="OZ232" s="1"/>
      <c r="PA232" s="1"/>
      <c r="PB232" s="1"/>
      <c r="PC232" s="1"/>
      <c r="PD232" s="1"/>
      <c r="PE232" s="1"/>
      <c r="PF232" s="1"/>
      <c r="PG232" s="1"/>
      <c r="PH232" s="1"/>
      <c r="PI232" s="1"/>
      <c r="PJ232" s="1"/>
      <c r="PK232" s="1"/>
      <c r="PL232" s="1"/>
      <c r="PM232" s="1"/>
      <c r="PN232" s="1"/>
      <c r="PO232" s="1"/>
      <c r="PP232" s="1"/>
      <c r="PQ232" s="1"/>
      <c r="PR232" s="1"/>
      <c r="PS232" s="1"/>
      <c r="PT232" s="1"/>
      <c r="PU232" s="1"/>
      <c r="PV232" s="1"/>
      <c r="PW232" s="1"/>
      <c r="PX232" s="1"/>
      <c r="PY232" s="1"/>
      <c r="PZ232" s="1"/>
      <c r="QA232" s="1"/>
      <c r="QB232" s="1"/>
      <c r="QC232" s="1"/>
      <c r="QD232" s="1"/>
      <c r="QE232" s="1"/>
      <c r="QF232" s="1"/>
      <c r="QG232" s="1"/>
      <c r="QH232" s="1"/>
      <c r="QI232" s="1"/>
      <c r="QJ232" s="1"/>
      <c r="QK232" s="1"/>
      <c r="QL232" s="1"/>
      <c r="QM232" s="1"/>
      <c r="QN232" s="1"/>
      <c r="QO232" s="1"/>
      <c r="QP232" s="1"/>
      <c r="QQ232" s="1"/>
      <c r="QR232" s="1"/>
      <c r="QS232" s="1"/>
      <c r="QT232" s="1"/>
      <c r="QU232" s="1"/>
      <c r="QV232" s="1"/>
      <c r="QW232" s="1"/>
      <c r="QX232" s="1"/>
      <c r="QY232" s="1"/>
      <c r="QZ232" s="1"/>
      <c r="RA232" s="1"/>
      <c r="RB232" s="1"/>
      <c r="RC232" s="1"/>
      <c r="RD232" s="1"/>
      <c r="RE232" s="1"/>
      <c r="RF232" s="1"/>
      <c r="RG232" s="1"/>
      <c r="RH232" s="1"/>
      <c r="RI232" s="1"/>
      <c r="RJ232" s="1"/>
      <c r="RK232" s="1"/>
      <c r="RL232" s="1"/>
      <c r="RM232" s="1"/>
      <c r="RN232" s="1"/>
      <c r="RO232" s="1"/>
      <c r="RP232" s="1"/>
      <c r="RQ232" s="1"/>
      <c r="RR232" s="1"/>
      <c r="RS232" s="1"/>
      <c r="RT232" s="1"/>
      <c r="RU232" s="1"/>
      <c r="RV232" s="1"/>
      <c r="RW232" s="1"/>
      <c r="RX232" s="1"/>
      <c r="RY232" s="1"/>
      <c r="RZ232" s="1"/>
      <c r="SA232" s="1"/>
      <c r="SB232" s="1"/>
      <c r="SC232" s="1"/>
      <c r="SD232" s="1"/>
      <c r="SE232" s="1"/>
      <c r="SF232" s="1"/>
      <c r="SG232" s="1"/>
      <c r="SH232" s="1"/>
      <c r="SI232" s="1"/>
      <c r="SJ232" s="1"/>
      <c r="SK232" s="1"/>
      <c r="SL232" s="1"/>
      <c r="SM232" s="1"/>
      <c r="SN232" s="1"/>
      <c r="SO232" s="1"/>
      <c r="SP232" s="1"/>
      <c r="SQ232" s="1"/>
      <c r="SR232" s="1"/>
      <c r="SS232" s="1"/>
      <c r="ST232" s="1"/>
      <c r="SU232" s="1"/>
      <c r="SV232" s="1"/>
      <c r="SW232" s="1"/>
      <c r="SX232" s="1"/>
      <c r="SY232" s="1"/>
      <c r="SZ232" s="1"/>
      <c r="TA232" s="1"/>
      <c r="TB232" s="1"/>
      <c r="TC232" s="1"/>
      <c r="TD232" s="1"/>
      <c r="TE232" s="1"/>
      <c r="TF232" s="1"/>
      <c r="TG232" s="1"/>
      <c r="TH232" s="1"/>
      <c r="TI232" s="1"/>
      <c r="TJ232" s="1"/>
      <c r="TK232" s="1"/>
      <c r="TL232" s="1"/>
      <c r="TM232" s="1"/>
      <c r="TN232" s="1"/>
      <c r="TO232" s="1"/>
      <c r="TP232" s="1"/>
      <c r="TQ232" s="1"/>
      <c r="TR232" s="1"/>
      <c r="TS232" s="1"/>
      <c r="TT232" s="1"/>
      <c r="TU232" s="1"/>
      <c r="TV232" s="1"/>
      <c r="TW232" s="1"/>
      <c r="TX232" s="1"/>
      <c r="TY232" s="1"/>
      <c r="TZ232" s="1"/>
      <c r="UA232" s="1"/>
      <c r="UB232" s="1"/>
      <c r="UC232" s="1"/>
      <c r="UD232" s="1"/>
      <c r="UE232" s="1"/>
      <c r="UF232" s="1"/>
      <c r="UG232" s="1"/>
      <c r="UH232" s="1"/>
      <c r="UI232" s="1"/>
      <c r="UJ232" s="1"/>
      <c r="UK232" s="1"/>
      <c r="UL232" s="1"/>
      <c r="UM232" s="1"/>
      <c r="UN232" s="1"/>
      <c r="UO232" s="1"/>
      <c r="UP232" s="1"/>
      <c r="UQ232" s="1"/>
      <c r="UR232" s="1"/>
      <c r="US232" s="1"/>
      <c r="UT232" s="1"/>
      <c r="UU232" s="1"/>
      <c r="UV232" s="1"/>
      <c r="UW232" s="1"/>
      <c r="UX232" s="1"/>
      <c r="UY232" s="1"/>
      <c r="UZ232" s="1"/>
      <c r="VA232" s="1"/>
      <c r="VB232" s="1"/>
      <c r="VC232" s="1"/>
      <c r="VD232" s="1"/>
      <c r="VE232" s="1"/>
      <c r="VF232" s="1"/>
      <c r="VG232" s="1"/>
      <c r="VH232" s="1"/>
      <c r="VI232" s="1"/>
      <c r="VJ232" s="1"/>
      <c r="VK232" s="1"/>
      <c r="VL232" s="1"/>
      <c r="VM232" s="1"/>
      <c r="VN232" s="1"/>
      <c r="VO232" s="1"/>
      <c r="VP232" s="1"/>
      <c r="VQ232" s="1"/>
      <c r="VR232" s="1"/>
      <c r="VS232" s="1"/>
      <c r="VT232" s="1"/>
      <c r="VU232" s="1"/>
      <c r="VV232" s="1"/>
      <c r="VW232" s="1"/>
      <c r="VX232" s="1"/>
      <c r="VY232" s="1"/>
      <c r="VZ232" s="1"/>
      <c r="WA232" s="1"/>
      <c r="WB232" s="1"/>
      <c r="WC232" s="1"/>
      <c r="WD232" s="1"/>
      <c r="WE232" s="1"/>
      <c r="WF232" s="1"/>
      <c r="WG232" s="1"/>
      <c r="WH232" s="1"/>
      <c r="WI232" s="1"/>
      <c r="WJ232" s="1"/>
      <c r="WK232" s="1"/>
      <c r="WL232" s="1"/>
      <c r="WM232" s="1"/>
      <c r="WN232" s="1"/>
      <c r="WO232" s="1"/>
      <c r="WP232" s="1"/>
      <c r="WQ232" s="1"/>
      <c r="WR232" s="1"/>
      <c r="WS232" s="1"/>
      <c r="WT232" s="1"/>
      <c r="WU232" s="1"/>
      <c r="WV232" s="1"/>
      <c r="WW232" s="1"/>
      <c r="WX232" s="1"/>
      <c r="WY232" s="1"/>
      <c r="WZ232" s="1"/>
      <c r="XA232" s="1"/>
      <c r="XB232" s="1"/>
      <c r="XC232" s="1"/>
      <c r="XD232" s="1"/>
      <c r="XE232" s="1"/>
      <c r="XF232" s="1"/>
      <c r="XG232" s="1"/>
      <c r="XH232" s="1"/>
      <c r="XI232" s="1"/>
      <c r="XJ232" s="1"/>
      <c r="XK232" s="1"/>
      <c r="XL232" s="1"/>
      <c r="XM232" s="1"/>
      <c r="XN232" s="1"/>
      <c r="XO232" s="1"/>
      <c r="XP232" s="1"/>
      <c r="XQ232" s="1"/>
      <c r="XR232" s="1"/>
      <c r="XS232" s="1"/>
      <c r="XT232" s="1"/>
      <c r="XU232" s="1"/>
      <c r="XV232" s="1"/>
      <c r="XW232" s="1"/>
      <c r="XX232" s="1"/>
      <c r="XY232" s="1"/>
      <c r="XZ232" s="1"/>
      <c r="YA232" s="1"/>
      <c r="YB232" s="1"/>
      <c r="YC232" s="1"/>
      <c r="YD232" s="1"/>
      <c r="YE232" s="1"/>
      <c r="YF232" s="1"/>
      <c r="YG232" s="1"/>
      <c r="YH232" s="1"/>
      <c r="YI232" s="1"/>
      <c r="YJ232" s="1"/>
      <c r="YK232" s="1"/>
      <c r="YL232" s="1"/>
      <c r="YM232" s="1"/>
      <c r="YN232" s="1"/>
      <c r="YO232" s="1"/>
      <c r="YP232" s="1"/>
      <c r="YQ232" s="1"/>
      <c r="YR232" s="1"/>
      <c r="YS232" s="1"/>
      <c r="YT232" s="1"/>
      <c r="YU232" s="1"/>
      <c r="YV232" s="1"/>
      <c r="YW232" s="1"/>
      <c r="YX232" s="1"/>
      <c r="YY232" s="1"/>
      <c r="YZ232" s="1"/>
      <c r="ZA232" s="1"/>
      <c r="ZB232" s="1"/>
      <c r="ZC232" s="1"/>
      <c r="ZD232" s="1"/>
      <c r="ZE232" s="1"/>
      <c r="ZF232" s="1"/>
      <c r="ZG232" s="1"/>
      <c r="ZH232" s="1"/>
      <c r="ZI232" s="1"/>
      <c r="ZJ232" s="1"/>
      <c r="ZK232" s="1"/>
      <c r="ZL232" s="1"/>
      <c r="ZM232" s="1"/>
      <c r="ZN232" s="1"/>
      <c r="ZO232" s="1"/>
      <c r="ZP232" s="1"/>
      <c r="ZQ232" s="1"/>
      <c r="ZR232" s="1"/>
      <c r="ZS232" s="1"/>
      <c r="ZT232" s="1"/>
      <c r="ZU232" s="1"/>
      <c r="ZV232" s="1"/>
      <c r="ZW232" s="1"/>
      <c r="ZX232" s="1"/>
      <c r="ZY232" s="1"/>
      <c r="ZZ232" s="1"/>
      <c r="AAA232" s="1"/>
      <c r="AAB232" s="1"/>
      <c r="AAC232" s="1"/>
      <c r="AAD232" s="1"/>
      <c r="AAE232" s="1"/>
      <c r="AAF232" s="1"/>
      <c r="AAG232" s="1"/>
      <c r="AAH232" s="1"/>
      <c r="AAI232" s="1"/>
      <c r="AAJ232" s="1"/>
      <c r="AAK232" s="1"/>
      <c r="AAL232" s="1"/>
      <c r="AAM232" s="1"/>
      <c r="AAN232" s="1"/>
      <c r="AAO232" s="1"/>
      <c r="AAP232" s="1"/>
      <c r="AAQ232" s="1"/>
      <c r="AAR232" s="1"/>
      <c r="AAS232" s="1"/>
      <c r="AAT232" s="1"/>
      <c r="AAU232" s="1"/>
      <c r="AAV232" s="1"/>
      <c r="AAW232" s="1"/>
      <c r="AAX232" s="1"/>
      <c r="AAY232" s="1"/>
      <c r="AAZ232" s="1"/>
      <c r="ABA232" s="1"/>
      <c r="ABB232" s="1"/>
      <c r="ABC232" s="1"/>
      <c r="ABD232" s="1"/>
      <c r="ABE232" s="1"/>
      <c r="ABF232" s="1"/>
      <c r="ABG232" s="1"/>
      <c r="ABH232" s="1"/>
      <c r="ABI232" s="1"/>
      <c r="ABJ232" s="1"/>
      <c r="ABK232" s="1"/>
      <c r="ABL232" s="1"/>
      <c r="ABM232" s="1"/>
      <c r="ABN232" s="1"/>
      <c r="ABO232" s="1"/>
      <c r="ABP232" s="1"/>
      <c r="ABQ232" s="1"/>
      <c r="ABR232" s="1"/>
      <c r="ABS232" s="1"/>
      <c r="ABT232" s="1"/>
      <c r="ABU232" s="1"/>
      <c r="ABV232" s="1"/>
      <c r="ABW232" s="1"/>
      <c r="ABX232" s="1"/>
      <c r="ABY232" s="1"/>
      <c r="ABZ232" s="1"/>
      <c r="ACA232" s="1"/>
      <c r="ACB232" s="1"/>
      <c r="ACC232" s="1"/>
      <c r="ACD232" s="1"/>
      <c r="ACE232" s="1"/>
      <c r="ACF232" s="1"/>
      <c r="ACG232" s="1"/>
      <c r="ACH232" s="1"/>
      <c r="ACI232" s="1"/>
      <c r="ACJ232" s="1"/>
      <c r="ACK232" s="1"/>
      <c r="ACL232" s="1"/>
      <c r="ACM232" s="1"/>
      <c r="ACN232" s="1"/>
      <c r="ACO232" s="1"/>
      <c r="ACP232" s="1"/>
      <c r="ACQ232" s="1"/>
      <c r="ACR232" s="1"/>
      <c r="ACS232" s="1"/>
      <c r="ACT232" s="1"/>
      <c r="ACU232" s="1"/>
      <c r="ACV232" s="1"/>
      <c r="ACW232" s="1"/>
      <c r="ACX232" s="1"/>
      <c r="ACY232" s="1"/>
      <c r="ACZ232" s="1"/>
      <c r="ADA232" s="1"/>
      <c r="ADB232" s="1"/>
      <c r="ADC232" s="1"/>
      <c r="ADD232" s="1"/>
      <c r="ADE232" s="1"/>
      <c r="ADF232" s="1"/>
      <c r="ADG232" s="1"/>
      <c r="ADH232" s="1"/>
      <c r="ADI232" s="1"/>
      <c r="ADJ232" s="1"/>
      <c r="ADK232" s="1"/>
      <c r="ADL232" s="1"/>
      <c r="ADM232" s="1"/>
      <c r="ADN232" s="1"/>
      <c r="ADO232" s="1"/>
      <c r="ADP232" s="1"/>
      <c r="ADQ232" s="1"/>
      <c r="ADR232" s="1"/>
      <c r="ADS232" s="1"/>
      <c r="ADT232" s="1"/>
      <c r="ADU232" s="1"/>
      <c r="ADV232" s="1"/>
      <c r="ADW232" s="1"/>
      <c r="ADX232" s="1"/>
      <c r="ADY232" s="1"/>
      <c r="ADZ232" s="1"/>
      <c r="AEA232" s="1"/>
      <c r="AEB232" s="1"/>
      <c r="AEC232" s="1"/>
      <c r="AED232" s="1"/>
      <c r="AEE232" s="1"/>
      <c r="AEF232" s="1"/>
      <c r="AEG232" s="1"/>
      <c r="AEH232" s="1"/>
      <c r="AEI232" s="1"/>
      <c r="AEJ232" s="1"/>
      <c r="AEK232" s="1"/>
      <c r="AEL232" s="1"/>
      <c r="AEM232" s="1"/>
      <c r="AEN232" s="1"/>
      <c r="AEO232" s="1"/>
      <c r="AEP232" s="1"/>
      <c r="AEQ232" s="1"/>
      <c r="AER232" s="1"/>
      <c r="AES232" s="1"/>
      <c r="AET232" s="1"/>
      <c r="AEU232" s="1"/>
      <c r="AEV232" s="1"/>
      <c r="AEW232" s="1"/>
      <c r="AEX232" s="1"/>
      <c r="AEY232" s="1"/>
      <c r="AEZ232" s="1"/>
      <c r="AFA232" s="1"/>
      <c r="AFB232" s="1"/>
      <c r="AFC232" s="1"/>
      <c r="AFD232" s="1"/>
      <c r="AFE232" s="1"/>
      <c r="AFF232" s="1"/>
      <c r="AFG232" s="1"/>
      <c r="AFH232" s="1"/>
      <c r="AFI232" s="1"/>
      <c r="AFJ232" s="1"/>
      <c r="AFK232" s="1"/>
      <c r="AFL232" s="1"/>
      <c r="AFM232" s="1"/>
      <c r="AFN232" s="1"/>
      <c r="AFO232" s="1"/>
      <c r="AFP232" s="1"/>
      <c r="AFQ232" s="1"/>
      <c r="AFR232" s="1"/>
      <c r="AFS232" s="1"/>
      <c r="AFT232" s="1"/>
      <c r="AFU232" s="1"/>
      <c r="AFV232" s="1"/>
      <c r="AFW232" s="1"/>
      <c r="AFX232" s="1"/>
      <c r="AFY232" s="1"/>
      <c r="AFZ232" s="1"/>
      <c r="AGA232" s="1"/>
      <c r="AGB232" s="1"/>
      <c r="AGC232" s="1"/>
      <c r="AGD232" s="1"/>
      <c r="AGE232" s="1"/>
      <c r="AGF232" s="1"/>
      <c r="AGG232" s="1"/>
      <c r="AGH232" s="1"/>
      <c r="AGI232" s="1"/>
      <c r="AGJ232" s="1"/>
      <c r="AGK232" s="1"/>
      <c r="AGL232" s="1"/>
      <c r="AGM232" s="1"/>
      <c r="AGN232" s="1"/>
      <c r="AGO232" s="1"/>
      <c r="AGP232" s="1"/>
      <c r="AGQ232" s="1"/>
      <c r="AGR232" s="1"/>
      <c r="AGS232" s="1"/>
      <c r="AGT232" s="1"/>
      <c r="AGU232" s="1"/>
      <c r="AGV232" s="1"/>
      <c r="AGW232" s="1"/>
      <c r="AGX232" s="1"/>
      <c r="AGY232" s="1"/>
      <c r="AGZ232" s="1"/>
      <c r="AHA232" s="1"/>
      <c r="AHB232" s="1"/>
      <c r="AHC232" s="1"/>
      <c r="AHD232" s="1"/>
      <c r="AHE232" s="1"/>
      <c r="AHF232" s="1"/>
      <c r="AHG232" s="1"/>
      <c r="AHH232" s="1"/>
      <c r="AHI232" s="1"/>
      <c r="AHJ232" s="1"/>
      <c r="AHK232" s="1"/>
      <c r="AHL232" s="1"/>
      <c r="AHM232" s="1"/>
      <c r="AHN232" s="1"/>
      <c r="AHO232" s="1"/>
      <c r="AHP232" s="1"/>
      <c r="AHQ232" s="1"/>
      <c r="AHR232" s="1"/>
      <c r="AHS232" s="1"/>
      <c r="AHT232" s="1"/>
      <c r="AHU232" s="1"/>
      <c r="AHV232" s="1"/>
      <c r="AHW232" s="1"/>
      <c r="AHX232" s="1"/>
      <c r="AHY232" s="1"/>
      <c r="AHZ232" s="1"/>
      <c r="AIA232" s="1"/>
      <c r="AIB232" s="1"/>
      <c r="AIC232" s="1"/>
      <c r="AID232" s="1"/>
      <c r="AIE232" s="1"/>
      <c r="AIF232" s="1"/>
      <c r="AIG232" s="1"/>
      <c r="AIH232" s="1"/>
      <c r="AII232" s="1"/>
      <c r="AIJ232" s="1"/>
      <c r="AIK232" s="1"/>
      <c r="AIL232" s="1"/>
      <c r="AIM232" s="1"/>
      <c r="AIN232" s="1"/>
      <c r="AIO232" s="1"/>
      <c r="AIP232" s="1"/>
      <c r="AIQ232" s="1"/>
      <c r="AIR232" s="1"/>
      <c r="AIS232" s="1"/>
      <c r="AIT232" s="1"/>
      <c r="AIU232" s="1"/>
      <c r="AIV232" s="1"/>
      <c r="AIW232" s="1"/>
      <c r="AIX232" s="1"/>
      <c r="AIY232" s="1"/>
      <c r="AIZ232" s="1"/>
      <c r="AJA232" s="1"/>
      <c r="AJB232" s="1"/>
      <c r="AJC232" s="1"/>
      <c r="AJD232" s="1"/>
      <c r="AJE232" s="1"/>
      <c r="AJF232" s="1"/>
      <c r="AJG232" s="1"/>
      <c r="AJH232" s="1"/>
      <c r="AJI232" s="1"/>
      <c r="AJJ232" s="1"/>
      <c r="AJK232" s="1"/>
      <c r="AJL232" s="1"/>
      <c r="AJM232" s="1"/>
      <c r="AJN232" s="1"/>
      <c r="AJO232" s="1"/>
      <c r="AJP232" s="1"/>
      <c r="AJQ232" s="1"/>
      <c r="AJR232" s="1"/>
      <c r="AJS232" s="1"/>
      <c r="AJT232" s="1"/>
      <c r="AJU232" s="1"/>
      <c r="AJV232" s="1"/>
      <c r="AJW232" s="1"/>
      <c r="AJX232" s="1"/>
      <c r="AJY232" s="1"/>
      <c r="AJZ232" s="1"/>
      <c r="AKA232" s="1"/>
      <c r="AKB232" s="1"/>
      <c r="AKC232" s="1"/>
      <c r="AKD232" s="1"/>
      <c r="AKE232" s="1"/>
      <c r="AKF232" s="1"/>
      <c r="AKG232" s="1"/>
      <c r="AKH232" s="1"/>
      <c r="AKI232" s="1"/>
      <c r="AKJ232" s="1"/>
      <c r="AKK232" s="1"/>
      <c r="AKL232" s="1"/>
      <c r="AKM232" s="1"/>
      <c r="AKN232" s="1"/>
      <c r="AKO232" s="1"/>
      <c r="AKP232" s="1"/>
      <c r="AKQ232" s="1"/>
      <c r="AKR232" s="1"/>
      <c r="AKS232" s="1"/>
      <c r="AKT232" s="1"/>
      <c r="AKU232" s="1"/>
      <c r="AKV232" s="1"/>
      <c r="AKW232" s="1"/>
      <c r="AKX232" s="1"/>
      <c r="AKY232" s="1"/>
      <c r="AKZ232" s="1"/>
      <c r="ALA232" s="1"/>
      <c r="ALB232" s="1"/>
      <c r="ALC232" s="1"/>
      <c r="ALD232" s="1"/>
      <c r="ALE232" s="1"/>
      <c r="ALF232" s="1"/>
      <c r="ALG232" s="1"/>
      <c r="ALH232" s="1"/>
      <c r="ALI232" s="1"/>
      <c r="ALJ232" s="1"/>
      <c r="ALK232" s="1"/>
      <c r="ALL232" s="1"/>
      <c r="ALM232" s="1"/>
      <c r="ALN232" s="1"/>
      <c r="ALO232" s="1"/>
      <c r="ALP232" s="1"/>
      <c r="ALQ232" s="1"/>
      <c r="ALR232" s="1"/>
      <c r="ALS232" s="1"/>
      <c r="ALT232" s="1"/>
      <c r="ALU232" s="1"/>
      <c r="ALV232" s="1"/>
      <c r="ALW232" s="1"/>
      <c r="ALX232" s="1"/>
      <c r="ALY232" s="1"/>
      <c r="ALZ232" s="1"/>
      <c r="AMA232" s="1"/>
      <c r="AMB232" s="1"/>
      <c r="AMC232" s="1"/>
      <c r="AMD232" s="1"/>
      <c r="AME232" s="1"/>
      <c r="AMF232" s="1"/>
      <c r="AMG232" s="1"/>
      <c r="AMH232" s="1"/>
      <c r="AMI232" s="1"/>
      <c r="AMJ232" s="1"/>
      <c r="AMK232" s="1"/>
      <c r="AML232" s="1"/>
      <c r="AMM232" s="1"/>
      <c r="AMN232" s="1"/>
      <c r="AMO232" s="1"/>
    </row>
    <row r="233" spans="1:1030" s="12" customFormat="1" x14ac:dyDescent="0.2">
      <c r="A233" s="9" t="str">
        <f>CONCATENATE(B233,"_",C233)</f>
        <v>opsd_human_6CMO</v>
      </c>
      <c r="B233" s="9" t="s">
        <v>339</v>
      </c>
      <c r="C233" s="9" t="s">
        <v>1518</v>
      </c>
      <c r="D233" s="9" t="str">
        <f>IFERROR(MID(VLOOKUP($B233,Seqs!$A:$B,2,0),E233,1),"")</f>
        <v>E</v>
      </c>
      <c r="E233" s="9">
        <v>33</v>
      </c>
      <c r="F233" s="9" t="str">
        <f>IFERROR(MID(VLOOKUP($B233,Seqs!$A:$B,2,0),G233,1),"")</f>
        <v>H</v>
      </c>
      <c r="G233" s="9">
        <v>65</v>
      </c>
      <c r="H233" s="9" t="str">
        <f>IFERROR(MID(VLOOKUP($B233,Seqs!$A:$B,2,0),I233,1),"")</f>
        <v>K</v>
      </c>
      <c r="I233" s="109">
        <v>66</v>
      </c>
      <c r="J233" s="9" t="str">
        <f>IFERROR(MID(VLOOKUP($B233,Seqs!$A:$B,2,0),K233,1),"")</f>
        <v>R</v>
      </c>
      <c r="K233" s="109">
        <v>69</v>
      </c>
      <c r="L233" s="9" t="str">
        <f>IFERROR(MID(VLOOKUP($B233,Seqs!$A:$B,2,0),M233,1),"")</f>
        <v>T</v>
      </c>
      <c r="M233" s="9">
        <v>70</v>
      </c>
      <c r="N233" s="9" t="str">
        <f>IFERROR(MID(VLOOKUP($B233,Seqs!$A:$B,2,0),O233,1),"")</f>
        <v>G</v>
      </c>
      <c r="O233" s="9">
        <v>101</v>
      </c>
      <c r="P233" s="9" t="str">
        <f>IFERROR(MID(VLOOKUP($B233,Seqs!$A:$B,2,0),Q233,1),"")</f>
        <v>Y</v>
      </c>
      <c r="Q233" s="9">
        <v>102</v>
      </c>
      <c r="R233" s="9" t="str">
        <f>IFERROR(MID(VLOOKUP($B233,Seqs!$A:$B,2,0),S233,1),"")</f>
        <v>F</v>
      </c>
      <c r="S233" s="9">
        <v>105</v>
      </c>
      <c r="T233" s="9" t="str">
        <f>IFERROR(MID(VLOOKUP($B233,Seqs!$A:$B,2,0),U233,1),"")</f>
        <v>G</v>
      </c>
      <c r="U233" s="9">
        <v>106</v>
      </c>
      <c r="V233" s="9" t="str">
        <f>IFERROR(MID(VLOOKUP($B233,Seqs!$A:$B,2,0),W233,1),"")</f>
        <v>K</v>
      </c>
      <c r="W233" s="9">
        <v>141</v>
      </c>
      <c r="X233" s="9" t="str">
        <f>IFERROR(MID(VLOOKUP($B233,Seqs!$A:$B,2,0),Y233,1),"")</f>
        <v/>
      </c>
      <c r="Y233" s="9" t="s">
        <v>23</v>
      </c>
      <c r="Z233" s="9" t="str">
        <f>IFERROR(MID(VLOOKUP($B233,Seqs!$A:$B,2,0),AA233,1),"")</f>
        <v/>
      </c>
      <c r="AA233" s="9" t="s">
        <v>23</v>
      </c>
      <c r="AB233" s="9" t="str">
        <f>IFERROR(MID(VLOOKUP($B233,Seqs!$A:$B,2,0),AC233,1),"")</f>
        <v>E</v>
      </c>
      <c r="AC233" s="9">
        <v>150</v>
      </c>
      <c r="AD233" s="9" t="str">
        <f>IFERROR(MID(VLOOKUP($B233,Seqs!$A:$B,2,0),AE233,1),"")</f>
        <v>A</v>
      </c>
      <c r="AE233" s="9">
        <v>173</v>
      </c>
      <c r="AF233" s="9" t="str">
        <f>IFERROR(MID(VLOOKUP($B233,Seqs!$A:$B,2,0),AG233,1),"")</f>
        <v>C</v>
      </c>
      <c r="AG233" s="9">
        <v>187</v>
      </c>
      <c r="AH233" s="9" t="str">
        <f>IFERROR(MID(VLOOKUP($B233,Seqs!$A:$B,2,0),AI233,1),"")</f>
        <v>I</v>
      </c>
      <c r="AI233" s="9">
        <v>189</v>
      </c>
      <c r="AJ233" s="9" t="str">
        <f>IFERROR(MID(VLOOKUP($B233,Seqs!$A:$B,2,0),AK233,1),"")</f>
        <v>N</v>
      </c>
      <c r="AK233" s="9">
        <v>200</v>
      </c>
      <c r="AL233" s="9" t="str">
        <f>IFERROR(MID(VLOOKUP($B233,Seqs!$A:$B,2,0),AM233,1),"")</f>
        <v>Q</v>
      </c>
      <c r="AM233" s="9">
        <v>238</v>
      </c>
      <c r="AN233" s="9" t="str">
        <f>IFERROR(MID(VLOOKUP($B233,Seqs!$A:$B,2,0),AO233,1),"")</f>
        <v>S</v>
      </c>
      <c r="AO233" s="9">
        <v>240</v>
      </c>
      <c r="AP233" s="9" t="str">
        <f>IFERROR(MID(VLOOKUP($B233,Seqs!$A:$B,2,0),AQ233,1),"")</f>
        <v>H</v>
      </c>
      <c r="AQ233" s="9">
        <v>278</v>
      </c>
      <c r="AR233" s="9" t="str">
        <f>IFERROR(MID(VLOOKUP($B233,Seqs!$A:$B,2,0),AS233,1),"")</f>
        <v>I</v>
      </c>
      <c r="AS233" s="9">
        <v>286</v>
      </c>
      <c r="AT233" s="9" t="str">
        <f>IFERROR(MID(VLOOKUP($B233,Seqs!$A:$B,2,0),AU233,1),"")</f>
        <v>M</v>
      </c>
      <c r="AU233" s="9">
        <v>309</v>
      </c>
      <c r="AV233" s="9" t="str">
        <f>IFERROR(MID(VLOOKUP($B233,Seqs!$A:$B,2,0),AW233,1),"")</f>
        <v>N</v>
      </c>
      <c r="AW233" s="9">
        <v>310</v>
      </c>
      <c r="AX233" s="9" t="str">
        <f>IFERROR(MID(VLOOKUP($B233,Seqs!$A:$B,2,0),AY233,1),"")</f>
        <v>C</v>
      </c>
      <c r="AY233" s="9">
        <v>323</v>
      </c>
      <c r="AZ233" s="110" t="str">
        <f>VLOOKUP(B233,Classification!A:D,2,0)</f>
        <v>A</v>
      </c>
      <c r="BA233" s="98" t="str">
        <f>VLOOKUP(B233,Classification!A:D,4,0)</f>
        <v>Opsins</v>
      </c>
      <c r="BB233" s="36" t="b">
        <f>AND(E233&lt;G233,OR(G233&lt;I233,I233="-"),OR(I233&lt;K233,I233="-"),OR(K233&lt;M233,K233="-"),M233&lt;O233,OR(O233&lt;Q233,Q233="-"),OR(Q233&lt;S233,Q233="-"),OR(S233&lt;U233,S233="-"),U233&lt;W233,OR(W233&lt;Y233,Y233="-"),OR(Y233&lt;AA233,Y233="-"),OR(AA233&lt;AC233,AA233="-"),AC233&lt;AE233,OR(AE233&lt;AG233,AG233="-"),OR(AG233&lt;AI233,AG233="-"),OR(AI233&lt;AK233,AI233="-"),AK233&lt;AM233,AM233&lt;AO233,AO233&lt;AQ233,AQ233&lt;AS233,AS233&lt;AU233,OR(AU233&lt;AW233,AW233="-"),OR(AW233&lt;AY233,AW233="-"))</f>
        <v>1</v>
      </c>
      <c r="BC233" s="109">
        <f>_xlfn.AGGREGATE(9,6,CH233:CS233)-_xlfn.AGGREGATE(9,6,BV233:CG233)+12</f>
        <v>253</v>
      </c>
      <c r="BD233" s="40" t="s">
        <v>23</v>
      </c>
      <c r="BE233" s="9" t="s">
        <v>1297</v>
      </c>
      <c r="BF233" s="120">
        <v>4.5</v>
      </c>
      <c r="BG233" s="51" t="s">
        <v>1444</v>
      </c>
      <c r="BH233" s="51" t="s">
        <v>1444</v>
      </c>
      <c r="BJ233" s="111" t="s">
        <v>1293</v>
      </c>
      <c r="BK233" s="112" t="s">
        <v>1293</v>
      </c>
      <c r="BL233" s="112" t="s">
        <v>1293</v>
      </c>
      <c r="BM233" s="112" t="s">
        <v>1293</v>
      </c>
      <c r="BN233" s="112" t="s">
        <v>1293</v>
      </c>
      <c r="BO233" s="112" t="s">
        <v>1293</v>
      </c>
      <c r="BP233" s="112" t="s">
        <v>1293</v>
      </c>
      <c r="BQ233" s="112" t="s">
        <v>1293</v>
      </c>
      <c r="BR233" s="112" t="s">
        <v>1293</v>
      </c>
      <c r="BS233" s="112" t="s">
        <v>1293</v>
      </c>
      <c r="BT233" s="112" t="s">
        <v>1293</v>
      </c>
      <c r="BU233" s="112" t="s">
        <v>1293</v>
      </c>
      <c r="BV233" s="111">
        <f>E233</f>
        <v>33</v>
      </c>
      <c r="BW233" s="113">
        <f>I233</f>
        <v>66</v>
      </c>
      <c r="BX233" s="114">
        <f>M233</f>
        <v>70</v>
      </c>
      <c r="BY233" s="113">
        <f>Q233</f>
        <v>102</v>
      </c>
      <c r="BZ233" s="114">
        <f>U233</f>
        <v>106</v>
      </c>
      <c r="CA233" s="113" t="str">
        <f>Y233</f>
        <v>-</v>
      </c>
      <c r="CB233" s="114">
        <f>AC233</f>
        <v>150</v>
      </c>
      <c r="CC233" s="113">
        <f>AG233</f>
        <v>187</v>
      </c>
      <c r="CD233" s="114">
        <f>AK233</f>
        <v>200</v>
      </c>
      <c r="CE233" s="113">
        <f>AO233</f>
        <v>240</v>
      </c>
      <c r="CF233" s="114">
        <f>AS233</f>
        <v>286</v>
      </c>
      <c r="CG233" s="113">
        <f>AW233</f>
        <v>310</v>
      </c>
      <c r="CH233" s="111">
        <f>G233</f>
        <v>65</v>
      </c>
      <c r="CI233" s="113">
        <f>K233</f>
        <v>69</v>
      </c>
      <c r="CJ233" s="114">
        <f>O233</f>
        <v>101</v>
      </c>
      <c r="CK233" s="114">
        <f>S233</f>
        <v>105</v>
      </c>
      <c r="CL233" s="114">
        <f>W233</f>
        <v>141</v>
      </c>
      <c r="CM233" s="114" t="str">
        <f>AA233</f>
        <v>-</v>
      </c>
      <c r="CN233" s="114">
        <f>AE233</f>
        <v>173</v>
      </c>
      <c r="CO233" s="114">
        <f>AI233</f>
        <v>189</v>
      </c>
      <c r="CP233" s="114">
        <f>AM233</f>
        <v>238</v>
      </c>
      <c r="CQ233" s="114">
        <f>AQ233</f>
        <v>278</v>
      </c>
      <c r="CR233" s="114">
        <f>AU233</f>
        <v>309</v>
      </c>
      <c r="CS233" s="114">
        <f>AY233</f>
        <v>323</v>
      </c>
      <c r="CT233" s="109">
        <f>M233-K233</f>
        <v>1</v>
      </c>
    </row>
    <row r="234" spans="1:1030" x14ac:dyDescent="0.2">
      <c r="A234" s="3" t="str">
        <f t="shared" si="753"/>
        <v>opsd_todpa__wt</v>
      </c>
      <c r="B234" s="3" t="s">
        <v>922</v>
      </c>
      <c r="C234" s="3" t="s">
        <v>100</v>
      </c>
      <c r="D234" s="3" t="str">
        <f>IFERROR(MID(VLOOKUP($B234,Seqs!$A:$B,2,0),E234,1),"")</f>
        <v>D</v>
      </c>
      <c r="E234" s="3">
        <v>31</v>
      </c>
      <c r="F234" s="3" t="str">
        <f>IFERROR(MID(VLOOKUP($B234,Seqs!$A:$B,2,0),G234,1),"")</f>
        <v>T</v>
      </c>
      <c r="G234" s="3">
        <v>62</v>
      </c>
      <c r="H234" s="3" t="str">
        <f>IFERROR(MID(VLOOKUP($B234,Seqs!$A:$B,2,0),I234,1),"")</f>
        <v>K</v>
      </c>
      <c r="I234" s="23">
        <v>63</v>
      </c>
      <c r="J234" s="3" t="str">
        <f>IFERROR(MID(VLOOKUP($B234,Seqs!$A:$B,2,0),K234,1),"")</f>
        <v>Q</v>
      </c>
      <c r="K234" s="23">
        <v>66</v>
      </c>
      <c r="L234" s="3" t="str">
        <f>IFERROR(MID(VLOOKUP($B234,Seqs!$A:$B,2,0),M234,1),"")</f>
        <v>T</v>
      </c>
      <c r="M234" s="3">
        <v>67</v>
      </c>
      <c r="N234" s="3" t="str">
        <f>IFERROR(MID(VLOOKUP($B234,Seqs!$A:$B,2,0),O234,1),"")</f>
        <v>K</v>
      </c>
      <c r="O234" s="3">
        <v>99</v>
      </c>
      <c r="P234" s="3" t="str">
        <f>IFERROR(MID(VLOOKUP($B234,Seqs!$A:$B,2,0),Q234,1),"")</f>
        <v>K</v>
      </c>
      <c r="Q234" s="3">
        <v>100</v>
      </c>
      <c r="R234" s="3" t="str">
        <f>IFERROR(MID(VLOOKUP($B234,Seqs!$A:$B,2,0),S234,1),"")</f>
        <v>F</v>
      </c>
      <c r="S234" s="3">
        <v>103</v>
      </c>
      <c r="T234" s="3" t="str">
        <f>IFERROR(MID(VLOOKUP($B234,Seqs!$A:$B,2,0),U234,1),"")</f>
        <v>G</v>
      </c>
      <c r="U234" s="3">
        <v>104</v>
      </c>
      <c r="V234" s="3" t="str">
        <f>IFERROR(MID(VLOOKUP($B234,Seqs!$A:$B,2,0),W234,1),"")</f>
        <v>R</v>
      </c>
      <c r="W234" s="3">
        <v>139</v>
      </c>
      <c r="X234" s="3" t="str">
        <f>IFERROR(MID(VLOOKUP($B234,Seqs!$A:$B,2,0),Y234,1),"")</f>
        <v>P</v>
      </c>
      <c r="Y234" s="3">
        <v>140</v>
      </c>
      <c r="Z234" s="3" t="str">
        <f>IFERROR(MID(VLOOKUP($B234,Seqs!$A:$B,2,0),AA234,1),"")</f>
        <v>M</v>
      </c>
      <c r="AA234" s="3">
        <v>147</v>
      </c>
      <c r="AB234" s="3" t="str">
        <f>IFERROR(MID(VLOOKUP($B234,Seqs!$A:$B,2,0),AC234,1),"")</f>
        <v>S</v>
      </c>
      <c r="AC234" s="9">
        <v>148</v>
      </c>
      <c r="AD234" s="3" t="str">
        <f>IFERROR(MID(VLOOKUP($B234,Seqs!$A:$B,2,0),AE234,1),"")</f>
        <v>F</v>
      </c>
      <c r="AE234" s="3">
        <v>172</v>
      </c>
      <c r="AF234" s="3" t="str">
        <f>IFERROR(MID(VLOOKUP($B234,Seqs!$A:$B,2,0),AG234,1),"")</f>
        <v>C</v>
      </c>
      <c r="AG234" s="3">
        <v>186</v>
      </c>
      <c r="AH234" s="3" t="str">
        <f>IFERROR(MID(VLOOKUP($B234,Seqs!$A:$B,2,0),AI234,1),"")</f>
        <v>F</v>
      </c>
      <c r="AI234" s="3">
        <v>188</v>
      </c>
      <c r="AJ234" s="3" t="str">
        <f>IFERROR(MID(VLOOKUP($B234,Seqs!$A:$B,2,0),AK234,1),"")</f>
        <v>D</v>
      </c>
      <c r="AK234" s="3">
        <v>194</v>
      </c>
      <c r="AL234" s="3" t="str">
        <f>IFERROR(MID(VLOOKUP($B234,Seqs!$A:$B,2,0),AM234,1),"")</f>
        <v>K</v>
      </c>
      <c r="AM234" s="3">
        <v>239</v>
      </c>
      <c r="AN234" s="3" t="str">
        <f>IFERROR(MID(VLOOKUP($B234,Seqs!$A:$B,2,0),AO234,1),"")</f>
        <v>K</v>
      </c>
      <c r="AO234" s="3">
        <v>244</v>
      </c>
      <c r="AP234" s="3" t="str">
        <f>IFERROR(MID(VLOOKUP($B234,Seqs!$A:$B,2,0),AQ234,1),"")</f>
        <v>G</v>
      </c>
      <c r="AQ234" s="3">
        <v>287</v>
      </c>
      <c r="AR234" s="3" t="str">
        <f>IFERROR(MID(VLOOKUP($B234,Seqs!$A:$B,2,0),AS234,1),"")</f>
        <v>T</v>
      </c>
      <c r="AS234" s="3">
        <v>293</v>
      </c>
      <c r="AT234" s="3" t="str">
        <f>IFERROR(MID(VLOOKUP($B234,Seqs!$A:$B,2,0),AU234,1),"")</f>
        <v>S</v>
      </c>
      <c r="AU234" s="3">
        <v>318</v>
      </c>
      <c r="AV234" s="3" t="str">
        <f>IFERROR(MID(VLOOKUP($B234,Seqs!$A:$B,2,0),AW234,1),"")</f>
        <v>H</v>
      </c>
      <c r="AW234" s="3">
        <v>319</v>
      </c>
      <c r="AX234" s="3" t="str">
        <f>IFERROR(MID(VLOOKUP($B234,Seqs!$A:$B,2,0),AY234,1),"")</f>
        <v>F</v>
      </c>
      <c r="AY234" s="3">
        <v>330</v>
      </c>
      <c r="AZ234" s="77" t="str">
        <f>VLOOKUP(B234,Classification!A:D,2,0)</f>
        <v>A</v>
      </c>
      <c r="BA234" s="94" t="str">
        <f>VLOOKUP(B234,Classification!A:D,4,0)</f>
        <v>Opsins</v>
      </c>
      <c r="BB234" s="27" t="b">
        <f t="shared" si="754"/>
        <v>1</v>
      </c>
      <c r="BC234" s="23">
        <f t="shared" si="727"/>
        <v>273</v>
      </c>
      <c r="BD234" s="56" t="s">
        <v>1379</v>
      </c>
      <c r="BE234" s="3" t="s">
        <v>23</v>
      </c>
      <c r="BF234" s="119" t="s">
        <v>23</v>
      </c>
      <c r="BG234" s="49" t="s">
        <v>1379</v>
      </c>
      <c r="BH234" s="49" t="s">
        <v>1384</v>
      </c>
      <c r="BI234" s="1"/>
      <c r="BJ234" s="70" t="s">
        <v>1293</v>
      </c>
      <c r="BK234" s="57" t="s">
        <v>1293</v>
      </c>
      <c r="BL234" s="57" t="s">
        <v>1293</v>
      </c>
      <c r="BM234" s="57" t="s">
        <v>1293</v>
      </c>
      <c r="BN234" s="57" t="s">
        <v>1293</v>
      </c>
      <c r="BO234" s="57" t="s">
        <v>1293</v>
      </c>
      <c r="BP234" s="57" t="s">
        <v>1293</v>
      </c>
      <c r="BQ234" s="57" t="s">
        <v>1293</v>
      </c>
      <c r="BR234" s="57" t="s">
        <v>1293</v>
      </c>
      <c r="BS234" s="57" t="s">
        <v>1293</v>
      </c>
      <c r="BT234" s="57" t="s">
        <v>1293</v>
      </c>
      <c r="BU234" s="57" t="s">
        <v>1293</v>
      </c>
      <c r="BV234" s="70">
        <f t="shared" si="728"/>
        <v>31</v>
      </c>
      <c r="BW234" s="71">
        <f t="shared" si="729"/>
        <v>63</v>
      </c>
      <c r="BX234" s="72">
        <f t="shared" si="730"/>
        <v>67</v>
      </c>
      <c r="BY234" s="71">
        <f t="shared" si="731"/>
        <v>100</v>
      </c>
      <c r="BZ234" s="72">
        <f t="shared" si="732"/>
        <v>104</v>
      </c>
      <c r="CA234" s="71">
        <f t="shared" si="733"/>
        <v>140</v>
      </c>
      <c r="CB234" s="72">
        <f t="shared" si="734"/>
        <v>148</v>
      </c>
      <c r="CC234" s="71">
        <f t="shared" si="735"/>
        <v>186</v>
      </c>
      <c r="CD234" s="72">
        <f t="shared" si="736"/>
        <v>194</v>
      </c>
      <c r="CE234" s="71">
        <f t="shared" si="737"/>
        <v>244</v>
      </c>
      <c r="CF234" s="72">
        <f t="shared" si="738"/>
        <v>293</v>
      </c>
      <c r="CG234" s="71">
        <f t="shared" si="739"/>
        <v>319</v>
      </c>
      <c r="CH234" s="70">
        <f t="shared" si="740"/>
        <v>62</v>
      </c>
      <c r="CI234" s="71">
        <f t="shared" si="741"/>
        <v>66</v>
      </c>
      <c r="CJ234" s="72">
        <f t="shared" si="742"/>
        <v>99</v>
      </c>
      <c r="CK234" s="72">
        <f t="shared" si="743"/>
        <v>103</v>
      </c>
      <c r="CL234" s="72">
        <f t="shared" si="744"/>
        <v>139</v>
      </c>
      <c r="CM234" s="72">
        <f t="shared" si="745"/>
        <v>147</v>
      </c>
      <c r="CN234" s="72">
        <f t="shared" si="746"/>
        <v>172</v>
      </c>
      <c r="CO234" s="72">
        <f t="shared" si="747"/>
        <v>188</v>
      </c>
      <c r="CP234" s="72">
        <f t="shared" si="748"/>
        <v>239</v>
      </c>
      <c r="CQ234" s="72">
        <f t="shared" si="749"/>
        <v>287</v>
      </c>
      <c r="CR234" s="72">
        <f t="shared" si="750"/>
        <v>318</v>
      </c>
      <c r="CS234" s="72">
        <f t="shared" si="751"/>
        <v>330</v>
      </c>
      <c r="CT234" s="23">
        <f t="shared" si="752"/>
        <v>1</v>
      </c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  <c r="OK234" s="1"/>
      <c r="OL234" s="1"/>
      <c r="OM234" s="1"/>
      <c r="ON234" s="1"/>
      <c r="OO234" s="1"/>
      <c r="OP234" s="1"/>
      <c r="OQ234" s="1"/>
      <c r="OR234" s="1"/>
      <c r="OS234" s="1"/>
      <c r="OT234" s="1"/>
      <c r="OU234" s="1"/>
      <c r="OV234" s="1"/>
      <c r="OW234" s="1"/>
      <c r="OX234" s="1"/>
      <c r="OY234" s="1"/>
      <c r="OZ234" s="1"/>
      <c r="PA234" s="1"/>
      <c r="PB234" s="1"/>
      <c r="PC234" s="1"/>
      <c r="PD234" s="1"/>
      <c r="PE234" s="1"/>
      <c r="PF234" s="1"/>
      <c r="PG234" s="1"/>
      <c r="PH234" s="1"/>
      <c r="PI234" s="1"/>
      <c r="PJ234" s="1"/>
      <c r="PK234" s="1"/>
      <c r="PL234" s="1"/>
      <c r="PM234" s="1"/>
      <c r="PN234" s="1"/>
      <c r="PO234" s="1"/>
      <c r="PP234" s="1"/>
      <c r="PQ234" s="1"/>
      <c r="PR234" s="1"/>
      <c r="PS234" s="1"/>
      <c r="PT234" s="1"/>
      <c r="PU234" s="1"/>
      <c r="PV234" s="1"/>
      <c r="PW234" s="1"/>
      <c r="PX234" s="1"/>
      <c r="PY234" s="1"/>
      <c r="PZ234" s="1"/>
      <c r="QA234" s="1"/>
      <c r="QB234" s="1"/>
      <c r="QC234" s="1"/>
      <c r="QD234" s="1"/>
      <c r="QE234" s="1"/>
      <c r="QF234" s="1"/>
      <c r="QG234" s="1"/>
      <c r="QH234" s="1"/>
      <c r="QI234" s="1"/>
      <c r="QJ234" s="1"/>
      <c r="QK234" s="1"/>
      <c r="QL234" s="1"/>
      <c r="QM234" s="1"/>
      <c r="QN234" s="1"/>
      <c r="QO234" s="1"/>
      <c r="QP234" s="1"/>
      <c r="QQ234" s="1"/>
      <c r="QR234" s="1"/>
      <c r="QS234" s="1"/>
      <c r="QT234" s="1"/>
      <c r="QU234" s="1"/>
      <c r="QV234" s="1"/>
      <c r="QW234" s="1"/>
      <c r="QX234" s="1"/>
      <c r="QY234" s="1"/>
      <c r="QZ234" s="1"/>
      <c r="RA234" s="1"/>
      <c r="RB234" s="1"/>
      <c r="RC234" s="1"/>
      <c r="RD234" s="1"/>
      <c r="RE234" s="1"/>
      <c r="RF234" s="1"/>
      <c r="RG234" s="1"/>
      <c r="RH234" s="1"/>
      <c r="RI234" s="1"/>
      <c r="RJ234" s="1"/>
      <c r="RK234" s="1"/>
      <c r="RL234" s="1"/>
      <c r="RM234" s="1"/>
      <c r="RN234" s="1"/>
      <c r="RO234" s="1"/>
      <c r="RP234" s="1"/>
      <c r="RQ234" s="1"/>
      <c r="RR234" s="1"/>
      <c r="RS234" s="1"/>
      <c r="RT234" s="1"/>
      <c r="RU234" s="1"/>
      <c r="RV234" s="1"/>
      <c r="RW234" s="1"/>
      <c r="RX234" s="1"/>
      <c r="RY234" s="1"/>
      <c r="RZ234" s="1"/>
      <c r="SA234" s="1"/>
      <c r="SB234" s="1"/>
      <c r="SC234" s="1"/>
      <c r="SD234" s="1"/>
      <c r="SE234" s="1"/>
      <c r="SF234" s="1"/>
      <c r="SG234" s="1"/>
      <c r="SH234" s="1"/>
      <c r="SI234" s="1"/>
      <c r="SJ234" s="1"/>
      <c r="SK234" s="1"/>
      <c r="SL234" s="1"/>
      <c r="SM234" s="1"/>
      <c r="SN234" s="1"/>
      <c r="SO234" s="1"/>
      <c r="SP234" s="1"/>
      <c r="SQ234" s="1"/>
      <c r="SR234" s="1"/>
      <c r="SS234" s="1"/>
      <c r="ST234" s="1"/>
      <c r="SU234" s="1"/>
      <c r="SV234" s="1"/>
      <c r="SW234" s="1"/>
      <c r="SX234" s="1"/>
      <c r="SY234" s="1"/>
      <c r="SZ234" s="1"/>
      <c r="TA234" s="1"/>
      <c r="TB234" s="1"/>
      <c r="TC234" s="1"/>
      <c r="TD234" s="1"/>
      <c r="TE234" s="1"/>
      <c r="TF234" s="1"/>
      <c r="TG234" s="1"/>
      <c r="TH234" s="1"/>
      <c r="TI234" s="1"/>
      <c r="TJ234" s="1"/>
      <c r="TK234" s="1"/>
      <c r="TL234" s="1"/>
      <c r="TM234" s="1"/>
      <c r="TN234" s="1"/>
      <c r="TO234" s="1"/>
      <c r="TP234" s="1"/>
      <c r="TQ234" s="1"/>
      <c r="TR234" s="1"/>
      <c r="TS234" s="1"/>
      <c r="TT234" s="1"/>
      <c r="TU234" s="1"/>
      <c r="TV234" s="1"/>
      <c r="TW234" s="1"/>
      <c r="TX234" s="1"/>
      <c r="TY234" s="1"/>
      <c r="TZ234" s="1"/>
      <c r="UA234" s="1"/>
      <c r="UB234" s="1"/>
      <c r="UC234" s="1"/>
      <c r="UD234" s="1"/>
      <c r="UE234" s="1"/>
      <c r="UF234" s="1"/>
      <c r="UG234" s="1"/>
      <c r="UH234" s="1"/>
      <c r="UI234" s="1"/>
      <c r="UJ234" s="1"/>
      <c r="UK234" s="1"/>
      <c r="UL234" s="1"/>
      <c r="UM234" s="1"/>
      <c r="UN234" s="1"/>
      <c r="UO234" s="1"/>
      <c r="UP234" s="1"/>
      <c r="UQ234" s="1"/>
      <c r="UR234" s="1"/>
      <c r="US234" s="1"/>
      <c r="UT234" s="1"/>
      <c r="UU234" s="1"/>
      <c r="UV234" s="1"/>
      <c r="UW234" s="1"/>
      <c r="UX234" s="1"/>
      <c r="UY234" s="1"/>
      <c r="UZ234" s="1"/>
      <c r="VA234" s="1"/>
      <c r="VB234" s="1"/>
      <c r="VC234" s="1"/>
      <c r="VD234" s="1"/>
      <c r="VE234" s="1"/>
      <c r="VF234" s="1"/>
      <c r="VG234" s="1"/>
      <c r="VH234" s="1"/>
      <c r="VI234" s="1"/>
      <c r="VJ234" s="1"/>
      <c r="VK234" s="1"/>
      <c r="VL234" s="1"/>
      <c r="VM234" s="1"/>
      <c r="VN234" s="1"/>
      <c r="VO234" s="1"/>
      <c r="VP234" s="1"/>
      <c r="VQ234" s="1"/>
      <c r="VR234" s="1"/>
      <c r="VS234" s="1"/>
      <c r="VT234" s="1"/>
      <c r="VU234" s="1"/>
      <c r="VV234" s="1"/>
      <c r="VW234" s="1"/>
      <c r="VX234" s="1"/>
      <c r="VY234" s="1"/>
      <c r="VZ234" s="1"/>
      <c r="WA234" s="1"/>
      <c r="WB234" s="1"/>
      <c r="WC234" s="1"/>
      <c r="WD234" s="1"/>
      <c r="WE234" s="1"/>
      <c r="WF234" s="1"/>
      <c r="WG234" s="1"/>
      <c r="WH234" s="1"/>
      <c r="WI234" s="1"/>
      <c r="WJ234" s="1"/>
      <c r="WK234" s="1"/>
      <c r="WL234" s="1"/>
      <c r="WM234" s="1"/>
      <c r="WN234" s="1"/>
      <c r="WO234" s="1"/>
      <c r="WP234" s="1"/>
      <c r="WQ234" s="1"/>
      <c r="WR234" s="1"/>
      <c r="WS234" s="1"/>
      <c r="WT234" s="1"/>
      <c r="WU234" s="1"/>
      <c r="WV234" s="1"/>
      <c r="WW234" s="1"/>
      <c r="WX234" s="1"/>
      <c r="WY234" s="1"/>
      <c r="WZ234" s="1"/>
      <c r="XA234" s="1"/>
      <c r="XB234" s="1"/>
      <c r="XC234" s="1"/>
      <c r="XD234" s="1"/>
      <c r="XE234" s="1"/>
      <c r="XF234" s="1"/>
      <c r="XG234" s="1"/>
      <c r="XH234" s="1"/>
      <c r="XI234" s="1"/>
      <c r="XJ234" s="1"/>
      <c r="XK234" s="1"/>
      <c r="XL234" s="1"/>
      <c r="XM234" s="1"/>
      <c r="XN234" s="1"/>
      <c r="XO234" s="1"/>
      <c r="XP234" s="1"/>
      <c r="XQ234" s="1"/>
      <c r="XR234" s="1"/>
      <c r="XS234" s="1"/>
      <c r="XT234" s="1"/>
      <c r="XU234" s="1"/>
      <c r="XV234" s="1"/>
      <c r="XW234" s="1"/>
      <c r="XX234" s="1"/>
      <c r="XY234" s="1"/>
      <c r="XZ234" s="1"/>
      <c r="YA234" s="1"/>
      <c r="YB234" s="1"/>
      <c r="YC234" s="1"/>
      <c r="YD234" s="1"/>
      <c r="YE234" s="1"/>
      <c r="YF234" s="1"/>
      <c r="YG234" s="1"/>
      <c r="YH234" s="1"/>
      <c r="YI234" s="1"/>
      <c r="YJ234" s="1"/>
      <c r="YK234" s="1"/>
      <c r="YL234" s="1"/>
      <c r="YM234" s="1"/>
      <c r="YN234" s="1"/>
      <c r="YO234" s="1"/>
      <c r="YP234" s="1"/>
      <c r="YQ234" s="1"/>
      <c r="YR234" s="1"/>
      <c r="YS234" s="1"/>
      <c r="YT234" s="1"/>
      <c r="YU234" s="1"/>
      <c r="YV234" s="1"/>
      <c r="YW234" s="1"/>
      <c r="YX234" s="1"/>
      <c r="YY234" s="1"/>
      <c r="YZ234" s="1"/>
      <c r="ZA234" s="1"/>
      <c r="ZB234" s="1"/>
      <c r="ZC234" s="1"/>
      <c r="ZD234" s="1"/>
      <c r="ZE234" s="1"/>
      <c r="ZF234" s="1"/>
      <c r="ZG234" s="1"/>
      <c r="ZH234" s="1"/>
      <c r="ZI234" s="1"/>
      <c r="ZJ234" s="1"/>
      <c r="ZK234" s="1"/>
      <c r="ZL234" s="1"/>
      <c r="ZM234" s="1"/>
      <c r="ZN234" s="1"/>
      <c r="ZO234" s="1"/>
      <c r="ZP234" s="1"/>
      <c r="ZQ234" s="1"/>
      <c r="ZR234" s="1"/>
      <c r="ZS234" s="1"/>
      <c r="ZT234" s="1"/>
      <c r="ZU234" s="1"/>
      <c r="ZV234" s="1"/>
      <c r="ZW234" s="1"/>
      <c r="ZX234" s="1"/>
      <c r="ZY234" s="1"/>
      <c r="ZZ234" s="1"/>
      <c r="AAA234" s="1"/>
      <c r="AAB234" s="1"/>
      <c r="AAC234" s="1"/>
      <c r="AAD234" s="1"/>
      <c r="AAE234" s="1"/>
      <c r="AAF234" s="1"/>
      <c r="AAG234" s="1"/>
      <c r="AAH234" s="1"/>
      <c r="AAI234" s="1"/>
      <c r="AAJ234" s="1"/>
      <c r="AAK234" s="1"/>
      <c r="AAL234" s="1"/>
      <c r="AAM234" s="1"/>
      <c r="AAN234" s="1"/>
      <c r="AAO234" s="1"/>
      <c r="AAP234" s="1"/>
      <c r="AAQ234" s="1"/>
      <c r="AAR234" s="1"/>
      <c r="AAS234" s="1"/>
      <c r="AAT234" s="1"/>
      <c r="AAU234" s="1"/>
      <c r="AAV234" s="1"/>
      <c r="AAW234" s="1"/>
      <c r="AAX234" s="1"/>
      <c r="AAY234" s="1"/>
      <c r="AAZ234" s="1"/>
      <c r="ABA234" s="1"/>
      <c r="ABB234" s="1"/>
      <c r="ABC234" s="1"/>
      <c r="ABD234" s="1"/>
      <c r="ABE234" s="1"/>
      <c r="ABF234" s="1"/>
      <c r="ABG234" s="1"/>
      <c r="ABH234" s="1"/>
      <c r="ABI234" s="1"/>
      <c r="ABJ234" s="1"/>
      <c r="ABK234" s="1"/>
      <c r="ABL234" s="1"/>
      <c r="ABM234" s="1"/>
      <c r="ABN234" s="1"/>
      <c r="ABO234" s="1"/>
      <c r="ABP234" s="1"/>
      <c r="ABQ234" s="1"/>
      <c r="ABR234" s="1"/>
      <c r="ABS234" s="1"/>
      <c r="ABT234" s="1"/>
      <c r="ABU234" s="1"/>
      <c r="ABV234" s="1"/>
      <c r="ABW234" s="1"/>
      <c r="ABX234" s="1"/>
      <c r="ABY234" s="1"/>
      <c r="ABZ234" s="1"/>
      <c r="ACA234" s="1"/>
      <c r="ACB234" s="1"/>
      <c r="ACC234" s="1"/>
      <c r="ACD234" s="1"/>
      <c r="ACE234" s="1"/>
      <c r="ACF234" s="1"/>
      <c r="ACG234" s="1"/>
      <c r="ACH234" s="1"/>
      <c r="ACI234" s="1"/>
      <c r="ACJ234" s="1"/>
      <c r="ACK234" s="1"/>
      <c r="ACL234" s="1"/>
      <c r="ACM234" s="1"/>
      <c r="ACN234" s="1"/>
      <c r="ACO234" s="1"/>
      <c r="ACP234" s="1"/>
      <c r="ACQ234" s="1"/>
      <c r="ACR234" s="1"/>
      <c r="ACS234" s="1"/>
      <c r="ACT234" s="1"/>
      <c r="ACU234" s="1"/>
      <c r="ACV234" s="1"/>
      <c r="ACW234" s="1"/>
      <c r="ACX234" s="1"/>
      <c r="ACY234" s="1"/>
      <c r="ACZ234" s="1"/>
      <c r="ADA234" s="1"/>
      <c r="ADB234" s="1"/>
      <c r="ADC234" s="1"/>
      <c r="ADD234" s="1"/>
      <c r="ADE234" s="1"/>
      <c r="ADF234" s="1"/>
      <c r="ADG234" s="1"/>
      <c r="ADH234" s="1"/>
      <c r="ADI234" s="1"/>
      <c r="ADJ234" s="1"/>
      <c r="ADK234" s="1"/>
      <c r="ADL234" s="1"/>
      <c r="ADM234" s="1"/>
      <c r="ADN234" s="1"/>
      <c r="ADO234" s="1"/>
      <c r="ADP234" s="1"/>
      <c r="ADQ234" s="1"/>
      <c r="ADR234" s="1"/>
      <c r="ADS234" s="1"/>
      <c r="ADT234" s="1"/>
      <c r="ADU234" s="1"/>
      <c r="ADV234" s="1"/>
      <c r="ADW234" s="1"/>
      <c r="ADX234" s="1"/>
      <c r="ADY234" s="1"/>
      <c r="ADZ234" s="1"/>
      <c r="AEA234" s="1"/>
      <c r="AEB234" s="1"/>
      <c r="AEC234" s="1"/>
      <c r="AED234" s="1"/>
      <c r="AEE234" s="1"/>
      <c r="AEF234" s="1"/>
      <c r="AEG234" s="1"/>
      <c r="AEH234" s="1"/>
      <c r="AEI234" s="1"/>
      <c r="AEJ234" s="1"/>
      <c r="AEK234" s="1"/>
      <c r="AEL234" s="1"/>
      <c r="AEM234" s="1"/>
      <c r="AEN234" s="1"/>
      <c r="AEO234" s="1"/>
      <c r="AEP234" s="1"/>
      <c r="AEQ234" s="1"/>
      <c r="AER234" s="1"/>
      <c r="AES234" s="1"/>
      <c r="AET234" s="1"/>
      <c r="AEU234" s="1"/>
      <c r="AEV234" s="1"/>
      <c r="AEW234" s="1"/>
      <c r="AEX234" s="1"/>
      <c r="AEY234" s="1"/>
      <c r="AEZ234" s="1"/>
      <c r="AFA234" s="1"/>
      <c r="AFB234" s="1"/>
      <c r="AFC234" s="1"/>
      <c r="AFD234" s="1"/>
      <c r="AFE234" s="1"/>
      <c r="AFF234" s="1"/>
      <c r="AFG234" s="1"/>
      <c r="AFH234" s="1"/>
      <c r="AFI234" s="1"/>
      <c r="AFJ234" s="1"/>
      <c r="AFK234" s="1"/>
      <c r="AFL234" s="1"/>
      <c r="AFM234" s="1"/>
      <c r="AFN234" s="1"/>
      <c r="AFO234" s="1"/>
      <c r="AFP234" s="1"/>
      <c r="AFQ234" s="1"/>
      <c r="AFR234" s="1"/>
      <c r="AFS234" s="1"/>
      <c r="AFT234" s="1"/>
      <c r="AFU234" s="1"/>
      <c r="AFV234" s="1"/>
      <c r="AFW234" s="1"/>
      <c r="AFX234" s="1"/>
      <c r="AFY234" s="1"/>
      <c r="AFZ234" s="1"/>
      <c r="AGA234" s="1"/>
      <c r="AGB234" s="1"/>
      <c r="AGC234" s="1"/>
      <c r="AGD234" s="1"/>
      <c r="AGE234" s="1"/>
      <c r="AGF234" s="1"/>
      <c r="AGG234" s="1"/>
      <c r="AGH234" s="1"/>
      <c r="AGI234" s="1"/>
      <c r="AGJ234" s="1"/>
      <c r="AGK234" s="1"/>
      <c r="AGL234" s="1"/>
      <c r="AGM234" s="1"/>
      <c r="AGN234" s="1"/>
      <c r="AGO234" s="1"/>
      <c r="AGP234" s="1"/>
      <c r="AGQ234" s="1"/>
      <c r="AGR234" s="1"/>
      <c r="AGS234" s="1"/>
      <c r="AGT234" s="1"/>
      <c r="AGU234" s="1"/>
      <c r="AGV234" s="1"/>
      <c r="AGW234" s="1"/>
      <c r="AGX234" s="1"/>
      <c r="AGY234" s="1"/>
      <c r="AGZ234" s="1"/>
      <c r="AHA234" s="1"/>
      <c r="AHB234" s="1"/>
      <c r="AHC234" s="1"/>
      <c r="AHD234" s="1"/>
      <c r="AHE234" s="1"/>
      <c r="AHF234" s="1"/>
      <c r="AHG234" s="1"/>
      <c r="AHH234" s="1"/>
      <c r="AHI234" s="1"/>
      <c r="AHJ234" s="1"/>
      <c r="AHK234" s="1"/>
      <c r="AHL234" s="1"/>
      <c r="AHM234" s="1"/>
      <c r="AHN234" s="1"/>
      <c r="AHO234" s="1"/>
      <c r="AHP234" s="1"/>
      <c r="AHQ234" s="1"/>
      <c r="AHR234" s="1"/>
      <c r="AHS234" s="1"/>
      <c r="AHT234" s="1"/>
      <c r="AHU234" s="1"/>
      <c r="AHV234" s="1"/>
      <c r="AHW234" s="1"/>
      <c r="AHX234" s="1"/>
      <c r="AHY234" s="1"/>
      <c r="AHZ234" s="1"/>
      <c r="AIA234" s="1"/>
      <c r="AIB234" s="1"/>
      <c r="AIC234" s="1"/>
      <c r="AID234" s="1"/>
      <c r="AIE234" s="1"/>
      <c r="AIF234" s="1"/>
      <c r="AIG234" s="1"/>
      <c r="AIH234" s="1"/>
      <c r="AII234" s="1"/>
      <c r="AIJ234" s="1"/>
      <c r="AIK234" s="1"/>
      <c r="AIL234" s="1"/>
      <c r="AIM234" s="1"/>
      <c r="AIN234" s="1"/>
      <c r="AIO234" s="1"/>
      <c r="AIP234" s="1"/>
      <c r="AIQ234" s="1"/>
      <c r="AIR234" s="1"/>
      <c r="AIS234" s="1"/>
      <c r="AIT234" s="1"/>
      <c r="AIU234" s="1"/>
      <c r="AIV234" s="1"/>
      <c r="AIW234" s="1"/>
      <c r="AIX234" s="1"/>
      <c r="AIY234" s="1"/>
      <c r="AIZ234" s="1"/>
      <c r="AJA234" s="1"/>
      <c r="AJB234" s="1"/>
      <c r="AJC234" s="1"/>
      <c r="AJD234" s="1"/>
      <c r="AJE234" s="1"/>
      <c r="AJF234" s="1"/>
      <c r="AJG234" s="1"/>
      <c r="AJH234" s="1"/>
      <c r="AJI234" s="1"/>
      <c r="AJJ234" s="1"/>
      <c r="AJK234" s="1"/>
      <c r="AJL234" s="1"/>
      <c r="AJM234" s="1"/>
      <c r="AJN234" s="1"/>
      <c r="AJO234" s="1"/>
      <c r="AJP234" s="1"/>
      <c r="AJQ234" s="1"/>
      <c r="AJR234" s="1"/>
      <c r="AJS234" s="1"/>
      <c r="AJT234" s="1"/>
      <c r="AJU234" s="1"/>
      <c r="AJV234" s="1"/>
      <c r="AJW234" s="1"/>
      <c r="AJX234" s="1"/>
      <c r="AJY234" s="1"/>
      <c r="AJZ234" s="1"/>
      <c r="AKA234" s="1"/>
      <c r="AKB234" s="1"/>
      <c r="AKC234" s="1"/>
      <c r="AKD234" s="1"/>
      <c r="AKE234" s="1"/>
      <c r="AKF234" s="1"/>
      <c r="AKG234" s="1"/>
      <c r="AKH234" s="1"/>
      <c r="AKI234" s="1"/>
      <c r="AKJ234" s="1"/>
      <c r="AKK234" s="1"/>
      <c r="AKL234" s="1"/>
      <c r="AKM234" s="1"/>
      <c r="AKN234" s="1"/>
      <c r="AKO234" s="1"/>
      <c r="AKP234" s="1"/>
      <c r="AKQ234" s="1"/>
      <c r="AKR234" s="1"/>
      <c r="AKS234" s="1"/>
      <c r="AKT234" s="1"/>
      <c r="AKU234" s="1"/>
      <c r="AKV234" s="1"/>
      <c r="AKW234" s="1"/>
      <c r="AKX234" s="1"/>
      <c r="AKY234" s="1"/>
      <c r="AKZ234" s="1"/>
      <c r="ALA234" s="1"/>
      <c r="ALB234" s="1"/>
      <c r="ALC234" s="1"/>
      <c r="ALD234" s="1"/>
      <c r="ALE234" s="1"/>
      <c r="ALF234" s="1"/>
      <c r="ALG234" s="1"/>
      <c r="ALH234" s="1"/>
      <c r="ALI234" s="1"/>
      <c r="ALJ234" s="1"/>
      <c r="ALK234" s="1"/>
      <c r="ALL234" s="1"/>
      <c r="ALM234" s="1"/>
      <c r="ALN234" s="1"/>
      <c r="ALO234" s="1"/>
      <c r="ALP234" s="1"/>
      <c r="ALQ234" s="1"/>
      <c r="ALR234" s="1"/>
      <c r="ALS234" s="1"/>
      <c r="ALT234" s="1"/>
      <c r="ALU234" s="1"/>
      <c r="ALV234" s="1"/>
      <c r="ALW234" s="1"/>
      <c r="ALX234" s="1"/>
      <c r="ALY234" s="1"/>
      <c r="ALZ234" s="1"/>
      <c r="AMA234" s="1"/>
      <c r="AMB234" s="1"/>
      <c r="AMC234" s="1"/>
      <c r="AMD234" s="1"/>
      <c r="AME234" s="1"/>
      <c r="AMF234" s="1"/>
      <c r="AMG234" s="1"/>
      <c r="AMH234" s="1"/>
      <c r="AMI234" s="1"/>
      <c r="AMJ234" s="1"/>
      <c r="AMK234" s="1"/>
      <c r="AML234" s="1"/>
      <c r="AMM234" s="1"/>
      <c r="AMN234" s="1"/>
      <c r="AMO234" s="1"/>
    </row>
    <row r="235" spans="1:1030" x14ac:dyDescent="0.2">
      <c r="A235" s="3" t="str">
        <f t="shared" si="753"/>
        <v>opsd_todpa_2Z73</v>
      </c>
      <c r="B235" s="3" t="s">
        <v>922</v>
      </c>
      <c r="C235" s="3" t="s">
        <v>97</v>
      </c>
      <c r="D235" s="3" t="str">
        <f>IFERROR(MID(VLOOKUP($B235,Seqs!$A:$B,2,0),E235,1),"")</f>
        <v>D</v>
      </c>
      <c r="E235" s="3">
        <v>31</v>
      </c>
      <c r="F235" s="3" t="str">
        <f>IFERROR(MID(VLOOKUP($B235,Seqs!$A:$B,2,0),G235,1),"")</f>
        <v>T</v>
      </c>
      <c r="G235" s="3">
        <v>62</v>
      </c>
      <c r="H235" s="3" t="str">
        <f>IFERROR(MID(VLOOKUP($B235,Seqs!$A:$B,2,0),I235,1),"")</f>
        <v>K</v>
      </c>
      <c r="I235" s="23">
        <v>63</v>
      </c>
      <c r="J235" s="3" t="str">
        <f>IFERROR(MID(VLOOKUP($B235,Seqs!$A:$B,2,0),K235,1),"")</f>
        <v>Q</v>
      </c>
      <c r="K235" s="23">
        <v>66</v>
      </c>
      <c r="L235" s="3" t="str">
        <f>IFERROR(MID(VLOOKUP($B235,Seqs!$A:$B,2,0),M235,1),"")</f>
        <v>T</v>
      </c>
      <c r="M235" s="3">
        <v>67</v>
      </c>
      <c r="N235" s="3" t="str">
        <f>IFERROR(MID(VLOOKUP($B235,Seqs!$A:$B,2,0),O235,1),"")</f>
        <v>K</v>
      </c>
      <c r="O235" s="3">
        <v>99</v>
      </c>
      <c r="P235" s="3" t="str">
        <f>IFERROR(MID(VLOOKUP($B235,Seqs!$A:$B,2,0),Q235,1),"")</f>
        <v>K</v>
      </c>
      <c r="Q235" s="3">
        <v>100</v>
      </c>
      <c r="R235" s="3" t="str">
        <f>IFERROR(MID(VLOOKUP($B235,Seqs!$A:$B,2,0),S235,1),"")</f>
        <v>F</v>
      </c>
      <c r="S235" s="3">
        <v>103</v>
      </c>
      <c r="T235" s="3" t="str">
        <f>IFERROR(MID(VLOOKUP($B235,Seqs!$A:$B,2,0),U235,1),"")</f>
        <v>G</v>
      </c>
      <c r="U235" s="3">
        <v>104</v>
      </c>
      <c r="V235" s="3" t="str">
        <f>IFERROR(MID(VLOOKUP($B235,Seqs!$A:$B,2,0),W235,1),"")</f>
        <v>R</v>
      </c>
      <c r="W235" s="3">
        <v>139</v>
      </c>
      <c r="X235" s="3" t="str">
        <f>IFERROR(MID(VLOOKUP($B235,Seqs!$A:$B,2,0),Y235,1),"")</f>
        <v/>
      </c>
      <c r="Y235" s="3" t="s">
        <v>23</v>
      </c>
      <c r="Z235" s="3" t="str">
        <f>IFERROR(MID(VLOOKUP($B235,Seqs!$A:$B,2,0),AA235,1),"")</f>
        <v/>
      </c>
      <c r="AA235" s="3" t="s">
        <v>23</v>
      </c>
      <c r="AB235" s="3" t="str">
        <f>IFERROR(MID(VLOOKUP($B235,Seqs!$A:$B,2,0),AC235,1),"")</f>
        <v>S</v>
      </c>
      <c r="AC235" s="9">
        <v>148</v>
      </c>
      <c r="AD235" s="3" t="str">
        <f>IFERROR(MID(VLOOKUP($B235,Seqs!$A:$B,2,0),AE235,1),"")</f>
        <v>F</v>
      </c>
      <c r="AE235" s="3">
        <v>172</v>
      </c>
      <c r="AF235" s="3" t="str">
        <f>IFERROR(MID(VLOOKUP($B235,Seqs!$A:$B,2,0),AG235,1),"")</f>
        <v>C</v>
      </c>
      <c r="AG235" s="3">
        <v>186</v>
      </c>
      <c r="AH235" s="3" t="str">
        <f>IFERROR(MID(VLOOKUP($B235,Seqs!$A:$B,2,0),AI235,1),"")</f>
        <v>F</v>
      </c>
      <c r="AI235" s="3">
        <v>188</v>
      </c>
      <c r="AJ235" s="3" t="str">
        <f>IFERROR(MID(VLOOKUP($B235,Seqs!$A:$B,2,0),AK235,1),"")</f>
        <v>D</v>
      </c>
      <c r="AK235" s="3">
        <v>194</v>
      </c>
      <c r="AL235" s="3" t="str">
        <f>IFERROR(MID(VLOOKUP($B235,Seqs!$A:$B,2,0),AM235,1),"")</f>
        <v>K</v>
      </c>
      <c r="AM235" s="3">
        <v>239</v>
      </c>
      <c r="AN235" s="3" t="str">
        <f>IFERROR(MID(VLOOKUP($B235,Seqs!$A:$B,2,0),AO235,1),"")</f>
        <v>K</v>
      </c>
      <c r="AO235" s="3">
        <v>244</v>
      </c>
      <c r="AP235" s="3" t="str">
        <f>IFERROR(MID(VLOOKUP($B235,Seqs!$A:$B,2,0),AQ235,1),"")</f>
        <v>G</v>
      </c>
      <c r="AQ235" s="3">
        <v>287</v>
      </c>
      <c r="AR235" s="3" t="str">
        <f>IFERROR(MID(VLOOKUP($B235,Seqs!$A:$B,2,0),AS235,1),"")</f>
        <v>T</v>
      </c>
      <c r="AS235" s="3">
        <v>293</v>
      </c>
      <c r="AT235" s="3" t="str">
        <f>IFERROR(MID(VLOOKUP($B235,Seqs!$A:$B,2,0),AU235,1),"")</f>
        <v>S</v>
      </c>
      <c r="AU235" s="3">
        <v>318</v>
      </c>
      <c r="AV235" s="3" t="str">
        <f>IFERROR(MID(VLOOKUP($B235,Seqs!$A:$B,2,0),AW235,1),"")</f>
        <v>H</v>
      </c>
      <c r="AW235" s="3">
        <v>319</v>
      </c>
      <c r="AX235" s="3" t="str">
        <f>IFERROR(MID(VLOOKUP($B235,Seqs!$A:$B,2,0),AY235,1),"")</f>
        <v>F</v>
      </c>
      <c r="AY235" s="3">
        <v>330</v>
      </c>
      <c r="AZ235" s="77" t="str">
        <f>VLOOKUP(B235,Classification!A:D,2,0)</f>
        <v>A</v>
      </c>
      <c r="BA235" s="94" t="str">
        <f>VLOOKUP(B235,Classification!A:D,4,0)</f>
        <v>Opsins</v>
      </c>
      <c r="BB235" s="27" t="b">
        <f t="shared" si="754"/>
        <v>1</v>
      </c>
      <c r="BC235" s="23">
        <f t="shared" si="727"/>
        <v>266</v>
      </c>
      <c r="BD235" s="2" t="s">
        <v>1383</v>
      </c>
      <c r="BE235" s="3" t="s">
        <v>1381</v>
      </c>
      <c r="BF235" s="119">
        <v>2.5</v>
      </c>
      <c r="BG235" s="49" t="s">
        <v>1384</v>
      </c>
      <c r="BH235" s="49" t="s">
        <v>1384</v>
      </c>
      <c r="BI235" s="1"/>
      <c r="BJ235" s="70" t="s">
        <v>1293</v>
      </c>
      <c r="BK235" s="57" t="s">
        <v>1293</v>
      </c>
      <c r="BL235" s="57" t="s">
        <v>1293</v>
      </c>
      <c r="BM235" s="57" t="s">
        <v>1293</v>
      </c>
      <c r="BN235" s="57" t="s">
        <v>1293</v>
      </c>
      <c r="BO235" s="57" t="s">
        <v>1293</v>
      </c>
      <c r="BP235" s="57" t="s">
        <v>1293</v>
      </c>
      <c r="BQ235" s="57" t="s">
        <v>1293</v>
      </c>
      <c r="BR235" s="57" t="s">
        <v>1293</v>
      </c>
      <c r="BS235" s="57" t="s">
        <v>1293</v>
      </c>
      <c r="BT235" s="57" t="s">
        <v>1293</v>
      </c>
      <c r="BU235" s="57" t="s">
        <v>1293</v>
      </c>
      <c r="BV235" s="70">
        <f t="shared" si="728"/>
        <v>31</v>
      </c>
      <c r="BW235" s="71">
        <f t="shared" si="729"/>
        <v>63</v>
      </c>
      <c r="BX235" s="72">
        <f t="shared" si="730"/>
        <v>67</v>
      </c>
      <c r="BY235" s="71">
        <f t="shared" si="731"/>
        <v>100</v>
      </c>
      <c r="BZ235" s="72">
        <f t="shared" si="732"/>
        <v>104</v>
      </c>
      <c r="CA235" s="71" t="str">
        <f t="shared" si="733"/>
        <v>-</v>
      </c>
      <c r="CB235" s="72">
        <f t="shared" si="734"/>
        <v>148</v>
      </c>
      <c r="CC235" s="71">
        <f t="shared" si="735"/>
        <v>186</v>
      </c>
      <c r="CD235" s="72">
        <f t="shared" si="736"/>
        <v>194</v>
      </c>
      <c r="CE235" s="71">
        <f t="shared" si="737"/>
        <v>244</v>
      </c>
      <c r="CF235" s="72">
        <f t="shared" si="738"/>
        <v>293</v>
      </c>
      <c r="CG235" s="71">
        <f t="shared" si="739"/>
        <v>319</v>
      </c>
      <c r="CH235" s="70">
        <f t="shared" si="740"/>
        <v>62</v>
      </c>
      <c r="CI235" s="71">
        <f t="shared" si="741"/>
        <v>66</v>
      </c>
      <c r="CJ235" s="72">
        <f t="shared" si="742"/>
        <v>99</v>
      </c>
      <c r="CK235" s="72">
        <f t="shared" si="743"/>
        <v>103</v>
      </c>
      <c r="CL235" s="72">
        <f t="shared" si="744"/>
        <v>139</v>
      </c>
      <c r="CM235" s="72" t="str">
        <f t="shared" si="745"/>
        <v>-</v>
      </c>
      <c r="CN235" s="72">
        <f t="shared" si="746"/>
        <v>172</v>
      </c>
      <c r="CO235" s="72">
        <f t="shared" si="747"/>
        <v>188</v>
      </c>
      <c r="CP235" s="72">
        <f t="shared" si="748"/>
        <v>239</v>
      </c>
      <c r="CQ235" s="72">
        <f t="shared" si="749"/>
        <v>287</v>
      </c>
      <c r="CR235" s="72">
        <f t="shared" si="750"/>
        <v>318</v>
      </c>
      <c r="CS235" s="72">
        <f t="shared" si="751"/>
        <v>330</v>
      </c>
      <c r="CT235" s="23">
        <f t="shared" si="752"/>
        <v>1</v>
      </c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  <c r="OK235" s="1"/>
      <c r="OL235" s="1"/>
      <c r="OM235" s="1"/>
      <c r="ON235" s="1"/>
      <c r="OO235" s="1"/>
      <c r="OP235" s="1"/>
      <c r="OQ235" s="1"/>
      <c r="OR235" s="1"/>
      <c r="OS235" s="1"/>
      <c r="OT235" s="1"/>
      <c r="OU235" s="1"/>
      <c r="OV235" s="1"/>
      <c r="OW235" s="1"/>
      <c r="OX235" s="1"/>
      <c r="OY235" s="1"/>
      <c r="OZ235" s="1"/>
      <c r="PA235" s="1"/>
      <c r="PB235" s="1"/>
      <c r="PC235" s="1"/>
      <c r="PD235" s="1"/>
      <c r="PE235" s="1"/>
      <c r="PF235" s="1"/>
      <c r="PG235" s="1"/>
      <c r="PH235" s="1"/>
      <c r="PI235" s="1"/>
      <c r="PJ235" s="1"/>
      <c r="PK235" s="1"/>
      <c r="PL235" s="1"/>
      <c r="PM235" s="1"/>
      <c r="PN235" s="1"/>
      <c r="PO235" s="1"/>
      <c r="PP235" s="1"/>
      <c r="PQ235" s="1"/>
      <c r="PR235" s="1"/>
      <c r="PS235" s="1"/>
      <c r="PT235" s="1"/>
      <c r="PU235" s="1"/>
      <c r="PV235" s="1"/>
      <c r="PW235" s="1"/>
      <c r="PX235" s="1"/>
      <c r="PY235" s="1"/>
      <c r="PZ235" s="1"/>
      <c r="QA235" s="1"/>
      <c r="QB235" s="1"/>
      <c r="QC235" s="1"/>
      <c r="QD235" s="1"/>
      <c r="QE235" s="1"/>
      <c r="QF235" s="1"/>
      <c r="QG235" s="1"/>
      <c r="QH235" s="1"/>
      <c r="QI235" s="1"/>
      <c r="QJ235" s="1"/>
      <c r="QK235" s="1"/>
      <c r="QL235" s="1"/>
      <c r="QM235" s="1"/>
      <c r="QN235" s="1"/>
      <c r="QO235" s="1"/>
      <c r="QP235" s="1"/>
      <c r="QQ235" s="1"/>
      <c r="QR235" s="1"/>
      <c r="QS235" s="1"/>
      <c r="QT235" s="1"/>
      <c r="QU235" s="1"/>
      <c r="QV235" s="1"/>
      <c r="QW235" s="1"/>
      <c r="QX235" s="1"/>
      <c r="QY235" s="1"/>
      <c r="QZ235" s="1"/>
      <c r="RA235" s="1"/>
      <c r="RB235" s="1"/>
      <c r="RC235" s="1"/>
      <c r="RD235" s="1"/>
      <c r="RE235" s="1"/>
      <c r="RF235" s="1"/>
      <c r="RG235" s="1"/>
      <c r="RH235" s="1"/>
      <c r="RI235" s="1"/>
      <c r="RJ235" s="1"/>
      <c r="RK235" s="1"/>
      <c r="RL235" s="1"/>
      <c r="RM235" s="1"/>
      <c r="RN235" s="1"/>
      <c r="RO235" s="1"/>
      <c r="RP235" s="1"/>
      <c r="RQ235" s="1"/>
      <c r="RR235" s="1"/>
      <c r="RS235" s="1"/>
      <c r="RT235" s="1"/>
      <c r="RU235" s="1"/>
      <c r="RV235" s="1"/>
      <c r="RW235" s="1"/>
      <c r="RX235" s="1"/>
      <c r="RY235" s="1"/>
      <c r="RZ235" s="1"/>
      <c r="SA235" s="1"/>
      <c r="SB235" s="1"/>
      <c r="SC235" s="1"/>
      <c r="SD235" s="1"/>
      <c r="SE235" s="1"/>
      <c r="SF235" s="1"/>
      <c r="SG235" s="1"/>
      <c r="SH235" s="1"/>
      <c r="SI235" s="1"/>
      <c r="SJ235" s="1"/>
      <c r="SK235" s="1"/>
      <c r="SL235" s="1"/>
      <c r="SM235" s="1"/>
      <c r="SN235" s="1"/>
      <c r="SO235" s="1"/>
      <c r="SP235" s="1"/>
      <c r="SQ235" s="1"/>
      <c r="SR235" s="1"/>
      <c r="SS235" s="1"/>
      <c r="ST235" s="1"/>
      <c r="SU235" s="1"/>
      <c r="SV235" s="1"/>
      <c r="SW235" s="1"/>
      <c r="SX235" s="1"/>
      <c r="SY235" s="1"/>
      <c r="SZ235" s="1"/>
      <c r="TA235" s="1"/>
      <c r="TB235" s="1"/>
      <c r="TC235" s="1"/>
      <c r="TD235" s="1"/>
      <c r="TE235" s="1"/>
      <c r="TF235" s="1"/>
      <c r="TG235" s="1"/>
      <c r="TH235" s="1"/>
      <c r="TI235" s="1"/>
      <c r="TJ235" s="1"/>
      <c r="TK235" s="1"/>
      <c r="TL235" s="1"/>
      <c r="TM235" s="1"/>
      <c r="TN235" s="1"/>
      <c r="TO235" s="1"/>
      <c r="TP235" s="1"/>
      <c r="TQ235" s="1"/>
      <c r="TR235" s="1"/>
      <c r="TS235" s="1"/>
      <c r="TT235" s="1"/>
      <c r="TU235" s="1"/>
      <c r="TV235" s="1"/>
      <c r="TW235" s="1"/>
      <c r="TX235" s="1"/>
      <c r="TY235" s="1"/>
      <c r="TZ235" s="1"/>
      <c r="UA235" s="1"/>
      <c r="UB235" s="1"/>
      <c r="UC235" s="1"/>
      <c r="UD235" s="1"/>
      <c r="UE235" s="1"/>
      <c r="UF235" s="1"/>
      <c r="UG235" s="1"/>
      <c r="UH235" s="1"/>
      <c r="UI235" s="1"/>
      <c r="UJ235" s="1"/>
      <c r="UK235" s="1"/>
      <c r="UL235" s="1"/>
      <c r="UM235" s="1"/>
      <c r="UN235" s="1"/>
      <c r="UO235" s="1"/>
      <c r="UP235" s="1"/>
      <c r="UQ235" s="1"/>
      <c r="UR235" s="1"/>
      <c r="US235" s="1"/>
      <c r="UT235" s="1"/>
      <c r="UU235" s="1"/>
      <c r="UV235" s="1"/>
      <c r="UW235" s="1"/>
      <c r="UX235" s="1"/>
      <c r="UY235" s="1"/>
      <c r="UZ235" s="1"/>
      <c r="VA235" s="1"/>
      <c r="VB235" s="1"/>
      <c r="VC235" s="1"/>
      <c r="VD235" s="1"/>
      <c r="VE235" s="1"/>
      <c r="VF235" s="1"/>
      <c r="VG235" s="1"/>
      <c r="VH235" s="1"/>
      <c r="VI235" s="1"/>
      <c r="VJ235" s="1"/>
      <c r="VK235" s="1"/>
      <c r="VL235" s="1"/>
      <c r="VM235" s="1"/>
      <c r="VN235" s="1"/>
      <c r="VO235" s="1"/>
      <c r="VP235" s="1"/>
      <c r="VQ235" s="1"/>
      <c r="VR235" s="1"/>
      <c r="VS235" s="1"/>
      <c r="VT235" s="1"/>
      <c r="VU235" s="1"/>
      <c r="VV235" s="1"/>
      <c r="VW235" s="1"/>
      <c r="VX235" s="1"/>
      <c r="VY235" s="1"/>
      <c r="VZ235" s="1"/>
      <c r="WA235" s="1"/>
      <c r="WB235" s="1"/>
      <c r="WC235" s="1"/>
      <c r="WD235" s="1"/>
      <c r="WE235" s="1"/>
      <c r="WF235" s="1"/>
      <c r="WG235" s="1"/>
      <c r="WH235" s="1"/>
      <c r="WI235" s="1"/>
      <c r="WJ235" s="1"/>
      <c r="WK235" s="1"/>
      <c r="WL235" s="1"/>
      <c r="WM235" s="1"/>
      <c r="WN235" s="1"/>
      <c r="WO235" s="1"/>
      <c r="WP235" s="1"/>
      <c r="WQ235" s="1"/>
      <c r="WR235" s="1"/>
      <c r="WS235" s="1"/>
      <c r="WT235" s="1"/>
      <c r="WU235" s="1"/>
      <c r="WV235" s="1"/>
      <c r="WW235" s="1"/>
      <c r="WX235" s="1"/>
      <c r="WY235" s="1"/>
      <c r="WZ235" s="1"/>
      <c r="XA235" s="1"/>
      <c r="XB235" s="1"/>
      <c r="XC235" s="1"/>
      <c r="XD235" s="1"/>
      <c r="XE235" s="1"/>
      <c r="XF235" s="1"/>
      <c r="XG235" s="1"/>
      <c r="XH235" s="1"/>
      <c r="XI235" s="1"/>
      <c r="XJ235" s="1"/>
      <c r="XK235" s="1"/>
      <c r="XL235" s="1"/>
      <c r="XM235" s="1"/>
      <c r="XN235" s="1"/>
      <c r="XO235" s="1"/>
      <c r="XP235" s="1"/>
      <c r="XQ235" s="1"/>
      <c r="XR235" s="1"/>
      <c r="XS235" s="1"/>
      <c r="XT235" s="1"/>
      <c r="XU235" s="1"/>
      <c r="XV235" s="1"/>
      <c r="XW235" s="1"/>
      <c r="XX235" s="1"/>
      <c r="XY235" s="1"/>
      <c r="XZ235" s="1"/>
      <c r="YA235" s="1"/>
      <c r="YB235" s="1"/>
      <c r="YC235" s="1"/>
      <c r="YD235" s="1"/>
      <c r="YE235" s="1"/>
      <c r="YF235" s="1"/>
      <c r="YG235" s="1"/>
      <c r="YH235" s="1"/>
      <c r="YI235" s="1"/>
      <c r="YJ235" s="1"/>
      <c r="YK235" s="1"/>
      <c r="YL235" s="1"/>
      <c r="YM235" s="1"/>
      <c r="YN235" s="1"/>
      <c r="YO235" s="1"/>
      <c r="YP235" s="1"/>
      <c r="YQ235" s="1"/>
      <c r="YR235" s="1"/>
      <c r="YS235" s="1"/>
      <c r="YT235" s="1"/>
      <c r="YU235" s="1"/>
      <c r="YV235" s="1"/>
      <c r="YW235" s="1"/>
      <c r="YX235" s="1"/>
      <c r="YY235" s="1"/>
      <c r="YZ235" s="1"/>
      <c r="ZA235" s="1"/>
      <c r="ZB235" s="1"/>
      <c r="ZC235" s="1"/>
      <c r="ZD235" s="1"/>
      <c r="ZE235" s="1"/>
      <c r="ZF235" s="1"/>
      <c r="ZG235" s="1"/>
      <c r="ZH235" s="1"/>
      <c r="ZI235" s="1"/>
      <c r="ZJ235" s="1"/>
      <c r="ZK235" s="1"/>
      <c r="ZL235" s="1"/>
      <c r="ZM235" s="1"/>
      <c r="ZN235" s="1"/>
      <c r="ZO235" s="1"/>
      <c r="ZP235" s="1"/>
      <c r="ZQ235" s="1"/>
      <c r="ZR235" s="1"/>
      <c r="ZS235" s="1"/>
      <c r="ZT235" s="1"/>
      <c r="ZU235" s="1"/>
      <c r="ZV235" s="1"/>
      <c r="ZW235" s="1"/>
      <c r="ZX235" s="1"/>
      <c r="ZY235" s="1"/>
      <c r="ZZ235" s="1"/>
      <c r="AAA235" s="1"/>
      <c r="AAB235" s="1"/>
      <c r="AAC235" s="1"/>
      <c r="AAD235" s="1"/>
      <c r="AAE235" s="1"/>
      <c r="AAF235" s="1"/>
      <c r="AAG235" s="1"/>
      <c r="AAH235" s="1"/>
      <c r="AAI235" s="1"/>
      <c r="AAJ235" s="1"/>
      <c r="AAK235" s="1"/>
      <c r="AAL235" s="1"/>
      <c r="AAM235" s="1"/>
      <c r="AAN235" s="1"/>
      <c r="AAO235" s="1"/>
      <c r="AAP235" s="1"/>
      <c r="AAQ235" s="1"/>
      <c r="AAR235" s="1"/>
      <c r="AAS235" s="1"/>
      <c r="AAT235" s="1"/>
      <c r="AAU235" s="1"/>
      <c r="AAV235" s="1"/>
      <c r="AAW235" s="1"/>
      <c r="AAX235" s="1"/>
      <c r="AAY235" s="1"/>
      <c r="AAZ235" s="1"/>
      <c r="ABA235" s="1"/>
      <c r="ABB235" s="1"/>
      <c r="ABC235" s="1"/>
      <c r="ABD235" s="1"/>
      <c r="ABE235" s="1"/>
      <c r="ABF235" s="1"/>
      <c r="ABG235" s="1"/>
      <c r="ABH235" s="1"/>
      <c r="ABI235" s="1"/>
      <c r="ABJ235" s="1"/>
      <c r="ABK235" s="1"/>
      <c r="ABL235" s="1"/>
      <c r="ABM235" s="1"/>
      <c r="ABN235" s="1"/>
      <c r="ABO235" s="1"/>
      <c r="ABP235" s="1"/>
      <c r="ABQ235" s="1"/>
      <c r="ABR235" s="1"/>
      <c r="ABS235" s="1"/>
      <c r="ABT235" s="1"/>
      <c r="ABU235" s="1"/>
      <c r="ABV235" s="1"/>
      <c r="ABW235" s="1"/>
      <c r="ABX235" s="1"/>
      <c r="ABY235" s="1"/>
      <c r="ABZ235" s="1"/>
      <c r="ACA235" s="1"/>
      <c r="ACB235" s="1"/>
      <c r="ACC235" s="1"/>
      <c r="ACD235" s="1"/>
      <c r="ACE235" s="1"/>
      <c r="ACF235" s="1"/>
      <c r="ACG235" s="1"/>
      <c r="ACH235" s="1"/>
      <c r="ACI235" s="1"/>
      <c r="ACJ235" s="1"/>
      <c r="ACK235" s="1"/>
      <c r="ACL235" s="1"/>
      <c r="ACM235" s="1"/>
      <c r="ACN235" s="1"/>
      <c r="ACO235" s="1"/>
      <c r="ACP235" s="1"/>
      <c r="ACQ235" s="1"/>
      <c r="ACR235" s="1"/>
      <c r="ACS235" s="1"/>
      <c r="ACT235" s="1"/>
      <c r="ACU235" s="1"/>
      <c r="ACV235" s="1"/>
      <c r="ACW235" s="1"/>
      <c r="ACX235" s="1"/>
      <c r="ACY235" s="1"/>
      <c r="ACZ235" s="1"/>
      <c r="ADA235" s="1"/>
      <c r="ADB235" s="1"/>
      <c r="ADC235" s="1"/>
      <c r="ADD235" s="1"/>
      <c r="ADE235" s="1"/>
      <c r="ADF235" s="1"/>
      <c r="ADG235" s="1"/>
      <c r="ADH235" s="1"/>
      <c r="ADI235" s="1"/>
      <c r="ADJ235" s="1"/>
      <c r="ADK235" s="1"/>
      <c r="ADL235" s="1"/>
      <c r="ADM235" s="1"/>
      <c r="ADN235" s="1"/>
      <c r="ADO235" s="1"/>
      <c r="ADP235" s="1"/>
      <c r="ADQ235" s="1"/>
      <c r="ADR235" s="1"/>
      <c r="ADS235" s="1"/>
      <c r="ADT235" s="1"/>
      <c r="ADU235" s="1"/>
      <c r="ADV235" s="1"/>
      <c r="ADW235" s="1"/>
      <c r="ADX235" s="1"/>
      <c r="ADY235" s="1"/>
      <c r="ADZ235" s="1"/>
      <c r="AEA235" s="1"/>
      <c r="AEB235" s="1"/>
      <c r="AEC235" s="1"/>
      <c r="AED235" s="1"/>
      <c r="AEE235" s="1"/>
      <c r="AEF235" s="1"/>
      <c r="AEG235" s="1"/>
      <c r="AEH235" s="1"/>
      <c r="AEI235" s="1"/>
      <c r="AEJ235" s="1"/>
      <c r="AEK235" s="1"/>
      <c r="AEL235" s="1"/>
      <c r="AEM235" s="1"/>
      <c r="AEN235" s="1"/>
      <c r="AEO235" s="1"/>
      <c r="AEP235" s="1"/>
      <c r="AEQ235" s="1"/>
      <c r="AER235" s="1"/>
      <c r="AES235" s="1"/>
      <c r="AET235" s="1"/>
      <c r="AEU235" s="1"/>
      <c r="AEV235" s="1"/>
      <c r="AEW235" s="1"/>
      <c r="AEX235" s="1"/>
      <c r="AEY235" s="1"/>
      <c r="AEZ235" s="1"/>
      <c r="AFA235" s="1"/>
      <c r="AFB235" s="1"/>
      <c r="AFC235" s="1"/>
      <c r="AFD235" s="1"/>
      <c r="AFE235" s="1"/>
      <c r="AFF235" s="1"/>
      <c r="AFG235" s="1"/>
      <c r="AFH235" s="1"/>
      <c r="AFI235" s="1"/>
      <c r="AFJ235" s="1"/>
      <c r="AFK235" s="1"/>
      <c r="AFL235" s="1"/>
      <c r="AFM235" s="1"/>
      <c r="AFN235" s="1"/>
      <c r="AFO235" s="1"/>
      <c r="AFP235" s="1"/>
      <c r="AFQ235" s="1"/>
      <c r="AFR235" s="1"/>
      <c r="AFS235" s="1"/>
      <c r="AFT235" s="1"/>
      <c r="AFU235" s="1"/>
      <c r="AFV235" s="1"/>
      <c r="AFW235" s="1"/>
      <c r="AFX235" s="1"/>
      <c r="AFY235" s="1"/>
      <c r="AFZ235" s="1"/>
      <c r="AGA235" s="1"/>
      <c r="AGB235" s="1"/>
      <c r="AGC235" s="1"/>
      <c r="AGD235" s="1"/>
      <c r="AGE235" s="1"/>
      <c r="AGF235" s="1"/>
      <c r="AGG235" s="1"/>
      <c r="AGH235" s="1"/>
      <c r="AGI235" s="1"/>
      <c r="AGJ235" s="1"/>
      <c r="AGK235" s="1"/>
      <c r="AGL235" s="1"/>
      <c r="AGM235" s="1"/>
      <c r="AGN235" s="1"/>
      <c r="AGO235" s="1"/>
      <c r="AGP235" s="1"/>
      <c r="AGQ235" s="1"/>
      <c r="AGR235" s="1"/>
      <c r="AGS235" s="1"/>
      <c r="AGT235" s="1"/>
      <c r="AGU235" s="1"/>
      <c r="AGV235" s="1"/>
      <c r="AGW235" s="1"/>
      <c r="AGX235" s="1"/>
      <c r="AGY235" s="1"/>
      <c r="AGZ235" s="1"/>
      <c r="AHA235" s="1"/>
      <c r="AHB235" s="1"/>
      <c r="AHC235" s="1"/>
      <c r="AHD235" s="1"/>
      <c r="AHE235" s="1"/>
      <c r="AHF235" s="1"/>
      <c r="AHG235" s="1"/>
      <c r="AHH235" s="1"/>
      <c r="AHI235" s="1"/>
      <c r="AHJ235" s="1"/>
      <c r="AHK235" s="1"/>
      <c r="AHL235" s="1"/>
      <c r="AHM235" s="1"/>
      <c r="AHN235" s="1"/>
      <c r="AHO235" s="1"/>
      <c r="AHP235" s="1"/>
      <c r="AHQ235" s="1"/>
      <c r="AHR235" s="1"/>
      <c r="AHS235" s="1"/>
      <c r="AHT235" s="1"/>
      <c r="AHU235" s="1"/>
      <c r="AHV235" s="1"/>
      <c r="AHW235" s="1"/>
      <c r="AHX235" s="1"/>
      <c r="AHY235" s="1"/>
      <c r="AHZ235" s="1"/>
      <c r="AIA235" s="1"/>
      <c r="AIB235" s="1"/>
      <c r="AIC235" s="1"/>
      <c r="AID235" s="1"/>
      <c r="AIE235" s="1"/>
      <c r="AIF235" s="1"/>
      <c r="AIG235" s="1"/>
      <c r="AIH235" s="1"/>
      <c r="AII235" s="1"/>
      <c r="AIJ235" s="1"/>
      <c r="AIK235" s="1"/>
      <c r="AIL235" s="1"/>
      <c r="AIM235" s="1"/>
      <c r="AIN235" s="1"/>
      <c r="AIO235" s="1"/>
      <c r="AIP235" s="1"/>
      <c r="AIQ235" s="1"/>
      <c r="AIR235" s="1"/>
      <c r="AIS235" s="1"/>
      <c r="AIT235" s="1"/>
      <c r="AIU235" s="1"/>
      <c r="AIV235" s="1"/>
      <c r="AIW235" s="1"/>
      <c r="AIX235" s="1"/>
      <c r="AIY235" s="1"/>
      <c r="AIZ235" s="1"/>
      <c r="AJA235" s="1"/>
      <c r="AJB235" s="1"/>
      <c r="AJC235" s="1"/>
      <c r="AJD235" s="1"/>
      <c r="AJE235" s="1"/>
      <c r="AJF235" s="1"/>
      <c r="AJG235" s="1"/>
      <c r="AJH235" s="1"/>
      <c r="AJI235" s="1"/>
      <c r="AJJ235" s="1"/>
      <c r="AJK235" s="1"/>
      <c r="AJL235" s="1"/>
      <c r="AJM235" s="1"/>
      <c r="AJN235" s="1"/>
      <c r="AJO235" s="1"/>
      <c r="AJP235" s="1"/>
      <c r="AJQ235" s="1"/>
      <c r="AJR235" s="1"/>
      <c r="AJS235" s="1"/>
      <c r="AJT235" s="1"/>
      <c r="AJU235" s="1"/>
      <c r="AJV235" s="1"/>
      <c r="AJW235" s="1"/>
      <c r="AJX235" s="1"/>
      <c r="AJY235" s="1"/>
      <c r="AJZ235" s="1"/>
      <c r="AKA235" s="1"/>
      <c r="AKB235" s="1"/>
      <c r="AKC235" s="1"/>
      <c r="AKD235" s="1"/>
      <c r="AKE235" s="1"/>
      <c r="AKF235" s="1"/>
      <c r="AKG235" s="1"/>
      <c r="AKH235" s="1"/>
      <c r="AKI235" s="1"/>
      <c r="AKJ235" s="1"/>
      <c r="AKK235" s="1"/>
      <c r="AKL235" s="1"/>
      <c r="AKM235" s="1"/>
      <c r="AKN235" s="1"/>
      <c r="AKO235" s="1"/>
      <c r="AKP235" s="1"/>
      <c r="AKQ235" s="1"/>
      <c r="AKR235" s="1"/>
      <c r="AKS235" s="1"/>
      <c r="AKT235" s="1"/>
      <c r="AKU235" s="1"/>
      <c r="AKV235" s="1"/>
      <c r="AKW235" s="1"/>
      <c r="AKX235" s="1"/>
      <c r="AKY235" s="1"/>
      <c r="AKZ235" s="1"/>
      <c r="ALA235" s="1"/>
      <c r="ALB235" s="1"/>
      <c r="ALC235" s="1"/>
      <c r="ALD235" s="1"/>
      <c r="ALE235" s="1"/>
      <c r="ALF235" s="1"/>
      <c r="ALG235" s="1"/>
      <c r="ALH235" s="1"/>
      <c r="ALI235" s="1"/>
      <c r="ALJ235" s="1"/>
      <c r="ALK235" s="1"/>
      <c r="ALL235" s="1"/>
      <c r="ALM235" s="1"/>
      <c r="ALN235" s="1"/>
      <c r="ALO235" s="1"/>
      <c r="ALP235" s="1"/>
      <c r="ALQ235" s="1"/>
      <c r="ALR235" s="1"/>
      <c r="ALS235" s="1"/>
      <c r="ALT235" s="1"/>
      <c r="ALU235" s="1"/>
      <c r="ALV235" s="1"/>
      <c r="ALW235" s="1"/>
      <c r="ALX235" s="1"/>
      <c r="ALY235" s="1"/>
      <c r="ALZ235" s="1"/>
      <c r="AMA235" s="1"/>
      <c r="AMB235" s="1"/>
      <c r="AMC235" s="1"/>
      <c r="AMD235" s="1"/>
      <c r="AME235" s="1"/>
      <c r="AMF235" s="1"/>
      <c r="AMG235" s="1"/>
      <c r="AMH235" s="1"/>
      <c r="AMI235" s="1"/>
      <c r="AMJ235" s="1"/>
      <c r="AMK235" s="1"/>
      <c r="AML235" s="1"/>
      <c r="AMM235" s="1"/>
      <c r="AMN235" s="1"/>
      <c r="AMO235" s="1"/>
      <c r="AMP235" s="2"/>
    </row>
    <row r="236" spans="1:1030" x14ac:dyDescent="0.2">
      <c r="A236" s="3" t="str">
        <f t="shared" si="753"/>
        <v>ox1r_human__wt</v>
      </c>
      <c r="B236" s="3" t="s">
        <v>1175</v>
      </c>
      <c r="C236" s="3" t="s">
        <v>100</v>
      </c>
      <c r="D236" s="3" t="str">
        <f>IFERROR(MID(VLOOKUP($B236,Seqs!$A:$B,2,0),E236,1),"")</f>
        <v>E</v>
      </c>
      <c r="E236" s="3">
        <v>46</v>
      </c>
      <c r="F236" s="3" t="str">
        <f>IFERROR(MID(VLOOKUP($B236,Seqs!$A:$B,2,0),G236,1),"")</f>
        <v>N</v>
      </c>
      <c r="G236" s="3">
        <v>74</v>
      </c>
      <c r="H236" s="3" t="str">
        <f>IFERROR(MID(VLOOKUP($B236,Seqs!$A:$B,2,0),I236,1),"")</f>
        <v>H</v>
      </c>
      <c r="I236" s="23">
        <v>75</v>
      </c>
      <c r="J236" s="3" t="str">
        <f>IFERROR(MID(VLOOKUP($B236,Seqs!$A:$B,2,0),K236,1),"")</f>
        <v>R</v>
      </c>
      <c r="K236" s="23">
        <v>78</v>
      </c>
      <c r="L236" s="3" t="str">
        <f>IFERROR(MID(VLOOKUP($B236,Seqs!$A:$B,2,0),M236,1),"")</f>
        <v>T</v>
      </c>
      <c r="M236" s="3">
        <v>79</v>
      </c>
      <c r="N236" s="3" t="str">
        <f>IFERROR(MID(VLOOKUP($B236,Seqs!$A:$B,2,0),O236,1),"")</f>
        <v>T</v>
      </c>
      <c r="O236" s="3">
        <v>109</v>
      </c>
      <c r="P236" s="3" t="str">
        <f>IFERROR(MID(VLOOKUP($B236,Seqs!$A:$B,2,0),Q236,1),"")</f>
        <v>S</v>
      </c>
      <c r="Q236" s="3">
        <v>111</v>
      </c>
      <c r="R236" s="3" t="str">
        <f>IFERROR(MID(VLOOKUP($B236,Seqs!$A:$B,2,0),S236,1),"")</f>
        <v>F</v>
      </c>
      <c r="S236" s="3">
        <v>114</v>
      </c>
      <c r="T236" s="3" t="str">
        <f>IFERROR(MID(VLOOKUP($B236,Seqs!$A:$B,2,0),U236,1),"")</f>
        <v>G</v>
      </c>
      <c r="U236" s="3">
        <v>115</v>
      </c>
      <c r="V236" s="3" t="str">
        <f>IFERROR(MID(VLOOKUP($B236,Seqs!$A:$B,2,0),W236,1),"")</f>
        <v>H</v>
      </c>
      <c r="W236" s="3">
        <v>150</v>
      </c>
      <c r="X236" s="3" t="str">
        <f>IFERROR(MID(VLOOKUP($B236,Seqs!$A:$B,2,0),Y236,1),"")</f>
        <v>P</v>
      </c>
      <c r="Y236" s="3">
        <v>151</v>
      </c>
      <c r="Z236" s="3" t="str">
        <f>IFERROR(MID(VLOOKUP($B236,Seqs!$A:$B,2,0),AA236,1),"")</f>
        <v>F</v>
      </c>
      <c r="AA236" s="73">
        <v>154</v>
      </c>
      <c r="AB236" s="3" t="str">
        <f>IFERROR(MID(VLOOKUP($B236,Seqs!$A:$B,2,0),AC236,1),"")</f>
        <v>T</v>
      </c>
      <c r="AC236" s="9">
        <v>157</v>
      </c>
      <c r="AD236" s="3" t="str">
        <f>IFERROR(MID(VLOOKUP($B236,Seqs!$A:$B,2,0),AE236,1),"")</f>
        <v>M</v>
      </c>
      <c r="AE236" s="3">
        <v>183</v>
      </c>
      <c r="AF236" s="3" t="str">
        <f>IFERROR(MID(VLOOKUP($B236,Seqs!$A:$B,2,0),AG236,1),"")</f>
        <v>C</v>
      </c>
      <c r="AG236" s="3">
        <v>202</v>
      </c>
      <c r="AH236" s="3" t="str">
        <f>IFERROR(MID(VLOOKUP($B236,Seqs!$A:$B,2,0),AI236,1),"")</f>
        <v>E</v>
      </c>
      <c r="AI236" s="3">
        <v>204</v>
      </c>
      <c r="AJ236" s="3" t="str">
        <f>IFERROR(MID(VLOOKUP($B236,Seqs!$A:$B,2,0),AK236,1),"")</f>
        <v>D</v>
      </c>
      <c r="AK236" s="3">
        <v>209</v>
      </c>
      <c r="AL236" s="3" t="str">
        <f>IFERROR(MID(VLOOKUP($B236,Seqs!$A:$B,2,0),AM236,1),"")</f>
        <v>P</v>
      </c>
      <c r="AM236" s="3">
        <v>248</v>
      </c>
      <c r="AN236" s="3" t="str">
        <f>IFERROR(MID(VLOOKUP($B236,Seqs!$A:$B,2,0),AO236,1),"")</f>
        <v>F</v>
      </c>
      <c r="AO236" s="3">
        <v>283</v>
      </c>
      <c r="AP236" s="3" t="str">
        <f>IFERROR(MID(VLOOKUP($B236,Seqs!$A:$B,2,0),AQ236,1),"")</f>
        <v>F</v>
      </c>
      <c r="AQ236" s="3">
        <v>324</v>
      </c>
      <c r="AR236" s="3" t="str">
        <f>IFERROR(MID(VLOOKUP($B236,Seqs!$A:$B,2,0),AS236,1),"")</f>
        <v>R</v>
      </c>
      <c r="AS236" s="3">
        <v>333</v>
      </c>
      <c r="AT236" s="3" t="str">
        <f>IFERROR(MID(VLOOKUP($B236,Seqs!$A:$B,2,0),AU236,1),"")</f>
        <v>L</v>
      </c>
      <c r="AU236" s="3">
        <v>361</v>
      </c>
      <c r="AV236" s="3" t="str">
        <f>IFERROR(MID(VLOOKUP($B236,Seqs!$A:$B,2,0),AW236,1),"")</f>
        <v>S</v>
      </c>
      <c r="AW236" s="3">
        <v>362</v>
      </c>
      <c r="AX236" s="3" t="str">
        <f>IFERROR(MID(VLOOKUP($B236,Seqs!$A:$B,2,0),AY236,1),"")</f>
        <v>F</v>
      </c>
      <c r="AY236" s="3">
        <v>373</v>
      </c>
      <c r="AZ236" s="77" t="str">
        <f>VLOOKUP(B236,Classification!A:D,2,0)</f>
        <v>A</v>
      </c>
      <c r="BA236" s="94" t="str">
        <f>VLOOKUP(B236,Classification!A:D,4,0)</f>
        <v>Orexin</v>
      </c>
      <c r="BB236" s="27" t="b">
        <f t="shared" si="754"/>
        <v>1</v>
      </c>
      <c r="BC236" s="23">
        <f t="shared" si="727"/>
        <v>261</v>
      </c>
      <c r="BD236" s="56" t="s">
        <v>1379</v>
      </c>
      <c r="BE236" s="3" t="s">
        <v>23</v>
      </c>
      <c r="BF236" s="119" t="s">
        <v>23</v>
      </c>
      <c r="BG236" s="49" t="s">
        <v>1379</v>
      </c>
      <c r="BH236" s="49" t="s">
        <v>1384</v>
      </c>
      <c r="BI236" s="1"/>
      <c r="BJ236" s="70" t="s">
        <v>1293</v>
      </c>
      <c r="BK236" s="57" t="s">
        <v>1293</v>
      </c>
      <c r="BL236" s="57" t="s">
        <v>1293</v>
      </c>
      <c r="BM236" s="57" t="s">
        <v>1293</v>
      </c>
      <c r="BN236" s="57" t="s">
        <v>1293</v>
      </c>
      <c r="BO236" s="57" t="s">
        <v>1293</v>
      </c>
      <c r="BP236" s="57" t="s">
        <v>1293</v>
      </c>
      <c r="BQ236" s="57" t="s">
        <v>1293</v>
      </c>
      <c r="BR236" s="57" t="s">
        <v>1293</v>
      </c>
      <c r="BS236" s="57" t="s">
        <v>1293</v>
      </c>
      <c r="BT236" s="57" t="s">
        <v>1293</v>
      </c>
      <c r="BU236" s="57" t="s">
        <v>1293</v>
      </c>
      <c r="BV236" s="70">
        <f t="shared" si="728"/>
        <v>46</v>
      </c>
      <c r="BW236" s="71">
        <f t="shared" si="729"/>
        <v>75</v>
      </c>
      <c r="BX236" s="72">
        <f t="shared" si="730"/>
        <v>79</v>
      </c>
      <c r="BY236" s="71">
        <f t="shared" si="731"/>
        <v>111</v>
      </c>
      <c r="BZ236" s="72">
        <f t="shared" si="732"/>
        <v>115</v>
      </c>
      <c r="CA236" s="71">
        <f t="shared" si="733"/>
        <v>151</v>
      </c>
      <c r="CB236" s="72">
        <f t="shared" si="734"/>
        <v>157</v>
      </c>
      <c r="CC236" s="71">
        <f t="shared" si="735"/>
        <v>202</v>
      </c>
      <c r="CD236" s="72">
        <f t="shared" si="736"/>
        <v>209</v>
      </c>
      <c r="CE236" s="71">
        <f t="shared" si="737"/>
        <v>283</v>
      </c>
      <c r="CF236" s="72">
        <f t="shared" si="738"/>
        <v>333</v>
      </c>
      <c r="CG236" s="71">
        <f t="shared" si="739"/>
        <v>362</v>
      </c>
      <c r="CH236" s="70">
        <f t="shared" si="740"/>
        <v>74</v>
      </c>
      <c r="CI236" s="71">
        <f t="shared" si="741"/>
        <v>78</v>
      </c>
      <c r="CJ236" s="72">
        <f t="shared" si="742"/>
        <v>109</v>
      </c>
      <c r="CK236" s="72">
        <f t="shared" si="743"/>
        <v>114</v>
      </c>
      <c r="CL236" s="72">
        <f t="shared" si="744"/>
        <v>150</v>
      </c>
      <c r="CM236" s="72">
        <f t="shared" si="745"/>
        <v>154</v>
      </c>
      <c r="CN236" s="72">
        <f t="shared" si="746"/>
        <v>183</v>
      </c>
      <c r="CO236" s="72">
        <f t="shared" si="747"/>
        <v>204</v>
      </c>
      <c r="CP236" s="72">
        <f t="shared" si="748"/>
        <v>248</v>
      </c>
      <c r="CQ236" s="72">
        <f t="shared" si="749"/>
        <v>324</v>
      </c>
      <c r="CR236" s="72">
        <f t="shared" si="750"/>
        <v>361</v>
      </c>
      <c r="CS236" s="72">
        <f t="shared" si="751"/>
        <v>373</v>
      </c>
      <c r="CT236" s="23">
        <f t="shared" si="752"/>
        <v>1</v>
      </c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  <c r="OK236" s="1"/>
      <c r="OL236" s="1"/>
      <c r="OM236" s="1"/>
      <c r="ON236" s="1"/>
      <c r="OO236" s="1"/>
      <c r="OP236" s="1"/>
      <c r="OQ236" s="1"/>
      <c r="OR236" s="1"/>
      <c r="OS236" s="1"/>
      <c r="OT236" s="1"/>
      <c r="OU236" s="1"/>
      <c r="OV236" s="1"/>
      <c r="OW236" s="1"/>
      <c r="OX236" s="1"/>
      <c r="OY236" s="1"/>
      <c r="OZ236" s="1"/>
      <c r="PA236" s="1"/>
      <c r="PB236" s="1"/>
      <c r="PC236" s="1"/>
      <c r="PD236" s="1"/>
      <c r="PE236" s="1"/>
      <c r="PF236" s="1"/>
      <c r="PG236" s="1"/>
      <c r="PH236" s="1"/>
      <c r="PI236" s="1"/>
      <c r="PJ236" s="1"/>
      <c r="PK236" s="1"/>
      <c r="PL236" s="1"/>
      <c r="PM236" s="1"/>
      <c r="PN236" s="1"/>
      <c r="PO236" s="1"/>
      <c r="PP236" s="1"/>
      <c r="PQ236" s="1"/>
      <c r="PR236" s="1"/>
      <c r="PS236" s="1"/>
      <c r="PT236" s="1"/>
      <c r="PU236" s="1"/>
      <c r="PV236" s="1"/>
      <c r="PW236" s="1"/>
      <c r="PX236" s="1"/>
      <c r="PY236" s="1"/>
      <c r="PZ236" s="1"/>
      <c r="QA236" s="1"/>
      <c r="QB236" s="1"/>
      <c r="QC236" s="1"/>
      <c r="QD236" s="1"/>
      <c r="QE236" s="1"/>
      <c r="QF236" s="1"/>
      <c r="QG236" s="1"/>
      <c r="QH236" s="1"/>
      <c r="QI236" s="1"/>
      <c r="QJ236" s="1"/>
      <c r="QK236" s="1"/>
      <c r="QL236" s="1"/>
      <c r="QM236" s="1"/>
      <c r="QN236" s="1"/>
      <c r="QO236" s="1"/>
      <c r="QP236" s="1"/>
      <c r="QQ236" s="1"/>
      <c r="QR236" s="1"/>
      <c r="QS236" s="1"/>
      <c r="QT236" s="1"/>
      <c r="QU236" s="1"/>
      <c r="QV236" s="1"/>
      <c r="QW236" s="1"/>
      <c r="QX236" s="1"/>
      <c r="QY236" s="1"/>
      <c r="QZ236" s="1"/>
      <c r="RA236" s="1"/>
      <c r="RB236" s="1"/>
      <c r="RC236" s="1"/>
      <c r="RD236" s="1"/>
      <c r="RE236" s="1"/>
      <c r="RF236" s="1"/>
      <c r="RG236" s="1"/>
      <c r="RH236" s="1"/>
      <c r="RI236" s="1"/>
      <c r="RJ236" s="1"/>
      <c r="RK236" s="1"/>
      <c r="RL236" s="1"/>
      <c r="RM236" s="1"/>
      <c r="RN236" s="1"/>
      <c r="RO236" s="1"/>
      <c r="RP236" s="1"/>
      <c r="RQ236" s="1"/>
      <c r="RR236" s="1"/>
      <c r="RS236" s="1"/>
      <c r="RT236" s="1"/>
      <c r="RU236" s="1"/>
      <c r="RV236" s="1"/>
      <c r="RW236" s="1"/>
      <c r="RX236" s="1"/>
      <c r="RY236" s="1"/>
      <c r="RZ236" s="1"/>
      <c r="SA236" s="1"/>
      <c r="SB236" s="1"/>
      <c r="SC236" s="1"/>
      <c r="SD236" s="1"/>
      <c r="SE236" s="1"/>
      <c r="SF236" s="1"/>
      <c r="SG236" s="1"/>
      <c r="SH236" s="1"/>
      <c r="SI236" s="1"/>
      <c r="SJ236" s="1"/>
      <c r="SK236" s="1"/>
      <c r="SL236" s="1"/>
      <c r="SM236" s="1"/>
      <c r="SN236" s="1"/>
      <c r="SO236" s="1"/>
      <c r="SP236" s="1"/>
      <c r="SQ236" s="1"/>
      <c r="SR236" s="1"/>
      <c r="SS236" s="1"/>
      <c r="ST236" s="1"/>
      <c r="SU236" s="1"/>
      <c r="SV236" s="1"/>
      <c r="SW236" s="1"/>
      <c r="SX236" s="1"/>
      <c r="SY236" s="1"/>
      <c r="SZ236" s="1"/>
      <c r="TA236" s="1"/>
      <c r="TB236" s="1"/>
      <c r="TC236" s="1"/>
      <c r="TD236" s="1"/>
      <c r="TE236" s="1"/>
      <c r="TF236" s="1"/>
      <c r="TG236" s="1"/>
      <c r="TH236" s="1"/>
      <c r="TI236" s="1"/>
      <c r="TJ236" s="1"/>
      <c r="TK236" s="1"/>
      <c r="TL236" s="1"/>
      <c r="TM236" s="1"/>
      <c r="TN236" s="1"/>
      <c r="TO236" s="1"/>
      <c r="TP236" s="1"/>
      <c r="TQ236" s="1"/>
      <c r="TR236" s="1"/>
      <c r="TS236" s="1"/>
      <c r="TT236" s="1"/>
      <c r="TU236" s="1"/>
      <c r="TV236" s="1"/>
      <c r="TW236" s="1"/>
      <c r="TX236" s="1"/>
      <c r="TY236" s="1"/>
      <c r="TZ236" s="1"/>
      <c r="UA236" s="1"/>
      <c r="UB236" s="1"/>
      <c r="UC236" s="1"/>
      <c r="UD236" s="1"/>
      <c r="UE236" s="1"/>
      <c r="UF236" s="1"/>
      <c r="UG236" s="1"/>
      <c r="UH236" s="1"/>
      <c r="UI236" s="1"/>
      <c r="UJ236" s="1"/>
      <c r="UK236" s="1"/>
      <c r="UL236" s="1"/>
      <c r="UM236" s="1"/>
      <c r="UN236" s="1"/>
      <c r="UO236" s="1"/>
      <c r="UP236" s="1"/>
      <c r="UQ236" s="1"/>
      <c r="UR236" s="1"/>
      <c r="US236" s="1"/>
      <c r="UT236" s="1"/>
      <c r="UU236" s="1"/>
      <c r="UV236" s="1"/>
      <c r="UW236" s="1"/>
      <c r="UX236" s="1"/>
      <c r="UY236" s="1"/>
      <c r="UZ236" s="1"/>
      <c r="VA236" s="1"/>
      <c r="VB236" s="1"/>
      <c r="VC236" s="1"/>
      <c r="VD236" s="1"/>
      <c r="VE236" s="1"/>
      <c r="VF236" s="1"/>
      <c r="VG236" s="1"/>
      <c r="VH236" s="1"/>
      <c r="VI236" s="1"/>
      <c r="VJ236" s="1"/>
      <c r="VK236" s="1"/>
      <c r="VL236" s="1"/>
      <c r="VM236" s="1"/>
      <c r="VN236" s="1"/>
      <c r="VO236" s="1"/>
      <c r="VP236" s="1"/>
      <c r="VQ236" s="1"/>
      <c r="VR236" s="1"/>
      <c r="VS236" s="1"/>
      <c r="VT236" s="1"/>
      <c r="VU236" s="1"/>
      <c r="VV236" s="1"/>
      <c r="VW236" s="1"/>
      <c r="VX236" s="1"/>
      <c r="VY236" s="1"/>
      <c r="VZ236" s="1"/>
      <c r="WA236" s="1"/>
      <c r="WB236" s="1"/>
      <c r="WC236" s="1"/>
      <c r="WD236" s="1"/>
      <c r="WE236" s="1"/>
      <c r="WF236" s="1"/>
      <c r="WG236" s="1"/>
      <c r="WH236" s="1"/>
      <c r="WI236" s="1"/>
      <c r="WJ236" s="1"/>
      <c r="WK236" s="1"/>
      <c r="WL236" s="1"/>
      <c r="WM236" s="1"/>
      <c r="WN236" s="1"/>
      <c r="WO236" s="1"/>
      <c r="WP236" s="1"/>
      <c r="WQ236" s="1"/>
      <c r="WR236" s="1"/>
      <c r="WS236" s="1"/>
      <c r="WT236" s="1"/>
      <c r="WU236" s="1"/>
      <c r="WV236" s="1"/>
      <c r="WW236" s="1"/>
      <c r="WX236" s="1"/>
      <c r="WY236" s="1"/>
      <c r="WZ236" s="1"/>
      <c r="XA236" s="1"/>
      <c r="XB236" s="1"/>
      <c r="XC236" s="1"/>
      <c r="XD236" s="1"/>
      <c r="XE236" s="1"/>
      <c r="XF236" s="1"/>
      <c r="XG236" s="1"/>
      <c r="XH236" s="1"/>
      <c r="XI236" s="1"/>
      <c r="XJ236" s="1"/>
      <c r="XK236" s="1"/>
      <c r="XL236" s="1"/>
      <c r="XM236" s="1"/>
      <c r="XN236" s="1"/>
      <c r="XO236" s="1"/>
      <c r="XP236" s="1"/>
      <c r="XQ236" s="1"/>
      <c r="XR236" s="1"/>
      <c r="XS236" s="1"/>
      <c r="XT236" s="1"/>
      <c r="XU236" s="1"/>
      <c r="XV236" s="1"/>
      <c r="XW236" s="1"/>
      <c r="XX236" s="1"/>
      <c r="XY236" s="1"/>
      <c r="XZ236" s="1"/>
      <c r="YA236" s="1"/>
      <c r="YB236" s="1"/>
      <c r="YC236" s="1"/>
      <c r="YD236" s="1"/>
      <c r="YE236" s="1"/>
      <c r="YF236" s="1"/>
      <c r="YG236" s="1"/>
      <c r="YH236" s="1"/>
      <c r="YI236" s="1"/>
      <c r="YJ236" s="1"/>
      <c r="YK236" s="1"/>
      <c r="YL236" s="1"/>
      <c r="YM236" s="1"/>
      <c r="YN236" s="1"/>
      <c r="YO236" s="1"/>
      <c r="YP236" s="1"/>
      <c r="YQ236" s="1"/>
      <c r="YR236" s="1"/>
      <c r="YS236" s="1"/>
      <c r="YT236" s="1"/>
      <c r="YU236" s="1"/>
      <c r="YV236" s="1"/>
      <c r="YW236" s="1"/>
      <c r="YX236" s="1"/>
      <c r="YY236" s="1"/>
      <c r="YZ236" s="1"/>
      <c r="ZA236" s="1"/>
      <c r="ZB236" s="1"/>
      <c r="ZC236" s="1"/>
      <c r="ZD236" s="1"/>
      <c r="ZE236" s="1"/>
      <c r="ZF236" s="1"/>
      <c r="ZG236" s="1"/>
      <c r="ZH236" s="1"/>
      <c r="ZI236" s="1"/>
      <c r="ZJ236" s="1"/>
      <c r="ZK236" s="1"/>
      <c r="ZL236" s="1"/>
      <c r="ZM236" s="1"/>
      <c r="ZN236" s="1"/>
      <c r="ZO236" s="1"/>
      <c r="ZP236" s="1"/>
      <c r="ZQ236" s="1"/>
      <c r="ZR236" s="1"/>
      <c r="ZS236" s="1"/>
      <c r="ZT236" s="1"/>
      <c r="ZU236" s="1"/>
      <c r="ZV236" s="1"/>
      <c r="ZW236" s="1"/>
      <c r="ZX236" s="1"/>
      <c r="ZY236" s="1"/>
      <c r="ZZ236" s="1"/>
      <c r="AAA236" s="1"/>
      <c r="AAB236" s="1"/>
      <c r="AAC236" s="1"/>
      <c r="AAD236" s="1"/>
      <c r="AAE236" s="1"/>
      <c r="AAF236" s="1"/>
      <c r="AAG236" s="1"/>
      <c r="AAH236" s="1"/>
      <c r="AAI236" s="1"/>
      <c r="AAJ236" s="1"/>
      <c r="AAK236" s="1"/>
      <c r="AAL236" s="1"/>
      <c r="AAM236" s="1"/>
      <c r="AAN236" s="1"/>
      <c r="AAO236" s="1"/>
      <c r="AAP236" s="1"/>
      <c r="AAQ236" s="1"/>
      <c r="AAR236" s="1"/>
      <c r="AAS236" s="1"/>
      <c r="AAT236" s="1"/>
      <c r="AAU236" s="1"/>
      <c r="AAV236" s="1"/>
      <c r="AAW236" s="1"/>
      <c r="AAX236" s="1"/>
      <c r="AAY236" s="1"/>
      <c r="AAZ236" s="1"/>
      <c r="ABA236" s="1"/>
      <c r="ABB236" s="1"/>
      <c r="ABC236" s="1"/>
      <c r="ABD236" s="1"/>
      <c r="ABE236" s="1"/>
      <c r="ABF236" s="1"/>
      <c r="ABG236" s="1"/>
      <c r="ABH236" s="1"/>
      <c r="ABI236" s="1"/>
      <c r="ABJ236" s="1"/>
      <c r="ABK236" s="1"/>
      <c r="ABL236" s="1"/>
      <c r="ABM236" s="1"/>
      <c r="ABN236" s="1"/>
      <c r="ABO236" s="1"/>
      <c r="ABP236" s="1"/>
      <c r="ABQ236" s="1"/>
      <c r="ABR236" s="1"/>
      <c r="ABS236" s="1"/>
      <c r="ABT236" s="1"/>
      <c r="ABU236" s="1"/>
      <c r="ABV236" s="1"/>
      <c r="ABW236" s="1"/>
      <c r="ABX236" s="1"/>
      <c r="ABY236" s="1"/>
      <c r="ABZ236" s="1"/>
      <c r="ACA236" s="1"/>
      <c r="ACB236" s="1"/>
      <c r="ACC236" s="1"/>
      <c r="ACD236" s="1"/>
      <c r="ACE236" s="1"/>
      <c r="ACF236" s="1"/>
      <c r="ACG236" s="1"/>
      <c r="ACH236" s="1"/>
      <c r="ACI236" s="1"/>
      <c r="ACJ236" s="1"/>
      <c r="ACK236" s="1"/>
      <c r="ACL236" s="1"/>
      <c r="ACM236" s="1"/>
      <c r="ACN236" s="1"/>
      <c r="ACO236" s="1"/>
      <c r="ACP236" s="1"/>
      <c r="ACQ236" s="1"/>
      <c r="ACR236" s="1"/>
      <c r="ACS236" s="1"/>
      <c r="ACT236" s="1"/>
      <c r="ACU236" s="1"/>
      <c r="ACV236" s="1"/>
      <c r="ACW236" s="1"/>
      <c r="ACX236" s="1"/>
      <c r="ACY236" s="1"/>
      <c r="ACZ236" s="1"/>
      <c r="ADA236" s="1"/>
      <c r="ADB236" s="1"/>
      <c r="ADC236" s="1"/>
      <c r="ADD236" s="1"/>
      <c r="ADE236" s="1"/>
      <c r="ADF236" s="1"/>
      <c r="ADG236" s="1"/>
      <c r="ADH236" s="1"/>
      <c r="ADI236" s="1"/>
      <c r="ADJ236" s="1"/>
      <c r="ADK236" s="1"/>
      <c r="ADL236" s="1"/>
      <c r="ADM236" s="1"/>
      <c r="ADN236" s="1"/>
      <c r="ADO236" s="1"/>
      <c r="ADP236" s="1"/>
      <c r="ADQ236" s="1"/>
      <c r="ADR236" s="1"/>
      <c r="ADS236" s="1"/>
      <c r="ADT236" s="1"/>
      <c r="ADU236" s="1"/>
      <c r="ADV236" s="1"/>
      <c r="ADW236" s="1"/>
      <c r="ADX236" s="1"/>
      <c r="ADY236" s="1"/>
      <c r="ADZ236" s="1"/>
      <c r="AEA236" s="1"/>
      <c r="AEB236" s="1"/>
      <c r="AEC236" s="1"/>
      <c r="AED236" s="1"/>
      <c r="AEE236" s="1"/>
      <c r="AEF236" s="1"/>
      <c r="AEG236" s="1"/>
      <c r="AEH236" s="1"/>
      <c r="AEI236" s="1"/>
      <c r="AEJ236" s="1"/>
      <c r="AEK236" s="1"/>
      <c r="AEL236" s="1"/>
      <c r="AEM236" s="1"/>
      <c r="AEN236" s="1"/>
      <c r="AEO236" s="1"/>
      <c r="AEP236" s="1"/>
      <c r="AEQ236" s="1"/>
      <c r="AER236" s="1"/>
      <c r="AES236" s="1"/>
      <c r="AET236" s="1"/>
      <c r="AEU236" s="1"/>
      <c r="AEV236" s="1"/>
      <c r="AEW236" s="1"/>
      <c r="AEX236" s="1"/>
      <c r="AEY236" s="1"/>
      <c r="AEZ236" s="1"/>
      <c r="AFA236" s="1"/>
      <c r="AFB236" s="1"/>
      <c r="AFC236" s="1"/>
      <c r="AFD236" s="1"/>
      <c r="AFE236" s="1"/>
      <c r="AFF236" s="1"/>
      <c r="AFG236" s="1"/>
      <c r="AFH236" s="1"/>
      <c r="AFI236" s="1"/>
      <c r="AFJ236" s="1"/>
      <c r="AFK236" s="1"/>
      <c r="AFL236" s="1"/>
      <c r="AFM236" s="1"/>
      <c r="AFN236" s="1"/>
      <c r="AFO236" s="1"/>
      <c r="AFP236" s="1"/>
      <c r="AFQ236" s="1"/>
      <c r="AFR236" s="1"/>
      <c r="AFS236" s="1"/>
      <c r="AFT236" s="1"/>
      <c r="AFU236" s="1"/>
      <c r="AFV236" s="1"/>
      <c r="AFW236" s="1"/>
      <c r="AFX236" s="1"/>
      <c r="AFY236" s="1"/>
      <c r="AFZ236" s="1"/>
      <c r="AGA236" s="1"/>
      <c r="AGB236" s="1"/>
      <c r="AGC236" s="1"/>
      <c r="AGD236" s="1"/>
      <c r="AGE236" s="1"/>
      <c r="AGF236" s="1"/>
      <c r="AGG236" s="1"/>
      <c r="AGH236" s="1"/>
      <c r="AGI236" s="1"/>
      <c r="AGJ236" s="1"/>
      <c r="AGK236" s="1"/>
      <c r="AGL236" s="1"/>
      <c r="AGM236" s="1"/>
      <c r="AGN236" s="1"/>
      <c r="AGO236" s="1"/>
      <c r="AGP236" s="1"/>
      <c r="AGQ236" s="1"/>
      <c r="AGR236" s="1"/>
      <c r="AGS236" s="1"/>
      <c r="AGT236" s="1"/>
      <c r="AGU236" s="1"/>
      <c r="AGV236" s="1"/>
      <c r="AGW236" s="1"/>
      <c r="AGX236" s="1"/>
      <c r="AGY236" s="1"/>
      <c r="AGZ236" s="1"/>
      <c r="AHA236" s="1"/>
      <c r="AHB236" s="1"/>
      <c r="AHC236" s="1"/>
      <c r="AHD236" s="1"/>
      <c r="AHE236" s="1"/>
      <c r="AHF236" s="1"/>
      <c r="AHG236" s="1"/>
      <c r="AHH236" s="1"/>
      <c r="AHI236" s="1"/>
      <c r="AHJ236" s="1"/>
      <c r="AHK236" s="1"/>
      <c r="AHL236" s="1"/>
      <c r="AHM236" s="1"/>
      <c r="AHN236" s="1"/>
      <c r="AHO236" s="1"/>
      <c r="AHP236" s="1"/>
      <c r="AHQ236" s="1"/>
      <c r="AHR236" s="1"/>
      <c r="AHS236" s="1"/>
      <c r="AHT236" s="1"/>
      <c r="AHU236" s="1"/>
      <c r="AHV236" s="1"/>
      <c r="AHW236" s="1"/>
      <c r="AHX236" s="1"/>
      <c r="AHY236" s="1"/>
      <c r="AHZ236" s="1"/>
      <c r="AIA236" s="1"/>
      <c r="AIB236" s="1"/>
      <c r="AIC236" s="1"/>
      <c r="AID236" s="1"/>
      <c r="AIE236" s="1"/>
      <c r="AIF236" s="1"/>
      <c r="AIG236" s="1"/>
      <c r="AIH236" s="1"/>
      <c r="AII236" s="1"/>
      <c r="AIJ236" s="1"/>
      <c r="AIK236" s="1"/>
      <c r="AIL236" s="1"/>
      <c r="AIM236" s="1"/>
      <c r="AIN236" s="1"/>
      <c r="AIO236" s="1"/>
      <c r="AIP236" s="1"/>
      <c r="AIQ236" s="1"/>
      <c r="AIR236" s="1"/>
      <c r="AIS236" s="1"/>
      <c r="AIT236" s="1"/>
      <c r="AIU236" s="1"/>
      <c r="AIV236" s="1"/>
      <c r="AIW236" s="1"/>
      <c r="AIX236" s="1"/>
      <c r="AIY236" s="1"/>
      <c r="AIZ236" s="1"/>
      <c r="AJA236" s="1"/>
      <c r="AJB236" s="1"/>
      <c r="AJC236" s="1"/>
      <c r="AJD236" s="1"/>
      <c r="AJE236" s="1"/>
      <c r="AJF236" s="1"/>
      <c r="AJG236" s="1"/>
      <c r="AJH236" s="1"/>
      <c r="AJI236" s="1"/>
      <c r="AJJ236" s="1"/>
      <c r="AJK236" s="1"/>
      <c r="AJL236" s="1"/>
      <c r="AJM236" s="1"/>
      <c r="AJN236" s="1"/>
      <c r="AJO236" s="1"/>
      <c r="AJP236" s="1"/>
      <c r="AJQ236" s="1"/>
      <c r="AJR236" s="1"/>
      <c r="AJS236" s="1"/>
      <c r="AJT236" s="1"/>
      <c r="AJU236" s="1"/>
      <c r="AJV236" s="1"/>
      <c r="AJW236" s="1"/>
      <c r="AJX236" s="1"/>
      <c r="AJY236" s="1"/>
      <c r="AJZ236" s="1"/>
      <c r="AKA236" s="1"/>
      <c r="AKB236" s="1"/>
      <c r="AKC236" s="1"/>
      <c r="AKD236" s="1"/>
      <c r="AKE236" s="1"/>
      <c r="AKF236" s="1"/>
      <c r="AKG236" s="1"/>
      <c r="AKH236" s="1"/>
      <c r="AKI236" s="1"/>
      <c r="AKJ236" s="1"/>
      <c r="AKK236" s="1"/>
      <c r="AKL236" s="1"/>
      <c r="AKM236" s="1"/>
      <c r="AKN236" s="1"/>
      <c r="AKO236" s="1"/>
      <c r="AKP236" s="1"/>
      <c r="AKQ236" s="1"/>
      <c r="AKR236" s="1"/>
      <c r="AKS236" s="1"/>
      <c r="AKT236" s="1"/>
      <c r="AKU236" s="1"/>
      <c r="AKV236" s="1"/>
      <c r="AKW236" s="1"/>
      <c r="AKX236" s="1"/>
      <c r="AKY236" s="1"/>
      <c r="AKZ236" s="1"/>
      <c r="ALA236" s="1"/>
      <c r="ALB236" s="1"/>
      <c r="ALC236" s="1"/>
      <c r="ALD236" s="1"/>
      <c r="ALE236" s="1"/>
      <c r="ALF236" s="1"/>
      <c r="ALG236" s="1"/>
      <c r="ALH236" s="1"/>
      <c r="ALI236" s="1"/>
      <c r="ALJ236" s="1"/>
      <c r="ALK236" s="1"/>
      <c r="ALL236" s="1"/>
      <c r="ALM236" s="1"/>
      <c r="ALN236" s="1"/>
      <c r="ALO236" s="1"/>
      <c r="ALP236" s="1"/>
      <c r="ALQ236" s="1"/>
      <c r="ALR236" s="1"/>
      <c r="ALS236" s="1"/>
      <c r="ALT236" s="1"/>
      <c r="ALU236" s="1"/>
      <c r="ALV236" s="1"/>
      <c r="ALW236" s="1"/>
      <c r="ALX236" s="1"/>
      <c r="ALY236" s="1"/>
      <c r="ALZ236" s="1"/>
      <c r="AMA236" s="1"/>
      <c r="AMB236" s="1"/>
      <c r="AMC236" s="1"/>
      <c r="AMD236" s="1"/>
      <c r="AME236" s="1"/>
      <c r="AMF236" s="1"/>
      <c r="AMG236" s="1"/>
      <c r="AMH236" s="1"/>
      <c r="AMI236" s="1"/>
      <c r="AMJ236" s="1"/>
      <c r="AMK236" s="1"/>
      <c r="AML236" s="1"/>
      <c r="AMM236" s="1"/>
      <c r="AMN236" s="1"/>
      <c r="AMO236" s="1"/>
    </row>
    <row r="237" spans="1:1030" x14ac:dyDescent="0.2">
      <c r="A237" s="3" t="str">
        <f t="shared" si="753"/>
        <v>ox1r_human_4ZJ8</v>
      </c>
      <c r="B237" s="3" t="s">
        <v>1175</v>
      </c>
      <c r="C237" s="3" t="s">
        <v>90</v>
      </c>
      <c r="D237" s="3" t="str">
        <f>IFERROR(MID(VLOOKUP($B237,Seqs!$A:$B,2,0),E237,1),"")</f>
        <v>E</v>
      </c>
      <c r="E237" s="3">
        <v>46</v>
      </c>
      <c r="F237" s="3" t="str">
        <f>IFERROR(MID(VLOOKUP($B237,Seqs!$A:$B,2,0),G237,1),"")</f>
        <v>N</v>
      </c>
      <c r="G237" s="3">
        <v>74</v>
      </c>
      <c r="H237" s="3" t="str">
        <f>IFERROR(MID(VLOOKUP($B237,Seqs!$A:$B,2,0),I237,1),"")</f>
        <v>H</v>
      </c>
      <c r="I237" s="23">
        <v>75</v>
      </c>
      <c r="J237" s="3" t="str">
        <f>IFERROR(MID(VLOOKUP($B237,Seqs!$A:$B,2,0),K237,1),"")</f>
        <v>R</v>
      </c>
      <c r="K237" s="23">
        <v>78</v>
      </c>
      <c r="L237" s="3" t="str">
        <f>IFERROR(MID(VLOOKUP($B237,Seqs!$A:$B,2,0),M237,1),"")</f>
        <v>T</v>
      </c>
      <c r="M237" s="3">
        <v>79</v>
      </c>
      <c r="N237" s="3" t="str">
        <f>IFERROR(MID(VLOOKUP($B237,Seqs!$A:$B,2,0),O237,1),"")</f>
        <v>T</v>
      </c>
      <c r="O237" s="3">
        <v>109</v>
      </c>
      <c r="P237" s="3" t="str">
        <f>IFERROR(MID(VLOOKUP($B237,Seqs!$A:$B,2,0),Q237,1),"")</f>
        <v>S</v>
      </c>
      <c r="Q237" s="3">
        <v>111</v>
      </c>
      <c r="R237" s="3" t="str">
        <f>IFERROR(MID(VLOOKUP($B237,Seqs!$A:$B,2,0),S237,1),"")</f>
        <v>F</v>
      </c>
      <c r="S237" s="3">
        <v>114</v>
      </c>
      <c r="T237" s="3" t="str">
        <f>IFERROR(MID(VLOOKUP($B237,Seqs!$A:$B,2,0),U237,1),"")</f>
        <v>G</v>
      </c>
      <c r="U237" s="3">
        <v>115</v>
      </c>
      <c r="V237" s="3" t="str">
        <f>IFERROR(MID(VLOOKUP($B237,Seqs!$A:$B,2,0),W237,1),"")</f>
        <v>H</v>
      </c>
      <c r="W237" s="3">
        <v>150</v>
      </c>
      <c r="X237" s="3" t="str">
        <f>IFERROR(MID(VLOOKUP($B237,Seqs!$A:$B,2,0),Y237,1),"")</f>
        <v>P</v>
      </c>
      <c r="Y237" s="3">
        <v>151</v>
      </c>
      <c r="Z237" s="3" t="str">
        <f>IFERROR(MID(VLOOKUP($B237,Seqs!$A:$B,2,0),AA237,1),"")</f>
        <v>F</v>
      </c>
      <c r="AA237" s="3">
        <v>154</v>
      </c>
      <c r="AB237" s="3" t="str">
        <f>IFERROR(MID(VLOOKUP($B237,Seqs!$A:$B,2,0),AC237,1),"")</f>
        <v>T</v>
      </c>
      <c r="AC237" s="9">
        <v>157</v>
      </c>
      <c r="AD237" s="3" t="str">
        <f>IFERROR(MID(VLOOKUP($B237,Seqs!$A:$B,2,0),AE237,1),"")</f>
        <v>M</v>
      </c>
      <c r="AE237" s="3">
        <v>183</v>
      </c>
      <c r="AF237" s="3" t="str">
        <f>IFERROR(MID(VLOOKUP($B237,Seqs!$A:$B,2,0),AG237,1),"")</f>
        <v>C</v>
      </c>
      <c r="AG237" s="3">
        <v>202</v>
      </c>
      <c r="AH237" s="3" t="str">
        <f>IFERROR(MID(VLOOKUP($B237,Seqs!$A:$B,2,0),AI237,1),"")</f>
        <v>E</v>
      </c>
      <c r="AI237" s="3">
        <v>204</v>
      </c>
      <c r="AJ237" s="3" t="str">
        <f>IFERROR(MID(VLOOKUP($B237,Seqs!$A:$B,2,0),AK237,1),"")</f>
        <v>D</v>
      </c>
      <c r="AK237" s="3">
        <v>209</v>
      </c>
      <c r="AL237" s="3" t="str">
        <f>IFERROR(MID(VLOOKUP($B237,Seqs!$A:$B,2,0),AM237,1),"")</f>
        <v>L</v>
      </c>
      <c r="AM237" s="3">
        <v>242</v>
      </c>
      <c r="AN237" s="3" t="str">
        <f>IFERROR(MID(VLOOKUP($B237,Seqs!$A:$B,2,0),AO237,1),"")</f>
        <v>K</v>
      </c>
      <c r="AO237" s="3">
        <v>288</v>
      </c>
      <c r="AP237" s="3" t="str">
        <f>IFERROR(MID(VLOOKUP($B237,Seqs!$A:$B,2,0),AQ237,1),"")</f>
        <v>F</v>
      </c>
      <c r="AQ237" s="3">
        <v>324</v>
      </c>
      <c r="AR237" s="3" t="str">
        <f>IFERROR(MID(VLOOKUP($B237,Seqs!$A:$B,2,0),AS237,1),"")</f>
        <v>R</v>
      </c>
      <c r="AS237" s="3">
        <v>333</v>
      </c>
      <c r="AT237" s="3" t="str">
        <f>IFERROR(MID(VLOOKUP($B237,Seqs!$A:$B,2,0),AU237,1),"")</f>
        <v>L</v>
      </c>
      <c r="AU237" s="3">
        <v>361</v>
      </c>
      <c r="AV237" s="3" t="str">
        <f>IFERROR(MID(VLOOKUP($B237,Seqs!$A:$B,2,0),AW237,1),"")</f>
        <v>S</v>
      </c>
      <c r="AW237" s="3">
        <v>362</v>
      </c>
      <c r="AX237" s="3" t="str">
        <f>IFERROR(MID(VLOOKUP($B237,Seqs!$A:$B,2,0),AY237,1),"")</f>
        <v>F</v>
      </c>
      <c r="AY237" s="3">
        <v>373</v>
      </c>
      <c r="AZ237" s="77" t="str">
        <f>VLOOKUP(B237,Classification!A:D,2,0)</f>
        <v>A</v>
      </c>
      <c r="BA237" s="94" t="str">
        <f>VLOOKUP(B237,Classification!A:D,4,0)</f>
        <v>Orexin</v>
      </c>
      <c r="BB237" s="27" t="b">
        <f t="shared" si="754"/>
        <v>1</v>
      </c>
      <c r="BC237" s="23">
        <f t="shared" si="727"/>
        <v>250</v>
      </c>
      <c r="BD237" s="4" t="s">
        <v>1383</v>
      </c>
      <c r="BE237" s="3" t="s">
        <v>1381</v>
      </c>
      <c r="BF237" s="119">
        <v>2.75</v>
      </c>
      <c r="BG237" s="49" t="s">
        <v>1384</v>
      </c>
      <c r="BH237" s="49" t="s">
        <v>1384</v>
      </c>
      <c r="BI237" s="1"/>
      <c r="BJ237" s="70" t="s">
        <v>1293</v>
      </c>
      <c r="BK237" s="57" t="s">
        <v>1293</v>
      </c>
      <c r="BL237" s="57" t="s">
        <v>1293</v>
      </c>
      <c r="BM237" s="57" t="s">
        <v>1293</v>
      </c>
      <c r="BN237" s="57" t="s">
        <v>1293</v>
      </c>
      <c r="BO237" s="57" t="s">
        <v>1293</v>
      </c>
      <c r="BP237" s="57" t="s">
        <v>1293</v>
      </c>
      <c r="BQ237" s="57" t="s">
        <v>1293</v>
      </c>
      <c r="BR237" s="57" t="s">
        <v>1293</v>
      </c>
      <c r="BS237" s="57" t="s">
        <v>1293</v>
      </c>
      <c r="BT237" s="57" t="s">
        <v>1293</v>
      </c>
      <c r="BU237" s="57" t="s">
        <v>1293</v>
      </c>
      <c r="BV237" s="70">
        <f t="shared" si="728"/>
        <v>46</v>
      </c>
      <c r="BW237" s="71">
        <f t="shared" si="729"/>
        <v>75</v>
      </c>
      <c r="BX237" s="72">
        <f t="shared" si="730"/>
        <v>79</v>
      </c>
      <c r="BY237" s="71">
        <f t="shared" si="731"/>
        <v>111</v>
      </c>
      <c r="BZ237" s="72">
        <f t="shared" si="732"/>
        <v>115</v>
      </c>
      <c r="CA237" s="71">
        <f t="shared" si="733"/>
        <v>151</v>
      </c>
      <c r="CB237" s="72">
        <f t="shared" si="734"/>
        <v>157</v>
      </c>
      <c r="CC237" s="71">
        <f t="shared" si="735"/>
        <v>202</v>
      </c>
      <c r="CD237" s="72">
        <f t="shared" si="736"/>
        <v>209</v>
      </c>
      <c r="CE237" s="71">
        <f t="shared" si="737"/>
        <v>288</v>
      </c>
      <c r="CF237" s="72">
        <f t="shared" si="738"/>
        <v>333</v>
      </c>
      <c r="CG237" s="71">
        <f t="shared" si="739"/>
        <v>362</v>
      </c>
      <c r="CH237" s="70">
        <f t="shared" si="740"/>
        <v>74</v>
      </c>
      <c r="CI237" s="71">
        <f t="shared" si="741"/>
        <v>78</v>
      </c>
      <c r="CJ237" s="72">
        <f t="shared" si="742"/>
        <v>109</v>
      </c>
      <c r="CK237" s="72">
        <f t="shared" si="743"/>
        <v>114</v>
      </c>
      <c r="CL237" s="72">
        <f t="shared" si="744"/>
        <v>150</v>
      </c>
      <c r="CM237" s="72">
        <f t="shared" si="745"/>
        <v>154</v>
      </c>
      <c r="CN237" s="72">
        <f t="shared" si="746"/>
        <v>183</v>
      </c>
      <c r="CO237" s="72">
        <f t="shared" si="747"/>
        <v>204</v>
      </c>
      <c r="CP237" s="72">
        <f t="shared" si="748"/>
        <v>242</v>
      </c>
      <c r="CQ237" s="72">
        <f t="shared" si="749"/>
        <v>324</v>
      </c>
      <c r="CR237" s="72">
        <f t="shared" si="750"/>
        <v>361</v>
      </c>
      <c r="CS237" s="72">
        <f t="shared" si="751"/>
        <v>373</v>
      </c>
      <c r="CT237" s="23">
        <f t="shared" si="752"/>
        <v>1</v>
      </c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  <c r="OK237" s="1"/>
      <c r="OL237" s="1"/>
      <c r="OM237" s="1"/>
      <c r="ON237" s="1"/>
      <c r="OO237" s="1"/>
      <c r="OP237" s="1"/>
      <c r="OQ237" s="1"/>
      <c r="OR237" s="1"/>
      <c r="OS237" s="1"/>
      <c r="OT237" s="1"/>
      <c r="OU237" s="1"/>
      <c r="OV237" s="1"/>
      <c r="OW237" s="1"/>
      <c r="OX237" s="1"/>
      <c r="OY237" s="1"/>
      <c r="OZ237" s="1"/>
      <c r="PA237" s="1"/>
      <c r="PB237" s="1"/>
      <c r="PC237" s="1"/>
      <c r="PD237" s="1"/>
      <c r="PE237" s="1"/>
      <c r="PF237" s="1"/>
      <c r="PG237" s="1"/>
      <c r="PH237" s="1"/>
      <c r="PI237" s="1"/>
      <c r="PJ237" s="1"/>
      <c r="PK237" s="1"/>
      <c r="PL237" s="1"/>
      <c r="PM237" s="1"/>
      <c r="PN237" s="1"/>
      <c r="PO237" s="1"/>
      <c r="PP237" s="1"/>
      <c r="PQ237" s="1"/>
      <c r="PR237" s="1"/>
      <c r="PS237" s="1"/>
      <c r="PT237" s="1"/>
      <c r="PU237" s="1"/>
      <c r="PV237" s="1"/>
      <c r="PW237" s="1"/>
      <c r="PX237" s="1"/>
      <c r="PY237" s="1"/>
      <c r="PZ237" s="1"/>
      <c r="QA237" s="1"/>
      <c r="QB237" s="1"/>
      <c r="QC237" s="1"/>
      <c r="QD237" s="1"/>
      <c r="QE237" s="1"/>
      <c r="QF237" s="1"/>
      <c r="QG237" s="1"/>
      <c r="QH237" s="1"/>
      <c r="QI237" s="1"/>
      <c r="QJ237" s="1"/>
      <c r="QK237" s="1"/>
      <c r="QL237" s="1"/>
      <c r="QM237" s="1"/>
      <c r="QN237" s="1"/>
      <c r="QO237" s="1"/>
      <c r="QP237" s="1"/>
      <c r="QQ237" s="1"/>
      <c r="QR237" s="1"/>
      <c r="QS237" s="1"/>
      <c r="QT237" s="1"/>
      <c r="QU237" s="1"/>
      <c r="QV237" s="1"/>
      <c r="QW237" s="1"/>
      <c r="QX237" s="1"/>
      <c r="QY237" s="1"/>
      <c r="QZ237" s="1"/>
      <c r="RA237" s="1"/>
      <c r="RB237" s="1"/>
      <c r="RC237" s="1"/>
      <c r="RD237" s="1"/>
      <c r="RE237" s="1"/>
      <c r="RF237" s="1"/>
      <c r="RG237" s="1"/>
      <c r="RH237" s="1"/>
      <c r="RI237" s="1"/>
      <c r="RJ237" s="1"/>
      <c r="RK237" s="1"/>
      <c r="RL237" s="1"/>
      <c r="RM237" s="1"/>
      <c r="RN237" s="1"/>
      <c r="RO237" s="1"/>
      <c r="RP237" s="1"/>
      <c r="RQ237" s="1"/>
      <c r="RR237" s="1"/>
      <c r="RS237" s="1"/>
      <c r="RT237" s="1"/>
      <c r="RU237" s="1"/>
      <c r="RV237" s="1"/>
      <c r="RW237" s="1"/>
      <c r="RX237" s="1"/>
      <c r="RY237" s="1"/>
      <c r="RZ237" s="1"/>
      <c r="SA237" s="1"/>
      <c r="SB237" s="1"/>
      <c r="SC237" s="1"/>
      <c r="SD237" s="1"/>
      <c r="SE237" s="1"/>
      <c r="SF237" s="1"/>
      <c r="SG237" s="1"/>
      <c r="SH237" s="1"/>
      <c r="SI237" s="1"/>
      <c r="SJ237" s="1"/>
      <c r="SK237" s="1"/>
      <c r="SL237" s="1"/>
      <c r="SM237" s="1"/>
      <c r="SN237" s="1"/>
      <c r="SO237" s="1"/>
      <c r="SP237" s="1"/>
      <c r="SQ237" s="1"/>
      <c r="SR237" s="1"/>
      <c r="SS237" s="1"/>
      <c r="ST237" s="1"/>
      <c r="SU237" s="1"/>
      <c r="SV237" s="1"/>
      <c r="SW237" s="1"/>
      <c r="SX237" s="1"/>
      <c r="SY237" s="1"/>
      <c r="SZ237" s="1"/>
      <c r="TA237" s="1"/>
      <c r="TB237" s="1"/>
      <c r="TC237" s="1"/>
      <c r="TD237" s="1"/>
      <c r="TE237" s="1"/>
      <c r="TF237" s="1"/>
      <c r="TG237" s="1"/>
      <c r="TH237" s="1"/>
      <c r="TI237" s="1"/>
      <c r="TJ237" s="1"/>
      <c r="TK237" s="1"/>
      <c r="TL237" s="1"/>
      <c r="TM237" s="1"/>
      <c r="TN237" s="1"/>
      <c r="TO237" s="1"/>
      <c r="TP237" s="1"/>
      <c r="TQ237" s="1"/>
      <c r="TR237" s="1"/>
      <c r="TS237" s="1"/>
      <c r="TT237" s="1"/>
      <c r="TU237" s="1"/>
      <c r="TV237" s="1"/>
      <c r="TW237" s="1"/>
      <c r="TX237" s="1"/>
      <c r="TY237" s="1"/>
      <c r="TZ237" s="1"/>
      <c r="UA237" s="1"/>
      <c r="UB237" s="1"/>
      <c r="UC237" s="1"/>
      <c r="UD237" s="1"/>
      <c r="UE237" s="1"/>
      <c r="UF237" s="1"/>
      <c r="UG237" s="1"/>
      <c r="UH237" s="1"/>
      <c r="UI237" s="1"/>
      <c r="UJ237" s="1"/>
      <c r="UK237" s="1"/>
      <c r="UL237" s="1"/>
      <c r="UM237" s="1"/>
      <c r="UN237" s="1"/>
      <c r="UO237" s="1"/>
      <c r="UP237" s="1"/>
      <c r="UQ237" s="1"/>
      <c r="UR237" s="1"/>
      <c r="US237" s="1"/>
      <c r="UT237" s="1"/>
      <c r="UU237" s="1"/>
      <c r="UV237" s="1"/>
      <c r="UW237" s="1"/>
      <c r="UX237" s="1"/>
      <c r="UY237" s="1"/>
      <c r="UZ237" s="1"/>
      <c r="VA237" s="1"/>
      <c r="VB237" s="1"/>
      <c r="VC237" s="1"/>
      <c r="VD237" s="1"/>
      <c r="VE237" s="1"/>
      <c r="VF237" s="1"/>
      <c r="VG237" s="1"/>
      <c r="VH237" s="1"/>
      <c r="VI237" s="1"/>
      <c r="VJ237" s="1"/>
      <c r="VK237" s="1"/>
      <c r="VL237" s="1"/>
      <c r="VM237" s="1"/>
      <c r="VN237" s="1"/>
      <c r="VO237" s="1"/>
      <c r="VP237" s="1"/>
      <c r="VQ237" s="1"/>
      <c r="VR237" s="1"/>
      <c r="VS237" s="1"/>
      <c r="VT237" s="1"/>
      <c r="VU237" s="1"/>
      <c r="VV237" s="1"/>
      <c r="VW237" s="1"/>
      <c r="VX237" s="1"/>
      <c r="VY237" s="1"/>
      <c r="VZ237" s="1"/>
      <c r="WA237" s="1"/>
      <c r="WB237" s="1"/>
      <c r="WC237" s="1"/>
      <c r="WD237" s="1"/>
      <c r="WE237" s="1"/>
      <c r="WF237" s="1"/>
      <c r="WG237" s="1"/>
      <c r="WH237" s="1"/>
      <c r="WI237" s="1"/>
      <c r="WJ237" s="1"/>
      <c r="WK237" s="1"/>
      <c r="WL237" s="1"/>
      <c r="WM237" s="1"/>
      <c r="WN237" s="1"/>
      <c r="WO237" s="1"/>
      <c r="WP237" s="1"/>
      <c r="WQ237" s="1"/>
      <c r="WR237" s="1"/>
      <c r="WS237" s="1"/>
      <c r="WT237" s="1"/>
      <c r="WU237" s="1"/>
      <c r="WV237" s="1"/>
      <c r="WW237" s="1"/>
      <c r="WX237" s="1"/>
      <c r="WY237" s="1"/>
      <c r="WZ237" s="1"/>
      <c r="XA237" s="1"/>
      <c r="XB237" s="1"/>
      <c r="XC237" s="1"/>
      <c r="XD237" s="1"/>
      <c r="XE237" s="1"/>
      <c r="XF237" s="1"/>
      <c r="XG237" s="1"/>
      <c r="XH237" s="1"/>
      <c r="XI237" s="1"/>
      <c r="XJ237" s="1"/>
      <c r="XK237" s="1"/>
      <c r="XL237" s="1"/>
      <c r="XM237" s="1"/>
      <c r="XN237" s="1"/>
      <c r="XO237" s="1"/>
      <c r="XP237" s="1"/>
      <c r="XQ237" s="1"/>
      <c r="XR237" s="1"/>
      <c r="XS237" s="1"/>
      <c r="XT237" s="1"/>
      <c r="XU237" s="1"/>
      <c r="XV237" s="1"/>
      <c r="XW237" s="1"/>
      <c r="XX237" s="1"/>
      <c r="XY237" s="1"/>
      <c r="XZ237" s="1"/>
      <c r="YA237" s="1"/>
      <c r="YB237" s="1"/>
      <c r="YC237" s="1"/>
      <c r="YD237" s="1"/>
      <c r="YE237" s="1"/>
      <c r="YF237" s="1"/>
      <c r="YG237" s="1"/>
      <c r="YH237" s="1"/>
      <c r="YI237" s="1"/>
      <c r="YJ237" s="1"/>
      <c r="YK237" s="1"/>
      <c r="YL237" s="1"/>
      <c r="YM237" s="1"/>
      <c r="YN237" s="1"/>
      <c r="YO237" s="1"/>
      <c r="YP237" s="1"/>
      <c r="YQ237" s="1"/>
      <c r="YR237" s="1"/>
      <c r="YS237" s="1"/>
      <c r="YT237" s="1"/>
      <c r="YU237" s="1"/>
      <c r="YV237" s="1"/>
      <c r="YW237" s="1"/>
      <c r="YX237" s="1"/>
      <c r="YY237" s="1"/>
      <c r="YZ237" s="1"/>
      <c r="ZA237" s="1"/>
      <c r="ZB237" s="1"/>
      <c r="ZC237" s="1"/>
      <c r="ZD237" s="1"/>
      <c r="ZE237" s="1"/>
      <c r="ZF237" s="1"/>
      <c r="ZG237" s="1"/>
      <c r="ZH237" s="1"/>
      <c r="ZI237" s="1"/>
      <c r="ZJ237" s="1"/>
      <c r="ZK237" s="1"/>
      <c r="ZL237" s="1"/>
      <c r="ZM237" s="1"/>
      <c r="ZN237" s="1"/>
      <c r="ZO237" s="1"/>
      <c r="ZP237" s="1"/>
      <c r="ZQ237" s="1"/>
      <c r="ZR237" s="1"/>
      <c r="ZS237" s="1"/>
      <c r="ZT237" s="1"/>
      <c r="ZU237" s="1"/>
      <c r="ZV237" s="1"/>
      <c r="ZW237" s="1"/>
      <c r="ZX237" s="1"/>
      <c r="ZY237" s="1"/>
      <c r="ZZ237" s="1"/>
      <c r="AAA237" s="1"/>
      <c r="AAB237" s="1"/>
      <c r="AAC237" s="1"/>
      <c r="AAD237" s="1"/>
      <c r="AAE237" s="1"/>
      <c r="AAF237" s="1"/>
      <c r="AAG237" s="1"/>
      <c r="AAH237" s="1"/>
      <c r="AAI237" s="1"/>
      <c r="AAJ237" s="1"/>
      <c r="AAK237" s="1"/>
      <c r="AAL237" s="1"/>
      <c r="AAM237" s="1"/>
      <c r="AAN237" s="1"/>
      <c r="AAO237" s="1"/>
      <c r="AAP237" s="1"/>
      <c r="AAQ237" s="1"/>
      <c r="AAR237" s="1"/>
      <c r="AAS237" s="1"/>
      <c r="AAT237" s="1"/>
      <c r="AAU237" s="1"/>
      <c r="AAV237" s="1"/>
      <c r="AAW237" s="1"/>
      <c r="AAX237" s="1"/>
      <c r="AAY237" s="1"/>
      <c r="AAZ237" s="1"/>
      <c r="ABA237" s="1"/>
      <c r="ABB237" s="1"/>
      <c r="ABC237" s="1"/>
      <c r="ABD237" s="1"/>
      <c r="ABE237" s="1"/>
      <c r="ABF237" s="1"/>
      <c r="ABG237" s="1"/>
      <c r="ABH237" s="1"/>
      <c r="ABI237" s="1"/>
      <c r="ABJ237" s="1"/>
      <c r="ABK237" s="1"/>
      <c r="ABL237" s="1"/>
      <c r="ABM237" s="1"/>
      <c r="ABN237" s="1"/>
      <c r="ABO237" s="1"/>
      <c r="ABP237" s="1"/>
      <c r="ABQ237" s="1"/>
      <c r="ABR237" s="1"/>
      <c r="ABS237" s="1"/>
      <c r="ABT237" s="1"/>
      <c r="ABU237" s="1"/>
      <c r="ABV237" s="1"/>
      <c r="ABW237" s="1"/>
      <c r="ABX237" s="1"/>
      <c r="ABY237" s="1"/>
      <c r="ABZ237" s="1"/>
      <c r="ACA237" s="1"/>
      <c r="ACB237" s="1"/>
      <c r="ACC237" s="1"/>
      <c r="ACD237" s="1"/>
      <c r="ACE237" s="1"/>
      <c r="ACF237" s="1"/>
      <c r="ACG237" s="1"/>
      <c r="ACH237" s="1"/>
      <c r="ACI237" s="1"/>
      <c r="ACJ237" s="1"/>
      <c r="ACK237" s="1"/>
      <c r="ACL237" s="1"/>
      <c r="ACM237" s="1"/>
      <c r="ACN237" s="1"/>
      <c r="ACO237" s="1"/>
      <c r="ACP237" s="1"/>
      <c r="ACQ237" s="1"/>
      <c r="ACR237" s="1"/>
      <c r="ACS237" s="1"/>
      <c r="ACT237" s="1"/>
      <c r="ACU237" s="1"/>
      <c r="ACV237" s="1"/>
      <c r="ACW237" s="1"/>
      <c r="ACX237" s="1"/>
      <c r="ACY237" s="1"/>
      <c r="ACZ237" s="1"/>
      <c r="ADA237" s="1"/>
      <c r="ADB237" s="1"/>
      <c r="ADC237" s="1"/>
      <c r="ADD237" s="1"/>
      <c r="ADE237" s="1"/>
      <c r="ADF237" s="1"/>
      <c r="ADG237" s="1"/>
      <c r="ADH237" s="1"/>
      <c r="ADI237" s="1"/>
      <c r="ADJ237" s="1"/>
      <c r="ADK237" s="1"/>
      <c r="ADL237" s="1"/>
      <c r="ADM237" s="1"/>
      <c r="ADN237" s="1"/>
      <c r="ADO237" s="1"/>
      <c r="ADP237" s="1"/>
      <c r="ADQ237" s="1"/>
      <c r="ADR237" s="1"/>
      <c r="ADS237" s="1"/>
      <c r="ADT237" s="1"/>
      <c r="ADU237" s="1"/>
      <c r="ADV237" s="1"/>
      <c r="ADW237" s="1"/>
      <c r="ADX237" s="1"/>
      <c r="ADY237" s="1"/>
      <c r="ADZ237" s="1"/>
      <c r="AEA237" s="1"/>
      <c r="AEB237" s="1"/>
      <c r="AEC237" s="1"/>
      <c r="AED237" s="1"/>
      <c r="AEE237" s="1"/>
      <c r="AEF237" s="1"/>
      <c r="AEG237" s="1"/>
      <c r="AEH237" s="1"/>
      <c r="AEI237" s="1"/>
      <c r="AEJ237" s="1"/>
      <c r="AEK237" s="1"/>
      <c r="AEL237" s="1"/>
      <c r="AEM237" s="1"/>
      <c r="AEN237" s="1"/>
      <c r="AEO237" s="1"/>
      <c r="AEP237" s="1"/>
      <c r="AEQ237" s="1"/>
      <c r="AER237" s="1"/>
      <c r="AES237" s="1"/>
      <c r="AET237" s="1"/>
      <c r="AEU237" s="1"/>
      <c r="AEV237" s="1"/>
      <c r="AEW237" s="1"/>
      <c r="AEX237" s="1"/>
      <c r="AEY237" s="1"/>
      <c r="AEZ237" s="1"/>
      <c r="AFA237" s="1"/>
      <c r="AFB237" s="1"/>
      <c r="AFC237" s="1"/>
      <c r="AFD237" s="1"/>
      <c r="AFE237" s="1"/>
      <c r="AFF237" s="1"/>
      <c r="AFG237" s="1"/>
      <c r="AFH237" s="1"/>
      <c r="AFI237" s="1"/>
      <c r="AFJ237" s="1"/>
      <c r="AFK237" s="1"/>
      <c r="AFL237" s="1"/>
      <c r="AFM237" s="1"/>
      <c r="AFN237" s="1"/>
      <c r="AFO237" s="1"/>
      <c r="AFP237" s="1"/>
      <c r="AFQ237" s="1"/>
      <c r="AFR237" s="1"/>
      <c r="AFS237" s="1"/>
      <c r="AFT237" s="1"/>
      <c r="AFU237" s="1"/>
      <c r="AFV237" s="1"/>
      <c r="AFW237" s="1"/>
      <c r="AFX237" s="1"/>
      <c r="AFY237" s="1"/>
      <c r="AFZ237" s="1"/>
      <c r="AGA237" s="1"/>
      <c r="AGB237" s="1"/>
      <c r="AGC237" s="1"/>
      <c r="AGD237" s="1"/>
      <c r="AGE237" s="1"/>
      <c r="AGF237" s="1"/>
      <c r="AGG237" s="1"/>
      <c r="AGH237" s="1"/>
      <c r="AGI237" s="1"/>
      <c r="AGJ237" s="1"/>
      <c r="AGK237" s="1"/>
      <c r="AGL237" s="1"/>
      <c r="AGM237" s="1"/>
      <c r="AGN237" s="1"/>
      <c r="AGO237" s="1"/>
      <c r="AGP237" s="1"/>
      <c r="AGQ237" s="1"/>
      <c r="AGR237" s="1"/>
      <c r="AGS237" s="1"/>
      <c r="AGT237" s="1"/>
      <c r="AGU237" s="1"/>
      <c r="AGV237" s="1"/>
      <c r="AGW237" s="1"/>
      <c r="AGX237" s="1"/>
      <c r="AGY237" s="1"/>
      <c r="AGZ237" s="1"/>
      <c r="AHA237" s="1"/>
      <c r="AHB237" s="1"/>
      <c r="AHC237" s="1"/>
      <c r="AHD237" s="1"/>
      <c r="AHE237" s="1"/>
      <c r="AHF237" s="1"/>
      <c r="AHG237" s="1"/>
      <c r="AHH237" s="1"/>
      <c r="AHI237" s="1"/>
      <c r="AHJ237" s="1"/>
      <c r="AHK237" s="1"/>
      <c r="AHL237" s="1"/>
      <c r="AHM237" s="1"/>
      <c r="AHN237" s="1"/>
      <c r="AHO237" s="1"/>
      <c r="AHP237" s="1"/>
      <c r="AHQ237" s="1"/>
      <c r="AHR237" s="1"/>
      <c r="AHS237" s="1"/>
      <c r="AHT237" s="1"/>
      <c r="AHU237" s="1"/>
      <c r="AHV237" s="1"/>
      <c r="AHW237" s="1"/>
      <c r="AHX237" s="1"/>
      <c r="AHY237" s="1"/>
      <c r="AHZ237" s="1"/>
      <c r="AIA237" s="1"/>
      <c r="AIB237" s="1"/>
      <c r="AIC237" s="1"/>
      <c r="AID237" s="1"/>
      <c r="AIE237" s="1"/>
      <c r="AIF237" s="1"/>
      <c r="AIG237" s="1"/>
      <c r="AIH237" s="1"/>
      <c r="AII237" s="1"/>
      <c r="AIJ237" s="1"/>
      <c r="AIK237" s="1"/>
      <c r="AIL237" s="1"/>
      <c r="AIM237" s="1"/>
      <c r="AIN237" s="1"/>
      <c r="AIO237" s="1"/>
      <c r="AIP237" s="1"/>
      <c r="AIQ237" s="1"/>
      <c r="AIR237" s="1"/>
      <c r="AIS237" s="1"/>
      <c r="AIT237" s="1"/>
      <c r="AIU237" s="1"/>
      <c r="AIV237" s="1"/>
      <c r="AIW237" s="1"/>
      <c r="AIX237" s="1"/>
      <c r="AIY237" s="1"/>
      <c r="AIZ237" s="1"/>
      <c r="AJA237" s="1"/>
      <c r="AJB237" s="1"/>
      <c r="AJC237" s="1"/>
      <c r="AJD237" s="1"/>
      <c r="AJE237" s="1"/>
      <c r="AJF237" s="1"/>
      <c r="AJG237" s="1"/>
      <c r="AJH237" s="1"/>
      <c r="AJI237" s="1"/>
      <c r="AJJ237" s="1"/>
      <c r="AJK237" s="1"/>
      <c r="AJL237" s="1"/>
      <c r="AJM237" s="1"/>
      <c r="AJN237" s="1"/>
      <c r="AJO237" s="1"/>
      <c r="AJP237" s="1"/>
      <c r="AJQ237" s="1"/>
      <c r="AJR237" s="1"/>
      <c r="AJS237" s="1"/>
      <c r="AJT237" s="1"/>
      <c r="AJU237" s="1"/>
      <c r="AJV237" s="1"/>
      <c r="AJW237" s="1"/>
      <c r="AJX237" s="1"/>
      <c r="AJY237" s="1"/>
      <c r="AJZ237" s="1"/>
      <c r="AKA237" s="1"/>
      <c r="AKB237" s="1"/>
      <c r="AKC237" s="1"/>
      <c r="AKD237" s="1"/>
      <c r="AKE237" s="1"/>
      <c r="AKF237" s="1"/>
      <c r="AKG237" s="1"/>
      <c r="AKH237" s="1"/>
      <c r="AKI237" s="1"/>
      <c r="AKJ237" s="1"/>
      <c r="AKK237" s="1"/>
      <c r="AKL237" s="1"/>
      <c r="AKM237" s="1"/>
      <c r="AKN237" s="1"/>
      <c r="AKO237" s="1"/>
      <c r="AKP237" s="1"/>
      <c r="AKQ237" s="1"/>
      <c r="AKR237" s="1"/>
      <c r="AKS237" s="1"/>
      <c r="AKT237" s="1"/>
      <c r="AKU237" s="1"/>
      <c r="AKV237" s="1"/>
      <c r="AKW237" s="1"/>
      <c r="AKX237" s="1"/>
      <c r="AKY237" s="1"/>
      <c r="AKZ237" s="1"/>
      <c r="ALA237" s="1"/>
      <c r="ALB237" s="1"/>
      <c r="ALC237" s="1"/>
      <c r="ALD237" s="1"/>
      <c r="ALE237" s="1"/>
      <c r="ALF237" s="1"/>
      <c r="ALG237" s="1"/>
      <c r="ALH237" s="1"/>
      <c r="ALI237" s="1"/>
      <c r="ALJ237" s="1"/>
      <c r="ALK237" s="1"/>
      <c r="ALL237" s="1"/>
      <c r="ALM237" s="1"/>
      <c r="ALN237" s="1"/>
      <c r="ALO237" s="1"/>
      <c r="ALP237" s="1"/>
      <c r="ALQ237" s="1"/>
      <c r="ALR237" s="1"/>
      <c r="ALS237" s="1"/>
      <c r="ALT237" s="1"/>
      <c r="ALU237" s="1"/>
      <c r="ALV237" s="1"/>
      <c r="ALW237" s="1"/>
      <c r="ALX237" s="1"/>
      <c r="ALY237" s="1"/>
      <c r="ALZ237" s="1"/>
      <c r="AMA237" s="1"/>
      <c r="AMB237" s="1"/>
      <c r="AMC237" s="1"/>
      <c r="AMD237" s="1"/>
      <c r="AME237" s="1"/>
      <c r="AMF237" s="1"/>
      <c r="AMG237" s="1"/>
      <c r="AMH237" s="1"/>
      <c r="AMI237" s="1"/>
      <c r="AMJ237" s="1"/>
      <c r="AMK237" s="1"/>
      <c r="AML237" s="1"/>
      <c r="AMM237" s="1"/>
      <c r="AMN237" s="1"/>
      <c r="AMO237" s="1"/>
      <c r="AMP237" s="2"/>
    </row>
    <row r="238" spans="1:1030" x14ac:dyDescent="0.2">
      <c r="A238" s="3" t="str">
        <f t="shared" si="753"/>
        <v>ox1r_human_4ZJC</v>
      </c>
      <c r="B238" s="3" t="s">
        <v>1175</v>
      </c>
      <c r="C238" s="3" t="s">
        <v>91</v>
      </c>
      <c r="D238" s="3" t="str">
        <f>IFERROR(MID(VLOOKUP($B238,Seqs!$A:$B,2,0),E238,1),"")</f>
        <v>E</v>
      </c>
      <c r="E238" s="3">
        <v>46</v>
      </c>
      <c r="F238" s="3" t="str">
        <f>IFERROR(MID(VLOOKUP($B238,Seqs!$A:$B,2,0),G238,1),"")</f>
        <v>N</v>
      </c>
      <c r="G238" s="3">
        <v>74</v>
      </c>
      <c r="H238" s="3" t="str">
        <f>IFERROR(MID(VLOOKUP($B238,Seqs!$A:$B,2,0),I238,1),"")</f>
        <v>H</v>
      </c>
      <c r="I238" s="23">
        <v>75</v>
      </c>
      <c r="J238" s="3" t="str">
        <f>IFERROR(MID(VLOOKUP($B238,Seqs!$A:$B,2,0),K238,1),"")</f>
        <v>R</v>
      </c>
      <c r="K238" s="23">
        <v>78</v>
      </c>
      <c r="L238" s="3" t="str">
        <f>IFERROR(MID(VLOOKUP($B238,Seqs!$A:$B,2,0),M238,1),"")</f>
        <v>T</v>
      </c>
      <c r="M238" s="3">
        <v>79</v>
      </c>
      <c r="N238" s="3" t="str">
        <f>IFERROR(MID(VLOOKUP($B238,Seqs!$A:$B,2,0),O238,1),"")</f>
        <v>T</v>
      </c>
      <c r="O238" s="3">
        <v>109</v>
      </c>
      <c r="P238" s="3" t="str">
        <f>IFERROR(MID(VLOOKUP($B238,Seqs!$A:$B,2,0),Q238,1),"")</f>
        <v>S</v>
      </c>
      <c r="Q238" s="3">
        <v>111</v>
      </c>
      <c r="R238" s="3" t="str">
        <f>IFERROR(MID(VLOOKUP($B238,Seqs!$A:$B,2,0),S238,1),"")</f>
        <v>F</v>
      </c>
      <c r="S238" s="3">
        <v>114</v>
      </c>
      <c r="T238" s="3" t="str">
        <f>IFERROR(MID(VLOOKUP($B238,Seqs!$A:$B,2,0),U238,1),"")</f>
        <v>G</v>
      </c>
      <c r="U238" s="3">
        <v>115</v>
      </c>
      <c r="V238" s="3" t="str">
        <f>IFERROR(MID(VLOOKUP($B238,Seqs!$A:$B,2,0),W238,1),"")</f>
        <v>H</v>
      </c>
      <c r="W238" s="3">
        <v>150</v>
      </c>
      <c r="X238" s="3" t="str">
        <f>IFERROR(MID(VLOOKUP($B238,Seqs!$A:$B,2,0),Y238,1),"")</f>
        <v>P</v>
      </c>
      <c r="Y238" s="3">
        <v>151</v>
      </c>
      <c r="Z238" s="3" t="str">
        <f>IFERROR(MID(VLOOKUP($B238,Seqs!$A:$B,2,0),AA238,1),"")</f>
        <v>F</v>
      </c>
      <c r="AA238" s="3">
        <v>154</v>
      </c>
      <c r="AB238" s="3" t="str">
        <f>IFERROR(MID(VLOOKUP($B238,Seqs!$A:$B,2,0),AC238,1),"")</f>
        <v>T</v>
      </c>
      <c r="AC238" s="9">
        <v>157</v>
      </c>
      <c r="AD238" s="3" t="str">
        <f>IFERROR(MID(VLOOKUP($B238,Seqs!$A:$B,2,0),AE238,1),"")</f>
        <v>M</v>
      </c>
      <c r="AE238" s="3">
        <v>183</v>
      </c>
      <c r="AF238" s="3" t="str">
        <f>IFERROR(MID(VLOOKUP($B238,Seqs!$A:$B,2,0),AG238,1),"")</f>
        <v>C</v>
      </c>
      <c r="AG238" s="3">
        <v>202</v>
      </c>
      <c r="AH238" s="3" t="str">
        <f>IFERROR(MID(VLOOKUP($B238,Seqs!$A:$B,2,0),AI238,1),"")</f>
        <v>E</v>
      </c>
      <c r="AI238" s="3">
        <v>204</v>
      </c>
      <c r="AJ238" s="3" t="str">
        <f>IFERROR(MID(VLOOKUP($B238,Seqs!$A:$B,2,0),AK238,1),"")</f>
        <v>D</v>
      </c>
      <c r="AK238" s="3">
        <v>209</v>
      </c>
      <c r="AL238" s="3" t="str">
        <f>IFERROR(MID(VLOOKUP($B238,Seqs!$A:$B,2,0),AM238,1),"")</f>
        <v>L</v>
      </c>
      <c r="AM238" s="3">
        <v>242</v>
      </c>
      <c r="AN238" s="3" t="str">
        <f>IFERROR(MID(VLOOKUP($B238,Seqs!$A:$B,2,0),AO238,1),"")</f>
        <v>K</v>
      </c>
      <c r="AO238" s="3">
        <v>288</v>
      </c>
      <c r="AP238" s="3" t="str">
        <f>IFERROR(MID(VLOOKUP($B238,Seqs!$A:$B,2,0),AQ238,1),"")</f>
        <v>F</v>
      </c>
      <c r="AQ238" s="3">
        <v>324</v>
      </c>
      <c r="AR238" s="3" t="str">
        <f>IFERROR(MID(VLOOKUP($B238,Seqs!$A:$B,2,0),AS238,1),"")</f>
        <v>R</v>
      </c>
      <c r="AS238" s="3">
        <v>333</v>
      </c>
      <c r="AT238" s="3" t="str">
        <f>IFERROR(MID(VLOOKUP($B238,Seqs!$A:$B,2,0),AU238,1),"")</f>
        <v>L</v>
      </c>
      <c r="AU238" s="3">
        <v>361</v>
      </c>
      <c r="AV238" s="3" t="str">
        <f>IFERROR(MID(VLOOKUP($B238,Seqs!$A:$B,2,0),AW238,1),"")</f>
        <v>S</v>
      </c>
      <c r="AW238" s="3">
        <v>362</v>
      </c>
      <c r="AX238" s="3" t="str">
        <f>IFERROR(MID(VLOOKUP($B238,Seqs!$A:$B,2,0),AY238,1),"")</f>
        <v>F</v>
      </c>
      <c r="AY238" s="3">
        <v>373</v>
      </c>
      <c r="AZ238" s="77" t="str">
        <f>VLOOKUP(B238,Classification!A:D,2,0)</f>
        <v>A</v>
      </c>
      <c r="BA238" s="94" t="str">
        <f>VLOOKUP(B238,Classification!A:D,4,0)</f>
        <v>Orexin</v>
      </c>
      <c r="BB238" s="27" t="b">
        <f t="shared" si="754"/>
        <v>1</v>
      </c>
      <c r="BC238" s="23">
        <f t="shared" si="727"/>
        <v>250</v>
      </c>
      <c r="BD238" s="2" t="s">
        <v>23</v>
      </c>
      <c r="BE238" s="3" t="s">
        <v>1381</v>
      </c>
      <c r="BF238" s="119">
        <v>2.83</v>
      </c>
      <c r="BG238" s="49" t="s">
        <v>1384</v>
      </c>
      <c r="BH238" s="49" t="s">
        <v>1384</v>
      </c>
      <c r="BI238" s="1"/>
      <c r="BJ238" s="70" t="s">
        <v>1293</v>
      </c>
      <c r="BK238" s="57" t="s">
        <v>1293</v>
      </c>
      <c r="BL238" s="57" t="s">
        <v>1293</v>
      </c>
      <c r="BM238" s="57" t="s">
        <v>1293</v>
      </c>
      <c r="BN238" s="57" t="s">
        <v>1293</v>
      </c>
      <c r="BO238" s="57" t="s">
        <v>1293</v>
      </c>
      <c r="BP238" s="57" t="s">
        <v>1293</v>
      </c>
      <c r="BQ238" s="57" t="s">
        <v>1293</v>
      </c>
      <c r="BR238" s="57" t="s">
        <v>1293</v>
      </c>
      <c r="BS238" s="57" t="s">
        <v>1293</v>
      </c>
      <c r="BT238" s="57" t="s">
        <v>1293</v>
      </c>
      <c r="BU238" s="57" t="s">
        <v>1293</v>
      </c>
      <c r="BV238" s="70">
        <f t="shared" si="728"/>
        <v>46</v>
      </c>
      <c r="BW238" s="71">
        <f t="shared" si="729"/>
        <v>75</v>
      </c>
      <c r="BX238" s="72">
        <f t="shared" si="730"/>
        <v>79</v>
      </c>
      <c r="BY238" s="71">
        <f t="shared" si="731"/>
        <v>111</v>
      </c>
      <c r="BZ238" s="72">
        <f t="shared" si="732"/>
        <v>115</v>
      </c>
      <c r="CA238" s="71">
        <f t="shared" si="733"/>
        <v>151</v>
      </c>
      <c r="CB238" s="72">
        <f t="shared" si="734"/>
        <v>157</v>
      </c>
      <c r="CC238" s="71">
        <f t="shared" si="735"/>
        <v>202</v>
      </c>
      <c r="CD238" s="72">
        <f t="shared" si="736"/>
        <v>209</v>
      </c>
      <c r="CE238" s="71">
        <f t="shared" si="737"/>
        <v>288</v>
      </c>
      <c r="CF238" s="72">
        <f t="shared" si="738"/>
        <v>333</v>
      </c>
      <c r="CG238" s="71">
        <f t="shared" si="739"/>
        <v>362</v>
      </c>
      <c r="CH238" s="70">
        <f t="shared" si="740"/>
        <v>74</v>
      </c>
      <c r="CI238" s="71">
        <f t="shared" si="741"/>
        <v>78</v>
      </c>
      <c r="CJ238" s="72">
        <f t="shared" si="742"/>
        <v>109</v>
      </c>
      <c r="CK238" s="72">
        <f t="shared" si="743"/>
        <v>114</v>
      </c>
      <c r="CL238" s="72">
        <f t="shared" si="744"/>
        <v>150</v>
      </c>
      <c r="CM238" s="72">
        <f t="shared" si="745"/>
        <v>154</v>
      </c>
      <c r="CN238" s="72">
        <f t="shared" si="746"/>
        <v>183</v>
      </c>
      <c r="CO238" s="72">
        <f t="shared" si="747"/>
        <v>204</v>
      </c>
      <c r="CP238" s="72">
        <f t="shared" si="748"/>
        <v>242</v>
      </c>
      <c r="CQ238" s="72">
        <f t="shared" si="749"/>
        <v>324</v>
      </c>
      <c r="CR238" s="72">
        <f t="shared" si="750"/>
        <v>361</v>
      </c>
      <c r="CS238" s="72">
        <f t="shared" si="751"/>
        <v>373</v>
      </c>
      <c r="CT238" s="23">
        <f t="shared" si="752"/>
        <v>1</v>
      </c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  <c r="OK238" s="1"/>
      <c r="OL238" s="1"/>
      <c r="OM238" s="1"/>
      <c r="ON238" s="1"/>
      <c r="OO238" s="1"/>
      <c r="OP238" s="1"/>
      <c r="OQ238" s="1"/>
      <c r="OR238" s="1"/>
      <c r="OS238" s="1"/>
      <c r="OT238" s="1"/>
      <c r="OU238" s="1"/>
      <c r="OV238" s="1"/>
      <c r="OW238" s="1"/>
      <c r="OX238" s="1"/>
      <c r="OY238" s="1"/>
      <c r="OZ238" s="1"/>
      <c r="PA238" s="1"/>
      <c r="PB238" s="1"/>
      <c r="PC238" s="1"/>
      <c r="PD238" s="1"/>
      <c r="PE238" s="1"/>
      <c r="PF238" s="1"/>
      <c r="PG238" s="1"/>
      <c r="PH238" s="1"/>
      <c r="PI238" s="1"/>
      <c r="PJ238" s="1"/>
      <c r="PK238" s="1"/>
      <c r="PL238" s="1"/>
      <c r="PM238" s="1"/>
      <c r="PN238" s="1"/>
      <c r="PO238" s="1"/>
      <c r="PP238" s="1"/>
      <c r="PQ238" s="1"/>
      <c r="PR238" s="1"/>
      <c r="PS238" s="1"/>
      <c r="PT238" s="1"/>
      <c r="PU238" s="1"/>
      <c r="PV238" s="1"/>
      <c r="PW238" s="1"/>
      <c r="PX238" s="1"/>
      <c r="PY238" s="1"/>
      <c r="PZ238" s="1"/>
      <c r="QA238" s="1"/>
      <c r="QB238" s="1"/>
      <c r="QC238" s="1"/>
      <c r="QD238" s="1"/>
      <c r="QE238" s="1"/>
      <c r="QF238" s="1"/>
      <c r="QG238" s="1"/>
      <c r="QH238" s="1"/>
      <c r="QI238" s="1"/>
      <c r="QJ238" s="1"/>
      <c r="QK238" s="1"/>
      <c r="QL238" s="1"/>
      <c r="QM238" s="1"/>
      <c r="QN238" s="1"/>
      <c r="QO238" s="1"/>
      <c r="QP238" s="1"/>
      <c r="QQ238" s="1"/>
      <c r="QR238" s="1"/>
      <c r="QS238" s="1"/>
      <c r="QT238" s="1"/>
      <c r="QU238" s="1"/>
      <c r="QV238" s="1"/>
      <c r="QW238" s="1"/>
      <c r="QX238" s="1"/>
      <c r="QY238" s="1"/>
      <c r="QZ238" s="1"/>
      <c r="RA238" s="1"/>
      <c r="RB238" s="1"/>
      <c r="RC238" s="1"/>
      <c r="RD238" s="1"/>
      <c r="RE238" s="1"/>
      <c r="RF238" s="1"/>
      <c r="RG238" s="1"/>
      <c r="RH238" s="1"/>
      <c r="RI238" s="1"/>
      <c r="RJ238" s="1"/>
      <c r="RK238" s="1"/>
      <c r="RL238" s="1"/>
      <c r="RM238" s="1"/>
      <c r="RN238" s="1"/>
      <c r="RO238" s="1"/>
      <c r="RP238" s="1"/>
      <c r="RQ238" s="1"/>
      <c r="RR238" s="1"/>
      <c r="RS238" s="1"/>
      <c r="RT238" s="1"/>
      <c r="RU238" s="1"/>
      <c r="RV238" s="1"/>
      <c r="RW238" s="1"/>
      <c r="RX238" s="1"/>
      <c r="RY238" s="1"/>
      <c r="RZ238" s="1"/>
      <c r="SA238" s="1"/>
      <c r="SB238" s="1"/>
      <c r="SC238" s="1"/>
      <c r="SD238" s="1"/>
      <c r="SE238" s="1"/>
      <c r="SF238" s="1"/>
      <c r="SG238" s="1"/>
      <c r="SH238" s="1"/>
      <c r="SI238" s="1"/>
      <c r="SJ238" s="1"/>
      <c r="SK238" s="1"/>
      <c r="SL238" s="1"/>
      <c r="SM238" s="1"/>
      <c r="SN238" s="1"/>
      <c r="SO238" s="1"/>
      <c r="SP238" s="1"/>
      <c r="SQ238" s="1"/>
      <c r="SR238" s="1"/>
      <c r="SS238" s="1"/>
      <c r="ST238" s="1"/>
      <c r="SU238" s="1"/>
      <c r="SV238" s="1"/>
      <c r="SW238" s="1"/>
      <c r="SX238" s="1"/>
      <c r="SY238" s="1"/>
      <c r="SZ238" s="1"/>
      <c r="TA238" s="1"/>
      <c r="TB238" s="1"/>
      <c r="TC238" s="1"/>
      <c r="TD238" s="1"/>
      <c r="TE238" s="1"/>
      <c r="TF238" s="1"/>
      <c r="TG238" s="1"/>
      <c r="TH238" s="1"/>
      <c r="TI238" s="1"/>
      <c r="TJ238" s="1"/>
      <c r="TK238" s="1"/>
      <c r="TL238" s="1"/>
      <c r="TM238" s="1"/>
      <c r="TN238" s="1"/>
      <c r="TO238" s="1"/>
      <c r="TP238" s="1"/>
      <c r="TQ238" s="1"/>
      <c r="TR238" s="1"/>
      <c r="TS238" s="1"/>
      <c r="TT238" s="1"/>
      <c r="TU238" s="1"/>
      <c r="TV238" s="1"/>
      <c r="TW238" s="1"/>
      <c r="TX238" s="1"/>
      <c r="TY238" s="1"/>
      <c r="TZ238" s="1"/>
      <c r="UA238" s="1"/>
      <c r="UB238" s="1"/>
      <c r="UC238" s="1"/>
      <c r="UD238" s="1"/>
      <c r="UE238" s="1"/>
      <c r="UF238" s="1"/>
      <c r="UG238" s="1"/>
      <c r="UH238" s="1"/>
      <c r="UI238" s="1"/>
      <c r="UJ238" s="1"/>
      <c r="UK238" s="1"/>
      <c r="UL238" s="1"/>
      <c r="UM238" s="1"/>
      <c r="UN238" s="1"/>
      <c r="UO238" s="1"/>
      <c r="UP238" s="1"/>
      <c r="UQ238" s="1"/>
      <c r="UR238" s="1"/>
      <c r="US238" s="1"/>
      <c r="UT238" s="1"/>
      <c r="UU238" s="1"/>
      <c r="UV238" s="1"/>
      <c r="UW238" s="1"/>
      <c r="UX238" s="1"/>
      <c r="UY238" s="1"/>
      <c r="UZ238" s="1"/>
      <c r="VA238" s="1"/>
      <c r="VB238" s="1"/>
      <c r="VC238" s="1"/>
      <c r="VD238" s="1"/>
      <c r="VE238" s="1"/>
      <c r="VF238" s="1"/>
      <c r="VG238" s="1"/>
      <c r="VH238" s="1"/>
      <c r="VI238" s="1"/>
      <c r="VJ238" s="1"/>
      <c r="VK238" s="1"/>
      <c r="VL238" s="1"/>
      <c r="VM238" s="1"/>
      <c r="VN238" s="1"/>
      <c r="VO238" s="1"/>
      <c r="VP238" s="1"/>
      <c r="VQ238" s="1"/>
      <c r="VR238" s="1"/>
      <c r="VS238" s="1"/>
      <c r="VT238" s="1"/>
      <c r="VU238" s="1"/>
      <c r="VV238" s="1"/>
      <c r="VW238" s="1"/>
      <c r="VX238" s="1"/>
      <c r="VY238" s="1"/>
      <c r="VZ238" s="1"/>
      <c r="WA238" s="1"/>
      <c r="WB238" s="1"/>
      <c r="WC238" s="1"/>
      <c r="WD238" s="1"/>
      <c r="WE238" s="1"/>
      <c r="WF238" s="1"/>
      <c r="WG238" s="1"/>
      <c r="WH238" s="1"/>
      <c r="WI238" s="1"/>
      <c r="WJ238" s="1"/>
      <c r="WK238" s="1"/>
      <c r="WL238" s="1"/>
      <c r="WM238" s="1"/>
      <c r="WN238" s="1"/>
      <c r="WO238" s="1"/>
      <c r="WP238" s="1"/>
      <c r="WQ238" s="1"/>
      <c r="WR238" s="1"/>
      <c r="WS238" s="1"/>
      <c r="WT238" s="1"/>
      <c r="WU238" s="1"/>
      <c r="WV238" s="1"/>
      <c r="WW238" s="1"/>
      <c r="WX238" s="1"/>
      <c r="WY238" s="1"/>
      <c r="WZ238" s="1"/>
      <c r="XA238" s="1"/>
      <c r="XB238" s="1"/>
      <c r="XC238" s="1"/>
      <c r="XD238" s="1"/>
      <c r="XE238" s="1"/>
      <c r="XF238" s="1"/>
      <c r="XG238" s="1"/>
      <c r="XH238" s="1"/>
      <c r="XI238" s="1"/>
      <c r="XJ238" s="1"/>
      <c r="XK238" s="1"/>
      <c r="XL238" s="1"/>
      <c r="XM238" s="1"/>
      <c r="XN238" s="1"/>
      <c r="XO238" s="1"/>
      <c r="XP238" s="1"/>
      <c r="XQ238" s="1"/>
      <c r="XR238" s="1"/>
      <c r="XS238" s="1"/>
      <c r="XT238" s="1"/>
      <c r="XU238" s="1"/>
      <c r="XV238" s="1"/>
      <c r="XW238" s="1"/>
      <c r="XX238" s="1"/>
      <c r="XY238" s="1"/>
      <c r="XZ238" s="1"/>
      <c r="YA238" s="1"/>
      <c r="YB238" s="1"/>
      <c r="YC238" s="1"/>
      <c r="YD238" s="1"/>
      <c r="YE238" s="1"/>
      <c r="YF238" s="1"/>
      <c r="YG238" s="1"/>
      <c r="YH238" s="1"/>
      <c r="YI238" s="1"/>
      <c r="YJ238" s="1"/>
      <c r="YK238" s="1"/>
      <c r="YL238" s="1"/>
      <c r="YM238" s="1"/>
      <c r="YN238" s="1"/>
      <c r="YO238" s="1"/>
      <c r="YP238" s="1"/>
      <c r="YQ238" s="1"/>
      <c r="YR238" s="1"/>
      <c r="YS238" s="1"/>
      <c r="YT238" s="1"/>
      <c r="YU238" s="1"/>
      <c r="YV238" s="1"/>
      <c r="YW238" s="1"/>
      <c r="YX238" s="1"/>
      <c r="YY238" s="1"/>
      <c r="YZ238" s="1"/>
      <c r="ZA238" s="1"/>
      <c r="ZB238" s="1"/>
      <c r="ZC238" s="1"/>
      <c r="ZD238" s="1"/>
      <c r="ZE238" s="1"/>
      <c r="ZF238" s="1"/>
      <c r="ZG238" s="1"/>
      <c r="ZH238" s="1"/>
      <c r="ZI238" s="1"/>
      <c r="ZJ238" s="1"/>
      <c r="ZK238" s="1"/>
      <c r="ZL238" s="1"/>
      <c r="ZM238" s="1"/>
      <c r="ZN238" s="1"/>
      <c r="ZO238" s="1"/>
      <c r="ZP238" s="1"/>
      <c r="ZQ238" s="1"/>
      <c r="ZR238" s="1"/>
      <c r="ZS238" s="1"/>
      <c r="ZT238" s="1"/>
      <c r="ZU238" s="1"/>
      <c r="ZV238" s="1"/>
      <c r="ZW238" s="1"/>
      <c r="ZX238" s="1"/>
      <c r="ZY238" s="1"/>
      <c r="ZZ238" s="1"/>
      <c r="AAA238" s="1"/>
      <c r="AAB238" s="1"/>
      <c r="AAC238" s="1"/>
      <c r="AAD238" s="1"/>
      <c r="AAE238" s="1"/>
      <c r="AAF238" s="1"/>
      <c r="AAG238" s="1"/>
      <c r="AAH238" s="1"/>
      <c r="AAI238" s="1"/>
      <c r="AAJ238" s="1"/>
      <c r="AAK238" s="1"/>
      <c r="AAL238" s="1"/>
      <c r="AAM238" s="1"/>
      <c r="AAN238" s="1"/>
      <c r="AAO238" s="1"/>
      <c r="AAP238" s="1"/>
      <c r="AAQ238" s="1"/>
      <c r="AAR238" s="1"/>
      <c r="AAS238" s="1"/>
      <c r="AAT238" s="1"/>
      <c r="AAU238" s="1"/>
      <c r="AAV238" s="1"/>
      <c r="AAW238" s="1"/>
      <c r="AAX238" s="1"/>
      <c r="AAY238" s="1"/>
      <c r="AAZ238" s="1"/>
      <c r="ABA238" s="1"/>
      <c r="ABB238" s="1"/>
      <c r="ABC238" s="1"/>
      <c r="ABD238" s="1"/>
      <c r="ABE238" s="1"/>
      <c r="ABF238" s="1"/>
      <c r="ABG238" s="1"/>
      <c r="ABH238" s="1"/>
      <c r="ABI238" s="1"/>
      <c r="ABJ238" s="1"/>
      <c r="ABK238" s="1"/>
      <c r="ABL238" s="1"/>
      <c r="ABM238" s="1"/>
      <c r="ABN238" s="1"/>
      <c r="ABO238" s="1"/>
      <c r="ABP238" s="1"/>
      <c r="ABQ238" s="1"/>
      <c r="ABR238" s="1"/>
      <c r="ABS238" s="1"/>
      <c r="ABT238" s="1"/>
      <c r="ABU238" s="1"/>
      <c r="ABV238" s="1"/>
      <c r="ABW238" s="1"/>
      <c r="ABX238" s="1"/>
      <c r="ABY238" s="1"/>
      <c r="ABZ238" s="1"/>
      <c r="ACA238" s="1"/>
      <c r="ACB238" s="1"/>
      <c r="ACC238" s="1"/>
      <c r="ACD238" s="1"/>
      <c r="ACE238" s="1"/>
      <c r="ACF238" s="1"/>
      <c r="ACG238" s="1"/>
      <c r="ACH238" s="1"/>
      <c r="ACI238" s="1"/>
      <c r="ACJ238" s="1"/>
      <c r="ACK238" s="1"/>
      <c r="ACL238" s="1"/>
      <c r="ACM238" s="1"/>
      <c r="ACN238" s="1"/>
      <c r="ACO238" s="1"/>
      <c r="ACP238" s="1"/>
      <c r="ACQ238" s="1"/>
      <c r="ACR238" s="1"/>
      <c r="ACS238" s="1"/>
      <c r="ACT238" s="1"/>
      <c r="ACU238" s="1"/>
      <c r="ACV238" s="1"/>
      <c r="ACW238" s="1"/>
      <c r="ACX238" s="1"/>
      <c r="ACY238" s="1"/>
      <c r="ACZ238" s="1"/>
      <c r="ADA238" s="1"/>
      <c r="ADB238" s="1"/>
      <c r="ADC238" s="1"/>
      <c r="ADD238" s="1"/>
      <c r="ADE238" s="1"/>
      <c r="ADF238" s="1"/>
      <c r="ADG238" s="1"/>
      <c r="ADH238" s="1"/>
      <c r="ADI238" s="1"/>
      <c r="ADJ238" s="1"/>
      <c r="ADK238" s="1"/>
      <c r="ADL238" s="1"/>
      <c r="ADM238" s="1"/>
      <c r="ADN238" s="1"/>
      <c r="ADO238" s="1"/>
      <c r="ADP238" s="1"/>
      <c r="ADQ238" s="1"/>
      <c r="ADR238" s="1"/>
      <c r="ADS238" s="1"/>
      <c r="ADT238" s="1"/>
      <c r="ADU238" s="1"/>
      <c r="ADV238" s="1"/>
      <c r="ADW238" s="1"/>
      <c r="ADX238" s="1"/>
      <c r="ADY238" s="1"/>
      <c r="ADZ238" s="1"/>
      <c r="AEA238" s="1"/>
      <c r="AEB238" s="1"/>
      <c r="AEC238" s="1"/>
      <c r="AED238" s="1"/>
      <c r="AEE238" s="1"/>
      <c r="AEF238" s="1"/>
      <c r="AEG238" s="1"/>
      <c r="AEH238" s="1"/>
      <c r="AEI238" s="1"/>
      <c r="AEJ238" s="1"/>
      <c r="AEK238" s="1"/>
      <c r="AEL238" s="1"/>
      <c r="AEM238" s="1"/>
      <c r="AEN238" s="1"/>
      <c r="AEO238" s="1"/>
      <c r="AEP238" s="1"/>
      <c r="AEQ238" s="1"/>
      <c r="AER238" s="1"/>
      <c r="AES238" s="1"/>
      <c r="AET238" s="1"/>
      <c r="AEU238" s="1"/>
      <c r="AEV238" s="1"/>
      <c r="AEW238" s="1"/>
      <c r="AEX238" s="1"/>
      <c r="AEY238" s="1"/>
      <c r="AEZ238" s="1"/>
      <c r="AFA238" s="1"/>
      <c r="AFB238" s="1"/>
      <c r="AFC238" s="1"/>
      <c r="AFD238" s="1"/>
      <c r="AFE238" s="1"/>
      <c r="AFF238" s="1"/>
      <c r="AFG238" s="1"/>
      <c r="AFH238" s="1"/>
      <c r="AFI238" s="1"/>
      <c r="AFJ238" s="1"/>
      <c r="AFK238" s="1"/>
      <c r="AFL238" s="1"/>
      <c r="AFM238" s="1"/>
      <c r="AFN238" s="1"/>
      <c r="AFO238" s="1"/>
      <c r="AFP238" s="1"/>
      <c r="AFQ238" s="1"/>
      <c r="AFR238" s="1"/>
      <c r="AFS238" s="1"/>
      <c r="AFT238" s="1"/>
      <c r="AFU238" s="1"/>
      <c r="AFV238" s="1"/>
      <c r="AFW238" s="1"/>
      <c r="AFX238" s="1"/>
      <c r="AFY238" s="1"/>
      <c r="AFZ238" s="1"/>
      <c r="AGA238" s="1"/>
      <c r="AGB238" s="1"/>
      <c r="AGC238" s="1"/>
      <c r="AGD238" s="1"/>
      <c r="AGE238" s="1"/>
      <c r="AGF238" s="1"/>
      <c r="AGG238" s="1"/>
      <c r="AGH238" s="1"/>
      <c r="AGI238" s="1"/>
      <c r="AGJ238" s="1"/>
      <c r="AGK238" s="1"/>
      <c r="AGL238" s="1"/>
      <c r="AGM238" s="1"/>
      <c r="AGN238" s="1"/>
      <c r="AGO238" s="1"/>
      <c r="AGP238" s="1"/>
      <c r="AGQ238" s="1"/>
      <c r="AGR238" s="1"/>
      <c r="AGS238" s="1"/>
      <c r="AGT238" s="1"/>
      <c r="AGU238" s="1"/>
      <c r="AGV238" s="1"/>
      <c r="AGW238" s="1"/>
      <c r="AGX238" s="1"/>
      <c r="AGY238" s="1"/>
      <c r="AGZ238" s="1"/>
      <c r="AHA238" s="1"/>
      <c r="AHB238" s="1"/>
      <c r="AHC238" s="1"/>
      <c r="AHD238" s="1"/>
      <c r="AHE238" s="1"/>
      <c r="AHF238" s="1"/>
      <c r="AHG238" s="1"/>
      <c r="AHH238" s="1"/>
      <c r="AHI238" s="1"/>
      <c r="AHJ238" s="1"/>
      <c r="AHK238" s="1"/>
      <c r="AHL238" s="1"/>
      <c r="AHM238" s="1"/>
      <c r="AHN238" s="1"/>
      <c r="AHO238" s="1"/>
      <c r="AHP238" s="1"/>
      <c r="AHQ238" s="1"/>
      <c r="AHR238" s="1"/>
      <c r="AHS238" s="1"/>
      <c r="AHT238" s="1"/>
      <c r="AHU238" s="1"/>
      <c r="AHV238" s="1"/>
      <c r="AHW238" s="1"/>
      <c r="AHX238" s="1"/>
      <c r="AHY238" s="1"/>
      <c r="AHZ238" s="1"/>
      <c r="AIA238" s="1"/>
      <c r="AIB238" s="1"/>
      <c r="AIC238" s="1"/>
      <c r="AID238" s="1"/>
      <c r="AIE238" s="1"/>
      <c r="AIF238" s="1"/>
      <c r="AIG238" s="1"/>
      <c r="AIH238" s="1"/>
      <c r="AII238" s="1"/>
      <c r="AIJ238" s="1"/>
      <c r="AIK238" s="1"/>
      <c r="AIL238" s="1"/>
      <c r="AIM238" s="1"/>
      <c r="AIN238" s="1"/>
      <c r="AIO238" s="1"/>
      <c r="AIP238" s="1"/>
      <c r="AIQ238" s="1"/>
      <c r="AIR238" s="1"/>
      <c r="AIS238" s="1"/>
      <c r="AIT238" s="1"/>
      <c r="AIU238" s="1"/>
      <c r="AIV238" s="1"/>
      <c r="AIW238" s="1"/>
      <c r="AIX238" s="1"/>
      <c r="AIY238" s="1"/>
      <c r="AIZ238" s="1"/>
      <c r="AJA238" s="1"/>
      <c r="AJB238" s="1"/>
      <c r="AJC238" s="1"/>
      <c r="AJD238" s="1"/>
      <c r="AJE238" s="1"/>
      <c r="AJF238" s="1"/>
      <c r="AJG238" s="1"/>
      <c r="AJH238" s="1"/>
      <c r="AJI238" s="1"/>
      <c r="AJJ238" s="1"/>
      <c r="AJK238" s="1"/>
      <c r="AJL238" s="1"/>
      <c r="AJM238" s="1"/>
      <c r="AJN238" s="1"/>
      <c r="AJO238" s="1"/>
      <c r="AJP238" s="1"/>
      <c r="AJQ238" s="1"/>
      <c r="AJR238" s="1"/>
      <c r="AJS238" s="1"/>
      <c r="AJT238" s="1"/>
      <c r="AJU238" s="1"/>
      <c r="AJV238" s="1"/>
      <c r="AJW238" s="1"/>
      <c r="AJX238" s="1"/>
      <c r="AJY238" s="1"/>
      <c r="AJZ238" s="1"/>
      <c r="AKA238" s="1"/>
      <c r="AKB238" s="1"/>
      <c r="AKC238" s="1"/>
      <c r="AKD238" s="1"/>
      <c r="AKE238" s="1"/>
      <c r="AKF238" s="1"/>
      <c r="AKG238" s="1"/>
      <c r="AKH238" s="1"/>
      <c r="AKI238" s="1"/>
      <c r="AKJ238" s="1"/>
      <c r="AKK238" s="1"/>
      <c r="AKL238" s="1"/>
      <c r="AKM238" s="1"/>
      <c r="AKN238" s="1"/>
      <c r="AKO238" s="1"/>
      <c r="AKP238" s="1"/>
      <c r="AKQ238" s="1"/>
      <c r="AKR238" s="1"/>
      <c r="AKS238" s="1"/>
      <c r="AKT238" s="1"/>
      <c r="AKU238" s="1"/>
      <c r="AKV238" s="1"/>
      <c r="AKW238" s="1"/>
      <c r="AKX238" s="1"/>
      <c r="AKY238" s="1"/>
      <c r="AKZ238" s="1"/>
      <c r="ALA238" s="1"/>
      <c r="ALB238" s="1"/>
      <c r="ALC238" s="1"/>
      <c r="ALD238" s="1"/>
      <c r="ALE238" s="1"/>
      <c r="ALF238" s="1"/>
      <c r="ALG238" s="1"/>
      <c r="ALH238" s="1"/>
      <c r="ALI238" s="1"/>
      <c r="ALJ238" s="1"/>
      <c r="ALK238" s="1"/>
      <c r="ALL238" s="1"/>
      <c r="ALM238" s="1"/>
      <c r="ALN238" s="1"/>
      <c r="ALO238" s="1"/>
      <c r="ALP238" s="1"/>
      <c r="ALQ238" s="1"/>
      <c r="ALR238" s="1"/>
      <c r="ALS238" s="1"/>
      <c r="ALT238" s="1"/>
      <c r="ALU238" s="1"/>
      <c r="ALV238" s="1"/>
      <c r="ALW238" s="1"/>
      <c r="ALX238" s="1"/>
      <c r="ALY238" s="1"/>
      <c r="ALZ238" s="1"/>
      <c r="AMA238" s="1"/>
      <c r="AMB238" s="1"/>
      <c r="AMC238" s="1"/>
      <c r="AMD238" s="1"/>
      <c r="AME238" s="1"/>
      <c r="AMF238" s="1"/>
      <c r="AMG238" s="1"/>
      <c r="AMH238" s="1"/>
      <c r="AMI238" s="1"/>
      <c r="AMJ238" s="1"/>
      <c r="AMK238" s="1"/>
      <c r="AML238" s="1"/>
      <c r="AMM238" s="1"/>
      <c r="AMN238" s="1"/>
      <c r="AMO238" s="1"/>
      <c r="AMP238" s="2"/>
    </row>
    <row r="239" spans="1:1030" x14ac:dyDescent="0.2">
      <c r="A239" s="3" t="str">
        <f t="shared" si="753"/>
        <v>ox2r_human__wt</v>
      </c>
      <c r="B239" s="3" t="s">
        <v>1176</v>
      </c>
      <c r="C239" s="3" t="s">
        <v>100</v>
      </c>
      <c r="D239" s="3" t="str">
        <f>IFERROR(MID(VLOOKUP($B239,Seqs!$A:$B,2,0),E239,1),"")</f>
        <v>Y</v>
      </c>
      <c r="E239" s="3">
        <v>53</v>
      </c>
      <c r="F239" s="3" t="str">
        <f>IFERROR(MID(VLOOKUP($B239,Seqs!$A:$B,2,0),G239,1),"")</f>
        <v>N</v>
      </c>
      <c r="G239" s="3">
        <v>82</v>
      </c>
      <c r="H239" s="3" t="str">
        <f>IFERROR(MID(VLOOKUP($B239,Seqs!$A:$B,2,0),I239,1),"")</f>
        <v>H</v>
      </c>
      <c r="I239" s="23">
        <v>83</v>
      </c>
      <c r="J239" s="3" t="str">
        <f>IFERROR(MID(VLOOKUP($B239,Seqs!$A:$B,2,0),K239,1),"")</f>
        <v>R</v>
      </c>
      <c r="K239" s="23">
        <v>86</v>
      </c>
      <c r="L239" s="3" t="str">
        <f>IFERROR(MID(VLOOKUP($B239,Seqs!$A:$B,2,0),M239,1),"")</f>
        <v>T</v>
      </c>
      <c r="M239" s="3">
        <v>87</v>
      </c>
      <c r="N239" s="3" t="str">
        <f>IFERROR(MID(VLOOKUP($B239,Seqs!$A:$B,2,0),O239,1),"")</f>
        <v>E</v>
      </c>
      <c r="O239" s="105">
        <v>118</v>
      </c>
      <c r="P239" s="3" t="str">
        <f>IFERROR(MID(VLOOKUP($B239,Seqs!$A:$B,2,0),Q239,1),"")</f>
        <v>T</v>
      </c>
      <c r="Q239" s="3">
        <v>119</v>
      </c>
      <c r="R239" s="3" t="str">
        <f>IFERROR(MID(VLOOKUP($B239,Seqs!$A:$B,2,0),S239,1),"")</f>
        <v>F</v>
      </c>
      <c r="S239" s="3">
        <v>122</v>
      </c>
      <c r="T239" s="3" t="str">
        <f>IFERROR(MID(VLOOKUP($B239,Seqs!$A:$B,2,0),U239,1),"")</f>
        <v>G</v>
      </c>
      <c r="U239" s="3">
        <v>123</v>
      </c>
      <c r="V239" s="3" t="str">
        <f>IFERROR(MID(VLOOKUP($B239,Seqs!$A:$B,2,0),W239,1),"")</f>
        <v>H</v>
      </c>
      <c r="W239" s="3">
        <v>158</v>
      </c>
      <c r="X239" s="3" t="str">
        <f>IFERROR(MID(VLOOKUP($B239,Seqs!$A:$B,2,0),Y239,1),"")</f>
        <v>P</v>
      </c>
      <c r="Y239" s="3">
        <v>159</v>
      </c>
      <c r="Z239" s="3" t="str">
        <f>IFERROR(MID(VLOOKUP($B239,Seqs!$A:$B,2,0),AA239,1),"")</f>
        <v>F</v>
      </c>
      <c r="AA239" s="73">
        <v>162</v>
      </c>
      <c r="AB239" s="3" t="str">
        <f>IFERROR(MID(VLOOKUP($B239,Seqs!$A:$B,2,0),AC239,1),"")</f>
        <v>T</v>
      </c>
      <c r="AC239" s="9">
        <v>165</v>
      </c>
      <c r="AD239" s="3" t="str">
        <f>IFERROR(MID(VLOOKUP($B239,Seqs!$A:$B,2,0),AE239,1),"")</f>
        <v>M</v>
      </c>
      <c r="AE239" s="3">
        <v>191</v>
      </c>
      <c r="AF239" s="3" t="str">
        <f>IFERROR(MID(VLOOKUP($B239,Seqs!$A:$B,2,0),AG239,1),"")</f>
        <v>C</v>
      </c>
      <c r="AG239" s="3">
        <v>210</v>
      </c>
      <c r="AH239" s="3" t="str">
        <f>IFERROR(MID(VLOOKUP($B239,Seqs!$A:$B,2,0),AI239,1),"")</f>
        <v>E</v>
      </c>
      <c r="AI239" s="3">
        <v>212</v>
      </c>
      <c r="AJ239" s="3" t="str">
        <f>IFERROR(MID(VLOOKUP($B239,Seqs!$A:$B,2,0),AK239,1),"")</f>
        <v>I</v>
      </c>
      <c r="AK239" s="105">
        <v>218</v>
      </c>
      <c r="AL239" s="3" t="str">
        <f>IFERROR(MID(VLOOKUP($B239,Seqs!$A:$B,2,0),AM239,1),"")</f>
        <v>P</v>
      </c>
      <c r="AM239" s="3">
        <v>256</v>
      </c>
      <c r="AN239" s="3" t="str">
        <f>IFERROR(MID(VLOOKUP($B239,Seqs!$A:$B,2,0),AO239,1),"")</f>
        <v>V</v>
      </c>
      <c r="AO239" s="3">
        <v>289</v>
      </c>
      <c r="AP239" s="3" t="str">
        <f>IFERROR(MID(VLOOKUP($B239,Seqs!$A:$B,2,0),AQ239,1),"")</f>
        <v>F</v>
      </c>
      <c r="AQ239" s="3">
        <v>330</v>
      </c>
      <c r="AR239" s="3" t="str">
        <f>IFERROR(MID(VLOOKUP($B239,Seqs!$A:$B,2,0),AS239,1),"")</f>
        <v>D</v>
      </c>
      <c r="AS239" s="105">
        <v>338</v>
      </c>
      <c r="AT239" s="3" t="str">
        <f>IFERROR(MID(VLOOKUP($B239,Seqs!$A:$B,2,0),AU239,1),"")</f>
        <v>L</v>
      </c>
      <c r="AU239" s="3">
        <v>367</v>
      </c>
      <c r="AV239" s="3" t="str">
        <f>IFERROR(MID(VLOOKUP($B239,Seqs!$A:$B,2,0),AW239,1),"")</f>
        <v>S</v>
      </c>
      <c r="AW239" s="3">
        <v>368</v>
      </c>
      <c r="AX239" s="3" t="str">
        <f>IFERROR(MID(VLOOKUP($B239,Seqs!$A:$B,2,0),AY239,1),"")</f>
        <v>F</v>
      </c>
      <c r="AY239" s="3">
        <v>379</v>
      </c>
      <c r="AZ239" s="77" t="str">
        <f>VLOOKUP(B239,Classification!A:D,2,0)</f>
        <v>A</v>
      </c>
      <c r="BA239" s="94" t="str">
        <f>VLOOKUP(B239,Classification!A:D,4,0)</f>
        <v>Orexin</v>
      </c>
      <c r="BB239" s="27" t="b">
        <f t="shared" si="754"/>
        <v>1</v>
      </c>
      <c r="BC239" s="23">
        <f t="shared" si="727"/>
        <v>263</v>
      </c>
      <c r="BD239" s="56" t="s">
        <v>1379</v>
      </c>
      <c r="BE239" s="3" t="s">
        <v>23</v>
      </c>
      <c r="BF239" s="119" t="s">
        <v>23</v>
      </c>
      <c r="BG239" s="49" t="s">
        <v>1379</v>
      </c>
      <c r="BH239" s="49" t="s">
        <v>1384</v>
      </c>
      <c r="BI239" s="1"/>
      <c r="BJ239" s="70" t="s">
        <v>1293</v>
      </c>
      <c r="BK239" s="57" t="s">
        <v>1293</v>
      </c>
      <c r="BL239" s="57" t="s">
        <v>1293</v>
      </c>
      <c r="BM239" s="57" t="s">
        <v>1293</v>
      </c>
      <c r="BN239" s="57" t="s">
        <v>1293</v>
      </c>
      <c r="BO239" s="57" t="s">
        <v>1293</v>
      </c>
      <c r="BP239" s="57" t="s">
        <v>1293</v>
      </c>
      <c r="BQ239" s="57" t="s">
        <v>1293</v>
      </c>
      <c r="BR239" s="57" t="s">
        <v>1293</v>
      </c>
      <c r="BS239" s="57" t="s">
        <v>1293</v>
      </c>
      <c r="BT239" s="57" t="s">
        <v>1293</v>
      </c>
      <c r="BU239" s="57" t="s">
        <v>1293</v>
      </c>
      <c r="BV239" s="70">
        <f t="shared" si="728"/>
        <v>53</v>
      </c>
      <c r="BW239" s="71">
        <f t="shared" si="729"/>
        <v>83</v>
      </c>
      <c r="BX239" s="72">
        <f t="shared" si="730"/>
        <v>87</v>
      </c>
      <c r="BY239" s="71">
        <f t="shared" si="731"/>
        <v>119</v>
      </c>
      <c r="BZ239" s="72">
        <f t="shared" si="732"/>
        <v>123</v>
      </c>
      <c r="CA239" s="71">
        <f t="shared" si="733"/>
        <v>159</v>
      </c>
      <c r="CB239" s="72">
        <f t="shared" si="734"/>
        <v>165</v>
      </c>
      <c r="CC239" s="71">
        <f t="shared" si="735"/>
        <v>210</v>
      </c>
      <c r="CD239" s="72">
        <f t="shared" si="736"/>
        <v>218</v>
      </c>
      <c r="CE239" s="71">
        <f t="shared" si="737"/>
        <v>289</v>
      </c>
      <c r="CF239" s="72">
        <f t="shared" si="738"/>
        <v>338</v>
      </c>
      <c r="CG239" s="71">
        <f t="shared" si="739"/>
        <v>368</v>
      </c>
      <c r="CH239" s="70">
        <f t="shared" si="740"/>
        <v>82</v>
      </c>
      <c r="CI239" s="71">
        <f t="shared" si="741"/>
        <v>86</v>
      </c>
      <c r="CJ239" s="72">
        <f t="shared" si="742"/>
        <v>118</v>
      </c>
      <c r="CK239" s="72">
        <f t="shared" si="743"/>
        <v>122</v>
      </c>
      <c r="CL239" s="72">
        <f t="shared" si="744"/>
        <v>158</v>
      </c>
      <c r="CM239" s="72">
        <f t="shared" si="745"/>
        <v>162</v>
      </c>
      <c r="CN239" s="72">
        <f t="shared" si="746"/>
        <v>191</v>
      </c>
      <c r="CO239" s="72">
        <f t="shared" si="747"/>
        <v>212</v>
      </c>
      <c r="CP239" s="72">
        <f t="shared" si="748"/>
        <v>256</v>
      </c>
      <c r="CQ239" s="72">
        <f t="shared" si="749"/>
        <v>330</v>
      </c>
      <c r="CR239" s="72">
        <f t="shared" si="750"/>
        <v>367</v>
      </c>
      <c r="CS239" s="72">
        <f t="shared" si="751"/>
        <v>379</v>
      </c>
      <c r="CT239" s="23">
        <f t="shared" si="752"/>
        <v>1</v>
      </c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  <c r="OK239" s="1"/>
      <c r="OL239" s="1"/>
      <c r="OM239" s="1"/>
      <c r="ON239" s="1"/>
      <c r="OO239" s="1"/>
      <c r="OP239" s="1"/>
      <c r="OQ239" s="1"/>
      <c r="OR239" s="1"/>
      <c r="OS239" s="1"/>
      <c r="OT239" s="1"/>
      <c r="OU239" s="1"/>
      <c r="OV239" s="1"/>
      <c r="OW239" s="1"/>
      <c r="OX239" s="1"/>
      <c r="OY239" s="1"/>
      <c r="OZ239" s="1"/>
      <c r="PA239" s="1"/>
      <c r="PB239" s="1"/>
      <c r="PC239" s="1"/>
      <c r="PD239" s="1"/>
      <c r="PE239" s="1"/>
      <c r="PF239" s="1"/>
      <c r="PG239" s="1"/>
      <c r="PH239" s="1"/>
      <c r="PI239" s="1"/>
      <c r="PJ239" s="1"/>
      <c r="PK239" s="1"/>
      <c r="PL239" s="1"/>
      <c r="PM239" s="1"/>
      <c r="PN239" s="1"/>
      <c r="PO239" s="1"/>
      <c r="PP239" s="1"/>
      <c r="PQ239" s="1"/>
      <c r="PR239" s="1"/>
      <c r="PS239" s="1"/>
      <c r="PT239" s="1"/>
      <c r="PU239" s="1"/>
      <c r="PV239" s="1"/>
      <c r="PW239" s="1"/>
      <c r="PX239" s="1"/>
      <c r="PY239" s="1"/>
      <c r="PZ239" s="1"/>
      <c r="QA239" s="1"/>
      <c r="QB239" s="1"/>
      <c r="QC239" s="1"/>
      <c r="QD239" s="1"/>
      <c r="QE239" s="1"/>
      <c r="QF239" s="1"/>
      <c r="QG239" s="1"/>
      <c r="QH239" s="1"/>
      <c r="QI239" s="1"/>
      <c r="QJ239" s="1"/>
      <c r="QK239" s="1"/>
      <c r="QL239" s="1"/>
      <c r="QM239" s="1"/>
      <c r="QN239" s="1"/>
      <c r="QO239" s="1"/>
      <c r="QP239" s="1"/>
      <c r="QQ239" s="1"/>
      <c r="QR239" s="1"/>
      <c r="QS239" s="1"/>
      <c r="QT239" s="1"/>
      <c r="QU239" s="1"/>
      <c r="QV239" s="1"/>
      <c r="QW239" s="1"/>
      <c r="QX239" s="1"/>
      <c r="QY239" s="1"/>
      <c r="QZ239" s="1"/>
      <c r="RA239" s="1"/>
      <c r="RB239" s="1"/>
      <c r="RC239" s="1"/>
      <c r="RD239" s="1"/>
      <c r="RE239" s="1"/>
      <c r="RF239" s="1"/>
      <c r="RG239" s="1"/>
      <c r="RH239" s="1"/>
      <c r="RI239" s="1"/>
      <c r="RJ239" s="1"/>
      <c r="RK239" s="1"/>
      <c r="RL239" s="1"/>
      <c r="RM239" s="1"/>
      <c r="RN239" s="1"/>
      <c r="RO239" s="1"/>
      <c r="RP239" s="1"/>
      <c r="RQ239" s="1"/>
      <c r="RR239" s="1"/>
      <c r="RS239" s="1"/>
      <c r="RT239" s="1"/>
      <c r="RU239" s="1"/>
      <c r="RV239" s="1"/>
      <c r="RW239" s="1"/>
      <c r="RX239" s="1"/>
      <c r="RY239" s="1"/>
      <c r="RZ239" s="1"/>
      <c r="SA239" s="1"/>
      <c r="SB239" s="1"/>
      <c r="SC239" s="1"/>
      <c r="SD239" s="1"/>
      <c r="SE239" s="1"/>
      <c r="SF239" s="1"/>
      <c r="SG239" s="1"/>
      <c r="SH239" s="1"/>
      <c r="SI239" s="1"/>
      <c r="SJ239" s="1"/>
      <c r="SK239" s="1"/>
      <c r="SL239" s="1"/>
      <c r="SM239" s="1"/>
      <c r="SN239" s="1"/>
      <c r="SO239" s="1"/>
      <c r="SP239" s="1"/>
      <c r="SQ239" s="1"/>
      <c r="SR239" s="1"/>
      <c r="SS239" s="1"/>
      <c r="ST239" s="1"/>
      <c r="SU239" s="1"/>
      <c r="SV239" s="1"/>
      <c r="SW239" s="1"/>
      <c r="SX239" s="1"/>
      <c r="SY239" s="1"/>
      <c r="SZ239" s="1"/>
      <c r="TA239" s="1"/>
      <c r="TB239" s="1"/>
      <c r="TC239" s="1"/>
      <c r="TD239" s="1"/>
      <c r="TE239" s="1"/>
      <c r="TF239" s="1"/>
      <c r="TG239" s="1"/>
      <c r="TH239" s="1"/>
      <c r="TI239" s="1"/>
      <c r="TJ239" s="1"/>
      <c r="TK239" s="1"/>
      <c r="TL239" s="1"/>
      <c r="TM239" s="1"/>
      <c r="TN239" s="1"/>
      <c r="TO239" s="1"/>
      <c r="TP239" s="1"/>
      <c r="TQ239" s="1"/>
      <c r="TR239" s="1"/>
      <c r="TS239" s="1"/>
      <c r="TT239" s="1"/>
      <c r="TU239" s="1"/>
      <c r="TV239" s="1"/>
      <c r="TW239" s="1"/>
      <c r="TX239" s="1"/>
      <c r="TY239" s="1"/>
      <c r="TZ239" s="1"/>
      <c r="UA239" s="1"/>
      <c r="UB239" s="1"/>
      <c r="UC239" s="1"/>
      <c r="UD239" s="1"/>
      <c r="UE239" s="1"/>
      <c r="UF239" s="1"/>
      <c r="UG239" s="1"/>
      <c r="UH239" s="1"/>
      <c r="UI239" s="1"/>
      <c r="UJ239" s="1"/>
      <c r="UK239" s="1"/>
      <c r="UL239" s="1"/>
      <c r="UM239" s="1"/>
      <c r="UN239" s="1"/>
      <c r="UO239" s="1"/>
      <c r="UP239" s="1"/>
      <c r="UQ239" s="1"/>
      <c r="UR239" s="1"/>
      <c r="US239" s="1"/>
      <c r="UT239" s="1"/>
      <c r="UU239" s="1"/>
      <c r="UV239" s="1"/>
      <c r="UW239" s="1"/>
      <c r="UX239" s="1"/>
      <c r="UY239" s="1"/>
      <c r="UZ239" s="1"/>
      <c r="VA239" s="1"/>
      <c r="VB239" s="1"/>
      <c r="VC239" s="1"/>
      <c r="VD239" s="1"/>
      <c r="VE239" s="1"/>
      <c r="VF239" s="1"/>
      <c r="VG239" s="1"/>
      <c r="VH239" s="1"/>
      <c r="VI239" s="1"/>
      <c r="VJ239" s="1"/>
      <c r="VK239" s="1"/>
      <c r="VL239" s="1"/>
      <c r="VM239" s="1"/>
      <c r="VN239" s="1"/>
      <c r="VO239" s="1"/>
      <c r="VP239" s="1"/>
      <c r="VQ239" s="1"/>
      <c r="VR239" s="1"/>
      <c r="VS239" s="1"/>
      <c r="VT239" s="1"/>
      <c r="VU239" s="1"/>
      <c r="VV239" s="1"/>
      <c r="VW239" s="1"/>
      <c r="VX239" s="1"/>
      <c r="VY239" s="1"/>
      <c r="VZ239" s="1"/>
      <c r="WA239" s="1"/>
      <c r="WB239" s="1"/>
      <c r="WC239" s="1"/>
      <c r="WD239" s="1"/>
      <c r="WE239" s="1"/>
      <c r="WF239" s="1"/>
      <c r="WG239" s="1"/>
      <c r="WH239" s="1"/>
      <c r="WI239" s="1"/>
      <c r="WJ239" s="1"/>
      <c r="WK239" s="1"/>
      <c r="WL239" s="1"/>
      <c r="WM239" s="1"/>
      <c r="WN239" s="1"/>
      <c r="WO239" s="1"/>
      <c r="WP239" s="1"/>
      <c r="WQ239" s="1"/>
      <c r="WR239" s="1"/>
      <c r="WS239" s="1"/>
      <c r="WT239" s="1"/>
      <c r="WU239" s="1"/>
      <c r="WV239" s="1"/>
      <c r="WW239" s="1"/>
      <c r="WX239" s="1"/>
      <c r="WY239" s="1"/>
      <c r="WZ239" s="1"/>
      <c r="XA239" s="1"/>
      <c r="XB239" s="1"/>
      <c r="XC239" s="1"/>
      <c r="XD239" s="1"/>
      <c r="XE239" s="1"/>
      <c r="XF239" s="1"/>
      <c r="XG239" s="1"/>
      <c r="XH239" s="1"/>
      <c r="XI239" s="1"/>
      <c r="XJ239" s="1"/>
      <c r="XK239" s="1"/>
      <c r="XL239" s="1"/>
      <c r="XM239" s="1"/>
      <c r="XN239" s="1"/>
      <c r="XO239" s="1"/>
      <c r="XP239" s="1"/>
      <c r="XQ239" s="1"/>
      <c r="XR239" s="1"/>
      <c r="XS239" s="1"/>
      <c r="XT239" s="1"/>
      <c r="XU239" s="1"/>
      <c r="XV239" s="1"/>
      <c r="XW239" s="1"/>
      <c r="XX239" s="1"/>
      <c r="XY239" s="1"/>
      <c r="XZ239" s="1"/>
      <c r="YA239" s="1"/>
      <c r="YB239" s="1"/>
      <c r="YC239" s="1"/>
      <c r="YD239" s="1"/>
      <c r="YE239" s="1"/>
      <c r="YF239" s="1"/>
      <c r="YG239" s="1"/>
      <c r="YH239" s="1"/>
      <c r="YI239" s="1"/>
      <c r="YJ239" s="1"/>
      <c r="YK239" s="1"/>
      <c r="YL239" s="1"/>
      <c r="YM239" s="1"/>
      <c r="YN239" s="1"/>
      <c r="YO239" s="1"/>
      <c r="YP239" s="1"/>
      <c r="YQ239" s="1"/>
      <c r="YR239" s="1"/>
      <c r="YS239" s="1"/>
      <c r="YT239" s="1"/>
      <c r="YU239" s="1"/>
      <c r="YV239" s="1"/>
      <c r="YW239" s="1"/>
      <c r="YX239" s="1"/>
      <c r="YY239" s="1"/>
      <c r="YZ239" s="1"/>
      <c r="ZA239" s="1"/>
      <c r="ZB239" s="1"/>
      <c r="ZC239" s="1"/>
      <c r="ZD239" s="1"/>
      <c r="ZE239" s="1"/>
      <c r="ZF239" s="1"/>
      <c r="ZG239" s="1"/>
      <c r="ZH239" s="1"/>
      <c r="ZI239" s="1"/>
      <c r="ZJ239" s="1"/>
      <c r="ZK239" s="1"/>
      <c r="ZL239" s="1"/>
      <c r="ZM239" s="1"/>
      <c r="ZN239" s="1"/>
      <c r="ZO239" s="1"/>
      <c r="ZP239" s="1"/>
      <c r="ZQ239" s="1"/>
      <c r="ZR239" s="1"/>
      <c r="ZS239" s="1"/>
      <c r="ZT239" s="1"/>
      <c r="ZU239" s="1"/>
      <c r="ZV239" s="1"/>
      <c r="ZW239" s="1"/>
      <c r="ZX239" s="1"/>
      <c r="ZY239" s="1"/>
      <c r="ZZ239" s="1"/>
      <c r="AAA239" s="1"/>
      <c r="AAB239" s="1"/>
      <c r="AAC239" s="1"/>
      <c r="AAD239" s="1"/>
      <c r="AAE239" s="1"/>
      <c r="AAF239" s="1"/>
      <c r="AAG239" s="1"/>
      <c r="AAH239" s="1"/>
      <c r="AAI239" s="1"/>
      <c r="AAJ239" s="1"/>
      <c r="AAK239" s="1"/>
      <c r="AAL239" s="1"/>
      <c r="AAM239" s="1"/>
      <c r="AAN239" s="1"/>
      <c r="AAO239" s="1"/>
      <c r="AAP239" s="1"/>
      <c r="AAQ239" s="1"/>
      <c r="AAR239" s="1"/>
      <c r="AAS239" s="1"/>
      <c r="AAT239" s="1"/>
      <c r="AAU239" s="1"/>
      <c r="AAV239" s="1"/>
      <c r="AAW239" s="1"/>
      <c r="AAX239" s="1"/>
      <c r="AAY239" s="1"/>
      <c r="AAZ239" s="1"/>
      <c r="ABA239" s="1"/>
      <c r="ABB239" s="1"/>
      <c r="ABC239" s="1"/>
      <c r="ABD239" s="1"/>
      <c r="ABE239" s="1"/>
      <c r="ABF239" s="1"/>
      <c r="ABG239" s="1"/>
      <c r="ABH239" s="1"/>
      <c r="ABI239" s="1"/>
      <c r="ABJ239" s="1"/>
      <c r="ABK239" s="1"/>
      <c r="ABL239" s="1"/>
      <c r="ABM239" s="1"/>
      <c r="ABN239" s="1"/>
      <c r="ABO239" s="1"/>
      <c r="ABP239" s="1"/>
      <c r="ABQ239" s="1"/>
      <c r="ABR239" s="1"/>
      <c r="ABS239" s="1"/>
      <c r="ABT239" s="1"/>
      <c r="ABU239" s="1"/>
      <c r="ABV239" s="1"/>
      <c r="ABW239" s="1"/>
      <c r="ABX239" s="1"/>
      <c r="ABY239" s="1"/>
      <c r="ABZ239" s="1"/>
      <c r="ACA239" s="1"/>
      <c r="ACB239" s="1"/>
      <c r="ACC239" s="1"/>
      <c r="ACD239" s="1"/>
      <c r="ACE239" s="1"/>
      <c r="ACF239" s="1"/>
      <c r="ACG239" s="1"/>
      <c r="ACH239" s="1"/>
      <c r="ACI239" s="1"/>
      <c r="ACJ239" s="1"/>
      <c r="ACK239" s="1"/>
      <c r="ACL239" s="1"/>
      <c r="ACM239" s="1"/>
      <c r="ACN239" s="1"/>
      <c r="ACO239" s="1"/>
      <c r="ACP239" s="1"/>
      <c r="ACQ239" s="1"/>
      <c r="ACR239" s="1"/>
      <c r="ACS239" s="1"/>
      <c r="ACT239" s="1"/>
      <c r="ACU239" s="1"/>
      <c r="ACV239" s="1"/>
      <c r="ACW239" s="1"/>
      <c r="ACX239" s="1"/>
      <c r="ACY239" s="1"/>
      <c r="ACZ239" s="1"/>
      <c r="ADA239" s="1"/>
      <c r="ADB239" s="1"/>
      <c r="ADC239" s="1"/>
      <c r="ADD239" s="1"/>
      <c r="ADE239" s="1"/>
      <c r="ADF239" s="1"/>
      <c r="ADG239" s="1"/>
      <c r="ADH239" s="1"/>
      <c r="ADI239" s="1"/>
      <c r="ADJ239" s="1"/>
      <c r="ADK239" s="1"/>
      <c r="ADL239" s="1"/>
      <c r="ADM239" s="1"/>
      <c r="ADN239" s="1"/>
      <c r="ADO239" s="1"/>
      <c r="ADP239" s="1"/>
      <c r="ADQ239" s="1"/>
      <c r="ADR239" s="1"/>
      <c r="ADS239" s="1"/>
      <c r="ADT239" s="1"/>
      <c r="ADU239" s="1"/>
      <c r="ADV239" s="1"/>
      <c r="ADW239" s="1"/>
      <c r="ADX239" s="1"/>
      <c r="ADY239" s="1"/>
      <c r="ADZ239" s="1"/>
      <c r="AEA239" s="1"/>
      <c r="AEB239" s="1"/>
      <c r="AEC239" s="1"/>
      <c r="AED239" s="1"/>
      <c r="AEE239" s="1"/>
      <c r="AEF239" s="1"/>
      <c r="AEG239" s="1"/>
      <c r="AEH239" s="1"/>
      <c r="AEI239" s="1"/>
      <c r="AEJ239" s="1"/>
      <c r="AEK239" s="1"/>
      <c r="AEL239" s="1"/>
      <c r="AEM239" s="1"/>
      <c r="AEN239" s="1"/>
      <c r="AEO239" s="1"/>
      <c r="AEP239" s="1"/>
      <c r="AEQ239" s="1"/>
      <c r="AER239" s="1"/>
      <c r="AES239" s="1"/>
      <c r="AET239" s="1"/>
      <c r="AEU239" s="1"/>
      <c r="AEV239" s="1"/>
      <c r="AEW239" s="1"/>
      <c r="AEX239" s="1"/>
      <c r="AEY239" s="1"/>
      <c r="AEZ239" s="1"/>
      <c r="AFA239" s="1"/>
      <c r="AFB239" s="1"/>
      <c r="AFC239" s="1"/>
      <c r="AFD239" s="1"/>
      <c r="AFE239" s="1"/>
      <c r="AFF239" s="1"/>
      <c r="AFG239" s="1"/>
      <c r="AFH239" s="1"/>
      <c r="AFI239" s="1"/>
      <c r="AFJ239" s="1"/>
      <c r="AFK239" s="1"/>
      <c r="AFL239" s="1"/>
      <c r="AFM239" s="1"/>
      <c r="AFN239" s="1"/>
      <c r="AFO239" s="1"/>
      <c r="AFP239" s="1"/>
      <c r="AFQ239" s="1"/>
      <c r="AFR239" s="1"/>
      <c r="AFS239" s="1"/>
      <c r="AFT239" s="1"/>
      <c r="AFU239" s="1"/>
      <c r="AFV239" s="1"/>
      <c r="AFW239" s="1"/>
      <c r="AFX239" s="1"/>
      <c r="AFY239" s="1"/>
      <c r="AFZ239" s="1"/>
      <c r="AGA239" s="1"/>
      <c r="AGB239" s="1"/>
      <c r="AGC239" s="1"/>
      <c r="AGD239" s="1"/>
      <c r="AGE239" s="1"/>
      <c r="AGF239" s="1"/>
      <c r="AGG239" s="1"/>
      <c r="AGH239" s="1"/>
      <c r="AGI239" s="1"/>
      <c r="AGJ239" s="1"/>
      <c r="AGK239" s="1"/>
      <c r="AGL239" s="1"/>
      <c r="AGM239" s="1"/>
      <c r="AGN239" s="1"/>
      <c r="AGO239" s="1"/>
      <c r="AGP239" s="1"/>
      <c r="AGQ239" s="1"/>
      <c r="AGR239" s="1"/>
      <c r="AGS239" s="1"/>
      <c r="AGT239" s="1"/>
      <c r="AGU239" s="1"/>
      <c r="AGV239" s="1"/>
      <c r="AGW239" s="1"/>
      <c r="AGX239" s="1"/>
      <c r="AGY239" s="1"/>
      <c r="AGZ239" s="1"/>
      <c r="AHA239" s="1"/>
      <c r="AHB239" s="1"/>
      <c r="AHC239" s="1"/>
      <c r="AHD239" s="1"/>
      <c r="AHE239" s="1"/>
      <c r="AHF239" s="1"/>
      <c r="AHG239" s="1"/>
      <c r="AHH239" s="1"/>
      <c r="AHI239" s="1"/>
      <c r="AHJ239" s="1"/>
      <c r="AHK239" s="1"/>
      <c r="AHL239" s="1"/>
      <c r="AHM239" s="1"/>
      <c r="AHN239" s="1"/>
      <c r="AHO239" s="1"/>
      <c r="AHP239" s="1"/>
      <c r="AHQ239" s="1"/>
      <c r="AHR239" s="1"/>
      <c r="AHS239" s="1"/>
      <c r="AHT239" s="1"/>
      <c r="AHU239" s="1"/>
      <c r="AHV239" s="1"/>
      <c r="AHW239" s="1"/>
      <c r="AHX239" s="1"/>
      <c r="AHY239" s="1"/>
      <c r="AHZ239" s="1"/>
      <c r="AIA239" s="1"/>
      <c r="AIB239" s="1"/>
      <c r="AIC239" s="1"/>
      <c r="AID239" s="1"/>
      <c r="AIE239" s="1"/>
      <c r="AIF239" s="1"/>
      <c r="AIG239" s="1"/>
      <c r="AIH239" s="1"/>
      <c r="AII239" s="1"/>
      <c r="AIJ239" s="1"/>
      <c r="AIK239" s="1"/>
      <c r="AIL239" s="1"/>
      <c r="AIM239" s="1"/>
      <c r="AIN239" s="1"/>
      <c r="AIO239" s="1"/>
      <c r="AIP239" s="1"/>
      <c r="AIQ239" s="1"/>
      <c r="AIR239" s="1"/>
      <c r="AIS239" s="1"/>
      <c r="AIT239" s="1"/>
      <c r="AIU239" s="1"/>
      <c r="AIV239" s="1"/>
      <c r="AIW239" s="1"/>
      <c r="AIX239" s="1"/>
      <c r="AIY239" s="1"/>
      <c r="AIZ239" s="1"/>
      <c r="AJA239" s="1"/>
      <c r="AJB239" s="1"/>
      <c r="AJC239" s="1"/>
      <c r="AJD239" s="1"/>
      <c r="AJE239" s="1"/>
      <c r="AJF239" s="1"/>
      <c r="AJG239" s="1"/>
      <c r="AJH239" s="1"/>
      <c r="AJI239" s="1"/>
      <c r="AJJ239" s="1"/>
      <c r="AJK239" s="1"/>
      <c r="AJL239" s="1"/>
      <c r="AJM239" s="1"/>
      <c r="AJN239" s="1"/>
      <c r="AJO239" s="1"/>
      <c r="AJP239" s="1"/>
      <c r="AJQ239" s="1"/>
      <c r="AJR239" s="1"/>
      <c r="AJS239" s="1"/>
      <c r="AJT239" s="1"/>
      <c r="AJU239" s="1"/>
      <c r="AJV239" s="1"/>
      <c r="AJW239" s="1"/>
      <c r="AJX239" s="1"/>
      <c r="AJY239" s="1"/>
      <c r="AJZ239" s="1"/>
      <c r="AKA239" s="1"/>
      <c r="AKB239" s="1"/>
      <c r="AKC239" s="1"/>
      <c r="AKD239" s="1"/>
      <c r="AKE239" s="1"/>
      <c r="AKF239" s="1"/>
      <c r="AKG239" s="1"/>
      <c r="AKH239" s="1"/>
      <c r="AKI239" s="1"/>
      <c r="AKJ239" s="1"/>
      <c r="AKK239" s="1"/>
      <c r="AKL239" s="1"/>
      <c r="AKM239" s="1"/>
      <c r="AKN239" s="1"/>
      <c r="AKO239" s="1"/>
      <c r="AKP239" s="1"/>
      <c r="AKQ239" s="1"/>
      <c r="AKR239" s="1"/>
      <c r="AKS239" s="1"/>
      <c r="AKT239" s="1"/>
      <c r="AKU239" s="1"/>
      <c r="AKV239" s="1"/>
      <c r="AKW239" s="1"/>
      <c r="AKX239" s="1"/>
      <c r="AKY239" s="1"/>
      <c r="AKZ239" s="1"/>
      <c r="ALA239" s="1"/>
      <c r="ALB239" s="1"/>
      <c r="ALC239" s="1"/>
      <c r="ALD239" s="1"/>
      <c r="ALE239" s="1"/>
      <c r="ALF239" s="1"/>
      <c r="ALG239" s="1"/>
      <c r="ALH239" s="1"/>
      <c r="ALI239" s="1"/>
      <c r="ALJ239" s="1"/>
      <c r="ALK239" s="1"/>
      <c r="ALL239" s="1"/>
      <c r="ALM239" s="1"/>
      <c r="ALN239" s="1"/>
      <c r="ALO239" s="1"/>
      <c r="ALP239" s="1"/>
      <c r="ALQ239" s="1"/>
      <c r="ALR239" s="1"/>
      <c r="ALS239" s="1"/>
      <c r="ALT239" s="1"/>
      <c r="ALU239" s="1"/>
      <c r="ALV239" s="1"/>
      <c r="ALW239" s="1"/>
      <c r="ALX239" s="1"/>
      <c r="ALY239" s="1"/>
      <c r="ALZ239" s="1"/>
      <c r="AMA239" s="1"/>
      <c r="AMB239" s="1"/>
      <c r="AMC239" s="1"/>
      <c r="AMD239" s="1"/>
      <c r="AME239" s="1"/>
      <c r="AMF239" s="1"/>
      <c r="AMG239" s="1"/>
      <c r="AMH239" s="1"/>
      <c r="AMI239" s="1"/>
      <c r="AMJ239" s="1"/>
      <c r="AMK239" s="1"/>
      <c r="AML239" s="1"/>
      <c r="AMM239" s="1"/>
      <c r="AMN239" s="1"/>
      <c r="AMO239" s="1"/>
    </row>
    <row r="240" spans="1:1030" x14ac:dyDescent="0.2">
      <c r="A240" s="3" t="str">
        <f t="shared" si="753"/>
        <v>ox2r_human_4S0V</v>
      </c>
      <c r="B240" s="3" t="s">
        <v>1176</v>
      </c>
      <c r="C240" s="3" t="s">
        <v>92</v>
      </c>
      <c r="D240" s="3" t="str">
        <f>IFERROR(MID(VLOOKUP($B240,Seqs!$A:$B,2,0),E240,1),"")</f>
        <v>Y</v>
      </c>
      <c r="E240" s="3">
        <v>53</v>
      </c>
      <c r="F240" s="3" t="str">
        <f>IFERROR(MID(VLOOKUP($B240,Seqs!$A:$B,2,0),G240,1),"")</f>
        <v>N</v>
      </c>
      <c r="G240" s="3">
        <v>82</v>
      </c>
      <c r="H240" s="3" t="str">
        <f>IFERROR(MID(VLOOKUP($B240,Seqs!$A:$B,2,0),I240,1),"")</f>
        <v>H</v>
      </c>
      <c r="I240" s="23">
        <v>83</v>
      </c>
      <c r="J240" s="3" t="str">
        <f>IFERROR(MID(VLOOKUP($B240,Seqs!$A:$B,2,0),K240,1),"")</f>
        <v>R</v>
      </c>
      <c r="K240" s="23">
        <v>86</v>
      </c>
      <c r="L240" s="3" t="str">
        <f>IFERROR(MID(VLOOKUP($B240,Seqs!$A:$B,2,0),M240,1),"")</f>
        <v>T</v>
      </c>
      <c r="M240" s="3">
        <v>87</v>
      </c>
      <c r="N240" s="3" t="str">
        <f>IFERROR(MID(VLOOKUP($B240,Seqs!$A:$B,2,0),O240,1),"")</f>
        <v>E</v>
      </c>
      <c r="O240" s="105">
        <v>118</v>
      </c>
      <c r="P240" s="3" t="str">
        <f>IFERROR(MID(VLOOKUP($B240,Seqs!$A:$B,2,0),Q240,1),"")</f>
        <v>T</v>
      </c>
      <c r="Q240" s="3">
        <v>119</v>
      </c>
      <c r="R240" s="3" t="str">
        <f>IFERROR(MID(VLOOKUP($B240,Seqs!$A:$B,2,0),S240,1),"")</f>
        <v>F</v>
      </c>
      <c r="S240" s="3">
        <v>122</v>
      </c>
      <c r="T240" s="3" t="str">
        <f>IFERROR(MID(VLOOKUP($B240,Seqs!$A:$B,2,0),U240,1),"")</f>
        <v>G</v>
      </c>
      <c r="U240" s="3">
        <v>123</v>
      </c>
      <c r="V240" s="3" t="str">
        <f>IFERROR(MID(VLOOKUP($B240,Seqs!$A:$B,2,0),W240,1),"")</f>
        <v>H</v>
      </c>
      <c r="W240" s="3">
        <v>158</v>
      </c>
      <c r="X240" s="3" t="str">
        <f>IFERROR(MID(VLOOKUP($B240,Seqs!$A:$B,2,0),Y240,1),"")</f>
        <v/>
      </c>
      <c r="Y240" s="3" t="s">
        <v>23</v>
      </c>
      <c r="Z240" s="3" t="str">
        <f>IFERROR(MID(VLOOKUP($B240,Seqs!$A:$B,2,0),AA240,1),"")</f>
        <v/>
      </c>
      <c r="AA240" s="3" t="s">
        <v>23</v>
      </c>
      <c r="AB240" s="3" t="str">
        <f>IFERROR(MID(VLOOKUP($B240,Seqs!$A:$B,2,0),AC240,1),"")</f>
        <v>T</v>
      </c>
      <c r="AC240" s="9">
        <v>165</v>
      </c>
      <c r="AD240" s="3" t="str">
        <f>IFERROR(MID(VLOOKUP($B240,Seqs!$A:$B,2,0),AE240,1),"")</f>
        <v>M</v>
      </c>
      <c r="AE240" s="3">
        <v>191</v>
      </c>
      <c r="AF240" s="3" t="str">
        <f>IFERROR(MID(VLOOKUP($B240,Seqs!$A:$B,2,0),AG240,1),"")</f>
        <v>C</v>
      </c>
      <c r="AG240" s="3">
        <v>210</v>
      </c>
      <c r="AH240" s="3" t="str">
        <f>IFERROR(MID(VLOOKUP($B240,Seqs!$A:$B,2,0),AI240,1),"")</f>
        <v>E</v>
      </c>
      <c r="AI240" s="3">
        <v>212</v>
      </c>
      <c r="AJ240" s="3" t="str">
        <f>IFERROR(MID(VLOOKUP($B240,Seqs!$A:$B,2,0),AK240,1),"")</f>
        <v>I</v>
      </c>
      <c r="AK240" s="105">
        <v>218</v>
      </c>
      <c r="AL240" s="3" t="str">
        <f>IFERROR(MID(VLOOKUP($B240,Seqs!$A:$B,2,0),AM240,1),"")</f>
        <v>C</v>
      </c>
      <c r="AM240" s="105">
        <v>252</v>
      </c>
      <c r="AN240" s="3" t="str">
        <f>IFERROR(MID(VLOOKUP($B240,Seqs!$A:$B,2,0),AO240,1),"")</f>
        <v>K</v>
      </c>
      <c r="AO240" s="3">
        <v>294</v>
      </c>
      <c r="AP240" s="3" t="str">
        <f>IFERROR(MID(VLOOKUP($B240,Seqs!$A:$B,2,0),AQ240,1),"")</f>
        <v>F</v>
      </c>
      <c r="AQ240" s="3">
        <v>330</v>
      </c>
      <c r="AR240" s="3" t="str">
        <f>IFERROR(MID(VLOOKUP($B240,Seqs!$A:$B,2,0),AS240,1),"")</f>
        <v>R</v>
      </c>
      <c r="AS240" s="3">
        <v>339</v>
      </c>
      <c r="AT240" s="3" t="str">
        <f>IFERROR(MID(VLOOKUP($B240,Seqs!$A:$B,2,0),AU240,1),"")</f>
        <v>L</v>
      </c>
      <c r="AU240" s="3">
        <v>367</v>
      </c>
      <c r="AV240" s="3" t="str">
        <f>IFERROR(MID(VLOOKUP($B240,Seqs!$A:$B,2,0),AW240,1),"")</f>
        <v>S</v>
      </c>
      <c r="AW240" s="3">
        <v>368</v>
      </c>
      <c r="AX240" s="3" t="str">
        <f>IFERROR(MID(VLOOKUP($B240,Seqs!$A:$B,2,0),AY240,1),"")</f>
        <v>F</v>
      </c>
      <c r="AY240" s="3">
        <v>379</v>
      </c>
      <c r="AZ240" s="77" t="str">
        <f>VLOOKUP(B240,Classification!A:D,2,0)</f>
        <v>A</v>
      </c>
      <c r="BA240" s="94" t="str">
        <f>VLOOKUP(B240,Classification!A:D,4,0)</f>
        <v>Orexin</v>
      </c>
      <c r="BB240" s="27" t="b">
        <f t="shared" si="754"/>
        <v>1</v>
      </c>
      <c r="BC240" s="23">
        <f t="shared" si="727"/>
        <v>250</v>
      </c>
      <c r="BD240" s="2" t="s">
        <v>23</v>
      </c>
      <c r="BE240" s="3" t="s">
        <v>1381</v>
      </c>
      <c r="BF240" s="119">
        <v>2.5</v>
      </c>
      <c r="BG240" s="49" t="s">
        <v>1384</v>
      </c>
      <c r="BH240" s="49" t="s">
        <v>1384</v>
      </c>
      <c r="BI240" s="1"/>
      <c r="BJ240" s="70" t="s">
        <v>1293</v>
      </c>
      <c r="BK240" s="57" t="s">
        <v>1293</v>
      </c>
      <c r="BL240" s="57" t="s">
        <v>1293</v>
      </c>
      <c r="BM240" s="57" t="s">
        <v>1293</v>
      </c>
      <c r="BN240" s="57" t="s">
        <v>1293</v>
      </c>
      <c r="BO240" s="57" t="s">
        <v>1293</v>
      </c>
      <c r="BP240" s="57" t="s">
        <v>1293</v>
      </c>
      <c r="BQ240" s="57" t="s">
        <v>1293</v>
      </c>
      <c r="BR240" s="57" t="s">
        <v>1293</v>
      </c>
      <c r="BS240" s="57" t="s">
        <v>1293</v>
      </c>
      <c r="BT240" s="57" t="s">
        <v>1293</v>
      </c>
      <c r="BU240" s="57" t="s">
        <v>1293</v>
      </c>
      <c r="BV240" s="70">
        <f t="shared" si="728"/>
        <v>53</v>
      </c>
      <c r="BW240" s="71">
        <f t="shared" si="729"/>
        <v>83</v>
      </c>
      <c r="BX240" s="72">
        <f t="shared" si="730"/>
        <v>87</v>
      </c>
      <c r="BY240" s="71">
        <f t="shared" si="731"/>
        <v>119</v>
      </c>
      <c r="BZ240" s="72">
        <f t="shared" si="732"/>
        <v>123</v>
      </c>
      <c r="CA240" s="71" t="str">
        <f t="shared" si="733"/>
        <v>-</v>
      </c>
      <c r="CB240" s="72">
        <f t="shared" si="734"/>
        <v>165</v>
      </c>
      <c r="CC240" s="71">
        <f t="shared" si="735"/>
        <v>210</v>
      </c>
      <c r="CD240" s="72">
        <f t="shared" si="736"/>
        <v>218</v>
      </c>
      <c r="CE240" s="71">
        <f t="shared" si="737"/>
        <v>294</v>
      </c>
      <c r="CF240" s="72">
        <f t="shared" si="738"/>
        <v>339</v>
      </c>
      <c r="CG240" s="71">
        <f t="shared" si="739"/>
        <v>368</v>
      </c>
      <c r="CH240" s="70">
        <f t="shared" si="740"/>
        <v>82</v>
      </c>
      <c r="CI240" s="71">
        <f t="shared" si="741"/>
        <v>86</v>
      </c>
      <c r="CJ240" s="72">
        <f t="shared" si="742"/>
        <v>118</v>
      </c>
      <c r="CK240" s="72">
        <f t="shared" si="743"/>
        <v>122</v>
      </c>
      <c r="CL240" s="72">
        <f t="shared" si="744"/>
        <v>158</v>
      </c>
      <c r="CM240" s="72" t="str">
        <f t="shared" si="745"/>
        <v>-</v>
      </c>
      <c r="CN240" s="72">
        <f t="shared" si="746"/>
        <v>191</v>
      </c>
      <c r="CO240" s="72">
        <f t="shared" si="747"/>
        <v>212</v>
      </c>
      <c r="CP240" s="72">
        <f t="shared" si="748"/>
        <v>252</v>
      </c>
      <c r="CQ240" s="72">
        <f t="shared" si="749"/>
        <v>330</v>
      </c>
      <c r="CR240" s="72">
        <f t="shared" si="750"/>
        <v>367</v>
      </c>
      <c r="CS240" s="72">
        <f t="shared" si="751"/>
        <v>379</v>
      </c>
      <c r="CT240" s="23">
        <f t="shared" si="752"/>
        <v>1</v>
      </c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  <c r="OK240" s="1"/>
      <c r="OL240" s="1"/>
      <c r="OM240" s="1"/>
      <c r="ON240" s="1"/>
      <c r="OO240" s="1"/>
      <c r="OP240" s="1"/>
      <c r="OQ240" s="1"/>
      <c r="OR240" s="1"/>
      <c r="OS240" s="1"/>
      <c r="OT240" s="1"/>
      <c r="OU240" s="1"/>
      <c r="OV240" s="1"/>
      <c r="OW240" s="1"/>
      <c r="OX240" s="1"/>
      <c r="OY240" s="1"/>
      <c r="OZ240" s="1"/>
      <c r="PA240" s="1"/>
      <c r="PB240" s="1"/>
      <c r="PC240" s="1"/>
      <c r="PD240" s="1"/>
      <c r="PE240" s="1"/>
      <c r="PF240" s="1"/>
      <c r="PG240" s="1"/>
      <c r="PH240" s="1"/>
      <c r="PI240" s="1"/>
      <c r="PJ240" s="1"/>
      <c r="PK240" s="1"/>
      <c r="PL240" s="1"/>
      <c r="PM240" s="1"/>
      <c r="PN240" s="1"/>
      <c r="PO240" s="1"/>
      <c r="PP240" s="1"/>
      <c r="PQ240" s="1"/>
      <c r="PR240" s="1"/>
      <c r="PS240" s="1"/>
      <c r="PT240" s="1"/>
      <c r="PU240" s="1"/>
      <c r="PV240" s="1"/>
      <c r="PW240" s="1"/>
      <c r="PX240" s="1"/>
      <c r="PY240" s="1"/>
      <c r="PZ240" s="1"/>
      <c r="QA240" s="1"/>
      <c r="QB240" s="1"/>
      <c r="QC240" s="1"/>
      <c r="QD240" s="1"/>
      <c r="QE240" s="1"/>
      <c r="QF240" s="1"/>
      <c r="QG240" s="1"/>
      <c r="QH240" s="1"/>
      <c r="QI240" s="1"/>
      <c r="QJ240" s="1"/>
      <c r="QK240" s="1"/>
      <c r="QL240" s="1"/>
      <c r="QM240" s="1"/>
      <c r="QN240" s="1"/>
      <c r="QO240" s="1"/>
      <c r="QP240" s="1"/>
      <c r="QQ240" s="1"/>
      <c r="QR240" s="1"/>
      <c r="QS240" s="1"/>
      <c r="QT240" s="1"/>
      <c r="QU240" s="1"/>
      <c r="QV240" s="1"/>
      <c r="QW240" s="1"/>
      <c r="QX240" s="1"/>
      <c r="QY240" s="1"/>
      <c r="QZ240" s="1"/>
      <c r="RA240" s="1"/>
      <c r="RB240" s="1"/>
      <c r="RC240" s="1"/>
      <c r="RD240" s="1"/>
      <c r="RE240" s="1"/>
      <c r="RF240" s="1"/>
      <c r="RG240" s="1"/>
      <c r="RH240" s="1"/>
      <c r="RI240" s="1"/>
      <c r="RJ240" s="1"/>
      <c r="RK240" s="1"/>
      <c r="RL240" s="1"/>
      <c r="RM240" s="1"/>
      <c r="RN240" s="1"/>
      <c r="RO240" s="1"/>
      <c r="RP240" s="1"/>
      <c r="RQ240" s="1"/>
      <c r="RR240" s="1"/>
      <c r="RS240" s="1"/>
      <c r="RT240" s="1"/>
      <c r="RU240" s="1"/>
      <c r="RV240" s="1"/>
      <c r="RW240" s="1"/>
      <c r="RX240" s="1"/>
      <c r="RY240" s="1"/>
      <c r="RZ240" s="1"/>
      <c r="SA240" s="1"/>
      <c r="SB240" s="1"/>
      <c r="SC240" s="1"/>
      <c r="SD240" s="1"/>
      <c r="SE240" s="1"/>
      <c r="SF240" s="1"/>
      <c r="SG240" s="1"/>
      <c r="SH240" s="1"/>
      <c r="SI240" s="1"/>
      <c r="SJ240" s="1"/>
      <c r="SK240" s="1"/>
      <c r="SL240" s="1"/>
      <c r="SM240" s="1"/>
      <c r="SN240" s="1"/>
      <c r="SO240" s="1"/>
      <c r="SP240" s="1"/>
      <c r="SQ240" s="1"/>
      <c r="SR240" s="1"/>
      <c r="SS240" s="1"/>
      <c r="ST240" s="1"/>
      <c r="SU240" s="1"/>
      <c r="SV240" s="1"/>
      <c r="SW240" s="1"/>
      <c r="SX240" s="1"/>
      <c r="SY240" s="1"/>
      <c r="SZ240" s="1"/>
      <c r="TA240" s="1"/>
      <c r="TB240" s="1"/>
      <c r="TC240" s="1"/>
      <c r="TD240" s="1"/>
      <c r="TE240" s="1"/>
      <c r="TF240" s="1"/>
      <c r="TG240" s="1"/>
      <c r="TH240" s="1"/>
      <c r="TI240" s="1"/>
      <c r="TJ240" s="1"/>
      <c r="TK240" s="1"/>
      <c r="TL240" s="1"/>
      <c r="TM240" s="1"/>
      <c r="TN240" s="1"/>
      <c r="TO240" s="1"/>
      <c r="TP240" s="1"/>
      <c r="TQ240" s="1"/>
      <c r="TR240" s="1"/>
      <c r="TS240" s="1"/>
      <c r="TT240" s="1"/>
      <c r="TU240" s="1"/>
      <c r="TV240" s="1"/>
      <c r="TW240" s="1"/>
      <c r="TX240" s="1"/>
      <c r="TY240" s="1"/>
      <c r="TZ240" s="1"/>
      <c r="UA240" s="1"/>
      <c r="UB240" s="1"/>
      <c r="UC240" s="1"/>
      <c r="UD240" s="1"/>
      <c r="UE240" s="1"/>
      <c r="UF240" s="1"/>
      <c r="UG240" s="1"/>
      <c r="UH240" s="1"/>
      <c r="UI240" s="1"/>
      <c r="UJ240" s="1"/>
      <c r="UK240" s="1"/>
      <c r="UL240" s="1"/>
      <c r="UM240" s="1"/>
      <c r="UN240" s="1"/>
      <c r="UO240" s="1"/>
      <c r="UP240" s="1"/>
      <c r="UQ240" s="1"/>
      <c r="UR240" s="1"/>
      <c r="US240" s="1"/>
      <c r="UT240" s="1"/>
      <c r="UU240" s="1"/>
      <c r="UV240" s="1"/>
      <c r="UW240" s="1"/>
      <c r="UX240" s="1"/>
      <c r="UY240" s="1"/>
      <c r="UZ240" s="1"/>
      <c r="VA240" s="1"/>
      <c r="VB240" s="1"/>
      <c r="VC240" s="1"/>
      <c r="VD240" s="1"/>
      <c r="VE240" s="1"/>
      <c r="VF240" s="1"/>
      <c r="VG240" s="1"/>
      <c r="VH240" s="1"/>
      <c r="VI240" s="1"/>
      <c r="VJ240" s="1"/>
      <c r="VK240" s="1"/>
      <c r="VL240" s="1"/>
      <c r="VM240" s="1"/>
      <c r="VN240" s="1"/>
      <c r="VO240" s="1"/>
      <c r="VP240" s="1"/>
      <c r="VQ240" s="1"/>
      <c r="VR240" s="1"/>
      <c r="VS240" s="1"/>
      <c r="VT240" s="1"/>
      <c r="VU240" s="1"/>
      <c r="VV240" s="1"/>
      <c r="VW240" s="1"/>
      <c r="VX240" s="1"/>
      <c r="VY240" s="1"/>
      <c r="VZ240" s="1"/>
      <c r="WA240" s="1"/>
      <c r="WB240" s="1"/>
      <c r="WC240" s="1"/>
      <c r="WD240" s="1"/>
      <c r="WE240" s="1"/>
      <c r="WF240" s="1"/>
      <c r="WG240" s="1"/>
      <c r="WH240" s="1"/>
      <c r="WI240" s="1"/>
      <c r="WJ240" s="1"/>
      <c r="WK240" s="1"/>
      <c r="WL240" s="1"/>
      <c r="WM240" s="1"/>
      <c r="WN240" s="1"/>
      <c r="WO240" s="1"/>
      <c r="WP240" s="1"/>
      <c r="WQ240" s="1"/>
      <c r="WR240" s="1"/>
      <c r="WS240" s="1"/>
      <c r="WT240" s="1"/>
      <c r="WU240" s="1"/>
      <c r="WV240" s="1"/>
      <c r="WW240" s="1"/>
      <c r="WX240" s="1"/>
      <c r="WY240" s="1"/>
      <c r="WZ240" s="1"/>
      <c r="XA240" s="1"/>
      <c r="XB240" s="1"/>
      <c r="XC240" s="1"/>
      <c r="XD240" s="1"/>
      <c r="XE240" s="1"/>
      <c r="XF240" s="1"/>
      <c r="XG240" s="1"/>
      <c r="XH240" s="1"/>
      <c r="XI240" s="1"/>
      <c r="XJ240" s="1"/>
      <c r="XK240" s="1"/>
      <c r="XL240" s="1"/>
      <c r="XM240" s="1"/>
      <c r="XN240" s="1"/>
      <c r="XO240" s="1"/>
      <c r="XP240" s="1"/>
      <c r="XQ240" s="1"/>
      <c r="XR240" s="1"/>
      <c r="XS240" s="1"/>
      <c r="XT240" s="1"/>
      <c r="XU240" s="1"/>
      <c r="XV240" s="1"/>
      <c r="XW240" s="1"/>
      <c r="XX240" s="1"/>
      <c r="XY240" s="1"/>
      <c r="XZ240" s="1"/>
      <c r="YA240" s="1"/>
      <c r="YB240" s="1"/>
      <c r="YC240" s="1"/>
      <c r="YD240" s="1"/>
      <c r="YE240" s="1"/>
      <c r="YF240" s="1"/>
      <c r="YG240" s="1"/>
      <c r="YH240" s="1"/>
      <c r="YI240" s="1"/>
      <c r="YJ240" s="1"/>
      <c r="YK240" s="1"/>
      <c r="YL240" s="1"/>
      <c r="YM240" s="1"/>
      <c r="YN240" s="1"/>
      <c r="YO240" s="1"/>
      <c r="YP240" s="1"/>
      <c r="YQ240" s="1"/>
      <c r="YR240" s="1"/>
      <c r="YS240" s="1"/>
      <c r="YT240" s="1"/>
      <c r="YU240" s="1"/>
      <c r="YV240" s="1"/>
      <c r="YW240" s="1"/>
      <c r="YX240" s="1"/>
      <c r="YY240" s="1"/>
      <c r="YZ240" s="1"/>
      <c r="ZA240" s="1"/>
      <c r="ZB240" s="1"/>
      <c r="ZC240" s="1"/>
      <c r="ZD240" s="1"/>
      <c r="ZE240" s="1"/>
      <c r="ZF240" s="1"/>
      <c r="ZG240" s="1"/>
      <c r="ZH240" s="1"/>
      <c r="ZI240" s="1"/>
      <c r="ZJ240" s="1"/>
      <c r="ZK240" s="1"/>
      <c r="ZL240" s="1"/>
      <c r="ZM240" s="1"/>
      <c r="ZN240" s="1"/>
      <c r="ZO240" s="1"/>
      <c r="ZP240" s="1"/>
      <c r="ZQ240" s="1"/>
      <c r="ZR240" s="1"/>
      <c r="ZS240" s="1"/>
      <c r="ZT240" s="1"/>
      <c r="ZU240" s="1"/>
      <c r="ZV240" s="1"/>
      <c r="ZW240" s="1"/>
      <c r="ZX240" s="1"/>
      <c r="ZY240" s="1"/>
      <c r="ZZ240" s="1"/>
      <c r="AAA240" s="1"/>
      <c r="AAB240" s="1"/>
      <c r="AAC240" s="1"/>
      <c r="AAD240" s="1"/>
      <c r="AAE240" s="1"/>
      <c r="AAF240" s="1"/>
      <c r="AAG240" s="1"/>
      <c r="AAH240" s="1"/>
      <c r="AAI240" s="1"/>
      <c r="AAJ240" s="1"/>
      <c r="AAK240" s="1"/>
      <c r="AAL240" s="1"/>
      <c r="AAM240" s="1"/>
      <c r="AAN240" s="1"/>
      <c r="AAO240" s="1"/>
      <c r="AAP240" s="1"/>
      <c r="AAQ240" s="1"/>
      <c r="AAR240" s="1"/>
      <c r="AAS240" s="1"/>
      <c r="AAT240" s="1"/>
      <c r="AAU240" s="1"/>
      <c r="AAV240" s="1"/>
      <c r="AAW240" s="1"/>
      <c r="AAX240" s="1"/>
      <c r="AAY240" s="1"/>
      <c r="AAZ240" s="1"/>
      <c r="ABA240" s="1"/>
      <c r="ABB240" s="1"/>
      <c r="ABC240" s="1"/>
      <c r="ABD240" s="1"/>
      <c r="ABE240" s="1"/>
      <c r="ABF240" s="1"/>
      <c r="ABG240" s="1"/>
      <c r="ABH240" s="1"/>
      <c r="ABI240" s="1"/>
      <c r="ABJ240" s="1"/>
      <c r="ABK240" s="1"/>
      <c r="ABL240" s="1"/>
      <c r="ABM240" s="1"/>
      <c r="ABN240" s="1"/>
      <c r="ABO240" s="1"/>
      <c r="ABP240" s="1"/>
      <c r="ABQ240" s="1"/>
      <c r="ABR240" s="1"/>
      <c r="ABS240" s="1"/>
      <c r="ABT240" s="1"/>
      <c r="ABU240" s="1"/>
      <c r="ABV240" s="1"/>
      <c r="ABW240" s="1"/>
      <c r="ABX240" s="1"/>
      <c r="ABY240" s="1"/>
      <c r="ABZ240" s="1"/>
      <c r="ACA240" s="1"/>
      <c r="ACB240" s="1"/>
      <c r="ACC240" s="1"/>
      <c r="ACD240" s="1"/>
      <c r="ACE240" s="1"/>
      <c r="ACF240" s="1"/>
      <c r="ACG240" s="1"/>
      <c r="ACH240" s="1"/>
      <c r="ACI240" s="1"/>
      <c r="ACJ240" s="1"/>
      <c r="ACK240" s="1"/>
      <c r="ACL240" s="1"/>
      <c r="ACM240" s="1"/>
      <c r="ACN240" s="1"/>
      <c r="ACO240" s="1"/>
      <c r="ACP240" s="1"/>
      <c r="ACQ240" s="1"/>
      <c r="ACR240" s="1"/>
      <c r="ACS240" s="1"/>
      <c r="ACT240" s="1"/>
      <c r="ACU240" s="1"/>
      <c r="ACV240" s="1"/>
      <c r="ACW240" s="1"/>
      <c r="ACX240" s="1"/>
      <c r="ACY240" s="1"/>
      <c r="ACZ240" s="1"/>
      <c r="ADA240" s="1"/>
      <c r="ADB240" s="1"/>
      <c r="ADC240" s="1"/>
      <c r="ADD240" s="1"/>
      <c r="ADE240" s="1"/>
      <c r="ADF240" s="1"/>
      <c r="ADG240" s="1"/>
      <c r="ADH240" s="1"/>
      <c r="ADI240" s="1"/>
      <c r="ADJ240" s="1"/>
      <c r="ADK240" s="1"/>
      <c r="ADL240" s="1"/>
      <c r="ADM240" s="1"/>
      <c r="ADN240" s="1"/>
      <c r="ADO240" s="1"/>
      <c r="ADP240" s="1"/>
      <c r="ADQ240" s="1"/>
      <c r="ADR240" s="1"/>
      <c r="ADS240" s="1"/>
      <c r="ADT240" s="1"/>
      <c r="ADU240" s="1"/>
      <c r="ADV240" s="1"/>
      <c r="ADW240" s="1"/>
      <c r="ADX240" s="1"/>
      <c r="ADY240" s="1"/>
      <c r="ADZ240" s="1"/>
      <c r="AEA240" s="1"/>
      <c r="AEB240" s="1"/>
      <c r="AEC240" s="1"/>
      <c r="AED240" s="1"/>
      <c r="AEE240" s="1"/>
      <c r="AEF240" s="1"/>
      <c r="AEG240" s="1"/>
      <c r="AEH240" s="1"/>
      <c r="AEI240" s="1"/>
      <c r="AEJ240" s="1"/>
      <c r="AEK240" s="1"/>
      <c r="AEL240" s="1"/>
      <c r="AEM240" s="1"/>
      <c r="AEN240" s="1"/>
      <c r="AEO240" s="1"/>
      <c r="AEP240" s="1"/>
      <c r="AEQ240" s="1"/>
      <c r="AER240" s="1"/>
      <c r="AES240" s="1"/>
      <c r="AET240" s="1"/>
      <c r="AEU240" s="1"/>
      <c r="AEV240" s="1"/>
      <c r="AEW240" s="1"/>
      <c r="AEX240" s="1"/>
      <c r="AEY240" s="1"/>
      <c r="AEZ240" s="1"/>
      <c r="AFA240" s="1"/>
      <c r="AFB240" s="1"/>
      <c r="AFC240" s="1"/>
      <c r="AFD240" s="1"/>
      <c r="AFE240" s="1"/>
      <c r="AFF240" s="1"/>
      <c r="AFG240" s="1"/>
      <c r="AFH240" s="1"/>
      <c r="AFI240" s="1"/>
      <c r="AFJ240" s="1"/>
      <c r="AFK240" s="1"/>
      <c r="AFL240" s="1"/>
      <c r="AFM240" s="1"/>
      <c r="AFN240" s="1"/>
      <c r="AFO240" s="1"/>
      <c r="AFP240" s="1"/>
      <c r="AFQ240" s="1"/>
      <c r="AFR240" s="1"/>
      <c r="AFS240" s="1"/>
      <c r="AFT240" s="1"/>
      <c r="AFU240" s="1"/>
      <c r="AFV240" s="1"/>
      <c r="AFW240" s="1"/>
      <c r="AFX240" s="1"/>
      <c r="AFY240" s="1"/>
      <c r="AFZ240" s="1"/>
      <c r="AGA240" s="1"/>
      <c r="AGB240" s="1"/>
      <c r="AGC240" s="1"/>
      <c r="AGD240" s="1"/>
      <c r="AGE240" s="1"/>
      <c r="AGF240" s="1"/>
      <c r="AGG240" s="1"/>
      <c r="AGH240" s="1"/>
      <c r="AGI240" s="1"/>
      <c r="AGJ240" s="1"/>
      <c r="AGK240" s="1"/>
      <c r="AGL240" s="1"/>
      <c r="AGM240" s="1"/>
      <c r="AGN240" s="1"/>
      <c r="AGO240" s="1"/>
      <c r="AGP240" s="1"/>
      <c r="AGQ240" s="1"/>
      <c r="AGR240" s="1"/>
      <c r="AGS240" s="1"/>
      <c r="AGT240" s="1"/>
      <c r="AGU240" s="1"/>
      <c r="AGV240" s="1"/>
      <c r="AGW240" s="1"/>
      <c r="AGX240" s="1"/>
      <c r="AGY240" s="1"/>
      <c r="AGZ240" s="1"/>
      <c r="AHA240" s="1"/>
      <c r="AHB240" s="1"/>
      <c r="AHC240" s="1"/>
      <c r="AHD240" s="1"/>
      <c r="AHE240" s="1"/>
      <c r="AHF240" s="1"/>
      <c r="AHG240" s="1"/>
      <c r="AHH240" s="1"/>
      <c r="AHI240" s="1"/>
      <c r="AHJ240" s="1"/>
      <c r="AHK240" s="1"/>
      <c r="AHL240" s="1"/>
      <c r="AHM240" s="1"/>
      <c r="AHN240" s="1"/>
      <c r="AHO240" s="1"/>
      <c r="AHP240" s="1"/>
      <c r="AHQ240" s="1"/>
      <c r="AHR240" s="1"/>
      <c r="AHS240" s="1"/>
      <c r="AHT240" s="1"/>
      <c r="AHU240" s="1"/>
      <c r="AHV240" s="1"/>
      <c r="AHW240" s="1"/>
      <c r="AHX240" s="1"/>
      <c r="AHY240" s="1"/>
      <c r="AHZ240" s="1"/>
      <c r="AIA240" s="1"/>
      <c r="AIB240" s="1"/>
      <c r="AIC240" s="1"/>
      <c r="AID240" s="1"/>
      <c r="AIE240" s="1"/>
      <c r="AIF240" s="1"/>
      <c r="AIG240" s="1"/>
      <c r="AIH240" s="1"/>
      <c r="AII240" s="1"/>
      <c r="AIJ240" s="1"/>
      <c r="AIK240" s="1"/>
      <c r="AIL240" s="1"/>
      <c r="AIM240" s="1"/>
      <c r="AIN240" s="1"/>
      <c r="AIO240" s="1"/>
      <c r="AIP240" s="1"/>
      <c r="AIQ240" s="1"/>
      <c r="AIR240" s="1"/>
      <c r="AIS240" s="1"/>
      <c r="AIT240" s="1"/>
      <c r="AIU240" s="1"/>
      <c r="AIV240" s="1"/>
      <c r="AIW240" s="1"/>
      <c r="AIX240" s="1"/>
      <c r="AIY240" s="1"/>
      <c r="AIZ240" s="1"/>
      <c r="AJA240" s="1"/>
      <c r="AJB240" s="1"/>
      <c r="AJC240" s="1"/>
      <c r="AJD240" s="1"/>
      <c r="AJE240" s="1"/>
      <c r="AJF240" s="1"/>
      <c r="AJG240" s="1"/>
      <c r="AJH240" s="1"/>
      <c r="AJI240" s="1"/>
      <c r="AJJ240" s="1"/>
      <c r="AJK240" s="1"/>
      <c r="AJL240" s="1"/>
      <c r="AJM240" s="1"/>
      <c r="AJN240" s="1"/>
      <c r="AJO240" s="1"/>
      <c r="AJP240" s="1"/>
      <c r="AJQ240" s="1"/>
      <c r="AJR240" s="1"/>
      <c r="AJS240" s="1"/>
      <c r="AJT240" s="1"/>
      <c r="AJU240" s="1"/>
      <c r="AJV240" s="1"/>
      <c r="AJW240" s="1"/>
      <c r="AJX240" s="1"/>
      <c r="AJY240" s="1"/>
      <c r="AJZ240" s="1"/>
      <c r="AKA240" s="1"/>
      <c r="AKB240" s="1"/>
      <c r="AKC240" s="1"/>
      <c r="AKD240" s="1"/>
      <c r="AKE240" s="1"/>
      <c r="AKF240" s="1"/>
      <c r="AKG240" s="1"/>
      <c r="AKH240" s="1"/>
      <c r="AKI240" s="1"/>
      <c r="AKJ240" s="1"/>
      <c r="AKK240" s="1"/>
      <c r="AKL240" s="1"/>
      <c r="AKM240" s="1"/>
      <c r="AKN240" s="1"/>
      <c r="AKO240" s="1"/>
      <c r="AKP240" s="1"/>
      <c r="AKQ240" s="1"/>
      <c r="AKR240" s="1"/>
      <c r="AKS240" s="1"/>
      <c r="AKT240" s="1"/>
      <c r="AKU240" s="1"/>
      <c r="AKV240" s="1"/>
      <c r="AKW240" s="1"/>
      <c r="AKX240" s="1"/>
      <c r="AKY240" s="1"/>
      <c r="AKZ240" s="1"/>
      <c r="ALA240" s="1"/>
      <c r="ALB240" s="1"/>
      <c r="ALC240" s="1"/>
      <c r="ALD240" s="1"/>
      <c r="ALE240" s="1"/>
      <c r="ALF240" s="1"/>
      <c r="ALG240" s="1"/>
      <c r="ALH240" s="1"/>
      <c r="ALI240" s="1"/>
      <c r="ALJ240" s="1"/>
      <c r="ALK240" s="1"/>
      <c r="ALL240" s="1"/>
      <c r="ALM240" s="1"/>
      <c r="ALN240" s="1"/>
      <c r="ALO240" s="1"/>
      <c r="ALP240" s="1"/>
      <c r="ALQ240" s="1"/>
      <c r="ALR240" s="1"/>
      <c r="ALS240" s="1"/>
      <c r="ALT240" s="1"/>
      <c r="ALU240" s="1"/>
      <c r="ALV240" s="1"/>
      <c r="ALW240" s="1"/>
      <c r="ALX240" s="1"/>
      <c r="ALY240" s="1"/>
      <c r="ALZ240" s="1"/>
      <c r="AMA240" s="1"/>
      <c r="AMB240" s="1"/>
      <c r="AMC240" s="1"/>
      <c r="AMD240" s="1"/>
      <c r="AME240" s="1"/>
      <c r="AMF240" s="1"/>
      <c r="AMG240" s="1"/>
      <c r="AMH240" s="1"/>
      <c r="AMI240" s="1"/>
      <c r="AMJ240" s="1"/>
      <c r="AMK240" s="1"/>
      <c r="AML240" s="1"/>
      <c r="AMM240" s="1"/>
      <c r="AMN240" s="1"/>
      <c r="AMO240" s="1"/>
    </row>
    <row r="241" spans="1:1029" s="12" customFormat="1" x14ac:dyDescent="0.2">
      <c r="A241" s="9" t="str">
        <f>CONCATENATE(B241,"_",C241)</f>
        <v>ox2r_human_5WQC</v>
      </c>
      <c r="B241" s="9" t="s">
        <v>1176</v>
      </c>
      <c r="C241" s="9" t="s">
        <v>1459</v>
      </c>
      <c r="D241" s="9" t="str">
        <f>IFERROR(MID(VLOOKUP($B241,Seqs!$A:$B,2,0),E241,1),"")</f>
        <v>Y</v>
      </c>
      <c r="E241" s="9">
        <v>53</v>
      </c>
      <c r="F241" s="9" t="str">
        <f>IFERROR(MID(VLOOKUP($B241,Seqs!$A:$B,2,0),G241,1),"")</f>
        <v>N</v>
      </c>
      <c r="G241" s="9">
        <v>82</v>
      </c>
      <c r="H241" s="9" t="str">
        <f>IFERROR(MID(VLOOKUP($B241,Seqs!$A:$B,2,0),I241,1),"")</f>
        <v>H</v>
      </c>
      <c r="I241" s="109">
        <v>83</v>
      </c>
      <c r="J241" s="9" t="str">
        <f>IFERROR(MID(VLOOKUP($B241,Seqs!$A:$B,2,0),K241,1),"")</f>
        <v>R</v>
      </c>
      <c r="K241" s="109">
        <v>86</v>
      </c>
      <c r="L241" s="9" t="str">
        <f>IFERROR(MID(VLOOKUP($B241,Seqs!$A:$B,2,0),M241,1),"")</f>
        <v>T</v>
      </c>
      <c r="M241" s="9">
        <v>87</v>
      </c>
      <c r="N241" s="9" t="str">
        <f>IFERROR(MID(VLOOKUP($B241,Seqs!$A:$B,2,0),O241,1),"")</f>
        <v>E</v>
      </c>
      <c r="O241" s="9">
        <v>118</v>
      </c>
      <c r="P241" s="9" t="str">
        <f>IFERROR(MID(VLOOKUP($B241,Seqs!$A:$B,2,0),Q241,1),"")</f>
        <v>T</v>
      </c>
      <c r="Q241" s="9">
        <v>119</v>
      </c>
      <c r="R241" s="9" t="str">
        <f>IFERROR(MID(VLOOKUP($B241,Seqs!$A:$B,2,0),S241,1),"")</f>
        <v>F</v>
      </c>
      <c r="S241" s="9">
        <v>122</v>
      </c>
      <c r="T241" s="9" t="str">
        <f>IFERROR(MID(VLOOKUP($B241,Seqs!$A:$B,2,0),U241,1),"")</f>
        <v>G</v>
      </c>
      <c r="U241" s="9">
        <v>123</v>
      </c>
      <c r="V241" s="9" t="str">
        <f>IFERROR(MID(VLOOKUP($B241,Seqs!$A:$B,2,0),W241,1),"")</f>
        <v>H</v>
      </c>
      <c r="W241" s="9">
        <v>158</v>
      </c>
      <c r="X241" s="9" t="str">
        <f>IFERROR(MID(VLOOKUP($B241,Seqs!$A:$B,2,0),Y241,1),"")</f>
        <v/>
      </c>
      <c r="Y241" s="9" t="s">
        <v>23</v>
      </c>
      <c r="Z241" s="9" t="str">
        <f>IFERROR(MID(VLOOKUP($B241,Seqs!$A:$B,2,0),AA241,1),"")</f>
        <v/>
      </c>
      <c r="AA241" s="9" t="s">
        <v>23</v>
      </c>
      <c r="AB241" s="9" t="str">
        <f>IFERROR(MID(VLOOKUP($B241,Seqs!$A:$B,2,0),AC241,1),"")</f>
        <v>T</v>
      </c>
      <c r="AC241" s="9">
        <v>165</v>
      </c>
      <c r="AD241" s="9" t="str">
        <f>IFERROR(MID(VLOOKUP($B241,Seqs!$A:$B,2,0),AE241,1),"")</f>
        <v>M</v>
      </c>
      <c r="AE241" s="9">
        <v>191</v>
      </c>
      <c r="AF241" s="9" t="str">
        <f>IFERROR(MID(VLOOKUP($B241,Seqs!$A:$B,2,0),AG241,1),"")</f>
        <v>C</v>
      </c>
      <c r="AG241" s="9">
        <v>210</v>
      </c>
      <c r="AH241" s="9" t="str">
        <f>IFERROR(MID(VLOOKUP($B241,Seqs!$A:$B,2,0),AI241,1),"")</f>
        <v>E</v>
      </c>
      <c r="AI241" s="9">
        <v>212</v>
      </c>
      <c r="AJ241" s="9" t="str">
        <f>IFERROR(MID(VLOOKUP($B241,Seqs!$A:$B,2,0),AK241,1),"")</f>
        <v>I</v>
      </c>
      <c r="AK241" s="9">
        <v>218</v>
      </c>
      <c r="AL241" s="9" t="str">
        <f>IFERROR(MID(VLOOKUP($B241,Seqs!$A:$B,2,0),AM241,1),"")</f>
        <v>C</v>
      </c>
      <c r="AM241" s="9">
        <v>252</v>
      </c>
      <c r="AN241" s="9" t="str">
        <f>IFERROR(MID(VLOOKUP($B241,Seqs!$A:$B,2,0),AO241,1),"")</f>
        <v>K</v>
      </c>
      <c r="AO241" s="9">
        <v>294</v>
      </c>
      <c r="AP241" s="9" t="str">
        <f>IFERROR(MID(VLOOKUP($B241,Seqs!$A:$B,2,0),AQ241,1),"")</f>
        <v>F</v>
      </c>
      <c r="AQ241" s="9">
        <v>330</v>
      </c>
      <c r="AR241" s="9" t="str">
        <f>IFERROR(MID(VLOOKUP($B241,Seqs!$A:$B,2,0),AS241,1),"")</f>
        <v>D</v>
      </c>
      <c r="AS241" s="9">
        <v>338</v>
      </c>
      <c r="AT241" s="9" t="str">
        <f>IFERROR(MID(VLOOKUP($B241,Seqs!$A:$B,2,0),AU241,1),"")</f>
        <v>L</v>
      </c>
      <c r="AU241" s="9">
        <v>367</v>
      </c>
      <c r="AV241" s="9" t="str">
        <f>IFERROR(MID(VLOOKUP($B241,Seqs!$A:$B,2,0),AW241,1),"")</f>
        <v>S</v>
      </c>
      <c r="AW241" s="9">
        <v>368</v>
      </c>
      <c r="AX241" s="9" t="str">
        <f>IFERROR(MID(VLOOKUP($B241,Seqs!$A:$B,2,0),AY241,1),"")</f>
        <v>C</v>
      </c>
      <c r="AY241" s="9">
        <v>383</v>
      </c>
      <c r="AZ241" s="110" t="str">
        <f>VLOOKUP(B241,Classification!A:D,2,0)</f>
        <v>A</v>
      </c>
      <c r="BA241" s="98" t="str">
        <f>VLOOKUP(B241,Classification!A:D,4,0)</f>
        <v>Orexin</v>
      </c>
      <c r="BB241" s="36" t="b">
        <f>AND(E241&lt;G241,OR(G241&lt;I241,I241="-"),OR(I241&lt;K241,I241="-"),OR(K241&lt;M241,K241="-"),M241&lt;O241,OR(O241&lt;Q241,Q241="-"),OR(Q241&lt;S241,Q241="-"),OR(S241&lt;U241,S241="-"),U241&lt;W241,OR(W241&lt;Y241,Y241="-"),OR(Y241&lt;AA241,Y241="-"),OR(AA241&lt;AC241,AA241="-"),AC241&lt;AE241,OR(AE241&lt;AG241,AG241="-"),OR(AG241&lt;AI241,AG241="-"),OR(AI241&lt;AK241,AI241="-"),AK241&lt;AM241,AM241&lt;AO241,AO241&lt;AQ241,AQ241&lt;AS241,AS241&lt;AU241,OR(AU241&lt;AW241,AW241="-"),OR(AW241&lt;AY241,AW241="-"))</f>
        <v>1</v>
      </c>
      <c r="BC241" s="109">
        <f>_xlfn.AGGREGATE(9,6,CH241:CS241)-_xlfn.AGGREGATE(9,6,BV241:CG241)+12</f>
        <v>255</v>
      </c>
      <c r="BD241" s="40" t="s">
        <v>23</v>
      </c>
      <c r="BE241" s="9" t="s">
        <v>1381</v>
      </c>
      <c r="BF241" s="120">
        <v>1.96</v>
      </c>
      <c r="BG241" s="51" t="s">
        <v>1</v>
      </c>
      <c r="BH241" s="51" t="s">
        <v>1</v>
      </c>
      <c r="BJ241" s="111" t="s">
        <v>1293</v>
      </c>
      <c r="BK241" s="112" t="s">
        <v>1293</v>
      </c>
      <c r="BL241" s="112" t="s">
        <v>1293</v>
      </c>
      <c r="BM241" s="112" t="s">
        <v>1293</v>
      </c>
      <c r="BN241" s="112" t="s">
        <v>1293</v>
      </c>
      <c r="BO241" s="112" t="s">
        <v>1293</v>
      </c>
      <c r="BP241" s="112" t="s">
        <v>1293</v>
      </c>
      <c r="BQ241" s="112" t="s">
        <v>1293</v>
      </c>
      <c r="BR241" s="112" t="s">
        <v>1293</v>
      </c>
      <c r="BS241" s="112" t="s">
        <v>1293</v>
      </c>
      <c r="BT241" s="112" t="s">
        <v>1293</v>
      </c>
      <c r="BU241" s="112" t="s">
        <v>1293</v>
      </c>
      <c r="BV241" s="111">
        <f>E241</f>
        <v>53</v>
      </c>
      <c r="BW241" s="113">
        <f>I241</f>
        <v>83</v>
      </c>
      <c r="BX241" s="114">
        <f>M241</f>
        <v>87</v>
      </c>
      <c r="BY241" s="113">
        <f>Q241</f>
        <v>119</v>
      </c>
      <c r="BZ241" s="114">
        <f>U241</f>
        <v>123</v>
      </c>
      <c r="CA241" s="113" t="str">
        <f>Y241</f>
        <v>-</v>
      </c>
      <c r="CB241" s="114">
        <f>AC241</f>
        <v>165</v>
      </c>
      <c r="CC241" s="113">
        <f>AG241</f>
        <v>210</v>
      </c>
      <c r="CD241" s="114">
        <f>AK241</f>
        <v>218</v>
      </c>
      <c r="CE241" s="113">
        <f>AO241</f>
        <v>294</v>
      </c>
      <c r="CF241" s="114">
        <f>AS241</f>
        <v>338</v>
      </c>
      <c r="CG241" s="113">
        <f>AW241</f>
        <v>368</v>
      </c>
      <c r="CH241" s="111">
        <f>G241</f>
        <v>82</v>
      </c>
      <c r="CI241" s="113">
        <f>K241</f>
        <v>86</v>
      </c>
      <c r="CJ241" s="114">
        <f>O241</f>
        <v>118</v>
      </c>
      <c r="CK241" s="114">
        <f>S241</f>
        <v>122</v>
      </c>
      <c r="CL241" s="114">
        <f>W241</f>
        <v>158</v>
      </c>
      <c r="CM241" s="114" t="str">
        <f>AA241</f>
        <v>-</v>
      </c>
      <c r="CN241" s="114">
        <f>AE241</f>
        <v>191</v>
      </c>
      <c r="CO241" s="114">
        <f>AI241</f>
        <v>212</v>
      </c>
      <c r="CP241" s="114">
        <f>AM241</f>
        <v>252</v>
      </c>
      <c r="CQ241" s="114">
        <f>AQ241</f>
        <v>330</v>
      </c>
      <c r="CR241" s="114">
        <f>AU241</f>
        <v>367</v>
      </c>
      <c r="CS241" s="114">
        <f>AY241</f>
        <v>383</v>
      </c>
      <c r="CT241" s="109">
        <f>M241-K241</f>
        <v>1</v>
      </c>
    </row>
    <row r="242" spans="1:1029" s="12" customFormat="1" x14ac:dyDescent="0.2">
      <c r="A242" s="9" t="str">
        <f>CONCATENATE(B242,"_",C242)</f>
        <v>ox2r_human_5WS3</v>
      </c>
      <c r="B242" s="9" t="s">
        <v>1176</v>
      </c>
      <c r="C242" s="9" t="s">
        <v>1460</v>
      </c>
      <c r="D242" s="9" t="str">
        <f>IFERROR(MID(VLOOKUP($B242,Seqs!$A:$B,2,0),E242,1),"")</f>
        <v>Y</v>
      </c>
      <c r="E242" s="9">
        <v>53</v>
      </c>
      <c r="F242" s="9" t="str">
        <f>IFERROR(MID(VLOOKUP($B242,Seqs!$A:$B,2,0),G242,1),"")</f>
        <v>N</v>
      </c>
      <c r="G242" s="9">
        <v>82</v>
      </c>
      <c r="H242" s="9" t="str">
        <f>IFERROR(MID(VLOOKUP($B242,Seqs!$A:$B,2,0),I242,1),"")</f>
        <v>H</v>
      </c>
      <c r="I242" s="109">
        <v>83</v>
      </c>
      <c r="J242" s="9" t="str">
        <f>IFERROR(MID(VLOOKUP($B242,Seqs!$A:$B,2,0),K242,1),"")</f>
        <v>R</v>
      </c>
      <c r="K242" s="109">
        <v>86</v>
      </c>
      <c r="L242" s="9" t="str">
        <f>IFERROR(MID(VLOOKUP($B242,Seqs!$A:$B,2,0),M242,1),"")</f>
        <v>T</v>
      </c>
      <c r="M242" s="9">
        <v>87</v>
      </c>
      <c r="N242" s="9" t="str">
        <f>IFERROR(MID(VLOOKUP($B242,Seqs!$A:$B,2,0),O242,1),"")</f>
        <v>E</v>
      </c>
      <c r="O242" s="9">
        <v>118</v>
      </c>
      <c r="P242" s="9" t="str">
        <f>IFERROR(MID(VLOOKUP($B242,Seqs!$A:$B,2,0),Q242,1),"")</f>
        <v>T</v>
      </c>
      <c r="Q242" s="9">
        <v>119</v>
      </c>
      <c r="R242" s="9" t="str">
        <f>IFERROR(MID(VLOOKUP($B242,Seqs!$A:$B,2,0),S242,1),"")</f>
        <v>F</v>
      </c>
      <c r="S242" s="9">
        <v>122</v>
      </c>
      <c r="T242" s="9" t="str">
        <f>IFERROR(MID(VLOOKUP($B242,Seqs!$A:$B,2,0),U242,1),"")</f>
        <v>G</v>
      </c>
      <c r="U242" s="9">
        <v>123</v>
      </c>
      <c r="V242" s="9" t="str">
        <f>IFERROR(MID(VLOOKUP($B242,Seqs!$A:$B,2,0),W242,1),"")</f>
        <v>H</v>
      </c>
      <c r="W242" s="9">
        <v>158</v>
      </c>
      <c r="X242" s="9" t="str">
        <f>IFERROR(MID(VLOOKUP($B242,Seqs!$A:$B,2,0),Y242,1),"")</f>
        <v/>
      </c>
      <c r="Y242" s="9" t="s">
        <v>23</v>
      </c>
      <c r="Z242" s="9" t="str">
        <f>IFERROR(MID(VLOOKUP($B242,Seqs!$A:$B,2,0),AA242,1),"")</f>
        <v/>
      </c>
      <c r="AA242" s="9" t="s">
        <v>23</v>
      </c>
      <c r="AB242" s="9" t="str">
        <f>IFERROR(MID(VLOOKUP($B242,Seqs!$A:$B,2,0),AC242,1),"")</f>
        <v>T</v>
      </c>
      <c r="AC242" s="9">
        <v>165</v>
      </c>
      <c r="AD242" s="9" t="str">
        <f>IFERROR(MID(VLOOKUP($B242,Seqs!$A:$B,2,0),AE242,1),"")</f>
        <v>M</v>
      </c>
      <c r="AE242" s="9">
        <v>191</v>
      </c>
      <c r="AF242" s="9" t="str">
        <f>IFERROR(MID(VLOOKUP($B242,Seqs!$A:$B,2,0),AG242,1),"")</f>
        <v>C</v>
      </c>
      <c r="AG242" s="9">
        <v>210</v>
      </c>
      <c r="AH242" s="9" t="str">
        <f>IFERROR(MID(VLOOKUP($B242,Seqs!$A:$B,2,0),AI242,1),"")</f>
        <v>E</v>
      </c>
      <c r="AI242" s="9">
        <v>212</v>
      </c>
      <c r="AJ242" s="9" t="str">
        <f>IFERROR(MID(VLOOKUP($B242,Seqs!$A:$B,2,0),AK242,1),"")</f>
        <v>I</v>
      </c>
      <c r="AK242" s="9">
        <v>218</v>
      </c>
      <c r="AL242" s="9" t="str">
        <f>IFERROR(MID(VLOOKUP($B242,Seqs!$A:$B,2,0),AM242,1),"")</f>
        <v>C</v>
      </c>
      <c r="AM242" s="9">
        <v>252</v>
      </c>
      <c r="AN242" s="9" t="str">
        <f>IFERROR(MID(VLOOKUP($B242,Seqs!$A:$B,2,0),AO242,1),"")</f>
        <v>K</v>
      </c>
      <c r="AO242" s="9">
        <v>294</v>
      </c>
      <c r="AP242" s="9" t="str">
        <f>IFERROR(MID(VLOOKUP($B242,Seqs!$A:$B,2,0),AQ242,1),"")</f>
        <v>F</v>
      </c>
      <c r="AQ242" s="9">
        <v>330</v>
      </c>
      <c r="AR242" s="9" t="str">
        <f>IFERROR(MID(VLOOKUP($B242,Seqs!$A:$B,2,0),AS242,1),"")</f>
        <v>D</v>
      </c>
      <c r="AS242" s="9">
        <v>338</v>
      </c>
      <c r="AT242" s="9" t="str">
        <f>IFERROR(MID(VLOOKUP($B242,Seqs!$A:$B,2,0),AU242,1),"")</f>
        <v>L</v>
      </c>
      <c r="AU242" s="9">
        <v>367</v>
      </c>
      <c r="AV242" s="9" t="str">
        <f>IFERROR(MID(VLOOKUP($B242,Seqs!$A:$B,2,0),AW242,1),"")</f>
        <v>S</v>
      </c>
      <c r="AW242" s="9">
        <v>368</v>
      </c>
      <c r="AX242" s="9" t="str">
        <f>IFERROR(MID(VLOOKUP($B242,Seqs!$A:$B,2,0),AY242,1),"")</f>
        <v>C</v>
      </c>
      <c r="AY242" s="9">
        <v>383</v>
      </c>
      <c r="AZ242" s="110" t="str">
        <f>VLOOKUP(B242,Classification!A:D,2,0)</f>
        <v>A</v>
      </c>
      <c r="BA242" s="98" t="str">
        <f>VLOOKUP(B242,Classification!A:D,4,0)</f>
        <v>Orexin</v>
      </c>
      <c r="BB242" s="36" t="b">
        <f>AND(E242&lt;G242,OR(G242&lt;I242,I242="-"),OR(I242&lt;K242,I242="-"),OR(K242&lt;M242,K242="-"),M242&lt;O242,OR(O242&lt;Q242,Q242="-"),OR(Q242&lt;S242,Q242="-"),OR(S242&lt;U242,S242="-"),U242&lt;W242,OR(W242&lt;Y242,Y242="-"),OR(Y242&lt;AA242,Y242="-"),OR(AA242&lt;AC242,AA242="-"),AC242&lt;AE242,OR(AE242&lt;AG242,AG242="-"),OR(AG242&lt;AI242,AG242="-"),OR(AI242&lt;AK242,AI242="-"),AK242&lt;AM242,AM242&lt;AO242,AO242&lt;AQ242,AQ242&lt;AS242,AS242&lt;AU242,OR(AU242&lt;AW242,AW242="-"),OR(AW242&lt;AY242,AW242="-"))</f>
        <v>1</v>
      </c>
      <c r="BC242" s="109">
        <f>_xlfn.AGGREGATE(9,6,CH242:CS242)-_xlfn.AGGREGATE(9,6,BV242:CG242)+12</f>
        <v>255</v>
      </c>
      <c r="BD242" s="40" t="s">
        <v>1383</v>
      </c>
      <c r="BE242" s="9" t="s">
        <v>1381</v>
      </c>
      <c r="BF242" s="120">
        <v>2.2999999999999998</v>
      </c>
      <c r="BG242" s="51" t="s">
        <v>1</v>
      </c>
      <c r="BH242" s="51" t="s">
        <v>1</v>
      </c>
      <c r="BJ242" s="111" t="s">
        <v>1293</v>
      </c>
      <c r="BK242" s="112" t="s">
        <v>1293</v>
      </c>
      <c r="BL242" s="112" t="s">
        <v>1293</v>
      </c>
      <c r="BM242" s="112" t="s">
        <v>1293</v>
      </c>
      <c r="BN242" s="112" t="s">
        <v>1293</v>
      </c>
      <c r="BO242" s="112" t="s">
        <v>1293</v>
      </c>
      <c r="BP242" s="112" t="s">
        <v>1293</v>
      </c>
      <c r="BQ242" s="112" t="s">
        <v>1293</v>
      </c>
      <c r="BR242" s="112" t="s">
        <v>1293</v>
      </c>
      <c r="BS242" s="112" t="s">
        <v>1293</v>
      </c>
      <c r="BT242" s="112" t="s">
        <v>1293</v>
      </c>
      <c r="BU242" s="112" t="s">
        <v>1293</v>
      </c>
      <c r="BV242" s="111">
        <f>E242</f>
        <v>53</v>
      </c>
      <c r="BW242" s="113">
        <f>I242</f>
        <v>83</v>
      </c>
      <c r="BX242" s="114">
        <f>M242</f>
        <v>87</v>
      </c>
      <c r="BY242" s="113">
        <f>Q242</f>
        <v>119</v>
      </c>
      <c r="BZ242" s="114">
        <f>U242</f>
        <v>123</v>
      </c>
      <c r="CA242" s="113" t="str">
        <f>Y242</f>
        <v>-</v>
      </c>
      <c r="CB242" s="114">
        <f>AC242</f>
        <v>165</v>
      </c>
      <c r="CC242" s="113">
        <f>AG242</f>
        <v>210</v>
      </c>
      <c r="CD242" s="114">
        <f>AK242</f>
        <v>218</v>
      </c>
      <c r="CE242" s="113">
        <f>AO242</f>
        <v>294</v>
      </c>
      <c r="CF242" s="114">
        <f>AS242</f>
        <v>338</v>
      </c>
      <c r="CG242" s="113">
        <f>AW242</f>
        <v>368</v>
      </c>
      <c r="CH242" s="111">
        <f>G242</f>
        <v>82</v>
      </c>
      <c r="CI242" s="113">
        <f>K242</f>
        <v>86</v>
      </c>
      <c r="CJ242" s="114">
        <f>O242</f>
        <v>118</v>
      </c>
      <c r="CK242" s="114">
        <f>S242</f>
        <v>122</v>
      </c>
      <c r="CL242" s="114">
        <f>W242</f>
        <v>158</v>
      </c>
      <c r="CM242" s="114" t="str">
        <f>AA242</f>
        <v>-</v>
      </c>
      <c r="CN242" s="114">
        <f>AE242</f>
        <v>191</v>
      </c>
      <c r="CO242" s="114">
        <f>AI242</f>
        <v>212</v>
      </c>
      <c r="CP242" s="114">
        <f>AM242</f>
        <v>252</v>
      </c>
      <c r="CQ242" s="114">
        <f>AQ242</f>
        <v>330</v>
      </c>
      <c r="CR242" s="114">
        <f>AU242</f>
        <v>367</v>
      </c>
      <c r="CS242" s="114">
        <f>AY242</f>
        <v>383</v>
      </c>
      <c r="CT242" s="109">
        <f>M242-K242</f>
        <v>1</v>
      </c>
    </row>
    <row r="243" spans="1:1029" x14ac:dyDescent="0.2">
      <c r="A243" s="3" t="str">
        <f t="shared" si="753"/>
        <v>p2ry1_human__wt</v>
      </c>
      <c r="B243" s="3" t="s">
        <v>345</v>
      </c>
      <c r="C243" s="3" t="s">
        <v>100</v>
      </c>
      <c r="D243" s="3" t="str">
        <f>IFERROR(MID(VLOOKUP($B243,Seqs!$A:$B,2,0),E243,1),"")</f>
        <v>F</v>
      </c>
      <c r="E243" s="3">
        <v>49</v>
      </c>
      <c r="F243" s="3" t="str">
        <f>IFERROR(MID(VLOOKUP($B243,Seqs!$A:$B,2,0),G243,1),"")</f>
        <v>H</v>
      </c>
      <c r="G243" s="3">
        <v>79</v>
      </c>
      <c r="H243" s="3" t="str">
        <f>IFERROR(MID(VLOOKUP($B243,Seqs!$A:$B,2,0),I243,1),"")</f>
        <v/>
      </c>
      <c r="I243" s="23" t="s">
        <v>23</v>
      </c>
      <c r="J243" s="3" t="str">
        <f>IFERROR(MID(VLOOKUP($B243,Seqs!$A:$B,2,0),K243,1),"")</f>
        <v/>
      </c>
      <c r="K243" s="23" t="s">
        <v>23</v>
      </c>
      <c r="L243" s="3" t="str">
        <f>IFERROR(MID(VLOOKUP($B243,Seqs!$A:$B,2,0),M243,1),"")</f>
        <v>S</v>
      </c>
      <c r="M243" s="3">
        <v>84</v>
      </c>
      <c r="N243" s="3" t="str">
        <f>IFERROR(MID(VLOOKUP($B243,Seqs!$A:$B,2,0),O243,1),"")</f>
        <v>N</v>
      </c>
      <c r="O243" s="3">
        <v>113</v>
      </c>
      <c r="P243" s="3" t="str">
        <f>IFERROR(MID(VLOOKUP($B243,Seqs!$A:$B,2,0),Q243,1),"")</f>
        <v>D</v>
      </c>
      <c r="Q243" s="3">
        <v>116</v>
      </c>
      <c r="R243" s="3" t="str">
        <f>IFERROR(MID(VLOOKUP($B243,Seqs!$A:$B,2,0),S243,1),"")</f>
        <v>F</v>
      </c>
      <c r="S243" s="3">
        <v>119</v>
      </c>
      <c r="T243" s="3" t="str">
        <f>IFERROR(MID(VLOOKUP($B243,Seqs!$A:$B,2,0),U243,1),"")</f>
        <v>G</v>
      </c>
      <c r="U243" s="3">
        <v>120</v>
      </c>
      <c r="V243" s="3" t="str">
        <f>IFERROR(MID(VLOOKUP($B243,Seqs!$A:$B,2,0),W243,1),"")</f>
        <v>Y</v>
      </c>
      <c r="W243" s="3">
        <v>155</v>
      </c>
      <c r="X243" s="3" t="str">
        <f>IFERROR(MID(VLOOKUP($B243,Seqs!$A:$B,2,0),Y243,1),"")</f>
        <v>P</v>
      </c>
      <c r="Y243" s="3">
        <v>156</v>
      </c>
      <c r="Z243" s="3" t="str">
        <f>IFERROR(MID(VLOOKUP($B243,Seqs!$A:$B,2,0),AA243,1),"")</f>
        <v>L</v>
      </c>
      <c r="AA243" s="3">
        <v>163</v>
      </c>
      <c r="AB243" s="3" t="str">
        <f>IFERROR(MID(VLOOKUP($B243,Seqs!$A:$B,2,0),AC243,1),"")</f>
        <v>K</v>
      </c>
      <c r="AC243" s="9">
        <v>164</v>
      </c>
      <c r="AD243" s="3" t="str">
        <f>IFERROR(MID(VLOOKUP($B243,Seqs!$A:$B,2,0),AE243,1),"")</f>
        <v>S</v>
      </c>
      <c r="AE243" s="3">
        <v>190</v>
      </c>
      <c r="AF243" s="3" t="str">
        <f>IFERROR(MID(VLOOKUP($B243,Seqs!$A:$B,2,0),AG243,1),"")</f>
        <v>C</v>
      </c>
      <c r="AG243" s="3">
        <v>202</v>
      </c>
      <c r="AH243" s="3" t="str">
        <f>IFERROR(MID(VLOOKUP($B243,Seqs!$A:$B,2,0),AI243,1),"")</f>
        <v>D</v>
      </c>
      <c r="AI243" s="3">
        <v>204</v>
      </c>
      <c r="AJ243" s="3" t="str">
        <f>IFERROR(MID(VLOOKUP($B243,Seqs!$A:$B,2,0),AK243,1),"")</f>
        <v>L</v>
      </c>
      <c r="AK243" s="3">
        <v>211</v>
      </c>
      <c r="AL243" s="3" t="str">
        <f>IFERROR(MID(VLOOKUP($B243,Seqs!$A:$B,2,0),AM243,1),"")</f>
        <v>K</v>
      </c>
      <c r="AM243" s="3">
        <v>247</v>
      </c>
      <c r="AN243" s="3" t="str">
        <f>IFERROR(MID(VLOOKUP($B243,Seqs!$A:$B,2,0),AO243,1),"")</f>
        <v>P</v>
      </c>
      <c r="AO243" s="3">
        <v>253</v>
      </c>
      <c r="AP243" s="3" t="str">
        <f>IFERROR(MID(VLOOKUP($B243,Seqs!$A:$B,2,0),AQ243,1),"")</f>
        <v>D</v>
      </c>
      <c r="AQ243" s="3">
        <v>289</v>
      </c>
      <c r="AR243" s="3" t="str">
        <f>IFERROR(MID(VLOOKUP($B243,Seqs!$A:$B,2,0),AS243,1),"")</f>
        <v>M</v>
      </c>
      <c r="AS243" s="3">
        <v>295</v>
      </c>
      <c r="AT243" s="3" t="str">
        <f>IFERROR(MID(VLOOKUP($B243,Seqs!$A:$B,2,0),AU243,1),"")</f>
        <v>A</v>
      </c>
      <c r="AU243" s="3">
        <v>327</v>
      </c>
      <c r="AV243" s="3" t="str">
        <f>IFERROR(MID(VLOOKUP($B243,Seqs!$A:$B,2,0),AW243,1),"")</f>
        <v>G</v>
      </c>
      <c r="AW243" s="3">
        <v>328</v>
      </c>
      <c r="AX243" s="3" t="str">
        <f>IFERROR(MID(VLOOKUP($B243,Seqs!$A:$B,2,0),AY243,1),"")</f>
        <v>R</v>
      </c>
      <c r="AY243" s="3">
        <v>340</v>
      </c>
      <c r="AZ243" s="77" t="str">
        <f>VLOOKUP(B243,Classification!A:D,2,0)</f>
        <v>A</v>
      </c>
      <c r="BA243" s="94" t="str">
        <f>VLOOKUP(B243,Classification!A:D,4,0)</f>
        <v>P2Y</v>
      </c>
      <c r="BB243" s="27" t="b">
        <f t="shared" si="754"/>
        <v>1</v>
      </c>
      <c r="BC243" s="23">
        <f t="shared" si="727"/>
        <v>260</v>
      </c>
      <c r="BD243" s="56" t="s">
        <v>1379</v>
      </c>
      <c r="BE243" s="3" t="s">
        <v>23</v>
      </c>
      <c r="BF243" s="119" t="s">
        <v>23</v>
      </c>
      <c r="BG243" s="49" t="s">
        <v>1379</v>
      </c>
      <c r="BH243" s="49" t="s">
        <v>1384</v>
      </c>
      <c r="BI243" s="1"/>
      <c r="BJ243" s="70" t="s">
        <v>1293</v>
      </c>
      <c r="BK243" s="57" t="s">
        <v>1293</v>
      </c>
      <c r="BL243" s="57" t="s">
        <v>1293</v>
      </c>
      <c r="BM243" s="57" t="s">
        <v>1293</v>
      </c>
      <c r="BN243" s="57" t="s">
        <v>1293</v>
      </c>
      <c r="BO243" s="57" t="s">
        <v>1293</v>
      </c>
      <c r="BP243" s="57" t="s">
        <v>1293</v>
      </c>
      <c r="BQ243" s="57" t="s">
        <v>1293</v>
      </c>
      <c r="BR243" s="57" t="s">
        <v>1293</v>
      </c>
      <c r="BS243" s="57" t="s">
        <v>1293</v>
      </c>
      <c r="BT243" s="57" t="s">
        <v>1293</v>
      </c>
      <c r="BU243" s="57" t="s">
        <v>1293</v>
      </c>
      <c r="BV243" s="70">
        <f t="shared" si="728"/>
        <v>49</v>
      </c>
      <c r="BW243" s="71" t="str">
        <f t="shared" si="729"/>
        <v>-</v>
      </c>
      <c r="BX243" s="72">
        <f t="shared" si="730"/>
        <v>84</v>
      </c>
      <c r="BY243" s="71">
        <f t="shared" si="731"/>
        <v>116</v>
      </c>
      <c r="BZ243" s="72">
        <f t="shared" si="732"/>
        <v>120</v>
      </c>
      <c r="CA243" s="71">
        <f t="shared" si="733"/>
        <v>156</v>
      </c>
      <c r="CB243" s="72">
        <f t="shared" si="734"/>
        <v>164</v>
      </c>
      <c r="CC243" s="71">
        <f t="shared" si="735"/>
        <v>202</v>
      </c>
      <c r="CD243" s="72">
        <f t="shared" si="736"/>
        <v>211</v>
      </c>
      <c r="CE243" s="71">
        <f t="shared" si="737"/>
        <v>253</v>
      </c>
      <c r="CF243" s="72">
        <f t="shared" si="738"/>
        <v>295</v>
      </c>
      <c r="CG243" s="71">
        <f t="shared" si="739"/>
        <v>328</v>
      </c>
      <c r="CH243" s="70">
        <f t="shared" si="740"/>
        <v>79</v>
      </c>
      <c r="CI243" s="71" t="str">
        <f t="shared" si="741"/>
        <v>-</v>
      </c>
      <c r="CJ243" s="72">
        <f t="shared" si="742"/>
        <v>113</v>
      </c>
      <c r="CK243" s="72">
        <f t="shared" si="743"/>
        <v>119</v>
      </c>
      <c r="CL243" s="72">
        <f t="shared" si="744"/>
        <v>155</v>
      </c>
      <c r="CM243" s="72">
        <f t="shared" si="745"/>
        <v>163</v>
      </c>
      <c r="CN243" s="72">
        <f t="shared" si="746"/>
        <v>190</v>
      </c>
      <c r="CO243" s="72">
        <f t="shared" si="747"/>
        <v>204</v>
      </c>
      <c r="CP243" s="72">
        <f t="shared" si="748"/>
        <v>247</v>
      </c>
      <c r="CQ243" s="72">
        <f t="shared" si="749"/>
        <v>289</v>
      </c>
      <c r="CR243" s="72">
        <f t="shared" si="750"/>
        <v>327</v>
      </c>
      <c r="CS243" s="72">
        <f t="shared" si="751"/>
        <v>340</v>
      </c>
      <c r="CT243" s="23" t="e">
        <f t="shared" si="752"/>
        <v>#VALUE!</v>
      </c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  <c r="OK243" s="1"/>
      <c r="OL243" s="1"/>
      <c r="OM243" s="1"/>
      <c r="ON243" s="1"/>
      <c r="OO243" s="1"/>
      <c r="OP243" s="1"/>
      <c r="OQ243" s="1"/>
      <c r="OR243" s="1"/>
      <c r="OS243" s="1"/>
      <c r="OT243" s="1"/>
      <c r="OU243" s="1"/>
      <c r="OV243" s="1"/>
      <c r="OW243" s="1"/>
      <c r="OX243" s="1"/>
      <c r="OY243" s="1"/>
      <c r="OZ243" s="1"/>
      <c r="PA243" s="1"/>
      <c r="PB243" s="1"/>
      <c r="PC243" s="1"/>
      <c r="PD243" s="1"/>
      <c r="PE243" s="1"/>
      <c r="PF243" s="1"/>
      <c r="PG243" s="1"/>
      <c r="PH243" s="1"/>
      <c r="PI243" s="1"/>
      <c r="PJ243" s="1"/>
      <c r="PK243" s="1"/>
      <c r="PL243" s="1"/>
      <c r="PM243" s="1"/>
      <c r="PN243" s="1"/>
      <c r="PO243" s="1"/>
      <c r="PP243" s="1"/>
      <c r="PQ243" s="1"/>
      <c r="PR243" s="1"/>
      <c r="PS243" s="1"/>
      <c r="PT243" s="1"/>
      <c r="PU243" s="1"/>
      <c r="PV243" s="1"/>
      <c r="PW243" s="1"/>
      <c r="PX243" s="1"/>
      <c r="PY243" s="1"/>
      <c r="PZ243" s="1"/>
      <c r="QA243" s="1"/>
      <c r="QB243" s="1"/>
      <c r="QC243" s="1"/>
      <c r="QD243" s="1"/>
      <c r="QE243" s="1"/>
      <c r="QF243" s="1"/>
      <c r="QG243" s="1"/>
      <c r="QH243" s="1"/>
      <c r="QI243" s="1"/>
      <c r="QJ243" s="1"/>
      <c r="QK243" s="1"/>
      <c r="QL243" s="1"/>
      <c r="QM243" s="1"/>
      <c r="QN243" s="1"/>
      <c r="QO243" s="1"/>
      <c r="QP243" s="1"/>
      <c r="QQ243" s="1"/>
      <c r="QR243" s="1"/>
      <c r="QS243" s="1"/>
      <c r="QT243" s="1"/>
      <c r="QU243" s="1"/>
      <c r="QV243" s="1"/>
      <c r="QW243" s="1"/>
      <c r="QX243" s="1"/>
      <c r="QY243" s="1"/>
      <c r="QZ243" s="1"/>
      <c r="RA243" s="1"/>
      <c r="RB243" s="1"/>
      <c r="RC243" s="1"/>
      <c r="RD243" s="1"/>
      <c r="RE243" s="1"/>
      <c r="RF243" s="1"/>
      <c r="RG243" s="1"/>
      <c r="RH243" s="1"/>
      <c r="RI243" s="1"/>
      <c r="RJ243" s="1"/>
      <c r="RK243" s="1"/>
      <c r="RL243" s="1"/>
      <c r="RM243" s="1"/>
      <c r="RN243" s="1"/>
      <c r="RO243" s="1"/>
      <c r="RP243" s="1"/>
      <c r="RQ243" s="1"/>
      <c r="RR243" s="1"/>
      <c r="RS243" s="1"/>
      <c r="RT243" s="1"/>
      <c r="RU243" s="1"/>
      <c r="RV243" s="1"/>
      <c r="RW243" s="1"/>
      <c r="RX243" s="1"/>
      <c r="RY243" s="1"/>
      <c r="RZ243" s="1"/>
      <c r="SA243" s="1"/>
      <c r="SB243" s="1"/>
      <c r="SC243" s="1"/>
      <c r="SD243" s="1"/>
      <c r="SE243" s="1"/>
      <c r="SF243" s="1"/>
      <c r="SG243" s="1"/>
      <c r="SH243" s="1"/>
      <c r="SI243" s="1"/>
      <c r="SJ243" s="1"/>
      <c r="SK243" s="1"/>
      <c r="SL243" s="1"/>
      <c r="SM243" s="1"/>
      <c r="SN243" s="1"/>
      <c r="SO243" s="1"/>
      <c r="SP243" s="1"/>
      <c r="SQ243" s="1"/>
      <c r="SR243" s="1"/>
      <c r="SS243" s="1"/>
      <c r="ST243" s="1"/>
      <c r="SU243" s="1"/>
      <c r="SV243" s="1"/>
      <c r="SW243" s="1"/>
      <c r="SX243" s="1"/>
      <c r="SY243" s="1"/>
      <c r="SZ243" s="1"/>
      <c r="TA243" s="1"/>
      <c r="TB243" s="1"/>
      <c r="TC243" s="1"/>
      <c r="TD243" s="1"/>
      <c r="TE243" s="1"/>
      <c r="TF243" s="1"/>
      <c r="TG243" s="1"/>
      <c r="TH243" s="1"/>
      <c r="TI243" s="1"/>
      <c r="TJ243" s="1"/>
      <c r="TK243" s="1"/>
      <c r="TL243" s="1"/>
      <c r="TM243" s="1"/>
      <c r="TN243" s="1"/>
      <c r="TO243" s="1"/>
      <c r="TP243" s="1"/>
      <c r="TQ243" s="1"/>
      <c r="TR243" s="1"/>
      <c r="TS243" s="1"/>
      <c r="TT243" s="1"/>
      <c r="TU243" s="1"/>
      <c r="TV243" s="1"/>
      <c r="TW243" s="1"/>
      <c r="TX243" s="1"/>
      <c r="TY243" s="1"/>
      <c r="TZ243" s="1"/>
      <c r="UA243" s="1"/>
      <c r="UB243" s="1"/>
      <c r="UC243" s="1"/>
      <c r="UD243" s="1"/>
      <c r="UE243" s="1"/>
      <c r="UF243" s="1"/>
      <c r="UG243" s="1"/>
      <c r="UH243" s="1"/>
      <c r="UI243" s="1"/>
      <c r="UJ243" s="1"/>
      <c r="UK243" s="1"/>
      <c r="UL243" s="1"/>
      <c r="UM243" s="1"/>
      <c r="UN243" s="1"/>
      <c r="UO243" s="1"/>
      <c r="UP243" s="1"/>
      <c r="UQ243" s="1"/>
      <c r="UR243" s="1"/>
      <c r="US243" s="1"/>
      <c r="UT243" s="1"/>
      <c r="UU243" s="1"/>
      <c r="UV243" s="1"/>
      <c r="UW243" s="1"/>
      <c r="UX243" s="1"/>
      <c r="UY243" s="1"/>
      <c r="UZ243" s="1"/>
      <c r="VA243" s="1"/>
      <c r="VB243" s="1"/>
      <c r="VC243" s="1"/>
      <c r="VD243" s="1"/>
      <c r="VE243" s="1"/>
      <c r="VF243" s="1"/>
      <c r="VG243" s="1"/>
      <c r="VH243" s="1"/>
      <c r="VI243" s="1"/>
      <c r="VJ243" s="1"/>
      <c r="VK243" s="1"/>
      <c r="VL243" s="1"/>
      <c r="VM243" s="1"/>
      <c r="VN243" s="1"/>
      <c r="VO243" s="1"/>
      <c r="VP243" s="1"/>
      <c r="VQ243" s="1"/>
      <c r="VR243" s="1"/>
      <c r="VS243" s="1"/>
      <c r="VT243" s="1"/>
      <c r="VU243" s="1"/>
      <c r="VV243" s="1"/>
      <c r="VW243" s="1"/>
      <c r="VX243" s="1"/>
      <c r="VY243" s="1"/>
      <c r="VZ243" s="1"/>
      <c r="WA243" s="1"/>
      <c r="WB243" s="1"/>
      <c r="WC243" s="1"/>
      <c r="WD243" s="1"/>
      <c r="WE243" s="1"/>
      <c r="WF243" s="1"/>
      <c r="WG243" s="1"/>
      <c r="WH243" s="1"/>
      <c r="WI243" s="1"/>
      <c r="WJ243" s="1"/>
      <c r="WK243" s="1"/>
      <c r="WL243" s="1"/>
      <c r="WM243" s="1"/>
      <c r="WN243" s="1"/>
      <c r="WO243" s="1"/>
      <c r="WP243" s="1"/>
      <c r="WQ243" s="1"/>
      <c r="WR243" s="1"/>
      <c r="WS243" s="1"/>
      <c r="WT243" s="1"/>
      <c r="WU243" s="1"/>
      <c r="WV243" s="1"/>
      <c r="WW243" s="1"/>
      <c r="WX243" s="1"/>
      <c r="WY243" s="1"/>
      <c r="WZ243" s="1"/>
      <c r="XA243" s="1"/>
      <c r="XB243" s="1"/>
      <c r="XC243" s="1"/>
      <c r="XD243" s="1"/>
      <c r="XE243" s="1"/>
      <c r="XF243" s="1"/>
      <c r="XG243" s="1"/>
      <c r="XH243" s="1"/>
      <c r="XI243" s="1"/>
      <c r="XJ243" s="1"/>
      <c r="XK243" s="1"/>
      <c r="XL243" s="1"/>
      <c r="XM243" s="1"/>
      <c r="XN243" s="1"/>
      <c r="XO243" s="1"/>
      <c r="XP243" s="1"/>
      <c r="XQ243" s="1"/>
      <c r="XR243" s="1"/>
      <c r="XS243" s="1"/>
      <c r="XT243" s="1"/>
      <c r="XU243" s="1"/>
      <c r="XV243" s="1"/>
      <c r="XW243" s="1"/>
      <c r="XX243" s="1"/>
      <c r="XY243" s="1"/>
      <c r="XZ243" s="1"/>
      <c r="YA243" s="1"/>
      <c r="YB243" s="1"/>
      <c r="YC243" s="1"/>
      <c r="YD243" s="1"/>
      <c r="YE243" s="1"/>
      <c r="YF243" s="1"/>
      <c r="YG243" s="1"/>
      <c r="YH243" s="1"/>
      <c r="YI243" s="1"/>
      <c r="YJ243" s="1"/>
      <c r="YK243" s="1"/>
      <c r="YL243" s="1"/>
      <c r="YM243" s="1"/>
      <c r="YN243" s="1"/>
      <c r="YO243" s="1"/>
      <c r="YP243" s="1"/>
      <c r="YQ243" s="1"/>
      <c r="YR243" s="1"/>
      <c r="YS243" s="1"/>
      <c r="YT243" s="1"/>
      <c r="YU243" s="1"/>
      <c r="YV243" s="1"/>
      <c r="YW243" s="1"/>
      <c r="YX243" s="1"/>
      <c r="YY243" s="1"/>
      <c r="YZ243" s="1"/>
      <c r="ZA243" s="1"/>
      <c r="ZB243" s="1"/>
      <c r="ZC243" s="1"/>
      <c r="ZD243" s="1"/>
      <c r="ZE243" s="1"/>
      <c r="ZF243" s="1"/>
      <c r="ZG243" s="1"/>
      <c r="ZH243" s="1"/>
      <c r="ZI243" s="1"/>
      <c r="ZJ243" s="1"/>
      <c r="ZK243" s="1"/>
      <c r="ZL243" s="1"/>
      <c r="ZM243" s="1"/>
      <c r="ZN243" s="1"/>
      <c r="ZO243" s="1"/>
      <c r="ZP243" s="1"/>
      <c r="ZQ243" s="1"/>
      <c r="ZR243" s="1"/>
      <c r="ZS243" s="1"/>
      <c r="ZT243" s="1"/>
      <c r="ZU243" s="1"/>
      <c r="ZV243" s="1"/>
      <c r="ZW243" s="1"/>
      <c r="ZX243" s="1"/>
      <c r="ZY243" s="1"/>
      <c r="ZZ243" s="1"/>
      <c r="AAA243" s="1"/>
      <c r="AAB243" s="1"/>
      <c r="AAC243" s="1"/>
      <c r="AAD243" s="1"/>
      <c r="AAE243" s="1"/>
      <c r="AAF243" s="1"/>
      <c r="AAG243" s="1"/>
      <c r="AAH243" s="1"/>
      <c r="AAI243" s="1"/>
      <c r="AAJ243" s="1"/>
      <c r="AAK243" s="1"/>
      <c r="AAL243" s="1"/>
      <c r="AAM243" s="1"/>
      <c r="AAN243" s="1"/>
      <c r="AAO243" s="1"/>
      <c r="AAP243" s="1"/>
      <c r="AAQ243" s="1"/>
      <c r="AAR243" s="1"/>
      <c r="AAS243" s="1"/>
      <c r="AAT243" s="1"/>
      <c r="AAU243" s="1"/>
      <c r="AAV243" s="1"/>
      <c r="AAW243" s="1"/>
      <c r="AAX243" s="1"/>
      <c r="AAY243" s="1"/>
      <c r="AAZ243" s="1"/>
      <c r="ABA243" s="1"/>
      <c r="ABB243" s="1"/>
      <c r="ABC243" s="1"/>
      <c r="ABD243" s="1"/>
      <c r="ABE243" s="1"/>
      <c r="ABF243" s="1"/>
      <c r="ABG243" s="1"/>
      <c r="ABH243" s="1"/>
      <c r="ABI243" s="1"/>
      <c r="ABJ243" s="1"/>
      <c r="ABK243" s="1"/>
      <c r="ABL243" s="1"/>
      <c r="ABM243" s="1"/>
      <c r="ABN243" s="1"/>
      <c r="ABO243" s="1"/>
      <c r="ABP243" s="1"/>
      <c r="ABQ243" s="1"/>
      <c r="ABR243" s="1"/>
      <c r="ABS243" s="1"/>
      <c r="ABT243" s="1"/>
      <c r="ABU243" s="1"/>
      <c r="ABV243" s="1"/>
      <c r="ABW243" s="1"/>
      <c r="ABX243" s="1"/>
      <c r="ABY243" s="1"/>
      <c r="ABZ243" s="1"/>
      <c r="ACA243" s="1"/>
      <c r="ACB243" s="1"/>
      <c r="ACC243" s="1"/>
      <c r="ACD243" s="1"/>
      <c r="ACE243" s="1"/>
      <c r="ACF243" s="1"/>
      <c r="ACG243" s="1"/>
      <c r="ACH243" s="1"/>
      <c r="ACI243" s="1"/>
      <c r="ACJ243" s="1"/>
      <c r="ACK243" s="1"/>
      <c r="ACL243" s="1"/>
      <c r="ACM243" s="1"/>
      <c r="ACN243" s="1"/>
      <c r="ACO243" s="1"/>
      <c r="ACP243" s="1"/>
      <c r="ACQ243" s="1"/>
      <c r="ACR243" s="1"/>
      <c r="ACS243" s="1"/>
      <c r="ACT243" s="1"/>
      <c r="ACU243" s="1"/>
      <c r="ACV243" s="1"/>
      <c r="ACW243" s="1"/>
      <c r="ACX243" s="1"/>
      <c r="ACY243" s="1"/>
      <c r="ACZ243" s="1"/>
      <c r="ADA243" s="1"/>
      <c r="ADB243" s="1"/>
      <c r="ADC243" s="1"/>
      <c r="ADD243" s="1"/>
      <c r="ADE243" s="1"/>
      <c r="ADF243" s="1"/>
      <c r="ADG243" s="1"/>
      <c r="ADH243" s="1"/>
      <c r="ADI243" s="1"/>
      <c r="ADJ243" s="1"/>
      <c r="ADK243" s="1"/>
      <c r="ADL243" s="1"/>
      <c r="ADM243" s="1"/>
      <c r="ADN243" s="1"/>
      <c r="ADO243" s="1"/>
      <c r="ADP243" s="1"/>
      <c r="ADQ243" s="1"/>
      <c r="ADR243" s="1"/>
      <c r="ADS243" s="1"/>
      <c r="ADT243" s="1"/>
      <c r="ADU243" s="1"/>
      <c r="ADV243" s="1"/>
      <c r="ADW243" s="1"/>
      <c r="ADX243" s="1"/>
      <c r="ADY243" s="1"/>
      <c r="ADZ243" s="1"/>
      <c r="AEA243" s="1"/>
      <c r="AEB243" s="1"/>
      <c r="AEC243" s="1"/>
      <c r="AED243" s="1"/>
      <c r="AEE243" s="1"/>
      <c r="AEF243" s="1"/>
      <c r="AEG243" s="1"/>
      <c r="AEH243" s="1"/>
      <c r="AEI243" s="1"/>
      <c r="AEJ243" s="1"/>
      <c r="AEK243" s="1"/>
      <c r="AEL243" s="1"/>
      <c r="AEM243" s="1"/>
      <c r="AEN243" s="1"/>
      <c r="AEO243" s="1"/>
      <c r="AEP243" s="1"/>
      <c r="AEQ243" s="1"/>
      <c r="AER243" s="1"/>
      <c r="AES243" s="1"/>
      <c r="AET243" s="1"/>
      <c r="AEU243" s="1"/>
      <c r="AEV243" s="1"/>
      <c r="AEW243" s="1"/>
      <c r="AEX243" s="1"/>
      <c r="AEY243" s="1"/>
      <c r="AEZ243" s="1"/>
      <c r="AFA243" s="1"/>
      <c r="AFB243" s="1"/>
      <c r="AFC243" s="1"/>
      <c r="AFD243" s="1"/>
      <c r="AFE243" s="1"/>
      <c r="AFF243" s="1"/>
      <c r="AFG243" s="1"/>
      <c r="AFH243" s="1"/>
      <c r="AFI243" s="1"/>
      <c r="AFJ243" s="1"/>
      <c r="AFK243" s="1"/>
      <c r="AFL243" s="1"/>
      <c r="AFM243" s="1"/>
      <c r="AFN243" s="1"/>
      <c r="AFO243" s="1"/>
      <c r="AFP243" s="1"/>
      <c r="AFQ243" s="1"/>
      <c r="AFR243" s="1"/>
      <c r="AFS243" s="1"/>
      <c r="AFT243" s="1"/>
      <c r="AFU243" s="1"/>
      <c r="AFV243" s="1"/>
      <c r="AFW243" s="1"/>
      <c r="AFX243" s="1"/>
      <c r="AFY243" s="1"/>
      <c r="AFZ243" s="1"/>
      <c r="AGA243" s="1"/>
      <c r="AGB243" s="1"/>
      <c r="AGC243" s="1"/>
      <c r="AGD243" s="1"/>
      <c r="AGE243" s="1"/>
      <c r="AGF243" s="1"/>
      <c r="AGG243" s="1"/>
      <c r="AGH243" s="1"/>
      <c r="AGI243" s="1"/>
      <c r="AGJ243" s="1"/>
      <c r="AGK243" s="1"/>
      <c r="AGL243" s="1"/>
      <c r="AGM243" s="1"/>
      <c r="AGN243" s="1"/>
      <c r="AGO243" s="1"/>
      <c r="AGP243" s="1"/>
      <c r="AGQ243" s="1"/>
      <c r="AGR243" s="1"/>
      <c r="AGS243" s="1"/>
      <c r="AGT243" s="1"/>
      <c r="AGU243" s="1"/>
      <c r="AGV243" s="1"/>
      <c r="AGW243" s="1"/>
      <c r="AGX243" s="1"/>
      <c r="AGY243" s="1"/>
      <c r="AGZ243" s="1"/>
      <c r="AHA243" s="1"/>
      <c r="AHB243" s="1"/>
      <c r="AHC243" s="1"/>
      <c r="AHD243" s="1"/>
      <c r="AHE243" s="1"/>
      <c r="AHF243" s="1"/>
      <c r="AHG243" s="1"/>
      <c r="AHH243" s="1"/>
      <c r="AHI243" s="1"/>
      <c r="AHJ243" s="1"/>
      <c r="AHK243" s="1"/>
      <c r="AHL243" s="1"/>
      <c r="AHM243" s="1"/>
      <c r="AHN243" s="1"/>
      <c r="AHO243" s="1"/>
      <c r="AHP243" s="1"/>
      <c r="AHQ243" s="1"/>
      <c r="AHR243" s="1"/>
      <c r="AHS243" s="1"/>
      <c r="AHT243" s="1"/>
      <c r="AHU243" s="1"/>
      <c r="AHV243" s="1"/>
      <c r="AHW243" s="1"/>
      <c r="AHX243" s="1"/>
      <c r="AHY243" s="1"/>
      <c r="AHZ243" s="1"/>
      <c r="AIA243" s="1"/>
      <c r="AIB243" s="1"/>
      <c r="AIC243" s="1"/>
      <c r="AID243" s="1"/>
      <c r="AIE243" s="1"/>
      <c r="AIF243" s="1"/>
      <c r="AIG243" s="1"/>
      <c r="AIH243" s="1"/>
      <c r="AII243" s="1"/>
      <c r="AIJ243" s="1"/>
      <c r="AIK243" s="1"/>
      <c r="AIL243" s="1"/>
      <c r="AIM243" s="1"/>
      <c r="AIN243" s="1"/>
      <c r="AIO243" s="1"/>
      <c r="AIP243" s="1"/>
      <c r="AIQ243" s="1"/>
      <c r="AIR243" s="1"/>
      <c r="AIS243" s="1"/>
      <c r="AIT243" s="1"/>
      <c r="AIU243" s="1"/>
      <c r="AIV243" s="1"/>
      <c r="AIW243" s="1"/>
      <c r="AIX243" s="1"/>
      <c r="AIY243" s="1"/>
      <c r="AIZ243" s="1"/>
      <c r="AJA243" s="1"/>
      <c r="AJB243" s="1"/>
      <c r="AJC243" s="1"/>
      <c r="AJD243" s="1"/>
      <c r="AJE243" s="1"/>
      <c r="AJF243" s="1"/>
      <c r="AJG243" s="1"/>
      <c r="AJH243" s="1"/>
      <c r="AJI243" s="1"/>
      <c r="AJJ243" s="1"/>
      <c r="AJK243" s="1"/>
      <c r="AJL243" s="1"/>
      <c r="AJM243" s="1"/>
      <c r="AJN243" s="1"/>
      <c r="AJO243" s="1"/>
      <c r="AJP243" s="1"/>
      <c r="AJQ243" s="1"/>
      <c r="AJR243" s="1"/>
      <c r="AJS243" s="1"/>
      <c r="AJT243" s="1"/>
      <c r="AJU243" s="1"/>
      <c r="AJV243" s="1"/>
      <c r="AJW243" s="1"/>
      <c r="AJX243" s="1"/>
      <c r="AJY243" s="1"/>
      <c r="AJZ243" s="1"/>
      <c r="AKA243" s="1"/>
      <c r="AKB243" s="1"/>
      <c r="AKC243" s="1"/>
      <c r="AKD243" s="1"/>
      <c r="AKE243" s="1"/>
      <c r="AKF243" s="1"/>
      <c r="AKG243" s="1"/>
      <c r="AKH243" s="1"/>
      <c r="AKI243" s="1"/>
      <c r="AKJ243" s="1"/>
      <c r="AKK243" s="1"/>
      <c r="AKL243" s="1"/>
      <c r="AKM243" s="1"/>
      <c r="AKN243" s="1"/>
      <c r="AKO243" s="1"/>
      <c r="AKP243" s="1"/>
      <c r="AKQ243" s="1"/>
      <c r="AKR243" s="1"/>
      <c r="AKS243" s="1"/>
      <c r="AKT243" s="1"/>
      <c r="AKU243" s="1"/>
      <c r="AKV243" s="1"/>
      <c r="AKW243" s="1"/>
      <c r="AKX243" s="1"/>
      <c r="AKY243" s="1"/>
      <c r="AKZ243" s="1"/>
      <c r="ALA243" s="1"/>
      <c r="ALB243" s="1"/>
      <c r="ALC243" s="1"/>
      <c r="ALD243" s="1"/>
      <c r="ALE243" s="1"/>
      <c r="ALF243" s="1"/>
      <c r="ALG243" s="1"/>
      <c r="ALH243" s="1"/>
      <c r="ALI243" s="1"/>
      <c r="ALJ243" s="1"/>
      <c r="ALK243" s="1"/>
      <c r="ALL243" s="1"/>
      <c r="ALM243" s="1"/>
      <c r="ALN243" s="1"/>
      <c r="ALO243" s="1"/>
      <c r="ALP243" s="1"/>
      <c r="ALQ243" s="1"/>
      <c r="ALR243" s="1"/>
      <c r="ALS243" s="1"/>
      <c r="ALT243" s="1"/>
      <c r="ALU243" s="1"/>
      <c r="ALV243" s="1"/>
      <c r="ALW243" s="1"/>
      <c r="ALX243" s="1"/>
      <c r="ALY243" s="1"/>
      <c r="ALZ243" s="1"/>
      <c r="AMA243" s="1"/>
      <c r="AMB243" s="1"/>
      <c r="AMC243" s="1"/>
      <c r="AMD243" s="1"/>
      <c r="AME243" s="1"/>
      <c r="AMF243" s="1"/>
      <c r="AMG243" s="1"/>
      <c r="AMH243" s="1"/>
      <c r="AMI243" s="1"/>
      <c r="AMJ243" s="1"/>
      <c r="AMK243" s="1"/>
      <c r="AML243" s="1"/>
      <c r="AMM243" s="1"/>
      <c r="AMN243" s="1"/>
      <c r="AMO243" s="1"/>
    </row>
    <row r="244" spans="1:1029" x14ac:dyDescent="0.2">
      <c r="A244" s="3" t="str">
        <f t="shared" si="753"/>
        <v>p2ry1_human_4XNV</v>
      </c>
      <c r="B244" s="3" t="s">
        <v>345</v>
      </c>
      <c r="C244" s="3" t="s">
        <v>1152</v>
      </c>
      <c r="D244" s="3" t="str">
        <f>IFERROR(MID(VLOOKUP($B244,Seqs!$A:$B,2,0),E244,1),"")</f>
        <v>F</v>
      </c>
      <c r="E244" s="3">
        <v>49</v>
      </c>
      <c r="F244" s="3" t="str">
        <f>IFERROR(MID(VLOOKUP($B244,Seqs!$A:$B,2,0),G244,1),"")</f>
        <v>H</v>
      </c>
      <c r="G244" s="3">
        <v>79</v>
      </c>
      <c r="H244" s="3" t="str">
        <f>IFERROR(MID(VLOOKUP($B244,Seqs!$A:$B,2,0),I244,1),"")</f>
        <v/>
      </c>
      <c r="I244" s="23" t="s">
        <v>23</v>
      </c>
      <c r="J244" s="3" t="str">
        <f>IFERROR(MID(VLOOKUP($B244,Seqs!$A:$B,2,0),K244,1),"")</f>
        <v/>
      </c>
      <c r="K244" s="23" t="s">
        <v>23</v>
      </c>
      <c r="L244" s="3" t="str">
        <f>IFERROR(MID(VLOOKUP($B244,Seqs!$A:$B,2,0),M244,1),"")</f>
        <v>S</v>
      </c>
      <c r="M244" s="3">
        <v>84</v>
      </c>
      <c r="N244" s="3" t="str">
        <f>IFERROR(MID(VLOOKUP($B244,Seqs!$A:$B,2,0),O244,1),"")</f>
        <v>N</v>
      </c>
      <c r="O244" s="3">
        <v>113</v>
      </c>
      <c r="P244" s="3" t="str">
        <f>IFERROR(MID(VLOOKUP($B244,Seqs!$A:$B,2,0),Q244,1),"")</f>
        <v>D</v>
      </c>
      <c r="Q244" s="3">
        <v>116</v>
      </c>
      <c r="R244" s="3" t="str">
        <f>IFERROR(MID(VLOOKUP($B244,Seqs!$A:$B,2,0),S244,1),"")</f>
        <v>F</v>
      </c>
      <c r="S244" s="3">
        <v>119</v>
      </c>
      <c r="T244" s="3" t="str">
        <f>IFERROR(MID(VLOOKUP($B244,Seqs!$A:$B,2,0),U244,1),"")</f>
        <v>G</v>
      </c>
      <c r="U244" s="3">
        <v>120</v>
      </c>
      <c r="V244" s="3" t="str">
        <f>IFERROR(MID(VLOOKUP($B244,Seqs!$A:$B,2,0),W244,1),"")</f>
        <v>Y</v>
      </c>
      <c r="W244" s="3">
        <v>155</v>
      </c>
      <c r="X244" s="3" t="str">
        <f>IFERROR(MID(VLOOKUP($B244,Seqs!$A:$B,2,0),Y244,1),"")</f>
        <v/>
      </c>
      <c r="Y244" s="3" t="s">
        <v>23</v>
      </c>
      <c r="Z244" s="3" t="str">
        <f>IFERROR(MID(VLOOKUP($B244,Seqs!$A:$B,2,0),AA244,1),"")</f>
        <v/>
      </c>
      <c r="AA244" s="3" t="s">
        <v>23</v>
      </c>
      <c r="AB244" s="3" t="str">
        <f>IFERROR(MID(VLOOKUP($B244,Seqs!$A:$B,2,0),AC244,1),"")</f>
        <v>G</v>
      </c>
      <c r="AC244" s="9">
        <v>161</v>
      </c>
      <c r="AD244" s="3" t="str">
        <f>IFERROR(MID(VLOOKUP($B244,Seqs!$A:$B,2,0),AE244,1),"")</f>
        <v>S</v>
      </c>
      <c r="AE244" s="3">
        <v>190</v>
      </c>
      <c r="AF244" s="3" t="str">
        <f>IFERROR(MID(VLOOKUP($B244,Seqs!$A:$B,2,0),AG244,1),"")</f>
        <v>C</v>
      </c>
      <c r="AG244" s="3">
        <v>202</v>
      </c>
      <c r="AH244" s="3" t="str">
        <f>IFERROR(MID(VLOOKUP($B244,Seqs!$A:$B,2,0),AI244,1),"")</f>
        <v>D</v>
      </c>
      <c r="AI244" s="3">
        <v>204</v>
      </c>
      <c r="AJ244" s="3" t="str">
        <f>IFERROR(MID(VLOOKUP($B244,Seqs!$A:$B,2,0),AK244,1),"")</f>
        <v>L</v>
      </c>
      <c r="AK244" s="3">
        <v>211</v>
      </c>
      <c r="AL244" s="3" t="str">
        <f>IFERROR(MID(VLOOKUP($B244,Seqs!$A:$B,2,0),AM244,1),"")</f>
        <v>K</v>
      </c>
      <c r="AM244" s="3">
        <v>247</v>
      </c>
      <c r="AN244" s="3" t="str">
        <f>IFERROR(MID(VLOOKUP($B244,Seqs!$A:$B,2,0),AO244,1),"")</f>
        <v>P</v>
      </c>
      <c r="AO244" s="3">
        <v>253</v>
      </c>
      <c r="AP244" s="3" t="str">
        <f>IFERROR(MID(VLOOKUP($B244,Seqs!$A:$B,2,0),AQ244,1),"")</f>
        <v>D</v>
      </c>
      <c r="AQ244" s="3">
        <v>289</v>
      </c>
      <c r="AR244" s="3" t="str">
        <f>IFERROR(MID(VLOOKUP($B244,Seqs!$A:$B,2,0),AS244,1),"")</f>
        <v>M</v>
      </c>
      <c r="AS244" s="3">
        <v>295</v>
      </c>
      <c r="AT244" s="3" t="str">
        <f>IFERROR(MID(VLOOKUP($B244,Seqs!$A:$B,2,0),AU244,1),"")</f>
        <v>L</v>
      </c>
      <c r="AU244" s="3">
        <v>326</v>
      </c>
      <c r="AV244" s="3" t="str">
        <f>IFERROR(MID(VLOOKUP($B244,Seqs!$A:$B,2,0),AW244,1),"")</f>
        <v/>
      </c>
      <c r="AW244" s="3" t="s">
        <v>23</v>
      </c>
      <c r="AX244" s="3" t="str">
        <f>IFERROR(MID(VLOOKUP($B244,Seqs!$A:$B,2,0),AY244,1),"")</f>
        <v/>
      </c>
      <c r="AY244" s="3" t="s">
        <v>23</v>
      </c>
      <c r="AZ244" s="77" t="str">
        <f>VLOOKUP(B244,Classification!A:D,2,0)</f>
        <v>A</v>
      </c>
      <c r="BA244" s="94" t="str">
        <f>VLOOKUP(B244,Classification!A:D,4,0)</f>
        <v>P2Y</v>
      </c>
      <c r="BB244" s="27" t="b">
        <f t="shared" si="754"/>
        <v>1</v>
      </c>
      <c r="BC244" s="23">
        <f t="shared" si="727"/>
        <v>243</v>
      </c>
      <c r="BD244" s="4" t="s">
        <v>23</v>
      </c>
      <c r="BE244" s="3" t="s">
        <v>1439</v>
      </c>
      <c r="BF244" s="119">
        <v>2.2000000000000002</v>
      </c>
      <c r="BG244" s="49" t="s">
        <v>1384</v>
      </c>
      <c r="BH244" s="49" t="s">
        <v>1384</v>
      </c>
      <c r="BI244" s="3" t="s">
        <v>1169</v>
      </c>
      <c r="BJ244" s="70" t="s">
        <v>1293</v>
      </c>
      <c r="BK244" s="57" t="s">
        <v>1293</v>
      </c>
      <c r="BL244" s="57" t="s">
        <v>1293</v>
      </c>
      <c r="BM244" s="57" t="s">
        <v>1293</v>
      </c>
      <c r="BN244" s="57" t="s">
        <v>1293</v>
      </c>
      <c r="BO244" s="57" t="s">
        <v>1293</v>
      </c>
      <c r="BP244" s="57" t="s">
        <v>1293</v>
      </c>
      <c r="BQ244" s="57" t="s">
        <v>1293</v>
      </c>
      <c r="BR244" s="57" t="s">
        <v>1293</v>
      </c>
      <c r="BS244" s="57" t="s">
        <v>1293</v>
      </c>
      <c r="BT244" s="57" t="s">
        <v>1293</v>
      </c>
      <c r="BU244" s="57" t="s">
        <v>1293</v>
      </c>
      <c r="BV244" s="70">
        <f t="shared" si="728"/>
        <v>49</v>
      </c>
      <c r="BW244" s="71" t="str">
        <f t="shared" si="729"/>
        <v>-</v>
      </c>
      <c r="BX244" s="72">
        <f t="shared" si="730"/>
        <v>84</v>
      </c>
      <c r="BY244" s="71">
        <f t="shared" si="731"/>
        <v>116</v>
      </c>
      <c r="BZ244" s="72">
        <f t="shared" si="732"/>
        <v>120</v>
      </c>
      <c r="CA244" s="71" t="str">
        <f t="shared" si="733"/>
        <v>-</v>
      </c>
      <c r="CB244" s="72">
        <f t="shared" si="734"/>
        <v>161</v>
      </c>
      <c r="CC244" s="71">
        <f t="shared" si="735"/>
        <v>202</v>
      </c>
      <c r="CD244" s="72">
        <f t="shared" si="736"/>
        <v>211</v>
      </c>
      <c r="CE244" s="71">
        <f t="shared" si="737"/>
        <v>253</v>
      </c>
      <c r="CF244" s="72">
        <f t="shared" si="738"/>
        <v>295</v>
      </c>
      <c r="CG244" s="71" t="str">
        <f t="shared" si="739"/>
        <v>-</v>
      </c>
      <c r="CH244" s="70">
        <f t="shared" si="740"/>
        <v>79</v>
      </c>
      <c r="CI244" s="71" t="str">
        <f t="shared" si="741"/>
        <v>-</v>
      </c>
      <c r="CJ244" s="72">
        <f t="shared" si="742"/>
        <v>113</v>
      </c>
      <c r="CK244" s="72">
        <f t="shared" si="743"/>
        <v>119</v>
      </c>
      <c r="CL244" s="72">
        <f t="shared" si="744"/>
        <v>155</v>
      </c>
      <c r="CM244" s="72" t="str">
        <f t="shared" si="745"/>
        <v>-</v>
      </c>
      <c r="CN244" s="72">
        <f t="shared" si="746"/>
        <v>190</v>
      </c>
      <c r="CO244" s="72">
        <f t="shared" si="747"/>
        <v>204</v>
      </c>
      <c r="CP244" s="72">
        <f t="shared" si="748"/>
        <v>247</v>
      </c>
      <c r="CQ244" s="72">
        <f t="shared" si="749"/>
        <v>289</v>
      </c>
      <c r="CR244" s="72">
        <f t="shared" si="750"/>
        <v>326</v>
      </c>
      <c r="CS244" s="72" t="str">
        <f t="shared" si="751"/>
        <v>-</v>
      </c>
      <c r="CT244" s="23" t="e">
        <f t="shared" si="752"/>
        <v>#VALUE!</v>
      </c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  <c r="OK244" s="1"/>
      <c r="OL244" s="1"/>
      <c r="OM244" s="1"/>
      <c r="ON244" s="1"/>
      <c r="OO244" s="1"/>
      <c r="OP244" s="1"/>
      <c r="OQ244" s="1"/>
      <c r="OR244" s="1"/>
      <c r="OS244" s="1"/>
      <c r="OT244" s="1"/>
      <c r="OU244" s="1"/>
      <c r="OV244" s="1"/>
      <c r="OW244" s="1"/>
      <c r="OX244" s="1"/>
      <c r="OY244" s="1"/>
      <c r="OZ244" s="1"/>
      <c r="PA244" s="1"/>
      <c r="PB244" s="1"/>
      <c r="PC244" s="1"/>
      <c r="PD244" s="1"/>
      <c r="PE244" s="1"/>
      <c r="PF244" s="1"/>
      <c r="PG244" s="1"/>
      <c r="PH244" s="1"/>
      <c r="PI244" s="1"/>
      <c r="PJ244" s="1"/>
      <c r="PK244" s="1"/>
      <c r="PL244" s="1"/>
      <c r="PM244" s="1"/>
      <c r="PN244" s="1"/>
      <c r="PO244" s="1"/>
      <c r="PP244" s="1"/>
      <c r="PQ244" s="1"/>
      <c r="PR244" s="1"/>
      <c r="PS244" s="1"/>
      <c r="PT244" s="1"/>
      <c r="PU244" s="1"/>
      <c r="PV244" s="1"/>
      <c r="PW244" s="1"/>
      <c r="PX244" s="1"/>
      <c r="PY244" s="1"/>
      <c r="PZ244" s="1"/>
      <c r="QA244" s="1"/>
      <c r="QB244" s="1"/>
      <c r="QC244" s="1"/>
      <c r="QD244" s="1"/>
      <c r="QE244" s="1"/>
      <c r="QF244" s="1"/>
      <c r="QG244" s="1"/>
      <c r="QH244" s="1"/>
      <c r="QI244" s="1"/>
      <c r="QJ244" s="1"/>
      <c r="QK244" s="1"/>
      <c r="QL244" s="1"/>
      <c r="QM244" s="1"/>
      <c r="QN244" s="1"/>
      <c r="QO244" s="1"/>
      <c r="QP244" s="1"/>
      <c r="QQ244" s="1"/>
      <c r="QR244" s="1"/>
      <c r="QS244" s="1"/>
      <c r="QT244" s="1"/>
      <c r="QU244" s="1"/>
      <c r="QV244" s="1"/>
      <c r="QW244" s="1"/>
      <c r="QX244" s="1"/>
      <c r="QY244" s="1"/>
      <c r="QZ244" s="1"/>
      <c r="RA244" s="1"/>
      <c r="RB244" s="1"/>
      <c r="RC244" s="1"/>
      <c r="RD244" s="1"/>
      <c r="RE244" s="1"/>
      <c r="RF244" s="1"/>
      <c r="RG244" s="1"/>
      <c r="RH244" s="1"/>
      <c r="RI244" s="1"/>
      <c r="RJ244" s="1"/>
      <c r="RK244" s="1"/>
      <c r="RL244" s="1"/>
      <c r="RM244" s="1"/>
      <c r="RN244" s="1"/>
      <c r="RO244" s="1"/>
      <c r="RP244" s="1"/>
      <c r="RQ244" s="1"/>
      <c r="RR244" s="1"/>
      <c r="RS244" s="1"/>
      <c r="RT244" s="1"/>
      <c r="RU244" s="1"/>
      <c r="RV244" s="1"/>
      <c r="RW244" s="1"/>
      <c r="RX244" s="1"/>
      <c r="RY244" s="1"/>
      <c r="RZ244" s="1"/>
      <c r="SA244" s="1"/>
      <c r="SB244" s="1"/>
      <c r="SC244" s="1"/>
      <c r="SD244" s="1"/>
      <c r="SE244" s="1"/>
      <c r="SF244" s="1"/>
      <c r="SG244" s="1"/>
      <c r="SH244" s="1"/>
      <c r="SI244" s="1"/>
      <c r="SJ244" s="1"/>
      <c r="SK244" s="1"/>
      <c r="SL244" s="1"/>
      <c r="SM244" s="1"/>
      <c r="SN244" s="1"/>
      <c r="SO244" s="1"/>
      <c r="SP244" s="1"/>
      <c r="SQ244" s="1"/>
      <c r="SR244" s="1"/>
      <c r="SS244" s="1"/>
      <c r="ST244" s="1"/>
      <c r="SU244" s="1"/>
      <c r="SV244" s="1"/>
      <c r="SW244" s="1"/>
      <c r="SX244" s="1"/>
      <c r="SY244" s="1"/>
      <c r="SZ244" s="1"/>
      <c r="TA244" s="1"/>
      <c r="TB244" s="1"/>
      <c r="TC244" s="1"/>
      <c r="TD244" s="1"/>
      <c r="TE244" s="1"/>
      <c r="TF244" s="1"/>
      <c r="TG244" s="1"/>
      <c r="TH244" s="1"/>
      <c r="TI244" s="1"/>
      <c r="TJ244" s="1"/>
      <c r="TK244" s="1"/>
      <c r="TL244" s="1"/>
      <c r="TM244" s="1"/>
      <c r="TN244" s="1"/>
      <c r="TO244" s="1"/>
      <c r="TP244" s="1"/>
      <c r="TQ244" s="1"/>
      <c r="TR244" s="1"/>
      <c r="TS244" s="1"/>
      <c r="TT244" s="1"/>
      <c r="TU244" s="1"/>
      <c r="TV244" s="1"/>
      <c r="TW244" s="1"/>
      <c r="TX244" s="1"/>
      <c r="TY244" s="1"/>
      <c r="TZ244" s="1"/>
      <c r="UA244" s="1"/>
      <c r="UB244" s="1"/>
      <c r="UC244" s="1"/>
      <c r="UD244" s="1"/>
      <c r="UE244" s="1"/>
      <c r="UF244" s="1"/>
      <c r="UG244" s="1"/>
      <c r="UH244" s="1"/>
      <c r="UI244" s="1"/>
      <c r="UJ244" s="1"/>
      <c r="UK244" s="1"/>
      <c r="UL244" s="1"/>
      <c r="UM244" s="1"/>
      <c r="UN244" s="1"/>
      <c r="UO244" s="1"/>
      <c r="UP244" s="1"/>
      <c r="UQ244" s="1"/>
      <c r="UR244" s="1"/>
      <c r="US244" s="1"/>
      <c r="UT244" s="1"/>
      <c r="UU244" s="1"/>
      <c r="UV244" s="1"/>
      <c r="UW244" s="1"/>
      <c r="UX244" s="1"/>
      <c r="UY244" s="1"/>
      <c r="UZ244" s="1"/>
      <c r="VA244" s="1"/>
      <c r="VB244" s="1"/>
      <c r="VC244" s="1"/>
      <c r="VD244" s="1"/>
      <c r="VE244" s="1"/>
      <c r="VF244" s="1"/>
      <c r="VG244" s="1"/>
      <c r="VH244" s="1"/>
      <c r="VI244" s="1"/>
      <c r="VJ244" s="1"/>
      <c r="VK244" s="1"/>
      <c r="VL244" s="1"/>
      <c r="VM244" s="1"/>
      <c r="VN244" s="1"/>
      <c r="VO244" s="1"/>
      <c r="VP244" s="1"/>
      <c r="VQ244" s="1"/>
      <c r="VR244" s="1"/>
      <c r="VS244" s="1"/>
      <c r="VT244" s="1"/>
      <c r="VU244" s="1"/>
      <c r="VV244" s="1"/>
      <c r="VW244" s="1"/>
      <c r="VX244" s="1"/>
      <c r="VY244" s="1"/>
      <c r="VZ244" s="1"/>
      <c r="WA244" s="1"/>
      <c r="WB244" s="1"/>
      <c r="WC244" s="1"/>
      <c r="WD244" s="1"/>
      <c r="WE244" s="1"/>
      <c r="WF244" s="1"/>
      <c r="WG244" s="1"/>
      <c r="WH244" s="1"/>
      <c r="WI244" s="1"/>
      <c r="WJ244" s="1"/>
      <c r="WK244" s="1"/>
      <c r="WL244" s="1"/>
      <c r="WM244" s="1"/>
      <c r="WN244" s="1"/>
      <c r="WO244" s="1"/>
      <c r="WP244" s="1"/>
      <c r="WQ244" s="1"/>
      <c r="WR244" s="1"/>
      <c r="WS244" s="1"/>
      <c r="WT244" s="1"/>
      <c r="WU244" s="1"/>
      <c r="WV244" s="1"/>
      <c r="WW244" s="1"/>
      <c r="WX244" s="1"/>
      <c r="WY244" s="1"/>
      <c r="WZ244" s="1"/>
      <c r="XA244" s="1"/>
      <c r="XB244" s="1"/>
      <c r="XC244" s="1"/>
      <c r="XD244" s="1"/>
      <c r="XE244" s="1"/>
      <c r="XF244" s="1"/>
      <c r="XG244" s="1"/>
      <c r="XH244" s="1"/>
      <c r="XI244" s="1"/>
      <c r="XJ244" s="1"/>
      <c r="XK244" s="1"/>
      <c r="XL244" s="1"/>
      <c r="XM244" s="1"/>
      <c r="XN244" s="1"/>
      <c r="XO244" s="1"/>
      <c r="XP244" s="1"/>
      <c r="XQ244" s="1"/>
      <c r="XR244" s="1"/>
      <c r="XS244" s="1"/>
      <c r="XT244" s="1"/>
      <c r="XU244" s="1"/>
      <c r="XV244" s="1"/>
      <c r="XW244" s="1"/>
      <c r="XX244" s="1"/>
      <c r="XY244" s="1"/>
      <c r="XZ244" s="1"/>
      <c r="YA244" s="1"/>
      <c r="YB244" s="1"/>
      <c r="YC244" s="1"/>
      <c r="YD244" s="1"/>
      <c r="YE244" s="1"/>
      <c r="YF244" s="1"/>
      <c r="YG244" s="1"/>
      <c r="YH244" s="1"/>
      <c r="YI244" s="1"/>
      <c r="YJ244" s="1"/>
      <c r="YK244" s="1"/>
      <c r="YL244" s="1"/>
      <c r="YM244" s="1"/>
      <c r="YN244" s="1"/>
      <c r="YO244" s="1"/>
      <c r="YP244" s="1"/>
      <c r="YQ244" s="1"/>
      <c r="YR244" s="1"/>
      <c r="YS244" s="1"/>
      <c r="YT244" s="1"/>
      <c r="YU244" s="1"/>
      <c r="YV244" s="1"/>
      <c r="YW244" s="1"/>
      <c r="YX244" s="1"/>
      <c r="YY244" s="1"/>
      <c r="YZ244" s="1"/>
      <c r="ZA244" s="1"/>
      <c r="ZB244" s="1"/>
      <c r="ZC244" s="1"/>
      <c r="ZD244" s="1"/>
      <c r="ZE244" s="1"/>
      <c r="ZF244" s="1"/>
      <c r="ZG244" s="1"/>
      <c r="ZH244" s="1"/>
      <c r="ZI244" s="1"/>
      <c r="ZJ244" s="1"/>
      <c r="ZK244" s="1"/>
      <c r="ZL244" s="1"/>
      <c r="ZM244" s="1"/>
      <c r="ZN244" s="1"/>
      <c r="ZO244" s="1"/>
      <c r="ZP244" s="1"/>
      <c r="ZQ244" s="1"/>
      <c r="ZR244" s="1"/>
      <c r="ZS244" s="1"/>
      <c r="ZT244" s="1"/>
      <c r="ZU244" s="1"/>
      <c r="ZV244" s="1"/>
      <c r="ZW244" s="1"/>
      <c r="ZX244" s="1"/>
      <c r="ZY244" s="1"/>
      <c r="ZZ244" s="1"/>
      <c r="AAA244" s="1"/>
      <c r="AAB244" s="1"/>
      <c r="AAC244" s="1"/>
      <c r="AAD244" s="1"/>
      <c r="AAE244" s="1"/>
      <c r="AAF244" s="1"/>
      <c r="AAG244" s="1"/>
      <c r="AAH244" s="1"/>
      <c r="AAI244" s="1"/>
      <c r="AAJ244" s="1"/>
      <c r="AAK244" s="1"/>
      <c r="AAL244" s="1"/>
      <c r="AAM244" s="1"/>
      <c r="AAN244" s="1"/>
      <c r="AAO244" s="1"/>
      <c r="AAP244" s="1"/>
      <c r="AAQ244" s="1"/>
      <c r="AAR244" s="1"/>
      <c r="AAS244" s="1"/>
      <c r="AAT244" s="1"/>
      <c r="AAU244" s="1"/>
      <c r="AAV244" s="1"/>
      <c r="AAW244" s="1"/>
      <c r="AAX244" s="1"/>
      <c r="AAY244" s="1"/>
      <c r="AAZ244" s="1"/>
      <c r="ABA244" s="1"/>
      <c r="ABB244" s="1"/>
      <c r="ABC244" s="1"/>
      <c r="ABD244" s="1"/>
      <c r="ABE244" s="1"/>
      <c r="ABF244" s="1"/>
      <c r="ABG244" s="1"/>
      <c r="ABH244" s="1"/>
      <c r="ABI244" s="1"/>
      <c r="ABJ244" s="1"/>
      <c r="ABK244" s="1"/>
      <c r="ABL244" s="1"/>
      <c r="ABM244" s="1"/>
      <c r="ABN244" s="1"/>
      <c r="ABO244" s="1"/>
      <c r="ABP244" s="1"/>
      <c r="ABQ244" s="1"/>
      <c r="ABR244" s="1"/>
      <c r="ABS244" s="1"/>
      <c r="ABT244" s="1"/>
      <c r="ABU244" s="1"/>
      <c r="ABV244" s="1"/>
      <c r="ABW244" s="1"/>
      <c r="ABX244" s="1"/>
      <c r="ABY244" s="1"/>
      <c r="ABZ244" s="1"/>
      <c r="ACA244" s="1"/>
      <c r="ACB244" s="1"/>
      <c r="ACC244" s="1"/>
      <c r="ACD244" s="1"/>
      <c r="ACE244" s="1"/>
      <c r="ACF244" s="1"/>
      <c r="ACG244" s="1"/>
      <c r="ACH244" s="1"/>
      <c r="ACI244" s="1"/>
      <c r="ACJ244" s="1"/>
      <c r="ACK244" s="1"/>
      <c r="ACL244" s="1"/>
      <c r="ACM244" s="1"/>
      <c r="ACN244" s="1"/>
      <c r="ACO244" s="1"/>
      <c r="ACP244" s="1"/>
      <c r="ACQ244" s="1"/>
      <c r="ACR244" s="1"/>
      <c r="ACS244" s="1"/>
      <c r="ACT244" s="1"/>
      <c r="ACU244" s="1"/>
      <c r="ACV244" s="1"/>
      <c r="ACW244" s="1"/>
      <c r="ACX244" s="1"/>
      <c r="ACY244" s="1"/>
      <c r="ACZ244" s="1"/>
      <c r="ADA244" s="1"/>
      <c r="ADB244" s="1"/>
      <c r="ADC244" s="1"/>
      <c r="ADD244" s="1"/>
      <c r="ADE244" s="1"/>
      <c r="ADF244" s="1"/>
      <c r="ADG244" s="1"/>
      <c r="ADH244" s="1"/>
      <c r="ADI244" s="1"/>
      <c r="ADJ244" s="1"/>
      <c r="ADK244" s="1"/>
      <c r="ADL244" s="1"/>
      <c r="ADM244" s="1"/>
      <c r="ADN244" s="1"/>
      <c r="ADO244" s="1"/>
      <c r="ADP244" s="1"/>
      <c r="ADQ244" s="1"/>
      <c r="ADR244" s="1"/>
      <c r="ADS244" s="1"/>
      <c r="ADT244" s="1"/>
      <c r="ADU244" s="1"/>
      <c r="ADV244" s="1"/>
      <c r="ADW244" s="1"/>
      <c r="ADX244" s="1"/>
      <c r="ADY244" s="1"/>
      <c r="ADZ244" s="1"/>
      <c r="AEA244" s="1"/>
      <c r="AEB244" s="1"/>
      <c r="AEC244" s="1"/>
      <c r="AED244" s="1"/>
      <c r="AEE244" s="1"/>
      <c r="AEF244" s="1"/>
      <c r="AEG244" s="1"/>
      <c r="AEH244" s="1"/>
      <c r="AEI244" s="1"/>
      <c r="AEJ244" s="1"/>
      <c r="AEK244" s="1"/>
      <c r="AEL244" s="1"/>
      <c r="AEM244" s="1"/>
      <c r="AEN244" s="1"/>
      <c r="AEO244" s="1"/>
      <c r="AEP244" s="1"/>
      <c r="AEQ244" s="1"/>
      <c r="AER244" s="1"/>
      <c r="AES244" s="1"/>
      <c r="AET244" s="1"/>
      <c r="AEU244" s="1"/>
      <c r="AEV244" s="1"/>
      <c r="AEW244" s="1"/>
      <c r="AEX244" s="1"/>
      <c r="AEY244" s="1"/>
      <c r="AEZ244" s="1"/>
      <c r="AFA244" s="1"/>
      <c r="AFB244" s="1"/>
      <c r="AFC244" s="1"/>
      <c r="AFD244" s="1"/>
      <c r="AFE244" s="1"/>
      <c r="AFF244" s="1"/>
      <c r="AFG244" s="1"/>
      <c r="AFH244" s="1"/>
      <c r="AFI244" s="1"/>
      <c r="AFJ244" s="1"/>
      <c r="AFK244" s="1"/>
      <c r="AFL244" s="1"/>
      <c r="AFM244" s="1"/>
      <c r="AFN244" s="1"/>
      <c r="AFO244" s="1"/>
      <c r="AFP244" s="1"/>
      <c r="AFQ244" s="1"/>
      <c r="AFR244" s="1"/>
      <c r="AFS244" s="1"/>
      <c r="AFT244" s="1"/>
      <c r="AFU244" s="1"/>
      <c r="AFV244" s="1"/>
      <c r="AFW244" s="1"/>
      <c r="AFX244" s="1"/>
      <c r="AFY244" s="1"/>
      <c r="AFZ244" s="1"/>
      <c r="AGA244" s="1"/>
      <c r="AGB244" s="1"/>
      <c r="AGC244" s="1"/>
      <c r="AGD244" s="1"/>
      <c r="AGE244" s="1"/>
      <c r="AGF244" s="1"/>
      <c r="AGG244" s="1"/>
      <c r="AGH244" s="1"/>
      <c r="AGI244" s="1"/>
      <c r="AGJ244" s="1"/>
      <c r="AGK244" s="1"/>
      <c r="AGL244" s="1"/>
      <c r="AGM244" s="1"/>
      <c r="AGN244" s="1"/>
      <c r="AGO244" s="1"/>
      <c r="AGP244" s="1"/>
      <c r="AGQ244" s="1"/>
      <c r="AGR244" s="1"/>
      <c r="AGS244" s="1"/>
      <c r="AGT244" s="1"/>
      <c r="AGU244" s="1"/>
      <c r="AGV244" s="1"/>
      <c r="AGW244" s="1"/>
      <c r="AGX244" s="1"/>
      <c r="AGY244" s="1"/>
      <c r="AGZ244" s="1"/>
      <c r="AHA244" s="1"/>
      <c r="AHB244" s="1"/>
      <c r="AHC244" s="1"/>
      <c r="AHD244" s="1"/>
      <c r="AHE244" s="1"/>
      <c r="AHF244" s="1"/>
      <c r="AHG244" s="1"/>
      <c r="AHH244" s="1"/>
      <c r="AHI244" s="1"/>
      <c r="AHJ244" s="1"/>
      <c r="AHK244" s="1"/>
      <c r="AHL244" s="1"/>
      <c r="AHM244" s="1"/>
      <c r="AHN244" s="1"/>
      <c r="AHO244" s="1"/>
      <c r="AHP244" s="1"/>
      <c r="AHQ244" s="1"/>
      <c r="AHR244" s="1"/>
      <c r="AHS244" s="1"/>
      <c r="AHT244" s="1"/>
      <c r="AHU244" s="1"/>
      <c r="AHV244" s="1"/>
      <c r="AHW244" s="1"/>
      <c r="AHX244" s="1"/>
      <c r="AHY244" s="1"/>
      <c r="AHZ244" s="1"/>
      <c r="AIA244" s="1"/>
      <c r="AIB244" s="1"/>
      <c r="AIC244" s="1"/>
      <c r="AID244" s="1"/>
      <c r="AIE244" s="1"/>
      <c r="AIF244" s="1"/>
      <c r="AIG244" s="1"/>
      <c r="AIH244" s="1"/>
      <c r="AII244" s="1"/>
      <c r="AIJ244" s="1"/>
      <c r="AIK244" s="1"/>
      <c r="AIL244" s="1"/>
      <c r="AIM244" s="1"/>
      <c r="AIN244" s="1"/>
      <c r="AIO244" s="1"/>
      <c r="AIP244" s="1"/>
      <c r="AIQ244" s="1"/>
      <c r="AIR244" s="1"/>
      <c r="AIS244" s="1"/>
      <c r="AIT244" s="1"/>
      <c r="AIU244" s="1"/>
      <c r="AIV244" s="1"/>
      <c r="AIW244" s="1"/>
      <c r="AIX244" s="1"/>
      <c r="AIY244" s="1"/>
      <c r="AIZ244" s="1"/>
      <c r="AJA244" s="1"/>
      <c r="AJB244" s="1"/>
      <c r="AJC244" s="1"/>
      <c r="AJD244" s="1"/>
      <c r="AJE244" s="1"/>
      <c r="AJF244" s="1"/>
      <c r="AJG244" s="1"/>
      <c r="AJH244" s="1"/>
      <c r="AJI244" s="1"/>
      <c r="AJJ244" s="1"/>
      <c r="AJK244" s="1"/>
      <c r="AJL244" s="1"/>
      <c r="AJM244" s="1"/>
      <c r="AJN244" s="1"/>
      <c r="AJO244" s="1"/>
      <c r="AJP244" s="1"/>
      <c r="AJQ244" s="1"/>
      <c r="AJR244" s="1"/>
      <c r="AJS244" s="1"/>
      <c r="AJT244" s="1"/>
      <c r="AJU244" s="1"/>
      <c r="AJV244" s="1"/>
      <c r="AJW244" s="1"/>
      <c r="AJX244" s="1"/>
      <c r="AJY244" s="1"/>
      <c r="AJZ244" s="1"/>
      <c r="AKA244" s="1"/>
      <c r="AKB244" s="1"/>
      <c r="AKC244" s="1"/>
      <c r="AKD244" s="1"/>
      <c r="AKE244" s="1"/>
      <c r="AKF244" s="1"/>
      <c r="AKG244" s="1"/>
      <c r="AKH244" s="1"/>
      <c r="AKI244" s="1"/>
      <c r="AKJ244" s="1"/>
      <c r="AKK244" s="1"/>
      <c r="AKL244" s="1"/>
      <c r="AKM244" s="1"/>
      <c r="AKN244" s="1"/>
      <c r="AKO244" s="1"/>
      <c r="AKP244" s="1"/>
      <c r="AKQ244" s="1"/>
      <c r="AKR244" s="1"/>
      <c r="AKS244" s="1"/>
      <c r="AKT244" s="1"/>
      <c r="AKU244" s="1"/>
      <c r="AKV244" s="1"/>
      <c r="AKW244" s="1"/>
      <c r="AKX244" s="1"/>
      <c r="AKY244" s="1"/>
      <c r="AKZ244" s="1"/>
      <c r="ALA244" s="1"/>
      <c r="ALB244" s="1"/>
      <c r="ALC244" s="1"/>
      <c r="ALD244" s="1"/>
      <c r="ALE244" s="1"/>
      <c r="ALF244" s="1"/>
      <c r="ALG244" s="1"/>
      <c r="ALH244" s="1"/>
      <c r="ALI244" s="1"/>
      <c r="ALJ244" s="1"/>
      <c r="ALK244" s="1"/>
      <c r="ALL244" s="1"/>
      <c r="ALM244" s="1"/>
      <c r="ALN244" s="1"/>
      <c r="ALO244" s="1"/>
      <c r="ALP244" s="1"/>
      <c r="ALQ244" s="1"/>
      <c r="ALR244" s="1"/>
      <c r="ALS244" s="1"/>
      <c r="ALT244" s="1"/>
      <c r="ALU244" s="1"/>
      <c r="ALV244" s="1"/>
      <c r="ALW244" s="1"/>
      <c r="ALX244" s="1"/>
      <c r="ALY244" s="1"/>
      <c r="ALZ244" s="1"/>
      <c r="AMA244" s="1"/>
      <c r="AMB244" s="1"/>
      <c r="AMC244" s="1"/>
      <c r="AMD244" s="1"/>
      <c r="AME244" s="1"/>
      <c r="AMF244" s="1"/>
      <c r="AMG244" s="1"/>
      <c r="AMH244" s="1"/>
      <c r="AMI244" s="1"/>
      <c r="AMJ244" s="1"/>
      <c r="AMK244" s="1"/>
      <c r="AML244" s="1"/>
      <c r="AMM244" s="1"/>
      <c r="AMN244" s="1"/>
      <c r="AMO244" s="1"/>
    </row>
    <row r="245" spans="1:1029" x14ac:dyDescent="0.2">
      <c r="A245" s="3" t="str">
        <f t="shared" si="753"/>
        <v>p2ry1_human_4XNW</v>
      </c>
      <c r="B245" s="3" t="s">
        <v>345</v>
      </c>
      <c r="C245" s="3" t="s">
        <v>1056</v>
      </c>
      <c r="D245" s="3" t="str">
        <f>IFERROR(MID(VLOOKUP($B245,Seqs!$A:$B,2,0),E245,1),"")</f>
        <v>F</v>
      </c>
      <c r="E245" s="3">
        <v>49</v>
      </c>
      <c r="F245" s="3" t="str">
        <f>IFERROR(MID(VLOOKUP($B245,Seqs!$A:$B,2,0),G245,1),"")</f>
        <v>H</v>
      </c>
      <c r="G245" s="3">
        <v>79</v>
      </c>
      <c r="H245" s="3" t="str">
        <f>IFERROR(MID(VLOOKUP($B245,Seqs!$A:$B,2,0),I245,1),"")</f>
        <v/>
      </c>
      <c r="I245" s="23" t="s">
        <v>23</v>
      </c>
      <c r="J245" s="3" t="str">
        <f>IFERROR(MID(VLOOKUP($B245,Seqs!$A:$B,2,0),K245,1),"")</f>
        <v/>
      </c>
      <c r="K245" s="23" t="s">
        <v>23</v>
      </c>
      <c r="L245" s="3" t="str">
        <f>IFERROR(MID(VLOOKUP($B245,Seqs!$A:$B,2,0),M245,1),"")</f>
        <v>S</v>
      </c>
      <c r="M245" s="3">
        <v>84</v>
      </c>
      <c r="N245" s="3" t="str">
        <f>IFERROR(MID(VLOOKUP($B245,Seqs!$A:$B,2,0),O245,1),"")</f>
        <v>N</v>
      </c>
      <c r="O245" s="3">
        <v>113</v>
      </c>
      <c r="P245" s="3" t="str">
        <f>IFERROR(MID(VLOOKUP($B245,Seqs!$A:$B,2,0),Q245,1),"")</f>
        <v>D</v>
      </c>
      <c r="Q245" s="3">
        <v>116</v>
      </c>
      <c r="R245" s="3" t="str">
        <f>IFERROR(MID(VLOOKUP($B245,Seqs!$A:$B,2,0),S245,1),"")</f>
        <v>F</v>
      </c>
      <c r="S245" s="3">
        <v>119</v>
      </c>
      <c r="T245" s="3" t="str">
        <f>IFERROR(MID(VLOOKUP($B245,Seqs!$A:$B,2,0),U245,1),"")</f>
        <v>G</v>
      </c>
      <c r="U245" s="3">
        <v>120</v>
      </c>
      <c r="V245" s="3" t="str">
        <f>IFERROR(MID(VLOOKUP($B245,Seqs!$A:$B,2,0),W245,1),"")</f>
        <v>Y</v>
      </c>
      <c r="W245" s="3">
        <v>155</v>
      </c>
      <c r="X245" s="3" t="str">
        <f>IFERROR(MID(VLOOKUP($B245,Seqs!$A:$B,2,0),Y245,1),"")</f>
        <v>P</v>
      </c>
      <c r="Y245" s="3">
        <v>156</v>
      </c>
      <c r="Z245" s="3" t="str">
        <f>IFERROR(MID(VLOOKUP($B245,Seqs!$A:$B,2,0),AA245,1),"")</f>
        <v>L</v>
      </c>
      <c r="AA245" s="3">
        <v>163</v>
      </c>
      <c r="AB245" s="3" t="str">
        <f>IFERROR(MID(VLOOKUP($B245,Seqs!$A:$B,2,0),AC245,1),"")</f>
        <v>K</v>
      </c>
      <c r="AC245" s="9">
        <v>164</v>
      </c>
      <c r="AD245" s="3" t="str">
        <f>IFERROR(MID(VLOOKUP($B245,Seqs!$A:$B,2,0),AE245,1),"")</f>
        <v>S</v>
      </c>
      <c r="AE245" s="3">
        <v>190</v>
      </c>
      <c r="AF245" s="3" t="str">
        <f>IFERROR(MID(VLOOKUP($B245,Seqs!$A:$B,2,0),AG245,1),"")</f>
        <v>C</v>
      </c>
      <c r="AG245" s="3">
        <v>202</v>
      </c>
      <c r="AH245" s="3" t="str">
        <f>IFERROR(MID(VLOOKUP($B245,Seqs!$A:$B,2,0),AI245,1),"")</f>
        <v>D</v>
      </c>
      <c r="AI245" s="3">
        <v>204</v>
      </c>
      <c r="AJ245" s="3" t="str">
        <f>IFERROR(MID(VLOOKUP($B245,Seqs!$A:$B,2,0),AK245,1),"")</f>
        <v>L</v>
      </c>
      <c r="AK245" s="3">
        <v>211</v>
      </c>
      <c r="AL245" s="3" t="str">
        <f>IFERROR(MID(VLOOKUP($B245,Seqs!$A:$B,2,0),AM245,1),"")</f>
        <v>K</v>
      </c>
      <c r="AM245" s="3">
        <v>247</v>
      </c>
      <c r="AN245" s="3" t="str">
        <f>IFERROR(MID(VLOOKUP($B245,Seqs!$A:$B,2,0),AO245,1),"")</f>
        <v>P</v>
      </c>
      <c r="AO245" s="3">
        <v>253</v>
      </c>
      <c r="AP245" s="3" t="str">
        <f>IFERROR(MID(VLOOKUP($B245,Seqs!$A:$B,2,0),AQ245,1),"")</f>
        <v>D</v>
      </c>
      <c r="AQ245" s="3">
        <v>289</v>
      </c>
      <c r="AR245" s="3" t="str">
        <f>IFERROR(MID(VLOOKUP($B245,Seqs!$A:$B,2,0),AS245,1),"")</f>
        <v>M</v>
      </c>
      <c r="AS245" s="3">
        <v>295</v>
      </c>
      <c r="AT245" s="3" t="str">
        <f>IFERROR(MID(VLOOKUP($B245,Seqs!$A:$B,2,0),AU245,1),"")</f>
        <v>L</v>
      </c>
      <c r="AU245" s="3">
        <v>326</v>
      </c>
      <c r="AV245" s="3" t="str">
        <f>IFERROR(MID(VLOOKUP($B245,Seqs!$A:$B,2,0),AW245,1),"")</f>
        <v/>
      </c>
      <c r="AW245" s="3" t="s">
        <v>23</v>
      </c>
      <c r="AX245" s="3" t="str">
        <f>IFERROR(MID(VLOOKUP($B245,Seqs!$A:$B,2,0),AY245,1),"")</f>
        <v/>
      </c>
      <c r="AY245" s="3" t="s">
        <v>23</v>
      </c>
      <c r="AZ245" s="77" t="str">
        <f>VLOOKUP(B245,Classification!A:D,2,0)</f>
        <v>A</v>
      </c>
      <c r="BA245" s="94" t="str">
        <f>VLOOKUP(B245,Classification!A:D,4,0)</f>
        <v>P2Y</v>
      </c>
      <c r="BB245" s="27" t="b">
        <f t="shared" si="754"/>
        <v>1</v>
      </c>
      <c r="BC245" s="23">
        <f t="shared" si="727"/>
        <v>247</v>
      </c>
      <c r="BD245" s="2" t="s">
        <v>1440</v>
      </c>
      <c r="BE245" s="3" t="s">
        <v>1439</v>
      </c>
      <c r="BF245" s="119">
        <v>2.7</v>
      </c>
      <c r="BG245" s="49" t="s">
        <v>1384</v>
      </c>
      <c r="BH245" s="49" t="s">
        <v>1384</v>
      </c>
      <c r="BI245" s="1"/>
      <c r="BJ245" s="70" t="s">
        <v>1293</v>
      </c>
      <c r="BK245" s="57" t="s">
        <v>1293</v>
      </c>
      <c r="BL245" s="57" t="s">
        <v>1293</v>
      </c>
      <c r="BM245" s="57" t="s">
        <v>1293</v>
      </c>
      <c r="BN245" s="57" t="s">
        <v>1293</v>
      </c>
      <c r="BO245" s="57" t="s">
        <v>1293</v>
      </c>
      <c r="BP245" s="57" t="s">
        <v>1293</v>
      </c>
      <c r="BQ245" s="57" t="s">
        <v>1293</v>
      </c>
      <c r="BR245" s="57" t="s">
        <v>1293</v>
      </c>
      <c r="BS245" s="57" t="s">
        <v>1293</v>
      </c>
      <c r="BT245" s="57" t="s">
        <v>1293</v>
      </c>
      <c r="BU245" s="57" t="s">
        <v>1293</v>
      </c>
      <c r="BV245" s="70">
        <f t="shared" si="728"/>
        <v>49</v>
      </c>
      <c r="BW245" s="71" t="str">
        <f t="shared" si="729"/>
        <v>-</v>
      </c>
      <c r="BX245" s="72">
        <f t="shared" si="730"/>
        <v>84</v>
      </c>
      <c r="BY245" s="71">
        <f t="shared" si="731"/>
        <v>116</v>
      </c>
      <c r="BZ245" s="72">
        <f t="shared" si="732"/>
        <v>120</v>
      </c>
      <c r="CA245" s="71">
        <f t="shared" si="733"/>
        <v>156</v>
      </c>
      <c r="CB245" s="72">
        <f t="shared" si="734"/>
        <v>164</v>
      </c>
      <c r="CC245" s="71">
        <f t="shared" si="735"/>
        <v>202</v>
      </c>
      <c r="CD245" s="72">
        <f t="shared" si="736"/>
        <v>211</v>
      </c>
      <c r="CE245" s="71">
        <f t="shared" si="737"/>
        <v>253</v>
      </c>
      <c r="CF245" s="72">
        <f t="shared" si="738"/>
        <v>295</v>
      </c>
      <c r="CG245" s="71" t="str">
        <f t="shared" si="739"/>
        <v>-</v>
      </c>
      <c r="CH245" s="70">
        <f t="shared" si="740"/>
        <v>79</v>
      </c>
      <c r="CI245" s="71" t="str">
        <f t="shared" si="741"/>
        <v>-</v>
      </c>
      <c r="CJ245" s="72">
        <f t="shared" si="742"/>
        <v>113</v>
      </c>
      <c r="CK245" s="72">
        <f t="shared" si="743"/>
        <v>119</v>
      </c>
      <c r="CL245" s="72">
        <f t="shared" si="744"/>
        <v>155</v>
      </c>
      <c r="CM245" s="72">
        <f t="shared" si="745"/>
        <v>163</v>
      </c>
      <c r="CN245" s="72">
        <f t="shared" si="746"/>
        <v>190</v>
      </c>
      <c r="CO245" s="72">
        <f t="shared" si="747"/>
        <v>204</v>
      </c>
      <c r="CP245" s="72">
        <f t="shared" si="748"/>
        <v>247</v>
      </c>
      <c r="CQ245" s="72">
        <f t="shared" si="749"/>
        <v>289</v>
      </c>
      <c r="CR245" s="72">
        <f t="shared" si="750"/>
        <v>326</v>
      </c>
      <c r="CS245" s="72" t="str">
        <f t="shared" si="751"/>
        <v>-</v>
      </c>
      <c r="CT245" s="23" t="e">
        <f t="shared" si="752"/>
        <v>#VALUE!</v>
      </c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  <c r="OK245" s="1"/>
      <c r="OL245" s="1"/>
      <c r="OM245" s="1"/>
      <c r="ON245" s="1"/>
      <c r="OO245" s="1"/>
      <c r="OP245" s="1"/>
      <c r="OQ245" s="1"/>
      <c r="OR245" s="1"/>
      <c r="OS245" s="1"/>
      <c r="OT245" s="1"/>
      <c r="OU245" s="1"/>
      <c r="OV245" s="1"/>
      <c r="OW245" s="1"/>
      <c r="OX245" s="1"/>
      <c r="OY245" s="1"/>
      <c r="OZ245" s="1"/>
      <c r="PA245" s="1"/>
      <c r="PB245" s="1"/>
      <c r="PC245" s="1"/>
      <c r="PD245" s="1"/>
      <c r="PE245" s="1"/>
      <c r="PF245" s="1"/>
      <c r="PG245" s="1"/>
      <c r="PH245" s="1"/>
      <c r="PI245" s="1"/>
      <c r="PJ245" s="1"/>
      <c r="PK245" s="1"/>
      <c r="PL245" s="1"/>
      <c r="PM245" s="1"/>
      <c r="PN245" s="1"/>
      <c r="PO245" s="1"/>
      <c r="PP245" s="1"/>
      <c r="PQ245" s="1"/>
      <c r="PR245" s="1"/>
      <c r="PS245" s="1"/>
      <c r="PT245" s="1"/>
      <c r="PU245" s="1"/>
      <c r="PV245" s="1"/>
      <c r="PW245" s="1"/>
      <c r="PX245" s="1"/>
      <c r="PY245" s="1"/>
      <c r="PZ245" s="1"/>
      <c r="QA245" s="1"/>
      <c r="QB245" s="1"/>
      <c r="QC245" s="1"/>
      <c r="QD245" s="1"/>
      <c r="QE245" s="1"/>
      <c r="QF245" s="1"/>
      <c r="QG245" s="1"/>
      <c r="QH245" s="1"/>
      <c r="QI245" s="1"/>
      <c r="QJ245" s="1"/>
      <c r="QK245" s="1"/>
      <c r="QL245" s="1"/>
      <c r="QM245" s="1"/>
      <c r="QN245" s="1"/>
      <c r="QO245" s="1"/>
      <c r="QP245" s="1"/>
      <c r="QQ245" s="1"/>
      <c r="QR245" s="1"/>
      <c r="QS245" s="1"/>
      <c r="QT245" s="1"/>
      <c r="QU245" s="1"/>
      <c r="QV245" s="1"/>
      <c r="QW245" s="1"/>
      <c r="QX245" s="1"/>
      <c r="QY245" s="1"/>
      <c r="QZ245" s="1"/>
      <c r="RA245" s="1"/>
      <c r="RB245" s="1"/>
      <c r="RC245" s="1"/>
      <c r="RD245" s="1"/>
      <c r="RE245" s="1"/>
      <c r="RF245" s="1"/>
      <c r="RG245" s="1"/>
      <c r="RH245" s="1"/>
      <c r="RI245" s="1"/>
      <c r="RJ245" s="1"/>
      <c r="RK245" s="1"/>
      <c r="RL245" s="1"/>
      <c r="RM245" s="1"/>
      <c r="RN245" s="1"/>
      <c r="RO245" s="1"/>
      <c r="RP245" s="1"/>
      <c r="RQ245" s="1"/>
      <c r="RR245" s="1"/>
      <c r="RS245" s="1"/>
      <c r="RT245" s="1"/>
      <c r="RU245" s="1"/>
      <c r="RV245" s="1"/>
      <c r="RW245" s="1"/>
      <c r="RX245" s="1"/>
      <c r="RY245" s="1"/>
      <c r="RZ245" s="1"/>
      <c r="SA245" s="1"/>
      <c r="SB245" s="1"/>
      <c r="SC245" s="1"/>
      <c r="SD245" s="1"/>
      <c r="SE245" s="1"/>
      <c r="SF245" s="1"/>
      <c r="SG245" s="1"/>
      <c r="SH245" s="1"/>
      <c r="SI245" s="1"/>
      <c r="SJ245" s="1"/>
      <c r="SK245" s="1"/>
      <c r="SL245" s="1"/>
      <c r="SM245" s="1"/>
      <c r="SN245" s="1"/>
      <c r="SO245" s="1"/>
      <c r="SP245" s="1"/>
      <c r="SQ245" s="1"/>
      <c r="SR245" s="1"/>
      <c r="SS245" s="1"/>
      <c r="ST245" s="1"/>
      <c r="SU245" s="1"/>
      <c r="SV245" s="1"/>
      <c r="SW245" s="1"/>
      <c r="SX245" s="1"/>
      <c r="SY245" s="1"/>
      <c r="SZ245" s="1"/>
      <c r="TA245" s="1"/>
      <c r="TB245" s="1"/>
      <c r="TC245" s="1"/>
      <c r="TD245" s="1"/>
      <c r="TE245" s="1"/>
      <c r="TF245" s="1"/>
      <c r="TG245" s="1"/>
      <c r="TH245" s="1"/>
      <c r="TI245" s="1"/>
      <c r="TJ245" s="1"/>
      <c r="TK245" s="1"/>
      <c r="TL245" s="1"/>
      <c r="TM245" s="1"/>
      <c r="TN245" s="1"/>
      <c r="TO245" s="1"/>
      <c r="TP245" s="1"/>
      <c r="TQ245" s="1"/>
      <c r="TR245" s="1"/>
      <c r="TS245" s="1"/>
      <c r="TT245" s="1"/>
      <c r="TU245" s="1"/>
      <c r="TV245" s="1"/>
      <c r="TW245" s="1"/>
      <c r="TX245" s="1"/>
      <c r="TY245" s="1"/>
      <c r="TZ245" s="1"/>
      <c r="UA245" s="1"/>
      <c r="UB245" s="1"/>
      <c r="UC245" s="1"/>
      <c r="UD245" s="1"/>
      <c r="UE245" s="1"/>
      <c r="UF245" s="1"/>
      <c r="UG245" s="1"/>
      <c r="UH245" s="1"/>
      <c r="UI245" s="1"/>
      <c r="UJ245" s="1"/>
      <c r="UK245" s="1"/>
      <c r="UL245" s="1"/>
      <c r="UM245" s="1"/>
      <c r="UN245" s="1"/>
      <c r="UO245" s="1"/>
      <c r="UP245" s="1"/>
      <c r="UQ245" s="1"/>
      <c r="UR245" s="1"/>
      <c r="US245" s="1"/>
      <c r="UT245" s="1"/>
      <c r="UU245" s="1"/>
      <c r="UV245" s="1"/>
      <c r="UW245" s="1"/>
      <c r="UX245" s="1"/>
      <c r="UY245" s="1"/>
      <c r="UZ245" s="1"/>
      <c r="VA245" s="1"/>
      <c r="VB245" s="1"/>
      <c r="VC245" s="1"/>
      <c r="VD245" s="1"/>
      <c r="VE245" s="1"/>
      <c r="VF245" s="1"/>
      <c r="VG245" s="1"/>
      <c r="VH245" s="1"/>
      <c r="VI245" s="1"/>
      <c r="VJ245" s="1"/>
      <c r="VK245" s="1"/>
      <c r="VL245" s="1"/>
      <c r="VM245" s="1"/>
      <c r="VN245" s="1"/>
      <c r="VO245" s="1"/>
      <c r="VP245" s="1"/>
      <c r="VQ245" s="1"/>
      <c r="VR245" s="1"/>
      <c r="VS245" s="1"/>
      <c r="VT245" s="1"/>
      <c r="VU245" s="1"/>
      <c r="VV245" s="1"/>
      <c r="VW245" s="1"/>
      <c r="VX245" s="1"/>
      <c r="VY245" s="1"/>
      <c r="VZ245" s="1"/>
      <c r="WA245" s="1"/>
      <c r="WB245" s="1"/>
      <c r="WC245" s="1"/>
      <c r="WD245" s="1"/>
      <c r="WE245" s="1"/>
      <c r="WF245" s="1"/>
      <c r="WG245" s="1"/>
      <c r="WH245" s="1"/>
      <c r="WI245" s="1"/>
      <c r="WJ245" s="1"/>
      <c r="WK245" s="1"/>
      <c r="WL245" s="1"/>
      <c r="WM245" s="1"/>
      <c r="WN245" s="1"/>
      <c r="WO245" s="1"/>
      <c r="WP245" s="1"/>
      <c r="WQ245" s="1"/>
      <c r="WR245" s="1"/>
      <c r="WS245" s="1"/>
      <c r="WT245" s="1"/>
      <c r="WU245" s="1"/>
      <c r="WV245" s="1"/>
      <c r="WW245" s="1"/>
      <c r="WX245" s="1"/>
      <c r="WY245" s="1"/>
      <c r="WZ245" s="1"/>
      <c r="XA245" s="1"/>
      <c r="XB245" s="1"/>
      <c r="XC245" s="1"/>
      <c r="XD245" s="1"/>
      <c r="XE245" s="1"/>
      <c r="XF245" s="1"/>
      <c r="XG245" s="1"/>
      <c r="XH245" s="1"/>
      <c r="XI245" s="1"/>
      <c r="XJ245" s="1"/>
      <c r="XK245" s="1"/>
      <c r="XL245" s="1"/>
      <c r="XM245" s="1"/>
      <c r="XN245" s="1"/>
      <c r="XO245" s="1"/>
      <c r="XP245" s="1"/>
      <c r="XQ245" s="1"/>
      <c r="XR245" s="1"/>
      <c r="XS245" s="1"/>
      <c r="XT245" s="1"/>
      <c r="XU245" s="1"/>
      <c r="XV245" s="1"/>
      <c r="XW245" s="1"/>
      <c r="XX245" s="1"/>
      <c r="XY245" s="1"/>
      <c r="XZ245" s="1"/>
      <c r="YA245" s="1"/>
      <c r="YB245" s="1"/>
      <c r="YC245" s="1"/>
      <c r="YD245" s="1"/>
      <c r="YE245" s="1"/>
      <c r="YF245" s="1"/>
      <c r="YG245" s="1"/>
      <c r="YH245" s="1"/>
      <c r="YI245" s="1"/>
      <c r="YJ245" s="1"/>
      <c r="YK245" s="1"/>
      <c r="YL245" s="1"/>
      <c r="YM245" s="1"/>
      <c r="YN245" s="1"/>
      <c r="YO245" s="1"/>
      <c r="YP245" s="1"/>
      <c r="YQ245" s="1"/>
      <c r="YR245" s="1"/>
      <c r="YS245" s="1"/>
      <c r="YT245" s="1"/>
      <c r="YU245" s="1"/>
      <c r="YV245" s="1"/>
      <c r="YW245" s="1"/>
      <c r="YX245" s="1"/>
      <c r="YY245" s="1"/>
      <c r="YZ245" s="1"/>
      <c r="ZA245" s="1"/>
      <c r="ZB245" s="1"/>
      <c r="ZC245" s="1"/>
      <c r="ZD245" s="1"/>
      <c r="ZE245" s="1"/>
      <c r="ZF245" s="1"/>
      <c r="ZG245" s="1"/>
      <c r="ZH245" s="1"/>
      <c r="ZI245" s="1"/>
      <c r="ZJ245" s="1"/>
      <c r="ZK245" s="1"/>
      <c r="ZL245" s="1"/>
      <c r="ZM245" s="1"/>
      <c r="ZN245" s="1"/>
      <c r="ZO245" s="1"/>
      <c r="ZP245" s="1"/>
      <c r="ZQ245" s="1"/>
      <c r="ZR245" s="1"/>
      <c r="ZS245" s="1"/>
      <c r="ZT245" s="1"/>
      <c r="ZU245" s="1"/>
      <c r="ZV245" s="1"/>
      <c r="ZW245" s="1"/>
      <c r="ZX245" s="1"/>
      <c r="ZY245" s="1"/>
      <c r="ZZ245" s="1"/>
      <c r="AAA245" s="1"/>
      <c r="AAB245" s="1"/>
      <c r="AAC245" s="1"/>
      <c r="AAD245" s="1"/>
      <c r="AAE245" s="1"/>
      <c r="AAF245" s="1"/>
      <c r="AAG245" s="1"/>
      <c r="AAH245" s="1"/>
      <c r="AAI245" s="1"/>
      <c r="AAJ245" s="1"/>
      <c r="AAK245" s="1"/>
      <c r="AAL245" s="1"/>
      <c r="AAM245" s="1"/>
      <c r="AAN245" s="1"/>
      <c r="AAO245" s="1"/>
      <c r="AAP245" s="1"/>
      <c r="AAQ245" s="1"/>
      <c r="AAR245" s="1"/>
      <c r="AAS245" s="1"/>
      <c r="AAT245" s="1"/>
      <c r="AAU245" s="1"/>
      <c r="AAV245" s="1"/>
      <c r="AAW245" s="1"/>
      <c r="AAX245" s="1"/>
      <c r="AAY245" s="1"/>
      <c r="AAZ245" s="1"/>
      <c r="ABA245" s="1"/>
      <c r="ABB245" s="1"/>
      <c r="ABC245" s="1"/>
      <c r="ABD245" s="1"/>
      <c r="ABE245" s="1"/>
      <c r="ABF245" s="1"/>
      <c r="ABG245" s="1"/>
      <c r="ABH245" s="1"/>
      <c r="ABI245" s="1"/>
      <c r="ABJ245" s="1"/>
      <c r="ABK245" s="1"/>
      <c r="ABL245" s="1"/>
      <c r="ABM245" s="1"/>
      <c r="ABN245" s="1"/>
      <c r="ABO245" s="1"/>
      <c r="ABP245" s="1"/>
      <c r="ABQ245" s="1"/>
      <c r="ABR245" s="1"/>
      <c r="ABS245" s="1"/>
      <c r="ABT245" s="1"/>
      <c r="ABU245" s="1"/>
      <c r="ABV245" s="1"/>
      <c r="ABW245" s="1"/>
      <c r="ABX245" s="1"/>
      <c r="ABY245" s="1"/>
      <c r="ABZ245" s="1"/>
      <c r="ACA245" s="1"/>
      <c r="ACB245" s="1"/>
      <c r="ACC245" s="1"/>
      <c r="ACD245" s="1"/>
      <c r="ACE245" s="1"/>
      <c r="ACF245" s="1"/>
      <c r="ACG245" s="1"/>
      <c r="ACH245" s="1"/>
      <c r="ACI245" s="1"/>
      <c r="ACJ245" s="1"/>
      <c r="ACK245" s="1"/>
      <c r="ACL245" s="1"/>
      <c r="ACM245" s="1"/>
      <c r="ACN245" s="1"/>
      <c r="ACO245" s="1"/>
      <c r="ACP245" s="1"/>
      <c r="ACQ245" s="1"/>
      <c r="ACR245" s="1"/>
      <c r="ACS245" s="1"/>
      <c r="ACT245" s="1"/>
      <c r="ACU245" s="1"/>
      <c r="ACV245" s="1"/>
      <c r="ACW245" s="1"/>
      <c r="ACX245" s="1"/>
      <c r="ACY245" s="1"/>
      <c r="ACZ245" s="1"/>
      <c r="ADA245" s="1"/>
      <c r="ADB245" s="1"/>
      <c r="ADC245" s="1"/>
      <c r="ADD245" s="1"/>
      <c r="ADE245" s="1"/>
      <c r="ADF245" s="1"/>
      <c r="ADG245" s="1"/>
      <c r="ADH245" s="1"/>
      <c r="ADI245" s="1"/>
      <c r="ADJ245" s="1"/>
      <c r="ADK245" s="1"/>
      <c r="ADL245" s="1"/>
      <c r="ADM245" s="1"/>
      <c r="ADN245" s="1"/>
      <c r="ADO245" s="1"/>
      <c r="ADP245" s="1"/>
      <c r="ADQ245" s="1"/>
      <c r="ADR245" s="1"/>
      <c r="ADS245" s="1"/>
      <c r="ADT245" s="1"/>
      <c r="ADU245" s="1"/>
      <c r="ADV245" s="1"/>
      <c r="ADW245" s="1"/>
      <c r="ADX245" s="1"/>
      <c r="ADY245" s="1"/>
      <c r="ADZ245" s="1"/>
      <c r="AEA245" s="1"/>
      <c r="AEB245" s="1"/>
      <c r="AEC245" s="1"/>
      <c r="AED245" s="1"/>
      <c r="AEE245" s="1"/>
      <c r="AEF245" s="1"/>
      <c r="AEG245" s="1"/>
      <c r="AEH245" s="1"/>
      <c r="AEI245" s="1"/>
      <c r="AEJ245" s="1"/>
      <c r="AEK245" s="1"/>
      <c r="AEL245" s="1"/>
      <c r="AEM245" s="1"/>
      <c r="AEN245" s="1"/>
      <c r="AEO245" s="1"/>
      <c r="AEP245" s="1"/>
      <c r="AEQ245" s="1"/>
      <c r="AER245" s="1"/>
      <c r="AES245" s="1"/>
      <c r="AET245" s="1"/>
      <c r="AEU245" s="1"/>
      <c r="AEV245" s="1"/>
      <c r="AEW245" s="1"/>
      <c r="AEX245" s="1"/>
      <c r="AEY245" s="1"/>
      <c r="AEZ245" s="1"/>
      <c r="AFA245" s="1"/>
      <c r="AFB245" s="1"/>
      <c r="AFC245" s="1"/>
      <c r="AFD245" s="1"/>
      <c r="AFE245" s="1"/>
      <c r="AFF245" s="1"/>
      <c r="AFG245" s="1"/>
      <c r="AFH245" s="1"/>
      <c r="AFI245" s="1"/>
      <c r="AFJ245" s="1"/>
      <c r="AFK245" s="1"/>
      <c r="AFL245" s="1"/>
      <c r="AFM245" s="1"/>
      <c r="AFN245" s="1"/>
      <c r="AFO245" s="1"/>
      <c r="AFP245" s="1"/>
      <c r="AFQ245" s="1"/>
      <c r="AFR245" s="1"/>
      <c r="AFS245" s="1"/>
      <c r="AFT245" s="1"/>
      <c r="AFU245" s="1"/>
      <c r="AFV245" s="1"/>
      <c r="AFW245" s="1"/>
      <c r="AFX245" s="1"/>
      <c r="AFY245" s="1"/>
      <c r="AFZ245" s="1"/>
      <c r="AGA245" s="1"/>
      <c r="AGB245" s="1"/>
      <c r="AGC245" s="1"/>
      <c r="AGD245" s="1"/>
      <c r="AGE245" s="1"/>
      <c r="AGF245" s="1"/>
      <c r="AGG245" s="1"/>
      <c r="AGH245" s="1"/>
      <c r="AGI245" s="1"/>
      <c r="AGJ245" s="1"/>
      <c r="AGK245" s="1"/>
      <c r="AGL245" s="1"/>
      <c r="AGM245" s="1"/>
      <c r="AGN245" s="1"/>
      <c r="AGO245" s="1"/>
      <c r="AGP245" s="1"/>
      <c r="AGQ245" s="1"/>
      <c r="AGR245" s="1"/>
      <c r="AGS245" s="1"/>
      <c r="AGT245" s="1"/>
      <c r="AGU245" s="1"/>
      <c r="AGV245" s="1"/>
      <c r="AGW245" s="1"/>
      <c r="AGX245" s="1"/>
      <c r="AGY245" s="1"/>
      <c r="AGZ245" s="1"/>
      <c r="AHA245" s="1"/>
      <c r="AHB245" s="1"/>
      <c r="AHC245" s="1"/>
      <c r="AHD245" s="1"/>
      <c r="AHE245" s="1"/>
      <c r="AHF245" s="1"/>
      <c r="AHG245" s="1"/>
      <c r="AHH245" s="1"/>
      <c r="AHI245" s="1"/>
      <c r="AHJ245" s="1"/>
      <c r="AHK245" s="1"/>
      <c r="AHL245" s="1"/>
      <c r="AHM245" s="1"/>
      <c r="AHN245" s="1"/>
      <c r="AHO245" s="1"/>
      <c r="AHP245" s="1"/>
      <c r="AHQ245" s="1"/>
      <c r="AHR245" s="1"/>
      <c r="AHS245" s="1"/>
      <c r="AHT245" s="1"/>
      <c r="AHU245" s="1"/>
      <c r="AHV245" s="1"/>
      <c r="AHW245" s="1"/>
      <c r="AHX245" s="1"/>
      <c r="AHY245" s="1"/>
      <c r="AHZ245" s="1"/>
      <c r="AIA245" s="1"/>
      <c r="AIB245" s="1"/>
      <c r="AIC245" s="1"/>
      <c r="AID245" s="1"/>
      <c r="AIE245" s="1"/>
      <c r="AIF245" s="1"/>
      <c r="AIG245" s="1"/>
      <c r="AIH245" s="1"/>
      <c r="AII245" s="1"/>
      <c r="AIJ245" s="1"/>
      <c r="AIK245" s="1"/>
      <c r="AIL245" s="1"/>
      <c r="AIM245" s="1"/>
      <c r="AIN245" s="1"/>
      <c r="AIO245" s="1"/>
      <c r="AIP245" s="1"/>
      <c r="AIQ245" s="1"/>
      <c r="AIR245" s="1"/>
      <c r="AIS245" s="1"/>
      <c r="AIT245" s="1"/>
      <c r="AIU245" s="1"/>
      <c r="AIV245" s="1"/>
      <c r="AIW245" s="1"/>
      <c r="AIX245" s="1"/>
      <c r="AIY245" s="1"/>
      <c r="AIZ245" s="1"/>
      <c r="AJA245" s="1"/>
      <c r="AJB245" s="1"/>
      <c r="AJC245" s="1"/>
      <c r="AJD245" s="1"/>
      <c r="AJE245" s="1"/>
      <c r="AJF245" s="1"/>
      <c r="AJG245" s="1"/>
      <c r="AJH245" s="1"/>
      <c r="AJI245" s="1"/>
      <c r="AJJ245" s="1"/>
      <c r="AJK245" s="1"/>
      <c r="AJL245" s="1"/>
      <c r="AJM245" s="1"/>
      <c r="AJN245" s="1"/>
      <c r="AJO245" s="1"/>
      <c r="AJP245" s="1"/>
      <c r="AJQ245" s="1"/>
      <c r="AJR245" s="1"/>
      <c r="AJS245" s="1"/>
      <c r="AJT245" s="1"/>
      <c r="AJU245" s="1"/>
      <c r="AJV245" s="1"/>
      <c r="AJW245" s="1"/>
      <c r="AJX245" s="1"/>
      <c r="AJY245" s="1"/>
      <c r="AJZ245" s="1"/>
      <c r="AKA245" s="1"/>
      <c r="AKB245" s="1"/>
      <c r="AKC245" s="1"/>
      <c r="AKD245" s="1"/>
      <c r="AKE245" s="1"/>
      <c r="AKF245" s="1"/>
      <c r="AKG245" s="1"/>
      <c r="AKH245" s="1"/>
      <c r="AKI245" s="1"/>
      <c r="AKJ245" s="1"/>
      <c r="AKK245" s="1"/>
      <c r="AKL245" s="1"/>
      <c r="AKM245" s="1"/>
      <c r="AKN245" s="1"/>
      <c r="AKO245" s="1"/>
      <c r="AKP245" s="1"/>
      <c r="AKQ245" s="1"/>
      <c r="AKR245" s="1"/>
      <c r="AKS245" s="1"/>
      <c r="AKT245" s="1"/>
      <c r="AKU245" s="1"/>
      <c r="AKV245" s="1"/>
      <c r="AKW245" s="1"/>
      <c r="AKX245" s="1"/>
      <c r="AKY245" s="1"/>
      <c r="AKZ245" s="1"/>
      <c r="ALA245" s="1"/>
      <c r="ALB245" s="1"/>
      <c r="ALC245" s="1"/>
      <c r="ALD245" s="1"/>
      <c r="ALE245" s="1"/>
      <c r="ALF245" s="1"/>
      <c r="ALG245" s="1"/>
      <c r="ALH245" s="1"/>
      <c r="ALI245" s="1"/>
      <c r="ALJ245" s="1"/>
      <c r="ALK245" s="1"/>
      <c r="ALL245" s="1"/>
      <c r="ALM245" s="1"/>
      <c r="ALN245" s="1"/>
      <c r="ALO245" s="1"/>
      <c r="ALP245" s="1"/>
      <c r="ALQ245" s="1"/>
      <c r="ALR245" s="1"/>
      <c r="ALS245" s="1"/>
      <c r="ALT245" s="1"/>
      <c r="ALU245" s="1"/>
      <c r="ALV245" s="1"/>
      <c r="ALW245" s="1"/>
      <c r="ALX245" s="1"/>
      <c r="ALY245" s="1"/>
      <c r="ALZ245" s="1"/>
      <c r="AMA245" s="1"/>
      <c r="AMB245" s="1"/>
      <c r="AMC245" s="1"/>
      <c r="AMD245" s="1"/>
      <c r="AME245" s="1"/>
      <c r="AMF245" s="1"/>
      <c r="AMG245" s="1"/>
      <c r="AMH245" s="1"/>
      <c r="AMI245" s="1"/>
      <c r="AMJ245" s="1"/>
      <c r="AMK245" s="1"/>
      <c r="AML245" s="1"/>
      <c r="AMM245" s="1"/>
      <c r="AMN245" s="1"/>
      <c r="AMO245" s="1"/>
    </row>
    <row r="246" spans="1:1029" x14ac:dyDescent="0.2">
      <c r="A246" s="3" t="str">
        <f t="shared" si="753"/>
        <v>p2y12_human__wt</v>
      </c>
      <c r="B246" s="3" t="s">
        <v>352</v>
      </c>
      <c r="C246" s="3" t="s">
        <v>100</v>
      </c>
      <c r="D246" s="3" t="str">
        <f>IFERROR(MID(VLOOKUP($B246,Seqs!$A:$B,2,0),E246,1),"")</f>
        <v>Y</v>
      </c>
      <c r="E246" s="3">
        <v>21</v>
      </c>
      <c r="F246" s="3" t="str">
        <f>IFERROR(MID(VLOOKUP($B246,Seqs!$A:$B,2,0),G246,1),"")</f>
        <v>I</v>
      </c>
      <c r="G246" s="3">
        <v>53</v>
      </c>
      <c r="H246" s="3" t="str">
        <f>IFERROR(MID(VLOOKUP($B246,Seqs!$A:$B,2,0),I246,1),"")</f>
        <v/>
      </c>
      <c r="I246" s="23" t="s">
        <v>23</v>
      </c>
      <c r="J246" s="3" t="str">
        <f>IFERROR(MID(VLOOKUP($B246,Seqs!$A:$B,2,0),K246,1),"")</f>
        <v/>
      </c>
      <c r="K246" s="23" t="s">
        <v>23</v>
      </c>
      <c r="L246" s="3" t="str">
        <f>IFERROR(MID(VLOOKUP($B246,Seqs!$A:$B,2,0),M246,1),"")</f>
        <v>S</v>
      </c>
      <c r="M246" s="3">
        <v>57</v>
      </c>
      <c r="N246" s="3" t="str">
        <f>IFERROR(MID(VLOOKUP($B246,Seqs!$A:$B,2,0),O246,1),"")</f>
        <v>K</v>
      </c>
      <c r="O246" s="3">
        <v>86</v>
      </c>
      <c r="P246" s="3" t="str">
        <f>IFERROR(MID(VLOOKUP($B246,Seqs!$A:$B,2,0),Q246,1),"")</f>
        <v/>
      </c>
      <c r="Q246" s="3" t="s">
        <v>23</v>
      </c>
      <c r="R246" s="3" t="str">
        <f>IFERROR(MID(VLOOKUP($B246,Seqs!$A:$B,2,0),S246,1),"")</f>
        <v/>
      </c>
      <c r="S246" s="3" t="s">
        <v>23</v>
      </c>
      <c r="T246" s="3" t="str">
        <f>IFERROR(MID(VLOOKUP($B246,Seqs!$A:$B,2,0),U246,1),"")</f>
        <v>G</v>
      </c>
      <c r="U246" s="3">
        <v>90</v>
      </c>
      <c r="V246" s="3" t="str">
        <f>IFERROR(MID(VLOOKUP($B246,Seqs!$A:$B,2,0),W246,1),"")</f>
        <v>R</v>
      </c>
      <c r="W246" s="3">
        <v>128</v>
      </c>
      <c r="X246" s="3" t="str">
        <f>IFERROR(MID(VLOOKUP($B246,Seqs!$A:$B,2,0),Y246,1),"")</f>
        <v>P</v>
      </c>
      <c r="Y246" s="3">
        <v>129</v>
      </c>
      <c r="Z246" s="3" t="str">
        <f>IFERROR(MID(VLOOKUP($B246,Seqs!$A:$B,2,0),AA246,1),"")</f>
        <v>K</v>
      </c>
      <c r="AA246" s="73">
        <v>136</v>
      </c>
      <c r="AB246" s="3" t="str">
        <f>IFERROR(MID(VLOOKUP($B246,Seqs!$A:$B,2,0),AC246,1),"")</f>
        <v>N</v>
      </c>
      <c r="AC246" s="9">
        <v>137</v>
      </c>
      <c r="AD246" s="3" t="str">
        <f>IFERROR(MID(VLOOKUP($B246,Seqs!$A:$B,2,0),AE246,1),"")</f>
        <v>T</v>
      </c>
      <c r="AE246" s="3">
        <v>163</v>
      </c>
      <c r="AF246" s="3" t="str">
        <f>IFERROR(MID(VLOOKUP($B246,Seqs!$A:$B,2,0),AG246,1),"")</f>
        <v>C</v>
      </c>
      <c r="AG246" s="3">
        <v>175</v>
      </c>
      <c r="AH246" s="3" t="str">
        <f>IFERROR(MID(VLOOKUP($B246,Seqs!$A:$B,2,0),AI246,1),"")</f>
        <v>F</v>
      </c>
      <c r="AI246" s="3">
        <v>177</v>
      </c>
      <c r="AJ246" s="3" t="str">
        <f>IFERROR(MID(VLOOKUP($B246,Seqs!$A:$B,2,0),AK246,1),"")</f>
        <v>E</v>
      </c>
      <c r="AK246" s="3">
        <v>181</v>
      </c>
      <c r="AL246" s="3" t="str">
        <f>IFERROR(MID(VLOOKUP($B246,Seqs!$A:$B,2,0),AM246,1),"")</f>
        <v>T</v>
      </c>
      <c r="AM246" s="3">
        <v>223</v>
      </c>
      <c r="AN246" s="3" t="str">
        <f>IFERROR(MID(VLOOKUP($B246,Seqs!$A:$B,2,0),AO246,1),"")</f>
        <v>P</v>
      </c>
      <c r="AO246" s="3">
        <v>230</v>
      </c>
      <c r="AP246" s="3" t="str">
        <f>IFERROR(MID(VLOOKUP($B246,Seqs!$A:$B,2,0),AQ246,1),"")</f>
        <v>R</v>
      </c>
      <c r="AQ246" s="3">
        <v>265</v>
      </c>
      <c r="AR246" s="3" t="str">
        <f>IFERROR(MID(VLOOKUP($B246,Seqs!$A:$B,2,0),AS246,1),"")</f>
        <v>D</v>
      </c>
      <c r="AS246" s="3">
        <v>269</v>
      </c>
      <c r="AT246" s="3" t="str">
        <f>IFERROR(MID(VLOOKUP($B246,Seqs!$A:$B,2,0),AU246,1),"")</f>
        <v>L</v>
      </c>
      <c r="AU246" s="3">
        <v>301</v>
      </c>
      <c r="AV246" s="3" t="str">
        <f>IFERROR(MID(VLOOKUP($B246,Seqs!$A:$B,2,0),AW246,1),"")</f>
        <v>C</v>
      </c>
      <c r="AW246" s="3">
        <v>302</v>
      </c>
      <c r="AX246" s="3" t="str">
        <f>IFERROR(MID(VLOOKUP($B246,Seqs!$A:$B,2,0),AY246,1),"")</f>
        <v>M</v>
      </c>
      <c r="AY246" s="3">
        <v>312</v>
      </c>
      <c r="AZ246" s="77" t="str">
        <f>VLOOKUP(B246,Classification!A:D,2,0)</f>
        <v>A</v>
      </c>
      <c r="BA246" s="94" t="str">
        <f>VLOOKUP(B246,Classification!A:D,4,0)</f>
        <v>P2Y</v>
      </c>
      <c r="BB246" s="27" t="b">
        <f t="shared" si="754"/>
        <v>1</v>
      </c>
      <c r="BC246" s="23">
        <f t="shared" si="727"/>
        <v>265</v>
      </c>
      <c r="BD246" s="56" t="s">
        <v>1379</v>
      </c>
      <c r="BE246" s="3" t="s">
        <v>23</v>
      </c>
      <c r="BF246" s="119" t="s">
        <v>23</v>
      </c>
      <c r="BG246" s="49" t="s">
        <v>1379</v>
      </c>
      <c r="BH246" s="49" t="s">
        <v>1384</v>
      </c>
      <c r="BI246" s="1"/>
      <c r="BJ246" s="70" t="s">
        <v>1293</v>
      </c>
      <c r="BK246" s="57" t="s">
        <v>1293</v>
      </c>
      <c r="BL246" s="57" t="s">
        <v>1293</v>
      </c>
      <c r="BM246" s="57" t="s">
        <v>1293</v>
      </c>
      <c r="BN246" s="57" t="s">
        <v>1293</v>
      </c>
      <c r="BO246" s="57" t="s">
        <v>1293</v>
      </c>
      <c r="BP246" s="57" t="s">
        <v>1293</v>
      </c>
      <c r="BQ246" s="57" t="s">
        <v>1293</v>
      </c>
      <c r="BR246" s="57" t="s">
        <v>1293</v>
      </c>
      <c r="BS246" s="57" t="s">
        <v>1293</v>
      </c>
      <c r="BT246" s="57" t="s">
        <v>1293</v>
      </c>
      <c r="BU246" s="57" t="s">
        <v>1293</v>
      </c>
      <c r="BV246" s="70">
        <f t="shared" si="728"/>
        <v>21</v>
      </c>
      <c r="BW246" s="71" t="str">
        <f t="shared" si="729"/>
        <v>-</v>
      </c>
      <c r="BX246" s="72">
        <f t="shared" si="730"/>
        <v>57</v>
      </c>
      <c r="BY246" s="71" t="str">
        <f t="shared" si="731"/>
        <v>-</v>
      </c>
      <c r="BZ246" s="72">
        <f t="shared" si="732"/>
        <v>90</v>
      </c>
      <c r="CA246" s="71">
        <f t="shared" si="733"/>
        <v>129</v>
      </c>
      <c r="CB246" s="72">
        <f t="shared" si="734"/>
        <v>137</v>
      </c>
      <c r="CC246" s="71">
        <f t="shared" si="735"/>
        <v>175</v>
      </c>
      <c r="CD246" s="72">
        <f t="shared" si="736"/>
        <v>181</v>
      </c>
      <c r="CE246" s="71">
        <f t="shared" si="737"/>
        <v>230</v>
      </c>
      <c r="CF246" s="72">
        <f t="shared" si="738"/>
        <v>269</v>
      </c>
      <c r="CG246" s="71">
        <f t="shared" si="739"/>
        <v>302</v>
      </c>
      <c r="CH246" s="70">
        <f t="shared" si="740"/>
        <v>53</v>
      </c>
      <c r="CI246" s="71" t="str">
        <f t="shared" si="741"/>
        <v>-</v>
      </c>
      <c r="CJ246" s="72">
        <f t="shared" si="742"/>
        <v>86</v>
      </c>
      <c r="CK246" s="72" t="str">
        <f t="shared" si="743"/>
        <v>-</v>
      </c>
      <c r="CL246" s="72">
        <f t="shared" si="744"/>
        <v>128</v>
      </c>
      <c r="CM246" s="72">
        <f t="shared" si="745"/>
        <v>136</v>
      </c>
      <c r="CN246" s="72">
        <f t="shared" si="746"/>
        <v>163</v>
      </c>
      <c r="CO246" s="72">
        <f t="shared" si="747"/>
        <v>177</v>
      </c>
      <c r="CP246" s="72">
        <f t="shared" si="748"/>
        <v>223</v>
      </c>
      <c r="CQ246" s="72">
        <f t="shared" si="749"/>
        <v>265</v>
      </c>
      <c r="CR246" s="72">
        <f t="shared" si="750"/>
        <v>301</v>
      </c>
      <c r="CS246" s="72">
        <f t="shared" si="751"/>
        <v>312</v>
      </c>
      <c r="CT246" s="23" t="e">
        <f t="shared" si="752"/>
        <v>#VALUE!</v>
      </c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  <c r="OK246" s="1"/>
      <c r="OL246" s="1"/>
      <c r="OM246" s="1"/>
      <c r="ON246" s="1"/>
      <c r="OO246" s="1"/>
      <c r="OP246" s="1"/>
      <c r="OQ246" s="1"/>
      <c r="OR246" s="1"/>
      <c r="OS246" s="1"/>
      <c r="OT246" s="1"/>
      <c r="OU246" s="1"/>
      <c r="OV246" s="1"/>
      <c r="OW246" s="1"/>
      <c r="OX246" s="1"/>
      <c r="OY246" s="1"/>
      <c r="OZ246" s="1"/>
      <c r="PA246" s="1"/>
      <c r="PB246" s="1"/>
      <c r="PC246" s="1"/>
      <c r="PD246" s="1"/>
      <c r="PE246" s="1"/>
      <c r="PF246" s="1"/>
      <c r="PG246" s="1"/>
      <c r="PH246" s="1"/>
      <c r="PI246" s="1"/>
      <c r="PJ246" s="1"/>
      <c r="PK246" s="1"/>
      <c r="PL246" s="1"/>
      <c r="PM246" s="1"/>
      <c r="PN246" s="1"/>
      <c r="PO246" s="1"/>
      <c r="PP246" s="1"/>
      <c r="PQ246" s="1"/>
      <c r="PR246" s="1"/>
      <c r="PS246" s="1"/>
      <c r="PT246" s="1"/>
      <c r="PU246" s="1"/>
      <c r="PV246" s="1"/>
      <c r="PW246" s="1"/>
      <c r="PX246" s="1"/>
      <c r="PY246" s="1"/>
      <c r="PZ246" s="1"/>
      <c r="QA246" s="1"/>
      <c r="QB246" s="1"/>
      <c r="QC246" s="1"/>
      <c r="QD246" s="1"/>
      <c r="QE246" s="1"/>
      <c r="QF246" s="1"/>
      <c r="QG246" s="1"/>
      <c r="QH246" s="1"/>
      <c r="QI246" s="1"/>
      <c r="QJ246" s="1"/>
      <c r="QK246" s="1"/>
      <c r="QL246" s="1"/>
      <c r="QM246" s="1"/>
      <c r="QN246" s="1"/>
      <c r="QO246" s="1"/>
      <c r="QP246" s="1"/>
      <c r="QQ246" s="1"/>
      <c r="QR246" s="1"/>
      <c r="QS246" s="1"/>
      <c r="QT246" s="1"/>
      <c r="QU246" s="1"/>
      <c r="QV246" s="1"/>
      <c r="QW246" s="1"/>
      <c r="QX246" s="1"/>
      <c r="QY246" s="1"/>
      <c r="QZ246" s="1"/>
      <c r="RA246" s="1"/>
      <c r="RB246" s="1"/>
      <c r="RC246" s="1"/>
      <c r="RD246" s="1"/>
      <c r="RE246" s="1"/>
      <c r="RF246" s="1"/>
      <c r="RG246" s="1"/>
      <c r="RH246" s="1"/>
      <c r="RI246" s="1"/>
      <c r="RJ246" s="1"/>
      <c r="RK246" s="1"/>
      <c r="RL246" s="1"/>
      <c r="RM246" s="1"/>
      <c r="RN246" s="1"/>
      <c r="RO246" s="1"/>
      <c r="RP246" s="1"/>
      <c r="RQ246" s="1"/>
      <c r="RR246" s="1"/>
      <c r="RS246" s="1"/>
      <c r="RT246" s="1"/>
      <c r="RU246" s="1"/>
      <c r="RV246" s="1"/>
      <c r="RW246" s="1"/>
      <c r="RX246" s="1"/>
      <c r="RY246" s="1"/>
      <c r="RZ246" s="1"/>
      <c r="SA246" s="1"/>
      <c r="SB246" s="1"/>
      <c r="SC246" s="1"/>
      <c r="SD246" s="1"/>
      <c r="SE246" s="1"/>
      <c r="SF246" s="1"/>
      <c r="SG246" s="1"/>
      <c r="SH246" s="1"/>
      <c r="SI246" s="1"/>
      <c r="SJ246" s="1"/>
      <c r="SK246" s="1"/>
      <c r="SL246" s="1"/>
      <c r="SM246" s="1"/>
      <c r="SN246" s="1"/>
      <c r="SO246" s="1"/>
      <c r="SP246" s="1"/>
      <c r="SQ246" s="1"/>
      <c r="SR246" s="1"/>
      <c r="SS246" s="1"/>
      <c r="ST246" s="1"/>
      <c r="SU246" s="1"/>
      <c r="SV246" s="1"/>
      <c r="SW246" s="1"/>
      <c r="SX246" s="1"/>
      <c r="SY246" s="1"/>
      <c r="SZ246" s="1"/>
      <c r="TA246" s="1"/>
      <c r="TB246" s="1"/>
      <c r="TC246" s="1"/>
      <c r="TD246" s="1"/>
      <c r="TE246" s="1"/>
      <c r="TF246" s="1"/>
      <c r="TG246" s="1"/>
      <c r="TH246" s="1"/>
      <c r="TI246" s="1"/>
      <c r="TJ246" s="1"/>
      <c r="TK246" s="1"/>
      <c r="TL246" s="1"/>
      <c r="TM246" s="1"/>
      <c r="TN246" s="1"/>
      <c r="TO246" s="1"/>
      <c r="TP246" s="1"/>
      <c r="TQ246" s="1"/>
      <c r="TR246" s="1"/>
      <c r="TS246" s="1"/>
      <c r="TT246" s="1"/>
      <c r="TU246" s="1"/>
      <c r="TV246" s="1"/>
      <c r="TW246" s="1"/>
      <c r="TX246" s="1"/>
      <c r="TY246" s="1"/>
      <c r="TZ246" s="1"/>
      <c r="UA246" s="1"/>
      <c r="UB246" s="1"/>
      <c r="UC246" s="1"/>
      <c r="UD246" s="1"/>
      <c r="UE246" s="1"/>
      <c r="UF246" s="1"/>
      <c r="UG246" s="1"/>
      <c r="UH246" s="1"/>
      <c r="UI246" s="1"/>
      <c r="UJ246" s="1"/>
      <c r="UK246" s="1"/>
      <c r="UL246" s="1"/>
      <c r="UM246" s="1"/>
      <c r="UN246" s="1"/>
      <c r="UO246" s="1"/>
      <c r="UP246" s="1"/>
      <c r="UQ246" s="1"/>
      <c r="UR246" s="1"/>
      <c r="US246" s="1"/>
      <c r="UT246" s="1"/>
      <c r="UU246" s="1"/>
      <c r="UV246" s="1"/>
      <c r="UW246" s="1"/>
      <c r="UX246" s="1"/>
      <c r="UY246" s="1"/>
      <c r="UZ246" s="1"/>
      <c r="VA246" s="1"/>
      <c r="VB246" s="1"/>
      <c r="VC246" s="1"/>
      <c r="VD246" s="1"/>
      <c r="VE246" s="1"/>
      <c r="VF246" s="1"/>
      <c r="VG246" s="1"/>
      <c r="VH246" s="1"/>
      <c r="VI246" s="1"/>
      <c r="VJ246" s="1"/>
      <c r="VK246" s="1"/>
      <c r="VL246" s="1"/>
      <c r="VM246" s="1"/>
      <c r="VN246" s="1"/>
      <c r="VO246" s="1"/>
      <c r="VP246" s="1"/>
      <c r="VQ246" s="1"/>
      <c r="VR246" s="1"/>
      <c r="VS246" s="1"/>
      <c r="VT246" s="1"/>
      <c r="VU246" s="1"/>
      <c r="VV246" s="1"/>
      <c r="VW246" s="1"/>
      <c r="VX246" s="1"/>
      <c r="VY246" s="1"/>
      <c r="VZ246" s="1"/>
      <c r="WA246" s="1"/>
      <c r="WB246" s="1"/>
      <c r="WC246" s="1"/>
      <c r="WD246" s="1"/>
      <c r="WE246" s="1"/>
      <c r="WF246" s="1"/>
      <c r="WG246" s="1"/>
      <c r="WH246" s="1"/>
      <c r="WI246" s="1"/>
      <c r="WJ246" s="1"/>
      <c r="WK246" s="1"/>
      <c r="WL246" s="1"/>
      <c r="WM246" s="1"/>
      <c r="WN246" s="1"/>
      <c r="WO246" s="1"/>
      <c r="WP246" s="1"/>
      <c r="WQ246" s="1"/>
      <c r="WR246" s="1"/>
      <c r="WS246" s="1"/>
      <c r="WT246" s="1"/>
      <c r="WU246" s="1"/>
      <c r="WV246" s="1"/>
      <c r="WW246" s="1"/>
      <c r="WX246" s="1"/>
      <c r="WY246" s="1"/>
      <c r="WZ246" s="1"/>
      <c r="XA246" s="1"/>
      <c r="XB246" s="1"/>
      <c r="XC246" s="1"/>
      <c r="XD246" s="1"/>
      <c r="XE246" s="1"/>
      <c r="XF246" s="1"/>
      <c r="XG246" s="1"/>
      <c r="XH246" s="1"/>
      <c r="XI246" s="1"/>
      <c r="XJ246" s="1"/>
      <c r="XK246" s="1"/>
      <c r="XL246" s="1"/>
      <c r="XM246" s="1"/>
      <c r="XN246" s="1"/>
      <c r="XO246" s="1"/>
      <c r="XP246" s="1"/>
      <c r="XQ246" s="1"/>
      <c r="XR246" s="1"/>
      <c r="XS246" s="1"/>
      <c r="XT246" s="1"/>
      <c r="XU246" s="1"/>
      <c r="XV246" s="1"/>
      <c r="XW246" s="1"/>
      <c r="XX246" s="1"/>
      <c r="XY246" s="1"/>
      <c r="XZ246" s="1"/>
      <c r="YA246" s="1"/>
      <c r="YB246" s="1"/>
      <c r="YC246" s="1"/>
      <c r="YD246" s="1"/>
      <c r="YE246" s="1"/>
      <c r="YF246" s="1"/>
      <c r="YG246" s="1"/>
      <c r="YH246" s="1"/>
      <c r="YI246" s="1"/>
      <c r="YJ246" s="1"/>
      <c r="YK246" s="1"/>
      <c r="YL246" s="1"/>
      <c r="YM246" s="1"/>
      <c r="YN246" s="1"/>
      <c r="YO246" s="1"/>
      <c r="YP246" s="1"/>
      <c r="YQ246" s="1"/>
      <c r="YR246" s="1"/>
      <c r="YS246" s="1"/>
      <c r="YT246" s="1"/>
      <c r="YU246" s="1"/>
      <c r="YV246" s="1"/>
      <c r="YW246" s="1"/>
      <c r="YX246" s="1"/>
      <c r="YY246" s="1"/>
      <c r="YZ246" s="1"/>
      <c r="ZA246" s="1"/>
      <c r="ZB246" s="1"/>
      <c r="ZC246" s="1"/>
      <c r="ZD246" s="1"/>
      <c r="ZE246" s="1"/>
      <c r="ZF246" s="1"/>
      <c r="ZG246" s="1"/>
      <c r="ZH246" s="1"/>
      <c r="ZI246" s="1"/>
      <c r="ZJ246" s="1"/>
      <c r="ZK246" s="1"/>
      <c r="ZL246" s="1"/>
      <c r="ZM246" s="1"/>
      <c r="ZN246" s="1"/>
      <c r="ZO246" s="1"/>
      <c r="ZP246" s="1"/>
      <c r="ZQ246" s="1"/>
      <c r="ZR246" s="1"/>
      <c r="ZS246" s="1"/>
      <c r="ZT246" s="1"/>
      <c r="ZU246" s="1"/>
      <c r="ZV246" s="1"/>
      <c r="ZW246" s="1"/>
      <c r="ZX246" s="1"/>
      <c r="ZY246" s="1"/>
      <c r="ZZ246" s="1"/>
      <c r="AAA246" s="1"/>
      <c r="AAB246" s="1"/>
      <c r="AAC246" s="1"/>
      <c r="AAD246" s="1"/>
      <c r="AAE246" s="1"/>
      <c r="AAF246" s="1"/>
      <c r="AAG246" s="1"/>
      <c r="AAH246" s="1"/>
      <c r="AAI246" s="1"/>
      <c r="AAJ246" s="1"/>
      <c r="AAK246" s="1"/>
      <c r="AAL246" s="1"/>
      <c r="AAM246" s="1"/>
      <c r="AAN246" s="1"/>
      <c r="AAO246" s="1"/>
      <c r="AAP246" s="1"/>
      <c r="AAQ246" s="1"/>
      <c r="AAR246" s="1"/>
      <c r="AAS246" s="1"/>
      <c r="AAT246" s="1"/>
      <c r="AAU246" s="1"/>
      <c r="AAV246" s="1"/>
      <c r="AAW246" s="1"/>
      <c r="AAX246" s="1"/>
      <c r="AAY246" s="1"/>
      <c r="AAZ246" s="1"/>
      <c r="ABA246" s="1"/>
      <c r="ABB246" s="1"/>
      <c r="ABC246" s="1"/>
      <c r="ABD246" s="1"/>
      <c r="ABE246" s="1"/>
      <c r="ABF246" s="1"/>
      <c r="ABG246" s="1"/>
      <c r="ABH246" s="1"/>
      <c r="ABI246" s="1"/>
      <c r="ABJ246" s="1"/>
      <c r="ABK246" s="1"/>
      <c r="ABL246" s="1"/>
      <c r="ABM246" s="1"/>
      <c r="ABN246" s="1"/>
      <c r="ABO246" s="1"/>
      <c r="ABP246" s="1"/>
      <c r="ABQ246" s="1"/>
      <c r="ABR246" s="1"/>
      <c r="ABS246" s="1"/>
      <c r="ABT246" s="1"/>
      <c r="ABU246" s="1"/>
      <c r="ABV246" s="1"/>
      <c r="ABW246" s="1"/>
      <c r="ABX246" s="1"/>
      <c r="ABY246" s="1"/>
      <c r="ABZ246" s="1"/>
      <c r="ACA246" s="1"/>
      <c r="ACB246" s="1"/>
      <c r="ACC246" s="1"/>
      <c r="ACD246" s="1"/>
      <c r="ACE246" s="1"/>
      <c r="ACF246" s="1"/>
      <c r="ACG246" s="1"/>
      <c r="ACH246" s="1"/>
      <c r="ACI246" s="1"/>
      <c r="ACJ246" s="1"/>
      <c r="ACK246" s="1"/>
      <c r="ACL246" s="1"/>
      <c r="ACM246" s="1"/>
      <c r="ACN246" s="1"/>
      <c r="ACO246" s="1"/>
      <c r="ACP246" s="1"/>
      <c r="ACQ246" s="1"/>
      <c r="ACR246" s="1"/>
      <c r="ACS246" s="1"/>
      <c r="ACT246" s="1"/>
      <c r="ACU246" s="1"/>
      <c r="ACV246" s="1"/>
      <c r="ACW246" s="1"/>
      <c r="ACX246" s="1"/>
      <c r="ACY246" s="1"/>
      <c r="ACZ246" s="1"/>
      <c r="ADA246" s="1"/>
      <c r="ADB246" s="1"/>
      <c r="ADC246" s="1"/>
      <c r="ADD246" s="1"/>
      <c r="ADE246" s="1"/>
      <c r="ADF246" s="1"/>
      <c r="ADG246" s="1"/>
      <c r="ADH246" s="1"/>
      <c r="ADI246" s="1"/>
      <c r="ADJ246" s="1"/>
      <c r="ADK246" s="1"/>
      <c r="ADL246" s="1"/>
      <c r="ADM246" s="1"/>
      <c r="ADN246" s="1"/>
      <c r="ADO246" s="1"/>
      <c r="ADP246" s="1"/>
      <c r="ADQ246" s="1"/>
      <c r="ADR246" s="1"/>
      <c r="ADS246" s="1"/>
      <c r="ADT246" s="1"/>
      <c r="ADU246" s="1"/>
      <c r="ADV246" s="1"/>
      <c r="ADW246" s="1"/>
      <c r="ADX246" s="1"/>
      <c r="ADY246" s="1"/>
      <c r="ADZ246" s="1"/>
      <c r="AEA246" s="1"/>
      <c r="AEB246" s="1"/>
      <c r="AEC246" s="1"/>
      <c r="AED246" s="1"/>
      <c r="AEE246" s="1"/>
      <c r="AEF246" s="1"/>
      <c r="AEG246" s="1"/>
      <c r="AEH246" s="1"/>
      <c r="AEI246" s="1"/>
      <c r="AEJ246" s="1"/>
      <c r="AEK246" s="1"/>
      <c r="AEL246" s="1"/>
      <c r="AEM246" s="1"/>
      <c r="AEN246" s="1"/>
      <c r="AEO246" s="1"/>
      <c r="AEP246" s="1"/>
      <c r="AEQ246" s="1"/>
      <c r="AER246" s="1"/>
      <c r="AES246" s="1"/>
      <c r="AET246" s="1"/>
      <c r="AEU246" s="1"/>
      <c r="AEV246" s="1"/>
      <c r="AEW246" s="1"/>
      <c r="AEX246" s="1"/>
      <c r="AEY246" s="1"/>
      <c r="AEZ246" s="1"/>
      <c r="AFA246" s="1"/>
      <c r="AFB246" s="1"/>
      <c r="AFC246" s="1"/>
      <c r="AFD246" s="1"/>
      <c r="AFE246" s="1"/>
      <c r="AFF246" s="1"/>
      <c r="AFG246" s="1"/>
      <c r="AFH246" s="1"/>
      <c r="AFI246" s="1"/>
      <c r="AFJ246" s="1"/>
      <c r="AFK246" s="1"/>
      <c r="AFL246" s="1"/>
      <c r="AFM246" s="1"/>
      <c r="AFN246" s="1"/>
      <c r="AFO246" s="1"/>
      <c r="AFP246" s="1"/>
      <c r="AFQ246" s="1"/>
      <c r="AFR246" s="1"/>
      <c r="AFS246" s="1"/>
      <c r="AFT246" s="1"/>
      <c r="AFU246" s="1"/>
      <c r="AFV246" s="1"/>
      <c r="AFW246" s="1"/>
      <c r="AFX246" s="1"/>
      <c r="AFY246" s="1"/>
      <c r="AFZ246" s="1"/>
      <c r="AGA246" s="1"/>
      <c r="AGB246" s="1"/>
      <c r="AGC246" s="1"/>
      <c r="AGD246" s="1"/>
      <c r="AGE246" s="1"/>
      <c r="AGF246" s="1"/>
      <c r="AGG246" s="1"/>
      <c r="AGH246" s="1"/>
      <c r="AGI246" s="1"/>
      <c r="AGJ246" s="1"/>
      <c r="AGK246" s="1"/>
      <c r="AGL246" s="1"/>
      <c r="AGM246" s="1"/>
      <c r="AGN246" s="1"/>
      <c r="AGO246" s="1"/>
      <c r="AGP246" s="1"/>
      <c r="AGQ246" s="1"/>
      <c r="AGR246" s="1"/>
      <c r="AGS246" s="1"/>
      <c r="AGT246" s="1"/>
      <c r="AGU246" s="1"/>
      <c r="AGV246" s="1"/>
      <c r="AGW246" s="1"/>
      <c r="AGX246" s="1"/>
      <c r="AGY246" s="1"/>
      <c r="AGZ246" s="1"/>
      <c r="AHA246" s="1"/>
      <c r="AHB246" s="1"/>
      <c r="AHC246" s="1"/>
      <c r="AHD246" s="1"/>
      <c r="AHE246" s="1"/>
      <c r="AHF246" s="1"/>
      <c r="AHG246" s="1"/>
      <c r="AHH246" s="1"/>
      <c r="AHI246" s="1"/>
      <c r="AHJ246" s="1"/>
      <c r="AHK246" s="1"/>
      <c r="AHL246" s="1"/>
      <c r="AHM246" s="1"/>
      <c r="AHN246" s="1"/>
      <c r="AHO246" s="1"/>
      <c r="AHP246" s="1"/>
      <c r="AHQ246" s="1"/>
      <c r="AHR246" s="1"/>
      <c r="AHS246" s="1"/>
      <c r="AHT246" s="1"/>
      <c r="AHU246" s="1"/>
      <c r="AHV246" s="1"/>
      <c r="AHW246" s="1"/>
      <c r="AHX246" s="1"/>
      <c r="AHY246" s="1"/>
      <c r="AHZ246" s="1"/>
      <c r="AIA246" s="1"/>
      <c r="AIB246" s="1"/>
      <c r="AIC246" s="1"/>
      <c r="AID246" s="1"/>
      <c r="AIE246" s="1"/>
      <c r="AIF246" s="1"/>
      <c r="AIG246" s="1"/>
      <c r="AIH246" s="1"/>
      <c r="AII246" s="1"/>
      <c r="AIJ246" s="1"/>
      <c r="AIK246" s="1"/>
      <c r="AIL246" s="1"/>
      <c r="AIM246" s="1"/>
      <c r="AIN246" s="1"/>
      <c r="AIO246" s="1"/>
      <c r="AIP246" s="1"/>
      <c r="AIQ246" s="1"/>
      <c r="AIR246" s="1"/>
      <c r="AIS246" s="1"/>
      <c r="AIT246" s="1"/>
      <c r="AIU246" s="1"/>
      <c r="AIV246" s="1"/>
      <c r="AIW246" s="1"/>
      <c r="AIX246" s="1"/>
      <c r="AIY246" s="1"/>
      <c r="AIZ246" s="1"/>
      <c r="AJA246" s="1"/>
      <c r="AJB246" s="1"/>
      <c r="AJC246" s="1"/>
      <c r="AJD246" s="1"/>
      <c r="AJE246" s="1"/>
      <c r="AJF246" s="1"/>
      <c r="AJG246" s="1"/>
      <c r="AJH246" s="1"/>
      <c r="AJI246" s="1"/>
      <c r="AJJ246" s="1"/>
      <c r="AJK246" s="1"/>
      <c r="AJL246" s="1"/>
      <c r="AJM246" s="1"/>
      <c r="AJN246" s="1"/>
      <c r="AJO246" s="1"/>
      <c r="AJP246" s="1"/>
      <c r="AJQ246" s="1"/>
      <c r="AJR246" s="1"/>
      <c r="AJS246" s="1"/>
      <c r="AJT246" s="1"/>
      <c r="AJU246" s="1"/>
      <c r="AJV246" s="1"/>
      <c r="AJW246" s="1"/>
      <c r="AJX246" s="1"/>
      <c r="AJY246" s="1"/>
      <c r="AJZ246" s="1"/>
      <c r="AKA246" s="1"/>
      <c r="AKB246" s="1"/>
      <c r="AKC246" s="1"/>
      <c r="AKD246" s="1"/>
      <c r="AKE246" s="1"/>
      <c r="AKF246" s="1"/>
      <c r="AKG246" s="1"/>
      <c r="AKH246" s="1"/>
      <c r="AKI246" s="1"/>
      <c r="AKJ246" s="1"/>
      <c r="AKK246" s="1"/>
      <c r="AKL246" s="1"/>
      <c r="AKM246" s="1"/>
      <c r="AKN246" s="1"/>
      <c r="AKO246" s="1"/>
      <c r="AKP246" s="1"/>
      <c r="AKQ246" s="1"/>
      <c r="AKR246" s="1"/>
      <c r="AKS246" s="1"/>
      <c r="AKT246" s="1"/>
      <c r="AKU246" s="1"/>
      <c r="AKV246" s="1"/>
      <c r="AKW246" s="1"/>
      <c r="AKX246" s="1"/>
      <c r="AKY246" s="1"/>
      <c r="AKZ246" s="1"/>
      <c r="ALA246" s="1"/>
      <c r="ALB246" s="1"/>
      <c r="ALC246" s="1"/>
      <c r="ALD246" s="1"/>
      <c r="ALE246" s="1"/>
      <c r="ALF246" s="1"/>
      <c r="ALG246" s="1"/>
      <c r="ALH246" s="1"/>
      <c r="ALI246" s="1"/>
      <c r="ALJ246" s="1"/>
      <c r="ALK246" s="1"/>
      <c r="ALL246" s="1"/>
      <c r="ALM246" s="1"/>
      <c r="ALN246" s="1"/>
      <c r="ALO246" s="1"/>
      <c r="ALP246" s="1"/>
      <c r="ALQ246" s="1"/>
      <c r="ALR246" s="1"/>
      <c r="ALS246" s="1"/>
      <c r="ALT246" s="1"/>
      <c r="ALU246" s="1"/>
      <c r="ALV246" s="1"/>
      <c r="ALW246" s="1"/>
      <c r="ALX246" s="1"/>
      <c r="ALY246" s="1"/>
      <c r="ALZ246" s="1"/>
      <c r="AMA246" s="1"/>
      <c r="AMB246" s="1"/>
      <c r="AMC246" s="1"/>
      <c r="AMD246" s="1"/>
      <c r="AME246" s="1"/>
      <c r="AMF246" s="1"/>
      <c r="AMG246" s="1"/>
      <c r="AMH246" s="1"/>
      <c r="AMI246" s="1"/>
      <c r="AMJ246" s="1"/>
      <c r="AMK246" s="1"/>
      <c r="AML246" s="1"/>
      <c r="AMM246" s="1"/>
      <c r="AMN246" s="1"/>
      <c r="AMO246" s="1"/>
    </row>
    <row r="247" spans="1:1029" x14ac:dyDescent="0.2">
      <c r="A247" s="3" t="str">
        <f t="shared" si="753"/>
        <v>p2y12_human_4NTJ</v>
      </c>
      <c r="B247" s="3" t="s">
        <v>352</v>
      </c>
      <c r="C247" s="3" t="s">
        <v>1049</v>
      </c>
      <c r="D247" s="3" t="str">
        <f>IFERROR(MID(VLOOKUP($B247,Seqs!$A:$B,2,0),E247,1),"")</f>
        <v>Y</v>
      </c>
      <c r="E247" s="3">
        <v>21</v>
      </c>
      <c r="F247" s="3" t="str">
        <f>IFERROR(MID(VLOOKUP($B247,Seqs!$A:$B,2,0),G247,1),"")</f>
        <v>I</v>
      </c>
      <c r="G247" s="3">
        <v>53</v>
      </c>
      <c r="H247" s="3" t="str">
        <f>IFERROR(MID(VLOOKUP($B247,Seqs!$A:$B,2,0),I247,1),"")</f>
        <v/>
      </c>
      <c r="I247" s="23" t="s">
        <v>23</v>
      </c>
      <c r="J247" s="3" t="str">
        <f>IFERROR(MID(VLOOKUP($B247,Seqs!$A:$B,2,0),K247,1),"")</f>
        <v/>
      </c>
      <c r="K247" s="23" t="s">
        <v>23</v>
      </c>
      <c r="L247" s="3" t="str">
        <f>IFERROR(MID(VLOOKUP($B247,Seqs!$A:$B,2,0),M247,1),"")</f>
        <v>S</v>
      </c>
      <c r="M247" s="3">
        <v>57</v>
      </c>
      <c r="N247" s="3" t="str">
        <f>IFERROR(MID(VLOOKUP($B247,Seqs!$A:$B,2,0),O247,1),"")</f>
        <v>K</v>
      </c>
      <c r="O247" s="3">
        <v>86</v>
      </c>
      <c r="P247" s="3" t="str">
        <f>IFERROR(MID(VLOOKUP($B247,Seqs!$A:$B,2,0),Q247,1),"")</f>
        <v/>
      </c>
      <c r="Q247" s="3" t="s">
        <v>23</v>
      </c>
      <c r="R247" s="3" t="str">
        <f>IFERROR(MID(VLOOKUP($B247,Seqs!$A:$B,2,0),S247,1),"")</f>
        <v/>
      </c>
      <c r="S247" s="3" t="s">
        <v>23</v>
      </c>
      <c r="T247" s="3" t="str">
        <f>IFERROR(MID(VLOOKUP($B247,Seqs!$A:$B,2,0),U247,1),"")</f>
        <v>L</v>
      </c>
      <c r="U247" s="3">
        <v>92</v>
      </c>
      <c r="V247" s="3" t="str">
        <f>IFERROR(MID(VLOOKUP($B247,Seqs!$A:$B,2,0),W247,1),"")</f>
        <v>R</v>
      </c>
      <c r="W247" s="3">
        <v>128</v>
      </c>
      <c r="X247" s="3" t="str">
        <f>IFERROR(MID(VLOOKUP($B247,Seqs!$A:$B,2,0),Y247,1),"")</f>
        <v/>
      </c>
      <c r="Y247" s="3" t="s">
        <v>23</v>
      </c>
      <c r="Z247" s="3" t="str">
        <f>IFERROR(MID(VLOOKUP($B247,Seqs!$A:$B,2,0),AA247,1),"")</f>
        <v/>
      </c>
      <c r="AA247" s="3" t="s">
        <v>23</v>
      </c>
      <c r="AB247" s="3" t="str">
        <f>IFERROR(MID(VLOOKUP($B247,Seqs!$A:$B,2,0),AC247,1),"")</f>
        <v>N</v>
      </c>
      <c r="AC247" s="9">
        <v>137</v>
      </c>
      <c r="AD247" s="3" t="str">
        <f>IFERROR(MID(VLOOKUP($B247,Seqs!$A:$B,2,0),AE247,1),"")</f>
        <v>L</v>
      </c>
      <c r="AE247" s="3">
        <v>162</v>
      </c>
      <c r="AF247" s="3" t="str">
        <f>IFERROR(MID(VLOOKUP($B247,Seqs!$A:$B,2,0),AG247,1),"")</f>
        <v>C</v>
      </c>
      <c r="AG247" s="3">
        <v>175</v>
      </c>
      <c r="AH247" s="3" t="str">
        <f>IFERROR(MID(VLOOKUP($B247,Seqs!$A:$B,2,0),AI247,1),"")</f>
        <v>F</v>
      </c>
      <c r="AI247" s="3">
        <v>177</v>
      </c>
      <c r="AJ247" s="3" t="str">
        <f>IFERROR(MID(VLOOKUP($B247,Seqs!$A:$B,2,0),AK247,1),"")</f>
        <v>E</v>
      </c>
      <c r="AK247" s="3">
        <v>181</v>
      </c>
      <c r="AL247" s="3" t="str">
        <f>IFERROR(MID(VLOOKUP($B247,Seqs!$A:$B,2,0),AM247,1),"")</f>
        <v>T</v>
      </c>
      <c r="AM247" s="3">
        <v>223</v>
      </c>
      <c r="AN247" s="3" t="str">
        <f>IFERROR(MID(VLOOKUP($B247,Seqs!$A:$B,2,0),AO247,1),"")</f>
        <v>I</v>
      </c>
      <c r="AO247" s="3">
        <v>240</v>
      </c>
      <c r="AP247" s="3" t="str">
        <f>IFERROR(MID(VLOOKUP($B247,Seqs!$A:$B,2,0),AQ247,1),"")</f>
        <v>L</v>
      </c>
      <c r="AQ247" s="3">
        <v>261</v>
      </c>
      <c r="AR247" s="3" t="str">
        <f>IFERROR(MID(VLOOKUP($B247,Seqs!$A:$B,2,0),AS247,1),"")</f>
        <v>D</v>
      </c>
      <c r="AS247" s="3">
        <v>269</v>
      </c>
      <c r="AT247" s="3" t="str">
        <f>IFERROR(MID(VLOOKUP($B247,Seqs!$A:$B,2,0),AU247,1),"")</f>
        <v>L</v>
      </c>
      <c r="AU247" s="3">
        <v>301</v>
      </c>
      <c r="AV247" s="3" t="str">
        <f>IFERROR(MID(VLOOKUP($B247,Seqs!$A:$B,2,0),AW247,1),"")</f>
        <v>C</v>
      </c>
      <c r="AW247" s="3">
        <v>302</v>
      </c>
      <c r="AX247" s="3" t="str">
        <f>IFERROR(MID(VLOOKUP($B247,Seqs!$A:$B,2,0),AY247,1),"")</f>
        <v>M</v>
      </c>
      <c r="AY247" s="3">
        <v>312</v>
      </c>
      <c r="AZ247" s="77" t="str">
        <f>VLOOKUP(B247,Classification!A:D,2,0)</f>
        <v>A</v>
      </c>
      <c r="BA247" s="94" t="str">
        <f>VLOOKUP(B247,Classification!A:D,4,0)</f>
        <v>P2Y</v>
      </c>
      <c r="BB247" s="27" t="b">
        <f t="shared" si="754"/>
        <v>1</v>
      </c>
      <c r="BC247" s="23">
        <f t="shared" si="727"/>
        <v>241</v>
      </c>
      <c r="BD247" s="2" t="s">
        <v>1440</v>
      </c>
      <c r="BE247" s="3" t="s">
        <v>1439</v>
      </c>
      <c r="BF247" s="119">
        <v>2.62</v>
      </c>
      <c r="BG247" s="49" t="s">
        <v>1384</v>
      </c>
      <c r="BH247" s="49" t="s">
        <v>1384</v>
      </c>
      <c r="BI247" s="3" t="s">
        <v>1171</v>
      </c>
      <c r="BJ247" s="70" t="s">
        <v>1293</v>
      </c>
      <c r="BK247" s="57" t="s">
        <v>1293</v>
      </c>
      <c r="BL247" s="57" t="s">
        <v>1293</v>
      </c>
      <c r="BM247" s="57" t="s">
        <v>1293</v>
      </c>
      <c r="BN247" s="57" t="s">
        <v>1293</v>
      </c>
      <c r="BO247" s="57" t="s">
        <v>1293</v>
      </c>
      <c r="BP247" s="57" t="s">
        <v>1293</v>
      </c>
      <c r="BQ247" s="57" t="s">
        <v>1293</v>
      </c>
      <c r="BR247" s="57" t="s">
        <v>1293</v>
      </c>
      <c r="BS247" s="57" t="s">
        <v>1293</v>
      </c>
      <c r="BT247" s="57" t="s">
        <v>1293</v>
      </c>
      <c r="BU247" s="57" t="s">
        <v>1293</v>
      </c>
      <c r="BV247" s="70">
        <f t="shared" si="728"/>
        <v>21</v>
      </c>
      <c r="BW247" s="71" t="str">
        <f t="shared" si="729"/>
        <v>-</v>
      </c>
      <c r="BX247" s="72">
        <f t="shared" si="730"/>
        <v>57</v>
      </c>
      <c r="BY247" s="71" t="str">
        <f t="shared" si="731"/>
        <v>-</v>
      </c>
      <c r="BZ247" s="72">
        <f t="shared" si="732"/>
        <v>92</v>
      </c>
      <c r="CA247" s="71" t="str">
        <f t="shared" si="733"/>
        <v>-</v>
      </c>
      <c r="CB247" s="72">
        <f t="shared" si="734"/>
        <v>137</v>
      </c>
      <c r="CC247" s="71">
        <f t="shared" si="735"/>
        <v>175</v>
      </c>
      <c r="CD247" s="72">
        <f t="shared" si="736"/>
        <v>181</v>
      </c>
      <c r="CE247" s="71">
        <f t="shared" si="737"/>
        <v>240</v>
      </c>
      <c r="CF247" s="72">
        <f t="shared" si="738"/>
        <v>269</v>
      </c>
      <c r="CG247" s="71">
        <f t="shared" si="739"/>
        <v>302</v>
      </c>
      <c r="CH247" s="70">
        <f t="shared" si="740"/>
        <v>53</v>
      </c>
      <c r="CI247" s="71" t="str">
        <f t="shared" si="741"/>
        <v>-</v>
      </c>
      <c r="CJ247" s="72">
        <f t="shared" si="742"/>
        <v>86</v>
      </c>
      <c r="CK247" s="72" t="str">
        <f t="shared" si="743"/>
        <v>-</v>
      </c>
      <c r="CL247" s="72">
        <f t="shared" si="744"/>
        <v>128</v>
      </c>
      <c r="CM247" s="72" t="str">
        <f t="shared" si="745"/>
        <v>-</v>
      </c>
      <c r="CN247" s="72">
        <f t="shared" si="746"/>
        <v>162</v>
      </c>
      <c r="CO247" s="72">
        <f t="shared" si="747"/>
        <v>177</v>
      </c>
      <c r="CP247" s="72">
        <f t="shared" si="748"/>
        <v>223</v>
      </c>
      <c r="CQ247" s="72">
        <f t="shared" si="749"/>
        <v>261</v>
      </c>
      <c r="CR247" s="72">
        <f t="shared" si="750"/>
        <v>301</v>
      </c>
      <c r="CS247" s="72">
        <f t="shared" si="751"/>
        <v>312</v>
      </c>
      <c r="CT247" s="23" t="e">
        <f t="shared" si="752"/>
        <v>#VALUE!</v>
      </c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  <c r="OK247" s="1"/>
      <c r="OL247" s="1"/>
      <c r="OM247" s="1"/>
      <c r="ON247" s="1"/>
      <c r="OO247" s="1"/>
      <c r="OP247" s="1"/>
      <c r="OQ247" s="1"/>
      <c r="OR247" s="1"/>
      <c r="OS247" s="1"/>
      <c r="OT247" s="1"/>
      <c r="OU247" s="1"/>
      <c r="OV247" s="1"/>
      <c r="OW247" s="1"/>
      <c r="OX247" s="1"/>
      <c r="OY247" s="1"/>
      <c r="OZ247" s="1"/>
      <c r="PA247" s="1"/>
      <c r="PB247" s="1"/>
      <c r="PC247" s="1"/>
      <c r="PD247" s="1"/>
      <c r="PE247" s="1"/>
      <c r="PF247" s="1"/>
      <c r="PG247" s="1"/>
      <c r="PH247" s="1"/>
      <c r="PI247" s="1"/>
      <c r="PJ247" s="1"/>
      <c r="PK247" s="1"/>
      <c r="PL247" s="1"/>
      <c r="PM247" s="1"/>
      <c r="PN247" s="1"/>
      <c r="PO247" s="1"/>
      <c r="PP247" s="1"/>
      <c r="PQ247" s="1"/>
      <c r="PR247" s="1"/>
      <c r="PS247" s="1"/>
      <c r="PT247" s="1"/>
      <c r="PU247" s="1"/>
      <c r="PV247" s="1"/>
      <c r="PW247" s="1"/>
      <c r="PX247" s="1"/>
      <c r="PY247" s="1"/>
      <c r="PZ247" s="1"/>
      <c r="QA247" s="1"/>
      <c r="QB247" s="1"/>
      <c r="QC247" s="1"/>
      <c r="QD247" s="1"/>
      <c r="QE247" s="1"/>
      <c r="QF247" s="1"/>
      <c r="QG247" s="1"/>
      <c r="QH247" s="1"/>
      <c r="QI247" s="1"/>
      <c r="QJ247" s="1"/>
      <c r="QK247" s="1"/>
      <c r="QL247" s="1"/>
      <c r="QM247" s="1"/>
      <c r="QN247" s="1"/>
      <c r="QO247" s="1"/>
      <c r="QP247" s="1"/>
      <c r="QQ247" s="1"/>
      <c r="QR247" s="1"/>
      <c r="QS247" s="1"/>
      <c r="QT247" s="1"/>
      <c r="QU247" s="1"/>
      <c r="QV247" s="1"/>
      <c r="QW247" s="1"/>
      <c r="QX247" s="1"/>
      <c r="QY247" s="1"/>
      <c r="QZ247" s="1"/>
      <c r="RA247" s="1"/>
      <c r="RB247" s="1"/>
      <c r="RC247" s="1"/>
      <c r="RD247" s="1"/>
      <c r="RE247" s="1"/>
      <c r="RF247" s="1"/>
      <c r="RG247" s="1"/>
      <c r="RH247" s="1"/>
      <c r="RI247" s="1"/>
      <c r="RJ247" s="1"/>
      <c r="RK247" s="1"/>
      <c r="RL247" s="1"/>
      <c r="RM247" s="1"/>
      <c r="RN247" s="1"/>
      <c r="RO247" s="1"/>
      <c r="RP247" s="1"/>
      <c r="RQ247" s="1"/>
      <c r="RR247" s="1"/>
      <c r="RS247" s="1"/>
      <c r="RT247" s="1"/>
      <c r="RU247" s="1"/>
      <c r="RV247" s="1"/>
      <c r="RW247" s="1"/>
      <c r="RX247" s="1"/>
      <c r="RY247" s="1"/>
      <c r="RZ247" s="1"/>
      <c r="SA247" s="1"/>
      <c r="SB247" s="1"/>
      <c r="SC247" s="1"/>
      <c r="SD247" s="1"/>
      <c r="SE247" s="1"/>
      <c r="SF247" s="1"/>
      <c r="SG247" s="1"/>
      <c r="SH247" s="1"/>
      <c r="SI247" s="1"/>
      <c r="SJ247" s="1"/>
      <c r="SK247" s="1"/>
      <c r="SL247" s="1"/>
      <c r="SM247" s="1"/>
      <c r="SN247" s="1"/>
      <c r="SO247" s="1"/>
      <c r="SP247" s="1"/>
      <c r="SQ247" s="1"/>
      <c r="SR247" s="1"/>
      <c r="SS247" s="1"/>
      <c r="ST247" s="1"/>
      <c r="SU247" s="1"/>
      <c r="SV247" s="1"/>
      <c r="SW247" s="1"/>
      <c r="SX247" s="1"/>
      <c r="SY247" s="1"/>
      <c r="SZ247" s="1"/>
      <c r="TA247" s="1"/>
      <c r="TB247" s="1"/>
      <c r="TC247" s="1"/>
      <c r="TD247" s="1"/>
      <c r="TE247" s="1"/>
      <c r="TF247" s="1"/>
      <c r="TG247" s="1"/>
      <c r="TH247" s="1"/>
      <c r="TI247" s="1"/>
      <c r="TJ247" s="1"/>
      <c r="TK247" s="1"/>
      <c r="TL247" s="1"/>
      <c r="TM247" s="1"/>
      <c r="TN247" s="1"/>
      <c r="TO247" s="1"/>
      <c r="TP247" s="1"/>
      <c r="TQ247" s="1"/>
      <c r="TR247" s="1"/>
      <c r="TS247" s="1"/>
      <c r="TT247" s="1"/>
      <c r="TU247" s="1"/>
      <c r="TV247" s="1"/>
      <c r="TW247" s="1"/>
      <c r="TX247" s="1"/>
      <c r="TY247" s="1"/>
      <c r="TZ247" s="1"/>
      <c r="UA247" s="1"/>
      <c r="UB247" s="1"/>
      <c r="UC247" s="1"/>
      <c r="UD247" s="1"/>
      <c r="UE247" s="1"/>
      <c r="UF247" s="1"/>
      <c r="UG247" s="1"/>
      <c r="UH247" s="1"/>
      <c r="UI247" s="1"/>
      <c r="UJ247" s="1"/>
      <c r="UK247" s="1"/>
      <c r="UL247" s="1"/>
      <c r="UM247" s="1"/>
      <c r="UN247" s="1"/>
      <c r="UO247" s="1"/>
      <c r="UP247" s="1"/>
      <c r="UQ247" s="1"/>
      <c r="UR247" s="1"/>
      <c r="US247" s="1"/>
      <c r="UT247" s="1"/>
      <c r="UU247" s="1"/>
      <c r="UV247" s="1"/>
      <c r="UW247" s="1"/>
      <c r="UX247" s="1"/>
      <c r="UY247" s="1"/>
      <c r="UZ247" s="1"/>
      <c r="VA247" s="1"/>
      <c r="VB247" s="1"/>
      <c r="VC247" s="1"/>
      <c r="VD247" s="1"/>
      <c r="VE247" s="1"/>
      <c r="VF247" s="1"/>
      <c r="VG247" s="1"/>
      <c r="VH247" s="1"/>
      <c r="VI247" s="1"/>
      <c r="VJ247" s="1"/>
      <c r="VK247" s="1"/>
      <c r="VL247" s="1"/>
      <c r="VM247" s="1"/>
      <c r="VN247" s="1"/>
      <c r="VO247" s="1"/>
      <c r="VP247" s="1"/>
      <c r="VQ247" s="1"/>
      <c r="VR247" s="1"/>
      <c r="VS247" s="1"/>
      <c r="VT247" s="1"/>
      <c r="VU247" s="1"/>
      <c r="VV247" s="1"/>
      <c r="VW247" s="1"/>
      <c r="VX247" s="1"/>
      <c r="VY247" s="1"/>
      <c r="VZ247" s="1"/>
      <c r="WA247" s="1"/>
      <c r="WB247" s="1"/>
      <c r="WC247" s="1"/>
      <c r="WD247" s="1"/>
      <c r="WE247" s="1"/>
      <c r="WF247" s="1"/>
      <c r="WG247" s="1"/>
      <c r="WH247" s="1"/>
      <c r="WI247" s="1"/>
      <c r="WJ247" s="1"/>
      <c r="WK247" s="1"/>
      <c r="WL247" s="1"/>
      <c r="WM247" s="1"/>
      <c r="WN247" s="1"/>
      <c r="WO247" s="1"/>
      <c r="WP247" s="1"/>
      <c r="WQ247" s="1"/>
      <c r="WR247" s="1"/>
      <c r="WS247" s="1"/>
      <c r="WT247" s="1"/>
      <c r="WU247" s="1"/>
      <c r="WV247" s="1"/>
      <c r="WW247" s="1"/>
      <c r="WX247" s="1"/>
      <c r="WY247" s="1"/>
      <c r="WZ247" s="1"/>
      <c r="XA247" s="1"/>
      <c r="XB247" s="1"/>
      <c r="XC247" s="1"/>
      <c r="XD247" s="1"/>
      <c r="XE247" s="1"/>
      <c r="XF247" s="1"/>
      <c r="XG247" s="1"/>
      <c r="XH247" s="1"/>
      <c r="XI247" s="1"/>
      <c r="XJ247" s="1"/>
      <c r="XK247" s="1"/>
      <c r="XL247" s="1"/>
      <c r="XM247" s="1"/>
      <c r="XN247" s="1"/>
      <c r="XO247" s="1"/>
      <c r="XP247" s="1"/>
      <c r="XQ247" s="1"/>
      <c r="XR247" s="1"/>
      <c r="XS247" s="1"/>
      <c r="XT247" s="1"/>
      <c r="XU247" s="1"/>
      <c r="XV247" s="1"/>
      <c r="XW247" s="1"/>
      <c r="XX247" s="1"/>
      <c r="XY247" s="1"/>
      <c r="XZ247" s="1"/>
      <c r="YA247" s="1"/>
      <c r="YB247" s="1"/>
      <c r="YC247" s="1"/>
      <c r="YD247" s="1"/>
      <c r="YE247" s="1"/>
      <c r="YF247" s="1"/>
      <c r="YG247" s="1"/>
      <c r="YH247" s="1"/>
      <c r="YI247" s="1"/>
      <c r="YJ247" s="1"/>
      <c r="YK247" s="1"/>
      <c r="YL247" s="1"/>
      <c r="YM247" s="1"/>
      <c r="YN247" s="1"/>
      <c r="YO247" s="1"/>
      <c r="YP247" s="1"/>
      <c r="YQ247" s="1"/>
      <c r="YR247" s="1"/>
      <c r="YS247" s="1"/>
      <c r="YT247" s="1"/>
      <c r="YU247" s="1"/>
      <c r="YV247" s="1"/>
      <c r="YW247" s="1"/>
      <c r="YX247" s="1"/>
      <c r="YY247" s="1"/>
      <c r="YZ247" s="1"/>
      <c r="ZA247" s="1"/>
      <c r="ZB247" s="1"/>
      <c r="ZC247" s="1"/>
      <c r="ZD247" s="1"/>
      <c r="ZE247" s="1"/>
      <c r="ZF247" s="1"/>
      <c r="ZG247" s="1"/>
      <c r="ZH247" s="1"/>
      <c r="ZI247" s="1"/>
      <c r="ZJ247" s="1"/>
      <c r="ZK247" s="1"/>
      <c r="ZL247" s="1"/>
      <c r="ZM247" s="1"/>
      <c r="ZN247" s="1"/>
      <c r="ZO247" s="1"/>
      <c r="ZP247" s="1"/>
      <c r="ZQ247" s="1"/>
      <c r="ZR247" s="1"/>
      <c r="ZS247" s="1"/>
      <c r="ZT247" s="1"/>
      <c r="ZU247" s="1"/>
      <c r="ZV247" s="1"/>
      <c r="ZW247" s="1"/>
      <c r="ZX247" s="1"/>
      <c r="ZY247" s="1"/>
      <c r="ZZ247" s="1"/>
      <c r="AAA247" s="1"/>
      <c r="AAB247" s="1"/>
      <c r="AAC247" s="1"/>
      <c r="AAD247" s="1"/>
      <c r="AAE247" s="1"/>
      <c r="AAF247" s="1"/>
      <c r="AAG247" s="1"/>
      <c r="AAH247" s="1"/>
      <c r="AAI247" s="1"/>
      <c r="AAJ247" s="1"/>
      <c r="AAK247" s="1"/>
      <c r="AAL247" s="1"/>
      <c r="AAM247" s="1"/>
      <c r="AAN247" s="1"/>
      <c r="AAO247" s="1"/>
      <c r="AAP247" s="1"/>
      <c r="AAQ247" s="1"/>
      <c r="AAR247" s="1"/>
      <c r="AAS247" s="1"/>
      <c r="AAT247" s="1"/>
      <c r="AAU247" s="1"/>
      <c r="AAV247" s="1"/>
      <c r="AAW247" s="1"/>
      <c r="AAX247" s="1"/>
      <c r="AAY247" s="1"/>
      <c r="AAZ247" s="1"/>
      <c r="ABA247" s="1"/>
      <c r="ABB247" s="1"/>
      <c r="ABC247" s="1"/>
      <c r="ABD247" s="1"/>
      <c r="ABE247" s="1"/>
      <c r="ABF247" s="1"/>
      <c r="ABG247" s="1"/>
      <c r="ABH247" s="1"/>
      <c r="ABI247" s="1"/>
      <c r="ABJ247" s="1"/>
      <c r="ABK247" s="1"/>
      <c r="ABL247" s="1"/>
      <c r="ABM247" s="1"/>
      <c r="ABN247" s="1"/>
      <c r="ABO247" s="1"/>
      <c r="ABP247" s="1"/>
      <c r="ABQ247" s="1"/>
      <c r="ABR247" s="1"/>
      <c r="ABS247" s="1"/>
      <c r="ABT247" s="1"/>
      <c r="ABU247" s="1"/>
      <c r="ABV247" s="1"/>
      <c r="ABW247" s="1"/>
      <c r="ABX247" s="1"/>
      <c r="ABY247" s="1"/>
      <c r="ABZ247" s="1"/>
      <c r="ACA247" s="1"/>
      <c r="ACB247" s="1"/>
      <c r="ACC247" s="1"/>
      <c r="ACD247" s="1"/>
      <c r="ACE247" s="1"/>
      <c r="ACF247" s="1"/>
      <c r="ACG247" s="1"/>
      <c r="ACH247" s="1"/>
      <c r="ACI247" s="1"/>
      <c r="ACJ247" s="1"/>
      <c r="ACK247" s="1"/>
      <c r="ACL247" s="1"/>
      <c r="ACM247" s="1"/>
      <c r="ACN247" s="1"/>
      <c r="ACO247" s="1"/>
      <c r="ACP247" s="1"/>
      <c r="ACQ247" s="1"/>
      <c r="ACR247" s="1"/>
      <c r="ACS247" s="1"/>
      <c r="ACT247" s="1"/>
      <c r="ACU247" s="1"/>
      <c r="ACV247" s="1"/>
      <c r="ACW247" s="1"/>
      <c r="ACX247" s="1"/>
      <c r="ACY247" s="1"/>
      <c r="ACZ247" s="1"/>
      <c r="ADA247" s="1"/>
      <c r="ADB247" s="1"/>
      <c r="ADC247" s="1"/>
      <c r="ADD247" s="1"/>
      <c r="ADE247" s="1"/>
      <c r="ADF247" s="1"/>
      <c r="ADG247" s="1"/>
      <c r="ADH247" s="1"/>
      <c r="ADI247" s="1"/>
      <c r="ADJ247" s="1"/>
      <c r="ADK247" s="1"/>
      <c r="ADL247" s="1"/>
      <c r="ADM247" s="1"/>
      <c r="ADN247" s="1"/>
      <c r="ADO247" s="1"/>
      <c r="ADP247" s="1"/>
      <c r="ADQ247" s="1"/>
      <c r="ADR247" s="1"/>
      <c r="ADS247" s="1"/>
      <c r="ADT247" s="1"/>
      <c r="ADU247" s="1"/>
      <c r="ADV247" s="1"/>
      <c r="ADW247" s="1"/>
      <c r="ADX247" s="1"/>
      <c r="ADY247" s="1"/>
      <c r="ADZ247" s="1"/>
      <c r="AEA247" s="1"/>
      <c r="AEB247" s="1"/>
      <c r="AEC247" s="1"/>
      <c r="AED247" s="1"/>
      <c r="AEE247" s="1"/>
      <c r="AEF247" s="1"/>
      <c r="AEG247" s="1"/>
      <c r="AEH247" s="1"/>
      <c r="AEI247" s="1"/>
      <c r="AEJ247" s="1"/>
      <c r="AEK247" s="1"/>
      <c r="AEL247" s="1"/>
      <c r="AEM247" s="1"/>
      <c r="AEN247" s="1"/>
      <c r="AEO247" s="1"/>
      <c r="AEP247" s="1"/>
      <c r="AEQ247" s="1"/>
      <c r="AER247" s="1"/>
      <c r="AES247" s="1"/>
      <c r="AET247" s="1"/>
      <c r="AEU247" s="1"/>
      <c r="AEV247" s="1"/>
      <c r="AEW247" s="1"/>
      <c r="AEX247" s="1"/>
      <c r="AEY247" s="1"/>
      <c r="AEZ247" s="1"/>
      <c r="AFA247" s="1"/>
      <c r="AFB247" s="1"/>
      <c r="AFC247" s="1"/>
      <c r="AFD247" s="1"/>
      <c r="AFE247" s="1"/>
      <c r="AFF247" s="1"/>
      <c r="AFG247" s="1"/>
      <c r="AFH247" s="1"/>
      <c r="AFI247" s="1"/>
      <c r="AFJ247" s="1"/>
      <c r="AFK247" s="1"/>
      <c r="AFL247" s="1"/>
      <c r="AFM247" s="1"/>
      <c r="AFN247" s="1"/>
      <c r="AFO247" s="1"/>
      <c r="AFP247" s="1"/>
      <c r="AFQ247" s="1"/>
      <c r="AFR247" s="1"/>
      <c r="AFS247" s="1"/>
      <c r="AFT247" s="1"/>
      <c r="AFU247" s="1"/>
      <c r="AFV247" s="1"/>
      <c r="AFW247" s="1"/>
      <c r="AFX247" s="1"/>
      <c r="AFY247" s="1"/>
      <c r="AFZ247" s="1"/>
      <c r="AGA247" s="1"/>
      <c r="AGB247" s="1"/>
      <c r="AGC247" s="1"/>
      <c r="AGD247" s="1"/>
      <c r="AGE247" s="1"/>
      <c r="AGF247" s="1"/>
      <c r="AGG247" s="1"/>
      <c r="AGH247" s="1"/>
      <c r="AGI247" s="1"/>
      <c r="AGJ247" s="1"/>
      <c r="AGK247" s="1"/>
      <c r="AGL247" s="1"/>
      <c r="AGM247" s="1"/>
      <c r="AGN247" s="1"/>
      <c r="AGO247" s="1"/>
      <c r="AGP247" s="1"/>
      <c r="AGQ247" s="1"/>
      <c r="AGR247" s="1"/>
      <c r="AGS247" s="1"/>
      <c r="AGT247" s="1"/>
      <c r="AGU247" s="1"/>
      <c r="AGV247" s="1"/>
      <c r="AGW247" s="1"/>
      <c r="AGX247" s="1"/>
      <c r="AGY247" s="1"/>
      <c r="AGZ247" s="1"/>
      <c r="AHA247" s="1"/>
      <c r="AHB247" s="1"/>
      <c r="AHC247" s="1"/>
      <c r="AHD247" s="1"/>
      <c r="AHE247" s="1"/>
      <c r="AHF247" s="1"/>
      <c r="AHG247" s="1"/>
      <c r="AHH247" s="1"/>
      <c r="AHI247" s="1"/>
      <c r="AHJ247" s="1"/>
      <c r="AHK247" s="1"/>
      <c r="AHL247" s="1"/>
      <c r="AHM247" s="1"/>
      <c r="AHN247" s="1"/>
      <c r="AHO247" s="1"/>
      <c r="AHP247" s="1"/>
      <c r="AHQ247" s="1"/>
      <c r="AHR247" s="1"/>
      <c r="AHS247" s="1"/>
      <c r="AHT247" s="1"/>
      <c r="AHU247" s="1"/>
      <c r="AHV247" s="1"/>
      <c r="AHW247" s="1"/>
      <c r="AHX247" s="1"/>
      <c r="AHY247" s="1"/>
      <c r="AHZ247" s="1"/>
      <c r="AIA247" s="1"/>
      <c r="AIB247" s="1"/>
      <c r="AIC247" s="1"/>
      <c r="AID247" s="1"/>
      <c r="AIE247" s="1"/>
      <c r="AIF247" s="1"/>
      <c r="AIG247" s="1"/>
      <c r="AIH247" s="1"/>
      <c r="AII247" s="1"/>
      <c r="AIJ247" s="1"/>
      <c r="AIK247" s="1"/>
      <c r="AIL247" s="1"/>
      <c r="AIM247" s="1"/>
      <c r="AIN247" s="1"/>
      <c r="AIO247" s="1"/>
      <c r="AIP247" s="1"/>
      <c r="AIQ247" s="1"/>
      <c r="AIR247" s="1"/>
      <c r="AIS247" s="1"/>
      <c r="AIT247" s="1"/>
      <c r="AIU247" s="1"/>
      <c r="AIV247" s="1"/>
      <c r="AIW247" s="1"/>
      <c r="AIX247" s="1"/>
      <c r="AIY247" s="1"/>
      <c r="AIZ247" s="1"/>
      <c r="AJA247" s="1"/>
      <c r="AJB247" s="1"/>
      <c r="AJC247" s="1"/>
      <c r="AJD247" s="1"/>
      <c r="AJE247" s="1"/>
      <c r="AJF247" s="1"/>
      <c r="AJG247" s="1"/>
      <c r="AJH247" s="1"/>
      <c r="AJI247" s="1"/>
      <c r="AJJ247" s="1"/>
      <c r="AJK247" s="1"/>
      <c r="AJL247" s="1"/>
      <c r="AJM247" s="1"/>
      <c r="AJN247" s="1"/>
      <c r="AJO247" s="1"/>
      <c r="AJP247" s="1"/>
      <c r="AJQ247" s="1"/>
      <c r="AJR247" s="1"/>
      <c r="AJS247" s="1"/>
      <c r="AJT247" s="1"/>
      <c r="AJU247" s="1"/>
      <c r="AJV247" s="1"/>
      <c r="AJW247" s="1"/>
      <c r="AJX247" s="1"/>
      <c r="AJY247" s="1"/>
      <c r="AJZ247" s="1"/>
      <c r="AKA247" s="1"/>
      <c r="AKB247" s="1"/>
      <c r="AKC247" s="1"/>
      <c r="AKD247" s="1"/>
      <c r="AKE247" s="1"/>
      <c r="AKF247" s="1"/>
      <c r="AKG247" s="1"/>
      <c r="AKH247" s="1"/>
      <c r="AKI247" s="1"/>
      <c r="AKJ247" s="1"/>
      <c r="AKK247" s="1"/>
      <c r="AKL247" s="1"/>
      <c r="AKM247" s="1"/>
      <c r="AKN247" s="1"/>
      <c r="AKO247" s="1"/>
      <c r="AKP247" s="1"/>
      <c r="AKQ247" s="1"/>
      <c r="AKR247" s="1"/>
      <c r="AKS247" s="1"/>
      <c r="AKT247" s="1"/>
      <c r="AKU247" s="1"/>
      <c r="AKV247" s="1"/>
      <c r="AKW247" s="1"/>
      <c r="AKX247" s="1"/>
      <c r="AKY247" s="1"/>
      <c r="AKZ247" s="1"/>
      <c r="ALA247" s="1"/>
      <c r="ALB247" s="1"/>
      <c r="ALC247" s="1"/>
      <c r="ALD247" s="1"/>
      <c r="ALE247" s="1"/>
      <c r="ALF247" s="1"/>
      <c r="ALG247" s="1"/>
      <c r="ALH247" s="1"/>
      <c r="ALI247" s="1"/>
      <c r="ALJ247" s="1"/>
      <c r="ALK247" s="1"/>
      <c r="ALL247" s="1"/>
      <c r="ALM247" s="1"/>
      <c r="ALN247" s="1"/>
      <c r="ALO247" s="1"/>
      <c r="ALP247" s="1"/>
      <c r="ALQ247" s="1"/>
      <c r="ALR247" s="1"/>
      <c r="ALS247" s="1"/>
      <c r="ALT247" s="1"/>
      <c r="ALU247" s="1"/>
      <c r="ALV247" s="1"/>
      <c r="ALW247" s="1"/>
      <c r="ALX247" s="1"/>
      <c r="ALY247" s="1"/>
      <c r="ALZ247" s="1"/>
      <c r="AMA247" s="1"/>
      <c r="AMB247" s="1"/>
      <c r="AMC247" s="1"/>
      <c r="AMD247" s="1"/>
      <c r="AME247" s="1"/>
      <c r="AMF247" s="1"/>
      <c r="AMG247" s="1"/>
      <c r="AMH247" s="1"/>
      <c r="AMI247" s="1"/>
      <c r="AMJ247" s="1"/>
      <c r="AMK247" s="1"/>
      <c r="AML247" s="1"/>
      <c r="AMM247" s="1"/>
      <c r="AMN247" s="1"/>
      <c r="AMO247" s="1"/>
    </row>
    <row r="248" spans="1:1029" x14ac:dyDescent="0.2">
      <c r="A248" s="3" t="str">
        <f t="shared" si="753"/>
        <v>p2y12_human_4PXZ</v>
      </c>
      <c r="B248" s="3" t="s">
        <v>352</v>
      </c>
      <c r="C248" s="3" t="s">
        <v>1153</v>
      </c>
      <c r="D248" s="3" t="str">
        <f>IFERROR(MID(VLOOKUP($B248,Seqs!$A:$B,2,0),E248,1),"")</f>
        <v>I</v>
      </c>
      <c r="E248" s="3">
        <v>23</v>
      </c>
      <c r="F248" s="3" t="str">
        <f>IFERROR(MID(VLOOKUP($B248,Seqs!$A:$B,2,0),G248,1),"")</f>
        <v>I</v>
      </c>
      <c r="G248" s="3">
        <v>53</v>
      </c>
      <c r="H248" s="3" t="str">
        <f>IFERROR(MID(VLOOKUP($B248,Seqs!$A:$B,2,0),I248,1),"")</f>
        <v/>
      </c>
      <c r="I248" s="23" t="s">
        <v>23</v>
      </c>
      <c r="J248" s="3" t="str">
        <f>IFERROR(MID(VLOOKUP($B248,Seqs!$A:$B,2,0),K248,1),"")</f>
        <v/>
      </c>
      <c r="K248" s="23" t="s">
        <v>23</v>
      </c>
      <c r="L248" s="3" t="str">
        <f>IFERROR(MID(VLOOKUP($B248,Seqs!$A:$B,2,0),M248,1),"")</f>
        <v>S</v>
      </c>
      <c r="M248" s="3">
        <v>57</v>
      </c>
      <c r="N248" s="3" t="str">
        <f>IFERROR(MID(VLOOKUP($B248,Seqs!$A:$B,2,0),O248,1),"")</f>
        <v>K</v>
      </c>
      <c r="O248" s="3">
        <v>86</v>
      </c>
      <c r="P248" s="3" t="str">
        <f>IFERROR(MID(VLOOKUP($B248,Seqs!$A:$B,2,0),Q248,1),"")</f>
        <v/>
      </c>
      <c r="Q248" s="3" t="s">
        <v>23</v>
      </c>
      <c r="R248" s="3" t="str">
        <f>IFERROR(MID(VLOOKUP($B248,Seqs!$A:$B,2,0),S248,1),"")</f>
        <v/>
      </c>
      <c r="S248" s="3" t="s">
        <v>23</v>
      </c>
      <c r="T248" s="3" t="str">
        <f>IFERROR(MID(VLOOKUP($B248,Seqs!$A:$B,2,0),U248,1),"")</f>
        <v>G</v>
      </c>
      <c r="U248" s="3">
        <v>90</v>
      </c>
      <c r="V248" s="3" t="str">
        <f>IFERROR(MID(VLOOKUP($B248,Seqs!$A:$B,2,0),W248,1),"")</f>
        <v>R</v>
      </c>
      <c r="W248" s="3">
        <v>128</v>
      </c>
      <c r="X248" s="3" t="str">
        <f>IFERROR(MID(VLOOKUP($B248,Seqs!$A:$B,2,0),Y248,1),"")</f>
        <v/>
      </c>
      <c r="Y248" s="3" t="s">
        <v>23</v>
      </c>
      <c r="Z248" s="3" t="str">
        <f>IFERROR(MID(VLOOKUP($B248,Seqs!$A:$B,2,0),AA248,1),"")</f>
        <v/>
      </c>
      <c r="AA248" s="3" t="s">
        <v>23</v>
      </c>
      <c r="AB248" s="3" t="str">
        <f>IFERROR(MID(VLOOKUP($B248,Seqs!$A:$B,2,0),AC248,1),"")</f>
        <v>N</v>
      </c>
      <c r="AC248" s="9">
        <v>137</v>
      </c>
      <c r="AD248" s="3" t="str">
        <f>IFERROR(MID(VLOOKUP($B248,Seqs!$A:$B,2,0),AE248,1),"")</f>
        <v>T</v>
      </c>
      <c r="AE248" s="3">
        <v>163</v>
      </c>
      <c r="AF248" s="3" t="str">
        <f>IFERROR(MID(VLOOKUP($B248,Seqs!$A:$B,2,0),AG248,1),"")</f>
        <v>C</v>
      </c>
      <c r="AG248" s="3">
        <v>175</v>
      </c>
      <c r="AH248" s="3" t="str">
        <f>IFERROR(MID(VLOOKUP($B248,Seqs!$A:$B,2,0),AI248,1),"")</f>
        <v>F</v>
      </c>
      <c r="AI248" s="3">
        <v>177</v>
      </c>
      <c r="AJ248" s="3" t="str">
        <f>IFERROR(MID(VLOOKUP($B248,Seqs!$A:$B,2,0),AK248,1),"")</f>
        <v>E</v>
      </c>
      <c r="AK248" s="3">
        <v>181</v>
      </c>
      <c r="AL248" s="3" t="str">
        <f>IFERROR(MID(VLOOKUP($B248,Seqs!$A:$B,2,0),AM248,1),"")</f>
        <v>S</v>
      </c>
      <c r="AM248" s="3">
        <v>219</v>
      </c>
      <c r="AN248" s="3" t="str">
        <f>IFERROR(MID(VLOOKUP($B248,Seqs!$A:$B,2,0),AO248,1),"")</f>
        <v>V</v>
      </c>
      <c r="AO248" s="3">
        <v>236</v>
      </c>
      <c r="AP248" s="3" t="str">
        <f>IFERROR(MID(VLOOKUP($B248,Seqs!$A:$B,2,0),AQ248,1),"")</f>
        <v>R</v>
      </c>
      <c r="AQ248" s="3">
        <v>265</v>
      </c>
      <c r="AR248" s="3" t="str">
        <f>IFERROR(MID(VLOOKUP($B248,Seqs!$A:$B,2,0),AS248,1),"")</f>
        <v>D</v>
      </c>
      <c r="AS248" s="3">
        <v>269</v>
      </c>
      <c r="AT248" s="3" t="str">
        <f>IFERROR(MID(VLOOKUP($B248,Seqs!$A:$B,2,0),AU248,1),"")</f>
        <v>C</v>
      </c>
      <c r="AU248" s="3">
        <v>292</v>
      </c>
      <c r="AV248" s="3" t="str">
        <f>IFERROR(MID(VLOOKUP($B248,Seqs!$A:$B,2,0),AW248,1),"")</f>
        <v/>
      </c>
      <c r="AW248" s="3" t="s">
        <v>23</v>
      </c>
      <c r="AX248" s="3" t="str">
        <f>IFERROR(MID(VLOOKUP($B248,Seqs!$A:$B,2,0),AY248,1),"")</f>
        <v/>
      </c>
      <c r="AY248" s="3" t="s">
        <v>23</v>
      </c>
      <c r="AZ248" s="77" t="str">
        <f>VLOOKUP(B248,Classification!A:D,2,0)</f>
        <v>A</v>
      </c>
      <c r="BA248" s="94" t="str">
        <f>VLOOKUP(B248,Classification!A:D,4,0)</f>
        <v>P2Y</v>
      </c>
      <c r="BB248" s="27" t="b">
        <f t="shared" si="754"/>
        <v>1</v>
      </c>
      <c r="BC248" s="23">
        <f t="shared" si="727"/>
        <v>227</v>
      </c>
      <c r="BD248" s="4" t="s">
        <v>23</v>
      </c>
      <c r="BE248" s="3" t="s">
        <v>1439</v>
      </c>
      <c r="BF248" s="119">
        <v>2.5</v>
      </c>
      <c r="BG248" s="49" t="s">
        <v>1384</v>
      </c>
      <c r="BH248" s="49" t="s">
        <v>1384</v>
      </c>
      <c r="BI248" s="1"/>
      <c r="BJ248" s="70" t="s">
        <v>1293</v>
      </c>
      <c r="BK248" s="57" t="s">
        <v>1293</v>
      </c>
      <c r="BL248" s="57" t="s">
        <v>1293</v>
      </c>
      <c r="BM248" s="57" t="s">
        <v>1293</v>
      </c>
      <c r="BN248" s="57" t="s">
        <v>1293</v>
      </c>
      <c r="BO248" s="57" t="s">
        <v>1293</v>
      </c>
      <c r="BP248" s="57" t="s">
        <v>1293</v>
      </c>
      <c r="BQ248" s="57" t="s">
        <v>1293</v>
      </c>
      <c r="BR248" s="57" t="s">
        <v>1293</v>
      </c>
      <c r="BS248" s="57" t="s">
        <v>1293</v>
      </c>
      <c r="BT248" s="57" t="s">
        <v>1293</v>
      </c>
      <c r="BU248" s="57" t="s">
        <v>1293</v>
      </c>
      <c r="BV248" s="70">
        <f t="shared" si="728"/>
        <v>23</v>
      </c>
      <c r="BW248" s="71" t="str">
        <f t="shared" si="729"/>
        <v>-</v>
      </c>
      <c r="BX248" s="72">
        <f t="shared" si="730"/>
        <v>57</v>
      </c>
      <c r="BY248" s="71" t="str">
        <f t="shared" si="731"/>
        <v>-</v>
      </c>
      <c r="BZ248" s="72">
        <f t="shared" si="732"/>
        <v>90</v>
      </c>
      <c r="CA248" s="71" t="str">
        <f t="shared" si="733"/>
        <v>-</v>
      </c>
      <c r="CB248" s="72">
        <f t="shared" si="734"/>
        <v>137</v>
      </c>
      <c r="CC248" s="71">
        <f t="shared" si="735"/>
        <v>175</v>
      </c>
      <c r="CD248" s="72">
        <f t="shared" si="736"/>
        <v>181</v>
      </c>
      <c r="CE248" s="71">
        <f t="shared" si="737"/>
        <v>236</v>
      </c>
      <c r="CF248" s="72">
        <f t="shared" si="738"/>
        <v>269</v>
      </c>
      <c r="CG248" s="71" t="str">
        <f t="shared" si="739"/>
        <v>-</v>
      </c>
      <c r="CH248" s="70">
        <f t="shared" si="740"/>
        <v>53</v>
      </c>
      <c r="CI248" s="71" t="str">
        <f t="shared" si="741"/>
        <v>-</v>
      </c>
      <c r="CJ248" s="72">
        <f t="shared" si="742"/>
        <v>86</v>
      </c>
      <c r="CK248" s="72" t="str">
        <f t="shared" si="743"/>
        <v>-</v>
      </c>
      <c r="CL248" s="72">
        <f t="shared" si="744"/>
        <v>128</v>
      </c>
      <c r="CM248" s="72" t="str">
        <f t="shared" si="745"/>
        <v>-</v>
      </c>
      <c r="CN248" s="72">
        <f t="shared" si="746"/>
        <v>163</v>
      </c>
      <c r="CO248" s="72">
        <f t="shared" si="747"/>
        <v>177</v>
      </c>
      <c r="CP248" s="72">
        <f t="shared" si="748"/>
        <v>219</v>
      </c>
      <c r="CQ248" s="72">
        <f t="shared" si="749"/>
        <v>265</v>
      </c>
      <c r="CR248" s="72">
        <f t="shared" si="750"/>
        <v>292</v>
      </c>
      <c r="CS248" s="72" t="str">
        <f t="shared" si="751"/>
        <v>-</v>
      </c>
      <c r="CT248" s="23" t="e">
        <f t="shared" si="752"/>
        <v>#VALUE!</v>
      </c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  <c r="OK248" s="1"/>
      <c r="OL248" s="1"/>
      <c r="OM248" s="1"/>
      <c r="ON248" s="1"/>
      <c r="OO248" s="1"/>
      <c r="OP248" s="1"/>
      <c r="OQ248" s="1"/>
      <c r="OR248" s="1"/>
      <c r="OS248" s="1"/>
      <c r="OT248" s="1"/>
      <c r="OU248" s="1"/>
      <c r="OV248" s="1"/>
      <c r="OW248" s="1"/>
      <c r="OX248" s="1"/>
      <c r="OY248" s="1"/>
      <c r="OZ248" s="1"/>
      <c r="PA248" s="1"/>
      <c r="PB248" s="1"/>
      <c r="PC248" s="1"/>
      <c r="PD248" s="1"/>
      <c r="PE248" s="1"/>
      <c r="PF248" s="1"/>
      <c r="PG248" s="1"/>
      <c r="PH248" s="1"/>
      <c r="PI248" s="1"/>
      <c r="PJ248" s="1"/>
      <c r="PK248" s="1"/>
      <c r="PL248" s="1"/>
      <c r="PM248" s="1"/>
      <c r="PN248" s="1"/>
      <c r="PO248" s="1"/>
      <c r="PP248" s="1"/>
      <c r="PQ248" s="1"/>
      <c r="PR248" s="1"/>
      <c r="PS248" s="1"/>
      <c r="PT248" s="1"/>
      <c r="PU248" s="1"/>
      <c r="PV248" s="1"/>
      <c r="PW248" s="1"/>
      <c r="PX248" s="1"/>
      <c r="PY248" s="1"/>
      <c r="PZ248" s="1"/>
      <c r="QA248" s="1"/>
      <c r="QB248" s="1"/>
      <c r="QC248" s="1"/>
      <c r="QD248" s="1"/>
      <c r="QE248" s="1"/>
      <c r="QF248" s="1"/>
      <c r="QG248" s="1"/>
      <c r="QH248" s="1"/>
      <c r="QI248" s="1"/>
      <c r="QJ248" s="1"/>
      <c r="QK248" s="1"/>
      <c r="QL248" s="1"/>
      <c r="QM248" s="1"/>
      <c r="QN248" s="1"/>
      <c r="QO248" s="1"/>
      <c r="QP248" s="1"/>
      <c r="QQ248" s="1"/>
      <c r="QR248" s="1"/>
      <c r="QS248" s="1"/>
      <c r="QT248" s="1"/>
      <c r="QU248" s="1"/>
      <c r="QV248" s="1"/>
      <c r="QW248" s="1"/>
      <c r="QX248" s="1"/>
      <c r="QY248" s="1"/>
      <c r="QZ248" s="1"/>
      <c r="RA248" s="1"/>
      <c r="RB248" s="1"/>
      <c r="RC248" s="1"/>
      <c r="RD248" s="1"/>
      <c r="RE248" s="1"/>
      <c r="RF248" s="1"/>
      <c r="RG248" s="1"/>
      <c r="RH248" s="1"/>
      <c r="RI248" s="1"/>
      <c r="RJ248" s="1"/>
      <c r="RK248" s="1"/>
      <c r="RL248" s="1"/>
      <c r="RM248" s="1"/>
      <c r="RN248" s="1"/>
      <c r="RO248" s="1"/>
      <c r="RP248" s="1"/>
      <c r="RQ248" s="1"/>
      <c r="RR248" s="1"/>
      <c r="RS248" s="1"/>
      <c r="RT248" s="1"/>
      <c r="RU248" s="1"/>
      <c r="RV248" s="1"/>
      <c r="RW248" s="1"/>
      <c r="RX248" s="1"/>
      <c r="RY248" s="1"/>
      <c r="RZ248" s="1"/>
      <c r="SA248" s="1"/>
      <c r="SB248" s="1"/>
      <c r="SC248" s="1"/>
      <c r="SD248" s="1"/>
      <c r="SE248" s="1"/>
      <c r="SF248" s="1"/>
      <c r="SG248" s="1"/>
      <c r="SH248" s="1"/>
      <c r="SI248" s="1"/>
      <c r="SJ248" s="1"/>
      <c r="SK248" s="1"/>
      <c r="SL248" s="1"/>
      <c r="SM248" s="1"/>
      <c r="SN248" s="1"/>
      <c r="SO248" s="1"/>
      <c r="SP248" s="1"/>
      <c r="SQ248" s="1"/>
      <c r="SR248" s="1"/>
      <c r="SS248" s="1"/>
      <c r="ST248" s="1"/>
      <c r="SU248" s="1"/>
      <c r="SV248" s="1"/>
      <c r="SW248" s="1"/>
      <c r="SX248" s="1"/>
      <c r="SY248" s="1"/>
      <c r="SZ248" s="1"/>
      <c r="TA248" s="1"/>
      <c r="TB248" s="1"/>
      <c r="TC248" s="1"/>
      <c r="TD248" s="1"/>
      <c r="TE248" s="1"/>
      <c r="TF248" s="1"/>
      <c r="TG248" s="1"/>
      <c r="TH248" s="1"/>
      <c r="TI248" s="1"/>
      <c r="TJ248" s="1"/>
      <c r="TK248" s="1"/>
      <c r="TL248" s="1"/>
      <c r="TM248" s="1"/>
      <c r="TN248" s="1"/>
      <c r="TO248" s="1"/>
      <c r="TP248" s="1"/>
      <c r="TQ248" s="1"/>
      <c r="TR248" s="1"/>
      <c r="TS248" s="1"/>
      <c r="TT248" s="1"/>
      <c r="TU248" s="1"/>
      <c r="TV248" s="1"/>
      <c r="TW248" s="1"/>
      <c r="TX248" s="1"/>
      <c r="TY248" s="1"/>
      <c r="TZ248" s="1"/>
      <c r="UA248" s="1"/>
      <c r="UB248" s="1"/>
      <c r="UC248" s="1"/>
      <c r="UD248" s="1"/>
      <c r="UE248" s="1"/>
      <c r="UF248" s="1"/>
      <c r="UG248" s="1"/>
      <c r="UH248" s="1"/>
      <c r="UI248" s="1"/>
      <c r="UJ248" s="1"/>
      <c r="UK248" s="1"/>
      <c r="UL248" s="1"/>
      <c r="UM248" s="1"/>
      <c r="UN248" s="1"/>
      <c r="UO248" s="1"/>
      <c r="UP248" s="1"/>
      <c r="UQ248" s="1"/>
      <c r="UR248" s="1"/>
      <c r="US248" s="1"/>
      <c r="UT248" s="1"/>
      <c r="UU248" s="1"/>
      <c r="UV248" s="1"/>
      <c r="UW248" s="1"/>
      <c r="UX248" s="1"/>
      <c r="UY248" s="1"/>
      <c r="UZ248" s="1"/>
      <c r="VA248" s="1"/>
      <c r="VB248" s="1"/>
      <c r="VC248" s="1"/>
      <c r="VD248" s="1"/>
      <c r="VE248" s="1"/>
      <c r="VF248" s="1"/>
      <c r="VG248" s="1"/>
      <c r="VH248" s="1"/>
      <c r="VI248" s="1"/>
      <c r="VJ248" s="1"/>
      <c r="VK248" s="1"/>
      <c r="VL248" s="1"/>
      <c r="VM248" s="1"/>
      <c r="VN248" s="1"/>
      <c r="VO248" s="1"/>
      <c r="VP248" s="1"/>
      <c r="VQ248" s="1"/>
      <c r="VR248" s="1"/>
      <c r="VS248" s="1"/>
      <c r="VT248" s="1"/>
      <c r="VU248" s="1"/>
      <c r="VV248" s="1"/>
      <c r="VW248" s="1"/>
      <c r="VX248" s="1"/>
      <c r="VY248" s="1"/>
      <c r="VZ248" s="1"/>
      <c r="WA248" s="1"/>
      <c r="WB248" s="1"/>
      <c r="WC248" s="1"/>
      <c r="WD248" s="1"/>
      <c r="WE248" s="1"/>
      <c r="WF248" s="1"/>
      <c r="WG248" s="1"/>
      <c r="WH248" s="1"/>
      <c r="WI248" s="1"/>
      <c r="WJ248" s="1"/>
      <c r="WK248" s="1"/>
      <c r="WL248" s="1"/>
      <c r="WM248" s="1"/>
      <c r="WN248" s="1"/>
      <c r="WO248" s="1"/>
      <c r="WP248" s="1"/>
      <c r="WQ248" s="1"/>
      <c r="WR248" s="1"/>
      <c r="WS248" s="1"/>
      <c r="WT248" s="1"/>
      <c r="WU248" s="1"/>
      <c r="WV248" s="1"/>
      <c r="WW248" s="1"/>
      <c r="WX248" s="1"/>
      <c r="WY248" s="1"/>
      <c r="WZ248" s="1"/>
      <c r="XA248" s="1"/>
      <c r="XB248" s="1"/>
      <c r="XC248" s="1"/>
      <c r="XD248" s="1"/>
      <c r="XE248" s="1"/>
      <c r="XF248" s="1"/>
      <c r="XG248" s="1"/>
      <c r="XH248" s="1"/>
      <c r="XI248" s="1"/>
      <c r="XJ248" s="1"/>
      <c r="XK248" s="1"/>
      <c r="XL248" s="1"/>
      <c r="XM248" s="1"/>
      <c r="XN248" s="1"/>
      <c r="XO248" s="1"/>
      <c r="XP248" s="1"/>
      <c r="XQ248" s="1"/>
      <c r="XR248" s="1"/>
      <c r="XS248" s="1"/>
      <c r="XT248" s="1"/>
      <c r="XU248" s="1"/>
      <c r="XV248" s="1"/>
      <c r="XW248" s="1"/>
      <c r="XX248" s="1"/>
      <c r="XY248" s="1"/>
      <c r="XZ248" s="1"/>
      <c r="YA248" s="1"/>
      <c r="YB248" s="1"/>
      <c r="YC248" s="1"/>
      <c r="YD248" s="1"/>
      <c r="YE248" s="1"/>
      <c r="YF248" s="1"/>
      <c r="YG248" s="1"/>
      <c r="YH248" s="1"/>
      <c r="YI248" s="1"/>
      <c r="YJ248" s="1"/>
      <c r="YK248" s="1"/>
      <c r="YL248" s="1"/>
      <c r="YM248" s="1"/>
      <c r="YN248" s="1"/>
      <c r="YO248" s="1"/>
      <c r="YP248" s="1"/>
      <c r="YQ248" s="1"/>
      <c r="YR248" s="1"/>
      <c r="YS248" s="1"/>
      <c r="YT248" s="1"/>
      <c r="YU248" s="1"/>
      <c r="YV248" s="1"/>
      <c r="YW248" s="1"/>
      <c r="YX248" s="1"/>
      <c r="YY248" s="1"/>
      <c r="YZ248" s="1"/>
      <c r="ZA248" s="1"/>
      <c r="ZB248" s="1"/>
      <c r="ZC248" s="1"/>
      <c r="ZD248" s="1"/>
      <c r="ZE248" s="1"/>
      <c r="ZF248" s="1"/>
      <c r="ZG248" s="1"/>
      <c r="ZH248" s="1"/>
      <c r="ZI248" s="1"/>
      <c r="ZJ248" s="1"/>
      <c r="ZK248" s="1"/>
      <c r="ZL248" s="1"/>
      <c r="ZM248" s="1"/>
      <c r="ZN248" s="1"/>
      <c r="ZO248" s="1"/>
      <c r="ZP248" s="1"/>
      <c r="ZQ248" s="1"/>
      <c r="ZR248" s="1"/>
      <c r="ZS248" s="1"/>
      <c r="ZT248" s="1"/>
      <c r="ZU248" s="1"/>
      <c r="ZV248" s="1"/>
      <c r="ZW248" s="1"/>
      <c r="ZX248" s="1"/>
      <c r="ZY248" s="1"/>
      <c r="ZZ248" s="1"/>
      <c r="AAA248" s="1"/>
      <c r="AAB248" s="1"/>
      <c r="AAC248" s="1"/>
      <c r="AAD248" s="1"/>
      <c r="AAE248" s="1"/>
      <c r="AAF248" s="1"/>
      <c r="AAG248" s="1"/>
      <c r="AAH248" s="1"/>
      <c r="AAI248" s="1"/>
      <c r="AAJ248" s="1"/>
      <c r="AAK248" s="1"/>
      <c r="AAL248" s="1"/>
      <c r="AAM248" s="1"/>
      <c r="AAN248" s="1"/>
      <c r="AAO248" s="1"/>
      <c r="AAP248" s="1"/>
      <c r="AAQ248" s="1"/>
      <c r="AAR248" s="1"/>
      <c r="AAS248" s="1"/>
      <c r="AAT248" s="1"/>
      <c r="AAU248" s="1"/>
      <c r="AAV248" s="1"/>
      <c r="AAW248" s="1"/>
      <c r="AAX248" s="1"/>
      <c r="AAY248" s="1"/>
      <c r="AAZ248" s="1"/>
      <c r="ABA248" s="1"/>
      <c r="ABB248" s="1"/>
      <c r="ABC248" s="1"/>
      <c r="ABD248" s="1"/>
      <c r="ABE248" s="1"/>
      <c r="ABF248" s="1"/>
      <c r="ABG248" s="1"/>
      <c r="ABH248" s="1"/>
      <c r="ABI248" s="1"/>
      <c r="ABJ248" s="1"/>
      <c r="ABK248" s="1"/>
      <c r="ABL248" s="1"/>
      <c r="ABM248" s="1"/>
      <c r="ABN248" s="1"/>
      <c r="ABO248" s="1"/>
      <c r="ABP248" s="1"/>
      <c r="ABQ248" s="1"/>
      <c r="ABR248" s="1"/>
      <c r="ABS248" s="1"/>
      <c r="ABT248" s="1"/>
      <c r="ABU248" s="1"/>
      <c r="ABV248" s="1"/>
      <c r="ABW248" s="1"/>
      <c r="ABX248" s="1"/>
      <c r="ABY248" s="1"/>
      <c r="ABZ248" s="1"/>
      <c r="ACA248" s="1"/>
      <c r="ACB248" s="1"/>
      <c r="ACC248" s="1"/>
      <c r="ACD248" s="1"/>
      <c r="ACE248" s="1"/>
      <c r="ACF248" s="1"/>
      <c r="ACG248" s="1"/>
      <c r="ACH248" s="1"/>
      <c r="ACI248" s="1"/>
      <c r="ACJ248" s="1"/>
      <c r="ACK248" s="1"/>
      <c r="ACL248" s="1"/>
      <c r="ACM248" s="1"/>
      <c r="ACN248" s="1"/>
      <c r="ACO248" s="1"/>
      <c r="ACP248" s="1"/>
      <c r="ACQ248" s="1"/>
      <c r="ACR248" s="1"/>
      <c r="ACS248" s="1"/>
      <c r="ACT248" s="1"/>
      <c r="ACU248" s="1"/>
      <c r="ACV248" s="1"/>
      <c r="ACW248" s="1"/>
      <c r="ACX248" s="1"/>
      <c r="ACY248" s="1"/>
      <c r="ACZ248" s="1"/>
      <c r="ADA248" s="1"/>
      <c r="ADB248" s="1"/>
      <c r="ADC248" s="1"/>
      <c r="ADD248" s="1"/>
      <c r="ADE248" s="1"/>
      <c r="ADF248" s="1"/>
      <c r="ADG248" s="1"/>
      <c r="ADH248" s="1"/>
      <c r="ADI248" s="1"/>
      <c r="ADJ248" s="1"/>
      <c r="ADK248" s="1"/>
      <c r="ADL248" s="1"/>
      <c r="ADM248" s="1"/>
      <c r="ADN248" s="1"/>
      <c r="ADO248" s="1"/>
      <c r="ADP248" s="1"/>
      <c r="ADQ248" s="1"/>
      <c r="ADR248" s="1"/>
      <c r="ADS248" s="1"/>
      <c r="ADT248" s="1"/>
      <c r="ADU248" s="1"/>
      <c r="ADV248" s="1"/>
      <c r="ADW248" s="1"/>
      <c r="ADX248" s="1"/>
      <c r="ADY248" s="1"/>
      <c r="ADZ248" s="1"/>
      <c r="AEA248" s="1"/>
      <c r="AEB248" s="1"/>
      <c r="AEC248" s="1"/>
      <c r="AED248" s="1"/>
      <c r="AEE248" s="1"/>
      <c r="AEF248" s="1"/>
      <c r="AEG248" s="1"/>
      <c r="AEH248" s="1"/>
      <c r="AEI248" s="1"/>
      <c r="AEJ248" s="1"/>
      <c r="AEK248" s="1"/>
      <c r="AEL248" s="1"/>
      <c r="AEM248" s="1"/>
      <c r="AEN248" s="1"/>
      <c r="AEO248" s="1"/>
      <c r="AEP248" s="1"/>
      <c r="AEQ248" s="1"/>
      <c r="AER248" s="1"/>
      <c r="AES248" s="1"/>
      <c r="AET248" s="1"/>
      <c r="AEU248" s="1"/>
      <c r="AEV248" s="1"/>
      <c r="AEW248" s="1"/>
      <c r="AEX248" s="1"/>
      <c r="AEY248" s="1"/>
      <c r="AEZ248" s="1"/>
      <c r="AFA248" s="1"/>
      <c r="AFB248" s="1"/>
      <c r="AFC248" s="1"/>
      <c r="AFD248" s="1"/>
      <c r="AFE248" s="1"/>
      <c r="AFF248" s="1"/>
      <c r="AFG248" s="1"/>
      <c r="AFH248" s="1"/>
      <c r="AFI248" s="1"/>
      <c r="AFJ248" s="1"/>
      <c r="AFK248" s="1"/>
      <c r="AFL248" s="1"/>
      <c r="AFM248" s="1"/>
      <c r="AFN248" s="1"/>
      <c r="AFO248" s="1"/>
      <c r="AFP248" s="1"/>
      <c r="AFQ248" s="1"/>
      <c r="AFR248" s="1"/>
      <c r="AFS248" s="1"/>
      <c r="AFT248" s="1"/>
      <c r="AFU248" s="1"/>
      <c r="AFV248" s="1"/>
      <c r="AFW248" s="1"/>
      <c r="AFX248" s="1"/>
      <c r="AFY248" s="1"/>
      <c r="AFZ248" s="1"/>
      <c r="AGA248" s="1"/>
      <c r="AGB248" s="1"/>
      <c r="AGC248" s="1"/>
      <c r="AGD248" s="1"/>
      <c r="AGE248" s="1"/>
      <c r="AGF248" s="1"/>
      <c r="AGG248" s="1"/>
      <c r="AGH248" s="1"/>
      <c r="AGI248" s="1"/>
      <c r="AGJ248" s="1"/>
      <c r="AGK248" s="1"/>
      <c r="AGL248" s="1"/>
      <c r="AGM248" s="1"/>
      <c r="AGN248" s="1"/>
      <c r="AGO248" s="1"/>
      <c r="AGP248" s="1"/>
      <c r="AGQ248" s="1"/>
      <c r="AGR248" s="1"/>
      <c r="AGS248" s="1"/>
      <c r="AGT248" s="1"/>
      <c r="AGU248" s="1"/>
      <c r="AGV248" s="1"/>
      <c r="AGW248" s="1"/>
      <c r="AGX248" s="1"/>
      <c r="AGY248" s="1"/>
      <c r="AGZ248" s="1"/>
      <c r="AHA248" s="1"/>
      <c r="AHB248" s="1"/>
      <c r="AHC248" s="1"/>
      <c r="AHD248" s="1"/>
      <c r="AHE248" s="1"/>
      <c r="AHF248" s="1"/>
      <c r="AHG248" s="1"/>
      <c r="AHH248" s="1"/>
      <c r="AHI248" s="1"/>
      <c r="AHJ248" s="1"/>
      <c r="AHK248" s="1"/>
      <c r="AHL248" s="1"/>
      <c r="AHM248" s="1"/>
      <c r="AHN248" s="1"/>
      <c r="AHO248" s="1"/>
      <c r="AHP248" s="1"/>
      <c r="AHQ248" s="1"/>
      <c r="AHR248" s="1"/>
      <c r="AHS248" s="1"/>
      <c r="AHT248" s="1"/>
      <c r="AHU248" s="1"/>
      <c r="AHV248" s="1"/>
      <c r="AHW248" s="1"/>
      <c r="AHX248" s="1"/>
      <c r="AHY248" s="1"/>
      <c r="AHZ248" s="1"/>
      <c r="AIA248" s="1"/>
      <c r="AIB248" s="1"/>
      <c r="AIC248" s="1"/>
      <c r="AID248" s="1"/>
      <c r="AIE248" s="1"/>
      <c r="AIF248" s="1"/>
      <c r="AIG248" s="1"/>
      <c r="AIH248" s="1"/>
      <c r="AII248" s="1"/>
      <c r="AIJ248" s="1"/>
      <c r="AIK248" s="1"/>
      <c r="AIL248" s="1"/>
      <c r="AIM248" s="1"/>
      <c r="AIN248" s="1"/>
      <c r="AIO248" s="1"/>
      <c r="AIP248" s="1"/>
      <c r="AIQ248" s="1"/>
      <c r="AIR248" s="1"/>
      <c r="AIS248" s="1"/>
      <c r="AIT248" s="1"/>
      <c r="AIU248" s="1"/>
      <c r="AIV248" s="1"/>
      <c r="AIW248" s="1"/>
      <c r="AIX248" s="1"/>
      <c r="AIY248" s="1"/>
      <c r="AIZ248" s="1"/>
      <c r="AJA248" s="1"/>
      <c r="AJB248" s="1"/>
      <c r="AJC248" s="1"/>
      <c r="AJD248" s="1"/>
      <c r="AJE248" s="1"/>
      <c r="AJF248" s="1"/>
      <c r="AJG248" s="1"/>
      <c r="AJH248" s="1"/>
      <c r="AJI248" s="1"/>
      <c r="AJJ248" s="1"/>
      <c r="AJK248" s="1"/>
      <c r="AJL248" s="1"/>
      <c r="AJM248" s="1"/>
      <c r="AJN248" s="1"/>
      <c r="AJO248" s="1"/>
      <c r="AJP248" s="1"/>
      <c r="AJQ248" s="1"/>
      <c r="AJR248" s="1"/>
      <c r="AJS248" s="1"/>
      <c r="AJT248" s="1"/>
      <c r="AJU248" s="1"/>
      <c r="AJV248" s="1"/>
      <c r="AJW248" s="1"/>
      <c r="AJX248" s="1"/>
      <c r="AJY248" s="1"/>
      <c r="AJZ248" s="1"/>
      <c r="AKA248" s="1"/>
      <c r="AKB248" s="1"/>
      <c r="AKC248" s="1"/>
      <c r="AKD248" s="1"/>
      <c r="AKE248" s="1"/>
      <c r="AKF248" s="1"/>
      <c r="AKG248" s="1"/>
      <c r="AKH248" s="1"/>
      <c r="AKI248" s="1"/>
      <c r="AKJ248" s="1"/>
      <c r="AKK248" s="1"/>
      <c r="AKL248" s="1"/>
      <c r="AKM248" s="1"/>
      <c r="AKN248" s="1"/>
      <c r="AKO248" s="1"/>
      <c r="AKP248" s="1"/>
      <c r="AKQ248" s="1"/>
      <c r="AKR248" s="1"/>
      <c r="AKS248" s="1"/>
      <c r="AKT248" s="1"/>
      <c r="AKU248" s="1"/>
      <c r="AKV248" s="1"/>
      <c r="AKW248" s="1"/>
      <c r="AKX248" s="1"/>
      <c r="AKY248" s="1"/>
      <c r="AKZ248" s="1"/>
      <c r="ALA248" s="1"/>
      <c r="ALB248" s="1"/>
      <c r="ALC248" s="1"/>
      <c r="ALD248" s="1"/>
      <c r="ALE248" s="1"/>
      <c r="ALF248" s="1"/>
      <c r="ALG248" s="1"/>
      <c r="ALH248" s="1"/>
      <c r="ALI248" s="1"/>
      <c r="ALJ248" s="1"/>
      <c r="ALK248" s="1"/>
      <c r="ALL248" s="1"/>
      <c r="ALM248" s="1"/>
      <c r="ALN248" s="1"/>
      <c r="ALO248" s="1"/>
      <c r="ALP248" s="1"/>
      <c r="ALQ248" s="1"/>
      <c r="ALR248" s="1"/>
      <c r="ALS248" s="1"/>
      <c r="ALT248" s="1"/>
      <c r="ALU248" s="1"/>
      <c r="ALV248" s="1"/>
      <c r="ALW248" s="1"/>
      <c r="ALX248" s="1"/>
      <c r="ALY248" s="1"/>
      <c r="ALZ248" s="1"/>
      <c r="AMA248" s="1"/>
      <c r="AMB248" s="1"/>
      <c r="AMC248" s="1"/>
      <c r="AMD248" s="1"/>
      <c r="AME248" s="1"/>
      <c r="AMF248" s="1"/>
      <c r="AMG248" s="1"/>
      <c r="AMH248" s="1"/>
      <c r="AMI248" s="1"/>
      <c r="AMJ248" s="1"/>
      <c r="AMK248" s="1"/>
      <c r="AML248" s="1"/>
      <c r="AMM248" s="1"/>
      <c r="AMN248" s="1"/>
      <c r="AMO248" s="1"/>
    </row>
    <row r="249" spans="1:1029" x14ac:dyDescent="0.2">
      <c r="A249" s="3" t="str">
        <f t="shared" si="753"/>
        <v>p2y12_human_4PY0</v>
      </c>
      <c r="B249" s="3" t="s">
        <v>352</v>
      </c>
      <c r="C249" s="3" t="s">
        <v>1051</v>
      </c>
      <c r="D249" s="3" t="str">
        <f>IFERROR(MID(VLOOKUP($B249,Seqs!$A:$B,2,0),E249,1),"")</f>
        <v>I</v>
      </c>
      <c r="E249" s="3">
        <v>23</v>
      </c>
      <c r="F249" s="3" t="str">
        <f>IFERROR(MID(VLOOKUP($B249,Seqs!$A:$B,2,0),G249,1),"")</f>
        <v>I</v>
      </c>
      <c r="G249" s="3">
        <v>53</v>
      </c>
      <c r="H249" s="3" t="str">
        <f>IFERROR(MID(VLOOKUP($B249,Seqs!$A:$B,2,0),I249,1),"")</f>
        <v/>
      </c>
      <c r="I249" s="23" t="s">
        <v>23</v>
      </c>
      <c r="J249" s="3" t="str">
        <f>IFERROR(MID(VLOOKUP($B249,Seqs!$A:$B,2,0),K249,1),"")</f>
        <v/>
      </c>
      <c r="K249" s="23" t="s">
        <v>23</v>
      </c>
      <c r="L249" s="3" t="str">
        <f>IFERROR(MID(VLOOKUP($B249,Seqs!$A:$B,2,0),M249,1),"")</f>
        <v>S</v>
      </c>
      <c r="M249" s="3">
        <v>57</v>
      </c>
      <c r="N249" s="3" t="str">
        <f>IFERROR(MID(VLOOKUP($B249,Seqs!$A:$B,2,0),O249,1),"")</f>
        <v>K</v>
      </c>
      <c r="O249" s="3">
        <v>86</v>
      </c>
      <c r="P249" s="3" t="str">
        <f>IFERROR(MID(VLOOKUP($B249,Seqs!$A:$B,2,0),Q249,1),"")</f>
        <v/>
      </c>
      <c r="Q249" s="3" t="s">
        <v>23</v>
      </c>
      <c r="R249" s="3" t="str">
        <f>IFERROR(MID(VLOOKUP($B249,Seqs!$A:$B,2,0),S249,1),"")</f>
        <v/>
      </c>
      <c r="S249" s="3" t="s">
        <v>23</v>
      </c>
      <c r="T249" s="3" t="str">
        <f>IFERROR(MID(VLOOKUP($B249,Seqs!$A:$B,2,0),U249,1),"")</f>
        <v>G</v>
      </c>
      <c r="U249" s="3">
        <v>90</v>
      </c>
      <c r="V249" s="3" t="str">
        <f>IFERROR(MID(VLOOKUP($B249,Seqs!$A:$B,2,0),W249,1),"")</f>
        <v>R</v>
      </c>
      <c r="W249" s="3">
        <v>128</v>
      </c>
      <c r="X249" s="3" t="str">
        <f>IFERROR(MID(VLOOKUP($B249,Seqs!$A:$B,2,0),Y249,1),"")</f>
        <v/>
      </c>
      <c r="Y249" s="3" t="s">
        <v>23</v>
      </c>
      <c r="Z249" s="3" t="str">
        <f>IFERROR(MID(VLOOKUP($B249,Seqs!$A:$B,2,0),AA249,1),"")</f>
        <v/>
      </c>
      <c r="AA249" s="3" t="s">
        <v>23</v>
      </c>
      <c r="AB249" s="3" t="str">
        <f>IFERROR(MID(VLOOKUP($B249,Seqs!$A:$B,2,0),AC249,1),"")</f>
        <v>N</v>
      </c>
      <c r="AC249" s="9">
        <v>137</v>
      </c>
      <c r="AD249" s="3" t="str">
        <f>IFERROR(MID(VLOOKUP($B249,Seqs!$A:$B,2,0),AE249,1),"")</f>
        <v>T</v>
      </c>
      <c r="AE249" s="3">
        <v>163</v>
      </c>
      <c r="AF249" s="3" t="str">
        <f>IFERROR(MID(VLOOKUP($B249,Seqs!$A:$B,2,0),AG249,1),"")</f>
        <v>C</v>
      </c>
      <c r="AG249" s="3">
        <v>175</v>
      </c>
      <c r="AH249" s="3" t="str">
        <f>IFERROR(MID(VLOOKUP($B249,Seqs!$A:$B,2,0),AI249,1),"")</f>
        <v>F</v>
      </c>
      <c r="AI249" s="3">
        <v>177</v>
      </c>
      <c r="AJ249" s="3" t="str">
        <f>IFERROR(MID(VLOOKUP($B249,Seqs!$A:$B,2,0),AK249,1),"")</f>
        <v>E</v>
      </c>
      <c r="AK249" s="3">
        <v>181</v>
      </c>
      <c r="AL249" s="3" t="str">
        <f>IFERROR(MID(VLOOKUP($B249,Seqs!$A:$B,2,0),AM249,1),"")</f>
        <v>S</v>
      </c>
      <c r="AM249" s="3">
        <v>219</v>
      </c>
      <c r="AN249" s="3" t="str">
        <f>IFERROR(MID(VLOOKUP($B249,Seqs!$A:$B,2,0),AO249,1),"")</f>
        <v>V</v>
      </c>
      <c r="AO249" s="3">
        <v>236</v>
      </c>
      <c r="AP249" s="3" t="str">
        <f>IFERROR(MID(VLOOKUP($B249,Seqs!$A:$B,2,0),AQ249,1),"")</f>
        <v>R</v>
      </c>
      <c r="AQ249" s="3">
        <v>265</v>
      </c>
      <c r="AR249" s="3" t="str">
        <f>IFERROR(MID(VLOOKUP($B249,Seqs!$A:$B,2,0),AS249,1),"")</f>
        <v>D</v>
      </c>
      <c r="AS249" s="3">
        <v>269</v>
      </c>
      <c r="AT249" s="3" t="str">
        <f>IFERROR(MID(VLOOKUP($B249,Seqs!$A:$B,2,0),AU249,1),"")</f>
        <v>C</v>
      </c>
      <c r="AU249" s="3">
        <v>292</v>
      </c>
      <c r="AV249" s="3" t="str">
        <f>IFERROR(MID(VLOOKUP($B249,Seqs!$A:$B,2,0),AW249,1),"")</f>
        <v/>
      </c>
      <c r="AW249" s="3" t="s">
        <v>23</v>
      </c>
      <c r="AX249" s="3" t="str">
        <f>IFERROR(MID(VLOOKUP($B249,Seqs!$A:$B,2,0),AY249,1),"")</f>
        <v/>
      </c>
      <c r="AY249" s="3" t="s">
        <v>23</v>
      </c>
      <c r="AZ249" s="77" t="str">
        <f>VLOOKUP(B249,Classification!A:D,2,0)</f>
        <v>A</v>
      </c>
      <c r="BA249" s="94" t="str">
        <f>VLOOKUP(B249,Classification!A:D,4,0)</f>
        <v>P2Y</v>
      </c>
      <c r="BB249" s="27" t="b">
        <f t="shared" si="754"/>
        <v>1</v>
      </c>
      <c r="BC249" s="23">
        <f t="shared" si="727"/>
        <v>227</v>
      </c>
      <c r="BD249" s="4" t="s">
        <v>23</v>
      </c>
      <c r="BE249" s="3" t="s">
        <v>1439</v>
      </c>
      <c r="BF249" s="119">
        <v>3.1</v>
      </c>
      <c r="BG249" s="49" t="s">
        <v>1384</v>
      </c>
      <c r="BH249" s="49" t="s">
        <v>1384</v>
      </c>
      <c r="BI249" s="1"/>
      <c r="BJ249" s="70" t="s">
        <v>1293</v>
      </c>
      <c r="BK249" s="57" t="s">
        <v>1293</v>
      </c>
      <c r="BL249" s="57" t="s">
        <v>1293</v>
      </c>
      <c r="BM249" s="57" t="s">
        <v>1293</v>
      </c>
      <c r="BN249" s="57" t="s">
        <v>1293</v>
      </c>
      <c r="BO249" s="57" t="s">
        <v>1293</v>
      </c>
      <c r="BP249" s="57" t="s">
        <v>1293</v>
      </c>
      <c r="BQ249" s="57" t="s">
        <v>1293</v>
      </c>
      <c r="BR249" s="57" t="s">
        <v>1293</v>
      </c>
      <c r="BS249" s="57" t="s">
        <v>1293</v>
      </c>
      <c r="BT249" s="57" t="s">
        <v>1293</v>
      </c>
      <c r="BU249" s="57" t="s">
        <v>1293</v>
      </c>
      <c r="BV249" s="70">
        <f t="shared" si="728"/>
        <v>23</v>
      </c>
      <c r="BW249" s="71" t="str">
        <f t="shared" si="729"/>
        <v>-</v>
      </c>
      <c r="BX249" s="72">
        <f t="shared" si="730"/>
        <v>57</v>
      </c>
      <c r="BY249" s="71" t="str">
        <f t="shared" si="731"/>
        <v>-</v>
      </c>
      <c r="BZ249" s="72">
        <f t="shared" si="732"/>
        <v>90</v>
      </c>
      <c r="CA249" s="71" t="str">
        <f t="shared" si="733"/>
        <v>-</v>
      </c>
      <c r="CB249" s="72">
        <f t="shared" si="734"/>
        <v>137</v>
      </c>
      <c r="CC249" s="71">
        <f t="shared" si="735"/>
        <v>175</v>
      </c>
      <c r="CD249" s="72">
        <f t="shared" si="736"/>
        <v>181</v>
      </c>
      <c r="CE249" s="71">
        <f t="shared" si="737"/>
        <v>236</v>
      </c>
      <c r="CF249" s="72">
        <f t="shared" si="738"/>
        <v>269</v>
      </c>
      <c r="CG249" s="71" t="str">
        <f t="shared" si="739"/>
        <v>-</v>
      </c>
      <c r="CH249" s="70">
        <f t="shared" si="740"/>
        <v>53</v>
      </c>
      <c r="CI249" s="71" t="str">
        <f t="shared" si="741"/>
        <v>-</v>
      </c>
      <c r="CJ249" s="72">
        <f t="shared" si="742"/>
        <v>86</v>
      </c>
      <c r="CK249" s="72" t="str">
        <f t="shared" si="743"/>
        <v>-</v>
      </c>
      <c r="CL249" s="72">
        <f t="shared" si="744"/>
        <v>128</v>
      </c>
      <c r="CM249" s="72" t="str">
        <f t="shared" si="745"/>
        <v>-</v>
      </c>
      <c r="CN249" s="72">
        <f t="shared" si="746"/>
        <v>163</v>
      </c>
      <c r="CO249" s="72">
        <f t="shared" si="747"/>
        <v>177</v>
      </c>
      <c r="CP249" s="72">
        <f t="shared" si="748"/>
        <v>219</v>
      </c>
      <c r="CQ249" s="72">
        <f t="shared" si="749"/>
        <v>265</v>
      </c>
      <c r="CR249" s="72">
        <f t="shared" si="750"/>
        <v>292</v>
      </c>
      <c r="CS249" s="72" t="str">
        <f t="shared" si="751"/>
        <v>-</v>
      </c>
      <c r="CT249" s="23" t="e">
        <f t="shared" si="752"/>
        <v>#VALUE!</v>
      </c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  <c r="OK249" s="1"/>
      <c r="OL249" s="1"/>
      <c r="OM249" s="1"/>
      <c r="ON249" s="1"/>
      <c r="OO249" s="1"/>
      <c r="OP249" s="1"/>
      <c r="OQ249" s="1"/>
      <c r="OR249" s="1"/>
      <c r="OS249" s="1"/>
      <c r="OT249" s="1"/>
      <c r="OU249" s="1"/>
      <c r="OV249" s="1"/>
      <c r="OW249" s="1"/>
      <c r="OX249" s="1"/>
      <c r="OY249" s="1"/>
      <c r="OZ249" s="1"/>
      <c r="PA249" s="1"/>
      <c r="PB249" s="1"/>
      <c r="PC249" s="1"/>
      <c r="PD249" s="1"/>
      <c r="PE249" s="1"/>
      <c r="PF249" s="1"/>
      <c r="PG249" s="1"/>
      <c r="PH249" s="1"/>
      <c r="PI249" s="1"/>
      <c r="PJ249" s="1"/>
      <c r="PK249" s="1"/>
      <c r="PL249" s="1"/>
      <c r="PM249" s="1"/>
      <c r="PN249" s="1"/>
      <c r="PO249" s="1"/>
      <c r="PP249" s="1"/>
      <c r="PQ249" s="1"/>
      <c r="PR249" s="1"/>
      <c r="PS249" s="1"/>
      <c r="PT249" s="1"/>
      <c r="PU249" s="1"/>
      <c r="PV249" s="1"/>
      <c r="PW249" s="1"/>
      <c r="PX249" s="1"/>
      <c r="PY249" s="1"/>
      <c r="PZ249" s="1"/>
      <c r="QA249" s="1"/>
      <c r="QB249" s="1"/>
      <c r="QC249" s="1"/>
      <c r="QD249" s="1"/>
      <c r="QE249" s="1"/>
      <c r="QF249" s="1"/>
      <c r="QG249" s="1"/>
      <c r="QH249" s="1"/>
      <c r="QI249" s="1"/>
      <c r="QJ249" s="1"/>
      <c r="QK249" s="1"/>
      <c r="QL249" s="1"/>
      <c r="QM249" s="1"/>
      <c r="QN249" s="1"/>
      <c r="QO249" s="1"/>
      <c r="QP249" s="1"/>
      <c r="QQ249" s="1"/>
      <c r="QR249" s="1"/>
      <c r="QS249" s="1"/>
      <c r="QT249" s="1"/>
      <c r="QU249" s="1"/>
      <c r="QV249" s="1"/>
      <c r="QW249" s="1"/>
      <c r="QX249" s="1"/>
      <c r="QY249" s="1"/>
      <c r="QZ249" s="1"/>
      <c r="RA249" s="1"/>
      <c r="RB249" s="1"/>
      <c r="RC249" s="1"/>
      <c r="RD249" s="1"/>
      <c r="RE249" s="1"/>
      <c r="RF249" s="1"/>
      <c r="RG249" s="1"/>
      <c r="RH249" s="1"/>
      <c r="RI249" s="1"/>
      <c r="RJ249" s="1"/>
      <c r="RK249" s="1"/>
      <c r="RL249" s="1"/>
      <c r="RM249" s="1"/>
      <c r="RN249" s="1"/>
      <c r="RO249" s="1"/>
      <c r="RP249" s="1"/>
      <c r="RQ249" s="1"/>
      <c r="RR249" s="1"/>
      <c r="RS249" s="1"/>
      <c r="RT249" s="1"/>
      <c r="RU249" s="1"/>
      <c r="RV249" s="1"/>
      <c r="RW249" s="1"/>
      <c r="RX249" s="1"/>
      <c r="RY249" s="1"/>
      <c r="RZ249" s="1"/>
      <c r="SA249" s="1"/>
      <c r="SB249" s="1"/>
      <c r="SC249" s="1"/>
      <c r="SD249" s="1"/>
      <c r="SE249" s="1"/>
      <c r="SF249" s="1"/>
      <c r="SG249" s="1"/>
      <c r="SH249" s="1"/>
      <c r="SI249" s="1"/>
      <c r="SJ249" s="1"/>
      <c r="SK249" s="1"/>
      <c r="SL249" s="1"/>
      <c r="SM249" s="1"/>
      <c r="SN249" s="1"/>
      <c r="SO249" s="1"/>
      <c r="SP249" s="1"/>
      <c r="SQ249" s="1"/>
      <c r="SR249" s="1"/>
      <c r="SS249" s="1"/>
      <c r="ST249" s="1"/>
      <c r="SU249" s="1"/>
      <c r="SV249" s="1"/>
      <c r="SW249" s="1"/>
      <c r="SX249" s="1"/>
      <c r="SY249" s="1"/>
      <c r="SZ249" s="1"/>
      <c r="TA249" s="1"/>
      <c r="TB249" s="1"/>
      <c r="TC249" s="1"/>
      <c r="TD249" s="1"/>
      <c r="TE249" s="1"/>
      <c r="TF249" s="1"/>
      <c r="TG249" s="1"/>
      <c r="TH249" s="1"/>
      <c r="TI249" s="1"/>
      <c r="TJ249" s="1"/>
      <c r="TK249" s="1"/>
      <c r="TL249" s="1"/>
      <c r="TM249" s="1"/>
      <c r="TN249" s="1"/>
      <c r="TO249" s="1"/>
      <c r="TP249" s="1"/>
      <c r="TQ249" s="1"/>
      <c r="TR249" s="1"/>
      <c r="TS249" s="1"/>
      <c r="TT249" s="1"/>
      <c r="TU249" s="1"/>
      <c r="TV249" s="1"/>
      <c r="TW249" s="1"/>
      <c r="TX249" s="1"/>
      <c r="TY249" s="1"/>
      <c r="TZ249" s="1"/>
      <c r="UA249" s="1"/>
      <c r="UB249" s="1"/>
      <c r="UC249" s="1"/>
      <c r="UD249" s="1"/>
      <c r="UE249" s="1"/>
      <c r="UF249" s="1"/>
      <c r="UG249" s="1"/>
      <c r="UH249" s="1"/>
      <c r="UI249" s="1"/>
      <c r="UJ249" s="1"/>
      <c r="UK249" s="1"/>
      <c r="UL249" s="1"/>
      <c r="UM249" s="1"/>
      <c r="UN249" s="1"/>
      <c r="UO249" s="1"/>
      <c r="UP249" s="1"/>
      <c r="UQ249" s="1"/>
      <c r="UR249" s="1"/>
      <c r="US249" s="1"/>
      <c r="UT249" s="1"/>
      <c r="UU249" s="1"/>
      <c r="UV249" s="1"/>
      <c r="UW249" s="1"/>
      <c r="UX249" s="1"/>
      <c r="UY249" s="1"/>
      <c r="UZ249" s="1"/>
      <c r="VA249" s="1"/>
      <c r="VB249" s="1"/>
      <c r="VC249" s="1"/>
      <c r="VD249" s="1"/>
      <c r="VE249" s="1"/>
      <c r="VF249" s="1"/>
      <c r="VG249" s="1"/>
      <c r="VH249" s="1"/>
      <c r="VI249" s="1"/>
      <c r="VJ249" s="1"/>
      <c r="VK249" s="1"/>
      <c r="VL249" s="1"/>
      <c r="VM249" s="1"/>
      <c r="VN249" s="1"/>
      <c r="VO249" s="1"/>
      <c r="VP249" s="1"/>
      <c r="VQ249" s="1"/>
      <c r="VR249" s="1"/>
      <c r="VS249" s="1"/>
      <c r="VT249" s="1"/>
      <c r="VU249" s="1"/>
      <c r="VV249" s="1"/>
      <c r="VW249" s="1"/>
      <c r="VX249" s="1"/>
      <c r="VY249" s="1"/>
      <c r="VZ249" s="1"/>
      <c r="WA249" s="1"/>
      <c r="WB249" s="1"/>
      <c r="WC249" s="1"/>
      <c r="WD249" s="1"/>
      <c r="WE249" s="1"/>
      <c r="WF249" s="1"/>
      <c r="WG249" s="1"/>
      <c r="WH249" s="1"/>
      <c r="WI249" s="1"/>
      <c r="WJ249" s="1"/>
      <c r="WK249" s="1"/>
      <c r="WL249" s="1"/>
      <c r="WM249" s="1"/>
      <c r="WN249" s="1"/>
      <c r="WO249" s="1"/>
      <c r="WP249" s="1"/>
      <c r="WQ249" s="1"/>
      <c r="WR249" s="1"/>
      <c r="WS249" s="1"/>
      <c r="WT249" s="1"/>
      <c r="WU249" s="1"/>
      <c r="WV249" s="1"/>
      <c r="WW249" s="1"/>
      <c r="WX249" s="1"/>
      <c r="WY249" s="1"/>
      <c r="WZ249" s="1"/>
      <c r="XA249" s="1"/>
      <c r="XB249" s="1"/>
      <c r="XC249" s="1"/>
      <c r="XD249" s="1"/>
      <c r="XE249" s="1"/>
      <c r="XF249" s="1"/>
      <c r="XG249" s="1"/>
      <c r="XH249" s="1"/>
      <c r="XI249" s="1"/>
      <c r="XJ249" s="1"/>
      <c r="XK249" s="1"/>
      <c r="XL249" s="1"/>
      <c r="XM249" s="1"/>
      <c r="XN249" s="1"/>
      <c r="XO249" s="1"/>
      <c r="XP249" s="1"/>
      <c r="XQ249" s="1"/>
      <c r="XR249" s="1"/>
      <c r="XS249" s="1"/>
      <c r="XT249" s="1"/>
      <c r="XU249" s="1"/>
      <c r="XV249" s="1"/>
      <c r="XW249" s="1"/>
      <c r="XX249" s="1"/>
      <c r="XY249" s="1"/>
      <c r="XZ249" s="1"/>
      <c r="YA249" s="1"/>
      <c r="YB249" s="1"/>
      <c r="YC249" s="1"/>
      <c r="YD249" s="1"/>
      <c r="YE249" s="1"/>
      <c r="YF249" s="1"/>
      <c r="YG249" s="1"/>
      <c r="YH249" s="1"/>
      <c r="YI249" s="1"/>
      <c r="YJ249" s="1"/>
      <c r="YK249" s="1"/>
      <c r="YL249" s="1"/>
      <c r="YM249" s="1"/>
      <c r="YN249" s="1"/>
      <c r="YO249" s="1"/>
      <c r="YP249" s="1"/>
      <c r="YQ249" s="1"/>
      <c r="YR249" s="1"/>
      <c r="YS249" s="1"/>
      <c r="YT249" s="1"/>
      <c r="YU249" s="1"/>
      <c r="YV249" s="1"/>
      <c r="YW249" s="1"/>
      <c r="YX249" s="1"/>
      <c r="YY249" s="1"/>
      <c r="YZ249" s="1"/>
      <c r="ZA249" s="1"/>
      <c r="ZB249" s="1"/>
      <c r="ZC249" s="1"/>
      <c r="ZD249" s="1"/>
      <c r="ZE249" s="1"/>
      <c r="ZF249" s="1"/>
      <c r="ZG249" s="1"/>
      <c r="ZH249" s="1"/>
      <c r="ZI249" s="1"/>
      <c r="ZJ249" s="1"/>
      <c r="ZK249" s="1"/>
      <c r="ZL249" s="1"/>
      <c r="ZM249" s="1"/>
      <c r="ZN249" s="1"/>
      <c r="ZO249" s="1"/>
      <c r="ZP249" s="1"/>
      <c r="ZQ249" s="1"/>
      <c r="ZR249" s="1"/>
      <c r="ZS249" s="1"/>
      <c r="ZT249" s="1"/>
      <c r="ZU249" s="1"/>
      <c r="ZV249" s="1"/>
      <c r="ZW249" s="1"/>
      <c r="ZX249" s="1"/>
      <c r="ZY249" s="1"/>
      <c r="ZZ249" s="1"/>
      <c r="AAA249" s="1"/>
      <c r="AAB249" s="1"/>
      <c r="AAC249" s="1"/>
      <c r="AAD249" s="1"/>
      <c r="AAE249" s="1"/>
      <c r="AAF249" s="1"/>
      <c r="AAG249" s="1"/>
      <c r="AAH249" s="1"/>
      <c r="AAI249" s="1"/>
      <c r="AAJ249" s="1"/>
      <c r="AAK249" s="1"/>
      <c r="AAL249" s="1"/>
      <c r="AAM249" s="1"/>
      <c r="AAN249" s="1"/>
      <c r="AAO249" s="1"/>
      <c r="AAP249" s="1"/>
      <c r="AAQ249" s="1"/>
      <c r="AAR249" s="1"/>
      <c r="AAS249" s="1"/>
      <c r="AAT249" s="1"/>
      <c r="AAU249" s="1"/>
      <c r="AAV249" s="1"/>
      <c r="AAW249" s="1"/>
      <c r="AAX249" s="1"/>
      <c r="AAY249" s="1"/>
      <c r="AAZ249" s="1"/>
      <c r="ABA249" s="1"/>
      <c r="ABB249" s="1"/>
      <c r="ABC249" s="1"/>
      <c r="ABD249" s="1"/>
      <c r="ABE249" s="1"/>
      <c r="ABF249" s="1"/>
      <c r="ABG249" s="1"/>
      <c r="ABH249" s="1"/>
      <c r="ABI249" s="1"/>
      <c r="ABJ249" s="1"/>
      <c r="ABK249" s="1"/>
      <c r="ABL249" s="1"/>
      <c r="ABM249" s="1"/>
      <c r="ABN249" s="1"/>
      <c r="ABO249" s="1"/>
      <c r="ABP249" s="1"/>
      <c r="ABQ249" s="1"/>
      <c r="ABR249" s="1"/>
      <c r="ABS249" s="1"/>
      <c r="ABT249" s="1"/>
      <c r="ABU249" s="1"/>
      <c r="ABV249" s="1"/>
      <c r="ABW249" s="1"/>
      <c r="ABX249" s="1"/>
      <c r="ABY249" s="1"/>
      <c r="ABZ249" s="1"/>
      <c r="ACA249" s="1"/>
      <c r="ACB249" s="1"/>
      <c r="ACC249" s="1"/>
      <c r="ACD249" s="1"/>
      <c r="ACE249" s="1"/>
      <c r="ACF249" s="1"/>
      <c r="ACG249" s="1"/>
      <c r="ACH249" s="1"/>
      <c r="ACI249" s="1"/>
      <c r="ACJ249" s="1"/>
      <c r="ACK249" s="1"/>
      <c r="ACL249" s="1"/>
      <c r="ACM249" s="1"/>
      <c r="ACN249" s="1"/>
      <c r="ACO249" s="1"/>
      <c r="ACP249" s="1"/>
      <c r="ACQ249" s="1"/>
      <c r="ACR249" s="1"/>
      <c r="ACS249" s="1"/>
      <c r="ACT249" s="1"/>
      <c r="ACU249" s="1"/>
      <c r="ACV249" s="1"/>
      <c r="ACW249" s="1"/>
      <c r="ACX249" s="1"/>
      <c r="ACY249" s="1"/>
      <c r="ACZ249" s="1"/>
      <c r="ADA249" s="1"/>
      <c r="ADB249" s="1"/>
      <c r="ADC249" s="1"/>
      <c r="ADD249" s="1"/>
      <c r="ADE249" s="1"/>
      <c r="ADF249" s="1"/>
      <c r="ADG249" s="1"/>
      <c r="ADH249" s="1"/>
      <c r="ADI249" s="1"/>
      <c r="ADJ249" s="1"/>
      <c r="ADK249" s="1"/>
      <c r="ADL249" s="1"/>
      <c r="ADM249" s="1"/>
      <c r="ADN249" s="1"/>
      <c r="ADO249" s="1"/>
      <c r="ADP249" s="1"/>
      <c r="ADQ249" s="1"/>
      <c r="ADR249" s="1"/>
      <c r="ADS249" s="1"/>
      <c r="ADT249" s="1"/>
      <c r="ADU249" s="1"/>
      <c r="ADV249" s="1"/>
      <c r="ADW249" s="1"/>
      <c r="ADX249" s="1"/>
      <c r="ADY249" s="1"/>
      <c r="ADZ249" s="1"/>
      <c r="AEA249" s="1"/>
      <c r="AEB249" s="1"/>
      <c r="AEC249" s="1"/>
      <c r="AED249" s="1"/>
      <c r="AEE249" s="1"/>
      <c r="AEF249" s="1"/>
      <c r="AEG249" s="1"/>
      <c r="AEH249" s="1"/>
      <c r="AEI249" s="1"/>
      <c r="AEJ249" s="1"/>
      <c r="AEK249" s="1"/>
      <c r="AEL249" s="1"/>
      <c r="AEM249" s="1"/>
      <c r="AEN249" s="1"/>
      <c r="AEO249" s="1"/>
      <c r="AEP249" s="1"/>
      <c r="AEQ249" s="1"/>
      <c r="AER249" s="1"/>
      <c r="AES249" s="1"/>
      <c r="AET249" s="1"/>
      <c r="AEU249" s="1"/>
      <c r="AEV249" s="1"/>
      <c r="AEW249" s="1"/>
      <c r="AEX249" s="1"/>
      <c r="AEY249" s="1"/>
      <c r="AEZ249" s="1"/>
      <c r="AFA249" s="1"/>
      <c r="AFB249" s="1"/>
      <c r="AFC249" s="1"/>
      <c r="AFD249" s="1"/>
      <c r="AFE249" s="1"/>
      <c r="AFF249" s="1"/>
      <c r="AFG249" s="1"/>
      <c r="AFH249" s="1"/>
      <c r="AFI249" s="1"/>
      <c r="AFJ249" s="1"/>
      <c r="AFK249" s="1"/>
      <c r="AFL249" s="1"/>
      <c r="AFM249" s="1"/>
      <c r="AFN249" s="1"/>
      <c r="AFO249" s="1"/>
      <c r="AFP249" s="1"/>
      <c r="AFQ249" s="1"/>
      <c r="AFR249" s="1"/>
      <c r="AFS249" s="1"/>
      <c r="AFT249" s="1"/>
      <c r="AFU249" s="1"/>
      <c r="AFV249" s="1"/>
      <c r="AFW249" s="1"/>
      <c r="AFX249" s="1"/>
      <c r="AFY249" s="1"/>
      <c r="AFZ249" s="1"/>
      <c r="AGA249" s="1"/>
      <c r="AGB249" s="1"/>
      <c r="AGC249" s="1"/>
      <c r="AGD249" s="1"/>
      <c r="AGE249" s="1"/>
      <c r="AGF249" s="1"/>
      <c r="AGG249" s="1"/>
      <c r="AGH249" s="1"/>
      <c r="AGI249" s="1"/>
      <c r="AGJ249" s="1"/>
      <c r="AGK249" s="1"/>
      <c r="AGL249" s="1"/>
      <c r="AGM249" s="1"/>
      <c r="AGN249" s="1"/>
      <c r="AGO249" s="1"/>
      <c r="AGP249" s="1"/>
      <c r="AGQ249" s="1"/>
      <c r="AGR249" s="1"/>
      <c r="AGS249" s="1"/>
      <c r="AGT249" s="1"/>
      <c r="AGU249" s="1"/>
      <c r="AGV249" s="1"/>
      <c r="AGW249" s="1"/>
      <c r="AGX249" s="1"/>
      <c r="AGY249" s="1"/>
      <c r="AGZ249" s="1"/>
      <c r="AHA249" s="1"/>
      <c r="AHB249" s="1"/>
      <c r="AHC249" s="1"/>
      <c r="AHD249" s="1"/>
      <c r="AHE249" s="1"/>
      <c r="AHF249" s="1"/>
      <c r="AHG249" s="1"/>
      <c r="AHH249" s="1"/>
      <c r="AHI249" s="1"/>
      <c r="AHJ249" s="1"/>
      <c r="AHK249" s="1"/>
      <c r="AHL249" s="1"/>
      <c r="AHM249" s="1"/>
      <c r="AHN249" s="1"/>
      <c r="AHO249" s="1"/>
      <c r="AHP249" s="1"/>
      <c r="AHQ249" s="1"/>
      <c r="AHR249" s="1"/>
      <c r="AHS249" s="1"/>
      <c r="AHT249" s="1"/>
      <c r="AHU249" s="1"/>
      <c r="AHV249" s="1"/>
      <c r="AHW249" s="1"/>
      <c r="AHX249" s="1"/>
      <c r="AHY249" s="1"/>
      <c r="AHZ249" s="1"/>
      <c r="AIA249" s="1"/>
      <c r="AIB249" s="1"/>
      <c r="AIC249" s="1"/>
      <c r="AID249" s="1"/>
      <c r="AIE249" s="1"/>
      <c r="AIF249" s="1"/>
      <c r="AIG249" s="1"/>
      <c r="AIH249" s="1"/>
      <c r="AII249" s="1"/>
      <c r="AIJ249" s="1"/>
      <c r="AIK249" s="1"/>
      <c r="AIL249" s="1"/>
      <c r="AIM249" s="1"/>
      <c r="AIN249" s="1"/>
      <c r="AIO249" s="1"/>
      <c r="AIP249" s="1"/>
      <c r="AIQ249" s="1"/>
      <c r="AIR249" s="1"/>
      <c r="AIS249" s="1"/>
      <c r="AIT249" s="1"/>
      <c r="AIU249" s="1"/>
      <c r="AIV249" s="1"/>
      <c r="AIW249" s="1"/>
      <c r="AIX249" s="1"/>
      <c r="AIY249" s="1"/>
      <c r="AIZ249" s="1"/>
      <c r="AJA249" s="1"/>
      <c r="AJB249" s="1"/>
      <c r="AJC249" s="1"/>
      <c r="AJD249" s="1"/>
      <c r="AJE249" s="1"/>
      <c r="AJF249" s="1"/>
      <c r="AJG249" s="1"/>
      <c r="AJH249" s="1"/>
      <c r="AJI249" s="1"/>
      <c r="AJJ249" s="1"/>
      <c r="AJK249" s="1"/>
      <c r="AJL249" s="1"/>
      <c r="AJM249" s="1"/>
      <c r="AJN249" s="1"/>
      <c r="AJO249" s="1"/>
      <c r="AJP249" s="1"/>
      <c r="AJQ249" s="1"/>
      <c r="AJR249" s="1"/>
      <c r="AJS249" s="1"/>
      <c r="AJT249" s="1"/>
      <c r="AJU249" s="1"/>
      <c r="AJV249" s="1"/>
      <c r="AJW249" s="1"/>
      <c r="AJX249" s="1"/>
      <c r="AJY249" s="1"/>
      <c r="AJZ249" s="1"/>
      <c r="AKA249" s="1"/>
      <c r="AKB249" s="1"/>
      <c r="AKC249" s="1"/>
      <c r="AKD249" s="1"/>
      <c r="AKE249" s="1"/>
      <c r="AKF249" s="1"/>
      <c r="AKG249" s="1"/>
      <c r="AKH249" s="1"/>
      <c r="AKI249" s="1"/>
      <c r="AKJ249" s="1"/>
      <c r="AKK249" s="1"/>
      <c r="AKL249" s="1"/>
      <c r="AKM249" s="1"/>
      <c r="AKN249" s="1"/>
      <c r="AKO249" s="1"/>
      <c r="AKP249" s="1"/>
      <c r="AKQ249" s="1"/>
      <c r="AKR249" s="1"/>
      <c r="AKS249" s="1"/>
      <c r="AKT249" s="1"/>
      <c r="AKU249" s="1"/>
      <c r="AKV249" s="1"/>
      <c r="AKW249" s="1"/>
      <c r="AKX249" s="1"/>
      <c r="AKY249" s="1"/>
      <c r="AKZ249" s="1"/>
      <c r="ALA249" s="1"/>
      <c r="ALB249" s="1"/>
      <c r="ALC249" s="1"/>
      <c r="ALD249" s="1"/>
      <c r="ALE249" s="1"/>
      <c r="ALF249" s="1"/>
      <c r="ALG249" s="1"/>
      <c r="ALH249" s="1"/>
      <c r="ALI249" s="1"/>
      <c r="ALJ249" s="1"/>
      <c r="ALK249" s="1"/>
      <c r="ALL249" s="1"/>
      <c r="ALM249" s="1"/>
      <c r="ALN249" s="1"/>
      <c r="ALO249" s="1"/>
      <c r="ALP249" s="1"/>
      <c r="ALQ249" s="1"/>
      <c r="ALR249" s="1"/>
      <c r="ALS249" s="1"/>
      <c r="ALT249" s="1"/>
      <c r="ALU249" s="1"/>
      <c r="ALV249" s="1"/>
      <c r="ALW249" s="1"/>
      <c r="ALX249" s="1"/>
      <c r="ALY249" s="1"/>
      <c r="ALZ249" s="1"/>
      <c r="AMA249" s="1"/>
      <c r="AMB249" s="1"/>
      <c r="AMC249" s="1"/>
      <c r="AMD249" s="1"/>
      <c r="AME249" s="1"/>
      <c r="AMF249" s="1"/>
      <c r="AMG249" s="1"/>
      <c r="AMH249" s="1"/>
      <c r="AMI249" s="1"/>
      <c r="AMJ249" s="1"/>
      <c r="AMK249" s="1"/>
      <c r="AML249" s="1"/>
      <c r="AMM249" s="1"/>
      <c r="AMN249" s="1"/>
      <c r="AMO249" s="1"/>
    </row>
    <row r="250" spans="1:1029" x14ac:dyDescent="0.2">
      <c r="A250" s="3" t="str">
        <f t="shared" si="753"/>
        <v>par1_human__wt</v>
      </c>
      <c r="B250" s="3" t="s">
        <v>355</v>
      </c>
      <c r="C250" s="3" t="s">
        <v>100</v>
      </c>
      <c r="D250" s="3" t="str">
        <f>IFERROR(MID(VLOOKUP($B250,Seqs!$A:$B,2,0),E250,1),"")</f>
        <v>S</v>
      </c>
      <c r="E250" s="3">
        <v>99</v>
      </c>
      <c r="F250" s="3" t="str">
        <f>IFERROR(MID(VLOOKUP($B250,Seqs!$A:$B,2,0),G250,1),"")</f>
        <v>K</v>
      </c>
      <c r="G250" s="3">
        <v>130</v>
      </c>
      <c r="H250" s="3" t="str">
        <f>IFERROR(MID(VLOOKUP($B250,Seqs!$A:$B,2,0),I250,1),"")</f>
        <v>M</v>
      </c>
      <c r="I250" s="23">
        <v>131</v>
      </c>
      <c r="J250" s="3" t="str">
        <f>IFERROR(MID(VLOOKUP($B250,Seqs!$A:$B,2,0),K250,1),"")</f>
        <v>K</v>
      </c>
      <c r="K250" s="23">
        <v>134</v>
      </c>
      <c r="L250" s="3" t="str">
        <f>IFERROR(MID(VLOOKUP($B250,Seqs!$A:$B,2,0),M250,1),"")</f>
        <v>K</v>
      </c>
      <c r="M250" s="3">
        <v>135</v>
      </c>
      <c r="N250" s="3" t="str">
        <f>IFERROR(MID(VLOOKUP($B250,Seqs!$A:$B,2,0),O250,1),"")</f>
        <v>S</v>
      </c>
      <c r="O250" s="3">
        <v>164</v>
      </c>
      <c r="P250" s="3" t="str">
        <f>IFERROR(MID(VLOOKUP($B250,Seqs!$A:$B,2,0),Q250,1),"")</f>
        <v>D</v>
      </c>
      <c r="Q250" s="3">
        <v>167</v>
      </c>
      <c r="R250" s="3" t="str">
        <f>IFERROR(MID(VLOOKUP($B250,Seqs!$A:$B,2,0),S250,1),"")</f>
        <v>F</v>
      </c>
      <c r="S250" s="3">
        <v>170</v>
      </c>
      <c r="T250" s="3" t="str">
        <f>IFERROR(MID(VLOOKUP($B250,Seqs!$A:$B,2,0),U250,1),"")</f>
        <v>G</v>
      </c>
      <c r="U250" s="3">
        <v>171</v>
      </c>
      <c r="V250" s="3" t="str">
        <f>IFERROR(MID(VLOOKUP($B250,Seqs!$A:$B,2,0),W250,1),"")</f>
        <v>Y</v>
      </c>
      <c r="W250" s="3">
        <v>206</v>
      </c>
      <c r="X250" s="3" t="str">
        <f>IFERROR(MID(VLOOKUP($B250,Seqs!$A:$B,2,0),Y250,1),"")</f>
        <v>P</v>
      </c>
      <c r="Y250" s="3">
        <v>207</v>
      </c>
      <c r="Z250" s="3" t="str">
        <f>IFERROR(MID(VLOOKUP($B250,Seqs!$A:$B,2,0),AA250,1),"")</f>
        <v>R</v>
      </c>
      <c r="AA250" s="3">
        <v>214</v>
      </c>
      <c r="AB250" s="3" t="str">
        <f>IFERROR(MID(VLOOKUP($B250,Seqs!$A:$B,2,0),AC250,1),"")</f>
        <v>T</v>
      </c>
      <c r="AC250" s="9">
        <v>215</v>
      </c>
      <c r="AD250" s="3" t="str">
        <f>IFERROR(MID(VLOOKUP($B250,Seqs!$A:$B,2,0),AE250,1),"")</f>
        <v>K</v>
      </c>
      <c r="AE250" s="3">
        <v>240</v>
      </c>
      <c r="AF250" s="3" t="str">
        <f>IFERROR(MID(VLOOKUP($B250,Seqs!$A:$B,2,0),AG250,1),"")</f>
        <v>C</v>
      </c>
      <c r="AG250" s="3">
        <v>254</v>
      </c>
      <c r="AH250" s="3" t="str">
        <f>IFERROR(MID(VLOOKUP($B250,Seqs!$A:$B,2,0),AI250,1),"")</f>
        <v>D</v>
      </c>
      <c r="AI250" s="3">
        <v>256</v>
      </c>
      <c r="AJ250" s="3" t="str">
        <f>IFERROR(MID(VLOOKUP($B250,Seqs!$A:$B,2,0),AK250,1),"")</f>
        <v>E</v>
      </c>
      <c r="AK250" s="3">
        <v>264</v>
      </c>
      <c r="AL250" s="3" t="str">
        <f>IFERROR(MID(VLOOKUP($B250,Seqs!$A:$B,2,0),AM250,1),"")</f>
        <v>S</v>
      </c>
      <c r="AM250" s="3">
        <v>299</v>
      </c>
      <c r="AN250" s="3" t="str">
        <f>IFERROR(MID(VLOOKUP($B250,Seqs!$A:$B,2,0),AO250,1),"")</f>
        <v>N</v>
      </c>
      <c r="AO250" s="3">
        <v>304</v>
      </c>
      <c r="AP250" s="3" t="str">
        <f>IFERROR(MID(VLOOKUP($B250,Seqs!$A:$B,2,0),AQ250,1),"")</f>
        <v>L</v>
      </c>
      <c r="AQ250" s="3">
        <v>340</v>
      </c>
      <c r="AR250" s="3" t="str">
        <f>IFERROR(MID(VLOOKUP($B250,Seqs!$A:$B,2,0),AS250,1),"")</f>
        <v>T</v>
      </c>
      <c r="AS250" s="3">
        <v>346</v>
      </c>
      <c r="AT250" s="3" t="str">
        <f>IFERROR(MID(VLOOKUP($B250,Seqs!$A:$B,2,0),AU250,1),"")</f>
        <v>A</v>
      </c>
      <c r="AU250" s="3">
        <v>374</v>
      </c>
      <c r="AV250" s="3" t="str">
        <f>IFERROR(MID(VLOOKUP($B250,Seqs!$A:$B,2,0),AW250,1),"")</f>
        <v>S</v>
      </c>
      <c r="AW250" s="3">
        <v>375</v>
      </c>
      <c r="AX250" s="3" t="str">
        <f>IFERROR(MID(VLOOKUP($B250,Seqs!$A:$B,2,0),AY250,1),"")</f>
        <v>K</v>
      </c>
      <c r="AY250" s="3">
        <v>389</v>
      </c>
      <c r="AZ250" s="77" t="str">
        <f>VLOOKUP(B250,Classification!A:D,2,0)</f>
        <v>A</v>
      </c>
      <c r="BA250" s="94" t="str">
        <f>VLOOKUP(B250,Classification!A:D,4,0)</f>
        <v>Proteinase-activated</v>
      </c>
      <c r="BB250" s="27" t="b">
        <f t="shared" si="754"/>
        <v>1</v>
      </c>
      <c r="BC250" s="23">
        <f t="shared" si="727"/>
        <v>260</v>
      </c>
      <c r="BD250" s="56" t="s">
        <v>1379</v>
      </c>
      <c r="BE250" s="3" t="s">
        <v>23</v>
      </c>
      <c r="BF250" s="119" t="s">
        <v>23</v>
      </c>
      <c r="BG250" s="49" t="s">
        <v>1379</v>
      </c>
      <c r="BH250" s="49" t="s">
        <v>1384</v>
      </c>
      <c r="BI250" s="1"/>
      <c r="BJ250" s="70" t="s">
        <v>1293</v>
      </c>
      <c r="BK250" s="57" t="s">
        <v>1293</v>
      </c>
      <c r="BL250" s="57" t="s">
        <v>1293</v>
      </c>
      <c r="BM250" s="57" t="s">
        <v>1293</v>
      </c>
      <c r="BN250" s="57" t="s">
        <v>1293</v>
      </c>
      <c r="BO250" s="57" t="s">
        <v>1293</v>
      </c>
      <c r="BP250" s="57" t="s">
        <v>1293</v>
      </c>
      <c r="BQ250" s="57" t="s">
        <v>1293</v>
      </c>
      <c r="BR250" s="57" t="s">
        <v>1293</v>
      </c>
      <c r="BS250" s="57" t="s">
        <v>1293</v>
      </c>
      <c r="BT250" s="57" t="s">
        <v>1293</v>
      </c>
      <c r="BU250" s="57" t="s">
        <v>1293</v>
      </c>
      <c r="BV250" s="70">
        <f t="shared" si="728"/>
        <v>99</v>
      </c>
      <c r="BW250" s="71">
        <f t="shared" si="729"/>
        <v>131</v>
      </c>
      <c r="BX250" s="72">
        <f t="shared" si="730"/>
        <v>135</v>
      </c>
      <c r="BY250" s="71">
        <f t="shared" si="731"/>
        <v>167</v>
      </c>
      <c r="BZ250" s="72">
        <f t="shared" si="732"/>
        <v>171</v>
      </c>
      <c r="CA250" s="71">
        <f t="shared" si="733"/>
        <v>207</v>
      </c>
      <c r="CB250" s="72">
        <f t="shared" si="734"/>
        <v>215</v>
      </c>
      <c r="CC250" s="71">
        <f t="shared" si="735"/>
        <v>254</v>
      </c>
      <c r="CD250" s="72">
        <f t="shared" si="736"/>
        <v>264</v>
      </c>
      <c r="CE250" s="71">
        <f t="shared" si="737"/>
        <v>304</v>
      </c>
      <c r="CF250" s="72">
        <f t="shared" si="738"/>
        <v>346</v>
      </c>
      <c r="CG250" s="71">
        <f t="shared" si="739"/>
        <v>375</v>
      </c>
      <c r="CH250" s="70">
        <f t="shared" si="740"/>
        <v>130</v>
      </c>
      <c r="CI250" s="71">
        <f t="shared" si="741"/>
        <v>134</v>
      </c>
      <c r="CJ250" s="72">
        <f t="shared" si="742"/>
        <v>164</v>
      </c>
      <c r="CK250" s="72">
        <f t="shared" si="743"/>
        <v>170</v>
      </c>
      <c r="CL250" s="72">
        <f t="shared" si="744"/>
        <v>206</v>
      </c>
      <c r="CM250" s="72">
        <f t="shared" si="745"/>
        <v>214</v>
      </c>
      <c r="CN250" s="72">
        <f t="shared" si="746"/>
        <v>240</v>
      </c>
      <c r="CO250" s="72">
        <f t="shared" si="747"/>
        <v>256</v>
      </c>
      <c r="CP250" s="72">
        <f t="shared" si="748"/>
        <v>299</v>
      </c>
      <c r="CQ250" s="72">
        <f t="shared" si="749"/>
        <v>340</v>
      </c>
      <c r="CR250" s="72">
        <f t="shared" si="750"/>
        <v>374</v>
      </c>
      <c r="CS250" s="72">
        <f t="shared" si="751"/>
        <v>389</v>
      </c>
      <c r="CT250" s="23">
        <f t="shared" si="752"/>
        <v>1</v>
      </c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  <c r="OK250" s="1"/>
      <c r="OL250" s="1"/>
      <c r="OM250" s="1"/>
      <c r="ON250" s="1"/>
      <c r="OO250" s="1"/>
      <c r="OP250" s="1"/>
      <c r="OQ250" s="1"/>
      <c r="OR250" s="1"/>
      <c r="OS250" s="1"/>
      <c r="OT250" s="1"/>
      <c r="OU250" s="1"/>
      <c r="OV250" s="1"/>
      <c r="OW250" s="1"/>
      <c r="OX250" s="1"/>
      <c r="OY250" s="1"/>
      <c r="OZ250" s="1"/>
      <c r="PA250" s="1"/>
      <c r="PB250" s="1"/>
      <c r="PC250" s="1"/>
      <c r="PD250" s="1"/>
      <c r="PE250" s="1"/>
      <c r="PF250" s="1"/>
      <c r="PG250" s="1"/>
      <c r="PH250" s="1"/>
      <c r="PI250" s="1"/>
      <c r="PJ250" s="1"/>
      <c r="PK250" s="1"/>
      <c r="PL250" s="1"/>
      <c r="PM250" s="1"/>
      <c r="PN250" s="1"/>
      <c r="PO250" s="1"/>
      <c r="PP250" s="1"/>
      <c r="PQ250" s="1"/>
      <c r="PR250" s="1"/>
      <c r="PS250" s="1"/>
      <c r="PT250" s="1"/>
      <c r="PU250" s="1"/>
      <c r="PV250" s="1"/>
      <c r="PW250" s="1"/>
      <c r="PX250" s="1"/>
      <c r="PY250" s="1"/>
      <c r="PZ250" s="1"/>
      <c r="QA250" s="1"/>
      <c r="QB250" s="1"/>
      <c r="QC250" s="1"/>
      <c r="QD250" s="1"/>
      <c r="QE250" s="1"/>
      <c r="QF250" s="1"/>
      <c r="QG250" s="1"/>
      <c r="QH250" s="1"/>
      <c r="QI250" s="1"/>
      <c r="QJ250" s="1"/>
      <c r="QK250" s="1"/>
      <c r="QL250" s="1"/>
      <c r="QM250" s="1"/>
      <c r="QN250" s="1"/>
      <c r="QO250" s="1"/>
      <c r="QP250" s="1"/>
      <c r="QQ250" s="1"/>
      <c r="QR250" s="1"/>
      <c r="QS250" s="1"/>
      <c r="QT250" s="1"/>
      <c r="QU250" s="1"/>
      <c r="QV250" s="1"/>
      <c r="QW250" s="1"/>
      <c r="QX250" s="1"/>
      <c r="QY250" s="1"/>
      <c r="QZ250" s="1"/>
      <c r="RA250" s="1"/>
      <c r="RB250" s="1"/>
      <c r="RC250" s="1"/>
      <c r="RD250" s="1"/>
      <c r="RE250" s="1"/>
      <c r="RF250" s="1"/>
      <c r="RG250" s="1"/>
      <c r="RH250" s="1"/>
      <c r="RI250" s="1"/>
      <c r="RJ250" s="1"/>
      <c r="RK250" s="1"/>
      <c r="RL250" s="1"/>
      <c r="RM250" s="1"/>
      <c r="RN250" s="1"/>
      <c r="RO250" s="1"/>
      <c r="RP250" s="1"/>
      <c r="RQ250" s="1"/>
      <c r="RR250" s="1"/>
      <c r="RS250" s="1"/>
      <c r="RT250" s="1"/>
      <c r="RU250" s="1"/>
      <c r="RV250" s="1"/>
      <c r="RW250" s="1"/>
      <c r="RX250" s="1"/>
      <c r="RY250" s="1"/>
      <c r="RZ250" s="1"/>
      <c r="SA250" s="1"/>
      <c r="SB250" s="1"/>
      <c r="SC250" s="1"/>
      <c r="SD250" s="1"/>
      <c r="SE250" s="1"/>
      <c r="SF250" s="1"/>
      <c r="SG250" s="1"/>
      <c r="SH250" s="1"/>
      <c r="SI250" s="1"/>
      <c r="SJ250" s="1"/>
      <c r="SK250" s="1"/>
      <c r="SL250" s="1"/>
      <c r="SM250" s="1"/>
      <c r="SN250" s="1"/>
      <c r="SO250" s="1"/>
      <c r="SP250" s="1"/>
      <c r="SQ250" s="1"/>
      <c r="SR250" s="1"/>
      <c r="SS250" s="1"/>
      <c r="ST250" s="1"/>
      <c r="SU250" s="1"/>
      <c r="SV250" s="1"/>
      <c r="SW250" s="1"/>
      <c r="SX250" s="1"/>
      <c r="SY250" s="1"/>
      <c r="SZ250" s="1"/>
      <c r="TA250" s="1"/>
      <c r="TB250" s="1"/>
      <c r="TC250" s="1"/>
      <c r="TD250" s="1"/>
      <c r="TE250" s="1"/>
      <c r="TF250" s="1"/>
      <c r="TG250" s="1"/>
      <c r="TH250" s="1"/>
      <c r="TI250" s="1"/>
      <c r="TJ250" s="1"/>
      <c r="TK250" s="1"/>
      <c r="TL250" s="1"/>
      <c r="TM250" s="1"/>
      <c r="TN250" s="1"/>
      <c r="TO250" s="1"/>
      <c r="TP250" s="1"/>
      <c r="TQ250" s="1"/>
      <c r="TR250" s="1"/>
      <c r="TS250" s="1"/>
      <c r="TT250" s="1"/>
      <c r="TU250" s="1"/>
      <c r="TV250" s="1"/>
      <c r="TW250" s="1"/>
      <c r="TX250" s="1"/>
      <c r="TY250" s="1"/>
      <c r="TZ250" s="1"/>
      <c r="UA250" s="1"/>
      <c r="UB250" s="1"/>
      <c r="UC250" s="1"/>
      <c r="UD250" s="1"/>
      <c r="UE250" s="1"/>
      <c r="UF250" s="1"/>
      <c r="UG250" s="1"/>
      <c r="UH250" s="1"/>
      <c r="UI250" s="1"/>
      <c r="UJ250" s="1"/>
      <c r="UK250" s="1"/>
      <c r="UL250" s="1"/>
      <c r="UM250" s="1"/>
      <c r="UN250" s="1"/>
      <c r="UO250" s="1"/>
      <c r="UP250" s="1"/>
      <c r="UQ250" s="1"/>
      <c r="UR250" s="1"/>
      <c r="US250" s="1"/>
      <c r="UT250" s="1"/>
      <c r="UU250" s="1"/>
      <c r="UV250" s="1"/>
      <c r="UW250" s="1"/>
      <c r="UX250" s="1"/>
      <c r="UY250" s="1"/>
      <c r="UZ250" s="1"/>
      <c r="VA250" s="1"/>
      <c r="VB250" s="1"/>
      <c r="VC250" s="1"/>
      <c r="VD250" s="1"/>
      <c r="VE250" s="1"/>
      <c r="VF250" s="1"/>
      <c r="VG250" s="1"/>
      <c r="VH250" s="1"/>
      <c r="VI250" s="1"/>
      <c r="VJ250" s="1"/>
      <c r="VK250" s="1"/>
      <c r="VL250" s="1"/>
      <c r="VM250" s="1"/>
      <c r="VN250" s="1"/>
      <c r="VO250" s="1"/>
      <c r="VP250" s="1"/>
      <c r="VQ250" s="1"/>
      <c r="VR250" s="1"/>
      <c r="VS250" s="1"/>
      <c r="VT250" s="1"/>
      <c r="VU250" s="1"/>
      <c r="VV250" s="1"/>
      <c r="VW250" s="1"/>
      <c r="VX250" s="1"/>
      <c r="VY250" s="1"/>
      <c r="VZ250" s="1"/>
      <c r="WA250" s="1"/>
      <c r="WB250" s="1"/>
      <c r="WC250" s="1"/>
      <c r="WD250" s="1"/>
      <c r="WE250" s="1"/>
      <c r="WF250" s="1"/>
      <c r="WG250" s="1"/>
      <c r="WH250" s="1"/>
      <c r="WI250" s="1"/>
      <c r="WJ250" s="1"/>
      <c r="WK250" s="1"/>
      <c r="WL250" s="1"/>
      <c r="WM250" s="1"/>
      <c r="WN250" s="1"/>
      <c r="WO250" s="1"/>
      <c r="WP250" s="1"/>
      <c r="WQ250" s="1"/>
      <c r="WR250" s="1"/>
      <c r="WS250" s="1"/>
      <c r="WT250" s="1"/>
      <c r="WU250" s="1"/>
      <c r="WV250" s="1"/>
      <c r="WW250" s="1"/>
      <c r="WX250" s="1"/>
      <c r="WY250" s="1"/>
      <c r="WZ250" s="1"/>
      <c r="XA250" s="1"/>
      <c r="XB250" s="1"/>
      <c r="XC250" s="1"/>
      <c r="XD250" s="1"/>
      <c r="XE250" s="1"/>
      <c r="XF250" s="1"/>
      <c r="XG250" s="1"/>
      <c r="XH250" s="1"/>
      <c r="XI250" s="1"/>
      <c r="XJ250" s="1"/>
      <c r="XK250" s="1"/>
      <c r="XL250" s="1"/>
      <c r="XM250" s="1"/>
      <c r="XN250" s="1"/>
      <c r="XO250" s="1"/>
      <c r="XP250" s="1"/>
      <c r="XQ250" s="1"/>
      <c r="XR250" s="1"/>
      <c r="XS250" s="1"/>
      <c r="XT250" s="1"/>
      <c r="XU250" s="1"/>
      <c r="XV250" s="1"/>
      <c r="XW250" s="1"/>
      <c r="XX250" s="1"/>
      <c r="XY250" s="1"/>
      <c r="XZ250" s="1"/>
      <c r="YA250" s="1"/>
      <c r="YB250" s="1"/>
      <c r="YC250" s="1"/>
      <c r="YD250" s="1"/>
      <c r="YE250" s="1"/>
      <c r="YF250" s="1"/>
      <c r="YG250" s="1"/>
      <c r="YH250" s="1"/>
      <c r="YI250" s="1"/>
      <c r="YJ250" s="1"/>
      <c r="YK250" s="1"/>
      <c r="YL250" s="1"/>
      <c r="YM250" s="1"/>
      <c r="YN250" s="1"/>
      <c r="YO250" s="1"/>
      <c r="YP250" s="1"/>
      <c r="YQ250" s="1"/>
      <c r="YR250" s="1"/>
      <c r="YS250" s="1"/>
      <c r="YT250" s="1"/>
      <c r="YU250" s="1"/>
      <c r="YV250" s="1"/>
      <c r="YW250" s="1"/>
      <c r="YX250" s="1"/>
      <c r="YY250" s="1"/>
      <c r="YZ250" s="1"/>
      <c r="ZA250" s="1"/>
      <c r="ZB250" s="1"/>
      <c r="ZC250" s="1"/>
      <c r="ZD250" s="1"/>
      <c r="ZE250" s="1"/>
      <c r="ZF250" s="1"/>
      <c r="ZG250" s="1"/>
      <c r="ZH250" s="1"/>
      <c r="ZI250" s="1"/>
      <c r="ZJ250" s="1"/>
      <c r="ZK250" s="1"/>
      <c r="ZL250" s="1"/>
      <c r="ZM250" s="1"/>
      <c r="ZN250" s="1"/>
      <c r="ZO250" s="1"/>
      <c r="ZP250" s="1"/>
      <c r="ZQ250" s="1"/>
      <c r="ZR250" s="1"/>
      <c r="ZS250" s="1"/>
      <c r="ZT250" s="1"/>
      <c r="ZU250" s="1"/>
      <c r="ZV250" s="1"/>
      <c r="ZW250" s="1"/>
      <c r="ZX250" s="1"/>
      <c r="ZY250" s="1"/>
      <c r="ZZ250" s="1"/>
      <c r="AAA250" s="1"/>
      <c r="AAB250" s="1"/>
      <c r="AAC250" s="1"/>
      <c r="AAD250" s="1"/>
      <c r="AAE250" s="1"/>
      <c r="AAF250" s="1"/>
      <c r="AAG250" s="1"/>
      <c r="AAH250" s="1"/>
      <c r="AAI250" s="1"/>
      <c r="AAJ250" s="1"/>
      <c r="AAK250" s="1"/>
      <c r="AAL250" s="1"/>
      <c r="AAM250" s="1"/>
      <c r="AAN250" s="1"/>
      <c r="AAO250" s="1"/>
      <c r="AAP250" s="1"/>
      <c r="AAQ250" s="1"/>
      <c r="AAR250" s="1"/>
      <c r="AAS250" s="1"/>
      <c r="AAT250" s="1"/>
      <c r="AAU250" s="1"/>
      <c r="AAV250" s="1"/>
      <c r="AAW250" s="1"/>
      <c r="AAX250" s="1"/>
      <c r="AAY250" s="1"/>
      <c r="AAZ250" s="1"/>
      <c r="ABA250" s="1"/>
      <c r="ABB250" s="1"/>
      <c r="ABC250" s="1"/>
      <c r="ABD250" s="1"/>
      <c r="ABE250" s="1"/>
      <c r="ABF250" s="1"/>
      <c r="ABG250" s="1"/>
      <c r="ABH250" s="1"/>
      <c r="ABI250" s="1"/>
      <c r="ABJ250" s="1"/>
      <c r="ABK250" s="1"/>
      <c r="ABL250" s="1"/>
      <c r="ABM250" s="1"/>
      <c r="ABN250" s="1"/>
      <c r="ABO250" s="1"/>
      <c r="ABP250" s="1"/>
      <c r="ABQ250" s="1"/>
      <c r="ABR250" s="1"/>
      <c r="ABS250" s="1"/>
      <c r="ABT250" s="1"/>
      <c r="ABU250" s="1"/>
      <c r="ABV250" s="1"/>
      <c r="ABW250" s="1"/>
      <c r="ABX250" s="1"/>
      <c r="ABY250" s="1"/>
      <c r="ABZ250" s="1"/>
      <c r="ACA250" s="1"/>
      <c r="ACB250" s="1"/>
      <c r="ACC250" s="1"/>
      <c r="ACD250" s="1"/>
      <c r="ACE250" s="1"/>
      <c r="ACF250" s="1"/>
      <c r="ACG250" s="1"/>
      <c r="ACH250" s="1"/>
      <c r="ACI250" s="1"/>
      <c r="ACJ250" s="1"/>
      <c r="ACK250" s="1"/>
      <c r="ACL250" s="1"/>
      <c r="ACM250" s="1"/>
      <c r="ACN250" s="1"/>
      <c r="ACO250" s="1"/>
      <c r="ACP250" s="1"/>
      <c r="ACQ250" s="1"/>
      <c r="ACR250" s="1"/>
      <c r="ACS250" s="1"/>
      <c r="ACT250" s="1"/>
      <c r="ACU250" s="1"/>
      <c r="ACV250" s="1"/>
      <c r="ACW250" s="1"/>
      <c r="ACX250" s="1"/>
      <c r="ACY250" s="1"/>
      <c r="ACZ250" s="1"/>
      <c r="ADA250" s="1"/>
      <c r="ADB250" s="1"/>
      <c r="ADC250" s="1"/>
      <c r="ADD250" s="1"/>
      <c r="ADE250" s="1"/>
      <c r="ADF250" s="1"/>
      <c r="ADG250" s="1"/>
      <c r="ADH250" s="1"/>
      <c r="ADI250" s="1"/>
      <c r="ADJ250" s="1"/>
      <c r="ADK250" s="1"/>
      <c r="ADL250" s="1"/>
      <c r="ADM250" s="1"/>
      <c r="ADN250" s="1"/>
      <c r="ADO250" s="1"/>
      <c r="ADP250" s="1"/>
      <c r="ADQ250" s="1"/>
      <c r="ADR250" s="1"/>
      <c r="ADS250" s="1"/>
      <c r="ADT250" s="1"/>
      <c r="ADU250" s="1"/>
      <c r="ADV250" s="1"/>
      <c r="ADW250" s="1"/>
      <c r="ADX250" s="1"/>
      <c r="ADY250" s="1"/>
      <c r="ADZ250" s="1"/>
      <c r="AEA250" s="1"/>
      <c r="AEB250" s="1"/>
      <c r="AEC250" s="1"/>
      <c r="AED250" s="1"/>
      <c r="AEE250" s="1"/>
      <c r="AEF250" s="1"/>
      <c r="AEG250" s="1"/>
      <c r="AEH250" s="1"/>
      <c r="AEI250" s="1"/>
      <c r="AEJ250" s="1"/>
      <c r="AEK250" s="1"/>
      <c r="AEL250" s="1"/>
      <c r="AEM250" s="1"/>
      <c r="AEN250" s="1"/>
      <c r="AEO250" s="1"/>
      <c r="AEP250" s="1"/>
      <c r="AEQ250" s="1"/>
      <c r="AER250" s="1"/>
      <c r="AES250" s="1"/>
      <c r="AET250" s="1"/>
      <c r="AEU250" s="1"/>
      <c r="AEV250" s="1"/>
      <c r="AEW250" s="1"/>
      <c r="AEX250" s="1"/>
      <c r="AEY250" s="1"/>
      <c r="AEZ250" s="1"/>
      <c r="AFA250" s="1"/>
      <c r="AFB250" s="1"/>
      <c r="AFC250" s="1"/>
      <c r="AFD250" s="1"/>
      <c r="AFE250" s="1"/>
      <c r="AFF250" s="1"/>
      <c r="AFG250" s="1"/>
      <c r="AFH250" s="1"/>
      <c r="AFI250" s="1"/>
      <c r="AFJ250" s="1"/>
      <c r="AFK250" s="1"/>
      <c r="AFL250" s="1"/>
      <c r="AFM250" s="1"/>
      <c r="AFN250" s="1"/>
      <c r="AFO250" s="1"/>
      <c r="AFP250" s="1"/>
      <c r="AFQ250" s="1"/>
      <c r="AFR250" s="1"/>
      <c r="AFS250" s="1"/>
      <c r="AFT250" s="1"/>
      <c r="AFU250" s="1"/>
      <c r="AFV250" s="1"/>
      <c r="AFW250" s="1"/>
      <c r="AFX250" s="1"/>
      <c r="AFY250" s="1"/>
      <c r="AFZ250" s="1"/>
      <c r="AGA250" s="1"/>
      <c r="AGB250" s="1"/>
      <c r="AGC250" s="1"/>
      <c r="AGD250" s="1"/>
      <c r="AGE250" s="1"/>
      <c r="AGF250" s="1"/>
      <c r="AGG250" s="1"/>
      <c r="AGH250" s="1"/>
      <c r="AGI250" s="1"/>
      <c r="AGJ250" s="1"/>
      <c r="AGK250" s="1"/>
      <c r="AGL250" s="1"/>
      <c r="AGM250" s="1"/>
      <c r="AGN250" s="1"/>
      <c r="AGO250" s="1"/>
      <c r="AGP250" s="1"/>
      <c r="AGQ250" s="1"/>
      <c r="AGR250" s="1"/>
      <c r="AGS250" s="1"/>
      <c r="AGT250" s="1"/>
      <c r="AGU250" s="1"/>
      <c r="AGV250" s="1"/>
      <c r="AGW250" s="1"/>
      <c r="AGX250" s="1"/>
      <c r="AGY250" s="1"/>
      <c r="AGZ250" s="1"/>
      <c r="AHA250" s="1"/>
      <c r="AHB250" s="1"/>
      <c r="AHC250" s="1"/>
      <c r="AHD250" s="1"/>
      <c r="AHE250" s="1"/>
      <c r="AHF250" s="1"/>
      <c r="AHG250" s="1"/>
      <c r="AHH250" s="1"/>
      <c r="AHI250" s="1"/>
      <c r="AHJ250" s="1"/>
      <c r="AHK250" s="1"/>
      <c r="AHL250" s="1"/>
      <c r="AHM250" s="1"/>
      <c r="AHN250" s="1"/>
      <c r="AHO250" s="1"/>
      <c r="AHP250" s="1"/>
      <c r="AHQ250" s="1"/>
      <c r="AHR250" s="1"/>
      <c r="AHS250" s="1"/>
      <c r="AHT250" s="1"/>
      <c r="AHU250" s="1"/>
      <c r="AHV250" s="1"/>
      <c r="AHW250" s="1"/>
      <c r="AHX250" s="1"/>
      <c r="AHY250" s="1"/>
      <c r="AHZ250" s="1"/>
      <c r="AIA250" s="1"/>
      <c r="AIB250" s="1"/>
      <c r="AIC250" s="1"/>
      <c r="AID250" s="1"/>
      <c r="AIE250" s="1"/>
      <c r="AIF250" s="1"/>
      <c r="AIG250" s="1"/>
      <c r="AIH250" s="1"/>
      <c r="AII250" s="1"/>
      <c r="AIJ250" s="1"/>
      <c r="AIK250" s="1"/>
      <c r="AIL250" s="1"/>
      <c r="AIM250" s="1"/>
      <c r="AIN250" s="1"/>
      <c r="AIO250" s="1"/>
      <c r="AIP250" s="1"/>
      <c r="AIQ250" s="1"/>
      <c r="AIR250" s="1"/>
      <c r="AIS250" s="1"/>
      <c r="AIT250" s="1"/>
      <c r="AIU250" s="1"/>
      <c r="AIV250" s="1"/>
      <c r="AIW250" s="1"/>
      <c r="AIX250" s="1"/>
      <c r="AIY250" s="1"/>
      <c r="AIZ250" s="1"/>
      <c r="AJA250" s="1"/>
      <c r="AJB250" s="1"/>
      <c r="AJC250" s="1"/>
      <c r="AJD250" s="1"/>
      <c r="AJE250" s="1"/>
      <c r="AJF250" s="1"/>
      <c r="AJG250" s="1"/>
      <c r="AJH250" s="1"/>
      <c r="AJI250" s="1"/>
      <c r="AJJ250" s="1"/>
      <c r="AJK250" s="1"/>
      <c r="AJL250" s="1"/>
      <c r="AJM250" s="1"/>
      <c r="AJN250" s="1"/>
      <c r="AJO250" s="1"/>
      <c r="AJP250" s="1"/>
      <c r="AJQ250" s="1"/>
      <c r="AJR250" s="1"/>
      <c r="AJS250" s="1"/>
      <c r="AJT250" s="1"/>
      <c r="AJU250" s="1"/>
      <c r="AJV250" s="1"/>
      <c r="AJW250" s="1"/>
      <c r="AJX250" s="1"/>
      <c r="AJY250" s="1"/>
      <c r="AJZ250" s="1"/>
      <c r="AKA250" s="1"/>
      <c r="AKB250" s="1"/>
      <c r="AKC250" s="1"/>
      <c r="AKD250" s="1"/>
      <c r="AKE250" s="1"/>
      <c r="AKF250" s="1"/>
      <c r="AKG250" s="1"/>
      <c r="AKH250" s="1"/>
      <c r="AKI250" s="1"/>
      <c r="AKJ250" s="1"/>
      <c r="AKK250" s="1"/>
      <c r="AKL250" s="1"/>
      <c r="AKM250" s="1"/>
      <c r="AKN250" s="1"/>
      <c r="AKO250" s="1"/>
      <c r="AKP250" s="1"/>
      <c r="AKQ250" s="1"/>
      <c r="AKR250" s="1"/>
      <c r="AKS250" s="1"/>
      <c r="AKT250" s="1"/>
      <c r="AKU250" s="1"/>
      <c r="AKV250" s="1"/>
      <c r="AKW250" s="1"/>
      <c r="AKX250" s="1"/>
      <c r="AKY250" s="1"/>
      <c r="AKZ250" s="1"/>
      <c r="ALA250" s="1"/>
      <c r="ALB250" s="1"/>
      <c r="ALC250" s="1"/>
      <c r="ALD250" s="1"/>
      <c r="ALE250" s="1"/>
      <c r="ALF250" s="1"/>
      <c r="ALG250" s="1"/>
      <c r="ALH250" s="1"/>
      <c r="ALI250" s="1"/>
      <c r="ALJ250" s="1"/>
      <c r="ALK250" s="1"/>
      <c r="ALL250" s="1"/>
      <c r="ALM250" s="1"/>
      <c r="ALN250" s="1"/>
      <c r="ALO250" s="1"/>
      <c r="ALP250" s="1"/>
      <c r="ALQ250" s="1"/>
      <c r="ALR250" s="1"/>
      <c r="ALS250" s="1"/>
      <c r="ALT250" s="1"/>
      <c r="ALU250" s="1"/>
      <c r="ALV250" s="1"/>
      <c r="ALW250" s="1"/>
      <c r="ALX250" s="1"/>
      <c r="ALY250" s="1"/>
      <c r="ALZ250" s="1"/>
      <c r="AMA250" s="1"/>
      <c r="AMB250" s="1"/>
      <c r="AMC250" s="1"/>
      <c r="AMD250" s="1"/>
      <c r="AME250" s="1"/>
      <c r="AMF250" s="1"/>
      <c r="AMG250" s="1"/>
      <c r="AMH250" s="1"/>
      <c r="AMI250" s="1"/>
      <c r="AMJ250" s="1"/>
      <c r="AMK250" s="1"/>
      <c r="AML250" s="1"/>
      <c r="AMM250" s="1"/>
      <c r="AMN250" s="1"/>
      <c r="AMO250" s="1"/>
    </row>
    <row r="251" spans="1:1029" x14ac:dyDescent="0.2">
      <c r="A251" s="3" t="str">
        <f t="shared" si="753"/>
        <v>par1_human_3VW7</v>
      </c>
      <c r="B251" s="3" t="s">
        <v>355</v>
      </c>
      <c r="C251" s="3" t="s">
        <v>93</v>
      </c>
      <c r="D251" s="3" t="str">
        <f>IFERROR(MID(VLOOKUP($B251,Seqs!$A:$B,2,0),E251,1),"")</f>
        <v>S</v>
      </c>
      <c r="E251" s="3">
        <v>99</v>
      </c>
      <c r="F251" s="3" t="str">
        <f>IFERROR(MID(VLOOKUP($B251,Seqs!$A:$B,2,0),G251,1),"")</f>
        <v>K</v>
      </c>
      <c r="G251" s="3">
        <v>130</v>
      </c>
      <c r="H251" s="3" t="str">
        <f>IFERROR(MID(VLOOKUP($B251,Seqs!$A:$B,2,0),I251,1),"")</f>
        <v/>
      </c>
      <c r="I251" s="23" t="s">
        <v>23</v>
      </c>
      <c r="J251" s="3" t="str">
        <f>IFERROR(MID(VLOOKUP($B251,Seqs!$A:$B,2,0),K251,1),"")</f>
        <v/>
      </c>
      <c r="K251" s="23" t="s">
        <v>23</v>
      </c>
      <c r="L251" s="3" t="str">
        <f>IFERROR(MID(VLOOKUP($B251,Seqs!$A:$B,2,0),M251,1),"")</f>
        <v>K</v>
      </c>
      <c r="M251" s="3">
        <v>135</v>
      </c>
      <c r="N251" s="3" t="str">
        <f>IFERROR(MID(VLOOKUP($B251,Seqs!$A:$B,2,0),O251,1),"")</f>
        <v>S</v>
      </c>
      <c r="O251" s="3">
        <v>164</v>
      </c>
      <c r="P251" s="3" t="str">
        <f>IFERROR(MID(VLOOKUP($B251,Seqs!$A:$B,2,0),Q251,1),"")</f>
        <v>D</v>
      </c>
      <c r="Q251" s="3">
        <v>167</v>
      </c>
      <c r="R251" s="3" t="str">
        <f>IFERROR(MID(VLOOKUP($B251,Seqs!$A:$B,2,0),S251,1),"")</f>
        <v>F</v>
      </c>
      <c r="S251" s="3">
        <v>170</v>
      </c>
      <c r="T251" s="3" t="str">
        <f>IFERROR(MID(VLOOKUP($B251,Seqs!$A:$B,2,0),U251,1),"")</f>
        <v>G</v>
      </c>
      <c r="U251" s="3">
        <v>171</v>
      </c>
      <c r="V251" s="3" t="str">
        <f>IFERROR(MID(VLOOKUP($B251,Seqs!$A:$B,2,0),W251,1),"")</f>
        <v>Y</v>
      </c>
      <c r="W251" s="3">
        <v>206</v>
      </c>
      <c r="X251" s="3" t="str">
        <f>IFERROR(MID(VLOOKUP($B251,Seqs!$A:$B,2,0),Y251,1),"")</f>
        <v/>
      </c>
      <c r="Y251" s="3" t="s">
        <v>23</v>
      </c>
      <c r="Z251" s="3" t="str">
        <f>IFERROR(MID(VLOOKUP($B251,Seqs!$A:$B,2,0),AA251,1),"")</f>
        <v/>
      </c>
      <c r="AA251" s="3" t="s">
        <v>23</v>
      </c>
      <c r="AB251" s="3" t="str">
        <f>IFERROR(MID(VLOOKUP($B251,Seqs!$A:$B,2,0),AC251,1),"")</f>
        <v>T</v>
      </c>
      <c r="AC251" s="9">
        <v>215</v>
      </c>
      <c r="AD251" s="3" t="str">
        <f>IFERROR(MID(VLOOKUP($B251,Seqs!$A:$B,2,0),AE251,1),"")</f>
        <v>K</v>
      </c>
      <c r="AE251" s="3">
        <v>240</v>
      </c>
      <c r="AF251" s="3" t="str">
        <f>IFERROR(MID(VLOOKUP($B251,Seqs!$A:$B,2,0),AG251,1),"")</f>
        <v>C</v>
      </c>
      <c r="AG251" s="3">
        <v>254</v>
      </c>
      <c r="AH251" s="3" t="str">
        <f>IFERROR(MID(VLOOKUP($B251,Seqs!$A:$B,2,0),AI251,1),"")</f>
        <v>D</v>
      </c>
      <c r="AI251" s="3">
        <v>256</v>
      </c>
      <c r="AJ251" s="3" t="str">
        <f>IFERROR(MID(VLOOKUP($B251,Seqs!$A:$B,2,0),AK251,1),"")</f>
        <v>E</v>
      </c>
      <c r="AK251" s="3">
        <v>264</v>
      </c>
      <c r="AL251" s="3" t="str">
        <f>IFERROR(MID(VLOOKUP($B251,Seqs!$A:$B,2,0),AM251,1),"")</f>
        <v>S</v>
      </c>
      <c r="AM251" s="3">
        <v>300</v>
      </c>
      <c r="AN251" s="3" t="str">
        <f>IFERROR(MID(VLOOKUP($B251,Seqs!$A:$B,2,0),AO251,1),"")</f>
        <v>N</v>
      </c>
      <c r="AO251" s="3">
        <v>304</v>
      </c>
      <c r="AP251" s="3" t="str">
        <f>IFERROR(MID(VLOOKUP($B251,Seqs!$A:$B,2,0),AQ251,1),"")</f>
        <v>L</v>
      </c>
      <c r="AQ251" s="3">
        <v>340</v>
      </c>
      <c r="AR251" s="3" t="str">
        <f>IFERROR(MID(VLOOKUP($B251,Seqs!$A:$B,2,0),AS251,1),"")</f>
        <v>T</v>
      </c>
      <c r="AS251" s="3">
        <v>346</v>
      </c>
      <c r="AT251" s="3" t="str">
        <f>IFERROR(MID(VLOOKUP($B251,Seqs!$A:$B,2,0),AU251,1),"")</f>
        <v>Y</v>
      </c>
      <c r="AU251" s="3">
        <v>372</v>
      </c>
      <c r="AV251" s="3" t="str">
        <f>IFERROR(MID(VLOOKUP($B251,Seqs!$A:$B,2,0),AW251,1),"")</f>
        <v/>
      </c>
      <c r="AW251" s="3" t="s">
        <v>23</v>
      </c>
      <c r="AX251" s="3" t="str">
        <f>IFERROR(MID(VLOOKUP($B251,Seqs!$A:$B,2,0),AY251,1),"")</f>
        <v/>
      </c>
      <c r="AY251" s="3" t="s">
        <v>23</v>
      </c>
      <c r="AZ251" s="77" t="str">
        <f>VLOOKUP(B251,Classification!A:D,2,0)</f>
        <v>A</v>
      </c>
      <c r="BA251" s="94" t="str">
        <f>VLOOKUP(B251,Classification!A:D,4,0)</f>
        <v>Proteinase-activated</v>
      </c>
      <c r="BB251" s="27" t="b">
        <f t="shared" si="754"/>
        <v>1</v>
      </c>
      <c r="BC251" s="23">
        <f t="shared" si="727"/>
        <v>235</v>
      </c>
      <c r="BD251" s="2" t="s">
        <v>1440</v>
      </c>
      <c r="BE251" s="3" t="s">
        <v>1439</v>
      </c>
      <c r="BF251" s="119">
        <v>2.2000000000000002</v>
      </c>
      <c r="BG251" s="49" t="s">
        <v>1384</v>
      </c>
      <c r="BH251" s="49" t="s">
        <v>1384</v>
      </c>
      <c r="BI251" s="1"/>
      <c r="BJ251" s="70" t="s">
        <v>1293</v>
      </c>
      <c r="BK251" s="57" t="s">
        <v>1293</v>
      </c>
      <c r="BL251" s="57" t="s">
        <v>1293</v>
      </c>
      <c r="BM251" s="57" t="s">
        <v>1293</v>
      </c>
      <c r="BN251" s="57" t="s">
        <v>1293</v>
      </c>
      <c r="BO251" s="57" t="s">
        <v>1293</v>
      </c>
      <c r="BP251" s="57" t="s">
        <v>1293</v>
      </c>
      <c r="BQ251" s="57" t="s">
        <v>1293</v>
      </c>
      <c r="BR251" s="57" t="s">
        <v>1293</v>
      </c>
      <c r="BS251" s="57" t="s">
        <v>1293</v>
      </c>
      <c r="BT251" s="57" t="s">
        <v>1293</v>
      </c>
      <c r="BU251" s="57" t="s">
        <v>1293</v>
      </c>
      <c r="BV251" s="70">
        <f t="shared" si="728"/>
        <v>99</v>
      </c>
      <c r="BW251" s="71" t="str">
        <f t="shared" si="729"/>
        <v>-</v>
      </c>
      <c r="BX251" s="72">
        <f t="shared" si="730"/>
        <v>135</v>
      </c>
      <c r="BY251" s="71">
        <f t="shared" si="731"/>
        <v>167</v>
      </c>
      <c r="BZ251" s="72">
        <f t="shared" si="732"/>
        <v>171</v>
      </c>
      <c r="CA251" s="71" t="str">
        <f t="shared" si="733"/>
        <v>-</v>
      </c>
      <c r="CB251" s="72">
        <f t="shared" si="734"/>
        <v>215</v>
      </c>
      <c r="CC251" s="71">
        <f t="shared" si="735"/>
        <v>254</v>
      </c>
      <c r="CD251" s="72">
        <f t="shared" si="736"/>
        <v>264</v>
      </c>
      <c r="CE251" s="71">
        <f t="shared" si="737"/>
        <v>304</v>
      </c>
      <c r="CF251" s="72">
        <f t="shared" si="738"/>
        <v>346</v>
      </c>
      <c r="CG251" s="71" t="str">
        <f t="shared" si="739"/>
        <v>-</v>
      </c>
      <c r="CH251" s="70">
        <f t="shared" si="740"/>
        <v>130</v>
      </c>
      <c r="CI251" s="71" t="str">
        <f t="shared" si="741"/>
        <v>-</v>
      </c>
      <c r="CJ251" s="72">
        <f t="shared" si="742"/>
        <v>164</v>
      </c>
      <c r="CK251" s="72">
        <f t="shared" si="743"/>
        <v>170</v>
      </c>
      <c r="CL251" s="72">
        <f t="shared" si="744"/>
        <v>206</v>
      </c>
      <c r="CM251" s="72" t="str">
        <f t="shared" si="745"/>
        <v>-</v>
      </c>
      <c r="CN251" s="72">
        <f t="shared" si="746"/>
        <v>240</v>
      </c>
      <c r="CO251" s="72">
        <f t="shared" si="747"/>
        <v>256</v>
      </c>
      <c r="CP251" s="72">
        <f t="shared" si="748"/>
        <v>300</v>
      </c>
      <c r="CQ251" s="72">
        <f t="shared" si="749"/>
        <v>340</v>
      </c>
      <c r="CR251" s="72">
        <f t="shared" si="750"/>
        <v>372</v>
      </c>
      <c r="CS251" s="72" t="str">
        <f t="shared" si="751"/>
        <v>-</v>
      </c>
      <c r="CT251" s="23" t="e">
        <f t="shared" si="752"/>
        <v>#VALUE!</v>
      </c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  <c r="OK251" s="1"/>
      <c r="OL251" s="1"/>
      <c r="OM251" s="1"/>
      <c r="ON251" s="1"/>
      <c r="OO251" s="1"/>
      <c r="OP251" s="1"/>
      <c r="OQ251" s="1"/>
      <c r="OR251" s="1"/>
      <c r="OS251" s="1"/>
      <c r="OT251" s="1"/>
      <c r="OU251" s="1"/>
      <c r="OV251" s="1"/>
      <c r="OW251" s="1"/>
      <c r="OX251" s="1"/>
      <c r="OY251" s="1"/>
      <c r="OZ251" s="1"/>
      <c r="PA251" s="1"/>
      <c r="PB251" s="1"/>
      <c r="PC251" s="1"/>
      <c r="PD251" s="1"/>
      <c r="PE251" s="1"/>
      <c r="PF251" s="1"/>
      <c r="PG251" s="1"/>
      <c r="PH251" s="1"/>
      <c r="PI251" s="1"/>
      <c r="PJ251" s="1"/>
      <c r="PK251" s="1"/>
      <c r="PL251" s="1"/>
      <c r="PM251" s="1"/>
      <c r="PN251" s="1"/>
      <c r="PO251" s="1"/>
      <c r="PP251" s="1"/>
      <c r="PQ251" s="1"/>
      <c r="PR251" s="1"/>
      <c r="PS251" s="1"/>
      <c r="PT251" s="1"/>
      <c r="PU251" s="1"/>
      <c r="PV251" s="1"/>
      <c r="PW251" s="1"/>
      <c r="PX251" s="1"/>
      <c r="PY251" s="1"/>
      <c r="PZ251" s="1"/>
      <c r="QA251" s="1"/>
      <c r="QB251" s="1"/>
      <c r="QC251" s="1"/>
      <c r="QD251" s="1"/>
      <c r="QE251" s="1"/>
      <c r="QF251" s="1"/>
      <c r="QG251" s="1"/>
      <c r="QH251" s="1"/>
      <c r="QI251" s="1"/>
      <c r="QJ251" s="1"/>
      <c r="QK251" s="1"/>
      <c r="QL251" s="1"/>
      <c r="QM251" s="1"/>
      <c r="QN251" s="1"/>
      <c r="QO251" s="1"/>
      <c r="QP251" s="1"/>
      <c r="QQ251" s="1"/>
      <c r="QR251" s="1"/>
      <c r="QS251" s="1"/>
      <c r="QT251" s="1"/>
      <c r="QU251" s="1"/>
      <c r="QV251" s="1"/>
      <c r="QW251" s="1"/>
      <c r="QX251" s="1"/>
      <c r="QY251" s="1"/>
      <c r="QZ251" s="1"/>
      <c r="RA251" s="1"/>
      <c r="RB251" s="1"/>
      <c r="RC251" s="1"/>
      <c r="RD251" s="1"/>
      <c r="RE251" s="1"/>
      <c r="RF251" s="1"/>
      <c r="RG251" s="1"/>
      <c r="RH251" s="1"/>
      <c r="RI251" s="1"/>
      <c r="RJ251" s="1"/>
      <c r="RK251" s="1"/>
      <c r="RL251" s="1"/>
      <c r="RM251" s="1"/>
      <c r="RN251" s="1"/>
      <c r="RO251" s="1"/>
      <c r="RP251" s="1"/>
      <c r="RQ251" s="1"/>
      <c r="RR251" s="1"/>
      <c r="RS251" s="1"/>
      <c r="RT251" s="1"/>
      <c r="RU251" s="1"/>
      <c r="RV251" s="1"/>
      <c r="RW251" s="1"/>
      <c r="RX251" s="1"/>
      <c r="RY251" s="1"/>
      <c r="RZ251" s="1"/>
      <c r="SA251" s="1"/>
      <c r="SB251" s="1"/>
      <c r="SC251" s="1"/>
      <c r="SD251" s="1"/>
      <c r="SE251" s="1"/>
      <c r="SF251" s="1"/>
      <c r="SG251" s="1"/>
      <c r="SH251" s="1"/>
      <c r="SI251" s="1"/>
      <c r="SJ251" s="1"/>
      <c r="SK251" s="1"/>
      <c r="SL251" s="1"/>
      <c r="SM251" s="1"/>
      <c r="SN251" s="1"/>
      <c r="SO251" s="1"/>
      <c r="SP251" s="1"/>
      <c r="SQ251" s="1"/>
      <c r="SR251" s="1"/>
      <c r="SS251" s="1"/>
      <c r="ST251" s="1"/>
      <c r="SU251" s="1"/>
      <c r="SV251" s="1"/>
      <c r="SW251" s="1"/>
      <c r="SX251" s="1"/>
      <c r="SY251" s="1"/>
      <c r="SZ251" s="1"/>
      <c r="TA251" s="1"/>
      <c r="TB251" s="1"/>
      <c r="TC251" s="1"/>
      <c r="TD251" s="1"/>
      <c r="TE251" s="1"/>
      <c r="TF251" s="1"/>
      <c r="TG251" s="1"/>
      <c r="TH251" s="1"/>
      <c r="TI251" s="1"/>
      <c r="TJ251" s="1"/>
      <c r="TK251" s="1"/>
      <c r="TL251" s="1"/>
      <c r="TM251" s="1"/>
      <c r="TN251" s="1"/>
      <c r="TO251" s="1"/>
      <c r="TP251" s="1"/>
      <c r="TQ251" s="1"/>
      <c r="TR251" s="1"/>
      <c r="TS251" s="1"/>
      <c r="TT251" s="1"/>
      <c r="TU251" s="1"/>
      <c r="TV251" s="1"/>
      <c r="TW251" s="1"/>
      <c r="TX251" s="1"/>
      <c r="TY251" s="1"/>
      <c r="TZ251" s="1"/>
      <c r="UA251" s="1"/>
      <c r="UB251" s="1"/>
      <c r="UC251" s="1"/>
      <c r="UD251" s="1"/>
      <c r="UE251" s="1"/>
      <c r="UF251" s="1"/>
      <c r="UG251" s="1"/>
      <c r="UH251" s="1"/>
      <c r="UI251" s="1"/>
      <c r="UJ251" s="1"/>
      <c r="UK251" s="1"/>
      <c r="UL251" s="1"/>
      <c r="UM251" s="1"/>
      <c r="UN251" s="1"/>
      <c r="UO251" s="1"/>
      <c r="UP251" s="1"/>
      <c r="UQ251" s="1"/>
      <c r="UR251" s="1"/>
      <c r="US251" s="1"/>
      <c r="UT251" s="1"/>
      <c r="UU251" s="1"/>
      <c r="UV251" s="1"/>
      <c r="UW251" s="1"/>
      <c r="UX251" s="1"/>
      <c r="UY251" s="1"/>
      <c r="UZ251" s="1"/>
      <c r="VA251" s="1"/>
      <c r="VB251" s="1"/>
      <c r="VC251" s="1"/>
      <c r="VD251" s="1"/>
      <c r="VE251" s="1"/>
      <c r="VF251" s="1"/>
      <c r="VG251" s="1"/>
      <c r="VH251" s="1"/>
      <c r="VI251" s="1"/>
      <c r="VJ251" s="1"/>
      <c r="VK251" s="1"/>
      <c r="VL251" s="1"/>
      <c r="VM251" s="1"/>
      <c r="VN251" s="1"/>
      <c r="VO251" s="1"/>
      <c r="VP251" s="1"/>
      <c r="VQ251" s="1"/>
      <c r="VR251" s="1"/>
      <c r="VS251" s="1"/>
      <c r="VT251" s="1"/>
      <c r="VU251" s="1"/>
      <c r="VV251" s="1"/>
      <c r="VW251" s="1"/>
      <c r="VX251" s="1"/>
      <c r="VY251" s="1"/>
      <c r="VZ251" s="1"/>
      <c r="WA251" s="1"/>
      <c r="WB251" s="1"/>
      <c r="WC251" s="1"/>
      <c r="WD251" s="1"/>
      <c r="WE251" s="1"/>
      <c r="WF251" s="1"/>
      <c r="WG251" s="1"/>
      <c r="WH251" s="1"/>
      <c r="WI251" s="1"/>
      <c r="WJ251" s="1"/>
      <c r="WK251" s="1"/>
      <c r="WL251" s="1"/>
      <c r="WM251" s="1"/>
      <c r="WN251" s="1"/>
      <c r="WO251" s="1"/>
      <c r="WP251" s="1"/>
      <c r="WQ251" s="1"/>
      <c r="WR251" s="1"/>
      <c r="WS251" s="1"/>
      <c r="WT251" s="1"/>
      <c r="WU251" s="1"/>
      <c r="WV251" s="1"/>
      <c r="WW251" s="1"/>
      <c r="WX251" s="1"/>
      <c r="WY251" s="1"/>
      <c r="WZ251" s="1"/>
      <c r="XA251" s="1"/>
      <c r="XB251" s="1"/>
      <c r="XC251" s="1"/>
      <c r="XD251" s="1"/>
      <c r="XE251" s="1"/>
      <c r="XF251" s="1"/>
      <c r="XG251" s="1"/>
      <c r="XH251" s="1"/>
      <c r="XI251" s="1"/>
      <c r="XJ251" s="1"/>
      <c r="XK251" s="1"/>
      <c r="XL251" s="1"/>
      <c r="XM251" s="1"/>
      <c r="XN251" s="1"/>
      <c r="XO251" s="1"/>
      <c r="XP251" s="1"/>
      <c r="XQ251" s="1"/>
      <c r="XR251" s="1"/>
      <c r="XS251" s="1"/>
      <c r="XT251" s="1"/>
      <c r="XU251" s="1"/>
      <c r="XV251" s="1"/>
      <c r="XW251" s="1"/>
      <c r="XX251" s="1"/>
      <c r="XY251" s="1"/>
      <c r="XZ251" s="1"/>
      <c r="YA251" s="1"/>
      <c r="YB251" s="1"/>
      <c r="YC251" s="1"/>
      <c r="YD251" s="1"/>
      <c r="YE251" s="1"/>
      <c r="YF251" s="1"/>
      <c r="YG251" s="1"/>
      <c r="YH251" s="1"/>
      <c r="YI251" s="1"/>
      <c r="YJ251" s="1"/>
      <c r="YK251" s="1"/>
      <c r="YL251" s="1"/>
      <c r="YM251" s="1"/>
      <c r="YN251" s="1"/>
      <c r="YO251" s="1"/>
      <c r="YP251" s="1"/>
      <c r="YQ251" s="1"/>
      <c r="YR251" s="1"/>
      <c r="YS251" s="1"/>
      <c r="YT251" s="1"/>
      <c r="YU251" s="1"/>
      <c r="YV251" s="1"/>
      <c r="YW251" s="1"/>
      <c r="YX251" s="1"/>
      <c r="YY251" s="1"/>
      <c r="YZ251" s="1"/>
      <c r="ZA251" s="1"/>
      <c r="ZB251" s="1"/>
      <c r="ZC251" s="1"/>
      <c r="ZD251" s="1"/>
      <c r="ZE251" s="1"/>
      <c r="ZF251" s="1"/>
      <c r="ZG251" s="1"/>
      <c r="ZH251" s="1"/>
      <c r="ZI251" s="1"/>
      <c r="ZJ251" s="1"/>
      <c r="ZK251" s="1"/>
      <c r="ZL251" s="1"/>
      <c r="ZM251" s="1"/>
      <c r="ZN251" s="1"/>
      <c r="ZO251" s="1"/>
      <c r="ZP251" s="1"/>
      <c r="ZQ251" s="1"/>
      <c r="ZR251" s="1"/>
      <c r="ZS251" s="1"/>
      <c r="ZT251" s="1"/>
      <c r="ZU251" s="1"/>
      <c r="ZV251" s="1"/>
      <c r="ZW251" s="1"/>
      <c r="ZX251" s="1"/>
      <c r="ZY251" s="1"/>
      <c r="ZZ251" s="1"/>
      <c r="AAA251" s="1"/>
      <c r="AAB251" s="1"/>
      <c r="AAC251" s="1"/>
      <c r="AAD251" s="1"/>
      <c r="AAE251" s="1"/>
      <c r="AAF251" s="1"/>
      <c r="AAG251" s="1"/>
      <c r="AAH251" s="1"/>
      <c r="AAI251" s="1"/>
      <c r="AAJ251" s="1"/>
      <c r="AAK251" s="1"/>
      <c r="AAL251" s="1"/>
      <c r="AAM251" s="1"/>
      <c r="AAN251" s="1"/>
      <c r="AAO251" s="1"/>
      <c r="AAP251" s="1"/>
      <c r="AAQ251" s="1"/>
      <c r="AAR251" s="1"/>
      <c r="AAS251" s="1"/>
      <c r="AAT251" s="1"/>
      <c r="AAU251" s="1"/>
      <c r="AAV251" s="1"/>
      <c r="AAW251" s="1"/>
      <c r="AAX251" s="1"/>
      <c r="AAY251" s="1"/>
      <c r="AAZ251" s="1"/>
      <c r="ABA251" s="1"/>
      <c r="ABB251" s="1"/>
      <c r="ABC251" s="1"/>
      <c r="ABD251" s="1"/>
      <c r="ABE251" s="1"/>
      <c r="ABF251" s="1"/>
      <c r="ABG251" s="1"/>
      <c r="ABH251" s="1"/>
      <c r="ABI251" s="1"/>
      <c r="ABJ251" s="1"/>
      <c r="ABK251" s="1"/>
      <c r="ABL251" s="1"/>
      <c r="ABM251" s="1"/>
      <c r="ABN251" s="1"/>
      <c r="ABO251" s="1"/>
      <c r="ABP251" s="1"/>
      <c r="ABQ251" s="1"/>
      <c r="ABR251" s="1"/>
      <c r="ABS251" s="1"/>
      <c r="ABT251" s="1"/>
      <c r="ABU251" s="1"/>
      <c r="ABV251" s="1"/>
      <c r="ABW251" s="1"/>
      <c r="ABX251" s="1"/>
      <c r="ABY251" s="1"/>
      <c r="ABZ251" s="1"/>
      <c r="ACA251" s="1"/>
      <c r="ACB251" s="1"/>
      <c r="ACC251" s="1"/>
      <c r="ACD251" s="1"/>
      <c r="ACE251" s="1"/>
      <c r="ACF251" s="1"/>
      <c r="ACG251" s="1"/>
      <c r="ACH251" s="1"/>
      <c r="ACI251" s="1"/>
      <c r="ACJ251" s="1"/>
      <c r="ACK251" s="1"/>
      <c r="ACL251" s="1"/>
      <c r="ACM251" s="1"/>
      <c r="ACN251" s="1"/>
      <c r="ACO251" s="1"/>
      <c r="ACP251" s="1"/>
      <c r="ACQ251" s="1"/>
      <c r="ACR251" s="1"/>
      <c r="ACS251" s="1"/>
      <c r="ACT251" s="1"/>
      <c r="ACU251" s="1"/>
      <c r="ACV251" s="1"/>
      <c r="ACW251" s="1"/>
      <c r="ACX251" s="1"/>
      <c r="ACY251" s="1"/>
      <c r="ACZ251" s="1"/>
      <c r="ADA251" s="1"/>
      <c r="ADB251" s="1"/>
      <c r="ADC251" s="1"/>
      <c r="ADD251" s="1"/>
      <c r="ADE251" s="1"/>
      <c r="ADF251" s="1"/>
      <c r="ADG251" s="1"/>
      <c r="ADH251" s="1"/>
      <c r="ADI251" s="1"/>
      <c r="ADJ251" s="1"/>
      <c r="ADK251" s="1"/>
      <c r="ADL251" s="1"/>
      <c r="ADM251" s="1"/>
      <c r="ADN251" s="1"/>
      <c r="ADO251" s="1"/>
      <c r="ADP251" s="1"/>
      <c r="ADQ251" s="1"/>
      <c r="ADR251" s="1"/>
      <c r="ADS251" s="1"/>
      <c r="ADT251" s="1"/>
      <c r="ADU251" s="1"/>
      <c r="ADV251" s="1"/>
      <c r="ADW251" s="1"/>
      <c r="ADX251" s="1"/>
      <c r="ADY251" s="1"/>
      <c r="ADZ251" s="1"/>
      <c r="AEA251" s="1"/>
      <c r="AEB251" s="1"/>
      <c r="AEC251" s="1"/>
      <c r="AED251" s="1"/>
      <c r="AEE251" s="1"/>
      <c r="AEF251" s="1"/>
      <c r="AEG251" s="1"/>
      <c r="AEH251" s="1"/>
      <c r="AEI251" s="1"/>
      <c r="AEJ251" s="1"/>
      <c r="AEK251" s="1"/>
      <c r="AEL251" s="1"/>
      <c r="AEM251" s="1"/>
      <c r="AEN251" s="1"/>
      <c r="AEO251" s="1"/>
      <c r="AEP251" s="1"/>
      <c r="AEQ251" s="1"/>
      <c r="AER251" s="1"/>
      <c r="AES251" s="1"/>
      <c r="AET251" s="1"/>
      <c r="AEU251" s="1"/>
      <c r="AEV251" s="1"/>
      <c r="AEW251" s="1"/>
      <c r="AEX251" s="1"/>
      <c r="AEY251" s="1"/>
      <c r="AEZ251" s="1"/>
      <c r="AFA251" s="1"/>
      <c r="AFB251" s="1"/>
      <c r="AFC251" s="1"/>
      <c r="AFD251" s="1"/>
      <c r="AFE251" s="1"/>
      <c r="AFF251" s="1"/>
      <c r="AFG251" s="1"/>
      <c r="AFH251" s="1"/>
      <c r="AFI251" s="1"/>
      <c r="AFJ251" s="1"/>
      <c r="AFK251" s="1"/>
      <c r="AFL251" s="1"/>
      <c r="AFM251" s="1"/>
      <c r="AFN251" s="1"/>
      <c r="AFO251" s="1"/>
      <c r="AFP251" s="1"/>
      <c r="AFQ251" s="1"/>
      <c r="AFR251" s="1"/>
      <c r="AFS251" s="1"/>
      <c r="AFT251" s="1"/>
      <c r="AFU251" s="1"/>
      <c r="AFV251" s="1"/>
      <c r="AFW251" s="1"/>
      <c r="AFX251" s="1"/>
      <c r="AFY251" s="1"/>
      <c r="AFZ251" s="1"/>
      <c r="AGA251" s="1"/>
      <c r="AGB251" s="1"/>
      <c r="AGC251" s="1"/>
      <c r="AGD251" s="1"/>
      <c r="AGE251" s="1"/>
      <c r="AGF251" s="1"/>
      <c r="AGG251" s="1"/>
      <c r="AGH251" s="1"/>
      <c r="AGI251" s="1"/>
      <c r="AGJ251" s="1"/>
      <c r="AGK251" s="1"/>
      <c r="AGL251" s="1"/>
      <c r="AGM251" s="1"/>
      <c r="AGN251" s="1"/>
      <c r="AGO251" s="1"/>
      <c r="AGP251" s="1"/>
      <c r="AGQ251" s="1"/>
      <c r="AGR251" s="1"/>
      <c r="AGS251" s="1"/>
      <c r="AGT251" s="1"/>
      <c r="AGU251" s="1"/>
      <c r="AGV251" s="1"/>
      <c r="AGW251" s="1"/>
      <c r="AGX251" s="1"/>
      <c r="AGY251" s="1"/>
      <c r="AGZ251" s="1"/>
      <c r="AHA251" s="1"/>
      <c r="AHB251" s="1"/>
      <c r="AHC251" s="1"/>
      <c r="AHD251" s="1"/>
      <c r="AHE251" s="1"/>
      <c r="AHF251" s="1"/>
      <c r="AHG251" s="1"/>
      <c r="AHH251" s="1"/>
      <c r="AHI251" s="1"/>
      <c r="AHJ251" s="1"/>
      <c r="AHK251" s="1"/>
      <c r="AHL251" s="1"/>
      <c r="AHM251" s="1"/>
      <c r="AHN251" s="1"/>
      <c r="AHO251" s="1"/>
      <c r="AHP251" s="1"/>
      <c r="AHQ251" s="1"/>
      <c r="AHR251" s="1"/>
      <c r="AHS251" s="1"/>
      <c r="AHT251" s="1"/>
      <c r="AHU251" s="1"/>
      <c r="AHV251" s="1"/>
      <c r="AHW251" s="1"/>
      <c r="AHX251" s="1"/>
      <c r="AHY251" s="1"/>
      <c r="AHZ251" s="1"/>
      <c r="AIA251" s="1"/>
      <c r="AIB251" s="1"/>
      <c r="AIC251" s="1"/>
      <c r="AID251" s="1"/>
      <c r="AIE251" s="1"/>
      <c r="AIF251" s="1"/>
      <c r="AIG251" s="1"/>
      <c r="AIH251" s="1"/>
      <c r="AII251" s="1"/>
      <c r="AIJ251" s="1"/>
      <c r="AIK251" s="1"/>
      <c r="AIL251" s="1"/>
      <c r="AIM251" s="1"/>
      <c r="AIN251" s="1"/>
      <c r="AIO251" s="1"/>
      <c r="AIP251" s="1"/>
      <c r="AIQ251" s="1"/>
      <c r="AIR251" s="1"/>
      <c r="AIS251" s="1"/>
      <c r="AIT251" s="1"/>
      <c r="AIU251" s="1"/>
      <c r="AIV251" s="1"/>
      <c r="AIW251" s="1"/>
      <c r="AIX251" s="1"/>
      <c r="AIY251" s="1"/>
      <c r="AIZ251" s="1"/>
      <c r="AJA251" s="1"/>
      <c r="AJB251" s="1"/>
      <c r="AJC251" s="1"/>
      <c r="AJD251" s="1"/>
      <c r="AJE251" s="1"/>
      <c r="AJF251" s="1"/>
      <c r="AJG251" s="1"/>
      <c r="AJH251" s="1"/>
      <c r="AJI251" s="1"/>
      <c r="AJJ251" s="1"/>
      <c r="AJK251" s="1"/>
      <c r="AJL251" s="1"/>
      <c r="AJM251" s="1"/>
      <c r="AJN251" s="1"/>
      <c r="AJO251" s="1"/>
      <c r="AJP251" s="1"/>
      <c r="AJQ251" s="1"/>
      <c r="AJR251" s="1"/>
      <c r="AJS251" s="1"/>
      <c r="AJT251" s="1"/>
      <c r="AJU251" s="1"/>
      <c r="AJV251" s="1"/>
      <c r="AJW251" s="1"/>
      <c r="AJX251" s="1"/>
      <c r="AJY251" s="1"/>
      <c r="AJZ251" s="1"/>
      <c r="AKA251" s="1"/>
      <c r="AKB251" s="1"/>
      <c r="AKC251" s="1"/>
      <c r="AKD251" s="1"/>
      <c r="AKE251" s="1"/>
      <c r="AKF251" s="1"/>
      <c r="AKG251" s="1"/>
      <c r="AKH251" s="1"/>
      <c r="AKI251" s="1"/>
      <c r="AKJ251" s="1"/>
      <c r="AKK251" s="1"/>
      <c r="AKL251" s="1"/>
      <c r="AKM251" s="1"/>
      <c r="AKN251" s="1"/>
      <c r="AKO251" s="1"/>
      <c r="AKP251" s="1"/>
      <c r="AKQ251" s="1"/>
      <c r="AKR251" s="1"/>
      <c r="AKS251" s="1"/>
      <c r="AKT251" s="1"/>
      <c r="AKU251" s="1"/>
      <c r="AKV251" s="1"/>
      <c r="AKW251" s="1"/>
      <c r="AKX251" s="1"/>
      <c r="AKY251" s="1"/>
      <c r="AKZ251" s="1"/>
      <c r="ALA251" s="1"/>
      <c r="ALB251" s="1"/>
      <c r="ALC251" s="1"/>
      <c r="ALD251" s="1"/>
      <c r="ALE251" s="1"/>
      <c r="ALF251" s="1"/>
      <c r="ALG251" s="1"/>
      <c r="ALH251" s="1"/>
      <c r="ALI251" s="1"/>
      <c r="ALJ251" s="1"/>
      <c r="ALK251" s="1"/>
      <c r="ALL251" s="1"/>
      <c r="ALM251" s="1"/>
      <c r="ALN251" s="1"/>
      <c r="ALO251" s="1"/>
      <c r="ALP251" s="1"/>
      <c r="ALQ251" s="1"/>
      <c r="ALR251" s="1"/>
      <c r="ALS251" s="1"/>
      <c r="ALT251" s="1"/>
      <c r="ALU251" s="1"/>
      <c r="ALV251" s="1"/>
      <c r="ALW251" s="1"/>
      <c r="ALX251" s="1"/>
      <c r="ALY251" s="1"/>
      <c r="ALZ251" s="1"/>
      <c r="AMA251" s="1"/>
      <c r="AMB251" s="1"/>
      <c r="AMC251" s="1"/>
      <c r="AMD251" s="1"/>
      <c r="AME251" s="1"/>
      <c r="AMF251" s="1"/>
      <c r="AMG251" s="1"/>
      <c r="AMH251" s="1"/>
      <c r="AMI251" s="1"/>
      <c r="AMJ251" s="1"/>
      <c r="AMK251" s="1"/>
      <c r="AML251" s="1"/>
      <c r="AMM251" s="1"/>
      <c r="AMN251" s="1"/>
      <c r="AMO251" s="1"/>
    </row>
    <row r="252" spans="1:1029" x14ac:dyDescent="0.2">
      <c r="A252" s="3" t="str">
        <f t="shared" ref="A252:A271" si="811">CONCATENATE(B252,"_",C252)</f>
        <v>par2_human__wt</v>
      </c>
      <c r="B252" s="3" t="s">
        <v>356</v>
      </c>
      <c r="C252" s="3" t="s">
        <v>100</v>
      </c>
      <c r="D252" s="3" t="str">
        <f>IFERROR(MID(VLOOKUP($B252,Seqs!$A:$B,2,0),E252,1),"")</f>
        <v>G</v>
      </c>
      <c r="E252" s="3">
        <v>71</v>
      </c>
      <c r="F252" s="3" t="str">
        <f>IFERROR(MID(VLOOKUP($B252,Seqs!$A:$B,2,0),G252,1),"")</f>
        <v>R</v>
      </c>
      <c r="G252" s="3">
        <v>103</v>
      </c>
      <c r="H252" s="3" t="str">
        <f>IFERROR(MID(VLOOKUP($B252,Seqs!$A:$B,2,0),I252,1),"")</f>
        <v/>
      </c>
      <c r="I252" s="23" t="s">
        <v>23</v>
      </c>
      <c r="J252" s="3" t="str">
        <f>IFERROR(MID(VLOOKUP($B252,Seqs!$A:$B,2,0),K252,1),"")</f>
        <v/>
      </c>
      <c r="K252" s="23" t="s">
        <v>23</v>
      </c>
      <c r="L252" s="3" t="str">
        <f>IFERROR(MID(VLOOKUP($B252,Seqs!$A:$B,2,0),M252,1),"")</f>
        <v>H</v>
      </c>
      <c r="M252" s="3">
        <v>108</v>
      </c>
      <c r="N252" s="3" t="str">
        <f>IFERROR(MID(VLOOKUP($B252,Seqs!$A:$B,2,0),O252,1),"")</f>
        <v>H</v>
      </c>
      <c r="O252" s="3">
        <v>137</v>
      </c>
      <c r="P252" s="3" t="str">
        <f>IFERROR(MID(VLOOKUP($B252,Seqs!$A:$B,2,0),Q252,1),"")</f>
        <v>G</v>
      </c>
      <c r="Q252" s="3">
        <v>138</v>
      </c>
      <c r="R252" s="3" t="str">
        <f>IFERROR(MID(VLOOKUP($B252,Seqs!$A:$B,2,0),S252,1),"")</f>
        <v>Y</v>
      </c>
      <c r="S252" s="3">
        <v>143</v>
      </c>
      <c r="T252" s="3" t="str">
        <f>IFERROR(MID(VLOOKUP($B252,Seqs!$A:$B,2,0),U252,1),"")</f>
        <v>G</v>
      </c>
      <c r="U252" s="3">
        <v>144</v>
      </c>
      <c r="V252" s="3" t="str">
        <f>IFERROR(MID(VLOOKUP($B252,Seqs!$A:$B,2,0),W252,1),"")</f>
        <v>N</v>
      </c>
      <c r="W252" s="3">
        <v>179</v>
      </c>
      <c r="X252" s="3" t="str">
        <f>IFERROR(MID(VLOOKUP($B252,Seqs!$A:$B,2,0),Y252,1),"")</f>
        <v>P</v>
      </c>
      <c r="Y252" s="3">
        <v>180</v>
      </c>
      <c r="Z252" s="3" t="str">
        <f>IFERROR(MID(VLOOKUP($B252,Seqs!$A:$B,2,0),AA252,1),"")</f>
        <v>K</v>
      </c>
      <c r="AA252" s="3">
        <v>186</v>
      </c>
      <c r="AB252" s="3" t="str">
        <f>IFERROR(MID(VLOOKUP($B252,Seqs!$A:$B,2,0),AC252,1),"")</f>
        <v>K</v>
      </c>
      <c r="AC252" s="3">
        <v>187</v>
      </c>
      <c r="AD252" s="3" t="str">
        <f>IFERROR(MID(VLOOKUP($B252,Seqs!$A:$B,2,0),AE252,1),"")</f>
        <v>V</v>
      </c>
      <c r="AE252" s="3">
        <v>211</v>
      </c>
      <c r="AF252" s="3" t="str">
        <f>IFERROR(MID(VLOOKUP($B252,Seqs!$A:$B,2,0),AG252,1),"")</f>
        <v>C</v>
      </c>
      <c r="AG252" s="3">
        <v>226</v>
      </c>
      <c r="AH252" s="3" t="str">
        <f>IFERROR(MID(VLOOKUP($B252,Seqs!$A:$B,2,0),AI252,1),"")</f>
        <v>D</v>
      </c>
      <c r="AI252" s="3">
        <v>228</v>
      </c>
      <c r="AJ252" s="3" t="str">
        <f>IFERROR(MID(VLOOKUP($B252,Seqs!$A:$B,2,0),AK252,1),"")</f>
        <v>L</v>
      </c>
      <c r="AK252" s="3">
        <v>235</v>
      </c>
      <c r="AL252" s="3" t="str">
        <f>IFERROR(MID(VLOOKUP($B252,Seqs!$A:$B,2,0),AM252,1),"")</f>
        <v>S</v>
      </c>
      <c r="AM252" s="3">
        <v>272</v>
      </c>
      <c r="AN252" s="3" t="str">
        <f>IFERROR(MID(VLOOKUP($B252,Seqs!$A:$B,2,0),AO252,1),"")</f>
        <v>S</v>
      </c>
      <c r="AO252" s="3">
        <v>278</v>
      </c>
      <c r="AP252" s="3" t="str">
        <f>IFERROR(MID(VLOOKUP($B252,Seqs!$A:$B,2,0),AQ252,1),"")</f>
        <v>Q</v>
      </c>
      <c r="AQ252" s="3">
        <v>317</v>
      </c>
      <c r="AR252" s="3" t="str">
        <f>IFERROR(MID(VLOOKUP($B252,Seqs!$A:$B,2,0),AS252,1),"")</f>
        <v>V</v>
      </c>
      <c r="AS252" s="3">
        <v>322</v>
      </c>
      <c r="AT252" s="3" t="str">
        <f>IFERROR(MID(VLOOKUP($B252,Seqs!$A:$B,2,0),AU252,1),"")</f>
        <v>V</v>
      </c>
      <c r="AU252" s="3">
        <v>347</v>
      </c>
      <c r="AV252" s="3" t="str">
        <f>IFERROR(MID(VLOOKUP($B252,Seqs!$A:$B,2,0),AW252,1),"")</f>
        <v>S</v>
      </c>
      <c r="AW252" s="3">
        <v>348</v>
      </c>
      <c r="AX252" s="3" t="str">
        <f>IFERROR(MID(VLOOKUP($B252,Seqs!$A:$B,2,0),AY252,1),"")</f>
        <v>R</v>
      </c>
      <c r="AY252" s="3">
        <v>362</v>
      </c>
      <c r="AZ252" s="77" t="str">
        <f>VLOOKUP(B252,Classification!A:D,2,0)</f>
        <v>A</v>
      </c>
      <c r="BA252" s="94" t="str">
        <f>VLOOKUP(B252,Classification!A:D,4,0)</f>
        <v>Proteinase-activated</v>
      </c>
      <c r="BB252" s="27" t="b">
        <f t="shared" ref="BB252:BB271" si="812">AND(E252&lt;G252,OR(G252&lt;I252,I252="-"),OR(I252&lt;K252,I252="-"),OR(K252&lt;M252,K252="-"),M252&lt;O252,OR(O252&lt;Q252,Q252="-"),OR(Q252&lt;S252,Q252="-"),OR(S252&lt;U252,S252="-"),U252&lt;W252,OR(W252&lt;Y252,Y252="-"),OR(Y252&lt;AA252,Y252="-"),OR(AA252&lt;AC252,AA252="-"),AC252&lt;AE252,OR(AE252&lt;AG252,AG252="-"),OR(AG252&lt;AI252,AG252="-"),OR(AI252&lt;AK252,AI252="-"),AK252&lt;AM252,AM252&lt;AO252,AO252&lt;AQ252,AQ252&lt;AS252,AS252&lt;AU252,OR(AU252&lt;AW252,AW252="-"),OR(AW252&lt;AY252,AW252="-"))</f>
        <v>1</v>
      </c>
      <c r="BC252" s="23">
        <f t="shared" ref="BC252:BC271" si="813">_xlfn.AGGREGATE(9,6,CH252:CS252)-_xlfn.AGGREGATE(9,6,BV252:CG252)+12</f>
        <v>260</v>
      </c>
      <c r="BD252" s="2" t="s">
        <v>23</v>
      </c>
      <c r="BE252" s="3" t="s">
        <v>23</v>
      </c>
      <c r="BF252" s="119" t="s">
        <v>23</v>
      </c>
      <c r="BG252" s="49" t="s">
        <v>1384</v>
      </c>
      <c r="BH252" s="49" t="s">
        <v>1384</v>
      </c>
      <c r="BI252" s="1"/>
      <c r="BJ252" s="70" t="s">
        <v>1293</v>
      </c>
      <c r="BK252" s="57" t="s">
        <v>1293</v>
      </c>
      <c r="BL252" s="57" t="s">
        <v>1293</v>
      </c>
      <c r="BM252" s="57" t="s">
        <v>1293</v>
      </c>
      <c r="BN252" s="57" t="s">
        <v>1293</v>
      </c>
      <c r="BO252" s="57" t="s">
        <v>1293</v>
      </c>
      <c r="BP252" s="57" t="s">
        <v>1293</v>
      </c>
      <c r="BQ252" s="57" t="s">
        <v>1293</v>
      </c>
      <c r="BR252" s="57" t="s">
        <v>1293</v>
      </c>
      <c r="BS252" s="57" t="s">
        <v>1293</v>
      </c>
      <c r="BT252" s="57" t="s">
        <v>1293</v>
      </c>
      <c r="BU252" s="57" t="s">
        <v>1293</v>
      </c>
      <c r="BV252" s="70">
        <f t="shared" ref="BV252:BV271" si="814">E252</f>
        <v>71</v>
      </c>
      <c r="BW252" s="71" t="str">
        <f t="shared" ref="BW252:BW271" si="815">I252</f>
        <v>-</v>
      </c>
      <c r="BX252" s="72">
        <f t="shared" ref="BX252:BX271" si="816">M252</f>
        <v>108</v>
      </c>
      <c r="BY252" s="71">
        <f t="shared" ref="BY252:BY271" si="817">Q252</f>
        <v>138</v>
      </c>
      <c r="BZ252" s="72">
        <f t="shared" ref="BZ252:BZ271" si="818">U252</f>
        <v>144</v>
      </c>
      <c r="CA252" s="71">
        <f t="shared" ref="CA252:CA271" si="819">Y252</f>
        <v>180</v>
      </c>
      <c r="CB252" s="72">
        <f t="shared" ref="CB252:CB271" si="820">AC252</f>
        <v>187</v>
      </c>
      <c r="CC252" s="71">
        <f t="shared" ref="CC252:CC271" si="821">AG252</f>
        <v>226</v>
      </c>
      <c r="CD252" s="72">
        <f t="shared" ref="CD252:CD271" si="822">AK252</f>
        <v>235</v>
      </c>
      <c r="CE252" s="71">
        <f t="shared" ref="CE252:CE271" si="823">AO252</f>
        <v>278</v>
      </c>
      <c r="CF252" s="72">
        <f t="shared" ref="CF252:CF271" si="824">AS252</f>
        <v>322</v>
      </c>
      <c r="CG252" s="71">
        <f t="shared" ref="CG252:CG271" si="825">AW252</f>
        <v>348</v>
      </c>
      <c r="CH252" s="70">
        <f t="shared" ref="CH252:CH271" si="826">G252</f>
        <v>103</v>
      </c>
      <c r="CI252" s="71" t="str">
        <f t="shared" ref="CI252:CI271" si="827">K252</f>
        <v>-</v>
      </c>
      <c r="CJ252" s="72">
        <f t="shared" ref="CJ252:CJ271" si="828">O252</f>
        <v>137</v>
      </c>
      <c r="CK252" s="72">
        <f t="shared" ref="CK252:CK271" si="829">S252</f>
        <v>143</v>
      </c>
      <c r="CL252" s="72">
        <f t="shared" ref="CL252:CL271" si="830">W252</f>
        <v>179</v>
      </c>
      <c r="CM252" s="72">
        <f t="shared" ref="CM252:CM271" si="831">AA252</f>
        <v>186</v>
      </c>
      <c r="CN252" s="72">
        <f t="shared" ref="CN252:CN271" si="832">AE252</f>
        <v>211</v>
      </c>
      <c r="CO252" s="72">
        <f t="shared" ref="CO252:CO271" si="833">AI252</f>
        <v>228</v>
      </c>
      <c r="CP252" s="72">
        <f t="shared" ref="CP252:CP271" si="834">AM252</f>
        <v>272</v>
      </c>
      <c r="CQ252" s="72">
        <f t="shared" ref="CQ252:CQ271" si="835">AQ252</f>
        <v>317</v>
      </c>
      <c r="CR252" s="72">
        <f t="shared" ref="CR252:CR271" si="836">AU252</f>
        <v>347</v>
      </c>
      <c r="CS252" s="72">
        <f t="shared" ref="CS252:CS271" si="837">AY252</f>
        <v>362</v>
      </c>
      <c r="CT252" s="23" t="e">
        <f t="shared" ref="CT252:CT271" si="838">M252-K252</f>
        <v>#VALUE!</v>
      </c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  <c r="OK252" s="1"/>
      <c r="OL252" s="1"/>
      <c r="OM252" s="1"/>
      <c r="ON252" s="1"/>
      <c r="OO252" s="1"/>
      <c r="OP252" s="1"/>
      <c r="OQ252" s="1"/>
      <c r="OR252" s="1"/>
      <c r="OS252" s="1"/>
      <c r="OT252" s="1"/>
      <c r="OU252" s="1"/>
      <c r="OV252" s="1"/>
      <c r="OW252" s="1"/>
      <c r="OX252" s="1"/>
      <c r="OY252" s="1"/>
      <c r="OZ252" s="1"/>
      <c r="PA252" s="1"/>
      <c r="PB252" s="1"/>
      <c r="PC252" s="1"/>
      <c r="PD252" s="1"/>
      <c r="PE252" s="1"/>
      <c r="PF252" s="1"/>
      <c r="PG252" s="1"/>
      <c r="PH252" s="1"/>
      <c r="PI252" s="1"/>
      <c r="PJ252" s="1"/>
      <c r="PK252" s="1"/>
      <c r="PL252" s="1"/>
      <c r="PM252" s="1"/>
      <c r="PN252" s="1"/>
      <c r="PO252" s="1"/>
      <c r="PP252" s="1"/>
      <c r="PQ252" s="1"/>
      <c r="PR252" s="1"/>
      <c r="PS252" s="1"/>
      <c r="PT252" s="1"/>
      <c r="PU252" s="1"/>
      <c r="PV252" s="1"/>
      <c r="PW252" s="1"/>
      <c r="PX252" s="1"/>
      <c r="PY252" s="1"/>
      <c r="PZ252" s="1"/>
      <c r="QA252" s="1"/>
      <c r="QB252" s="1"/>
      <c r="QC252" s="1"/>
      <c r="QD252" s="1"/>
      <c r="QE252" s="1"/>
      <c r="QF252" s="1"/>
      <c r="QG252" s="1"/>
      <c r="QH252" s="1"/>
      <c r="QI252" s="1"/>
      <c r="QJ252" s="1"/>
      <c r="QK252" s="1"/>
      <c r="QL252" s="1"/>
      <c r="QM252" s="1"/>
      <c r="QN252" s="1"/>
      <c r="QO252" s="1"/>
      <c r="QP252" s="1"/>
      <c r="QQ252" s="1"/>
      <c r="QR252" s="1"/>
      <c r="QS252" s="1"/>
      <c r="QT252" s="1"/>
      <c r="QU252" s="1"/>
      <c r="QV252" s="1"/>
      <c r="QW252" s="1"/>
      <c r="QX252" s="1"/>
      <c r="QY252" s="1"/>
      <c r="QZ252" s="1"/>
      <c r="RA252" s="1"/>
      <c r="RB252" s="1"/>
      <c r="RC252" s="1"/>
      <c r="RD252" s="1"/>
      <c r="RE252" s="1"/>
      <c r="RF252" s="1"/>
      <c r="RG252" s="1"/>
      <c r="RH252" s="1"/>
      <c r="RI252" s="1"/>
      <c r="RJ252" s="1"/>
      <c r="RK252" s="1"/>
      <c r="RL252" s="1"/>
      <c r="RM252" s="1"/>
      <c r="RN252" s="1"/>
      <c r="RO252" s="1"/>
      <c r="RP252" s="1"/>
      <c r="RQ252" s="1"/>
      <c r="RR252" s="1"/>
      <c r="RS252" s="1"/>
      <c r="RT252" s="1"/>
      <c r="RU252" s="1"/>
      <c r="RV252" s="1"/>
      <c r="RW252" s="1"/>
      <c r="RX252" s="1"/>
      <c r="RY252" s="1"/>
      <c r="RZ252" s="1"/>
      <c r="SA252" s="1"/>
      <c r="SB252" s="1"/>
      <c r="SC252" s="1"/>
      <c r="SD252" s="1"/>
      <c r="SE252" s="1"/>
      <c r="SF252" s="1"/>
      <c r="SG252" s="1"/>
      <c r="SH252" s="1"/>
      <c r="SI252" s="1"/>
      <c r="SJ252" s="1"/>
      <c r="SK252" s="1"/>
      <c r="SL252" s="1"/>
      <c r="SM252" s="1"/>
      <c r="SN252" s="1"/>
      <c r="SO252" s="1"/>
      <c r="SP252" s="1"/>
      <c r="SQ252" s="1"/>
      <c r="SR252" s="1"/>
      <c r="SS252" s="1"/>
      <c r="ST252" s="1"/>
      <c r="SU252" s="1"/>
      <c r="SV252" s="1"/>
      <c r="SW252" s="1"/>
      <c r="SX252" s="1"/>
      <c r="SY252" s="1"/>
      <c r="SZ252" s="1"/>
      <c r="TA252" s="1"/>
      <c r="TB252" s="1"/>
      <c r="TC252" s="1"/>
      <c r="TD252" s="1"/>
      <c r="TE252" s="1"/>
      <c r="TF252" s="1"/>
      <c r="TG252" s="1"/>
      <c r="TH252" s="1"/>
      <c r="TI252" s="1"/>
      <c r="TJ252" s="1"/>
      <c r="TK252" s="1"/>
      <c r="TL252" s="1"/>
      <c r="TM252" s="1"/>
      <c r="TN252" s="1"/>
      <c r="TO252" s="1"/>
      <c r="TP252" s="1"/>
      <c r="TQ252" s="1"/>
      <c r="TR252" s="1"/>
      <c r="TS252" s="1"/>
      <c r="TT252" s="1"/>
      <c r="TU252" s="1"/>
      <c r="TV252" s="1"/>
      <c r="TW252" s="1"/>
      <c r="TX252" s="1"/>
      <c r="TY252" s="1"/>
      <c r="TZ252" s="1"/>
      <c r="UA252" s="1"/>
      <c r="UB252" s="1"/>
      <c r="UC252" s="1"/>
      <c r="UD252" s="1"/>
      <c r="UE252" s="1"/>
      <c r="UF252" s="1"/>
      <c r="UG252" s="1"/>
      <c r="UH252" s="1"/>
      <c r="UI252" s="1"/>
      <c r="UJ252" s="1"/>
      <c r="UK252" s="1"/>
      <c r="UL252" s="1"/>
      <c r="UM252" s="1"/>
      <c r="UN252" s="1"/>
      <c r="UO252" s="1"/>
      <c r="UP252" s="1"/>
      <c r="UQ252" s="1"/>
      <c r="UR252" s="1"/>
      <c r="US252" s="1"/>
      <c r="UT252" s="1"/>
      <c r="UU252" s="1"/>
      <c r="UV252" s="1"/>
      <c r="UW252" s="1"/>
      <c r="UX252" s="1"/>
      <c r="UY252" s="1"/>
      <c r="UZ252" s="1"/>
      <c r="VA252" s="1"/>
      <c r="VB252" s="1"/>
      <c r="VC252" s="1"/>
      <c r="VD252" s="1"/>
      <c r="VE252" s="1"/>
      <c r="VF252" s="1"/>
      <c r="VG252" s="1"/>
      <c r="VH252" s="1"/>
      <c r="VI252" s="1"/>
      <c r="VJ252" s="1"/>
      <c r="VK252" s="1"/>
      <c r="VL252" s="1"/>
      <c r="VM252" s="1"/>
      <c r="VN252" s="1"/>
      <c r="VO252" s="1"/>
      <c r="VP252" s="1"/>
      <c r="VQ252" s="1"/>
      <c r="VR252" s="1"/>
      <c r="VS252" s="1"/>
      <c r="VT252" s="1"/>
      <c r="VU252" s="1"/>
      <c r="VV252" s="1"/>
      <c r="VW252" s="1"/>
      <c r="VX252" s="1"/>
      <c r="VY252" s="1"/>
      <c r="VZ252" s="1"/>
      <c r="WA252" s="1"/>
      <c r="WB252" s="1"/>
      <c r="WC252" s="1"/>
      <c r="WD252" s="1"/>
      <c r="WE252" s="1"/>
      <c r="WF252" s="1"/>
      <c r="WG252" s="1"/>
      <c r="WH252" s="1"/>
      <c r="WI252" s="1"/>
      <c r="WJ252" s="1"/>
      <c r="WK252" s="1"/>
      <c r="WL252" s="1"/>
      <c r="WM252" s="1"/>
      <c r="WN252" s="1"/>
      <c r="WO252" s="1"/>
      <c r="WP252" s="1"/>
      <c r="WQ252" s="1"/>
      <c r="WR252" s="1"/>
      <c r="WS252" s="1"/>
      <c r="WT252" s="1"/>
      <c r="WU252" s="1"/>
      <c r="WV252" s="1"/>
      <c r="WW252" s="1"/>
      <c r="WX252" s="1"/>
      <c r="WY252" s="1"/>
      <c r="WZ252" s="1"/>
      <c r="XA252" s="1"/>
      <c r="XB252" s="1"/>
      <c r="XC252" s="1"/>
      <c r="XD252" s="1"/>
      <c r="XE252" s="1"/>
      <c r="XF252" s="1"/>
      <c r="XG252" s="1"/>
      <c r="XH252" s="1"/>
      <c r="XI252" s="1"/>
      <c r="XJ252" s="1"/>
      <c r="XK252" s="1"/>
      <c r="XL252" s="1"/>
      <c r="XM252" s="1"/>
      <c r="XN252" s="1"/>
      <c r="XO252" s="1"/>
      <c r="XP252" s="1"/>
      <c r="XQ252" s="1"/>
      <c r="XR252" s="1"/>
      <c r="XS252" s="1"/>
      <c r="XT252" s="1"/>
      <c r="XU252" s="1"/>
      <c r="XV252" s="1"/>
      <c r="XW252" s="1"/>
      <c r="XX252" s="1"/>
      <c r="XY252" s="1"/>
      <c r="XZ252" s="1"/>
      <c r="YA252" s="1"/>
      <c r="YB252" s="1"/>
      <c r="YC252" s="1"/>
      <c r="YD252" s="1"/>
      <c r="YE252" s="1"/>
      <c r="YF252" s="1"/>
      <c r="YG252" s="1"/>
      <c r="YH252" s="1"/>
      <c r="YI252" s="1"/>
      <c r="YJ252" s="1"/>
      <c r="YK252" s="1"/>
      <c r="YL252" s="1"/>
      <c r="YM252" s="1"/>
      <c r="YN252" s="1"/>
      <c r="YO252" s="1"/>
      <c r="YP252" s="1"/>
      <c r="YQ252" s="1"/>
      <c r="YR252" s="1"/>
      <c r="YS252" s="1"/>
      <c r="YT252" s="1"/>
      <c r="YU252" s="1"/>
      <c r="YV252" s="1"/>
      <c r="YW252" s="1"/>
      <c r="YX252" s="1"/>
      <c r="YY252" s="1"/>
      <c r="YZ252" s="1"/>
      <c r="ZA252" s="1"/>
      <c r="ZB252" s="1"/>
      <c r="ZC252" s="1"/>
      <c r="ZD252" s="1"/>
      <c r="ZE252" s="1"/>
      <c r="ZF252" s="1"/>
      <c r="ZG252" s="1"/>
      <c r="ZH252" s="1"/>
      <c r="ZI252" s="1"/>
      <c r="ZJ252" s="1"/>
      <c r="ZK252" s="1"/>
      <c r="ZL252" s="1"/>
      <c r="ZM252" s="1"/>
      <c r="ZN252" s="1"/>
      <c r="ZO252" s="1"/>
      <c r="ZP252" s="1"/>
      <c r="ZQ252" s="1"/>
      <c r="ZR252" s="1"/>
      <c r="ZS252" s="1"/>
      <c r="ZT252" s="1"/>
      <c r="ZU252" s="1"/>
      <c r="ZV252" s="1"/>
      <c r="ZW252" s="1"/>
      <c r="ZX252" s="1"/>
      <c r="ZY252" s="1"/>
      <c r="ZZ252" s="1"/>
      <c r="AAA252" s="1"/>
      <c r="AAB252" s="1"/>
      <c r="AAC252" s="1"/>
      <c r="AAD252" s="1"/>
      <c r="AAE252" s="1"/>
      <c r="AAF252" s="1"/>
      <c r="AAG252" s="1"/>
      <c r="AAH252" s="1"/>
      <c r="AAI252" s="1"/>
      <c r="AAJ252" s="1"/>
      <c r="AAK252" s="1"/>
      <c r="AAL252" s="1"/>
      <c r="AAM252" s="1"/>
      <c r="AAN252" s="1"/>
      <c r="AAO252" s="1"/>
      <c r="AAP252" s="1"/>
      <c r="AAQ252" s="1"/>
      <c r="AAR252" s="1"/>
      <c r="AAS252" s="1"/>
      <c r="AAT252" s="1"/>
      <c r="AAU252" s="1"/>
      <c r="AAV252" s="1"/>
      <c r="AAW252" s="1"/>
      <c r="AAX252" s="1"/>
      <c r="AAY252" s="1"/>
      <c r="AAZ252" s="1"/>
      <c r="ABA252" s="1"/>
      <c r="ABB252" s="1"/>
      <c r="ABC252" s="1"/>
      <c r="ABD252" s="1"/>
      <c r="ABE252" s="1"/>
      <c r="ABF252" s="1"/>
      <c r="ABG252" s="1"/>
      <c r="ABH252" s="1"/>
      <c r="ABI252" s="1"/>
      <c r="ABJ252" s="1"/>
      <c r="ABK252" s="1"/>
      <c r="ABL252" s="1"/>
      <c r="ABM252" s="1"/>
      <c r="ABN252" s="1"/>
      <c r="ABO252" s="1"/>
      <c r="ABP252" s="1"/>
      <c r="ABQ252" s="1"/>
      <c r="ABR252" s="1"/>
      <c r="ABS252" s="1"/>
      <c r="ABT252" s="1"/>
      <c r="ABU252" s="1"/>
      <c r="ABV252" s="1"/>
      <c r="ABW252" s="1"/>
      <c r="ABX252" s="1"/>
      <c r="ABY252" s="1"/>
      <c r="ABZ252" s="1"/>
      <c r="ACA252" s="1"/>
      <c r="ACB252" s="1"/>
      <c r="ACC252" s="1"/>
      <c r="ACD252" s="1"/>
      <c r="ACE252" s="1"/>
      <c r="ACF252" s="1"/>
      <c r="ACG252" s="1"/>
      <c r="ACH252" s="1"/>
      <c r="ACI252" s="1"/>
      <c r="ACJ252" s="1"/>
      <c r="ACK252" s="1"/>
      <c r="ACL252" s="1"/>
      <c r="ACM252" s="1"/>
      <c r="ACN252" s="1"/>
      <c r="ACO252" s="1"/>
      <c r="ACP252" s="1"/>
      <c r="ACQ252" s="1"/>
      <c r="ACR252" s="1"/>
      <c r="ACS252" s="1"/>
      <c r="ACT252" s="1"/>
      <c r="ACU252" s="1"/>
      <c r="ACV252" s="1"/>
      <c r="ACW252" s="1"/>
      <c r="ACX252" s="1"/>
      <c r="ACY252" s="1"/>
      <c r="ACZ252" s="1"/>
      <c r="ADA252" s="1"/>
      <c r="ADB252" s="1"/>
      <c r="ADC252" s="1"/>
      <c r="ADD252" s="1"/>
      <c r="ADE252" s="1"/>
      <c r="ADF252" s="1"/>
      <c r="ADG252" s="1"/>
      <c r="ADH252" s="1"/>
      <c r="ADI252" s="1"/>
      <c r="ADJ252" s="1"/>
      <c r="ADK252" s="1"/>
      <c r="ADL252" s="1"/>
      <c r="ADM252" s="1"/>
      <c r="ADN252" s="1"/>
      <c r="ADO252" s="1"/>
      <c r="ADP252" s="1"/>
      <c r="ADQ252" s="1"/>
      <c r="ADR252" s="1"/>
      <c r="ADS252" s="1"/>
      <c r="ADT252" s="1"/>
      <c r="ADU252" s="1"/>
      <c r="ADV252" s="1"/>
      <c r="ADW252" s="1"/>
      <c r="ADX252" s="1"/>
      <c r="ADY252" s="1"/>
      <c r="ADZ252" s="1"/>
      <c r="AEA252" s="1"/>
      <c r="AEB252" s="1"/>
      <c r="AEC252" s="1"/>
      <c r="AED252" s="1"/>
      <c r="AEE252" s="1"/>
      <c r="AEF252" s="1"/>
      <c r="AEG252" s="1"/>
      <c r="AEH252" s="1"/>
      <c r="AEI252" s="1"/>
      <c r="AEJ252" s="1"/>
      <c r="AEK252" s="1"/>
      <c r="AEL252" s="1"/>
      <c r="AEM252" s="1"/>
      <c r="AEN252" s="1"/>
      <c r="AEO252" s="1"/>
      <c r="AEP252" s="1"/>
      <c r="AEQ252" s="1"/>
      <c r="AER252" s="1"/>
      <c r="AES252" s="1"/>
      <c r="AET252" s="1"/>
      <c r="AEU252" s="1"/>
      <c r="AEV252" s="1"/>
      <c r="AEW252" s="1"/>
      <c r="AEX252" s="1"/>
      <c r="AEY252" s="1"/>
      <c r="AEZ252" s="1"/>
      <c r="AFA252" s="1"/>
      <c r="AFB252" s="1"/>
      <c r="AFC252" s="1"/>
      <c r="AFD252" s="1"/>
      <c r="AFE252" s="1"/>
      <c r="AFF252" s="1"/>
      <c r="AFG252" s="1"/>
      <c r="AFH252" s="1"/>
      <c r="AFI252" s="1"/>
      <c r="AFJ252" s="1"/>
      <c r="AFK252" s="1"/>
      <c r="AFL252" s="1"/>
      <c r="AFM252" s="1"/>
      <c r="AFN252" s="1"/>
      <c r="AFO252" s="1"/>
      <c r="AFP252" s="1"/>
      <c r="AFQ252" s="1"/>
      <c r="AFR252" s="1"/>
      <c r="AFS252" s="1"/>
      <c r="AFT252" s="1"/>
      <c r="AFU252" s="1"/>
      <c r="AFV252" s="1"/>
      <c r="AFW252" s="1"/>
      <c r="AFX252" s="1"/>
      <c r="AFY252" s="1"/>
      <c r="AFZ252" s="1"/>
      <c r="AGA252" s="1"/>
      <c r="AGB252" s="1"/>
      <c r="AGC252" s="1"/>
      <c r="AGD252" s="1"/>
      <c r="AGE252" s="1"/>
      <c r="AGF252" s="1"/>
      <c r="AGG252" s="1"/>
      <c r="AGH252" s="1"/>
      <c r="AGI252" s="1"/>
      <c r="AGJ252" s="1"/>
      <c r="AGK252" s="1"/>
      <c r="AGL252" s="1"/>
      <c r="AGM252" s="1"/>
      <c r="AGN252" s="1"/>
      <c r="AGO252" s="1"/>
      <c r="AGP252" s="1"/>
      <c r="AGQ252" s="1"/>
      <c r="AGR252" s="1"/>
      <c r="AGS252" s="1"/>
      <c r="AGT252" s="1"/>
      <c r="AGU252" s="1"/>
      <c r="AGV252" s="1"/>
      <c r="AGW252" s="1"/>
      <c r="AGX252" s="1"/>
      <c r="AGY252" s="1"/>
      <c r="AGZ252" s="1"/>
      <c r="AHA252" s="1"/>
      <c r="AHB252" s="1"/>
      <c r="AHC252" s="1"/>
      <c r="AHD252" s="1"/>
      <c r="AHE252" s="1"/>
      <c r="AHF252" s="1"/>
      <c r="AHG252" s="1"/>
      <c r="AHH252" s="1"/>
      <c r="AHI252" s="1"/>
      <c r="AHJ252" s="1"/>
      <c r="AHK252" s="1"/>
      <c r="AHL252" s="1"/>
      <c r="AHM252" s="1"/>
      <c r="AHN252" s="1"/>
      <c r="AHO252" s="1"/>
      <c r="AHP252" s="1"/>
      <c r="AHQ252" s="1"/>
      <c r="AHR252" s="1"/>
      <c r="AHS252" s="1"/>
      <c r="AHT252" s="1"/>
      <c r="AHU252" s="1"/>
      <c r="AHV252" s="1"/>
      <c r="AHW252" s="1"/>
      <c r="AHX252" s="1"/>
      <c r="AHY252" s="1"/>
      <c r="AHZ252" s="1"/>
      <c r="AIA252" s="1"/>
      <c r="AIB252" s="1"/>
      <c r="AIC252" s="1"/>
      <c r="AID252" s="1"/>
      <c r="AIE252" s="1"/>
      <c r="AIF252" s="1"/>
      <c r="AIG252" s="1"/>
      <c r="AIH252" s="1"/>
      <c r="AII252" s="1"/>
      <c r="AIJ252" s="1"/>
      <c r="AIK252" s="1"/>
      <c r="AIL252" s="1"/>
      <c r="AIM252" s="1"/>
      <c r="AIN252" s="1"/>
      <c r="AIO252" s="1"/>
      <c r="AIP252" s="1"/>
      <c r="AIQ252" s="1"/>
      <c r="AIR252" s="1"/>
      <c r="AIS252" s="1"/>
      <c r="AIT252" s="1"/>
      <c r="AIU252" s="1"/>
      <c r="AIV252" s="1"/>
      <c r="AIW252" s="1"/>
      <c r="AIX252" s="1"/>
      <c r="AIY252" s="1"/>
      <c r="AIZ252" s="1"/>
      <c r="AJA252" s="1"/>
      <c r="AJB252" s="1"/>
      <c r="AJC252" s="1"/>
      <c r="AJD252" s="1"/>
      <c r="AJE252" s="1"/>
      <c r="AJF252" s="1"/>
      <c r="AJG252" s="1"/>
      <c r="AJH252" s="1"/>
      <c r="AJI252" s="1"/>
      <c r="AJJ252" s="1"/>
      <c r="AJK252" s="1"/>
      <c r="AJL252" s="1"/>
      <c r="AJM252" s="1"/>
      <c r="AJN252" s="1"/>
      <c r="AJO252" s="1"/>
      <c r="AJP252" s="1"/>
      <c r="AJQ252" s="1"/>
      <c r="AJR252" s="1"/>
      <c r="AJS252" s="1"/>
      <c r="AJT252" s="1"/>
      <c r="AJU252" s="1"/>
      <c r="AJV252" s="1"/>
      <c r="AJW252" s="1"/>
      <c r="AJX252" s="1"/>
      <c r="AJY252" s="1"/>
      <c r="AJZ252" s="1"/>
      <c r="AKA252" s="1"/>
      <c r="AKB252" s="1"/>
      <c r="AKC252" s="1"/>
      <c r="AKD252" s="1"/>
      <c r="AKE252" s="1"/>
      <c r="AKF252" s="1"/>
      <c r="AKG252" s="1"/>
      <c r="AKH252" s="1"/>
      <c r="AKI252" s="1"/>
      <c r="AKJ252" s="1"/>
      <c r="AKK252" s="1"/>
      <c r="AKL252" s="1"/>
      <c r="AKM252" s="1"/>
      <c r="AKN252" s="1"/>
      <c r="AKO252" s="1"/>
      <c r="AKP252" s="1"/>
      <c r="AKQ252" s="1"/>
      <c r="AKR252" s="1"/>
      <c r="AKS252" s="1"/>
      <c r="AKT252" s="1"/>
      <c r="AKU252" s="1"/>
      <c r="AKV252" s="1"/>
      <c r="AKW252" s="1"/>
      <c r="AKX252" s="1"/>
      <c r="AKY252" s="1"/>
      <c r="AKZ252" s="1"/>
      <c r="ALA252" s="1"/>
      <c r="ALB252" s="1"/>
      <c r="ALC252" s="1"/>
      <c r="ALD252" s="1"/>
      <c r="ALE252" s="1"/>
      <c r="ALF252" s="1"/>
      <c r="ALG252" s="1"/>
      <c r="ALH252" s="1"/>
      <c r="ALI252" s="1"/>
      <c r="ALJ252" s="1"/>
      <c r="ALK252" s="1"/>
      <c r="ALL252" s="1"/>
      <c r="ALM252" s="1"/>
      <c r="ALN252" s="1"/>
      <c r="ALO252" s="1"/>
      <c r="ALP252" s="1"/>
      <c r="ALQ252" s="1"/>
      <c r="ALR252" s="1"/>
      <c r="ALS252" s="1"/>
      <c r="ALT252" s="1"/>
      <c r="ALU252" s="1"/>
      <c r="ALV252" s="1"/>
      <c r="ALW252" s="1"/>
      <c r="ALX252" s="1"/>
      <c r="ALY252" s="1"/>
      <c r="ALZ252" s="1"/>
      <c r="AMA252" s="1"/>
      <c r="AMB252" s="1"/>
      <c r="AMC252" s="1"/>
      <c r="AMD252" s="1"/>
      <c r="AME252" s="1"/>
      <c r="AMF252" s="1"/>
      <c r="AMG252" s="1"/>
      <c r="AMH252" s="1"/>
      <c r="AMI252" s="1"/>
      <c r="AMJ252" s="1"/>
      <c r="AMK252" s="1"/>
      <c r="AML252" s="1"/>
      <c r="AMM252" s="1"/>
      <c r="AMN252" s="1"/>
      <c r="AMO252" s="1"/>
    </row>
    <row r="253" spans="1:1029" x14ac:dyDescent="0.2">
      <c r="A253" s="3" t="str">
        <f t="shared" si="811"/>
        <v>par2_human_5NDD</v>
      </c>
      <c r="B253" s="3" t="s">
        <v>356</v>
      </c>
      <c r="C253" s="3" t="s">
        <v>1403</v>
      </c>
      <c r="D253" s="3" t="str">
        <f>IFERROR(MID(VLOOKUP($B253,Seqs!$A:$B,2,0),E253,1),"")</f>
        <v>G</v>
      </c>
      <c r="E253" s="3">
        <v>71</v>
      </c>
      <c r="F253" s="3" t="str">
        <f>IFERROR(MID(VLOOKUP($B253,Seqs!$A:$B,2,0),G253,1),"")</f>
        <v>R</v>
      </c>
      <c r="G253" s="3">
        <v>103</v>
      </c>
      <c r="H253" s="3" t="str">
        <f>IFERROR(MID(VLOOKUP($B253,Seqs!$A:$B,2,0),I253,1),"")</f>
        <v/>
      </c>
      <c r="I253" s="23" t="s">
        <v>23</v>
      </c>
      <c r="J253" s="3" t="str">
        <f>IFERROR(MID(VLOOKUP($B253,Seqs!$A:$B,2,0),K253,1),"")</f>
        <v/>
      </c>
      <c r="K253" s="23" t="s">
        <v>23</v>
      </c>
      <c r="L253" s="3" t="str">
        <f>IFERROR(MID(VLOOKUP($B253,Seqs!$A:$B,2,0),M253,1),"")</f>
        <v>H</v>
      </c>
      <c r="M253" s="3">
        <v>108</v>
      </c>
      <c r="N253" s="3" t="str">
        <f>IFERROR(MID(VLOOKUP($B253,Seqs!$A:$B,2,0),O253,1),"")</f>
        <v>H</v>
      </c>
      <c r="O253" s="3">
        <v>137</v>
      </c>
      <c r="P253" s="3" t="str">
        <f>IFERROR(MID(VLOOKUP($B253,Seqs!$A:$B,2,0),Q253,1),"")</f>
        <v>G</v>
      </c>
      <c r="Q253" s="3">
        <v>138</v>
      </c>
      <c r="R253" s="3" t="str">
        <f>IFERROR(MID(VLOOKUP($B253,Seqs!$A:$B,2,0),S253,1),"")</f>
        <v>Y</v>
      </c>
      <c r="S253" s="3">
        <v>143</v>
      </c>
      <c r="T253" s="3" t="str">
        <f>IFERROR(MID(VLOOKUP($B253,Seqs!$A:$B,2,0),U253,1),"")</f>
        <v>G</v>
      </c>
      <c r="U253" s="3">
        <v>144</v>
      </c>
      <c r="V253" s="3" t="str">
        <f>IFERROR(MID(VLOOKUP($B253,Seqs!$A:$B,2,0),W253,1),"")</f>
        <v>N</v>
      </c>
      <c r="W253" s="3">
        <v>179</v>
      </c>
      <c r="X253" s="3" t="str">
        <f>IFERROR(MID(VLOOKUP($B253,Seqs!$A:$B,2,0),Y253,1),"")</f>
        <v/>
      </c>
      <c r="Y253" s="3" t="s">
        <v>23</v>
      </c>
      <c r="Z253" s="3" t="str">
        <f>IFERROR(MID(VLOOKUP($B253,Seqs!$A:$B,2,0),AA253,1),"")</f>
        <v/>
      </c>
      <c r="AA253" s="3" t="s">
        <v>23</v>
      </c>
      <c r="AB253" s="3" t="str">
        <f>IFERROR(MID(VLOOKUP($B253,Seqs!$A:$B,2,0),AC253,1),"")</f>
        <v>H</v>
      </c>
      <c r="AC253" s="3">
        <v>183</v>
      </c>
      <c r="AD253" s="3" t="str">
        <f>IFERROR(MID(VLOOKUP($B253,Seqs!$A:$B,2,0),AE253,1),"")</f>
        <v>V</v>
      </c>
      <c r="AE253" s="3">
        <v>211</v>
      </c>
      <c r="AF253" s="3" t="str">
        <f>IFERROR(MID(VLOOKUP($B253,Seqs!$A:$B,2,0),AG253,1),"")</f>
        <v>C</v>
      </c>
      <c r="AG253" s="3">
        <v>226</v>
      </c>
      <c r="AH253" s="3" t="str">
        <f>IFERROR(MID(VLOOKUP($B253,Seqs!$A:$B,2,0),AI253,1),"")</f>
        <v>D</v>
      </c>
      <c r="AI253" s="3">
        <v>228</v>
      </c>
      <c r="AJ253" s="3" t="str">
        <f>IFERROR(MID(VLOOKUP($B253,Seqs!$A:$B,2,0),AK253,1),"")</f>
        <v>L</v>
      </c>
      <c r="AK253" s="3">
        <v>235</v>
      </c>
      <c r="AL253" s="3" t="str">
        <f>IFERROR(MID(VLOOKUP($B253,Seqs!$A:$B,2,0),AM253,1),"")</f>
        <v>L</v>
      </c>
      <c r="AM253" s="3">
        <v>269</v>
      </c>
      <c r="AN253" s="3" t="str">
        <f>IFERROR(MID(VLOOKUP($B253,Seqs!$A:$B,2,0),AO253,1),"")</f>
        <v>S</v>
      </c>
      <c r="AO253" s="3">
        <v>278</v>
      </c>
      <c r="AP253" s="3" t="str">
        <f>IFERROR(MID(VLOOKUP($B253,Seqs!$A:$B,2,0),AQ253,1),"")</f>
        <v>Q</v>
      </c>
      <c r="AQ253" s="3">
        <v>317</v>
      </c>
      <c r="AR253" s="3" t="str">
        <f>IFERROR(MID(VLOOKUP($B253,Seqs!$A:$B,2,0),AS253,1),"")</f>
        <v>V</v>
      </c>
      <c r="AS253" s="3">
        <v>322</v>
      </c>
      <c r="AT253" s="3" t="str">
        <f>IFERROR(MID(VLOOKUP($B253,Seqs!$A:$B,2,0),AU253,1),"")</f>
        <v>V</v>
      </c>
      <c r="AU253" s="3">
        <v>347</v>
      </c>
      <c r="AV253" s="3" t="str">
        <f>IFERROR(MID(VLOOKUP($B253,Seqs!$A:$B,2,0),AW253,1),"")</f>
        <v>S</v>
      </c>
      <c r="AW253" s="3">
        <v>348</v>
      </c>
      <c r="AX253" s="3" t="str">
        <f>IFERROR(MID(VLOOKUP($B253,Seqs!$A:$B,2,0),AY253,1),"")</f>
        <v>L</v>
      </c>
      <c r="AY253" s="3">
        <v>359</v>
      </c>
      <c r="AZ253" s="77" t="str">
        <f>VLOOKUP(B253,Classification!A:D,2,0)</f>
        <v>A</v>
      </c>
      <c r="BA253" s="94" t="str">
        <f>VLOOKUP(B253,Classification!A:D,4,0)</f>
        <v>Proteinase-activated</v>
      </c>
      <c r="BB253" s="27" t="b">
        <f t="shared" si="812"/>
        <v>1</v>
      </c>
      <c r="BC253" s="23">
        <f t="shared" si="813"/>
        <v>252</v>
      </c>
      <c r="BD253" s="2" t="s">
        <v>1440</v>
      </c>
      <c r="BE253" s="3" t="s">
        <v>1439</v>
      </c>
      <c r="BF253" s="119">
        <v>2.8</v>
      </c>
      <c r="BG253" s="49" t="s">
        <v>1</v>
      </c>
      <c r="BH253" s="49" t="s">
        <v>1384</v>
      </c>
      <c r="BI253" s="1"/>
      <c r="BJ253" s="70" t="s">
        <v>1293</v>
      </c>
      <c r="BK253" s="57" t="s">
        <v>1293</v>
      </c>
      <c r="BL253" s="57" t="s">
        <v>1293</v>
      </c>
      <c r="BM253" s="57" t="s">
        <v>1293</v>
      </c>
      <c r="BN253" s="57" t="s">
        <v>1293</v>
      </c>
      <c r="BO253" s="57" t="s">
        <v>1293</v>
      </c>
      <c r="BP253" s="57" t="s">
        <v>1293</v>
      </c>
      <c r="BQ253" s="57" t="s">
        <v>1293</v>
      </c>
      <c r="BR253" s="57" t="s">
        <v>1293</v>
      </c>
      <c r="BS253" s="57" t="s">
        <v>1293</v>
      </c>
      <c r="BT253" s="57" t="s">
        <v>1293</v>
      </c>
      <c r="BU253" s="57" t="s">
        <v>1293</v>
      </c>
      <c r="BV253" s="70">
        <f t="shared" si="814"/>
        <v>71</v>
      </c>
      <c r="BW253" s="71" t="str">
        <f t="shared" si="815"/>
        <v>-</v>
      </c>
      <c r="BX253" s="72">
        <f t="shared" si="816"/>
        <v>108</v>
      </c>
      <c r="BY253" s="71">
        <f t="shared" si="817"/>
        <v>138</v>
      </c>
      <c r="BZ253" s="72">
        <f t="shared" si="818"/>
        <v>144</v>
      </c>
      <c r="CA253" s="71" t="str">
        <f t="shared" si="819"/>
        <v>-</v>
      </c>
      <c r="CB253" s="72">
        <f t="shared" si="820"/>
        <v>183</v>
      </c>
      <c r="CC253" s="71">
        <f t="shared" si="821"/>
        <v>226</v>
      </c>
      <c r="CD253" s="72">
        <f t="shared" si="822"/>
        <v>235</v>
      </c>
      <c r="CE253" s="71">
        <f t="shared" si="823"/>
        <v>278</v>
      </c>
      <c r="CF253" s="72">
        <f t="shared" si="824"/>
        <v>322</v>
      </c>
      <c r="CG253" s="71">
        <f t="shared" si="825"/>
        <v>348</v>
      </c>
      <c r="CH253" s="70">
        <f t="shared" si="826"/>
        <v>103</v>
      </c>
      <c r="CI253" s="71" t="str">
        <f t="shared" si="827"/>
        <v>-</v>
      </c>
      <c r="CJ253" s="72">
        <f t="shared" si="828"/>
        <v>137</v>
      </c>
      <c r="CK253" s="72">
        <f t="shared" si="829"/>
        <v>143</v>
      </c>
      <c r="CL253" s="72">
        <f t="shared" si="830"/>
        <v>179</v>
      </c>
      <c r="CM253" s="72" t="str">
        <f t="shared" si="831"/>
        <v>-</v>
      </c>
      <c r="CN253" s="72">
        <f t="shared" si="832"/>
        <v>211</v>
      </c>
      <c r="CO253" s="72">
        <f t="shared" si="833"/>
        <v>228</v>
      </c>
      <c r="CP253" s="72">
        <f t="shared" si="834"/>
        <v>269</v>
      </c>
      <c r="CQ253" s="72">
        <f t="shared" si="835"/>
        <v>317</v>
      </c>
      <c r="CR253" s="72">
        <f t="shared" si="836"/>
        <v>347</v>
      </c>
      <c r="CS253" s="72">
        <f t="shared" si="837"/>
        <v>359</v>
      </c>
      <c r="CT253" s="23" t="e">
        <f t="shared" si="838"/>
        <v>#VALUE!</v>
      </c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  <c r="OK253" s="1"/>
      <c r="OL253" s="1"/>
      <c r="OM253" s="1"/>
      <c r="ON253" s="1"/>
      <c r="OO253" s="1"/>
      <c r="OP253" s="1"/>
      <c r="OQ253" s="1"/>
      <c r="OR253" s="1"/>
      <c r="OS253" s="1"/>
      <c r="OT253" s="1"/>
      <c r="OU253" s="1"/>
      <c r="OV253" s="1"/>
      <c r="OW253" s="1"/>
      <c r="OX253" s="1"/>
      <c r="OY253" s="1"/>
      <c r="OZ253" s="1"/>
      <c r="PA253" s="1"/>
      <c r="PB253" s="1"/>
      <c r="PC253" s="1"/>
      <c r="PD253" s="1"/>
      <c r="PE253" s="1"/>
      <c r="PF253" s="1"/>
      <c r="PG253" s="1"/>
      <c r="PH253" s="1"/>
      <c r="PI253" s="1"/>
      <c r="PJ253" s="1"/>
      <c r="PK253" s="1"/>
      <c r="PL253" s="1"/>
      <c r="PM253" s="1"/>
      <c r="PN253" s="1"/>
      <c r="PO253" s="1"/>
      <c r="PP253" s="1"/>
      <c r="PQ253" s="1"/>
      <c r="PR253" s="1"/>
      <c r="PS253" s="1"/>
      <c r="PT253" s="1"/>
      <c r="PU253" s="1"/>
      <c r="PV253" s="1"/>
      <c r="PW253" s="1"/>
      <c r="PX253" s="1"/>
      <c r="PY253" s="1"/>
      <c r="PZ253" s="1"/>
      <c r="QA253" s="1"/>
      <c r="QB253" s="1"/>
      <c r="QC253" s="1"/>
      <c r="QD253" s="1"/>
      <c r="QE253" s="1"/>
      <c r="QF253" s="1"/>
      <c r="QG253" s="1"/>
      <c r="QH253" s="1"/>
      <c r="QI253" s="1"/>
      <c r="QJ253" s="1"/>
      <c r="QK253" s="1"/>
      <c r="QL253" s="1"/>
      <c r="QM253" s="1"/>
      <c r="QN253" s="1"/>
      <c r="QO253" s="1"/>
      <c r="QP253" s="1"/>
      <c r="QQ253" s="1"/>
      <c r="QR253" s="1"/>
      <c r="QS253" s="1"/>
      <c r="QT253" s="1"/>
      <c r="QU253" s="1"/>
      <c r="QV253" s="1"/>
      <c r="QW253" s="1"/>
      <c r="QX253" s="1"/>
      <c r="QY253" s="1"/>
      <c r="QZ253" s="1"/>
      <c r="RA253" s="1"/>
      <c r="RB253" s="1"/>
      <c r="RC253" s="1"/>
      <c r="RD253" s="1"/>
      <c r="RE253" s="1"/>
      <c r="RF253" s="1"/>
      <c r="RG253" s="1"/>
      <c r="RH253" s="1"/>
      <c r="RI253" s="1"/>
      <c r="RJ253" s="1"/>
      <c r="RK253" s="1"/>
      <c r="RL253" s="1"/>
      <c r="RM253" s="1"/>
      <c r="RN253" s="1"/>
      <c r="RO253" s="1"/>
      <c r="RP253" s="1"/>
      <c r="RQ253" s="1"/>
      <c r="RR253" s="1"/>
      <c r="RS253" s="1"/>
      <c r="RT253" s="1"/>
      <c r="RU253" s="1"/>
      <c r="RV253" s="1"/>
      <c r="RW253" s="1"/>
      <c r="RX253" s="1"/>
      <c r="RY253" s="1"/>
      <c r="RZ253" s="1"/>
      <c r="SA253" s="1"/>
      <c r="SB253" s="1"/>
      <c r="SC253" s="1"/>
      <c r="SD253" s="1"/>
      <c r="SE253" s="1"/>
      <c r="SF253" s="1"/>
      <c r="SG253" s="1"/>
      <c r="SH253" s="1"/>
      <c r="SI253" s="1"/>
      <c r="SJ253" s="1"/>
      <c r="SK253" s="1"/>
      <c r="SL253" s="1"/>
      <c r="SM253" s="1"/>
      <c r="SN253" s="1"/>
      <c r="SO253" s="1"/>
      <c r="SP253" s="1"/>
      <c r="SQ253" s="1"/>
      <c r="SR253" s="1"/>
      <c r="SS253" s="1"/>
      <c r="ST253" s="1"/>
      <c r="SU253" s="1"/>
      <c r="SV253" s="1"/>
      <c r="SW253" s="1"/>
      <c r="SX253" s="1"/>
      <c r="SY253" s="1"/>
      <c r="SZ253" s="1"/>
      <c r="TA253" s="1"/>
      <c r="TB253" s="1"/>
      <c r="TC253" s="1"/>
      <c r="TD253" s="1"/>
      <c r="TE253" s="1"/>
      <c r="TF253" s="1"/>
      <c r="TG253" s="1"/>
      <c r="TH253" s="1"/>
      <c r="TI253" s="1"/>
      <c r="TJ253" s="1"/>
      <c r="TK253" s="1"/>
      <c r="TL253" s="1"/>
      <c r="TM253" s="1"/>
      <c r="TN253" s="1"/>
      <c r="TO253" s="1"/>
      <c r="TP253" s="1"/>
      <c r="TQ253" s="1"/>
      <c r="TR253" s="1"/>
      <c r="TS253" s="1"/>
      <c r="TT253" s="1"/>
      <c r="TU253" s="1"/>
      <c r="TV253" s="1"/>
      <c r="TW253" s="1"/>
      <c r="TX253" s="1"/>
      <c r="TY253" s="1"/>
      <c r="TZ253" s="1"/>
      <c r="UA253" s="1"/>
      <c r="UB253" s="1"/>
      <c r="UC253" s="1"/>
      <c r="UD253" s="1"/>
      <c r="UE253" s="1"/>
      <c r="UF253" s="1"/>
      <c r="UG253" s="1"/>
      <c r="UH253" s="1"/>
      <c r="UI253" s="1"/>
      <c r="UJ253" s="1"/>
      <c r="UK253" s="1"/>
      <c r="UL253" s="1"/>
      <c r="UM253" s="1"/>
      <c r="UN253" s="1"/>
      <c r="UO253" s="1"/>
      <c r="UP253" s="1"/>
      <c r="UQ253" s="1"/>
      <c r="UR253" s="1"/>
      <c r="US253" s="1"/>
      <c r="UT253" s="1"/>
      <c r="UU253" s="1"/>
      <c r="UV253" s="1"/>
      <c r="UW253" s="1"/>
      <c r="UX253" s="1"/>
      <c r="UY253" s="1"/>
      <c r="UZ253" s="1"/>
      <c r="VA253" s="1"/>
      <c r="VB253" s="1"/>
      <c r="VC253" s="1"/>
      <c r="VD253" s="1"/>
      <c r="VE253" s="1"/>
      <c r="VF253" s="1"/>
      <c r="VG253" s="1"/>
      <c r="VH253" s="1"/>
      <c r="VI253" s="1"/>
      <c r="VJ253" s="1"/>
      <c r="VK253" s="1"/>
      <c r="VL253" s="1"/>
      <c r="VM253" s="1"/>
      <c r="VN253" s="1"/>
      <c r="VO253" s="1"/>
      <c r="VP253" s="1"/>
      <c r="VQ253" s="1"/>
      <c r="VR253" s="1"/>
      <c r="VS253" s="1"/>
      <c r="VT253" s="1"/>
      <c r="VU253" s="1"/>
      <c r="VV253" s="1"/>
      <c r="VW253" s="1"/>
      <c r="VX253" s="1"/>
      <c r="VY253" s="1"/>
      <c r="VZ253" s="1"/>
      <c r="WA253" s="1"/>
      <c r="WB253" s="1"/>
      <c r="WC253" s="1"/>
      <c r="WD253" s="1"/>
      <c r="WE253" s="1"/>
      <c r="WF253" s="1"/>
      <c r="WG253" s="1"/>
      <c r="WH253" s="1"/>
      <c r="WI253" s="1"/>
      <c r="WJ253" s="1"/>
      <c r="WK253" s="1"/>
      <c r="WL253" s="1"/>
      <c r="WM253" s="1"/>
      <c r="WN253" s="1"/>
      <c r="WO253" s="1"/>
      <c r="WP253" s="1"/>
      <c r="WQ253" s="1"/>
      <c r="WR253" s="1"/>
      <c r="WS253" s="1"/>
      <c r="WT253" s="1"/>
      <c r="WU253" s="1"/>
      <c r="WV253" s="1"/>
      <c r="WW253" s="1"/>
      <c r="WX253" s="1"/>
      <c r="WY253" s="1"/>
      <c r="WZ253" s="1"/>
      <c r="XA253" s="1"/>
      <c r="XB253" s="1"/>
      <c r="XC253" s="1"/>
      <c r="XD253" s="1"/>
      <c r="XE253" s="1"/>
      <c r="XF253" s="1"/>
      <c r="XG253" s="1"/>
      <c r="XH253" s="1"/>
      <c r="XI253" s="1"/>
      <c r="XJ253" s="1"/>
      <c r="XK253" s="1"/>
      <c r="XL253" s="1"/>
      <c r="XM253" s="1"/>
      <c r="XN253" s="1"/>
      <c r="XO253" s="1"/>
      <c r="XP253" s="1"/>
      <c r="XQ253" s="1"/>
      <c r="XR253" s="1"/>
      <c r="XS253" s="1"/>
      <c r="XT253" s="1"/>
      <c r="XU253" s="1"/>
      <c r="XV253" s="1"/>
      <c r="XW253" s="1"/>
      <c r="XX253" s="1"/>
      <c r="XY253" s="1"/>
      <c r="XZ253" s="1"/>
      <c r="YA253" s="1"/>
      <c r="YB253" s="1"/>
      <c r="YC253" s="1"/>
      <c r="YD253" s="1"/>
      <c r="YE253" s="1"/>
      <c r="YF253" s="1"/>
      <c r="YG253" s="1"/>
      <c r="YH253" s="1"/>
      <c r="YI253" s="1"/>
      <c r="YJ253" s="1"/>
      <c r="YK253" s="1"/>
      <c r="YL253" s="1"/>
      <c r="YM253" s="1"/>
      <c r="YN253" s="1"/>
      <c r="YO253" s="1"/>
      <c r="YP253" s="1"/>
      <c r="YQ253" s="1"/>
      <c r="YR253" s="1"/>
      <c r="YS253" s="1"/>
      <c r="YT253" s="1"/>
      <c r="YU253" s="1"/>
      <c r="YV253" s="1"/>
      <c r="YW253" s="1"/>
      <c r="YX253" s="1"/>
      <c r="YY253" s="1"/>
      <c r="YZ253" s="1"/>
      <c r="ZA253" s="1"/>
      <c r="ZB253" s="1"/>
      <c r="ZC253" s="1"/>
      <c r="ZD253" s="1"/>
      <c r="ZE253" s="1"/>
      <c r="ZF253" s="1"/>
      <c r="ZG253" s="1"/>
      <c r="ZH253" s="1"/>
      <c r="ZI253" s="1"/>
      <c r="ZJ253" s="1"/>
      <c r="ZK253" s="1"/>
      <c r="ZL253" s="1"/>
      <c r="ZM253" s="1"/>
      <c r="ZN253" s="1"/>
      <c r="ZO253" s="1"/>
      <c r="ZP253" s="1"/>
      <c r="ZQ253" s="1"/>
      <c r="ZR253" s="1"/>
      <c r="ZS253" s="1"/>
      <c r="ZT253" s="1"/>
      <c r="ZU253" s="1"/>
      <c r="ZV253" s="1"/>
      <c r="ZW253" s="1"/>
      <c r="ZX253" s="1"/>
      <c r="ZY253" s="1"/>
      <c r="ZZ253" s="1"/>
      <c r="AAA253" s="1"/>
      <c r="AAB253" s="1"/>
      <c r="AAC253" s="1"/>
      <c r="AAD253" s="1"/>
      <c r="AAE253" s="1"/>
      <c r="AAF253" s="1"/>
      <c r="AAG253" s="1"/>
      <c r="AAH253" s="1"/>
      <c r="AAI253" s="1"/>
      <c r="AAJ253" s="1"/>
      <c r="AAK253" s="1"/>
      <c r="AAL253" s="1"/>
      <c r="AAM253" s="1"/>
      <c r="AAN253" s="1"/>
      <c r="AAO253" s="1"/>
      <c r="AAP253" s="1"/>
      <c r="AAQ253" s="1"/>
      <c r="AAR253" s="1"/>
      <c r="AAS253" s="1"/>
      <c r="AAT253" s="1"/>
      <c r="AAU253" s="1"/>
      <c r="AAV253" s="1"/>
      <c r="AAW253" s="1"/>
      <c r="AAX253" s="1"/>
      <c r="AAY253" s="1"/>
      <c r="AAZ253" s="1"/>
      <c r="ABA253" s="1"/>
      <c r="ABB253" s="1"/>
      <c r="ABC253" s="1"/>
      <c r="ABD253" s="1"/>
      <c r="ABE253" s="1"/>
      <c r="ABF253" s="1"/>
      <c r="ABG253" s="1"/>
      <c r="ABH253" s="1"/>
      <c r="ABI253" s="1"/>
      <c r="ABJ253" s="1"/>
      <c r="ABK253" s="1"/>
      <c r="ABL253" s="1"/>
      <c r="ABM253" s="1"/>
      <c r="ABN253" s="1"/>
      <c r="ABO253" s="1"/>
      <c r="ABP253" s="1"/>
      <c r="ABQ253" s="1"/>
      <c r="ABR253" s="1"/>
      <c r="ABS253" s="1"/>
      <c r="ABT253" s="1"/>
      <c r="ABU253" s="1"/>
      <c r="ABV253" s="1"/>
      <c r="ABW253" s="1"/>
      <c r="ABX253" s="1"/>
      <c r="ABY253" s="1"/>
      <c r="ABZ253" s="1"/>
      <c r="ACA253" s="1"/>
      <c r="ACB253" s="1"/>
      <c r="ACC253" s="1"/>
      <c r="ACD253" s="1"/>
      <c r="ACE253" s="1"/>
      <c r="ACF253" s="1"/>
      <c r="ACG253" s="1"/>
      <c r="ACH253" s="1"/>
      <c r="ACI253" s="1"/>
      <c r="ACJ253" s="1"/>
      <c r="ACK253" s="1"/>
      <c r="ACL253" s="1"/>
      <c r="ACM253" s="1"/>
      <c r="ACN253" s="1"/>
      <c r="ACO253" s="1"/>
      <c r="ACP253" s="1"/>
      <c r="ACQ253" s="1"/>
      <c r="ACR253" s="1"/>
      <c r="ACS253" s="1"/>
      <c r="ACT253" s="1"/>
      <c r="ACU253" s="1"/>
      <c r="ACV253" s="1"/>
      <c r="ACW253" s="1"/>
      <c r="ACX253" s="1"/>
      <c r="ACY253" s="1"/>
      <c r="ACZ253" s="1"/>
      <c r="ADA253" s="1"/>
      <c r="ADB253" s="1"/>
      <c r="ADC253" s="1"/>
      <c r="ADD253" s="1"/>
      <c r="ADE253" s="1"/>
      <c r="ADF253" s="1"/>
      <c r="ADG253" s="1"/>
      <c r="ADH253" s="1"/>
      <c r="ADI253" s="1"/>
      <c r="ADJ253" s="1"/>
      <c r="ADK253" s="1"/>
      <c r="ADL253" s="1"/>
      <c r="ADM253" s="1"/>
      <c r="ADN253" s="1"/>
      <c r="ADO253" s="1"/>
      <c r="ADP253" s="1"/>
      <c r="ADQ253" s="1"/>
      <c r="ADR253" s="1"/>
      <c r="ADS253" s="1"/>
      <c r="ADT253" s="1"/>
      <c r="ADU253" s="1"/>
      <c r="ADV253" s="1"/>
      <c r="ADW253" s="1"/>
      <c r="ADX253" s="1"/>
      <c r="ADY253" s="1"/>
      <c r="ADZ253" s="1"/>
      <c r="AEA253" s="1"/>
      <c r="AEB253" s="1"/>
      <c r="AEC253" s="1"/>
      <c r="AED253" s="1"/>
      <c r="AEE253" s="1"/>
      <c r="AEF253" s="1"/>
      <c r="AEG253" s="1"/>
      <c r="AEH253" s="1"/>
      <c r="AEI253" s="1"/>
      <c r="AEJ253" s="1"/>
      <c r="AEK253" s="1"/>
      <c r="AEL253" s="1"/>
      <c r="AEM253" s="1"/>
      <c r="AEN253" s="1"/>
      <c r="AEO253" s="1"/>
      <c r="AEP253" s="1"/>
      <c r="AEQ253" s="1"/>
      <c r="AER253" s="1"/>
      <c r="AES253" s="1"/>
      <c r="AET253" s="1"/>
      <c r="AEU253" s="1"/>
      <c r="AEV253" s="1"/>
      <c r="AEW253" s="1"/>
      <c r="AEX253" s="1"/>
      <c r="AEY253" s="1"/>
      <c r="AEZ253" s="1"/>
      <c r="AFA253" s="1"/>
      <c r="AFB253" s="1"/>
      <c r="AFC253" s="1"/>
      <c r="AFD253" s="1"/>
      <c r="AFE253" s="1"/>
      <c r="AFF253" s="1"/>
      <c r="AFG253" s="1"/>
      <c r="AFH253" s="1"/>
      <c r="AFI253" s="1"/>
      <c r="AFJ253" s="1"/>
      <c r="AFK253" s="1"/>
      <c r="AFL253" s="1"/>
      <c r="AFM253" s="1"/>
      <c r="AFN253" s="1"/>
      <c r="AFO253" s="1"/>
      <c r="AFP253" s="1"/>
      <c r="AFQ253" s="1"/>
      <c r="AFR253" s="1"/>
      <c r="AFS253" s="1"/>
      <c r="AFT253" s="1"/>
      <c r="AFU253" s="1"/>
      <c r="AFV253" s="1"/>
      <c r="AFW253" s="1"/>
      <c r="AFX253" s="1"/>
      <c r="AFY253" s="1"/>
      <c r="AFZ253" s="1"/>
      <c r="AGA253" s="1"/>
      <c r="AGB253" s="1"/>
      <c r="AGC253" s="1"/>
      <c r="AGD253" s="1"/>
      <c r="AGE253" s="1"/>
      <c r="AGF253" s="1"/>
      <c r="AGG253" s="1"/>
      <c r="AGH253" s="1"/>
      <c r="AGI253" s="1"/>
      <c r="AGJ253" s="1"/>
      <c r="AGK253" s="1"/>
      <c r="AGL253" s="1"/>
      <c r="AGM253" s="1"/>
      <c r="AGN253" s="1"/>
      <c r="AGO253" s="1"/>
      <c r="AGP253" s="1"/>
      <c r="AGQ253" s="1"/>
      <c r="AGR253" s="1"/>
      <c r="AGS253" s="1"/>
      <c r="AGT253" s="1"/>
      <c r="AGU253" s="1"/>
      <c r="AGV253" s="1"/>
      <c r="AGW253" s="1"/>
      <c r="AGX253" s="1"/>
      <c r="AGY253" s="1"/>
      <c r="AGZ253" s="1"/>
      <c r="AHA253" s="1"/>
      <c r="AHB253" s="1"/>
      <c r="AHC253" s="1"/>
      <c r="AHD253" s="1"/>
      <c r="AHE253" s="1"/>
      <c r="AHF253" s="1"/>
      <c r="AHG253" s="1"/>
      <c r="AHH253" s="1"/>
      <c r="AHI253" s="1"/>
      <c r="AHJ253" s="1"/>
      <c r="AHK253" s="1"/>
      <c r="AHL253" s="1"/>
      <c r="AHM253" s="1"/>
      <c r="AHN253" s="1"/>
      <c r="AHO253" s="1"/>
      <c r="AHP253" s="1"/>
      <c r="AHQ253" s="1"/>
      <c r="AHR253" s="1"/>
      <c r="AHS253" s="1"/>
      <c r="AHT253" s="1"/>
      <c r="AHU253" s="1"/>
      <c r="AHV253" s="1"/>
      <c r="AHW253" s="1"/>
      <c r="AHX253" s="1"/>
      <c r="AHY253" s="1"/>
      <c r="AHZ253" s="1"/>
      <c r="AIA253" s="1"/>
      <c r="AIB253" s="1"/>
      <c r="AIC253" s="1"/>
      <c r="AID253" s="1"/>
      <c r="AIE253" s="1"/>
      <c r="AIF253" s="1"/>
      <c r="AIG253" s="1"/>
      <c r="AIH253" s="1"/>
      <c r="AII253" s="1"/>
      <c r="AIJ253" s="1"/>
      <c r="AIK253" s="1"/>
      <c r="AIL253" s="1"/>
      <c r="AIM253" s="1"/>
      <c r="AIN253" s="1"/>
      <c r="AIO253" s="1"/>
      <c r="AIP253" s="1"/>
      <c r="AIQ253" s="1"/>
      <c r="AIR253" s="1"/>
      <c r="AIS253" s="1"/>
      <c r="AIT253" s="1"/>
      <c r="AIU253" s="1"/>
      <c r="AIV253" s="1"/>
      <c r="AIW253" s="1"/>
      <c r="AIX253" s="1"/>
      <c r="AIY253" s="1"/>
      <c r="AIZ253" s="1"/>
      <c r="AJA253" s="1"/>
      <c r="AJB253" s="1"/>
      <c r="AJC253" s="1"/>
      <c r="AJD253" s="1"/>
      <c r="AJE253" s="1"/>
      <c r="AJF253" s="1"/>
      <c r="AJG253" s="1"/>
      <c r="AJH253" s="1"/>
      <c r="AJI253" s="1"/>
      <c r="AJJ253" s="1"/>
      <c r="AJK253" s="1"/>
      <c r="AJL253" s="1"/>
      <c r="AJM253" s="1"/>
      <c r="AJN253" s="1"/>
      <c r="AJO253" s="1"/>
      <c r="AJP253" s="1"/>
      <c r="AJQ253" s="1"/>
      <c r="AJR253" s="1"/>
      <c r="AJS253" s="1"/>
      <c r="AJT253" s="1"/>
      <c r="AJU253" s="1"/>
      <c r="AJV253" s="1"/>
      <c r="AJW253" s="1"/>
      <c r="AJX253" s="1"/>
      <c r="AJY253" s="1"/>
      <c r="AJZ253" s="1"/>
      <c r="AKA253" s="1"/>
      <c r="AKB253" s="1"/>
      <c r="AKC253" s="1"/>
      <c r="AKD253" s="1"/>
      <c r="AKE253" s="1"/>
      <c r="AKF253" s="1"/>
      <c r="AKG253" s="1"/>
      <c r="AKH253" s="1"/>
      <c r="AKI253" s="1"/>
      <c r="AKJ253" s="1"/>
      <c r="AKK253" s="1"/>
      <c r="AKL253" s="1"/>
      <c r="AKM253" s="1"/>
      <c r="AKN253" s="1"/>
      <c r="AKO253" s="1"/>
      <c r="AKP253" s="1"/>
      <c r="AKQ253" s="1"/>
      <c r="AKR253" s="1"/>
      <c r="AKS253" s="1"/>
      <c r="AKT253" s="1"/>
      <c r="AKU253" s="1"/>
      <c r="AKV253" s="1"/>
      <c r="AKW253" s="1"/>
      <c r="AKX253" s="1"/>
      <c r="AKY253" s="1"/>
      <c r="AKZ253" s="1"/>
      <c r="ALA253" s="1"/>
      <c r="ALB253" s="1"/>
      <c r="ALC253" s="1"/>
      <c r="ALD253" s="1"/>
      <c r="ALE253" s="1"/>
      <c r="ALF253" s="1"/>
      <c r="ALG253" s="1"/>
      <c r="ALH253" s="1"/>
      <c r="ALI253" s="1"/>
      <c r="ALJ253" s="1"/>
      <c r="ALK253" s="1"/>
      <c r="ALL253" s="1"/>
      <c r="ALM253" s="1"/>
      <c r="ALN253" s="1"/>
      <c r="ALO253" s="1"/>
      <c r="ALP253" s="1"/>
      <c r="ALQ253" s="1"/>
      <c r="ALR253" s="1"/>
      <c r="ALS253" s="1"/>
      <c r="ALT253" s="1"/>
      <c r="ALU253" s="1"/>
      <c r="ALV253" s="1"/>
      <c r="ALW253" s="1"/>
      <c r="ALX253" s="1"/>
      <c r="ALY253" s="1"/>
      <c r="ALZ253" s="1"/>
      <c r="AMA253" s="1"/>
      <c r="AMB253" s="1"/>
      <c r="AMC253" s="1"/>
      <c r="AMD253" s="1"/>
      <c r="AME253" s="1"/>
      <c r="AMF253" s="1"/>
      <c r="AMG253" s="1"/>
      <c r="AMH253" s="1"/>
      <c r="AMI253" s="1"/>
      <c r="AMJ253" s="1"/>
      <c r="AMK253" s="1"/>
      <c r="AML253" s="1"/>
      <c r="AMM253" s="1"/>
      <c r="AMN253" s="1"/>
      <c r="AMO253" s="1"/>
    </row>
    <row r="254" spans="1:1029" x14ac:dyDescent="0.2">
      <c r="A254" s="3" t="str">
        <f t="shared" si="811"/>
        <v>par2_human_5NDZ</v>
      </c>
      <c r="B254" s="3" t="s">
        <v>356</v>
      </c>
      <c r="C254" s="3" t="s">
        <v>1404</v>
      </c>
      <c r="D254" s="3" t="str">
        <f>IFERROR(MID(VLOOKUP($B254,Seqs!$A:$B,2,0),E254,1),"")</f>
        <v>G</v>
      </c>
      <c r="E254" s="3">
        <v>71</v>
      </c>
      <c r="F254" s="3" t="str">
        <f>IFERROR(MID(VLOOKUP($B254,Seqs!$A:$B,2,0),G254,1),"")</f>
        <v>R</v>
      </c>
      <c r="G254" s="3">
        <v>103</v>
      </c>
      <c r="H254" s="3" t="str">
        <f>IFERROR(MID(VLOOKUP($B254,Seqs!$A:$B,2,0),I254,1),"")</f>
        <v/>
      </c>
      <c r="I254" s="23" t="s">
        <v>23</v>
      </c>
      <c r="J254" s="3" t="str">
        <f>IFERROR(MID(VLOOKUP($B254,Seqs!$A:$B,2,0),K254,1),"")</f>
        <v/>
      </c>
      <c r="K254" s="23" t="s">
        <v>23</v>
      </c>
      <c r="L254" s="3" t="str">
        <f>IFERROR(MID(VLOOKUP($B254,Seqs!$A:$B,2,0),M254,1),"")</f>
        <v>H</v>
      </c>
      <c r="M254" s="3">
        <v>108</v>
      </c>
      <c r="N254" s="3" t="str">
        <f>IFERROR(MID(VLOOKUP($B254,Seqs!$A:$B,2,0),O254,1),"")</f>
        <v>H</v>
      </c>
      <c r="O254" s="3">
        <v>137</v>
      </c>
      <c r="P254" s="3" t="str">
        <f>IFERROR(MID(VLOOKUP($B254,Seqs!$A:$B,2,0),Q254,1),"")</f>
        <v>G</v>
      </c>
      <c r="Q254" s="3">
        <v>138</v>
      </c>
      <c r="R254" s="3" t="str">
        <f>IFERROR(MID(VLOOKUP($B254,Seqs!$A:$B,2,0),S254,1),"")</f>
        <v>Y</v>
      </c>
      <c r="S254" s="3">
        <v>143</v>
      </c>
      <c r="T254" s="3" t="str">
        <f>IFERROR(MID(VLOOKUP($B254,Seqs!$A:$B,2,0),U254,1),"")</f>
        <v>G</v>
      </c>
      <c r="U254" s="3">
        <v>144</v>
      </c>
      <c r="V254" s="3" t="str">
        <f>IFERROR(MID(VLOOKUP($B254,Seqs!$A:$B,2,0),W254,1),"")</f>
        <v>N</v>
      </c>
      <c r="W254" s="3">
        <v>179</v>
      </c>
      <c r="X254" s="3" t="str">
        <f>IFERROR(MID(VLOOKUP($B254,Seqs!$A:$B,2,0),Y254,1),"")</f>
        <v/>
      </c>
      <c r="Y254" s="3" t="s">
        <v>23</v>
      </c>
      <c r="Z254" s="3" t="str">
        <f>IFERROR(MID(VLOOKUP($B254,Seqs!$A:$B,2,0),AA254,1),"")</f>
        <v/>
      </c>
      <c r="AA254" s="3" t="s">
        <v>23</v>
      </c>
      <c r="AB254" s="3" t="str">
        <f>IFERROR(MID(VLOOKUP($B254,Seqs!$A:$B,2,0),AC254,1),"")</f>
        <v>H</v>
      </c>
      <c r="AC254" s="3">
        <v>183</v>
      </c>
      <c r="AD254" s="3" t="str">
        <f>IFERROR(MID(VLOOKUP($B254,Seqs!$A:$B,2,0),AE254,1),"")</f>
        <v>V</v>
      </c>
      <c r="AE254" s="3">
        <v>211</v>
      </c>
      <c r="AF254" s="3" t="str">
        <f>IFERROR(MID(VLOOKUP($B254,Seqs!$A:$B,2,0),AG254,1),"")</f>
        <v>C</v>
      </c>
      <c r="AG254" s="3">
        <v>226</v>
      </c>
      <c r="AH254" s="3" t="str">
        <f>IFERROR(MID(VLOOKUP($B254,Seqs!$A:$B,2,0),AI254,1),"")</f>
        <v>D</v>
      </c>
      <c r="AI254" s="3">
        <v>228</v>
      </c>
      <c r="AJ254" s="3" t="str">
        <f>IFERROR(MID(VLOOKUP($B254,Seqs!$A:$B,2,0),AK254,1),"")</f>
        <v>L</v>
      </c>
      <c r="AK254" s="3">
        <v>235</v>
      </c>
      <c r="AL254" s="3" t="str">
        <f>IFERROR(MID(VLOOKUP($B254,Seqs!$A:$B,2,0),AM254,1),"")</f>
        <v>L</v>
      </c>
      <c r="AM254" s="3">
        <v>269</v>
      </c>
      <c r="AN254" s="3" t="str">
        <f>IFERROR(MID(VLOOKUP($B254,Seqs!$A:$B,2,0),AO254,1),"")</f>
        <v>S</v>
      </c>
      <c r="AO254" s="3">
        <v>278</v>
      </c>
      <c r="AP254" s="3" t="str">
        <f>IFERROR(MID(VLOOKUP($B254,Seqs!$A:$B,2,0),AQ254,1),"")</f>
        <v>Q</v>
      </c>
      <c r="AQ254" s="3">
        <v>317</v>
      </c>
      <c r="AR254" s="3" t="str">
        <f>IFERROR(MID(VLOOKUP($B254,Seqs!$A:$B,2,0),AS254,1),"")</f>
        <v>V</v>
      </c>
      <c r="AS254" s="3">
        <v>322</v>
      </c>
      <c r="AT254" s="3" t="str">
        <f>IFERROR(MID(VLOOKUP($B254,Seqs!$A:$B,2,0),AU254,1),"")</f>
        <v>S</v>
      </c>
      <c r="AU254" s="3">
        <v>348</v>
      </c>
      <c r="AV254" s="3" t="str">
        <f>IFERROR(MID(VLOOKUP($B254,Seqs!$A:$B,2,0),AW254,1),"")</f>
        <v>H</v>
      </c>
      <c r="AW254" s="3">
        <v>349</v>
      </c>
      <c r="AX254" s="3" t="str">
        <f>IFERROR(MID(VLOOKUP($B254,Seqs!$A:$B,2,0),AY254,1),"")</f>
        <v>L</v>
      </c>
      <c r="AY254" s="3">
        <v>359</v>
      </c>
      <c r="AZ254" s="77" t="str">
        <f>VLOOKUP(B254,Classification!A:D,2,0)</f>
        <v>A</v>
      </c>
      <c r="BA254" s="94" t="str">
        <f>VLOOKUP(B254,Classification!A:D,4,0)</f>
        <v>Proteinase-activated</v>
      </c>
      <c r="BB254" s="27" t="b">
        <f t="shared" si="812"/>
        <v>1</v>
      </c>
      <c r="BC254" s="23">
        <f t="shared" si="813"/>
        <v>252</v>
      </c>
      <c r="BD254" s="2" t="s">
        <v>23</v>
      </c>
      <c r="BE254" s="3" t="s">
        <v>1439</v>
      </c>
      <c r="BF254" s="119">
        <v>3.6</v>
      </c>
      <c r="BG254" s="49" t="s">
        <v>1</v>
      </c>
      <c r="BH254" s="49" t="s">
        <v>1384</v>
      </c>
      <c r="BI254" s="1"/>
      <c r="BJ254" s="70" t="s">
        <v>1293</v>
      </c>
      <c r="BK254" s="57" t="s">
        <v>1293</v>
      </c>
      <c r="BL254" s="57" t="s">
        <v>1293</v>
      </c>
      <c r="BM254" s="57" t="s">
        <v>1293</v>
      </c>
      <c r="BN254" s="57" t="s">
        <v>1293</v>
      </c>
      <c r="BO254" s="57" t="s">
        <v>1293</v>
      </c>
      <c r="BP254" s="57" t="s">
        <v>1293</v>
      </c>
      <c r="BQ254" s="57" t="s">
        <v>1293</v>
      </c>
      <c r="BR254" s="57" t="s">
        <v>1293</v>
      </c>
      <c r="BS254" s="57" t="s">
        <v>1293</v>
      </c>
      <c r="BT254" s="57" t="s">
        <v>1293</v>
      </c>
      <c r="BU254" s="57" t="s">
        <v>1293</v>
      </c>
      <c r="BV254" s="70">
        <f t="shared" si="814"/>
        <v>71</v>
      </c>
      <c r="BW254" s="71" t="str">
        <f t="shared" si="815"/>
        <v>-</v>
      </c>
      <c r="BX254" s="72">
        <f t="shared" si="816"/>
        <v>108</v>
      </c>
      <c r="BY254" s="71">
        <f t="shared" si="817"/>
        <v>138</v>
      </c>
      <c r="BZ254" s="72">
        <f t="shared" si="818"/>
        <v>144</v>
      </c>
      <c r="CA254" s="71" t="str">
        <f t="shared" si="819"/>
        <v>-</v>
      </c>
      <c r="CB254" s="72">
        <f t="shared" si="820"/>
        <v>183</v>
      </c>
      <c r="CC254" s="71">
        <f t="shared" si="821"/>
        <v>226</v>
      </c>
      <c r="CD254" s="72">
        <f t="shared" si="822"/>
        <v>235</v>
      </c>
      <c r="CE254" s="71">
        <f t="shared" si="823"/>
        <v>278</v>
      </c>
      <c r="CF254" s="72">
        <f t="shared" si="824"/>
        <v>322</v>
      </c>
      <c r="CG254" s="71">
        <f t="shared" si="825"/>
        <v>349</v>
      </c>
      <c r="CH254" s="70">
        <f t="shared" si="826"/>
        <v>103</v>
      </c>
      <c r="CI254" s="71" t="str">
        <f t="shared" si="827"/>
        <v>-</v>
      </c>
      <c r="CJ254" s="72">
        <f t="shared" si="828"/>
        <v>137</v>
      </c>
      <c r="CK254" s="72">
        <f t="shared" si="829"/>
        <v>143</v>
      </c>
      <c r="CL254" s="72">
        <f t="shared" si="830"/>
        <v>179</v>
      </c>
      <c r="CM254" s="72" t="str">
        <f t="shared" si="831"/>
        <v>-</v>
      </c>
      <c r="CN254" s="72">
        <f t="shared" si="832"/>
        <v>211</v>
      </c>
      <c r="CO254" s="72">
        <f t="shared" si="833"/>
        <v>228</v>
      </c>
      <c r="CP254" s="72">
        <f t="shared" si="834"/>
        <v>269</v>
      </c>
      <c r="CQ254" s="72">
        <f t="shared" si="835"/>
        <v>317</v>
      </c>
      <c r="CR254" s="72">
        <f t="shared" si="836"/>
        <v>348</v>
      </c>
      <c r="CS254" s="72">
        <f t="shared" si="837"/>
        <v>359</v>
      </c>
      <c r="CT254" s="23" t="e">
        <f t="shared" si="838"/>
        <v>#VALUE!</v>
      </c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  <c r="OK254" s="1"/>
      <c r="OL254" s="1"/>
      <c r="OM254" s="1"/>
      <c r="ON254" s="1"/>
      <c r="OO254" s="1"/>
      <c r="OP254" s="1"/>
      <c r="OQ254" s="1"/>
      <c r="OR254" s="1"/>
      <c r="OS254" s="1"/>
      <c r="OT254" s="1"/>
      <c r="OU254" s="1"/>
      <c r="OV254" s="1"/>
      <c r="OW254" s="1"/>
      <c r="OX254" s="1"/>
      <c r="OY254" s="1"/>
      <c r="OZ254" s="1"/>
      <c r="PA254" s="1"/>
      <c r="PB254" s="1"/>
      <c r="PC254" s="1"/>
      <c r="PD254" s="1"/>
      <c r="PE254" s="1"/>
      <c r="PF254" s="1"/>
      <c r="PG254" s="1"/>
      <c r="PH254" s="1"/>
      <c r="PI254" s="1"/>
      <c r="PJ254" s="1"/>
      <c r="PK254" s="1"/>
      <c r="PL254" s="1"/>
      <c r="PM254" s="1"/>
      <c r="PN254" s="1"/>
      <c r="PO254" s="1"/>
      <c r="PP254" s="1"/>
      <c r="PQ254" s="1"/>
      <c r="PR254" s="1"/>
      <c r="PS254" s="1"/>
      <c r="PT254" s="1"/>
      <c r="PU254" s="1"/>
      <c r="PV254" s="1"/>
      <c r="PW254" s="1"/>
      <c r="PX254" s="1"/>
      <c r="PY254" s="1"/>
      <c r="PZ254" s="1"/>
      <c r="QA254" s="1"/>
      <c r="QB254" s="1"/>
      <c r="QC254" s="1"/>
      <c r="QD254" s="1"/>
      <c r="QE254" s="1"/>
      <c r="QF254" s="1"/>
      <c r="QG254" s="1"/>
      <c r="QH254" s="1"/>
      <c r="QI254" s="1"/>
      <c r="QJ254" s="1"/>
      <c r="QK254" s="1"/>
      <c r="QL254" s="1"/>
      <c r="QM254" s="1"/>
      <c r="QN254" s="1"/>
      <c r="QO254" s="1"/>
      <c r="QP254" s="1"/>
      <c r="QQ254" s="1"/>
      <c r="QR254" s="1"/>
      <c r="QS254" s="1"/>
      <c r="QT254" s="1"/>
      <c r="QU254" s="1"/>
      <c r="QV254" s="1"/>
      <c r="QW254" s="1"/>
      <c r="QX254" s="1"/>
      <c r="QY254" s="1"/>
      <c r="QZ254" s="1"/>
      <c r="RA254" s="1"/>
      <c r="RB254" s="1"/>
      <c r="RC254" s="1"/>
      <c r="RD254" s="1"/>
      <c r="RE254" s="1"/>
      <c r="RF254" s="1"/>
      <c r="RG254" s="1"/>
      <c r="RH254" s="1"/>
      <c r="RI254" s="1"/>
      <c r="RJ254" s="1"/>
      <c r="RK254" s="1"/>
      <c r="RL254" s="1"/>
      <c r="RM254" s="1"/>
      <c r="RN254" s="1"/>
      <c r="RO254" s="1"/>
      <c r="RP254" s="1"/>
      <c r="RQ254" s="1"/>
      <c r="RR254" s="1"/>
      <c r="RS254" s="1"/>
      <c r="RT254" s="1"/>
      <c r="RU254" s="1"/>
      <c r="RV254" s="1"/>
      <c r="RW254" s="1"/>
      <c r="RX254" s="1"/>
      <c r="RY254" s="1"/>
      <c r="RZ254" s="1"/>
      <c r="SA254" s="1"/>
      <c r="SB254" s="1"/>
      <c r="SC254" s="1"/>
      <c r="SD254" s="1"/>
      <c r="SE254" s="1"/>
      <c r="SF254" s="1"/>
      <c r="SG254" s="1"/>
      <c r="SH254" s="1"/>
      <c r="SI254" s="1"/>
      <c r="SJ254" s="1"/>
      <c r="SK254" s="1"/>
      <c r="SL254" s="1"/>
      <c r="SM254" s="1"/>
      <c r="SN254" s="1"/>
      <c r="SO254" s="1"/>
      <c r="SP254" s="1"/>
      <c r="SQ254" s="1"/>
      <c r="SR254" s="1"/>
      <c r="SS254" s="1"/>
      <c r="ST254" s="1"/>
      <c r="SU254" s="1"/>
      <c r="SV254" s="1"/>
      <c r="SW254" s="1"/>
      <c r="SX254" s="1"/>
      <c r="SY254" s="1"/>
      <c r="SZ254" s="1"/>
      <c r="TA254" s="1"/>
      <c r="TB254" s="1"/>
      <c r="TC254" s="1"/>
      <c r="TD254" s="1"/>
      <c r="TE254" s="1"/>
      <c r="TF254" s="1"/>
      <c r="TG254" s="1"/>
      <c r="TH254" s="1"/>
      <c r="TI254" s="1"/>
      <c r="TJ254" s="1"/>
      <c r="TK254" s="1"/>
      <c r="TL254" s="1"/>
      <c r="TM254" s="1"/>
      <c r="TN254" s="1"/>
      <c r="TO254" s="1"/>
      <c r="TP254" s="1"/>
      <c r="TQ254" s="1"/>
      <c r="TR254" s="1"/>
      <c r="TS254" s="1"/>
      <c r="TT254" s="1"/>
      <c r="TU254" s="1"/>
      <c r="TV254" s="1"/>
      <c r="TW254" s="1"/>
      <c r="TX254" s="1"/>
      <c r="TY254" s="1"/>
      <c r="TZ254" s="1"/>
      <c r="UA254" s="1"/>
      <c r="UB254" s="1"/>
      <c r="UC254" s="1"/>
      <c r="UD254" s="1"/>
      <c r="UE254" s="1"/>
      <c r="UF254" s="1"/>
      <c r="UG254" s="1"/>
      <c r="UH254" s="1"/>
      <c r="UI254" s="1"/>
      <c r="UJ254" s="1"/>
      <c r="UK254" s="1"/>
      <c r="UL254" s="1"/>
      <c r="UM254" s="1"/>
      <c r="UN254" s="1"/>
      <c r="UO254" s="1"/>
      <c r="UP254" s="1"/>
      <c r="UQ254" s="1"/>
      <c r="UR254" s="1"/>
      <c r="US254" s="1"/>
      <c r="UT254" s="1"/>
      <c r="UU254" s="1"/>
      <c r="UV254" s="1"/>
      <c r="UW254" s="1"/>
      <c r="UX254" s="1"/>
      <c r="UY254" s="1"/>
      <c r="UZ254" s="1"/>
      <c r="VA254" s="1"/>
      <c r="VB254" s="1"/>
      <c r="VC254" s="1"/>
      <c r="VD254" s="1"/>
      <c r="VE254" s="1"/>
      <c r="VF254" s="1"/>
      <c r="VG254" s="1"/>
      <c r="VH254" s="1"/>
      <c r="VI254" s="1"/>
      <c r="VJ254" s="1"/>
      <c r="VK254" s="1"/>
      <c r="VL254" s="1"/>
      <c r="VM254" s="1"/>
      <c r="VN254" s="1"/>
      <c r="VO254" s="1"/>
      <c r="VP254" s="1"/>
      <c r="VQ254" s="1"/>
      <c r="VR254" s="1"/>
      <c r="VS254" s="1"/>
      <c r="VT254" s="1"/>
      <c r="VU254" s="1"/>
      <c r="VV254" s="1"/>
      <c r="VW254" s="1"/>
      <c r="VX254" s="1"/>
      <c r="VY254" s="1"/>
      <c r="VZ254" s="1"/>
      <c r="WA254" s="1"/>
      <c r="WB254" s="1"/>
      <c r="WC254" s="1"/>
      <c r="WD254" s="1"/>
      <c r="WE254" s="1"/>
      <c r="WF254" s="1"/>
      <c r="WG254" s="1"/>
      <c r="WH254" s="1"/>
      <c r="WI254" s="1"/>
      <c r="WJ254" s="1"/>
      <c r="WK254" s="1"/>
      <c r="WL254" s="1"/>
      <c r="WM254" s="1"/>
      <c r="WN254" s="1"/>
      <c r="WO254" s="1"/>
      <c r="WP254" s="1"/>
      <c r="WQ254" s="1"/>
      <c r="WR254" s="1"/>
      <c r="WS254" s="1"/>
      <c r="WT254" s="1"/>
      <c r="WU254" s="1"/>
      <c r="WV254" s="1"/>
      <c r="WW254" s="1"/>
      <c r="WX254" s="1"/>
      <c r="WY254" s="1"/>
      <c r="WZ254" s="1"/>
      <c r="XA254" s="1"/>
      <c r="XB254" s="1"/>
      <c r="XC254" s="1"/>
      <c r="XD254" s="1"/>
      <c r="XE254" s="1"/>
      <c r="XF254" s="1"/>
      <c r="XG254" s="1"/>
      <c r="XH254" s="1"/>
      <c r="XI254" s="1"/>
      <c r="XJ254" s="1"/>
      <c r="XK254" s="1"/>
      <c r="XL254" s="1"/>
      <c r="XM254" s="1"/>
      <c r="XN254" s="1"/>
      <c r="XO254" s="1"/>
      <c r="XP254" s="1"/>
      <c r="XQ254" s="1"/>
      <c r="XR254" s="1"/>
      <c r="XS254" s="1"/>
      <c r="XT254" s="1"/>
      <c r="XU254" s="1"/>
      <c r="XV254" s="1"/>
      <c r="XW254" s="1"/>
      <c r="XX254" s="1"/>
      <c r="XY254" s="1"/>
      <c r="XZ254" s="1"/>
      <c r="YA254" s="1"/>
      <c r="YB254" s="1"/>
      <c r="YC254" s="1"/>
      <c r="YD254" s="1"/>
      <c r="YE254" s="1"/>
      <c r="YF254" s="1"/>
      <c r="YG254" s="1"/>
      <c r="YH254" s="1"/>
      <c r="YI254" s="1"/>
      <c r="YJ254" s="1"/>
      <c r="YK254" s="1"/>
      <c r="YL254" s="1"/>
      <c r="YM254" s="1"/>
      <c r="YN254" s="1"/>
      <c r="YO254" s="1"/>
      <c r="YP254" s="1"/>
      <c r="YQ254" s="1"/>
      <c r="YR254" s="1"/>
      <c r="YS254" s="1"/>
      <c r="YT254" s="1"/>
      <c r="YU254" s="1"/>
      <c r="YV254" s="1"/>
      <c r="YW254" s="1"/>
      <c r="YX254" s="1"/>
      <c r="YY254" s="1"/>
      <c r="YZ254" s="1"/>
      <c r="ZA254" s="1"/>
      <c r="ZB254" s="1"/>
      <c r="ZC254" s="1"/>
      <c r="ZD254" s="1"/>
      <c r="ZE254" s="1"/>
      <c r="ZF254" s="1"/>
      <c r="ZG254" s="1"/>
      <c r="ZH254" s="1"/>
      <c r="ZI254" s="1"/>
      <c r="ZJ254" s="1"/>
      <c r="ZK254" s="1"/>
      <c r="ZL254" s="1"/>
      <c r="ZM254" s="1"/>
      <c r="ZN254" s="1"/>
      <c r="ZO254" s="1"/>
      <c r="ZP254" s="1"/>
      <c r="ZQ254" s="1"/>
      <c r="ZR254" s="1"/>
      <c r="ZS254" s="1"/>
      <c r="ZT254" s="1"/>
      <c r="ZU254" s="1"/>
      <c r="ZV254" s="1"/>
      <c r="ZW254" s="1"/>
      <c r="ZX254" s="1"/>
      <c r="ZY254" s="1"/>
      <c r="ZZ254" s="1"/>
      <c r="AAA254" s="1"/>
      <c r="AAB254" s="1"/>
      <c r="AAC254" s="1"/>
      <c r="AAD254" s="1"/>
      <c r="AAE254" s="1"/>
      <c r="AAF254" s="1"/>
      <c r="AAG254" s="1"/>
      <c r="AAH254" s="1"/>
      <c r="AAI254" s="1"/>
      <c r="AAJ254" s="1"/>
      <c r="AAK254" s="1"/>
      <c r="AAL254" s="1"/>
      <c r="AAM254" s="1"/>
      <c r="AAN254" s="1"/>
      <c r="AAO254" s="1"/>
      <c r="AAP254" s="1"/>
      <c r="AAQ254" s="1"/>
      <c r="AAR254" s="1"/>
      <c r="AAS254" s="1"/>
      <c r="AAT254" s="1"/>
      <c r="AAU254" s="1"/>
      <c r="AAV254" s="1"/>
      <c r="AAW254" s="1"/>
      <c r="AAX254" s="1"/>
      <c r="AAY254" s="1"/>
      <c r="AAZ254" s="1"/>
      <c r="ABA254" s="1"/>
      <c r="ABB254" s="1"/>
      <c r="ABC254" s="1"/>
      <c r="ABD254" s="1"/>
      <c r="ABE254" s="1"/>
      <c r="ABF254" s="1"/>
      <c r="ABG254" s="1"/>
      <c r="ABH254" s="1"/>
      <c r="ABI254" s="1"/>
      <c r="ABJ254" s="1"/>
      <c r="ABK254" s="1"/>
      <c r="ABL254" s="1"/>
      <c r="ABM254" s="1"/>
      <c r="ABN254" s="1"/>
      <c r="ABO254" s="1"/>
      <c r="ABP254" s="1"/>
      <c r="ABQ254" s="1"/>
      <c r="ABR254" s="1"/>
      <c r="ABS254" s="1"/>
      <c r="ABT254" s="1"/>
      <c r="ABU254" s="1"/>
      <c r="ABV254" s="1"/>
      <c r="ABW254" s="1"/>
      <c r="ABX254" s="1"/>
      <c r="ABY254" s="1"/>
      <c r="ABZ254" s="1"/>
      <c r="ACA254" s="1"/>
      <c r="ACB254" s="1"/>
      <c r="ACC254" s="1"/>
      <c r="ACD254" s="1"/>
      <c r="ACE254" s="1"/>
      <c r="ACF254" s="1"/>
      <c r="ACG254" s="1"/>
      <c r="ACH254" s="1"/>
      <c r="ACI254" s="1"/>
      <c r="ACJ254" s="1"/>
      <c r="ACK254" s="1"/>
      <c r="ACL254" s="1"/>
      <c r="ACM254" s="1"/>
      <c r="ACN254" s="1"/>
      <c r="ACO254" s="1"/>
      <c r="ACP254" s="1"/>
      <c r="ACQ254" s="1"/>
      <c r="ACR254" s="1"/>
      <c r="ACS254" s="1"/>
      <c r="ACT254" s="1"/>
      <c r="ACU254" s="1"/>
      <c r="ACV254" s="1"/>
      <c r="ACW254" s="1"/>
      <c r="ACX254" s="1"/>
      <c r="ACY254" s="1"/>
      <c r="ACZ254" s="1"/>
      <c r="ADA254" s="1"/>
      <c r="ADB254" s="1"/>
      <c r="ADC254" s="1"/>
      <c r="ADD254" s="1"/>
      <c r="ADE254" s="1"/>
      <c r="ADF254" s="1"/>
      <c r="ADG254" s="1"/>
      <c r="ADH254" s="1"/>
      <c r="ADI254" s="1"/>
      <c r="ADJ254" s="1"/>
      <c r="ADK254" s="1"/>
      <c r="ADL254" s="1"/>
      <c r="ADM254" s="1"/>
      <c r="ADN254" s="1"/>
      <c r="ADO254" s="1"/>
      <c r="ADP254" s="1"/>
      <c r="ADQ254" s="1"/>
      <c r="ADR254" s="1"/>
      <c r="ADS254" s="1"/>
      <c r="ADT254" s="1"/>
      <c r="ADU254" s="1"/>
      <c r="ADV254" s="1"/>
      <c r="ADW254" s="1"/>
      <c r="ADX254" s="1"/>
      <c r="ADY254" s="1"/>
      <c r="ADZ254" s="1"/>
      <c r="AEA254" s="1"/>
      <c r="AEB254" s="1"/>
      <c r="AEC254" s="1"/>
      <c r="AED254" s="1"/>
      <c r="AEE254" s="1"/>
      <c r="AEF254" s="1"/>
      <c r="AEG254" s="1"/>
      <c r="AEH254" s="1"/>
      <c r="AEI254" s="1"/>
      <c r="AEJ254" s="1"/>
      <c r="AEK254" s="1"/>
      <c r="AEL254" s="1"/>
      <c r="AEM254" s="1"/>
      <c r="AEN254" s="1"/>
      <c r="AEO254" s="1"/>
      <c r="AEP254" s="1"/>
      <c r="AEQ254" s="1"/>
      <c r="AER254" s="1"/>
      <c r="AES254" s="1"/>
      <c r="AET254" s="1"/>
      <c r="AEU254" s="1"/>
      <c r="AEV254" s="1"/>
      <c r="AEW254" s="1"/>
      <c r="AEX254" s="1"/>
      <c r="AEY254" s="1"/>
      <c r="AEZ254" s="1"/>
      <c r="AFA254" s="1"/>
      <c r="AFB254" s="1"/>
      <c r="AFC254" s="1"/>
      <c r="AFD254" s="1"/>
      <c r="AFE254" s="1"/>
      <c r="AFF254" s="1"/>
      <c r="AFG254" s="1"/>
      <c r="AFH254" s="1"/>
      <c r="AFI254" s="1"/>
      <c r="AFJ254" s="1"/>
      <c r="AFK254" s="1"/>
      <c r="AFL254" s="1"/>
      <c r="AFM254" s="1"/>
      <c r="AFN254" s="1"/>
      <c r="AFO254" s="1"/>
      <c r="AFP254" s="1"/>
      <c r="AFQ254" s="1"/>
      <c r="AFR254" s="1"/>
      <c r="AFS254" s="1"/>
      <c r="AFT254" s="1"/>
      <c r="AFU254" s="1"/>
      <c r="AFV254" s="1"/>
      <c r="AFW254" s="1"/>
      <c r="AFX254" s="1"/>
      <c r="AFY254" s="1"/>
      <c r="AFZ254" s="1"/>
      <c r="AGA254" s="1"/>
      <c r="AGB254" s="1"/>
      <c r="AGC254" s="1"/>
      <c r="AGD254" s="1"/>
      <c r="AGE254" s="1"/>
      <c r="AGF254" s="1"/>
      <c r="AGG254" s="1"/>
      <c r="AGH254" s="1"/>
      <c r="AGI254" s="1"/>
      <c r="AGJ254" s="1"/>
      <c r="AGK254" s="1"/>
      <c r="AGL254" s="1"/>
      <c r="AGM254" s="1"/>
      <c r="AGN254" s="1"/>
      <c r="AGO254" s="1"/>
      <c r="AGP254" s="1"/>
      <c r="AGQ254" s="1"/>
      <c r="AGR254" s="1"/>
      <c r="AGS254" s="1"/>
      <c r="AGT254" s="1"/>
      <c r="AGU254" s="1"/>
      <c r="AGV254" s="1"/>
      <c r="AGW254" s="1"/>
      <c r="AGX254" s="1"/>
      <c r="AGY254" s="1"/>
      <c r="AGZ254" s="1"/>
      <c r="AHA254" s="1"/>
      <c r="AHB254" s="1"/>
      <c r="AHC254" s="1"/>
      <c r="AHD254" s="1"/>
      <c r="AHE254" s="1"/>
      <c r="AHF254" s="1"/>
      <c r="AHG254" s="1"/>
      <c r="AHH254" s="1"/>
      <c r="AHI254" s="1"/>
      <c r="AHJ254" s="1"/>
      <c r="AHK254" s="1"/>
      <c r="AHL254" s="1"/>
      <c r="AHM254" s="1"/>
      <c r="AHN254" s="1"/>
      <c r="AHO254" s="1"/>
      <c r="AHP254" s="1"/>
      <c r="AHQ254" s="1"/>
      <c r="AHR254" s="1"/>
      <c r="AHS254" s="1"/>
      <c r="AHT254" s="1"/>
      <c r="AHU254" s="1"/>
      <c r="AHV254" s="1"/>
      <c r="AHW254" s="1"/>
      <c r="AHX254" s="1"/>
      <c r="AHY254" s="1"/>
      <c r="AHZ254" s="1"/>
      <c r="AIA254" s="1"/>
      <c r="AIB254" s="1"/>
      <c r="AIC254" s="1"/>
      <c r="AID254" s="1"/>
      <c r="AIE254" s="1"/>
      <c r="AIF254" s="1"/>
      <c r="AIG254" s="1"/>
      <c r="AIH254" s="1"/>
      <c r="AII254" s="1"/>
      <c r="AIJ254" s="1"/>
      <c r="AIK254" s="1"/>
      <c r="AIL254" s="1"/>
      <c r="AIM254" s="1"/>
      <c r="AIN254" s="1"/>
      <c r="AIO254" s="1"/>
      <c r="AIP254" s="1"/>
      <c r="AIQ254" s="1"/>
      <c r="AIR254" s="1"/>
      <c r="AIS254" s="1"/>
      <c r="AIT254" s="1"/>
      <c r="AIU254" s="1"/>
      <c r="AIV254" s="1"/>
      <c r="AIW254" s="1"/>
      <c r="AIX254" s="1"/>
      <c r="AIY254" s="1"/>
      <c r="AIZ254" s="1"/>
      <c r="AJA254" s="1"/>
      <c r="AJB254" s="1"/>
      <c r="AJC254" s="1"/>
      <c r="AJD254" s="1"/>
      <c r="AJE254" s="1"/>
      <c r="AJF254" s="1"/>
      <c r="AJG254" s="1"/>
      <c r="AJH254" s="1"/>
      <c r="AJI254" s="1"/>
      <c r="AJJ254" s="1"/>
      <c r="AJK254" s="1"/>
      <c r="AJL254" s="1"/>
      <c r="AJM254" s="1"/>
      <c r="AJN254" s="1"/>
      <c r="AJO254" s="1"/>
      <c r="AJP254" s="1"/>
      <c r="AJQ254" s="1"/>
      <c r="AJR254" s="1"/>
      <c r="AJS254" s="1"/>
      <c r="AJT254" s="1"/>
      <c r="AJU254" s="1"/>
      <c r="AJV254" s="1"/>
      <c r="AJW254" s="1"/>
      <c r="AJX254" s="1"/>
      <c r="AJY254" s="1"/>
      <c r="AJZ254" s="1"/>
      <c r="AKA254" s="1"/>
      <c r="AKB254" s="1"/>
      <c r="AKC254" s="1"/>
      <c r="AKD254" s="1"/>
      <c r="AKE254" s="1"/>
      <c r="AKF254" s="1"/>
      <c r="AKG254" s="1"/>
      <c r="AKH254" s="1"/>
      <c r="AKI254" s="1"/>
      <c r="AKJ254" s="1"/>
      <c r="AKK254" s="1"/>
      <c r="AKL254" s="1"/>
      <c r="AKM254" s="1"/>
      <c r="AKN254" s="1"/>
      <c r="AKO254" s="1"/>
      <c r="AKP254" s="1"/>
      <c r="AKQ254" s="1"/>
      <c r="AKR254" s="1"/>
      <c r="AKS254" s="1"/>
      <c r="AKT254" s="1"/>
      <c r="AKU254" s="1"/>
      <c r="AKV254" s="1"/>
      <c r="AKW254" s="1"/>
      <c r="AKX254" s="1"/>
      <c r="AKY254" s="1"/>
      <c r="AKZ254" s="1"/>
      <c r="ALA254" s="1"/>
      <c r="ALB254" s="1"/>
      <c r="ALC254" s="1"/>
      <c r="ALD254" s="1"/>
      <c r="ALE254" s="1"/>
      <c r="ALF254" s="1"/>
      <c r="ALG254" s="1"/>
      <c r="ALH254" s="1"/>
      <c r="ALI254" s="1"/>
      <c r="ALJ254" s="1"/>
      <c r="ALK254" s="1"/>
      <c r="ALL254" s="1"/>
      <c r="ALM254" s="1"/>
      <c r="ALN254" s="1"/>
      <c r="ALO254" s="1"/>
      <c r="ALP254" s="1"/>
      <c r="ALQ254" s="1"/>
      <c r="ALR254" s="1"/>
      <c r="ALS254" s="1"/>
      <c r="ALT254" s="1"/>
      <c r="ALU254" s="1"/>
      <c r="ALV254" s="1"/>
      <c r="ALW254" s="1"/>
      <c r="ALX254" s="1"/>
      <c r="ALY254" s="1"/>
      <c r="ALZ254" s="1"/>
      <c r="AMA254" s="1"/>
      <c r="AMB254" s="1"/>
      <c r="AMC254" s="1"/>
      <c r="AMD254" s="1"/>
      <c r="AME254" s="1"/>
      <c r="AMF254" s="1"/>
      <c r="AMG254" s="1"/>
      <c r="AMH254" s="1"/>
      <c r="AMI254" s="1"/>
      <c r="AMJ254" s="1"/>
      <c r="AMK254" s="1"/>
      <c r="AML254" s="1"/>
      <c r="AMM254" s="1"/>
      <c r="AMN254" s="1"/>
      <c r="AMO254" s="1"/>
    </row>
    <row r="255" spans="1:1029" x14ac:dyDescent="0.2">
      <c r="A255" s="3" t="str">
        <f t="shared" si="811"/>
        <v>par2_human_5NJ6</v>
      </c>
      <c r="B255" s="3" t="s">
        <v>356</v>
      </c>
      <c r="C255" s="3" t="s">
        <v>1406</v>
      </c>
      <c r="D255" s="3" t="str">
        <f>IFERROR(MID(VLOOKUP($B255,Seqs!$A:$B,2,0),E255,1),"")</f>
        <v>G</v>
      </c>
      <c r="E255" s="3">
        <v>71</v>
      </c>
      <c r="F255" s="3" t="str">
        <f>IFERROR(MID(VLOOKUP($B255,Seqs!$A:$B,2,0),G255,1),"")</f>
        <v>R</v>
      </c>
      <c r="G255" s="3">
        <v>103</v>
      </c>
      <c r="H255" s="3" t="str">
        <f>IFERROR(MID(VLOOKUP($B255,Seqs!$A:$B,2,0),I255,1),"")</f>
        <v/>
      </c>
      <c r="I255" s="23" t="s">
        <v>23</v>
      </c>
      <c r="J255" s="3" t="str">
        <f>IFERROR(MID(VLOOKUP($B255,Seqs!$A:$B,2,0),K255,1),"")</f>
        <v/>
      </c>
      <c r="K255" s="23" t="s">
        <v>23</v>
      </c>
      <c r="L255" s="3" t="str">
        <f>IFERROR(MID(VLOOKUP($B255,Seqs!$A:$B,2,0),M255,1),"")</f>
        <v>H</v>
      </c>
      <c r="M255" s="3">
        <v>108</v>
      </c>
      <c r="N255" s="3" t="str">
        <f>IFERROR(MID(VLOOKUP($B255,Seqs!$A:$B,2,0),O255,1),"")</f>
        <v>H</v>
      </c>
      <c r="O255" s="3">
        <v>137</v>
      </c>
      <c r="P255" s="3" t="str">
        <f>IFERROR(MID(VLOOKUP($B255,Seqs!$A:$B,2,0),Q255,1),"")</f>
        <v>G</v>
      </c>
      <c r="Q255" s="3">
        <v>138</v>
      </c>
      <c r="R255" s="3" t="str">
        <f>IFERROR(MID(VLOOKUP($B255,Seqs!$A:$B,2,0),S255,1),"")</f>
        <v>Y</v>
      </c>
      <c r="S255" s="3">
        <v>143</v>
      </c>
      <c r="T255" s="3" t="str">
        <f>IFERROR(MID(VLOOKUP($B255,Seqs!$A:$B,2,0),U255,1),"")</f>
        <v>G</v>
      </c>
      <c r="U255" s="3">
        <v>144</v>
      </c>
      <c r="V255" s="3" t="str">
        <f>IFERROR(MID(VLOOKUP($B255,Seqs!$A:$B,2,0),W255,1),"")</f>
        <v>N</v>
      </c>
      <c r="W255" s="3">
        <v>179</v>
      </c>
      <c r="X255" s="3" t="str">
        <f>IFERROR(MID(VLOOKUP($B255,Seqs!$A:$B,2,0),Y255,1),"")</f>
        <v/>
      </c>
      <c r="Y255" s="3" t="s">
        <v>23</v>
      </c>
      <c r="Z255" s="3" t="str">
        <f>IFERROR(MID(VLOOKUP($B255,Seqs!$A:$B,2,0),AA255,1),"")</f>
        <v/>
      </c>
      <c r="AA255" s="3" t="s">
        <v>23</v>
      </c>
      <c r="AB255" s="3" t="str">
        <f>IFERROR(MID(VLOOKUP($B255,Seqs!$A:$B,2,0),AC255,1),"")</f>
        <v>H</v>
      </c>
      <c r="AC255" s="3">
        <v>183</v>
      </c>
      <c r="AD255" s="3" t="str">
        <f>IFERROR(MID(VLOOKUP($B255,Seqs!$A:$B,2,0),AE255,1),"")</f>
        <v>V</v>
      </c>
      <c r="AE255" s="3">
        <v>211</v>
      </c>
      <c r="AF255" s="3" t="str">
        <f>IFERROR(MID(VLOOKUP($B255,Seqs!$A:$B,2,0),AG255,1),"")</f>
        <v>C</v>
      </c>
      <c r="AG255" s="3">
        <v>226</v>
      </c>
      <c r="AH255" s="3" t="str">
        <f>IFERROR(MID(VLOOKUP($B255,Seqs!$A:$B,2,0),AI255,1),"")</f>
        <v>D</v>
      </c>
      <c r="AI255" s="3">
        <v>228</v>
      </c>
      <c r="AJ255" s="3" t="str">
        <f>IFERROR(MID(VLOOKUP($B255,Seqs!$A:$B,2,0),AK255,1),"")</f>
        <v>L</v>
      </c>
      <c r="AK255" s="3">
        <v>235</v>
      </c>
      <c r="AL255" s="3" t="str">
        <f>IFERROR(MID(VLOOKUP($B255,Seqs!$A:$B,2,0),AM255,1),"")</f>
        <v>L</v>
      </c>
      <c r="AM255" s="3">
        <v>269</v>
      </c>
      <c r="AN255" s="3" t="str">
        <f>IFERROR(MID(VLOOKUP($B255,Seqs!$A:$B,2,0),AO255,1),"")</f>
        <v>S</v>
      </c>
      <c r="AO255" s="3">
        <v>278</v>
      </c>
      <c r="AP255" s="3" t="str">
        <f>IFERROR(MID(VLOOKUP($B255,Seqs!$A:$B,2,0),AQ255,1),"")</f>
        <v>Q</v>
      </c>
      <c r="AQ255" s="3">
        <v>317</v>
      </c>
      <c r="AR255" s="3" t="str">
        <f>IFERROR(MID(VLOOKUP($B255,Seqs!$A:$B,2,0),AS255,1),"")</f>
        <v>V</v>
      </c>
      <c r="AS255" s="3">
        <v>322</v>
      </c>
      <c r="AT255" s="3" t="str">
        <f>IFERROR(MID(VLOOKUP($B255,Seqs!$A:$B,2,0),AU255,1),"")</f>
        <v>S</v>
      </c>
      <c r="AU255" s="3">
        <v>348</v>
      </c>
      <c r="AV255" s="3" t="str">
        <f>IFERROR(MID(VLOOKUP($B255,Seqs!$A:$B,2,0),AW255,1),"")</f>
        <v>H</v>
      </c>
      <c r="AW255" s="3">
        <v>349</v>
      </c>
      <c r="AX255" s="3" t="str">
        <f>IFERROR(MID(VLOOKUP($B255,Seqs!$A:$B,2,0),AY255,1),"")</f>
        <v>L</v>
      </c>
      <c r="AY255" s="3">
        <v>359</v>
      </c>
      <c r="AZ255" s="77" t="str">
        <f>VLOOKUP(B255,Classification!A:D,2,0)</f>
        <v>A</v>
      </c>
      <c r="BA255" s="94" t="str">
        <f>VLOOKUP(B255,Classification!A:D,4,0)</f>
        <v>Proteinase-activated</v>
      </c>
      <c r="BB255" s="27" t="b">
        <f t="shared" si="812"/>
        <v>1</v>
      </c>
      <c r="BC255" s="23">
        <f t="shared" si="813"/>
        <v>252</v>
      </c>
      <c r="BD255" s="2" t="s">
        <v>23</v>
      </c>
      <c r="BE255" s="3" t="s">
        <v>1439</v>
      </c>
      <c r="BF255" s="119">
        <v>4</v>
      </c>
      <c r="BG255" s="49" t="s">
        <v>1</v>
      </c>
      <c r="BH255" s="49" t="s">
        <v>1384</v>
      </c>
      <c r="BI255" s="1"/>
      <c r="BJ255" s="70" t="s">
        <v>1293</v>
      </c>
      <c r="BK255" s="57" t="s">
        <v>1293</v>
      </c>
      <c r="BL255" s="57" t="s">
        <v>1293</v>
      </c>
      <c r="BM255" s="57" t="s">
        <v>1293</v>
      </c>
      <c r="BN255" s="57" t="s">
        <v>1293</v>
      </c>
      <c r="BO255" s="57" t="s">
        <v>1293</v>
      </c>
      <c r="BP255" s="57" t="s">
        <v>1293</v>
      </c>
      <c r="BQ255" s="57" t="s">
        <v>1293</v>
      </c>
      <c r="BR255" s="57" t="s">
        <v>1293</v>
      </c>
      <c r="BS255" s="57" t="s">
        <v>1293</v>
      </c>
      <c r="BT255" s="57" t="s">
        <v>1293</v>
      </c>
      <c r="BU255" s="57" t="s">
        <v>1293</v>
      </c>
      <c r="BV255" s="70">
        <f t="shared" si="814"/>
        <v>71</v>
      </c>
      <c r="BW255" s="71" t="str">
        <f t="shared" si="815"/>
        <v>-</v>
      </c>
      <c r="BX255" s="72">
        <f t="shared" si="816"/>
        <v>108</v>
      </c>
      <c r="BY255" s="71">
        <f t="shared" si="817"/>
        <v>138</v>
      </c>
      <c r="BZ255" s="72">
        <f t="shared" si="818"/>
        <v>144</v>
      </c>
      <c r="CA255" s="71" t="str">
        <f t="shared" si="819"/>
        <v>-</v>
      </c>
      <c r="CB255" s="72">
        <f t="shared" si="820"/>
        <v>183</v>
      </c>
      <c r="CC255" s="71">
        <f t="shared" si="821"/>
        <v>226</v>
      </c>
      <c r="CD255" s="72">
        <f t="shared" si="822"/>
        <v>235</v>
      </c>
      <c r="CE255" s="71">
        <f t="shared" si="823"/>
        <v>278</v>
      </c>
      <c r="CF255" s="72">
        <f t="shared" si="824"/>
        <v>322</v>
      </c>
      <c r="CG255" s="71">
        <f t="shared" si="825"/>
        <v>349</v>
      </c>
      <c r="CH255" s="70">
        <f t="shared" si="826"/>
        <v>103</v>
      </c>
      <c r="CI255" s="71" t="str">
        <f t="shared" si="827"/>
        <v>-</v>
      </c>
      <c r="CJ255" s="72">
        <f t="shared" si="828"/>
        <v>137</v>
      </c>
      <c r="CK255" s="72">
        <f t="shared" si="829"/>
        <v>143</v>
      </c>
      <c r="CL255" s="72">
        <f t="shared" si="830"/>
        <v>179</v>
      </c>
      <c r="CM255" s="72" t="str">
        <f t="shared" si="831"/>
        <v>-</v>
      </c>
      <c r="CN255" s="72">
        <f t="shared" si="832"/>
        <v>211</v>
      </c>
      <c r="CO255" s="72">
        <f t="shared" si="833"/>
        <v>228</v>
      </c>
      <c r="CP255" s="72">
        <f t="shared" si="834"/>
        <v>269</v>
      </c>
      <c r="CQ255" s="72">
        <f t="shared" si="835"/>
        <v>317</v>
      </c>
      <c r="CR255" s="72">
        <f t="shared" si="836"/>
        <v>348</v>
      </c>
      <c r="CS255" s="72">
        <f t="shared" si="837"/>
        <v>359</v>
      </c>
      <c r="CT255" s="23" t="e">
        <f t="shared" si="838"/>
        <v>#VALUE!</v>
      </c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  <c r="OK255" s="1"/>
      <c r="OL255" s="1"/>
      <c r="OM255" s="1"/>
      <c r="ON255" s="1"/>
      <c r="OO255" s="1"/>
      <c r="OP255" s="1"/>
      <c r="OQ255" s="1"/>
      <c r="OR255" s="1"/>
      <c r="OS255" s="1"/>
      <c r="OT255" s="1"/>
      <c r="OU255" s="1"/>
      <c r="OV255" s="1"/>
      <c r="OW255" s="1"/>
      <c r="OX255" s="1"/>
      <c r="OY255" s="1"/>
      <c r="OZ255" s="1"/>
      <c r="PA255" s="1"/>
      <c r="PB255" s="1"/>
      <c r="PC255" s="1"/>
      <c r="PD255" s="1"/>
      <c r="PE255" s="1"/>
      <c r="PF255" s="1"/>
      <c r="PG255" s="1"/>
      <c r="PH255" s="1"/>
      <c r="PI255" s="1"/>
      <c r="PJ255" s="1"/>
      <c r="PK255" s="1"/>
      <c r="PL255" s="1"/>
      <c r="PM255" s="1"/>
      <c r="PN255" s="1"/>
      <c r="PO255" s="1"/>
      <c r="PP255" s="1"/>
      <c r="PQ255" s="1"/>
      <c r="PR255" s="1"/>
      <c r="PS255" s="1"/>
      <c r="PT255" s="1"/>
      <c r="PU255" s="1"/>
      <c r="PV255" s="1"/>
      <c r="PW255" s="1"/>
      <c r="PX255" s="1"/>
      <c r="PY255" s="1"/>
      <c r="PZ255" s="1"/>
      <c r="QA255" s="1"/>
      <c r="QB255" s="1"/>
      <c r="QC255" s="1"/>
      <c r="QD255" s="1"/>
      <c r="QE255" s="1"/>
      <c r="QF255" s="1"/>
      <c r="QG255" s="1"/>
      <c r="QH255" s="1"/>
      <c r="QI255" s="1"/>
      <c r="QJ255" s="1"/>
      <c r="QK255" s="1"/>
      <c r="QL255" s="1"/>
      <c r="QM255" s="1"/>
      <c r="QN255" s="1"/>
      <c r="QO255" s="1"/>
      <c r="QP255" s="1"/>
      <c r="QQ255" s="1"/>
      <c r="QR255" s="1"/>
      <c r="QS255" s="1"/>
      <c r="QT255" s="1"/>
      <c r="QU255" s="1"/>
      <c r="QV255" s="1"/>
      <c r="QW255" s="1"/>
      <c r="QX255" s="1"/>
      <c r="QY255" s="1"/>
      <c r="QZ255" s="1"/>
      <c r="RA255" s="1"/>
      <c r="RB255" s="1"/>
      <c r="RC255" s="1"/>
      <c r="RD255" s="1"/>
      <c r="RE255" s="1"/>
      <c r="RF255" s="1"/>
      <c r="RG255" s="1"/>
      <c r="RH255" s="1"/>
      <c r="RI255" s="1"/>
      <c r="RJ255" s="1"/>
      <c r="RK255" s="1"/>
      <c r="RL255" s="1"/>
      <c r="RM255" s="1"/>
      <c r="RN255" s="1"/>
      <c r="RO255" s="1"/>
      <c r="RP255" s="1"/>
      <c r="RQ255" s="1"/>
      <c r="RR255" s="1"/>
      <c r="RS255" s="1"/>
      <c r="RT255" s="1"/>
      <c r="RU255" s="1"/>
      <c r="RV255" s="1"/>
      <c r="RW255" s="1"/>
      <c r="RX255" s="1"/>
      <c r="RY255" s="1"/>
      <c r="RZ255" s="1"/>
      <c r="SA255" s="1"/>
      <c r="SB255" s="1"/>
      <c r="SC255" s="1"/>
      <c r="SD255" s="1"/>
      <c r="SE255" s="1"/>
      <c r="SF255" s="1"/>
      <c r="SG255" s="1"/>
      <c r="SH255" s="1"/>
      <c r="SI255" s="1"/>
      <c r="SJ255" s="1"/>
      <c r="SK255" s="1"/>
      <c r="SL255" s="1"/>
      <c r="SM255" s="1"/>
      <c r="SN255" s="1"/>
      <c r="SO255" s="1"/>
      <c r="SP255" s="1"/>
      <c r="SQ255" s="1"/>
      <c r="SR255" s="1"/>
      <c r="SS255" s="1"/>
      <c r="ST255" s="1"/>
      <c r="SU255" s="1"/>
      <c r="SV255" s="1"/>
      <c r="SW255" s="1"/>
      <c r="SX255" s="1"/>
      <c r="SY255" s="1"/>
      <c r="SZ255" s="1"/>
      <c r="TA255" s="1"/>
      <c r="TB255" s="1"/>
      <c r="TC255" s="1"/>
      <c r="TD255" s="1"/>
      <c r="TE255" s="1"/>
      <c r="TF255" s="1"/>
      <c r="TG255" s="1"/>
      <c r="TH255" s="1"/>
      <c r="TI255" s="1"/>
      <c r="TJ255" s="1"/>
      <c r="TK255" s="1"/>
      <c r="TL255" s="1"/>
      <c r="TM255" s="1"/>
      <c r="TN255" s="1"/>
      <c r="TO255" s="1"/>
      <c r="TP255" s="1"/>
      <c r="TQ255" s="1"/>
      <c r="TR255" s="1"/>
      <c r="TS255" s="1"/>
      <c r="TT255" s="1"/>
      <c r="TU255" s="1"/>
      <c r="TV255" s="1"/>
      <c r="TW255" s="1"/>
      <c r="TX255" s="1"/>
      <c r="TY255" s="1"/>
      <c r="TZ255" s="1"/>
      <c r="UA255" s="1"/>
      <c r="UB255" s="1"/>
      <c r="UC255" s="1"/>
      <c r="UD255" s="1"/>
      <c r="UE255" s="1"/>
      <c r="UF255" s="1"/>
      <c r="UG255" s="1"/>
      <c r="UH255" s="1"/>
      <c r="UI255" s="1"/>
      <c r="UJ255" s="1"/>
      <c r="UK255" s="1"/>
      <c r="UL255" s="1"/>
      <c r="UM255" s="1"/>
      <c r="UN255" s="1"/>
      <c r="UO255" s="1"/>
      <c r="UP255" s="1"/>
      <c r="UQ255" s="1"/>
      <c r="UR255" s="1"/>
      <c r="US255" s="1"/>
      <c r="UT255" s="1"/>
      <c r="UU255" s="1"/>
      <c r="UV255" s="1"/>
      <c r="UW255" s="1"/>
      <c r="UX255" s="1"/>
      <c r="UY255" s="1"/>
      <c r="UZ255" s="1"/>
      <c r="VA255" s="1"/>
      <c r="VB255" s="1"/>
      <c r="VC255" s="1"/>
      <c r="VD255" s="1"/>
      <c r="VE255" s="1"/>
      <c r="VF255" s="1"/>
      <c r="VG255" s="1"/>
      <c r="VH255" s="1"/>
      <c r="VI255" s="1"/>
      <c r="VJ255" s="1"/>
      <c r="VK255" s="1"/>
      <c r="VL255" s="1"/>
      <c r="VM255" s="1"/>
      <c r="VN255" s="1"/>
      <c r="VO255" s="1"/>
      <c r="VP255" s="1"/>
      <c r="VQ255" s="1"/>
      <c r="VR255" s="1"/>
      <c r="VS255" s="1"/>
      <c r="VT255" s="1"/>
      <c r="VU255" s="1"/>
      <c r="VV255" s="1"/>
      <c r="VW255" s="1"/>
      <c r="VX255" s="1"/>
      <c r="VY255" s="1"/>
      <c r="VZ255" s="1"/>
      <c r="WA255" s="1"/>
      <c r="WB255" s="1"/>
      <c r="WC255" s="1"/>
      <c r="WD255" s="1"/>
      <c r="WE255" s="1"/>
      <c r="WF255" s="1"/>
      <c r="WG255" s="1"/>
      <c r="WH255" s="1"/>
      <c r="WI255" s="1"/>
      <c r="WJ255" s="1"/>
      <c r="WK255" s="1"/>
      <c r="WL255" s="1"/>
      <c r="WM255" s="1"/>
      <c r="WN255" s="1"/>
      <c r="WO255" s="1"/>
      <c r="WP255" s="1"/>
      <c r="WQ255" s="1"/>
      <c r="WR255" s="1"/>
      <c r="WS255" s="1"/>
      <c r="WT255" s="1"/>
      <c r="WU255" s="1"/>
      <c r="WV255" s="1"/>
      <c r="WW255" s="1"/>
      <c r="WX255" s="1"/>
      <c r="WY255" s="1"/>
      <c r="WZ255" s="1"/>
      <c r="XA255" s="1"/>
      <c r="XB255" s="1"/>
      <c r="XC255" s="1"/>
      <c r="XD255" s="1"/>
      <c r="XE255" s="1"/>
      <c r="XF255" s="1"/>
      <c r="XG255" s="1"/>
      <c r="XH255" s="1"/>
      <c r="XI255" s="1"/>
      <c r="XJ255" s="1"/>
      <c r="XK255" s="1"/>
      <c r="XL255" s="1"/>
      <c r="XM255" s="1"/>
      <c r="XN255" s="1"/>
      <c r="XO255" s="1"/>
      <c r="XP255" s="1"/>
      <c r="XQ255" s="1"/>
      <c r="XR255" s="1"/>
      <c r="XS255" s="1"/>
      <c r="XT255" s="1"/>
      <c r="XU255" s="1"/>
      <c r="XV255" s="1"/>
      <c r="XW255" s="1"/>
      <c r="XX255" s="1"/>
      <c r="XY255" s="1"/>
      <c r="XZ255" s="1"/>
      <c r="YA255" s="1"/>
      <c r="YB255" s="1"/>
      <c r="YC255" s="1"/>
      <c r="YD255" s="1"/>
      <c r="YE255" s="1"/>
      <c r="YF255" s="1"/>
      <c r="YG255" s="1"/>
      <c r="YH255" s="1"/>
      <c r="YI255" s="1"/>
      <c r="YJ255" s="1"/>
      <c r="YK255" s="1"/>
      <c r="YL255" s="1"/>
      <c r="YM255" s="1"/>
      <c r="YN255" s="1"/>
      <c r="YO255" s="1"/>
      <c r="YP255" s="1"/>
      <c r="YQ255" s="1"/>
      <c r="YR255" s="1"/>
      <c r="YS255" s="1"/>
      <c r="YT255" s="1"/>
      <c r="YU255" s="1"/>
      <c r="YV255" s="1"/>
      <c r="YW255" s="1"/>
      <c r="YX255" s="1"/>
      <c r="YY255" s="1"/>
      <c r="YZ255" s="1"/>
      <c r="ZA255" s="1"/>
      <c r="ZB255" s="1"/>
      <c r="ZC255" s="1"/>
      <c r="ZD255" s="1"/>
      <c r="ZE255" s="1"/>
      <c r="ZF255" s="1"/>
      <c r="ZG255" s="1"/>
      <c r="ZH255" s="1"/>
      <c r="ZI255" s="1"/>
      <c r="ZJ255" s="1"/>
      <c r="ZK255" s="1"/>
      <c r="ZL255" s="1"/>
      <c r="ZM255" s="1"/>
      <c r="ZN255" s="1"/>
      <c r="ZO255" s="1"/>
      <c r="ZP255" s="1"/>
      <c r="ZQ255" s="1"/>
      <c r="ZR255" s="1"/>
      <c r="ZS255" s="1"/>
      <c r="ZT255" s="1"/>
      <c r="ZU255" s="1"/>
      <c r="ZV255" s="1"/>
      <c r="ZW255" s="1"/>
      <c r="ZX255" s="1"/>
      <c r="ZY255" s="1"/>
      <c r="ZZ255" s="1"/>
      <c r="AAA255" s="1"/>
      <c r="AAB255" s="1"/>
      <c r="AAC255" s="1"/>
      <c r="AAD255" s="1"/>
      <c r="AAE255" s="1"/>
      <c r="AAF255" s="1"/>
      <c r="AAG255" s="1"/>
      <c r="AAH255" s="1"/>
      <c r="AAI255" s="1"/>
      <c r="AAJ255" s="1"/>
      <c r="AAK255" s="1"/>
      <c r="AAL255" s="1"/>
      <c r="AAM255" s="1"/>
      <c r="AAN255" s="1"/>
      <c r="AAO255" s="1"/>
      <c r="AAP255" s="1"/>
      <c r="AAQ255" s="1"/>
      <c r="AAR255" s="1"/>
      <c r="AAS255" s="1"/>
      <c r="AAT255" s="1"/>
      <c r="AAU255" s="1"/>
      <c r="AAV255" s="1"/>
      <c r="AAW255" s="1"/>
      <c r="AAX255" s="1"/>
      <c r="AAY255" s="1"/>
      <c r="AAZ255" s="1"/>
      <c r="ABA255" s="1"/>
      <c r="ABB255" s="1"/>
      <c r="ABC255" s="1"/>
      <c r="ABD255" s="1"/>
      <c r="ABE255" s="1"/>
      <c r="ABF255" s="1"/>
      <c r="ABG255" s="1"/>
      <c r="ABH255" s="1"/>
      <c r="ABI255" s="1"/>
      <c r="ABJ255" s="1"/>
      <c r="ABK255" s="1"/>
      <c r="ABL255" s="1"/>
      <c r="ABM255" s="1"/>
      <c r="ABN255" s="1"/>
      <c r="ABO255" s="1"/>
      <c r="ABP255" s="1"/>
      <c r="ABQ255" s="1"/>
      <c r="ABR255" s="1"/>
      <c r="ABS255" s="1"/>
      <c r="ABT255" s="1"/>
      <c r="ABU255" s="1"/>
      <c r="ABV255" s="1"/>
      <c r="ABW255" s="1"/>
      <c r="ABX255" s="1"/>
      <c r="ABY255" s="1"/>
      <c r="ABZ255" s="1"/>
      <c r="ACA255" s="1"/>
      <c r="ACB255" s="1"/>
      <c r="ACC255" s="1"/>
      <c r="ACD255" s="1"/>
      <c r="ACE255" s="1"/>
      <c r="ACF255" s="1"/>
      <c r="ACG255" s="1"/>
      <c r="ACH255" s="1"/>
      <c r="ACI255" s="1"/>
      <c r="ACJ255" s="1"/>
      <c r="ACK255" s="1"/>
      <c r="ACL255" s="1"/>
      <c r="ACM255" s="1"/>
      <c r="ACN255" s="1"/>
      <c r="ACO255" s="1"/>
      <c r="ACP255" s="1"/>
      <c r="ACQ255" s="1"/>
      <c r="ACR255" s="1"/>
      <c r="ACS255" s="1"/>
      <c r="ACT255" s="1"/>
      <c r="ACU255" s="1"/>
      <c r="ACV255" s="1"/>
      <c r="ACW255" s="1"/>
      <c r="ACX255" s="1"/>
      <c r="ACY255" s="1"/>
      <c r="ACZ255" s="1"/>
      <c r="ADA255" s="1"/>
      <c r="ADB255" s="1"/>
      <c r="ADC255" s="1"/>
      <c r="ADD255" s="1"/>
      <c r="ADE255" s="1"/>
      <c r="ADF255" s="1"/>
      <c r="ADG255" s="1"/>
      <c r="ADH255" s="1"/>
      <c r="ADI255" s="1"/>
      <c r="ADJ255" s="1"/>
      <c r="ADK255" s="1"/>
      <c r="ADL255" s="1"/>
      <c r="ADM255" s="1"/>
      <c r="ADN255" s="1"/>
      <c r="ADO255" s="1"/>
      <c r="ADP255" s="1"/>
      <c r="ADQ255" s="1"/>
      <c r="ADR255" s="1"/>
      <c r="ADS255" s="1"/>
      <c r="ADT255" s="1"/>
      <c r="ADU255" s="1"/>
      <c r="ADV255" s="1"/>
      <c r="ADW255" s="1"/>
      <c r="ADX255" s="1"/>
      <c r="ADY255" s="1"/>
      <c r="ADZ255" s="1"/>
      <c r="AEA255" s="1"/>
      <c r="AEB255" s="1"/>
      <c r="AEC255" s="1"/>
      <c r="AED255" s="1"/>
      <c r="AEE255" s="1"/>
      <c r="AEF255" s="1"/>
      <c r="AEG255" s="1"/>
      <c r="AEH255" s="1"/>
      <c r="AEI255" s="1"/>
      <c r="AEJ255" s="1"/>
      <c r="AEK255" s="1"/>
      <c r="AEL255" s="1"/>
      <c r="AEM255" s="1"/>
      <c r="AEN255" s="1"/>
      <c r="AEO255" s="1"/>
      <c r="AEP255" s="1"/>
      <c r="AEQ255" s="1"/>
      <c r="AER255" s="1"/>
      <c r="AES255" s="1"/>
      <c r="AET255" s="1"/>
      <c r="AEU255" s="1"/>
      <c r="AEV255" s="1"/>
      <c r="AEW255" s="1"/>
      <c r="AEX255" s="1"/>
      <c r="AEY255" s="1"/>
      <c r="AEZ255" s="1"/>
      <c r="AFA255" s="1"/>
      <c r="AFB255" s="1"/>
      <c r="AFC255" s="1"/>
      <c r="AFD255" s="1"/>
      <c r="AFE255" s="1"/>
      <c r="AFF255" s="1"/>
      <c r="AFG255" s="1"/>
      <c r="AFH255" s="1"/>
      <c r="AFI255" s="1"/>
      <c r="AFJ255" s="1"/>
      <c r="AFK255" s="1"/>
      <c r="AFL255" s="1"/>
      <c r="AFM255" s="1"/>
      <c r="AFN255" s="1"/>
      <c r="AFO255" s="1"/>
      <c r="AFP255" s="1"/>
      <c r="AFQ255" s="1"/>
      <c r="AFR255" s="1"/>
      <c r="AFS255" s="1"/>
      <c r="AFT255" s="1"/>
      <c r="AFU255" s="1"/>
      <c r="AFV255" s="1"/>
      <c r="AFW255" s="1"/>
      <c r="AFX255" s="1"/>
      <c r="AFY255" s="1"/>
      <c r="AFZ255" s="1"/>
      <c r="AGA255" s="1"/>
      <c r="AGB255" s="1"/>
      <c r="AGC255" s="1"/>
      <c r="AGD255" s="1"/>
      <c r="AGE255" s="1"/>
      <c r="AGF255" s="1"/>
      <c r="AGG255" s="1"/>
      <c r="AGH255" s="1"/>
      <c r="AGI255" s="1"/>
      <c r="AGJ255" s="1"/>
      <c r="AGK255" s="1"/>
      <c r="AGL255" s="1"/>
      <c r="AGM255" s="1"/>
      <c r="AGN255" s="1"/>
      <c r="AGO255" s="1"/>
      <c r="AGP255" s="1"/>
      <c r="AGQ255" s="1"/>
      <c r="AGR255" s="1"/>
      <c r="AGS255" s="1"/>
      <c r="AGT255" s="1"/>
      <c r="AGU255" s="1"/>
      <c r="AGV255" s="1"/>
      <c r="AGW255" s="1"/>
      <c r="AGX255" s="1"/>
      <c r="AGY255" s="1"/>
      <c r="AGZ255" s="1"/>
      <c r="AHA255" s="1"/>
      <c r="AHB255" s="1"/>
      <c r="AHC255" s="1"/>
      <c r="AHD255" s="1"/>
      <c r="AHE255" s="1"/>
      <c r="AHF255" s="1"/>
      <c r="AHG255" s="1"/>
      <c r="AHH255" s="1"/>
      <c r="AHI255" s="1"/>
      <c r="AHJ255" s="1"/>
      <c r="AHK255" s="1"/>
      <c r="AHL255" s="1"/>
      <c r="AHM255" s="1"/>
      <c r="AHN255" s="1"/>
      <c r="AHO255" s="1"/>
      <c r="AHP255" s="1"/>
      <c r="AHQ255" s="1"/>
      <c r="AHR255" s="1"/>
      <c r="AHS255" s="1"/>
      <c r="AHT255" s="1"/>
      <c r="AHU255" s="1"/>
      <c r="AHV255" s="1"/>
      <c r="AHW255" s="1"/>
      <c r="AHX255" s="1"/>
      <c r="AHY255" s="1"/>
      <c r="AHZ255" s="1"/>
      <c r="AIA255" s="1"/>
      <c r="AIB255" s="1"/>
      <c r="AIC255" s="1"/>
      <c r="AID255" s="1"/>
      <c r="AIE255" s="1"/>
      <c r="AIF255" s="1"/>
      <c r="AIG255" s="1"/>
      <c r="AIH255" s="1"/>
      <c r="AII255" s="1"/>
      <c r="AIJ255" s="1"/>
      <c r="AIK255" s="1"/>
      <c r="AIL255" s="1"/>
      <c r="AIM255" s="1"/>
      <c r="AIN255" s="1"/>
      <c r="AIO255" s="1"/>
      <c r="AIP255" s="1"/>
      <c r="AIQ255" s="1"/>
      <c r="AIR255" s="1"/>
      <c r="AIS255" s="1"/>
      <c r="AIT255" s="1"/>
      <c r="AIU255" s="1"/>
      <c r="AIV255" s="1"/>
      <c r="AIW255" s="1"/>
      <c r="AIX255" s="1"/>
      <c r="AIY255" s="1"/>
      <c r="AIZ255" s="1"/>
      <c r="AJA255" s="1"/>
      <c r="AJB255" s="1"/>
      <c r="AJC255" s="1"/>
      <c r="AJD255" s="1"/>
      <c r="AJE255" s="1"/>
      <c r="AJF255" s="1"/>
      <c r="AJG255" s="1"/>
      <c r="AJH255" s="1"/>
      <c r="AJI255" s="1"/>
      <c r="AJJ255" s="1"/>
      <c r="AJK255" s="1"/>
      <c r="AJL255" s="1"/>
      <c r="AJM255" s="1"/>
      <c r="AJN255" s="1"/>
      <c r="AJO255" s="1"/>
      <c r="AJP255" s="1"/>
      <c r="AJQ255" s="1"/>
      <c r="AJR255" s="1"/>
      <c r="AJS255" s="1"/>
      <c r="AJT255" s="1"/>
      <c r="AJU255" s="1"/>
      <c r="AJV255" s="1"/>
      <c r="AJW255" s="1"/>
      <c r="AJX255" s="1"/>
      <c r="AJY255" s="1"/>
      <c r="AJZ255" s="1"/>
      <c r="AKA255" s="1"/>
      <c r="AKB255" s="1"/>
      <c r="AKC255" s="1"/>
      <c r="AKD255" s="1"/>
      <c r="AKE255" s="1"/>
      <c r="AKF255" s="1"/>
      <c r="AKG255" s="1"/>
      <c r="AKH255" s="1"/>
      <c r="AKI255" s="1"/>
      <c r="AKJ255" s="1"/>
      <c r="AKK255" s="1"/>
      <c r="AKL255" s="1"/>
      <c r="AKM255" s="1"/>
      <c r="AKN255" s="1"/>
      <c r="AKO255" s="1"/>
      <c r="AKP255" s="1"/>
      <c r="AKQ255" s="1"/>
      <c r="AKR255" s="1"/>
      <c r="AKS255" s="1"/>
      <c r="AKT255" s="1"/>
      <c r="AKU255" s="1"/>
      <c r="AKV255" s="1"/>
      <c r="AKW255" s="1"/>
      <c r="AKX255" s="1"/>
      <c r="AKY255" s="1"/>
      <c r="AKZ255" s="1"/>
      <c r="ALA255" s="1"/>
      <c r="ALB255" s="1"/>
      <c r="ALC255" s="1"/>
      <c r="ALD255" s="1"/>
      <c r="ALE255" s="1"/>
      <c r="ALF255" s="1"/>
      <c r="ALG255" s="1"/>
      <c r="ALH255" s="1"/>
      <c r="ALI255" s="1"/>
      <c r="ALJ255" s="1"/>
      <c r="ALK255" s="1"/>
      <c r="ALL255" s="1"/>
      <c r="ALM255" s="1"/>
      <c r="ALN255" s="1"/>
      <c r="ALO255" s="1"/>
      <c r="ALP255" s="1"/>
      <c r="ALQ255" s="1"/>
      <c r="ALR255" s="1"/>
      <c r="ALS255" s="1"/>
      <c r="ALT255" s="1"/>
      <c r="ALU255" s="1"/>
      <c r="ALV255" s="1"/>
      <c r="ALW255" s="1"/>
      <c r="ALX255" s="1"/>
      <c r="ALY255" s="1"/>
      <c r="ALZ255" s="1"/>
      <c r="AMA255" s="1"/>
      <c r="AMB255" s="1"/>
      <c r="AMC255" s="1"/>
      <c r="AMD255" s="1"/>
      <c r="AME255" s="1"/>
      <c r="AMF255" s="1"/>
      <c r="AMG255" s="1"/>
      <c r="AMH255" s="1"/>
      <c r="AMI255" s="1"/>
      <c r="AMJ255" s="1"/>
      <c r="AMK255" s="1"/>
      <c r="AML255" s="1"/>
      <c r="AMM255" s="1"/>
      <c r="AMN255" s="1"/>
      <c r="AMO255" s="1"/>
    </row>
    <row r="256" spans="1:1029" x14ac:dyDescent="0.2">
      <c r="A256" s="3" t="str">
        <f t="shared" ref="A256" si="839">CONCATENATE(B256,"_",C256)</f>
        <v>pd2r2_human__wt</v>
      </c>
      <c r="B256" s="3" t="s">
        <v>360</v>
      </c>
      <c r="C256" s="3" t="s">
        <v>100</v>
      </c>
      <c r="D256" s="3" t="str">
        <f>IFERROR(MID(VLOOKUP($B256,Seqs!$A:$B,2,0),E256,1),"")</f>
        <v>D</v>
      </c>
      <c r="E256" s="3">
        <v>32</v>
      </c>
      <c r="F256" s="3" t="str">
        <f>IFERROR(MID(VLOOKUP($B256,Seqs!$A:$B,2,0),G256,1),"")</f>
        <v>R</v>
      </c>
      <c r="G256" s="3">
        <v>60</v>
      </c>
      <c r="H256" s="3" t="str">
        <f>IFERROR(MID(VLOOKUP($B256,Seqs!$A:$B,2,0),I256,1),"")</f>
        <v/>
      </c>
      <c r="I256" s="23" t="s">
        <v>23</v>
      </c>
      <c r="J256" s="3" t="str">
        <f>IFERROR(MID(VLOOKUP($B256,Seqs!$A:$B,2,0),K256,1),"")</f>
        <v/>
      </c>
      <c r="K256" s="23" t="s">
        <v>23</v>
      </c>
      <c r="L256" s="3" t="str">
        <f>IFERROR(MID(VLOOKUP($B256,Seqs!$A:$B,2,0),M256,1),"")</f>
        <v>T</v>
      </c>
      <c r="M256" s="3">
        <v>64</v>
      </c>
      <c r="N256" s="3" t="str">
        <f>IFERROR(MID(VLOOKUP($B256,Seqs!$A:$B,2,0),O256,1),"")</f>
        <v>G</v>
      </c>
      <c r="O256" s="3">
        <v>94</v>
      </c>
      <c r="P256" s="3" t="str">
        <f>IFERROR(MID(VLOOKUP($B256,Seqs!$A:$B,2,0),Q256,1),"")</f>
        <v>S</v>
      </c>
      <c r="Q256" s="3">
        <v>96</v>
      </c>
      <c r="R256" s="3" t="str">
        <f>IFERROR(MID(VLOOKUP($B256,Seqs!$A:$B,2,0),S256,1),"")</f>
        <v>L</v>
      </c>
      <c r="S256" s="3">
        <v>99</v>
      </c>
      <c r="T256" s="3" t="str">
        <f>IFERROR(MID(VLOOKUP($B256,Seqs!$A:$B,2,0),U256,1),"")</f>
        <v>G</v>
      </c>
      <c r="U256" s="3">
        <v>100</v>
      </c>
      <c r="V256" s="3" t="str">
        <f>IFERROR(MID(VLOOKUP($B256,Seqs!$A:$B,2,0),W256,1),"")</f>
        <v>R</v>
      </c>
      <c r="W256" s="3">
        <v>135</v>
      </c>
      <c r="X256" s="3" t="str">
        <f>IFERROR(MID(VLOOKUP($B256,Seqs!$A:$B,2,0),Y256,1),"")</f>
        <v>P</v>
      </c>
      <c r="Y256" s="3">
        <v>136</v>
      </c>
      <c r="Z256" s="3" t="str">
        <f>IFERROR(MID(VLOOKUP($B256,Seqs!$A:$B,2,0),AA256,1),"")</f>
        <v>R</v>
      </c>
      <c r="AA256" s="3">
        <v>143</v>
      </c>
      <c r="AB256" s="3" t="str">
        <f>IFERROR(MID(VLOOKUP($B256,Seqs!$A:$B,2,0),AC256,1),"")</f>
        <v>T</v>
      </c>
      <c r="AC256" s="3">
        <v>144</v>
      </c>
      <c r="AD256" s="3" t="str">
        <f>IFERROR(MID(VLOOKUP($B256,Seqs!$A:$B,2,0),AE256,1),"")</f>
        <v>R</v>
      </c>
      <c r="AE256" s="3">
        <v>170</v>
      </c>
      <c r="AF256" s="3" t="str">
        <f>IFERROR(MID(VLOOKUP($B256,Seqs!$A:$B,2,0),AG256,1),"")</f>
        <v>C</v>
      </c>
      <c r="AG256" s="3">
        <v>182</v>
      </c>
      <c r="AH256" s="3" t="str">
        <f>IFERROR(MID(VLOOKUP($B256,Seqs!$A:$B,2,0),AI256,1),"")</f>
        <v>Y</v>
      </c>
      <c r="AI256" s="3">
        <v>184</v>
      </c>
      <c r="AJ256" s="3" t="str">
        <f>IFERROR(MID(VLOOKUP($B256,Seqs!$A:$B,2,0),AK256,1),"")</f>
        <v>D</v>
      </c>
      <c r="AK256" s="3">
        <v>194</v>
      </c>
      <c r="AL256" s="3" t="str">
        <f>IFERROR(MID(VLOOKUP($B256,Seqs!$A:$B,2,0),AM256,1),"")</f>
        <v>R</v>
      </c>
      <c r="AM256" s="3">
        <v>236</v>
      </c>
      <c r="AN256" s="3" t="str">
        <f>IFERROR(MID(VLOOKUP($B256,Seqs!$A:$B,2,0),AO256,1),"")</f>
        <v>P</v>
      </c>
      <c r="AO256" s="3">
        <v>241</v>
      </c>
      <c r="AP256" s="3" t="str">
        <f>IFERROR(MID(VLOOKUP($B256,Seqs!$A:$B,2,0),AQ256,1),"")</f>
        <v>A</v>
      </c>
      <c r="AQ256" s="3">
        <v>272</v>
      </c>
      <c r="AR256" s="3" t="str">
        <f>IFERROR(MID(VLOOKUP($B256,Seqs!$A:$B,2,0),AS256,1),"")</f>
        <v>L</v>
      </c>
      <c r="AS256" s="3">
        <v>278</v>
      </c>
      <c r="AT256" s="3" t="str">
        <f>IFERROR(MID(VLOOKUP($B256,Seqs!$A:$B,2,0),AU256,1),"")</f>
        <v>T</v>
      </c>
      <c r="AU256" s="3">
        <v>307</v>
      </c>
      <c r="AV256" s="3" t="str">
        <f>IFERROR(MID(VLOOKUP($B256,Seqs!$A:$B,2,0),AW256,1),"")</f>
        <v>C</v>
      </c>
      <c r="AW256" s="3">
        <v>308</v>
      </c>
      <c r="AX256" s="3" t="str">
        <f>IFERROR(MID(VLOOKUP($B256,Seqs!$A:$B,2,0),AY256,1),"")</f>
        <v>S</v>
      </c>
      <c r="AY256" s="3">
        <v>325</v>
      </c>
      <c r="AZ256" s="77" t="str">
        <f>VLOOKUP(B256,Classification!A:D,2,0)</f>
        <v>A</v>
      </c>
      <c r="BA256" s="94" t="str">
        <f>VLOOKUP(B256,Classification!A:D,4,0)</f>
        <v>Prostanoid</v>
      </c>
      <c r="BB256" s="27" t="b">
        <f t="shared" ref="BB256" si="840">AND(E256&lt;G256,OR(G256&lt;I256,I256="-"),OR(I256&lt;K256,I256="-"),OR(K256&lt;M256,K256="-"),M256&lt;O256,OR(O256&lt;Q256,Q256="-"),OR(Q256&lt;S256,Q256="-"),OR(S256&lt;U256,S256="-"),U256&lt;W256,OR(W256&lt;Y256,Y256="-"),OR(Y256&lt;AA256,Y256="-"),OR(AA256&lt;AC256,AA256="-"),AC256&lt;AE256,OR(AE256&lt;AG256,AG256="-"),OR(AG256&lt;AI256,AG256="-"),OR(AI256&lt;AK256,AI256="-"),AK256&lt;AM256,AM256&lt;AO256,AO256&lt;AQ256,AQ256&lt;AS256,AS256&lt;AU256,OR(AU256&lt;AW256,AW256="-"),OR(AW256&lt;AY256,AW256="-"))</f>
        <v>1</v>
      </c>
      <c r="BC256" s="23">
        <f t="shared" ref="BC256" si="841">_xlfn.AGGREGATE(9,6,CH256:CS256)-_xlfn.AGGREGATE(9,6,BV256:CG256)+12</f>
        <v>262</v>
      </c>
      <c r="BD256" s="2" t="s">
        <v>23</v>
      </c>
      <c r="BE256" s="3" t="s">
        <v>23</v>
      </c>
      <c r="BF256" s="119" t="s">
        <v>23</v>
      </c>
      <c r="BG256" s="49" t="s">
        <v>23</v>
      </c>
      <c r="BH256" s="49" t="s">
        <v>23</v>
      </c>
      <c r="BI256" s="1"/>
      <c r="BJ256" s="70" t="s">
        <v>1293</v>
      </c>
      <c r="BK256" s="57" t="s">
        <v>1293</v>
      </c>
      <c r="BL256" s="57" t="s">
        <v>1293</v>
      </c>
      <c r="BM256" s="57" t="s">
        <v>1293</v>
      </c>
      <c r="BN256" s="57" t="s">
        <v>1293</v>
      </c>
      <c r="BO256" s="57" t="s">
        <v>1293</v>
      </c>
      <c r="BP256" s="57" t="s">
        <v>1293</v>
      </c>
      <c r="BQ256" s="57" t="s">
        <v>1293</v>
      </c>
      <c r="BR256" s="57" t="s">
        <v>1293</v>
      </c>
      <c r="BS256" s="57" t="s">
        <v>1293</v>
      </c>
      <c r="BT256" s="57" t="s">
        <v>1293</v>
      </c>
      <c r="BU256" s="57" t="s">
        <v>1293</v>
      </c>
      <c r="BV256" s="70">
        <f t="shared" ref="BV256" si="842">E256</f>
        <v>32</v>
      </c>
      <c r="BW256" s="71" t="str">
        <f t="shared" ref="BW256" si="843">I256</f>
        <v>-</v>
      </c>
      <c r="BX256" s="72">
        <f t="shared" ref="BX256" si="844">M256</f>
        <v>64</v>
      </c>
      <c r="BY256" s="71">
        <f t="shared" ref="BY256" si="845">Q256</f>
        <v>96</v>
      </c>
      <c r="BZ256" s="72">
        <f t="shared" ref="BZ256" si="846">U256</f>
        <v>100</v>
      </c>
      <c r="CA256" s="71">
        <f t="shared" ref="CA256" si="847">Y256</f>
        <v>136</v>
      </c>
      <c r="CB256" s="72">
        <f t="shared" ref="CB256" si="848">AC256</f>
        <v>144</v>
      </c>
      <c r="CC256" s="71">
        <f t="shared" ref="CC256" si="849">AG256</f>
        <v>182</v>
      </c>
      <c r="CD256" s="72">
        <f t="shared" ref="CD256" si="850">AK256</f>
        <v>194</v>
      </c>
      <c r="CE256" s="71">
        <f t="shared" ref="CE256" si="851">AO256</f>
        <v>241</v>
      </c>
      <c r="CF256" s="72">
        <f t="shared" ref="CF256" si="852">AS256</f>
        <v>278</v>
      </c>
      <c r="CG256" s="71">
        <f t="shared" ref="CG256" si="853">AW256</f>
        <v>308</v>
      </c>
      <c r="CH256" s="70">
        <f t="shared" ref="CH256" si="854">G256</f>
        <v>60</v>
      </c>
      <c r="CI256" s="71" t="str">
        <f t="shared" ref="CI256" si="855">K256</f>
        <v>-</v>
      </c>
      <c r="CJ256" s="72">
        <f t="shared" ref="CJ256" si="856">O256</f>
        <v>94</v>
      </c>
      <c r="CK256" s="72">
        <f t="shared" ref="CK256" si="857">S256</f>
        <v>99</v>
      </c>
      <c r="CL256" s="72">
        <f t="shared" ref="CL256" si="858">W256</f>
        <v>135</v>
      </c>
      <c r="CM256" s="72">
        <f t="shared" ref="CM256" si="859">AA256</f>
        <v>143</v>
      </c>
      <c r="CN256" s="72">
        <f t="shared" ref="CN256" si="860">AE256</f>
        <v>170</v>
      </c>
      <c r="CO256" s="72">
        <f t="shared" ref="CO256" si="861">AI256</f>
        <v>184</v>
      </c>
      <c r="CP256" s="72">
        <f t="shared" ref="CP256" si="862">AM256</f>
        <v>236</v>
      </c>
      <c r="CQ256" s="72">
        <f t="shared" ref="CQ256" si="863">AQ256</f>
        <v>272</v>
      </c>
      <c r="CR256" s="72">
        <f t="shared" ref="CR256" si="864">AU256</f>
        <v>307</v>
      </c>
      <c r="CS256" s="72">
        <f t="shared" ref="CS256" si="865">AY256</f>
        <v>325</v>
      </c>
      <c r="CT256" s="23" t="e">
        <f t="shared" ref="CT256" si="866">M256-K256</f>
        <v>#VALUE!</v>
      </c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  <c r="OK256" s="1"/>
      <c r="OL256" s="1"/>
      <c r="OM256" s="1"/>
      <c r="ON256" s="1"/>
      <c r="OO256" s="1"/>
      <c r="OP256" s="1"/>
      <c r="OQ256" s="1"/>
      <c r="OR256" s="1"/>
      <c r="OS256" s="1"/>
      <c r="OT256" s="1"/>
      <c r="OU256" s="1"/>
      <c r="OV256" s="1"/>
      <c r="OW256" s="1"/>
      <c r="OX256" s="1"/>
      <c r="OY256" s="1"/>
      <c r="OZ256" s="1"/>
      <c r="PA256" s="1"/>
      <c r="PB256" s="1"/>
      <c r="PC256" s="1"/>
      <c r="PD256" s="1"/>
      <c r="PE256" s="1"/>
      <c r="PF256" s="1"/>
      <c r="PG256" s="1"/>
      <c r="PH256" s="1"/>
      <c r="PI256" s="1"/>
      <c r="PJ256" s="1"/>
      <c r="PK256" s="1"/>
      <c r="PL256" s="1"/>
      <c r="PM256" s="1"/>
      <c r="PN256" s="1"/>
      <c r="PO256" s="1"/>
      <c r="PP256" s="1"/>
      <c r="PQ256" s="1"/>
      <c r="PR256" s="1"/>
      <c r="PS256" s="1"/>
      <c r="PT256" s="1"/>
      <c r="PU256" s="1"/>
      <c r="PV256" s="1"/>
      <c r="PW256" s="1"/>
      <c r="PX256" s="1"/>
      <c r="PY256" s="1"/>
      <c r="PZ256" s="1"/>
      <c r="QA256" s="1"/>
      <c r="QB256" s="1"/>
      <c r="QC256" s="1"/>
      <c r="QD256" s="1"/>
      <c r="QE256" s="1"/>
      <c r="QF256" s="1"/>
      <c r="QG256" s="1"/>
      <c r="QH256" s="1"/>
      <c r="QI256" s="1"/>
      <c r="QJ256" s="1"/>
      <c r="QK256" s="1"/>
      <c r="QL256" s="1"/>
      <c r="QM256" s="1"/>
      <c r="QN256" s="1"/>
      <c r="QO256" s="1"/>
      <c r="QP256" s="1"/>
      <c r="QQ256" s="1"/>
      <c r="QR256" s="1"/>
      <c r="QS256" s="1"/>
      <c r="QT256" s="1"/>
      <c r="QU256" s="1"/>
      <c r="QV256" s="1"/>
      <c r="QW256" s="1"/>
      <c r="QX256" s="1"/>
      <c r="QY256" s="1"/>
      <c r="QZ256" s="1"/>
      <c r="RA256" s="1"/>
      <c r="RB256" s="1"/>
      <c r="RC256" s="1"/>
      <c r="RD256" s="1"/>
      <c r="RE256" s="1"/>
      <c r="RF256" s="1"/>
      <c r="RG256" s="1"/>
      <c r="RH256" s="1"/>
      <c r="RI256" s="1"/>
      <c r="RJ256" s="1"/>
      <c r="RK256" s="1"/>
      <c r="RL256" s="1"/>
      <c r="RM256" s="1"/>
      <c r="RN256" s="1"/>
      <c r="RO256" s="1"/>
      <c r="RP256" s="1"/>
      <c r="RQ256" s="1"/>
      <c r="RR256" s="1"/>
      <c r="RS256" s="1"/>
      <c r="RT256" s="1"/>
      <c r="RU256" s="1"/>
      <c r="RV256" s="1"/>
      <c r="RW256" s="1"/>
      <c r="RX256" s="1"/>
      <c r="RY256" s="1"/>
      <c r="RZ256" s="1"/>
      <c r="SA256" s="1"/>
      <c r="SB256" s="1"/>
      <c r="SC256" s="1"/>
      <c r="SD256" s="1"/>
      <c r="SE256" s="1"/>
      <c r="SF256" s="1"/>
      <c r="SG256" s="1"/>
      <c r="SH256" s="1"/>
      <c r="SI256" s="1"/>
      <c r="SJ256" s="1"/>
      <c r="SK256" s="1"/>
      <c r="SL256" s="1"/>
      <c r="SM256" s="1"/>
      <c r="SN256" s="1"/>
      <c r="SO256" s="1"/>
      <c r="SP256" s="1"/>
      <c r="SQ256" s="1"/>
      <c r="SR256" s="1"/>
      <c r="SS256" s="1"/>
      <c r="ST256" s="1"/>
      <c r="SU256" s="1"/>
      <c r="SV256" s="1"/>
      <c r="SW256" s="1"/>
      <c r="SX256" s="1"/>
      <c r="SY256" s="1"/>
      <c r="SZ256" s="1"/>
      <c r="TA256" s="1"/>
      <c r="TB256" s="1"/>
      <c r="TC256" s="1"/>
      <c r="TD256" s="1"/>
      <c r="TE256" s="1"/>
      <c r="TF256" s="1"/>
      <c r="TG256" s="1"/>
      <c r="TH256" s="1"/>
      <c r="TI256" s="1"/>
      <c r="TJ256" s="1"/>
      <c r="TK256" s="1"/>
      <c r="TL256" s="1"/>
      <c r="TM256" s="1"/>
      <c r="TN256" s="1"/>
      <c r="TO256" s="1"/>
      <c r="TP256" s="1"/>
      <c r="TQ256" s="1"/>
      <c r="TR256" s="1"/>
      <c r="TS256" s="1"/>
      <c r="TT256" s="1"/>
      <c r="TU256" s="1"/>
      <c r="TV256" s="1"/>
      <c r="TW256" s="1"/>
      <c r="TX256" s="1"/>
      <c r="TY256" s="1"/>
      <c r="TZ256" s="1"/>
      <c r="UA256" s="1"/>
      <c r="UB256" s="1"/>
      <c r="UC256" s="1"/>
      <c r="UD256" s="1"/>
      <c r="UE256" s="1"/>
      <c r="UF256" s="1"/>
      <c r="UG256" s="1"/>
      <c r="UH256" s="1"/>
      <c r="UI256" s="1"/>
      <c r="UJ256" s="1"/>
      <c r="UK256" s="1"/>
      <c r="UL256" s="1"/>
      <c r="UM256" s="1"/>
      <c r="UN256" s="1"/>
      <c r="UO256" s="1"/>
      <c r="UP256" s="1"/>
      <c r="UQ256" s="1"/>
      <c r="UR256" s="1"/>
      <c r="US256" s="1"/>
      <c r="UT256" s="1"/>
      <c r="UU256" s="1"/>
      <c r="UV256" s="1"/>
      <c r="UW256" s="1"/>
      <c r="UX256" s="1"/>
      <c r="UY256" s="1"/>
      <c r="UZ256" s="1"/>
      <c r="VA256" s="1"/>
      <c r="VB256" s="1"/>
      <c r="VC256" s="1"/>
      <c r="VD256" s="1"/>
      <c r="VE256" s="1"/>
      <c r="VF256" s="1"/>
      <c r="VG256" s="1"/>
      <c r="VH256" s="1"/>
      <c r="VI256" s="1"/>
      <c r="VJ256" s="1"/>
      <c r="VK256" s="1"/>
      <c r="VL256" s="1"/>
      <c r="VM256" s="1"/>
      <c r="VN256" s="1"/>
      <c r="VO256" s="1"/>
      <c r="VP256" s="1"/>
      <c r="VQ256" s="1"/>
      <c r="VR256" s="1"/>
      <c r="VS256" s="1"/>
      <c r="VT256" s="1"/>
      <c r="VU256" s="1"/>
      <c r="VV256" s="1"/>
      <c r="VW256" s="1"/>
      <c r="VX256" s="1"/>
      <c r="VY256" s="1"/>
      <c r="VZ256" s="1"/>
      <c r="WA256" s="1"/>
      <c r="WB256" s="1"/>
      <c r="WC256" s="1"/>
      <c r="WD256" s="1"/>
      <c r="WE256" s="1"/>
      <c r="WF256" s="1"/>
      <c r="WG256" s="1"/>
      <c r="WH256" s="1"/>
      <c r="WI256" s="1"/>
      <c r="WJ256" s="1"/>
      <c r="WK256" s="1"/>
      <c r="WL256" s="1"/>
      <c r="WM256" s="1"/>
      <c r="WN256" s="1"/>
      <c r="WO256" s="1"/>
      <c r="WP256" s="1"/>
      <c r="WQ256" s="1"/>
      <c r="WR256" s="1"/>
      <c r="WS256" s="1"/>
      <c r="WT256" s="1"/>
      <c r="WU256" s="1"/>
      <c r="WV256" s="1"/>
      <c r="WW256" s="1"/>
      <c r="WX256" s="1"/>
      <c r="WY256" s="1"/>
      <c r="WZ256" s="1"/>
      <c r="XA256" s="1"/>
      <c r="XB256" s="1"/>
      <c r="XC256" s="1"/>
      <c r="XD256" s="1"/>
      <c r="XE256" s="1"/>
      <c r="XF256" s="1"/>
      <c r="XG256" s="1"/>
      <c r="XH256" s="1"/>
      <c r="XI256" s="1"/>
      <c r="XJ256" s="1"/>
      <c r="XK256" s="1"/>
      <c r="XL256" s="1"/>
      <c r="XM256" s="1"/>
      <c r="XN256" s="1"/>
      <c r="XO256" s="1"/>
      <c r="XP256" s="1"/>
      <c r="XQ256" s="1"/>
      <c r="XR256" s="1"/>
      <c r="XS256" s="1"/>
      <c r="XT256" s="1"/>
      <c r="XU256" s="1"/>
      <c r="XV256" s="1"/>
      <c r="XW256" s="1"/>
      <c r="XX256" s="1"/>
      <c r="XY256" s="1"/>
      <c r="XZ256" s="1"/>
      <c r="YA256" s="1"/>
      <c r="YB256" s="1"/>
      <c r="YC256" s="1"/>
      <c r="YD256" s="1"/>
      <c r="YE256" s="1"/>
      <c r="YF256" s="1"/>
      <c r="YG256" s="1"/>
      <c r="YH256" s="1"/>
      <c r="YI256" s="1"/>
      <c r="YJ256" s="1"/>
      <c r="YK256" s="1"/>
      <c r="YL256" s="1"/>
      <c r="YM256" s="1"/>
      <c r="YN256" s="1"/>
      <c r="YO256" s="1"/>
      <c r="YP256" s="1"/>
      <c r="YQ256" s="1"/>
      <c r="YR256" s="1"/>
      <c r="YS256" s="1"/>
      <c r="YT256" s="1"/>
      <c r="YU256" s="1"/>
      <c r="YV256" s="1"/>
      <c r="YW256" s="1"/>
      <c r="YX256" s="1"/>
      <c r="YY256" s="1"/>
      <c r="YZ256" s="1"/>
      <c r="ZA256" s="1"/>
      <c r="ZB256" s="1"/>
      <c r="ZC256" s="1"/>
      <c r="ZD256" s="1"/>
      <c r="ZE256" s="1"/>
      <c r="ZF256" s="1"/>
      <c r="ZG256" s="1"/>
      <c r="ZH256" s="1"/>
      <c r="ZI256" s="1"/>
      <c r="ZJ256" s="1"/>
      <c r="ZK256" s="1"/>
      <c r="ZL256" s="1"/>
      <c r="ZM256" s="1"/>
      <c r="ZN256" s="1"/>
      <c r="ZO256" s="1"/>
      <c r="ZP256" s="1"/>
      <c r="ZQ256" s="1"/>
      <c r="ZR256" s="1"/>
      <c r="ZS256" s="1"/>
      <c r="ZT256" s="1"/>
      <c r="ZU256" s="1"/>
      <c r="ZV256" s="1"/>
      <c r="ZW256" s="1"/>
      <c r="ZX256" s="1"/>
      <c r="ZY256" s="1"/>
      <c r="ZZ256" s="1"/>
      <c r="AAA256" s="1"/>
      <c r="AAB256" s="1"/>
      <c r="AAC256" s="1"/>
      <c r="AAD256" s="1"/>
      <c r="AAE256" s="1"/>
      <c r="AAF256" s="1"/>
      <c r="AAG256" s="1"/>
      <c r="AAH256" s="1"/>
      <c r="AAI256" s="1"/>
      <c r="AAJ256" s="1"/>
      <c r="AAK256" s="1"/>
      <c r="AAL256" s="1"/>
      <c r="AAM256" s="1"/>
      <c r="AAN256" s="1"/>
      <c r="AAO256" s="1"/>
      <c r="AAP256" s="1"/>
      <c r="AAQ256" s="1"/>
      <c r="AAR256" s="1"/>
      <c r="AAS256" s="1"/>
      <c r="AAT256" s="1"/>
      <c r="AAU256" s="1"/>
      <c r="AAV256" s="1"/>
      <c r="AAW256" s="1"/>
      <c r="AAX256" s="1"/>
      <c r="AAY256" s="1"/>
      <c r="AAZ256" s="1"/>
      <c r="ABA256" s="1"/>
      <c r="ABB256" s="1"/>
      <c r="ABC256" s="1"/>
      <c r="ABD256" s="1"/>
      <c r="ABE256" s="1"/>
      <c r="ABF256" s="1"/>
      <c r="ABG256" s="1"/>
      <c r="ABH256" s="1"/>
      <c r="ABI256" s="1"/>
      <c r="ABJ256" s="1"/>
      <c r="ABK256" s="1"/>
      <c r="ABL256" s="1"/>
      <c r="ABM256" s="1"/>
      <c r="ABN256" s="1"/>
      <c r="ABO256" s="1"/>
      <c r="ABP256" s="1"/>
      <c r="ABQ256" s="1"/>
      <c r="ABR256" s="1"/>
      <c r="ABS256" s="1"/>
      <c r="ABT256" s="1"/>
      <c r="ABU256" s="1"/>
      <c r="ABV256" s="1"/>
      <c r="ABW256" s="1"/>
      <c r="ABX256" s="1"/>
      <c r="ABY256" s="1"/>
      <c r="ABZ256" s="1"/>
      <c r="ACA256" s="1"/>
      <c r="ACB256" s="1"/>
      <c r="ACC256" s="1"/>
      <c r="ACD256" s="1"/>
      <c r="ACE256" s="1"/>
      <c r="ACF256" s="1"/>
      <c r="ACG256" s="1"/>
      <c r="ACH256" s="1"/>
      <c r="ACI256" s="1"/>
      <c r="ACJ256" s="1"/>
      <c r="ACK256" s="1"/>
      <c r="ACL256" s="1"/>
      <c r="ACM256" s="1"/>
      <c r="ACN256" s="1"/>
      <c r="ACO256" s="1"/>
      <c r="ACP256" s="1"/>
      <c r="ACQ256" s="1"/>
      <c r="ACR256" s="1"/>
      <c r="ACS256" s="1"/>
      <c r="ACT256" s="1"/>
      <c r="ACU256" s="1"/>
      <c r="ACV256" s="1"/>
      <c r="ACW256" s="1"/>
      <c r="ACX256" s="1"/>
      <c r="ACY256" s="1"/>
      <c r="ACZ256" s="1"/>
      <c r="ADA256" s="1"/>
      <c r="ADB256" s="1"/>
      <c r="ADC256" s="1"/>
      <c r="ADD256" s="1"/>
      <c r="ADE256" s="1"/>
      <c r="ADF256" s="1"/>
      <c r="ADG256" s="1"/>
      <c r="ADH256" s="1"/>
      <c r="ADI256" s="1"/>
      <c r="ADJ256" s="1"/>
      <c r="ADK256" s="1"/>
      <c r="ADL256" s="1"/>
      <c r="ADM256" s="1"/>
      <c r="ADN256" s="1"/>
      <c r="ADO256" s="1"/>
      <c r="ADP256" s="1"/>
      <c r="ADQ256" s="1"/>
      <c r="ADR256" s="1"/>
      <c r="ADS256" s="1"/>
      <c r="ADT256" s="1"/>
      <c r="ADU256" s="1"/>
      <c r="ADV256" s="1"/>
      <c r="ADW256" s="1"/>
      <c r="ADX256" s="1"/>
      <c r="ADY256" s="1"/>
      <c r="ADZ256" s="1"/>
      <c r="AEA256" s="1"/>
      <c r="AEB256" s="1"/>
      <c r="AEC256" s="1"/>
      <c r="AED256" s="1"/>
      <c r="AEE256" s="1"/>
      <c r="AEF256" s="1"/>
      <c r="AEG256" s="1"/>
      <c r="AEH256" s="1"/>
      <c r="AEI256" s="1"/>
      <c r="AEJ256" s="1"/>
      <c r="AEK256" s="1"/>
      <c r="AEL256" s="1"/>
      <c r="AEM256" s="1"/>
      <c r="AEN256" s="1"/>
      <c r="AEO256" s="1"/>
      <c r="AEP256" s="1"/>
      <c r="AEQ256" s="1"/>
      <c r="AER256" s="1"/>
      <c r="AES256" s="1"/>
      <c r="AET256" s="1"/>
      <c r="AEU256" s="1"/>
      <c r="AEV256" s="1"/>
      <c r="AEW256" s="1"/>
      <c r="AEX256" s="1"/>
      <c r="AEY256" s="1"/>
      <c r="AEZ256" s="1"/>
      <c r="AFA256" s="1"/>
      <c r="AFB256" s="1"/>
      <c r="AFC256" s="1"/>
      <c r="AFD256" s="1"/>
      <c r="AFE256" s="1"/>
      <c r="AFF256" s="1"/>
      <c r="AFG256" s="1"/>
      <c r="AFH256" s="1"/>
      <c r="AFI256" s="1"/>
      <c r="AFJ256" s="1"/>
      <c r="AFK256" s="1"/>
      <c r="AFL256" s="1"/>
      <c r="AFM256" s="1"/>
      <c r="AFN256" s="1"/>
      <c r="AFO256" s="1"/>
      <c r="AFP256" s="1"/>
      <c r="AFQ256" s="1"/>
      <c r="AFR256" s="1"/>
      <c r="AFS256" s="1"/>
      <c r="AFT256" s="1"/>
      <c r="AFU256" s="1"/>
      <c r="AFV256" s="1"/>
      <c r="AFW256" s="1"/>
      <c r="AFX256" s="1"/>
      <c r="AFY256" s="1"/>
      <c r="AFZ256" s="1"/>
      <c r="AGA256" s="1"/>
      <c r="AGB256" s="1"/>
      <c r="AGC256" s="1"/>
      <c r="AGD256" s="1"/>
      <c r="AGE256" s="1"/>
      <c r="AGF256" s="1"/>
      <c r="AGG256" s="1"/>
      <c r="AGH256" s="1"/>
      <c r="AGI256" s="1"/>
      <c r="AGJ256" s="1"/>
      <c r="AGK256" s="1"/>
      <c r="AGL256" s="1"/>
      <c r="AGM256" s="1"/>
      <c r="AGN256" s="1"/>
      <c r="AGO256" s="1"/>
      <c r="AGP256" s="1"/>
      <c r="AGQ256" s="1"/>
      <c r="AGR256" s="1"/>
      <c r="AGS256" s="1"/>
      <c r="AGT256" s="1"/>
      <c r="AGU256" s="1"/>
      <c r="AGV256" s="1"/>
      <c r="AGW256" s="1"/>
      <c r="AGX256" s="1"/>
      <c r="AGY256" s="1"/>
      <c r="AGZ256" s="1"/>
      <c r="AHA256" s="1"/>
      <c r="AHB256" s="1"/>
      <c r="AHC256" s="1"/>
      <c r="AHD256" s="1"/>
      <c r="AHE256" s="1"/>
      <c r="AHF256" s="1"/>
      <c r="AHG256" s="1"/>
      <c r="AHH256" s="1"/>
      <c r="AHI256" s="1"/>
      <c r="AHJ256" s="1"/>
      <c r="AHK256" s="1"/>
      <c r="AHL256" s="1"/>
      <c r="AHM256" s="1"/>
      <c r="AHN256" s="1"/>
      <c r="AHO256" s="1"/>
      <c r="AHP256" s="1"/>
      <c r="AHQ256" s="1"/>
      <c r="AHR256" s="1"/>
      <c r="AHS256" s="1"/>
      <c r="AHT256" s="1"/>
      <c r="AHU256" s="1"/>
      <c r="AHV256" s="1"/>
      <c r="AHW256" s="1"/>
      <c r="AHX256" s="1"/>
      <c r="AHY256" s="1"/>
      <c r="AHZ256" s="1"/>
      <c r="AIA256" s="1"/>
      <c r="AIB256" s="1"/>
      <c r="AIC256" s="1"/>
      <c r="AID256" s="1"/>
      <c r="AIE256" s="1"/>
      <c r="AIF256" s="1"/>
      <c r="AIG256" s="1"/>
      <c r="AIH256" s="1"/>
      <c r="AII256" s="1"/>
      <c r="AIJ256" s="1"/>
      <c r="AIK256" s="1"/>
      <c r="AIL256" s="1"/>
      <c r="AIM256" s="1"/>
      <c r="AIN256" s="1"/>
      <c r="AIO256" s="1"/>
      <c r="AIP256" s="1"/>
      <c r="AIQ256" s="1"/>
      <c r="AIR256" s="1"/>
      <c r="AIS256" s="1"/>
      <c r="AIT256" s="1"/>
      <c r="AIU256" s="1"/>
      <c r="AIV256" s="1"/>
      <c r="AIW256" s="1"/>
      <c r="AIX256" s="1"/>
      <c r="AIY256" s="1"/>
      <c r="AIZ256" s="1"/>
      <c r="AJA256" s="1"/>
      <c r="AJB256" s="1"/>
      <c r="AJC256" s="1"/>
      <c r="AJD256" s="1"/>
      <c r="AJE256" s="1"/>
      <c r="AJF256" s="1"/>
      <c r="AJG256" s="1"/>
      <c r="AJH256" s="1"/>
      <c r="AJI256" s="1"/>
      <c r="AJJ256" s="1"/>
      <c r="AJK256" s="1"/>
      <c r="AJL256" s="1"/>
      <c r="AJM256" s="1"/>
      <c r="AJN256" s="1"/>
      <c r="AJO256" s="1"/>
      <c r="AJP256" s="1"/>
      <c r="AJQ256" s="1"/>
      <c r="AJR256" s="1"/>
      <c r="AJS256" s="1"/>
      <c r="AJT256" s="1"/>
      <c r="AJU256" s="1"/>
      <c r="AJV256" s="1"/>
      <c r="AJW256" s="1"/>
      <c r="AJX256" s="1"/>
      <c r="AJY256" s="1"/>
      <c r="AJZ256" s="1"/>
      <c r="AKA256" s="1"/>
      <c r="AKB256" s="1"/>
      <c r="AKC256" s="1"/>
      <c r="AKD256" s="1"/>
      <c r="AKE256" s="1"/>
      <c r="AKF256" s="1"/>
      <c r="AKG256" s="1"/>
      <c r="AKH256" s="1"/>
      <c r="AKI256" s="1"/>
      <c r="AKJ256" s="1"/>
      <c r="AKK256" s="1"/>
      <c r="AKL256" s="1"/>
      <c r="AKM256" s="1"/>
      <c r="AKN256" s="1"/>
      <c r="AKO256" s="1"/>
      <c r="AKP256" s="1"/>
      <c r="AKQ256" s="1"/>
      <c r="AKR256" s="1"/>
      <c r="AKS256" s="1"/>
      <c r="AKT256" s="1"/>
      <c r="AKU256" s="1"/>
      <c r="AKV256" s="1"/>
      <c r="AKW256" s="1"/>
      <c r="AKX256" s="1"/>
      <c r="AKY256" s="1"/>
      <c r="AKZ256" s="1"/>
      <c r="ALA256" s="1"/>
      <c r="ALB256" s="1"/>
      <c r="ALC256" s="1"/>
      <c r="ALD256" s="1"/>
      <c r="ALE256" s="1"/>
      <c r="ALF256" s="1"/>
      <c r="ALG256" s="1"/>
      <c r="ALH256" s="1"/>
      <c r="ALI256" s="1"/>
      <c r="ALJ256" s="1"/>
      <c r="ALK256" s="1"/>
      <c r="ALL256" s="1"/>
      <c r="ALM256" s="1"/>
      <c r="ALN256" s="1"/>
      <c r="ALO256" s="1"/>
      <c r="ALP256" s="1"/>
      <c r="ALQ256" s="1"/>
      <c r="ALR256" s="1"/>
      <c r="ALS256" s="1"/>
      <c r="ALT256" s="1"/>
      <c r="ALU256" s="1"/>
      <c r="ALV256" s="1"/>
      <c r="ALW256" s="1"/>
      <c r="ALX256" s="1"/>
      <c r="ALY256" s="1"/>
      <c r="ALZ256" s="1"/>
      <c r="AMA256" s="1"/>
      <c r="AMB256" s="1"/>
      <c r="AMC256" s="1"/>
      <c r="AMD256" s="1"/>
      <c r="AME256" s="1"/>
      <c r="AMF256" s="1"/>
      <c r="AMG256" s="1"/>
      <c r="AMH256" s="1"/>
      <c r="AMI256" s="1"/>
      <c r="AMJ256" s="1"/>
      <c r="AMK256" s="1"/>
      <c r="AML256" s="1"/>
      <c r="AMM256" s="1"/>
      <c r="AMN256" s="1"/>
      <c r="AMO256" s="1"/>
    </row>
    <row r="257" spans="1:1029" x14ac:dyDescent="0.2">
      <c r="A257" s="3" t="str">
        <f t="shared" ref="A257" si="867">CONCATENATE(B257,"_",C257)</f>
        <v>pd2r2_human_6D26</v>
      </c>
      <c r="B257" s="3" t="s">
        <v>360</v>
      </c>
      <c r="C257" s="3" t="s">
        <v>1536</v>
      </c>
      <c r="D257" s="3" t="str">
        <f>IFERROR(MID(VLOOKUP($B257,Seqs!$A:$B,2,0),E257,1),"")</f>
        <v>D</v>
      </c>
      <c r="E257" s="3">
        <v>32</v>
      </c>
      <c r="F257" s="3" t="str">
        <f>IFERROR(MID(VLOOKUP($B257,Seqs!$A:$B,2,0),G257,1),"")</f>
        <v>R</v>
      </c>
      <c r="G257" s="3">
        <v>60</v>
      </c>
      <c r="H257" s="3" t="str">
        <f>IFERROR(MID(VLOOKUP($B257,Seqs!$A:$B,2,0),I257,1),"")</f>
        <v/>
      </c>
      <c r="I257" s="23" t="s">
        <v>23</v>
      </c>
      <c r="J257" s="3" t="str">
        <f>IFERROR(MID(VLOOKUP($B257,Seqs!$A:$B,2,0),K257,1),"")</f>
        <v/>
      </c>
      <c r="K257" s="23" t="s">
        <v>23</v>
      </c>
      <c r="L257" s="3" t="str">
        <f>IFERROR(MID(VLOOKUP($B257,Seqs!$A:$B,2,0),M257,1),"")</f>
        <v>T</v>
      </c>
      <c r="M257" s="3">
        <v>64</v>
      </c>
      <c r="N257" s="3" t="str">
        <f>IFERROR(MID(VLOOKUP($B257,Seqs!$A:$B,2,0),O257,1),"")</f>
        <v>G</v>
      </c>
      <c r="O257" s="3">
        <v>94</v>
      </c>
      <c r="P257" s="3" t="str">
        <f>IFERROR(MID(VLOOKUP($B257,Seqs!$A:$B,2,0),Q257,1),"")</f>
        <v>S</v>
      </c>
      <c r="Q257" s="3">
        <v>96</v>
      </c>
      <c r="R257" s="3" t="str">
        <f>IFERROR(MID(VLOOKUP($B257,Seqs!$A:$B,2,0),S257,1),"")</f>
        <v>L</v>
      </c>
      <c r="S257" s="3">
        <v>99</v>
      </c>
      <c r="T257" s="3" t="str">
        <f>IFERROR(MID(VLOOKUP($B257,Seqs!$A:$B,2,0),U257,1),"")</f>
        <v>T</v>
      </c>
      <c r="U257" s="3">
        <v>101</v>
      </c>
      <c r="V257" s="3" t="str">
        <f>IFERROR(MID(VLOOKUP($B257,Seqs!$A:$B,2,0),W257,1),"")</f>
        <v>R</v>
      </c>
      <c r="W257" s="3">
        <v>135</v>
      </c>
      <c r="X257" s="3" t="str">
        <f>IFERROR(MID(VLOOKUP($B257,Seqs!$A:$B,2,0),Y257,1),"")</f>
        <v>P</v>
      </c>
      <c r="Y257" s="3">
        <v>136</v>
      </c>
      <c r="Z257" s="3" t="str">
        <f>IFERROR(MID(VLOOKUP($B257,Seqs!$A:$B,2,0),AA257,1),"")</f>
        <v>R</v>
      </c>
      <c r="AA257" s="3">
        <v>143</v>
      </c>
      <c r="AB257" s="3" t="str">
        <f>IFERROR(MID(VLOOKUP($B257,Seqs!$A:$B,2,0),AC257,1),"")</f>
        <v>T</v>
      </c>
      <c r="AC257" s="3">
        <v>144</v>
      </c>
      <c r="AD257" s="3" t="str">
        <f>IFERROR(MID(VLOOKUP($B257,Seqs!$A:$B,2,0),AE257,1),"")</f>
        <v>R</v>
      </c>
      <c r="AE257" s="3">
        <v>170</v>
      </c>
      <c r="AF257" s="3" t="str">
        <f>IFERROR(MID(VLOOKUP($B257,Seqs!$A:$B,2,0),AG257,1),"")</f>
        <v>C</v>
      </c>
      <c r="AG257" s="3">
        <v>182</v>
      </c>
      <c r="AH257" s="3" t="str">
        <f>IFERROR(MID(VLOOKUP($B257,Seqs!$A:$B,2,0),AI257,1),"")</f>
        <v>Y</v>
      </c>
      <c r="AI257" s="3">
        <v>184</v>
      </c>
      <c r="AJ257" s="3" t="str">
        <f>IFERROR(MID(VLOOKUP($B257,Seqs!$A:$B,2,0),AK257,1),"")</f>
        <v>D</v>
      </c>
      <c r="AK257" s="3">
        <v>194</v>
      </c>
      <c r="AL257" s="3" t="str">
        <f>IFERROR(MID(VLOOKUP($B257,Seqs!$A:$B,2,0),AM257,1),"")</f>
        <v>R</v>
      </c>
      <c r="AM257" s="3">
        <v>236</v>
      </c>
      <c r="AN257" s="3" t="str">
        <f>IFERROR(MID(VLOOKUP($B257,Seqs!$A:$B,2,0),AO257,1),"")</f>
        <v>F</v>
      </c>
      <c r="AO257" s="3">
        <v>244</v>
      </c>
      <c r="AP257" s="3" t="str">
        <f>IFERROR(MID(VLOOKUP($B257,Seqs!$A:$B,2,0),AQ257,1),"")</f>
        <v>R</v>
      </c>
      <c r="AQ257" s="3">
        <v>271</v>
      </c>
      <c r="AR257" s="3" t="str">
        <f>IFERROR(MID(VLOOKUP($B257,Seqs!$A:$B,2,0),AS257,1),"")</f>
        <v>L</v>
      </c>
      <c r="AS257" s="3">
        <v>278</v>
      </c>
      <c r="AT257" s="3" t="str">
        <f>IFERROR(MID(VLOOKUP($B257,Seqs!$A:$B,2,0),AU257,1),"")</f>
        <v>T</v>
      </c>
      <c r="AU257" s="3">
        <v>307</v>
      </c>
      <c r="AV257" s="3" t="str">
        <f>IFERROR(MID(VLOOKUP($B257,Seqs!$A:$B,2,0),AW257,1),"")</f>
        <v>C</v>
      </c>
      <c r="AW257" s="3">
        <v>308</v>
      </c>
      <c r="AX257" s="3" t="str">
        <f>IFERROR(MID(VLOOKUP($B257,Seqs!$A:$B,2,0),AY257,1),"")</f>
        <v>S</v>
      </c>
      <c r="AY257" s="3">
        <v>325</v>
      </c>
      <c r="AZ257" s="77" t="str">
        <f>VLOOKUP(B257,Classification!A:D,2,0)</f>
        <v>A</v>
      </c>
      <c r="BA257" s="94" t="str">
        <f>VLOOKUP(B257,Classification!A:D,4,0)</f>
        <v>Prostanoid</v>
      </c>
      <c r="BB257" s="27" t="b">
        <f t="shared" ref="BB257" si="868">AND(E257&lt;G257,OR(G257&lt;I257,I257="-"),OR(I257&lt;K257,I257="-"),OR(K257&lt;M257,K257="-"),M257&lt;O257,OR(O257&lt;Q257,Q257="-"),OR(Q257&lt;S257,Q257="-"),OR(S257&lt;U257,S257="-"),U257&lt;W257,OR(W257&lt;Y257,Y257="-"),OR(Y257&lt;AA257,Y257="-"),OR(AA257&lt;AC257,AA257="-"),AC257&lt;AE257,OR(AE257&lt;AG257,AG257="-"),OR(AG257&lt;AI257,AG257="-"),OR(AI257&lt;AK257,AI257="-"),AK257&lt;AM257,AM257&lt;AO257,AO257&lt;AQ257,AQ257&lt;AS257,AS257&lt;AU257,OR(AU257&lt;AW257,AW257="-"),OR(AW257&lt;AY257,AW257="-"))</f>
        <v>1</v>
      </c>
      <c r="BC257" s="23">
        <f t="shared" ref="BC257" si="869">_xlfn.AGGREGATE(9,6,CH257:CS257)-_xlfn.AGGREGATE(9,6,BV257:CG257)+12</f>
        <v>257</v>
      </c>
      <c r="BD257" s="2" t="s">
        <v>23</v>
      </c>
      <c r="BE257" s="3" t="s">
        <v>1381</v>
      </c>
      <c r="BF257" s="119">
        <v>2.8</v>
      </c>
      <c r="BG257" s="49" t="s">
        <v>1</v>
      </c>
      <c r="BH257" s="49" t="s">
        <v>1</v>
      </c>
      <c r="BI257" s="1"/>
      <c r="BJ257" s="70" t="s">
        <v>1293</v>
      </c>
      <c r="BK257" s="57" t="s">
        <v>1293</v>
      </c>
      <c r="BL257" s="57" t="s">
        <v>1293</v>
      </c>
      <c r="BM257" s="57" t="s">
        <v>1293</v>
      </c>
      <c r="BN257" s="57" t="s">
        <v>1293</v>
      </c>
      <c r="BO257" s="57" t="s">
        <v>1293</v>
      </c>
      <c r="BP257" s="57" t="s">
        <v>1293</v>
      </c>
      <c r="BQ257" s="57" t="s">
        <v>1293</v>
      </c>
      <c r="BR257" s="57" t="s">
        <v>1293</v>
      </c>
      <c r="BS257" s="57" t="s">
        <v>1293</v>
      </c>
      <c r="BT257" s="57" t="s">
        <v>1293</v>
      </c>
      <c r="BU257" s="57" t="s">
        <v>1293</v>
      </c>
      <c r="BV257" s="70">
        <f t="shared" ref="BV257" si="870">E257</f>
        <v>32</v>
      </c>
      <c r="BW257" s="71" t="str">
        <f t="shared" ref="BW257" si="871">I257</f>
        <v>-</v>
      </c>
      <c r="BX257" s="72">
        <f t="shared" ref="BX257" si="872">M257</f>
        <v>64</v>
      </c>
      <c r="BY257" s="71">
        <f t="shared" ref="BY257" si="873">Q257</f>
        <v>96</v>
      </c>
      <c r="BZ257" s="72">
        <f t="shared" ref="BZ257" si="874">U257</f>
        <v>101</v>
      </c>
      <c r="CA257" s="71">
        <f t="shared" ref="CA257" si="875">Y257</f>
        <v>136</v>
      </c>
      <c r="CB257" s="72">
        <f t="shared" ref="CB257" si="876">AC257</f>
        <v>144</v>
      </c>
      <c r="CC257" s="71">
        <f t="shared" ref="CC257" si="877">AG257</f>
        <v>182</v>
      </c>
      <c r="CD257" s="72">
        <f t="shared" ref="CD257" si="878">AK257</f>
        <v>194</v>
      </c>
      <c r="CE257" s="71">
        <f t="shared" ref="CE257" si="879">AO257</f>
        <v>244</v>
      </c>
      <c r="CF257" s="72">
        <f t="shared" ref="CF257" si="880">AS257</f>
        <v>278</v>
      </c>
      <c r="CG257" s="71">
        <f t="shared" ref="CG257" si="881">AW257</f>
        <v>308</v>
      </c>
      <c r="CH257" s="70">
        <f t="shared" ref="CH257" si="882">G257</f>
        <v>60</v>
      </c>
      <c r="CI257" s="71" t="str">
        <f t="shared" ref="CI257" si="883">K257</f>
        <v>-</v>
      </c>
      <c r="CJ257" s="72">
        <f t="shared" ref="CJ257" si="884">O257</f>
        <v>94</v>
      </c>
      <c r="CK257" s="72">
        <f t="shared" ref="CK257" si="885">S257</f>
        <v>99</v>
      </c>
      <c r="CL257" s="72">
        <f t="shared" ref="CL257" si="886">W257</f>
        <v>135</v>
      </c>
      <c r="CM257" s="72">
        <f t="shared" ref="CM257" si="887">AA257</f>
        <v>143</v>
      </c>
      <c r="CN257" s="72">
        <f t="shared" ref="CN257" si="888">AE257</f>
        <v>170</v>
      </c>
      <c r="CO257" s="72">
        <f t="shared" ref="CO257" si="889">AI257</f>
        <v>184</v>
      </c>
      <c r="CP257" s="72">
        <f t="shared" ref="CP257" si="890">AM257</f>
        <v>236</v>
      </c>
      <c r="CQ257" s="72">
        <f t="shared" ref="CQ257" si="891">AQ257</f>
        <v>271</v>
      </c>
      <c r="CR257" s="72">
        <f t="shared" ref="CR257" si="892">AU257</f>
        <v>307</v>
      </c>
      <c r="CS257" s="72">
        <f t="shared" ref="CS257" si="893">AY257</f>
        <v>325</v>
      </c>
      <c r="CT257" s="23" t="e">
        <f t="shared" ref="CT257" si="894">M257-K257</f>
        <v>#VALUE!</v>
      </c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  <c r="OK257" s="1"/>
      <c r="OL257" s="1"/>
      <c r="OM257" s="1"/>
      <c r="ON257" s="1"/>
      <c r="OO257" s="1"/>
      <c r="OP257" s="1"/>
      <c r="OQ257" s="1"/>
      <c r="OR257" s="1"/>
      <c r="OS257" s="1"/>
      <c r="OT257" s="1"/>
      <c r="OU257" s="1"/>
      <c r="OV257" s="1"/>
      <c r="OW257" s="1"/>
      <c r="OX257" s="1"/>
      <c r="OY257" s="1"/>
      <c r="OZ257" s="1"/>
      <c r="PA257" s="1"/>
      <c r="PB257" s="1"/>
      <c r="PC257" s="1"/>
      <c r="PD257" s="1"/>
      <c r="PE257" s="1"/>
      <c r="PF257" s="1"/>
      <c r="PG257" s="1"/>
      <c r="PH257" s="1"/>
      <c r="PI257" s="1"/>
      <c r="PJ257" s="1"/>
      <c r="PK257" s="1"/>
      <c r="PL257" s="1"/>
      <c r="PM257" s="1"/>
      <c r="PN257" s="1"/>
      <c r="PO257" s="1"/>
      <c r="PP257" s="1"/>
      <c r="PQ257" s="1"/>
      <c r="PR257" s="1"/>
      <c r="PS257" s="1"/>
      <c r="PT257" s="1"/>
      <c r="PU257" s="1"/>
      <c r="PV257" s="1"/>
      <c r="PW257" s="1"/>
      <c r="PX257" s="1"/>
      <c r="PY257" s="1"/>
      <c r="PZ257" s="1"/>
      <c r="QA257" s="1"/>
      <c r="QB257" s="1"/>
      <c r="QC257" s="1"/>
      <c r="QD257" s="1"/>
      <c r="QE257" s="1"/>
      <c r="QF257" s="1"/>
      <c r="QG257" s="1"/>
      <c r="QH257" s="1"/>
      <c r="QI257" s="1"/>
      <c r="QJ257" s="1"/>
      <c r="QK257" s="1"/>
      <c r="QL257" s="1"/>
      <c r="QM257" s="1"/>
      <c r="QN257" s="1"/>
      <c r="QO257" s="1"/>
      <c r="QP257" s="1"/>
      <c r="QQ257" s="1"/>
      <c r="QR257" s="1"/>
      <c r="QS257" s="1"/>
      <c r="QT257" s="1"/>
      <c r="QU257" s="1"/>
      <c r="QV257" s="1"/>
      <c r="QW257" s="1"/>
      <c r="QX257" s="1"/>
      <c r="QY257" s="1"/>
      <c r="QZ257" s="1"/>
      <c r="RA257" s="1"/>
      <c r="RB257" s="1"/>
      <c r="RC257" s="1"/>
      <c r="RD257" s="1"/>
      <c r="RE257" s="1"/>
      <c r="RF257" s="1"/>
      <c r="RG257" s="1"/>
      <c r="RH257" s="1"/>
      <c r="RI257" s="1"/>
      <c r="RJ257" s="1"/>
      <c r="RK257" s="1"/>
      <c r="RL257" s="1"/>
      <c r="RM257" s="1"/>
      <c r="RN257" s="1"/>
      <c r="RO257" s="1"/>
      <c r="RP257" s="1"/>
      <c r="RQ257" s="1"/>
      <c r="RR257" s="1"/>
      <c r="RS257" s="1"/>
      <c r="RT257" s="1"/>
      <c r="RU257" s="1"/>
      <c r="RV257" s="1"/>
      <c r="RW257" s="1"/>
      <c r="RX257" s="1"/>
      <c r="RY257" s="1"/>
      <c r="RZ257" s="1"/>
      <c r="SA257" s="1"/>
      <c r="SB257" s="1"/>
      <c r="SC257" s="1"/>
      <c r="SD257" s="1"/>
      <c r="SE257" s="1"/>
      <c r="SF257" s="1"/>
      <c r="SG257" s="1"/>
      <c r="SH257" s="1"/>
      <c r="SI257" s="1"/>
      <c r="SJ257" s="1"/>
      <c r="SK257" s="1"/>
      <c r="SL257" s="1"/>
      <c r="SM257" s="1"/>
      <c r="SN257" s="1"/>
      <c r="SO257" s="1"/>
      <c r="SP257" s="1"/>
      <c r="SQ257" s="1"/>
      <c r="SR257" s="1"/>
      <c r="SS257" s="1"/>
      <c r="ST257" s="1"/>
      <c r="SU257" s="1"/>
      <c r="SV257" s="1"/>
      <c r="SW257" s="1"/>
      <c r="SX257" s="1"/>
      <c r="SY257" s="1"/>
      <c r="SZ257" s="1"/>
      <c r="TA257" s="1"/>
      <c r="TB257" s="1"/>
      <c r="TC257" s="1"/>
      <c r="TD257" s="1"/>
      <c r="TE257" s="1"/>
      <c r="TF257" s="1"/>
      <c r="TG257" s="1"/>
      <c r="TH257" s="1"/>
      <c r="TI257" s="1"/>
      <c r="TJ257" s="1"/>
      <c r="TK257" s="1"/>
      <c r="TL257" s="1"/>
      <c r="TM257" s="1"/>
      <c r="TN257" s="1"/>
      <c r="TO257" s="1"/>
      <c r="TP257" s="1"/>
      <c r="TQ257" s="1"/>
      <c r="TR257" s="1"/>
      <c r="TS257" s="1"/>
      <c r="TT257" s="1"/>
      <c r="TU257" s="1"/>
      <c r="TV257" s="1"/>
      <c r="TW257" s="1"/>
      <c r="TX257" s="1"/>
      <c r="TY257" s="1"/>
      <c r="TZ257" s="1"/>
      <c r="UA257" s="1"/>
      <c r="UB257" s="1"/>
      <c r="UC257" s="1"/>
      <c r="UD257" s="1"/>
      <c r="UE257" s="1"/>
      <c r="UF257" s="1"/>
      <c r="UG257" s="1"/>
      <c r="UH257" s="1"/>
      <c r="UI257" s="1"/>
      <c r="UJ257" s="1"/>
      <c r="UK257" s="1"/>
      <c r="UL257" s="1"/>
      <c r="UM257" s="1"/>
      <c r="UN257" s="1"/>
      <c r="UO257" s="1"/>
      <c r="UP257" s="1"/>
      <c r="UQ257" s="1"/>
      <c r="UR257" s="1"/>
      <c r="US257" s="1"/>
      <c r="UT257" s="1"/>
      <c r="UU257" s="1"/>
      <c r="UV257" s="1"/>
      <c r="UW257" s="1"/>
      <c r="UX257" s="1"/>
      <c r="UY257" s="1"/>
      <c r="UZ257" s="1"/>
      <c r="VA257" s="1"/>
      <c r="VB257" s="1"/>
      <c r="VC257" s="1"/>
      <c r="VD257" s="1"/>
      <c r="VE257" s="1"/>
      <c r="VF257" s="1"/>
      <c r="VG257" s="1"/>
      <c r="VH257" s="1"/>
      <c r="VI257" s="1"/>
      <c r="VJ257" s="1"/>
      <c r="VK257" s="1"/>
      <c r="VL257" s="1"/>
      <c r="VM257" s="1"/>
      <c r="VN257" s="1"/>
      <c r="VO257" s="1"/>
      <c r="VP257" s="1"/>
      <c r="VQ257" s="1"/>
      <c r="VR257" s="1"/>
      <c r="VS257" s="1"/>
      <c r="VT257" s="1"/>
      <c r="VU257" s="1"/>
      <c r="VV257" s="1"/>
      <c r="VW257" s="1"/>
      <c r="VX257" s="1"/>
      <c r="VY257" s="1"/>
      <c r="VZ257" s="1"/>
      <c r="WA257" s="1"/>
      <c r="WB257" s="1"/>
      <c r="WC257" s="1"/>
      <c r="WD257" s="1"/>
      <c r="WE257" s="1"/>
      <c r="WF257" s="1"/>
      <c r="WG257" s="1"/>
      <c r="WH257" s="1"/>
      <c r="WI257" s="1"/>
      <c r="WJ257" s="1"/>
      <c r="WK257" s="1"/>
      <c r="WL257" s="1"/>
      <c r="WM257" s="1"/>
      <c r="WN257" s="1"/>
      <c r="WO257" s="1"/>
      <c r="WP257" s="1"/>
      <c r="WQ257" s="1"/>
      <c r="WR257" s="1"/>
      <c r="WS257" s="1"/>
      <c r="WT257" s="1"/>
      <c r="WU257" s="1"/>
      <c r="WV257" s="1"/>
      <c r="WW257" s="1"/>
      <c r="WX257" s="1"/>
      <c r="WY257" s="1"/>
      <c r="WZ257" s="1"/>
      <c r="XA257" s="1"/>
      <c r="XB257" s="1"/>
      <c r="XC257" s="1"/>
      <c r="XD257" s="1"/>
      <c r="XE257" s="1"/>
      <c r="XF257" s="1"/>
      <c r="XG257" s="1"/>
      <c r="XH257" s="1"/>
      <c r="XI257" s="1"/>
      <c r="XJ257" s="1"/>
      <c r="XK257" s="1"/>
      <c r="XL257" s="1"/>
      <c r="XM257" s="1"/>
      <c r="XN257" s="1"/>
      <c r="XO257" s="1"/>
      <c r="XP257" s="1"/>
      <c r="XQ257" s="1"/>
      <c r="XR257" s="1"/>
      <c r="XS257" s="1"/>
      <c r="XT257" s="1"/>
      <c r="XU257" s="1"/>
      <c r="XV257" s="1"/>
      <c r="XW257" s="1"/>
      <c r="XX257" s="1"/>
      <c r="XY257" s="1"/>
      <c r="XZ257" s="1"/>
      <c r="YA257" s="1"/>
      <c r="YB257" s="1"/>
      <c r="YC257" s="1"/>
      <c r="YD257" s="1"/>
      <c r="YE257" s="1"/>
      <c r="YF257" s="1"/>
      <c r="YG257" s="1"/>
      <c r="YH257" s="1"/>
      <c r="YI257" s="1"/>
      <c r="YJ257" s="1"/>
      <c r="YK257" s="1"/>
      <c r="YL257" s="1"/>
      <c r="YM257" s="1"/>
      <c r="YN257" s="1"/>
      <c r="YO257" s="1"/>
      <c r="YP257" s="1"/>
      <c r="YQ257" s="1"/>
      <c r="YR257" s="1"/>
      <c r="YS257" s="1"/>
      <c r="YT257" s="1"/>
      <c r="YU257" s="1"/>
      <c r="YV257" s="1"/>
      <c r="YW257" s="1"/>
      <c r="YX257" s="1"/>
      <c r="YY257" s="1"/>
      <c r="YZ257" s="1"/>
      <c r="ZA257" s="1"/>
      <c r="ZB257" s="1"/>
      <c r="ZC257" s="1"/>
      <c r="ZD257" s="1"/>
      <c r="ZE257" s="1"/>
      <c r="ZF257" s="1"/>
      <c r="ZG257" s="1"/>
      <c r="ZH257" s="1"/>
      <c r="ZI257" s="1"/>
      <c r="ZJ257" s="1"/>
      <c r="ZK257" s="1"/>
      <c r="ZL257" s="1"/>
      <c r="ZM257" s="1"/>
      <c r="ZN257" s="1"/>
      <c r="ZO257" s="1"/>
      <c r="ZP257" s="1"/>
      <c r="ZQ257" s="1"/>
      <c r="ZR257" s="1"/>
      <c r="ZS257" s="1"/>
      <c r="ZT257" s="1"/>
      <c r="ZU257" s="1"/>
      <c r="ZV257" s="1"/>
      <c r="ZW257" s="1"/>
      <c r="ZX257" s="1"/>
      <c r="ZY257" s="1"/>
      <c r="ZZ257" s="1"/>
      <c r="AAA257" s="1"/>
      <c r="AAB257" s="1"/>
      <c r="AAC257" s="1"/>
      <c r="AAD257" s="1"/>
      <c r="AAE257" s="1"/>
      <c r="AAF257" s="1"/>
      <c r="AAG257" s="1"/>
      <c r="AAH257" s="1"/>
      <c r="AAI257" s="1"/>
      <c r="AAJ257" s="1"/>
      <c r="AAK257" s="1"/>
      <c r="AAL257" s="1"/>
      <c r="AAM257" s="1"/>
      <c r="AAN257" s="1"/>
      <c r="AAO257" s="1"/>
      <c r="AAP257" s="1"/>
      <c r="AAQ257" s="1"/>
      <c r="AAR257" s="1"/>
      <c r="AAS257" s="1"/>
      <c r="AAT257" s="1"/>
      <c r="AAU257" s="1"/>
      <c r="AAV257" s="1"/>
      <c r="AAW257" s="1"/>
      <c r="AAX257" s="1"/>
      <c r="AAY257" s="1"/>
      <c r="AAZ257" s="1"/>
      <c r="ABA257" s="1"/>
      <c r="ABB257" s="1"/>
      <c r="ABC257" s="1"/>
      <c r="ABD257" s="1"/>
      <c r="ABE257" s="1"/>
      <c r="ABF257" s="1"/>
      <c r="ABG257" s="1"/>
      <c r="ABH257" s="1"/>
      <c r="ABI257" s="1"/>
      <c r="ABJ257" s="1"/>
      <c r="ABK257" s="1"/>
      <c r="ABL257" s="1"/>
      <c r="ABM257" s="1"/>
      <c r="ABN257" s="1"/>
      <c r="ABO257" s="1"/>
      <c r="ABP257" s="1"/>
      <c r="ABQ257" s="1"/>
      <c r="ABR257" s="1"/>
      <c r="ABS257" s="1"/>
      <c r="ABT257" s="1"/>
      <c r="ABU257" s="1"/>
      <c r="ABV257" s="1"/>
      <c r="ABW257" s="1"/>
      <c r="ABX257" s="1"/>
      <c r="ABY257" s="1"/>
      <c r="ABZ257" s="1"/>
      <c r="ACA257" s="1"/>
      <c r="ACB257" s="1"/>
      <c r="ACC257" s="1"/>
      <c r="ACD257" s="1"/>
      <c r="ACE257" s="1"/>
      <c r="ACF257" s="1"/>
      <c r="ACG257" s="1"/>
      <c r="ACH257" s="1"/>
      <c r="ACI257" s="1"/>
      <c r="ACJ257" s="1"/>
      <c r="ACK257" s="1"/>
      <c r="ACL257" s="1"/>
      <c r="ACM257" s="1"/>
      <c r="ACN257" s="1"/>
      <c r="ACO257" s="1"/>
      <c r="ACP257" s="1"/>
      <c r="ACQ257" s="1"/>
      <c r="ACR257" s="1"/>
      <c r="ACS257" s="1"/>
      <c r="ACT257" s="1"/>
      <c r="ACU257" s="1"/>
      <c r="ACV257" s="1"/>
      <c r="ACW257" s="1"/>
      <c r="ACX257" s="1"/>
      <c r="ACY257" s="1"/>
      <c r="ACZ257" s="1"/>
      <c r="ADA257" s="1"/>
      <c r="ADB257" s="1"/>
      <c r="ADC257" s="1"/>
      <c r="ADD257" s="1"/>
      <c r="ADE257" s="1"/>
      <c r="ADF257" s="1"/>
      <c r="ADG257" s="1"/>
      <c r="ADH257" s="1"/>
      <c r="ADI257" s="1"/>
      <c r="ADJ257" s="1"/>
      <c r="ADK257" s="1"/>
      <c r="ADL257" s="1"/>
      <c r="ADM257" s="1"/>
      <c r="ADN257" s="1"/>
      <c r="ADO257" s="1"/>
      <c r="ADP257" s="1"/>
      <c r="ADQ257" s="1"/>
      <c r="ADR257" s="1"/>
      <c r="ADS257" s="1"/>
      <c r="ADT257" s="1"/>
      <c r="ADU257" s="1"/>
      <c r="ADV257" s="1"/>
      <c r="ADW257" s="1"/>
      <c r="ADX257" s="1"/>
      <c r="ADY257" s="1"/>
      <c r="ADZ257" s="1"/>
      <c r="AEA257" s="1"/>
      <c r="AEB257" s="1"/>
      <c r="AEC257" s="1"/>
      <c r="AED257" s="1"/>
      <c r="AEE257" s="1"/>
      <c r="AEF257" s="1"/>
      <c r="AEG257" s="1"/>
      <c r="AEH257" s="1"/>
      <c r="AEI257" s="1"/>
      <c r="AEJ257" s="1"/>
      <c r="AEK257" s="1"/>
      <c r="AEL257" s="1"/>
      <c r="AEM257" s="1"/>
      <c r="AEN257" s="1"/>
      <c r="AEO257" s="1"/>
      <c r="AEP257" s="1"/>
      <c r="AEQ257" s="1"/>
      <c r="AER257" s="1"/>
      <c r="AES257" s="1"/>
      <c r="AET257" s="1"/>
      <c r="AEU257" s="1"/>
      <c r="AEV257" s="1"/>
      <c r="AEW257" s="1"/>
      <c r="AEX257" s="1"/>
      <c r="AEY257" s="1"/>
      <c r="AEZ257" s="1"/>
      <c r="AFA257" s="1"/>
      <c r="AFB257" s="1"/>
      <c r="AFC257" s="1"/>
      <c r="AFD257" s="1"/>
      <c r="AFE257" s="1"/>
      <c r="AFF257" s="1"/>
      <c r="AFG257" s="1"/>
      <c r="AFH257" s="1"/>
      <c r="AFI257" s="1"/>
      <c r="AFJ257" s="1"/>
      <c r="AFK257" s="1"/>
      <c r="AFL257" s="1"/>
      <c r="AFM257" s="1"/>
      <c r="AFN257" s="1"/>
      <c r="AFO257" s="1"/>
      <c r="AFP257" s="1"/>
      <c r="AFQ257" s="1"/>
      <c r="AFR257" s="1"/>
      <c r="AFS257" s="1"/>
      <c r="AFT257" s="1"/>
      <c r="AFU257" s="1"/>
      <c r="AFV257" s="1"/>
      <c r="AFW257" s="1"/>
      <c r="AFX257" s="1"/>
      <c r="AFY257" s="1"/>
      <c r="AFZ257" s="1"/>
      <c r="AGA257" s="1"/>
      <c r="AGB257" s="1"/>
      <c r="AGC257" s="1"/>
      <c r="AGD257" s="1"/>
      <c r="AGE257" s="1"/>
      <c r="AGF257" s="1"/>
      <c r="AGG257" s="1"/>
      <c r="AGH257" s="1"/>
      <c r="AGI257" s="1"/>
      <c r="AGJ257" s="1"/>
      <c r="AGK257" s="1"/>
      <c r="AGL257" s="1"/>
      <c r="AGM257" s="1"/>
      <c r="AGN257" s="1"/>
      <c r="AGO257" s="1"/>
      <c r="AGP257" s="1"/>
      <c r="AGQ257" s="1"/>
      <c r="AGR257" s="1"/>
      <c r="AGS257" s="1"/>
      <c r="AGT257" s="1"/>
      <c r="AGU257" s="1"/>
      <c r="AGV257" s="1"/>
      <c r="AGW257" s="1"/>
      <c r="AGX257" s="1"/>
      <c r="AGY257" s="1"/>
      <c r="AGZ257" s="1"/>
      <c r="AHA257" s="1"/>
      <c r="AHB257" s="1"/>
      <c r="AHC257" s="1"/>
      <c r="AHD257" s="1"/>
      <c r="AHE257" s="1"/>
      <c r="AHF257" s="1"/>
      <c r="AHG257" s="1"/>
      <c r="AHH257" s="1"/>
      <c r="AHI257" s="1"/>
      <c r="AHJ257" s="1"/>
      <c r="AHK257" s="1"/>
      <c r="AHL257" s="1"/>
      <c r="AHM257" s="1"/>
      <c r="AHN257" s="1"/>
      <c r="AHO257" s="1"/>
      <c r="AHP257" s="1"/>
      <c r="AHQ257" s="1"/>
      <c r="AHR257" s="1"/>
      <c r="AHS257" s="1"/>
      <c r="AHT257" s="1"/>
      <c r="AHU257" s="1"/>
      <c r="AHV257" s="1"/>
      <c r="AHW257" s="1"/>
      <c r="AHX257" s="1"/>
      <c r="AHY257" s="1"/>
      <c r="AHZ257" s="1"/>
      <c r="AIA257" s="1"/>
      <c r="AIB257" s="1"/>
      <c r="AIC257" s="1"/>
      <c r="AID257" s="1"/>
      <c r="AIE257" s="1"/>
      <c r="AIF257" s="1"/>
      <c r="AIG257" s="1"/>
      <c r="AIH257" s="1"/>
      <c r="AII257" s="1"/>
      <c r="AIJ257" s="1"/>
      <c r="AIK257" s="1"/>
      <c r="AIL257" s="1"/>
      <c r="AIM257" s="1"/>
      <c r="AIN257" s="1"/>
      <c r="AIO257" s="1"/>
      <c r="AIP257" s="1"/>
      <c r="AIQ257" s="1"/>
      <c r="AIR257" s="1"/>
      <c r="AIS257" s="1"/>
      <c r="AIT257" s="1"/>
      <c r="AIU257" s="1"/>
      <c r="AIV257" s="1"/>
      <c r="AIW257" s="1"/>
      <c r="AIX257" s="1"/>
      <c r="AIY257" s="1"/>
      <c r="AIZ257" s="1"/>
      <c r="AJA257" s="1"/>
      <c r="AJB257" s="1"/>
      <c r="AJC257" s="1"/>
      <c r="AJD257" s="1"/>
      <c r="AJE257" s="1"/>
      <c r="AJF257" s="1"/>
      <c r="AJG257" s="1"/>
      <c r="AJH257" s="1"/>
      <c r="AJI257" s="1"/>
      <c r="AJJ257" s="1"/>
      <c r="AJK257" s="1"/>
      <c r="AJL257" s="1"/>
      <c r="AJM257" s="1"/>
      <c r="AJN257" s="1"/>
      <c r="AJO257" s="1"/>
      <c r="AJP257" s="1"/>
      <c r="AJQ257" s="1"/>
      <c r="AJR257" s="1"/>
      <c r="AJS257" s="1"/>
      <c r="AJT257" s="1"/>
      <c r="AJU257" s="1"/>
      <c r="AJV257" s="1"/>
      <c r="AJW257" s="1"/>
      <c r="AJX257" s="1"/>
      <c r="AJY257" s="1"/>
      <c r="AJZ257" s="1"/>
      <c r="AKA257" s="1"/>
      <c r="AKB257" s="1"/>
      <c r="AKC257" s="1"/>
      <c r="AKD257" s="1"/>
      <c r="AKE257" s="1"/>
      <c r="AKF257" s="1"/>
      <c r="AKG257" s="1"/>
      <c r="AKH257" s="1"/>
      <c r="AKI257" s="1"/>
      <c r="AKJ257" s="1"/>
      <c r="AKK257" s="1"/>
      <c r="AKL257" s="1"/>
      <c r="AKM257" s="1"/>
      <c r="AKN257" s="1"/>
      <c r="AKO257" s="1"/>
      <c r="AKP257" s="1"/>
      <c r="AKQ257" s="1"/>
      <c r="AKR257" s="1"/>
      <c r="AKS257" s="1"/>
      <c r="AKT257" s="1"/>
      <c r="AKU257" s="1"/>
      <c r="AKV257" s="1"/>
      <c r="AKW257" s="1"/>
      <c r="AKX257" s="1"/>
      <c r="AKY257" s="1"/>
      <c r="AKZ257" s="1"/>
      <c r="ALA257" s="1"/>
      <c r="ALB257" s="1"/>
      <c r="ALC257" s="1"/>
      <c r="ALD257" s="1"/>
      <c r="ALE257" s="1"/>
      <c r="ALF257" s="1"/>
      <c r="ALG257" s="1"/>
      <c r="ALH257" s="1"/>
      <c r="ALI257" s="1"/>
      <c r="ALJ257" s="1"/>
      <c r="ALK257" s="1"/>
      <c r="ALL257" s="1"/>
      <c r="ALM257" s="1"/>
      <c r="ALN257" s="1"/>
      <c r="ALO257" s="1"/>
      <c r="ALP257" s="1"/>
      <c r="ALQ257" s="1"/>
      <c r="ALR257" s="1"/>
      <c r="ALS257" s="1"/>
      <c r="ALT257" s="1"/>
      <c r="ALU257" s="1"/>
      <c r="ALV257" s="1"/>
      <c r="ALW257" s="1"/>
      <c r="ALX257" s="1"/>
      <c r="ALY257" s="1"/>
      <c r="ALZ257" s="1"/>
      <c r="AMA257" s="1"/>
      <c r="AMB257" s="1"/>
      <c r="AMC257" s="1"/>
      <c r="AMD257" s="1"/>
      <c r="AME257" s="1"/>
      <c r="AMF257" s="1"/>
      <c r="AMG257" s="1"/>
      <c r="AMH257" s="1"/>
      <c r="AMI257" s="1"/>
      <c r="AMJ257" s="1"/>
      <c r="AMK257" s="1"/>
      <c r="AML257" s="1"/>
      <c r="AMM257" s="1"/>
      <c r="AMN257" s="1"/>
      <c r="AMO257" s="1"/>
    </row>
    <row r="258" spans="1:1029" x14ac:dyDescent="0.2">
      <c r="A258" s="3" t="str">
        <f t="shared" ref="A258" si="895">CONCATENATE(B258,"_",C258)</f>
        <v>pd2r2_human_6D27</v>
      </c>
      <c r="B258" s="3" t="s">
        <v>360</v>
      </c>
      <c r="C258" s="3" t="s">
        <v>1567</v>
      </c>
      <c r="D258" s="3" t="str">
        <f>IFERROR(MID(VLOOKUP($B258,Seqs!$A:$B,2,0),E258,1),"")</f>
        <v>A</v>
      </c>
      <c r="E258" s="3">
        <v>34</v>
      </c>
      <c r="F258" s="3" t="str">
        <f>IFERROR(MID(VLOOKUP($B258,Seqs!$A:$B,2,0),G258,1),"")</f>
        <v>R</v>
      </c>
      <c r="G258" s="3">
        <v>62</v>
      </c>
      <c r="H258" s="3" t="str">
        <f>IFERROR(MID(VLOOKUP($B258,Seqs!$A:$B,2,0),I258,1),"")</f>
        <v/>
      </c>
      <c r="I258" s="23" t="s">
        <v>23</v>
      </c>
      <c r="J258" s="3" t="str">
        <f>IFERROR(MID(VLOOKUP($B258,Seqs!$A:$B,2,0),K258,1),"")</f>
        <v/>
      </c>
      <c r="K258" s="23" t="s">
        <v>23</v>
      </c>
      <c r="L258" s="3" t="str">
        <f>IFERROR(MID(VLOOKUP($B258,Seqs!$A:$B,2,0),M258,1),"")</f>
        <v>V</v>
      </c>
      <c r="M258" s="3">
        <v>66</v>
      </c>
      <c r="N258" s="3" t="str">
        <f>IFERROR(MID(VLOOKUP($B258,Seqs!$A:$B,2,0),O258,1),"")</f>
        <v>S</v>
      </c>
      <c r="O258" s="3">
        <v>96</v>
      </c>
      <c r="P258" s="3" t="str">
        <f>IFERROR(MID(VLOOKUP($B258,Seqs!$A:$B,2,0),Q258,1),"")</f>
        <v>E</v>
      </c>
      <c r="Q258" s="3">
        <v>98</v>
      </c>
      <c r="R258" s="3" t="str">
        <f>IFERROR(MID(VLOOKUP($B258,Seqs!$A:$B,2,0),S258,1),"")</f>
        <v>T</v>
      </c>
      <c r="S258" s="3">
        <v>101</v>
      </c>
      <c r="T258" s="3" t="str">
        <f>IFERROR(MID(VLOOKUP($B258,Seqs!$A:$B,2,0),U258,1),"")</f>
        <v>F</v>
      </c>
      <c r="U258" s="3">
        <v>103</v>
      </c>
      <c r="V258" s="3" t="str">
        <f>IFERROR(MID(VLOOKUP($B258,Seqs!$A:$B,2,0),W258,1),"")</f>
        <v>V</v>
      </c>
      <c r="W258" s="3">
        <v>137</v>
      </c>
      <c r="X258" s="3" t="str">
        <f>IFERROR(MID(VLOOKUP($B258,Seqs!$A:$B,2,0),Y258,1),"")</f>
        <v>W</v>
      </c>
      <c r="Y258" s="3">
        <v>138</v>
      </c>
      <c r="Z258" s="3" t="str">
        <f>IFERROR(MID(VLOOKUP($B258,Seqs!$A:$B,2,0),AA258,1),"")</f>
        <v>V</v>
      </c>
      <c r="AA258" s="3">
        <v>145</v>
      </c>
      <c r="AB258" s="3" t="str">
        <f>IFERROR(MID(VLOOKUP($B258,Seqs!$A:$B,2,0),AC258,1),"")</f>
        <v>A</v>
      </c>
      <c r="AC258" s="3">
        <v>146</v>
      </c>
      <c r="AD258" s="3" t="str">
        <f>IFERROR(MID(VLOOKUP($B258,Seqs!$A:$B,2,0),AE258,1),"")</f>
        <v>T</v>
      </c>
      <c r="AE258" s="3">
        <v>172</v>
      </c>
      <c r="AF258" s="3" t="str">
        <f>IFERROR(MID(VLOOKUP($B258,Seqs!$A:$B,2,0),AG258,1),"")</f>
        <v>Y</v>
      </c>
      <c r="AG258" s="3">
        <v>184</v>
      </c>
      <c r="AH258" s="3" t="str">
        <f>IFERROR(MID(VLOOKUP($B258,Seqs!$A:$B,2,0),AI258,1),"")</f>
        <v>V</v>
      </c>
      <c r="AI258" s="3">
        <v>186</v>
      </c>
      <c r="AJ258" s="3" t="str">
        <f>IFERROR(MID(VLOOKUP($B258,Seqs!$A:$B,2,0),AK258,1),"")</f>
        <v>D</v>
      </c>
      <c r="AK258" s="3">
        <v>196</v>
      </c>
      <c r="AL258" s="3" t="str">
        <f>IFERROR(MID(VLOOKUP($B258,Seqs!$A:$B,2,0),AM258,1),"")</f>
        <v>R</v>
      </c>
      <c r="AM258" s="3">
        <v>238</v>
      </c>
      <c r="AN258" s="3" t="str">
        <f>IFERROR(MID(VLOOKUP($B258,Seqs!$A:$B,2,0),AO258,1),"")</f>
        <v>R</v>
      </c>
      <c r="AO258" s="3">
        <v>246</v>
      </c>
      <c r="AP258" s="3" t="str">
        <f>IFERROR(MID(VLOOKUP($B258,Seqs!$A:$B,2,0),AQ258,1),"")</f>
        <v>H</v>
      </c>
      <c r="AQ258" s="3">
        <v>273</v>
      </c>
      <c r="AR258" s="3" t="str">
        <f>IFERROR(MID(VLOOKUP($B258,Seqs!$A:$B,2,0),AS258,1),"")</f>
        <v>P</v>
      </c>
      <c r="AS258" s="3">
        <v>280</v>
      </c>
      <c r="AT258" s="3" t="str">
        <f>IFERROR(MID(VLOOKUP($B258,Seqs!$A:$B,2,0),AU258,1),"")</f>
        <v>P</v>
      </c>
      <c r="AU258" s="3">
        <v>309</v>
      </c>
      <c r="AV258" s="3" t="str">
        <f>IFERROR(MID(VLOOKUP($B258,Seqs!$A:$B,2,0),AW258,1),"")</f>
        <v>D</v>
      </c>
      <c r="AW258" s="3">
        <v>310</v>
      </c>
      <c r="AX258" s="3" t="str">
        <f>IFERROR(MID(VLOOKUP($B258,Seqs!$A:$B,2,0),AY258,1),"")</f>
        <v>D</v>
      </c>
      <c r="AY258" s="3">
        <v>329</v>
      </c>
      <c r="AZ258" s="77" t="str">
        <f>VLOOKUP(B258,Classification!A:D,2,0)</f>
        <v>A</v>
      </c>
      <c r="BA258" s="94" t="str">
        <f>VLOOKUP(B258,Classification!A:D,4,0)</f>
        <v>Prostanoid</v>
      </c>
      <c r="BB258" s="27" t="b">
        <f t="shared" ref="BB258" si="896">AND(E258&lt;G258,OR(G258&lt;I258,I258="-"),OR(I258&lt;K258,I258="-"),OR(K258&lt;M258,K258="-"),M258&lt;O258,OR(O258&lt;Q258,Q258="-"),OR(Q258&lt;S258,Q258="-"),OR(S258&lt;U258,S258="-"),U258&lt;W258,OR(W258&lt;Y258,Y258="-"),OR(Y258&lt;AA258,Y258="-"),OR(AA258&lt;AC258,AA258="-"),AC258&lt;AE258,OR(AE258&lt;AG258,AG258="-"),OR(AG258&lt;AI258,AG258="-"),OR(AI258&lt;AK258,AI258="-"),AK258&lt;AM258,AM258&lt;AO258,AO258&lt;AQ258,AQ258&lt;AS258,AS258&lt;AU258,OR(AU258&lt;AW258,AW258="-"),OR(AW258&lt;AY258,AW258="-"))</f>
        <v>1</v>
      </c>
      <c r="BC258" s="23">
        <f t="shared" ref="BC258" si="897">_xlfn.AGGREGATE(9,6,CH258:CS258)-_xlfn.AGGREGATE(9,6,BV258:CG258)+12</f>
        <v>259</v>
      </c>
      <c r="BD258" s="2" t="s">
        <v>1383</v>
      </c>
      <c r="BE258" s="3" t="s">
        <v>1381</v>
      </c>
      <c r="BF258" s="119">
        <v>4.74</v>
      </c>
      <c r="BG258" s="49" t="s">
        <v>1</v>
      </c>
      <c r="BH258" s="49" t="s">
        <v>1</v>
      </c>
      <c r="BI258" s="1"/>
      <c r="BJ258" s="70" t="s">
        <v>1293</v>
      </c>
      <c r="BK258" s="57" t="s">
        <v>1293</v>
      </c>
      <c r="BL258" s="57" t="s">
        <v>1293</v>
      </c>
      <c r="BM258" s="57" t="s">
        <v>1293</v>
      </c>
      <c r="BN258" s="57" t="s">
        <v>1293</v>
      </c>
      <c r="BO258" s="57" t="s">
        <v>1293</v>
      </c>
      <c r="BP258" s="57" t="s">
        <v>1293</v>
      </c>
      <c r="BQ258" s="57" t="s">
        <v>1293</v>
      </c>
      <c r="BR258" s="57" t="s">
        <v>1293</v>
      </c>
      <c r="BS258" s="57" t="s">
        <v>1293</v>
      </c>
      <c r="BT258" s="57" t="s">
        <v>1293</v>
      </c>
      <c r="BU258" s="57" t="s">
        <v>1293</v>
      </c>
      <c r="BV258" s="70">
        <f t="shared" ref="BV258" si="898">E258</f>
        <v>34</v>
      </c>
      <c r="BW258" s="71" t="str">
        <f t="shared" ref="BW258" si="899">I258</f>
        <v>-</v>
      </c>
      <c r="BX258" s="72">
        <f t="shared" ref="BX258" si="900">M258</f>
        <v>66</v>
      </c>
      <c r="BY258" s="71">
        <f t="shared" ref="BY258" si="901">Q258</f>
        <v>98</v>
      </c>
      <c r="BZ258" s="72">
        <f t="shared" ref="BZ258" si="902">U258</f>
        <v>103</v>
      </c>
      <c r="CA258" s="71">
        <f t="shared" ref="CA258" si="903">Y258</f>
        <v>138</v>
      </c>
      <c r="CB258" s="72">
        <f t="shared" ref="CB258" si="904">AC258</f>
        <v>146</v>
      </c>
      <c r="CC258" s="71">
        <f t="shared" ref="CC258" si="905">AG258</f>
        <v>184</v>
      </c>
      <c r="CD258" s="72">
        <f t="shared" ref="CD258" si="906">AK258</f>
        <v>196</v>
      </c>
      <c r="CE258" s="71">
        <f t="shared" ref="CE258" si="907">AO258</f>
        <v>246</v>
      </c>
      <c r="CF258" s="72">
        <f t="shared" ref="CF258" si="908">AS258</f>
        <v>280</v>
      </c>
      <c r="CG258" s="71">
        <f t="shared" ref="CG258" si="909">AW258</f>
        <v>310</v>
      </c>
      <c r="CH258" s="70">
        <f t="shared" ref="CH258" si="910">G258</f>
        <v>62</v>
      </c>
      <c r="CI258" s="71" t="str">
        <f t="shared" ref="CI258" si="911">K258</f>
        <v>-</v>
      </c>
      <c r="CJ258" s="72">
        <f t="shared" ref="CJ258" si="912">O258</f>
        <v>96</v>
      </c>
      <c r="CK258" s="72">
        <f t="shared" ref="CK258" si="913">S258</f>
        <v>101</v>
      </c>
      <c r="CL258" s="72">
        <f t="shared" ref="CL258" si="914">W258</f>
        <v>137</v>
      </c>
      <c r="CM258" s="72">
        <f t="shared" ref="CM258" si="915">AA258</f>
        <v>145</v>
      </c>
      <c r="CN258" s="72">
        <f t="shared" ref="CN258" si="916">AE258</f>
        <v>172</v>
      </c>
      <c r="CO258" s="72">
        <f t="shared" ref="CO258" si="917">AI258</f>
        <v>186</v>
      </c>
      <c r="CP258" s="72">
        <f t="shared" ref="CP258" si="918">AM258</f>
        <v>238</v>
      </c>
      <c r="CQ258" s="72">
        <f t="shared" ref="CQ258" si="919">AQ258</f>
        <v>273</v>
      </c>
      <c r="CR258" s="72">
        <f t="shared" ref="CR258" si="920">AU258</f>
        <v>309</v>
      </c>
      <c r="CS258" s="72">
        <f t="shared" ref="CS258" si="921">AY258</f>
        <v>329</v>
      </c>
      <c r="CT258" s="23" t="e">
        <f t="shared" ref="CT258" si="922">M258-K258</f>
        <v>#VALUE!</v>
      </c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  <c r="OK258" s="1"/>
      <c r="OL258" s="1"/>
      <c r="OM258" s="1"/>
      <c r="ON258" s="1"/>
      <c r="OO258" s="1"/>
      <c r="OP258" s="1"/>
      <c r="OQ258" s="1"/>
      <c r="OR258" s="1"/>
      <c r="OS258" s="1"/>
      <c r="OT258" s="1"/>
      <c r="OU258" s="1"/>
      <c r="OV258" s="1"/>
      <c r="OW258" s="1"/>
      <c r="OX258" s="1"/>
      <c r="OY258" s="1"/>
      <c r="OZ258" s="1"/>
      <c r="PA258" s="1"/>
      <c r="PB258" s="1"/>
      <c r="PC258" s="1"/>
      <c r="PD258" s="1"/>
      <c r="PE258" s="1"/>
      <c r="PF258" s="1"/>
      <c r="PG258" s="1"/>
      <c r="PH258" s="1"/>
      <c r="PI258" s="1"/>
      <c r="PJ258" s="1"/>
      <c r="PK258" s="1"/>
      <c r="PL258" s="1"/>
      <c r="PM258" s="1"/>
      <c r="PN258" s="1"/>
      <c r="PO258" s="1"/>
      <c r="PP258" s="1"/>
      <c r="PQ258" s="1"/>
      <c r="PR258" s="1"/>
      <c r="PS258" s="1"/>
      <c r="PT258" s="1"/>
      <c r="PU258" s="1"/>
      <c r="PV258" s="1"/>
      <c r="PW258" s="1"/>
      <c r="PX258" s="1"/>
      <c r="PY258" s="1"/>
      <c r="PZ258" s="1"/>
      <c r="QA258" s="1"/>
      <c r="QB258" s="1"/>
      <c r="QC258" s="1"/>
      <c r="QD258" s="1"/>
      <c r="QE258" s="1"/>
      <c r="QF258" s="1"/>
      <c r="QG258" s="1"/>
      <c r="QH258" s="1"/>
      <c r="QI258" s="1"/>
      <c r="QJ258" s="1"/>
      <c r="QK258" s="1"/>
      <c r="QL258" s="1"/>
      <c r="QM258" s="1"/>
      <c r="QN258" s="1"/>
      <c r="QO258" s="1"/>
      <c r="QP258" s="1"/>
      <c r="QQ258" s="1"/>
      <c r="QR258" s="1"/>
      <c r="QS258" s="1"/>
      <c r="QT258" s="1"/>
      <c r="QU258" s="1"/>
      <c r="QV258" s="1"/>
      <c r="QW258" s="1"/>
      <c r="QX258" s="1"/>
      <c r="QY258" s="1"/>
      <c r="QZ258" s="1"/>
      <c r="RA258" s="1"/>
      <c r="RB258" s="1"/>
      <c r="RC258" s="1"/>
      <c r="RD258" s="1"/>
      <c r="RE258" s="1"/>
      <c r="RF258" s="1"/>
      <c r="RG258" s="1"/>
      <c r="RH258" s="1"/>
      <c r="RI258" s="1"/>
      <c r="RJ258" s="1"/>
      <c r="RK258" s="1"/>
      <c r="RL258" s="1"/>
      <c r="RM258" s="1"/>
      <c r="RN258" s="1"/>
      <c r="RO258" s="1"/>
      <c r="RP258" s="1"/>
      <c r="RQ258" s="1"/>
      <c r="RR258" s="1"/>
      <c r="RS258" s="1"/>
      <c r="RT258" s="1"/>
      <c r="RU258" s="1"/>
      <c r="RV258" s="1"/>
      <c r="RW258" s="1"/>
      <c r="RX258" s="1"/>
      <c r="RY258" s="1"/>
      <c r="RZ258" s="1"/>
      <c r="SA258" s="1"/>
      <c r="SB258" s="1"/>
      <c r="SC258" s="1"/>
      <c r="SD258" s="1"/>
      <c r="SE258" s="1"/>
      <c r="SF258" s="1"/>
      <c r="SG258" s="1"/>
      <c r="SH258" s="1"/>
      <c r="SI258" s="1"/>
      <c r="SJ258" s="1"/>
      <c r="SK258" s="1"/>
      <c r="SL258" s="1"/>
      <c r="SM258" s="1"/>
      <c r="SN258" s="1"/>
      <c r="SO258" s="1"/>
      <c r="SP258" s="1"/>
      <c r="SQ258" s="1"/>
      <c r="SR258" s="1"/>
      <c r="SS258" s="1"/>
      <c r="ST258" s="1"/>
      <c r="SU258" s="1"/>
      <c r="SV258" s="1"/>
      <c r="SW258" s="1"/>
      <c r="SX258" s="1"/>
      <c r="SY258" s="1"/>
      <c r="SZ258" s="1"/>
      <c r="TA258" s="1"/>
      <c r="TB258" s="1"/>
      <c r="TC258" s="1"/>
      <c r="TD258" s="1"/>
      <c r="TE258" s="1"/>
      <c r="TF258" s="1"/>
      <c r="TG258" s="1"/>
      <c r="TH258" s="1"/>
      <c r="TI258" s="1"/>
      <c r="TJ258" s="1"/>
      <c r="TK258" s="1"/>
      <c r="TL258" s="1"/>
      <c r="TM258" s="1"/>
      <c r="TN258" s="1"/>
      <c r="TO258" s="1"/>
      <c r="TP258" s="1"/>
      <c r="TQ258" s="1"/>
      <c r="TR258" s="1"/>
      <c r="TS258" s="1"/>
      <c r="TT258" s="1"/>
      <c r="TU258" s="1"/>
      <c r="TV258" s="1"/>
      <c r="TW258" s="1"/>
      <c r="TX258" s="1"/>
      <c r="TY258" s="1"/>
      <c r="TZ258" s="1"/>
      <c r="UA258" s="1"/>
      <c r="UB258" s="1"/>
      <c r="UC258" s="1"/>
      <c r="UD258" s="1"/>
      <c r="UE258" s="1"/>
      <c r="UF258" s="1"/>
      <c r="UG258" s="1"/>
      <c r="UH258" s="1"/>
      <c r="UI258" s="1"/>
      <c r="UJ258" s="1"/>
      <c r="UK258" s="1"/>
      <c r="UL258" s="1"/>
      <c r="UM258" s="1"/>
      <c r="UN258" s="1"/>
      <c r="UO258" s="1"/>
      <c r="UP258" s="1"/>
      <c r="UQ258" s="1"/>
      <c r="UR258" s="1"/>
      <c r="US258" s="1"/>
      <c r="UT258" s="1"/>
      <c r="UU258" s="1"/>
      <c r="UV258" s="1"/>
      <c r="UW258" s="1"/>
      <c r="UX258" s="1"/>
      <c r="UY258" s="1"/>
      <c r="UZ258" s="1"/>
      <c r="VA258" s="1"/>
      <c r="VB258" s="1"/>
      <c r="VC258" s="1"/>
      <c r="VD258" s="1"/>
      <c r="VE258" s="1"/>
      <c r="VF258" s="1"/>
      <c r="VG258" s="1"/>
      <c r="VH258" s="1"/>
      <c r="VI258" s="1"/>
      <c r="VJ258" s="1"/>
      <c r="VK258" s="1"/>
      <c r="VL258" s="1"/>
      <c r="VM258" s="1"/>
      <c r="VN258" s="1"/>
      <c r="VO258" s="1"/>
      <c r="VP258" s="1"/>
      <c r="VQ258" s="1"/>
      <c r="VR258" s="1"/>
      <c r="VS258" s="1"/>
      <c r="VT258" s="1"/>
      <c r="VU258" s="1"/>
      <c r="VV258" s="1"/>
      <c r="VW258" s="1"/>
      <c r="VX258" s="1"/>
      <c r="VY258" s="1"/>
      <c r="VZ258" s="1"/>
      <c r="WA258" s="1"/>
      <c r="WB258" s="1"/>
      <c r="WC258" s="1"/>
      <c r="WD258" s="1"/>
      <c r="WE258" s="1"/>
      <c r="WF258" s="1"/>
      <c r="WG258" s="1"/>
      <c r="WH258" s="1"/>
      <c r="WI258" s="1"/>
      <c r="WJ258" s="1"/>
      <c r="WK258" s="1"/>
      <c r="WL258" s="1"/>
      <c r="WM258" s="1"/>
      <c r="WN258" s="1"/>
      <c r="WO258" s="1"/>
      <c r="WP258" s="1"/>
      <c r="WQ258" s="1"/>
      <c r="WR258" s="1"/>
      <c r="WS258" s="1"/>
      <c r="WT258" s="1"/>
      <c r="WU258" s="1"/>
      <c r="WV258" s="1"/>
      <c r="WW258" s="1"/>
      <c r="WX258" s="1"/>
      <c r="WY258" s="1"/>
      <c r="WZ258" s="1"/>
      <c r="XA258" s="1"/>
      <c r="XB258" s="1"/>
      <c r="XC258" s="1"/>
      <c r="XD258" s="1"/>
      <c r="XE258" s="1"/>
      <c r="XF258" s="1"/>
      <c r="XG258" s="1"/>
      <c r="XH258" s="1"/>
      <c r="XI258" s="1"/>
      <c r="XJ258" s="1"/>
      <c r="XK258" s="1"/>
      <c r="XL258" s="1"/>
      <c r="XM258" s="1"/>
      <c r="XN258" s="1"/>
      <c r="XO258" s="1"/>
      <c r="XP258" s="1"/>
      <c r="XQ258" s="1"/>
      <c r="XR258" s="1"/>
      <c r="XS258" s="1"/>
      <c r="XT258" s="1"/>
      <c r="XU258" s="1"/>
      <c r="XV258" s="1"/>
      <c r="XW258" s="1"/>
      <c r="XX258" s="1"/>
      <c r="XY258" s="1"/>
      <c r="XZ258" s="1"/>
      <c r="YA258" s="1"/>
      <c r="YB258" s="1"/>
      <c r="YC258" s="1"/>
      <c r="YD258" s="1"/>
      <c r="YE258" s="1"/>
      <c r="YF258" s="1"/>
      <c r="YG258" s="1"/>
      <c r="YH258" s="1"/>
      <c r="YI258" s="1"/>
      <c r="YJ258" s="1"/>
      <c r="YK258" s="1"/>
      <c r="YL258" s="1"/>
      <c r="YM258" s="1"/>
      <c r="YN258" s="1"/>
      <c r="YO258" s="1"/>
      <c r="YP258" s="1"/>
      <c r="YQ258" s="1"/>
      <c r="YR258" s="1"/>
      <c r="YS258" s="1"/>
      <c r="YT258" s="1"/>
      <c r="YU258" s="1"/>
      <c r="YV258" s="1"/>
      <c r="YW258" s="1"/>
      <c r="YX258" s="1"/>
      <c r="YY258" s="1"/>
      <c r="YZ258" s="1"/>
      <c r="ZA258" s="1"/>
      <c r="ZB258" s="1"/>
      <c r="ZC258" s="1"/>
      <c r="ZD258" s="1"/>
      <c r="ZE258" s="1"/>
      <c r="ZF258" s="1"/>
      <c r="ZG258" s="1"/>
      <c r="ZH258" s="1"/>
      <c r="ZI258" s="1"/>
      <c r="ZJ258" s="1"/>
      <c r="ZK258" s="1"/>
      <c r="ZL258" s="1"/>
      <c r="ZM258" s="1"/>
      <c r="ZN258" s="1"/>
      <c r="ZO258" s="1"/>
      <c r="ZP258" s="1"/>
      <c r="ZQ258" s="1"/>
      <c r="ZR258" s="1"/>
      <c r="ZS258" s="1"/>
      <c r="ZT258" s="1"/>
      <c r="ZU258" s="1"/>
      <c r="ZV258" s="1"/>
      <c r="ZW258" s="1"/>
      <c r="ZX258" s="1"/>
      <c r="ZY258" s="1"/>
      <c r="ZZ258" s="1"/>
      <c r="AAA258" s="1"/>
      <c r="AAB258" s="1"/>
      <c r="AAC258" s="1"/>
      <c r="AAD258" s="1"/>
      <c r="AAE258" s="1"/>
      <c r="AAF258" s="1"/>
      <c r="AAG258" s="1"/>
      <c r="AAH258" s="1"/>
      <c r="AAI258" s="1"/>
      <c r="AAJ258" s="1"/>
      <c r="AAK258" s="1"/>
      <c r="AAL258" s="1"/>
      <c r="AAM258" s="1"/>
      <c r="AAN258" s="1"/>
      <c r="AAO258" s="1"/>
      <c r="AAP258" s="1"/>
      <c r="AAQ258" s="1"/>
      <c r="AAR258" s="1"/>
      <c r="AAS258" s="1"/>
      <c r="AAT258" s="1"/>
      <c r="AAU258" s="1"/>
      <c r="AAV258" s="1"/>
      <c r="AAW258" s="1"/>
      <c r="AAX258" s="1"/>
      <c r="AAY258" s="1"/>
      <c r="AAZ258" s="1"/>
      <c r="ABA258" s="1"/>
      <c r="ABB258" s="1"/>
      <c r="ABC258" s="1"/>
      <c r="ABD258" s="1"/>
      <c r="ABE258" s="1"/>
      <c r="ABF258" s="1"/>
      <c r="ABG258" s="1"/>
      <c r="ABH258" s="1"/>
      <c r="ABI258" s="1"/>
      <c r="ABJ258" s="1"/>
      <c r="ABK258" s="1"/>
      <c r="ABL258" s="1"/>
      <c r="ABM258" s="1"/>
      <c r="ABN258" s="1"/>
      <c r="ABO258" s="1"/>
      <c r="ABP258" s="1"/>
      <c r="ABQ258" s="1"/>
      <c r="ABR258" s="1"/>
      <c r="ABS258" s="1"/>
      <c r="ABT258" s="1"/>
      <c r="ABU258" s="1"/>
      <c r="ABV258" s="1"/>
      <c r="ABW258" s="1"/>
      <c r="ABX258" s="1"/>
      <c r="ABY258" s="1"/>
      <c r="ABZ258" s="1"/>
      <c r="ACA258" s="1"/>
      <c r="ACB258" s="1"/>
      <c r="ACC258" s="1"/>
      <c r="ACD258" s="1"/>
      <c r="ACE258" s="1"/>
      <c r="ACF258" s="1"/>
      <c r="ACG258" s="1"/>
      <c r="ACH258" s="1"/>
      <c r="ACI258" s="1"/>
      <c r="ACJ258" s="1"/>
      <c r="ACK258" s="1"/>
      <c r="ACL258" s="1"/>
      <c r="ACM258" s="1"/>
      <c r="ACN258" s="1"/>
      <c r="ACO258" s="1"/>
      <c r="ACP258" s="1"/>
      <c r="ACQ258" s="1"/>
      <c r="ACR258" s="1"/>
      <c r="ACS258" s="1"/>
      <c r="ACT258" s="1"/>
      <c r="ACU258" s="1"/>
      <c r="ACV258" s="1"/>
      <c r="ACW258" s="1"/>
      <c r="ACX258" s="1"/>
      <c r="ACY258" s="1"/>
      <c r="ACZ258" s="1"/>
      <c r="ADA258" s="1"/>
      <c r="ADB258" s="1"/>
      <c r="ADC258" s="1"/>
      <c r="ADD258" s="1"/>
      <c r="ADE258" s="1"/>
      <c r="ADF258" s="1"/>
      <c r="ADG258" s="1"/>
      <c r="ADH258" s="1"/>
      <c r="ADI258" s="1"/>
      <c r="ADJ258" s="1"/>
      <c r="ADK258" s="1"/>
      <c r="ADL258" s="1"/>
      <c r="ADM258" s="1"/>
      <c r="ADN258" s="1"/>
      <c r="ADO258" s="1"/>
      <c r="ADP258" s="1"/>
      <c r="ADQ258" s="1"/>
      <c r="ADR258" s="1"/>
      <c r="ADS258" s="1"/>
      <c r="ADT258" s="1"/>
      <c r="ADU258" s="1"/>
      <c r="ADV258" s="1"/>
      <c r="ADW258" s="1"/>
      <c r="ADX258" s="1"/>
      <c r="ADY258" s="1"/>
      <c r="ADZ258" s="1"/>
      <c r="AEA258" s="1"/>
      <c r="AEB258" s="1"/>
      <c r="AEC258" s="1"/>
      <c r="AED258" s="1"/>
      <c r="AEE258" s="1"/>
      <c r="AEF258" s="1"/>
      <c r="AEG258" s="1"/>
      <c r="AEH258" s="1"/>
      <c r="AEI258" s="1"/>
      <c r="AEJ258" s="1"/>
      <c r="AEK258" s="1"/>
      <c r="AEL258" s="1"/>
      <c r="AEM258" s="1"/>
      <c r="AEN258" s="1"/>
      <c r="AEO258" s="1"/>
      <c r="AEP258" s="1"/>
      <c r="AEQ258" s="1"/>
      <c r="AER258" s="1"/>
      <c r="AES258" s="1"/>
      <c r="AET258" s="1"/>
      <c r="AEU258" s="1"/>
      <c r="AEV258" s="1"/>
      <c r="AEW258" s="1"/>
      <c r="AEX258" s="1"/>
      <c r="AEY258" s="1"/>
      <c r="AEZ258" s="1"/>
      <c r="AFA258" s="1"/>
      <c r="AFB258" s="1"/>
      <c r="AFC258" s="1"/>
      <c r="AFD258" s="1"/>
      <c r="AFE258" s="1"/>
      <c r="AFF258" s="1"/>
      <c r="AFG258" s="1"/>
      <c r="AFH258" s="1"/>
      <c r="AFI258" s="1"/>
      <c r="AFJ258" s="1"/>
      <c r="AFK258" s="1"/>
      <c r="AFL258" s="1"/>
      <c r="AFM258" s="1"/>
      <c r="AFN258" s="1"/>
      <c r="AFO258" s="1"/>
      <c r="AFP258" s="1"/>
      <c r="AFQ258" s="1"/>
      <c r="AFR258" s="1"/>
      <c r="AFS258" s="1"/>
      <c r="AFT258" s="1"/>
      <c r="AFU258" s="1"/>
      <c r="AFV258" s="1"/>
      <c r="AFW258" s="1"/>
      <c r="AFX258" s="1"/>
      <c r="AFY258" s="1"/>
      <c r="AFZ258" s="1"/>
      <c r="AGA258" s="1"/>
      <c r="AGB258" s="1"/>
      <c r="AGC258" s="1"/>
      <c r="AGD258" s="1"/>
      <c r="AGE258" s="1"/>
      <c r="AGF258" s="1"/>
      <c r="AGG258" s="1"/>
      <c r="AGH258" s="1"/>
      <c r="AGI258" s="1"/>
      <c r="AGJ258" s="1"/>
      <c r="AGK258" s="1"/>
      <c r="AGL258" s="1"/>
      <c r="AGM258" s="1"/>
      <c r="AGN258" s="1"/>
      <c r="AGO258" s="1"/>
      <c r="AGP258" s="1"/>
      <c r="AGQ258" s="1"/>
      <c r="AGR258" s="1"/>
      <c r="AGS258" s="1"/>
      <c r="AGT258" s="1"/>
      <c r="AGU258" s="1"/>
      <c r="AGV258" s="1"/>
      <c r="AGW258" s="1"/>
      <c r="AGX258" s="1"/>
      <c r="AGY258" s="1"/>
      <c r="AGZ258" s="1"/>
      <c r="AHA258" s="1"/>
      <c r="AHB258" s="1"/>
      <c r="AHC258" s="1"/>
      <c r="AHD258" s="1"/>
      <c r="AHE258" s="1"/>
      <c r="AHF258" s="1"/>
      <c r="AHG258" s="1"/>
      <c r="AHH258" s="1"/>
      <c r="AHI258" s="1"/>
      <c r="AHJ258" s="1"/>
      <c r="AHK258" s="1"/>
      <c r="AHL258" s="1"/>
      <c r="AHM258" s="1"/>
      <c r="AHN258" s="1"/>
      <c r="AHO258" s="1"/>
      <c r="AHP258" s="1"/>
      <c r="AHQ258" s="1"/>
      <c r="AHR258" s="1"/>
      <c r="AHS258" s="1"/>
      <c r="AHT258" s="1"/>
      <c r="AHU258" s="1"/>
      <c r="AHV258" s="1"/>
      <c r="AHW258" s="1"/>
      <c r="AHX258" s="1"/>
      <c r="AHY258" s="1"/>
      <c r="AHZ258" s="1"/>
      <c r="AIA258" s="1"/>
      <c r="AIB258" s="1"/>
      <c r="AIC258" s="1"/>
      <c r="AID258" s="1"/>
      <c r="AIE258" s="1"/>
      <c r="AIF258" s="1"/>
      <c r="AIG258" s="1"/>
      <c r="AIH258" s="1"/>
      <c r="AII258" s="1"/>
      <c r="AIJ258" s="1"/>
      <c r="AIK258" s="1"/>
      <c r="AIL258" s="1"/>
      <c r="AIM258" s="1"/>
      <c r="AIN258" s="1"/>
      <c r="AIO258" s="1"/>
      <c r="AIP258" s="1"/>
      <c r="AIQ258" s="1"/>
      <c r="AIR258" s="1"/>
      <c r="AIS258" s="1"/>
      <c r="AIT258" s="1"/>
      <c r="AIU258" s="1"/>
      <c r="AIV258" s="1"/>
      <c r="AIW258" s="1"/>
      <c r="AIX258" s="1"/>
      <c r="AIY258" s="1"/>
      <c r="AIZ258" s="1"/>
      <c r="AJA258" s="1"/>
      <c r="AJB258" s="1"/>
      <c r="AJC258" s="1"/>
      <c r="AJD258" s="1"/>
      <c r="AJE258" s="1"/>
      <c r="AJF258" s="1"/>
      <c r="AJG258" s="1"/>
      <c r="AJH258" s="1"/>
      <c r="AJI258" s="1"/>
      <c r="AJJ258" s="1"/>
      <c r="AJK258" s="1"/>
      <c r="AJL258" s="1"/>
      <c r="AJM258" s="1"/>
      <c r="AJN258" s="1"/>
      <c r="AJO258" s="1"/>
      <c r="AJP258" s="1"/>
      <c r="AJQ258" s="1"/>
      <c r="AJR258" s="1"/>
      <c r="AJS258" s="1"/>
      <c r="AJT258" s="1"/>
      <c r="AJU258" s="1"/>
      <c r="AJV258" s="1"/>
      <c r="AJW258" s="1"/>
      <c r="AJX258" s="1"/>
      <c r="AJY258" s="1"/>
      <c r="AJZ258" s="1"/>
      <c r="AKA258" s="1"/>
      <c r="AKB258" s="1"/>
      <c r="AKC258" s="1"/>
      <c r="AKD258" s="1"/>
      <c r="AKE258" s="1"/>
      <c r="AKF258" s="1"/>
      <c r="AKG258" s="1"/>
      <c r="AKH258" s="1"/>
      <c r="AKI258" s="1"/>
      <c r="AKJ258" s="1"/>
      <c r="AKK258" s="1"/>
      <c r="AKL258" s="1"/>
      <c r="AKM258" s="1"/>
      <c r="AKN258" s="1"/>
      <c r="AKO258" s="1"/>
      <c r="AKP258" s="1"/>
      <c r="AKQ258" s="1"/>
      <c r="AKR258" s="1"/>
      <c r="AKS258" s="1"/>
      <c r="AKT258" s="1"/>
      <c r="AKU258" s="1"/>
      <c r="AKV258" s="1"/>
      <c r="AKW258" s="1"/>
      <c r="AKX258" s="1"/>
      <c r="AKY258" s="1"/>
      <c r="AKZ258" s="1"/>
      <c r="ALA258" s="1"/>
      <c r="ALB258" s="1"/>
      <c r="ALC258" s="1"/>
      <c r="ALD258" s="1"/>
      <c r="ALE258" s="1"/>
      <c r="ALF258" s="1"/>
      <c r="ALG258" s="1"/>
      <c r="ALH258" s="1"/>
      <c r="ALI258" s="1"/>
      <c r="ALJ258" s="1"/>
      <c r="ALK258" s="1"/>
      <c r="ALL258" s="1"/>
      <c r="ALM258" s="1"/>
      <c r="ALN258" s="1"/>
      <c r="ALO258" s="1"/>
      <c r="ALP258" s="1"/>
      <c r="ALQ258" s="1"/>
      <c r="ALR258" s="1"/>
      <c r="ALS258" s="1"/>
      <c r="ALT258" s="1"/>
      <c r="ALU258" s="1"/>
      <c r="ALV258" s="1"/>
      <c r="ALW258" s="1"/>
      <c r="ALX258" s="1"/>
      <c r="ALY258" s="1"/>
      <c r="ALZ258" s="1"/>
      <c r="AMA258" s="1"/>
      <c r="AMB258" s="1"/>
      <c r="AMC258" s="1"/>
      <c r="AMD258" s="1"/>
      <c r="AME258" s="1"/>
      <c r="AMF258" s="1"/>
      <c r="AMG258" s="1"/>
      <c r="AMH258" s="1"/>
      <c r="AMI258" s="1"/>
      <c r="AMJ258" s="1"/>
      <c r="AMK258" s="1"/>
      <c r="AML258" s="1"/>
      <c r="AMM258" s="1"/>
      <c r="AMN258" s="1"/>
      <c r="AMO258" s="1"/>
    </row>
    <row r="259" spans="1:1029" s="12" customFormat="1" x14ac:dyDescent="0.2">
      <c r="A259" s="9" t="str">
        <f t="shared" ref="A259:A261" si="923">CONCATENATE(B259,"_",C259)</f>
        <v>pe2r3_human__wt</v>
      </c>
      <c r="B259" s="9" t="s">
        <v>363</v>
      </c>
      <c r="C259" s="9" t="s">
        <v>100</v>
      </c>
      <c r="D259" s="9" t="str">
        <f>IFERROR(MID(VLOOKUP($B259,Seqs!$A:$B,2,0),E259,1),"")</f>
        <v>V</v>
      </c>
      <c r="E259" s="9">
        <v>52</v>
      </c>
      <c r="F259" s="9" t="str">
        <f>IFERROR(MID(VLOOKUP($B259,Seqs!$A:$B,2,0),G259,1),"")</f>
        <v>R</v>
      </c>
      <c r="G259" s="9">
        <v>78</v>
      </c>
      <c r="H259" s="9" t="str">
        <f>IFERROR(MID(VLOOKUP($B259,Seqs!$A:$B,2,0),I259,1),"")</f>
        <v/>
      </c>
      <c r="I259" s="109" t="s">
        <v>23</v>
      </c>
      <c r="J259" s="9" t="str">
        <f>IFERROR(MID(VLOOKUP($B259,Seqs!$A:$B,2,0),K259,1),"")</f>
        <v/>
      </c>
      <c r="K259" s="109" t="s">
        <v>23</v>
      </c>
      <c r="L259" s="9" t="str">
        <f>IFERROR(MID(VLOOKUP($B259,Seqs!$A:$B,2,0),M259,1),"")</f>
        <v>K</v>
      </c>
      <c r="M259" s="9">
        <v>85</v>
      </c>
      <c r="N259" s="9" t="str">
        <f>IFERROR(MID(VLOOKUP($B259,Seqs!$A:$B,2,0),O259,1),"")</f>
        <v>K</v>
      </c>
      <c r="O259" s="9">
        <v>117</v>
      </c>
      <c r="P259" s="9" t="str">
        <f>IFERROR(MID(VLOOKUP($B259,Seqs!$A:$B,2,0),Q259,1),"")</f>
        <v>Q</v>
      </c>
      <c r="Q259" s="9">
        <v>118</v>
      </c>
      <c r="R259" s="9" t="str">
        <f>IFERROR(MID(VLOOKUP($B259,Seqs!$A:$B,2,0),S259,1),"")</f>
        <v>S</v>
      </c>
      <c r="S259" s="9">
        <v>126</v>
      </c>
      <c r="T259" s="9" t="str">
        <f>IFERROR(MID(VLOOKUP($B259,Seqs!$A:$B,2,0),U259,1),"")</f>
        <v>G</v>
      </c>
      <c r="U259" s="9">
        <v>127</v>
      </c>
      <c r="V259" s="9" t="str">
        <f>IFERROR(MID(VLOOKUP($B259,Seqs!$A:$B,2,0),W259,1),"")</f>
        <v>A</v>
      </c>
      <c r="W259" s="9">
        <v>161</v>
      </c>
      <c r="X259" s="9" t="str">
        <f>IFERROR(MID(VLOOKUP($B259,Seqs!$A:$B,2,0),Y259,1),"")</f>
        <v>P</v>
      </c>
      <c r="Y259" s="9">
        <v>162</v>
      </c>
      <c r="Z259" s="9" t="str">
        <f>IFERROR(MID(VLOOKUP($B259,Seqs!$A:$B,2,0),AA259,1),"")</f>
        <v>M</v>
      </c>
      <c r="AA259" s="9">
        <v>169</v>
      </c>
      <c r="AB259" s="9" t="str">
        <f>IFERROR(MID(VLOOKUP($B259,Seqs!$A:$B,2,0),AC259,1),"")</f>
        <v>K</v>
      </c>
      <c r="AC259" s="9">
        <v>170</v>
      </c>
      <c r="AD259" s="9" t="str">
        <f>IFERROR(MID(VLOOKUP($B259,Seqs!$A:$B,2,0),AE259,1),"")</f>
        <v>G</v>
      </c>
      <c r="AE259" s="9">
        <v>195</v>
      </c>
      <c r="AF259" s="9" t="str">
        <f>IFERROR(MID(VLOOKUP($B259,Seqs!$A:$B,2,0),AG259,1),"")</f>
        <v>C</v>
      </c>
      <c r="AG259" s="9">
        <v>208</v>
      </c>
      <c r="AH259" s="9" t="str">
        <f>IFERROR(MID(VLOOKUP($B259,Seqs!$A:$B,2,0),AI259,1),"")</f>
        <v>I</v>
      </c>
      <c r="AI259" s="9">
        <v>210</v>
      </c>
      <c r="AJ259" s="9" t="str">
        <f>IFERROR(MID(VLOOKUP($B259,Seqs!$A:$B,2,0),AK259,1),"")</f>
        <v>W</v>
      </c>
      <c r="AK259" s="9">
        <v>225</v>
      </c>
      <c r="AL259" s="9" t="str">
        <f>IFERROR(MID(VLOOKUP($B259,Seqs!$A:$B,2,0),AM259,1),"")</f>
        <v>T</v>
      </c>
      <c r="AM259" s="9">
        <v>265</v>
      </c>
      <c r="AN259" s="9" t="str">
        <f>IFERROR(MID(VLOOKUP($B259,Seqs!$A:$B,2,0),AO259,1),"")</f>
        <v>A</v>
      </c>
      <c r="AO259" s="9">
        <v>271</v>
      </c>
      <c r="AP259" s="9" t="str">
        <f>IFERROR(MID(VLOOKUP($B259,Seqs!$A:$B,2,0),AQ259,1),"")</f>
        <v>S</v>
      </c>
      <c r="AQ259" s="9">
        <v>311</v>
      </c>
      <c r="AR259" s="9" t="str">
        <f>IFERROR(MID(VLOOKUP($B259,Seqs!$A:$B,2,0),AS259,1),"")</f>
        <v>T</v>
      </c>
      <c r="AS259" s="9">
        <v>317</v>
      </c>
      <c r="AT259" s="9" t="str">
        <f>IFERROR(MID(VLOOKUP($B259,Seqs!$A:$B,2,0),AU259,1),"")</f>
        <v>Y</v>
      </c>
      <c r="AU259" s="9">
        <v>346</v>
      </c>
      <c r="AV259" s="9" t="str">
        <f>IFERROR(MID(VLOOKUP($B259,Seqs!$A:$B,2,0),AW259,1),"")</f>
        <v>L</v>
      </c>
      <c r="AW259" s="9">
        <v>347</v>
      </c>
      <c r="AX259" s="9" t="str">
        <f>IFERROR(MID(VLOOKUP($B259,Seqs!$A:$B,2,0),AY259,1),"")</f>
        <v>S</v>
      </c>
      <c r="AY259" s="9">
        <v>369</v>
      </c>
      <c r="AZ259" s="110" t="str">
        <f>VLOOKUP(B259,Classification!A:D,2,0)</f>
        <v>A</v>
      </c>
      <c r="BA259" s="98" t="str">
        <f>VLOOKUP(B259,Classification!A:D,4,0)</f>
        <v>Prostanoid</v>
      </c>
      <c r="BB259" s="36" t="b">
        <f t="shared" ref="BB259:BB261" si="924">AND(E259&lt;G259,OR(G259&lt;I259,I259="-"),OR(I259&lt;K259,I259="-"),OR(K259&lt;M259,K259="-"),M259&lt;O259,OR(O259&lt;Q259,Q259="-"),OR(Q259&lt;S259,Q259="-"),OR(S259&lt;U259,S259="-"),U259&lt;W259,OR(W259&lt;Y259,Y259="-"),OR(Y259&lt;AA259,Y259="-"),OR(AA259&lt;AC259,AA259="-"),AC259&lt;AE259,OR(AE259&lt;AG259,AG259="-"),OR(AG259&lt;AI259,AG259="-"),OR(AI259&lt;AK259,AI259="-"),AK259&lt;AM259,AM259&lt;AO259,AO259&lt;AQ259,AQ259&lt;AS259,AS259&lt;AU259,OR(AU259&lt;AW259,AW259="-"),OR(AW259&lt;AY259,AW259="-"))</f>
        <v>1</v>
      </c>
      <c r="BC259" s="109">
        <f t="shared" ref="BC259:BC261" si="925">_xlfn.AGGREGATE(9,6,CH259:CS259)-_xlfn.AGGREGATE(9,6,BV259:CG259)+12</f>
        <v>277</v>
      </c>
      <c r="BD259" s="40" t="s">
        <v>23</v>
      </c>
      <c r="BE259" s="9" t="s">
        <v>23</v>
      </c>
      <c r="BF259" s="120" t="s">
        <v>23</v>
      </c>
      <c r="BG259" s="51" t="s">
        <v>23</v>
      </c>
      <c r="BH259" s="51" t="s">
        <v>23</v>
      </c>
      <c r="BJ259" s="111" t="s">
        <v>1293</v>
      </c>
      <c r="BK259" s="112" t="s">
        <v>1293</v>
      </c>
      <c r="BL259" s="112" t="s">
        <v>1293</v>
      </c>
      <c r="BM259" s="112" t="s">
        <v>1293</v>
      </c>
      <c r="BN259" s="112" t="s">
        <v>1293</v>
      </c>
      <c r="BO259" s="112" t="s">
        <v>1293</v>
      </c>
      <c r="BP259" s="112" t="s">
        <v>1293</v>
      </c>
      <c r="BQ259" s="112" t="s">
        <v>1293</v>
      </c>
      <c r="BR259" s="112" t="s">
        <v>1293</v>
      </c>
      <c r="BS259" s="112" t="s">
        <v>1293</v>
      </c>
      <c r="BT259" s="112" t="s">
        <v>1293</v>
      </c>
      <c r="BU259" s="112" t="s">
        <v>1293</v>
      </c>
      <c r="BV259" s="111">
        <f t="shared" ref="BV259:BV261" si="926">E259</f>
        <v>52</v>
      </c>
      <c r="BW259" s="113" t="str">
        <f t="shared" ref="BW259:BW261" si="927">I259</f>
        <v>-</v>
      </c>
      <c r="BX259" s="114">
        <f t="shared" ref="BX259:BX261" si="928">M259</f>
        <v>85</v>
      </c>
      <c r="BY259" s="113">
        <f t="shared" ref="BY259:BY261" si="929">Q259</f>
        <v>118</v>
      </c>
      <c r="BZ259" s="114">
        <f t="shared" ref="BZ259:BZ261" si="930">U259</f>
        <v>127</v>
      </c>
      <c r="CA259" s="113">
        <f t="shared" ref="CA259:CA261" si="931">Y259</f>
        <v>162</v>
      </c>
      <c r="CB259" s="114">
        <f t="shared" ref="CB259:CB261" si="932">AC259</f>
        <v>170</v>
      </c>
      <c r="CC259" s="113">
        <f t="shared" ref="CC259:CC261" si="933">AG259</f>
        <v>208</v>
      </c>
      <c r="CD259" s="114">
        <f t="shared" ref="CD259:CD261" si="934">AK259</f>
        <v>225</v>
      </c>
      <c r="CE259" s="113">
        <f t="shared" ref="CE259:CE261" si="935">AO259</f>
        <v>271</v>
      </c>
      <c r="CF259" s="114">
        <f t="shared" ref="CF259:CF261" si="936">AS259</f>
        <v>317</v>
      </c>
      <c r="CG259" s="113">
        <f t="shared" ref="CG259:CG261" si="937">AW259</f>
        <v>347</v>
      </c>
      <c r="CH259" s="111">
        <f t="shared" ref="CH259:CH261" si="938">G259</f>
        <v>78</v>
      </c>
      <c r="CI259" s="113" t="str">
        <f t="shared" ref="CI259:CI261" si="939">K259</f>
        <v>-</v>
      </c>
      <c r="CJ259" s="114">
        <f t="shared" ref="CJ259:CJ261" si="940">O259</f>
        <v>117</v>
      </c>
      <c r="CK259" s="114">
        <f t="shared" ref="CK259:CK261" si="941">S259</f>
        <v>126</v>
      </c>
      <c r="CL259" s="114">
        <f t="shared" ref="CL259:CL261" si="942">W259</f>
        <v>161</v>
      </c>
      <c r="CM259" s="114">
        <f t="shared" ref="CM259:CM261" si="943">AA259</f>
        <v>169</v>
      </c>
      <c r="CN259" s="114">
        <f t="shared" ref="CN259:CN261" si="944">AE259</f>
        <v>195</v>
      </c>
      <c r="CO259" s="114">
        <f t="shared" ref="CO259:CO261" si="945">AI259</f>
        <v>210</v>
      </c>
      <c r="CP259" s="114">
        <f t="shared" ref="CP259:CP261" si="946">AM259</f>
        <v>265</v>
      </c>
      <c r="CQ259" s="114">
        <f t="shared" ref="CQ259:CQ261" si="947">AQ259</f>
        <v>311</v>
      </c>
      <c r="CR259" s="114">
        <f t="shared" ref="CR259:CR261" si="948">AU259</f>
        <v>346</v>
      </c>
      <c r="CS259" s="114">
        <f t="shared" ref="CS259:CS261" si="949">AY259</f>
        <v>369</v>
      </c>
      <c r="CT259" s="109" t="e">
        <f t="shared" ref="CT259:CT261" si="950">M259-K259</f>
        <v>#VALUE!</v>
      </c>
    </row>
    <row r="260" spans="1:1029" s="12" customFormat="1" x14ac:dyDescent="0.2">
      <c r="A260" s="9" t="str">
        <f t="shared" ref="A260" si="951">CONCATENATE(B260,"_",C260)</f>
        <v>pe2r3_human_6AK3</v>
      </c>
      <c r="B260" s="9" t="s">
        <v>363</v>
      </c>
      <c r="C260" s="9" t="s">
        <v>1563</v>
      </c>
      <c r="D260" s="9" t="str">
        <f>IFERROR(MID(VLOOKUP($B260,Seqs!$A:$B,2,0),E260,1),"")</f>
        <v>V</v>
      </c>
      <c r="E260" s="9">
        <v>52</v>
      </c>
      <c r="F260" s="9" t="str">
        <f>IFERROR(MID(VLOOKUP($B260,Seqs!$A:$B,2,0),G260,1),"")</f>
        <v>Y</v>
      </c>
      <c r="G260" s="9">
        <v>77</v>
      </c>
      <c r="H260" s="9" t="str">
        <f>IFERROR(MID(VLOOKUP($B260,Seqs!$A:$B,2,0),I260,1),"")</f>
        <v/>
      </c>
      <c r="I260" s="109" t="s">
        <v>23</v>
      </c>
      <c r="J260" s="9" t="str">
        <f>IFERROR(MID(VLOOKUP($B260,Seqs!$A:$B,2,0),K260,1),"")</f>
        <v/>
      </c>
      <c r="K260" s="109" t="s">
        <v>23</v>
      </c>
      <c r="L260" s="9" t="str">
        <f>IFERROR(MID(VLOOKUP($B260,Seqs!$A:$B,2,0),M260,1),"")</f>
        <v>K</v>
      </c>
      <c r="M260" s="9">
        <v>86</v>
      </c>
      <c r="N260" s="9" t="str">
        <f>IFERROR(MID(VLOOKUP($B260,Seqs!$A:$B,2,0),O260,1),"")</f>
        <v>K</v>
      </c>
      <c r="O260" s="9">
        <v>117</v>
      </c>
      <c r="P260" s="9" t="str">
        <f>IFERROR(MID(VLOOKUP($B260,Seqs!$A:$B,2,0),Q260,1),"")</f>
        <v/>
      </c>
      <c r="Q260" s="9" t="s">
        <v>23</v>
      </c>
      <c r="R260" s="9" t="str">
        <f>IFERROR(MID(VLOOKUP($B260,Seqs!$A:$B,2,0),S260,1),"")</f>
        <v/>
      </c>
      <c r="S260" s="9" t="s">
        <v>23</v>
      </c>
      <c r="T260" s="9" t="str">
        <f>IFERROR(MID(VLOOKUP($B260,Seqs!$A:$B,2,0),U260,1),"")</f>
        <v>G</v>
      </c>
      <c r="U260" s="9">
        <v>127</v>
      </c>
      <c r="V260" s="9" t="str">
        <f>IFERROR(MID(VLOOKUP($B260,Seqs!$A:$B,2,0),W260,1),"")</f>
        <v>A</v>
      </c>
      <c r="W260" s="9">
        <v>161</v>
      </c>
      <c r="X260" s="9" t="str">
        <f>IFERROR(MID(VLOOKUP($B260,Seqs!$A:$B,2,0),Y260,1),"")</f>
        <v>P</v>
      </c>
      <c r="Y260" s="9">
        <v>162</v>
      </c>
      <c r="Z260" s="9" t="str">
        <f>IFERROR(MID(VLOOKUP($B260,Seqs!$A:$B,2,0),AA260,1),"")</f>
        <v>M</v>
      </c>
      <c r="AA260" s="9">
        <v>169</v>
      </c>
      <c r="AB260" s="9" t="str">
        <f>IFERROR(MID(VLOOKUP($B260,Seqs!$A:$B,2,0),AC260,1),"")</f>
        <v>K</v>
      </c>
      <c r="AC260" s="9">
        <v>170</v>
      </c>
      <c r="AD260" s="9" t="str">
        <f>IFERROR(MID(VLOOKUP($B260,Seqs!$A:$B,2,0),AE260,1),"")</f>
        <v>G</v>
      </c>
      <c r="AE260" s="9">
        <v>195</v>
      </c>
      <c r="AF260" s="9" t="str">
        <f>IFERROR(MID(VLOOKUP($B260,Seqs!$A:$B,2,0),AG260,1),"")</f>
        <v>C</v>
      </c>
      <c r="AG260" s="9">
        <v>208</v>
      </c>
      <c r="AH260" s="9" t="str">
        <f>IFERROR(MID(VLOOKUP($B260,Seqs!$A:$B,2,0),AI260,1),"")</f>
        <v>I</v>
      </c>
      <c r="AI260" s="9">
        <v>210</v>
      </c>
      <c r="AJ260" s="9" t="str">
        <f>IFERROR(MID(VLOOKUP($B260,Seqs!$A:$B,2,0),AK260,1),"")</f>
        <v>G</v>
      </c>
      <c r="AK260" s="9">
        <v>226</v>
      </c>
      <c r="AL260" s="9" t="str">
        <f>IFERROR(MID(VLOOKUP($B260,Seqs!$A:$B,2,0),AM260,1),"")</f>
        <v>A</v>
      </c>
      <c r="AM260" s="9">
        <v>264</v>
      </c>
      <c r="AN260" s="9" t="str">
        <f>IFERROR(MID(VLOOKUP($B260,Seqs!$A:$B,2,0),AO260,1),"")</f>
        <v>A</v>
      </c>
      <c r="AO260" s="9">
        <v>271</v>
      </c>
      <c r="AP260" s="9" t="str">
        <f>IFERROR(MID(VLOOKUP($B260,Seqs!$A:$B,2,0),AQ260,1),"")</f>
        <v>F</v>
      </c>
      <c r="AQ260" s="9">
        <v>307</v>
      </c>
      <c r="AR260" s="9" t="str">
        <f>IFERROR(MID(VLOOKUP($B260,Seqs!$A:$B,2,0),AS260,1),"")</f>
        <v>K</v>
      </c>
      <c r="AS260" s="9">
        <v>323</v>
      </c>
      <c r="AT260" s="9" t="str">
        <f>IFERROR(MID(VLOOKUP($B260,Seqs!$A:$B,2,0),AU260,1),"")</f>
        <v>Y</v>
      </c>
      <c r="AU260" s="9">
        <v>346</v>
      </c>
      <c r="AV260" s="9" t="str">
        <f>IFERROR(MID(VLOOKUP($B260,Seqs!$A:$B,2,0),AW260,1),"")</f>
        <v>L</v>
      </c>
      <c r="AW260" s="9">
        <v>347</v>
      </c>
      <c r="AX260" s="9" t="str">
        <f>IFERROR(MID(VLOOKUP($B260,Seqs!$A:$B,2,0),AY260,1),"")</f>
        <v>L</v>
      </c>
      <c r="AY260" s="9">
        <v>353</v>
      </c>
      <c r="AZ260" s="110" t="str">
        <f>VLOOKUP(B260,Classification!A:D,2,0)</f>
        <v>A</v>
      </c>
      <c r="BA260" s="98" t="str">
        <f>VLOOKUP(B260,Classification!A:D,4,0)</f>
        <v>Prostanoid</v>
      </c>
      <c r="BB260" s="36" t="b">
        <f t="shared" ref="BB260" si="952">AND(E260&lt;G260,OR(G260&lt;I260,I260="-"),OR(I260&lt;K260,I260="-"),OR(K260&lt;M260,K260="-"),M260&lt;O260,OR(O260&lt;Q260,Q260="-"),OR(Q260&lt;S260,Q260="-"),OR(S260&lt;U260,S260="-"),U260&lt;W260,OR(W260&lt;Y260,Y260="-"),OR(Y260&lt;AA260,Y260="-"),OR(AA260&lt;AC260,AA260="-"),AC260&lt;AE260,OR(AE260&lt;AG260,AG260="-"),OR(AG260&lt;AI260,AG260="-"),OR(AI260&lt;AK260,AI260="-"),AK260&lt;AM260,AM260&lt;AO260,AO260&lt;AQ260,AQ260&lt;AS260,AS260&lt;AU260,OR(AU260&lt;AW260,AW260="-"),OR(AW260&lt;AY260,AW260="-"))</f>
        <v>1</v>
      </c>
      <c r="BC260" s="109">
        <f t="shared" ref="BC260" si="953">_xlfn.AGGREGATE(9,6,CH260:CS260)-_xlfn.AGGREGATE(9,6,BV260:CG260)+12</f>
        <v>239</v>
      </c>
      <c r="BD260" s="40" t="s">
        <v>1382</v>
      </c>
      <c r="BE260" s="9" t="s">
        <v>1297</v>
      </c>
      <c r="BF260" s="120">
        <v>2.9</v>
      </c>
      <c r="BG260" s="51" t="s">
        <v>1287</v>
      </c>
      <c r="BH260" s="51" t="s">
        <v>1287</v>
      </c>
      <c r="BJ260" s="111" t="s">
        <v>1293</v>
      </c>
      <c r="BK260" s="112" t="s">
        <v>1293</v>
      </c>
      <c r="BL260" s="112" t="s">
        <v>1293</v>
      </c>
      <c r="BM260" s="112" t="s">
        <v>1293</v>
      </c>
      <c r="BN260" s="112" t="s">
        <v>1293</v>
      </c>
      <c r="BO260" s="112" t="s">
        <v>1293</v>
      </c>
      <c r="BP260" s="112" t="s">
        <v>1293</v>
      </c>
      <c r="BQ260" s="112" t="s">
        <v>1293</v>
      </c>
      <c r="BR260" s="112" t="s">
        <v>1293</v>
      </c>
      <c r="BS260" s="112" t="s">
        <v>1293</v>
      </c>
      <c r="BT260" s="112" t="s">
        <v>1293</v>
      </c>
      <c r="BU260" s="112" t="s">
        <v>1293</v>
      </c>
      <c r="BV260" s="111">
        <f t="shared" ref="BV260" si="954">E260</f>
        <v>52</v>
      </c>
      <c r="BW260" s="113" t="str">
        <f t="shared" ref="BW260" si="955">I260</f>
        <v>-</v>
      </c>
      <c r="BX260" s="114">
        <f t="shared" ref="BX260" si="956">M260</f>
        <v>86</v>
      </c>
      <c r="BY260" s="113" t="str">
        <f t="shared" ref="BY260" si="957">Q260</f>
        <v>-</v>
      </c>
      <c r="BZ260" s="114">
        <f t="shared" ref="BZ260" si="958">U260</f>
        <v>127</v>
      </c>
      <c r="CA260" s="113">
        <f t="shared" ref="CA260" si="959">Y260</f>
        <v>162</v>
      </c>
      <c r="CB260" s="114">
        <f t="shared" ref="CB260" si="960">AC260</f>
        <v>170</v>
      </c>
      <c r="CC260" s="113">
        <f t="shared" ref="CC260" si="961">AG260</f>
        <v>208</v>
      </c>
      <c r="CD260" s="114">
        <f t="shared" ref="CD260" si="962">AK260</f>
        <v>226</v>
      </c>
      <c r="CE260" s="113">
        <f t="shared" ref="CE260" si="963">AO260</f>
        <v>271</v>
      </c>
      <c r="CF260" s="114">
        <f t="shared" ref="CF260" si="964">AS260</f>
        <v>323</v>
      </c>
      <c r="CG260" s="113">
        <f t="shared" ref="CG260" si="965">AW260</f>
        <v>347</v>
      </c>
      <c r="CH260" s="111">
        <f t="shared" ref="CH260" si="966">G260</f>
        <v>77</v>
      </c>
      <c r="CI260" s="113" t="str">
        <f t="shared" ref="CI260" si="967">K260</f>
        <v>-</v>
      </c>
      <c r="CJ260" s="114">
        <f t="shared" ref="CJ260" si="968">O260</f>
        <v>117</v>
      </c>
      <c r="CK260" s="114" t="str">
        <f t="shared" ref="CK260" si="969">S260</f>
        <v>-</v>
      </c>
      <c r="CL260" s="114">
        <f t="shared" ref="CL260" si="970">W260</f>
        <v>161</v>
      </c>
      <c r="CM260" s="114">
        <f t="shared" ref="CM260" si="971">AA260</f>
        <v>169</v>
      </c>
      <c r="CN260" s="114">
        <f t="shared" ref="CN260" si="972">AE260</f>
        <v>195</v>
      </c>
      <c r="CO260" s="114">
        <f t="shared" ref="CO260" si="973">AI260</f>
        <v>210</v>
      </c>
      <c r="CP260" s="114">
        <f t="shared" ref="CP260" si="974">AM260</f>
        <v>264</v>
      </c>
      <c r="CQ260" s="114">
        <f t="shared" ref="CQ260" si="975">AQ260</f>
        <v>307</v>
      </c>
      <c r="CR260" s="114">
        <f t="shared" ref="CR260" si="976">AU260</f>
        <v>346</v>
      </c>
      <c r="CS260" s="114">
        <f t="shared" ref="CS260" si="977">AY260</f>
        <v>353</v>
      </c>
      <c r="CT260" s="109" t="e">
        <f t="shared" ref="CT260" si="978">M260-K260</f>
        <v>#VALUE!</v>
      </c>
    </row>
    <row r="261" spans="1:1029" s="12" customFormat="1" x14ac:dyDescent="0.2">
      <c r="A261" s="9" t="str">
        <f t="shared" si="923"/>
        <v>pe2r3_human_6M9T</v>
      </c>
      <c r="B261" s="9" t="s">
        <v>363</v>
      </c>
      <c r="C261" s="9" t="s">
        <v>1562</v>
      </c>
      <c r="D261" s="9" t="str">
        <f>IFERROR(MID(VLOOKUP($B261,Seqs!$A:$B,2,0),E261,1),"")</f>
        <v>V</v>
      </c>
      <c r="E261" s="9">
        <v>52</v>
      </c>
      <c r="F261" s="9" t="str">
        <f>IFERROR(MID(VLOOKUP($B261,Seqs!$A:$B,2,0),G261,1),"")</f>
        <v>R</v>
      </c>
      <c r="G261" s="9">
        <v>78</v>
      </c>
      <c r="H261" s="9" t="str">
        <f>IFERROR(MID(VLOOKUP($B261,Seqs!$A:$B,2,0),I261,1),"")</f>
        <v/>
      </c>
      <c r="I261" s="109" t="s">
        <v>23</v>
      </c>
      <c r="J261" s="9" t="str">
        <f>IFERROR(MID(VLOOKUP($B261,Seqs!$A:$B,2,0),K261,1),"")</f>
        <v/>
      </c>
      <c r="K261" s="109" t="s">
        <v>23</v>
      </c>
      <c r="L261" s="9" t="str">
        <f>IFERROR(MID(VLOOKUP($B261,Seqs!$A:$B,2,0),M261,1),"")</f>
        <v>K</v>
      </c>
      <c r="M261" s="9">
        <v>85</v>
      </c>
      <c r="N261" s="9" t="str">
        <f>IFERROR(MID(VLOOKUP($B261,Seqs!$A:$B,2,0),O261,1),"")</f>
        <v>K</v>
      </c>
      <c r="O261" s="9">
        <v>117</v>
      </c>
      <c r="P261" s="9" t="str">
        <f>IFERROR(MID(VLOOKUP($B261,Seqs!$A:$B,2,0),Q261,1),"")</f>
        <v>Q</v>
      </c>
      <c r="Q261" s="9">
        <v>118</v>
      </c>
      <c r="R261" s="9" t="str">
        <f>IFERROR(MID(VLOOKUP($B261,Seqs!$A:$B,2,0),S261,1),"")</f>
        <v>S</v>
      </c>
      <c r="S261" s="9">
        <v>126</v>
      </c>
      <c r="T261" s="9" t="str">
        <f>IFERROR(MID(VLOOKUP($B261,Seqs!$A:$B,2,0),U261,1),"")</f>
        <v>G</v>
      </c>
      <c r="U261" s="9">
        <v>127</v>
      </c>
      <c r="V261" s="9" t="str">
        <f>IFERROR(MID(VLOOKUP($B261,Seqs!$A:$B,2,0),W261,1),"")</f>
        <v>A</v>
      </c>
      <c r="W261" s="9">
        <v>161</v>
      </c>
      <c r="X261" s="9" t="str">
        <f>IFERROR(MID(VLOOKUP($B261,Seqs!$A:$B,2,0),Y261,1),"")</f>
        <v>P</v>
      </c>
      <c r="Y261" s="9">
        <v>162</v>
      </c>
      <c r="Z261" s="9" t="str">
        <f>IFERROR(MID(VLOOKUP($B261,Seqs!$A:$B,2,0),AA261,1),"")</f>
        <v>M</v>
      </c>
      <c r="AA261" s="9">
        <v>169</v>
      </c>
      <c r="AB261" s="9" t="str">
        <f>IFERROR(MID(VLOOKUP($B261,Seqs!$A:$B,2,0),AC261,1),"")</f>
        <v>K</v>
      </c>
      <c r="AC261" s="9">
        <v>170</v>
      </c>
      <c r="AD261" s="9" t="str">
        <f>IFERROR(MID(VLOOKUP($B261,Seqs!$A:$B,2,0),AE261,1),"")</f>
        <v>G</v>
      </c>
      <c r="AE261" s="9">
        <v>195</v>
      </c>
      <c r="AF261" s="9" t="str">
        <f>IFERROR(MID(VLOOKUP($B261,Seqs!$A:$B,2,0),AG261,1),"")</f>
        <v>C</v>
      </c>
      <c r="AG261" s="9">
        <v>208</v>
      </c>
      <c r="AH261" s="9" t="str">
        <f>IFERROR(MID(VLOOKUP($B261,Seqs!$A:$B,2,0),AI261,1),"")</f>
        <v>I</v>
      </c>
      <c r="AI261" s="9">
        <v>210</v>
      </c>
      <c r="AJ261" s="9" t="str">
        <f>IFERROR(MID(VLOOKUP($B261,Seqs!$A:$B,2,0),AK261,1),"")</f>
        <v>W</v>
      </c>
      <c r="AK261" s="9">
        <v>225</v>
      </c>
      <c r="AL261" s="9" t="str">
        <f>IFERROR(MID(VLOOKUP($B261,Seqs!$A:$B,2,0),AM261,1),"")</f>
        <v>S</v>
      </c>
      <c r="AM261" s="9">
        <v>258</v>
      </c>
      <c r="AN261" s="9" t="str">
        <f>IFERROR(MID(VLOOKUP($B261,Seqs!$A:$B,2,0),AO261,1),"")</f>
        <v>R</v>
      </c>
      <c r="AO261" s="9">
        <v>275</v>
      </c>
      <c r="AP261" s="9" t="str">
        <f>IFERROR(MID(VLOOKUP($B261,Seqs!$A:$B,2,0),AQ261,1),"")</f>
        <v>F</v>
      </c>
      <c r="AQ261" s="9">
        <v>307</v>
      </c>
      <c r="AR261" s="9" t="str">
        <f>IFERROR(MID(VLOOKUP($B261,Seqs!$A:$B,2,0),AS261,1),"")</f>
        <v>K</v>
      </c>
      <c r="AS261" s="9">
        <v>323</v>
      </c>
      <c r="AT261" s="9" t="str">
        <f>IFERROR(MID(VLOOKUP($B261,Seqs!$A:$B,2,0),AU261,1),"")</f>
        <v>Y</v>
      </c>
      <c r="AU261" s="9">
        <v>346</v>
      </c>
      <c r="AV261" s="9" t="str">
        <f>IFERROR(MID(VLOOKUP($B261,Seqs!$A:$B,2,0),AW261,1),"")</f>
        <v>L</v>
      </c>
      <c r="AW261" s="9">
        <v>347</v>
      </c>
      <c r="AX261" s="9" t="str">
        <f>IFERROR(MID(VLOOKUP($B261,Seqs!$A:$B,2,0),AY261,1),"")</f>
        <v>L</v>
      </c>
      <c r="AY261" s="9">
        <v>353</v>
      </c>
      <c r="AZ261" s="110" t="str">
        <f>VLOOKUP(B261,Classification!A:D,2,0)</f>
        <v>A</v>
      </c>
      <c r="BA261" s="98" t="str">
        <f>VLOOKUP(B261,Classification!A:D,4,0)</f>
        <v>Prostanoid</v>
      </c>
      <c r="BB261" s="36" t="b">
        <f t="shared" si="924"/>
        <v>1</v>
      </c>
      <c r="BC261" s="109">
        <f t="shared" si="925"/>
        <v>240</v>
      </c>
      <c r="BD261" s="40" t="s">
        <v>1440</v>
      </c>
      <c r="BE261" s="9" t="s">
        <v>1484</v>
      </c>
      <c r="BF261" s="120">
        <v>2.5</v>
      </c>
      <c r="BG261" s="51" t="s">
        <v>1</v>
      </c>
      <c r="BH261" s="51" t="s">
        <v>1</v>
      </c>
      <c r="BJ261" s="111" t="s">
        <v>1293</v>
      </c>
      <c r="BK261" s="112" t="s">
        <v>1293</v>
      </c>
      <c r="BL261" s="112" t="s">
        <v>1293</v>
      </c>
      <c r="BM261" s="112" t="s">
        <v>1293</v>
      </c>
      <c r="BN261" s="112" t="s">
        <v>1293</v>
      </c>
      <c r="BO261" s="112" t="s">
        <v>1293</v>
      </c>
      <c r="BP261" s="112" t="s">
        <v>1293</v>
      </c>
      <c r="BQ261" s="112" t="s">
        <v>1293</v>
      </c>
      <c r="BR261" s="112" t="s">
        <v>1293</v>
      </c>
      <c r="BS261" s="112" t="s">
        <v>1293</v>
      </c>
      <c r="BT261" s="112" t="s">
        <v>1293</v>
      </c>
      <c r="BU261" s="112" t="s">
        <v>1293</v>
      </c>
      <c r="BV261" s="111">
        <f t="shared" si="926"/>
        <v>52</v>
      </c>
      <c r="BW261" s="113" t="str">
        <f t="shared" si="927"/>
        <v>-</v>
      </c>
      <c r="BX261" s="114">
        <f t="shared" si="928"/>
        <v>85</v>
      </c>
      <c r="BY261" s="113">
        <f t="shared" si="929"/>
        <v>118</v>
      </c>
      <c r="BZ261" s="114">
        <f t="shared" si="930"/>
        <v>127</v>
      </c>
      <c r="CA261" s="113">
        <f t="shared" si="931"/>
        <v>162</v>
      </c>
      <c r="CB261" s="114">
        <f t="shared" si="932"/>
        <v>170</v>
      </c>
      <c r="CC261" s="113">
        <f t="shared" si="933"/>
        <v>208</v>
      </c>
      <c r="CD261" s="114">
        <f t="shared" si="934"/>
        <v>225</v>
      </c>
      <c r="CE261" s="113">
        <f t="shared" si="935"/>
        <v>275</v>
      </c>
      <c r="CF261" s="114">
        <f t="shared" si="936"/>
        <v>323</v>
      </c>
      <c r="CG261" s="113">
        <f t="shared" si="937"/>
        <v>347</v>
      </c>
      <c r="CH261" s="111">
        <f t="shared" si="938"/>
        <v>78</v>
      </c>
      <c r="CI261" s="113" t="str">
        <f t="shared" si="939"/>
        <v>-</v>
      </c>
      <c r="CJ261" s="114">
        <f t="shared" si="940"/>
        <v>117</v>
      </c>
      <c r="CK261" s="114">
        <f t="shared" si="941"/>
        <v>126</v>
      </c>
      <c r="CL261" s="114">
        <f t="shared" si="942"/>
        <v>161</v>
      </c>
      <c r="CM261" s="114">
        <f t="shared" si="943"/>
        <v>169</v>
      </c>
      <c r="CN261" s="114">
        <f t="shared" si="944"/>
        <v>195</v>
      </c>
      <c r="CO261" s="114">
        <f t="shared" si="945"/>
        <v>210</v>
      </c>
      <c r="CP261" s="114">
        <f t="shared" si="946"/>
        <v>258</v>
      </c>
      <c r="CQ261" s="114">
        <f t="shared" si="947"/>
        <v>307</v>
      </c>
      <c r="CR261" s="114">
        <f t="shared" si="948"/>
        <v>346</v>
      </c>
      <c r="CS261" s="114">
        <f t="shared" si="949"/>
        <v>353</v>
      </c>
      <c r="CT261" s="109" t="e">
        <f t="shared" si="950"/>
        <v>#VALUE!</v>
      </c>
    </row>
    <row r="262" spans="1:1029" x14ac:dyDescent="0.2">
      <c r="A262" s="9" t="str">
        <f t="shared" ref="A262" si="979">CONCATENATE(B262,"_",C262)</f>
        <v>pe2r4_human__wt</v>
      </c>
      <c r="B262" s="9" t="s">
        <v>364</v>
      </c>
      <c r="C262" s="9" t="s">
        <v>100</v>
      </c>
      <c r="D262" s="9" t="str">
        <f>IFERROR(MID(VLOOKUP($B262,Seqs!$A:$B,2,0),E262,1),"")</f>
        <v>N</v>
      </c>
      <c r="E262" s="9">
        <v>18</v>
      </c>
      <c r="F262" s="9" t="str">
        <f>IFERROR(MID(VLOOKUP($B262,Seqs!$A:$B,2,0),G262,1),"")</f>
        <v>C</v>
      </c>
      <c r="G262" s="9">
        <v>43</v>
      </c>
      <c r="H262" s="9" t="str">
        <f>IFERROR(MID(VLOOKUP($B262,Seqs!$A:$B,2,0),I262,1),"")</f>
        <v/>
      </c>
      <c r="I262" s="109" t="s">
        <v>23</v>
      </c>
      <c r="J262" s="9" t="str">
        <f>IFERROR(MID(VLOOKUP($B262,Seqs!$A:$B,2,0),K262,1),"")</f>
        <v/>
      </c>
      <c r="K262" s="109" t="s">
        <v>23</v>
      </c>
      <c r="L262" s="9" t="str">
        <f>IFERROR(MID(VLOOKUP($B262,Seqs!$A:$B,2,0),M262,1),"")</f>
        <v>E</v>
      </c>
      <c r="M262" s="9">
        <v>51</v>
      </c>
      <c r="N262" s="9" t="str">
        <f>IFERROR(MID(VLOOKUP($B262,Seqs!$A:$B,2,0),O262,1),"")</f>
        <v>K</v>
      </c>
      <c r="O262" s="9">
        <v>82</v>
      </c>
      <c r="P262" s="9" t="str">
        <f>IFERROR(MID(VLOOKUP($B262,Seqs!$A:$B,2,0),Q262,1),"")</f>
        <v/>
      </c>
      <c r="Q262" s="9" t="s">
        <v>23</v>
      </c>
      <c r="R262" s="9" t="str">
        <f>IFERROR(MID(VLOOKUP($B262,Seqs!$A:$B,2,0),S262,1),"")</f>
        <v/>
      </c>
      <c r="S262" s="9" t="s">
        <v>23</v>
      </c>
      <c r="T262" s="9" t="str">
        <f>IFERROR(MID(VLOOKUP($B262,Seqs!$A:$B,2,0),U262,1),"")</f>
        <v>G</v>
      </c>
      <c r="U262" s="9">
        <v>88</v>
      </c>
      <c r="V262" s="9" t="str">
        <f>IFERROR(MID(VLOOKUP($B262,Seqs!$A:$B,2,0),W262,1),"")</f>
        <v>H</v>
      </c>
      <c r="W262" s="9">
        <v>123</v>
      </c>
      <c r="X262" s="9" t="str">
        <f>IFERROR(MID(VLOOKUP($B262,Seqs!$A:$B,2,0),Y262,1),"")</f>
        <v>A</v>
      </c>
      <c r="Y262" s="9">
        <v>124</v>
      </c>
      <c r="Z262" s="9" t="str">
        <f>IFERROR(MID(VLOOKUP($B262,Seqs!$A:$B,2,0),AA262,1),"")</f>
        <v>V</v>
      </c>
      <c r="AA262" s="9">
        <v>131</v>
      </c>
      <c r="AB262" s="9" t="str">
        <f>IFERROR(MID(VLOOKUP($B262,Seqs!$A:$B,2,0),AC262,1),"")</f>
        <v>D</v>
      </c>
      <c r="AC262" s="9">
        <v>132</v>
      </c>
      <c r="AD262" s="9" t="str">
        <f>IFERROR(MID(VLOOKUP($B262,Seqs!$A:$B,2,0),AE262,1),"")</f>
        <v>G</v>
      </c>
      <c r="AE262" s="9">
        <v>157</v>
      </c>
      <c r="AF262" s="9" t="str">
        <f>IFERROR(MID(VLOOKUP($B262,Seqs!$A:$B,2,0),AG262,1),"")</f>
        <v>C</v>
      </c>
      <c r="AG262" s="9">
        <v>170</v>
      </c>
      <c r="AH262" s="9" t="str">
        <f>IFERROR(MID(VLOOKUP($B262,Seqs!$A:$B,2,0),AI262,1),"")</f>
        <v>I</v>
      </c>
      <c r="AI262" s="9">
        <v>172</v>
      </c>
      <c r="AJ262" s="9" t="str">
        <f>IFERROR(MID(VLOOKUP($B262,Seqs!$A:$B,2,0),AK262,1),"")</f>
        <v>V</v>
      </c>
      <c r="AK262" s="9">
        <v>178</v>
      </c>
      <c r="AL262" s="9" t="str">
        <f>IFERROR(MID(VLOOKUP($B262,Seqs!$A:$B,2,0),AM262,1),"")</f>
        <v>L</v>
      </c>
      <c r="AM262" s="9">
        <v>223</v>
      </c>
      <c r="AN262" s="9" t="str">
        <f>IFERROR(MID(VLOOKUP($B262,Seqs!$A:$B,2,0),AO262,1),"")</f>
        <v>R</v>
      </c>
      <c r="AO262" s="9">
        <v>261</v>
      </c>
      <c r="AP262" s="9" t="str">
        <f>IFERROR(MID(VLOOKUP($B262,Seqs!$A:$B,2,0),AQ262,1),"")</f>
        <v>Y</v>
      </c>
      <c r="AQ262" s="9">
        <v>298</v>
      </c>
      <c r="AR262" s="9" t="str">
        <f>IFERROR(MID(VLOOKUP($B262,Seqs!$A:$B,2,0),AS262,1),"")</f>
        <v>N</v>
      </c>
      <c r="AS262" s="9">
        <v>309</v>
      </c>
      <c r="AT262" s="9" t="str">
        <f>IFERROR(MID(VLOOKUP($B262,Seqs!$A:$B,2,0),AU262,1),"")</f>
        <v>L</v>
      </c>
      <c r="AU262" s="9">
        <v>332</v>
      </c>
      <c r="AV262" s="9" t="str">
        <f>IFERROR(MID(VLOOKUP($B262,Seqs!$A:$B,2,0),AW262,1),"")</f>
        <v>R</v>
      </c>
      <c r="AW262" s="9">
        <v>333</v>
      </c>
      <c r="AX262" s="9" t="str">
        <f>IFERROR(MID(VLOOKUP($B262,Seqs!$A:$B,2,0),AY262,1),"")</f>
        <v>C</v>
      </c>
      <c r="AY262" s="9">
        <v>346</v>
      </c>
      <c r="AZ262" s="110" t="str">
        <f>VLOOKUP(B262,Classification!A:D,2,0)</f>
        <v>A</v>
      </c>
      <c r="BA262" s="98" t="str">
        <f>VLOOKUP(B262,Classification!A:D,4,0)</f>
        <v>Prostanoid</v>
      </c>
      <c r="BB262" s="36" t="b">
        <f t="shared" ref="BB262" si="980">AND(E262&lt;G262,OR(G262&lt;I262,I262="-"),OR(I262&lt;K262,I262="-"),OR(K262&lt;M262,K262="-"),M262&lt;O262,OR(O262&lt;Q262,Q262="-"),OR(Q262&lt;S262,Q262="-"),OR(S262&lt;U262,S262="-"),U262&lt;W262,OR(W262&lt;Y262,Y262="-"),OR(Y262&lt;AA262,Y262="-"),OR(AA262&lt;AC262,AA262="-"),AC262&lt;AE262,OR(AE262&lt;AG262,AG262="-"),OR(AG262&lt;AI262,AG262="-"),OR(AI262&lt;AK262,AI262="-"),AK262&lt;AM262,AM262&lt;AO262,AO262&lt;AQ262,AQ262&lt;AS262,AS262&lt;AU262,OR(AU262&lt;AW262,AW262="-"),OR(AW262&lt;AY262,AW262="-"))</f>
        <v>1</v>
      </c>
      <c r="BC262" s="109">
        <f t="shared" ref="BC262" si="981">_xlfn.AGGREGATE(9,6,CH262:CS262)-_xlfn.AGGREGATE(9,6,BV262:CG262)+12</f>
        <v>255</v>
      </c>
      <c r="BD262" s="40" t="s">
        <v>23</v>
      </c>
      <c r="BE262" s="9" t="s">
        <v>23</v>
      </c>
      <c r="BF262" s="120" t="s">
        <v>23</v>
      </c>
      <c r="BG262" s="51" t="s">
        <v>23</v>
      </c>
      <c r="BH262" s="51" t="s">
        <v>23</v>
      </c>
      <c r="BI262" s="12"/>
      <c r="BJ262" s="111" t="s">
        <v>1293</v>
      </c>
      <c r="BK262" s="112" t="s">
        <v>1293</v>
      </c>
      <c r="BL262" s="112" t="s">
        <v>1293</v>
      </c>
      <c r="BM262" s="112" t="s">
        <v>1293</v>
      </c>
      <c r="BN262" s="112" t="s">
        <v>1293</v>
      </c>
      <c r="BO262" s="112" t="s">
        <v>1293</v>
      </c>
      <c r="BP262" s="112" t="s">
        <v>1293</v>
      </c>
      <c r="BQ262" s="112" t="s">
        <v>1293</v>
      </c>
      <c r="BR262" s="112" t="s">
        <v>1293</v>
      </c>
      <c r="BS262" s="112" t="s">
        <v>1293</v>
      </c>
      <c r="BT262" s="112" t="s">
        <v>1293</v>
      </c>
      <c r="BU262" s="112" t="s">
        <v>1293</v>
      </c>
      <c r="BV262" s="111">
        <f t="shared" ref="BV262" si="982">E262</f>
        <v>18</v>
      </c>
      <c r="BW262" s="113" t="str">
        <f t="shared" ref="BW262" si="983">I262</f>
        <v>-</v>
      </c>
      <c r="BX262" s="114">
        <f t="shared" ref="BX262" si="984">M262</f>
        <v>51</v>
      </c>
      <c r="BY262" s="113" t="str">
        <f t="shared" ref="BY262" si="985">Q262</f>
        <v>-</v>
      </c>
      <c r="BZ262" s="114">
        <f t="shared" ref="BZ262" si="986">U262</f>
        <v>88</v>
      </c>
      <c r="CA262" s="113">
        <f t="shared" ref="CA262" si="987">Y262</f>
        <v>124</v>
      </c>
      <c r="CB262" s="114">
        <f t="shared" ref="CB262" si="988">AC262</f>
        <v>132</v>
      </c>
      <c r="CC262" s="113">
        <f t="shared" ref="CC262" si="989">AG262</f>
        <v>170</v>
      </c>
      <c r="CD262" s="114">
        <f t="shared" ref="CD262" si="990">AK262</f>
        <v>178</v>
      </c>
      <c r="CE262" s="113">
        <f t="shared" ref="CE262" si="991">AO262</f>
        <v>261</v>
      </c>
      <c r="CF262" s="114">
        <f t="shared" ref="CF262" si="992">AS262</f>
        <v>309</v>
      </c>
      <c r="CG262" s="113">
        <f t="shared" ref="CG262" si="993">AW262</f>
        <v>333</v>
      </c>
      <c r="CH262" s="111">
        <f t="shared" ref="CH262" si="994">G262</f>
        <v>43</v>
      </c>
      <c r="CI262" s="113" t="str">
        <f t="shared" ref="CI262" si="995">K262</f>
        <v>-</v>
      </c>
      <c r="CJ262" s="114">
        <f t="shared" ref="CJ262" si="996">O262</f>
        <v>82</v>
      </c>
      <c r="CK262" s="114" t="str">
        <f t="shared" ref="CK262" si="997">S262</f>
        <v>-</v>
      </c>
      <c r="CL262" s="114">
        <f t="shared" ref="CL262" si="998">W262</f>
        <v>123</v>
      </c>
      <c r="CM262" s="114">
        <f t="shared" ref="CM262" si="999">AA262</f>
        <v>131</v>
      </c>
      <c r="CN262" s="114">
        <f t="shared" ref="CN262" si="1000">AE262</f>
        <v>157</v>
      </c>
      <c r="CO262" s="114">
        <f t="shared" ref="CO262" si="1001">AI262</f>
        <v>172</v>
      </c>
      <c r="CP262" s="114">
        <f t="shared" ref="CP262" si="1002">AM262</f>
        <v>223</v>
      </c>
      <c r="CQ262" s="114">
        <f t="shared" ref="CQ262" si="1003">AQ262</f>
        <v>298</v>
      </c>
      <c r="CR262" s="114">
        <f t="shared" ref="CR262" si="1004">AU262</f>
        <v>332</v>
      </c>
      <c r="CS262" s="114">
        <f t="shared" ref="CS262" si="1005">AY262</f>
        <v>346</v>
      </c>
      <c r="CT262" s="109" t="e">
        <f t="shared" ref="CT262" si="1006">M262-K262</f>
        <v>#VALUE!</v>
      </c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  <c r="OK262" s="1"/>
      <c r="OL262" s="1"/>
      <c r="OM262" s="1"/>
      <c r="ON262" s="1"/>
      <c r="OO262" s="1"/>
      <c r="OP262" s="1"/>
      <c r="OQ262" s="1"/>
      <c r="OR262" s="1"/>
      <c r="OS262" s="1"/>
      <c r="OT262" s="1"/>
      <c r="OU262" s="1"/>
      <c r="OV262" s="1"/>
      <c r="OW262" s="1"/>
      <c r="OX262" s="1"/>
      <c r="OY262" s="1"/>
      <c r="OZ262" s="1"/>
      <c r="PA262" s="1"/>
      <c r="PB262" s="1"/>
      <c r="PC262" s="1"/>
      <c r="PD262" s="1"/>
      <c r="PE262" s="1"/>
      <c r="PF262" s="1"/>
      <c r="PG262" s="1"/>
      <c r="PH262" s="1"/>
      <c r="PI262" s="1"/>
      <c r="PJ262" s="1"/>
      <c r="PK262" s="1"/>
      <c r="PL262" s="1"/>
      <c r="PM262" s="1"/>
      <c r="PN262" s="1"/>
      <c r="PO262" s="1"/>
      <c r="PP262" s="1"/>
      <c r="PQ262" s="1"/>
      <c r="PR262" s="1"/>
      <c r="PS262" s="1"/>
      <c r="PT262" s="1"/>
      <c r="PU262" s="1"/>
      <c r="PV262" s="1"/>
      <c r="PW262" s="1"/>
      <c r="PX262" s="1"/>
      <c r="PY262" s="1"/>
      <c r="PZ262" s="1"/>
      <c r="QA262" s="1"/>
      <c r="QB262" s="1"/>
      <c r="QC262" s="1"/>
      <c r="QD262" s="1"/>
      <c r="QE262" s="1"/>
      <c r="QF262" s="1"/>
      <c r="QG262" s="1"/>
      <c r="QH262" s="1"/>
      <c r="QI262" s="1"/>
      <c r="QJ262" s="1"/>
      <c r="QK262" s="1"/>
      <c r="QL262" s="1"/>
      <c r="QM262" s="1"/>
      <c r="QN262" s="1"/>
      <c r="QO262" s="1"/>
      <c r="QP262" s="1"/>
      <c r="QQ262" s="1"/>
      <c r="QR262" s="1"/>
      <c r="QS262" s="1"/>
      <c r="QT262" s="1"/>
      <c r="QU262" s="1"/>
      <c r="QV262" s="1"/>
      <c r="QW262" s="1"/>
      <c r="QX262" s="1"/>
      <c r="QY262" s="1"/>
      <c r="QZ262" s="1"/>
      <c r="RA262" s="1"/>
      <c r="RB262" s="1"/>
      <c r="RC262" s="1"/>
      <c r="RD262" s="1"/>
      <c r="RE262" s="1"/>
      <c r="RF262" s="1"/>
      <c r="RG262" s="1"/>
      <c r="RH262" s="1"/>
      <c r="RI262" s="1"/>
      <c r="RJ262" s="1"/>
      <c r="RK262" s="1"/>
      <c r="RL262" s="1"/>
      <c r="RM262" s="1"/>
      <c r="RN262" s="1"/>
      <c r="RO262" s="1"/>
      <c r="RP262" s="1"/>
      <c r="RQ262" s="1"/>
      <c r="RR262" s="1"/>
      <c r="RS262" s="1"/>
      <c r="RT262" s="1"/>
      <c r="RU262" s="1"/>
      <c r="RV262" s="1"/>
      <c r="RW262" s="1"/>
      <c r="RX262" s="1"/>
      <c r="RY262" s="1"/>
      <c r="RZ262" s="1"/>
      <c r="SA262" s="1"/>
      <c r="SB262" s="1"/>
      <c r="SC262" s="1"/>
      <c r="SD262" s="1"/>
      <c r="SE262" s="1"/>
      <c r="SF262" s="1"/>
      <c r="SG262" s="1"/>
      <c r="SH262" s="1"/>
      <c r="SI262" s="1"/>
      <c r="SJ262" s="1"/>
      <c r="SK262" s="1"/>
      <c r="SL262" s="1"/>
      <c r="SM262" s="1"/>
      <c r="SN262" s="1"/>
      <c r="SO262" s="1"/>
      <c r="SP262" s="1"/>
      <c r="SQ262" s="1"/>
      <c r="SR262" s="1"/>
      <c r="SS262" s="1"/>
      <c r="ST262" s="1"/>
      <c r="SU262" s="1"/>
      <c r="SV262" s="1"/>
      <c r="SW262" s="1"/>
      <c r="SX262" s="1"/>
      <c r="SY262" s="1"/>
      <c r="SZ262" s="1"/>
      <c r="TA262" s="1"/>
      <c r="TB262" s="1"/>
      <c r="TC262" s="1"/>
      <c r="TD262" s="1"/>
      <c r="TE262" s="1"/>
      <c r="TF262" s="1"/>
      <c r="TG262" s="1"/>
      <c r="TH262" s="1"/>
      <c r="TI262" s="1"/>
      <c r="TJ262" s="1"/>
      <c r="TK262" s="1"/>
      <c r="TL262" s="1"/>
      <c r="TM262" s="1"/>
      <c r="TN262" s="1"/>
      <c r="TO262" s="1"/>
      <c r="TP262" s="1"/>
      <c r="TQ262" s="1"/>
      <c r="TR262" s="1"/>
      <c r="TS262" s="1"/>
      <c r="TT262" s="1"/>
      <c r="TU262" s="1"/>
      <c r="TV262" s="1"/>
      <c r="TW262" s="1"/>
      <c r="TX262" s="1"/>
      <c r="TY262" s="1"/>
      <c r="TZ262" s="1"/>
      <c r="UA262" s="1"/>
      <c r="UB262" s="1"/>
      <c r="UC262" s="1"/>
      <c r="UD262" s="1"/>
      <c r="UE262" s="1"/>
      <c r="UF262" s="1"/>
      <c r="UG262" s="1"/>
      <c r="UH262" s="1"/>
      <c r="UI262" s="1"/>
      <c r="UJ262" s="1"/>
      <c r="UK262" s="1"/>
      <c r="UL262" s="1"/>
      <c r="UM262" s="1"/>
      <c r="UN262" s="1"/>
      <c r="UO262" s="1"/>
      <c r="UP262" s="1"/>
      <c r="UQ262" s="1"/>
      <c r="UR262" s="1"/>
      <c r="US262" s="1"/>
      <c r="UT262" s="1"/>
      <c r="UU262" s="1"/>
      <c r="UV262" s="1"/>
      <c r="UW262" s="1"/>
      <c r="UX262" s="1"/>
      <c r="UY262" s="1"/>
      <c r="UZ262" s="1"/>
      <c r="VA262" s="1"/>
      <c r="VB262" s="1"/>
      <c r="VC262" s="1"/>
      <c r="VD262" s="1"/>
      <c r="VE262" s="1"/>
      <c r="VF262" s="1"/>
      <c r="VG262" s="1"/>
      <c r="VH262" s="1"/>
      <c r="VI262" s="1"/>
      <c r="VJ262" s="1"/>
      <c r="VK262" s="1"/>
      <c r="VL262" s="1"/>
      <c r="VM262" s="1"/>
      <c r="VN262" s="1"/>
      <c r="VO262" s="1"/>
      <c r="VP262" s="1"/>
      <c r="VQ262" s="1"/>
      <c r="VR262" s="1"/>
      <c r="VS262" s="1"/>
      <c r="VT262" s="1"/>
      <c r="VU262" s="1"/>
      <c r="VV262" s="1"/>
      <c r="VW262" s="1"/>
      <c r="VX262" s="1"/>
      <c r="VY262" s="1"/>
      <c r="VZ262" s="1"/>
      <c r="WA262" s="1"/>
      <c r="WB262" s="1"/>
      <c r="WC262" s="1"/>
      <c r="WD262" s="1"/>
      <c r="WE262" s="1"/>
      <c r="WF262" s="1"/>
      <c r="WG262" s="1"/>
      <c r="WH262" s="1"/>
      <c r="WI262" s="1"/>
      <c r="WJ262" s="1"/>
      <c r="WK262" s="1"/>
      <c r="WL262" s="1"/>
      <c r="WM262" s="1"/>
      <c r="WN262" s="1"/>
      <c r="WO262" s="1"/>
      <c r="WP262" s="1"/>
      <c r="WQ262" s="1"/>
      <c r="WR262" s="1"/>
      <c r="WS262" s="1"/>
      <c r="WT262" s="1"/>
      <c r="WU262" s="1"/>
      <c r="WV262" s="1"/>
      <c r="WW262" s="1"/>
      <c r="WX262" s="1"/>
      <c r="WY262" s="1"/>
      <c r="WZ262" s="1"/>
      <c r="XA262" s="1"/>
      <c r="XB262" s="1"/>
      <c r="XC262" s="1"/>
      <c r="XD262" s="1"/>
      <c r="XE262" s="1"/>
      <c r="XF262" s="1"/>
      <c r="XG262" s="1"/>
      <c r="XH262" s="1"/>
      <c r="XI262" s="1"/>
      <c r="XJ262" s="1"/>
      <c r="XK262" s="1"/>
      <c r="XL262" s="1"/>
      <c r="XM262" s="1"/>
      <c r="XN262" s="1"/>
      <c r="XO262" s="1"/>
      <c r="XP262" s="1"/>
      <c r="XQ262" s="1"/>
      <c r="XR262" s="1"/>
      <c r="XS262" s="1"/>
      <c r="XT262" s="1"/>
      <c r="XU262" s="1"/>
      <c r="XV262" s="1"/>
      <c r="XW262" s="1"/>
      <c r="XX262" s="1"/>
      <c r="XY262" s="1"/>
      <c r="XZ262" s="1"/>
      <c r="YA262" s="1"/>
      <c r="YB262" s="1"/>
      <c r="YC262" s="1"/>
      <c r="YD262" s="1"/>
      <c r="YE262" s="1"/>
      <c r="YF262" s="1"/>
      <c r="YG262" s="1"/>
      <c r="YH262" s="1"/>
      <c r="YI262" s="1"/>
      <c r="YJ262" s="1"/>
      <c r="YK262" s="1"/>
      <c r="YL262" s="1"/>
      <c r="YM262" s="1"/>
      <c r="YN262" s="1"/>
      <c r="YO262" s="1"/>
      <c r="YP262" s="1"/>
      <c r="YQ262" s="1"/>
      <c r="YR262" s="1"/>
      <c r="YS262" s="1"/>
      <c r="YT262" s="1"/>
      <c r="YU262" s="1"/>
      <c r="YV262" s="1"/>
      <c r="YW262" s="1"/>
      <c r="YX262" s="1"/>
      <c r="YY262" s="1"/>
      <c r="YZ262" s="1"/>
      <c r="ZA262" s="1"/>
      <c r="ZB262" s="1"/>
      <c r="ZC262" s="1"/>
      <c r="ZD262" s="1"/>
      <c r="ZE262" s="1"/>
      <c r="ZF262" s="1"/>
      <c r="ZG262" s="1"/>
      <c r="ZH262" s="1"/>
      <c r="ZI262" s="1"/>
      <c r="ZJ262" s="1"/>
      <c r="ZK262" s="1"/>
      <c r="ZL262" s="1"/>
      <c r="ZM262" s="1"/>
      <c r="ZN262" s="1"/>
      <c r="ZO262" s="1"/>
      <c r="ZP262" s="1"/>
      <c r="ZQ262" s="1"/>
      <c r="ZR262" s="1"/>
      <c r="ZS262" s="1"/>
      <c r="ZT262" s="1"/>
      <c r="ZU262" s="1"/>
      <c r="ZV262" s="1"/>
      <c r="ZW262" s="1"/>
      <c r="ZX262" s="1"/>
      <c r="ZY262" s="1"/>
      <c r="ZZ262" s="1"/>
      <c r="AAA262" s="1"/>
      <c r="AAB262" s="1"/>
      <c r="AAC262" s="1"/>
      <c r="AAD262" s="1"/>
      <c r="AAE262" s="1"/>
      <c r="AAF262" s="1"/>
      <c r="AAG262" s="1"/>
      <c r="AAH262" s="1"/>
      <c r="AAI262" s="1"/>
      <c r="AAJ262" s="1"/>
      <c r="AAK262" s="1"/>
      <c r="AAL262" s="1"/>
      <c r="AAM262" s="1"/>
      <c r="AAN262" s="1"/>
      <c r="AAO262" s="1"/>
      <c r="AAP262" s="1"/>
      <c r="AAQ262" s="1"/>
      <c r="AAR262" s="1"/>
      <c r="AAS262" s="1"/>
      <c r="AAT262" s="1"/>
      <c r="AAU262" s="1"/>
      <c r="AAV262" s="1"/>
      <c r="AAW262" s="1"/>
      <c r="AAX262" s="1"/>
      <c r="AAY262" s="1"/>
      <c r="AAZ262" s="1"/>
      <c r="ABA262" s="1"/>
      <c r="ABB262" s="1"/>
      <c r="ABC262" s="1"/>
      <c r="ABD262" s="1"/>
      <c r="ABE262" s="1"/>
      <c r="ABF262" s="1"/>
      <c r="ABG262" s="1"/>
      <c r="ABH262" s="1"/>
      <c r="ABI262" s="1"/>
      <c r="ABJ262" s="1"/>
      <c r="ABK262" s="1"/>
      <c r="ABL262" s="1"/>
      <c r="ABM262" s="1"/>
      <c r="ABN262" s="1"/>
      <c r="ABO262" s="1"/>
      <c r="ABP262" s="1"/>
      <c r="ABQ262" s="1"/>
      <c r="ABR262" s="1"/>
      <c r="ABS262" s="1"/>
      <c r="ABT262" s="1"/>
      <c r="ABU262" s="1"/>
      <c r="ABV262" s="1"/>
      <c r="ABW262" s="1"/>
      <c r="ABX262" s="1"/>
      <c r="ABY262" s="1"/>
      <c r="ABZ262" s="1"/>
      <c r="ACA262" s="1"/>
      <c r="ACB262" s="1"/>
      <c r="ACC262" s="1"/>
      <c r="ACD262" s="1"/>
      <c r="ACE262" s="1"/>
      <c r="ACF262" s="1"/>
      <c r="ACG262" s="1"/>
      <c r="ACH262" s="1"/>
      <c r="ACI262" s="1"/>
      <c r="ACJ262" s="1"/>
      <c r="ACK262" s="1"/>
      <c r="ACL262" s="1"/>
      <c r="ACM262" s="1"/>
      <c r="ACN262" s="1"/>
      <c r="ACO262" s="1"/>
      <c r="ACP262" s="1"/>
      <c r="ACQ262" s="1"/>
      <c r="ACR262" s="1"/>
      <c r="ACS262" s="1"/>
      <c r="ACT262" s="1"/>
      <c r="ACU262" s="1"/>
      <c r="ACV262" s="1"/>
      <c r="ACW262" s="1"/>
      <c r="ACX262" s="1"/>
      <c r="ACY262" s="1"/>
      <c r="ACZ262" s="1"/>
      <c r="ADA262" s="1"/>
      <c r="ADB262" s="1"/>
      <c r="ADC262" s="1"/>
      <c r="ADD262" s="1"/>
      <c r="ADE262" s="1"/>
      <c r="ADF262" s="1"/>
      <c r="ADG262" s="1"/>
      <c r="ADH262" s="1"/>
      <c r="ADI262" s="1"/>
      <c r="ADJ262" s="1"/>
      <c r="ADK262" s="1"/>
      <c r="ADL262" s="1"/>
      <c r="ADM262" s="1"/>
      <c r="ADN262" s="1"/>
      <c r="ADO262" s="1"/>
      <c r="ADP262" s="1"/>
      <c r="ADQ262" s="1"/>
      <c r="ADR262" s="1"/>
      <c r="ADS262" s="1"/>
      <c r="ADT262" s="1"/>
      <c r="ADU262" s="1"/>
      <c r="ADV262" s="1"/>
      <c r="ADW262" s="1"/>
      <c r="ADX262" s="1"/>
      <c r="ADY262" s="1"/>
      <c r="ADZ262" s="1"/>
      <c r="AEA262" s="1"/>
      <c r="AEB262" s="1"/>
      <c r="AEC262" s="1"/>
      <c r="AED262" s="1"/>
      <c r="AEE262" s="1"/>
      <c r="AEF262" s="1"/>
      <c r="AEG262" s="1"/>
      <c r="AEH262" s="1"/>
      <c r="AEI262" s="1"/>
      <c r="AEJ262" s="1"/>
      <c r="AEK262" s="1"/>
      <c r="AEL262" s="1"/>
      <c r="AEM262" s="1"/>
      <c r="AEN262" s="1"/>
      <c r="AEO262" s="1"/>
      <c r="AEP262" s="1"/>
      <c r="AEQ262" s="1"/>
      <c r="AER262" s="1"/>
      <c r="AES262" s="1"/>
      <c r="AET262" s="1"/>
      <c r="AEU262" s="1"/>
      <c r="AEV262" s="1"/>
      <c r="AEW262" s="1"/>
      <c r="AEX262" s="1"/>
      <c r="AEY262" s="1"/>
      <c r="AEZ262" s="1"/>
      <c r="AFA262" s="1"/>
      <c r="AFB262" s="1"/>
      <c r="AFC262" s="1"/>
      <c r="AFD262" s="1"/>
      <c r="AFE262" s="1"/>
      <c r="AFF262" s="1"/>
      <c r="AFG262" s="1"/>
      <c r="AFH262" s="1"/>
      <c r="AFI262" s="1"/>
      <c r="AFJ262" s="1"/>
      <c r="AFK262" s="1"/>
      <c r="AFL262" s="1"/>
      <c r="AFM262" s="1"/>
      <c r="AFN262" s="1"/>
      <c r="AFO262" s="1"/>
      <c r="AFP262" s="1"/>
      <c r="AFQ262" s="1"/>
      <c r="AFR262" s="1"/>
      <c r="AFS262" s="1"/>
      <c r="AFT262" s="1"/>
      <c r="AFU262" s="1"/>
      <c r="AFV262" s="1"/>
      <c r="AFW262" s="1"/>
      <c r="AFX262" s="1"/>
      <c r="AFY262" s="1"/>
      <c r="AFZ262" s="1"/>
      <c r="AGA262" s="1"/>
      <c r="AGB262" s="1"/>
      <c r="AGC262" s="1"/>
      <c r="AGD262" s="1"/>
      <c r="AGE262" s="1"/>
      <c r="AGF262" s="1"/>
      <c r="AGG262" s="1"/>
      <c r="AGH262" s="1"/>
      <c r="AGI262" s="1"/>
      <c r="AGJ262" s="1"/>
      <c r="AGK262" s="1"/>
      <c r="AGL262" s="1"/>
      <c r="AGM262" s="1"/>
      <c r="AGN262" s="1"/>
      <c r="AGO262" s="1"/>
      <c r="AGP262" s="1"/>
      <c r="AGQ262" s="1"/>
      <c r="AGR262" s="1"/>
      <c r="AGS262" s="1"/>
      <c r="AGT262" s="1"/>
      <c r="AGU262" s="1"/>
      <c r="AGV262" s="1"/>
      <c r="AGW262" s="1"/>
      <c r="AGX262" s="1"/>
      <c r="AGY262" s="1"/>
      <c r="AGZ262" s="1"/>
      <c r="AHA262" s="1"/>
      <c r="AHB262" s="1"/>
      <c r="AHC262" s="1"/>
      <c r="AHD262" s="1"/>
      <c r="AHE262" s="1"/>
      <c r="AHF262" s="1"/>
      <c r="AHG262" s="1"/>
      <c r="AHH262" s="1"/>
      <c r="AHI262" s="1"/>
      <c r="AHJ262" s="1"/>
      <c r="AHK262" s="1"/>
      <c r="AHL262" s="1"/>
      <c r="AHM262" s="1"/>
      <c r="AHN262" s="1"/>
      <c r="AHO262" s="1"/>
      <c r="AHP262" s="1"/>
      <c r="AHQ262" s="1"/>
      <c r="AHR262" s="1"/>
      <c r="AHS262" s="1"/>
      <c r="AHT262" s="1"/>
      <c r="AHU262" s="1"/>
      <c r="AHV262" s="1"/>
      <c r="AHW262" s="1"/>
      <c r="AHX262" s="1"/>
      <c r="AHY262" s="1"/>
      <c r="AHZ262" s="1"/>
      <c r="AIA262" s="1"/>
      <c r="AIB262" s="1"/>
      <c r="AIC262" s="1"/>
      <c r="AID262" s="1"/>
      <c r="AIE262" s="1"/>
      <c r="AIF262" s="1"/>
      <c r="AIG262" s="1"/>
      <c r="AIH262" s="1"/>
      <c r="AII262" s="1"/>
      <c r="AIJ262" s="1"/>
      <c r="AIK262" s="1"/>
      <c r="AIL262" s="1"/>
      <c r="AIM262" s="1"/>
      <c r="AIN262" s="1"/>
      <c r="AIO262" s="1"/>
      <c r="AIP262" s="1"/>
      <c r="AIQ262" s="1"/>
      <c r="AIR262" s="1"/>
      <c r="AIS262" s="1"/>
      <c r="AIT262" s="1"/>
      <c r="AIU262" s="1"/>
      <c r="AIV262" s="1"/>
      <c r="AIW262" s="1"/>
      <c r="AIX262" s="1"/>
      <c r="AIY262" s="1"/>
      <c r="AIZ262" s="1"/>
      <c r="AJA262" s="1"/>
      <c r="AJB262" s="1"/>
      <c r="AJC262" s="1"/>
      <c r="AJD262" s="1"/>
      <c r="AJE262" s="1"/>
      <c r="AJF262" s="1"/>
      <c r="AJG262" s="1"/>
      <c r="AJH262" s="1"/>
      <c r="AJI262" s="1"/>
      <c r="AJJ262" s="1"/>
      <c r="AJK262" s="1"/>
      <c r="AJL262" s="1"/>
      <c r="AJM262" s="1"/>
      <c r="AJN262" s="1"/>
      <c r="AJO262" s="1"/>
      <c r="AJP262" s="1"/>
      <c r="AJQ262" s="1"/>
      <c r="AJR262" s="1"/>
      <c r="AJS262" s="1"/>
      <c r="AJT262" s="1"/>
      <c r="AJU262" s="1"/>
      <c r="AJV262" s="1"/>
      <c r="AJW262" s="1"/>
      <c r="AJX262" s="1"/>
      <c r="AJY262" s="1"/>
      <c r="AJZ262" s="1"/>
      <c r="AKA262" s="1"/>
      <c r="AKB262" s="1"/>
      <c r="AKC262" s="1"/>
      <c r="AKD262" s="1"/>
      <c r="AKE262" s="1"/>
      <c r="AKF262" s="1"/>
      <c r="AKG262" s="1"/>
      <c r="AKH262" s="1"/>
      <c r="AKI262" s="1"/>
      <c r="AKJ262" s="1"/>
      <c r="AKK262" s="1"/>
      <c r="AKL262" s="1"/>
      <c r="AKM262" s="1"/>
      <c r="AKN262" s="1"/>
      <c r="AKO262" s="1"/>
      <c r="AKP262" s="1"/>
      <c r="AKQ262" s="1"/>
      <c r="AKR262" s="1"/>
      <c r="AKS262" s="1"/>
      <c r="AKT262" s="1"/>
      <c r="AKU262" s="1"/>
      <c r="AKV262" s="1"/>
      <c r="AKW262" s="1"/>
      <c r="AKX262" s="1"/>
      <c r="AKY262" s="1"/>
      <c r="AKZ262" s="1"/>
      <c r="ALA262" s="1"/>
      <c r="ALB262" s="1"/>
      <c r="ALC262" s="1"/>
      <c r="ALD262" s="1"/>
      <c r="ALE262" s="1"/>
      <c r="ALF262" s="1"/>
      <c r="ALG262" s="1"/>
      <c r="ALH262" s="1"/>
      <c r="ALI262" s="1"/>
      <c r="ALJ262" s="1"/>
      <c r="ALK262" s="1"/>
      <c r="ALL262" s="1"/>
      <c r="ALM262" s="1"/>
      <c r="ALN262" s="1"/>
      <c r="ALO262" s="1"/>
      <c r="ALP262" s="1"/>
      <c r="ALQ262" s="1"/>
      <c r="ALR262" s="1"/>
      <c r="ALS262" s="1"/>
      <c r="ALT262" s="1"/>
      <c r="ALU262" s="1"/>
      <c r="ALV262" s="1"/>
      <c r="ALW262" s="1"/>
      <c r="ALX262" s="1"/>
      <c r="ALY262" s="1"/>
      <c r="ALZ262" s="1"/>
      <c r="AMA262" s="1"/>
      <c r="AMB262" s="1"/>
      <c r="AMC262" s="1"/>
      <c r="AMD262" s="1"/>
      <c r="AME262" s="1"/>
      <c r="AMF262" s="1"/>
      <c r="AMG262" s="1"/>
      <c r="AMH262" s="1"/>
      <c r="AMI262" s="1"/>
      <c r="AMJ262" s="1"/>
      <c r="AMK262" s="1"/>
      <c r="AML262" s="1"/>
      <c r="AMM262" s="1"/>
      <c r="AMN262" s="1"/>
      <c r="AMO262" s="1"/>
    </row>
    <row r="263" spans="1:1029" x14ac:dyDescent="0.2">
      <c r="A263" s="9" t="str">
        <f>CONCATENATE(B263,"_",C263)</f>
        <v>pe2r4_human_5YWY</v>
      </c>
      <c r="B263" s="9" t="s">
        <v>364</v>
      </c>
      <c r="C263" s="9" t="s">
        <v>1559</v>
      </c>
      <c r="D263" s="9" t="str">
        <f>IFERROR(MID(VLOOKUP($B263,Seqs!$A:$B,2,0),E263,1),"")</f>
        <v>N</v>
      </c>
      <c r="E263" s="9">
        <v>18</v>
      </c>
      <c r="F263" s="9" t="str">
        <f>IFERROR(MID(VLOOKUP($B263,Seqs!$A:$B,2,0),G263,1),"")</f>
        <v>C</v>
      </c>
      <c r="G263" s="9">
        <v>43</v>
      </c>
      <c r="H263" s="9" t="str">
        <f>IFERROR(MID(VLOOKUP($B263,Seqs!$A:$B,2,0),I263,1),"")</f>
        <v/>
      </c>
      <c r="I263" s="109" t="s">
        <v>23</v>
      </c>
      <c r="J263" s="9" t="str">
        <f>IFERROR(MID(VLOOKUP($B263,Seqs!$A:$B,2,0),K263,1),"")</f>
        <v/>
      </c>
      <c r="K263" s="109" t="s">
        <v>23</v>
      </c>
      <c r="L263" s="9" t="str">
        <f>IFERROR(MID(VLOOKUP($B263,Seqs!$A:$B,2,0),M263,1),"")</f>
        <v>E</v>
      </c>
      <c r="M263" s="9">
        <v>51</v>
      </c>
      <c r="N263" s="9" t="str">
        <f>IFERROR(MID(VLOOKUP($B263,Seqs!$A:$B,2,0),O263,1),"")</f>
        <v>K</v>
      </c>
      <c r="O263" s="9">
        <v>82</v>
      </c>
      <c r="P263" s="9" t="str">
        <f>IFERROR(MID(VLOOKUP($B263,Seqs!$A:$B,2,0),Q263,1),"")</f>
        <v/>
      </c>
      <c r="Q263" s="9" t="s">
        <v>23</v>
      </c>
      <c r="R263" s="9" t="str">
        <f>IFERROR(MID(VLOOKUP($B263,Seqs!$A:$B,2,0),S263,1),"")</f>
        <v/>
      </c>
      <c r="S263" s="9" t="s">
        <v>23</v>
      </c>
      <c r="T263" s="9" t="str">
        <f>IFERROR(MID(VLOOKUP($B263,Seqs!$A:$B,2,0),U263,1),"")</f>
        <v>G</v>
      </c>
      <c r="U263" s="9">
        <v>88</v>
      </c>
      <c r="V263" s="9" t="str">
        <f>IFERROR(MID(VLOOKUP($B263,Seqs!$A:$B,2,0),W263,1),"")</f>
        <v>H</v>
      </c>
      <c r="W263" s="9">
        <v>123</v>
      </c>
      <c r="X263" s="9" t="str">
        <f>IFERROR(MID(VLOOKUP($B263,Seqs!$A:$B,2,0),Y263,1),"")</f>
        <v>A</v>
      </c>
      <c r="Y263" s="9">
        <v>124</v>
      </c>
      <c r="Z263" s="9" t="str">
        <f>IFERROR(MID(VLOOKUP($B263,Seqs!$A:$B,2,0),AA263,1),"")</f>
        <v>V</v>
      </c>
      <c r="AA263" s="9">
        <v>131</v>
      </c>
      <c r="AB263" s="9" t="str">
        <f>IFERROR(MID(VLOOKUP($B263,Seqs!$A:$B,2,0),AC263,1),"")</f>
        <v>D</v>
      </c>
      <c r="AC263" s="9">
        <v>132</v>
      </c>
      <c r="AD263" s="9" t="str">
        <f>IFERROR(MID(VLOOKUP($B263,Seqs!$A:$B,2,0),AE263,1),"")</f>
        <v>G</v>
      </c>
      <c r="AE263" s="9">
        <v>157</v>
      </c>
      <c r="AF263" s="9" t="str">
        <f>IFERROR(MID(VLOOKUP($B263,Seqs!$A:$B,2,0),AG263,1),"")</f>
        <v>C</v>
      </c>
      <c r="AG263" s="9">
        <v>170</v>
      </c>
      <c r="AH263" s="9" t="str">
        <f>IFERROR(MID(VLOOKUP($B263,Seqs!$A:$B,2,0),AI263,1),"")</f>
        <v>I</v>
      </c>
      <c r="AI263" s="9">
        <v>172</v>
      </c>
      <c r="AJ263" s="9" t="str">
        <f>IFERROR(MID(VLOOKUP($B263,Seqs!$A:$B,2,0),AK263,1),"")</f>
        <v>V</v>
      </c>
      <c r="AK263" s="9">
        <v>178</v>
      </c>
      <c r="AL263" s="9" t="str">
        <f>IFERROR(MID(VLOOKUP($B263,Seqs!$A:$B,2,0),AM263,1),"")</f>
        <v>H</v>
      </c>
      <c r="AM263" s="9">
        <v>214</v>
      </c>
      <c r="AN263" s="9" t="str">
        <f>IFERROR(MID(VLOOKUP($B263,Seqs!$A:$B,2,0),AO263,1),"")</f>
        <v>A</v>
      </c>
      <c r="AO263" s="9">
        <v>266</v>
      </c>
      <c r="AP263" s="9" t="str">
        <f>IFERROR(MID(VLOOKUP($B263,Seqs!$A:$B,2,0),AQ263,1),"")</f>
        <v>Y</v>
      </c>
      <c r="AQ263" s="9">
        <v>298</v>
      </c>
      <c r="AR263" s="9" t="str">
        <f>IFERROR(MID(VLOOKUP($B263,Seqs!$A:$B,2,0),AS263,1),"")</f>
        <v>N</v>
      </c>
      <c r="AS263" s="9">
        <v>309</v>
      </c>
      <c r="AT263" s="9" t="str">
        <f>IFERROR(MID(VLOOKUP($B263,Seqs!$A:$B,2,0),AU263,1),"")</f>
        <v>L</v>
      </c>
      <c r="AU263" s="9">
        <v>332</v>
      </c>
      <c r="AV263" s="9" t="str">
        <f>IFERROR(MID(VLOOKUP($B263,Seqs!$A:$B,2,0),AW263,1),"")</f>
        <v>R</v>
      </c>
      <c r="AW263" s="9">
        <v>333</v>
      </c>
      <c r="AX263" s="9" t="str">
        <f>IFERROR(MID(VLOOKUP($B263,Seqs!$A:$B,2,0),AY263,1),"")</f>
        <v>I</v>
      </c>
      <c r="AY263" s="9">
        <v>344</v>
      </c>
      <c r="AZ263" s="110" t="str">
        <f>VLOOKUP(B263,Classification!A:D,2,0)</f>
        <v>A</v>
      </c>
      <c r="BA263" s="98" t="str">
        <f>VLOOKUP(B263,Classification!A:D,4,0)</f>
        <v>Prostanoid</v>
      </c>
      <c r="BB263" s="36" t="b">
        <f>AND(E263&lt;G263,OR(G263&lt;I263,I263="-"),OR(I263&lt;K263,I263="-"),OR(K263&lt;M263,K263="-"),M263&lt;O263,OR(O263&lt;Q263,Q263="-"),OR(Q263&lt;S263,Q263="-"),OR(S263&lt;U263,S263="-"),U263&lt;W263,OR(W263&lt;Y263,Y263="-"),OR(Y263&lt;AA263,Y263="-"),OR(AA263&lt;AC263,AA263="-"),AC263&lt;AE263,OR(AE263&lt;AG263,AG263="-"),OR(AG263&lt;AI263,AG263="-"),OR(AI263&lt;AK263,AI263="-"),AK263&lt;AM263,AM263&lt;AO263,AO263&lt;AQ263,AQ263&lt;AS263,AS263&lt;AU263,OR(AU263&lt;AW263,AW263="-"),OR(AW263&lt;AY263,AW263="-"))</f>
        <v>1</v>
      </c>
      <c r="BC263" s="109">
        <f>_xlfn.AGGREGATE(9,6,CH263:CS263)-_xlfn.AGGREGATE(9,6,BV263:CG263)+12</f>
        <v>239</v>
      </c>
      <c r="BD263" s="40" t="s">
        <v>1383</v>
      </c>
      <c r="BE263" s="9" t="s">
        <v>1381</v>
      </c>
      <c r="BF263" s="120">
        <v>3.2</v>
      </c>
      <c r="BG263" s="51" t="s">
        <v>1</v>
      </c>
      <c r="BH263" s="51" t="s">
        <v>1</v>
      </c>
      <c r="BI263" s="12"/>
      <c r="BJ263" s="111" t="s">
        <v>1293</v>
      </c>
      <c r="BK263" s="112" t="s">
        <v>1293</v>
      </c>
      <c r="BL263" s="112" t="s">
        <v>1293</v>
      </c>
      <c r="BM263" s="112" t="s">
        <v>1293</v>
      </c>
      <c r="BN263" s="112" t="s">
        <v>1293</v>
      </c>
      <c r="BO263" s="112" t="s">
        <v>1293</v>
      </c>
      <c r="BP263" s="112" t="s">
        <v>1293</v>
      </c>
      <c r="BQ263" s="112" t="s">
        <v>1293</v>
      </c>
      <c r="BR263" s="112" t="s">
        <v>1293</v>
      </c>
      <c r="BS263" s="112" t="s">
        <v>1293</v>
      </c>
      <c r="BT263" s="112" t="s">
        <v>1293</v>
      </c>
      <c r="BU263" s="112" t="s">
        <v>1293</v>
      </c>
      <c r="BV263" s="111">
        <f>E263</f>
        <v>18</v>
      </c>
      <c r="BW263" s="113" t="str">
        <f>I263</f>
        <v>-</v>
      </c>
      <c r="BX263" s="114">
        <f>M263</f>
        <v>51</v>
      </c>
      <c r="BY263" s="113" t="str">
        <f>Q263</f>
        <v>-</v>
      </c>
      <c r="BZ263" s="114">
        <f>U263</f>
        <v>88</v>
      </c>
      <c r="CA263" s="113">
        <f>Y263</f>
        <v>124</v>
      </c>
      <c r="CB263" s="114">
        <f>AC263</f>
        <v>132</v>
      </c>
      <c r="CC263" s="113">
        <f>AG263</f>
        <v>170</v>
      </c>
      <c r="CD263" s="114">
        <f>AK263</f>
        <v>178</v>
      </c>
      <c r="CE263" s="113">
        <f>AO263</f>
        <v>266</v>
      </c>
      <c r="CF263" s="114">
        <f>AS263</f>
        <v>309</v>
      </c>
      <c r="CG263" s="113">
        <f>AW263</f>
        <v>333</v>
      </c>
      <c r="CH263" s="111">
        <f>G263</f>
        <v>43</v>
      </c>
      <c r="CI263" s="113" t="str">
        <f>K263</f>
        <v>-</v>
      </c>
      <c r="CJ263" s="114">
        <f>O263</f>
        <v>82</v>
      </c>
      <c r="CK263" s="114" t="str">
        <f>S263</f>
        <v>-</v>
      </c>
      <c r="CL263" s="114">
        <f>W263</f>
        <v>123</v>
      </c>
      <c r="CM263" s="114">
        <f>AA263</f>
        <v>131</v>
      </c>
      <c r="CN263" s="114">
        <f>AE263</f>
        <v>157</v>
      </c>
      <c r="CO263" s="114">
        <f>AI263</f>
        <v>172</v>
      </c>
      <c r="CP263" s="114">
        <f>AM263</f>
        <v>214</v>
      </c>
      <c r="CQ263" s="114">
        <f>AQ263</f>
        <v>298</v>
      </c>
      <c r="CR263" s="114">
        <f>AU263</f>
        <v>332</v>
      </c>
      <c r="CS263" s="114">
        <f>AY263</f>
        <v>344</v>
      </c>
      <c r="CT263" s="109" t="e">
        <f>M263-K263</f>
        <v>#VALUE!</v>
      </c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  <c r="OK263" s="1"/>
      <c r="OL263" s="1"/>
      <c r="OM263" s="1"/>
      <c r="ON263" s="1"/>
      <c r="OO263" s="1"/>
      <c r="OP263" s="1"/>
      <c r="OQ263" s="1"/>
      <c r="OR263" s="1"/>
      <c r="OS263" s="1"/>
      <c r="OT263" s="1"/>
      <c r="OU263" s="1"/>
      <c r="OV263" s="1"/>
      <c r="OW263" s="1"/>
      <c r="OX263" s="1"/>
      <c r="OY263" s="1"/>
      <c r="OZ263" s="1"/>
      <c r="PA263" s="1"/>
      <c r="PB263" s="1"/>
      <c r="PC263" s="1"/>
      <c r="PD263" s="1"/>
      <c r="PE263" s="1"/>
      <c r="PF263" s="1"/>
      <c r="PG263" s="1"/>
      <c r="PH263" s="1"/>
      <c r="PI263" s="1"/>
      <c r="PJ263" s="1"/>
      <c r="PK263" s="1"/>
      <c r="PL263" s="1"/>
      <c r="PM263" s="1"/>
      <c r="PN263" s="1"/>
      <c r="PO263" s="1"/>
      <c r="PP263" s="1"/>
      <c r="PQ263" s="1"/>
      <c r="PR263" s="1"/>
      <c r="PS263" s="1"/>
      <c r="PT263" s="1"/>
      <c r="PU263" s="1"/>
      <c r="PV263" s="1"/>
      <c r="PW263" s="1"/>
      <c r="PX263" s="1"/>
      <c r="PY263" s="1"/>
      <c r="PZ263" s="1"/>
      <c r="QA263" s="1"/>
      <c r="QB263" s="1"/>
      <c r="QC263" s="1"/>
      <c r="QD263" s="1"/>
      <c r="QE263" s="1"/>
      <c r="QF263" s="1"/>
      <c r="QG263" s="1"/>
      <c r="QH263" s="1"/>
      <c r="QI263" s="1"/>
      <c r="QJ263" s="1"/>
      <c r="QK263" s="1"/>
      <c r="QL263" s="1"/>
      <c r="QM263" s="1"/>
      <c r="QN263" s="1"/>
      <c r="QO263" s="1"/>
      <c r="QP263" s="1"/>
      <c r="QQ263" s="1"/>
      <c r="QR263" s="1"/>
      <c r="QS263" s="1"/>
      <c r="QT263" s="1"/>
      <c r="QU263" s="1"/>
      <c r="QV263" s="1"/>
      <c r="QW263" s="1"/>
      <c r="QX263" s="1"/>
      <c r="QY263" s="1"/>
      <c r="QZ263" s="1"/>
      <c r="RA263" s="1"/>
      <c r="RB263" s="1"/>
      <c r="RC263" s="1"/>
      <c r="RD263" s="1"/>
      <c r="RE263" s="1"/>
      <c r="RF263" s="1"/>
      <c r="RG263" s="1"/>
      <c r="RH263" s="1"/>
      <c r="RI263" s="1"/>
      <c r="RJ263" s="1"/>
      <c r="RK263" s="1"/>
      <c r="RL263" s="1"/>
      <c r="RM263" s="1"/>
      <c r="RN263" s="1"/>
      <c r="RO263" s="1"/>
      <c r="RP263" s="1"/>
      <c r="RQ263" s="1"/>
      <c r="RR263" s="1"/>
      <c r="RS263" s="1"/>
      <c r="RT263" s="1"/>
      <c r="RU263" s="1"/>
      <c r="RV263" s="1"/>
      <c r="RW263" s="1"/>
      <c r="RX263" s="1"/>
      <c r="RY263" s="1"/>
      <c r="RZ263" s="1"/>
      <c r="SA263" s="1"/>
      <c r="SB263" s="1"/>
      <c r="SC263" s="1"/>
      <c r="SD263" s="1"/>
      <c r="SE263" s="1"/>
      <c r="SF263" s="1"/>
      <c r="SG263" s="1"/>
      <c r="SH263" s="1"/>
      <c r="SI263" s="1"/>
      <c r="SJ263" s="1"/>
      <c r="SK263" s="1"/>
      <c r="SL263" s="1"/>
      <c r="SM263" s="1"/>
      <c r="SN263" s="1"/>
      <c r="SO263" s="1"/>
      <c r="SP263" s="1"/>
      <c r="SQ263" s="1"/>
      <c r="SR263" s="1"/>
      <c r="SS263" s="1"/>
      <c r="ST263" s="1"/>
      <c r="SU263" s="1"/>
      <c r="SV263" s="1"/>
      <c r="SW263" s="1"/>
      <c r="SX263" s="1"/>
      <c r="SY263" s="1"/>
      <c r="SZ263" s="1"/>
      <c r="TA263" s="1"/>
      <c r="TB263" s="1"/>
      <c r="TC263" s="1"/>
      <c r="TD263" s="1"/>
      <c r="TE263" s="1"/>
      <c r="TF263" s="1"/>
      <c r="TG263" s="1"/>
      <c r="TH263" s="1"/>
      <c r="TI263" s="1"/>
      <c r="TJ263" s="1"/>
      <c r="TK263" s="1"/>
      <c r="TL263" s="1"/>
      <c r="TM263" s="1"/>
      <c r="TN263" s="1"/>
      <c r="TO263" s="1"/>
      <c r="TP263" s="1"/>
      <c r="TQ263" s="1"/>
      <c r="TR263" s="1"/>
      <c r="TS263" s="1"/>
      <c r="TT263" s="1"/>
      <c r="TU263" s="1"/>
      <c r="TV263" s="1"/>
      <c r="TW263" s="1"/>
      <c r="TX263" s="1"/>
      <c r="TY263" s="1"/>
      <c r="TZ263" s="1"/>
      <c r="UA263" s="1"/>
      <c r="UB263" s="1"/>
      <c r="UC263" s="1"/>
      <c r="UD263" s="1"/>
      <c r="UE263" s="1"/>
      <c r="UF263" s="1"/>
      <c r="UG263" s="1"/>
      <c r="UH263" s="1"/>
      <c r="UI263" s="1"/>
      <c r="UJ263" s="1"/>
      <c r="UK263" s="1"/>
      <c r="UL263" s="1"/>
      <c r="UM263" s="1"/>
      <c r="UN263" s="1"/>
      <c r="UO263" s="1"/>
      <c r="UP263" s="1"/>
      <c r="UQ263" s="1"/>
      <c r="UR263" s="1"/>
      <c r="US263" s="1"/>
      <c r="UT263" s="1"/>
      <c r="UU263" s="1"/>
      <c r="UV263" s="1"/>
      <c r="UW263" s="1"/>
      <c r="UX263" s="1"/>
      <c r="UY263" s="1"/>
      <c r="UZ263" s="1"/>
      <c r="VA263" s="1"/>
      <c r="VB263" s="1"/>
      <c r="VC263" s="1"/>
      <c r="VD263" s="1"/>
      <c r="VE263" s="1"/>
      <c r="VF263" s="1"/>
      <c r="VG263" s="1"/>
      <c r="VH263" s="1"/>
      <c r="VI263" s="1"/>
      <c r="VJ263" s="1"/>
      <c r="VK263" s="1"/>
      <c r="VL263" s="1"/>
      <c r="VM263" s="1"/>
      <c r="VN263" s="1"/>
      <c r="VO263" s="1"/>
      <c r="VP263" s="1"/>
      <c r="VQ263" s="1"/>
      <c r="VR263" s="1"/>
      <c r="VS263" s="1"/>
      <c r="VT263" s="1"/>
      <c r="VU263" s="1"/>
      <c r="VV263" s="1"/>
      <c r="VW263" s="1"/>
      <c r="VX263" s="1"/>
      <c r="VY263" s="1"/>
      <c r="VZ263" s="1"/>
      <c r="WA263" s="1"/>
      <c r="WB263" s="1"/>
      <c r="WC263" s="1"/>
      <c r="WD263" s="1"/>
      <c r="WE263" s="1"/>
      <c r="WF263" s="1"/>
      <c r="WG263" s="1"/>
      <c r="WH263" s="1"/>
      <c r="WI263" s="1"/>
      <c r="WJ263" s="1"/>
      <c r="WK263" s="1"/>
      <c r="WL263" s="1"/>
      <c r="WM263" s="1"/>
      <c r="WN263" s="1"/>
      <c r="WO263" s="1"/>
      <c r="WP263" s="1"/>
      <c r="WQ263" s="1"/>
      <c r="WR263" s="1"/>
      <c r="WS263" s="1"/>
      <c r="WT263" s="1"/>
      <c r="WU263" s="1"/>
      <c r="WV263" s="1"/>
      <c r="WW263" s="1"/>
      <c r="WX263" s="1"/>
      <c r="WY263" s="1"/>
      <c r="WZ263" s="1"/>
      <c r="XA263" s="1"/>
      <c r="XB263" s="1"/>
      <c r="XC263" s="1"/>
      <c r="XD263" s="1"/>
      <c r="XE263" s="1"/>
      <c r="XF263" s="1"/>
      <c r="XG263" s="1"/>
      <c r="XH263" s="1"/>
      <c r="XI263" s="1"/>
      <c r="XJ263" s="1"/>
      <c r="XK263" s="1"/>
      <c r="XL263" s="1"/>
      <c r="XM263" s="1"/>
      <c r="XN263" s="1"/>
      <c r="XO263" s="1"/>
      <c r="XP263" s="1"/>
      <c r="XQ263" s="1"/>
      <c r="XR263" s="1"/>
      <c r="XS263" s="1"/>
      <c r="XT263" s="1"/>
      <c r="XU263" s="1"/>
      <c r="XV263" s="1"/>
      <c r="XW263" s="1"/>
      <c r="XX263" s="1"/>
      <c r="XY263" s="1"/>
      <c r="XZ263" s="1"/>
      <c r="YA263" s="1"/>
      <c r="YB263" s="1"/>
      <c r="YC263" s="1"/>
      <c r="YD263" s="1"/>
      <c r="YE263" s="1"/>
      <c r="YF263" s="1"/>
      <c r="YG263" s="1"/>
      <c r="YH263" s="1"/>
      <c r="YI263" s="1"/>
      <c r="YJ263" s="1"/>
      <c r="YK263" s="1"/>
      <c r="YL263" s="1"/>
      <c r="YM263" s="1"/>
      <c r="YN263" s="1"/>
      <c r="YO263" s="1"/>
      <c r="YP263" s="1"/>
      <c r="YQ263" s="1"/>
      <c r="YR263" s="1"/>
      <c r="YS263" s="1"/>
      <c r="YT263" s="1"/>
      <c r="YU263" s="1"/>
      <c r="YV263" s="1"/>
      <c r="YW263" s="1"/>
      <c r="YX263" s="1"/>
      <c r="YY263" s="1"/>
      <c r="YZ263" s="1"/>
      <c r="ZA263" s="1"/>
      <c r="ZB263" s="1"/>
      <c r="ZC263" s="1"/>
      <c r="ZD263" s="1"/>
      <c r="ZE263" s="1"/>
      <c r="ZF263" s="1"/>
      <c r="ZG263" s="1"/>
      <c r="ZH263" s="1"/>
      <c r="ZI263" s="1"/>
      <c r="ZJ263" s="1"/>
      <c r="ZK263" s="1"/>
      <c r="ZL263" s="1"/>
      <c r="ZM263" s="1"/>
      <c r="ZN263" s="1"/>
      <c r="ZO263" s="1"/>
      <c r="ZP263" s="1"/>
      <c r="ZQ263" s="1"/>
      <c r="ZR263" s="1"/>
      <c r="ZS263" s="1"/>
      <c r="ZT263" s="1"/>
      <c r="ZU263" s="1"/>
      <c r="ZV263" s="1"/>
      <c r="ZW263" s="1"/>
      <c r="ZX263" s="1"/>
      <c r="ZY263" s="1"/>
      <c r="ZZ263" s="1"/>
      <c r="AAA263" s="1"/>
      <c r="AAB263" s="1"/>
      <c r="AAC263" s="1"/>
      <c r="AAD263" s="1"/>
      <c r="AAE263" s="1"/>
      <c r="AAF263" s="1"/>
      <c r="AAG263" s="1"/>
      <c r="AAH263" s="1"/>
      <c r="AAI263" s="1"/>
      <c r="AAJ263" s="1"/>
      <c r="AAK263" s="1"/>
      <c r="AAL263" s="1"/>
      <c r="AAM263" s="1"/>
      <c r="AAN263" s="1"/>
      <c r="AAO263" s="1"/>
      <c r="AAP263" s="1"/>
      <c r="AAQ263" s="1"/>
      <c r="AAR263" s="1"/>
      <c r="AAS263" s="1"/>
      <c r="AAT263" s="1"/>
      <c r="AAU263" s="1"/>
      <c r="AAV263" s="1"/>
      <c r="AAW263" s="1"/>
      <c r="AAX263" s="1"/>
      <c r="AAY263" s="1"/>
      <c r="AAZ263" s="1"/>
      <c r="ABA263" s="1"/>
      <c r="ABB263" s="1"/>
      <c r="ABC263" s="1"/>
      <c r="ABD263" s="1"/>
      <c r="ABE263" s="1"/>
      <c r="ABF263" s="1"/>
      <c r="ABG263" s="1"/>
      <c r="ABH263" s="1"/>
      <c r="ABI263" s="1"/>
      <c r="ABJ263" s="1"/>
      <c r="ABK263" s="1"/>
      <c r="ABL263" s="1"/>
      <c r="ABM263" s="1"/>
      <c r="ABN263" s="1"/>
      <c r="ABO263" s="1"/>
      <c r="ABP263" s="1"/>
      <c r="ABQ263" s="1"/>
      <c r="ABR263" s="1"/>
      <c r="ABS263" s="1"/>
      <c r="ABT263" s="1"/>
      <c r="ABU263" s="1"/>
      <c r="ABV263" s="1"/>
      <c r="ABW263" s="1"/>
      <c r="ABX263" s="1"/>
      <c r="ABY263" s="1"/>
      <c r="ABZ263" s="1"/>
      <c r="ACA263" s="1"/>
      <c r="ACB263" s="1"/>
      <c r="ACC263" s="1"/>
      <c r="ACD263" s="1"/>
      <c r="ACE263" s="1"/>
      <c r="ACF263" s="1"/>
      <c r="ACG263" s="1"/>
      <c r="ACH263" s="1"/>
      <c r="ACI263" s="1"/>
      <c r="ACJ263" s="1"/>
      <c r="ACK263" s="1"/>
      <c r="ACL263" s="1"/>
      <c r="ACM263" s="1"/>
      <c r="ACN263" s="1"/>
      <c r="ACO263" s="1"/>
      <c r="ACP263" s="1"/>
      <c r="ACQ263" s="1"/>
      <c r="ACR263" s="1"/>
      <c r="ACS263" s="1"/>
      <c r="ACT263" s="1"/>
      <c r="ACU263" s="1"/>
      <c r="ACV263" s="1"/>
      <c r="ACW263" s="1"/>
      <c r="ACX263" s="1"/>
      <c r="ACY263" s="1"/>
      <c r="ACZ263" s="1"/>
      <c r="ADA263" s="1"/>
      <c r="ADB263" s="1"/>
      <c r="ADC263" s="1"/>
      <c r="ADD263" s="1"/>
      <c r="ADE263" s="1"/>
      <c r="ADF263" s="1"/>
      <c r="ADG263" s="1"/>
      <c r="ADH263" s="1"/>
      <c r="ADI263" s="1"/>
      <c r="ADJ263" s="1"/>
      <c r="ADK263" s="1"/>
      <c r="ADL263" s="1"/>
      <c r="ADM263" s="1"/>
      <c r="ADN263" s="1"/>
      <c r="ADO263" s="1"/>
      <c r="ADP263" s="1"/>
      <c r="ADQ263" s="1"/>
      <c r="ADR263" s="1"/>
      <c r="ADS263" s="1"/>
      <c r="ADT263" s="1"/>
      <c r="ADU263" s="1"/>
      <c r="ADV263" s="1"/>
      <c r="ADW263" s="1"/>
      <c r="ADX263" s="1"/>
      <c r="ADY263" s="1"/>
      <c r="ADZ263" s="1"/>
      <c r="AEA263" s="1"/>
      <c r="AEB263" s="1"/>
      <c r="AEC263" s="1"/>
      <c r="AED263" s="1"/>
      <c r="AEE263" s="1"/>
      <c r="AEF263" s="1"/>
      <c r="AEG263" s="1"/>
      <c r="AEH263" s="1"/>
      <c r="AEI263" s="1"/>
      <c r="AEJ263" s="1"/>
      <c r="AEK263" s="1"/>
      <c r="AEL263" s="1"/>
      <c r="AEM263" s="1"/>
      <c r="AEN263" s="1"/>
      <c r="AEO263" s="1"/>
      <c r="AEP263" s="1"/>
      <c r="AEQ263" s="1"/>
      <c r="AER263" s="1"/>
      <c r="AES263" s="1"/>
      <c r="AET263" s="1"/>
      <c r="AEU263" s="1"/>
      <c r="AEV263" s="1"/>
      <c r="AEW263" s="1"/>
      <c r="AEX263" s="1"/>
      <c r="AEY263" s="1"/>
      <c r="AEZ263" s="1"/>
      <c r="AFA263" s="1"/>
      <c r="AFB263" s="1"/>
      <c r="AFC263" s="1"/>
      <c r="AFD263" s="1"/>
      <c r="AFE263" s="1"/>
      <c r="AFF263" s="1"/>
      <c r="AFG263" s="1"/>
      <c r="AFH263" s="1"/>
      <c r="AFI263" s="1"/>
      <c r="AFJ263" s="1"/>
      <c r="AFK263" s="1"/>
      <c r="AFL263" s="1"/>
      <c r="AFM263" s="1"/>
      <c r="AFN263" s="1"/>
      <c r="AFO263" s="1"/>
      <c r="AFP263" s="1"/>
      <c r="AFQ263" s="1"/>
      <c r="AFR263" s="1"/>
      <c r="AFS263" s="1"/>
      <c r="AFT263" s="1"/>
      <c r="AFU263" s="1"/>
      <c r="AFV263" s="1"/>
      <c r="AFW263" s="1"/>
      <c r="AFX263" s="1"/>
      <c r="AFY263" s="1"/>
      <c r="AFZ263" s="1"/>
      <c r="AGA263" s="1"/>
      <c r="AGB263" s="1"/>
      <c r="AGC263" s="1"/>
      <c r="AGD263" s="1"/>
      <c r="AGE263" s="1"/>
      <c r="AGF263" s="1"/>
      <c r="AGG263" s="1"/>
      <c r="AGH263" s="1"/>
      <c r="AGI263" s="1"/>
      <c r="AGJ263" s="1"/>
      <c r="AGK263" s="1"/>
      <c r="AGL263" s="1"/>
      <c r="AGM263" s="1"/>
      <c r="AGN263" s="1"/>
      <c r="AGO263" s="1"/>
      <c r="AGP263" s="1"/>
      <c r="AGQ263" s="1"/>
      <c r="AGR263" s="1"/>
      <c r="AGS263" s="1"/>
      <c r="AGT263" s="1"/>
      <c r="AGU263" s="1"/>
      <c r="AGV263" s="1"/>
      <c r="AGW263" s="1"/>
      <c r="AGX263" s="1"/>
      <c r="AGY263" s="1"/>
      <c r="AGZ263" s="1"/>
      <c r="AHA263" s="1"/>
      <c r="AHB263" s="1"/>
      <c r="AHC263" s="1"/>
      <c r="AHD263" s="1"/>
      <c r="AHE263" s="1"/>
      <c r="AHF263" s="1"/>
      <c r="AHG263" s="1"/>
      <c r="AHH263" s="1"/>
      <c r="AHI263" s="1"/>
      <c r="AHJ263" s="1"/>
      <c r="AHK263" s="1"/>
      <c r="AHL263" s="1"/>
      <c r="AHM263" s="1"/>
      <c r="AHN263" s="1"/>
      <c r="AHO263" s="1"/>
      <c r="AHP263" s="1"/>
      <c r="AHQ263" s="1"/>
      <c r="AHR263" s="1"/>
      <c r="AHS263" s="1"/>
      <c r="AHT263" s="1"/>
      <c r="AHU263" s="1"/>
      <c r="AHV263" s="1"/>
      <c r="AHW263" s="1"/>
      <c r="AHX263" s="1"/>
      <c r="AHY263" s="1"/>
      <c r="AHZ263" s="1"/>
      <c r="AIA263" s="1"/>
      <c r="AIB263" s="1"/>
      <c r="AIC263" s="1"/>
      <c r="AID263" s="1"/>
      <c r="AIE263" s="1"/>
      <c r="AIF263" s="1"/>
      <c r="AIG263" s="1"/>
      <c r="AIH263" s="1"/>
      <c r="AII263" s="1"/>
      <c r="AIJ263" s="1"/>
      <c r="AIK263" s="1"/>
      <c r="AIL263" s="1"/>
      <c r="AIM263" s="1"/>
      <c r="AIN263" s="1"/>
      <c r="AIO263" s="1"/>
      <c r="AIP263" s="1"/>
      <c r="AIQ263" s="1"/>
      <c r="AIR263" s="1"/>
      <c r="AIS263" s="1"/>
      <c r="AIT263" s="1"/>
      <c r="AIU263" s="1"/>
      <c r="AIV263" s="1"/>
      <c r="AIW263" s="1"/>
      <c r="AIX263" s="1"/>
      <c r="AIY263" s="1"/>
      <c r="AIZ263" s="1"/>
      <c r="AJA263" s="1"/>
      <c r="AJB263" s="1"/>
      <c r="AJC263" s="1"/>
      <c r="AJD263" s="1"/>
      <c r="AJE263" s="1"/>
      <c r="AJF263" s="1"/>
      <c r="AJG263" s="1"/>
      <c r="AJH263" s="1"/>
      <c r="AJI263" s="1"/>
      <c r="AJJ263" s="1"/>
      <c r="AJK263" s="1"/>
      <c r="AJL263" s="1"/>
      <c r="AJM263" s="1"/>
      <c r="AJN263" s="1"/>
      <c r="AJO263" s="1"/>
      <c r="AJP263" s="1"/>
      <c r="AJQ263" s="1"/>
      <c r="AJR263" s="1"/>
      <c r="AJS263" s="1"/>
      <c r="AJT263" s="1"/>
      <c r="AJU263" s="1"/>
      <c r="AJV263" s="1"/>
      <c r="AJW263" s="1"/>
      <c r="AJX263" s="1"/>
      <c r="AJY263" s="1"/>
      <c r="AJZ263" s="1"/>
      <c r="AKA263" s="1"/>
      <c r="AKB263" s="1"/>
      <c r="AKC263" s="1"/>
      <c r="AKD263" s="1"/>
      <c r="AKE263" s="1"/>
      <c r="AKF263" s="1"/>
      <c r="AKG263" s="1"/>
      <c r="AKH263" s="1"/>
      <c r="AKI263" s="1"/>
      <c r="AKJ263" s="1"/>
      <c r="AKK263" s="1"/>
      <c r="AKL263" s="1"/>
      <c r="AKM263" s="1"/>
      <c r="AKN263" s="1"/>
      <c r="AKO263" s="1"/>
      <c r="AKP263" s="1"/>
      <c r="AKQ263" s="1"/>
      <c r="AKR263" s="1"/>
      <c r="AKS263" s="1"/>
      <c r="AKT263" s="1"/>
      <c r="AKU263" s="1"/>
      <c r="AKV263" s="1"/>
      <c r="AKW263" s="1"/>
      <c r="AKX263" s="1"/>
      <c r="AKY263" s="1"/>
      <c r="AKZ263" s="1"/>
      <c r="ALA263" s="1"/>
      <c r="ALB263" s="1"/>
      <c r="ALC263" s="1"/>
      <c r="ALD263" s="1"/>
      <c r="ALE263" s="1"/>
      <c r="ALF263" s="1"/>
      <c r="ALG263" s="1"/>
      <c r="ALH263" s="1"/>
      <c r="ALI263" s="1"/>
      <c r="ALJ263" s="1"/>
      <c r="ALK263" s="1"/>
      <c r="ALL263" s="1"/>
      <c r="ALM263" s="1"/>
      <c r="ALN263" s="1"/>
      <c r="ALO263" s="1"/>
      <c r="ALP263" s="1"/>
      <c r="ALQ263" s="1"/>
      <c r="ALR263" s="1"/>
      <c r="ALS263" s="1"/>
      <c r="ALT263" s="1"/>
      <c r="ALU263" s="1"/>
      <c r="ALV263" s="1"/>
      <c r="ALW263" s="1"/>
      <c r="ALX263" s="1"/>
      <c r="ALY263" s="1"/>
      <c r="ALZ263" s="1"/>
      <c r="AMA263" s="1"/>
      <c r="AMB263" s="1"/>
      <c r="AMC263" s="1"/>
      <c r="AMD263" s="1"/>
      <c r="AME263" s="1"/>
      <c r="AMF263" s="1"/>
      <c r="AMG263" s="1"/>
      <c r="AMH263" s="1"/>
      <c r="AMI263" s="1"/>
      <c r="AMJ263" s="1"/>
      <c r="AMK263" s="1"/>
      <c r="AML263" s="1"/>
      <c r="AMM263" s="1"/>
      <c r="AMN263" s="1"/>
      <c r="AMO263" s="1"/>
    </row>
    <row r="264" spans="1:1029" x14ac:dyDescent="0.2">
      <c r="A264" s="9" t="str">
        <f>CONCATENATE(B264,"_",C264)</f>
        <v>pe2r4_human_5YHL</v>
      </c>
      <c r="B264" s="9" t="s">
        <v>364</v>
      </c>
      <c r="C264" s="9" t="s">
        <v>1561</v>
      </c>
      <c r="D264" s="9" t="str">
        <f>IFERROR(MID(VLOOKUP($B264,Seqs!$A:$B,2,0),E264,1),"")</f>
        <v>N</v>
      </c>
      <c r="E264" s="9">
        <v>18</v>
      </c>
      <c r="F264" s="9" t="str">
        <f>IFERROR(MID(VLOOKUP($B264,Seqs!$A:$B,2,0),G264,1),"")</f>
        <v>C</v>
      </c>
      <c r="G264" s="9">
        <v>43</v>
      </c>
      <c r="H264" s="9" t="str">
        <f>IFERROR(MID(VLOOKUP($B264,Seqs!$A:$B,2,0),I264,1),"")</f>
        <v/>
      </c>
      <c r="I264" s="109" t="s">
        <v>23</v>
      </c>
      <c r="J264" s="9" t="str">
        <f>IFERROR(MID(VLOOKUP($B264,Seqs!$A:$B,2,0),K264,1),"")</f>
        <v/>
      </c>
      <c r="K264" s="109" t="s">
        <v>23</v>
      </c>
      <c r="L264" s="9" t="str">
        <f>IFERROR(MID(VLOOKUP($B264,Seqs!$A:$B,2,0),M264,1),"")</f>
        <v>E</v>
      </c>
      <c r="M264" s="9">
        <v>51</v>
      </c>
      <c r="N264" s="9" t="str">
        <f>IFERROR(MID(VLOOKUP($B264,Seqs!$A:$B,2,0),O264,1),"")</f>
        <v>K</v>
      </c>
      <c r="O264" s="9">
        <v>82</v>
      </c>
      <c r="P264" s="9" t="str">
        <f>IFERROR(MID(VLOOKUP($B264,Seqs!$A:$B,2,0),Q264,1),"")</f>
        <v/>
      </c>
      <c r="Q264" s="9" t="s">
        <v>23</v>
      </c>
      <c r="R264" s="9" t="str">
        <f>IFERROR(MID(VLOOKUP($B264,Seqs!$A:$B,2,0),S264,1),"")</f>
        <v/>
      </c>
      <c r="S264" s="9" t="s">
        <v>23</v>
      </c>
      <c r="T264" s="9" t="str">
        <f>IFERROR(MID(VLOOKUP($B264,Seqs!$A:$B,2,0),U264,1),"")</f>
        <v>G</v>
      </c>
      <c r="U264" s="9">
        <v>88</v>
      </c>
      <c r="V264" s="9" t="str">
        <f>IFERROR(MID(VLOOKUP($B264,Seqs!$A:$B,2,0),W264,1),"")</f>
        <v>H</v>
      </c>
      <c r="W264" s="9">
        <v>123</v>
      </c>
      <c r="X264" s="9" t="str">
        <f>IFERROR(MID(VLOOKUP($B264,Seqs!$A:$B,2,0),Y264,1),"")</f>
        <v>A</v>
      </c>
      <c r="Y264" s="9">
        <v>124</v>
      </c>
      <c r="Z264" s="9" t="str">
        <f>IFERROR(MID(VLOOKUP($B264,Seqs!$A:$B,2,0),AA264,1),"")</f>
        <v>V</v>
      </c>
      <c r="AA264" s="9">
        <v>131</v>
      </c>
      <c r="AB264" s="9" t="str">
        <f>IFERROR(MID(VLOOKUP($B264,Seqs!$A:$B,2,0),AC264,1),"")</f>
        <v>D</v>
      </c>
      <c r="AC264" s="9">
        <v>132</v>
      </c>
      <c r="AD264" s="9" t="str">
        <f>IFERROR(MID(VLOOKUP($B264,Seqs!$A:$B,2,0),AE264,1),"")</f>
        <v>G</v>
      </c>
      <c r="AE264" s="9">
        <v>157</v>
      </c>
      <c r="AF264" s="9" t="str">
        <f>IFERROR(MID(VLOOKUP($B264,Seqs!$A:$B,2,0),AG264,1),"")</f>
        <v>C</v>
      </c>
      <c r="AG264" s="9">
        <v>170</v>
      </c>
      <c r="AH264" s="9" t="str">
        <f>IFERROR(MID(VLOOKUP($B264,Seqs!$A:$B,2,0),AI264,1),"")</f>
        <v>I</v>
      </c>
      <c r="AI264" s="9">
        <v>172</v>
      </c>
      <c r="AJ264" s="9" t="str">
        <f>IFERROR(MID(VLOOKUP($B264,Seqs!$A:$B,2,0),AK264,1),"")</f>
        <v>V</v>
      </c>
      <c r="AK264" s="9">
        <v>178</v>
      </c>
      <c r="AL264" s="9" t="str">
        <f>IFERROR(MID(VLOOKUP($B264,Seqs!$A:$B,2,0),AM264,1),"")</f>
        <v>H</v>
      </c>
      <c r="AM264" s="9">
        <v>214</v>
      </c>
      <c r="AN264" s="9" t="str">
        <f>IFERROR(MID(VLOOKUP($B264,Seqs!$A:$B,2,0),AO264,1),"")</f>
        <v>A</v>
      </c>
      <c r="AO264" s="9">
        <v>266</v>
      </c>
      <c r="AP264" s="9" t="str">
        <f>IFERROR(MID(VLOOKUP($B264,Seqs!$A:$B,2,0),AQ264,1),"")</f>
        <v>Y</v>
      </c>
      <c r="AQ264" s="9">
        <v>298</v>
      </c>
      <c r="AR264" s="9" t="str">
        <f>IFERROR(MID(VLOOKUP($B264,Seqs!$A:$B,2,0),AS264,1),"")</f>
        <v>N</v>
      </c>
      <c r="AS264" s="9">
        <v>309</v>
      </c>
      <c r="AT264" s="9" t="str">
        <f>IFERROR(MID(VLOOKUP($B264,Seqs!$A:$B,2,0),AU264,1),"")</f>
        <v>L</v>
      </c>
      <c r="AU264" s="9">
        <v>332</v>
      </c>
      <c r="AV264" s="9" t="str">
        <f>IFERROR(MID(VLOOKUP($B264,Seqs!$A:$B,2,0),AW264,1),"")</f>
        <v>R</v>
      </c>
      <c r="AW264" s="9">
        <v>333</v>
      </c>
      <c r="AX264" s="9" t="str">
        <f>IFERROR(MID(VLOOKUP($B264,Seqs!$A:$B,2,0),AY264,1),"")</f>
        <v>I</v>
      </c>
      <c r="AY264" s="9">
        <v>344</v>
      </c>
      <c r="AZ264" s="110" t="str">
        <f>VLOOKUP(B264,Classification!A:D,2,0)</f>
        <v>A</v>
      </c>
      <c r="BA264" s="98" t="str">
        <f>VLOOKUP(B264,Classification!A:D,4,0)</f>
        <v>Prostanoid</v>
      </c>
      <c r="BB264" s="36" t="b">
        <f>AND(E264&lt;G264,OR(G264&lt;I264,I264="-"),OR(I264&lt;K264,I264="-"),OR(K264&lt;M264,K264="-"),M264&lt;O264,OR(O264&lt;Q264,Q264="-"),OR(Q264&lt;S264,Q264="-"),OR(S264&lt;U264,S264="-"),U264&lt;W264,OR(W264&lt;Y264,Y264="-"),OR(Y264&lt;AA264,Y264="-"),OR(AA264&lt;AC264,AA264="-"),AC264&lt;AE264,OR(AE264&lt;AG264,AG264="-"),OR(AG264&lt;AI264,AG264="-"),OR(AI264&lt;AK264,AI264="-"),AK264&lt;AM264,AM264&lt;AO264,AO264&lt;AQ264,AQ264&lt;AS264,AS264&lt;AU264,OR(AU264&lt;AW264,AW264="-"),OR(AW264&lt;AY264,AW264="-"))</f>
        <v>1</v>
      </c>
      <c r="BC264" s="109">
        <f>_xlfn.AGGREGATE(9,6,CH264:CS264)-_xlfn.AGGREGATE(9,6,BV264:CG264)+12</f>
        <v>239</v>
      </c>
      <c r="BD264" s="40" t="s">
        <v>23</v>
      </c>
      <c r="BE264" s="9" t="s">
        <v>1381</v>
      </c>
      <c r="BF264" s="120">
        <v>4.2</v>
      </c>
      <c r="BG264" s="51" t="s">
        <v>1</v>
      </c>
      <c r="BH264" s="51" t="s">
        <v>1</v>
      </c>
      <c r="BI264" s="12"/>
      <c r="BJ264" s="111" t="s">
        <v>1293</v>
      </c>
      <c r="BK264" s="112" t="s">
        <v>1293</v>
      </c>
      <c r="BL264" s="112" t="s">
        <v>1293</v>
      </c>
      <c r="BM264" s="112" t="s">
        <v>1293</v>
      </c>
      <c r="BN264" s="112" t="s">
        <v>1293</v>
      </c>
      <c r="BO264" s="112" t="s">
        <v>1293</v>
      </c>
      <c r="BP264" s="112" t="s">
        <v>1293</v>
      </c>
      <c r="BQ264" s="112" t="s">
        <v>1293</v>
      </c>
      <c r="BR264" s="112" t="s">
        <v>1293</v>
      </c>
      <c r="BS264" s="112" t="s">
        <v>1293</v>
      </c>
      <c r="BT264" s="112" t="s">
        <v>1293</v>
      </c>
      <c r="BU264" s="112" t="s">
        <v>1293</v>
      </c>
      <c r="BV264" s="111">
        <f>E264</f>
        <v>18</v>
      </c>
      <c r="BW264" s="113" t="str">
        <f>I264</f>
        <v>-</v>
      </c>
      <c r="BX264" s="114">
        <f>M264</f>
        <v>51</v>
      </c>
      <c r="BY264" s="113" t="str">
        <f>Q264</f>
        <v>-</v>
      </c>
      <c r="BZ264" s="114">
        <f>U264</f>
        <v>88</v>
      </c>
      <c r="CA264" s="113">
        <f>Y264</f>
        <v>124</v>
      </c>
      <c r="CB264" s="114">
        <f>AC264</f>
        <v>132</v>
      </c>
      <c r="CC264" s="113">
        <f>AG264</f>
        <v>170</v>
      </c>
      <c r="CD264" s="114">
        <f>AK264</f>
        <v>178</v>
      </c>
      <c r="CE264" s="113">
        <f>AO264</f>
        <v>266</v>
      </c>
      <c r="CF264" s="114">
        <f>AS264</f>
        <v>309</v>
      </c>
      <c r="CG264" s="113">
        <f>AW264</f>
        <v>333</v>
      </c>
      <c r="CH264" s="111">
        <f>G264</f>
        <v>43</v>
      </c>
      <c r="CI264" s="113" t="str">
        <f>K264</f>
        <v>-</v>
      </c>
      <c r="CJ264" s="114">
        <f>O264</f>
        <v>82</v>
      </c>
      <c r="CK264" s="114" t="str">
        <f>S264</f>
        <v>-</v>
      </c>
      <c r="CL264" s="114">
        <f>W264</f>
        <v>123</v>
      </c>
      <c r="CM264" s="114">
        <f>AA264</f>
        <v>131</v>
      </c>
      <c r="CN264" s="114">
        <f>AE264</f>
        <v>157</v>
      </c>
      <c r="CO264" s="114">
        <f>AI264</f>
        <v>172</v>
      </c>
      <c r="CP264" s="114">
        <f>AM264</f>
        <v>214</v>
      </c>
      <c r="CQ264" s="114">
        <f>AQ264</f>
        <v>298</v>
      </c>
      <c r="CR264" s="114">
        <f>AU264</f>
        <v>332</v>
      </c>
      <c r="CS264" s="114">
        <f>AY264</f>
        <v>344</v>
      </c>
      <c r="CT264" s="109" t="e">
        <f>M264-K264</f>
        <v>#VALUE!</v>
      </c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  <c r="OK264" s="1"/>
      <c r="OL264" s="1"/>
      <c r="OM264" s="1"/>
      <c r="ON264" s="1"/>
      <c r="OO264" s="1"/>
      <c r="OP264" s="1"/>
      <c r="OQ264" s="1"/>
      <c r="OR264" s="1"/>
      <c r="OS264" s="1"/>
      <c r="OT264" s="1"/>
      <c r="OU264" s="1"/>
      <c r="OV264" s="1"/>
      <c r="OW264" s="1"/>
      <c r="OX264" s="1"/>
      <c r="OY264" s="1"/>
      <c r="OZ264" s="1"/>
      <c r="PA264" s="1"/>
      <c r="PB264" s="1"/>
      <c r="PC264" s="1"/>
      <c r="PD264" s="1"/>
      <c r="PE264" s="1"/>
      <c r="PF264" s="1"/>
      <c r="PG264" s="1"/>
      <c r="PH264" s="1"/>
      <c r="PI264" s="1"/>
      <c r="PJ264" s="1"/>
      <c r="PK264" s="1"/>
      <c r="PL264" s="1"/>
      <c r="PM264" s="1"/>
      <c r="PN264" s="1"/>
      <c r="PO264" s="1"/>
      <c r="PP264" s="1"/>
      <c r="PQ264" s="1"/>
      <c r="PR264" s="1"/>
      <c r="PS264" s="1"/>
      <c r="PT264" s="1"/>
      <c r="PU264" s="1"/>
      <c r="PV264" s="1"/>
      <c r="PW264" s="1"/>
      <c r="PX264" s="1"/>
      <c r="PY264" s="1"/>
      <c r="PZ264" s="1"/>
      <c r="QA264" s="1"/>
      <c r="QB264" s="1"/>
      <c r="QC264" s="1"/>
      <c r="QD264" s="1"/>
      <c r="QE264" s="1"/>
      <c r="QF264" s="1"/>
      <c r="QG264" s="1"/>
      <c r="QH264" s="1"/>
      <c r="QI264" s="1"/>
      <c r="QJ264" s="1"/>
      <c r="QK264" s="1"/>
      <c r="QL264" s="1"/>
      <c r="QM264" s="1"/>
      <c r="QN264" s="1"/>
      <c r="QO264" s="1"/>
      <c r="QP264" s="1"/>
      <c r="QQ264" s="1"/>
      <c r="QR264" s="1"/>
      <c r="QS264" s="1"/>
      <c r="QT264" s="1"/>
      <c r="QU264" s="1"/>
      <c r="QV264" s="1"/>
      <c r="QW264" s="1"/>
      <c r="QX264" s="1"/>
      <c r="QY264" s="1"/>
      <c r="QZ264" s="1"/>
      <c r="RA264" s="1"/>
      <c r="RB264" s="1"/>
      <c r="RC264" s="1"/>
      <c r="RD264" s="1"/>
      <c r="RE264" s="1"/>
      <c r="RF264" s="1"/>
      <c r="RG264" s="1"/>
      <c r="RH264" s="1"/>
      <c r="RI264" s="1"/>
      <c r="RJ264" s="1"/>
      <c r="RK264" s="1"/>
      <c r="RL264" s="1"/>
      <c r="RM264" s="1"/>
      <c r="RN264" s="1"/>
      <c r="RO264" s="1"/>
      <c r="RP264" s="1"/>
      <c r="RQ264" s="1"/>
      <c r="RR264" s="1"/>
      <c r="RS264" s="1"/>
      <c r="RT264" s="1"/>
      <c r="RU264" s="1"/>
      <c r="RV264" s="1"/>
      <c r="RW264" s="1"/>
      <c r="RX264" s="1"/>
      <c r="RY264" s="1"/>
      <c r="RZ264" s="1"/>
      <c r="SA264" s="1"/>
      <c r="SB264" s="1"/>
      <c r="SC264" s="1"/>
      <c r="SD264" s="1"/>
      <c r="SE264" s="1"/>
      <c r="SF264" s="1"/>
      <c r="SG264" s="1"/>
      <c r="SH264" s="1"/>
      <c r="SI264" s="1"/>
      <c r="SJ264" s="1"/>
      <c r="SK264" s="1"/>
      <c r="SL264" s="1"/>
      <c r="SM264" s="1"/>
      <c r="SN264" s="1"/>
      <c r="SO264" s="1"/>
      <c r="SP264" s="1"/>
      <c r="SQ264" s="1"/>
      <c r="SR264" s="1"/>
      <c r="SS264" s="1"/>
      <c r="ST264" s="1"/>
      <c r="SU264" s="1"/>
      <c r="SV264" s="1"/>
      <c r="SW264" s="1"/>
      <c r="SX264" s="1"/>
      <c r="SY264" s="1"/>
      <c r="SZ264" s="1"/>
      <c r="TA264" s="1"/>
      <c r="TB264" s="1"/>
      <c r="TC264" s="1"/>
      <c r="TD264" s="1"/>
      <c r="TE264" s="1"/>
      <c r="TF264" s="1"/>
      <c r="TG264" s="1"/>
      <c r="TH264" s="1"/>
      <c r="TI264" s="1"/>
      <c r="TJ264" s="1"/>
      <c r="TK264" s="1"/>
      <c r="TL264" s="1"/>
      <c r="TM264" s="1"/>
      <c r="TN264" s="1"/>
      <c r="TO264" s="1"/>
      <c r="TP264" s="1"/>
      <c r="TQ264" s="1"/>
      <c r="TR264" s="1"/>
      <c r="TS264" s="1"/>
      <c r="TT264" s="1"/>
      <c r="TU264" s="1"/>
      <c r="TV264" s="1"/>
      <c r="TW264" s="1"/>
      <c r="TX264" s="1"/>
      <c r="TY264" s="1"/>
      <c r="TZ264" s="1"/>
      <c r="UA264" s="1"/>
      <c r="UB264" s="1"/>
      <c r="UC264" s="1"/>
      <c r="UD264" s="1"/>
      <c r="UE264" s="1"/>
      <c r="UF264" s="1"/>
      <c r="UG264" s="1"/>
      <c r="UH264" s="1"/>
      <c r="UI264" s="1"/>
      <c r="UJ264" s="1"/>
      <c r="UK264" s="1"/>
      <c r="UL264" s="1"/>
      <c r="UM264" s="1"/>
      <c r="UN264" s="1"/>
      <c r="UO264" s="1"/>
      <c r="UP264" s="1"/>
      <c r="UQ264" s="1"/>
      <c r="UR264" s="1"/>
      <c r="US264" s="1"/>
      <c r="UT264" s="1"/>
      <c r="UU264" s="1"/>
      <c r="UV264" s="1"/>
      <c r="UW264" s="1"/>
      <c r="UX264" s="1"/>
      <c r="UY264" s="1"/>
      <c r="UZ264" s="1"/>
      <c r="VA264" s="1"/>
      <c r="VB264" s="1"/>
      <c r="VC264" s="1"/>
      <c r="VD264" s="1"/>
      <c r="VE264" s="1"/>
      <c r="VF264" s="1"/>
      <c r="VG264" s="1"/>
      <c r="VH264" s="1"/>
      <c r="VI264" s="1"/>
      <c r="VJ264" s="1"/>
      <c r="VK264" s="1"/>
      <c r="VL264" s="1"/>
      <c r="VM264" s="1"/>
      <c r="VN264" s="1"/>
      <c r="VO264" s="1"/>
      <c r="VP264" s="1"/>
      <c r="VQ264" s="1"/>
      <c r="VR264" s="1"/>
      <c r="VS264" s="1"/>
      <c r="VT264" s="1"/>
      <c r="VU264" s="1"/>
      <c r="VV264" s="1"/>
      <c r="VW264" s="1"/>
      <c r="VX264" s="1"/>
      <c r="VY264" s="1"/>
      <c r="VZ264" s="1"/>
      <c r="WA264" s="1"/>
      <c r="WB264" s="1"/>
      <c r="WC264" s="1"/>
      <c r="WD264" s="1"/>
      <c r="WE264" s="1"/>
      <c r="WF264" s="1"/>
      <c r="WG264" s="1"/>
      <c r="WH264" s="1"/>
      <c r="WI264" s="1"/>
      <c r="WJ264" s="1"/>
      <c r="WK264" s="1"/>
      <c r="WL264" s="1"/>
      <c r="WM264" s="1"/>
      <c r="WN264" s="1"/>
      <c r="WO264" s="1"/>
      <c r="WP264" s="1"/>
      <c r="WQ264" s="1"/>
      <c r="WR264" s="1"/>
      <c r="WS264" s="1"/>
      <c r="WT264" s="1"/>
      <c r="WU264" s="1"/>
      <c r="WV264" s="1"/>
      <c r="WW264" s="1"/>
      <c r="WX264" s="1"/>
      <c r="WY264" s="1"/>
      <c r="WZ264" s="1"/>
      <c r="XA264" s="1"/>
      <c r="XB264" s="1"/>
      <c r="XC264" s="1"/>
      <c r="XD264" s="1"/>
      <c r="XE264" s="1"/>
      <c r="XF264" s="1"/>
      <c r="XG264" s="1"/>
      <c r="XH264" s="1"/>
      <c r="XI264" s="1"/>
      <c r="XJ264" s="1"/>
      <c r="XK264" s="1"/>
      <c r="XL264" s="1"/>
      <c r="XM264" s="1"/>
      <c r="XN264" s="1"/>
      <c r="XO264" s="1"/>
      <c r="XP264" s="1"/>
      <c r="XQ264" s="1"/>
      <c r="XR264" s="1"/>
      <c r="XS264" s="1"/>
      <c r="XT264" s="1"/>
      <c r="XU264" s="1"/>
      <c r="XV264" s="1"/>
      <c r="XW264" s="1"/>
      <c r="XX264" s="1"/>
      <c r="XY264" s="1"/>
      <c r="XZ264" s="1"/>
      <c r="YA264" s="1"/>
      <c r="YB264" s="1"/>
      <c r="YC264" s="1"/>
      <c r="YD264" s="1"/>
      <c r="YE264" s="1"/>
      <c r="YF264" s="1"/>
      <c r="YG264" s="1"/>
      <c r="YH264" s="1"/>
      <c r="YI264" s="1"/>
      <c r="YJ264" s="1"/>
      <c r="YK264" s="1"/>
      <c r="YL264" s="1"/>
      <c r="YM264" s="1"/>
      <c r="YN264" s="1"/>
      <c r="YO264" s="1"/>
      <c r="YP264" s="1"/>
      <c r="YQ264" s="1"/>
      <c r="YR264" s="1"/>
      <c r="YS264" s="1"/>
      <c r="YT264" s="1"/>
      <c r="YU264" s="1"/>
      <c r="YV264" s="1"/>
      <c r="YW264" s="1"/>
      <c r="YX264" s="1"/>
      <c r="YY264" s="1"/>
      <c r="YZ264" s="1"/>
      <c r="ZA264" s="1"/>
      <c r="ZB264" s="1"/>
      <c r="ZC264" s="1"/>
      <c r="ZD264" s="1"/>
      <c r="ZE264" s="1"/>
      <c r="ZF264" s="1"/>
      <c r="ZG264" s="1"/>
      <c r="ZH264" s="1"/>
      <c r="ZI264" s="1"/>
      <c r="ZJ264" s="1"/>
      <c r="ZK264" s="1"/>
      <c r="ZL264" s="1"/>
      <c r="ZM264" s="1"/>
      <c r="ZN264" s="1"/>
      <c r="ZO264" s="1"/>
      <c r="ZP264" s="1"/>
      <c r="ZQ264" s="1"/>
      <c r="ZR264" s="1"/>
      <c r="ZS264" s="1"/>
      <c r="ZT264" s="1"/>
      <c r="ZU264" s="1"/>
      <c r="ZV264" s="1"/>
      <c r="ZW264" s="1"/>
      <c r="ZX264" s="1"/>
      <c r="ZY264" s="1"/>
      <c r="ZZ264" s="1"/>
      <c r="AAA264" s="1"/>
      <c r="AAB264" s="1"/>
      <c r="AAC264" s="1"/>
      <c r="AAD264" s="1"/>
      <c r="AAE264" s="1"/>
      <c r="AAF264" s="1"/>
      <c r="AAG264" s="1"/>
      <c r="AAH264" s="1"/>
      <c r="AAI264" s="1"/>
      <c r="AAJ264" s="1"/>
      <c r="AAK264" s="1"/>
      <c r="AAL264" s="1"/>
      <c r="AAM264" s="1"/>
      <c r="AAN264" s="1"/>
      <c r="AAO264" s="1"/>
      <c r="AAP264" s="1"/>
      <c r="AAQ264" s="1"/>
      <c r="AAR264" s="1"/>
      <c r="AAS264" s="1"/>
      <c r="AAT264" s="1"/>
      <c r="AAU264" s="1"/>
      <c r="AAV264" s="1"/>
      <c r="AAW264" s="1"/>
      <c r="AAX264" s="1"/>
      <c r="AAY264" s="1"/>
      <c r="AAZ264" s="1"/>
      <c r="ABA264" s="1"/>
      <c r="ABB264" s="1"/>
      <c r="ABC264" s="1"/>
      <c r="ABD264" s="1"/>
      <c r="ABE264" s="1"/>
      <c r="ABF264" s="1"/>
      <c r="ABG264" s="1"/>
      <c r="ABH264" s="1"/>
      <c r="ABI264" s="1"/>
      <c r="ABJ264" s="1"/>
      <c r="ABK264" s="1"/>
      <c r="ABL264" s="1"/>
      <c r="ABM264" s="1"/>
      <c r="ABN264" s="1"/>
      <c r="ABO264" s="1"/>
      <c r="ABP264" s="1"/>
      <c r="ABQ264" s="1"/>
      <c r="ABR264" s="1"/>
      <c r="ABS264" s="1"/>
      <c r="ABT264" s="1"/>
      <c r="ABU264" s="1"/>
      <c r="ABV264" s="1"/>
      <c r="ABW264" s="1"/>
      <c r="ABX264" s="1"/>
      <c r="ABY264" s="1"/>
      <c r="ABZ264" s="1"/>
      <c r="ACA264" s="1"/>
      <c r="ACB264" s="1"/>
      <c r="ACC264" s="1"/>
      <c r="ACD264" s="1"/>
      <c r="ACE264" s="1"/>
      <c r="ACF264" s="1"/>
      <c r="ACG264" s="1"/>
      <c r="ACH264" s="1"/>
      <c r="ACI264" s="1"/>
      <c r="ACJ264" s="1"/>
      <c r="ACK264" s="1"/>
      <c r="ACL264" s="1"/>
      <c r="ACM264" s="1"/>
      <c r="ACN264" s="1"/>
      <c r="ACO264" s="1"/>
      <c r="ACP264" s="1"/>
      <c r="ACQ264" s="1"/>
      <c r="ACR264" s="1"/>
      <c r="ACS264" s="1"/>
      <c r="ACT264" s="1"/>
      <c r="ACU264" s="1"/>
      <c r="ACV264" s="1"/>
      <c r="ACW264" s="1"/>
      <c r="ACX264" s="1"/>
      <c r="ACY264" s="1"/>
      <c r="ACZ264" s="1"/>
      <c r="ADA264" s="1"/>
      <c r="ADB264" s="1"/>
      <c r="ADC264" s="1"/>
      <c r="ADD264" s="1"/>
      <c r="ADE264" s="1"/>
      <c r="ADF264" s="1"/>
      <c r="ADG264" s="1"/>
      <c r="ADH264" s="1"/>
      <c r="ADI264" s="1"/>
      <c r="ADJ264" s="1"/>
      <c r="ADK264" s="1"/>
      <c r="ADL264" s="1"/>
      <c r="ADM264" s="1"/>
      <c r="ADN264" s="1"/>
      <c r="ADO264" s="1"/>
      <c r="ADP264" s="1"/>
      <c r="ADQ264" s="1"/>
      <c r="ADR264" s="1"/>
      <c r="ADS264" s="1"/>
      <c r="ADT264" s="1"/>
      <c r="ADU264" s="1"/>
      <c r="ADV264" s="1"/>
      <c r="ADW264" s="1"/>
      <c r="ADX264" s="1"/>
      <c r="ADY264" s="1"/>
      <c r="ADZ264" s="1"/>
      <c r="AEA264" s="1"/>
      <c r="AEB264" s="1"/>
      <c r="AEC264" s="1"/>
      <c r="AED264" s="1"/>
      <c r="AEE264" s="1"/>
      <c r="AEF264" s="1"/>
      <c r="AEG264" s="1"/>
      <c r="AEH264" s="1"/>
      <c r="AEI264" s="1"/>
      <c r="AEJ264" s="1"/>
      <c r="AEK264" s="1"/>
      <c r="AEL264" s="1"/>
      <c r="AEM264" s="1"/>
      <c r="AEN264" s="1"/>
      <c r="AEO264" s="1"/>
      <c r="AEP264" s="1"/>
      <c r="AEQ264" s="1"/>
      <c r="AER264" s="1"/>
      <c r="AES264" s="1"/>
      <c r="AET264" s="1"/>
      <c r="AEU264" s="1"/>
      <c r="AEV264" s="1"/>
      <c r="AEW264" s="1"/>
      <c r="AEX264" s="1"/>
      <c r="AEY264" s="1"/>
      <c r="AEZ264" s="1"/>
      <c r="AFA264" s="1"/>
      <c r="AFB264" s="1"/>
      <c r="AFC264" s="1"/>
      <c r="AFD264" s="1"/>
      <c r="AFE264" s="1"/>
      <c r="AFF264" s="1"/>
      <c r="AFG264" s="1"/>
      <c r="AFH264" s="1"/>
      <c r="AFI264" s="1"/>
      <c r="AFJ264" s="1"/>
      <c r="AFK264" s="1"/>
      <c r="AFL264" s="1"/>
      <c r="AFM264" s="1"/>
      <c r="AFN264" s="1"/>
      <c r="AFO264" s="1"/>
      <c r="AFP264" s="1"/>
      <c r="AFQ264" s="1"/>
      <c r="AFR264" s="1"/>
      <c r="AFS264" s="1"/>
      <c r="AFT264" s="1"/>
      <c r="AFU264" s="1"/>
      <c r="AFV264" s="1"/>
      <c r="AFW264" s="1"/>
      <c r="AFX264" s="1"/>
      <c r="AFY264" s="1"/>
      <c r="AFZ264" s="1"/>
      <c r="AGA264" s="1"/>
      <c r="AGB264" s="1"/>
      <c r="AGC264" s="1"/>
      <c r="AGD264" s="1"/>
      <c r="AGE264" s="1"/>
      <c r="AGF264" s="1"/>
      <c r="AGG264" s="1"/>
      <c r="AGH264" s="1"/>
      <c r="AGI264" s="1"/>
      <c r="AGJ264" s="1"/>
      <c r="AGK264" s="1"/>
      <c r="AGL264" s="1"/>
      <c r="AGM264" s="1"/>
      <c r="AGN264" s="1"/>
      <c r="AGO264" s="1"/>
      <c r="AGP264" s="1"/>
      <c r="AGQ264" s="1"/>
      <c r="AGR264" s="1"/>
      <c r="AGS264" s="1"/>
      <c r="AGT264" s="1"/>
      <c r="AGU264" s="1"/>
      <c r="AGV264" s="1"/>
      <c r="AGW264" s="1"/>
      <c r="AGX264" s="1"/>
      <c r="AGY264" s="1"/>
      <c r="AGZ264" s="1"/>
      <c r="AHA264" s="1"/>
      <c r="AHB264" s="1"/>
      <c r="AHC264" s="1"/>
      <c r="AHD264" s="1"/>
      <c r="AHE264" s="1"/>
      <c r="AHF264" s="1"/>
      <c r="AHG264" s="1"/>
      <c r="AHH264" s="1"/>
      <c r="AHI264" s="1"/>
      <c r="AHJ264" s="1"/>
      <c r="AHK264" s="1"/>
      <c r="AHL264" s="1"/>
      <c r="AHM264" s="1"/>
      <c r="AHN264" s="1"/>
      <c r="AHO264" s="1"/>
      <c r="AHP264" s="1"/>
      <c r="AHQ264" s="1"/>
      <c r="AHR264" s="1"/>
      <c r="AHS264" s="1"/>
      <c r="AHT264" s="1"/>
      <c r="AHU264" s="1"/>
      <c r="AHV264" s="1"/>
      <c r="AHW264" s="1"/>
      <c r="AHX264" s="1"/>
      <c r="AHY264" s="1"/>
      <c r="AHZ264" s="1"/>
      <c r="AIA264" s="1"/>
      <c r="AIB264" s="1"/>
      <c r="AIC264" s="1"/>
      <c r="AID264" s="1"/>
      <c r="AIE264" s="1"/>
      <c r="AIF264" s="1"/>
      <c r="AIG264" s="1"/>
      <c r="AIH264" s="1"/>
      <c r="AII264" s="1"/>
      <c r="AIJ264" s="1"/>
      <c r="AIK264" s="1"/>
      <c r="AIL264" s="1"/>
      <c r="AIM264" s="1"/>
      <c r="AIN264" s="1"/>
      <c r="AIO264" s="1"/>
      <c r="AIP264" s="1"/>
      <c r="AIQ264" s="1"/>
      <c r="AIR264" s="1"/>
      <c r="AIS264" s="1"/>
      <c r="AIT264" s="1"/>
      <c r="AIU264" s="1"/>
      <c r="AIV264" s="1"/>
      <c r="AIW264" s="1"/>
      <c r="AIX264" s="1"/>
      <c r="AIY264" s="1"/>
      <c r="AIZ264" s="1"/>
      <c r="AJA264" s="1"/>
      <c r="AJB264" s="1"/>
      <c r="AJC264" s="1"/>
      <c r="AJD264" s="1"/>
      <c r="AJE264" s="1"/>
      <c r="AJF264" s="1"/>
      <c r="AJG264" s="1"/>
      <c r="AJH264" s="1"/>
      <c r="AJI264" s="1"/>
      <c r="AJJ264" s="1"/>
      <c r="AJK264" s="1"/>
      <c r="AJL264" s="1"/>
      <c r="AJM264" s="1"/>
      <c r="AJN264" s="1"/>
      <c r="AJO264" s="1"/>
      <c r="AJP264" s="1"/>
      <c r="AJQ264" s="1"/>
      <c r="AJR264" s="1"/>
      <c r="AJS264" s="1"/>
      <c r="AJT264" s="1"/>
      <c r="AJU264" s="1"/>
      <c r="AJV264" s="1"/>
      <c r="AJW264" s="1"/>
      <c r="AJX264" s="1"/>
      <c r="AJY264" s="1"/>
      <c r="AJZ264" s="1"/>
      <c r="AKA264" s="1"/>
      <c r="AKB264" s="1"/>
      <c r="AKC264" s="1"/>
      <c r="AKD264" s="1"/>
      <c r="AKE264" s="1"/>
      <c r="AKF264" s="1"/>
      <c r="AKG264" s="1"/>
      <c r="AKH264" s="1"/>
      <c r="AKI264" s="1"/>
      <c r="AKJ264" s="1"/>
      <c r="AKK264" s="1"/>
      <c r="AKL264" s="1"/>
      <c r="AKM264" s="1"/>
      <c r="AKN264" s="1"/>
      <c r="AKO264" s="1"/>
      <c r="AKP264" s="1"/>
      <c r="AKQ264" s="1"/>
      <c r="AKR264" s="1"/>
      <c r="AKS264" s="1"/>
      <c r="AKT264" s="1"/>
      <c r="AKU264" s="1"/>
      <c r="AKV264" s="1"/>
      <c r="AKW264" s="1"/>
      <c r="AKX264" s="1"/>
      <c r="AKY264" s="1"/>
      <c r="AKZ264" s="1"/>
      <c r="ALA264" s="1"/>
      <c r="ALB264" s="1"/>
      <c r="ALC264" s="1"/>
      <c r="ALD264" s="1"/>
      <c r="ALE264" s="1"/>
      <c r="ALF264" s="1"/>
      <c r="ALG264" s="1"/>
      <c r="ALH264" s="1"/>
      <c r="ALI264" s="1"/>
      <c r="ALJ264" s="1"/>
      <c r="ALK264" s="1"/>
      <c r="ALL264" s="1"/>
      <c r="ALM264" s="1"/>
      <c r="ALN264" s="1"/>
      <c r="ALO264" s="1"/>
      <c r="ALP264" s="1"/>
      <c r="ALQ264" s="1"/>
      <c r="ALR264" s="1"/>
      <c r="ALS264" s="1"/>
      <c r="ALT264" s="1"/>
      <c r="ALU264" s="1"/>
      <c r="ALV264" s="1"/>
      <c r="ALW264" s="1"/>
      <c r="ALX264" s="1"/>
      <c r="ALY264" s="1"/>
      <c r="ALZ264" s="1"/>
      <c r="AMA264" s="1"/>
      <c r="AMB264" s="1"/>
      <c r="AMC264" s="1"/>
      <c r="AMD264" s="1"/>
      <c r="AME264" s="1"/>
      <c r="AMF264" s="1"/>
      <c r="AMG264" s="1"/>
      <c r="AMH264" s="1"/>
      <c r="AMI264" s="1"/>
      <c r="AMJ264" s="1"/>
      <c r="AMK264" s="1"/>
      <c r="AML264" s="1"/>
      <c r="AMM264" s="1"/>
      <c r="AMN264" s="1"/>
      <c r="AMO264" s="1"/>
    </row>
    <row r="265" spans="1:1029" x14ac:dyDescent="0.2">
      <c r="A265" s="3" t="str">
        <f>CONCATENATE(B265,"_",C265)</f>
        <v>ptafr_human__wt</v>
      </c>
      <c r="B265" s="3" t="s">
        <v>371</v>
      </c>
      <c r="C265" s="3" t="s">
        <v>100</v>
      </c>
      <c r="D265" s="3" t="str">
        <f>IFERROR(MID(VLOOKUP($B265,Seqs!$A:$B,2,0),E265,1),"")</f>
        <v>D</v>
      </c>
      <c r="E265" s="3">
        <v>10</v>
      </c>
      <c r="F265" s="3" t="str">
        <f>IFERROR(MID(VLOOKUP($B265,Seqs!$A:$B,2,0),G265,1),"")</f>
        <v>Y</v>
      </c>
      <c r="G265" s="3">
        <v>44</v>
      </c>
      <c r="H265" s="3" t="str">
        <f>IFERROR(MID(VLOOKUP($B265,Seqs!$A:$B,2,0),I265,1),"")</f>
        <v/>
      </c>
      <c r="I265" s="23" t="s">
        <v>23</v>
      </c>
      <c r="J265" s="3" t="str">
        <f>IFERROR(MID(VLOOKUP($B265,Seqs!$A:$B,2,0),K265,1),"")</f>
        <v/>
      </c>
      <c r="K265" s="23" t="s">
        <v>23</v>
      </c>
      <c r="L265" s="3" t="str">
        <f>IFERROR(MID(VLOOKUP($B265,Seqs!$A:$B,2,0),M265,1),"")</f>
        <v>F</v>
      </c>
      <c r="M265" s="3">
        <v>49</v>
      </c>
      <c r="N265" s="3" t="str">
        <f>IFERROR(MID(VLOOKUP($B265,Seqs!$A:$B,2,0),O265,1),"")</f>
        <v>Q</v>
      </c>
      <c r="O265" s="3">
        <v>80</v>
      </c>
      <c r="P265" s="3" t="str">
        <f>IFERROR(MID(VLOOKUP($B265,Seqs!$A:$B,2,0),Q265,1),"")</f>
        <v>N</v>
      </c>
      <c r="Q265" s="3">
        <v>82</v>
      </c>
      <c r="R265" s="3" t="str">
        <f>IFERROR(MID(VLOOKUP($B265,Seqs!$A:$B,2,0),S265,1),"")</f>
        <v>L</v>
      </c>
      <c r="S265" s="3">
        <v>85</v>
      </c>
      <c r="T265" s="3" t="str">
        <f>IFERROR(MID(VLOOKUP($B265,Seqs!$A:$B,2,0),U265,1),"")</f>
        <v>P</v>
      </c>
      <c r="U265" s="3">
        <v>86</v>
      </c>
      <c r="V265" s="3" t="str">
        <f>IFERROR(MID(VLOOKUP($B265,Seqs!$A:$B,2,0),W265,1),"")</f>
        <v>R</v>
      </c>
      <c r="W265" s="3">
        <v>121</v>
      </c>
      <c r="X265" s="3" t="str">
        <f>IFERROR(MID(VLOOKUP($B265,Seqs!$A:$B,2,0),Y265,1),"")</f>
        <v>P</v>
      </c>
      <c r="Y265" s="3">
        <v>122</v>
      </c>
      <c r="Z265" s="3" t="str">
        <f>IFERROR(MID(VLOOKUP($B265,Seqs!$A:$B,2,0),AA265,1),"")</f>
        <v>N</v>
      </c>
      <c r="AA265" s="3">
        <v>129</v>
      </c>
      <c r="AB265" s="3" t="str">
        <f>IFERROR(MID(VLOOKUP($B265,Seqs!$A:$B,2,0),AC265,1),"")</f>
        <v>T</v>
      </c>
      <c r="AC265" s="3">
        <v>130</v>
      </c>
      <c r="AD265" s="3" t="str">
        <f>IFERROR(MID(VLOOKUP($B265,Seqs!$A:$B,2,0),AE265,1),"")</f>
        <v>L</v>
      </c>
      <c r="AE265" s="3">
        <v>155</v>
      </c>
      <c r="AF265" s="3" t="str">
        <f>IFERROR(MID(VLOOKUP($B265,Seqs!$A:$B,2,0),AG265,1),"")</f>
        <v>C</v>
      </c>
      <c r="AG265" s="3">
        <v>173</v>
      </c>
      <c r="AH265" s="3" t="str">
        <f>IFERROR(MID(VLOOKUP($B265,Seqs!$A:$B,2,0),AI265,1),"")</f>
        <v>E</v>
      </c>
      <c r="AI265" s="3">
        <v>175</v>
      </c>
      <c r="AJ265" s="3" t="str">
        <f>IFERROR(MID(VLOOKUP($B265,Seqs!$A:$B,2,0),AK265,1),"")</f>
        <v>S</v>
      </c>
      <c r="AK265" s="3">
        <v>181</v>
      </c>
      <c r="AL265" s="3" t="str">
        <f>IFERROR(MID(VLOOKUP($B265,Seqs!$A:$B,2,0),AM265,1),"")</f>
        <v>Q</v>
      </c>
      <c r="AM265" s="3">
        <v>216</v>
      </c>
      <c r="AN265" s="3" t="str">
        <f>IFERROR(MID(VLOOKUP($B265,Seqs!$A:$B,2,0),AO265,1),"")</f>
        <v>Q</v>
      </c>
      <c r="AO265" s="3">
        <v>221</v>
      </c>
      <c r="AP265" s="3" t="str">
        <f>IFERROR(MID(VLOOKUP($B265,Seqs!$A:$B,2,0),AQ265,1),"")</f>
        <v>G</v>
      </c>
      <c r="AQ265" s="3">
        <v>261</v>
      </c>
      <c r="AR265" s="3" t="str">
        <f>IFERROR(MID(VLOOKUP($B265,Seqs!$A:$B,2,0),AS265,1),"")</f>
        <v>D</v>
      </c>
      <c r="AS265" s="3">
        <v>264</v>
      </c>
      <c r="AT265" s="3" t="str">
        <f>IFERROR(MID(VLOOKUP($B265,Seqs!$A:$B,2,0),AU265,1),"")</f>
        <v>K</v>
      </c>
      <c r="AU265" s="3">
        <v>299</v>
      </c>
      <c r="AV265" s="3" t="str">
        <f>IFERROR(MID(VLOOKUP($B265,Seqs!$A:$B,2,0),AW265,1),"")</f>
        <v>F</v>
      </c>
      <c r="AW265" s="3">
        <v>300</v>
      </c>
      <c r="AX265" s="3" t="str">
        <f>IFERROR(MID(VLOOKUP($B265,Seqs!$A:$B,2,0),AY265,1),"")</f>
        <v>S</v>
      </c>
      <c r="AY265" s="3">
        <v>313</v>
      </c>
      <c r="AZ265" s="77" t="str">
        <f>VLOOKUP(B265,Classification!A:D,2,0)</f>
        <v>A</v>
      </c>
      <c r="BA265" s="94" t="str">
        <f>VLOOKUP(B265,Classification!A:D,4,0)</f>
        <v>Platelet-activatingfactor</v>
      </c>
      <c r="BB265" s="27" t="b">
        <f>AND(E265&lt;G265,OR(G265&lt;I265,I265="-"),OR(I265&lt;K265,I265="-"),OR(K265&lt;M265,K265="-"),M265&lt;O265,OR(O265&lt;Q265,Q265="-"),OR(Q265&lt;S265,Q265="-"),OR(S265&lt;U265,S265="-"),U265&lt;W265,OR(W265&lt;Y265,Y265="-"),OR(Y265&lt;AA265,Y265="-"),OR(AA265&lt;AC265,AA265="-"),AC265&lt;AE265,OR(AE265&lt;AG265,AG265="-"),OR(AG265&lt;AI265,AG265="-"),OR(AI265&lt;AK265,AI265="-"),AK265&lt;AM265,AM265&lt;AO265,AO265&lt;AQ265,AQ265&lt;AS265,AS265&lt;AU265,OR(AU265&lt;AW265,AW265="-"),OR(AW265&lt;AY265,AW265="-"))</f>
        <v>1</v>
      </c>
      <c r="BC265" s="23">
        <f>_xlfn.AGGREGATE(9,6,CH265:CS265)-_xlfn.AGGREGATE(9,6,BV265:CG265)+12</f>
        <v>272</v>
      </c>
      <c r="BD265" s="2" t="s">
        <v>23</v>
      </c>
      <c r="BE265" s="3" t="s">
        <v>23</v>
      </c>
      <c r="BF265" s="119" t="s">
        <v>23</v>
      </c>
      <c r="BG265" s="49" t="s">
        <v>1384</v>
      </c>
      <c r="BH265" s="49" t="s">
        <v>1384</v>
      </c>
      <c r="BI265" s="1"/>
      <c r="BJ265" s="70" t="s">
        <v>1293</v>
      </c>
      <c r="BK265" s="57" t="s">
        <v>1293</v>
      </c>
      <c r="BL265" s="57" t="s">
        <v>1293</v>
      </c>
      <c r="BM265" s="57" t="s">
        <v>1293</v>
      </c>
      <c r="BN265" s="57" t="s">
        <v>1293</v>
      </c>
      <c r="BO265" s="57" t="s">
        <v>1293</v>
      </c>
      <c r="BP265" s="57" t="s">
        <v>1293</v>
      </c>
      <c r="BQ265" s="57" t="s">
        <v>1293</v>
      </c>
      <c r="BR265" s="57" t="s">
        <v>1293</v>
      </c>
      <c r="BS265" s="57" t="s">
        <v>1293</v>
      </c>
      <c r="BT265" s="57" t="s">
        <v>1293</v>
      </c>
      <c r="BU265" s="57" t="s">
        <v>1293</v>
      </c>
      <c r="BV265" s="70">
        <f>E265</f>
        <v>10</v>
      </c>
      <c r="BW265" s="71" t="str">
        <f>I265</f>
        <v>-</v>
      </c>
      <c r="BX265" s="72">
        <f>M265</f>
        <v>49</v>
      </c>
      <c r="BY265" s="71">
        <f>Q265</f>
        <v>82</v>
      </c>
      <c r="BZ265" s="72">
        <f>U265</f>
        <v>86</v>
      </c>
      <c r="CA265" s="71">
        <f>Y265</f>
        <v>122</v>
      </c>
      <c r="CB265" s="72">
        <f>AC265</f>
        <v>130</v>
      </c>
      <c r="CC265" s="71">
        <f>AG265</f>
        <v>173</v>
      </c>
      <c r="CD265" s="72">
        <f>AK265</f>
        <v>181</v>
      </c>
      <c r="CE265" s="71">
        <f>AO265</f>
        <v>221</v>
      </c>
      <c r="CF265" s="72">
        <f>AS265</f>
        <v>264</v>
      </c>
      <c r="CG265" s="71">
        <f>AW265</f>
        <v>300</v>
      </c>
      <c r="CH265" s="70">
        <f>G265</f>
        <v>44</v>
      </c>
      <c r="CI265" s="71" t="str">
        <f>K265</f>
        <v>-</v>
      </c>
      <c r="CJ265" s="72">
        <f>O265</f>
        <v>80</v>
      </c>
      <c r="CK265" s="72">
        <f>S265</f>
        <v>85</v>
      </c>
      <c r="CL265" s="72">
        <f>W265</f>
        <v>121</v>
      </c>
      <c r="CM265" s="72">
        <f>AA265</f>
        <v>129</v>
      </c>
      <c r="CN265" s="72">
        <f>AE265</f>
        <v>155</v>
      </c>
      <c r="CO265" s="72">
        <f>AI265</f>
        <v>175</v>
      </c>
      <c r="CP265" s="72">
        <f>AM265</f>
        <v>216</v>
      </c>
      <c r="CQ265" s="72">
        <f>AQ265</f>
        <v>261</v>
      </c>
      <c r="CR265" s="72">
        <f>AU265</f>
        <v>299</v>
      </c>
      <c r="CS265" s="72">
        <f>AY265</f>
        <v>313</v>
      </c>
      <c r="CT265" s="23" t="e">
        <f>M265-K265</f>
        <v>#VALUE!</v>
      </c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  <c r="OK265" s="1"/>
      <c r="OL265" s="1"/>
      <c r="OM265" s="1"/>
      <c r="ON265" s="1"/>
      <c r="OO265" s="1"/>
      <c r="OP265" s="1"/>
      <c r="OQ265" s="1"/>
      <c r="OR265" s="1"/>
      <c r="OS265" s="1"/>
      <c r="OT265" s="1"/>
      <c r="OU265" s="1"/>
      <c r="OV265" s="1"/>
      <c r="OW265" s="1"/>
      <c r="OX265" s="1"/>
      <c r="OY265" s="1"/>
      <c r="OZ265" s="1"/>
      <c r="PA265" s="1"/>
      <c r="PB265" s="1"/>
      <c r="PC265" s="1"/>
      <c r="PD265" s="1"/>
      <c r="PE265" s="1"/>
      <c r="PF265" s="1"/>
      <c r="PG265" s="1"/>
      <c r="PH265" s="1"/>
      <c r="PI265" s="1"/>
      <c r="PJ265" s="1"/>
      <c r="PK265" s="1"/>
      <c r="PL265" s="1"/>
      <c r="PM265" s="1"/>
      <c r="PN265" s="1"/>
      <c r="PO265" s="1"/>
      <c r="PP265" s="1"/>
      <c r="PQ265" s="1"/>
      <c r="PR265" s="1"/>
      <c r="PS265" s="1"/>
      <c r="PT265" s="1"/>
      <c r="PU265" s="1"/>
      <c r="PV265" s="1"/>
      <c r="PW265" s="1"/>
      <c r="PX265" s="1"/>
      <c r="PY265" s="1"/>
      <c r="PZ265" s="1"/>
      <c r="QA265" s="1"/>
      <c r="QB265" s="1"/>
      <c r="QC265" s="1"/>
      <c r="QD265" s="1"/>
      <c r="QE265" s="1"/>
      <c r="QF265" s="1"/>
      <c r="QG265" s="1"/>
      <c r="QH265" s="1"/>
      <c r="QI265" s="1"/>
      <c r="QJ265" s="1"/>
      <c r="QK265" s="1"/>
      <c r="QL265" s="1"/>
      <c r="QM265" s="1"/>
      <c r="QN265" s="1"/>
      <c r="QO265" s="1"/>
      <c r="QP265" s="1"/>
      <c r="QQ265" s="1"/>
      <c r="QR265" s="1"/>
      <c r="QS265" s="1"/>
      <c r="QT265" s="1"/>
      <c r="QU265" s="1"/>
      <c r="QV265" s="1"/>
      <c r="QW265" s="1"/>
      <c r="QX265" s="1"/>
      <c r="QY265" s="1"/>
      <c r="QZ265" s="1"/>
      <c r="RA265" s="1"/>
      <c r="RB265" s="1"/>
      <c r="RC265" s="1"/>
      <c r="RD265" s="1"/>
      <c r="RE265" s="1"/>
      <c r="RF265" s="1"/>
      <c r="RG265" s="1"/>
      <c r="RH265" s="1"/>
      <c r="RI265" s="1"/>
      <c r="RJ265" s="1"/>
      <c r="RK265" s="1"/>
      <c r="RL265" s="1"/>
      <c r="RM265" s="1"/>
      <c r="RN265" s="1"/>
      <c r="RO265" s="1"/>
      <c r="RP265" s="1"/>
      <c r="RQ265" s="1"/>
      <c r="RR265" s="1"/>
      <c r="RS265" s="1"/>
      <c r="RT265" s="1"/>
      <c r="RU265" s="1"/>
      <c r="RV265" s="1"/>
      <c r="RW265" s="1"/>
      <c r="RX265" s="1"/>
      <c r="RY265" s="1"/>
      <c r="RZ265" s="1"/>
      <c r="SA265" s="1"/>
      <c r="SB265" s="1"/>
      <c r="SC265" s="1"/>
      <c r="SD265" s="1"/>
      <c r="SE265" s="1"/>
      <c r="SF265" s="1"/>
      <c r="SG265" s="1"/>
      <c r="SH265" s="1"/>
      <c r="SI265" s="1"/>
      <c r="SJ265" s="1"/>
      <c r="SK265" s="1"/>
      <c r="SL265" s="1"/>
      <c r="SM265" s="1"/>
      <c r="SN265" s="1"/>
      <c r="SO265" s="1"/>
      <c r="SP265" s="1"/>
      <c r="SQ265" s="1"/>
      <c r="SR265" s="1"/>
      <c r="SS265" s="1"/>
      <c r="ST265" s="1"/>
      <c r="SU265" s="1"/>
      <c r="SV265" s="1"/>
      <c r="SW265" s="1"/>
      <c r="SX265" s="1"/>
      <c r="SY265" s="1"/>
      <c r="SZ265" s="1"/>
      <c r="TA265" s="1"/>
      <c r="TB265" s="1"/>
      <c r="TC265" s="1"/>
      <c r="TD265" s="1"/>
      <c r="TE265" s="1"/>
      <c r="TF265" s="1"/>
      <c r="TG265" s="1"/>
      <c r="TH265" s="1"/>
      <c r="TI265" s="1"/>
      <c r="TJ265" s="1"/>
      <c r="TK265" s="1"/>
      <c r="TL265" s="1"/>
      <c r="TM265" s="1"/>
      <c r="TN265" s="1"/>
      <c r="TO265" s="1"/>
      <c r="TP265" s="1"/>
      <c r="TQ265" s="1"/>
      <c r="TR265" s="1"/>
      <c r="TS265" s="1"/>
      <c r="TT265" s="1"/>
      <c r="TU265" s="1"/>
      <c r="TV265" s="1"/>
      <c r="TW265" s="1"/>
      <c r="TX265" s="1"/>
      <c r="TY265" s="1"/>
      <c r="TZ265" s="1"/>
      <c r="UA265" s="1"/>
      <c r="UB265" s="1"/>
      <c r="UC265" s="1"/>
      <c r="UD265" s="1"/>
      <c r="UE265" s="1"/>
      <c r="UF265" s="1"/>
      <c r="UG265" s="1"/>
      <c r="UH265" s="1"/>
      <c r="UI265" s="1"/>
      <c r="UJ265" s="1"/>
      <c r="UK265" s="1"/>
      <c r="UL265" s="1"/>
      <c r="UM265" s="1"/>
      <c r="UN265" s="1"/>
      <c r="UO265" s="1"/>
      <c r="UP265" s="1"/>
      <c r="UQ265" s="1"/>
      <c r="UR265" s="1"/>
      <c r="US265" s="1"/>
      <c r="UT265" s="1"/>
      <c r="UU265" s="1"/>
      <c r="UV265" s="1"/>
      <c r="UW265" s="1"/>
      <c r="UX265" s="1"/>
      <c r="UY265" s="1"/>
      <c r="UZ265" s="1"/>
      <c r="VA265" s="1"/>
      <c r="VB265" s="1"/>
      <c r="VC265" s="1"/>
      <c r="VD265" s="1"/>
      <c r="VE265" s="1"/>
      <c r="VF265" s="1"/>
      <c r="VG265" s="1"/>
      <c r="VH265" s="1"/>
      <c r="VI265" s="1"/>
      <c r="VJ265" s="1"/>
      <c r="VK265" s="1"/>
      <c r="VL265" s="1"/>
      <c r="VM265" s="1"/>
      <c r="VN265" s="1"/>
      <c r="VO265" s="1"/>
      <c r="VP265" s="1"/>
      <c r="VQ265" s="1"/>
      <c r="VR265" s="1"/>
      <c r="VS265" s="1"/>
      <c r="VT265" s="1"/>
      <c r="VU265" s="1"/>
      <c r="VV265" s="1"/>
      <c r="VW265" s="1"/>
      <c r="VX265" s="1"/>
      <c r="VY265" s="1"/>
      <c r="VZ265" s="1"/>
      <c r="WA265" s="1"/>
      <c r="WB265" s="1"/>
      <c r="WC265" s="1"/>
      <c r="WD265" s="1"/>
      <c r="WE265" s="1"/>
      <c r="WF265" s="1"/>
      <c r="WG265" s="1"/>
      <c r="WH265" s="1"/>
      <c r="WI265" s="1"/>
      <c r="WJ265" s="1"/>
      <c r="WK265" s="1"/>
      <c r="WL265" s="1"/>
      <c r="WM265" s="1"/>
      <c r="WN265" s="1"/>
      <c r="WO265" s="1"/>
      <c r="WP265" s="1"/>
      <c r="WQ265" s="1"/>
      <c r="WR265" s="1"/>
      <c r="WS265" s="1"/>
      <c r="WT265" s="1"/>
      <c r="WU265" s="1"/>
      <c r="WV265" s="1"/>
      <c r="WW265" s="1"/>
      <c r="WX265" s="1"/>
      <c r="WY265" s="1"/>
      <c r="WZ265" s="1"/>
      <c r="XA265" s="1"/>
      <c r="XB265" s="1"/>
      <c r="XC265" s="1"/>
      <c r="XD265" s="1"/>
      <c r="XE265" s="1"/>
      <c r="XF265" s="1"/>
      <c r="XG265" s="1"/>
      <c r="XH265" s="1"/>
      <c r="XI265" s="1"/>
      <c r="XJ265" s="1"/>
      <c r="XK265" s="1"/>
      <c r="XL265" s="1"/>
      <c r="XM265" s="1"/>
      <c r="XN265" s="1"/>
      <c r="XO265" s="1"/>
      <c r="XP265" s="1"/>
      <c r="XQ265" s="1"/>
      <c r="XR265" s="1"/>
      <c r="XS265" s="1"/>
      <c r="XT265" s="1"/>
      <c r="XU265" s="1"/>
      <c r="XV265" s="1"/>
      <c r="XW265" s="1"/>
      <c r="XX265" s="1"/>
      <c r="XY265" s="1"/>
      <c r="XZ265" s="1"/>
      <c r="YA265" s="1"/>
      <c r="YB265" s="1"/>
      <c r="YC265" s="1"/>
      <c r="YD265" s="1"/>
      <c r="YE265" s="1"/>
      <c r="YF265" s="1"/>
      <c r="YG265" s="1"/>
      <c r="YH265" s="1"/>
      <c r="YI265" s="1"/>
      <c r="YJ265" s="1"/>
      <c r="YK265" s="1"/>
      <c r="YL265" s="1"/>
      <c r="YM265" s="1"/>
      <c r="YN265" s="1"/>
      <c r="YO265" s="1"/>
      <c r="YP265" s="1"/>
      <c r="YQ265" s="1"/>
      <c r="YR265" s="1"/>
      <c r="YS265" s="1"/>
      <c r="YT265" s="1"/>
      <c r="YU265" s="1"/>
      <c r="YV265" s="1"/>
      <c r="YW265" s="1"/>
      <c r="YX265" s="1"/>
      <c r="YY265" s="1"/>
      <c r="YZ265" s="1"/>
      <c r="ZA265" s="1"/>
      <c r="ZB265" s="1"/>
      <c r="ZC265" s="1"/>
      <c r="ZD265" s="1"/>
      <c r="ZE265" s="1"/>
      <c r="ZF265" s="1"/>
      <c r="ZG265" s="1"/>
      <c r="ZH265" s="1"/>
      <c r="ZI265" s="1"/>
      <c r="ZJ265" s="1"/>
      <c r="ZK265" s="1"/>
      <c r="ZL265" s="1"/>
      <c r="ZM265" s="1"/>
      <c r="ZN265" s="1"/>
      <c r="ZO265" s="1"/>
      <c r="ZP265" s="1"/>
      <c r="ZQ265" s="1"/>
      <c r="ZR265" s="1"/>
      <c r="ZS265" s="1"/>
      <c r="ZT265" s="1"/>
      <c r="ZU265" s="1"/>
      <c r="ZV265" s="1"/>
      <c r="ZW265" s="1"/>
      <c r="ZX265" s="1"/>
      <c r="ZY265" s="1"/>
      <c r="ZZ265" s="1"/>
      <c r="AAA265" s="1"/>
      <c r="AAB265" s="1"/>
      <c r="AAC265" s="1"/>
      <c r="AAD265" s="1"/>
      <c r="AAE265" s="1"/>
      <c r="AAF265" s="1"/>
      <c r="AAG265" s="1"/>
      <c r="AAH265" s="1"/>
      <c r="AAI265" s="1"/>
      <c r="AAJ265" s="1"/>
      <c r="AAK265" s="1"/>
      <c r="AAL265" s="1"/>
      <c r="AAM265" s="1"/>
      <c r="AAN265" s="1"/>
      <c r="AAO265" s="1"/>
      <c r="AAP265" s="1"/>
      <c r="AAQ265" s="1"/>
      <c r="AAR265" s="1"/>
      <c r="AAS265" s="1"/>
      <c r="AAT265" s="1"/>
      <c r="AAU265" s="1"/>
      <c r="AAV265" s="1"/>
      <c r="AAW265" s="1"/>
      <c r="AAX265" s="1"/>
      <c r="AAY265" s="1"/>
      <c r="AAZ265" s="1"/>
      <c r="ABA265" s="1"/>
      <c r="ABB265" s="1"/>
      <c r="ABC265" s="1"/>
      <c r="ABD265" s="1"/>
      <c r="ABE265" s="1"/>
      <c r="ABF265" s="1"/>
      <c r="ABG265" s="1"/>
      <c r="ABH265" s="1"/>
      <c r="ABI265" s="1"/>
      <c r="ABJ265" s="1"/>
      <c r="ABK265" s="1"/>
      <c r="ABL265" s="1"/>
      <c r="ABM265" s="1"/>
      <c r="ABN265" s="1"/>
      <c r="ABO265" s="1"/>
      <c r="ABP265" s="1"/>
      <c r="ABQ265" s="1"/>
      <c r="ABR265" s="1"/>
      <c r="ABS265" s="1"/>
      <c r="ABT265" s="1"/>
      <c r="ABU265" s="1"/>
      <c r="ABV265" s="1"/>
      <c r="ABW265" s="1"/>
      <c r="ABX265" s="1"/>
      <c r="ABY265" s="1"/>
      <c r="ABZ265" s="1"/>
      <c r="ACA265" s="1"/>
      <c r="ACB265" s="1"/>
      <c r="ACC265" s="1"/>
      <c r="ACD265" s="1"/>
      <c r="ACE265" s="1"/>
      <c r="ACF265" s="1"/>
      <c r="ACG265" s="1"/>
      <c r="ACH265" s="1"/>
      <c r="ACI265" s="1"/>
      <c r="ACJ265" s="1"/>
      <c r="ACK265" s="1"/>
      <c r="ACL265" s="1"/>
      <c r="ACM265" s="1"/>
      <c r="ACN265" s="1"/>
      <c r="ACO265" s="1"/>
      <c r="ACP265" s="1"/>
      <c r="ACQ265" s="1"/>
      <c r="ACR265" s="1"/>
      <c r="ACS265" s="1"/>
      <c r="ACT265" s="1"/>
      <c r="ACU265" s="1"/>
      <c r="ACV265" s="1"/>
      <c r="ACW265" s="1"/>
      <c r="ACX265" s="1"/>
      <c r="ACY265" s="1"/>
      <c r="ACZ265" s="1"/>
      <c r="ADA265" s="1"/>
      <c r="ADB265" s="1"/>
      <c r="ADC265" s="1"/>
      <c r="ADD265" s="1"/>
      <c r="ADE265" s="1"/>
      <c r="ADF265" s="1"/>
      <c r="ADG265" s="1"/>
      <c r="ADH265" s="1"/>
      <c r="ADI265" s="1"/>
      <c r="ADJ265" s="1"/>
      <c r="ADK265" s="1"/>
      <c r="ADL265" s="1"/>
      <c r="ADM265" s="1"/>
      <c r="ADN265" s="1"/>
      <c r="ADO265" s="1"/>
      <c r="ADP265" s="1"/>
      <c r="ADQ265" s="1"/>
      <c r="ADR265" s="1"/>
      <c r="ADS265" s="1"/>
      <c r="ADT265" s="1"/>
      <c r="ADU265" s="1"/>
      <c r="ADV265" s="1"/>
      <c r="ADW265" s="1"/>
      <c r="ADX265" s="1"/>
      <c r="ADY265" s="1"/>
      <c r="ADZ265" s="1"/>
      <c r="AEA265" s="1"/>
      <c r="AEB265" s="1"/>
      <c r="AEC265" s="1"/>
      <c r="AED265" s="1"/>
      <c r="AEE265" s="1"/>
      <c r="AEF265" s="1"/>
      <c r="AEG265" s="1"/>
      <c r="AEH265" s="1"/>
      <c r="AEI265" s="1"/>
      <c r="AEJ265" s="1"/>
      <c r="AEK265" s="1"/>
      <c r="AEL265" s="1"/>
      <c r="AEM265" s="1"/>
      <c r="AEN265" s="1"/>
      <c r="AEO265" s="1"/>
      <c r="AEP265" s="1"/>
      <c r="AEQ265" s="1"/>
      <c r="AER265" s="1"/>
      <c r="AES265" s="1"/>
      <c r="AET265" s="1"/>
      <c r="AEU265" s="1"/>
      <c r="AEV265" s="1"/>
      <c r="AEW265" s="1"/>
      <c r="AEX265" s="1"/>
      <c r="AEY265" s="1"/>
      <c r="AEZ265" s="1"/>
      <c r="AFA265" s="1"/>
      <c r="AFB265" s="1"/>
      <c r="AFC265" s="1"/>
      <c r="AFD265" s="1"/>
      <c r="AFE265" s="1"/>
      <c r="AFF265" s="1"/>
      <c r="AFG265" s="1"/>
      <c r="AFH265" s="1"/>
      <c r="AFI265" s="1"/>
      <c r="AFJ265" s="1"/>
      <c r="AFK265" s="1"/>
      <c r="AFL265" s="1"/>
      <c r="AFM265" s="1"/>
      <c r="AFN265" s="1"/>
      <c r="AFO265" s="1"/>
      <c r="AFP265" s="1"/>
      <c r="AFQ265" s="1"/>
      <c r="AFR265" s="1"/>
      <c r="AFS265" s="1"/>
      <c r="AFT265" s="1"/>
      <c r="AFU265" s="1"/>
      <c r="AFV265" s="1"/>
      <c r="AFW265" s="1"/>
      <c r="AFX265" s="1"/>
      <c r="AFY265" s="1"/>
      <c r="AFZ265" s="1"/>
      <c r="AGA265" s="1"/>
      <c r="AGB265" s="1"/>
      <c r="AGC265" s="1"/>
      <c r="AGD265" s="1"/>
      <c r="AGE265" s="1"/>
      <c r="AGF265" s="1"/>
      <c r="AGG265" s="1"/>
      <c r="AGH265" s="1"/>
      <c r="AGI265" s="1"/>
      <c r="AGJ265" s="1"/>
      <c r="AGK265" s="1"/>
      <c r="AGL265" s="1"/>
      <c r="AGM265" s="1"/>
      <c r="AGN265" s="1"/>
      <c r="AGO265" s="1"/>
      <c r="AGP265" s="1"/>
      <c r="AGQ265" s="1"/>
      <c r="AGR265" s="1"/>
      <c r="AGS265" s="1"/>
      <c r="AGT265" s="1"/>
      <c r="AGU265" s="1"/>
      <c r="AGV265" s="1"/>
      <c r="AGW265" s="1"/>
      <c r="AGX265" s="1"/>
      <c r="AGY265" s="1"/>
      <c r="AGZ265" s="1"/>
      <c r="AHA265" s="1"/>
      <c r="AHB265" s="1"/>
      <c r="AHC265" s="1"/>
      <c r="AHD265" s="1"/>
      <c r="AHE265" s="1"/>
      <c r="AHF265" s="1"/>
      <c r="AHG265" s="1"/>
      <c r="AHH265" s="1"/>
      <c r="AHI265" s="1"/>
      <c r="AHJ265" s="1"/>
      <c r="AHK265" s="1"/>
      <c r="AHL265" s="1"/>
      <c r="AHM265" s="1"/>
      <c r="AHN265" s="1"/>
      <c r="AHO265" s="1"/>
      <c r="AHP265" s="1"/>
      <c r="AHQ265" s="1"/>
      <c r="AHR265" s="1"/>
      <c r="AHS265" s="1"/>
      <c r="AHT265" s="1"/>
      <c r="AHU265" s="1"/>
      <c r="AHV265" s="1"/>
      <c r="AHW265" s="1"/>
      <c r="AHX265" s="1"/>
      <c r="AHY265" s="1"/>
      <c r="AHZ265" s="1"/>
      <c r="AIA265" s="1"/>
      <c r="AIB265" s="1"/>
      <c r="AIC265" s="1"/>
      <c r="AID265" s="1"/>
      <c r="AIE265" s="1"/>
      <c r="AIF265" s="1"/>
      <c r="AIG265" s="1"/>
      <c r="AIH265" s="1"/>
      <c r="AII265" s="1"/>
      <c r="AIJ265" s="1"/>
      <c r="AIK265" s="1"/>
      <c r="AIL265" s="1"/>
      <c r="AIM265" s="1"/>
      <c r="AIN265" s="1"/>
      <c r="AIO265" s="1"/>
      <c r="AIP265" s="1"/>
      <c r="AIQ265" s="1"/>
      <c r="AIR265" s="1"/>
      <c r="AIS265" s="1"/>
      <c r="AIT265" s="1"/>
      <c r="AIU265" s="1"/>
      <c r="AIV265" s="1"/>
      <c r="AIW265" s="1"/>
      <c r="AIX265" s="1"/>
      <c r="AIY265" s="1"/>
      <c r="AIZ265" s="1"/>
      <c r="AJA265" s="1"/>
      <c r="AJB265" s="1"/>
      <c r="AJC265" s="1"/>
      <c r="AJD265" s="1"/>
      <c r="AJE265" s="1"/>
      <c r="AJF265" s="1"/>
      <c r="AJG265" s="1"/>
      <c r="AJH265" s="1"/>
      <c r="AJI265" s="1"/>
      <c r="AJJ265" s="1"/>
      <c r="AJK265" s="1"/>
      <c r="AJL265" s="1"/>
      <c r="AJM265" s="1"/>
      <c r="AJN265" s="1"/>
      <c r="AJO265" s="1"/>
      <c r="AJP265" s="1"/>
      <c r="AJQ265" s="1"/>
      <c r="AJR265" s="1"/>
      <c r="AJS265" s="1"/>
      <c r="AJT265" s="1"/>
      <c r="AJU265" s="1"/>
      <c r="AJV265" s="1"/>
      <c r="AJW265" s="1"/>
      <c r="AJX265" s="1"/>
      <c r="AJY265" s="1"/>
      <c r="AJZ265" s="1"/>
      <c r="AKA265" s="1"/>
      <c r="AKB265" s="1"/>
      <c r="AKC265" s="1"/>
      <c r="AKD265" s="1"/>
      <c r="AKE265" s="1"/>
      <c r="AKF265" s="1"/>
      <c r="AKG265" s="1"/>
      <c r="AKH265" s="1"/>
      <c r="AKI265" s="1"/>
      <c r="AKJ265" s="1"/>
      <c r="AKK265" s="1"/>
      <c r="AKL265" s="1"/>
      <c r="AKM265" s="1"/>
      <c r="AKN265" s="1"/>
      <c r="AKO265" s="1"/>
      <c r="AKP265" s="1"/>
      <c r="AKQ265" s="1"/>
      <c r="AKR265" s="1"/>
      <c r="AKS265" s="1"/>
      <c r="AKT265" s="1"/>
      <c r="AKU265" s="1"/>
      <c r="AKV265" s="1"/>
      <c r="AKW265" s="1"/>
      <c r="AKX265" s="1"/>
      <c r="AKY265" s="1"/>
      <c r="AKZ265" s="1"/>
      <c r="ALA265" s="1"/>
      <c r="ALB265" s="1"/>
      <c r="ALC265" s="1"/>
      <c r="ALD265" s="1"/>
      <c r="ALE265" s="1"/>
      <c r="ALF265" s="1"/>
      <c r="ALG265" s="1"/>
      <c r="ALH265" s="1"/>
      <c r="ALI265" s="1"/>
      <c r="ALJ265" s="1"/>
      <c r="ALK265" s="1"/>
      <c r="ALL265" s="1"/>
      <c r="ALM265" s="1"/>
      <c r="ALN265" s="1"/>
      <c r="ALO265" s="1"/>
      <c r="ALP265" s="1"/>
      <c r="ALQ265" s="1"/>
      <c r="ALR265" s="1"/>
      <c r="ALS265" s="1"/>
      <c r="ALT265" s="1"/>
      <c r="ALU265" s="1"/>
      <c r="ALV265" s="1"/>
      <c r="ALW265" s="1"/>
      <c r="ALX265" s="1"/>
      <c r="ALY265" s="1"/>
      <c r="ALZ265" s="1"/>
      <c r="AMA265" s="1"/>
      <c r="AMB265" s="1"/>
      <c r="AMC265" s="1"/>
      <c r="AMD265" s="1"/>
      <c r="AME265" s="1"/>
      <c r="AMF265" s="1"/>
      <c r="AMG265" s="1"/>
      <c r="AMH265" s="1"/>
      <c r="AMI265" s="1"/>
      <c r="AMJ265" s="1"/>
      <c r="AMK265" s="1"/>
      <c r="AML265" s="1"/>
      <c r="AMM265" s="1"/>
      <c r="AMN265" s="1"/>
      <c r="AMO265" s="1"/>
    </row>
    <row r="266" spans="1:1029" x14ac:dyDescent="0.2">
      <c r="A266" s="3" t="str">
        <f>CONCATENATE(B266,"_",C266)</f>
        <v>ptafr_human_5ZKP</v>
      </c>
      <c r="B266" s="3" t="s">
        <v>371</v>
      </c>
      <c r="C266" s="3" t="s">
        <v>1521</v>
      </c>
      <c r="D266" s="3" t="str">
        <f>IFERROR(MID(VLOOKUP($B266,Seqs!$A:$B,2,0),E266,1),"")</f>
        <v>S</v>
      </c>
      <c r="E266" s="3">
        <v>11</v>
      </c>
      <c r="F266" s="3" t="str">
        <f>IFERROR(MID(VLOOKUP($B266,Seqs!$A:$B,2,0),G266,1),"")</f>
        <v>Y</v>
      </c>
      <c r="G266" s="3">
        <v>44</v>
      </c>
      <c r="H266" s="3" t="str">
        <f>IFERROR(MID(VLOOKUP($B266,Seqs!$A:$B,2,0),I266,1),"")</f>
        <v/>
      </c>
      <c r="I266" s="23" t="s">
        <v>23</v>
      </c>
      <c r="J266" s="3" t="str">
        <f>IFERROR(MID(VLOOKUP($B266,Seqs!$A:$B,2,0),K266,1),"")</f>
        <v/>
      </c>
      <c r="K266" s="23" t="s">
        <v>23</v>
      </c>
      <c r="L266" s="3" t="str">
        <f>IFERROR(MID(VLOOKUP($B266,Seqs!$A:$B,2,0),M266,1),"")</f>
        <v>F</v>
      </c>
      <c r="M266" s="3">
        <v>49</v>
      </c>
      <c r="N266" s="3" t="str">
        <f>IFERROR(MID(VLOOKUP($B266,Seqs!$A:$B,2,0),O266,1),"")</f>
        <v>Q</v>
      </c>
      <c r="O266" s="3">
        <v>80</v>
      </c>
      <c r="P266" s="3" t="str">
        <f>IFERROR(MID(VLOOKUP($B266,Seqs!$A:$B,2,0),Q266,1),"")</f>
        <v>N</v>
      </c>
      <c r="Q266" s="3">
        <v>82</v>
      </c>
      <c r="R266" s="3" t="str">
        <f>IFERROR(MID(VLOOKUP($B266,Seqs!$A:$B,2,0),S266,1),"")</f>
        <v>L</v>
      </c>
      <c r="S266" s="3">
        <v>85</v>
      </c>
      <c r="T266" s="3" t="str">
        <f>IFERROR(MID(VLOOKUP($B266,Seqs!$A:$B,2,0),U266,1),"")</f>
        <v>P</v>
      </c>
      <c r="U266" s="3">
        <v>86</v>
      </c>
      <c r="V266" s="3" t="str">
        <f>IFERROR(MID(VLOOKUP($B266,Seqs!$A:$B,2,0),W266,1),"")</f>
        <v>T</v>
      </c>
      <c r="W266" s="3">
        <v>120</v>
      </c>
      <c r="X266" s="3" t="str">
        <f>IFERROR(MID(VLOOKUP($B266,Seqs!$A:$B,2,0),Y266,1),"")</f>
        <v/>
      </c>
      <c r="Y266" s="3" t="s">
        <v>23</v>
      </c>
      <c r="Z266" s="3" t="str">
        <f>IFERROR(MID(VLOOKUP($B266,Seqs!$A:$B,2,0),AA266,1),"")</f>
        <v/>
      </c>
      <c r="AA266" s="3" t="s">
        <v>23</v>
      </c>
      <c r="AB266" s="3" t="str">
        <f>IFERROR(MID(VLOOKUP($B266,Seqs!$A:$B,2,0),AC266,1),"")</f>
        <v>I</v>
      </c>
      <c r="AC266" s="3">
        <v>141</v>
      </c>
      <c r="AD266" s="3" t="str">
        <f>IFERROR(MID(VLOOKUP($B266,Seqs!$A:$B,2,0),AE266,1),"")</f>
        <v>L</v>
      </c>
      <c r="AE266" s="3">
        <v>155</v>
      </c>
      <c r="AF266" s="3" t="str">
        <f>IFERROR(MID(VLOOKUP($B266,Seqs!$A:$B,2,0),AG266,1),"")</f>
        <v>C</v>
      </c>
      <c r="AG266" s="3">
        <v>173</v>
      </c>
      <c r="AH266" s="3" t="str">
        <f>IFERROR(MID(VLOOKUP($B266,Seqs!$A:$B,2,0),AI266,1),"")</f>
        <v>E</v>
      </c>
      <c r="AI266" s="3">
        <v>175</v>
      </c>
      <c r="AJ266" s="3" t="str">
        <f>IFERROR(MID(VLOOKUP($B266,Seqs!$A:$B,2,0),AK266,1),"")</f>
        <v>P</v>
      </c>
      <c r="AK266" s="3">
        <v>183</v>
      </c>
      <c r="AL266" s="3" t="str">
        <f>IFERROR(MID(VLOOKUP($B266,Seqs!$A:$B,2,0),AM266,1),"")</f>
        <v>L</v>
      </c>
      <c r="AM266" s="3">
        <v>214</v>
      </c>
      <c r="AN266" s="3" t="str">
        <f>IFERROR(MID(VLOOKUP($B266,Seqs!$A:$B,2,0),AO266,1),"")</f>
        <v>A</v>
      </c>
      <c r="AO266" s="3">
        <v>224</v>
      </c>
      <c r="AP266" s="3" t="str">
        <f>IFERROR(MID(VLOOKUP($B266,Seqs!$A:$B,2,0),AQ266,1),"")</f>
        <v>G</v>
      </c>
      <c r="AQ266" s="3">
        <v>261</v>
      </c>
      <c r="AR266" s="3" t="str">
        <f>IFERROR(MID(VLOOKUP($B266,Seqs!$A:$B,2,0),AS266,1),"")</f>
        <v>D</v>
      </c>
      <c r="AS266" s="3">
        <v>264</v>
      </c>
      <c r="AT266" s="3" t="str">
        <f>IFERROR(MID(VLOOKUP($B266,Seqs!$A:$B,2,0),AU266,1),"")</f>
        <v>K</v>
      </c>
      <c r="AU266" s="3">
        <v>299</v>
      </c>
      <c r="AV266" s="3" t="str">
        <f>IFERROR(MID(VLOOKUP($B266,Seqs!$A:$B,2,0),AW266,1),"")</f>
        <v>F</v>
      </c>
      <c r="AW266" s="3">
        <v>300</v>
      </c>
      <c r="AX266" s="3" t="str">
        <f>IFERROR(MID(VLOOKUP($B266,Seqs!$A:$B,2,0),AY266,1),"")</f>
        <v>S</v>
      </c>
      <c r="AY266" s="3">
        <v>313</v>
      </c>
      <c r="AZ266" s="77" t="str">
        <f>VLOOKUP(B266,Classification!A:D,2,0)</f>
        <v>A</v>
      </c>
      <c r="BA266" s="94" t="str">
        <f>VLOOKUP(B266,Classification!A:D,4,0)</f>
        <v>Platelet-activatingfactor</v>
      </c>
      <c r="BB266" s="27" t="b">
        <f>AND(E266&lt;G266,OR(G266&lt;I266,I266="-"),OR(I266&lt;K266,I266="-"),OR(K266&lt;M266,K266="-"),M266&lt;O266,OR(O266&lt;Q266,Q266="-"),OR(Q266&lt;S266,Q266="-"),OR(S266&lt;U266,S266="-"),U266&lt;W266,OR(W266&lt;Y266,Y266="-"),OR(Y266&lt;AA266,Y266="-"),OR(AA266&lt;AC266,AA266="-"),AC266&lt;AE266,OR(AE266&lt;AG266,AG266="-"),OR(AG266&lt;AI266,AG266="-"),OR(AI266&lt;AK266,AI266="-"),AK266&lt;AM266,AM266&lt;AO266,AO266&lt;AQ266,AQ266&lt;AS266,AS266&lt;AU266,OR(AU266&lt;AW266,AW266="-"),OR(AW266&lt;AY266,AW266="-"))</f>
        <v>1</v>
      </c>
      <c r="BC266" s="23">
        <f>_xlfn.AGGREGATE(9,6,CH266:CS266)-_xlfn.AGGREGATE(9,6,BV266:CG266)+12</f>
        <v>245</v>
      </c>
      <c r="BD266" s="2" t="s">
        <v>1382</v>
      </c>
      <c r="BE266" s="3" t="s">
        <v>1297</v>
      </c>
      <c r="BF266" s="119">
        <v>2.81</v>
      </c>
      <c r="BG266" s="49" t="s">
        <v>1</v>
      </c>
      <c r="BH266" s="49" t="s">
        <v>1</v>
      </c>
      <c r="BI266" s="1"/>
      <c r="BJ266" s="70" t="s">
        <v>1293</v>
      </c>
      <c r="BK266" s="57" t="s">
        <v>1293</v>
      </c>
      <c r="BL266" s="57" t="s">
        <v>1293</v>
      </c>
      <c r="BM266" s="57" t="s">
        <v>1293</v>
      </c>
      <c r="BN266" s="57" t="s">
        <v>1293</v>
      </c>
      <c r="BO266" s="57" t="s">
        <v>1293</v>
      </c>
      <c r="BP266" s="57" t="s">
        <v>1293</v>
      </c>
      <c r="BQ266" s="57" t="s">
        <v>1293</v>
      </c>
      <c r="BR266" s="57" t="s">
        <v>1293</v>
      </c>
      <c r="BS266" s="57" t="s">
        <v>1293</v>
      </c>
      <c r="BT266" s="57" t="s">
        <v>1293</v>
      </c>
      <c r="BU266" s="57" t="s">
        <v>1293</v>
      </c>
      <c r="BV266" s="70">
        <f>E266</f>
        <v>11</v>
      </c>
      <c r="BW266" s="71" t="str">
        <f>I266</f>
        <v>-</v>
      </c>
      <c r="BX266" s="72">
        <f>M266</f>
        <v>49</v>
      </c>
      <c r="BY266" s="71">
        <f>Q266</f>
        <v>82</v>
      </c>
      <c r="BZ266" s="72">
        <f>U266</f>
        <v>86</v>
      </c>
      <c r="CA266" s="71" t="str">
        <f>Y266</f>
        <v>-</v>
      </c>
      <c r="CB266" s="72">
        <f>AC266</f>
        <v>141</v>
      </c>
      <c r="CC266" s="71">
        <f>AG266</f>
        <v>173</v>
      </c>
      <c r="CD266" s="72">
        <f>AK266</f>
        <v>183</v>
      </c>
      <c r="CE266" s="71">
        <f>AO266</f>
        <v>224</v>
      </c>
      <c r="CF266" s="72">
        <f>AS266</f>
        <v>264</v>
      </c>
      <c r="CG266" s="71">
        <f>AW266</f>
        <v>300</v>
      </c>
      <c r="CH266" s="70">
        <f>G266</f>
        <v>44</v>
      </c>
      <c r="CI266" s="71" t="str">
        <f>K266</f>
        <v>-</v>
      </c>
      <c r="CJ266" s="72">
        <f>O266</f>
        <v>80</v>
      </c>
      <c r="CK266" s="72">
        <f>S266</f>
        <v>85</v>
      </c>
      <c r="CL266" s="72">
        <f>W266</f>
        <v>120</v>
      </c>
      <c r="CM266" s="72" t="str">
        <f>AA266</f>
        <v>-</v>
      </c>
      <c r="CN266" s="72">
        <f>AE266</f>
        <v>155</v>
      </c>
      <c r="CO266" s="72">
        <f>AI266</f>
        <v>175</v>
      </c>
      <c r="CP266" s="72">
        <f>AM266</f>
        <v>214</v>
      </c>
      <c r="CQ266" s="72">
        <f>AQ266</f>
        <v>261</v>
      </c>
      <c r="CR266" s="72">
        <f>AU266</f>
        <v>299</v>
      </c>
      <c r="CS266" s="72">
        <f>AY266</f>
        <v>313</v>
      </c>
      <c r="CT266" s="23" t="e">
        <f>M266-K266</f>
        <v>#VALUE!</v>
      </c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  <c r="OK266" s="1"/>
      <c r="OL266" s="1"/>
      <c r="OM266" s="1"/>
      <c r="ON266" s="1"/>
      <c r="OO266" s="1"/>
      <c r="OP266" s="1"/>
      <c r="OQ266" s="1"/>
      <c r="OR266" s="1"/>
      <c r="OS266" s="1"/>
      <c r="OT266" s="1"/>
      <c r="OU266" s="1"/>
      <c r="OV266" s="1"/>
      <c r="OW266" s="1"/>
      <c r="OX266" s="1"/>
      <c r="OY266" s="1"/>
      <c r="OZ266" s="1"/>
      <c r="PA266" s="1"/>
      <c r="PB266" s="1"/>
      <c r="PC266" s="1"/>
      <c r="PD266" s="1"/>
      <c r="PE266" s="1"/>
      <c r="PF266" s="1"/>
      <c r="PG266" s="1"/>
      <c r="PH266" s="1"/>
      <c r="PI266" s="1"/>
      <c r="PJ266" s="1"/>
      <c r="PK266" s="1"/>
      <c r="PL266" s="1"/>
      <c r="PM266" s="1"/>
      <c r="PN266" s="1"/>
      <c r="PO266" s="1"/>
      <c r="PP266" s="1"/>
      <c r="PQ266" s="1"/>
      <c r="PR266" s="1"/>
      <c r="PS266" s="1"/>
      <c r="PT266" s="1"/>
      <c r="PU266" s="1"/>
      <c r="PV266" s="1"/>
      <c r="PW266" s="1"/>
      <c r="PX266" s="1"/>
      <c r="PY266" s="1"/>
      <c r="PZ266" s="1"/>
      <c r="QA266" s="1"/>
      <c r="QB266" s="1"/>
      <c r="QC266" s="1"/>
      <c r="QD266" s="1"/>
      <c r="QE266" s="1"/>
      <c r="QF266" s="1"/>
      <c r="QG266" s="1"/>
      <c r="QH266" s="1"/>
      <c r="QI266" s="1"/>
      <c r="QJ266" s="1"/>
      <c r="QK266" s="1"/>
      <c r="QL266" s="1"/>
      <c r="QM266" s="1"/>
      <c r="QN266" s="1"/>
      <c r="QO266" s="1"/>
      <c r="QP266" s="1"/>
      <c r="QQ266" s="1"/>
      <c r="QR266" s="1"/>
      <c r="QS266" s="1"/>
      <c r="QT266" s="1"/>
      <c r="QU266" s="1"/>
      <c r="QV266" s="1"/>
      <c r="QW266" s="1"/>
      <c r="QX266" s="1"/>
      <c r="QY266" s="1"/>
      <c r="QZ266" s="1"/>
      <c r="RA266" s="1"/>
      <c r="RB266" s="1"/>
      <c r="RC266" s="1"/>
      <c r="RD266" s="1"/>
      <c r="RE266" s="1"/>
      <c r="RF266" s="1"/>
      <c r="RG266" s="1"/>
      <c r="RH266" s="1"/>
      <c r="RI266" s="1"/>
      <c r="RJ266" s="1"/>
      <c r="RK266" s="1"/>
      <c r="RL266" s="1"/>
      <c r="RM266" s="1"/>
      <c r="RN266" s="1"/>
      <c r="RO266" s="1"/>
      <c r="RP266" s="1"/>
      <c r="RQ266" s="1"/>
      <c r="RR266" s="1"/>
      <c r="RS266" s="1"/>
      <c r="RT266" s="1"/>
      <c r="RU266" s="1"/>
      <c r="RV266" s="1"/>
      <c r="RW266" s="1"/>
      <c r="RX266" s="1"/>
      <c r="RY266" s="1"/>
      <c r="RZ266" s="1"/>
      <c r="SA266" s="1"/>
      <c r="SB266" s="1"/>
      <c r="SC266" s="1"/>
      <c r="SD266" s="1"/>
      <c r="SE266" s="1"/>
      <c r="SF266" s="1"/>
      <c r="SG266" s="1"/>
      <c r="SH266" s="1"/>
      <c r="SI266" s="1"/>
      <c r="SJ266" s="1"/>
      <c r="SK266" s="1"/>
      <c r="SL266" s="1"/>
      <c r="SM266" s="1"/>
      <c r="SN266" s="1"/>
      <c r="SO266" s="1"/>
      <c r="SP266" s="1"/>
      <c r="SQ266" s="1"/>
      <c r="SR266" s="1"/>
      <c r="SS266" s="1"/>
      <c r="ST266" s="1"/>
      <c r="SU266" s="1"/>
      <c r="SV266" s="1"/>
      <c r="SW266" s="1"/>
      <c r="SX266" s="1"/>
      <c r="SY266" s="1"/>
      <c r="SZ266" s="1"/>
      <c r="TA266" s="1"/>
      <c r="TB266" s="1"/>
      <c r="TC266" s="1"/>
      <c r="TD266" s="1"/>
      <c r="TE266" s="1"/>
      <c r="TF266" s="1"/>
      <c r="TG266" s="1"/>
      <c r="TH266" s="1"/>
      <c r="TI266" s="1"/>
      <c r="TJ266" s="1"/>
      <c r="TK266" s="1"/>
      <c r="TL266" s="1"/>
      <c r="TM266" s="1"/>
      <c r="TN266" s="1"/>
      <c r="TO266" s="1"/>
      <c r="TP266" s="1"/>
      <c r="TQ266" s="1"/>
      <c r="TR266" s="1"/>
      <c r="TS266" s="1"/>
      <c r="TT266" s="1"/>
      <c r="TU266" s="1"/>
      <c r="TV266" s="1"/>
      <c r="TW266" s="1"/>
      <c r="TX266" s="1"/>
      <c r="TY266" s="1"/>
      <c r="TZ266" s="1"/>
      <c r="UA266" s="1"/>
      <c r="UB266" s="1"/>
      <c r="UC266" s="1"/>
      <c r="UD266" s="1"/>
      <c r="UE266" s="1"/>
      <c r="UF266" s="1"/>
      <c r="UG266" s="1"/>
      <c r="UH266" s="1"/>
      <c r="UI266" s="1"/>
      <c r="UJ266" s="1"/>
      <c r="UK266" s="1"/>
      <c r="UL266" s="1"/>
      <c r="UM266" s="1"/>
      <c r="UN266" s="1"/>
      <c r="UO266" s="1"/>
      <c r="UP266" s="1"/>
      <c r="UQ266" s="1"/>
      <c r="UR266" s="1"/>
      <c r="US266" s="1"/>
      <c r="UT266" s="1"/>
      <c r="UU266" s="1"/>
      <c r="UV266" s="1"/>
      <c r="UW266" s="1"/>
      <c r="UX266" s="1"/>
      <c r="UY266" s="1"/>
      <c r="UZ266" s="1"/>
      <c r="VA266" s="1"/>
      <c r="VB266" s="1"/>
      <c r="VC266" s="1"/>
      <c r="VD266" s="1"/>
      <c r="VE266" s="1"/>
      <c r="VF266" s="1"/>
      <c r="VG266" s="1"/>
      <c r="VH266" s="1"/>
      <c r="VI266" s="1"/>
      <c r="VJ266" s="1"/>
      <c r="VK266" s="1"/>
      <c r="VL266" s="1"/>
      <c r="VM266" s="1"/>
      <c r="VN266" s="1"/>
      <c r="VO266" s="1"/>
      <c r="VP266" s="1"/>
      <c r="VQ266" s="1"/>
      <c r="VR266" s="1"/>
      <c r="VS266" s="1"/>
      <c r="VT266" s="1"/>
      <c r="VU266" s="1"/>
      <c r="VV266" s="1"/>
      <c r="VW266" s="1"/>
      <c r="VX266" s="1"/>
      <c r="VY266" s="1"/>
      <c r="VZ266" s="1"/>
      <c r="WA266" s="1"/>
      <c r="WB266" s="1"/>
      <c r="WC266" s="1"/>
      <c r="WD266" s="1"/>
      <c r="WE266" s="1"/>
      <c r="WF266" s="1"/>
      <c r="WG266" s="1"/>
      <c r="WH266" s="1"/>
      <c r="WI266" s="1"/>
      <c r="WJ266" s="1"/>
      <c r="WK266" s="1"/>
      <c r="WL266" s="1"/>
      <c r="WM266" s="1"/>
      <c r="WN266" s="1"/>
      <c r="WO266" s="1"/>
      <c r="WP266" s="1"/>
      <c r="WQ266" s="1"/>
      <c r="WR266" s="1"/>
      <c r="WS266" s="1"/>
      <c r="WT266" s="1"/>
      <c r="WU266" s="1"/>
      <c r="WV266" s="1"/>
      <c r="WW266" s="1"/>
      <c r="WX266" s="1"/>
      <c r="WY266" s="1"/>
      <c r="WZ266" s="1"/>
      <c r="XA266" s="1"/>
      <c r="XB266" s="1"/>
      <c r="XC266" s="1"/>
      <c r="XD266" s="1"/>
      <c r="XE266" s="1"/>
      <c r="XF266" s="1"/>
      <c r="XG266" s="1"/>
      <c r="XH266" s="1"/>
      <c r="XI266" s="1"/>
      <c r="XJ266" s="1"/>
      <c r="XK266" s="1"/>
      <c r="XL266" s="1"/>
      <c r="XM266" s="1"/>
      <c r="XN266" s="1"/>
      <c r="XO266" s="1"/>
      <c r="XP266" s="1"/>
      <c r="XQ266" s="1"/>
      <c r="XR266" s="1"/>
      <c r="XS266" s="1"/>
      <c r="XT266" s="1"/>
      <c r="XU266" s="1"/>
      <c r="XV266" s="1"/>
      <c r="XW266" s="1"/>
      <c r="XX266" s="1"/>
      <c r="XY266" s="1"/>
      <c r="XZ266" s="1"/>
      <c r="YA266" s="1"/>
      <c r="YB266" s="1"/>
      <c r="YC266" s="1"/>
      <c r="YD266" s="1"/>
      <c r="YE266" s="1"/>
      <c r="YF266" s="1"/>
      <c r="YG266" s="1"/>
      <c r="YH266" s="1"/>
      <c r="YI266" s="1"/>
      <c r="YJ266" s="1"/>
      <c r="YK266" s="1"/>
      <c r="YL266" s="1"/>
      <c r="YM266" s="1"/>
      <c r="YN266" s="1"/>
      <c r="YO266" s="1"/>
      <c r="YP266" s="1"/>
      <c r="YQ266" s="1"/>
      <c r="YR266" s="1"/>
      <c r="YS266" s="1"/>
      <c r="YT266" s="1"/>
      <c r="YU266" s="1"/>
      <c r="YV266" s="1"/>
      <c r="YW266" s="1"/>
      <c r="YX266" s="1"/>
      <c r="YY266" s="1"/>
      <c r="YZ266" s="1"/>
      <c r="ZA266" s="1"/>
      <c r="ZB266" s="1"/>
      <c r="ZC266" s="1"/>
      <c r="ZD266" s="1"/>
      <c r="ZE266" s="1"/>
      <c r="ZF266" s="1"/>
      <c r="ZG266" s="1"/>
      <c r="ZH266" s="1"/>
      <c r="ZI266" s="1"/>
      <c r="ZJ266" s="1"/>
      <c r="ZK266" s="1"/>
      <c r="ZL266" s="1"/>
      <c r="ZM266" s="1"/>
      <c r="ZN266" s="1"/>
      <c r="ZO266" s="1"/>
      <c r="ZP266" s="1"/>
      <c r="ZQ266" s="1"/>
      <c r="ZR266" s="1"/>
      <c r="ZS266" s="1"/>
      <c r="ZT266" s="1"/>
      <c r="ZU266" s="1"/>
      <c r="ZV266" s="1"/>
      <c r="ZW266" s="1"/>
      <c r="ZX266" s="1"/>
      <c r="ZY266" s="1"/>
      <c r="ZZ266" s="1"/>
      <c r="AAA266" s="1"/>
      <c r="AAB266" s="1"/>
      <c r="AAC266" s="1"/>
      <c r="AAD266" s="1"/>
      <c r="AAE266" s="1"/>
      <c r="AAF266" s="1"/>
      <c r="AAG266" s="1"/>
      <c r="AAH266" s="1"/>
      <c r="AAI266" s="1"/>
      <c r="AAJ266" s="1"/>
      <c r="AAK266" s="1"/>
      <c r="AAL266" s="1"/>
      <c r="AAM266" s="1"/>
      <c r="AAN266" s="1"/>
      <c r="AAO266" s="1"/>
      <c r="AAP266" s="1"/>
      <c r="AAQ266" s="1"/>
      <c r="AAR266" s="1"/>
      <c r="AAS266" s="1"/>
      <c r="AAT266" s="1"/>
      <c r="AAU266" s="1"/>
      <c r="AAV266" s="1"/>
      <c r="AAW266" s="1"/>
      <c r="AAX266" s="1"/>
      <c r="AAY266" s="1"/>
      <c r="AAZ266" s="1"/>
      <c r="ABA266" s="1"/>
      <c r="ABB266" s="1"/>
      <c r="ABC266" s="1"/>
      <c r="ABD266" s="1"/>
      <c r="ABE266" s="1"/>
      <c r="ABF266" s="1"/>
      <c r="ABG266" s="1"/>
      <c r="ABH266" s="1"/>
      <c r="ABI266" s="1"/>
      <c r="ABJ266" s="1"/>
      <c r="ABK266" s="1"/>
      <c r="ABL266" s="1"/>
      <c r="ABM266" s="1"/>
      <c r="ABN266" s="1"/>
      <c r="ABO266" s="1"/>
      <c r="ABP266" s="1"/>
      <c r="ABQ266" s="1"/>
      <c r="ABR266" s="1"/>
      <c r="ABS266" s="1"/>
      <c r="ABT266" s="1"/>
      <c r="ABU266" s="1"/>
      <c r="ABV266" s="1"/>
      <c r="ABW266" s="1"/>
      <c r="ABX266" s="1"/>
      <c r="ABY266" s="1"/>
      <c r="ABZ266" s="1"/>
      <c r="ACA266" s="1"/>
      <c r="ACB266" s="1"/>
      <c r="ACC266" s="1"/>
      <c r="ACD266" s="1"/>
      <c r="ACE266" s="1"/>
      <c r="ACF266" s="1"/>
      <c r="ACG266" s="1"/>
      <c r="ACH266" s="1"/>
      <c r="ACI266" s="1"/>
      <c r="ACJ266" s="1"/>
      <c r="ACK266" s="1"/>
      <c r="ACL266" s="1"/>
      <c r="ACM266" s="1"/>
      <c r="ACN266" s="1"/>
      <c r="ACO266" s="1"/>
      <c r="ACP266" s="1"/>
      <c r="ACQ266" s="1"/>
      <c r="ACR266" s="1"/>
      <c r="ACS266" s="1"/>
      <c r="ACT266" s="1"/>
      <c r="ACU266" s="1"/>
      <c r="ACV266" s="1"/>
      <c r="ACW266" s="1"/>
      <c r="ACX266" s="1"/>
      <c r="ACY266" s="1"/>
      <c r="ACZ266" s="1"/>
      <c r="ADA266" s="1"/>
      <c r="ADB266" s="1"/>
      <c r="ADC266" s="1"/>
      <c r="ADD266" s="1"/>
      <c r="ADE266" s="1"/>
      <c r="ADF266" s="1"/>
      <c r="ADG266" s="1"/>
      <c r="ADH266" s="1"/>
      <c r="ADI266" s="1"/>
      <c r="ADJ266" s="1"/>
      <c r="ADK266" s="1"/>
      <c r="ADL266" s="1"/>
      <c r="ADM266" s="1"/>
      <c r="ADN266" s="1"/>
      <c r="ADO266" s="1"/>
      <c r="ADP266" s="1"/>
      <c r="ADQ266" s="1"/>
      <c r="ADR266" s="1"/>
      <c r="ADS266" s="1"/>
      <c r="ADT266" s="1"/>
      <c r="ADU266" s="1"/>
      <c r="ADV266" s="1"/>
      <c r="ADW266" s="1"/>
      <c r="ADX266" s="1"/>
      <c r="ADY266" s="1"/>
      <c r="ADZ266" s="1"/>
      <c r="AEA266" s="1"/>
      <c r="AEB266" s="1"/>
      <c r="AEC266" s="1"/>
      <c r="AED266" s="1"/>
      <c r="AEE266" s="1"/>
      <c r="AEF266" s="1"/>
      <c r="AEG266" s="1"/>
      <c r="AEH266" s="1"/>
      <c r="AEI266" s="1"/>
      <c r="AEJ266" s="1"/>
      <c r="AEK266" s="1"/>
      <c r="AEL266" s="1"/>
      <c r="AEM266" s="1"/>
      <c r="AEN266" s="1"/>
      <c r="AEO266" s="1"/>
      <c r="AEP266" s="1"/>
      <c r="AEQ266" s="1"/>
      <c r="AER266" s="1"/>
      <c r="AES266" s="1"/>
      <c r="AET266" s="1"/>
      <c r="AEU266" s="1"/>
      <c r="AEV266" s="1"/>
      <c r="AEW266" s="1"/>
      <c r="AEX266" s="1"/>
      <c r="AEY266" s="1"/>
      <c r="AEZ266" s="1"/>
      <c r="AFA266" s="1"/>
      <c r="AFB266" s="1"/>
      <c r="AFC266" s="1"/>
      <c r="AFD266" s="1"/>
      <c r="AFE266" s="1"/>
      <c r="AFF266" s="1"/>
      <c r="AFG266" s="1"/>
      <c r="AFH266" s="1"/>
      <c r="AFI266" s="1"/>
      <c r="AFJ266" s="1"/>
      <c r="AFK266" s="1"/>
      <c r="AFL266" s="1"/>
      <c r="AFM266" s="1"/>
      <c r="AFN266" s="1"/>
      <c r="AFO266" s="1"/>
      <c r="AFP266" s="1"/>
      <c r="AFQ266" s="1"/>
      <c r="AFR266" s="1"/>
      <c r="AFS266" s="1"/>
      <c r="AFT266" s="1"/>
      <c r="AFU266" s="1"/>
      <c r="AFV266" s="1"/>
      <c r="AFW266" s="1"/>
      <c r="AFX266" s="1"/>
      <c r="AFY266" s="1"/>
      <c r="AFZ266" s="1"/>
      <c r="AGA266" s="1"/>
      <c r="AGB266" s="1"/>
      <c r="AGC266" s="1"/>
      <c r="AGD266" s="1"/>
      <c r="AGE266" s="1"/>
      <c r="AGF266" s="1"/>
      <c r="AGG266" s="1"/>
      <c r="AGH266" s="1"/>
      <c r="AGI266" s="1"/>
      <c r="AGJ266" s="1"/>
      <c r="AGK266" s="1"/>
      <c r="AGL266" s="1"/>
      <c r="AGM266" s="1"/>
      <c r="AGN266" s="1"/>
      <c r="AGO266" s="1"/>
      <c r="AGP266" s="1"/>
      <c r="AGQ266" s="1"/>
      <c r="AGR266" s="1"/>
      <c r="AGS266" s="1"/>
      <c r="AGT266" s="1"/>
      <c r="AGU266" s="1"/>
      <c r="AGV266" s="1"/>
      <c r="AGW266" s="1"/>
      <c r="AGX266" s="1"/>
      <c r="AGY266" s="1"/>
      <c r="AGZ266" s="1"/>
      <c r="AHA266" s="1"/>
      <c r="AHB266" s="1"/>
      <c r="AHC266" s="1"/>
      <c r="AHD266" s="1"/>
      <c r="AHE266" s="1"/>
      <c r="AHF266" s="1"/>
      <c r="AHG266" s="1"/>
      <c r="AHH266" s="1"/>
      <c r="AHI266" s="1"/>
      <c r="AHJ266" s="1"/>
      <c r="AHK266" s="1"/>
      <c r="AHL266" s="1"/>
      <c r="AHM266" s="1"/>
      <c r="AHN266" s="1"/>
      <c r="AHO266" s="1"/>
      <c r="AHP266" s="1"/>
      <c r="AHQ266" s="1"/>
      <c r="AHR266" s="1"/>
      <c r="AHS266" s="1"/>
      <c r="AHT266" s="1"/>
      <c r="AHU266" s="1"/>
      <c r="AHV266" s="1"/>
      <c r="AHW266" s="1"/>
      <c r="AHX266" s="1"/>
      <c r="AHY266" s="1"/>
      <c r="AHZ266" s="1"/>
      <c r="AIA266" s="1"/>
      <c r="AIB266" s="1"/>
      <c r="AIC266" s="1"/>
      <c r="AID266" s="1"/>
      <c r="AIE266" s="1"/>
      <c r="AIF266" s="1"/>
      <c r="AIG266" s="1"/>
      <c r="AIH266" s="1"/>
      <c r="AII266" s="1"/>
      <c r="AIJ266" s="1"/>
      <c r="AIK266" s="1"/>
      <c r="AIL266" s="1"/>
      <c r="AIM266" s="1"/>
      <c r="AIN266" s="1"/>
      <c r="AIO266" s="1"/>
      <c r="AIP266" s="1"/>
      <c r="AIQ266" s="1"/>
      <c r="AIR266" s="1"/>
      <c r="AIS266" s="1"/>
      <c r="AIT266" s="1"/>
      <c r="AIU266" s="1"/>
      <c r="AIV266" s="1"/>
      <c r="AIW266" s="1"/>
      <c r="AIX266" s="1"/>
      <c r="AIY266" s="1"/>
      <c r="AIZ266" s="1"/>
      <c r="AJA266" s="1"/>
      <c r="AJB266" s="1"/>
      <c r="AJC266" s="1"/>
      <c r="AJD266" s="1"/>
      <c r="AJE266" s="1"/>
      <c r="AJF266" s="1"/>
      <c r="AJG266" s="1"/>
      <c r="AJH266" s="1"/>
      <c r="AJI266" s="1"/>
      <c r="AJJ266" s="1"/>
      <c r="AJK266" s="1"/>
      <c r="AJL266" s="1"/>
      <c r="AJM266" s="1"/>
      <c r="AJN266" s="1"/>
      <c r="AJO266" s="1"/>
      <c r="AJP266" s="1"/>
      <c r="AJQ266" s="1"/>
      <c r="AJR266" s="1"/>
      <c r="AJS266" s="1"/>
      <c r="AJT266" s="1"/>
      <c r="AJU266" s="1"/>
      <c r="AJV266" s="1"/>
      <c r="AJW266" s="1"/>
      <c r="AJX266" s="1"/>
      <c r="AJY266" s="1"/>
      <c r="AJZ266" s="1"/>
      <c r="AKA266" s="1"/>
      <c r="AKB266" s="1"/>
      <c r="AKC266" s="1"/>
      <c r="AKD266" s="1"/>
      <c r="AKE266" s="1"/>
      <c r="AKF266" s="1"/>
      <c r="AKG266" s="1"/>
      <c r="AKH266" s="1"/>
      <c r="AKI266" s="1"/>
      <c r="AKJ266" s="1"/>
      <c r="AKK266" s="1"/>
      <c r="AKL266" s="1"/>
      <c r="AKM266" s="1"/>
      <c r="AKN266" s="1"/>
      <c r="AKO266" s="1"/>
      <c r="AKP266" s="1"/>
      <c r="AKQ266" s="1"/>
      <c r="AKR266" s="1"/>
      <c r="AKS266" s="1"/>
      <c r="AKT266" s="1"/>
      <c r="AKU266" s="1"/>
      <c r="AKV266" s="1"/>
      <c r="AKW266" s="1"/>
      <c r="AKX266" s="1"/>
      <c r="AKY266" s="1"/>
      <c r="AKZ266" s="1"/>
      <c r="ALA266" s="1"/>
      <c r="ALB266" s="1"/>
      <c r="ALC266" s="1"/>
      <c r="ALD266" s="1"/>
      <c r="ALE266" s="1"/>
      <c r="ALF266" s="1"/>
      <c r="ALG266" s="1"/>
      <c r="ALH266" s="1"/>
      <c r="ALI266" s="1"/>
      <c r="ALJ266" s="1"/>
      <c r="ALK266" s="1"/>
      <c r="ALL266" s="1"/>
      <c r="ALM266" s="1"/>
      <c r="ALN266" s="1"/>
      <c r="ALO266" s="1"/>
      <c r="ALP266" s="1"/>
      <c r="ALQ266" s="1"/>
      <c r="ALR266" s="1"/>
      <c r="ALS266" s="1"/>
      <c r="ALT266" s="1"/>
      <c r="ALU266" s="1"/>
      <c r="ALV266" s="1"/>
      <c r="ALW266" s="1"/>
      <c r="ALX266" s="1"/>
      <c r="ALY266" s="1"/>
      <c r="ALZ266" s="1"/>
      <c r="AMA266" s="1"/>
      <c r="AMB266" s="1"/>
      <c r="AMC266" s="1"/>
      <c r="AMD266" s="1"/>
      <c r="AME266" s="1"/>
      <c r="AMF266" s="1"/>
      <c r="AMG266" s="1"/>
      <c r="AMH266" s="1"/>
      <c r="AMI266" s="1"/>
      <c r="AMJ266" s="1"/>
      <c r="AMK266" s="1"/>
      <c r="AML266" s="1"/>
      <c r="AMM266" s="1"/>
      <c r="AMN266" s="1"/>
      <c r="AMO266" s="1"/>
    </row>
    <row r="267" spans="1:1029" x14ac:dyDescent="0.2">
      <c r="A267" s="3" t="str">
        <f>CONCATENATE(B267,"_",C267)</f>
        <v>ptafr_human_5ZKQ</v>
      </c>
      <c r="B267" s="3" t="s">
        <v>371</v>
      </c>
      <c r="C267" s="3" t="s">
        <v>1523</v>
      </c>
      <c r="D267" s="3" t="str">
        <f>IFERROR(MID(VLOOKUP($B267,Seqs!$A:$B,2,0),E267,1),"")</f>
        <v>D</v>
      </c>
      <c r="E267" s="3">
        <v>10</v>
      </c>
      <c r="F267" s="3" t="str">
        <f>IFERROR(MID(VLOOKUP($B267,Seqs!$A:$B,2,0),G267,1),"")</f>
        <v>L</v>
      </c>
      <c r="G267" s="3">
        <v>43</v>
      </c>
      <c r="H267" s="3" t="str">
        <f>IFERROR(MID(VLOOKUP($B267,Seqs!$A:$B,2,0),I267,1),"")</f>
        <v/>
      </c>
      <c r="I267" s="23" t="s">
        <v>23</v>
      </c>
      <c r="J267" s="3" t="str">
        <f>IFERROR(MID(VLOOKUP($B267,Seqs!$A:$B,2,0),K267,1),"")</f>
        <v/>
      </c>
      <c r="K267" s="23" t="s">
        <v>23</v>
      </c>
      <c r="L267" s="3" t="str">
        <f>IFERROR(MID(VLOOKUP($B267,Seqs!$A:$B,2,0),M267,1),"")</f>
        <v>F</v>
      </c>
      <c r="M267" s="3">
        <v>49</v>
      </c>
      <c r="N267" s="3" t="str">
        <f>IFERROR(MID(VLOOKUP($B267,Seqs!$A:$B,2,0),O267,1),"")</f>
        <v>Q</v>
      </c>
      <c r="O267" s="3">
        <v>80</v>
      </c>
      <c r="P267" s="3" t="str">
        <f>IFERROR(MID(VLOOKUP($B267,Seqs!$A:$B,2,0),Q267,1),"")</f>
        <v>N</v>
      </c>
      <c r="Q267" s="3">
        <v>82</v>
      </c>
      <c r="R267" s="3" t="str">
        <f>IFERROR(MID(VLOOKUP($B267,Seqs!$A:$B,2,0),S267,1),"")</f>
        <v>L</v>
      </c>
      <c r="S267" s="3">
        <v>85</v>
      </c>
      <c r="T267" s="3" t="str">
        <f>IFERROR(MID(VLOOKUP($B267,Seqs!$A:$B,2,0),U267,1),"")</f>
        <v>P</v>
      </c>
      <c r="U267" s="3">
        <v>86</v>
      </c>
      <c r="V267" s="3" t="str">
        <f>IFERROR(MID(VLOOKUP($B267,Seqs!$A:$B,2,0),W267,1),"")</f>
        <v>R</v>
      </c>
      <c r="W267" s="3">
        <v>121</v>
      </c>
      <c r="X267" s="3" t="str">
        <f>IFERROR(MID(VLOOKUP($B267,Seqs!$A:$B,2,0),Y267,1),"")</f>
        <v/>
      </c>
      <c r="Y267" s="3" t="s">
        <v>23</v>
      </c>
      <c r="Z267" s="3" t="str">
        <f>IFERROR(MID(VLOOKUP($B267,Seqs!$A:$B,2,0),AA267,1),"")</f>
        <v/>
      </c>
      <c r="AA267" s="3" t="s">
        <v>23</v>
      </c>
      <c r="AB267" s="3" t="str">
        <f>IFERROR(MID(VLOOKUP($B267,Seqs!$A:$B,2,0),AC267,1),"")</f>
        <v>T</v>
      </c>
      <c r="AC267" s="3">
        <v>130</v>
      </c>
      <c r="AD267" s="3" t="str">
        <f>IFERROR(MID(VLOOKUP($B267,Seqs!$A:$B,2,0),AE267,1),"")</f>
        <v>I</v>
      </c>
      <c r="AE267" s="3">
        <v>154</v>
      </c>
      <c r="AF267" s="3" t="str">
        <f>IFERROR(MID(VLOOKUP($B267,Seqs!$A:$B,2,0),AG267,1),"")</f>
        <v>C</v>
      </c>
      <c r="AG267" s="3">
        <v>173</v>
      </c>
      <c r="AH267" s="3" t="str">
        <f>IFERROR(MID(VLOOKUP($B267,Seqs!$A:$B,2,0),AI267,1),"")</f>
        <v>E</v>
      </c>
      <c r="AI267" s="3">
        <v>175</v>
      </c>
      <c r="AJ267" s="3" t="str">
        <f>IFERROR(MID(VLOOKUP($B267,Seqs!$A:$B,2,0),AK267,1),"")</f>
        <v>S</v>
      </c>
      <c r="AK267" s="3">
        <v>181</v>
      </c>
      <c r="AL267" s="3" t="str">
        <f>IFERROR(MID(VLOOKUP($B267,Seqs!$A:$B,2,0),AM267,1),"")</f>
        <v>M</v>
      </c>
      <c r="AM267" s="3">
        <v>215</v>
      </c>
      <c r="AN267" s="3" t="str">
        <f>IFERROR(MID(VLOOKUP($B267,Seqs!$A:$B,2,0),AO267,1),"")</f>
        <v>K</v>
      </c>
      <c r="AO267" s="3">
        <v>227</v>
      </c>
      <c r="AP267" s="3" t="str">
        <f>IFERROR(MID(VLOOKUP($B267,Seqs!$A:$B,2,0),AQ267,1),"")</f>
        <v>G</v>
      </c>
      <c r="AQ267" s="3">
        <v>261</v>
      </c>
      <c r="AR267" s="3" t="str">
        <f>IFERROR(MID(VLOOKUP($B267,Seqs!$A:$B,2,0),AS267,1),"")</f>
        <v>D</v>
      </c>
      <c r="AS267" s="3">
        <v>264</v>
      </c>
      <c r="AT267" s="3" t="str">
        <f>IFERROR(MID(VLOOKUP($B267,Seqs!$A:$B,2,0),AU267,1),"")</f>
        <v>T</v>
      </c>
      <c r="AU267" s="3">
        <v>297</v>
      </c>
      <c r="AV267" s="3" t="str">
        <f>IFERROR(MID(VLOOKUP($B267,Seqs!$A:$B,2,0),AW267,1),"")</f>
        <v/>
      </c>
      <c r="AW267" s="3" t="s">
        <v>23</v>
      </c>
      <c r="AX267" s="3" t="str">
        <f>IFERROR(MID(VLOOKUP($B267,Seqs!$A:$B,2,0),AY267,1),"")</f>
        <v/>
      </c>
      <c r="AY267" s="3" t="s">
        <v>23</v>
      </c>
      <c r="AZ267" s="77" t="str">
        <f>VLOOKUP(B267,Classification!A:D,2,0)</f>
        <v>A</v>
      </c>
      <c r="BA267" s="94" t="str">
        <f>VLOOKUP(B267,Classification!A:D,4,0)</f>
        <v>Platelet-activatingfactor</v>
      </c>
      <c r="BB267" s="27" t="b">
        <f>AND(E267&lt;G267,OR(G267&lt;I267,I267="-"),OR(I267&lt;K267,I267="-"),OR(K267&lt;M267,K267="-"),M267&lt;O267,OR(O267&lt;Q267,Q267="-"),OR(Q267&lt;S267,Q267="-"),OR(S267&lt;U267,S267="-"),U267&lt;W267,OR(W267&lt;Y267,Y267="-"),OR(Y267&lt;AA267,Y267="-"),OR(AA267&lt;AC267,AA267="-"),AC267&lt;AE267,OR(AE267&lt;AG267,AG267="-"),OR(AG267&lt;AI267,AG267="-"),OR(AI267&lt;AK267,AI267="-"),AK267&lt;AM267,AM267&lt;AO267,AO267&lt;AQ267,AQ267&lt;AS267,AS267&lt;AU267,OR(AU267&lt;AW267,AW267="-"),OR(AW267&lt;AY267,AW267="-"))</f>
        <v>1</v>
      </c>
      <c r="BC267" s="23">
        <f>_xlfn.AGGREGATE(9,6,CH267:CS267)-_xlfn.AGGREGATE(9,6,BV267:CG267)+12</f>
        <v>241</v>
      </c>
      <c r="BD267" s="2" t="s">
        <v>1440</v>
      </c>
      <c r="BE267" s="3" t="s">
        <v>1439</v>
      </c>
      <c r="BF267" s="119">
        <v>2.9</v>
      </c>
      <c r="BG267" s="49" t="s">
        <v>1287</v>
      </c>
      <c r="BH267" s="49" t="s">
        <v>1287</v>
      </c>
      <c r="BI267" s="1"/>
      <c r="BJ267" s="70" t="s">
        <v>1293</v>
      </c>
      <c r="BK267" s="57" t="s">
        <v>1293</v>
      </c>
      <c r="BL267" s="57" t="s">
        <v>1293</v>
      </c>
      <c r="BM267" s="57" t="s">
        <v>1293</v>
      </c>
      <c r="BN267" s="57" t="s">
        <v>1293</v>
      </c>
      <c r="BO267" s="57" t="s">
        <v>1293</v>
      </c>
      <c r="BP267" s="57" t="s">
        <v>1293</v>
      </c>
      <c r="BQ267" s="57" t="s">
        <v>1293</v>
      </c>
      <c r="BR267" s="57" t="s">
        <v>1293</v>
      </c>
      <c r="BS267" s="57" t="s">
        <v>1293</v>
      </c>
      <c r="BT267" s="57" t="s">
        <v>1293</v>
      </c>
      <c r="BU267" s="57" t="s">
        <v>1293</v>
      </c>
      <c r="BV267" s="70">
        <f>E267</f>
        <v>10</v>
      </c>
      <c r="BW267" s="71" t="str">
        <f>I267</f>
        <v>-</v>
      </c>
      <c r="BX267" s="72">
        <f>M267</f>
        <v>49</v>
      </c>
      <c r="BY267" s="71">
        <f>Q267</f>
        <v>82</v>
      </c>
      <c r="BZ267" s="72">
        <f>U267</f>
        <v>86</v>
      </c>
      <c r="CA267" s="71" t="str">
        <f>Y267</f>
        <v>-</v>
      </c>
      <c r="CB267" s="72">
        <f>AC267</f>
        <v>130</v>
      </c>
      <c r="CC267" s="71">
        <f>AG267</f>
        <v>173</v>
      </c>
      <c r="CD267" s="72">
        <f>AK267</f>
        <v>181</v>
      </c>
      <c r="CE267" s="71">
        <f>AO267</f>
        <v>227</v>
      </c>
      <c r="CF267" s="72">
        <f>AS267</f>
        <v>264</v>
      </c>
      <c r="CG267" s="71" t="str">
        <f>AW267</f>
        <v>-</v>
      </c>
      <c r="CH267" s="70">
        <f>G267</f>
        <v>43</v>
      </c>
      <c r="CI267" s="71" t="str">
        <f>K267</f>
        <v>-</v>
      </c>
      <c r="CJ267" s="72">
        <f>O267</f>
        <v>80</v>
      </c>
      <c r="CK267" s="72">
        <f>S267</f>
        <v>85</v>
      </c>
      <c r="CL267" s="72">
        <f>W267</f>
        <v>121</v>
      </c>
      <c r="CM267" s="72" t="str">
        <f>AA267</f>
        <v>-</v>
      </c>
      <c r="CN267" s="72">
        <f>AE267</f>
        <v>154</v>
      </c>
      <c r="CO267" s="72">
        <f>AI267</f>
        <v>175</v>
      </c>
      <c r="CP267" s="72">
        <f>AM267</f>
        <v>215</v>
      </c>
      <c r="CQ267" s="72">
        <f>AQ267</f>
        <v>261</v>
      </c>
      <c r="CR267" s="72">
        <f>AU267</f>
        <v>297</v>
      </c>
      <c r="CS267" s="72" t="str">
        <f>AY267</f>
        <v>-</v>
      </c>
      <c r="CT267" s="23" t="e">
        <f>M267-K267</f>
        <v>#VALUE!</v>
      </c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  <c r="OK267" s="1"/>
      <c r="OL267" s="1"/>
      <c r="OM267" s="1"/>
      <c r="ON267" s="1"/>
      <c r="OO267" s="1"/>
      <c r="OP267" s="1"/>
      <c r="OQ267" s="1"/>
      <c r="OR267" s="1"/>
      <c r="OS267" s="1"/>
      <c r="OT267" s="1"/>
      <c r="OU267" s="1"/>
      <c r="OV267" s="1"/>
      <c r="OW267" s="1"/>
      <c r="OX267" s="1"/>
      <c r="OY267" s="1"/>
      <c r="OZ267" s="1"/>
      <c r="PA267" s="1"/>
      <c r="PB267" s="1"/>
      <c r="PC267" s="1"/>
      <c r="PD267" s="1"/>
      <c r="PE267" s="1"/>
      <c r="PF267" s="1"/>
      <c r="PG267" s="1"/>
      <c r="PH267" s="1"/>
      <c r="PI267" s="1"/>
      <c r="PJ267" s="1"/>
      <c r="PK267" s="1"/>
      <c r="PL267" s="1"/>
      <c r="PM267" s="1"/>
      <c r="PN267" s="1"/>
      <c r="PO267" s="1"/>
      <c r="PP267" s="1"/>
      <c r="PQ267" s="1"/>
      <c r="PR267" s="1"/>
      <c r="PS267" s="1"/>
      <c r="PT267" s="1"/>
      <c r="PU267" s="1"/>
      <c r="PV267" s="1"/>
      <c r="PW267" s="1"/>
      <c r="PX267" s="1"/>
      <c r="PY267" s="1"/>
      <c r="PZ267" s="1"/>
      <c r="QA267" s="1"/>
      <c r="QB267" s="1"/>
      <c r="QC267" s="1"/>
      <c r="QD267" s="1"/>
      <c r="QE267" s="1"/>
      <c r="QF267" s="1"/>
      <c r="QG267" s="1"/>
      <c r="QH267" s="1"/>
      <c r="QI267" s="1"/>
      <c r="QJ267" s="1"/>
      <c r="QK267" s="1"/>
      <c r="QL267" s="1"/>
      <c r="QM267" s="1"/>
      <c r="QN267" s="1"/>
      <c r="QO267" s="1"/>
      <c r="QP267" s="1"/>
      <c r="QQ267" s="1"/>
      <c r="QR267" s="1"/>
      <c r="QS267" s="1"/>
      <c r="QT267" s="1"/>
      <c r="QU267" s="1"/>
      <c r="QV267" s="1"/>
      <c r="QW267" s="1"/>
      <c r="QX267" s="1"/>
      <c r="QY267" s="1"/>
      <c r="QZ267" s="1"/>
      <c r="RA267" s="1"/>
      <c r="RB267" s="1"/>
      <c r="RC267" s="1"/>
      <c r="RD267" s="1"/>
      <c r="RE267" s="1"/>
      <c r="RF267" s="1"/>
      <c r="RG267" s="1"/>
      <c r="RH267" s="1"/>
      <c r="RI267" s="1"/>
      <c r="RJ267" s="1"/>
      <c r="RK267" s="1"/>
      <c r="RL267" s="1"/>
      <c r="RM267" s="1"/>
      <c r="RN267" s="1"/>
      <c r="RO267" s="1"/>
      <c r="RP267" s="1"/>
      <c r="RQ267" s="1"/>
      <c r="RR267" s="1"/>
      <c r="RS267" s="1"/>
      <c r="RT267" s="1"/>
      <c r="RU267" s="1"/>
      <c r="RV267" s="1"/>
      <c r="RW267" s="1"/>
      <c r="RX267" s="1"/>
      <c r="RY267" s="1"/>
      <c r="RZ267" s="1"/>
      <c r="SA267" s="1"/>
      <c r="SB267" s="1"/>
      <c r="SC267" s="1"/>
      <c r="SD267" s="1"/>
      <c r="SE267" s="1"/>
      <c r="SF267" s="1"/>
      <c r="SG267" s="1"/>
      <c r="SH267" s="1"/>
      <c r="SI267" s="1"/>
      <c r="SJ267" s="1"/>
      <c r="SK267" s="1"/>
      <c r="SL267" s="1"/>
      <c r="SM267" s="1"/>
      <c r="SN267" s="1"/>
      <c r="SO267" s="1"/>
      <c r="SP267" s="1"/>
      <c r="SQ267" s="1"/>
      <c r="SR267" s="1"/>
      <c r="SS267" s="1"/>
      <c r="ST267" s="1"/>
      <c r="SU267" s="1"/>
      <c r="SV267" s="1"/>
      <c r="SW267" s="1"/>
      <c r="SX267" s="1"/>
      <c r="SY267" s="1"/>
      <c r="SZ267" s="1"/>
      <c r="TA267" s="1"/>
      <c r="TB267" s="1"/>
      <c r="TC267" s="1"/>
      <c r="TD267" s="1"/>
      <c r="TE267" s="1"/>
      <c r="TF267" s="1"/>
      <c r="TG267" s="1"/>
      <c r="TH267" s="1"/>
      <c r="TI267" s="1"/>
      <c r="TJ267" s="1"/>
      <c r="TK267" s="1"/>
      <c r="TL267" s="1"/>
      <c r="TM267" s="1"/>
      <c r="TN267" s="1"/>
      <c r="TO267" s="1"/>
      <c r="TP267" s="1"/>
      <c r="TQ267" s="1"/>
      <c r="TR267" s="1"/>
      <c r="TS267" s="1"/>
      <c r="TT267" s="1"/>
      <c r="TU267" s="1"/>
      <c r="TV267" s="1"/>
      <c r="TW267" s="1"/>
      <c r="TX267" s="1"/>
      <c r="TY267" s="1"/>
      <c r="TZ267" s="1"/>
      <c r="UA267" s="1"/>
      <c r="UB267" s="1"/>
      <c r="UC267" s="1"/>
      <c r="UD267" s="1"/>
      <c r="UE267" s="1"/>
      <c r="UF267" s="1"/>
      <c r="UG267" s="1"/>
      <c r="UH267" s="1"/>
      <c r="UI267" s="1"/>
      <c r="UJ267" s="1"/>
      <c r="UK267" s="1"/>
      <c r="UL267" s="1"/>
      <c r="UM267" s="1"/>
      <c r="UN267" s="1"/>
      <c r="UO267" s="1"/>
      <c r="UP267" s="1"/>
      <c r="UQ267" s="1"/>
      <c r="UR267" s="1"/>
      <c r="US267" s="1"/>
      <c r="UT267" s="1"/>
      <c r="UU267" s="1"/>
      <c r="UV267" s="1"/>
      <c r="UW267" s="1"/>
      <c r="UX267" s="1"/>
      <c r="UY267" s="1"/>
      <c r="UZ267" s="1"/>
      <c r="VA267" s="1"/>
      <c r="VB267" s="1"/>
      <c r="VC267" s="1"/>
      <c r="VD267" s="1"/>
      <c r="VE267" s="1"/>
      <c r="VF267" s="1"/>
      <c r="VG267" s="1"/>
      <c r="VH267" s="1"/>
      <c r="VI267" s="1"/>
      <c r="VJ267" s="1"/>
      <c r="VK267" s="1"/>
      <c r="VL267" s="1"/>
      <c r="VM267" s="1"/>
      <c r="VN267" s="1"/>
      <c r="VO267" s="1"/>
      <c r="VP267" s="1"/>
      <c r="VQ267" s="1"/>
      <c r="VR267" s="1"/>
      <c r="VS267" s="1"/>
      <c r="VT267" s="1"/>
      <c r="VU267" s="1"/>
      <c r="VV267" s="1"/>
      <c r="VW267" s="1"/>
      <c r="VX267" s="1"/>
      <c r="VY267" s="1"/>
      <c r="VZ267" s="1"/>
      <c r="WA267" s="1"/>
      <c r="WB267" s="1"/>
      <c r="WC267" s="1"/>
      <c r="WD267" s="1"/>
      <c r="WE267" s="1"/>
      <c r="WF267" s="1"/>
      <c r="WG267" s="1"/>
      <c r="WH267" s="1"/>
      <c r="WI267" s="1"/>
      <c r="WJ267" s="1"/>
      <c r="WK267" s="1"/>
      <c r="WL267" s="1"/>
      <c r="WM267" s="1"/>
      <c r="WN267" s="1"/>
      <c r="WO267" s="1"/>
      <c r="WP267" s="1"/>
      <c r="WQ267" s="1"/>
      <c r="WR267" s="1"/>
      <c r="WS267" s="1"/>
      <c r="WT267" s="1"/>
      <c r="WU267" s="1"/>
      <c r="WV267" s="1"/>
      <c r="WW267" s="1"/>
      <c r="WX267" s="1"/>
      <c r="WY267" s="1"/>
      <c r="WZ267" s="1"/>
      <c r="XA267" s="1"/>
      <c r="XB267" s="1"/>
      <c r="XC267" s="1"/>
      <c r="XD267" s="1"/>
      <c r="XE267" s="1"/>
      <c r="XF267" s="1"/>
      <c r="XG267" s="1"/>
      <c r="XH267" s="1"/>
      <c r="XI267" s="1"/>
      <c r="XJ267" s="1"/>
      <c r="XK267" s="1"/>
      <c r="XL267" s="1"/>
      <c r="XM267" s="1"/>
      <c r="XN267" s="1"/>
      <c r="XO267" s="1"/>
      <c r="XP267" s="1"/>
      <c r="XQ267" s="1"/>
      <c r="XR267" s="1"/>
      <c r="XS267" s="1"/>
      <c r="XT267" s="1"/>
      <c r="XU267" s="1"/>
      <c r="XV267" s="1"/>
      <c r="XW267" s="1"/>
      <c r="XX267" s="1"/>
      <c r="XY267" s="1"/>
      <c r="XZ267" s="1"/>
      <c r="YA267" s="1"/>
      <c r="YB267" s="1"/>
      <c r="YC267" s="1"/>
      <c r="YD267" s="1"/>
      <c r="YE267" s="1"/>
      <c r="YF267" s="1"/>
      <c r="YG267" s="1"/>
      <c r="YH267" s="1"/>
      <c r="YI267" s="1"/>
      <c r="YJ267" s="1"/>
      <c r="YK267" s="1"/>
      <c r="YL267" s="1"/>
      <c r="YM267" s="1"/>
      <c r="YN267" s="1"/>
      <c r="YO267" s="1"/>
      <c r="YP267" s="1"/>
      <c r="YQ267" s="1"/>
      <c r="YR267" s="1"/>
      <c r="YS267" s="1"/>
      <c r="YT267" s="1"/>
      <c r="YU267" s="1"/>
      <c r="YV267" s="1"/>
      <c r="YW267" s="1"/>
      <c r="YX267" s="1"/>
      <c r="YY267" s="1"/>
      <c r="YZ267" s="1"/>
      <c r="ZA267" s="1"/>
      <c r="ZB267" s="1"/>
      <c r="ZC267" s="1"/>
      <c r="ZD267" s="1"/>
      <c r="ZE267" s="1"/>
      <c r="ZF267" s="1"/>
      <c r="ZG267" s="1"/>
      <c r="ZH267" s="1"/>
      <c r="ZI267" s="1"/>
      <c r="ZJ267" s="1"/>
      <c r="ZK267" s="1"/>
      <c r="ZL267" s="1"/>
      <c r="ZM267" s="1"/>
      <c r="ZN267" s="1"/>
      <c r="ZO267" s="1"/>
      <c r="ZP267" s="1"/>
      <c r="ZQ267" s="1"/>
      <c r="ZR267" s="1"/>
      <c r="ZS267" s="1"/>
      <c r="ZT267" s="1"/>
      <c r="ZU267" s="1"/>
      <c r="ZV267" s="1"/>
      <c r="ZW267" s="1"/>
      <c r="ZX267" s="1"/>
      <c r="ZY267" s="1"/>
      <c r="ZZ267" s="1"/>
      <c r="AAA267" s="1"/>
      <c r="AAB267" s="1"/>
      <c r="AAC267" s="1"/>
      <c r="AAD267" s="1"/>
      <c r="AAE267" s="1"/>
      <c r="AAF267" s="1"/>
      <c r="AAG267" s="1"/>
      <c r="AAH267" s="1"/>
      <c r="AAI267" s="1"/>
      <c r="AAJ267" s="1"/>
      <c r="AAK267" s="1"/>
      <c r="AAL267" s="1"/>
      <c r="AAM267" s="1"/>
      <c r="AAN267" s="1"/>
      <c r="AAO267" s="1"/>
      <c r="AAP267" s="1"/>
      <c r="AAQ267" s="1"/>
      <c r="AAR267" s="1"/>
      <c r="AAS267" s="1"/>
      <c r="AAT267" s="1"/>
      <c r="AAU267" s="1"/>
      <c r="AAV267" s="1"/>
      <c r="AAW267" s="1"/>
      <c r="AAX267" s="1"/>
      <c r="AAY267" s="1"/>
      <c r="AAZ267" s="1"/>
      <c r="ABA267" s="1"/>
      <c r="ABB267" s="1"/>
      <c r="ABC267" s="1"/>
      <c r="ABD267" s="1"/>
      <c r="ABE267" s="1"/>
      <c r="ABF267" s="1"/>
      <c r="ABG267" s="1"/>
      <c r="ABH267" s="1"/>
      <c r="ABI267" s="1"/>
      <c r="ABJ267" s="1"/>
      <c r="ABK267" s="1"/>
      <c r="ABL267" s="1"/>
      <c r="ABM267" s="1"/>
      <c r="ABN267" s="1"/>
      <c r="ABO267" s="1"/>
      <c r="ABP267" s="1"/>
      <c r="ABQ267" s="1"/>
      <c r="ABR267" s="1"/>
      <c r="ABS267" s="1"/>
      <c r="ABT267" s="1"/>
      <c r="ABU267" s="1"/>
      <c r="ABV267" s="1"/>
      <c r="ABW267" s="1"/>
      <c r="ABX267" s="1"/>
      <c r="ABY267" s="1"/>
      <c r="ABZ267" s="1"/>
      <c r="ACA267" s="1"/>
      <c r="ACB267" s="1"/>
      <c r="ACC267" s="1"/>
      <c r="ACD267" s="1"/>
      <c r="ACE267" s="1"/>
      <c r="ACF267" s="1"/>
      <c r="ACG267" s="1"/>
      <c r="ACH267" s="1"/>
      <c r="ACI267" s="1"/>
      <c r="ACJ267" s="1"/>
      <c r="ACK267" s="1"/>
      <c r="ACL267" s="1"/>
      <c r="ACM267" s="1"/>
      <c r="ACN267" s="1"/>
      <c r="ACO267" s="1"/>
      <c r="ACP267" s="1"/>
      <c r="ACQ267" s="1"/>
      <c r="ACR267" s="1"/>
      <c r="ACS267" s="1"/>
      <c r="ACT267" s="1"/>
      <c r="ACU267" s="1"/>
      <c r="ACV267" s="1"/>
      <c r="ACW267" s="1"/>
      <c r="ACX267" s="1"/>
      <c r="ACY267" s="1"/>
      <c r="ACZ267" s="1"/>
      <c r="ADA267" s="1"/>
      <c r="ADB267" s="1"/>
      <c r="ADC267" s="1"/>
      <c r="ADD267" s="1"/>
      <c r="ADE267" s="1"/>
      <c r="ADF267" s="1"/>
      <c r="ADG267" s="1"/>
      <c r="ADH267" s="1"/>
      <c r="ADI267" s="1"/>
      <c r="ADJ267" s="1"/>
      <c r="ADK267" s="1"/>
      <c r="ADL267" s="1"/>
      <c r="ADM267" s="1"/>
      <c r="ADN267" s="1"/>
      <c r="ADO267" s="1"/>
      <c r="ADP267" s="1"/>
      <c r="ADQ267" s="1"/>
      <c r="ADR267" s="1"/>
      <c r="ADS267" s="1"/>
      <c r="ADT267" s="1"/>
      <c r="ADU267" s="1"/>
      <c r="ADV267" s="1"/>
      <c r="ADW267" s="1"/>
      <c r="ADX267" s="1"/>
      <c r="ADY267" s="1"/>
      <c r="ADZ267" s="1"/>
      <c r="AEA267" s="1"/>
      <c r="AEB267" s="1"/>
      <c r="AEC267" s="1"/>
      <c r="AED267" s="1"/>
      <c r="AEE267" s="1"/>
      <c r="AEF267" s="1"/>
      <c r="AEG267" s="1"/>
      <c r="AEH267" s="1"/>
      <c r="AEI267" s="1"/>
      <c r="AEJ267" s="1"/>
      <c r="AEK267" s="1"/>
      <c r="AEL267" s="1"/>
      <c r="AEM267" s="1"/>
      <c r="AEN267" s="1"/>
      <c r="AEO267" s="1"/>
      <c r="AEP267" s="1"/>
      <c r="AEQ267" s="1"/>
      <c r="AER267" s="1"/>
      <c r="AES267" s="1"/>
      <c r="AET267" s="1"/>
      <c r="AEU267" s="1"/>
      <c r="AEV267" s="1"/>
      <c r="AEW267" s="1"/>
      <c r="AEX267" s="1"/>
      <c r="AEY267" s="1"/>
      <c r="AEZ267" s="1"/>
      <c r="AFA267" s="1"/>
      <c r="AFB267" s="1"/>
      <c r="AFC267" s="1"/>
      <c r="AFD267" s="1"/>
      <c r="AFE267" s="1"/>
      <c r="AFF267" s="1"/>
      <c r="AFG267" s="1"/>
      <c r="AFH267" s="1"/>
      <c r="AFI267" s="1"/>
      <c r="AFJ267" s="1"/>
      <c r="AFK267" s="1"/>
      <c r="AFL267" s="1"/>
      <c r="AFM267" s="1"/>
      <c r="AFN267" s="1"/>
      <c r="AFO267" s="1"/>
      <c r="AFP267" s="1"/>
      <c r="AFQ267" s="1"/>
      <c r="AFR267" s="1"/>
      <c r="AFS267" s="1"/>
      <c r="AFT267" s="1"/>
      <c r="AFU267" s="1"/>
      <c r="AFV267" s="1"/>
      <c r="AFW267" s="1"/>
      <c r="AFX267" s="1"/>
      <c r="AFY267" s="1"/>
      <c r="AFZ267" s="1"/>
      <c r="AGA267" s="1"/>
      <c r="AGB267" s="1"/>
      <c r="AGC267" s="1"/>
      <c r="AGD267" s="1"/>
      <c r="AGE267" s="1"/>
      <c r="AGF267" s="1"/>
      <c r="AGG267" s="1"/>
      <c r="AGH267" s="1"/>
      <c r="AGI267" s="1"/>
      <c r="AGJ267" s="1"/>
      <c r="AGK267" s="1"/>
      <c r="AGL267" s="1"/>
      <c r="AGM267" s="1"/>
      <c r="AGN267" s="1"/>
      <c r="AGO267" s="1"/>
      <c r="AGP267" s="1"/>
      <c r="AGQ267" s="1"/>
      <c r="AGR267" s="1"/>
      <c r="AGS267" s="1"/>
      <c r="AGT267" s="1"/>
      <c r="AGU267" s="1"/>
      <c r="AGV267" s="1"/>
      <c r="AGW267" s="1"/>
      <c r="AGX267" s="1"/>
      <c r="AGY267" s="1"/>
      <c r="AGZ267" s="1"/>
      <c r="AHA267" s="1"/>
      <c r="AHB267" s="1"/>
      <c r="AHC267" s="1"/>
      <c r="AHD267" s="1"/>
      <c r="AHE267" s="1"/>
      <c r="AHF267" s="1"/>
      <c r="AHG267" s="1"/>
      <c r="AHH267" s="1"/>
      <c r="AHI267" s="1"/>
      <c r="AHJ267" s="1"/>
      <c r="AHK267" s="1"/>
      <c r="AHL267" s="1"/>
      <c r="AHM267" s="1"/>
      <c r="AHN267" s="1"/>
      <c r="AHO267" s="1"/>
      <c r="AHP267" s="1"/>
      <c r="AHQ267" s="1"/>
      <c r="AHR267" s="1"/>
      <c r="AHS267" s="1"/>
      <c r="AHT267" s="1"/>
      <c r="AHU267" s="1"/>
      <c r="AHV267" s="1"/>
      <c r="AHW267" s="1"/>
      <c r="AHX267" s="1"/>
      <c r="AHY267" s="1"/>
      <c r="AHZ267" s="1"/>
      <c r="AIA267" s="1"/>
      <c r="AIB267" s="1"/>
      <c r="AIC267" s="1"/>
      <c r="AID267" s="1"/>
      <c r="AIE267" s="1"/>
      <c r="AIF267" s="1"/>
      <c r="AIG267" s="1"/>
      <c r="AIH267" s="1"/>
      <c r="AII267" s="1"/>
      <c r="AIJ267" s="1"/>
      <c r="AIK267" s="1"/>
      <c r="AIL267" s="1"/>
      <c r="AIM267" s="1"/>
      <c r="AIN267" s="1"/>
      <c r="AIO267" s="1"/>
      <c r="AIP267" s="1"/>
      <c r="AIQ267" s="1"/>
      <c r="AIR267" s="1"/>
      <c r="AIS267" s="1"/>
      <c r="AIT267" s="1"/>
      <c r="AIU267" s="1"/>
      <c r="AIV267" s="1"/>
      <c r="AIW267" s="1"/>
      <c r="AIX267" s="1"/>
      <c r="AIY267" s="1"/>
      <c r="AIZ267" s="1"/>
      <c r="AJA267" s="1"/>
      <c r="AJB267" s="1"/>
      <c r="AJC267" s="1"/>
      <c r="AJD267" s="1"/>
      <c r="AJE267" s="1"/>
      <c r="AJF267" s="1"/>
      <c r="AJG267" s="1"/>
      <c r="AJH267" s="1"/>
      <c r="AJI267" s="1"/>
      <c r="AJJ267" s="1"/>
      <c r="AJK267" s="1"/>
      <c r="AJL267" s="1"/>
      <c r="AJM267" s="1"/>
      <c r="AJN267" s="1"/>
      <c r="AJO267" s="1"/>
      <c r="AJP267" s="1"/>
      <c r="AJQ267" s="1"/>
      <c r="AJR267" s="1"/>
      <c r="AJS267" s="1"/>
      <c r="AJT267" s="1"/>
      <c r="AJU267" s="1"/>
      <c r="AJV267" s="1"/>
      <c r="AJW267" s="1"/>
      <c r="AJX267" s="1"/>
      <c r="AJY267" s="1"/>
      <c r="AJZ267" s="1"/>
      <c r="AKA267" s="1"/>
      <c r="AKB267" s="1"/>
      <c r="AKC267" s="1"/>
      <c r="AKD267" s="1"/>
      <c r="AKE267" s="1"/>
      <c r="AKF267" s="1"/>
      <c r="AKG267" s="1"/>
      <c r="AKH267" s="1"/>
      <c r="AKI267" s="1"/>
      <c r="AKJ267" s="1"/>
      <c r="AKK267" s="1"/>
      <c r="AKL267" s="1"/>
      <c r="AKM267" s="1"/>
      <c r="AKN267" s="1"/>
      <c r="AKO267" s="1"/>
      <c r="AKP267" s="1"/>
      <c r="AKQ267" s="1"/>
      <c r="AKR267" s="1"/>
      <c r="AKS267" s="1"/>
      <c r="AKT267" s="1"/>
      <c r="AKU267" s="1"/>
      <c r="AKV267" s="1"/>
      <c r="AKW267" s="1"/>
      <c r="AKX267" s="1"/>
      <c r="AKY267" s="1"/>
      <c r="AKZ267" s="1"/>
      <c r="ALA267" s="1"/>
      <c r="ALB267" s="1"/>
      <c r="ALC267" s="1"/>
      <c r="ALD267" s="1"/>
      <c r="ALE267" s="1"/>
      <c r="ALF267" s="1"/>
      <c r="ALG267" s="1"/>
      <c r="ALH267" s="1"/>
      <c r="ALI267" s="1"/>
      <c r="ALJ267" s="1"/>
      <c r="ALK267" s="1"/>
      <c r="ALL267" s="1"/>
      <c r="ALM267" s="1"/>
      <c r="ALN267" s="1"/>
      <c r="ALO267" s="1"/>
      <c r="ALP267" s="1"/>
      <c r="ALQ267" s="1"/>
      <c r="ALR267" s="1"/>
      <c r="ALS267" s="1"/>
      <c r="ALT267" s="1"/>
      <c r="ALU267" s="1"/>
      <c r="ALV267" s="1"/>
      <c r="ALW267" s="1"/>
      <c r="ALX267" s="1"/>
      <c r="ALY267" s="1"/>
      <c r="ALZ267" s="1"/>
      <c r="AMA267" s="1"/>
      <c r="AMB267" s="1"/>
      <c r="AMC267" s="1"/>
      <c r="AMD267" s="1"/>
      <c r="AME267" s="1"/>
      <c r="AMF267" s="1"/>
      <c r="AMG267" s="1"/>
      <c r="AMH267" s="1"/>
      <c r="AMI267" s="1"/>
      <c r="AMJ267" s="1"/>
      <c r="AMK267" s="1"/>
      <c r="AML267" s="1"/>
      <c r="AMM267" s="1"/>
      <c r="AMN267" s="1"/>
      <c r="AMO267" s="1"/>
    </row>
    <row r="268" spans="1:1029" x14ac:dyDescent="0.2">
      <c r="A268" s="3" t="str">
        <f t="shared" si="811"/>
        <v>q08bg4_danre__wt</v>
      </c>
      <c r="B268" s="3" t="s">
        <v>1451</v>
      </c>
      <c r="C268" s="3" t="s">
        <v>100</v>
      </c>
      <c r="D268" s="3" t="str">
        <f>IFERROR(MID(VLOOKUP($B268,Seqs!$A:$B,2,0),E268,1),"")</f>
        <v>K</v>
      </c>
      <c r="E268" s="3">
        <v>26</v>
      </c>
      <c r="F268" s="3" t="str">
        <f>IFERROR(MID(VLOOKUP($B268,Seqs!$A:$B,2,0),G268,1),"")</f>
        <v>S</v>
      </c>
      <c r="G268" s="3">
        <v>55</v>
      </c>
      <c r="H268" s="3" t="str">
        <f>IFERROR(MID(VLOOKUP($B268,Seqs!$A:$B,2,0),I268,1),"")</f>
        <v>L</v>
      </c>
      <c r="I268" s="23">
        <v>56</v>
      </c>
      <c r="J268" s="3" t="str">
        <f>IFERROR(MID(VLOOKUP($B268,Seqs!$A:$B,2,0),K268,1),"")</f>
        <v>R</v>
      </c>
      <c r="K268" s="23">
        <v>59</v>
      </c>
      <c r="L268" s="3" t="str">
        <f>IFERROR(MID(VLOOKUP($B268,Seqs!$A:$B,2,0),M268,1),"")</f>
        <v>N</v>
      </c>
      <c r="M268" s="3">
        <v>60</v>
      </c>
      <c r="N268" s="3" t="str">
        <f>IFERROR(MID(VLOOKUP($B268,Seqs!$A:$B,2,0),O268,1),"")</f>
        <v>Q</v>
      </c>
      <c r="O268" s="3">
        <v>89</v>
      </c>
      <c r="P268" s="3" t="str">
        <f>IFERROR(MID(VLOOKUP($B268,Seqs!$A:$B,2,0),Q268,1),"")</f>
        <v>N</v>
      </c>
      <c r="Q268" s="3">
        <v>91</v>
      </c>
      <c r="R268" s="3" t="str">
        <f>IFERROR(MID(VLOOKUP($B268,Seqs!$A:$B,2,0),S268,1),"")</f>
        <v>F</v>
      </c>
      <c r="S268" s="3">
        <v>94</v>
      </c>
      <c r="T268" s="3" t="str">
        <f>IFERROR(MID(VLOOKUP($B268,Seqs!$A:$B,2,0),U268,1),"")</f>
        <v>G</v>
      </c>
      <c r="U268" s="3">
        <v>95</v>
      </c>
      <c r="V268" s="3" t="str">
        <f>IFERROR(MID(VLOOKUP($B268,Seqs!$A:$B,2,0),W268,1),"")</f>
        <v>Y</v>
      </c>
      <c r="W268" s="3">
        <v>130</v>
      </c>
      <c r="X268" s="3" t="str">
        <f>IFERROR(MID(VLOOKUP($B268,Seqs!$A:$B,2,0),Y268,1),"")</f>
        <v>P</v>
      </c>
      <c r="Y268" s="3">
        <v>131</v>
      </c>
      <c r="Z268" s="3" t="str">
        <f>IFERROR(MID(VLOOKUP($B268,Seqs!$A:$B,2,0),AA268,1),"")</f>
        <v>R</v>
      </c>
      <c r="AA268" s="3">
        <v>138</v>
      </c>
      <c r="AB268" s="3" t="str">
        <f>IFERROR(MID(VLOOKUP($B268,Seqs!$A:$B,2,0),AC268,1),"")</f>
        <v>T</v>
      </c>
      <c r="AC268" s="3">
        <v>139</v>
      </c>
      <c r="AD268" s="3" t="str">
        <f>IFERROR(MID(VLOOKUP($B268,Seqs!$A:$B,2,0),AE268,1),"")</f>
        <v>N</v>
      </c>
      <c r="AE268" s="3">
        <v>166</v>
      </c>
      <c r="AF268" s="3" t="str">
        <f>IFERROR(MID(VLOOKUP($B268,Seqs!$A:$B,2,0),AG268,1),"")</f>
        <v>C</v>
      </c>
      <c r="AG268" s="3">
        <v>178</v>
      </c>
      <c r="AH268" s="3" t="str">
        <f>IFERROR(MID(VLOOKUP($B268,Seqs!$A:$B,2,0),AI268,1),"")</f>
        <v>E</v>
      </c>
      <c r="AI268" s="3">
        <v>180</v>
      </c>
      <c r="AJ268" s="3" t="str">
        <f>IFERROR(MID(VLOOKUP($B268,Seqs!$A:$B,2,0),AK268,1),"")</f>
        <v>W</v>
      </c>
      <c r="AK268" s="3">
        <v>187</v>
      </c>
      <c r="AL268" s="3" t="str">
        <f>IFERROR(MID(VLOOKUP($B268,Seqs!$A:$B,2,0),AM268,1),"")</f>
        <v>P</v>
      </c>
      <c r="AM268" s="3">
        <v>224</v>
      </c>
      <c r="AN268" s="3" t="str">
        <f>IFERROR(MID(VLOOKUP($B268,Seqs!$A:$B,2,0),AO268,1),"")</f>
        <v>R</v>
      </c>
      <c r="AO268" s="3">
        <v>229</v>
      </c>
      <c r="AP268" s="3" t="str">
        <f>IFERROR(MID(VLOOKUP($B268,Seqs!$A:$B,2,0),AQ268,1),"")</f>
        <v>N</v>
      </c>
      <c r="AQ268" s="3">
        <v>269</v>
      </c>
      <c r="AR268" s="3" t="str">
        <f>IFERROR(MID(VLOOKUP($B268,Seqs!$A:$B,2,0),AS268,1),"")</f>
        <v>G</v>
      </c>
      <c r="AS268" s="3">
        <v>273</v>
      </c>
      <c r="AT268" s="3" t="str">
        <f>IFERROR(MID(VLOOKUP($B268,Seqs!$A:$B,2,0),AU268,1),"")</f>
        <v>T</v>
      </c>
      <c r="AU268" s="3">
        <v>305</v>
      </c>
      <c r="AV268" s="3" t="str">
        <f>IFERROR(MID(VLOOKUP($B268,Seqs!$A:$B,2,0),AW268,1),"")</f>
        <v>S</v>
      </c>
      <c r="AW268" s="3">
        <v>306</v>
      </c>
      <c r="AX268" s="3" t="str">
        <f>IFERROR(MID(VLOOKUP($B268,Seqs!$A:$B,2,0),AY268,1),"")</f>
        <v>G</v>
      </c>
      <c r="AY268" s="3">
        <v>320</v>
      </c>
      <c r="AZ268" s="77" t="str">
        <f>VLOOKUP(B268,Classification!A:D,2,0)</f>
        <v>A</v>
      </c>
      <c r="BA268" s="94" t="str">
        <f>VLOOKUP(B268,Classification!A:D,4,0)</f>
        <v>Lysophospholipid(LPA)</v>
      </c>
      <c r="BB268" s="27" t="b">
        <f t="shared" si="812"/>
        <v>1</v>
      </c>
      <c r="BC268" s="23">
        <f t="shared" si="813"/>
        <v>270</v>
      </c>
      <c r="BD268" s="2" t="s">
        <v>23</v>
      </c>
      <c r="BE268" s="3" t="s">
        <v>23</v>
      </c>
      <c r="BF268" s="119" t="s">
        <v>23</v>
      </c>
      <c r="BG268" s="49" t="s">
        <v>1</v>
      </c>
      <c r="BH268" s="49" t="s">
        <v>1384</v>
      </c>
      <c r="BI268" s="1"/>
      <c r="BJ268" s="70" t="s">
        <v>1293</v>
      </c>
      <c r="BK268" s="57" t="s">
        <v>1293</v>
      </c>
      <c r="BL268" s="57" t="s">
        <v>1293</v>
      </c>
      <c r="BM268" s="57" t="s">
        <v>1293</v>
      </c>
      <c r="BN268" s="57" t="s">
        <v>1293</v>
      </c>
      <c r="BO268" s="57" t="s">
        <v>1293</v>
      </c>
      <c r="BP268" s="57" t="s">
        <v>1293</v>
      </c>
      <c r="BQ268" s="57" t="s">
        <v>1293</v>
      </c>
      <c r="BR268" s="57" t="s">
        <v>1293</v>
      </c>
      <c r="BS268" s="57" t="s">
        <v>1293</v>
      </c>
      <c r="BT268" s="57" t="s">
        <v>1293</v>
      </c>
      <c r="BU268" s="57" t="s">
        <v>1293</v>
      </c>
      <c r="BV268" s="70">
        <f t="shared" si="814"/>
        <v>26</v>
      </c>
      <c r="BW268" s="71">
        <f t="shared" si="815"/>
        <v>56</v>
      </c>
      <c r="BX268" s="72">
        <f t="shared" si="816"/>
        <v>60</v>
      </c>
      <c r="BY268" s="71">
        <f t="shared" si="817"/>
        <v>91</v>
      </c>
      <c r="BZ268" s="72">
        <f t="shared" si="818"/>
        <v>95</v>
      </c>
      <c r="CA268" s="71">
        <f t="shared" si="819"/>
        <v>131</v>
      </c>
      <c r="CB268" s="72">
        <f t="shared" si="820"/>
        <v>139</v>
      </c>
      <c r="CC268" s="71">
        <f t="shared" si="821"/>
        <v>178</v>
      </c>
      <c r="CD268" s="72">
        <f t="shared" si="822"/>
        <v>187</v>
      </c>
      <c r="CE268" s="71">
        <f t="shared" si="823"/>
        <v>229</v>
      </c>
      <c r="CF268" s="72">
        <f t="shared" si="824"/>
        <v>273</v>
      </c>
      <c r="CG268" s="71">
        <f t="shared" si="825"/>
        <v>306</v>
      </c>
      <c r="CH268" s="70">
        <f t="shared" si="826"/>
        <v>55</v>
      </c>
      <c r="CI268" s="71">
        <f t="shared" si="827"/>
        <v>59</v>
      </c>
      <c r="CJ268" s="72">
        <f t="shared" si="828"/>
        <v>89</v>
      </c>
      <c r="CK268" s="72">
        <f t="shared" si="829"/>
        <v>94</v>
      </c>
      <c r="CL268" s="72">
        <f t="shared" si="830"/>
        <v>130</v>
      </c>
      <c r="CM268" s="72">
        <f t="shared" si="831"/>
        <v>138</v>
      </c>
      <c r="CN268" s="72">
        <f t="shared" si="832"/>
        <v>166</v>
      </c>
      <c r="CO268" s="72">
        <f t="shared" si="833"/>
        <v>180</v>
      </c>
      <c r="CP268" s="72">
        <f t="shared" si="834"/>
        <v>224</v>
      </c>
      <c r="CQ268" s="72">
        <f t="shared" si="835"/>
        <v>269</v>
      </c>
      <c r="CR268" s="72">
        <f t="shared" si="836"/>
        <v>305</v>
      </c>
      <c r="CS268" s="72">
        <f t="shared" si="837"/>
        <v>320</v>
      </c>
      <c r="CT268" s="23">
        <f t="shared" si="838"/>
        <v>1</v>
      </c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  <c r="OK268" s="1"/>
      <c r="OL268" s="1"/>
      <c r="OM268" s="1"/>
      <c r="ON268" s="1"/>
      <c r="OO268" s="1"/>
      <c r="OP268" s="1"/>
      <c r="OQ268" s="1"/>
      <c r="OR268" s="1"/>
      <c r="OS268" s="1"/>
      <c r="OT268" s="1"/>
      <c r="OU268" s="1"/>
      <c r="OV268" s="1"/>
      <c r="OW268" s="1"/>
      <c r="OX268" s="1"/>
      <c r="OY268" s="1"/>
      <c r="OZ268" s="1"/>
      <c r="PA268" s="1"/>
      <c r="PB268" s="1"/>
      <c r="PC268" s="1"/>
      <c r="PD268" s="1"/>
      <c r="PE268" s="1"/>
      <c r="PF268" s="1"/>
      <c r="PG268" s="1"/>
      <c r="PH268" s="1"/>
      <c r="PI268" s="1"/>
      <c r="PJ268" s="1"/>
      <c r="PK268" s="1"/>
      <c r="PL268" s="1"/>
      <c r="PM268" s="1"/>
      <c r="PN268" s="1"/>
      <c r="PO268" s="1"/>
      <c r="PP268" s="1"/>
      <c r="PQ268" s="1"/>
      <c r="PR268" s="1"/>
      <c r="PS268" s="1"/>
      <c r="PT268" s="1"/>
      <c r="PU268" s="1"/>
      <c r="PV268" s="1"/>
      <c r="PW268" s="1"/>
      <c r="PX268" s="1"/>
      <c r="PY268" s="1"/>
      <c r="PZ268" s="1"/>
      <c r="QA268" s="1"/>
      <c r="QB268" s="1"/>
      <c r="QC268" s="1"/>
      <c r="QD268" s="1"/>
      <c r="QE268" s="1"/>
      <c r="QF268" s="1"/>
      <c r="QG268" s="1"/>
      <c r="QH268" s="1"/>
      <c r="QI268" s="1"/>
      <c r="QJ268" s="1"/>
      <c r="QK268" s="1"/>
      <c r="QL268" s="1"/>
      <c r="QM268" s="1"/>
      <c r="QN268" s="1"/>
      <c r="QO268" s="1"/>
      <c r="QP268" s="1"/>
      <c r="QQ268" s="1"/>
      <c r="QR268" s="1"/>
      <c r="QS268" s="1"/>
      <c r="QT268" s="1"/>
      <c r="QU268" s="1"/>
      <c r="QV268" s="1"/>
      <c r="QW268" s="1"/>
      <c r="QX268" s="1"/>
      <c r="QY268" s="1"/>
      <c r="QZ268" s="1"/>
      <c r="RA268" s="1"/>
      <c r="RB268" s="1"/>
      <c r="RC268" s="1"/>
      <c r="RD268" s="1"/>
      <c r="RE268" s="1"/>
      <c r="RF268" s="1"/>
      <c r="RG268" s="1"/>
      <c r="RH268" s="1"/>
      <c r="RI268" s="1"/>
      <c r="RJ268" s="1"/>
      <c r="RK268" s="1"/>
      <c r="RL268" s="1"/>
      <c r="RM268" s="1"/>
      <c r="RN268" s="1"/>
      <c r="RO268" s="1"/>
      <c r="RP268" s="1"/>
      <c r="RQ268" s="1"/>
      <c r="RR268" s="1"/>
      <c r="RS268" s="1"/>
      <c r="RT268" s="1"/>
      <c r="RU268" s="1"/>
      <c r="RV268" s="1"/>
      <c r="RW268" s="1"/>
      <c r="RX268" s="1"/>
      <c r="RY268" s="1"/>
      <c r="RZ268" s="1"/>
      <c r="SA268" s="1"/>
      <c r="SB268" s="1"/>
      <c r="SC268" s="1"/>
      <c r="SD268" s="1"/>
      <c r="SE268" s="1"/>
      <c r="SF268" s="1"/>
      <c r="SG268" s="1"/>
      <c r="SH268" s="1"/>
      <c r="SI268" s="1"/>
      <c r="SJ268" s="1"/>
      <c r="SK268" s="1"/>
      <c r="SL268" s="1"/>
      <c r="SM268" s="1"/>
      <c r="SN268" s="1"/>
      <c r="SO268" s="1"/>
      <c r="SP268" s="1"/>
      <c r="SQ268" s="1"/>
      <c r="SR268" s="1"/>
      <c r="SS268" s="1"/>
      <c r="ST268" s="1"/>
      <c r="SU268" s="1"/>
      <c r="SV268" s="1"/>
      <c r="SW268" s="1"/>
      <c r="SX268" s="1"/>
      <c r="SY268" s="1"/>
      <c r="SZ268" s="1"/>
      <c r="TA268" s="1"/>
      <c r="TB268" s="1"/>
      <c r="TC268" s="1"/>
      <c r="TD268" s="1"/>
      <c r="TE268" s="1"/>
      <c r="TF268" s="1"/>
      <c r="TG268" s="1"/>
      <c r="TH268" s="1"/>
      <c r="TI268" s="1"/>
      <c r="TJ268" s="1"/>
      <c r="TK268" s="1"/>
      <c r="TL268" s="1"/>
      <c r="TM268" s="1"/>
      <c r="TN268" s="1"/>
      <c r="TO268" s="1"/>
      <c r="TP268" s="1"/>
      <c r="TQ268" s="1"/>
      <c r="TR268" s="1"/>
      <c r="TS268" s="1"/>
      <c r="TT268" s="1"/>
      <c r="TU268" s="1"/>
      <c r="TV268" s="1"/>
      <c r="TW268" s="1"/>
      <c r="TX268" s="1"/>
      <c r="TY268" s="1"/>
      <c r="TZ268" s="1"/>
      <c r="UA268" s="1"/>
      <c r="UB268" s="1"/>
      <c r="UC268" s="1"/>
      <c r="UD268" s="1"/>
      <c r="UE268" s="1"/>
      <c r="UF268" s="1"/>
      <c r="UG268" s="1"/>
      <c r="UH268" s="1"/>
      <c r="UI268" s="1"/>
      <c r="UJ268" s="1"/>
      <c r="UK268" s="1"/>
      <c r="UL268" s="1"/>
      <c r="UM268" s="1"/>
      <c r="UN268" s="1"/>
      <c r="UO268" s="1"/>
      <c r="UP268" s="1"/>
      <c r="UQ268" s="1"/>
      <c r="UR268" s="1"/>
      <c r="US268" s="1"/>
      <c r="UT268" s="1"/>
      <c r="UU268" s="1"/>
      <c r="UV268" s="1"/>
      <c r="UW268" s="1"/>
      <c r="UX268" s="1"/>
      <c r="UY268" s="1"/>
      <c r="UZ268" s="1"/>
      <c r="VA268" s="1"/>
      <c r="VB268" s="1"/>
      <c r="VC268" s="1"/>
      <c r="VD268" s="1"/>
      <c r="VE268" s="1"/>
      <c r="VF268" s="1"/>
      <c r="VG268" s="1"/>
      <c r="VH268" s="1"/>
      <c r="VI268" s="1"/>
      <c r="VJ268" s="1"/>
      <c r="VK268" s="1"/>
      <c r="VL268" s="1"/>
      <c r="VM268" s="1"/>
      <c r="VN268" s="1"/>
      <c r="VO268" s="1"/>
      <c r="VP268" s="1"/>
      <c r="VQ268" s="1"/>
      <c r="VR268" s="1"/>
      <c r="VS268" s="1"/>
      <c r="VT268" s="1"/>
      <c r="VU268" s="1"/>
      <c r="VV268" s="1"/>
      <c r="VW268" s="1"/>
      <c r="VX268" s="1"/>
      <c r="VY268" s="1"/>
      <c r="VZ268" s="1"/>
      <c r="WA268" s="1"/>
      <c r="WB268" s="1"/>
      <c r="WC268" s="1"/>
      <c r="WD268" s="1"/>
      <c r="WE268" s="1"/>
      <c r="WF268" s="1"/>
      <c r="WG268" s="1"/>
      <c r="WH268" s="1"/>
      <c r="WI268" s="1"/>
      <c r="WJ268" s="1"/>
      <c r="WK268" s="1"/>
      <c r="WL268" s="1"/>
      <c r="WM268" s="1"/>
      <c r="WN268" s="1"/>
      <c r="WO268" s="1"/>
      <c r="WP268" s="1"/>
      <c r="WQ268" s="1"/>
      <c r="WR268" s="1"/>
      <c r="WS268" s="1"/>
      <c r="WT268" s="1"/>
      <c r="WU268" s="1"/>
      <c r="WV268" s="1"/>
      <c r="WW268" s="1"/>
      <c r="WX268" s="1"/>
      <c r="WY268" s="1"/>
      <c r="WZ268" s="1"/>
      <c r="XA268" s="1"/>
      <c r="XB268" s="1"/>
      <c r="XC268" s="1"/>
      <c r="XD268" s="1"/>
      <c r="XE268" s="1"/>
      <c r="XF268" s="1"/>
      <c r="XG268" s="1"/>
      <c r="XH268" s="1"/>
      <c r="XI268" s="1"/>
      <c r="XJ268" s="1"/>
      <c r="XK268" s="1"/>
      <c r="XL268" s="1"/>
      <c r="XM268" s="1"/>
      <c r="XN268" s="1"/>
      <c r="XO268" s="1"/>
      <c r="XP268" s="1"/>
      <c r="XQ268" s="1"/>
      <c r="XR268" s="1"/>
      <c r="XS268" s="1"/>
      <c r="XT268" s="1"/>
      <c r="XU268" s="1"/>
      <c r="XV268" s="1"/>
      <c r="XW268" s="1"/>
      <c r="XX268" s="1"/>
      <c r="XY268" s="1"/>
      <c r="XZ268" s="1"/>
      <c r="YA268" s="1"/>
      <c r="YB268" s="1"/>
      <c r="YC268" s="1"/>
      <c r="YD268" s="1"/>
      <c r="YE268" s="1"/>
      <c r="YF268" s="1"/>
      <c r="YG268" s="1"/>
      <c r="YH268" s="1"/>
      <c r="YI268" s="1"/>
      <c r="YJ268" s="1"/>
      <c r="YK268" s="1"/>
      <c r="YL268" s="1"/>
      <c r="YM268" s="1"/>
      <c r="YN268" s="1"/>
      <c r="YO268" s="1"/>
      <c r="YP268" s="1"/>
      <c r="YQ268" s="1"/>
      <c r="YR268" s="1"/>
      <c r="YS268" s="1"/>
      <c r="YT268" s="1"/>
      <c r="YU268" s="1"/>
      <c r="YV268" s="1"/>
      <c r="YW268" s="1"/>
      <c r="YX268" s="1"/>
      <c r="YY268" s="1"/>
      <c r="YZ268" s="1"/>
      <c r="ZA268" s="1"/>
      <c r="ZB268" s="1"/>
      <c r="ZC268" s="1"/>
      <c r="ZD268" s="1"/>
      <c r="ZE268" s="1"/>
      <c r="ZF268" s="1"/>
      <c r="ZG268" s="1"/>
      <c r="ZH268" s="1"/>
      <c r="ZI268" s="1"/>
      <c r="ZJ268" s="1"/>
      <c r="ZK268" s="1"/>
      <c r="ZL268" s="1"/>
      <c r="ZM268" s="1"/>
      <c r="ZN268" s="1"/>
      <c r="ZO268" s="1"/>
      <c r="ZP268" s="1"/>
      <c r="ZQ268" s="1"/>
      <c r="ZR268" s="1"/>
      <c r="ZS268" s="1"/>
      <c r="ZT268" s="1"/>
      <c r="ZU268" s="1"/>
      <c r="ZV268" s="1"/>
      <c r="ZW268" s="1"/>
      <c r="ZX268" s="1"/>
      <c r="ZY268" s="1"/>
      <c r="ZZ268" s="1"/>
      <c r="AAA268" s="1"/>
      <c r="AAB268" s="1"/>
      <c r="AAC268" s="1"/>
      <c r="AAD268" s="1"/>
      <c r="AAE268" s="1"/>
      <c r="AAF268" s="1"/>
      <c r="AAG268" s="1"/>
      <c r="AAH268" s="1"/>
      <c r="AAI268" s="1"/>
      <c r="AAJ268" s="1"/>
      <c r="AAK268" s="1"/>
      <c r="AAL268" s="1"/>
      <c r="AAM268" s="1"/>
      <c r="AAN268" s="1"/>
      <c r="AAO268" s="1"/>
      <c r="AAP268" s="1"/>
      <c r="AAQ268" s="1"/>
      <c r="AAR268" s="1"/>
      <c r="AAS268" s="1"/>
      <c r="AAT268" s="1"/>
      <c r="AAU268" s="1"/>
      <c r="AAV268" s="1"/>
      <c r="AAW268" s="1"/>
      <c r="AAX268" s="1"/>
      <c r="AAY268" s="1"/>
      <c r="AAZ268" s="1"/>
      <c r="ABA268" s="1"/>
      <c r="ABB268" s="1"/>
      <c r="ABC268" s="1"/>
      <c r="ABD268" s="1"/>
      <c r="ABE268" s="1"/>
      <c r="ABF268" s="1"/>
      <c r="ABG268" s="1"/>
      <c r="ABH268" s="1"/>
      <c r="ABI268" s="1"/>
      <c r="ABJ268" s="1"/>
      <c r="ABK268" s="1"/>
      <c r="ABL268" s="1"/>
      <c r="ABM268" s="1"/>
      <c r="ABN268" s="1"/>
      <c r="ABO268" s="1"/>
      <c r="ABP268" s="1"/>
      <c r="ABQ268" s="1"/>
      <c r="ABR268" s="1"/>
      <c r="ABS268" s="1"/>
      <c r="ABT268" s="1"/>
      <c r="ABU268" s="1"/>
      <c r="ABV268" s="1"/>
      <c r="ABW268" s="1"/>
      <c r="ABX268" s="1"/>
      <c r="ABY268" s="1"/>
      <c r="ABZ268" s="1"/>
      <c r="ACA268" s="1"/>
      <c r="ACB268" s="1"/>
      <c r="ACC268" s="1"/>
      <c r="ACD268" s="1"/>
      <c r="ACE268" s="1"/>
      <c r="ACF268" s="1"/>
      <c r="ACG268" s="1"/>
      <c r="ACH268" s="1"/>
      <c r="ACI268" s="1"/>
      <c r="ACJ268" s="1"/>
      <c r="ACK268" s="1"/>
      <c r="ACL268" s="1"/>
      <c r="ACM268" s="1"/>
      <c r="ACN268" s="1"/>
      <c r="ACO268" s="1"/>
      <c r="ACP268" s="1"/>
      <c r="ACQ268" s="1"/>
      <c r="ACR268" s="1"/>
      <c r="ACS268" s="1"/>
      <c r="ACT268" s="1"/>
      <c r="ACU268" s="1"/>
      <c r="ACV268" s="1"/>
      <c r="ACW268" s="1"/>
      <c r="ACX268" s="1"/>
      <c r="ACY268" s="1"/>
      <c r="ACZ268" s="1"/>
      <c r="ADA268" s="1"/>
      <c r="ADB268" s="1"/>
      <c r="ADC268" s="1"/>
      <c r="ADD268" s="1"/>
      <c r="ADE268" s="1"/>
      <c r="ADF268" s="1"/>
      <c r="ADG268" s="1"/>
      <c r="ADH268" s="1"/>
      <c r="ADI268" s="1"/>
      <c r="ADJ268" s="1"/>
      <c r="ADK268" s="1"/>
      <c r="ADL268" s="1"/>
      <c r="ADM268" s="1"/>
      <c r="ADN268" s="1"/>
      <c r="ADO268" s="1"/>
      <c r="ADP268" s="1"/>
      <c r="ADQ268" s="1"/>
      <c r="ADR268" s="1"/>
      <c r="ADS268" s="1"/>
      <c r="ADT268" s="1"/>
      <c r="ADU268" s="1"/>
      <c r="ADV268" s="1"/>
      <c r="ADW268" s="1"/>
      <c r="ADX268" s="1"/>
      <c r="ADY268" s="1"/>
      <c r="ADZ268" s="1"/>
      <c r="AEA268" s="1"/>
      <c r="AEB268" s="1"/>
      <c r="AEC268" s="1"/>
      <c r="AED268" s="1"/>
      <c r="AEE268" s="1"/>
      <c r="AEF268" s="1"/>
      <c r="AEG268" s="1"/>
      <c r="AEH268" s="1"/>
      <c r="AEI268" s="1"/>
      <c r="AEJ268" s="1"/>
      <c r="AEK268" s="1"/>
      <c r="AEL268" s="1"/>
      <c r="AEM268" s="1"/>
      <c r="AEN268" s="1"/>
      <c r="AEO268" s="1"/>
      <c r="AEP268" s="1"/>
      <c r="AEQ268" s="1"/>
      <c r="AER268" s="1"/>
      <c r="AES268" s="1"/>
      <c r="AET268" s="1"/>
      <c r="AEU268" s="1"/>
      <c r="AEV268" s="1"/>
      <c r="AEW268" s="1"/>
      <c r="AEX268" s="1"/>
      <c r="AEY268" s="1"/>
      <c r="AEZ268" s="1"/>
      <c r="AFA268" s="1"/>
      <c r="AFB268" s="1"/>
      <c r="AFC268" s="1"/>
      <c r="AFD268" s="1"/>
      <c r="AFE268" s="1"/>
      <c r="AFF268" s="1"/>
      <c r="AFG268" s="1"/>
      <c r="AFH268" s="1"/>
      <c r="AFI268" s="1"/>
      <c r="AFJ268" s="1"/>
      <c r="AFK268" s="1"/>
      <c r="AFL268" s="1"/>
      <c r="AFM268" s="1"/>
      <c r="AFN268" s="1"/>
      <c r="AFO268" s="1"/>
      <c r="AFP268" s="1"/>
      <c r="AFQ268" s="1"/>
      <c r="AFR268" s="1"/>
      <c r="AFS268" s="1"/>
      <c r="AFT268" s="1"/>
      <c r="AFU268" s="1"/>
      <c r="AFV268" s="1"/>
      <c r="AFW268" s="1"/>
      <c r="AFX268" s="1"/>
      <c r="AFY268" s="1"/>
      <c r="AFZ268" s="1"/>
      <c r="AGA268" s="1"/>
      <c r="AGB268" s="1"/>
      <c r="AGC268" s="1"/>
      <c r="AGD268" s="1"/>
      <c r="AGE268" s="1"/>
      <c r="AGF268" s="1"/>
      <c r="AGG268" s="1"/>
      <c r="AGH268" s="1"/>
      <c r="AGI268" s="1"/>
      <c r="AGJ268" s="1"/>
      <c r="AGK268" s="1"/>
      <c r="AGL268" s="1"/>
      <c r="AGM268" s="1"/>
      <c r="AGN268" s="1"/>
      <c r="AGO268" s="1"/>
      <c r="AGP268" s="1"/>
      <c r="AGQ268" s="1"/>
      <c r="AGR268" s="1"/>
      <c r="AGS268" s="1"/>
      <c r="AGT268" s="1"/>
      <c r="AGU268" s="1"/>
      <c r="AGV268" s="1"/>
      <c r="AGW268" s="1"/>
      <c r="AGX268" s="1"/>
      <c r="AGY268" s="1"/>
      <c r="AGZ268" s="1"/>
      <c r="AHA268" s="1"/>
      <c r="AHB268" s="1"/>
      <c r="AHC268" s="1"/>
      <c r="AHD268" s="1"/>
      <c r="AHE268" s="1"/>
      <c r="AHF268" s="1"/>
      <c r="AHG268" s="1"/>
      <c r="AHH268" s="1"/>
      <c r="AHI268" s="1"/>
      <c r="AHJ268" s="1"/>
      <c r="AHK268" s="1"/>
      <c r="AHL268" s="1"/>
      <c r="AHM268" s="1"/>
      <c r="AHN268" s="1"/>
      <c r="AHO268" s="1"/>
      <c r="AHP268" s="1"/>
      <c r="AHQ268" s="1"/>
      <c r="AHR268" s="1"/>
      <c r="AHS268" s="1"/>
      <c r="AHT268" s="1"/>
      <c r="AHU268" s="1"/>
      <c r="AHV268" s="1"/>
      <c r="AHW268" s="1"/>
      <c r="AHX268" s="1"/>
      <c r="AHY268" s="1"/>
      <c r="AHZ268" s="1"/>
      <c r="AIA268" s="1"/>
      <c r="AIB268" s="1"/>
      <c r="AIC268" s="1"/>
      <c r="AID268" s="1"/>
      <c r="AIE268" s="1"/>
      <c r="AIF268" s="1"/>
      <c r="AIG268" s="1"/>
      <c r="AIH268" s="1"/>
      <c r="AII268" s="1"/>
      <c r="AIJ268" s="1"/>
      <c r="AIK268" s="1"/>
      <c r="AIL268" s="1"/>
      <c r="AIM268" s="1"/>
      <c r="AIN268" s="1"/>
      <c r="AIO268" s="1"/>
      <c r="AIP268" s="1"/>
      <c r="AIQ268" s="1"/>
      <c r="AIR268" s="1"/>
      <c r="AIS268" s="1"/>
      <c r="AIT268" s="1"/>
      <c r="AIU268" s="1"/>
      <c r="AIV268" s="1"/>
      <c r="AIW268" s="1"/>
      <c r="AIX268" s="1"/>
      <c r="AIY268" s="1"/>
      <c r="AIZ268" s="1"/>
      <c r="AJA268" s="1"/>
      <c r="AJB268" s="1"/>
      <c r="AJC268" s="1"/>
      <c r="AJD268" s="1"/>
      <c r="AJE268" s="1"/>
      <c r="AJF268" s="1"/>
      <c r="AJG268" s="1"/>
      <c r="AJH268" s="1"/>
      <c r="AJI268" s="1"/>
      <c r="AJJ268" s="1"/>
      <c r="AJK268" s="1"/>
      <c r="AJL268" s="1"/>
      <c r="AJM268" s="1"/>
      <c r="AJN268" s="1"/>
      <c r="AJO268" s="1"/>
      <c r="AJP268" s="1"/>
      <c r="AJQ268" s="1"/>
      <c r="AJR268" s="1"/>
      <c r="AJS268" s="1"/>
      <c r="AJT268" s="1"/>
      <c r="AJU268" s="1"/>
      <c r="AJV268" s="1"/>
      <c r="AJW268" s="1"/>
      <c r="AJX268" s="1"/>
      <c r="AJY268" s="1"/>
      <c r="AJZ268" s="1"/>
      <c r="AKA268" s="1"/>
      <c r="AKB268" s="1"/>
      <c r="AKC268" s="1"/>
      <c r="AKD268" s="1"/>
      <c r="AKE268" s="1"/>
      <c r="AKF268" s="1"/>
      <c r="AKG268" s="1"/>
      <c r="AKH268" s="1"/>
      <c r="AKI268" s="1"/>
      <c r="AKJ268" s="1"/>
      <c r="AKK268" s="1"/>
      <c r="AKL268" s="1"/>
      <c r="AKM268" s="1"/>
      <c r="AKN268" s="1"/>
      <c r="AKO268" s="1"/>
      <c r="AKP268" s="1"/>
      <c r="AKQ268" s="1"/>
      <c r="AKR268" s="1"/>
      <c r="AKS268" s="1"/>
      <c r="AKT268" s="1"/>
      <c r="AKU268" s="1"/>
      <c r="AKV268" s="1"/>
      <c r="AKW268" s="1"/>
      <c r="AKX268" s="1"/>
      <c r="AKY268" s="1"/>
      <c r="AKZ268" s="1"/>
      <c r="ALA268" s="1"/>
      <c r="ALB268" s="1"/>
      <c r="ALC268" s="1"/>
      <c r="ALD268" s="1"/>
      <c r="ALE268" s="1"/>
      <c r="ALF268" s="1"/>
      <c r="ALG268" s="1"/>
      <c r="ALH268" s="1"/>
      <c r="ALI268" s="1"/>
      <c r="ALJ268" s="1"/>
      <c r="ALK268" s="1"/>
      <c r="ALL268" s="1"/>
      <c r="ALM268" s="1"/>
      <c r="ALN268" s="1"/>
      <c r="ALO268" s="1"/>
      <c r="ALP268" s="1"/>
      <c r="ALQ268" s="1"/>
      <c r="ALR268" s="1"/>
      <c r="ALS268" s="1"/>
      <c r="ALT268" s="1"/>
      <c r="ALU268" s="1"/>
      <c r="ALV268" s="1"/>
      <c r="ALW268" s="1"/>
      <c r="ALX268" s="1"/>
      <c r="ALY268" s="1"/>
      <c r="ALZ268" s="1"/>
      <c r="AMA268" s="1"/>
      <c r="AMB268" s="1"/>
      <c r="AMC268" s="1"/>
      <c r="AMD268" s="1"/>
      <c r="AME268" s="1"/>
      <c r="AMF268" s="1"/>
      <c r="AMG268" s="1"/>
      <c r="AMH268" s="1"/>
      <c r="AMI268" s="1"/>
      <c r="AMJ268" s="1"/>
      <c r="AMK268" s="1"/>
      <c r="AML268" s="1"/>
      <c r="AMM268" s="1"/>
      <c r="AMN268" s="1"/>
      <c r="AMO268" s="1"/>
    </row>
    <row r="269" spans="1:1029" x14ac:dyDescent="0.2">
      <c r="A269" s="3" t="str">
        <f t="shared" si="811"/>
        <v>q08bg4_danre_5XSZ</v>
      </c>
      <c r="B269" s="3" t="s">
        <v>1451</v>
      </c>
      <c r="C269" s="3" t="s">
        <v>1453</v>
      </c>
      <c r="D269" s="3" t="str">
        <f>IFERROR(MID(VLOOKUP($B269,Seqs!$A:$B,2,0),E269,1),"")</f>
        <v>K</v>
      </c>
      <c r="E269" s="3">
        <v>26</v>
      </c>
      <c r="F269" s="3" t="str">
        <f>IFERROR(MID(VLOOKUP($B269,Seqs!$A:$B,2,0),G269,1),"")</f>
        <v>S</v>
      </c>
      <c r="G269" s="3">
        <v>55</v>
      </c>
      <c r="H269" s="3" t="str">
        <f>IFERROR(MID(VLOOKUP($B269,Seqs!$A:$B,2,0),I269,1),"")</f>
        <v/>
      </c>
      <c r="I269" s="23" t="s">
        <v>23</v>
      </c>
      <c r="J269" s="3" t="str">
        <f>IFERROR(MID(VLOOKUP($B269,Seqs!$A:$B,2,0),K269,1),"")</f>
        <v/>
      </c>
      <c r="K269" s="23" t="s">
        <v>23</v>
      </c>
      <c r="L269" s="3" t="str">
        <f>IFERROR(MID(VLOOKUP($B269,Seqs!$A:$B,2,0),M269,1),"")</f>
        <v>N</v>
      </c>
      <c r="M269" s="3">
        <v>60</v>
      </c>
      <c r="N269" s="3" t="str">
        <f>IFERROR(MID(VLOOKUP($B269,Seqs!$A:$B,2,0),O269,1),"")</f>
        <v>Q</v>
      </c>
      <c r="O269" s="3">
        <v>89</v>
      </c>
      <c r="P269" s="3" t="str">
        <f>IFERROR(MID(VLOOKUP($B269,Seqs!$A:$B,2,0),Q269,1),"")</f>
        <v>N</v>
      </c>
      <c r="Q269" s="3">
        <v>91</v>
      </c>
      <c r="R269" s="3" t="str">
        <f>IFERROR(MID(VLOOKUP($B269,Seqs!$A:$B,2,0),S269,1),"")</f>
        <v>F</v>
      </c>
      <c r="S269" s="3">
        <v>94</v>
      </c>
      <c r="T269" s="3" t="str">
        <f>IFERROR(MID(VLOOKUP($B269,Seqs!$A:$B,2,0),U269,1),"")</f>
        <v>G</v>
      </c>
      <c r="U269" s="3">
        <v>95</v>
      </c>
      <c r="V269" s="3" t="str">
        <f>IFERROR(MID(VLOOKUP($B269,Seqs!$A:$B,2,0),W269,1),"")</f>
        <v>Y</v>
      </c>
      <c r="W269" s="3">
        <v>130</v>
      </c>
      <c r="X269" s="3" t="str">
        <f>IFERROR(MID(VLOOKUP($B269,Seqs!$A:$B,2,0),Y269,1),"")</f>
        <v>P</v>
      </c>
      <c r="Y269" s="3">
        <v>131</v>
      </c>
      <c r="Z269" s="3" t="str">
        <f>IFERROR(MID(VLOOKUP($B269,Seqs!$A:$B,2,0),AA269,1),"")</f>
        <v>R</v>
      </c>
      <c r="AA269" s="3">
        <v>138</v>
      </c>
      <c r="AB269" s="3" t="str">
        <f>IFERROR(MID(VLOOKUP($B269,Seqs!$A:$B,2,0),AC269,1),"")</f>
        <v>T</v>
      </c>
      <c r="AC269" s="3">
        <v>139</v>
      </c>
      <c r="AD269" s="3" t="str">
        <f>IFERROR(MID(VLOOKUP($B269,Seqs!$A:$B,2,0),AE269,1),"")</f>
        <v>N</v>
      </c>
      <c r="AE269" s="3">
        <v>166</v>
      </c>
      <c r="AF269" s="3" t="str">
        <f>IFERROR(MID(VLOOKUP($B269,Seqs!$A:$B,2,0),AG269,1),"")</f>
        <v>C</v>
      </c>
      <c r="AG269" s="3">
        <v>178</v>
      </c>
      <c r="AH269" s="3" t="str">
        <f>IFERROR(MID(VLOOKUP($B269,Seqs!$A:$B,2,0),AI269,1),"")</f>
        <v>F</v>
      </c>
      <c r="AI269" s="3">
        <v>179</v>
      </c>
      <c r="AJ269" s="3" t="str">
        <f>IFERROR(MID(VLOOKUP($B269,Seqs!$A:$B,2,0),AK269,1),"")</f>
        <v>W</v>
      </c>
      <c r="AK269" s="3">
        <v>187</v>
      </c>
      <c r="AL269" s="3" t="str">
        <f>IFERROR(MID(VLOOKUP($B269,Seqs!$A:$B,2,0),AM269,1),"")</f>
        <v>R</v>
      </c>
      <c r="AM269" s="3">
        <v>223</v>
      </c>
      <c r="AN269" s="3" t="str">
        <f>IFERROR(MID(VLOOKUP($B269,Seqs!$A:$B,2,0),AO269,1),"")</f>
        <v>N</v>
      </c>
      <c r="AO269" s="3">
        <v>234</v>
      </c>
      <c r="AP269" s="3" t="str">
        <f>IFERROR(MID(VLOOKUP($B269,Seqs!$A:$B,2,0),AQ269,1),"")</f>
        <v>N</v>
      </c>
      <c r="AQ269" s="3">
        <v>269</v>
      </c>
      <c r="AR269" s="3" t="str">
        <f>IFERROR(MID(VLOOKUP($B269,Seqs!$A:$B,2,0),AS269,1),"")</f>
        <v>G</v>
      </c>
      <c r="AS269" s="3">
        <v>273</v>
      </c>
      <c r="AT269" s="3" t="str">
        <f>IFERROR(MID(VLOOKUP($B269,Seqs!$A:$B,2,0),AU269,1),"")</f>
        <v>T</v>
      </c>
      <c r="AU269" s="3">
        <v>308</v>
      </c>
      <c r="AV269" s="3" t="str">
        <f>IFERROR(MID(VLOOKUP($B269,Seqs!$A:$B,2,0),AW269,1),"")</f>
        <v/>
      </c>
      <c r="AW269" s="3" t="s">
        <v>23</v>
      </c>
      <c r="AX269" s="3" t="str">
        <f>IFERROR(MID(VLOOKUP($B269,Seqs!$A:$B,2,0),AY269,1),"")</f>
        <v/>
      </c>
      <c r="AY269" s="3" t="s">
        <v>23</v>
      </c>
      <c r="AZ269" s="77" t="str">
        <f>VLOOKUP(B269,Classification!A:D,2,0)</f>
        <v>A</v>
      </c>
      <c r="BA269" s="94" t="str">
        <f>VLOOKUP(B269,Classification!A:D,4,0)</f>
        <v>Lysophospholipid(LPA)</v>
      </c>
      <c r="BB269" s="27" t="b">
        <f t="shared" si="812"/>
        <v>1</v>
      </c>
      <c r="BC269" s="23">
        <f t="shared" si="813"/>
        <v>249</v>
      </c>
      <c r="BD269" s="2" t="s">
        <v>1382</v>
      </c>
      <c r="BE269" s="3" t="s">
        <v>1297</v>
      </c>
      <c r="BF269" s="119">
        <v>3.2</v>
      </c>
      <c r="BG269" s="49" t="s">
        <v>1</v>
      </c>
      <c r="BH269" s="49" t="s">
        <v>1384</v>
      </c>
      <c r="BI269" s="1"/>
      <c r="BJ269" s="70" t="s">
        <v>1293</v>
      </c>
      <c r="BK269" s="57" t="s">
        <v>1293</v>
      </c>
      <c r="BL269" s="57" t="s">
        <v>1293</v>
      </c>
      <c r="BM269" s="57" t="s">
        <v>1293</v>
      </c>
      <c r="BN269" s="57" t="s">
        <v>1293</v>
      </c>
      <c r="BO269" s="57" t="s">
        <v>1293</v>
      </c>
      <c r="BP269" s="57" t="s">
        <v>1293</v>
      </c>
      <c r="BQ269" s="57" t="s">
        <v>1293</v>
      </c>
      <c r="BR269" s="57" t="s">
        <v>1293</v>
      </c>
      <c r="BS269" s="57" t="s">
        <v>1293</v>
      </c>
      <c r="BT269" s="57" t="s">
        <v>1293</v>
      </c>
      <c r="BU269" s="57" t="s">
        <v>1293</v>
      </c>
      <c r="BV269" s="70">
        <f t="shared" si="814"/>
        <v>26</v>
      </c>
      <c r="BW269" s="71" t="str">
        <f t="shared" si="815"/>
        <v>-</v>
      </c>
      <c r="BX269" s="72">
        <f t="shared" si="816"/>
        <v>60</v>
      </c>
      <c r="BY269" s="71">
        <f t="shared" si="817"/>
        <v>91</v>
      </c>
      <c r="BZ269" s="72">
        <f t="shared" si="818"/>
        <v>95</v>
      </c>
      <c r="CA269" s="71">
        <f t="shared" si="819"/>
        <v>131</v>
      </c>
      <c r="CB269" s="72">
        <f t="shared" si="820"/>
        <v>139</v>
      </c>
      <c r="CC269" s="71">
        <f t="shared" si="821"/>
        <v>178</v>
      </c>
      <c r="CD269" s="72">
        <f t="shared" si="822"/>
        <v>187</v>
      </c>
      <c r="CE269" s="71">
        <f t="shared" si="823"/>
        <v>234</v>
      </c>
      <c r="CF269" s="72">
        <f t="shared" si="824"/>
        <v>273</v>
      </c>
      <c r="CG269" s="71" t="str">
        <f t="shared" si="825"/>
        <v>-</v>
      </c>
      <c r="CH269" s="70">
        <f t="shared" si="826"/>
        <v>55</v>
      </c>
      <c r="CI269" s="71" t="str">
        <f t="shared" si="827"/>
        <v>-</v>
      </c>
      <c r="CJ269" s="72">
        <f t="shared" si="828"/>
        <v>89</v>
      </c>
      <c r="CK269" s="72">
        <f t="shared" si="829"/>
        <v>94</v>
      </c>
      <c r="CL269" s="72">
        <f t="shared" si="830"/>
        <v>130</v>
      </c>
      <c r="CM269" s="72">
        <f t="shared" si="831"/>
        <v>138</v>
      </c>
      <c r="CN269" s="72">
        <f t="shared" si="832"/>
        <v>166</v>
      </c>
      <c r="CO269" s="72">
        <f t="shared" si="833"/>
        <v>179</v>
      </c>
      <c r="CP269" s="72">
        <f t="shared" si="834"/>
        <v>223</v>
      </c>
      <c r="CQ269" s="72">
        <f t="shared" si="835"/>
        <v>269</v>
      </c>
      <c r="CR269" s="72">
        <f t="shared" si="836"/>
        <v>308</v>
      </c>
      <c r="CS269" s="72" t="str">
        <f t="shared" si="837"/>
        <v>-</v>
      </c>
      <c r="CT269" s="23" t="e">
        <f t="shared" si="838"/>
        <v>#VALUE!</v>
      </c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  <c r="OK269" s="1"/>
      <c r="OL269" s="1"/>
      <c r="OM269" s="1"/>
      <c r="ON269" s="1"/>
      <c r="OO269" s="1"/>
      <c r="OP269" s="1"/>
      <c r="OQ269" s="1"/>
      <c r="OR269" s="1"/>
      <c r="OS269" s="1"/>
      <c r="OT269" s="1"/>
      <c r="OU269" s="1"/>
      <c r="OV269" s="1"/>
      <c r="OW269" s="1"/>
      <c r="OX269" s="1"/>
      <c r="OY269" s="1"/>
      <c r="OZ269" s="1"/>
      <c r="PA269" s="1"/>
      <c r="PB269" s="1"/>
      <c r="PC269" s="1"/>
      <c r="PD269" s="1"/>
      <c r="PE269" s="1"/>
      <c r="PF269" s="1"/>
      <c r="PG269" s="1"/>
      <c r="PH269" s="1"/>
      <c r="PI269" s="1"/>
      <c r="PJ269" s="1"/>
      <c r="PK269" s="1"/>
      <c r="PL269" s="1"/>
      <c r="PM269" s="1"/>
      <c r="PN269" s="1"/>
      <c r="PO269" s="1"/>
      <c r="PP269" s="1"/>
      <c r="PQ269" s="1"/>
      <c r="PR269" s="1"/>
      <c r="PS269" s="1"/>
      <c r="PT269" s="1"/>
      <c r="PU269" s="1"/>
      <c r="PV269" s="1"/>
      <c r="PW269" s="1"/>
      <c r="PX269" s="1"/>
      <c r="PY269" s="1"/>
      <c r="PZ269" s="1"/>
      <c r="QA269" s="1"/>
      <c r="QB269" s="1"/>
      <c r="QC269" s="1"/>
      <c r="QD269" s="1"/>
      <c r="QE269" s="1"/>
      <c r="QF269" s="1"/>
      <c r="QG269" s="1"/>
      <c r="QH269" s="1"/>
      <c r="QI269" s="1"/>
      <c r="QJ269" s="1"/>
      <c r="QK269" s="1"/>
      <c r="QL269" s="1"/>
      <c r="QM269" s="1"/>
      <c r="QN269" s="1"/>
      <c r="QO269" s="1"/>
      <c r="QP269" s="1"/>
      <c r="QQ269" s="1"/>
      <c r="QR269" s="1"/>
      <c r="QS269" s="1"/>
      <c r="QT269" s="1"/>
      <c r="QU269" s="1"/>
      <c r="QV269" s="1"/>
      <c r="QW269" s="1"/>
      <c r="QX269" s="1"/>
      <c r="QY269" s="1"/>
      <c r="QZ269" s="1"/>
      <c r="RA269" s="1"/>
      <c r="RB269" s="1"/>
      <c r="RC269" s="1"/>
      <c r="RD269" s="1"/>
      <c r="RE269" s="1"/>
      <c r="RF269" s="1"/>
      <c r="RG269" s="1"/>
      <c r="RH269" s="1"/>
      <c r="RI269" s="1"/>
      <c r="RJ269" s="1"/>
      <c r="RK269" s="1"/>
      <c r="RL269" s="1"/>
      <c r="RM269" s="1"/>
      <c r="RN269" s="1"/>
      <c r="RO269" s="1"/>
      <c r="RP269" s="1"/>
      <c r="RQ269" s="1"/>
      <c r="RR269" s="1"/>
      <c r="RS269" s="1"/>
      <c r="RT269" s="1"/>
      <c r="RU269" s="1"/>
      <c r="RV269" s="1"/>
      <c r="RW269" s="1"/>
      <c r="RX269" s="1"/>
      <c r="RY269" s="1"/>
      <c r="RZ269" s="1"/>
      <c r="SA269" s="1"/>
      <c r="SB269" s="1"/>
      <c r="SC269" s="1"/>
      <c r="SD269" s="1"/>
      <c r="SE269" s="1"/>
      <c r="SF269" s="1"/>
      <c r="SG269" s="1"/>
      <c r="SH269" s="1"/>
      <c r="SI269" s="1"/>
      <c r="SJ269" s="1"/>
      <c r="SK269" s="1"/>
      <c r="SL269" s="1"/>
      <c r="SM269" s="1"/>
      <c r="SN269" s="1"/>
      <c r="SO269" s="1"/>
      <c r="SP269" s="1"/>
      <c r="SQ269" s="1"/>
      <c r="SR269" s="1"/>
      <c r="SS269" s="1"/>
      <c r="ST269" s="1"/>
      <c r="SU269" s="1"/>
      <c r="SV269" s="1"/>
      <c r="SW269" s="1"/>
      <c r="SX269" s="1"/>
      <c r="SY269" s="1"/>
      <c r="SZ269" s="1"/>
      <c r="TA269" s="1"/>
      <c r="TB269" s="1"/>
      <c r="TC269" s="1"/>
      <c r="TD269" s="1"/>
      <c r="TE269" s="1"/>
      <c r="TF269" s="1"/>
      <c r="TG269" s="1"/>
      <c r="TH269" s="1"/>
      <c r="TI269" s="1"/>
      <c r="TJ269" s="1"/>
      <c r="TK269" s="1"/>
      <c r="TL269" s="1"/>
      <c r="TM269" s="1"/>
      <c r="TN269" s="1"/>
      <c r="TO269" s="1"/>
      <c r="TP269" s="1"/>
      <c r="TQ269" s="1"/>
      <c r="TR269" s="1"/>
      <c r="TS269" s="1"/>
      <c r="TT269" s="1"/>
      <c r="TU269" s="1"/>
      <c r="TV269" s="1"/>
      <c r="TW269" s="1"/>
      <c r="TX269" s="1"/>
      <c r="TY269" s="1"/>
      <c r="TZ269" s="1"/>
      <c r="UA269" s="1"/>
      <c r="UB269" s="1"/>
      <c r="UC269" s="1"/>
      <c r="UD269" s="1"/>
      <c r="UE269" s="1"/>
      <c r="UF269" s="1"/>
      <c r="UG269" s="1"/>
      <c r="UH269" s="1"/>
      <c r="UI269" s="1"/>
      <c r="UJ269" s="1"/>
      <c r="UK269" s="1"/>
      <c r="UL269" s="1"/>
      <c r="UM269" s="1"/>
      <c r="UN269" s="1"/>
      <c r="UO269" s="1"/>
      <c r="UP269" s="1"/>
      <c r="UQ269" s="1"/>
      <c r="UR269" s="1"/>
      <c r="US269" s="1"/>
      <c r="UT269" s="1"/>
      <c r="UU269" s="1"/>
      <c r="UV269" s="1"/>
      <c r="UW269" s="1"/>
      <c r="UX269" s="1"/>
      <c r="UY269" s="1"/>
      <c r="UZ269" s="1"/>
      <c r="VA269" s="1"/>
      <c r="VB269" s="1"/>
      <c r="VC269" s="1"/>
      <c r="VD269" s="1"/>
      <c r="VE269" s="1"/>
      <c r="VF269" s="1"/>
      <c r="VG269" s="1"/>
      <c r="VH269" s="1"/>
      <c r="VI269" s="1"/>
      <c r="VJ269" s="1"/>
      <c r="VK269" s="1"/>
      <c r="VL269" s="1"/>
      <c r="VM269" s="1"/>
      <c r="VN269" s="1"/>
      <c r="VO269" s="1"/>
      <c r="VP269" s="1"/>
      <c r="VQ269" s="1"/>
      <c r="VR269" s="1"/>
      <c r="VS269" s="1"/>
      <c r="VT269" s="1"/>
      <c r="VU269" s="1"/>
      <c r="VV269" s="1"/>
      <c r="VW269" s="1"/>
      <c r="VX269" s="1"/>
      <c r="VY269" s="1"/>
      <c r="VZ269" s="1"/>
      <c r="WA269" s="1"/>
      <c r="WB269" s="1"/>
      <c r="WC269" s="1"/>
      <c r="WD269" s="1"/>
      <c r="WE269" s="1"/>
      <c r="WF269" s="1"/>
      <c r="WG269" s="1"/>
      <c r="WH269" s="1"/>
      <c r="WI269" s="1"/>
      <c r="WJ269" s="1"/>
      <c r="WK269" s="1"/>
      <c r="WL269" s="1"/>
      <c r="WM269" s="1"/>
      <c r="WN269" s="1"/>
      <c r="WO269" s="1"/>
      <c r="WP269" s="1"/>
      <c r="WQ269" s="1"/>
      <c r="WR269" s="1"/>
      <c r="WS269" s="1"/>
      <c r="WT269" s="1"/>
      <c r="WU269" s="1"/>
      <c r="WV269" s="1"/>
      <c r="WW269" s="1"/>
      <c r="WX269" s="1"/>
      <c r="WY269" s="1"/>
      <c r="WZ269" s="1"/>
      <c r="XA269" s="1"/>
      <c r="XB269" s="1"/>
      <c r="XC269" s="1"/>
      <c r="XD269" s="1"/>
      <c r="XE269" s="1"/>
      <c r="XF269" s="1"/>
      <c r="XG269" s="1"/>
      <c r="XH269" s="1"/>
      <c r="XI269" s="1"/>
      <c r="XJ269" s="1"/>
      <c r="XK269" s="1"/>
      <c r="XL269" s="1"/>
      <c r="XM269" s="1"/>
      <c r="XN269" s="1"/>
      <c r="XO269" s="1"/>
      <c r="XP269" s="1"/>
      <c r="XQ269" s="1"/>
      <c r="XR269" s="1"/>
      <c r="XS269" s="1"/>
      <c r="XT269" s="1"/>
      <c r="XU269" s="1"/>
      <c r="XV269" s="1"/>
      <c r="XW269" s="1"/>
      <c r="XX269" s="1"/>
      <c r="XY269" s="1"/>
      <c r="XZ269" s="1"/>
      <c r="YA269" s="1"/>
      <c r="YB269" s="1"/>
      <c r="YC269" s="1"/>
      <c r="YD269" s="1"/>
      <c r="YE269" s="1"/>
      <c r="YF269" s="1"/>
      <c r="YG269" s="1"/>
      <c r="YH269" s="1"/>
      <c r="YI269" s="1"/>
      <c r="YJ269" s="1"/>
      <c r="YK269" s="1"/>
      <c r="YL269" s="1"/>
      <c r="YM269" s="1"/>
      <c r="YN269" s="1"/>
      <c r="YO269" s="1"/>
      <c r="YP269" s="1"/>
      <c r="YQ269" s="1"/>
      <c r="YR269" s="1"/>
      <c r="YS269" s="1"/>
      <c r="YT269" s="1"/>
      <c r="YU269" s="1"/>
      <c r="YV269" s="1"/>
      <c r="YW269" s="1"/>
      <c r="YX269" s="1"/>
      <c r="YY269" s="1"/>
      <c r="YZ269" s="1"/>
      <c r="ZA269" s="1"/>
      <c r="ZB269" s="1"/>
      <c r="ZC269" s="1"/>
      <c r="ZD269" s="1"/>
      <c r="ZE269" s="1"/>
      <c r="ZF269" s="1"/>
      <c r="ZG269" s="1"/>
      <c r="ZH269" s="1"/>
      <c r="ZI269" s="1"/>
      <c r="ZJ269" s="1"/>
      <c r="ZK269" s="1"/>
      <c r="ZL269" s="1"/>
      <c r="ZM269" s="1"/>
      <c r="ZN269" s="1"/>
      <c r="ZO269" s="1"/>
      <c r="ZP269" s="1"/>
      <c r="ZQ269" s="1"/>
      <c r="ZR269" s="1"/>
      <c r="ZS269" s="1"/>
      <c r="ZT269" s="1"/>
      <c r="ZU269" s="1"/>
      <c r="ZV269" s="1"/>
      <c r="ZW269" s="1"/>
      <c r="ZX269" s="1"/>
      <c r="ZY269" s="1"/>
      <c r="ZZ269" s="1"/>
      <c r="AAA269" s="1"/>
      <c r="AAB269" s="1"/>
      <c r="AAC269" s="1"/>
      <c r="AAD269" s="1"/>
      <c r="AAE269" s="1"/>
      <c r="AAF269" s="1"/>
      <c r="AAG269" s="1"/>
      <c r="AAH269" s="1"/>
      <c r="AAI269" s="1"/>
      <c r="AAJ269" s="1"/>
      <c r="AAK269" s="1"/>
      <c r="AAL269" s="1"/>
      <c r="AAM269" s="1"/>
      <c r="AAN269" s="1"/>
      <c r="AAO269" s="1"/>
      <c r="AAP269" s="1"/>
      <c r="AAQ269" s="1"/>
      <c r="AAR269" s="1"/>
      <c r="AAS269" s="1"/>
      <c r="AAT269" s="1"/>
      <c r="AAU269" s="1"/>
      <c r="AAV269" s="1"/>
      <c r="AAW269" s="1"/>
      <c r="AAX269" s="1"/>
      <c r="AAY269" s="1"/>
      <c r="AAZ269" s="1"/>
      <c r="ABA269" s="1"/>
      <c r="ABB269" s="1"/>
      <c r="ABC269" s="1"/>
      <c r="ABD269" s="1"/>
      <c r="ABE269" s="1"/>
      <c r="ABF269" s="1"/>
      <c r="ABG269" s="1"/>
      <c r="ABH269" s="1"/>
      <c r="ABI269" s="1"/>
      <c r="ABJ269" s="1"/>
      <c r="ABK269" s="1"/>
      <c r="ABL269" s="1"/>
      <c r="ABM269" s="1"/>
      <c r="ABN269" s="1"/>
      <c r="ABO269" s="1"/>
      <c r="ABP269" s="1"/>
      <c r="ABQ269" s="1"/>
      <c r="ABR269" s="1"/>
      <c r="ABS269" s="1"/>
      <c r="ABT269" s="1"/>
      <c r="ABU269" s="1"/>
      <c r="ABV269" s="1"/>
      <c r="ABW269" s="1"/>
      <c r="ABX269" s="1"/>
      <c r="ABY269" s="1"/>
      <c r="ABZ269" s="1"/>
      <c r="ACA269" s="1"/>
      <c r="ACB269" s="1"/>
      <c r="ACC269" s="1"/>
      <c r="ACD269" s="1"/>
      <c r="ACE269" s="1"/>
      <c r="ACF269" s="1"/>
      <c r="ACG269" s="1"/>
      <c r="ACH269" s="1"/>
      <c r="ACI269" s="1"/>
      <c r="ACJ269" s="1"/>
      <c r="ACK269" s="1"/>
      <c r="ACL269" s="1"/>
      <c r="ACM269" s="1"/>
      <c r="ACN269" s="1"/>
      <c r="ACO269" s="1"/>
      <c r="ACP269" s="1"/>
      <c r="ACQ269" s="1"/>
      <c r="ACR269" s="1"/>
      <c r="ACS269" s="1"/>
      <c r="ACT269" s="1"/>
      <c r="ACU269" s="1"/>
      <c r="ACV269" s="1"/>
      <c r="ACW269" s="1"/>
      <c r="ACX269" s="1"/>
      <c r="ACY269" s="1"/>
      <c r="ACZ269" s="1"/>
      <c r="ADA269" s="1"/>
      <c r="ADB269" s="1"/>
      <c r="ADC269" s="1"/>
      <c r="ADD269" s="1"/>
      <c r="ADE269" s="1"/>
      <c r="ADF269" s="1"/>
      <c r="ADG269" s="1"/>
      <c r="ADH269" s="1"/>
      <c r="ADI269" s="1"/>
      <c r="ADJ269" s="1"/>
      <c r="ADK269" s="1"/>
      <c r="ADL269" s="1"/>
      <c r="ADM269" s="1"/>
      <c r="ADN269" s="1"/>
      <c r="ADO269" s="1"/>
      <c r="ADP269" s="1"/>
      <c r="ADQ269" s="1"/>
      <c r="ADR269" s="1"/>
      <c r="ADS269" s="1"/>
      <c r="ADT269" s="1"/>
      <c r="ADU269" s="1"/>
      <c r="ADV269" s="1"/>
      <c r="ADW269" s="1"/>
      <c r="ADX269" s="1"/>
      <c r="ADY269" s="1"/>
      <c r="ADZ269" s="1"/>
      <c r="AEA269" s="1"/>
      <c r="AEB269" s="1"/>
      <c r="AEC269" s="1"/>
      <c r="AED269" s="1"/>
      <c r="AEE269" s="1"/>
      <c r="AEF269" s="1"/>
      <c r="AEG269" s="1"/>
      <c r="AEH269" s="1"/>
      <c r="AEI269" s="1"/>
      <c r="AEJ269" s="1"/>
      <c r="AEK269" s="1"/>
      <c r="AEL269" s="1"/>
      <c r="AEM269" s="1"/>
      <c r="AEN269" s="1"/>
      <c r="AEO269" s="1"/>
      <c r="AEP269" s="1"/>
      <c r="AEQ269" s="1"/>
      <c r="AER269" s="1"/>
      <c r="AES269" s="1"/>
      <c r="AET269" s="1"/>
      <c r="AEU269" s="1"/>
      <c r="AEV269" s="1"/>
      <c r="AEW269" s="1"/>
      <c r="AEX269" s="1"/>
      <c r="AEY269" s="1"/>
      <c r="AEZ269" s="1"/>
      <c r="AFA269" s="1"/>
      <c r="AFB269" s="1"/>
      <c r="AFC269" s="1"/>
      <c r="AFD269" s="1"/>
      <c r="AFE269" s="1"/>
      <c r="AFF269" s="1"/>
      <c r="AFG269" s="1"/>
      <c r="AFH269" s="1"/>
      <c r="AFI269" s="1"/>
      <c r="AFJ269" s="1"/>
      <c r="AFK269" s="1"/>
      <c r="AFL269" s="1"/>
      <c r="AFM269" s="1"/>
      <c r="AFN269" s="1"/>
      <c r="AFO269" s="1"/>
      <c r="AFP269" s="1"/>
      <c r="AFQ269" s="1"/>
      <c r="AFR269" s="1"/>
      <c r="AFS269" s="1"/>
      <c r="AFT269" s="1"/>
      <c r="AFU269" s="1"/>
      <c r="AFV269" s="1"/>
      <c r="AFW269" s="1"/>
      <c r="AFX269" s="1"/>
      <c r="AFY269" s="1"/>
      <c r="AFZ269" s="1"/>
      <c r="AGA269" s="1"/>
      <c r="AGB269" s="1"/>
      <c r="AGC269" s="1"/>
      <c r="AGD269" s="1"/>
      <c r="AGE269" s="1"/>
      <c r="AGF269" s="1"/>
      <c r="AGG269" s="1"/>
      <c r="AGH269" s="1"/>
      <c r="AGI269" s="1"/>
      <c r="AGJ269" s="1"/>
      <c r="AGK269" s="1"/>
      <c r="AGL269" s="1"/>
      <c r="AGM269" s="1"/>
      <c r="AGN269" s="1"/>
      <c r="AGO269" s="1"/>
      <c r="AGP269" s="1"/>
      <c r="AGQ269" s="1"/>
      <c r="AGR269" s="1"/>
      <c r="AGS269" s="1"/>
      <c r="AGT269" s="1"/>
      <c r="AGU269" s="1"/>
      <c r="AGV269" s="1"/>
      <c r="AGW269" s="1"/>
      <c r="AGX269" s="1"/>
      <c r="AGY269" s="1"/>
      <c r="AGZ269" s="1"/>
      <c r="AHA269" s="1"/>
      <c r="AHB269" s="1"/>
      <c r="AHC269" s="1"/>
      <c r="AHD269" s="1"/>
      <c r="AHE269" s="1"/>
      <c r="AHF269" s="1"/>
      <c r="AHG269" s="1"/>
      <c r="AHH269" s="1"/>
      <c r="AHI269" s="1"/>
      <c r="AHJ269" s="1"/>
      <c r="AHK269" s="1"/>
      <c r="AHL269" s="1"/>
      <c r="AHM269" s="1"/>
      <c r="AHN269" s="1"/>
      <c r="AHO269" s="1"/>
      <c r="AHP269" s="1"/>
      <c r="AHQ269" s="1"/>
      <c r="AHR269" s="1"/>
      <c r="AHS269" s="1"/>
      <c r="AHT269" s="1"/>
      <c r="AHU269" s="1"/>
      <c r="AHV269" s="1"/>
      <c r="AHW269" s="1"/>
      <c r="AHX269" s="1"/>
      <c r="AHY269" s="1"/>
      <c r="AHZ269" s="1"/>
      <c r="AIA269" s="1"/>
      <c r="AIB269" s="1"/>
      <c r="AIC269" s="1"/>
      <c r="AID269" s="1"/>
      <c r="AIE269" s="1"/>
      <c r="AIF269" s="1"/>
      <c r="AIG269" s="1"/>
      <c r="AIH269" s="1"/>
      <c r="AII269" s="1"/>
      <c r="AIJ269" s="1"/>
      <c r="AIK269" s="1"/>
      <c r="AIL269" s="1"/>
      <c r="AIM269" s="1"/>
      <c r="AIN269" s="1"/>
      <c r="AIO269" s="1"/>
      <c r="AIP269" s="1"/>
      <c r="AIQ269" s="1"/>
      <c r="AIR269" s="1"/>
      <c r="AIS269" s="1"/>
      <c r="AIT269" s="1"/>
      <c r="AIU269" s="1"/>
      <c r="AIV269" s="1"/>
      <c r="AIW269" s="1"/>
      <c r="AIX269" s="1"/>
      <c r="AIY269" s="1"/>
      <c r="AIZ269" s="1"/>
      <c r="AJA269" s="1"/>
      <c r="AJB269" s="1"/>
      <c r="AJC269" s="1"/>
      <c r="AJD269" s="1"/>
      <c r="AJE269" s="1"/>
      <c r="AJF269" s="1"/>
      <c r="AJG269" s="1"/>
      <c r="AJH269" s="1"/>
      <c r="AJI269" s="1"/>
      <c r="AJJ269" s="1"/>
      <c r="AJK269" s="1"/>
      <c r="AJL269" s="1"/>
      <c r="AJM269" s="1"/>
      <c r="AJN269" s="1"/>
      <c r="AJO269" s="1"/>
      <c r="AJP269" s="1"/>
      <c r="AJQ269" s="1"/>
      <c r="AJR269" s="1"/>
      <c r="AJS269" s="1"/>
      <c r="AJT269" s="1"/>
      <c r="AJU269" s="1"/>
      <c r="AJV269" s="1"/>
      <c r="AJW269" s="1"/>
      <c r="AJX269" s="1"/>
      <c r="AJY269" s="1"/>
      <c r="AJZ269" s="1"/>
      <c r="AKA269" s="1"/>
      <c r="AKB269" s="1"/>
      <c r="AKC269" s="1"/>
      <c r="AKD269" s="1"/>
      <c r="AKE269" s="1"/>
      <c r="AKF269" s="1"/>
      <c r="AKG269" s="1"/>
      <c r="AKH269" s="1"/>
      <c r="AKI269" s="1"/>
      <c r="AKJ269" s="1"/>
      <c r="AKK269" s="1"/>
      <c r="AKL269" s="1"/>
      <c r="AKM269" s="1"/>
      <c r="AKN269" s="1"/>
      <c r="AKO269" s="1"/>
      <c r="AKP269" s="1"/>
      <c r="AKQ269" s="1"/>
      <c r="AKR269" s="1"/>
      <c r="AKS269" s="1"/>
      <c r="AKT269" s="1"/>
      <c r="AKU269" s="1"/>
      <c r="AKV269" s="1"/>
      <c r="AKW269" s="1"/>
      <c r="AKX269" s="1"/>
      <c r="AKY269" s="1"/>
      <c r="AKZ269" s="1"/>
      <c r="ALA269" s="1"/>
      <c r="ALB269" s="1"/>
      <c r="ALC269" s="1"/>
      <c r="ALD269" s="1"/>
      <c r="ALE269" s="1"/>
      <c r="ALF269" s="1"/>
      <c r="ALG269" s="1"/>
      <c r="ALH269" s="1"/>
      <c r="ALI269" s="1"/>
      <c r="ALJ269" s="1"/>
      <c r="ALK269" s="1"/>
      <c r="ALL269" s="1"/>
      <c r="ALM269" s="1"/>
      <c r="ALN269" s="1"/>
      <c r="ALO269" s="1"/>
      <c r="ALP269" s="1"/>
      <c r="ALQ269" s="1"/>
      <c r="ALR269" s="1"/>
      <c r="ALS269" s="1"/>
      <c r="ALT269" s="1"/>
      <c r="ALU269" s="1"/>
      <c r="ALV269" s="1"/>
      <c r="ALW269" s="1"/>
      <c r="ALX269" s="1"/>
      <c r="ALY269" s="1"/>
      <c r="ALZ269" s="1"/>
      <c r="AMA269" s="1"/>
      <c r="AMB269" s="1"/>
      <c r="AMC269" s="1"/>
      <c r="AMD269" s="1"/>
      <c r="AME269" s="1"/>
      <c r="AMF269" s="1"/>
      <c r="AMG269" s="1"/>
      <c r="AMH269" s="1"/>
      <c r="AMI269" s="1"/>
      <c r="AMJ269" s="1"/>
      <c r="AMK269" s="1"/>
      <c r="AML269" s="1"/>
      <c r="AMM269" s="1"/>
      <c r="AMN269" s="1"/>
      <c r="AMO269" s="1"/>
    </row>
    <row r="270" spans="1:1029" x14ac:dyDescent="0.2">
      <c r="A270" s="3" t="str">
        <f t="shared" si="811"/>
        <v>q9wtk1_cavpo__wt</v>
      </c>
      <c r="B270" s="3" t="s">
        <v>1463</v>
      </c>
      <c r="C270" s="3" t="s">
        <v>100</v>
      </c>
      <c r="D270" s="3" t="str">
        <f>IFERROR(MID(VLOOKUP($B270,Seqs!$A:$B,2,0),E270,1),"")</f>
        <v>T</v>
      </c>
      <c r="E270" s="3">
        <v>17</v>
      </c>
      <c r="F270" s="3" t="str">
        <f>IFERROR(MID(VLOOKUP($B270,Seqs!$A:$B,2,0),G270,1),"")</f>
        <v>R</v>
      </c>
      <c r="G270" s="3">
        <v>48</v>
      </c>
      <c r="H270" s="3" t="str">
        <f>IFERROR(MID(VLOOKUP($B270,Seqs!$A:$B,2,0),I270,1),"")</f>
        <v>M</v>
      </c>
      <c r="I270" s="23">
        <v>49</v>
      </c>
      <c r="J270" s="3" t="str">
        <f>IFERROR(MID(VLOOKUP($B270,Seqs!$A:$B,2,0),K270,1),"")</f>
        <v>R</v>
      </c>
      <c r="K270" s="23">
        <v>52</v>
      </c>
      <c r="L270" s="3" t="str">
        <f>IFERROR(MID(VLOOKUP($B270,Seqs!$A:$B,2,0),M270,1),"")</f>
        <v>S</v>
      </c>
      <c r="M270" s="3">
        <v>53</v>
      </c>
      <c r="N270" s="3" t="str">
        <f>IFERROR(MID(VLOOKUP($B270,Seqs!$A:$B,2,0),O270,1),"")</f>
        <v>H</v>
      </c>
      <c r="O270" s="3">
        <v>83</v>
      </c>
      <c r="P270" s="3" t="str">
        <f>IFERROR(MID(VLOOKUP($B270,Seqs!$A:$B,2,0),Q270,1),"")</f>
        <v>T</v>
      </c>
      <c r="Q270" s="3">
        <v>84</v>
      </c>
      <c r="R270" s="3" t="str">
        <f>IFERROR(MID(VLOOKUP($B270,Seqs!$A:$B,2,0),S270,1),"")</f>
        <v>F</v>
      </c>
      <c r="S270" s="3">
        <v>87</v>
      </c>
      <c r="T270" s="3" t="str">
        <f>IFERROR(MID(VLOOKUP($B270,Seqs!$A:$B,2,0),U270,1),"")</f>
        <v>K</v>
      </c>
      <c r="U270" s="3">
        <v>88</v>
      </c>
      <c r="V270" s="3" t="str">
        <f>IFERROR(MID(VLOOKUP($B270,Seqs!$A:$B,2,0),W270,1),"")</f>
        <v>S</v>
      </c>
      <c r="W270" s="3">
        <v>123</v>
      </c>
      <c r="X270" s="3" t="str">
        <f>IFERROR(MID(VLOOKUP($B270,Seqs!$A:$B,2,0),Y270,1),"")</f>
        <v>P</v>
      </c>
      <c r="Y270" s="3">
        <v>124</v>
      </c>
      <c r="Z270" s="3" t="str">
        <f>IFERROR(MID(VLOOKUP($B270,Seqs!$A:$B,2,0),AA270,1),"")</f>
        <v>R</v>
      </c>
      <c r="AA270" s="3">
        <v>131</v>
      </c>
      <c r="AB270" s="3" t="str">
        <f>IFERROR(MID(VLOOKUP($B270,Seqs!$A:$B,2,0),AC270,1),"")</f>
        <v>T</v>
      </c>
      <c r="AC270" s="3">
        <v>132</v>
      </c>
      <c r="AD270" s="3" t="str">
        <f>IFERROR(MID(VLOOKUP($B270,Seqs!$A:$B,2,0),AE270,1),"")</f>
        <v>R</v>
      </c>
      <c r="AE270" s="3">
        <v>158</v>
      </c>
      <c r="AF270" s="3" t="str">
        <f>IFERROR(MID(VLOOKUP($B270,Seqs!$A:$B,2,0),AG270,1),"")</f>
        <v>C</v>
      </c>
      <c r="AG270" s="3">
        <v>170</v>
      </c>
      <c r="AH270" s="3" t="str">
        <f>IFERROR(MID(VLOOKUP($B270,Seqs!$A:$B,2,0),AI270,1),"")</f>
        <v>A</v>
      </c>
      <c r="AI270" s="3">
        <v>172</v>
      </c>
      <c r="AJ270" s="3" t="str">
        <f>IFERROR(MID(VLOOKUP($B270,Seqs!$A:$B,2,0),AK270,1),"")</f>
        <v>S</v>
      </c>
      <c r="AK270" s="3">
        <v>176</v>
      </c>
      <c r="AL270" s="3" t="str">
        <f>IFERROR(MID(VLOOKUP($B270,Seqs!$A:$B,2,0),AM270,1),"")</f>
        <v>R</v>
      </c>
      <c r="AM270" s="3">
        <v>213</v>
      </c>
      <c r="AN270" s="3" t="str">
        <f>IFERROR(MID(VLOOKUP($B270,Seqs!$A:$B,2,0),AO270,1),"")</f>
        <v>R</v>
      </c>
      <c r="AO270" s="3">
        <v>218</v>
      </c>
      <c r="AP270" s="3" t="str">
        <f>IFERROR(MID(VLOOKUP($B270,Seqs!$A:$B,2,0),AQ270,1),"")</f>
        <v>A</v>
      </c>
      <c r="AQ270" s="3">
        <v>252</v>
      </c>
      <c r="AR270" s="3" t="str">
        <f>IFERROR(MID(VLOOKUP($B270,Seqs!$A:$B,2,0),AS270,1),"")</f>
        <v>L</v>
      </c>
      <c r="AS270" s="3">
        <v>255</v>
      </c>
      <c r="AT270" s="3" t="str">
        <f>IFERROR(MID(VLOOKUP($B270,Seqs!$A:$B,2,0),AU270,1),"")</f>
        <v>A</v>
      </c>
      <c r="AU270" s="3">
        <v>287</v>
      </c>
      <c r="AV270" s="3" t="str">
        <f>IFERROR(MID(VLOOKUP($B270,Seqs!$A:$B,2,0),AW270,1),"")</f>
        <v>G</v>
      </c>
      <c r="AW270" s="3">
        <v>288</v>
      </c>
      <c r="AX270" s="3" t="str">
        <f>IFERROR(MID(VLOOKUP($B270,Seqs!$A:$B,2,0),AY270,1),"")</f>
        <v>K</v>
      </c>
      <c r="AY270" s="3">
        <v>302</v>
      </c>
      <c r="AZ270" s="77" t="str">
        <f>VLOOKUP(B270,Classification!A:D,2,0)</f>
        <v>A</v>
      </c>
      <c r="BA270" s="94" t="str">
        <f>VLOOKUP(B270,Classification!A:D,4,0)</f>
        <v>Leukotriene</v>
      </c>
      <c r="BB270" s="27" t="b">
        <f t="shared" si="812"/>
        <v>1</v>
      </c>
      <c r="BC270" s="23">
        <f t="shared" si="813"/>
        <v>266</v>
      </c>
      <c r="BD270" s="2" t="s">
        <v>23</v>
      </c>
      <c r="BE270" s="3" t="s">
        <v>23</v>
      </c>
      <c r="BF270" s="119" t="s">
        <v>23</v>
      </c>
      <c r="BG270" s="49" t="s">
        <v>1</v>
      </c>
      <c r="BH270" s="49" t="s">
        <v>1</v>
      </c>
      <c r="BI270" s="1"/>
      <c r="BJ270" s="70" t="s">
        <v>1293</v>
      </c>
      <c r="BK270" s="57" t="s">
        <v>1293</v>
      </c>
      <c r="BL270" s="57" t="s">
        <v>1293</v>
      </c>
      <c r="BM270" s="57" t="s">
        <v>1293</v>
      </c>
      <c r="BN270" s="57" t="s">
        <v>1293</v>
      </c>
      <c r="BO270" s="57" t="s">
        <v>1293</v>
      </c>
      <c r="BP270" s="57" t="s">
        <v>1293</v>
      </c>
      <c r="BQ270" s="57" t="s">
        <v>1293</v>
      </c>
      <c r="BR270" s="57" t="s">
        <v>1293</v>
      </c>
      <c r="BS270" s="57" t="s">
        <v>1293</v>
      </c>
      <c r="BT270" s="57" t="s">
        <v>1293</v>
      </c>
      <c r="BU270" s="57" t="s">
        <v>1293</v>
      </c>
      <c r="BV270" s="70">
        <f t="shared" si="814"/>
        <v>17</v>
      </c>
      <c r="BW270" s="71">
        <f t="shared" si="815"/>
        <v>49</v>
      </c>
      <c r="BX270" s="72">
        <f t="shared" si="816"/>
        <v>53</v>
      </c>
      <c r="BY270" s="71">
        <f t="shared" si="817"/>
        <v>84</v>
      </c>
      <c r="BZ270" s="72">
        <f t="shared" si="818"/>
        <v>88</v>
      </c>
      <c r="CA270" s="71">
        <f t="shared" si="819"/>
        <v>124</v>
      </c>
      <c r="CB270" s="72">
        <f t="shared" si="820"/>
        <v>132</v>
      </c>
      <c r="CC270" s="71">
        <f t="shared" si="821"/>
        <v>170</v>
      </c>
      <c r="CD270" s="72">
        <f t="shared" si="822"/>
        <v>176</v>
      </c>
      <c r="CE270" s="71">
        <f t="shared" si="823"/>
        <v>218</v>
      </c>
      <c r="CF270" s="72">
        <f t="shared" si="824"/>
        <v>255</v>
      </c>
      <c r="CG270" s="71">
        <f t="shared" si="825"/>
        <v>288</v>
      </c>
      <c r="CH270" s="70">
        <f t="shared" si="826"/>
        <v>48</v>
      </c>
      <c r="CI270" s="71">
        <f t="shared" si="827"/>
        <v>52</v>
      </c>
      <c r="CJ270" s="72">
        <f t="shared" si="828"/>
        <v>83</v>
      </c>
      <c r="CK270" s="72">
        <f t="shared" si="829"/>
        <v>87</v>
      </c>
      <c r="CL270" s="72">
        <f t="shared" si="830"/>
        <v>123</v>
      </c>
      <c r="CM270" s="72">
        <f t="shared" si="831"/>
        <v>131</v>
      </c>
      <c r="CN270" s="72">
        <f t="shared" si="832"/>
        <v>158</v>
      </c>
      <c r="CO270" s="72">
        <f t="shared" si="833"/>
        <v>172</v>
      </c>
      <c r="CP270" s="72">
        <f t="shared" si="834"/>
        <v>213</v>
      </c>
      <c r="CQ270" s="72">
        <f t="shared" si="835"/>
        <v>252</v>
      </c>
      <c r="CR270" s="72">
        <f t="shared" si="836"/>
        <v>287</v>
      </c>
      <c r="CS270" s="72">
        <f t="shared" si="837"/>
        <v>302</v>
      </c>
      <c r="CT270" s="23">
        <f t="shared" si="838"/>
        <v>1</v>
      </c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  <c r="OK270" s="1"/>
      <c r="OL270" s="1"/>
      <c r="OM270" s="1"/>
      <c r="ON270" s="1"/>
      <c r="OO270" s="1"/>
      <c r="OP270" s="1"/>
      <c r="OQ270" s="1"/>
      <c r="OR270" s="1"/>
      <c r="OS270" s="1"/>
      <c r="OT270" s="1"/>
      <c r="OU270" s="1"/>
      <c r="OV270" s="1"/>
      <c r="OW270" s="1"/>
      <c r="OX270" s="1"/>
      <c r="OY270" s="1"/>
      <c r="OZ270" s="1"/>
      <c r="PA270" s="1"/>
      <c r="PB270" s="1"/>
      <c r="PC270" s="1"/>
      <c r="PD270" s="1"/>
      <c r="PE270" s="1"/>
      <c r="PF270" s="1"/>
      <c r="PG270" s="1"/>
      <c r="PH270" s="1"/>
      <c r="PI270" s="1"/>
      <c r="PJ270" s="1"/>
      <c r="PK270" s="1"/>
      <c r="PL270" s="1"/>
      <c r="PM270" s="1"/>
      <c r="PN270" s="1"/>
      <c r="PO270" s="1"/>
      <c r="PP270" s="1"/>
      <c r="PQ270" s="1"/>
      <c r="PR270" s="1"/>
      <c r="PS270" s="1"/>
      <c r="PT270" s="1"/>
      <c r="PU270" s="1"/>
      <c r="PV270" s="1"/>
      <c r="PW270" s="1"/>
      <c r="PX270" s="1"/>
      <c r="PY270" s="1"/>
      <c r="PZ270" s="1"/>
      <c r="QA270" s="1"/>
      <c r="QB270" s="1"/>
      <c r="QC270" s="1"/>
      <c r="QD270" s="1"/>
      <c r="QE270" s="1"/>
      <c r="QF270" s="1"/>
      <c r="QG270" s="1"/>
      <c r="QH270" s="1"/>
      <c r="QI270" s="1"/>
      <c r="QJ270" s="1"/>
      <c r="QK270" s="1"/>
      <c r="QL270" s="1"/>
      <c r="QM270" s="1"/>
      <c r="QN270" s="1"/>
      <c r="QO270" s="1"/>
      <c r="QP270" s="1"/>
      <c r="QQ270" s="1"/>
      <c r="QR270" s="1"/>
      <c r="QS270" s="1"/>
      <c r="QT270" s="1"/>
      <c r="QU270" s="1"/>
      <c r="QV270" s="1"/>
      <c r="QW270" s="1"/>
      <c r="QX270" s="1"/>
      <c r="QY270" s="1"/>
      <c r="QZ270" s="1"/>
      <c r="RA270" s="1"/>
      <c r="RB270" s="1"/>
      <c r="RC270" s="1"/>
      <c r="RD270" s="1"/>
      <c r="RE270" s="1"/>
      <c r="RF270" s="1"/>
      <c r="RG270" s="1"/>
      <c r="RH270" s="1"/>
      <c r="RI270" s="1"/>
      <c r="RJ270" s="1"/>
      <c r="RK270" s="1"/>
      <c r="RL270" s="1"/>
      <c r="RM270" s="1"/>
      <c r="RN270" s="1"/>
      <c r="RO270" s="1"/>
      <c r="RP270" s="1"/>
      <c r="RQ270" s="1"/>
      <c r="RR270" s="1"/>
      <c r="RS270" s="1"/>
      <c r="RT270" s="1"/>
      <c r="RU270" s="1"/>
      <c r="RV270" s="1"/>
      <c r="RW270" s="1"/>
      <c r="RX270" s="1"/>
      <c r="RY270" s="1"/>
      <c r="RZ270" s="1"/>
      <c r="SA270" s="1"/>
      <c r="SB270" s="1"/>
      <c r="SC270" s="1"/>
      <c r="SD270" s="1"/>
      <c r="SE270" s="1"/>
      <c r="SF270" s="1"/>
      <c r="SG270" s="1"/>
      <c r="SH270" s="1"/>
      <c r="SI270" s="1"/>
      <c r="SJ270" s="1"/>
      <c r="SK270" s="1"/>
      <c r="SL270" s="1"/>
      <c r="SM270" s="1"/>
      <c r="SN270" s="1"/>
      <c r="SO270" s="1"/>
      <c r="SP270" s="1"/>
      <c r="SQ270" s="1"/>
      <c r="SR270" s="1"/>
      <c r="SS270" s="1"/>
      <c r="ST270" s="1"/>
      <c r="SU270" s="1"/>
      <c r="SV270" s="1"/>
      <c r="SW270" s="1"/>
      <c r="SX270" s="1"/>
      <c r="SY270" s="1"/>
      <c r="SZ270" s="1"/>
      <c r="TA270" s="1"/>
      <c r="TB270" s="1"/>
      <c r="TC270" s="1"/>
      <c r="TD270" s="1"/>
      <c r="TE270" s="1"/>
      <c r="TF270" s="1"/>
      <c r="TG270" s="1"/>
      <c r="TH270" s="1"/>
      <c r="TI270" s="1"/>
      <c r="TJ270" s="1"/>
      <c r="TK270" s="1"/>
      <c r="TL270" s="1"/>
      <c r="TM270" s="1"/>
      <c r="TN270" s="1"/>
      <c r="TO270" s="1"/>
      <c r="TP270" s="1"/>
      <c r="TQ270" s="1"/>
      <c r="TR270" s="1"/>
      <c r="TS270" s="1"/>
      <c r="TT270" s="1"/>
      <c r="TU270" s="1"/>
      <c r="TV270" s="1"/>
      <c r="TW270" s="1"/>
      <c r="TX270" s="1"/>
      <c r="TY270" s="1"/>
      <c r="TZ270" s="1"/>
      <c r="UA270" s="1"/>
      <c r="UB270" s="1"/>
      <c r="UC270" s="1"/>
      <c r="UD270" s="1"/>
      <c r="UE270" s="1"/>
      <c r="UF270" s="1"/>
      <c r="UG270" s="1"/>
      <c r="UH270" s="1"/>
      <c r="UI270" s="1"/>
      <c r="UJ270" s="1"/>
      <c r="UK270" s="1"/>
      <c r="UL270" s="1"/>
      <c r="UM270" s="1"/>
      <c r="UN270" s="1"/>
      <c r="UO270" s="1"/>
      <c r="UP270" s="1"/>
      <c r="UQ270" s="1"/>
      <c r="UR270" s="1"/>
      <c r="US270" s="1"/>
      <c r="UT270" s="1"/>
      <c r="UU270" s="1"/>
      <c r="UV270" s="1"/>
      <c r="UW270" s="1"/>
      <c r="UX270" s="1"/>
      <c r="UY270" s="1"/>
      <c r="UZ270" s="1"/>
      <c r="VA270" s="1"/>
      <c r="VB270" s="1"/>
      <c r="VC270" s="1"/>
      <c r="VD270" s="1"/>
      <c r="VE270" s="1"/>
      <c r="VF270" s="1"/>
      <c r="VG270" s="1"/>
      <c r="VH270" s="1"/>
      <c r="VI270" s="1"/>
      <c r="VJ270" s="1"/>
      <c r="VK270" s="1"/>
      <c r="VL270" s="1"/>
      <c r="VM270" s="1"/>
      <c r="VN270" s="1"/>
      <c r="VO270" s="1"/>
      <c r="VP270" s="1"/>
      <c r="VQ270" s="1"/>
      <c r="VR270" s="1"/>
      <c r="VS270" s="1"/>
      <c r="VT270" s="1"/>
      <c r="VU270" s="1"/>
      <c r="VV270" s="1"/>
      <c r="VW270" s="1"/>
      <c r="VX270" s="1"/>
      <c r="VY270" s="1"/>
      <c r="VZ270" s="1"/>
      <c r="WA270" s="1"/>
      <c r="WB270" s="1"/>
      <c r="WC270" s="1"/>
      <c r="WD270" s="1"/>
      <c r="WE270" s="1"/>
      <c r="WF270" s="1"/>
      <c r="WG270" s="1"/>
      <c r="WH270" s="1"/>
      <c r="WI270" s="1"/>
      <c r="WJ270" s="1"/>
      <c r="WK270" s="1"/>
      <c r="WL270" s="1"/>
      <c r="WM270" s="1"/>
      <c r="WN270" s="1"/>
      <c r="WO270" s="1"/>
      <c r="WP270" s="1"/>
      <c r="WQ270" s="1"/>
      <c r="WR270" s="1"/>
      <c r="WS270" s="1"/>
      <c r="WT270" s="1"/>
      <c r="WU270" s="1"/>
      <c r="WV270" s="1"/>
      <c r="WW270" s="1"/>
      <c r="WX270" s="1"/>
      <c r="WY270" s="1"/>
      <c r="WZ270" s="1"/>
      <c r="XA270" s="1"/>
      <c r="XB270" s="1"/>
      <c r="XC270" s="1"/>
      <c r="XD270" s="1"/>
      <c r="XE270" s="1"/>
      <c r="XF270" s="1"/>
      <c r="XG270" s="1"/>
      <c r="XH270" s="1"/>
      <c r="XI270" s="1"/>
      <c r="XJ270" s="1"/>
      <c r="XK270" s="1"/>
      <c r="XL270" s="1"/>
      <c r="XM270" s="1"/>
      <c r="XN270" s="1"/>
      <c r="XO270" s="1"/>
      <c r="XP270" s="1"/>
      <c r="XQ270" s="1"/>
      <c r="XR270" s="1"/>
      <c r="XS270" s="1"/>
      <c r="XT270" s="1"/>
      <c r="XU270" s="1"/>
      <c r="XV270" s="1"/>
      <c r="XW270" s="1"/>
      <c r="XX270" s="1"/>
      <c r="XY270" s="1"/>
      <c r="XZ270" s="1"/>
      <c r="YA270" s="1"/>
      <c r="YB270" s="1"/>
      <c r="YC270" s="1"/>
      <c r="YD270" s="1"/>
      <c r="YE270" s="1"/>
      <c r="YF270" s="1"/>
      <c r="YG270" s="1"/>
      <c r="YH270" s="1"/>
      <c r="YI270" s="1"/>
      <c r="YJ270" s="1"/>
      <c r="YK270" s="1"/>
      <c r="YL270" s="1"/>
      <c r="YM270" s="1"/>
      <c r="YN270" s="1"/>
      <c r="YO270" s="1"/>
      <c r="YP270" s="1"/>
      <c r="YQ270" s="1"/>
      <c r="YR270" s="1"/>
      <c r="YS270" s="1"/>
      <c r="YT270" s="1"/>
      <c r="YU270" s="1"/>
      <c r="YV270" s="1"/>
      <c r="YW270" s="1"/>
      <c r="YX270" s="1"/>
      <c r="YY270" s="1"/>
      <c r="YZ270" s="1"/>
      <c r="ZA270" s="1"/>
      <c r="ZB270" s="1"/>
      <c r="ZC270" s="1"/>
      <c r="ZD270" s="1"/>
      <c r="ZE270" s="1"/>
      <c r="ZF270" s="1"/>
      <c r="ZG270" s="1"/>
      <c r="ZH270" s="1"/>
      <c r="ZI270" s="1"/>
      <c r="ZJ270" s="1"/>
      <c r="ZK270" s="1"/>
      <c r="ZL270" s="1"/>
      <c r="ZM270" s="1"/>
      <c r="ZN270" s="1"/>
      <c r="ZO270" s="1"/>
      <c r="ZP270" s="1"/>
      <c r="ZQ270" s="1"/>
      <c r="ZR270" s="1"/>
      <c r="ZS270" s="1"/>
      <c r="ZT270" s="1"/>
      <c r="ZU270" s="1"/>
      <c r="ZV270" s="1"/>
      <c r="ZW270" s="1"/>
      <c r="ZX270" s="1"/>
      <c r="ZY270" s="1"/>
      <c r="ZZ270" s="1"/>
      <c r="AAA270" s="1"/>
      <c r="AAB270" s="1"/>
      <c r="AAC270" s="1"/>
      <c r="AAD270" s="1"/>
      <c r="AAE270" s="1"/>
      <c r="AAF270" s="1"/>
      <c r="AAG270" s="1"/>
      <c r="AAH270" s="1"/>
      <c r="AAI270" s="1"/>
      <c r="AAJ270" s="1"/>
      <c r="AAK270" s="1"/>
      <c r="AAL270" s="1"/>
      <c r="AAM270" s="1"/>
      <c r="AAN270" s="1"/>
      <c r="AAO270" s="1"/>
      <c r="AAP270" s="1"/>
      <c r="AAQ270" s="1"/>
      <c r="AAR270" s="1"/>
      <c r="AAS270" s="1"/>
      <c r="AAT270" s="1"/>
      <c r="AAU270" s="1"/>
      <c r="AAV270" s="1"/>
      <c r="AAW270" s="1"/>
      <c r="AAX270" s="1"/>
      <c r="AAY270" s="1"/>
      <c r="AAZ270" s="1"/>
      <c r="ABA270" s="1"/>
      <c r="ABB270" s="1"/>
      <c r="ABC270" s="1"/>
      <c r="ABD270" s="1"/>
      <c r="ABE270" s="1"/>
      <c r="ABF270" s="1"/>
      <c r="ABG270" s="1"/>
      <c r="ABH270" s="1"/>
      <c r="ABI270" s="1"/>
      <c r="ABJ270" s="1"/>
      <c r="ABK270" s="1"/>
      <c r="ABL270" s="1"/>
      <c r="ABM270" s="1"/>
      <c r="ABN270" s="1"/>
      <c r="ABO270" s="1"/>
      <c r="ABP270" s="1"/>
      <c r="ABQ270" s="1"/>
      <c r="ABR270" s="1"/>
      <c r="ABS270" s="1"/>
      <c r="ABT270" s="1"/>
      <c r="ABU270" s="1"/>
      <c r="ABV270" s="1"/>
      <c r="ABW270" s="1"/>
      <c r="ABX270" s="1"/>
      <c r="ABY270" s="1"/>
      <c r="ABZ270" s="1"/>
      <c r="ACA270" s="1"/>
      <c r="ACB270" s="1"/>
      <c r="ACC270" s="1"/>
      <c r="ACD270" s="1"/>
      <c r="ACE270" s="1"/>
      <c r="ACF270" s="1"/>
      <c r="ACG270" s="1"/>
      <c r="ACH270" s="1"/>
      <c r="ACI270" s="1"/>
      <c r="ACJ270" s="1"/>
      <c r="ACK270" s="1"/>
      <c r="ACL270" s="1"/>
      <c r="ACM270" s="1"/>
      <c r="ACN270" s="1"/>
      <c r="ACO270" s="1"/>
      <c r="ACP270" s="1"/>
      <c r="ACQ270" s="1"/>
      <c r="ACR270" s="1"/>
      <c r="ACS270" s="1"/>
      <c r="ACT270" s="1"/>
      <c r="ACU270" s="1"/>
      <c r="ACV270" s="1"/>
      <c r="ACW270" s="1"/>
      <c r="ACX270" s="1"/>
      <c r="ACY270" s="1"/>
      <c r="ACZ270" s="1"/>
      <c r="ADA270" s="1"/>
      <c r="ADB270" s="1"/>
      <c r="ADC270" s="1"/>
      <c r="ADD270" s="1"/>
      <c r="ADE270" s="1"/>
      <c r="ADF270" s="1"/>
      <c r="ADG270" s="1"/>
      <c r="ADH270" s="1"/>
      <c r="ADI270" s="1"/>
      <c r="ADJ270" s="1"/>
      <c r="ADK270" s="1"/>
      <c r="ADL270" s="1"/>
      <c r="ADM270" s="1"/>
      <c r="ADN270" s="1"/>
      <c r="ADO270" s="1"/>
      <c r="ADP270" s="1"/>
      <c r="ADQ270" s="1"/>
      <c r="ADR270" s="1"/>
      <c r="ADS270" s="1"/>
      <c r="ADT270" s="1"/>
      <c r="ADU270" s="1"/>
      <c r="ADV270" s="1"/>
      <c r="ADW270" s="1"/>
      <c r="ADX270" s="1"/>
      <c r="ADY270" s="1"/>
      <c r="ADZ270" s="1"/>
      <c r="AEA270" s="1"/>
      <c r="AEB270" s="1"/>
      <c r="AEC270" s="1"/>
      <c r="AED270" s="1"/>
      <c r="AEE270" s="1"/>
      <c r="AEF270" s="1"/>
      <c r="AEG270" s="1"/>
      <c r="AEH270" s="1"/>
      <c r="AEI270" s="1"/>
      <c r="AEJ270" s="1"/>
      <c r="AEK270" s="1"/>
      <c r="AEL270" s="1"/>
      <c r="AEM270" s="1"/>
      <c r="AEN270" s="1"/>
      <c r="AEO270" s="1"/>
      <c r="AEP270" s="1"/>
      <c r="AEQ270" s="1"/>
      <c r="AER270" s="1"/>
      <c r="AES270" s="1"/>
      <c r="AET270" s="1"/>
      <c r="AEU270" s="1"/>
      <c r="AEV270" s="1"/>
      <c r="AEW270" s="1"/>
      <c r="AEX270" s="1"/>
      <c r="AEY270" s="1"/>
      <c r="AEZ270" s="1"/>
      <c r="AFA270" s="1"/>
      <c r="AFB270" s="1"/>
      <c r="AFC270" s="1"/>
      <c r="AFD270" s="1"/>
      <c r="AFE270" s="1"/>
      <c r="AFF270" s="1"/>
      <c r="AFG270" s="1"/>
      <c r="AFH270" s="1"/>
      <c r="AFI270" s="1"/>
      <c r="AFJ270" s="1"/>
      <c r="AFK270" s="1"/>
      <c r="AFL270" s="1"/>
      <c r="AFM270" s="1"/>
      <c r="AFN270" s="1"/>
      <c r="AFO270" s="1"/>
      <c r="AFP270" s="1"/>
      <c r="AFQ270" s="1"/>
      <c r="AFR270" s="1"/>
      <c r="AFS270" s="1"/>
      <c r="AFT270" s="1"/>
      <c r="AFU270" s="1"/>
      <c r="AFV270" s="1"/>
      <c r="AFW270" s="1"/>
      <c r="AFX270" s="1"/>
      <c r="AFY270" s="1"/>
      <c r="AFZ270" s="1"/>
      <c r="AGA270" s="1"/>
      <c r="AGB270" s="1"/>
      <c r="AGC270" s="1"/>
      <c r="AGD270" s="1"/>
      <c r="AGE270" s="1"/>
      <c r="AGF270" s="1"/>
      <c r="AGG270" s="1"/>
      <c r="AGH270" s="1"/>
      <c r="AGI270" s="1"/>
      <c r="AGJ270" s="1"/>
      <c r="AGK270" s="1"/>
      <c r="AGL270" s="1"/>
      <c r="AGM270" s="1"/>
      <c r="AGN270" s="1"/>
      <c r="AGO270" s="1"/>
      <c r="AGP270" s="1"/>
      <c r="AGQ270" s="1"/>
      <c r="AGR270" s="1"/>
      <c r="AGS270" s="1"/>
      <c r="AGT270" s="1"/>
      <c r="AGU270" s="1"/>
      <c r="AGV270" s="1"/>
      <c r="AGW270" s="1"/>
      <c r="AGX270" s="1"/>
      <c r="AGY270" s="1"/>
      <c r="AGZ270" s="1"/>
      <c r="AHA270" s="1"/>
      <c r="AHB270" s="1"/>
      <c r="AHC270" s="1"/>
      <c r="AHD270" s="1"/>
      <c r="AHE270" s="1"/>
      <c r="AHF270" s="1"/>
      <c r="AHG270" s="1"/>
      <c r="AHH270" s="1"/>
      <c r="AHI270" s="1"/>
      <c r="AHJ270" s="1"/>
      <c r="AHK270" s="1"/>
      <c r="AHL270" s="1"/>
      <c r="AHM270" s="1"/>
      <c r="AHN270" s="1"/>
      <c r="AHO270" s="1"/>
      <c r="AHP270" s="1"/>
      <c r="AHQ270" s="1"/>
      <c r="AHR270" s="1"/>
      <c r="AHS270" s="1"/>
      <c r="AHT270" s="1"/>
      <c r="AHU270" s="1"/>
      <c r="AHV270" s="1"/>
      <c r="AHW270" s="1"/>
      <c r="AHX270" s="1"/>
      <c r="AHY270" s="1"/>
      <c r="AHZ270" s="1"/>
      <c r="AIA270" s="1"/>
      <c r="AIB270" s="1"/>
      <c r="AIC270" s="1"/>
      <c r="AID270" s="1"/>
      <c r="AIE270" s="1"/>
      <c r="AIF270" s="1"/>
      <c r="AIG270" s="1"/>
      <c r="AIH270" s="1"/>
      <c r="AII270" s="1"/>
      <c r="AIJ270" s="1"/>
      <c r="AIK270" s="1"/>
      <c r="AIL270" s="1"/>
      <c r="AIM270" s="1"/>
      <c r="AIN270" s="1"/>
      <c r="AIO270" s="1"/>
      <c r="AIP270" s="1"/>
      <c r="AIQ270" s="1"/>
      <c r="AIR270" s="1"/>
      <c r="AIS270" s="1"/>
      <c r="AIT270" s="1"/>
      <c r="AIU270" s="1"/>
      <c r="AIV270" s="1"/>
      <c r="AIW270" s="1"/>
      <c r="AIX270" s="1"/>
      <c r="AIY270" s="1"/>
      <c r="AIZ270" s="1"/>
      <c r="AJA270" s="1"/>
      <c r="AJB270" s="1"/>
      <c r="AJC270" s="1"/>
      <c r="AJD270" s="1"/>
      <c r="AJE270" s="1"/>
      <c r="AJF270" s="1"/>
      <c r="AJG270" s="1"/>
      <c r="AJH270" s="1"/>
      <c r="AJI270" s="1"/>
      <c r="AJJ270" s="1"/>
      <c r="AJK270" s="1"/>
      <c r="AJL270" s="1"/>
      <c r="AJM270" s="1"/>
      <c r="AJN270" s="1"/>
      <c r="AJO270" s="1"/>
      <c r="AJP270" s="1"/>
      <c r="AJQ270" s="1"/>
      <c r="AJR270" s="1"/>
      <c r="AJS270" s="1"/>
      <c r="AJT270" s="1"/>
      <c r="AJU270" s="1"/>
      <c r="AJV270" s="1"/>
      <c r="AJW270" s="1"/>
      <c r="AJX270" s="1"/>
      <c r="AJY270" s="1"/>
      <c r="AJZ270" s="1"/>
      <c r="AKA270" s="1"/>
      <c r="AKB270" s="1"/>
      <c r="AKC270" s="1"/>
      <c r="AKD270" s="1"/>
      <c r="AKE270" s="1"/>
      <c r="AKF270" s="1"/>
      <c r="AKG270" s="1"/>
      <c r="AKH270" s="1"/>
      <c r="AKI270" s="1"/>
      <c r="AKJ270" s="1"/>
      <c r="AKK270" s="1"/>
      <c r="AKL270" s="1"/>
      <c r="AKM270" s="1"/>
      <c r="AKN270" s="1"/>
      <c r="AKO270" s="1"/>
      <c r="AKP270" s="1"/>
      <c r="AKQ270" s="1"/>
      <c r="AKR270" s="1"/>
      <c r="AKS270" s="1"/>
      <c r="AKT270" s="1"/>
      <c r="AKU270" s="1"/>
      <c r="AKV270" s="1"/>
      <c r="AKW270" s="1"/>
      <c r="AKX270" s="1"/>
      <c r="AKY270" s="1"/>
      <c r="AKZ270" s="1"/>
      <c r="ALA270" s="1"/>
      <c r="ALB270" s="1"/>
      <c r="ALC270" s="1"/>
      <c r="ALD270" s="1"/>
      <c r="ALE270" s="1"/>
      <c r="ALF270" s="1"/>
      <c r="ALG270" s="1"/>
      <c r="ALH270" s="1"/>
      <c r="ALI270" s="1"/>
      <c r="ALJ270" s="1"/>
      <c r="ALK270" s="1"/>
      <c r="ALL270" s="1"/>
      <c r="ALM270" s="1"/>
      <c r="ALN270" s="1"/>
      <c r="ALO270" s="1"/>
      <c r="ALP270" s="1"/>
      <c r="ALQ270" s="1"/>
      <c r="ALR270" s="1"/>
      <c r="ALS270" s="1"/>
      <c r="ALT270" s="1"/>
      <c r="ALU270" s="1"/>
      <c r="ALV270" s="1"/>
      <c r="ALW270" s="1"/>
      <c r="ALX270" s="1"/>
      <c r="ALY270" s="1"/>
      <c r="ALZ270" s="1"/>
      <c r="AMA270" s="1"/>
      <c r="AMB270" s="1"/>
      <c r="AMC270" s="1"/>
      <c r="AMD270" s="1"/>
      <c r="AME270" s="1"/>
      <c r="AMF270" s="1"/>
      <c r="AMG270" s="1"/>
      <c r="AMH270" s="1"/>
      <c r="AMI270" s="1"/>
      <c r="AMJ270" s="1"/>
      <c r="AMK270" s="1"/>
      <c r="AML270" s="1"/>
      <c r="AMM270" s="1"/>
      <c r="AMN270" s="1"/>
      <c r="AMO270" s="1"/>
    </row>
    <row r="271" spans="1:1029" x14ac:dyDescent="0.2">
      <c r="A271" s="3" t="str">
        <f t="shared" si="811"/>
        <v>q9wtk1_cavpo_5X33</v>
      </c>
      <c r="B271" s="3" t="s">
        <v>1463</v>
      </c>
      <c r="C271" s="3" t="s">
        <v>1464</v>
      </c>
      <c r="D271" s="3" t="str">
        <f>IFERROR(MID(VLOOKUP($B271,Seqs!$A:$B,2,0),E271,1),"")</f>
        <v>T</v>
      </c>
      <c r="E271" s="3">
        <v>17</v>
      </c>
      <c r="F271" s="3" t="str">
        <f>IFERROR(MID(VLOOKUP($B271,Seqs!$A:$B,2,0),G271,1),"")</f>
        <v>R</v>
      </c>
      <c r="G271" s="3">
        <v>48</v>
      </c>
      <c r="H271" s="3" t="str">
        <f>IFERROR(MID(VLOOKUP($B271,Seqs!$A:$B,2,0),I271,1),"")</f>
        <v/>
      </c>
      <c r="I271" s="23" t="s">
        <v>23</v>
      </c>
      <c r="J271" s="3" t="str">
        <f>IFERROR(MID(VLOOKUP($B271,Seqs!$A:$B,2,0),K271,1),"")</f>
        <v/>
      </c>
      <c r="K271" s="23" t="s">
        <v>23</v>
      </c>
      <c r="L271" s="3" t="str">
        <f>IFERROR(MID(VLOOKUP($B271,Seqs!$A:$B,2,0),M271,1),"")</f>
        <v>S</v>
      </c>
      <c r="M271" s="3">
        <v>53</v>
      </c>
      <c r="N271" s="3" t="str">
        <f>IFERROR(MID(VLOOKUP($B271,Seqs!$A:$B,2,0),O271,1),"")</f>
        <v>H</v>
      </c>
      <c r="O271" s="3">
        <v>83</v>
      </c>
      <c r="P271" s="3" t="str">
        <f>IFERROR(MID(VLOOKUP($B271,Seqs!$A:$B,2,0),Q271,1),"")</f>
        <v>T</v>
      </c>
      <c r="Q271" s="3">
        <v>84</v>
      </c>
      <c r="R271" s="3" t="str">
        <f>IFERROR(MID(VLOOKUP($B271,Seqs!$A:$B,2,0),S271,1),"")</f>
        <v>F</v>
      </c>
      <c r="S271" s="3">
        <v>87</v>
      </c>
      <c r="T271" s="3" t="str">
        <f>IFERROR(MID(VLOOKUP($B271,Seqs!$A:$B,2,0),U271,1),"")</f>
        <v>K</v>
      </c>
      <c r="U271" s="3">
        <v>88</v>
      </c>
      <c r="V271" s="3" t="str">
        <f>IFERROR(MID(VLOOKUP($B271,Seqs!$A:$B,2,0),W271,1),"")</f>
        <v>S</v>
      </c>
      <c r="W271" s="3">
        <v>123</v>
      </c>
      <c r="X271" s="3" t="str">
        <f>IFERROR(MID(VLOOKUP($B271,Seqs!$A:$B,2,0),Y271,1),"")</f>
        <v>P</v>
      </c>
      <c r="Y271" s="3">
        <v>124</v>
      </c>
      <c r="Z271" s="3" t="str">
        <f>IFERROR(MID(VLOOKUP($B271,Seqs!$A:$B,2,0),AA271,1),"")</f>
        <v>R</v>
      </c>
      <c r="AA271" s="3">
        <v>131</v>
      </c>
      <c r="AB271" s="3" t="str">
        <f>IFERROR(MID(VLOOKUP($B271,Seqs!$A:$B,2,0),AC271,1),"")</f>
        <v>T</v>
      </c>
      <c r="AC271" s="3">
        <v>132</v>
      </c>
      <c r="AD271" s="3" t="str">
        <f>IFERROR(MID(VLOOKUP($B271,Seqs!$A:$B,2,0),AE271,1),"")</f>
        <v>R</v>
      </c>
      <c r="AE271" s="3">
        <v>158</v>
      </c>
      <c r="AF271" s="3" t="str">
        <f>IFERROR(MID(VLOOKUP($B271,Seqs!$A:$B,2,0),AG271,1),"")</f>
        <v>C</v>
      </c>
      <c r="AG271" s="3">
        <v>170</v>
      </c>
      <c r="AH271" s="3" t="str">
        <f>IFERROR(MID(VLOOKUP($B271,Seqs!$A:$B,2,0),AI271,1),"")</f>
        <v>A</v>
      </c>
      <c r="AI271" s="3">
        <v>172</v>
      </c>
      <c r="AJ271" s="3" t="str">
        <f>IFERROR(MID(VLOOKUP($B271,Seqs!$A:$B,2,0),AK271,1),"")</f>
        <v>S</v>
      </c>
      <c r="AK271" s="3">
        <v>176</v>
      </c>
      <c r="AL271" s="3" t="str">
        <f>IFERROR(MID(VLOOKUP($B271,Seqs!$A:$B,2,0),AM271,1),"")</f>
        <v>R</v>
      </c>
      <c r="AM271" s="3">
        <v>213</v>
      </c>
      <c r="AN271" s="3" t="str">
        <f>IFERROR(MID(VLOOKUP($B271,Seqs!$A:$B,2,0),AO271,1),"")</f>
        <v>I</v>
      </c>
      <c r="AO271" s="3">
        <v>227</v>
      </c>
      <c r="AP271" s="3" t="str">
        <f>IFERROR(MID(VLOOKUP($B271,Seqs!$A:$B,2,0),AQ271,1),"")</f>
        <v>R</v>
      </c>
      <c r="AQ271" s="3">
        <v>249</v>
      </c>
      <c r="AR271" s="3" t="str">
        <f>IFERROR(MID(VLOOKUP($B271,Seqs!$A:$B,2,0),AS271,1),"")</f>
        <v>Q</v>
      </c>
      <c r="AS271" s="3">
        <v>261</v>
      </c>
      <c r="AT271" s="3" t="str">
        <f>IFERROR(MID(VLOOKUP($B271,Seqs!$A:$B,2,0),AU271,1),"")</f>
        <v>S</v>
      </c>
      <c r="AU271" s="3">
        <v>278</v>
      </c>
      <c r="AV271" s="3" t="str">
        <f>IFERROR(MID(VLOOKUP($B271,Seqs!$A:$B,2,0),AW271,1),"")</f>
        <v/>
      </c>
      <c r="AW271" s="3" t="s">
        <v>23</v>
      </c>
      <c r="AX271" s="3" t="str">
        <f>IFERROR(MID(VLOOKUP($B271,Seqs!$A:$B,2,0),AY271,1),"")</f>
        <v/>
      </c>
      <c r="AY271" s="3" t="s">
        <v>23</v>
      </c>
      <c r="AZ271" s="77" t="str">
        <f>VLOOKUP(B271,Classification!A:D,2,0)</f>
        <v>A</v>
      </c>
      <c r="BA271" s="94" t="str">
        <f>VLOOKUP(B271,Classification!A:D,4,0)</f>
        <v>Leukotriene</v>
      </c>
      <c r="BB271" s="27" t="b">
        <f t="shared" si="812"/>
        <v>1</v>
      </c>
      <c r="BC271" s="23">
        <f t="shared" si="813"/>
        <v>222</v>
      </c>
      <c r="BD271" s="2" t="s">
        <v>1383</v>
      </c>
      <c r="BE271" s="3" t="s">
        <v>1381</v>
      </c>
      <c r="BF271" s="119">
        <v>3.7</v>
      </c>
      <c r="BG271" s="49" t="s">
        <v>1</v>
      </c>
      <c r="BH271" s="49" t="s">
        <v>1384</v>
      </c>
      <c r="BI271" s="1"/>
      <c r="BJ271" s="70" t="s">
        <v>1293</v>
      </c>
      <c r="BK271" s="57" t="s">
        <v>1293</v>
      </c>
      <c r="BL271" s="57" t="s">
        <v>1293</v>
      </c>
      <c r="BM271" s="57" t="s">
        <v>1293</v>
      </c>
      <c r="BN271" s="57" t="s">
        <v>1293</v>
      </c>
      <c r="BO271" s="57" t="s">
        <v>1293</v>
      </c>
      <c r="BP271" s="57" t="s">
        <v>1293</v>
      </c>
      <c r="BQ271" s="57" t="s">
        <v>1293</v>
      </c>
      <c r="BR271" s="57" t="s">
        <v>1293</v>
      </c>
      <c r="BS271" s="57" t="s">
        <v>1293</v>
      </c>
      <c r="BT271" s="57" t="s">
        <v>1293</v>
      </c>
      <c r="BU271" s="57" t="s">
        <v>1293</v>
      </c>
      <c r="BV271" s="70">
        <f t="shared" si="814"/>
        <v>17</v>
      </c>
      <c r="BW271" s="71" t="str">
        <f t="shared" si="815"/>
        <v>-</v>
      </c>
      <c r="BX271" s="72">
        <f t="shared" si="816"/>
        <v>53</v>
      </c>
      <c r="BY271" s="71">
        <f t="shared" si="817"/>
        <v>84</v>
      </c>
      <c r="BZ271" s="72">
        <f t="shared" si="818"/>
        <v>88</v>
      </c>
      <c r="CA271" s="71">
        <f t="shared" si="819"/>
        <v>124</v>
      </c>
      <c r="CB271" s="72">
        <f t="shared" si="820"/>
        <v>132</v>
      </c>
      <c r="CC271" s="71">
        <f t="shared" si="821"/>
        <v>170</v>
      </c>
      <c r="CD271" s="72">
        <f t="shared" si="822"/>
        <v>176</v>
      </c>
      <c r="CE271" s="71">
        <f t="shared" si="823"/>
        <v>227</v>
      </c>
      <c r="CF271" s="72">
        <f t="shared" si="824"/>
        <v>261</v>
      </c>
      <c r="CG271" s="71" t="str">
        <f t="shared" si="825"/>
        <v>-</v>
      </c>
      <c r="CH271" s="70">
        <f t="shared" si="826"/>
        <v>48</v>
      </c>
      <c r="CI271" s="71" t="str">
        <f t="shared" si="827"/>
        <v>-</v>
      </c>
      <c r="CJ271" s="72">
        <f t="shared" si="828"/>
        <v>83</v>
      </c>
      <c r="CK271" s="72">
        <f t="shared" si="829"/>
        <v>87</v>
      </c>
      <c r="CL271" s="72">
        <f t="shared" si="830"/>
        <v>123</v>
      </c>
      <c r="CM271" s="72">
        <f t="shared" si="831"/>
        <v>131</v>
      </c>
      <c r="CN271" s="72">
        <f t="shared" si="832"/>
        <v>158</v>
      </c>
      <c r="CO271" s="72">
        <f t="shared" si="833"/>
        <v>172</v>
      </c>
      <c r="CP271" s="72">
        <f t="shared" si="834"/>
        <v>213</v>
      </c>
      <c r="CQ271" s="72">
        <f t="shared" si="835"/>
        <v>249</v>
      </c>
      <c r="CR271" s="72">
        <f t="shared" si="836"/>
        <v>278</v>
      </c>
      <c r="CS271" s="72" t="str">
        <f t="shared" si="837"/>
        <v>-</v>
      </c>
      <c r="CT271" s="23" t="e">
        <f t="shared" si="838"/>
        <v>#VALUE!</v>
      </c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  <c r="OK271" s="1"/>
      <c r="OL271" s="1"/>
      <c r="OM271" s="1"/>
      <c r="ON271" s="1"/>
      <c r="OO271" s="1"/>
      <c r="OP271" s="1"/>
      <c r="OQ271" s="1"/>
      <c r="OR271" s="1"/>
      <c r="OS271" s="1"/>
      <c r="OT271" s="1"/>
      <c r="OU271" s="1"/>
      <c r="OV271" s="1"/>
      <c r="OW271" s="1"/>
      <c r="OX271" s="1"/>
      <c r="OY271" s="1"/>
      <c r="OZ271" s="1"/>
      <c r="PA271" s="1"/>
      <c r="PB271" s="1"/>
      <c r="PC271" s="1"/>
      <c r="PD271" s="1"/>
      <c r="PE271" s="1"/>
      <c r="PF271" s="1"/>
      <c r="PG271" s="1"/>
      <c r="PH271" s="1"/>
      <c r="PI271" s="1"/>
      <c r="PJ271" s="1"/>
      <c r="PK271" s="1"/>
      <c r="PL271" s="1"/>
      <c r="PM271" s="1"/>
      <c r="PN271" s="1"/>
      <c r="PO271" s="1"/>
      <c r="PP271" s="1"/>
      <c r="PQ271" s="1"/>
      <c r="PR271" s="1"/>
      <c r="PS271" s="1"/>
      <c r="PT271" s="1"/>
      <c r="PU271" s="1"/>
      <c r="PV271" s="1"/>
      <c r="PW271" s="1"/>
      <c r="PX271" s="1"/>
      <c r="PY271" s="1"/>
      <c r="PZ271" s="1"/>
      <c r="QA271" s="1"/>
      <c r="QB271" s="1"/>
      <c r="QC271" s="1"/>
      <c r="QD271" s="1"/>
      <c r="QE271" s="1"/>
      <c r="QF271" s="1"/>
      <c r="QG271" s="1"/>
      <c r="QH271" s="1"/>
      <c r="QI271" s="1"/>
      <c r="QJ271" s="1"/>
      <c r="QK271" s="1"/>
      <c r="QL271" s="1"/>
      <c r="QM271" s="1"/>
      <c r="QN271" s="1"/>
      <c r="QO271" s="1"/>
      <c r="QP271" s="1"/>
      <c r="QQ271" s="1"/>
      <c r="QR271" s="1"/>
      <c r="QS271" s="1"/>
      <c r="QT271" s="1"/>
      <c r="QU271" s="1"/>
      <c r="QV271" s="1"/>
      <c r="QW271" s="1"/>
      <c r="QX271" s="1"/>
      <c r="QY271" s="1"/>
      <c r="QZ271" s="1"/>
      <c r="RA271" s="1"/>
      <c r="RB271" s="1"/>
      <c r="RC271" s="1"/>
      <c r="RD271" s="1"/>
      <c r="RE271" s="1"/>
      <c r="RF271" s="1"/>
      <c r="RG271" s="1"/>
      <c r="RH271" s="1"/>
      <c r="RI271" s="1"/>
      <c r="RJ271" s="1"/>
      <c r="RK271" s="1"/>
      <c r="RL271" s="1"/>
      <c r="RM271" s="1"/>
      <c r="RN271" s="1"/>
      <c r="RO271" s="1"/>
      <c r="RP271" s="1"/>
      <c r="RQ271" s="1"/>
      <c r="RR271" s="1"/>
      <c r="RS271" s="1"/>
      <c r="RT271" s="1"/>
      <c r="RU271" s="1"/>
      <c r="RV271" s="1"/>
      <c r="RW271" s="1"/>
      <c r="RX271" s="1"/>
      <c r="RY271" s="1"/>
      <c r="RZ271" s="1"/>
      <c r="SA271" s="1"/>
      <c r="SB271" s="1"/>
      <c r="SC271" s="1"/>
      <c r="SD271" s="1"/>
      <c r="SE271" s="1"/>
      <c r="SF271" s="1"/>
      <c r="SG271" s="1"/>
      <c r="SH271" s="1"/>
      <c r="SI271" s="1"/>
      <c r="SJ271" s="1"/>
      <c r="SK271" s="1"/>
      <c r="SL271" s="1"/>
      <c r="SM271" s="1"/>
      <c r="SN271" s="1"/>
      <c r="SO271" s="1"/>
      <c r="SP271" s="1"/>
      <c r="SQ271" s="1"/>
      <c r="SR271" s="1"/>
      <c r="SS271" s="1"/>
      <c r="ST271" s="1"/>
      <c r="SU271" s="1"/>
      <c r="SV271" s="1"/>
      <c r="SW271" s="1"/>
      <c r="SX271" s="1"/>
      <c r="SY271" s="1"/>
      <c r="SZ271" s="1"/>
      <c r="TA271" s="1"/>
      <c r="TB271" s="1"/>
      <c r="TC271" s="1"/>
      <c r="TD271" s="1"/>
      <c r="TE271" s="1"/>
      <c r="TF271" s="1"/>
      <c r="TG271" s="1"/>
      <c r="TH271" s="1"/>
      <c r="TI271" s="1"/>
      <c r="TJ271" s="1"/>
      <c r="TK271" s="1"/>
      <c r="TL271" s="1"/>
      <c r="TM271" s="1"/>
      <c r="TN271" s="1"/>
      <c r="TO271" s="1"/>
      <c r="TP271" s="1"/>
      <c r="TQ271" s="1"/>
      <c r="TR271" s="1"/>
      <c r="TS271" s="1"/>
      <c r="TT271" s="1"/>
      <c r="TU271" s="1"/>
      <c r="TV271" s="1"/>
      <c r="TW271" s="1"/>
      <c r="TX271" s="1"/>
      <c r="TY271" s="1"/>
      <c r="TZ271" s="1"/>
      <c r="UA271" s="1"/>
      <c r="UB271" s="1"/>
      <c r="UC271" s="1"/>
      <c r="UD271" s="1"/>
      <c r="UE271" s="1"/>
      <c r="UF271" s="1"/>
      <c r="UG271" s="1"/>
      <c r="UH271" s="1"/>
      <c r="UI271" s="1"/>
      <c r="UJ271" s="1"/>
      <c r="UK271" s="1"/>
      <c r="UL271" s="1"/>
      <c r="UM271" s="1"/>
      <c r="UN271" s="1"/>
      <c r="UO271" s="1"/>
      <c r="UP271" s="1"/>
      <c r="UQ271" s="1"/>
      <c r="UR271" s="1"/>
      <c r="US271" s="1"/>
      <c r="UT271" s="1"/>
      <c r="UU271" s="1"/>
      <c r="UV271" s="1"/>
      <c r="UW271" s="1"/>
      <c r="UX271" s="1"/>
      <c r="UY271" s="1"/>
      <c r="UZ271" s="1"/>
      <c r="VA271" s="1"/>
      <c r="VB271" s="1"/>
      <c r="VC271" s="1"/>
      <c r="VD271" s="1"/>
      <c r="VE271" s="1"/>
      <c r="VF271" s="1"/>
      <c r="VG271" s="1"/>
      <c r="VH271" s="1"/>
      <c r="VI271" s="1"/>
      <c r="VJ271" s="1"/>
      <c r="VK271" s="1"/>
      <c r="VL271" s="1"/>
      <c r="VM271" s="1"/>
      <c r="VN271" s="1"/>
      <c r="VO271" s="1"/>
      <c r="VP271" s="1"/>
      <c r="VQ271" s="1"/>
      <c r="VR271" s="1"/>
      <c r="VS271" s="1"/>
      <c r="VT271" s="1"/>
      <c r="VU271" s="1"/>
      <c r="VV271" s="1"/>
      <c r="VW271" s="1"/>
      <c r="VX271" s="1"/>
      <c r="VY271" s="1"/>
      <c r="VZ271" s="1"/>
      <c r="WA271" s="1"/>
      <c r="WB271" s="1"/>
      <c r="WC271" s="1"/>
      <c r="WD271" s="1"/>
      <c r="WE271" s="1"/>
      <c r="WF271" s="1"/>
      <c r="WG271" s="1"/>
      <c r="WH271" s="1"/>
      <c r="WI271" s="1"/>
      <c r="WJ271" s="1"/>
      <c r="WK271" s="1"/>
      <c r="WL271" s="1"/>
      <c r="WM271" s="1"/>
      <c r="WN271" s="1"/>
      <c r="WO271" s="1"/>
      <c r="WP271" s="1"/>
      <c r="WQ271" s="1"/>
      <c r="WR271" s="1"/>
      <c r="WS271" s="1"/>
      <c r="WT271" s="1"/>
      <c r="WU271" s="1"/>
      <c r="WV271" s="1"/>
      <c r="WW271" s="1"/>
      <c r="WX271" s="1"/>
      <c r="WY271" s="1"/>
      <c r="WZ271" s="1"/>
      <c r="XA271" s="1"/>
      <c r="XB271" s="1"/>
      <c r="XC271" s="1"/>
      <c r="XD271" s="1"/>
      <c r="XE271" s="1"/>
      <c r="XF271" s="1"/>
      <c r="XG271" s="1"/>
      <c r="XH271" s="1"/>
      <c r="XI271" s="1"/>
      <c r="XJ271" s="1"/>
      <c r="XK271" s="1"/>
      <c r="XL271" s="1"/>
      <c r="XM271" s="1"/>
      <c r="XN271" s="1"/>
      <c r="XO271" s="1"/>
      <c r="XP271" s="1"/>
      <c r="XQ271" s="1"/>
      <c r="XR271" s="1"/>
      <c r="XS271" s="1"/>
      <c r="XT271" s="1"/>
      <c r="XU271" s="1"/>
      <c r="XV271" s="1"/>
      <c r="XW271" s="1"/>
      <c r="XX271" s="1"/>
      <c r="XY271" s="1"/>
      <c r="XZ271" s="1"/>
      <c r="YA271" s="1"/>
      <c r="YB271" s="1"/>
      <c r="YC271" s="1"/>
      <c r="YD271" s="1"/>
      <c r="YE271" s="1"/>
      <c r="YF271" s="1"/>
      <c r="YG271" s="1"/>
      <c r="YH271" s="1"/>
      <c r="YI271" s="1"/>
      <c r="YJ271" s="1"/>
      <c r="YK271" s="1"/>
      <c r="YL271" s="1"/>
      <c r="YM271" s="1"/>
      <c r="YN271" s="1"/>
      <c r="YO271" s="1"/>
      <c r="YP271" s="1"/>
      <c r="YQ271" s="1"/>
      <c r="YR271" s="1"/>
      <c r="YS271" s="1"/>
      <c r="YT271" s="1"/>
      <c r="YU271" s="1"/>
      <c r="YV271" s="1"/>
      <c r="YW271" s="1"/>
      <c r="YX271" s="1"/>
      <c r="YY271" s="1"/>
      <c r="YZ271" s="1"/>
      <c r="ZA271" s="1"/>
      <c r="ZB271" s="1"/>
      <c r="ZC271" s="1"/>
      <c r="ZD271" s="1"/>
      <c r="ZE271" s="1"/>
      <c r="ZF271" s="1"/>
      <c r="ZG271" s="1"/>
      <c r="ZH271" s="1"/>
      <c r="ZI271" s="1"/>
      <c r="ZJ271" s="1"/>
      <c r="ZK271" s="1"/>
      <c r="ZL271" s="1"/>
      <c r="ZM271" s="1"/>
      <c r="ZN271" s="1"/>
      <c r="ZO271" s="1"/>
      <c r="ZP271" s="1"/>
      <c r="ZQ271" s="1"/>
      <c r="ZR271" s="1"/>
      <c r="ZS271" s="1"/>
      <c r="ZT271" s="1"/>
      <c r="ZU271" s="1"/>
      <c r="ZV271" s="1"/>
      <c r="ZW271" s="1"/>
      <c r="ZX271" s="1"/>
      <c r="ZY271" s="1"/>
      <c r="ZZ271" s="1"/>
      <c r="AAA271" s="1"/>
      <c r="AAB271" s="1"/>
      <c r="AAC271" s="1"/>
      <c r="AAD271" s="1"/>
      <c r="AAE271" s="1"/>
      <c r="AAF271" s="1"/>
      <c r="AAG271" s="1"/>
      <c r="AAH271" s="1"/>
      <c r="AAI271" s="1"/>
      <c r="AAJ271" s="1"/>
      <c r="AAK271" s="1"/>
      <c r="AAL271" s="1"/>
      <c r="AAM271" s="1"/>
      <c r="AAN271" s="1"/>
      <c r="AAO271" s="1"/>
      <c r="AAP271" s="1"/>
      <c r="AAQ271" s="1"/>
      <c r="AAR271" s="1"/>
      <c r="AAS271" s="1"/>
      <c r="AAT271" s="1"/>
      <c r="AAU271" s="1"/>
      <c r="AAV271" s="1"/>
      <c r="AAW271" s="1"/>
      <c r="AAX271" s="1"/>
      <c r="AAY271" s="1"/>
      <c r="AAZ271" s="1"/>
      <c r="ABA271" s="1"/>
      <c r="ABB271" s="1"/>
      <c r="ABC271" s="1"/>
      <c r="ABD271" s="1"/>
      <c r="ABE271" s="1"/>
      <c r="ABF271" s="1"/>
      <c r="ABG271" s="1"/>
      <c r="ABH271" s="1"/>
      <c r="ABI271" s="1"/>
      <c r="ABJ271" s="1"/>
      <c r="ABK271" s="1"/>
      <c r="ABL271" s="1"/>
      <c r="ABM271" s="1"/>
      <c r="ABN271" s="1"/>
      <c r="ABO271" s="1"/>
      <c r="ABP271" s="1"/>
      <c r="ABQ271" s="1"/>
      <c r="ABR271" s="1"/>
      <c r="ABS271" s="1"/>
      <c r="ABT271" s="1"/>
      <c r="ABU271" s="1"/>
      <c r="ABV271" s="1"/>
      <c r="ABW271" s="1"/>
      <c r="ABX271" s="1"/>
      <c r="ABY271" s="1"/>
      <c r="ABZ271" s="1"/>
      <c r="ACA271" s="1"/>
      <c r="ACB271" s="1"/>
      <c r="ACC271" s="1"/>
      <c r="ACD271" s="1"/>
      <c r="ACE271" s="1"/>
      <c r="ACF271" s="1"/>
      <c r="ACG271" s="1"/>
      <c r="ACH271" s="1"/>
      <c r="ACI271" s="1"/>
      <c r="ACJ271" s="1"/>
      <c r="ACK271" s="1"/>
      <c r="ACL271" s="1"/>
      <c r="ACM271" s="1"/>
      <c r="ACN271" s="1"/>
      <c r="ACO271" s="1"/>
      <c r="ACP271" s="1"/>
      <c r="ACQ271" s="1"/>
      <c r="ACR271" s="1"/>
      <c r="ACS271" s="1"/>
      <c r="ACT271" s="1"/>
      <c r="ACU271" s="1"/>
      <c r="ACV271" s="1"/>
      <c r="ACW271" s="1"/>
      <c r="ACX271" s="1"/>
      <c r="ACY271" s="1"/>
      <c r="ACZ271" s="1"/>
      <c r="ADA271" s="1"/>
      <c r="ADB271" s="1"/>
      <c r="ADC271" s="1"/>
      <c r="ADD271" s="1"/>
      <c r="ADE271" s="1"/>
      <c r="ADF271" s="1"/>
      <c r="ADG271" s="1"/>
      <c r="ADH271" s="1"/>
      <c r="ADI271" s="1"/>
      <c r="ADJ271" s="1"/>
      <c r="ADK271" s="1"/>
      <c r="ADL271" s="1"/>
      <c r="ADM271" s="1"/>
      <c r="ADN271" s="1"/>
      <c r="ADO271" s="1"/>
      <c r="ADP271" s="1"/>
      <c r="ADQ271" s="1"/>
      <c r="ADR271" s="1"/>
      <c r="ADS271" s="1"/>
      <c r="ADT271" s="1"/>
      <c r="ADU271" s="1"/>
      <c r="ADV271" s="1"/>
      <c r="ADW271" s="1"/>
      <c r="ADX271" s="1"/>
      <c r="ADY271" s="1"/>
      <c r="ADZ271" s="1"/>
      <c r="AEA271" s="1"/>
      <c r="AEB271" s="1"/>
      <c r="AEC271" s="1"/>
      <c r="AED271" s="1"/>
      <c r="AEE271" s="1"/>
      <c r="AEF271" s="1"/>
      <c r="AEG271" s="1"/>
      <c r="AEH271" s="1"/>
      <c r="AEI271" s="1"/>
      <c r="AEJ271" s="1"/>
      <c r="AEK271" s="1"/>
      <c r="AEL271" s="1"/>
      <c r="AEM271" s="1"/>
      <c r="AEN271" s="1"/>
      <c r="AEO271" s="1"/>
      <c r="AEP271" s="1"/>
      <c r="AEQ271" s="1"/>
      <c r="AER271" s="1"/>
      <c r="AES271" s="1"/>
      <c r="AET271" s="1"/>
      <c r="AEU271" s="1"/>
      <c r="AEV271" s="1"/>
      <c r="AEW271" s="1"/>
      <c r="AEX271" s="1"/>
      <c r="AEY271" s="1"/>
      <c r="AEZ271" s="1"/>
      <c r="AFA271" s="1"/>
      <c r="AFB271" s="1"/>
      <c r="AFC271" s="1"/>
      <c r="AFD271" s="1"/>
      <c r="AFE271" s="1"/>
      <c r="AFF271" s="1"/>
      <c r="AFG271" s="1"/>
      <c r="AFH271" s="1"/>
      <c r="AFI271" s="1"/>
      <c r="AFJ271" s="1"/>
      <c r="AFK271" s="1"/>
      <c r="AFL271" s="1"/>
      <c r="AFM271" s="1"/>
      <c r="AFN271" s="1"/>
      <c r="AFO271" s="1"/>
      <c r="AFP271" s="1"/>
      <c r="AFQ271" s="1"/>
      <c r="AFR271" s="1"/>
      <c r="AFS271" s="1"/>
      <c r="AFT271" s="1"/>
      <c r="AFU271" s="1"/>
      <c r="AFV271" s="1"/>
      <c r="AFW271" s="1"/>
      <c r="AFX271" s="1"/>
      <c r="AFY271" s="1"/>
      <c r="AFZ271" s="1"/>
      <c r="AGA271" s="1"/>
      <c r="AGB271" s="1"/>
      <c r="AGC271" s="1"/>
      <c r="AGD271" s="1"/>
      <c r="AGE271" s="1"/>
      <c r="AGF271" s="1"/>
      <c r="AGG271" s="1"/>
      <c r="AGH271" s="1"/>
      <c r="AGI271" s="1"/>
      <c r="AGJ271" s="1"/>
      <c r="AGK271" s="1"/>
      <c r="AGL271" s="1"/>
      <c r="AGM271" s="1"/>
      <c r="AGN271" s="1"/>
      <c r="AGO271" s="1"/>
      <c r="AGP271" s="1"/>
      <c r="AGQ271" s="1"/>
      <c r="AGR271" s="1"/>
      <c r="AGS271" s="1"/>
      <c r="AGT271" s="1"/>
      <c r="AGU271" s="1"/>
      <c r="AGV271" s="1"/>
      <c r="AGW271" s="1"/>
      <c r="AGX271" s="1"/>
      <c r="AGY271" s="1"/>
      <c r="AGZ271" s="1"/>
      <c r="AHA271" s="1"/>
      <c r="AHB271" s="1"/>
      <c r="AHC271" s="1"/>
      <c r="AHD271" s="1"/>
      <c r="AHE271" s="1"/>
      <c r="AHF271" s="1"/>
      <c r="AHG271" s="1"/>
      <c r="AHH271" s="1"/>
      <c r="AHI271" s="1"/>
      <c r="AHJ271" s="1"/>
      <c r="AHK271" s="1"/>
      <c r="AHL271" s="1"/>
      <c r="AHM271" s="1"/>
      <c r="AHN271" s="1"/>
      <c r="AHO271" s="1"/>
      <c r="AHP271" s="1"/>
      <c r="AHQ271" s="1"/>
      <c r="AHR271" s="1"/>
      <c r="AHS271" s="1"/>
      <c r="AHT271" s="1"/>
      <c r="AHU271" s="1"/>
      <c r="AHV271" s="1"/>
      <c r="AHW271" s="1"/>
      <c r="AHX271" s="1"/>
      <c r="AHY271" s="1"/>
      <c r="AHZ271" s="1"/>
      <c r="AIA271" s="1"/>
      <c r="AIB271" s="1"/>
      <c r="AIC271" s="1"/>
      <c r="AID271" s="1"/>
      <c r="AIE271" s="1"/>
      <c r="AIF271" s="1"/>
      <c r="AIG271" s="1"/>
      <c r="AIH271" s="1"/>
      <c r="AII271" s="1"/>
      <c r="AIJ271" s="1"/>
      <c r="AIK271" s="1"/>
      <c r="AIL271" s="1"/>
      <c r="AIM271" s="1"/>
      <c r="AIN271" s="1"/>
      <c r="AIO271" s="1"/>
      <c r="AIP271" s="1"/>
      <c r="AIQ271" s="1"/>
      <c r="AIR271" s="1"/>
      <c r="AIS271" s="1"/>
      <c r="AIT271" s="1"/>
      <c r="AIU271" s="1"/>
      <c r="AIV271" s="1"/>
      <c r="AIW271" s="1"/>
      <c r="AIX271" s="1"/>
      <c r="AIY271" s="1"/>
      <c r="AIZ271" s="1"/>
      <c r="AJA271" s="1"/>
      <c r="AJB271" s="1"/>
      <c r="AJC271" s="1"/>
      <c r="AJD271" s="1"/>
      <c r="AJE271" s="1"/>
      <c r="AJF271" s="1"/>
      <c r="AJG271" s="1"/>
      <c r="AJH271" s="1"/>
      <c r="AJI271" s="1"/>
      <c r="AJJ271" s="1"/>
      <c r="AJK271" s="1"/>
      <c r="AJL271" s="1"/>
      <c r="AJM271" s="1"/>
      <c r="AJN271" s="1"/>
      <c r="AJO271" s="1"/>
      <c r="AJP271" s="1"/>
      <c r="AJQ271" s="1"/>
      <c r="AJR271" s="1"/>
      <c r="AJS271" s="1"/>
      <c r="AJT271" s="1"/>
      <c r="AJU271" s="1"/>
      <c r="AJV271" s="1"/>
      <c r="AJW271" s="1"/>
      <c r="AJX271" s="1"/>
      <c r="AJY271" s="1"/>
      <c r="AJZ271" s="1"/>
      <c r="AKA271" s="1"/>
      <c r="AKB271" s="1"/>
      <c r="AKC271" s="1"/>
      <c r="AKD271" s="1"/>
      <c r="AKE271" s="1"/>
      <c r="AKF271" s="1"/>
      <c r="AKG271" s="1"/>
      <c r="AKH271" s="1"/>
      <c r="AKI271" s="1"/>
      <c r="AKJ271" s="1"/>
      <c r="AKK271" s="1"/>
      <c r="AKL271" s="1"/>
      <c r="AKM271" s="1"/>
      <c r="AKN271" s="1"/>
      <c r="AKO271" s="1"/>
      <c r="AKP271" s="1"/>
      <c r="AKQ271" s="1"/>
      <c r="AKR271" s="1"/>
      <c r="AKS271" s="1"/>
      <c r="AKT271" s="1"/>
      <c r="AKU271" s="1"/>
      <c r="AKV271" s="1"/>
      <c r="AKW271" s="1"/>
      <c r="AKX271" s="1"/>
      <c r="AKY271" s="1"/>
      <c r="AKZ271" s="1"/>
      <c r="ALA271" s="1"/>
      <c r="ALB271" s="1"/>
      <c r="ALC271" s="1"/>
      <c r="ALD271" s="1"/>
      <c r="ALE271" s="1"/>
      <c r="ALF271" s="1"/>
      <c r="ALG271" s="1"/>
      <c r="ALH271" s="1"/>
      <c r="ALI271" s="1"/>
      <c r="ALJ271" s="1"/>
      <c r="ALK271" s="1"/>
      <c r="ALL271" s="1"/>
      <c r="ALM271" s="1"/>
      <c r="ALN271" s="1"/>
      <c r="ALO271" s="1"/>
      <c r="ALP271" s="1"/>
      <c r="ALQ271" s="1"/>
      <c r="ALR271" s="1"/>
      <c r="ALS271" s="1"/>
      <c r="ALT271" s="1"/>
      <c r="ALU271" s="1"/>
      <c r="ALV271" s="1"/>
      <c r="ALW271" s="1"/>
      <c r="ALX271" s="1"/>
      <c r="ALY271" s="1"/>
      <c r="ALZ271" s="1"/>
      <c r="AMA271" s="1"/>
      <c r="AMB271" s="1"/>
      <c r="AMC271" s="1"/>
      <c r="AMD271" s="1"/>
      <c r="AME271" s="1"/>
      <c r="AMF271" s="1"/>
      <c r="AMG271" s="1"/>
      <c r="AMH271" s="1"/>
      <c r="AMI271" s="1"/>
      <c r="AMJ271" s="1"/>
      <c r="AMK271" s="1"/>
      <c r="AML271" s="1"/>
      <c r="AMM271" s="1"/>
      <c r="AMN271" s="1"/>
      <c r="AMO271" s="1"/>
    </row>
    <row r="272" spans="1:1029" x14ac:dyDescent="0.2">
      <c r="A272" s="3" t="str">
        <f t="shared" si="753"/>
        <v>s1pr1_human__wt</v>
      </c>
      <c r="B272" s="3" t="s">
        <v>104</v>
      </c>
      <c r="C272" s="3" t="s">
        <v>100</v>
      </c>
      <c r="D272" s="3" t="str">
        <f>IFERROR(MID(VLOOKUP($B272,Seqs!$A:$B,2,0),E272,1),"")</f>
        <v>E</v>
      </c>
      <c r="E272" s="3">
        <v>42</v>
      </c>
      <c r="F272" s="3" t="str">
        <f>IFERROR(MID(VLOOKUP($B272,Seqs!$A:$B,2,0),G272,1),"")</f>
        <v>T</v>
      </c>
      <c r="G272" s="3">
        <v>73</v>
      </c>
      <c r="H272" s="3" t="str">
        <f>IFERROR(MID(VLOOKUP($B272,Seqs!$A:$B,2,0),I272,1),"")</f>
        <v>K</v>
      </c>
      <c r="I272" s="23">
        <v>74</v>
      </c>
      <c r="J272" s="3" t="str">
        <f>IFERROR(MID(VLOOKUP($B272,Seqs!$A:$B,2,0),K272,1),"")</f>
        <v>H</v>
      </c>
      <c r="K272" s="23">
        <v>77</v>
      </c>
      <c r="L272" s="3" t="str">
        <f>IFERROR(MID(VLOOKUP($B272,Seqs!$A:$B,2,0),M272,1),"")</f>
        <v>R</v>
      </c>
      <c r="M272" s="3">
        <v>78</v>
      </c>
      <c r="N272" s="3" t="str">
        <f>IFERROR(MID(VLOOKUP($B272,Seqs!$A:$B,2,0),O272,1),"")</f>
        <v>L</v>
      </c>
      <c r="O272" s="3">
        <v>104</v>
      </c>
      <c r="P272" s="3" t="str">
        <f>IFERROR(MID(VLOOKUP($B272,Seqs!$A:$B,2,0),Q272,1),"")</f>
        <v>G</v>
      </c>
      <c r="Q272" s="3">
        <v>106</v>
      </c>
      <c r="R272" s="3" t="str">
        <f>IFERROR(MID(VLOOKUP($B272,Seqs!$A:$B,2,0),S272,1),"")</f>
        <v>L</v>
      </c>
      <c r="S272" s="3">
        <v>112</v>
      </c>
      <c r="T272" s="3" t="str">
        <f>IFERROR(MID(VLOOKUP($B272,Seqs!$A:$B,2,0),U272,1),"")</f>
        <v>T</v>
      </c>
      <c r="U272" s="3">
        <v>113</v>
      </c>
      <c r="V272" s="3" t="str">
        <f>IFERROR(MID(VLOOKUP($B272,Seqs!$A:$B,2,0),W272,1),"")</f>
        <v>K</v>
      </c>
      <c r="W272" s="105">
        <v>148</v>
      </c>
      <c r="X272" s="3" t="str">
        <f>IFERROR(MID(VLOOKUP($B272,Seqs!$A:$B,2,0),Y272,1),"")</f>
        <v>M</v>
      </c>
      <c r="Y272" s="105">
        <v>149</v>
      </c>
      <c r="Z272" s="3" t="str">
        <f>IFERROR(MID(VLOOKUP($B272,Seqs!$A:$B,2,0),AA272,1),"")</f>
        <v>S</v>
      </c>
      <c r="AA272" s="105">
        <v>155</v>
      </c>
      <c r="AB272" s="3" t="str">
        <f>IFERROR(MID(VLOOKUP($B272,Seqs!$A:$B,2,0),AC272,1),"")</f>
        <v>N</v>
      </c>
      <c r="AC272" s="105">
        <v>156</v>
      </c>
      <c r="AD272" s="3" t="str">
        <f>IFERROR(MID(VLOOKUP($B272,Seqs!$A:$B,2,0),AE272,1),"")</f>
        <v>G</v>
      </c>
      <c r="AE272" s="3">
        <v>181</v>
      </c>
      <c r="AF272" s="3" t="str">
        <f>IFERROR(MID(VLOOKUP($B272,Seqs!$A:$B,2,0),AG272,1),"")</f>
        <v/>
      </c>
      <c r="AG272" s="3" t="s">
        <v>23</v>
      </c>
      <c r="AH272" s="3" t="str">
        <f>IFERROR(MID(VLOOKUP($B272,Seqs!$A:$B,2,0),AI272,1),"")</f>
        <v/>
      </c>
      <c r="AI272" s="3" t="s">
        <v>23</v>
      </c>
      <c r="AJ272" s="3" t="str">
        <f>IFERROR(MID(VLOOKUP($B272,Seqs!$A:$B,2,0),AK272,1),"")</f>
        <v>H</v>
      </c>
      <c r="AK272" s="3">
        <v>199</v>
      </c>
      <c r="AL272" s="3" t="str">
        <f>IFERROR(MID(VLOOKUP($B272,Seqs!$A:$B,2,0),AM272,1),"")</f>
        <v>T</v>
      </c>
      <c r="AM272" s="3">
        <v>236</v>
      </c>
      <c r="AN272" s="3" t="str">
        <f>IFERROR(MID(VLOOKUP($B272,Seqs!$A:$B,2,0),AO272,1),"")</f>
        <v>S</v>
      </c>
      <c r="AO272" s="3">
        <v>245</v>
      </c>
      <c r="AP272" s="3" t="str">
        <f>IFERROR(MID(VLOOKUP($B272,Seqs!$A:$B,2,0),AQ272,1),"")</f>
        <v>C</v>
      </c>
      <c r="AQ272" s="3">
        <v>282</v>
      </c>
      <c r="AR272" s="3" t="str">
        <f>IFERROR(MID(VLOOKUP($B272,Seqs!$A:$B,2,0),AS272,1),"")</f>
        <v>D</v>
      </c>
      <c r="AS272" s="3">
        <v>288</v>
      </c>
      <c r="AT272" s="3" t="str">
        <f>IFERROR(MID(VLOOKUP($B272,Seqs!$A:$B,2,0),AU272,1),"")</f>
        <v>T</v>
      </c>
      <c r="AU272" s="3">
        <v>314</v>
      </c>
      <c r="AV272" s="3" t="str">
        <f>IFERROR(MID(VLOOKUP($B272,Seqs!$A:$B,2,0),AW272,1),"")</f>
        <v>N</v>
      </c>
      <c r="AW272" s="3">
        <v>315</v>
      </c>
      <c r="AX272" s="3" t="str">
        <f>IFERROR(MID(VLOOKUP($B272,Seqs!$A:$B,2,0),AY272,1),"")</f>
        <v>S</v>
      </c>
      <c r="AY272" s="3">
        <v>327</v>
      </c>
      <c r="AZ272" s="77" t="str">
        <f>VLOOKUP(B272,Classification!A:D,2,0)</f>
        <v>A</v>
      </c>
      <c r="BA272" s="94" t="str">
        <f>VLOOKUP(B272,Classification!A:D,4,0)</f>
        <v>Lysophospholipid(S1P)</v>
      </c>
      <c r="BB272" s="27" t="b">
        <f t="shared" si="754"/>
        <v>1</v>
      </c>
      <c r="BC272" s="23">
        <f t="shared" si="727"/>
        <v>256</v>
      </c>
      <c r="BD272" s="56" t="s">
        <v>1379</v>
      </c>
      <c r="BE272" s="3" t="s">
        <v>23</v>
      </c>
      <c r="BF272" s="119" t="s">
        <v>23</v>
      </c>
      <c r="BG272" s="49" t="s">
        <v>1379</v>
      </c>
      <c r="BH272" s="49" t="s">
        <v>1384</v>
      </c>
      <c r="BI272" s="1"/>
      <c r="BJ272" s="70" t="s">
        <v>1293</v>
      </c>
      <c r="BK272" s="57" t="s">
        <v>1293</v>
      </c>
      <c r="BL272" s="57" t="s">
        <v>1293</v>
      </c>
      <c r="BM272" s="57" t="s">
        <v>1293</v>
      </c>
      <c r="BN272" s="57" t="s">
        <v>1293</v>
      </c>
      <c r="BO272" s="57" t="s">
        <v>1293</v>
      </c>
      <c r="BP272" s="57" t="s">
        <v>1293</v>
      </c>
      <c r="BQ272" s="57" t="s">
        <v>1293</v>
      </c>
      <c r="BR272" s="57" t="s">
        <v>1293</v>
      </c>
      <c r="BS272" s="57" t="s">
        <v>1293</v>
      </c>
      <c r="BT272" s="57" t="s">
        <v>1293</v>
      </c>
      <c r="BU272" s="57" t="s">
        <v>1293</v>
      </c>
      <c r="BV272" s="70">
        <f t="shared" si="728"/>
        <v>42</v>
      </c>
      <c r="BW272" s="71">
        <f t="shared" si="729"/>
        <v>74</v>
      </c>
      <c r="BX272" s="72">
        <f t="shared" si="730"/>
        <v>78</v>
      </c>
      <c r="BY272" s="71">
        <f t="shared" si="731"/>
        <v>106</v>
      </c>
      <c r="BZ272" s="72">
        <f t="shared" si="732"/>
        <v>113</v>
      </c>
      <c r="CA272" s="71">
        <f t="shared" si="733"/>
        <v>149</v>
      </c>
      <c r="CB272" s="72">
        <f t="shared" si="734"/>
        <v>156</v>
      </c>
      <c r="CC272" s="71" t="str">
        <f t="shared" si="735"/>
        <v>-</v>
      </c>
      <c r="CD272" s="72">
        <f t="shared" si="736"/>
        <v>199</v>
      </c>
      <c r="CE272" s="71">
        <f t="shared" si="737"/>
        <v>245</v>
      </c>
      <c r="CF272" s="72">
        <f t="shared" si="738"/>
        <v>288</v>
      </c>
      <c r="CG272" s="71">
        <f t="shared" si="739"/>
        <v>315</v>
      </c>
      <c r="CH272" s="70">
        <f t="shared" si="740"/>
        <v>73</v>
      </c>
      <c r="CI272" s="71">
        <f t="shared" si="741"/>
        <v>77</v>
      </c>
      <c r="CJ272" s="72">
        <f t="shared" si="742"/>
        <v>104</v>
      </c>
      <c r="CK272" s="72">
        <f t="shared" si="743"/>
        <v>112</v>
      </c>
      <c r="CL272" s="72">
        <f t="shared" si="744"/>
        <v>148</v>
      </c>
      <c r="CM272" s="72">
        <f t="shared" si="745"/>
        <v>155</v>
      </c>
      <c r="CN272" s="72">
        <f t="shared" si="746"/>
        <v>181</v>
      </c>
      <c r="CO272" s="72" t="str">
        <f t="shared" si="747"/>
        <v>-</v>
      </c>
      <c r="CP272" s="72">
        <f t="shared" si="748"/>
        <v>236</v>
      </c>
      <c r="CQ272" s="72">
        <f t="shared" si="749"/>
        <v>282</v>
      </c>
      <c r="CR272" s="72">
        <f t="shared" si="750"/>
        <v>314</v>
      </c>
      <c r="CS272" s="72">
        <f t="shared" si="751"/>
        <v>327</v>
      </c>
      <c r="CT272" s="23">
        <f t="shared" si="752"/>
        <v>1</v>
      </c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  <c r="OK272" s="1"/>
      <c r="OL272" s="1"/>
      <c r="OM272" s="1"/>
      <c r="ON272" s="1"/>
      <c r="OO272" s="1"/>
      <c r="OP272" s="1"/>
      <c r="OQ272" s="1"/>
      <c r="OR272" s="1"/>
      <c r="OS272" s="1"/>
      <c r="OT272" s="1"/>
      <c r="OU272" s="1"/>
      <c r="OV272" s="1"/>
      <c r="OW272" s="1"/>
      <c r="OX272" s="1"/>
      <c r="OY272" s="1"/>
      <c r="OZ272" s="1"/>
      <c r="PA272" s="1"/>
      <c r="PB272" s="1"/>
      <c r="PC272" s="1"/>
      <c r="PD272" s="1"/>
      <c r="PE272" s="1"/>
      <c r="PF272" s="1"/>
      <c r="PG272" s="1"/>
      <c r="PH272" s="1"/>
      <c r="PI272" s="1"/>
      <c r="PJ272" s="1"/>
      <c r="PK272" s="1"/>
      <c r="PL272" s="1"/>
      <c r="PM272" s="1"/>
      <c r="PN272" s="1"/>
      <c r="PO272" s="1"/>
      <c r="PP272" s="1"/>
      <c r="PQ272" s="1"/>
      <c r="PR272" s="1"/>
      <c r="PS272" s="1"/>
      <c r="PT272" s="1"/>
      <c r="PU272" s="1"/>
      <c r="PV272" s="1"/>
      <c r="PW272" s="1"/>
      <c r="PX272" s="1"/>
      <c r="PY272" s="1"/>
      <c r="PZ272" s="1"/>
      <c r="QA272" s="1"/>
      <c r="QB272" s="1"/>
      <c r="QC272" s="1"/>
      <c r="QD272" s="1"/>
      <c r="QE272" s="1"/>
      <c r="QF272" s="1"/>
      <c r="QG272" s="1"/>
      <c r="QH272" s="1"/>
      <c r="QI272" s="1"/>
      <c r="QJ272" s="1"/>
      <c r="QK272" s="1"/>
      <c r="QL272" s="1"/>
      <c r="QM272" s="1"/>
      <c r="QN272" s="1"/>
      <c r="QO272" s="1"/>
      <c r="QP272" s="1"/>
      <c r="QQ272" s="1"/>
      <c r="QR272" s="1"/>
      <c r="QS272" s="1"/>
      <c r="QT272" s="1"/>
      <c r="QU272" s="1"/>
      <c r="QV272" s="1"/>
      <c r="QW272" s="1"/>
      <c r="QX272" s="1"/>
      <c r="QY272" s="1"/>
      <c r="QZ272" s="1"/>
      <c r="RA272" s="1"/>
      <c r="RB272" s="1"/>
      <c r="RC272" s="1"/>
      <c r="RD272" s="1"/>
      <c r="RE272" s="1"/>
      <c r="RF272" s="1"/>
      <c r="RG272" s="1"/>
      <c r="RH272" s="1"/>
      <c r="RI272" s="1"/>
      <c r="RJ272" s="1"/>
      <c r="RK272" s="1"/>
      <c r="RL272" s="1"/>
      <c r="RM272" s="1"/>
      <c r="RN272" s="1"/>
      <c r="RO272" s="1"/>
      <c r="RP272" s="1"/>
      <c r="RQ272" s="1"/>
      <c r="RR272" s="1"/>
      <c r="RS272" s="1"/>
      <c r="RT272" s="1"/>
      <c r="RU272" s="1"/>
      <c r="RV272" s="1"/>
      <c r="RW272" s="1"/>
      <c r="RX272" s="1"/>
      <c r="RY272" s="1"/>
      <c r="RZ272" s="1"/>
      <c r="SA272" s="1"/>
      <c r="SB272" s="1"/>
      <c r="SC272" s="1"/>
      <c r="SD272" s="1"/>
      <c r="SE272" s="1"/>
      <c r="SF272" s="1"/>
      <c r="SG272" s="1"/>
      <c r="SH272" s="1"/>
      <c r="SI272" s="1"/>
      <c r="SJ272" s="1"/>
      <c r="SK272" s="1"/>
      <c r="SL272" s="1"/>
      <c r="SM272" s="1"/>
      <c r="SN272" s="1"/>
      <c r="SO272" s="1"/>
      <c r="SP272" s="1"/>
      <c r="SQ272" s="1"/>
      <c r="SR272" s="1"/>
      <c r="SS272" s="1"/>
      <c r="ST272" s="1"/>
      <c r="SU272" s="1"/>
      <c r="SV272" s="1"/>
      <c r="SW272" s="1"/>
      <c r="SX272" s="1"/>
      <c r="SY272" s="1"/>
      <c r="SZ272" s="1"/>
      <c r="TA272" s="1"/>
      <c r="TB272" s="1"/>
      <c r="TC272" s="1"/>
      <c r="TD272" s="1"/>
      <c r="TE272" s="1"/>
      <c r="TF272" s="1"/>
      <c r="TG272" s="1"/>
      <c r="TH272" s="1"/>
      <c r="TI272" s="1"/>
      <c r="TJ272" s="1"/>
      <c r="TK272" s="1"/>
      <c r="TL272" s="1"/>
      <c r="TM272" s="1"/>
      <c r="TN272" s="1"/>
      <c r="TO272" s="1"/>
      <c r="TP272" s="1"/>
      <c r="TQ272" s="1"/>
      <c r="TR272" s="1"/>
      <c r="TS272" s="1"/>
      <c r="TT272" s="1"/>
      <c r="TU272" s="1"/>
      <c r="TV272" s="1"/>
      <c r="TW272" s="1"/>
      <c r="TX272" s="1"/>
      <c r="TY272" s="1"/>
      <c r="TZ272" s="1"/>
      <c r="UA272" s="1"/>
      <c r="UB272" s="1"/>
      <c r="UC272" s="1"/>
      <c r="UD272" s="1"/>
      <c r="UE272" s="1"/>
      <c r="UF272" s="1"/>
      <c r="UG272" s="1"/>
      <c r="UH272" s="1"/>
      <c r="UI272" s="1"/>
      <c r="UJ272" s="1"/>
      <c r="UK272" s="1"/>
      <c r="UL272" s="1"/>
      <c r="UM272" s="1"/>
      <c r="UN272" s="1"/>
      <c r="UO272" s="1"/>
      <c r="UP272" s="1"/>
      <c r="UQ272" s="1"/>
      <c r="UR272" s="1"/>
      <c r="US272" s="1"/>
      <c r="UT272" s="1"/>
      <c r="UU272" s="1"/>
      <c r="UV272" s="1"/>
      <c r="UW272" s="1"/>
      <c r="UX272" s="1"/>
      <c r="UY272" s="1"/>
      <c r="UZ272" s="1"/>
      <c r="VA272" s="1"/>
      <c r="VB272" s="1"/>
      <c r="VC272" s="1"/>
      <c r="VD272" s="1"/>
      <c r="VE272" s="1"/>
      <c r="VF272" s="1"/>
      <c r="VG272" s="1"/>
      <c r="VH272" s="1"/>
      <c r="VI272" s="1"/>
      <c r="VJ272" s="1"/>
      <c r="VK272" s="1"/>
      <c r="VL272" s="1"/>
      <c r="VM272" s="1"/>
      <c r="VN272" s="1"/>
      <c r="VO272" s="1"/>
      <c r="VP272" s="1"/>
      <c r="VQ272" s="1"/>
      <c r="VR272" s="1"/>
      <c r="VS272" s="1"/>
      <c r="VT272" s="1"/>
      <c r="VU272" s="1"/>
      <c r="VV272" s="1"/>
      <c r="VW272" s="1"/>
      <c r="VX272" s="1"/>
      <c r="VY272" s="1"/>
      <c r="VZ272" s="1"/>
      <c r="WA272" s="1"/>
      <c r="WB272" s="1"/>
      <c r="WC272" s="1"/>
      <c r="WD272" s="1"/>
      <c r="WE272" s="1"/>
      <c r="WF272" s="1"/>
      <c r="WG272" s="1"/>
      <c r="WH272" s="1"/>
      <c r="WI272" s="1"/>
      <c r="WJ272" s="1"/>
      <c r="WK272" s="1"/>
      <c r="WL272" s="1"/>
      <c r="WM272" s="1"/>
      <c r="WN272" s="1"/>
      <c r="WO272" s="1"/>
      <c r="WP272" s="1"/>
      <c r="WQ272" s="1"/>
      <c r="WR272" s="1"/>
      <c r="WS272" s="1"/>
      <c r="WT272" s="1"/>
      <c r="WU272" s="1"/>
      <c r="WV272" s="1"/>
      <c r="WW272" s="1"/>
      <c r="WX272" s="1"/>
      <c r="WY272" s="1"/>
      <c r="WZ272" s="1"/>
      <c r="XA272" s="1"/>
      <c r="XB272" s="1"/>
      <c r="XC272" s="1"/>
      <c r="XD272" s="1"/>
      <c r="XE272" s="1"/>
      <c r="XF272" s="1"/>
      <c r="XG272" s="1"/>
      <c r="XH272" s="1"/>
      <c r="XI272" s="1"/>
      <c r="XJ272" s="1"/>
      <c r="XK272" s="1"/>
      <c r="XL272" s="1"/>
      <c r="XM272" s="1"/>
      <c r="XN272" s="1"/>
      <c r="XO272" s="1"/>
      <c r="XP272" s="1"/>
      <c r="XQ272" s="1"/>
      <c r="XR272" s="1"/>
      <c r="XS272" s="1"/>
      <c r="XT272" s="1"/>
      <c r="XU272" s="1"/>
      <c r="XV272" s="1"/>
      <c r="XW272" s="1"/>
      <c r="XX272" s="1"/>
      <c r="XY272" s="1"/>
      <c r="XZ272" s="1"/>
      <c r="YA272" s="1"/>
      <c r="YB272" s="1"/>
      <c r="YC272" s="1"/>
      <c r="YD272" s="1"/>
      <c r="YE272" s="1"/>
      <c r="YF272" s="1"/>
      <c r="YG272" s="1"/>
      <c r="YH272" s="1"/>
      <c r="YI272" s="1"/>
      <c r="YJ272" s="1"/>
      <c r="YK272" s="1"/>
      <c r="YL272" s="1"/>
      <c r="YM272" s="1"/>
      <c r="YN272" s="1"/>
      <c r="YO272" s="1"/>
      <c r="YP272" s="1"/>
      <c r="YQ272" s="1"/>
      <c r="YR272" s="1"/>
      <c r="YS272" s="1"/>
      <c r="YT272" s="1"/>
      <c r="YU272" s="1"/>
      <c r="YV272" s="1"/>
      <c r="YW272" s="1"/>
      <c r="YX272" s="1"/>
      <c r="YY272" s="1"/>
      <c r="YZ272" s="1"/>
      <c r="ZA272" s="1"/>
      <c r="ZB272" s="1"/>
      <c r="ZC272" s="1"/>
      <c r="ZD272" s="1"/>
      <c r="ZE272" s="1"/>
      <c r="ZF272" s="1"/>
      <c r="ZG272" s="1"/>
      <c r="ZH272" s="1"/>
      <c r="ZI272" s="1"/>
      <c r="ZJ272" s="1"/>
      <c r="ZK272" s="1"/>
      <c r="ZL272" s="1"/>
      <c r="ZM272" s="1"/>
      <c r="ZN272" s="1"/>
      <c r="ZO272" s="1"/>
      <c r="ZP272" s="1"/>
      <c r="ZQ272" s="1"/>
      <c r="ZR272" s="1"/>
      <c r="ZS272" s="1"/>
      <c r="ZT272" s="1"/>
      <c r="ZU272" s="1"/>
      <c r="ZV272" s="1"/>
      <c r="ZW272" s="1"/>
      <c r="ZX272" s="1"/>
      <c r="ZY272" s="1"/>
      <c r="ZZ272" s="1"/>
      <c r="AAA272" s="1"/>
      <c r="AAB272" s="1"/>
      <c r="AAC272" s="1"/>
      <c r="AAD272" s="1"/>
      <c r="AAE272" s="1"/>
      <c r="AAF272" s="1"/>
      <c r="AAG272" s="1"/>
      <c r="AAH272" s="1"/>
      <c r="AAI272" s="1"/>
      <c r="AAJ272" s="1"/>
      <c r="AAK272" s="1"/>
      <c r="AAL272" s="1"/>
      <c r="AAM272" s="1"/>
      <c r="AAN272" s="1"/>
      <c r="AAO272" s="1"/>
      <c r="AAP272" s="1"/>
      <c r="AAQ272" s="1"/>
      <c r="AAR272" s="1"/>
      <c r="AAS272" s="1"/>
      <c r="AAT272" s="1"/>
      <c r="AAU272" s="1"/>
      <c r="AAV272" s="1"/>
      <c r="AAW272" s="1"/>
      <c r="AAX272" s="1"/>
      <c r="AAY272" s="1"/>
      <c r="AAZ272" s="1"/>
      <c r="ABA272" s="1"/>
      <c r="ABB272" s="1"/>
      <c r="ABC272" s="1"/>
      <c r="ABD272" s="1"/>
      <c r="ABE272" s="1"/>
      <c r="ABF272" s="1"/>
      <c r="ABG272" s="1"/>
      <c r="ABH272" s="1"/>
      <c r="ABI272" s="1"/>
      <c r="ABJ272" s="1"/>
      <c r="ABK272" s="1"/>
      <c r="ABL272" s="1"/>
      <c r="ABM272" s="1"/>
      <c r="ABN272" s="1"/>
      <c r="ABO272" s="1"/>
      <c r="ABP272" s="1"/>
      <c r="ABQ272" s="1"/>
      <c r="ABR272" s="1"/>
      <c r="ABS272" s="1"/>
      <c r="ABT272" s="1"/>
      <c r="ABU272" s="1"/>
      <c r="ABV272" s="1"/>
      <c r="ABW272" s="1"/>
      <c r="ABX272" s="1"/>
      <c r="ABY272" s="1"/>
      <c r="ABZ272" s="1"/>
      <c r="ACA272" s="1"/>
      <c r="ACB272" s="1"/>
      <c r="ACC272" s="1"/>
      <c r="ACD272" s="1"/>
      <c r="ACE272" s="1"/>
      <c r="ACF272" s="1"/>
      <c r="ACG272" s="1"/>
      <c r="ACH272" s="1"/>
      <c r="ACI272" s="1"/>
      <c r="ACJ272" s="1"/>
      <c r="ACK272" s="1"/>
      <c r="ACL272" s="1"/>
      <c r="ACM272" s="1"/>
      <c r="ACN272" s="1"/>
      <c r="ACO272" s="1"/>
      <c r="ACP272" s="1"/>
      <c r="ACQ272" s="1"/>
      <c r="ACR272" s="1"/>
      <c r="ACS272" s="1"/>
      <c r="ACT272" s="1"/>
      <c r="ACU272" s="1"/>
      <c r="ACV272" s="1"/>
      <c r="ACW272" s="1"/>
      <c r="ACX272" s="1"/>
      <c r="ACY272" s="1"/>
      <c r="ACZ272" s="1"/>
      <c r="ADA272" s="1"/>
      <c r="ADB272" s="1"/>
      <c r="ADC272" s="1"/>
      <c r="ADD272" s="1"/>
      <c r="ADE272" s="1"/>
      <c r="ADF272" s="1"/>
      <c r="ADG272" s="1"/>
      <c r="ADH272" s="1"/>
      <c r="ADI272" s="1"/>
      <c r="ADJ272" s="1"/>
      <c r="ADK272" s="1"/>
      <c r="ADL272" s="1"/>
      <c r="ADM272" s="1"/>
      <c r="ADN272" s="1"/>
      <c r="ADO272" s="1"/>
      <c r="ADP272" s="1"/>
      <c r="ADQ272" s="1"/>
      <c r="ADR272" s="1"/>
      <c r="ADS272" s="1"/>
      <c r="ADT272" s="1"/>
      <c r="ADU272" s="1"/>
      <c r="ADV272" s="1"/>
      <c r="ADW272" s="1"/>
      <c r="ADX272" s="1"/>
      <c r="ADY272" s="1"/>
      <c r="ADZ272" s="1"/>
      <c r="AEA272" s="1"/>
      <c r="AEB272" s="1"/>
      <c r="AEC272" s="1"/>
      <c r="AED272" s="1"/>
      <c r="AEE272" s="1"/>
      <c r="AEF272" s="1"/>
      <c r="AEG272" s="1"/>
      <c r="AEH272" s="1"/>
      <c r="AEI272" s="1"/>
      <c r="AEJ272" s="1"/>
      <c r="AEK272" s="1"/>
      <c r="AEL272" s="1"/>
      <c r="AEM272" s="1"/>
      <c r="AEN272" s="1"/>
      <c r="AEO272" s="1"/>
      <c r="AEP272" s="1"/>
      <c r="AEQ272" s="1"/>
      <c r="AER272" s="1"/>
      <c r="AES272" s="1"/>
      <c r="AET272" s="1"/>
      <c r="AEU272" s="1"/>
      <c r="AEV272" s="1"/>
      <c r="AEW272" s="1"/>
      <c r="AEX272" s="1"/>
      <c r="AEY272" s="1"/>
      <c r="AEZ272" s="1"/>
      <c r="AFA272" s="1"/>
      <c r="AFB272" s="1"/>
      <c r="AFC272" s="1"/>
      <c r="AFD272" s="1"/>
      <c r="AFE272" s="1"/>
      <c r="AFF272" s="1"/>
      <c r="AFG272" s="1"/>
      <c r="AFH272" s="1"/>
      <c r="AFI272" s="1"/>
      <c r="AFJ272" s="1"/>
      <c r="AFK272" s="1"/>
      <c r="AFL272" s="1"/>
      <c r="AFM272" s="1"/>
      <c r="AFN272" s="1"/>
      <c r="AFO272" s="1"/>
      <c r="AFP272" s="1"/>
      <c r="AFQ272" s="1"/>
      <c r="AFR272" s="1"/>
      <c r="AFS272" s="1"/>
      <c r="AFT272" s="1"/>
      <c r="AFU272" s="1"/>
      <c r="AFV272" s="1"/>
      <c r="AFW272" s="1"/>
      <c r="AFX272" s="1"/>
      <c r="AFY272" s="1"/>
      <c r="AFZ272" s="1"/>
      <c r="AGA272" s="1"/>
      <c r="AGB272" s="1"/>
      <c r="AGC272" s="1"/>
      <c r="AGD272" s="1"/>
      <c r="AGE272" s="1"/>
      <c r="AGF272" s="1"/>
      <c r="AGG272" s="1"/>
      <c r="AGH272" s="1"/>
      <c r="AGI272" s="1"/>
      <c r="AGJ272" s="1"/>
      <c r="AGK272" s="1"/>
      <c r="AGL272" s="1"/>
      <c r="AGM272" s="1"/>
      <c r="AGN272" s="1"/>
      <c r="AGO272" s="1"/>
      <c r="AGP272" s="1"/>
      <c r="AGQ272" s="1"/>
      <c r="AGR272" s="1"/>
      <c r="AGS272" s="1"/>
      <c r="AGT272" s="1"/>
      <c r="AGU272" s="1"/>
      <c r="AGV272" s="1"/>
      <c r="AGW272" s="1"/>
      <c r="AGX272" s="1"/>
      <c r="AGY272" s="1"/>
      <c r="AGZ272" s="1"/>
      <c r="AHA272" s="1"/>
      <c r="AHB272" s="1"/>
      <c r="AHC272" s="1"/>
      <c r="AHD272" s="1"/>
      <c r="AHE272" s="1"/>
      <c r="AHF272" s="1"/>
      <c r="AHG272" s="1"/>
      <c r="AHH272" s="1"/>
      <c r="AHI272" s="1"/>
      <c r="AHJ272" s="1"/>
      <c r="AHK272" s="1"/>
      <c r="AHL272" s="1"/>
      <c r="AHM272" s="1"/>
      <c r="AHN272" s="1"/>
      <c r="AHO272" s="1"/>
      <c r="AHP272" s="1"/>
      <c r="AHQ272" s="1"/>
      <c r="AHR272" s="1"/>
      <c r="AHS272" s="1"/>
      <c r="AHT272" s="1"/>
      <c r="AHU272" s="1"/>
      <c r="AHV272" s="1"/>
      <c r="AHW272" s="1"/>
      <c r="AHX272" s="1"/>
      <c r="AHY272" s="1"/>
      <c r="AHZ272" s="1"/>
      <c r="AIA272" s="1"/>
      <c r="AIB272" s="1"/>
      <c r="AIC272" s="1"/>
      <c r="AID272" s="1"/>
      <c r="AIE272" s="1"/>
      <c r="AIF272" s="1"/>
      <c r="AIG272" s="1"/>
      <c r="AIH272" s="1"/>
      <c r="AII272" s="1"/>
      <c r="AIJ272" s="1"/>
      <c r="AIK272" s="1"/>
      <c r="AIL272" s="1"/>
      <c r="AIM272" s="1"/>
      <c r="AIN272" s="1"/>
      <c r="AIO272" s="1"/>
      <c r="AIP272" s="1"/>
      <c r="AIQ272" s="1"/>
      <c r="AIR272" s="1"/>
      <c r="AIS272" s="1"/>
      <c r="AIT272" s="1"/>
      <c r="AIU272" s="1"/>
      <c r="AIV272" s="1"/>
      <c r="AIW272" s="1"/>
      <c r="AIX272" s="1"/>
      <c r="AIY272" s="1"/>
      <c r="AIZ272" s="1"/>
      <c r="AJA272" s="1"/>
      <c r="AJB272" s="1"/>
      <c r="AJC272" s="1"/>
      <c r="AJD272" s="1"/>
      <c r="AJE272" s="1"/>
      <c r="AJF272" s="1"/>
      <c r="AJG272" s="1"/>
      <c r="AJH272" s="1"/>
      <c r="AJI272" s="1"/>
      <c r="AJJ272" s="1"/>
      <c r="AJK272" s="1"/>
      <c r="AJL272" s="1"/>
      <c r="AJM272" s="1"/>
      <c r="AJN272" s="1"/>
      <c r="AJO272" s="1"/>
      <c r="AJP272" s="1"/>
      <c r="AJQ272" s="1"/>
      <c r="AJR272" s="1"/>
      <c r="AJS272" s="1"/>
      <c r="AJT272" s="1"/>
      <c r="AJU272" s="1"/>
      <c r="AJV272" s="1"/>
      <c r="AJW272" s="1"/>
      <c r="AJX272" s="1"/>
      <c r="AJY272" s="1"/>
      <c r="AJZ272" s="1"/>
      <c r="AKA272" s="1"/>
      <c r="AKB272" s="1"/>
      <c r="AKC272" s="1"/>
      <c r="AKD272" s="1"/>
      <c r="AKE272" s="1"/>
      <c r="AKF272" s="1"/>
      <c r="AKG272" s="1"/>
      <c r="AKH272" s="1"/>
      <c r="AKI272" s="1"/>
      <c r="AKJ272" s="1"/>
      <c r="AKK272" s="1"/>
      <c r="AKL272" s="1"/>
      <c r="AKM272" s="1"/>
      <c r="AKN272" s="1"/>
      <c r="AKO272" s="1"/>
      <c r="AKP272" s="1"/>
      <c r="AKQ272" s="1"/>
      <c r="AKR272" s="1"/>
      <c r="AKS272" s="1"/>
      <c r="AKT272" s="1"/>
      <c r="AKU272" s="1"/>
      <c r="AKV272" s="1"/>
      <c r="AKW272" s="1"/>
      <c r="AKX272" s="1"/>
      <c r="AKY272" s="1"/>
      <c r="AKZ272" s="1"/>
      <c r="ALA272" s="1"/>
      <c r="ALB272" s="1"/>
      <c r="ALC272" s="1"/>
      <c r="ALD272" s="1"/>
      <c r="ALE272" s="1"/>
      <c r="ALF272" s="1"/>
      <c r="ALG272" s="1"/>
      <c r="ALH272" s="1"/>
      <c r="ALI272" s="1"/>
      <c r="ALJ272" s="1"/>
      <c r="ALK272" s="1"/>
      <c r="ALL272" s="1"/>
      <c r="ALM272" s="1"/>
      <c r="ALN272" s="1"/>
      <c r="ALO272" s="1"/>
      <c r="ALP272" s="1"/>
      <c r="ALQ272" s="1"/>
      <c r="ALR272" s="1"/>
      <c r="ALS272" s="1"/>
      <c r="ALT272" s="1"/>
      <c r="ALU272" s="1"/>
      <c r="ALV272" s="1"/>
      <c r="ALW272" s="1"/>
      <c r="ALX272" s="1"/>
      <c r="ALY272" s="1"/>
      <c r="ALZ272" s="1"/>
      <c r="AMA272" s="1"/>
      <c r="AMB272" s="1"/>
      <c r="AMC272" s="1"/>
      <c r="AMD272" s="1"/>
      <c r="AME272" s="1"/>
      <c r="AMF272" s="1"/>
      <c r="AMG272" s="1"/>
      <c r="AMH272" s="1"/>
      <c r="AMI272" s="1"/>
      <c r="AMJ272" s="1"/>
      <c r="AMK272" s="1"/>
      <c r="AML272" s="1"/>
      <c r="AMM272" s="1"/>
      <c r="AMN272" s="1"/>
      <c r="AMO272" s="1"/>
    </row>
    <row r="273" spans="1:1030" x14ac:dyDescent="0.2">
      <c r="A273" s="3" t="str">
        <f t="shared" si="753"/>
        <v>s1pr1_human_3V2Y</v>
      </c>
      <c r="B273" s="3" t="s">
        <v>104</v>
      </c>
      <c r="C273" s="3" t="s">
        <v>94</v>
      </c>
      <c r="D273" s="3" t="str">
        <f>IFERROR(MID(VLOOKUP($B273,Seqs!$A:$B,2,0),E273,1),"")</f>
        <v>E</v>
      </c>
      <c r="E273" s="3">
        <v>42</v>
      </c>
      <c r="F273" s="3" t="str">
        <f>IFERROR(MID(VLOOKUP($B273,Seqs!$A:$B,2,0),G273,1),"")</f>
        <v>T</v>
      </c>
      <c r="G273" s="3">
        <v>73</v>
      </c>
      <c r="H273" s="3" t="str">
        <f>IFERROR(MID(VLOOKUP($B273,Seqs!$A:$B,2,0),I273,1),"")</f>
        <v>K</v>
      </c>
      <c r="I273" s="23">
        <v>74</v>
      </c>
      <c r="J273" s="3" t="str">
        <f>IFERROR(MID(VLOOKUP($B273,Seqs!$A:$B,2,0),K273,1),"")</f>
        <v>H</v>
      </c>
      <c r="K273" s="23">
        <v>77</v>
      </c>
      <c r="L273" s="3" t="str">
        <f>IFERROR(MID(VLOOKUP($B273,Seqs!$A:$B,2,0),M273,1),"")</f>
        <v>R</v>
      </c>
      <c r="M273" s="3">
        <v>78</v>
      </c>
      <c r="N273" s="3" t="str">
        <f>IFERROR(MID(VLOOKUP($B273,Seqs!$A:$B,2,0),O273,1),"")</f>
        <v>L</v>
      </c>
      <c r="O273" s="3">
        <v>104</v>
      </c>
      <c r="P273" s="3" t="str">
        <f>IFERROR(MID(VLOOKUP($B273,Seqs!$A:$B,2,0),Q273,1),"")</f>
        <v>G</v>
      </c>
      <c r="Q273" s="3">
        <v>106</v>
      </c>
      <c r="R273" s="3" t="str">
        <f>IFERROR(MID(VLOOKUP($B273,Seqs!$A:$B,2,0),S273,1),"")</f>
        <v>L</v>
      </c>
      <c r="S273" s="3">
        <v>112</v>
      </c>
      <c r="T273" s="3" t="str">
        <f>IFERROR(MID(VLOOKUP($B273,Seqs!$A:$B,2,0),U273,1),"")</f>
        <v>T</v>
      </c>
      <c r="U273" s="3">
        <v>113</v>
      </c>
      <c r="V273" s="3" t="str">
        <f>IFERROR(MID(VLOOKUP($B273,Seqs!$A:$B,2,0),W273,1),"")</f>
        <v>T</v>
      </c>
      <c r="W273" s="105">
        <v>145</v>
      </c>
      <c r="X273" s="3" t="str">
        <f>IFERROR(MID(VLOOKUP($B273,Seqs!$A:$B,2,0),Y273,1),"")</f>
        <v/>
      </c>
      <c r="Y273" s="3" t="s">
        <v>23</v>
      </c>
      <c r="Z273" s="3" t="str">
        <f>IFERROR(MID(VLOOKUP($B273,Seqs!$A:$B,2,0),AA273,1),"")</f>
        <v/>
      </c>
      <c r="AA273" s="3" t="s">
        <v>23</v>
      </c>
      <c r="AB273" s="3" t="str">
        <f>IFERROR(MID(VLOOKUP($B273,Seqs!$A:$B,2,0),AC273,1),"")</f>
        <v>N</v>
      </c>
      <c r="AC273" s="105">
        <v>156</v>
      </c>
      <c r="AD273" s="3" t="str">
        <f>IFERROR(MID(VLOOKUP($B273,Seqs!$A:$B,2,0),AE273,1),"")</f>
        <v>G</v>
      </c>
      <c r="AE273" s="3">
        <v>181</v>
      </c>
      <c r="AF273" s="3" t="str">
        <f>IFERROR(MID(VLOOKUP($B273,Seqs!$A:$B,2,0),AG273,1),"")</f>
        <v/>
      </c>
      <c r="AG273" s="3" t="s">
        <v>23</v>
      </c>
      <c r="AH273" s="3" t="str">
        <f>IFERROR(MID(VLOOKUP($B273,Seqs!$A:$B,2,0),AI273,1),"")</f>
        <v/>
      </c>
      <c r="AI273" s="3" t="s">
        <v>23</v>
      </c>
      <c r="AJ273" s="3" t="str">
        <f>IFERROR(MID(VLOOKUP($B273,Seqs!$A:$B,2,0),AK273,1),"")</f>
        <v>H</v>
      </c>
      <c r="AK273" s="3">
        <v>199</v>
      </c>
      <c r="AL273" s="3" t="str">
        <f>IFERROR(MID(VLOOKUP($B273,Seqs!$A:$B,2,0),AM273,1),"")</f>
        <v>R</v>
      </c>
      <c r="AM273" s="3">
        <v>231</v>
      </c>
      <c r="AN273" s="3" t="str">
        <f>IFERROR(MID(VLOOKUP($B273,Seqs!$A:$B,2,0),AO273,1),"")</f>
        <v>S</v>
      </c>
      <c r="AO273" s="3">
        <v>251</v>
      </c>
      <c r="AP273" s="3" t="str">
        <f>IFERROR(MID(VLOOKUP($B273,Seqs!$A:$B,2,0),AQ273,1),"")</f>
        <v>C</v>
      </c>
      <c r="AQ273" s="3">
        <v>282</v>
      </c>
      <c r="AR273" s="3" t="str">
        <f>IFERROR(MID(VLOOKUP($B273,Seqs!$A:$B,2,0),AS273,1),"")</f>
        <v>D</v>
      </c>
      <c r="AS273" s="3">
        <v>288</v>
      </c>
      <c r="AT273" s="3" t="str">
        <f>IFERROR(MID(VLOOKUP($B273,Seqs!$A:$B,2,0),AU273,1),"")</f>
        <v>T</v>
      </c>
      <c r="AU273" s="3">
        <v>314</v>
      </c>
      <c r="AV273" s="3" t="str">
        <f>IFERROR(MID(VLOOKUP($B273,Seqs!$A:$B,2,0),AW273,1),"")</f>
        <v>N</v>
      </c>
      <c r="AW273" s="3">
        <v>315</v>
      </c>
      <c r="AX273" s="3" t="str">
        <f>IFERROR(MID(VLOOKUP($B273,Seqs!$A:$B,2,0),AY273,1),"")</f>
        <v>I</v>
      </c>
      <c r="AY273" s="3">
        <v>323</v>
      </c>
      <c r="AZ273" s="77" t="str">
        <f>VLOOKUP(B273,Classification!A:D,2,0)</f>
        <v>A</v>
      </c>
      <c r="BA273" s="94" t="str">
        <f>VLOOKUP(B273,Classification!A:D,4,0)</f>
        <v>Lysophospholipid(S1P)</v>
      </c>
      <c r="BB273" s="27" t="b">
        <f t="shared" si="754"/>
        <v>1</v>
      </c>
      <c r="BC273" s="23">
        <f t="shared" si="727"/>
        <v>232</v>
      </c>
      <c r="BD273" s="2" t="s">
        <v>1383</v>
      </c>
      <c r="BE273" s="3" t="s">
        <v>1381</v>
      </c>
      <c r="BF273" s="119">
        <v>2.8</v>
      </c>
      <c r="BG273" s="49" t="s">
        <v>1384</v>
      </c>
      <c r="BH273" s="49" t="s">
        <v>1384</v>
      </c>
      <c r="BI273" s="1"/>
      <c r="BJ273" s="70" t="s">
        <v>1293</v>
      </c>
      <c r="BK273" s="57" t="s">
        <v>1293</v>
      </c>
      <c r="BL273" s="57" t="s">
        <v>1293</v>
      </c>
      <c r="BM273" s="57" t="s">
        <v>1293</v>
      </c>
      <c r="BN273" s="57" t="s">
        <v>1293</v>
      </c>
      <c r="BO273" s="57" t="s">
        <v>1293</v>
      </c>
      <c r="BP273" s="57" t="s">
        <v>1293</v>
      </c>
      <c r="BQ273" s="57" t="s">
        <v>1293</v>
      </c>
      <c r="BR273" s="57" t="s">
        <v>1293</v>
      </c>
      <c r="BS273" s="57" t="s">
        <v>1293</v>
      </c>
      <c r="BT273" s="57" t="s">
        <v>1293</v>
      </c>
      <c r="BU273" s="57" t="s">
        <v>1293</v>
      </c>
      <c r="BV273" s="70">
        <f t="shared" si="728"/>
        <v>42</v>
      </c>
      <c r="BW273" s="71">
        <f t="shared" si="729"/>
        <v>74</v>
      </c>
      <c r="BX273" s="72">
        <f t="shared" si="730"/>
        <v>78</v>
      </c>
      <c r="BY273" s="71">
        <f t="shared" si="731"/>
        <v>106</v>
      </c>
      <c r="BZ273" s="72">
        <f t="shared" si="732"/>
        <v>113</v>
      </c>
      <c r="CA273" s="71" t="str">
        <f t="shared" si="733"/>
        <v>-</v>
      </c>
      <c r="CB273" s="72">
        <f t="shared" si="734"/>
        <v>156</v>
      </c>
      <c r="CC273" s="71" t="str">
        <f t="shared" si="735"/>
        <v>-</v>
      </c>
      <c r="CD273" s="72">
        <f t="shared" si="736"/>
        <v>199</v>
      </c>
      <c r="CE273" s="71">
        <f t="shared" si="737"/>
        <v>251</v>
      </c>
      <c r="CF273" s="72">
        <f t="shared" si="738"/>
        <v>288</v>
      </c>
      <c r="CG273" s="71">
        <f t="shared" si="739"/>
        <v>315</v>
      </c>
      <c r="CH273" s="70">
        <f t="shared" si="740"/>
        <v>73</v>
      </c>
      <c r="CI273" s="71">
        <f t="shared" si="741"/>
        <v>77</v>
      </c>
      <c r="CJ273" s="72">
        <f t="shared" si="742"/>
        <v>104</v>
      </c>
      <c r="CK273" s="72">
        <f t="shared" si="743"/>
        <v>112</v>
      </c>
      <c r="CL273" s="72">
        <f t="shared" si="744"/>
        <v>145</v>
      </c>
      <c r="CM273" s="72" t="str">
        <f t="shared" si="745"/>
        <v>-</v>
      </c>
      <c r="CN273" s="72">
        <f t="shared" si="746"/>
        <v>181</v>
      </c>
      <c r="CO273" s="72" t="str">
        <f t="shared" si="747"/>
        <v>-</v>
      </c>
      <c r="CP273" s="72">
        <f t="shared" si="748"/>
        <v>231</v>
      </c>
      <c r="CQ273" s="72">
        <f t="shared" si="749"/>
        <v>282</v>
      </c>
      <c r="CR273" s="72">
        <f t="shared" si="750"/>
        <v>314</v>
      </c>
      <c r="CS273" s="72">
        <f t="shared" si="751"/>
        <v>323</v>
      </c>
      <c r="CT273" s="23">
        <f t="shared" si="752"/>
        <v>1</v>
      </c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  <c r="OK273" s="1"/>
      <c r="OL273" s="1"/>
      <c r="OM273" s="1"/>
      <c r="ON273" s="1"/>
      <c r="OO273" s="1"/>
      <c r="OP273" s="1"/>
      <c r="OQ273" s="1"/>
      <c r="OR273" s="1"/>
      <c r="OS273" s="1"/>
      <c r="OT273" s="1"/>
      <c r="OU273" s="1"/>
      <c r="OV273" s="1"/>
      <c r="OW273" s="1"/>
      <c r="OX273" s="1"/>
      <c r="OY273" s="1"/>
      <c r="OZ273" s="1"/>
      <c r="PA273" s="1"/>
      <c r="PB273" s="1"/>
      <c r="PC273" s="1"/>
      <c r="PD273" s="1"/>
      <c r="PE273" s="1"/>
      <c r="PF273" s="1"/>
      <c r="PG273" s="1"/>
      <c r="PH273" s="1"/>
      <c r="PI273" s="1"/>
      <c r="PJ273" s="1"/>
      <c r="PK273" s="1"/>
      <c r="PL273" s="1"/>
      <c r="PM273" s="1"/>
      <c r="PN273" s="1"/>
      <c r="PO273" s="1"/>
      <c r="PP273" s="1"/>
      <c r="PQ273" s="1"/>
      <c r="PR273" s="1"/>
      <c r="PS273" s="1"/>
      <c r="PT273" s="1"/>
      <c r="PU273" s="1"/>
      <c r="PV273" s="1"/>
      <c r="PW273" s="1"/>
      <c r="PX273" s="1"/>
      <c r="PY273" s="1"/>
      <c r="PZ273" s="1"/>
      <c r="QA273" s="1"/>
      <c r="QB273" s="1"/>
      <c r="QC273" s="1"/>
      <c r="QD273" s="1"/>
      <c r="QE273" s="1"/>
      <c r="QF273" s="1"/>
      <c r="QG273" s="1"/>
      <c r="QH273" s="1"/>
      <c r="QI273" s="1"/>
      <c r="QJ273" s="1"/>
      <c r="QK273" s="1"/>
      <c r="QL273" s="1"/>
      <c r="QM273" s="1"/>
      <c r="QN273" s="1"/>
      <c r="QO273" s="1"/>
      <c r="QP273" s="1"/>
      <c r="QQ273" s="1"/>
      <c r="QR273" s="1"/>
      <c r="QS273" s="1"/>
      <c r="QT273" s="1"/>
      <c r="QU273" s="1"/>
      <c r="QV273" s="1"/>
      <c r="QW273" s="1"/>
      <c r="QX273" s="1"/>
      <c r="QY273" s="1"/>
      <c r="QZ273" s="1"/>
      <c r="RA273" s="1"/>
      <c r="RB273" s="1"/>
      <c r="RC273" s="1"/>
      <c r="RD273" s="1"/>
      <c r="RE273" s="1"/>
      <c r="RF273" s="1"/>
      <c r="RG273" s="1"/>
      <c r="RH273" s="1"/>
      <c r="RI273" s="1"/>
      <c r="RJ273" s="1"/>
      <c r="RK273" s="1"/>
      <c r="RL273" s="1"/>
      <c r="RM273" s="1"/>
      <c r="RN273" s="1"/>
      <c r="RO273" s="1"/>
      <c r="RP273" s="1"/>
      <c r="RQ273" s="1"/>
      <c r="RR273" s="1"/>
      <c r="RS273" s="1"/>
      <c r="RT273" s="1"/>
      <c r="RU273" s="1"/>
      <c r="RV273" s="1"/>
      <c r="RW273" s="1"/>
      <c r="RX273" s="1"/>
      <c r="RY273" s="1"/>
      <c r="RZ273" s="1"/>
      <c r="SA273" s="1"/>
      <c r="SB273" s="1"/>
      <c r="SC273" s="1"/>
      <c r="SD273" s="1"/>
      <c r="SE273" s="1"/>
      <c r="SF273" s="1"/>
      <c r="SG273" s="1"/>
      <c r="SH273" s="1"/>
      <c r="SI273" s="1"/>
      <c r="SJ273" s="1"/>
      <c r="SK273" s="1"/>
      <c r="SL273" s="1"/>
      <c r="SM273" s="1"/>
      <c r="SN273" s="1"/>
      <c r="SO273" s="1"/>
      <c r="SP273" s="1"/>
      <c r="SQ273" s="1"/>
      <c r="SR273" s="1"/>
      <c r="SS273" s="1"/>
      <c r="ST273" s="1"/>
      <c r="SU273" s="1"/>
      <c r="SV273" s="1"/>
      <c r="SW273" s="1"/>
      <c r="SX273" s="1"/>
      <c r="SY273" s="1"/>
      <c r="SZ273" s="1"/>
      <c r="TA273" s="1"/>
      <c r="TB273" s="1"/>
      <c r="TC273" s="1"/>
      <c r="TD273" s="1"/>
      <c r="TE273" s="1"/>
      <c r="TF273" s="1"/>
      <c r="TG273" s="1"/>
      <c r="TH273" s="1"/>
      <c r="TI273" s="1"/>
      <c r="TJ273" s="1"/>
      <c r="TK273" s="1"/>
      <c r="TL273" s="1"/>
      <c r="TM273" s="1"/>
      <c r="TN273" s="1"/>
      <c r="TO273" s="1"/>
      <c r="TP273" s="1"/>
      <c r="TQ273" s="1"/>
      <c r="TR273" s="1"/>
      <c r="TS273" s="1"/>
      <c r="TT273" s="1"/>
      <c r="TU273" s="1"/>
      <c r="TV273" s="1"/>
      <c r="TW273" s="1"/>
      <c r="TX273" s="1"/>
      <c r="TY273" s="1"/>
      <c r="TZ273" s="1"/>
      <c r="UA273" s="1"/>
      <c r="UB273" s="1"/>
      <c r="UC273" s="1"/>
      <c r="UD273" s="1"/>
      <c r="UE273" s="1"/>
      <c r="UF273" s="1"/>
      <c r="UG273" s="1"/>
      <c r="UH273" s="1"/>
      <c r="UI273" s="1"/>
      <c r="UJ273" s="1"/>
      <c r="UK273" s="1"/>
      <c r="UL273" s="1"/>
      <c r="UM273" s="1"/>
      <c r="UN273" s="1"/>
      <c r="UO273" s="1"/>
      <c r="UP273" s="1"/>
      <c r="UQ273" s="1"/>
      <c r="UR273" s="1"/>
      <c r="US273" s="1"/>
      <c r="UT273" s="1"/>
      <c r="UU273" s="1"/>
      <c r="UV273" s="1"/>
      <c r="UW273" s="1"/>
      <c r="UX273" s="1"/>
      <c r="UY273" s="1"/>
      <c r="UZ273" s="1"/>
      <c r="VA273" s="1"/>
      <c r="VB273" s="1"/>
      <c r="VC273" s="1"/>
      <c r="VD273" s="1"/>
      <c r="VE273" s="1"/>
      <c r="VF273" s="1"/>
      <c r="VG273" s="1"/>
      <c r="VH273" s="1"/>
      <c r="VI273" s="1"/>
      <c r="VJ273" s="1"/>
      <c r="VK273" s="1"/>
      <c r="VL273" s="1"/>
      <c r="VM273" s="1"/>
      <c r="VN273" s="1"/>
      <c r="VO273" s="1"/>
      <c r="VP273" s="1"/>
      <c r="VQ273" s="1"/>
      <c r="VR273" s="1"/>
      <c r="VS273" s="1"/>
      <c r="VT273" s="1"/>
      <c r="VU273" s="1"/>
      <c r="VV273" s="1"/>
      <c r="VW273" s="1"/>
      <c r="VX273" s="1"/>
      <c r="VY273" s="1"/>
      <c r="VZ273" s="1"/>
      <c r="WA273" s="1"/>
      <c r="WB273" s="1"/>
      <c r="WC273" s="1"/>
      <c r="WD273" s="1"/>
      <c r="WE273" s="1"/>
      <c r="WF273" s="1"/>
      <c r="WG273" s="1"/>
      <c r="WH273" s="1"/>
      <c r="WI273" s="1"/>
      <c r="WJ273" s="1"/>
      <c r="WK273" s="1"/>
      <c r="WL273" s="1"/>
      <c r="WM273" s="1"/>
      <c r="WN273" s="1"/>
      <c r="WO273" s="1"/>
      <c r="WP273" s="1"/>
      <c r="WQ273" s="1"/>
      <c r="WR273" s="1"/>
      <c r="WS273" s="1"/>
      <c r="WT273" s="1"/>
      <c r="WU273" s="1"/>
      <c r="WV273" s="1"/>
      <c r="WW273" s="1"/>
      <c r="WX273" s="1"/>
      <c r="WY273" s="1"/>
      <c r="WZ273" s="1"/>
      <c r="XA273" s="1"/>
      <c r="XB273" s="1"/>
      <c r="XC273" s="1"/>
      <c r="XD273" s="1"/>
      <c r="XE273" s="1"/>
      <c r="XF273" s="1"/>
      <c r="XG273" s="1"/>
      <c r="XH273" s="1"/>
      <c r="XI273" s="1"/>
      <c r="XJ273" s="1"/>
      <c r="XK273" s="1"/>
      <c r="XL273" s="1"/>
      <c r="XM273" s="1"/>
      <c r="XN273" s="1"/>
      <c r="XO273" s="1"/>
      <c r="XP273" s="1"/>
      <c r="XQ273" s="1"/>
      <c r="XR273" s="1"/>
      <c r="XS273" s="1"/>
      <c r="XT273" s="1"/>
      <c r="XU273" s="1"/>
      <c r="XV273" s="1"/>
      <c r="XW273" s="1"/>
      <c r="XX273" s="1"/>
      <c r="XY273" s="1"/>
      <c r="XZ273" s="1"/>
      <c r="YA273" s="1"/>
      <c r="YB273" s="1"/>
      <c r="YC273" s="1"/>
      <c r="YD273" s="1"/>
      <c r="YE273" s="1"/>
      <c r="YF273" s="1"/>
      <c r="YG273" s="1"/>
      <c r="YH273" s="1"/>
      <c r="YI273" s="1"/>
      <c r="YJ273" s="1"/>
      <c r="YK273" s="1"/>
      <c r="YL273" s="1"/>
      <c r="YM273" s="1"/>
      <c r="YN273" s="1"/>
      <c r="YO273" s="1"/>
      <c r="YP273" s="1"/>
      <c r="YQ273" s="1"/>
      <c r="YR273" s="1"/>
      <c r="YS273" s="1"/>
      <c r="YT273" s="1"/>
      <c r="YU273" s="1"/>
      <c r="YV273" s="1"/>
      <c r="YW273" s="1"/>
      <c r="YX273" s="1"/>
      <c r="YY273" s="1"/>
      <c r="YZ273" s="1"/>
      <c r="ZA273" s="1"/>
      <c r="ZB273" s="1"/>
      <c r="ZC273" s="1"/>
      <c r="ZD273" s="1"/>
      <c r="ZE273" s="1"/>
      <c r="ZF273" s="1"/>
      <c r="ZG273" s="1"/>
      <c r="ZH273" s="1"/>
      <c r="ZI273" s="1"/>
      <c r="ZJ273" s="1"/>
      <c r="ZK273" s="1"/>
      <c r="ZL273" s="1"/>
      <c r="ZM273" s="1"/>
      <c r="ZN273" s="1"/>
      <c r="ZO273" s="1"/>
      <c r="ZP273" s="1"/>
      <c r="ZQ273" s="1"/>
      <c r="ZR273" s="1"/>
      <c r="ZS273" s="1"/>
      <c r="ZT273" s="1"/>
      <c r="ZU273" s="1"/>
      <c r="ZV273" s="1"/>
      <c r="ZW273" s="1"/>
      <c r="ZX273" s="1"/>
      <c r="ZY273" s="1"/>
      <c r="ZZ273" s="1"/>
      <c r="AAA273" s="1"/>
      <c r="AAB273" s="1"/>
      <c r="AAC273" s="1"/>
      <c r="AAD273" s="1"/>
      <c r="AAE273" s="1"/>
      <c r="AAF273" s="1"/>
      <c r="AAG273" s="1"/>
      <c r="AAH273" s="1"/>
      <c r="AAI273" s="1"/>
      <c r="AAJ273" s="1"/>
      <c r="AAK273" s="1"/>
      <c r="AAL273" s="1"/>
      <c r="AAM273" s="1"/>
      <c r="AAN273" s="1"/>
      <c r="AAO273" s="1"/>
      <c r="AAP273" s="1"/>
      <c r="AAQ273" s="1"/>
      <c r="AAR273" s="1"/>
      <c r="AAS273" s="1"/>
      <c r="AAT273" s="1"/>
      <c r="AAU273" s="1"/>
      <c r="AAV273" s="1"/>
      <c r="AAW273" s="1"/>
      <c r="AAX273" s="1"/>
      <c r="AAY273" s="1"/>
      <c r="AAZ273" s="1"/>
      <c r="ABA273" s="1"/>
      <c r="ABB273" s="1"/>
      <c r="ABC273" s="1"/>
      <c r="ABD273" s="1"/>
      <c r="ABE273" s="1"/>
      <c r="ABF273" s="1"/>
      <c r="ABG273" s="1"/>
      <c r="ABH273" s="1"/>
      <c r="ABI273" s="1"/>
      <c r="ABJ273" s="1"/>
      <c r="ABK273" s="1"/>
      <c r="ABL273" s="1"/>
      <c r="ABM273" s="1"/>
      <c r="ABN273" s="1"/>
      <c r="ABO273" s="1"/>
      <c r="ABP273" s="1"/>
      <c r="ABQ273" s="1"/>
      <c r="ABR273" s="1"/>
      <c r="ABS273" s="1"/>
      <c r="ABT273" s="1"/>
      <c r="ABU273" s="1"/>
      <c r="ABV273" s="1"/>
      <c r="ABW273" s="1"/>
      <c r="ABX273" s="1"/>
      <c r="ABY273" s="1"/>
      <c r="ABZ273" s="1"/>
      <c r="ACA273" s="1"/>
      <c r="ACB273" s="1"/>
      <c r="ACC273" s="1"/>
      <c r="ACD273" s="1"/>
      <c r="ACE273" s="1"/>
      <c r="ACF273" s="1"/>
      <c r="ACG273" s="1"/>
      <c r="ACH273" s="1"/>
      <c r="ACI273" s="1"/>
      <c r="ACJ273" s="1"/>
      <c r="ACK273" s="1"/>
      <c r="ACL273" s="1"/>
      <c r="ACM273" s="1"/>
      <c r="ACN273" s="1"/>
      <c r="ACO273" s="1"/>
      <c r="ACP273" s="1"/>
      <c r="ACQ273" s="1"/>
      <c r="ACR273" s="1"/>
      <c r="ACS273" s="1"/>
      <c r="ACT273" s="1"/>
      <c r="ACU273" s="1"/>
      <c r="ACV273" s="1"/>
      <c r="ACW273" s="1"/>
      <c r="ACX273" s="1"/>
      <c r="ACY273" s="1"/>
      <c r="ACZ273" s="1"/>
      <c r="ADA273" s="1"/>
      <c r="ADB273" s="1"/>
      <c r="ADC273" s="1"/>
      <c r="ADD273" s="1"/>
      <c r="ADE273" s="1"/>
      <c r="ADF273" s="1"/>
      <c r="ADG273" s="1"/>
      <c r="ADH273" s="1"/>
      <c r="ADI273" s="1"/>
      <c r="ADJ273" s="1"/>
      <c r="ADK273" s="1"/>
      <c r="ADL273" s="1"/>
      <c r="ADM273" s="1"/>
      <c r="ADN273" s="1"/>
      <c r="ADO273" s="1"/>
      <c r="ADP273" s="1"/>
      <c r="ADQ273" s="1"/>
      <c r="ADR273" s="1"/>
      <c r="ADS273" s="1"/>
      <c r="ADT273" s="1"/>
      <c r="ADU273" s="1"/>
      <c r="ADV273" s="1"/>
      <c r="ADW273" s="1"/>
      <c r="ADX273" s="1"/>
      <c r="ADY273" s="1"/>
      <c r="ADZ273" s="1"/>
      <c r="AEA273" s="1"/>
      <c r="AEB273" s="1"/>
      <c r="AEC273" s="1"/>
      <c r="AED273" s="1"/>
      <c r="AEE273" s="1"/>
      <c r="AEF273" s="1"/>
      <c r="AEG273" s="1"/>
      <c r="AEH273" s="1"/>
      <c r="AEI273" s="1"/>
      <c r="AEJ273" s="1"/>
      <c r="AEK273" s="1"/>
      <c r="AEL273" s="1"/>
      <c r="AEM273" s="1"/>
      <c r="AEN273" s="1"/>
      <c r="AEO273" s="1"/>
      <c r="AEP273" s="1"/>
      <c r="AEQ273" s="1"/>
      <c r="AER273" s="1"/>
      <c r="AES273" s="1"/>
      <c r="AET273" s="1"/>
      <c r="AEU273" s="1"/>
      <c r="AEV273" s="1"/>
      <c r="AEW273" s="1"/>
      <c r="AEX273" s="1"/>
      <c r="AEY273" s="1"/>
      <c r="AEZ273" s="1"/>
      <c r="AFA273" s="1"/>
      <c r="AFB273" s="1"/>
      <c r="AFC273" s="1"/>
      <c r="AFD273" s="1"/>
      <c r="AFE273" s="1"/>
      <c r="AFF273" s="1"/>
      <c r="AFG273" s="1"/>
      <c r="AFH273" s="1"/>
      <c r="AFI273" s="1"/>
      <c r="AFJ273" s="1"/>
      <c r="AFK273" s="1"/>
      <c r="AFL273" s="1"/>
      <c r="AFM273" s="1"/>
      <c r="AFN273" s="1"/>
      <c r="AFO273" s="1"/>
      <c r="AFP273" s="1"/>
      <c r="AFQ273" s="1"/>
      <c r="AFR273" s="1"/>
      <c r="AFS273" s="1"/>
      <c r="AFT273" s="1"/>
      <c r="AFU273" s="1"/>
      <c r="AFV273" s="1"/>
      <c r="AFW273" s="1"/>
      <c r="AFX273" s="1"/>
      <c r="AFY273" s="1"/>
      <c r="AFZ273" s="1"/>
      <c r="AGA273" s="1"/>
      <c r="AGB273" s="1"/>
      <c r="AGC273" s="1"/>
      <c r="AGD273" s="1"/>
      <c r="AGE273" s="1"/>
      <c r="AGF273" s="1"/>
      <c r="AGG273" s="1"/>
      <c r="AGH273" s="1"/>
      <c r="AGI273" s="1"/>
      <c r="AGJ273" s="1"/>
      <c r="AGK273" s="1"/>
      <c r="AGL273" s="1"/>
      <c r="AGM273" s="1"/>
      <c r="AGN273" s="1"/>
      <c r="AGO273" s="1"/>
      <c r="AGP273" s="1"/>
      <c r="AGQ273" s="1"/>
      <c r="AGR273" s="1"/>
      <c r="AGS273" s="1"/>
      <c r="AGT273" s="1"/>
      <c r="AGU273" s="1"/>
      <c r="AGV273" s="1"/>
      <c r="AGW273" s="1"/>
      <c r="AGX273" s="1"/>
      <c r="AGY273" s="1"/>
      <c r="AGZ273" s="1"/>
      <c r="AHA273" s="1"/>
      <c r="AHB273" s="1"/>
      <c r="AHC273" s="1"/>
      <c r="AHD273" s="1"/>
      <c r="AHE273" s="1"/>
      <c r="AHF273" s="1"/>
      <c r="AHG273" s="1"/>
      <c r="AHH273" s="1"/>
      <c r="AHI273" s="1"/>
      <c r="AHJ273" s="1"/>
      <c r="AHK273" s="1"/>
      <c r="AHL273" s="1"/>
      <c r="AHM273" s="1"/>
      <c r="AHN273" s="1"/>
      <c r="AHO273" s="1"/>
      <c r="AHP273" s="1"/>
      <c r="AHQ273" s="1"/>
      <c r="AHR273" s="1"/>
      <c r="AHS273" s="1"/>
      <c r="AHT273" s="1"/>
      <c r="AHU273" s="1"/>
      <c r="AHV273" s="1"/>
      <c r="AHW273" s="1"/>
      <c r="AHX273" s="1"/>
      <c r="AHY273" s="1"/>
      <c r="AHZ273" s="1"/>
      <c r="AIA273" s="1"/>
      <c r="AIB273" s="1"/>
      <c r="AIC273" s="1"/>
      <c r="AID273" s="1"/>
      <c r="AIE273" s="1"/>
      <c r="AIF273" s="1"/>
      <c r="AIG273" s="1"/>
      <c r="AIH273" s="1"/>
      <c r="AII273" s="1"/>
      <c r="AIJ273" s="1"/>
      <c r="AIK273" s="1"/>
      <c r="AIL273" s="1"/>
      <c r="AIM273" s="1"/>
      <c r="AIN273" s="1"/>
      <c r="AIO273" s="1"/>
      <c r="AIP273" s="1"/>
      <c r="AIQ273" s="1"/>
      <c r="AIR273" s="1"/>
      <c r="AIS273" s="1"/>
      <c r="AIT273" s="1"/>
      <c r="AIU273" s="1"/>
      <c r="AIV273" s="1"/>
      <c r="AIW273" s="1"/>
      <c r="AIX273" s="1"/>
      <c r="AIY273" s="1"/>
      <c r="AIZ273" s="1"/>
      <c r="AJA273" s="1"/>
      <c r="AJB273" s="1"/>
      <c r="AJC273" s="1"/>
      <c r="AJD273" s="1"/>
      <c r="AJE273" s="1"/>
      <c r="AJF273" s="1"/>
      <c r="AJG273" s="1"/>
      <c r="AJH273" s="1"/>
      <c r="AJI273" s="1"/>
      <c r="AJJ273" s="1"/>
      <c r="AJK273" s="1"/>
      <c r="AJL273" s="1"/>
      <c r="AJM273" s="1"/>
      <c r="AJN273" s="1"/>
      <c r="AJO273" s="1"/>
      <c r="AJP273" s="1"/>
      <c r="AJQ273" s="1"/>
      <c r="AJR273" s="1"/>
      <c r="AJS273" s="1"/>
      <c r="AJT273" s="1"/>
      <c r="AJU273" s="1"/>
      <c r="AJV273" s="1"/>
      <c r="AJW273" s="1"/>
      <c r="AJX273" s="1"/>
      <c r="AJY273" s="1"/>
      <c r="AJZ273" s="1"/>
      <c r="AKA273" s="1"/>
      <c r="AKB273" s="1"/>
      <c r="AKC273" s="1"/>
      <c r="AKD273" s="1"/>
      <c r="AKE273" s="1"/>
      <c r="AKF273" s="1"/>
      <c r="AKG273" s="1"/>
      <c r="AKH273" s="1"/>
      <c r="AKI273" s="1"/>
      <c r="AKJ273" s="1"/>
      <c r="AKK273" s="1"/>
      <c r="AKL273" s="1"/>
      <c r="AKM273" s="1"/>
      <c r="AKN273" s="1"/>
      <c r="AKO273" s="1"/>
      <c r="AKP273" s="1"/>
      <c r="AKQ273" s="1"/>
      <c r="AKR273" s="1"/>
      <c r="AKS273" s="1"/>
      <c r="AKT273" s="1"/>
      <c r="AKU273" s="1"/>
      <c r="AKV273" s="1"/>
      <c r="AKW273" s="1"/>
      <c r="AKX273" s="1"/>
      <c r="AKY273" s="1"/>
      <c r="AKZ273" s="1"/>
      <c r="ALA273" s="1"/>
      <c r="ALB273" s="1"/>
      <c r="ALC273" s="1"/>
      <c r="ALD273" s="1"/>
      <c r="ALE273" s="1"/>
      <c r="ALF273" s="1"/>
      <c r="ALG273" s="1"/>
      <c r="ALH273" s="1"/>
      <c r="ALI273" s="1"/>
      <c r="ALJ273" s="1"/>
      <c r="ALK273" s="1"/>
      <c r="ALL273" s="1"/>
      <c r="ALM273" s="1"/>
      <c r="ALN273" s="1"/>
      <c r="ALO273" s="1"/>
      <c r="ALP273" s="1"/>
      <c r="ALQ273" s="1"/>
      <c r="ALR273" s="1"/>
      <c r="ALS273" s="1"/>
      <c r="ALT273" s="1"/>
      <c r="ALU273" s="1"/>
      <c r="ALV273" s="1"/>
      <c r="ALW273" s="1"/>
      <c r="ALX273" s="1"/>
      <c r="ALY273" s="1"/>
      <c r="ALZ273" s="1"/>
      <c r="AMA273" s="1"/>
      <c r="AMB273" s="1"/>
      <c r="AMC273" s="1"/>
      <c r="AMD273" s="1"/>
      <c r="AME273" s="1"/>
      <c r="AMF273" s="1"/>
      <c r="AMG273" s="1"/>
      <c r="AMH273" s="1"/>
      <c r="AMI273" s="1"/>
      <c r="AMJ273" s="1"/>
      <c r="AMK273" s="1"/>
      <c r="AML273" s="1"/>
      <c r="AMM273" s="1"/>
      <c r="AMN273" s="1"/>
      <c r="AMO273" s="1"/>
    </row>
    <row r="274" spans="1:1030" x14ac:dyDescent="0.2">
      <c r="A274" s="3" t="str">
        <f t="shared" si="753"/>
        <v>us28_hcmva__wt</v>
      </c>
      <c r="B274" s="3" t="s">
        <v>924</v>
      </c>
      <c r="C274" s="3" t="s">
        <v>100</v>
      </c>
      <c r="D274" s="3" t="str">
        <f>IFERROR(MID(VLOOKUP($B274,Seqs!$A:$B,2,0),E274,1),"")</f>
        <v>F</v>
      </c>
      <c r="E274" s="105">
        <v>25</v>
      </c>
      <c r="F274" s="3" t="str">
        <f>IFERROR(MID(VLOOKUP($B274,Seqs!$A:$B,2,0),G274,1),"")</f>
        <v>R</v>
      </c>
      <c r="G274" s="3">
        <v>61</v>
      </c>
      <c r="H274" s="3" t="str">
        <f>IFERROR(MID(VLOOKUP($B274,Seqs!$A:$B,2,0),I274,1),"")</f>
        <v>R</v>
      </c>
      <c r="I274" s="23">
        <v>62</v>
      </c>
      <c r="J274" s="3" t="str">
        <f>IFERROR(MID(VLOOKUP($B274,Seqs!$A:$B,2,0),K274,1),"")</f>
        <v>Q</v>
      </c>
      <c r="K274" s="23">
        <v>65</v>
      </c>
      <c r="L274" s="3" t="str">
        <f>IFERROR(MID(VLOOKUP($B274,Seqs!$A:$B,2,0),M274,1),"")</f>
        <v>C</v>
      </c>
      <c r="M274" s="3">
        <v>66</v>
      </c>
      <c r="N274" s="3" t="str">
        <f>IFERROR(MID(VLOOKUP($B274,Seqs!$A:$B,2,0),O274,1),"")</f>
        <v>D</v>
      </c>
      <c r="O274" s="3">
        <v>95</v>
      </c>
      <c r="P274" s="3" t="str">
        <f>IFERROR(MID(VLOOKUP($B274,Seqs!$A:$B,2,0),Q274,1),"")</f>
        <v/>
      </c>
      <c r="Q274" s="3" t="s">
        <v>23</v>
      </c>
      <c r="R274" s="3" t="str">
        <f>IFERROR(MID(VLOOKUP($B274,Seqs!$A:$B,2,0),S274,1),"")</f>
        <v/>
      </c>
      <c r="S274" s="3" t="s">
        <v>23</v>
      </c>
      <c r="T274" s="3" t="str">
        <f>IFERROR(MID(VLOOKUP($B274,Seqs!$A:$B,2,0),U274,1),"")</f>
        <v>A</v>
      </c>
      <c r="U274" s="105">
        <v>100</v>
      </c>
      <c r="V274" s="3" t="str">
        <f>IFERROR(MID(VLOOKUP($B274,Seqs!$A:$B,2,0),W274,1),"")</f>
        <v>V</v>
      </c>
      <c r="W274" s="105">
        <v>134</v>
      </c>
      <c r="X274" s="3" t="str">
        <f>IFERROR(MID(VLOOKUP($B274,Seqs!$A:$B,2,0),Y274,1),"")</f>
        <v/>
      </c>
      <c r="Y274" s="3" t="s">
        <v>23</v>
      </c>
      <c r="Z274" s="3" t="str">
        <f>IFERROR(MID(VLOOKUP($B274,Seqs!$A:$B,2,0),AA274,1),"")</f>
        <v/>
      </c>
      <c r="AA274" s="3" t="s">
        <v>23</v>
      </c>
      <c r="AB274" s="3" t="str">
        <f>IFERROR(MID(VLOOKUP($B274,Seqs!$A:$B,2,0),AC274,1),"")</f>
        <v>P</v>
      </c>
      <c r="AC274" s="9">
        <v>140</v>
      </c>
      <c r="AD274" s="3" t="str">
        <f>IFERROR(MID(VLOOKUP($B274,Seqs!$A:$B,2,0),AE274,1),"")</f>
        <v>M</v>
      </c>
      <c r="AE274" s="105">
        <v>164</v>
      </c>
      <c r="AF274" s="3" t="str">
        <f>IFERROR(MID(VLOOKUP($B274,Seqs!$A:$B,2,0),AG274,1),"")</f>
        <v>C</v>
      </c>
      <c r="AG274" s="3">
        <v>173</v>
      </c>
      <c r="AH274" s="3" t="str">
        <f>IFERROR(MID(VLOOKUP($B274,Seqs!$A:$B,2,0),AI274,1),"")</f>
        <v>T</v>
      </c>
      <c r="AI274" s="3">
        <v>175</v>
      </c>
      <c r="AJ274" s="3" t="str">
        <f>IFERROR(MID(VLOOKUP($B274,Seqs!$A:$B,2,0),AK274,1),"")</f>
        <v>S</v>
      </c>
      <c r="AK274" s="105">
        <v>183</v>
      </c>
      <c r="AL274" s="3" t="str">
        <f>IFERROR(MID(VLOOKUP($B274,Seqs!$A:$B,2,0),AM274,1),"")</f>
        <v>S</v>
      </c>
      <c r="AM274" s="3">
        <v>218</v>
      </c>
      <c r="AN274" s="3" t="str">
        <f>IFERROR(MID(VLOOKUP($B274,Seqs!$A:$B,2,0),AO274,1),"")</f>
        <v>H</v>
      </c>
      <c r="AO274" s="3">
        <v>222</v>
      </c>
      <c r="AP274" s="3" t="str">
        <f>IFERROR(MID(VLOOKUP($B274,Seqs!$A:$B,2,0),AQ274,1),"")</f>
        <v>K</v>
      </c>
      <c r="AQ274" s="3">
        <v>257</v>
      </c>
      <c r="AR274" s="3" t="str">
        <f>IFERROR(MID(VLOOKUP($B274,Seqs!$A:$B,2,0),AS274,1),"")</f>
        <v>S</v>
      </c>
      <c r="AS274" s="3">
        <v>262</v>
      </c>
      <c r="AT274" s="3" t="str">
        <f>IFERROR(MID(VLOOKUP($B274,Seqs!$A:$B,2,0),AU274,1),"")</f>
        <v>V</v>
      </c>
      <c r="AU274" s="3">
        <v>294</v>
      </c>
      <c r="AV274" s="3" t="str">
        <f>IFERROR(MID(VLOOKUP($B274,Seqs!$A:$B,2,0),AW274,1),"")</f>
        <v>G</v>
      </c>
      <c r="AW274" s="3">
        <v>295</v>
      </c>
      <c r="AX274" s="3" t="str">
        <f>IFERROR(MID(VLOOKUP($B274,Seqs!$A:$B,2,0),AY274,1),"")</f>
        <v>R</v>
      </c>
      <c r="AY274" s="3">
        <v>310</v>
      </c>
      <c r="AZ274" s="77" t="str">
        <f>VLOOKUP(B274,Classification!A:D,2,0)</f>
        <v>A</v>
      </c>
      <c r="BA274" s="94" t="str">
        <f>VLOOKUP(B274,Classification!A:D,4,0)</f>
        <v>Chemokine</v>
      </c>
      <c r="BB274" s="27" t="b">
        <f t="shared" si="754"/>
        <v>1</v>
      </c>
      <c r="BC274" s="23">
        <f t="shared" si="727"/>
        <v>257</v>
      </c>
      <c r="BD274" s="56" t="s">
        <v>1379</v>
      </c>
      <c r="BE274" s="3" t="s">
        <v>23</v>
      </c>
      <c r="BF274" s="119" t="s">
        <v>23</v>
      </c>
      <c r="BG274" s="49" t="s">
        <v>1379</v>
      </c>
      <c r="BH274" s="49" t="s">
        <v>1384</v>
      </c>
      <c r="BI274" s="1"/>
      <c r="BJ274" s="70" t="s">
        <v>1293</v>
      </c>
      <c r="BK274" s="57" t="s">
        <v>1293</v>
      </c>
      <c r="BL274" s="57" t="s">
        <v>1293</v>
      </c>
      <c r="BM274" s="57" t="s">
        <v>1293</v>
      </c>
      <c r="BN274" s="57" t="s">
        <v>1293</v>
      </c>
      <c r="BO274" s="57" t="s">
        <v>1293</v>
      </c>
      <c r="BP274" s="57" t="s">
        <v>1293</v>
      </c>
      <c r="BQ274" s="57" t="s">
        <v>1293</v>
      </c>
      <c r="BR274" s="57" t="s">
        <v>1293</v>
      </c>
      <c r="BS274" s="57" t="s">
        <v>1293</v>
      </c>
      <c r="BT274" s="57" t="s">
        <v>1293</v>
      </c>
      <c r="BU274" s="57" t="s">
        <v>1293</v>
      </c>
      <c r="BV274" s="70">
        <f t="shared" si="728"/>
        <v>25</v>
      </c>
      <c r="BW274" s="71">
        <f t="shared" si="729"/>
        <v>62</v>
      </c>
      <c r="BX274" s="72">
        <f t="shared" si="730"/>
        <v>66</v>
      </c>
      <c r="BY274" s="71" t="str">
        <f t="shared" si="731"/>
        <v>-</v>
      </c>
      <c r="BZ274" s="72">
        <f t="shared" si="732"/>
        <v>100</v>
      </c>
      <c r="CA274" s="71" t="str">
        <f t="shared" si="733"/>
        <v>-</v>
      </c>
      <c r="CB274" s="72">
        <f t="shared" si="734"/>
        <v>140</v>
      </c>
      <c r="CC274" s="71">
        <f t="shared" si="735"/>
        <v>173</v>
      </c>
      <c r="CD274" s="72">
        <f t="shared" si="736"/>
        <v>183</v>
      </c>
      <c r="CE274" s="71">
        <f t="shared" si="737"/>
        <v>222</v>
      </c>
      <c r="CF274" s="72">
        <f t="shared" si="738"/>
        <v>262</v>
      </c>
      <c r="CG274" s="71">
        <f t="shared" si="739"/>
        <v>295</v>
      </c>
      <c r="CH274" s="70">
        <f t="shared" si="740"/>
        <v>61</v>
      </c>
      <c r="CI274" s="71">
        <f t="shared" si="741"/>
        <v>65</v>
      </c>
      <c r="CJ274" s="72">
        <f t="shared" si="742"/>
        <v>95</v>
      </c>
      <c r="CK274" s="72" t="str">
        <f t="shared" si="743"/>
        <v>-</v>
      </c>
      <c r="CL274" s="72">
        <f t="shared" si="744"/>
        <v>134</v>
      </c>
      <c r="CM274" s="72" t="str">
        <f t="shared" si="745"/>
        <v>-</v>
      </c>
      <c r="CN274" s="72">
        <f t="shared" si="746"/>
        <v>164</v>
      </c>
      <c r="CO274" s="72">
        <f t="shared" si="747"/>
        <v>175</v>
      </c>
      <c r="CP274" s="72">
        <f t="shared" si="748"/>
        <v>218</v>
      </c>
      <c r="CQ274" s="72">
        <f t="shared" si="749"/>
        <v>257</v>
      </c>
      <c r="CR274" s="72">
        <f t="shared" si="750"/>
        <v>294</v>
      </c>
      <c r="CS274" s="72">
        <f t="shared" si="751"/>
        <v>310</v>
      </c>
      <c r="CT274" s="23">
        <f t="shared" si="752"/>
        <v>1</v>
      </c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  <c r="OK274" s="1"/>
      <c r="OL274" s="1"/>
      <c r="OM274" s="1"/>
      <c r="ON274" s="1"/>
      <c r="OO274" s="1"/>
      <c r="OP274" s="1"/>
      <c r="OQ274" s="1"/>
      <c r="OR274" s="1"/>
      <c r="OS274" s="1"/>
      <c r="OT274" s="1"/>
      <c r="OU274" s="1"/>
      <c r="OV274" s="1"/>
      <c r="OW274" s="1"/>
      <c r="OX274" s="1"/>
      <c r="OY274" s="1"/>
      <c r="OZ274" s="1"/>
      <c r="PA274" s="1"/>
      <c r="PB274" s="1"/>
      <c r="PC274" s="1"/>
      <c r="PD274" s="1"/>
      <c r="PE274" s="1"/>
      <c r="PF274" s="1"/>
      <c r="PG274" s="1"/>
      <c r="PH274" s="1"/>
      <c r="PI274" s="1"/>
      <c r="PJ274" s="1"/>
      <c r="PK274" s="1"/>
      <c r="PL274" s="1"/>
      <c r="PM274" s="1"/>
      <c r="PN274" s="1"/>
      <c r="PO274" s="1"/>
      <c r="PP274" s="1"/>
      <c r="PQ274" s="1"/>
      <c r="PR274" s="1"/>
      <c r="PS274" s="1"/>
      <c r="PT274" s="1"/>
      <c r="PU274" s="1"/>
      <c r="PV274" s="1"/>
      <c r="PW274" s="1"/>
      <c r="PX274" s="1"/>
      <c r="PY274" s="1"/>
      <c r="PZ274" s="1"/>
      <c r="QA274" s="1"/>
      <c r="QB274" s="1"/>
      <c r="QC274" s="1"/>
      <c r="QD274" s="1"/>
      <c r="QE274" s="1"/>
      <c r="QF274" s="1"/>
      <c r="QG274" s="1"/>
      <c r="QH274" s="1"/>
      <c r="QI274" s="1"/>
      <c r="QJ274" s="1"/>
      <c r="QK274" s="1"/>
      <c r="QL274" s="1"/>
      <c r="QM274" s="1"/>
      <c r="QN274" s="1"/>
      <c r="QO274" s="1"/>
      <c r="QP274" s="1"/>
      <c r="QQ274" s="1"/>
      <c r="QR274" s="1"/>
      <c r="QS274" s="1"/>
      <c r="QT274" s="1"/>
      <c r="QU274" s="1"/>
      <c r="QV274" s="1"/>
      <c r="QW274" s="1"/>
      <c r="QX274" s="1"/>
      <c r="QY274" s="1"/>
      <c r="QZ274" s="1"/>
      <c r="RA274" s="1"/>
      <c r="RB274" s="1"/>
      <c r="RC274" s="1"/>
      <c r="RD274" s="1"/>
      <c r="RE274" s="1"/>
      <c r="RF274" s="1"/>
      <c r="RG274" s="1"/>
      <c r="RH274" s="1"/>
      <c r="RI274" s="1"/>
      <c r="RJ274" s="1"/>
      <c r="RK274" s="1"/>
      <c r="RL274" s="1"/>
      <c r="RM274" s="1"/>
      <c r="RN274" s="1"/>
      <c r="RO274" s="1"/>
      <c r="RP274" s="1"/>
      <c r="RQ274" s="1"/>
      <c r="RR274" s="1"/>
      <c r="RS274" s="1"/>
      <c r="RT274" s="1"/>
      <c r="RU274" s="1"/>
      <c r="RV274" s="1"/>
      <c r="RW274" s="1"/>
      <c r="RX274" s="1"/>
      <c r="RY274" s="1"/>
      <c r="RZ274" s="1"/>
      <c r="SA274" s="1"/>
      <c r="SB274" s="1"/>
      <c r="SC274" s="1"/>
      <c r="SD274" s="1"/>
      <c r="SE274" s="1"/>
      <c r="SF274" s="1"/>
      <c r="SG274" s="1"/>
      <c r="SH274" s="1"/>
      <c r="SI274" s="1"/>
      <c r="SJ274" s="1"/>
      <c r="SK274" s="1"/>
      <c r="SL274" s="1"/>
      <c r="SM274" s="1"/>
      <c r="SN274" s="1"/>
      <c r="SO274" s="1"/>
      <c r="SP274" s="1"/>
      <c r="SQ274" s="1"/>
      <c r="SR274" s="1"/>
      <c r="SS274" s="1"/>
      <c r="ST274" s="1"/>
      <c r="SU274" s="1"/>
      <c r="SV274" s="1"/>
      <c r="SW274" s="1"/>
      <c r="SX274" s="1"/>
      <c r="SY274" s="1"/>
      <c r="SZ274" s="1"/>
      <c r="TA274" s="1"/>
      <c r="TB274" s="1"/>
      <c r="TC274" s="1"/>
      <c r="TD274" s="1"/>
      <c r="TE274" s="1"/>
      <c r="TF274" s="1"/>
      <c r="TG274" s="1"/>
      <c r="TH274" s="1"/>
      <c r="TI274" s="1"/>
      <c r="TJ274" s="1"/>
      <c r="TK274" s="1"/>
      <c r="TL274" s="1"/>
      <c r="TM274" s="1"/>
      <c r="TN274" s="1"/>
      <c r="TO274" s="1"/>
      <c r="TP274" s="1"/>
      <c r="TQ274" s="1"/>
      <c r="TR274" s="1"/>
      <c r="TS274" s="1"/>
      <c r="TT274" s="1"/>
      <c r="TU274" s="1"/>
      <c r="TV274" s="1"/>
      <c r="TW274" s="1"/>
      <c r="TX274" s="1"/>
      <c r="TY274" s="1"/>
      <c r="TZ274" s="1"/>
      <c r="UA274" s="1"/>
      <c r="UB274" s="1"/>
      <c r="UC274" s="1"/>
      <c r="UD274" s="1"/>
      <c r="UE274" s="1"/>
      <c r="UF274" s="1"/>
      <c r="UG274" s="1"/>
      <c r="UH274" s="1"/>
      <c r="UI274" s="1"/>
      <c r="UJ274" s="1"/>
      <c r="UK274" s="1"/>
      <c r="UL274" s="1"/>
      <c r="UM274" s="1"/>
      <c r="UN274" s="1"/>
      <c r="UO274" s="1"/>
      <c r="UP274" s="1"/>
      <c r="UQ274" s="1"/>
      <c r="UR274" s="1"/>
      <c r="US274" s="1"/>
      <c r="UT274" s="1"/>
      <c r="UU274" s="1"/>
      <c r="UV274" s="1"/>
      <c r="UW274" s="1"/>
      <c r="UX274" s="1"/>
      <c r="UY274" s="1"/>
      <c r="UZ274" s="1"/>
      <c r="VA274" s="1"/>
      <c r="VB274" s="1"/>
      <c r="VC274" s="1"/>
      <c r="VD274" s="1"/>
      <c r="VE274" s="1"/>
      <c r="VF274" s="1"/>
      <c r="VG274" s="1"/>
      <c r="VH274" s="1"/>
      <c r="VI274" s="1"/>
      <c r="VJ274" s="1"/>
      <c r="VK274" s="1"/>
      <c r="VL274" s="1"/>
      <c r="VM274" s="1"/>
      <c r="VN274" s="1"/>
      <c r="VO274" s="1"/>
      <c r="VP274" s="1"/>
      <c r="VQ274" s="1"/>
      <c r="VR274" s="1"/>
      <c r="VS274" s="1"/>
      <c r="VT274" s="1"/>
      <c r="VU274" s="1"/>
      <c r="VV274" s="1"/>
      <c r="VW274" s="1"/>
      <c r="VX274" s="1"/>
      <c r="VY274" s="1"/>
      <c r="VZ274" s="1"/>
      <c r="WA274" s="1"/>
      <c r="WB274" s="1"/>
      <c r="WC274" s="1"/>
      <c r="WD274" s="1"/>
      <c r="WE274" s="1"/>
      <c r="WF274" s="1"/>
      <c r="WG274" s="1"/>
      <c r="WH274" s="1"/>
      <c r="WI274" s="1"/>
      <c r="WJ274" s="1"/>
      <c r="WK274" s="1"/>
      <c r="WL274" s="1"/>
      <c r="WM274" s="1"/>
      <c r="WN274" s="1"/>
      <c r="WO274" s="1"/>
      <c r="WP274" s="1"/>
      <c r="WQ274" s="1"/>
      <c r="WR274" s="1"/>
      <c r="WS274" s="1"/>
      <c r="WT274" s="1"/>
      <c r="WU274" s="1"/>
      <c r="WV274" s="1"/>
      <c r="WW274" s="1"/>
      <c r="WX274" s="1"/>
      <c r="WY274" s="1"/>
      <c r="WZ274" s="1"/>
      <c r="XA274" s="1"/>
      <c r="XB274" s="1"/>
      <c r="XC274" s="1"/>
      <c r="XD274" s="1"/>
      <c r="XE274" s="1"/>
      <c r="XF274" s="1"/>
      <c r="XG274" s="1"/>
      <c r="XH274" s="1"/>
      <c r="XI274" s="1"/>
      <c r="XJ274" s="1"/>
      <c r="XK274" s="1"/>
      <c r="XL274" s="1"/>
      <c r="XM274" s="1"/>
      <c r="XN274" s="1"/>
      <c r="XO274" s="1"/>
      <c r="XP274" s="1"/>
      <c r="XQ274" s="1"/>
      <c r="XR274" s="1"/>
      <c r="XS274" s="1"/>
      <c r="XT274" s="1"/>
      <c r="XU274" s="1"/>
      <c r="XV274" s="1"/>
      <c r="XW274" s="1"/>
      <c r="XX274" s="1"/>
      <c r="XY274" s="1"/>
      <c r="XZ274" s="1"/>
      <c r="YA274" s="1"/>
      <c r="YB274" s="1"/>
      <c r="YC274" s="1"/>
      <c r="YD274" s="1"/>
      <c r="YE274" s="1"/>
      <c r="YF274" s="1"/>
      <c r="YG274" s="1"/>
      <c r="YH274" s="1"/>
      <c r="YI274" s="1"/>
      <c r="YJ274" s="1"/>
      <c r="YK274" s="1"/>
      <c r="YL274" s="1"/>
      <c r="YM274" s="1"/>
      <c r="YN274" s="1"/>
      <c r="YO274" s="1"/>
      <c r="YP274" s="1"/>
      <c r="YQ274" s="1"/>
      <c r="YR274" s="1"/>
      <c r="YS274" s="1"/>
      <c r="YT274" s="1"/>
      <c r="YU274" s="1"/>
      <c r="YV274" s="1"/>
      <c r="YW274" s="1"/>
      <c r="YX274" s="1"/>
      <c r="YY274" s="1"/>
      <c r="YZ274" s="1"/>
      <c r="ZA274" s="1"/>
      <c r="ZB274" s="1"/>
      <c r="ZC274" s="1"/>
      <c r="ZD274" s="1"/>
      <c r="ZE274" s="1"/>
      <c r="ZF274" s="1"/>
      <c r="ZG274" s="1"/>
      <c r="ZH274" s="1"/>
      <c r="ZI274" s="1"/>
      <c r="ZJ274" s="1"/>
      <c r="ZK274" s="1"/>
      <c r="ZL274" s="1"/>
      <c r="ZM274" s="1"/>
      <c r="ZN274" s="1"/>
      <c r="ZO274" s="1"/>
      <c r="ZP274" s="1"/>
      <c r="ZQ274" s="1"/>
      <c r="ZR274" s="1"/>
      <c r="ZS274" s="1"/>
      <c r="ZT274" s="1"/>
      <c r="ZU274" s="1"/>
      <c r="ZV274" s="1"/>
      <c r="ZW274" s="1"/>
      <c r="ZX274" s="1"/>
      <c r="ZY274" s="1"/>
      <c r="ZZ274" s="1"/>
      <c r="AAA274" s="1"/>
      <c r="AAB274" s="1"/>
      <c r="AAC274" s="1"/>
      <c r="AAD274" s="1"/>
      <c r="AAE274" s="1"/>
      <c r="AAF274" s="1"/>
      <c r="AAG274" s="1"/>
      <c r="AAH274" s="1"/>
      <c r="AAI274" s="1"/>
      <c r="AAJ274" s="1"/>
      <c r="AAK274" s="1"/>
      <c r="AAL274" s="1"/>
      <c r="AAM274" s="1"/>
      <c r="AAN274" s="1"/>
      <c r="AAO274" s="1"/>
      <c r="AAP274" s="1"/>
      <c r="AAQ274" s="1"/>
      <c r="AAR274" s="1"/>
      <c r="AAS274" s="1"/>
      <c r="AAT274" s="1"/>
      <c r="AAU274" s="1"/>
      <c r="AAV274" s="1"/>
      <c r="AAW274" s="1"/>
      <c r="AAX274" s="1"/>
      <c r="AAY274" s="1"/>
      <c r="AAZ274" s="1"/>
      <c r="ABA274" s="1"/>
      <c r="ABB274" s="1"/>
      <c r="ABC274" s="1"/>
      <c r="ABD274" s="1"/>
      <c r="ABE274" s="1"/>
      <c r="ABF274" s="1"/>
      <c r="ABG274" s="1"/>
      <c r="ABH274" s="1"/>
      <c r="ABI274" s="1"/>
      <c r="ABJ274" s="1"/>
      <c r="ABK274" s="1"/>
      <c r="ABL274" s="1"/>
      <c r="ABM274" s="1"/>
      <c r="ABN274" s="1"/>
      <c r="ABO274" s="1"/>
      <c r="ABP274" s="1"/>
      <c r="ABQ274" s="1"/>
      <c r="ABR274" s="1"/>
      <c r="ABS274" s="1"/>
      <c r="ABT274" s="1"/>
      <c r="ABU274" s="1"/>
      <c r="ABV274" s="1"/>
      <c r="ABW274" s="1"/>
      <c r="ABX274" s="1"/>
      <c r="ABY274" s="1"/>
      <c r="ABZ274" s="1"/>
      <c r="ACA274" s="1"/>
      <c r="ACB274" s="1"/>
      <c r="ACC274" s="1"/>
      <c r="ACD274" s="1"/>
      <c r="ACE274" s="1"/>
      <c r="ACF274" s="1"/>
      <c r="ACG274" s="1"/>
      <c r="ACH274" s="1"/>
      <c r="ACI274" s="1"/>
      <c r="ACJ274" s="1"/>
      <c r="ACK274" s="1"/>
      <c r="ACL274" s="1"/>
      <c r="ACM274" s="1"/>
      <c r="ACN274" s="1"/>
      <c r="ACO274" s="1"/>
      <c r="ACP274" s="1"/>
      <c r="ACQ274" s="1"/>
      <c r="ACR274" s="1"/>
      <c r="ACS274" s="1"/>
      <c r="ACT274" s="1"/>
      <c r="ACU274" s="1"/>
      <c r="ACV274" s="1"/>
      <c r="ACW274" s="1"/>
      <c r="ACX274" s="1"/>
      <c r="ACY274" s="1"/>
      <c r="ACZ274" s="1"/>
      <c r="ADA274" s="1"/>
      <c r="ADB274" s="1"/>
      <c r="ADC274" s="1"/>
      <c r="ADD274" s="1"/>
      <c r="ADE274" s="1"/>
      <c r="ADF274" s="1"/>
      <c r="ADG274" s="1"/>
      <c r="ADH274" s="1"/>
      <c r="ADI274" s="1"/>
      <c r="ADJ274" s="1"/>
      <c r="ADK274" s="1"/>
      <c r="ADL274" s="1"/>
      <c r="ADM274" s="1"/>
      <c r="ADN274" s="1"/>
      <c r="ADO274" s="1"/>
      <c r="ADP274" s="1"/>
      <c r="ADQ274" s="1"/>
      <c r="ADR274" s="1"/>
      <c r="ADS274" s="1"/>
      <c r="ADT274" s="1"/>
      <c r="ADU274" s="1"/>
      <c r="ADV274" s="1"/>
      <c r="ADW274" s="1"/>
      <c r="ADX274" s="1"/>
      <c r="ADY274" s="1"/>
      <c r="ADZ274" s="1"/>
      <c r="AEA274" s="1"/>
      <c r="AEB274" s="1"/>
      <c r="AEC274" s="1"/>
      <c r="AED274" s="1"/>
      <c r="AEE274" s="1"/>
      <c r="AEF274" s="1"/>
      <c r="AEG274" s="1"/>
      <c r="AEH274" s="1"/>
      <c r="AEI274" s="1"/>
      <c r="AEJ274" s="1"/>
      <c r="AEK274" s="1"/>
      <c r="AEL274" s="1"/>
      <c r="AEM274" s="1"/>
      <c r="AEN274" s="1"/>
      <c r="AEO274" s="1"/>
      <c r="AEP274" s="1"/>
      <c r="AEQ274" s="1"/>
      <c r="AER274" s="1"/>
      <c r="AES274" s="1"/>
      <c r="AET274" s="1"/>
      <c r="AEU274" s="1"/>
      <c r="AEV274" s="1"/>
      <c r="AEW274" s="1"/>
      <c r="AEX274" s="1"/>
      <c r="AEY274" s="1"/>
      <c r="AEZ274" s="1"/>
      <c r="AFA274" s="1"/>
      <c r="AFB274" s="1"/>
      <c r="AFC274" s="1"/>
      <c r="AFD274" s="1"/>
      <c r="AFE274" s="1"/>
      <c r="AFF274" s="1"/>
      <c r="AFG274" s="1"/>
      <c r="AFH274" s="1"/>
      <c r="AFI274" s="1"/>
      <c r="AFJ274" s="1"/>
      <c r="AFK274" s="1"/>
      <c r="AFL274" s="1"/>
      <c r="AFM274" s="1"/>
      <c r="AFN274" s="1"/>
      <c r="AFO274" s="1"/>
      <c r="AFP274" s="1"/>
      <c r="AFQ274" s="1"/>
      <c r="AFR274" s="1"/>
      <c r="AFS274" s="1"/>
      <c r="AFT274" s="1"/>
      <c r="AFU274" s="1"/>
      <c r="AFV274" s="1"/>
      <c r="AFW274" s="1"/>
      <c r="AFX274" s="1"/>
      <c r="AFY274" s="1"/>
      <c r="AFZ274" s="1"/>
      <c r="AGA274" s="1"/>
      <c r="AGB274" s="1"/>
      <c r="AGC274" s="1"/>
      <c r="AGD274" s="1"/>
      <c r="AGE274" s="1"/>
      <c r="AGF274" s="1"/>
      <c r="AGG274" s="1"/>
      <c r="AGH274" s="1"/>
      <c r="AGI274" s="1"/>
      <c r="AGJ274" s="1"/>
      <c r="AGK274" s="1"/>
      <c r="AGL274" s="1"/>
      <c r="AGM274" s="1"/>
      <c r="AGN274" s="1"/>
      <c r="AGO274" s="1"/>
      <c r="AGP274" s="1"/>
      <c r="AGQ274" s="1"/>
      <c r="AGR274" s="1"/>
      <c r="AGS274" s="1"/>
      <c r="AGT274" s="1"/>
      <c r="AGU274" s="1"/>
      <c r="AGV274" s="1"/>
      <c r="AGW274" s="1"/>
      <c r="AGX274" s="1"/>
      <c r="AGY274" s="1"/>
      <c r="AGZ274" s="1"/>
      <c r="AHA274" s="1"/>
      <c r="AHB274" s="1"/>
      <c r="AHC274" s="1"/>
      <c r="AHD274" s="1"/>
      <c r="AHE274" s="1"/>
      <c r="AHF274" s="1"/>
      <c r="AHG274" s="1"/>
      <c r="AHH274" s="1"/>
      <c r="AHI274" s="1"/>
      <c r="AHJ274" s="1"/>
      <c r="AHK274" s="1"/>
      <c r="AHL274" s="1"/>
      <c r="AHM274" s="1"/>
      <c r="AHN274" s="1"/>
      <c r="AHO274" s="1"/>
      <c r="AHP274" s="1"/>
      <c r="AHQ274" s="1"/>
      <c r="AHR274" s="1"/>
      <c r="AHS274" s="1"/>
      <c r="AHT274" s="1"/>
      <c r="AHU274" s="1"/>
      <c r="AHV274" s="1"/>
      <c r="AHW274" s="1"/>
      <c r="AHX274" s="1"/>
      <c r="AHY274" s="1"/>
      <c r="AHZ274" s="1"/>
      <c r="AIA274" s="1"/>
      <c r="AIB274" s="1"/>
      <c r="AIC274" s="1"/>
      <c r="AID274" s="1"/>
      <c r="AIE274" s="1"/>
      <c r="AIF274" s="1"/>
      <c r="AIG274" s="1"/>
      <c r="AIH274" s="1"/>
      <c r="AII274" s="1"/>
      <c r="AIJ274" s="1"/>
      <c r="AIK274" s="1"/>
      <c r="AIL274" s="1"/>
      <c r="AIM274" s="1"/>
      <c r="AIN274" s="1"/>
      <c r="AIO274" s="1"/>
      <c r="AIP274" s="1"/>
      <c r="AIQ274" s="1"/>
      <c r="AIR274" s="1"/>
      <c r="AIS274" s="1"/>
      <c r="AIT274" s="1"/>
      <c r="AIU274" s="1"/>
      <c r="AIV274" s="1"/>
      <c r="AIW274" s="1"/>
      <c r="AIX274" s="1"/>
      <c r="AIY274" s="1"/>
      <c r="AIZ274" s="1"/>
      <c r="AJA274" s="1"/>
      <c r="AJB274" s="1"/>
      <c r="AJC274" s="1"/>
      <c r="AJD274" s="1"/>
      <c r="AJE274" s="1"/>
      <c r="AJF274" s="1"/>
      <c r="AJG274" s="1"/>
      <c r="AJH274" s="1"/>
      <c r="AJI274" s="1"/>
      <c r="AJJ274" s="1"/>
      <c r="AJK274" s="1"/>
      <c r="AJL274" s="1"/>
      <c r="AJM274" s="1"/>
      <c r="AJN274" s="1"/>
      <c r="AJO274" s="1"/>
      <c r="AJP274" s="1"/>
      <c r="AJQ274" s="1"/>
      <c r="AJR274" s="1"/>
      <c r="AJS274" s="1"/>
      <c r="AJT274" s="1"/>
      <c r="AJU274" s="1"/>
      <c r="AJV274" s="1"/>
      <c r="AJW274" s="1"/>
      <c r="AJX274" s="1"/>
      <c r="AJY274" s="1"/>
      <c r="AJZ274" s="1"/>
      <c r="AKA274" s="1"/>
      <c r="AKB274" s="1"/>
      <c r="AKC274" s="1"/>
      <c r="AKD274" s="1"/>
      <c r="AKE274" s="1"/>
      <c r="AKF274" s="1"/>
      <c r="AKG274" s="1"/>
      <c r="AKH274" s="1"/>
      <c r="AKI274" s="1"/>
      <c r="AKJ274" s="1"/>
      <c r="AKK274" s="1"/>
      <c r="AKL274" s="1"/>
      <c r="AKM274" s="1"/>
      <c r="AKN274" s="1"/>
      <c r="AKO274" s="1"/>
      <c r="AKP274" s="1"/>
      <c r="AKQ274" s="1"/>
      <c r="AKR274" s="1"/>
      <c r="AKS274" s="1"/>
      <c r="AKT274" s="1"/>
      <c r="AKU274" s="1"/>
      <c r="AKV274" s="1"/>
      <c r="AKW274" s="1"/>
      <c r="AKX274" s="1"/>
      <c r="AKY274" s="1"/>
      <c r="AKZ274" s="1"/>
      <c r="ALA274" s="1"/>
      <c r="ALB274" s="1"/>
      <c r="ALC274" s="1"/>
      <c r="ALD274" s="1"/>
      <c r="ALE274" s="1"/>
      <c r="ALF274" s="1"/>
      <c r="ALG274" s="1"/>
      <c r="ALH274" s="1"/>
      <c r="ALI274" s="1"/>
      <c r="ALJ274" s="1"/>
      <c r="ALK274" s="1"/>
      <c r="ALL274" s="1"/>
      <c r="ALM274" s="1"/>
      <c r="ALN274" s="1"/>
      <c r="ALO274" s="1"/>
      <c r="ALP274" s="1"/>
      <c r="ALQ274" s="1"/>
      <c r="ALR274" s="1"/>
      <c r="ALS274" s="1"/>
      <c r="ALT274" s="1"/>
      <c r="ALU274" s="1"/>
      <c r="ALV274" s="1"/>
      <c r="ALW274" s="1"/>
      <c r="ALX274" s="1"/>
      <c r="ALY274" s="1"/>
      <c r="ALZ274" s="1"/>
      <c r="AMA274" s="1"/>
      <c r="AMB274" s="1"/>
      <c r="AMC274" s="1"/>
      <c r="AMD274" s="1"/>
      <c r="AME274" s="1"/>
      <c r="AMF274" s="1"/>
      <c r="AMG274" s="1"/>
      <c r="AMH274" s="1"/>
      <c r="AMI274" s="1"/>
      <c r="AMJ274" s="1"/>
      <c r="AMK274" s="1"/>
      <c r="AML274" s="1"/>
      <c r="AMM274" s="1"/>
      <c r="AMN274" s="1"/>
      <c r="AMO274" s="1"/>
    </row>
    <row r="275" spans="1:1030" x14ac:dyDescent="0.2">
      <c r="A275" s="3" t="str">
        <f t="shared" si="753"/>
        <v>us28_hcmva_4XT1</v>
      </c>
      <c r="B275" s="3" t="s">
        <v>924</v>
      </c>
      <c r="C275" s="3" t="s">
        <v>1124</v>
      </c>
      <c r="D275" s="3" t="str">
        <f>IFERROR(MID(VLOOKUP($B275,Seqs!$A:$B,2,0),E275,1),"")</f>
        <v>F</v>
      </c>
      <c r="E275" s="105">
        <v>25</v>
      </c>
      <c r="F275" s="3" t="str">
        <f>IFERROR(MID(VLOOKUP($B275,Seqs!$A:$B,2,0),G275,1),"")</f>
        <v>R</v>
      </c>
      <c r="G275" s="3">
        <v>61</v>
      </c>
      <c r="H275" s="3" t="str">
        <f>IFERROR(MID(VLOOKUP($B275,Seqs!$A:$B,2,0),I275,1),"")</f>
        <v/>
      </c>
      <c r="I275" s="23" t="s">
        <v>23</v>
      </c>
      <c r="J275" s="3" t="str">
        <f>IFERROR(MID(VLOOKUP($B275,Seqs!$A:$B,2,0),K275,1),"")</f>
        <v/>
      </c>
      <c r="K275" s="23" t="s">
        <v>23</v>
      </c>
      <c r="L275" s="3" t="str">
        <f>IFERROR(MID(VLOOKUP($B275,Seqs!$A:$B,2,0),M275,1),"")</f>
        <v>C</v>
      </c>
      <c r="M275" s="3">
        <v>66</v>
      </c>
      <c r="N275" s="3" t="str">
        <f>IFERROR(MID(VLOOKUP($B275,Seqs!$A:$B,2,0),O275,1),"")</f>
        <v>D</v>
      </c>
      <c r="O275" s="3">
        <v>95</v>
      </c>
      <c r="P275" s="3" t="str">
        <f>IFERROR(MID(VLOOKUP($B275,Seqs!$A:$B,2,0),Q275,1),"")</f>
        <v/>
      </c>
      <c r="Q275" s="3" t="s">
        <v>23</v>
      </c>
      <c r="R275" s="3" t="str">
        <f>IFERROR(MID(VLOOKUP($B275,Seqs!$A:$B,2,0),S275,1),"")</f>
        <v/>
      </c>
      <c r="S275" s="3" t="s">
        <v>23</v>
      </c>
      <c r="T275" s="3" t="str">
        <f>IFERROR(MID(VLOOKUP($B275,Seqs!$A:$B,2,0),U275,1),"")</f>
        <v>P</v>
      </c>
      <c r="U275" s="3">
        <v>103</v>
      </c>
      <c r="V275" s="3" t="str">
        <f>IFERROR(MID(VLOOKUP($B275,Seqs!$A:$B,2,0),W275,1),"")</f>
        <v>V</v>
      </c>
      <c r="W275" s="105">
        <v>134</v>
      </c>
      <c r="X275" s="3" t="str">
        <f>IFERROR(MID(VLOOKUP($B275,Seqs!$A:$B,2,0),Y275,1),"")</f>
        <v/>
      </c>
      <c r="Y275" s="3" t="s">
        <v>23</v>
      </c>
      <c r="Z275" s="3" t="str">
        <f>IFERROR(MID(VLOOKUP($B275,Seqs!$A:$B,2,0),AA275,1),"")</f>
        <v/>
      </c>
      <c r="AA275" s="3" t="s">
        <v>23</v>
      </c>
      <c r="AB275" s="3" t="str">
        <f>IFERROR(MID(VLOOKUP($B275,Seqs!$A:$B,2,0),AC275,1),"")</f>
        <v>P</v>
      </c>
      <c r="AC275" s="9">
        <v>140</v>
      </c>
      <c r="AD275" s="3" t="str">
        <f>IFERROR(MID(VLOOKUP($B275,Seqs!$A:$B,2,0),AE275,1),"")</f>
        <v>M</v>
      </c>
      <c r="AE275" s="105">
        <v>164</v>
      </c>
      <c r="AF275" s="3" t="str">
        <f>IFERROR(MID(VLOOKUP($B275,Seqs!$A:$B,2,0),AG275,1),"")</f>
        <v>C</v>
      </c>
      <c r="AG275" s="3">
        <v>173</v>
      </c>
      <c r="AH275" s="3" t="str">
        <f>IFERROR(MID(VLOOKUP($B275,Seqs!$A:$B,2,0),AI275,1),"")</f>
        <v>T</v>
      </c>
      <c r="AI275" s="3">
        <v>175</v>
      </c>
      <c r="AJ275" s="3" t="str">
        <f>IFERROR(MID(VLOOKUP($B275,Seqs!$A:$B,2,0),AK275,1),"")</f>
        <v>S</v>
      </c>
      <c r="AK275" s="105">
        <v>183</v>
      </c>
      <c r="AL275" s="3" t="str">
        <f>IFERROR(MID(VLOOKUP($B275,Seqs!$A:$B,2,0),AM275,1),"")</f>
        <v>S</v>
      </c>
      <c r="AM275" s="3">
        <v>218</v>
      </c>
      <c r="AN275" s="3" t="str">
        <f>IFERROR(MID(VLOOKUP($B275,Seqs!$A:$B,2,0),AO275,1),"")</f>
        <v>H</v>
      </c>
      <c r="AO275" s="3">
        <v>222</v>
      </c>
      <c r="AP275" s="3" t="str">
        <f>IFERROR(MID(VLOOKUP($B275,Seqs!$A:$B,2,0),AQ275,1),"")</f>
        <v>K</v>
      </c>
      <c r="AQ275" s="3">
        <v>257</v>
      </c>
      <c r="AR275" s="3" t="str">
        <f>IFERROR(MID(VLOOKUP($B275,Seqs!$A:$B,2,0),AS275,1),"")</f>
        <v>C</v>
      </c>
      <c r="AS275" s="3">
        <v>263</v>
      </c>
      <c r="AT275" s="3" t="str">
        <f>IFERROR(MID(VLOOKUP($B275,Seqs!$A:$B,2,0),AU275,1),"")</f>
        <v>V</v>
      </c>
      <c r="AU275" s="3">
        <v>294</v>
      </c>
      <c r="AV275" s="3" t="str">
        <f>IFERROR(MID(VLOOKUP($B275,Seqs!$A:$B,2,0),AW275,1),"")</f>
        <v>G</v>
      </c>
      <c r="AW275" s="3">
        <v>295</v>
      </c>
      <c r="AX275" s="3" t="str">
        <f>IFERROR(MID(VLOOKUP($B275,Seqs!$A:$B,2,0),AY275,1),"")</f>
        <v>R</v>
      </c>
      <c r="AY275" s="3">
        <v>310</v>
      </c>
      <c r="AZ275" s="77" t="str">
        <f>VLOOKUP(B275,Classification!A:D,2,0)</f>
        <v>A</v>
      </c>
      <c r="BA275" s="94" t="str">
        <f>VLOOKUP(B275,Classification!A:D,4,0)</f>
        <v>Chemokine</v>
      </c>
      <c r="BB275" s="27" t="b">
        <f t="shared" si="754"/>
        <v>1</v>
      </c>
      <c r="BC275" s="23">
        <f t="shared" si="727"/>
        <v>250</v>
      </c>
      <c r="BD275" s="4" t="s">
        <v>1382</v>
      </c>
      <c r="BE275" s="3" t="s">
        <v>1297</v>
      </c>
      <c r="BF275" s="119">
        <v>2.89</v>
      </c>
      <c r="BG275" s="49" t="s">
        <v>1384</v>
      </c>
      <c r="BH275" s="49" t="s">
        <v>1384</v>
      </c>
      <c r="BI275" s="1"/>
      <c r="BJ275" s="70" t="s">
        <v>1293</v>
      </c>
      <c r="BK275" s="57" t="s">
        <v>1293</v>
      </c>
      <c r="BL275" s="57" t="s">
        <v>1293</v>
      </c>
      <c r="BM275" s="57" t="s">
        <v>1293</v>
      </c>
      <c r="BN275" s="57" t="s">
        <v>1293</v>
      </c>
      <c r="BO275" s="57" t="s">
        <v>1293</v>
      </c>
      <c r="BP275" s="57" t="s">
        <v>1293</v>
      </c>
      <c r="BQ275" s="57" t="s">
        <v>1293</v>
      </c>
      <c r="BR275" s="57" t="s">
        <v>1293</v>
      </c>
      <c r="BS275" s="57" t="s">
        <v>1293</v>
      </c>
      <c r="BT275" s="57" t="s">
        <v>1293</v>
      </c>
      <c r="BU275" s="57" t="s">
        <v>1293</v>
      </c>
      <c r="BV275" s="70">
        <f t="shared" si="728"/>
        <v>25</v>
      </c>
      <c r="BW275" s="71" t="str">
        <f t="shared" si="729"/>
        <v>-</v>
      </c>
      <c r="BX275" s="72">
        <f t="shared" si="730"/>
        <v>66</v>
      </c>
      <c r="BY275" s="71" t="str">
        <f t="shared" si="731"/>
        <v>-</v>
      </c>
      <c r="BZ275" s="72">
        <f t="shared" si="732"/>
        <v>103</v>
      </c>
      <c r="CA275" s="71" t="str">
        <f t="shared" si="733"/>
        <v>-</v>
      </c>
      <c r="CB275" s="72">
        <f t="shared" si="734"/>
        <v>140</v>
      </c>
      <c r="CC275" s="71">
        <f t="shared" si="735"/>
        <v>173</v>
      </c>
      <c r="CD275" s="72">
        <f t="shared" si="736"/>
        <v>183</v>
      </c>
      <c r="CE275" s="71">
        <f t="shared" si="737"/>
        <v>222</v>
      </c>
      <c r="CF275" s="72">
        <f t="shared" si="738"/>
        <v>263</v>
      </c>
      <c r="CG275" s="71">
        <f t="shared" si="739"/>
        <v>295</v>
      </c>
      <c r="CH275" s="70">
        <f t="shared" si="740"/>
        <v>61</v>
      </c>
      <c r="CI275" s="71" t="str">
        <f t="shared" si="741"/>
        <v>-</v>
      </c>
      <c r="CJ275" s="72">
        <f t="shared" si="742"/>
        <v>95</v>
      </c>
      <c r="CK275" s="72" t="str">
        <f t="shared" si="743"/>
        <v>-</v>
      </c>
      <c r="CL275" s="72">
        <f t="shared" si="744"/>
        <v>134</v>
      </c>
      <c r="CM275" s="72" t="str">
        <f t="shared" si="745"/>
        <v>-</v>
      </c>
      <c r="CN275" s="72">
        <f t="shared" si="746"/>
        <v>164</v>
      </c>
      <c r="CO275" s="72">
        <f t="shared" si="747"/>
        <v>175</v>
      </c>
      <c r="CP275" s="72">
        <f t="shared" si="748"/>
        <v>218</v>
      </c>
      <c r="CQ275" s="72">
        <f t="shared" si="749"/>
        <v>257</v>
      </c>
      <c r="CR275" s="72">
        <f t="shared" si="750"/>
        <v>294</v>
      </c>
      <c r="CS275" s="72">
        <f t="shared" si="751"/>
        <v>310</v>
      </c>
      <c r="CT275" s="23" t="e">
        <f t="shared" si="752"/>
        <v>#VALUE!</v>
      </c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  <c r="OK275" s="1"/>
      <c r="OL275" s="1"/>
      <c r="OM275" s="1"/>
      <c r="ON275" s="1"/>
      <c r="OO275" s="1"/>
      <c r="OP275" s="1"/>
      <c r="OQ275" s="1"/>
      <c r="OR275" s="1"/>
      <c r="OS275" s="1"/>
      <c r="OT275" s="1"/>
      <c r="OU275" s="1"/>
      <c r="OV275" s="1"/>
      <c r="OW275" s="1"/>
      <c r="OX275" s="1"/>
      <c r="OY275" s="1"/>
      <c r="OZ275" s="1"/>
      <c r="PA275" s="1"/>
      <c r="PB275" s="1"/>
      <c r="PC275" s="1"/>
      <c r="PD275" s="1"/>
      <c r="PE275" s="1"/>
      <c r="PF275" s="1"/>
      <c r="PG275" s="1"/>
      <c r="PH275" s="1"/>
      <c r="PI275" s="1"/>
      <c r="PJ275" s="1"/>
      <c r="PK275" s="1"/>
      <c r="PL275" s="1"/>
      <c r="PM275" s="1"/>
      <c r="PN275" s="1"/>
      <c r="PO275" s="1"/>
      <c r="PP275" s="1"/>
      <c r="PQ275" s="1"/>
      <c r="PR275" s="1"/>
      <c r="PS275" s="1"/>
      <c r="PT275" s="1"/>
      <c r="PU275" s="1"/>
      <c r="PV275" s="1"/>
      <c r="PW275" s="1"/>
      <c r="PX275" s="1"/>
      <c r="PY275" s="1"/>
      <c r="PZ275" s="1"/>
      <c r="QA275" s="1"/>
      <c r="QB275" s="1"/>
      <c r="QC275" s="1"/>
      <c r="QD275" s="1"/>
      <c r="QE275" s="1"/>
      <c r="QF275" s="1"/>
      <c r="QG275" s="1"/>
      <c r="QH275" s="1"/>
      <c r="QI275" s="1"/>
      <c r="QJ275" s="1"/>
      <c r="QK275" s="1"/>
      <c r="QL275" s="1"/>
      <c r="QM275" s="1"/>
      <c r="QN275" s="1"/>
      <c r="QO275" s="1"/>
      <c r="QP275" s="1"/>
      <c r="QQ275" s="1"/>
      <c r="QR275" s="1"/>
      <c r="QS275" s="1"/>
      <c r="QT275" s="1"/>
      <c r="QU275" s="1"/>
      <c r="QV275" s="1"/>
      <c r="QW275" s="1"/>
      <c r="QX275" s="1"/>
      <c r="QY275" s="1"/>
      <c r="QZ275" s="1"/>
      <c r="RA275" s="1"/>
      <c r="RB275" s="1"/>
      <c r="RC275" s="1"/>
      <c r="RD275" s="1"/>
      <c r="RE275" s="1"/>
      <c r="RF275" s="1"/>
      <c r="RG275" s="1"/>
      <c r="RH275" s="1"/>
      <c r="RI275" s="1"/>
      <c r="RJ275" s="1"/>
      <c r="RK275" s="1"/>
      <c r="RL275" s="1"/>
      <c r="RM275" s="1"/>
      <c r="RN275" s="1"/>
      <c r="RO275" s="1"/>
      <c r="RP275" s="1"/>
      <c r="RQ275" s="1"/>
      <c r="RR275" s="1"/>
      <c r="RS275" s="1"/>
      <c r="RT275" s="1"/>
      <c r="RU275" s="1"/>
      <c r="RV275" s="1"/>
      <c r="RW275" s="1"/>
      <c r="RX275" s="1"/>
      <c r="RY275" s="1"/>
      <c r="RZ275" s="1"/>
      <c r="SA275" s="1"/>
      <c r="SB275" s="1"/>
      <c r="SC275" s="1"/>
      <c r="SD275" s="1"/>
      <c r="SE275" s="1"/>
      <c r="SF275" s="1"/>
      <c r="SG275" s="1"/>
      <c r="SH275" s="1"/>
      <c r="SI275" s="1"/>
      <c r="SJ275" s="1"/>
      <c r="SK275" s="1"/>
      <c r="SL275" s="1"/>
      <c r="SM275" s="1"/>
      <c r="SN275" s="1"/>
      <c r="SO275" s="1"/>
      <c r="SP275" s="1"/>
      <c r="SQ275" s="1"/>
      <c r="SR275" s="1"/>
      <c r="SS275" s="1"/>
      <c r="ST275" s="1"/>
      <c r="SU275" s="1"/>
      <c r="SV275" s="1"/>
      <c r="SW275" s="1"/>
      <c r="SX275" s="1"/>
      <c r="SY275" s="1"/>
      <c r="SZ275" s="1"/>
      <c r="TA275" s="1"/>
      <c r="TB275" s="1"/>
      <c r="TC275" s="1"/>
      <c r="TD275" s="1"/>
      <c r="TE275" s="1"/>
      <c r="TF275" s="1"/>
      <c r="TG275" s="1"/>
      <c r="TH275" s="1"/>
      <c r="TI275" s="1"/>
      <c r="TJ275" s="1"/>
      <c r="TK275" s="1"/>
      <c r="TL275" s="1"/>
      <c r="TM275" s="1"/>
      <c r="TN275" s="1"/>
      <c r="TO275" s="1"/>
      <c r="TP275" s="1"/>
      <c r="TQ275" s="1"/>
      <c r="TR275" s="1"/>
      <c r="TS275" s="1"/>
      <c r="TT275" s="1"/>
      <c r="TU275" s="1"/>
      <c r="TV275" s="1"/>
      <c r="TW275" s="1"/>
      <c r="TX275" s="1"/>
      <c r="TY275" s="1"/>
      <c r="TZ275" s="1"/>
      <c r="UA275" s="1"/>
      <c r="UB275" s="1"/>
      <c r="UC275" s="1"/>
      <c r="UD275" s="1"/>
      <c r="UE275" s="1"/>
      <c r="UF275" s="1"/>
      <c r="UG275" s="1"/>
      <c r="UH275" s="1"/>
      <c r="UI275" s="1"/>
      <c r="UJ275" s="1"/>
      <c r="UK275" s="1"/>
      <c r="UL275" s="1"/>
      <c r="UM275" s="1"/>
      <c r="UN275" s="1"/>
      <c r="UO275" s="1"/>
      <c r="UP275" s="1"/>
      <c r="UQ275" s="1"/>
      <c r="UR275" s="1"/>
      <c r="US275" s="1"/>
      <c r="UT275" s="1"/>
      <c r="UU275" s="1"/>
      <c r="UV275" s="1"/>
      <c r="UW275" s="1"/>
      <c r="UX275" s="1"/>
      <c r="UY275" s="1"/>
      <c r="UZ275" s="1"/>
      <c r="VA275" s="1"/>
      <c r="VB275" s="1"/>
      <c r="VC275" s="1"/>
      <c r="VD275" s="1"/>
      <c r="VE275" s="1"/>
      <c r="VF275" s="1"/>
      <c r="VG275" s="1"/>
      <c r="VH275" s="1"/>
      <c r="VI275" s="1"/>
      <c r="VJ275" s="1"/>
      <c r="VK275" s="1"/>
      <c r="VL275" s="1"/>
      <c r="VM275" s="1"/>
      <c r="VN275" s="1"/>
      <c r="VO275" s="1"/>
      <c r="VP275" s="1"/>
      <c r="VQ275" s="1"/>
      <c r="VR275" s="1"/>
      <c r="VS275" s="1"/>
      <c r="VT275" s="1"/>
      <c r="VU275" s="1"/>
      <c r="VV275" s="1"/>
      <c r="VW275" s="1"/>
      <c r="VX275" s="1"/>
      <c r="VY275" s="1"/>
      <c r="VZ275" s="1"/>
      <c r="WA275" s="1"/>
      <c r="WB275" s="1"/>
      <c r="WC275" s="1"/>
      <c r="WD275" s="1"/>
      <c r="WE275" s="1"/>
      <c r="WF275" s="1"/>
      <c r="WG275" s="1"/>
      <c r="WH275" s="1"/>
      <c r="WI275" s="1"/>
      <c r="WJ275" s="1"/>
      <c r="WK275" s="1"/>
      <c r="WL275" s="1"/>
      <c r="WM275" s="1"/>
      <c r="WN275" s="1"/>
      <c r="WO275" s="1"/>
      <c r="WP275" s="1"/>
      <c r="WQ275" s="1"/>
      <c r="WR275" s="1"/>
      <c r="WS275" s="1"/>
      <c r="WT275" s="1"/>
      <c r="WU275" s="1"/>
      <c r="WV275" s="1"/>
      <c r="WW275" s="1"/>
      <c r="WX275" s="1"/>
      <c r="WY275" s="1"/>
      <c r="WZ275" s="1"/>
      <c r="XA275" s="1"/>
      <c r="XB275" s="1"/>
      <c r="XC275" s="1"/>
      <c r="XD275" s="1"/>
      <c r="XE275" s="1"/>
      <c r="XF275" s="1"/>
      <c r="XG275" s="1"/>
      <c r="XH275" s="1"/>
      <c r="XI275" s="1"/>
      <c r="XJ275" s="1"/>
      <c r="XK275" s="1"/>
      <c r="XL275" s="1"/>
      <c r="XM275" s="1"/>
      <c r="XN275" s="1"/>
      <c r="XO275" s="1"/>
      <c r="XP275" s="1"/>
      <c r="XQ275" s="1"/>
      <c r="XR275" s="1"/>
      <c r="XS275" s="1"/>
      <c r="XT275" s="1"/>
      <c r="XU275" s="1"/>
      <c r="XV275" s="1"/>
      <c r="XW275" s="1"/>
      <c r="XX275" s="1"/>
      <c r="XY275" s="1"/>
      <c r="XZ275" s="1"/>
      <c r="YA275" s="1"/>
      <c r="YB275" s="1"/>
      <c r="YC275" s="1"/>
      <c r="YD275" s="1"/>
      <c r="YE275" s="1"/>
      <c r="YF275" s="1"/>
      <c r="YG275" s="1"/>
      <c r="YH275" s="1"/>
      <c r="YI275" s="1"/>
      <c r="YJ275" s="1"/>
      <c r="YK275" s="1"/>
      <c r="YL275" s="1"/>
      <c r="YM275" s="1"/>
      <c r="YN275" s="1"/>
      <c r="YO275" s="1"/>
      <c r="YP275" s="1"/>
      <c r="YQ275" s="1"/>
      <c r="YR275" s="1"/>
      <c r="YS275" s="1"/>
      <c r="YT275" s="1"/>
      <c r="YU275" s="1"/>
      <c r="YV275" s="1"/>
      <c r="YW275" s="1"/>
      <c r="YX275" s="1"/>
      <c r="YY275" s="1"/>
      <c r="YZ275" s="1"/>
      <c r="ZA275" s="1"/>
      <c r="ZB275" s="1"/>
      <c r="ZC275" s="1"/>
      <c r="ZD275" s="1"/>
      <c r="ZE275" s="1"/>
      <c r="ZF275" s="1"/>
      <c r="ZG275" s="1"/>
      <c r="ZH275" s="1"/>
      <c r="ZI275" s="1"/>
      <c r="ZJ275" s="1"/>
      <c r="ZK275" s="1"/>
      <c r="ZL275" s="1"/>
      <c r="ZM275" s="1"/>
      <c r="ZN275" s="1"/>
      <c r="ZO275" s="1"/>
      <c r="ZP275" s="1"/>
      <c r="ZQ275" s="1"/>
      <c r="ZR275" s="1"/>
      <c r="ZS275" s="1"/>
      <c r="ZT275" s="1"/>
      <c r="ZU275" s="1"/>
      <c r="ZV275" s="1"/>
      <c r="ZW275" s="1"/>
      <c r="ZX275" s="1"/>
      <c r="ZY275" s="1"/>
      <c r="ZZ275" s="1"/>
      <c r="AAA275" s="1"/>
      <c r="AAB275" s="1"/>
      <c r="AAC275" s="1"/>
      <c r="AAD275" s="1"/>
      <c r="AAE275" s="1"/>
      <c r="AAF275" s="1"/>
      <c r="AAG275" s="1"/>
      <c r="AAH275" s="1"/>
      <c r="AAI275" s="1"/>
      <c r="AAJ275" s="1"/>
      <c r="AAK275" s="1"/>
      <c r="AAL275" s="1"/>
      <c r="AAM275" s="1"/>
      <c r="AAN275" s="1"/>
      <c r="AAO275" s="1"/>
      <c r="AAP275" s="1"/>
      <c r="AAQ275" s="1"/>
      <c r="AAR275" s="1"/>
      <c r="AAS275" s="1"/>
      <c r="AAT275" s="1"/>
      <c r="AAU275" s="1"/>
      <c r="AAV275" s="1"/>
      <c r="AAW275" s="1"/>
      <c r="AAX275" s="1"/>
      <c r="AAY275" s="1"/>
      <c r="AAZ275" s="1"/>
      <c r="ABA275" s="1"/>
      <c r="ABB275" s="1"/>
      <c r="ABC275" s="1"/>
      <c r="ABD275" s="1"/>
      <c r="ABE275" s="1"/>
      <c r="ABF275" s="1"/>
      <c r="ABG275" s="1"/>
      <c r="ABH275" s="1"/>
      <c r="ABI275" s="1"/>
      <c r="ABJ275" s="1"/>
      <c r="ABK275" s="1"/>
      <c r="ABL275" s="1"/>
      <c r="ABM275" s="1"/>
      <c r="ABN275" s="1"/>
      <c r="ABO275" s="1"/>
      <c r="ABP275" s="1"/>
      <c r="ABQ275" s="1"/>
      <c r="ABR275" s="1"/>
      <c r="ABS275" s="1"/>
      <c r="ABT275" s="1"/>
      <c r="ABU275" s="1"/>
      <c r="ABV275" s="1"/>
      <c r="ABW275" s="1"/>
      <c r="ABX275" s="1"/>
      <c r="ABY275" s="1"/>
      <c r="ABZ275" s="1"/>
      <c r="ACA275" s="1"/>
      <c r="ACB275" s="1"/>
      <c r="ACC275" s="1"/>
      <c r="ACD275" s="1"/>
      <c r="ACE275" s="1"/>
      <c r="ACF275" s="1"/>
      <c r="ACG275" s="1"/>
      <c r="ACH275" s="1"/>
      <c r="ACI275" s="1"/>
      <c r="ACJ275" s="1"/>
      <c r="ACK275" s="1"/>
      <c r="ACL275" s="1"/>
      <c r="ACM275" s="1"/>
      <c r="ACN275" s="1"/>
      <c r="ACO275" s="1"/>
      <c r="ACP275" s="1"/>
      <c r="ACQ275" s="1"/>
      <c r="ACR275" s="1"/>
      <c r="ACS275" s="1"/>
      <c r="ACT275" s="1"/>
      <c r="ACU275" s="1"/>
      <c r="ACV275" s="1"/>
      <c r="ACW275" s="1"/>
      <c r="ACX275" s="1"/>
      <c r="ACY275" s="1"/>
      <c r="ACZ275" s="1"/>
      <c r="ADA275" s="1"/>
      <c r="ADB275" s="1"/>
      <c r="ADC275" s="1"/>
      <c r="ADD275" s="1"/>
      <c r="ADE275" s="1"/>
      <c r="ADF275" s="1"/>
      <c r="ADG275" s="1"/>
      <c r="ADH275" s="1"/>
      <c r="ADI275" s="1"/>
      <c r="ADJ275" s="1"/>
      <c r="ADK275" s="1"/>
      <c r="ADL275" s="1"/>
      <c r="ADM275" s="1"/>
      <c r="ADN275" s="1"/>
      <c r="ADO275" s="1"/>
      <c r="ADP275" s="1"/>
      <c r="ADQ275" s="1"/>
      <c r="ADR275" s="1"/>
      <c r="ADS275" s="1"/>
      <c r="ADT275" s="1"/>
      <c r="ADU275" s="1"/>
      <c r="ADV275" s="1"/>
      <c r="ADW275" s="1"/>
      <c r="ADX275" s="1"/>
      <c r="ADY275" s="1"/>
      <c r="ADZ275" s="1"/>
      <c r="AEA275" s="1"/>
      <c r="AEB275" s="1"/>
      <c r="AEC275" s="1"/>
      <c r="AED275" s="1"/>
      <c r="AEE275" s="1"/>
      <c r="AEF275" s="1"/>
      <c r="AEG275" s="1"/>
      <c r="AEH275" s="1"/>
      <c r="AEI275" s="1"/>
      <c r="AEJ275" s="1"/>
      <c r="AEK275" s="1"/>
      <c r="AEL275" s="1"/>
      <c r="AEM275" s="1"/>
      <c r="AEN275" s="1"/>
      <c r="AEO275" s="1"/>
      <c r="AEP275" s="1"/>
      <c r="AEQ275" s="1"/>
      <c r="AER275" s="1"/>
      <c r="AES275" s="1"/>
      <c r="AET275" s="1"/>
      <c r="AEU275" s="1"/>
      <c r="AEV275" s="1"/>
      <c r="AEW275" s="1"/>
      <c r="AEX275" s="1"/>
      <c r="AEY275" s="1"/>
      <c r="AEZ275" s="1"/>
      <c r="AFA275" s="1"/>
      <c r="AFB275" s="1"/>
      <c r="AFC275" s="1"/>
      <c r="AFD275" s="1"/>
      <c r="AFE275" s="1"/>
      <c r="AFF275" s="1"/>
      <c r="AFG275" s="1"/>
      <c r="AFH275" s="1"/>
      <c r="AFI275" s="1"/>
      <c r="AFJ275" s="1"/>
      <c r="AFK275" s="1"/>
      <c r="AFL275" s="1"/>
      <c r="AFM275" s="1"/>
      <c r="AFN275" s="1"/>
      <c r="AFO275" s="1"/>
      <c r="AFP275" s="1"/>
      <c r="AFQ275" s="1"/>
      <c r="AFR275" s="1"/>
      <c r="AFS275" s="1"/>
      <c r="AFT275" s="1"/>
      <c r="AFU275" s="1"/>
      <c r="AFV275" s="1"/>
      <c r="AFW275" s="1"/>
      <c r="AFX275" s="1"/>
      <c r="AFY275" s="1"/>
      <c r="AFZ275" s="1"/>
      <c r="AGA275" s="1"/>
      <c r="AGB275" s="1"/>
      <c r="AGC275" s="1"/>
      <c r="AGD275" s="1"/>
      <c r="AGE275" s="1"/>
      <c r="AGF275" s="1"/>
      <c r="AGG275" s="1"/>
      <c r="AGH275" s="1"/>
      <c r="AGI275" s="1"/>
      <c r="AGJ275" s="1"/>
      <c r="AGK275" s="1"/>
      <c r="AGL275" s="1"/>
      <c r="AGM275" s="1"/>
      <c r="AGN275" s="1"/>
      <c r="AGO275" s="1"/>
      <c r="AGP275" s="1"/>
      <c r="AGQ275" s="1"/>
      <c r="AGR275" s="1"/>
      <c r="AGS275" s="1"/>
      <c r="AGT275" s="1"/>
      <c r="AGU275" s="1"/>
      <c r="AGV275" s="1"/>
      <c r="AGW275" s="1"/>
      <c r="AGX275" s="1"/>
      <c r="AGY275" s="1"/>
      <c r="AGZ275" s="1"/>
      <c r="AHA275" s="1"/>
      <c r="AHB275" s="1"/>
      <c r="AHC275" s="1"/>
      <c r="AHD275" s="1"/>
      <c r="AHE275" s="1"/>
      <c r="AHF275" s="1"/>
      <c r="AHG275" s="1"/>
      <c r="AHH275" s="1"/>
      <c r="AHI275" s="1"/>
      <c r="AHJ275" s="1"/>
      <c r="AHK275" s="1"/>
      <c r="AHL275" s="1"/>
      <c r="AHM275" s="1"/>
      <c r="AHN275" s="1"/>
      <c r="AHO275" s="1"/>
      <c r="AHP275" s="1"/>
      <c r="AHQ275" s="1"/>
      <c r="AHR275" s="1"/>
      <c r="AHS275" s="1"/>
      <c r="AHT275" s="1"/>
      <c r="AHU275" s="1"/>
      <c r="AHV275" s="1"/>
      <c r="AHW275" s="1"/>
      <c r="AHX275" s="1"/>
      <c r="AHY275" s="1"/>
      <c r="AHZ275" s="1"/>
      <c r="AIA275" s="1"/>
      <c r="AIB275" s="1"/>
      <c r="AIC275" s="1"/>
      <c r="AID275" s="1"/>
      <c r="AIE275" s="1"/>
      <c r="AIF275" s="1"/>
      <c r="AIG275" s="1"/>
      <c r="AIH275" s="1"/>
      <c r="AII275" s="1"/>
      <c r="AIJ275" s="1"/>
      <c r="AIK275" s="1"/>
      <c r="AIL275" s="1"/>
      <c r="AIM275" s="1"/>
      <c r="AIN275" s="1"/>
      <c r="AIO275" s="1"/>
      <c r="AIP275" s="1"/>
      <c r="AIQ275" s="1"/>
      <c r="AIR275" s="1"/>
      <c r="AIS275" s="1"/>
      <c r="AIT275" s="1"/>
      <c r="AIU275" s="1"/>
      <c r="AIV275" s="1"/>
      <c r="AIW275" s="1"/>
      <c r="AIX275" s="1"/>
      <c r="AIY275" s="1"/>
      <c r="AIZ275" s="1"/>
      <c r="AJA275" s="1"/>
      <c r="AJB275" s="1"/>
      <c r="AJC275" s="1"/>
      <c r="AJD275" s="1"/>
      <c r="AJE275" s="1"/>
      <c r="AJF275" s="1"/>
      <c r="AJG275" s="1"/>
      <c r="AJH275" s="1"/>
      <c r="AJI275" s="1"/>
      <c r="AJJ275" s="1"/>
      <c r="AJK275" s="1"/>
      <c r="AJL275" s="1"/>
      <c r="AJM275" s="1"/>
      <c r="AJN275" s="1"/>
      <c r="AJO275" s="1"/>
      <c r="AJP275" s="1"/>
      <c r="AJQ275" s="1"/>
      <c r="AJR275" s="1"/>
      <c r="AJS275" s="1"/>
      <c r="AJT275" s="1"/>
      <c r="AJU275" s="1"/>
      <c r="AJV275" s="1"/>
      <c r="AJW275" s="1"/>
      <c r="AJX275" s="1"/>
      <c r="AJY275" s="1"/>
      <c r="AJZ275" s="1"/>
      <c r="AKA275" s="1"/>
      <c r="AKB275" s="1"/>
      <c r="AKC275" s="1"/>
      <c r="AKD275" s="1"/>
      <c r="AKE275" s="1"/>
      <c r="AKF275" s="1"/>
      <c r="AKG275" s="1"/>
      <c r="AKH275" s="1"/>
      <c r="AKI275" s="1"/>
      <c r="AKJ275" s="1"/>
      <c r="AKK275" s="1"/>
      <c r="AKL275" s="1"/>
      <c r="AKM275" s="1"/>
      <c r="AKN275" s="1"/>
      <c r="AKO275" s="1"/>
      <c r="AKP275" s="1"/>
      <c r="AKQ275" s="1"/>
      <c r="AKR275" s="1"/>
      <c r="AKS275" s="1"/>
      <c r="AKT275" s="1"/>
      <c r="AKU275" s="1"/>
      <c r="AKV275" s="1"/>
      <c r="AKW275" s="1"/>
      <c r="AKX275" s="1"/>
      <c r="AKY275" s="1"/>
      <c r="AKZ275" s="1"/>
      <c r="ALA275" s="1"/>
      <c r="ALB275" s="1"/>
      <c r="ALC275" s="1"/>
      <c r="ALD275" s="1"/>
      <c r="ALE275" s="1"/>
      <c r="ALF275" s="1"/>
      <c r="ALG275" s="1"/>
      <c r="ALH275" s="1"/>
      <c r="ALI275" s="1"/>
      <c r="ALJ275" s="1"/>
      <c r="ALK275" s="1"/>
      <c r="ALL275" s="1"/>
      <c r="ALM275" s="1"/>
      <c r="ALN275" s="1"/>
      <c r="ALO275" s="1"/>
      <c r="ALP275" s="1"/>
      <c r="ALQ275" s="1"/>
      <c r="ALR275" s="1"/>
      <c r="ALS275" s="1"/>
      <c r="ALT275" s="1"/>
      <c r="ALU275" s="1"/>
      <c r="ALV275" s="1"/>
      <c r="ALW275" s="1"/>
      <c r="ALX275" s="1"/>
      <c r="ALY275" s="1"/>
      <c r="ALZ275" s="1"/>
      <c r="AMA275" s="1"/>
      <c r="AMB275" s="1"/>
      <c r="AMC275" s="1"/>
      <c r="AMD275" s="1"/>
      <c r="AME275" s="1"/>
      <c r="AMF275" s="1"/>
      <c r="AMG275" s="1"/>
      <c r="AMH275" s="1"/>
      <c r="AMI275" s="1"/>
      <c r="AMJ275" s="1"/>
      <c r="AMK275" s="1"/>
      <c r="AML275" s="1"/>
      <c r="AMM275" s="1"/>
      <c r="AMN275" s="1"/>
      <c r="AMO275" s="1"/>
    </row>
    <row r="276" spans="1:1030" x14ac:dyDescent="0.2">
      <c r="A276" s="3" t="str">
        <f t="shared" si="753"/>
        <v>us28_hcmva_4XT3</v>
      </c>
      <c r="B276" s="2" t="s">
        <v>924</v>
      </c>
      <c r="C276" s="3" t="s">
        <v>1378</v>
      </c>
      <c r="D276" s="3" t="str">
        <f>IFERROR(MID(VLOOKUP($B276,Seqs!$A:$B,2,0),E276,1),"")</f>
        <v>F</v>
      </c>
      <c r="E276" s="105">
        <v>25</v>
      </c>
      <c r="F276" s="3" t="str">
        <f>IFERROR(MID(VLOOKUP($B276,Seqs!$A:$B,2,0),G276,1),"")</f>
        <v>R</v>
      </c>
      <c r="G276" s="105">
        <v>62</v>
      </c>
      <c r="H276" s="3" t="str">
        <f>IFERROR(MID(VLOOKUP($B276,Seqs!$A:$B,2,0),I276,1),"")</f>
        <v/>
      </c>
      <c r="I276" s="23" t="s">
        <v>23</v>
      </c>
      <c r="J276" s="3" t="str">
        <f>IFERROR(MID(VLOOKUP($B276,Seqs!$A:$B,2,0),K276,1),"")</f>
        <v/>
      </c>
      <c r="K276" s="23" t="s">
        <v>23</v>
      </c>
      <c r="L276" s="3" t="str">
        <f>IFERROR(MID(VLOOKUP($B276,Seqs!$A:$B,2,0),M276,1),"")</f>
        <v>C</v>
      </c>
      <c r="M276" s="3">
        <v>66</v>
      </c>
      <c r="N276" s="3" t="str">
        <f>IFERROR(MID(VLOOKUP($B276,Seqs!$A:$B,2,0),O276,1),"")</f>
        <v>D</v>
      </c>
      <c r="O276" s="3">
        <v>95</v>
      </c>
      <c r="P276" s="3" t="str">
        <f>IFERROR(MID(VLOOKUP($B276,Seqs!$A:$B,2,0),Q276,1),"")</f>
        <v/>
      </c>
      <c r="Q276" s="3" t="s">
        <v>23</v>
      </c>
      <c r="R276" s="3" t="str">
        <f>IFERROR(MID(VLOOKUP($B276,Seqs!$A:$B,2,0),S276,1),"")</f>
        <v/>
      </c>
      <c r="S276" s="3" t="s">
        <v>23</v>
      </c>
      <c r="T276" s="3" t="str">
        <f>IFERROR(MID(VLOOKUP($B276,Seqs!$A:$B,2,0),U276,1),"")</f>
        <v>P</v>
      </c>
      <c r="U276" s="3">
        <v>103</v>
      </c>
      <c r="V276" s="3" t="str">
        <f>IFERROR(MID(VLOOKUP($B276,Seqs!$A:$B,2,0),W276,1),"")</f>
        <v>V</v>
      </c>
      <c r="W276" s="105">
        <v>134</v>
      </c>
      <c r="X276" s="3" t="str">
        <f>IFERROR(MID(VLOOKUP($B276,Seqs!$A:$B,2,0),Y276,1),"")</f>
        <v/>
      </c>
      <c r="Y276" s="3" t="s">
        <v>23</v>
      </c>
      <c r="Z276" s="3" t="str">
        <f>IFERROR(MID(VLOOKUP($B276,Seqs!$A:$B,2,0),AA276,1),"")</f>
        <v/>
      </c>
      <c r="AA276" s="3" t="s">
        <v>23</v>
      </c>
      <c r="AB276" s="3" t="str">
        <f>IFERROR(MID(VLOOKUP($B276,Seqs!$A:$B,2,0),AC276,1),"")</f>
        <v>P</v>
      </c>
      <c r="AC276" s="9">
        <v>140</v>
      </c>
      <c r="AD276" s="3" t="str">
        <f>IFERROR(MID(VLOOKUP($B276,Seqs!$A:$B,2,0),AE276,1),"")</f>
        <v>M</v>
      </c>
      <c r="AE276" s="105">
        <v>164</v>
      </c>
      <c r="AF276" s="3" t="str">
        <f>IFERROR(MID(VLOOKUP($B276,Seqs!$A:$B,2,0),AG276,1),"")</f>
        <v>C</v>
      </c>
      <c r="AG276" s="3">
        <v>173</v>
      </c>
      <c r="AH276" s="3" t="str">
        <f>IFERROR(MID(VLOOKUP($B276,Seqs!$A:$B,2,0),AI276,1),"")</f>
        <v>T</v>
      </c>
      <c r="AI276" s="3">
        <v>175</v>
      </c>
      <c r="AJ276" s="3" t="str">
        <f>IFERROR(MID(VLOOKUP($B276,Seqs!$A:$B,2,0),AK276,1),"")</f>
        <v>S</v>
      </c>
      <c r="AK276" s="105">
        <v>183</v>
      </c>
      <c r="AL276" s="3" t="str">
        <f>IFERROR(MID(VLOOKUP($B276,Seqs!$A:$B,2,0),AM276,1),"")</f>
        <v>S</v>
      </c>
      <c r="AM276" s="3">
        <v>218</v>
      </c>
      <c r="AN276" s="3" t="str">
        <f>IFERROR(MID(VLOOKUP($B276,Seqs!$A:$B,2,0),AO276,1),"")</f>
        <v>H</v>
      </c>
      <c r="AO276" s="3">
        <v>222</v>
      </c>
      <c r="AP276" s="3" t="str">
        <f>IFERROR(MID(VLOOKUP($B276,Seqs!$A:$B,2,0),AQ276,1),"")</f>
        <v>K</v>
      </c>
      <c r="AQ276" s="3">
        <v>257</v>
      </c>
      <c r="AR276" s="3" t="str">
        <f>IFERROR(MID(VLOOKUP($B276,Seqs!$A:$B,2,0),AS276,1),"")</f>
        <v>C</v>
      </c>
      <c r="AS276" s="3">
        <v>263</v>
      </c>
      <c r="AT276" s="3" t="str">
        <f>IFERROR(MID(VLOOKUP($B276,Seqs!$A:$B,2,0),AU276,1),"")</f>
        <v>V</v>
      </c>
      <c r="AU276" s="3">
        <v>294</v>
      </c>
      <c r="AV276" s="3" t="str">
        <f>IFERROR(MID(VLOOKUP($B276,Seqs!$A:$B,2,0),AW276,1),"")</f>
        <v/>
      </c>
      <c r="AW276" s="3" t="s">
        <v>23</v>
      </c>
      <c r="AX276" s="3" t="str">
        <f>IFERROR(MID(VLOOKUP($B276,Seqs!$A:$B,2,0),AY276,1),"")</f>
        <v/>
      </c>
      <c r="AY276" s="3" t="s">
        <v>23</v>
      </c>
      <c r="AZ276" s="77" t="str">
        <f>VLOOKUP(B276,Classification!A:D,2,0)</f>
        <v>A</v>
      </c>
      <c r="BA276" s="94" t="str">
        <f>VLOOKUP(B276,Classification!A:D,4,0)</f>
        <v>Chemokine</v>
      </c>
      <c r="BB276" s="27" t="b">
        <f t="shared" ref="BB276:BB281" si="1007">AND(E276&lt;G276,OR(G276&lt;I276,I276="-"),OR(I276&lt;K276,I276="-"),OR(K276&lt;M276,K276="-"),M276&lt;O276,OR(O276&lt;Q276,Q276="-"),OR(Q276&lt;S276,Q276="-"),OR(S276&lt;U276,S276="-"),U276&lt;W276,OR(W276&lt;Y276,Y276="-"),OR(Y276&lt;AA276,Y276="-"),OR(AA276&lt;AC276,AA276="-"),AC276&lt;AE276,OR(AE276&lt;AG276,AG276="-"),OR(AG276&lt;AI276,AG276="-"),OR(AI276&lt;AK276,AI276="-"),AK276&lt;AM276,AM276&lt;AO276,AO276&lt;AQ276,AQ276&lt;AS276,AS276&lt;AU276,OR(AU276&lt;AW276,AW276="-"),OR(AW276&lt;AY276,AW276="-"))</f>
        <v>1</v>
      </c>
      <c r="BC276" s="23">
        <f t="shared" ref="BC276:BC281" si="1008">_xlfn.AGGREGATE(9,6,CH276:CS276)-_xlfn.AGGREGATE(9,6,BV276:CG276)+12</f>
        <v>236</v>
      </c>
      <c r="BD276" s="4" t="s">
        <v>23</v>
      </c>
      <c r="BE276" s="3" t="s">
        <v>1297</v>
      </c>
      <c r="BF276" s="119">
        <v>3.8</v>
      </c>
      <c r="BG276" s="49" t="s">
        <v>1384</v>
      </c>
      <c r="BH276" s="49" t="s">
        <v>1384</v>
      </c>
      <c r="BI276" s="1"/>
      <c r="BJ276" s="70" t="s">
        <v>1293</v>
      </c>
      <c r="BK276" s="57" t="s">
        <v>1293</v>
      </c>
      <c r="BL276" s="57" t="s">
        <v>1293</v>
      </c>
      <c r="BM276" s="57" t="s">
        <v>1293</v>
      </c>
      <c r="BN276" s="57" t="s">
        <v>1293</v>
      </c>
      <c r="BO276" s="57" t="s">
        <v>1293</v>
      </c>
      <c r="BP276" s="57" t="s">
        <v>1293</v>
      </c>
      <c r="BQ276" s="57" t="s">
        <v>1293</v>
      </c>
      <c r="BR276" s="57" t="s">
        <v>1293</v>
      </c>
      <c r="BS276" s="57" t="s">
        <v>1293</v>
      </c>
      <c r="BT276" s="57" t="s">
        <v>1293</v>
      </c>
      <c r="BU276" s="57" t="s">
        <v>1293</v>
      </c>
      <c r="BV276" s="70">
        <f t="shared" ref="BV276:BV281" si="1009">E276</f>
        <v>25</v>
      </c>
      <c r="BW276" s="71" t="str">
        <f t="shared" ref="BW276:BW281" si="1010">I276</f>
        <v>-</v>
      </c>
      <c r="BX276" s="72">
        <f t="shared" ref="BX276:BX281" si="1011">M276</f>
        <v>66</v>
      </c>
      <c r="BY276" s="71" t="str">
        <f t="shared" ref="BY276:BY281" si="1012">Q276</f>
        <v>-</v>
      </c>
      <c r="BZ276" s="72">
        <f t="shared" ref="BZ276:BZ281" si="1013">U276</f>
        <v>103</v>
      </c>
      <c r="CA276" s="71" t="str">
        <f t="shared" ref="CA276:CA281" si="1014">Y276</f>
        <v>-</v>
      </c>
      <c r="CB276" s="72">
        <f t="shared" ref="CB276:CB281" si="1015">AC276</f>
        <v>140</v>
      </c>
      <c r="CC276" s="71">
        <f t="shared" ref="CC276:CC281" si="1016">AG276</f>
        <v>173</v>
      </c>
      <c r="CD276" s="72">
        <f t="shared" ref="CD276:CD281" si="1017">AK276</f>
        <v>183</v>
      </c>
      <c r="CE276" s="71">
        <f t="shared" ref="CE276:CE281" si="1018">AO276</f>
        <v>222</v>
      </c>
      <c r="CF276" s="72">
        <f t="shared" ref="CF276:CF281" si="1019">AS276</f>
        <v>263</v>
      </c>
      <c r="CG276" s="71" t="str">
        <f t="shared" ref="CG276:CG281" si="1020">AW276</f>
        <v>-</v>
      </c>
      <c r="CH276" s="70">
        <f t="shared" ref="CH276:CH281" si="1021">G276</f>
        <v>62</v>
      </c>
      <c r="CI276" s="71" t="str">
        <f t="shared" ref="CI276:CI281" si="1022">K276</f>
        <v>-</v>
      </c>
      <c r="CJ276" s="72">
        <f t="shared" ref="CJ276:CJ281" si="1023">O276</f>
        <v>95</v>
      </c>
      <c r="CK276" s="72" t="str">
        <f t="shared" ref="CK276:CK281" si="1024">S276</f>
        <v>-</v>
      </c>
      <c r="CL276" s="72">
        <f t="shared" ref="CL276:CL281" si="1025">W276</f>
        <v>134</v>
      </c>
      <c r="CM276" s="72" t="str">
        <f t="shared" ref="CM276:CM281" si="1026">AA276</f>
        <v>-</v>
      </c>
      <c r="CN276" s="72">
        <f t="shared" ref="CN276:CN281" si="1027">AE276</f>
        <v>164</v>
      </c>
      <c r="CO276" s="72">
        <f t="shared" ref="CO276:CO281" si="1028">AI276</f>
        <v>175</v>
      </c>
      <c r="CP276" s="72">
        <f t="shared" ref="CP276:CP281" si="1029">AM276</f>
        <v>218</v>
      </c>
      <c r="CQ276" s="72">
        <f t="shared" ref="CQ276:CQ281" si="1030">AQ276</f>
        <v>257</v>
      </c>
      <c r="CR276" s="72">
        <f t="shared" ref="CR276:CR281" si="1031">AU276</f>
        <v>294</v>
      </c>
      <c r="CS276" s="72" t="str">
        <f t="shared" ref="CS276:CS281" si="1032">AY276</f>
        <v>-</v>
      </c>
      <c r="CT276" s="23" t="e">
        <f t="shared" ref="CT276:CT281" si="1033">M276-K276</f>
        <v>#VALUE!</v>
      </c>
      <c r="CU276" s="6"/>
      <c r="CV276" s="6"/>
      <c r="CW276" s="6"/>
      <c r="CX276" s="6"/>
      <c r="CY276" s="6"/>
      <c r="CZ276" s="6"/>
      <c r="DA276" s="6"/>
      <c r="DB276" s="6"/>
      <c r="DC276" s="6"/>
      <c r="DD276" s="6"/>
      <c r="DE276" s="6"/>
      <c r="DF276" s="6"/>
      <c r="DG276" s="6"/>
      <c r="DH276" s="6"/>
      <c r="DI276" s="6"/>
      <c r="DJ276" s="6"/>
      <c r="DK276" s="6"/>
      <c r="DL276" s="6"/>
      <c r="DM276" s="6"/>
      <c r="DN276" s="6"/>
      <c r="DO276" s="6"/>
      <c r="DP276" s="6"/>
      <c r="DQ276" s="6"/>
      <c r="DR276" s="6"/>
      <c r="DS276" s="6"/>
      <c r="DT276" s="6"/>
      <c r="DU276" s="6"/>
      <c r="DV276" s="6"/>
      <c r="DW276" s="6"/>
      <c r="DX276" s="6"/>
      <c r="DY276" s="6"/>
      <c r="DZ276" s="6"/>
      <c r="EA276" s="6"/>
      <c r="EB276" s="6"/>
      <c r="EC276" s="6"/>
      <c r="ED276" s="6"/>
      <c r="EE276" s="6"/>
      <c r="EF276" s="6"/>
      <c r="EG276" s="6"/>
      <c r="EH276" s="6"/>
      <c r="EI276" s="6"/>
      <c r="EJ276" s="6"/>
      <c r="EK276" s="6"/>
      <c r="EL276" s="6"/>
      <c r="EM276" s="6"/>
      <c r="EN276" s="6"/>
      <c r="EO276" s="6"/>
      <c r="EP276" s="6"/>
      <c r="EQ276" s="6"/>
      <c r="ER276" s="6"/>
      <c r="ES276" s="6"/>
      <c r="ET276" s="6"/>
      <c r="EU276" s="6"/>
      <c r="EV276" s="6"/>
      <c r="EW276" s="6"/>
      <c r="EX276" s="6"/>
      <c r="EY276" s="6"/>
      <c r="EZ276" s="6"/>
      <c r="FA276" s="6"/>
      <c r="FB276" s="6"/>
      <c r="FC276" s="6"/>
      <c r="FD276" s="6"/>
      <c r="FE276" s="6"/>
      <c r="FF276" s="6"/>
      <c r="FG276" s="6"/>
      <c r="FH276" s="6"/>
      <c r="FI276" s="6"/>
      <c r="FJ276" s="6"/>
      <c r="FK276" s="6"/>
      <c r="FL276" s="6"/>
      <c r="FM276" s="6"/>
      <c r="FN276" s="6"/>
      <c r="FO276" s="6"/>
      <c r="FP276" s="6"/>
      <c r="FQ276" s="6"/>
      <c r="FR276" s="6"/>
      <c r="FS276" s="6"/>
      <c r="FT276" s="6"/>
      <c r="FU276" s="6"/>
      <c r="FV276" s="6"/>
      <c r="FW276" s="6"/>
      <c r="FX276" s="6"/>
      <c r="FY276" s="6"/>
      <c r="FZ276" s="6"/>
      <c r="GA276" s="6"/>
      <c r="GB276" s="6"/>
      <c r="GC276" s="6"/>
      <c r="GD276" s="6"/>
      <c r="GE276" s="6"/>
      <c r="GF276" s="6"/>
      <c r="GG276" s="6"/>
      <c r="GH276" s="6"/>
      <c r="GI276" s="6"/>
      <c r="GJ276" s="6"/>
      <c r="GK276" s="6"/>
      <c r="GL276" s="6"/>
      <c r="GM276" s="6"/>
      <c r="GN276" s="6"/>
      <c r="GO276" s="6"/>
      <c r="GP276" s="6"/>
      <c r="GQ276" s="6"/>
      <c r="GR276" s="6"/>
      <c r="GS276" s="6"/>
      <c r="GT276" s="6"/>
      <c r="GU276" s="6"/>
      <c r="GV276" s="6"/>
      <c r="GW276" s="6"/>
      <c r="GX276" s="6"/>
      <c r="GY276" s="6"/>
      <c r="GZ276" s="6"/>
      <c r="HA276" s="6"/>
      <c r="HB276" s="6"/>
      <c r="HC276" s="6"/>
      <c r="HD276" s="6"/>
      <c r="HE276" s="6"/>
      <c r="HF276" s="6"/>
      <c r="HG276" s="6"/>
      <c r="HH276" s="6"/>
      <c r="HI276" s="6"/>
      <c r="HJ276" s="6"/>
      <c r="HK276" s="6"/>
      <c r="HL276" s="6"/>
      <c r="HM276" s="6"/>
      <c r="HN276" s="6"/>
      <c r="HO276" s="6"/>
      <c r="HP276" s="6"/>
      <c r="HQ276" s="6"/>
      <c r="HR276" s="6"/>
      <c r="HS276" s="6"/>
      <c r="HT276" s="6"/>
      <c r="HU276" s="6"/>
      <c r="HV276" s="6"/>
      <c r="HW276" s="6"/>
      <c r="HX276" s="6"/>
      <c r="HY276" s="6"/>
      <c r="HZ276" s="6"/>
      <c r="IA276" s="6"/>
      <c r="IB276" s="6"/>
      <c r="IC276" s="6"/>
      <c r="ID276" s="6"/>
      <c r="IE276" s="6"/>
      <c r="IF276" s="6"/>
      <c r="IG276" s="6"/>
      <c r="IH276" s="6"/>
      <c r="II276" s="6"/>
      <c r="IJ276" s="6"/>
      <c r="IK276" s="6"/>
      <c r="IL276" s="6"/>
      <c r="IM276" s="6"/>
      <c r="IN276" s="6"/>
      <c r="IO276" s="6"/>
      <c r="IP276" s="6"/>
      <c r="IQ276" s="6"/>
      <c r="IR276" s="6"/>
      <c r="IS276" s="6"/>
      <c r="IT276" s="6"/>
      <c r="IU276" s="6"/>
      <c r="IV276" s="6"/>
      <c r="IW276" s="6"/>
      <c r="IX276" s="6"/>
      <c r="IY276" s="6"/>
      <c r="IZ276" s="6"/>
      <c r="JA276" s="6"/>
      <c r="JB276" s="6"/>
      <c r="JC276" s="6"/>
      <c r="JD276" s="6"/>
      <c r="JE276" s="6"/>
      <c r="JF276" s="6"/>
      <c r="JG276" s="6"/>
      <c r="JH276" s="6"/>
      <c r="JI276" s="6"/>
      <c r="JJ276" s="6"/>
      <c r="JK276" s="6"/>
      <c r="JL276" s="6"/>
      <c r="JM276" s="6"/>
      <c r="JN276" s="6"/>
      <c r="JO276" s="6"/>
      <c r="JP276" s="6"/>
      <c r="JQ276" s="6"/>
      <c r="JR276" s="6"/>
      <c r="JS276" s="6"/>
      <c r="JT276" s="6"/>
      <c r="JU276" s="6"/>
      <c r="JV276" s="6"/>
      <c r="JW276" s="6"/>
      <c r="JX276" s="6"/>
      <c r="JY276" s="6"/>
      <c r="JZ276" s="6"/>
      <c r="KA276" s="6"/>
      <c r="KB276" s="6"/>
      <c r="KC276" s="6"/>
      <c r="KD276" s="6"/>
      <c r="KE276" s="6"/>
      <c r="KF276" s="6"/>
      <c r="KG276" s="6"/>
      <c r="KH276" s="6"/>
      <c r="KI276" s="6"/>
      <c r="KJ276" s="6"/>
      <c r="KK276" s="6"/>
      <c r="KL276" s="6"/>
      <c r="KM276" s="6"/>
      <c r="KN276" s="6"/>
      <c r="KO276" s="6"/>
      <c r="KP276" s="6"/>
      <c r="KQ276" s="6"/>
      <c r="KR276" s="6"/>
      <c r="KS276" s="6"/>
      <c r="KT276" s="6"/>
      <c r="KU276" s="6"/>
      <c r="KV276" s="6"/>
      <c r="KW276" s="6"/>
      <c r="KX276" s="6"/>
      <c r="KY276" s="6"/>
      <c r="KZ276" s="6"/>
      <c r="LA276" s="6"/>
      <c r="LB276" s="6"/>
      <c r="LC276" s="6"/>
      <c r="LD276" s="6"/>
      <c r="LE276" s="6"/>
      <c r="LF276" s="6"/>
      <c r="LG276" s="6"/>
      <c r="LH276" s="6"/>
      <c r="LI276" s="6"/>
      <c r="LJ276" s="6"/>
      <c r="LK276" s="6"/>
      <c r="LL276" s="6"/>
      <c r="LM276" s="6"/>
      <c r="LN276" s="6"/>
      <c r="LO276" s="6"/>
      <c r="LP276" s="6"/>
      <c r="LQ276" s="6"/>
      <c r="LR276" s="6"/>
      <c r="LS276" s="6"/>
      <c r="LT276" s="6"/>
      <c r="LU276" s="6"/>
      <c r="LV276" s="6"/>
      <c r="LW276" s="6"/>
      <c r="LX276" s="6"/>
      <c r="LY276" s="6"/>
      <c r="LZ276" s="6"/>
      <c r="MA276" s="6"/>
      <c r="MB276" s="6"/>
      <c r="MC276" s="6"/>
      <c r="MD276" s="6"/>
      <c r="ME276" s="6"/>
      <c r="MF276" s="6"/>
      <c r="MG276" s="6"/>
      <c r="MH276" s="6"/>
      <c r="MI276" s="6"/>
      <c r="MJ276" s="6"/>
      <c r="MK276" s="6"/>
      <c r="ML276" s="6"/>
      <c r="MM276" s="6"/>
      <c r="MN276" s="6"/>
      <c r="MO276" s="6"/>
      <c r="MP276" s="6"/>
      <c r="MQ276" s="6"/>
      <c r="MR276" s="6"/>
      <c r="MS276" s="6"/>
      <c r="MT276" s="6"/>
      <c r="MU276" s="6"/>
      <c r="MV276" s="6"/>
      <c r="MW276" s="6"/>
      <c r="MX276" s="6"/>
      <c r="MY276" s="6"/>
      <c r="MZ276" s="6"/>
      <c r="NA276" s="6"/>
      <c r="NB276" s="6"/>
      <c r="NC276" s="6"/>
      <c r="ND276" s="6"/>
      <c r="NE276" s="6"/>
      <c r="NF276" s="6"/>
      <c r="NG276" s="6"/>
      <c r="NH276" s="6"/>
      <c r="NI276" s="6"/>
      <c r="NJ276" s="6"/>
      <c r="NK276" s="6"/>
      <c r="NL276" s="6"/>
      <c r="NM276" s="6"/>
      <c r="NN276" s="6"/>
      <c r="NO276" s="6"/>
      <c r="NP276" s="6"/>
      <c r="NQ276" s="6"/>
      <c r="NR276" s="6"/>
      <c r="NS276" s="6"/>
      <c r="NT276" s="6"/>
      <c r="NU276" s="6"/>
      <c r="NV276" s="6"/>
      <c r="NW276" s="6"/>
      <c r="NX276" s="6"/>
      <c r="NY276" s="6"/>
      <c r="NZ276" s="6"/>
      <c r="OA276" s="6"/>
      <c r="OB276" s="6"/>
      <c r="OC276" s="6"/>
      <c r="OD276" s="6"/>
      <c r="OE276" s="6"/>
      <c r="OF276" s="6"/>
      <c r="OG276" s="6"/>
      <c r="OH276" s="6"/>
      <c r="OI276" s="6"/>
      <c r="OJ276" s="6"/>
      <c r="OK276" s="6"/>
      <c r="OL276" s="6"/>
      <c r="OM276" s="6"/>
      <c r="ON276" s="6"/>
      <c r="OO276" s="6"/>
      <c r="OP276" s="6"/>
      <c r="OQ276" s="6"/>
      <c r="OR276" s="6"/>
      <c r="OS276" s="6"/>
      <c r="OT276" s="6"/>
      <c r="OU276" s="6"/>
      <c r="OV276" s="6"/>
      <c r="OW276" s="6"/>
      <c r="OX276" s="6"/>
      <c r="OY276" s="6"/>
      <c r="OZ276" s="6"/>
      <c r="PA276" s="6"/>
      <c r="PB276" s="6"/>
      <c r="PC276" s="6"/>
      <c r="PD276" s="6"/>
      <c r="PE276" s="6"/>
      <c r="PF276" s="6"/>
      <c r="PG276" s="6"/>
      <c r="PH276" s="6"/>
      <c r="PI276" s="6"/>
      <c r="PJ276" s="6"/>
      <c r="PK276" s="6"/>
      <c r="PL276" s="6"/>
      <c r="PM276" s="6"/>
      <c r="PN276" s="6"/>
      <c r="PO276" s="6"/>
      <c r="PP276" s="6"/>
      <c r="PQ276" s="6"/>
      <c r="PR276" s="6"/>
      <c r="PS276" s="6"/>
      <c r="PT276" s="6"/>
      <c r="PU276" s="6"/>
      <c r="PV276" s="6"/>
      <c r="PW276" s="6"/>
      <c r="PX276" s="6"/>
      <c r="PY276" s="6"/>
      <c r="PZ276" s="6"/>
      <c r="QA276" s="6"/>
      <c r="QB276" s="6"/>
      <c r="QC276" s="6"/>
      <c r="QD276" s="6"/>
      <c r="QE276" s="6"/>
      <c r="QF276" s="6"/>
      <c r="QG276" s="6"/>
      <c r="QH276" s="6"/>
      <c r="QI276" s="6"/>
      <c r="QJ276" s="6"/>
      <c r="QK276" s="6"/>
      <c r="QL276" s="6"/>
      <c r="QM276" s="6"/>
      <c r="QN276" s="6"/>
      <c r="QO276" s="6"/>
      <c r="QP276" s="6"/>
      <c r="QQ276" s="6"/>
      <c r="QR276" s="6"/>
      <c r="QS276" s="6"/>
      <c r="QT276" s="6"/>
      <c r="QU276" s="6"/>
      <c r="QV276" s="6"/>
      <c r="QW276" s="6"/>
      <c r="QX276" s="6"/>
      <c r="QY276" s="6"/>
      <c r="QZ276" s="6"/>
      <c r="RA276" s="6"/>
      <c r="RB276" s="6"/>
      <c r="RC276" s="6"/>
      <c r="RD276" s="6"/>
      <c r="RE276" s="6"/>
      <c r="RF276" s="6"/>
      <c r="RG276" s="6"/>
      <c r="RH276" s="6"/>
      <c r="RI276" s="6"/>
      <c r="RJ276" s="6"/>
      <c r="RK276" s="6"/>
      <c r="RL276" s="6"/>
      <c r="RM276" s="6"/>
      <c r="RN276" s="6"/>
      <c r="RO276" s="6"/>
      <c r="RP276" s="6"/>
      <c r="RQ276" s="6"/>
      <c r="RR276" s="6"/>
      <c r="RS276" s="6"/>
      <c r="RT276" s="6"/>
      <c r="RU276" s="6"/>
      <c r="RV276" s="6"/>
      <c r="RW276" s="6"/>
      <c r="RX276" s="6"/>
      <c r="RY276" s="6"/>
      <c r="RZ276" s="6"/>
      <c r="SA276" s="6"/>
      <c r="SB276" s="6"/>
      <c r="SC276" s="6"/>
      <c r="SD276" s="6"/>
      <c r="SE276" s="6"/>
      <c r="SF276" s="6"/>
      <c r="SG276" s="6"/>
      <c r="SH276" s="6"/>
      <c r="SI276" s="6"/>
      <c r="SJ276" s="6"/>
      <c r="SK276" s="6"/>
      <c r="SL276" s="6"/>
      <c r="SM276" s="6"/>
      <c r="SN276" s="6"/>
      <c r="SO276" s="6"/>
      <c r="SP276" s="6"/>
      <c r="SQ276" s="6"/>
      <c r="SR276" s="6"/>
      <c r="SS276" s="6"/>
      <c r="ST276" s="6"/>
      <c r="SU276" s="6"/>
      <c r="SV276" s="6"/>
      <c r="SW276" s="6"/>
      <c r="SX276" s="6"/>
      <c r="SY276" s="6"/>
      <c r="SZ276" s="6"/>
      <c r="TA276" s="6"/>
      <c r="TB276" s="6"/>
      <c r="TC276" s="6"/>
      <c r="TD276" s="6"/>
      <c r="TE276" s="6"/>
      <c r="TF276" s="6"/>
      <c r="TG276" s="6"/>
      <c r="TH276" s="6"/>
      <c r="TI276" s="6"/>
      <c r="TJ276" s="6"/>
      <c r="TK276" s="6"/>
      <c r="TL276" s="6"/>
      <c r="TM276" s="6"/>
      <c r="TN276" s="6"/>
      <c r="TO276" s="6"/>
      <c r="TP276" s="6"/>
      <c r="TQ276" s="6"/>
      <c r="TR276" s="6"/>
      <c r="TS276" s="6"/>
      <c r="TT276" s="6"/>
      <c r="TU276" s="6"/>
      <c r="TV276" s="6"/>
      <c r="TW276" s="6"/>
      <c r="TX276" s="6"/>
      <c r="TY276" s="6"/>
      <c r="TZ276" s="6"/>
      <c r="UA276" s="6"/>
      <c r="UB276" s="6"/>
      <c r="UC276" s="6"/>
      <c r="UD276" s="6"/>
      <c r="UE276" s="6"/>
      <c r="UF276" s="6"/>
      <c r="UG276" s="6"/>
      <c r="UH276" s="6"/>
      <c r="UI276" s="6"/>
      <c r="UJ276" s="6"/>
      <c r="UK276" s="6"/>
      <c r="UL276" s="6"/>
      <c r="UM276" s="6"/>
      <c r="UN276" s="6"/>
      <c r="UO276" s="6"/>
      <c r="UP276" s="6"/>
      <c r="UQ276" s="6"/>
      <c r="UR276" s="6"/>
      <c r="US276" s="6"/>
      <c r="UT276" s="6"/>
      <c r="UU276" s="6"/>
      <c r="UV276" s="6"/>
      <c r="UW276" s="6"/>
      <c r="UX276" s="6"/>
      <c r="UY276" s="6"/>
      <c r="UZ276" s="6"/>
      <c r="VA276" s="6"/>
      <c r="VB276" s="6"/>
      <c r="VC276" s="6"/>
      <c r="VD276" s="6"/>
      <c r="VE276" s="6"/>
      <c r="VF276" s="6"/>
      <c r="VG276" s="6"/>
      <c r="VH276" s="6"/>
      <c r="VI276" s="6"/>
      <c r="VJ276" s="6"/>
      <c r="VK276" s="6"/>
      <c r="VL276" s="6"/>
      <c r="VM276" s="6"/>
      <c r="VN276" s="6"/>
      <c r="VO276" s="6"/>
      <c r="VP276" s="6"/>
      <c r="VQ276" s="6"/>
      <c r="VR276" s="6"/>
      <c r="VS276" s="6"/>
      <c r="VT276" s="6"/>
      <c r="VU276" s="6"/>
      <c r="VV276" s="6"/>
      <c r="VW276" s="6"/>
      <c r="VX276" s="6"/>
      <c r="VY276" s="6"/>
      <c r="VZ276" s="6"/>
      <c r="WA276" s="6"/>
      <c r="WB276" s="6"/>
      <c r="WC276" s="6"/>
      <c r="WD276" s="6"/>
      <c r="WE276" s="6"/>
      <c r="WF276" s="6"/>
      <c r="WG276" s="6"/>
      <c r="WH276" s="6"/>
      <c r="WI276" s="6"/>
      <c r="WJ276" s="6"/>
      <c r="WK276" s="6"/>
      <c r="WL276" s="6"/>
      <c r="WM276" s="6"/>
      <c r="WN276" s="6"/>
      <c r="WO276" s="6"/>
      <c r="WP276" s="6"/>
      <c r="WQ276" s="6"/>
      <c r="WR276" s="6"/>
      <c r="WS276" s="6"/>
      <c r="WT276" s="6"/>
      <c r="WU276" s="6"/>
      <c r="WV276" s="6"/>
      <c r="WW276" s="6"/>
      <c r="WX276" s="6"/>
      <c r="WY276" s="6"/>
      <c r="WZ276" s="6"/>
      <c r="XA276" s="6"/>
      <c r="XB276" s="6"/>
      <c r="XC276" s="6"/>
      <c r="XD276" s="6"/>
      <c r="XE276" s="6"/>
      <c r="XF276" s="6"/>
      <c r="XG276" s="6"/>
      <c r="XH276" s="6"/>
      <c r="XI276" s="6"/>
      <c r="XJ276" s="6"/>
      <c r="XK276" s="6"/>
      <c r="XL276" s="6"/>
      <c r="XM276" s="6"/>
      <c r="XN276" s="6"/>
      <c r="XO276" s="6"/>
      <c r="XP276" s="6"/>
      <c r="XQ276" s="6"/>
      <c r="XR276" s="6"/>
      <c r="XS276" s="6"/>
      <c r="XT276" s="6"/>
      <c r="XU276" s="6"/>
      <c r="XV276" s="6"/>
      <c r="XW276" s="6"/>
      <c r="XX276" s="6"/>
      <c r="XY276" s="6"/>
      <c r="XZ276" s="6"/>
      <c r="YA276" s="6"/>
      <c r="YB276" s="6"/>
      <c r="YC276" s="6"/>
      <c r="YD276" s="6"/>
      <c r="YE276" s="6"/>
      <c r="YF276" s="6"/>
      <c r="YG276" s="6"/>
      <c r="YH276" s="6"/>
      <c r="YI276" s="6"/>
      <c r="YJ276" s="6"/>
      <c r="YK276" s="6"/>
      <c r="YL276" s="6"/>
      <c r="YM276" s="6"/>
      <c r="YN276" s="6"/>
      <c r="YO276" s="6"/>
      <c r="YP276" s="6"/>
      <c r="YQ276" s="6"/>
      <c r="YR276" s="6"/>
      <c r="YS276" s="6"/>
      <c r="YT276" s="6"/>
      <c r="YU276" s="6"/>
      <c r="YV276" s="6"/>
      <c r="YW276" s="6"/>
      <c r="YX276" s="6"/>
      <c r="YY276" s="6"/>
      <c r="YZ276" s="6"/>
      <c r="ZA276" s="6"/>
      <c r="ZB276" s="6"/>
      <c r="ZC276" s="6"/>
      <c r="ZD276" s="6"/>
      <c r="ZE276" s="6"/>
      <c r="ZF276" s="6"/>
      <c r="ZG276" s="6"/>
      <c r="ZH276" s="6"/>
      <c r="ZI276" s="6"/>
      <c r="ZJ276" s="6"/>
      <c r="ZK276" s="6"/>
      <c r="ZL276" s="6"/>
      <c r="ZM276" s="6"/>
      <c r="ZN276" s="6"/>
      <c r="ZO276" s="6"/>
      <c r="ZP276" s="6"/>
      <c r="ZQ276" s="6"/>
      <c r="ZR276" s="6"/>
      <c r="ZS276" s="6"/>
      <c r="ZT276" s="6"/>
      <c r="ZU276" s="6"/>
      <c r="ZV276" s="6"/>
      <c r="ZW276" s="6"/>
      <c r="ZX276" s="6"/>
      <c r="ZY276" s="6"/>
      <c r="ZZ276" s="6"/>
      <c r="AAA276" s="6"/>
      <c r="AAB276" s="6"/>
      <c r="AAC276" s="6"/>
      <c r="AAD276" s="6"/>
      <c r="AAE276" s="6"/>
      <c r="AAF276" s="6"/>
      <c r="AAG276" s="6"/>
      <c r="AAH276" s="6"/>
      <c r="AAI276" s="6"/>
      <c r="AAJ276" s="6"/>
      <c r="AAK276" s="6"/>
      <c r="AAL276" s="6"/>
      <c r="AAM276" s="6"/>
      <c r="AAN276" s="6"/>
      <c r="AAO276" s="6"/>
      <c r="AAP276" s="6"/>
      <c r="AAQ276" s="6"/>
      <c r="AAR276" s="6"/>
      <c r="AAS276" s="6"/>
      <c r="AAT276" s="6"/>
      <c r="AAU276" s="6"/>
      <c r="AAV276" s="6"/>
      <c r="AAW276" s="6"/>
      <c r="AAX276" s="6"/>
      <c r="AAY276" s="6"/>
      <c r="AAZ276" s="6"/>
      <c r="ABA276" s="6"/>
      <c r="ABB276" s="6"/>
      <c r="ABC276" s="6"/>
      <c r="ABD276" s="6"/>
      <c r="ABE276" s="6"/>
      <c r="ABF276" s="6"/>
      <c r="ABG276" s="6"/>
      <c r="ABH276" s="6"/>
      <c r="ABI276" s="6"/>
      <c r="ABJ276" s="6"/>
      <c r="ABK276" s="6"/>
      <c r="ABL276" s="6"/>
      <c r="ABM276" s="6"/>
      <c r="ABN276" s="6"/>
      <c r="ABO276" s="6"/>
      <c r="ABP276" s="6"/>
      <c r="ABQ276" s="6"/>
      <c r="ABR276" s="6"/>
      <c r="ABS276" s="6"/>
      <c r="ABT276" s="6"/>
      <c r="ABU276" s="6"/>
      <c r="ABV276" s="6"/>
      <c r="ABW276" s="6"/>
      <c r="ABX276" s="6"/>
      <c r="ABY276" s="6"/>
      <c r="ABZ276" s="6"/>
      <c r="ACA276" s="6"/>
      <c r="ACB276" s="6"/>
      <c r="ACC276" s="6"/>
      <c r="ACD276" s="6"/>
      <c r="ACE276" s="6"/>
      <c r="ACF276" s="6"/>
      <c r="ACG276" s="6"/>
      <c r="ACH276" s="6"/>
      <c r="ACI276" s="6"/>
      <c r="ACJ276" s="6"/>
      <c r="ACK276" s="6"/>
      <c r="ACL276" s="6"/>
      <c r="ACM276" s="6"/>
      <c r="ACN276" s="6"/>
      <c r="ACO276" s="6"/>
      <c r="ACP276" s="6"/>
      <c r="ACQ276" s="6"/>
      <c r="ACR276" s="6"/>
      <c r="ACS276" s="6"/>
      <c r="ACT276" s="6"/>
      <c r="ACU276" s="6"/>
      <c r="ACV276" s="6"/>
      <c r="ACW276" s="6"/>
      <c r="ACX276" s="6"/>
      <c r="ACY276" s="6"/>
      <c r="ACZ276" s="6"/>
      <c r="ADA276" s="6"/>
      <c r="ADB276" s="6"/>
      <c r="ADC276" s="6"/>
      <c r="ADD276" s="6"/>
      <c r="ADE276" s="6"/>
      <c r="ADF276" s="6"/>
      <c r="ADG276" s="6"/>
      <c r="ADH276" s="6"/>
      <c r="ADI276" s="6"/>
      <c r="ADJ276" s="6"/>
      <c r="ADK276" s="6"/>
      <c r="ADL276" s="6"/>
      <c r="ADM276" s="6"/>
      <c r="ADN276" s="6"/>
      <c r="ADO276" s="6"/>
      <c r="ADP276" s="6"/>
      <c r="ADQ276" s="6"/>
      <c r="ADR276" s="6"/>
      <c r="ADS276" s="6"/>
      <c r="ADT276" s="6"/>
      <c r="ADU276" s="6"/>
      <c r="ADV276" s="6"/>
      <c r="ADW276" s="6"/>
      <c r="ADX276" s="6"/>
      <c r="ADY276" s="6"/>
      <c r="ADZ276" s="6"/>
      <c r="AEA276" s="6"/>
      <c r="AEB276" s="6"/>
      <c r="AEC276" s="6"/>
      <c r="AED276" s="6"/>
      <c r="AEE276" s="6"/>
      <c r="AEF276" s="6"/>
      <c r="AEG276" s="6"/>
      <c r="AEH276" s="6"/>
      <c r="AEI276" s="6"/>
      <c r="AEJ276" s="6"/>
      <c r="AEK276" s="6"/>
      <c r="AEL276" s="6"/>
      <c r="AEM276" s="6"/>
      <c r="AEN276" s="6"/>
      <c r="AEO276" s="6"/>
      <c r="AEP276" s="6"/>
      <c r="AEQ276" s="6"/>
      <c r="AER276" s="6"/>
      <c r="AES276" s="6"/>
      <c r="AET276" s="6"/>
      <c r="AEU276" s="6"/>
      <c r="AEV276" s="6"/>
      <c r="AEW276" s="6"/>
      <c r="AEX276" s="6"/>
      <c r="AEY276" s="6"/>
      <c r="AEZ276" s="6"/>
      <c r="AFA276" s="6"/>
      <c r="AFB276" s="6"/>
      <c r="AFC276" s="6"/>
      <c r="AFD276" s="6"/>
      <c r="AFE276" s="6"/>
      <c r="AFF276" s="6"/>
      <c r="AFG276" s="6"/>
      <c r="AFH276" s="6"/>
      <c r="AFI276" s="6"/>
      <c r="AFJ276" s="6"/>
      <c r="AFK276" s="6"/>
      <c r="AFL276" s="6"/>
      <c r="AFM276" s="6"/>
      <c r="AFN276" s="6"/>
      <c r="AFO276" s="6"/>
      <c r="AFP276" s="6"/>
      <c r="AFQ276" s="6"/>
      <c r="AFR276" s="6"/>
      <c r="AFS276" s="6"/>
      <c r="AFT276" s="6"/>
      <c r="AFU276" s="6"/>
      <c r="AFV276" s="6"/>
      <c r="AFW276" s="6"/>
      <c r="AFX276" s="6"/>
      <c r="AFY276" s="6"/>
      <c r="AFZ276" s="6"/>
      <c r="AGA276" s="6"/>
      <c r="AGB276" s="6"/>
      <c r="AGC276" s="6"/>
      <c r="AGD276" s="6"/>
      <c r="AGE276" s="6"/>
      <c r="AGF276" s="6"/>
      <c r="AGG276" s="6"/>
      <c r="AGH276" s="6"/>
      <c r="AGI276" s="6"/>
      <c r="AGJ276" s="6"/>
      <c r="AGK276" s="6"/>
      <c r="AGL276" s="6"/>
      <c r="AGM276" s="6"/>
      <c r="AGN276" s="6"/>
      <c r="AGO276" s="6"/>
      <c r="AGP276" s="6"/>
      <c r="AGQ276" s="6"/>
      <c r="AGR276" s="6"/>
      <c r="AGS276" s="6"/>
      <c r="AGT276" s="6"/>
      <c r="AGU276" s="6"/>
      <c r="AGV276" s="6"/>
      <c r="AGW276" s="6"/>
      <c r="AGX276" s="6"/>
      <c r="AGY276" s="6"/>
      <c r="AGZ276" s="6"/>
      <c r="AHA276" s="6"/>
      <c r="AHB276" s="6"/>
      <c r="AHC276" s="6"/>
      <c r="AHD276" s="6"/>
      <c r="AHE276" s="6"/>
      <c r="AHF276" s="6"/>
      <c r="AHG276" s="6"/>
      <c r="AHH276" s="6"/>
      <c r="AHI276" s="6"/>
      <c r="AHJ276" s="6"/>
      <c r="AHK276" s="6"/>
      <c r="AHL276" s="6"/>
      <c r="AHM276" s="6"/>
      <c r="AHN276" s="6"/>
      <c r="AHO276" s="6"/>
      <c r="AHP276" s="6"/>
      <c r="AHQ276" s="6"/>
      <c r="AHR276" s="6"/>
      <c r="AHS276" s="6"/>
      <c r="AHT276" s="6"/>
      <c r="AHU276" s="6"/>
      <c r="AHV276" s="6"/>
      <c r="AHW276" s="6"/>
      <c r="AHX276" s="6"/>
      <c r="AHY276" s="6"/>
      <c r="AHZ276" s="6"/>
      <c r="AIA276" s="6"/>
      <c r="AIB276" s="6"/>
      <c r="AIC276" s="6"/>
      <c r="AID276" s="6"/>
      <c r="AIE276" s="6"/>
      <c r="AIF276" s="6"/>
      <c r="AIG276" s="6"/>
      <c r="AIH276" s="6"/>
      <c r="AII276" s="6"/>
      <c r="AIJ276" s="6"/>
      <c r="AIK276" s="6"/>
      <c r="AIL276" s="6"/>
      <c r="AIM276" s="6"/>
      <c r="AIN276" s="6"/>
      <c r="AIO276" s="6"/>
      <c r="AIP276" s="6"/>
      <c r="AIQ276" s="6"/>
      <c r="AIR276" s="6"/>
      <c r="AIS276" s="6"/>
      <c r="AIT276" s="6"/>
      <c r="AIU276" s="6"/>
      <c r="AIV276" s="6"/>
      <c r="AIW276" s="6"/>
      <c r="AIX276" s="6"/>
      <c r="AIY276" s="6"/>
      <c r="AIZ276" s="6"/>
      <c r="AJA276" s="6"/>
      <c r="AJB276" s="6"/>
      <c r="AJC276" s="6"/>
      <c r="AJD276" s="6"/>
      <c r="AJE276" s="6"/>
      <c r="AJF276" s="6"/>
      <c r="AJG276" s="6"/>
      <c r="AJH276" s="6"/>
      <c r="AJI276" s="6"/>
      <c r="AJJ276" s="6"/>
      <c r="AJK276" s="6"/>
      <c r="AJL276" s="6"/>
      <c r="AJM276" s="6"/>
      <c r="AJN276" s="6"/>
      <c r="AJO276" s="6"/>
      <c r="AJP276" s="6"/>
      <c r="AJQ276" s="6"/>
      <c r="AJR276" s="6"/>
      <c r="AJS276" s="6"/>
      <c r="AJT276" s="6"/>
      <c r="AJU276" s="6"/>
      <c r="AJV276" s="6"/>
      <c r="AJW276" s="6"/>
      <c r="AJX276" s="6"/>
      <c r="AJY276" s="6"/>
      <c r="AJZ276" s="6"/>
      <c r="AKA276" s="6"/>
      <c r="AKB276" s="6"/>
      <c r="AKC276" s="6"/>
      <c r="AKD276" s="6"/>
      <c r="AKE276" s="6"/>
      <c r="AKF276" s="6"/>
      <c r="AKG276" s="6"/>
      <c r="AKH276" s="6"/>
      <c r="AKI276" s="6"/>
      <c r="AKJ276" s="6"/>
      <c r="AKK276" s="6"/>
      <c r="AKL276" s="6"/>
      <c r="AKM276" s="6"/>
      <c r="AKN276" s="6"/>
      <c r="AKO276" s="6"/>
      <c r="AKP276" s="6"/>
      <c r="AKQ276" s="6"/>
      <c r="AKR276" s="6"/>
      <c r="AKS276" s="6"/>
      <c r="AKT276" s="6"/>
      <c r="AKU276" s="6"/>
      <c r="AKV276" s="6"/>
      <c r="AKW276" s="6"/>
      <c r="AKX276" s="6"/>
      <c r="AKY276" s="6"/>
      <c r="AKZ276" s="6"/>
      <c r="ALA276" s="6"/>
      <c r="ALB276" s="6"/>
      <c r="ALC276" s="6"/>
      <c r="ALD276" s="6"/>
      <c r="ALE276" s="6"/>
      <c r="ALF276" s="6"/>
      <c r="ALG276" s="6"/>
      <c r="ALH276" s="6"/>
      <c r="ALI276" s="6"/>
      <c r="ALJ276" s="6"/>
      <c r="ALK276" s="6"/>
      <c r="ALL276" s="6"/>
      <c r="ALM276" s="6"/>
      <c r="ALN276" s="6"/>
      <c r="ALO276" s="6"/>
      <c r="ALP276" s="6"/>
      <c r="ALQ276" s="6"/>
      <c r="ALR276" s="6"/>
      <c r="ALS276" s="6"/>
      <c r="ALT276" s="6"/>
      <c r="ALU276" s="6"/>
      <c r="ALV276" s="6"/>
      <c r="ALW276" s="6"/>
      <c r="ALX276" s="6"/>
      <c r="ALY276" s="6"/>
      <c r="ALZ276" s="6"/>
      <c r="AMA276" s="6"/>
      <c r="AMB276" s="6"/>
      <c r="AMC276" s="6"/>
      <c r="AMD276" s="6"/>
      <c r="AME276" s="6"/>
      <c r="AMF276" s="6"/>
      <c r="AMG276" s="6"/>
      <c r="AMH276" s="6"/>
      <c r="AMI276" s="6"/>
      <c r="AMJ276" s="6"/>
      <c r="AMK276" s="6"/>
      <c r="AML276" s="6"/>
      <c r="AMM276" s="6"/>
      <c r="AMN276" s="6"/>
      <c r="AMO276" s="6"/>
      <c r="AMP276" s="6"/>
    </row>
    <row r="277" spans="1:1030" x14ac:dyDescent="0.2">
      <c r="A277" s="9" t="str">
        <f t="shared" ref="A277:A283" si="1034">CONCATENATE(B277,"_",C277)</f>
        <v>q80km9_hcmv__wt</v>
      </c>
      <c r="B277" s="40" t="s">
        <v>1524</v>
      </c>
      <c r="C277" s="9" t="s">
        <v>100</v>
      </c>
      <c r="D277" s="9" t="str">
        <f>IFERROR(MID(VLOOKUP($B277,Seqs!$A:$B,2,0),E277,1),"")</f>
        <v>F</v>
      </c>
      <c r="E277" s="9">
        <v>25</v>
      </c>
      <c r="F277" s="9" t="str">
        <f>IFERROR(MID(VLOOKUP($B277,Seqs!$A:$B,2,0),G277,1),"")</f>
        <v>R</v>
      </c>
      <c r="G277" s="9">
        <v>61</v>
      </c>
      <c r="H277" s="9" t="str">
        <f>IFERROR(MID(VLOOKUP($B277,Seqs!$A:$B,2,0),I277,1),"")</f>
        <v>R</v>
      </c>
      <c r="I277" s="109">
        <v>62</v>
      </c>
      <c r="J277" s="9" t="str">
        <f>IFERROR(MID(VLOOKUP($B277,Seqs!$A:$B,2,0),K277,1),"")</f>
        <v>Q</v>
      </c>
      <c r="K277" s="109">
        <v>65</v>
      </c>
      <c r="L277" s="9" t="str">
        <f>IFERROR(MID(VLOOKUP($B277,Seqs!$A:$B,2,0),M277,1),"")</f>
        <v>C</v>
      </c>
      <c r="M277" s="9">
        <v>66</v>
      </c>
      <c r="N277" s="9" t="str">
        <f>IFERROR(MID(VLOOKUP($B277,Seqs!$A:$B,2,0),O277,1),"")</f>
        <v>D</v>
      </c>
      <c r="O277" s="9">
        <v>95</v>
      </c>
      <c r="P277" s="9" t="str">
        <f>IFERROR(MID(VLOOKUP($B277,Seqs!$A:$B,2,0),Q277,1),"")</f>
        <v/>
      </c>
      <c r="Q277" s="9" t="s">
        <v>23</v>
      </c>
      <c r="R277" s="9" t="str">
        <f>IFERROR(MID(VLOOKUP($B277,Seqs!$A:$B,2,0),S277,1),"")</f>
        <v/>
      </c>
      <c r="S277" s="9" t="s">
        <v>23</v>
      </c>
      <c r="T277" s="9" t="str">
        <f>IFERROR(MID(VLOOKUP($B277,Seqs!$A:$B,2,0),U277,1),"")</f>
        <v>A</v>
      </c>
      <c r="U277" s="9">
        <v>100</v>
      </c>
      <c r="V277" s="9" t="str">
        <f>IFERROR(MID(VLOOKUP($B277,Seqs!$A:$B,2,0),W277,1),"")</f>
        <v>V</v>
      </c>
      <c r="W277" s="9">
        <v>134</v>
      </c>
      <c r="X277" s="9" t="str">
        <f>IFERROR(MID(VLOOKUP($B277,Seqs!$A:$B,2,0),Y277,1),"")</f>
        <v/>
      </c>
      <c r="Y277" s="9" t="s">
        <v>23</v>
      </c>
      <c r="Z277" s="9" t="str">
        <f>IFERROR(MID(VLOOKUP($B277,Seqs!$A:$B,2,0),AA277,1),"")</f>
        <v/>
      </c>
      <c r="AA277" s="9" t="s">
        <v>23</v>
      </c>
      <c r="AB277" s="9" t="str">
        <f>IFERROR(MID(VLOOKUP($B277,Seqs!$A:$B,2,0),AC277,1),"")</f>
        <v>P</v>
      </c>
      <c r="AC277" s="9">
        <v>140</v>
      </c>
      <c r="AD277" s="9" t="str">
        <f>IFERROR(MID(VLOOKUP($B277,Seqs!$A:$B,2,0),AE277,1),"")</f>
        <v>M</v>
      </c>
      <c r="AE277" s="9">
        <v>164</v>
      </c>
      <c r="AF277" s="9" t="str">
        <f>IFERROR(MID(VLOOKUP($B277,Seqs!$A:$B,2,0),AG277,1),"")</f>
        <v>C</v>
      </c>
      <c r="AG277" s="9">
        <v>173</v>
      </c>
      <c r="AH277" s="9" t="str">
        <f>IFERROR(MID(VLOOKUP($B277,Seqs!$A:$B,2,0),AI277,1),"")</f>
        <v>T</v>
      </c>
      <c r="AI277" s="9">
        <v>175</v>
      </c>
      <c r="AJ277" s="9" t="str">
        <f>IFERROR(MID(VLOOKUP($B277,Seqs!$A:$B,2,0),AK277,1),"")</f>
        <v>S</v>
      </c>
      <c r="AK277" s="9">
        <v>183</v>
      </c>
      <c r="AL277" s="9" t="str">
        <f>IFERROR(MID(VLOOKUP($B277,Seqs!$A:$B,2,0),AM277,1),"")</f>
        <v>S</v>
      </c>
      <c r="AM277" s="9">
        <v>218</v>
      </c>
      <c r="AN277" s="9" t="str">
        <f>IFERROR(MID(VLOOKUP($B277,Seqs!$A:$B,2,0),AO277,1),"")</f>
        <v>H</v>
      </c>
      <c r="AO277" s="9">
        <v>222</v>
      </c>
      <c r="AP277" s="9" t="str">
        <f>IFERROR(MID(VLOOKUP($B277,Seqs!$A:$B,2,0),AQ277,1),"")</f>
        <v>K</v>
      </c>
      <c r="AQ277" s="9">
        <v>257</v>
      </c>
      <c r="AR277" s="9" t="str">
        <f>IFERROR(MID(VLOOKUP($B277,Seqs!$A:$B,2,0),AS277,1),"")</f>
        <v>S</v>
      </c>
      <c r="AS277" s="9">
        <v>262</v>
      </c>
      <c r="AT277" s="9" t="str">
        <f>IFERROR(MID(VLOOKUP($B277,Seqs!$A:$B,2,0),AU277,1),"")</f>
        <v>V</v>
      </c>
      <c r="AU277" s="9">
        <v>294</v>
      </c>
      <c r="AV277" s="9" t="str">
        <f>IFERROR(MID(VLOOKUP($B277,Seqs!$A:$B,2,0),AW277,1),"")</f>
        <v>G</v>
      </c>
      <c r="AW277" s="9">
        <v>295</v>
      </c>
      <c r="AX277" s="9" t="str">
        <f>IFERROR(MID(VLOOKUP($B277,Seqs!$A:$B,2,0),AY277,1),"")</f>
        <v>R</v>
      </c>
      <c r="AY277" s="9">
        <v>310</v>
      </c>
      <c r="AZ277" s="110" t="str">
        <f>VLOOKUP(B277,Classification!A:D,2,0)</f>
        <v>A</v>
      </c>
      <c r="BA277" s="98" t="str">
        <f>VLOOKUP(B277,Classification!A:D,4,0)</f>
        <v>Chemokine</v>
      </c>
      <c r="BB277" s="36" t="b">
        <f t="shared" si="1007"/>
        <v>1</v>
      </c>
      <c r="BC277" s="109">
        <f t="shared" si="1008"/>
        <v>257</v>
      </c>
      <c r="BD277" s="11" t="s">
        <v>23</v>
      </c>
      <c r="BE277" s="9" t="s">
        <v>23</v>
      </c>
      <c r="BF277" s="120" t="s">
        <v>23</v>
      </c>
      <c r="BG277" s="51" t="s">
        <v>1384</v>
      </c>
      <c r="BH277" s="51" t="s">
        <v>1384</v>
      </c>
      <c r="BI277" s="12"/>
      <c r="BJ277" s="111" t="s">
        <v>1293</v>
      </c>
      <c r="BK277" s="112" t="s">
        <v>1293</v>
      </c>
      <c r="BL277" s="112" t="s">
        <v>1293</v>
      </c>
      <c r="BM277" s="112" t="s">
        <v>1293</v>
      </c>
      <c r="BN277" s="112" t="s">
        <v>1293</v>
      </c>
      <c r="BO277" s="112" t="s">
        <v>1293</v>
      </c>
      <c r="BP277" s="112" t="s">
        <v>1293</v>
      </c>
      <c r="BQ277" s="112" t="s">
        <v>1293</v>
      </c>
      <c r="BR277" s="112" t="s">
        <v>1293</v>
      </c>
      <c r="BS277" s="112" t="s">
        <v>1293</v>
      </c>
      <c r="BT277" s="112" t="s">
        <v>1293</v>
      </c>
      <c r="BU277" s="112" t="s">
        <v>1293</v>
      </c>
      <c r="BV277" s="111">
        <f t="shared" si="1009"/>
        <v>25</v>
      </c>
      <c r="BW277" s="113">
        <f t="shared" si="1010"/>
        <v>62</v>
      </c>
      <c r="BX277" s="114">
        <f t="shared" si="1011"/>
        <v>66</v>
      </c>
      <c r="BY277" s="113" t="str">
        <f t="shared" si="1012"/>
        <v>-</v>
      </c>
      <c r="BZ277" s="114">
        <f t="shared" si="1013"/>
        <v>100</v>
      </c>
      <c r="CA277" s="113" t="str">
        <f t="shared" si="1014"/>
        <v>-</v>
      </c>
      <c r="CB277" s="114">
        <f t="shared" si="1015"/>
        <v>140</v>
      </c>
      <c r="CC277" s="113">
        <f t="shared" si="1016"/>
        <v>173</v>
      </c>
      <c r="CD277" s="114">
        <f t="shared" si="1017"/>
        <v>183</v>
      </c>
      <c r="CE277" s="113">
        <f t="shared" si="1018"/>
        <v>222</v>
      </c>
      <c r="CF277" s="114">
        <f t="shared" si="1019"/>
        <v>262</v>
      </c>
      <c r="CG277" s="113">
        <f t="shared" si="1020"/>
        <v>295</v>
      </c>
      <c r="CH277" s="111">
        <f t="shared" si="1021"/>
        <v>61</v>
      </c>
      <c r="CI277" s="113">
        <f t="shared" si="1022"/>
        <v>65</v>
      </c>
      <c r="CJ277" s="114">
        <f t="shared" si="1023"/>
        <v>95</v>
      </c>
      <c r="CK277" s="114" t="str">
        <f t="shared" si="1024"/>
        <v>-</v>
      </c>
      <c r="CL277" s="114">
        <f t="shared" si="1025"/>
        <v>134</v>
      </c>
      <c r="CM277" s="114" t="str">
        <f t="shared" si="1026"/>
        <v>-</v>
      </c>
      <c r="CN277" s="114">
        <f t="shared" si="1027"/>
        <v>164</v>
      </c>
      <c r="CO277" s="114">
        <f t="shared" si="1028"/>
        <v>175</v>
      </c>
      <c r="CP277" s="114">
        <f t="shared" si="1029"/>
        <v>218</v>
      </c>
      <c r="CQ277" s="114">
        <f t="shared" si="1030"/>
        <v>257</v>
      </c>
      <c r="CR277" s="114">
        <f t="shared" si="1031"/>
        <v>294</v>
      </c>
      <c r="CS277" s="114">
        <f t="shared" si="1032"/>
        <v>310</v>
      </c>
      <c r="CT277" s="109">
        <f t="shared" si="1033"/>
        <v>1</v>
      </c>
      <c r="CU277" s="6"/>
      <c r="CV277" s="6"/>
      <c r="CW277" s="6"/>
      <c r="CX277" s="6"/>
      <c r="CY277" s="6"/>
      <c r="CZ277" s="6"/>
      <c r="DA277" s="6"/>
      <c r="DB277" s="6"/>
      <c r="DC277" s="6"/>
      <c r="DD277" s="6"/>
      <c r="DE277" s="6"/>
      <c r="DF277" s="6"/>
      <c r="DG277" s="6"/>
      <c r="DH277" s="6"/>
      <c r="DI277" s="6"/>
      <c r="DJ277" s="6"/>
      <c r="DK277" s="6"/>
      <c r="DL277" s="6"/>
      <c r="DM277" s="6"/>
      <c r="DN277" s="6"/>
      <c r="DO277" s="6"/>
      <c r="DP277" s="6"/>
      <c r="DQ277" s="6"/>
      <c r="DR277" s="6"/>
      <c r="DS277" s="6"/>
      <c r="DT277" s="6"/>
      <c r="DU277" s="6"/>
      <c r="DV277" s="6"/>
      <c r="DW277" s="6"/>
      <c r="DX277" s="6"/>
      <c r="DY277" s="6"/>
      <c r="DZ277" s="6"/>
      <c r="EA277" s="6"/>
      <c r="EB277" s="6"/>
      <c r="EC277" s="6"/>
      <c r="ED277" s="6"/>
      <c r="EE277" s="6"/>
      <c r="EF277" s="6"/>
      <c r="EG277" s="6"/>
      <c r="EH277" s="6"/>
      <c r="EI277" s="6"/>
      <c r="EJ277" s="6"/>
      <c r="EK277" s="6"/>
      <c r="EL277" s="6"/>
      <c r="EM277" s="6"/>
      <c r="EN277" s="6"/>
      <c r="EO277" s="6"/>
      <c r="EP277" s="6"/>
      <c r="EQ277" s="6"/>
      <c r="ER277" s="6"/>
      <c r="ES277" s="6"/>
      <c r="ET277" s="6"/>
      <c r="EU277" s="6"/>
      <c r="EV277" s="6"/>
      <c r="EW277" s="6"/>
      <c r="EX277" s="6"/>
      <c r="EY277" s="6"/>
      <c r="EZ277" s="6"/>
      <c r="FA277" s="6"/>
      <c r="FB277" s="6"/>
      <c r="FC277" s="6"/>
      <c r="FD277" s="6"/>
      <c r="FE277" s="6"/>
      <c r="FF277" s="6"/>
      <c r="FG277" s="6"/>
      <c r="FH277" s="6"/>
      <c r="FI277" s="6"/>
      <c r="FJ277" s="6"/>
      <c r="FK277" s="6"/>
      <c r="FL277" s="6"/>
      <c r="FM277" s="6"/>
      <c r="FN277" s="6"/>
      <c r="FO277" s="6"/>
      <c r="FP277" s="6"/>
      <c r="FQ277" s="6"/>
      <c r="FR277" s="6"/>
      <c r="FS277" s="6"/>
      <c r="FT277" s="6"/>
      <c r="FU277" s="6"/>
      <c r="FV277" s="6"/>
      <c r="FW277" s="6"/>
      <c r="FX277" s="6"/>
      <c r="FY277" s="6"/>
      <c r="FZ277" s="6"/>
      <c r="GA277" s="6"/>
      <c r="GB277" s="6"/>
      <c r="GC277" s="6"/>
      <c r="GD277" s="6"/>
      <c r="GE277" s="6"/>
      <c r="GF277" s="6"/>
      <c r="GG277" s="6"/>
      <c r="GH277" s="6"/>
      <c r="GI277" s="6"/>
      <c r="GJ277" s="6"/>
      <c r="GK277" s="6"/>
      <c r="GL277" s="6"/>
      <c r="GM277" s="6"/>
      <c r="GN277" s="6"/>
      <c r="GO277" s="6"/>
      <c r="GP277" s="6"/>
      <c r="GQ277" s="6"/>
      <c r="GR277" s="6"/>
      <c r="GS277" s="6"/>
      <c r="GT277" s="6"/>
      <c r="GU277" s="6"/>
      <c r="GV277" s="6"/>
      <c r="GW277" s="6"/>
      <c r="GX277" s="6"/>
      <c r="GY277" s="6"/>
      <c r="GZ277" s="6"/>
      <c r="HA277" s="6"/>
      <c r="HB277" s="6"/>
      <c r="HC277" s="6"/>
      <c r="HD277" s="6"/>
      <c r="HE277" s="6"/>
      <c r="HF277" s="6"/>
      <c r="HG277" s="6"/>
      <c r="HH277" s="6"/>
      <c r="HI277" s="6"/>
      <c r="HJ277" s="6"/>
      <c r="HK277" s="6"/>
      <c r="HL277" s="6"/>
      <c r="HM277" s="6"/>
      <c r="HN277" s="6"/>
      <c r="HO277" s="6"/>
      <c r="HP277" s="6"/>
      <c r="HQ277" s="6"/>
      <c r="HR277" s="6"/>
      <c r="HS277" s="6"/>
      <c r="HT277" s="6"/>
      <c r="HU277" s="6"/>
      <c r="HV277" s="6"/>
      <c r="HW277" s="6"/>
      <c r="HX277" s="6"/>
      <c r="HY277" s="6"/>
      <c r="HZ277" s="6"/>
      <c r="IA277" s="6"/>
      <c r="IB277" s="6"/>
      <c r="IC277" s="6"/>
      <c r="ID277" s="6"/>
      <c r="IE277" s="6"/>
      <c r="IF277" s="6"/>
      <c r="IG277" s="6"/>
      <c r="IH277" s="6"/>
      <c r="II277" s="6"/>
      <c r="IJ277" s="6"/>
      <c r="IK277" s="6"/>
      <c r="IL277" s="6"/>
      <c r="IM277" s="6"/>
      <c r="IN277" s="6"/>
      <c r="IO277" s="6"/>
      <c r="IP277" s="6"/>
      <c r="IQ277" s="6"/>
      <c r="IR277" s="6"/>
      <c r="IS277" s="6"/>
      <c r="IT277" s="6"/>
      <c r="IU277" s="6"/>
      <c r="IV277" s="6"/>
      <c r="IW277" s="6"/>
      <c r="IX277" s="6"/>
      <c r="IY277" s="6"/>
      <c r="IZ277" s="6"/>
      <c r="JA277" s="6"/>
      <c r="JB277" s="6"/>
      <c r="JC277" s="6"/>
      <c r="JD277" s="6"/>
      <c r="JE277" s="6"/>
      <c r="JF277" s="6"/>
      <c r="JG277" s="6"/>
      <c r="JH277" s="6"/>
      <c r="JI277" s="6"/>
      <c r="JJ277" s="6"/>
      <c r="JK277" s="6"/>
      <c r="JL277" s="6"/>
      <c r="JM277" s="6"/>
      <c r="JN277" s="6"/>
      <c r="JO277" s="6"/>
      <c r="JP277" s="6"/>
      <c r="JQ277" s="6"/>
      <c r="JR277" s="6"/>
      <c r="JS277" s="6"/>
      <c r="JT277" s="6"/>
      <c r="JU277" s="6"/>
      <c r="JV277" s="6"/>
      <c r="JW277" s="6"/>
      <c r="JX277" s="6"/>
      <c r="JY277" s="6"/>
      <c r="JZ277" s="6"/>
      <c r="KA277" s="6"/>
      <c r="KB277" s="6"/>
      <c r="KC277" s="6"/>
      <c r="KD277" s="6"/>
      <c r="KE277" s="6"/>
      <c r="KF277" s="6"/>
      <c r="KG277" s="6"/>
      <c r="KH277" s="6"/>
      <c r="KI277" s="6"/>
      <c r="KJ277" s="6"/>
      <c r="KK277" s="6"/>
      <c r="KL277" s="6"/>
      <c r="KM277" s="6"/>
      <c r="KN277" s="6"/>
      <c r="KO277" s="6"/>
      <c r="KP277" s="6"/>
      <c r="KQ277" s="6"/>
      <c r="KR277" s="6"/>
      <c r="KS277" s="6"/>
      <c r="KT277" s="6"/>
      <c r="KU277" s="6"/>
      <c r="KV277" s="6"/>
      <c r="KW277" s="6"/>
      <c r="KX277" s="6"/>
      <c r="KY277" s="6"/>
      <c r="KZ277" s="6"/>
      <c r="LA277" s="6"/>
      <c r="LB277" s="6"/>
      <c r="LC277" s="6"/>
      <c r="LD277" s="6"/>
      <c r="LE277" s="6"/>
      <c r="LF277" s="6"/>
      <c r="LG277" s="6"/>
      <c r="LH277" s="6"/>
      <c r="LI277" s="6"/>
      <c r="LJ277" s="6"/>
      <c r="LK277" s="6"/>
      <c r="LL277" s="6"/>
      <c r="LM277" s="6"/>
      <c r="LN277" s="6"/>
      <c r="LO277" s="6"/>
      <c r="LP277" s="6"/>
      <c r="LQ277" s="6"/>
      <c r="LR277" s="6"/>
      <c r="LS277" s="6"/>
      <c r="LT277" s="6"/>
      <c r="LU277" s="6"/>
      <c r="LV277" s="6"/>
      <c r="LW277" s="6"/>
      <c r="LX277" s="6"/>
      <c r="LY277" s="6"/>
      <c r="LZ277" s="6"/>
      <c r="MA277" s="6"/>
      <c r="MB277" s="6"/>
      <c r="MC277" s="6"/>
      <c r="MD277" s="6"/>
      <c r="ME277" s="6"/>
      <c r="MF277" s="6"/>
      <c r="MG277" s="6"/>
      <c r="MH277" s="6"/>
      <c r="MI277" s="6"/>
      <c r="MJ277" s="6"/>
      <c r="MK277" s="6"/>
      <c r="ML277" s="6"/>
      <c r="MM277" s="6"/>
      <c r="MN277" s="6"/>
      <c r="MO277" s="6"/>
      <c r="MP277" s="6"/>
      <c r="MQ277" s="6"/>
      <c r="MR277" s="6"/>
      <c r="MS277" s="6"/>
      <c r="MT277" s="6"/>
      <c r="MU277" s="6"/>
      <c r="MV277" s="6"/>
      <c r="MW277" s="6"/>
      <c r="MX277" s="6"/>
      <c r="MY277" s="6"/>
      <c r="MZ277" s="6"/>
      <c r="NA277" s="6"/>
      <c r="NB277" s="6"/>
      <c r="NC277" s="6"/>
      <c r="ND277" s="6"/>
      <c r="NE277" s="6"/>
      <c r="NF277" s="6"/>
      <c r="NG277" s="6"/>
      <c r="NH277" s="6"/>
      <c r="NI277" s="6"/>
      <c r="NJ277" s="6"/>
      <c r="NK277" s="6"/>
      <c r="NL277" s="6"/>
      <c r="NM277" s="6"/>
      <c r="NN277" s="6"/>
      <c r="NO277" s="6"/>
      <c r="NP277" s="6"/>
      <c r="NQ277" s="6"/>
      <c r="NR277" s="6"/>
      <c r="NS277" s="6"/>
      <c r="NT277" s="6"/>
      <c r="NU277" s="6"/>
      <c r="NV277" s="6"/>
      <c r="NW277" s="6"/>
      <c r="NX277" s="6"/>
      <c r="NY277" s="6"/>
      <c r="NZ277" s="6"/>
      <c r="OA277" s="6"/>
      <c r="OB277" s="6"/>
      <c r="OC277" s="6"/>
      <c r="OD277" s="6"/>
      <c r="OE277" s="6"/>
      <c r="OF277" s="6"/>
      <c r="OG277" s="6"/>
      <c r="OH277" s="6"/>
      <c r="OI277" s="6"/>
      <c r="OJ277" s="6"/>
      <c r="OK277" s="6"/>
      <c r="OL277" s="6"/>
      <c r="OM277" s="6"/>
      <c r="ON277" s="6"/>
      <c r="OO277" s="6"/>
      <c r="OP277" s="6"/>
      <c r="OQ277" s="6"/>
      <c r="OR277" s="6"/>
      <c r="OS277" s="6"/>
      <c r="OT277" s="6"/>
      <c r="OU277" s="6"/>
      <c r="OV277" s="6"/>
      <c r="OW277" s="6"/>
      <c r="OX277" s="6"/>
      <c r="OY277" s="6"/>
      <c r="OZ277" s="6"/>
      <c r="PA277" s="6"/>
      <c r="PB277" s="6"/>
      <c r="PC277" s="6"/>
      <c r="PD277" s="6"/>
      <c r="PE277" s="6"/>
      <c r="PF277" s="6"/>
      <c r="PG277" s="6"/>
      <c r="PH277" s="6"/>
      <c r="PI277" s="6"/>
      <c r="PJ277" s="6"/>
      <c r="PK277" s="6"/>
      <c r="PL277" s="6"/>
      <c r="PM277" s="6"/>
      <c r="PN277" s="6"/>
      <c r="PO277" s="6"/>
      <c r="PP277" s="6"/>
      <c r="PQ277" s="6"/>
      <c r="PR277" s="6"/>
      <c r="PS277" s="6"/>
      <c r="PT277" s="6"/>
      <c r="PU277" s="6"/>
      <c r="PV277" s="6"/>
      <c r="PW277" s="6"/>
      <c r="PX277" s="6"/>
      <c r="PY277" s="6"/>
      <c r="PZ277" s="6"/>
      <c r="QA277" s="6"/>
      <c r="QB277" s="6"/>
      <c r="QC277" s="6"/>
      <c r="QD277" s="6"/>
      <c r="QE277" s="6"/>
      <c r="QF277" s="6"/>
      <c r="QG277" s="6"/>
      <c r="QH277" s="6"/>
      <c r="QI277" s="6"/>
      <c r="QJ277" s="6"/>
      <c r="QK277" s="6"/>
      <c r="QL277" s="6"/>
      <c r="QM277" s="6"/>
      <c r="QN277" s="6"/>
      <c r="QO277" s="6"/>
      <c r="QP277" s="6"/>
      <c r="QQ277" s="6"/>
      <c r="QR277" s="6"/>
      <c r="QS277" s="6"/>
      <c r="QT277" s="6"/>
      <c r="QU277" s="6"/>
      <c r="QV277" s="6"/>
      <c r="QW277" s="6"/>
      <c r="QX277" s="6"/>
      <c r="QY277" s="6"/>
      <c r="QZ277" s="6"/>
      <c r="RA277" s="6"/>
      <c r="RB277" s="6"/>
      <c r="RC277" s="6"/>
      <c r="RD277" s="6"/>
      <c r="RE277" s="6"/>
      <c r="RF277" s="6"/>
      <c r="RG277" s="6"/>
      <c r="RH277" s="6"/>
      <c r="RI277" s="6"/>
      <c r="RJ277" s="6"/>
      <c r="RK277" s="6"/>
      <c r="RL277" s="6"/>
      <c r="RM277" s="6"/>
      <c r="RN277" s="6"/>
      <c r="RO277" s="6"/>
      <c r="RP277" s="6"/>
      <c r="RQ277" s="6"/>
      <c r="RR277" s="6"/>
      <c r="RS277" s="6"/>
      <c r="RT277" s="6"/>
      <c r="RU277" s="6"/>
      <c r="RV277" s="6"/>
      <c r="RW277" s="6"/>
      <c r="RX277" s="6"/>
      <c r="RY277" s="6"/>
      <c r="RZ277" s="6"/>
      <c r="SA277" s="6"/>
      <c r="SB277" s="6"/>
      <c r="SC277" s="6"/>
      <c r="SD277" s="6"/>
      <c r="SE277" s="6"/>
      <c r="SF277" s="6"/>
      <c r="SG277" s="6"/>
      <c r="SH277" s="6"/>
      <c r="SI277" s="6"/>
      <c r="SJ277" s="6"/>
      <c r="SK277" s="6"/>
      <c r="SL277" s="6"/>
      <c r="SM277" s="6"/>
      <c r="SN277" s="6"/>
      <c r="SO277" s="6"/>
      <c r="SP277" s="6"/>
      <c r="SQ277" s="6"/>
      <c r="SR277" s="6"/>
      <c r="SS277" s="6"/>
      <c r="ST277" s="6"/>
      <c r="SU277" s="6"/>
      <c r="SV277" s="6"/>
      <c r="SW277" s="6"/>
      <c r="SX277" s="6"/>
      <c r="SY277" s="6"/>
      <c r="SZ277" s="6"/>
      <c r="TA277" s="6"/>
      <c r="TB277" s="6"/>
      <c r="TC277" s="6"/>
      <c r="TD277" s="6"/>
      <c r="TE277" s="6"/>
      <c r="TF277" s="6"/>
      <c r="TG277" s="6"/>
      <c r="TH277" s="6"/>
      <c r="TI277" s="6"/>
      <c r="TJ277" s="6"/>
      <c r="TK277" s="6"/>
      <c r="TL277" s="6"/>
      <c r="TM277" s="6"/>
      <c r="TN277" s="6"/>
      <c r="TO277" s="6"/>
      <c r="TP277" s="6"/>
      <c r="TQ277" s="6"/>
      <c r="TR277" s="6"/>
      <c r="TS277" s="6"/>
      <c r="TT277" s="6"/>
      <c r="TU277" s="6"/>
      <c r="TV277" s="6"/>
      <c r="TW277" s="6"/>
      <c r="TX277" s="6"/>
      <c r="TY277" s="6"/>
      <c r="TZ277" s="6"/>
      <c r="UA277" s="6"/>
      <c r="UB277" s="6"/>
      <c r="UC277" s="6"/>
      <c r="UD277" s="6"/>
      <c r="UE277" s="6"/>
      <c r="UF277" s="6"/>
      <c r="UG277" s="6"/>
      <c r="UH277" s="6"/>
      <c r="UI277" s="6"/>
      <c r="UJ277" s="6"/>
      <c r="UK277" s="6"/>
      <c r="UL277" s="6"/>
      <c r="UM277" s="6"/>
      <c r="UN277" s="6"/>
      <c r="UO277" s="6"/>
      <c r="UP277" s="6"/>
      <c r="UQ277" s="6"/>
      <c r="UR277" s="6"/>
      <c r="US277" s="6"/>
      <c r="UT277" s="6"/>
      <c r="UU277" s="6"/>
      <c r="UV277" s="6"/>
      <c r="UW277" s="6"/>
      <c r="UX277" s="6"/>
      <c r="UY277" s="6"/>
      <c r="UZ277" s="6"/>
      <c r="VA277" s="6"/>
      <c r="VB277" s="6"/>
      <c r="VC277" s="6"/>
      <c r="VD277" s="6"/>
      <c r="VE277" s="6"/>
      <c r="VF277" s="6"/>
      <c r="VG277" s="6"/>
      <c r="VH277" s="6"/>
      <c r="VI277" s="6"/>
      <c r="VJ277" s="6"/>
      <c r="VK277" s="6"/>
      <c r="VL277" s="6"/>
      <c r="VM277" s="6"/>
      <c r="VN277" s="6"/>
      <c r="VO277" s="6"/>
      <c r="VP277" s="6"/>
      <c r="VQ277" s="6"/>
      <c r="VR277" s="6"/>
      <c r="VS277" s="6"/>
      <c r="VT277" s="6"/>
      <c r="VU277" s="6"/>
      <c r="VV277" s="6"/>
      <c r="VW277" s="6"/>
      <c r="VX277" s="6"/>
      <c r="VY277" s="6"/>
      <c r="VZ277" s="6"/>
      <c r="WA277" s="6"/>
      <c r="WB277" s="6"/>
      <c r="WC277" s="6"/>
      <c r="WD277" s="6"/>
      <c r="WE277" s="6"/>
      <c r="WF277" s="6"/>
      <c r="WG277" s="6"/>
      <c r="WH277" s="6"/>
      <c r="WI277" s="6"/>
      <c r="WJ277" s="6"/>
      <c r="WK277" s="6"/>
      <c r="WL277" s="6"/>
      <c r="WM277" s="6"/>
      <c r="WN277" s="6"/>
      <c r="WO277" s="6"/>
      <c r="WP277" s="6"/>
      <c r="WQ277" s="6"/>
      <c r="WR277" s="6"/>
      <c r="WS277" s="6"/>
      <c r="WT277" s="6"/>
      <c r="WU277" s="6"/>
      <c r="WV277" s="6"/>
      <c r="WW277" s="6"/>
      <c r="WX277" s="6"/>
      <c r="WY277" s="6"/>
      <c r="WZ277" s="6"/>
      <c r="XA277" s="6"/>
      <c r="XB277" s="6"/>
      <c r="XC277" s="6"/>
      <c r="XD277" s="6"/>
      <c r="XE277" s="6"/>
      <c r="XF277" s="6"/>
      <c r="XG277" s="6"/>
      <c r="XH277" s="6"/>
      <c r="XI277" s="6"/>
      <c r="XJ277" s="6"/>
      <c r="XK277" s="6"/>
      <c r="XL277" s="6"/>
      <c r="XM277" s="6"/>
      <c r="XN277" s="6"/>
      <c r="XO277" s="6"/>
      <c r="XP277" s="6"/>
      <c r="XQ277" s="6"/>
      <c r="XR277" s="6"/>
      <c r="XS277" s="6"/>
      <c r="XT277" s="6"/>
      <c r="XU277" s="6"/>
      <c r="XV277" s="6"/>
      <c r="XW277" s="6"/>
      <c r="XX277" s="6"/>
      <c r="XY277" s="6"/>
      <c r="XZ277" s="6"/>
      <c r="YA277" s="6"/>
      <c r="YB277" s="6"/>
      <c r="YC277" s="6"/>
      <c r="YD277" s="6"/>
      <c r="YE277" s="6"/>
      <c r="YF277" s="6"/>
      <c r="YG277" s="6"/>
      <c r="YH277" s="6"/>
      <c r="YI277" s="6"/>
      <c r="YJ277" s="6"/>
      <c r="YK277" s="6"/>
      <c r="YL277" s="6"/>
      <c r="YM277" s="6"/>
      <c r="YN277" s="6"/>
      <c r="YO277" s="6"/>
      <c r="YP277" s="6"/>
      <c r="YQ277" s="6"/>
      <c r="YR277" s="6"/>
      <c r="YS277" s="6"/>
      <c r="YT277" s="6"/>
      <c r="YU277" s="6"/>
      <c r="YV277" s="6"/>
      <c r="YW277" s="6"/>
      <c r="YX277" s="6"/>
      <c r="YY277" s="6"/>
      <c r="YZ277" s="6"/>
      <c r="ZA277" s="6"/>
      <c r="ZB277" s="6"/>
      <c r="ZC277" s="6"/>
      <c r="ZD277" s="6"/>
      <c r="ZE277" s="6"/>
      <c r="ZF277" s="6"/>
      <c r="ZG277" s="6"/>
      <c r="ZH277" s="6"/>
      <c r="ZI277" s="6"/>
      <c r="ZJ277" s="6"/>
      <c r="ZK277" s="6"/>
      <c r="ZL277" s="6"/>
      <c r="ZM277" s="6"/>
      <c r="ZN277" s="6"/>
      <c r="ZO277" s="6"/>
      <c r="ZP277" s="6"/>
      <c r="ZQ277" s="6"/>
      <c r="ZR277" s="6"/>
      <c r="ZS277" s="6"/>
      <c r="ZT277" s="6"/>
      <c r="ZU277" s="6"/>
      <c r="ZV277" s="6"/>
      <c r="ZW277" s="6"/>
      <c r="ZX277" s="6"/>
      <c r="ZY277" s="6"/>
      <c r="ZZ277" s="6"/>
      <c r="AAA277" s="6"/>
      <c r="AAB277" s="6"/>
      <c r="AAC277" s="6"/>
      <c r="AAD277" s="6"/>
      <c r="AAE277" s="6"/>
      <c r="AAF277" s="6"/>
      <c r="AAG277" s="6"/>
      <c r="AAH277" s="6"/>
      <c r="AAI277" s="6"/>
      <c r="AAJ277" s="6"/>
      <c r="AAK277" s="6"/>
      <c r="AAL277" s="6"/>
      <c r="AAM277" s="6"/>
      <c r="AAN277" s="6"/>
      <c r="AAO277" s="6"/>
      <c r="AAP277" s="6"/>
      <c r="AAQ277" s="6"/>
      <c r="AAR277" s="6"/>
      <c r="AAS277" s="6"/>
      <c r="AAT277" s="6"/>
      <c r="AAU277" s="6"/>
      <c r="AAV277" s="6"/>
      <c r="AAW277" s="6"/>
      <c r="AAX277" s="6"/>
      <c r="AAY277" s="6"/>
      <c r="AAZ277" s="6"/>
      <c r="ABA277" s="6"/>
      <c r="ABB277" s="6"/>
      <c r="ABC277" s="6"/>
      <c r="ABD277" s="6"/>
      <c r="ABE277" s="6"/>
      <c r="ABF277" s="6"/>
      <c r="ABG277" s="6"/>
      <c r="ABH277" s="6"/>
      <c r="ABI277" s="6"/>
      <c r="ABJ277" s="6"/>
      <c r="ABK277" s="6"/>
      <c r="ABL277" s="6"/>
      <c r="ABM277" s="6"/>
      <c r="ABN277" s="6"/>
      <c r="ABO277" s="6"/>
      <c r="ABP277" s="6"/>
      <c r="ABQ277" s="6"/>
      <c r="ABR277" s="6"/>
      <c r="ABS277" s="6"/>
      <c r="ABT277" s="6"/>
      <c r="ABU277" s="6"/>
      <c r="ABV277" s="6"/>
      <c r="ABW277" s="6"/>
      <c r="ABX277" s="6"/>
      <c r="ABY277" s="6"/>
      <c r="ABZ277" s="6"/>
      <c r="ACA277" s="6"/>
      <c r="ACB277" s="6"/>
      <c r="ACC277" s="6"/>
      <c r="ACD277" s="6"/>
      <c r="ACE277" s="6"/>
      <c r="ACF277" s="6"/>
      <c r="ACG277" s="6"/>
      <c r="ACH277" s="6"/>
      <c r="ACI277" s="6"/>
      <c r="ACJ277" s="6"/>
      <c r="ACK277" s="6"/>
      <c r="ACL277" s="6"/>
      <c r="ACM277" s="6"/>
      <c r="ACN277" s="6"/>
      <c r="ACO277" s="6"/>
      <c r="ACP277" s="6"/>
      <c r="ACQ277" s="6"/>
      <c r="ACR277" s="6"/>
      <c r="ACS277" s="6"/>
      <c r="ACT277" s="6"/>
      <c r="ACU277" s="6"/>
      <c r="ACV277" s="6"/>
      <c r="ACW277" s="6"/>
      <c r="ACX277" s="6"/>
      <c r="ACY277" s="6"/>
      <c r="ACZ277" s="6"/>
      <c r="ADA277" s="6"/>
      <c r="ADB277" s="6"/>
      <c r="ADC277" s="6"/>
      <c r="ADD277" s="6"/>
      <c r="ADE277" s="6"/>
      <c r="ADF277" s="6"/>
      <c r="ADG277" s="6"/>
      <c r="ADH277" s="6"/>
      <c r="ADI277" s="6"/>
      <c r="ADJ277" s="6"/>
      <c r="ADK277" s="6"/>
      <c r="ADL277" s="6"/>
      <c r="ADM277" s="6"/>
      <c r="ADN277" s="6"/>
      <c r="ADO277" s="6"/>
      <c r="ADP277" s="6"/>
      <c r="ADQ277" s="6"/>
      <c r="ADR277" s="6"/>
      <c r="ADS277" s="6"/>
      <c r="ADT277" s="6"/>
      <c r="ADU277" s="6"/>
      <c r="ADV277" s="6"/>
      <c r="ADW277" s="6"/>
      <c r="ADX277" s="6"/>
      <c r="ADY277" s="6"/>
      <c r="ADZ277" s="6"/>
      <c r="AEA277" s="6"/>
      <c r="AEB277" s="6"/>
      <c r="AEC277" s="6"/>
      <c r="AED277" s="6"/>
      <c r="AEE277" s="6"/>
      <c r="AEF277" s="6"/>
      <c r="AEG277" s="6"/>
      <c r="AEH277" s="6"/>
      <c r="AEI277" s="6"/>
      <c r="AEJ277" s="6"/>
      <c r="AEK277" s="6"/>
      <c r="AEL277" s="6"/>
      <c r="AEM277" s="6"/>
      <c r="AEN277" s="6"/>
      <c r="AEO277" s="6"/>
      <c r="AEP277" s="6"/>
      <c r="AEQ277" s="6"/>
      <c r="AER277" s="6"/>
      <c r="AES277" s="6"/>
      <c r="AET277" s="6"/>
      <c r="AEU277" s="6"/>
      <c r="AEV277" s="6"/>
      <c r="AEW277" s="6"/>
      <c r="AEX277" s="6"/>
      <c r="AEY277" s="6"/>
      <c r="AEZ277" s="6"/>
      <c r="AFA277" s="6"/>
      <c r="AFB277" s="6"/>
      <c r="AFC277" s="6"/>
      <c r="AFD277" s="6"/>
      <c r="AFE277" s="6"/>
      <c r="AFF277" s="6"/>
      <c r="AFG277" s="6"/>
      <c r="AFH277" s="6"/>
      <c r="AFI277" s="6"/>
      <c r="AFJ277" s="6"/>
      <c r="AFK277" s="6"/>
      <c r="AFL277" s="6"/>
      <c r="AFM277" s="6"/>
      <c r="AFN277" s="6"/>
      <c r="AFO277" s="6"/>
      <c r="AFP277" s="6"/>
      <c r="AFQ277" s="6"/>
      <c r="AFR277" s="6"/>
      <c r="AFS277" s="6"/>
      <c r="AFT277" s="6"/>
      <c r="AFU277" s="6"/>
      <c r="AFV277" s="6"/>
      <c r="AFW277" s="6"/>
      <c r="AFX277" s="6"/>
      <c r="AFY277" s="6"/>
      <c r="AFZ277" s="6"/>
      <c r="AGA277" s="6"/>
      <c r="AGB277" s="6"/>
      <c r="AGC277" s="6"/>
      <c r="AGD277" s="6"/>
      <c r="AGE277" s="6"/>
      <c r="AGF277" s="6"/>
      <c r="AGG277" s="6"/>
      <c r="AGH277" s="6"/>
      <c r="AGI277" s="6"/>
      <c r="AGJ277" s="6"/>
      <c r="AGK277" s="6"/>
      <c r="AGL277" s="6"/>
      <c r="AGM277" s="6"/>
      <c r="AGN277" s="6"/>
      <c r="AGO277" s="6"/>
      <c r="AGP277" s="6"/>
      <c r="AGQ277" s="6"/>
      <c r="AGR277" s="6"/>
      <c r="AGS277" s="6"/>
      <c r="AGT277" s="6"/>
      <c r="AGU277" s="6"/>
      <c r="AGV277" s="6"/>
      <c r="AGW277" s="6"/>
      <c r="AGX277" s="6"/>
      <c r="AGY277" s="6"/>
      <c r="AGZ277" s="6"/>
      <c r="AHA277" s="6"/>
      <c r="AHB277" s="6"/>
      <c r="AHC277" s="6"/>
      <c r="AHD277" s="6"/>
      <c r="AHE277" s="6"/>
      <c r="AHF277" s="6"/>
      <c r="AHG277" s="6"/>
      <c r="AHH277" s="6"/>
      <c r="AHI277" s="6"/>
      <c r="AHJ277" s="6"/>
      <c r="AHK277" s="6"/>
      <c r="AHL277" s="6"/>
      <c r="AHM277" s="6"/>
      <c r="AHN277" s="6"/>
      <c r="AHO277" s="6"/>
      <c r="AHP277" s="6"/>
      <c r="AHQ277" s="6"/>
      <c r="AHR277" s="6"/>
      <c r="AHS277" s="6"/>
      <c r="AHT277" s="6"/>
      <c r="AHU277" s="6"/>
      <c r="AHV277" s="6"/>
      <c r="AHW277" s="6"/>
      <c r="AHX277" s="6"/>
      <c r="AHY277" s="6"/>
      <c r="AHZ277" s="6"/>
      <c r="AIA277" s="6"/>
      <c r="AIB277" s="6"/>
      <c r="AIC277" s="6"/>
      <c r="AID277" s="6"/>
      <c r="AIE277" s="6"/>
      <c r="AIF277" s="6"/>
      <c r="AIG277" s="6"/>
      <c r="AIH277" s="6"/>
      <c r="AII277" s="6"/>
      <c r="AIJ277" s="6"/>
      <c r="AIK277" s="6"/>
      <c r="AIL277" s="6"/>
      <c r="AIM277" s="6"/>
      <c r="AIN277" s="6"/>
      <c r="AIO277" s="6"/>
      <c r="AIP277" s="6"/>
      <c r="AIQ277" s="6"/>
      <c r="AIR277" s="6"/>
      <c r="AIS277" s="6"/>
      <c r="AIT277" s="6"/>
      <c r="AIU277" s="6"/>
      <c r="AIV277" s="6"/>
      <c r="AIW277" s="6"/>
      <c r="AIX277" s="6"/>
      <c r="AIY277" s="6"/>
      <c r="AIZ277" s="6"/>
      <c r="AJA277" s="6"/>
      <c r="AJB277" s="6"/>
      <c r="AJC277" s="6"/>
      <c r="AJD277" s="6"/>
      <c r="AJE277" s="6"/>
      <c r="AJF277" s="6"/>
      <c r="AJG277" s="6"/>
      <c r="AJH277" s="6"/>
      <c r="AJI277" s="6"/>
      <c r="AJJ277" s="6"/>
      <c r="AJK277" s="6"/>
      <c r="AJL277" s="6"/>
      <c r="AJM277" s="6"/>
      <c r="AJN277" s="6"/>
      <c r="AJO277" s="6"/>
      <c r="AJP277" s="6"/>
      <c r="AJQ277" s="6"/>
      <c r="AJR277" s="6"/>
      <c r="AJS277" s="6"/>
      <c r="AJT277" s="6"/>
      <c r="AJU277" s="6"/>
      <c r="AJV277" s="6"/>
      <c r="AJW277" s="6"/>
      <c r="AJX277" s="6"/>
      <c r="AJY277" s="6"/>
      <c r="AJZ277" s="6"/>
      <c r="AKA277" s="6"/>
      <c r="AKB277" s="6"/>
      <c r="AKC277" s="6"/>
      <c r="AKD277" s="6"/>
      <c r="AKE277" s="6"/>
      <c r="AKF277" s="6"/>
      <c r="AKG277" s="6"/>
      <c r="AKH277" s="6"/>
      <c r="AKI277" s="6"/>
      <c r="AKJ277" s="6"/>
      <c r="AKK277" s="6"/>
      <c r="AKL277" s="6"/>
      <c r="AKM277" s="6"/>
      <c r="AKN277" s="6"/>
      <c r="AKO277" s="6"/>
      <c r="AKP277" s="6"/>
      <c r="AKQ277" s="6"/>
      <c r="AKR277" s="6"/>
      <c r="AKS277" s="6"/>
      <c r="AKT277" s="6"/>
      <c r="AKU277" s="6"/>
      <c r="AKV277" s="6"/>
      <c r="AKW277" s="6"/>
      <c r="AKX277" s="6"/>
      <c r="AKY277" s="6"/>
      <c r="AKZ277" s="6"/>
      <c r="ALA277" s="6"/>
      <c r="ALB277" s="6"/>
      <c r="ALC277" s="6"/>
      <c r="ALD277" s="6"/>
      <c r="ALE277" s="6"/>
      <c r="ALF277" s="6"/>
      <c r="ALG277" s="6"/>
      <c r="ALH277" s="6"/>
      <c r="ALI277" s="6"/>
      <c r="ALJ277" s="6"/>
      <c r="ALK277" s="6"/>
      <c r="ALL277" s="6"/>
      <c r="ALM277" s="6"/>
      <c r="ALN277" s="6"/>
      <c r="ALO277" s="6"/>
      <c r="ALP277" s="6"/>
      <c r="ALQ277" s="6"/>
      <c r="ALR277" s="6"/>
      <c r="ALS277" s="6"/>
      <c r="ALT277" s="6"/>
      <c r="ALU277" s="6"/>
      <c r="ALV277" s="6"/>
      <c r="ALW277" s="6"/>
      <c r="ALX277" s="6"/>
      <c r="ALY277" s="6"/>
      <c r="ALZ277" s="6"/>
      <c r="AMA277" s="6"/>
      <c r="AMB277" s="6"/>
      <c r="AMC277" s="6"/>
      <c r="AMD277" s="6"/>
      <c r="AME277" s="6"/>
      <c r="AMF277" s="6"/>
      <c r="AMG277" s="6"/>
      <c r="AMH277" s="6"/>
      <c r="AMI277" s="6"/>
      <c r="AMJ277" s="6"/>
      <c r="AMK277" s="6"/>
      <c r="AML277" s="6"/>
      <c r="AMM277" s="6"/>
      <c r="AMN277" s="6"/>
      <c r="AMO277" s="6"/>
      <c r="AMP277" s="6"/>
    </row>
    <row r="278" spans="1:1030" x14ac:dyDescent="0.2">
      <c r="A278" s="9" t="str">
        <f t="shared" si="1034"/>
        <v>q80km9_hcmv_5WB1</v>
      </c>
      <c r="B278" s="40" t="s">
        <v>1524</v>
      </c>
      <c r="C278" s="9" t="s">
        <v>1526</v>
      </c>
      <c r="D278" s="9" t="str">
        <f>IFERROR(MID(VLOOKUP($B278,Seqs!$A:$B,2,0),E278,1),"")</f>
        <v>F</v>
      </c>
      <c r="E278" s="9">
        <v>25</v>
      </c>
      <c r="F278" s="9" t="str">
        <f>IFERROR(MID(VLOOKUP($B278,Seqs!$A:$B,2,0),G278,1),"")</f>
        <v>W</v>
      </c>
      <c r="G278" s="9">
        <v>60</v>
      </c>
      <c r="H278" s="9" t="str">
        <f>IFERROR(MID(VLOOKUP($B278,Seqs!$A:$B,2,0),I278,1),"")</f>
        <v/>
      </c>
      <c r="I278" s="109" t="s">
        <v>23</v>
      </c>
      <c r="J278" s="9" t="str">
        <f>IFERROR(MID(VLOOKUP($B278,Seqs!$A:$B,2,0),K278,1),"")</f>
        <v/>
      </c>
      <c r="K278" s="109" t="s">
        <v>23</v>
      </c>
      <c r="L278" s="9" t="str">
        <f>IFERROR(MID(VLOOKUP($B278,Seqs!$A:$B,2,0),M278,1),"")</f>
        <v>C</v>
      </c>
      <c r="M278" s="9">
        <v>66</v>
      </c>
      <c r="N278" s="9" t="str">
        <f>IFERROR(MID(VLOOKUP($B278,Seqs!$A:$B,2,0),O278,1),"")</f>
        <v>D</v>
      </c>
      <c r="O278" s="9">
        <v>95</v>
      </c>
      <c r="P278" s="9" t="str">
        <f>IFERROR(MID(VLOOKUP($B278,Seqs!$A:$B,2,0),Q278,1),"")</f>
        <v/>
      </c>
      <c r="Q278" s="9" t="s">
        <v>23</v>
      </c>
      <c r="R278" s="9" t="str">
        <f>IFERROR(MID(VLOOKUP($B278,Seqs!$A:$B,2,0),S278,1),"")</f>
        <v/>
      </c>
      <c r="S278" s="9" t="s">
        <v>23</v>
      </c>
      <c r="T278" s="9" t="str">
        <f>IFERROR(MID(VLOOKUP($B278,Seqs!$A:$B,2,0),U278,1),"")</f>
        <v>A</v>
      </c>
      <c r="U278" s="9">
        <v>100</v>
      </c>
      <c r="V278" s="9" t="str">
        <f>IFERROR(MID(VLOOKUP($B278,Seqs!$A:$B,2,0),W278,1),"")</f>
        <v>V</v>
      </c>
      <c r="W278" s="9">
        <v>134</v>
      </c>
      <c r="X278" s="9" t="str">
        <f>IFERROR(MID(VLOOKUP($B278,Seqs!$A:$B,2,0),Y278,1),"")</f>
        <v/>
      </c>
      <c r="Y278" s="9" t="s">
        <v>23</v>
      </c>
      <c r="Z278" s="9" t="str">
        <f>IFERROR(MID(VLOOKUP($B278,Seqs!$A:$B,2,0),AA278,1),"")</f>
        <v/>
      </c>
      <c r="AA278" s="9" t="s">
        <v>23</v>
      </c>
      <c r="AB278" s="9" t="str">
        <f>IFERROR(MID(VLOOKUP($B278,Seqs!$A:$B,2,0),AC278,1),"")</f>
        <v>P</v>
      </c>
      <c r="AC278" s="9">
        <v>140</v>
      </c>
      <c r="AD278" s="9" t="str">
        <f>IFERROR(MID(VLOOKUP($B278,Seqs!$A:$B,2,0),AE278,1),"")</f>
        <v>M</v>
      </c>
      <c r="AE278" s="9">
        <v>164</v>
      </c>
      <c r="AF278" s="9" t="str">
        <f>IFERROR(MID(VLOOKUP($B278,Seqs!$A:$B,2,0),AG278,1),"")</f>
        <v>C</v>
      </c>
      <c r="AG278" s="9">
        <v>173</v>
      </c>
      <c r="AH278" s="9" t="str">
        <f>IFERROR(MID(VLOOKUP($B278,Seqs!$A:$B,2,0),AI278,1),"")</f>
        <v>T</v>
      </c>
      <c r="AI278" s="9">
        <v>175</v>
      </c>
      <c r="AJ278" s="9" t="str">
        <f>IFERROR(MID(VLOOKUP($B278,Seqs!$A:$B,2,0),AK278,1),"")</f>
        <v>S</v>
      </c>
      <c r="AK278" s="9">
        <v>183</v>
      </c>
      <c r="AL278" s="9" t="str">
        <f>IFERROR(MID(VLOOKUP($B278,Seqs!$A:$B,2,0),AM278,1),"")</f>
        <v>S</v>
      </c>
      <c r="AM278" s="9">
        <v>218</v>
      </c>
      <c r="AN278" s="9" t="str">
        <f>IFERROR(MID(VLOOKUP($B278,Seqs!$A:$B,2,0),AO278,1),"")</f>
        <v>H</v>
      </c>
      <c r="AO278" s="9">
        <v>222</v>
      </c>
      <c r="AP278" s="9" t="str">
        <f>IFERROR(MID(VLOOKUP($B278,Seqs!$A:$B,2,0),AQ278,1),"")</f>
        <v>K</v>
      </c>
      <c r="AQ278" s="9">
        <v>257</v>
      </c>
      <c r="AR278" s="9" t="str">
        <f>IFERROR(MID(VLOOKUP($B278,Seqs!$A:$B,2,0),AS278,1),"")</f>
        <v>S</v>
      </c>
      <c r="AS278" s="9">
        <v>262</v>
      </c>
      <c r="AT278" s="9" t="str">
        <f>IFERROR(MID(VLOOKUP($B278,Seqs!$A:$B,2,0),AU278,1),"")</f>
        <v>V</v>
      </c>
      <c r="AU278" s="9">
        <v>294</v>
      </c>
      <c r="AV278" s="9" t="str">
        <f>IFERROR(MID(VLOOKUP($B278,Seqs!$A:$B,2,0),AW278,1),"")</f>
        <v>G</v>
      </c>
      <c r="AW278" s="9">
        <v>295</v>
      </c>
      <c r="AX278" s="9" t="str">
        <f>IFERROR(MID(VLOOKUP($B278,Seqs!$A:$B,2,0),AY278,1),"")</f>
        <v>R</v>
      </c>
      <c r="AY278" s="9">
        <v>310</v>
      </c>
      <c r="AZ278" s="110" t="str">
        <f>VLOOKUP(B278,Classification!A:D,2,0)</f>
        <v>A</v>
      </c>
      <c r="BA278" s="98" t="str">
        <f>VLOOKUP(B278,Classification!A:D,4,0)</f>
        <v>Chemokine</v>
      </c>
      <c r="BB278" s="36" t="b">
        <f t="shared" si="1007"/>
        <v>1</v>
      </c>
      <c r="BC278" s="109">
        <f t="shared" si="1008"/>
        <v>253</v>
      </c>
      <c r="BD278" s="11" t="s">
        <v>1382</v>
      </c>
      <c r="BE278" s="9" t="s">
        <v>1297</v>
      </c>
      <c r="BF278" s="120">
        <v>3.51</v>
      </c>
      <c r="BG278" s="51" t="s">
        <v>1</v>
      </c>
      <c r="BH278" s="51" t="s">
        <v>1</v>
      </c>
      <c r="BI278" s="12"/>
      <c r="BJ278" s="111" t="s">
        <v>1293</v>
      </c>
      <c r="BK278" s="112" t="s">
        <v>1293</v>
      </c>
      <c r="BL278" s="112" t="s">
        <v>1293</v>
      </c>
      <c r="BM278" s="112" t="s">
        <v>1293</v>
      </c>
      <c r="BN278" s="112" t="s">
        <v>1293</v>
      </c>
      <c r="BO278" s="112" t="s">
        <v>1293</v>
      </c>
      <c r="BP278" s="112" t="s">
        <v>1293</v>
      </c>
      <c r="BQ278" s="112" t="s">
        <v>1293</v>
      </c>
      <c r="BR278" s="112" t="s">
        <v>1293</v>
      </c>
      <c r="BS278" s="112" t="s">
        <v>1293</v>
      </c>
      <c r="BT278" s="112" t="s">
        <v>1293</v>
      </c>
      <c r="BU278" s="112" t="s">
        <v>1293</v>
      </c>
      <c r="BV278" s="111">
        <f t="shared" si="1009"/>
        <v>25</v>
      </c>
      <c r="BW278" s="113" t="str">
        <f t="shared" si="1010"/>
        <v>-</v>
      </c>
      <c r="BX278" s="114">
        <f t="shared" si="1011"/>
        <v>66</v>
      </c>
      <c r="BY278" s="113" t="str">
        <f t="shared" si="1012"/>
        <v>-</v>
      </c>
      <c r="BZ278" s="114">
        <f t="shared" si="1013"/>
        <v>100</v>
      </c>
      <c r="CA278" s="113" t="str">
        <f t="shared" si="1014"/>
        <v>-</v>
      </c>
      <c r="CB278" s="114">
        <f t="shared" si="1015"/>
        <v>140</v>
      </c>
      <c r="CC278" s="113">
        <f t="shared" si="1016"/>
        <v>173</v>
      </c>
      <c r="CD278" s="114">
        <f t="shared" si="1017"/>
        <v>183</v>
      </c>
      <c r="CE278" s="113">
        <f t="shared" si="1018"/>
        <v>222</v>
      </c>
      <c r="CF278" s="114">
        <f t="shared" si="1019"/>
        <v>262</v>
      </c>
      <c r="CG278" s="113">
        <f t="shared" si="1020"/>
        <v>295</v>
      </c>
      <c r="CH278" s="111">
        <f t="shared" si="1021"/>
        <v>60</v>
      </c>
      <c r="CI278" s="113" t="str">
        <f t="shared" si="1022"/>
        <v>-</v>
      </c>
      <c r="CJ278" s="114">
        <f t="shared" si="1023"/>
        <v>95</v>
      </c>
      <c r="CK278" s="114" t="str">
        <f t="shared" si="1024"/>
        <v>-</v>
      </c>
      <c r="CL278" s="114">
        <f t="shared" si="1025"/>
        <v>134</v>
      </c>
      <c r="CM278" s="114" t="str">
        <f t="shared" si="1026"/>
        <v>-</v>
      </c>
      <c r="CN278" s="114">
        <f t="shared" si="1027"/>
        <v>164</v>
      </c>
      <c r="CO278" s="114">
        <f t="shared" si="1028"/>
        <v>175</v>
      </c>
      <c r="CP278" s="114">
        <f t="shared" si="1029"/>
        <v>218</v>
      </c>
      <c r="CQ278" s="114">
        <f t="shared" si="1030"/>
        <v>257</v>
      </c>
      <c r="CR278" s="114">
        <f t="shared" si="1031"/>
        <v>294</v>
      </c>
      <c r="CS278" s="114">
        <f t="shared" si="1032"/>
        <v>310</v>
      </c>
      <c r="CT278" s="109" t="e">
        <f t="shared" si="1033"/>
        <v>#VALUE!</v>
      </c>
      <c r="CU278" s="6"/>
      <c r="CV278" s="6"/>
      <c r="CW278" s="6"/>
      <c r="CX278" s="6"/>
      <c r="CY278" s="6"/>
      <c r="CZ278" s="6"/>
      <c r="DA278" s="6"/>
      <c r="DB278" s="6"/>
      <c r="DC278" s="6"/>
      <c r="DD278" s="6"/>
      <c r="DE278" s="6"/>
      <c r="DF278" s="6"/>
      <c r="DG278" s="6"/>
      <c r="DH278" s="6"/>
      <c r="DI278" s="6"/>
      <c r="DJ278" s="6"/>
      <c r="DK278" s="6"/>
      <c r="DL278" s="6"/>
      <c r="DM278" s="6"/>
      <c r="DN278" s="6"/>
      <c r="DO278" s="6"/>
      <c r="DP278" s="6"/>
      <c r="DQ278" s="6"/>
      <c r="DR278" s="6"/>
      <c r="DS278" s="6"/>
      <c r="DT278" s="6"/>
      <c r="DU278" s="6"/>
      <c r="DV278" s="6"/>
      <c r="DW278" s="6"/>
      <c r="DX278" s="6"/>
      <c r="DY278" s="6"/>
      <c r="DZ278" s="6"/>
      <c r="EA278" s="6"/>
      <c r="EB278" s="6"/>
      <c r="EC278" s="6"/>
      <c r="ED278" s="6"/>
      <c r="EE278" s="6"/>
      <c r="EF278" s="6"/>
      <c r="EG278" s="6"/>
      <c r="EH278" s="6"/>
      <c r="EI278" s="6"/>
      <c r="EJ278" s="6"/>
      <c r="EK278" s="6"/>
      <c r="EL278" s="6"/>
      <c r="EM278" s="6"/>
      <c r="EN278" s="6"/>
      <c r="EO278" s="6"/>
      <c r="EP278" s="6"/>
      <c r="EQ278" s="6"/>
      <c r="ER278" s="6"/>
      <c r="ES278" s="6"/>
      <c r="ET278" s="6"/>
      <c r="EU278" s="6"/>
      <c r="EV278" s="6"/>
      <c r="EW278" s="6"/>
      <c r="EX278" s="6"/>
      <c r="EY278" s="6"/>
      <c r="EZ278" s="6"/>
      <c r="FA278" s="6"/>
      <c r="FB278" s="6"/>
      <c r="FC278" s="6"/>
      <c r="FD278" s="6"/>
      <c r="FE278" s="6"/>
      <c r="FF278" s="6"/>
      <c r="FG278" s="6"/>
      <c r="FH278" s="6"/>
      <c r="FI278" s="6"/>
      <c r="FJ278" s="6"/>
      <c r="FK278" s="6"/>
      <c r="FL278" s="6"/>
      <c r="FM278" s="6"/>
      <c r="FN278" s="6"/>
      <c r="FO278" s="6"/>
      <c r="FP278" s="6"/>
      <c r="FQ278" s="6"/>
      <c r="FR278" s="6"/>
      <c r="FS278" s="6"/>
      <c r="FT278" s="6"/>
      <c r="FU278" s="6"/>
      <c r="FV278" s="6"/>
      <c r="FW278" s="6"/>
      <c r="FX278" s="6"/>
      <c r="FY278" s="6"/>
      <c r="FZ278" s="6"/>
      <c r="GA278" s="6"/>
      <c r="GB278" s="6"/>
      <c r="GC278" s="6"/>
      <c r="GD278" s="6"/>
      <c r="GE278" s="6"/>
      <c r="GF278" s="6"/>
      <c r="GG278" s="6"/>
      <c r="GH278" s="6"/>
      <c r="GI278" s="6"/>
      <c r="GJ278" s="6"/>
      <c r="GK278" s="6"/>
      <c r="GL278" s="6"/>
      <c r="GM278" s="6"/>
      <c r="GN278" s="6"/>
      <c r="GO278" s="6"/>
      <c r="GP278" s="6"/>
      <c r="GQ278" s="6"/>
      <c r="GR278" s="6"/>
      <c r="GS278" s="6"/>
      <c r="GT278" s="6"/>
      <c r="GU278" s="6"/>
      <c r="GV278" s="6"/>
      <c r="GW278" s="6"/>
      <c r="GX278" s="6"/>
      <c r="GY278" s="6"/>
      <c r="GZ278" s="6"/>
      <c r="HA278" s="6"/>
      <c r="HB278" s="6"/>
      <c r="HC278" s="6"/>
      <c r="HD278" s="6"/>
      <c r="HE278" s="6"/>
      <c r="HF278" s="6"/>
      <c r="HG278" s="6"/>
      <c r="HH278" s="6"/>
      <c r="HI278" s="6"/>
      <c r="HJ278" s="6"/>
      <c r="HK278" s="6"/>
      <c r="HL278" s="6"/>
      <c r="HM278" s="6"/>
      <c r="HN278" s="6"/>
      <c r="HO278" s="6"/>
      <c r="HP278" s="6"/>
      <c r="HQ278" s="6"/>
      <c r="HR278" s="6"/>
      <c r="HS278" s="6"/>
      <c r="HT278" s="6"/>
      <c r="HU278" s="6"/>
      <c r="HV278" s="6"/>
      <c r="HW278" s="6"/>
      <c r="HX278" s="6"/>
      <c r="HY278" s="6"/>
      <c r="HZ278" s="6"/>
      <c r="IA278" s="6"/>
      <c r="IB278" s="6"/>
      <c r="IC278" s="6"/>
      <c r="ID278" s="6"/>
      <c r="IE278" s="6"/>
      <c r="IF278" s="6"/>
      <c r="IG278" s="6"/>
      <c r="IH278" s="6"/>
      <c r="II278" s="6"/>
      <c r="IJ278" s="6"/>
      <c r="IK278" s="6"/>
      <c r="IL278" s="6"/>
      <c r="IM278" s="6"/>
      <c r="IN278" s="6"/>
      <c r="IO278" s="6"/>
      <c r="IP278" s="6"/>
      <c r="IQ278" s="6"/>
      <c r="IR278" s="6"/>
      <c r="IS278" s="6"/>
      <c r="IT278" s="6"/>
      <c r="IU278" s="6"/>
      <c r="IV278" s="6"/>
      <c r="IW278" s="6"/>
      <c r="IX278" s="6"/>
      <c r="IY278" s="6"/>
      <c r="IZ278" s="6"/>
      <c r="JA278" s="6"/>
      <c r="JB278" s="6"/>
      <c r="JC278" s="6"/>
      <c r="JD278" s="6"/>
      <c r="JE278" s="6"/>
      <c r="JF278" s="6"/>
      <c r="JG278" s="6"/>
      <c r="JH278" s="6"/>
      <c r="JI278" s="6"/>
      <c r="JJ278" s="6"/>
      <c r="JK278" s="6"/>
      <c r="JL278" s="6"/>
      <c r="JM278" s="6"/>
      <c r="JN278" s="6"/>
      <c r="JO278" s="6"/>
      <c r="JP278" s="6"/>
      <c r="JQ278" s="6"/>
      <c r="JR278" s="6"/>
      <c r="JS278" s="6"/>
      <c r="JT278" s="6"/>
      <c r="JU278" s="6"/>
      <c r="JV278" s="6"/>
      <c r="JW278" s="6"/>
      <c r="JX278" s="6"/>
      <c r="JY278" s="6"/>
      <c r="JZ278" s="6"/>
      <c r="KA278" s="6"/>
      <c r="KB278" s="6"/>
      <c r="KC278" s="6"/>
      <c r="KD278" s="6"/>
      <c r="KE278" s="6"/>
      <c r="KF278" s="6"/>
      <c r="KG278" s="6"/>
      <c r="KH278" s="6"/>
      <c r="KI278" s="6"/>
      <c r="KJ278" s="6"/>
      <c r="KK278" s="6"/>
      <c r="KL278" s="6"/>
      <c r="KM278" s="6"/>
      <c r="KN278" s="6"/>
      <c r="KO278" s="6"/>
      <c r="KP278" s="6"/>
      <c r="KQ278" s="6"/>
      <c r="KR278" s="6"/>
      <c r="KS278" s="6"/>
      <c r="KT278" s="6"/>
      <c r="KU278" s="6"/>
      <c r="KV278" s="6"/>
      <c r="KW278" s="6"/>
      <c r="KX278" s="6"/>
      <c r="KY278" s="6"/>
      <c r="KZ278" s="6"/>
      <c r="LA278" s="6"/>
      <c r="LB278" s="6"/>
      <c r="LC278" s="6"/>
      <c r="LD278" s="6"/>
      <c r="LE278" s="6"/>
      <c r="LF278" s="6"/>
      <c r="LG278" s="6"/>
      <c r="LH278" s="6"/>
      <c r="LI278" s="6"/>
      <c r="LJ278" s="6"/>
      <c r="LK278" s="6"/>
      <c r="LL278" s="6"/>
      <c r="LM278" s="6"/>
      <c r="LN278" s="6"/>
      <c r="LO278" s="6"/>
      <c r="LP278" s="6"/>
      <c r="LQ278" s="6"/>
      <c r="LR278" s="6"/>
      <c r="LS278" s="6"/>
      <c r="LT278" s="6"/>
      <c r="LU278" s="6"/>
      <c r="LV278" s="6"/>
      <c r="LW278" s="6"/>
      <c r="LX278" s="6"/>
      <c r="LY278" s="6"/>
      <c r="LZ278" s="6"/>
      <c r="MA278" s="6"/>
      <c r="MB278" s="6"/>
      <c r="MC278" s="6"/>
      <c r="MD278" s="6"/>
      <c r="ME278" s="6"/>
      <c r="MF278" s="6"/>
      <c r="MG278" s="6"/>
      <c r="MH278" s="6"/>
      <c r="MI278" s="6"/>
      <c r="MJ278" s="6"/>
      <c r="MK278" s="6"/>
      <c r="ML278" s="6"/>
      <c r="MM278" s="6"/>
      <c r="MN278" s="6"/>
      <c r="MO278" s="6"/>
      <c r="MP278" s="6"/>
      <c r="MQ278" s="6"/>
      <c r="MR278" s="6"/>
      <c r="MS278" s="6"/>
      <c r="MT278" s="6"/>
      <c r="MU278" s="6"/>
      <c r="MV278" s="6"/>
      <c r="MW278" s="6"/>
      <c r="MX278" s="6"/>
      <c r="MY278" s="6"/>
      <c r="MZ278" s="6"/>
      <c r="NA278" s="6"/>
      <c r="NB278" s="6"/>
      <c r="NC278" s="6"/>
      <c r="ND278" s="6"/>
      <c r="NE278" s="6"/>
      <c r="NF278" s="6"/>
      <c r="NG278" s="6"/>
      <c r="NH278" s="6"/>
      <c r="NI278" s="6"/>
      <c r="NJ278" s="6"/>
      <c r="NK278" s="6"/>
      <c r="NL278" s="6"/>
      <c r="NM278" s="6"/>
      <c r="NN278" s="6"/>
      <c r="NO278" s="6"/>
      <c r="NP278" s="6"/>
      <c r="NQ278" s="6"/>
      <c r="NR278" s="6"/>
      <c r="NS278" s="6"/>
      <c r="NT278" s="6"/>
      <c r="NU278" s="6"/>
      <c r="NV278" s="6"/>
      <c r="NW278" s="6"/>
      <c r="NX278" s="6"/>
      <c r="NY278" s="6"/>
      <c r="NZ278" s="6"/>
      <c r="OA278" s="6"/>
      <c r="OB278" s="6"/>
      <c r="OC278" s="6"/>
      <c r="OD278" s="6"/>
      <c r="OE278" s="6"/>
      <c r="OF278" s="6"/>
      <c r="OG278" s="6"/>
      <c r="OH278" s="6"/>
      <c r="OI278" s="6"/>
      <c r="OJ278" s="6"/>
      <c r="OK278" s="6"/>
      <c r="OL278" s="6"/>
      <c r="OM278" s="6"/>
      <c r="ON278" s="6"/>
      <c r="OO278" s="6"/>
      <c r="OP278" s="6"/>
      <c r="OQ278" s="6"/>
      <c r="OR278" s="6"/>
      <c r="OS278" s="6"/>
      <c r="OT278" s="6"/>
      <c r="OU278" s="6"/>
      <c r="OV278" s="6"/>
      <c r="OW278" s="6"/>
      <c r="OX278" s="6"/>
      <c r="OY278" s="6"/>
      <c r="OZ278" s="6"/>
      <c r="PA278" s="6"/>
      <c r="PB278" s="6"/>
      <c r="PC278" s="6"/>
      <c r="PD278" s="6"/>
      <c r="PE278" s="6"/>
      <c r="PF278" s="6"/>
      <c r="PG278" s="6"/>
      <c r="PH278" s="6"/>
      <c r="PI278" s="6"/>
      <c r="PJ278" s="6"/>
      <c r="PK278" s="6"/>
      <c r="PL278" s="6"/>
      <c r="PM278" s="6"/>
      <c r="PN278" s="6"/>
      <c r="PO278" s="6"/>
      <c r="PP278" s="6"/>
      <c r="PQ278" s="6"/>
      <c r="PR278" s="6"/>
      <c r="PS278" s="6"/>
      <c r="PT278" s="6"/>
      <c r="PU278" s="6"/>
      <c r="PV278" s="6"/>
      <c r="PW278" s="6"/>
      <c r="PX278" s="6"/>
      <c r="PY278" s="6"/>
      <c r="PZ278" s="6"/>
      <c r="QA278" s="6"/>
      <c r="QB278" s="6"/>
      <c r="QC278" s="6"/>
      <c r="QD278" s="6"/>
      <c r="QE278" s="6"/>
      <c r="QF278" s="6"/>
      <c r="QG278" s="6"/>
      <c r="QH278" s="6"/>
      <c r="QI278" s="6"/>
      <c r="QJ278" s="6"/>
      <c r="QK278" s="6"/>
      <c r="QL278" s="6"/>
      <c r="QM278" s="6"/>
      <c r="QN278" s="6"/>
      <c r="QO278" s="6"/>
      <c r="QP278" s="6"/>
      <c r="QQ278" s="6"/>
      <c r="QR278" s="6"/>
      <c r="QS278" s="6"/>
      <c r="QT278" s="6"/>
      <c r="QU278" s="6"/>
      <c r="QV278" s="6"/>
      <c r="QW278" s="6"/>
      <c r="QX278" s="6"/>
      <c r="QY278" s="6"/>
      <c r="QZ278" s="6"/>
      <c r="RA278" s="6"/>
      <c r="RB278" s="6"/>
      <c r="RC278" s="6"/>
      <c r="RD278" s="6"/>
      <c r="RE278" s="6"/>
      <c r="RF278" s="6"/>
      <c r="RG278" s="6"/>
      <c r="RH278" s="6"/>
      <c r="RI278" s="6"/>
      <c r="RJ278" s="6"/>
      <c r="RK278" s="6"/>
      <c r="RL278" s="6"/>
      <c r="RM278" s="6"/>
      <c r="RN278" s="6"/>
      <c r="RO278" s="6"/>
      <c r="RP278" s="6"/>
      <c r="RQ278" s="6"/>
      <c r="RR278" s="6"/>
      <c r="RS278" s="6"/>
      <c r="RT278" s="6"/>
      <c r="RU278" s="6"/>
      <c r="RV278" s="6"/>
      <c r="RW278" s="6"/>
      <c r="RX278" s="6"/>
      <c r="RY278" s="6"/>
      <c r="RZ278" s="6"/>
      <c r="SA278" s="6"/>
      <c r="SB278" s="6"/>
      <c r="SC278" s="6"/>
      <c r="SD278" s="6"/>
      <c r="SE278" s="6"/>
      <c r="SF278" s="6"/>
      <c r="SG278" s="6"/>
      <c r="SH278" s="6"/>
      <c r="SI278" s="6"/>
      <c r="SJ278" s="6"/>
      <c r="SK278" s="6"/>
      <c r="SL278" s="6"/>
      <c r="SM278" s="6"/>
      <c r="SN278" s="6"/>
      <c r="SO278" s="6"/>
      <c r="SP278" s="6"/>
      <c r="SQ278" s="6"/>
      <c r="SR278" s="6"/>
      <c r="SS278" s="6"/>
      <c r="ST278" s="6"/>
      <c r="SU278" s="6"/>
      <c r="SV278" s="6"/>
      <c r="SW278" s="6"/>
      <c r="SX278" s="6"/>
      <c r="SY278" s="6"/>
      <c r="SZ278" s="6"/>
      <c r="TA278" s="6"/>
      <c r="TB278" s="6"/>
      <c r="TC278" s="6"/>
      <c r="TD278" s="6"/>
      <c r="TE278" s="6"/>
      <c r="TF278" s="6"/>
      <c r="TG278" s="6"/>
      <c r="TH278" s="6"/>
      <c r="TI278" s="6"/>
      <c r="TJ278" s="6"/>
      <c r="TK278" s="6"/>
      <c r="TL278" s="6"/>
      <c r="TM278" s="6"/>
      <c r="TN278" s="6"/>
      <c r="TO278" s="6"/>
      <c r="TP278" s="6"/>
      <c r="TQ278" s="6"/>
      <c r="TR278" s="6"/>
      <c r="TS278" s="6"/>
      <c r="TT278" s="6"/>
      <c r="TU278" s="6"/>
      <c r="TV278" s="6"/>
      <c r="TW278" s="6"/>
      <c r="TX278" s="6"/>
      <c r="TY278" s="6"/>
      <c r="TZ278" s="6"/>
      <c r="UA278" s="6"/>
      <c r="UB278" s="6"/>
      <c r="UC278" s="6"/>
      <c r="UD278" s="6"/>
      <c r="UE278" s="6"/>
      <c r="UF278" s="6"/>
      <c r="UG278" s="6"/>
      <c r="UH278" s="6"/>
      <c r="UI278" s="6"/>
      <c r="UJ278" s="6"/>
      <c r="UK278" s="6"/>
      <c r="UL278" s="6"/>
      <c r="UM278" s="6"/>
      <c r="UN278" s="6"/>
      <c r="UO278" s="6"/>
      <c r="UP278" s="6"/>
      <c r="UQ278" s="6"/>
      <c r="UR278" s="6"/>
      <c r="US278" s="6"/>
      <c r="UT278" s="6"/>
      <c r="UU278" s="6"/>
      <c r="UV278" s="6"/>
      <c r="UW278" s="6"/>
      <c r="UX278" s="6"/>
      <c r="UY278" s="6"/>
      <c r="UZ278" s="6"/>
      <c r="VA278" s="6"/>
      <c r="VB278" s="6"/>
      <c r="VC278" s="6"/>
      <c r="VD278" s="6"/>
      <c r="VE278" s="6"/>
      <c r="VF278" s="6"/>
      <c r="VG278" s="6"/>
      <c r="VH278" s="6"/>
      <c r="VI278" s="6"/>
      <c r="VJ278" s="6"/>
      <c r="VK278" s="6"/>
      <c r="VL278" s="6"/>
      <c r="VM278" s="6"/>
      <c r="VN278" s="6"/>
      <c r="VO278" s="6"/>
      <c r="VP278" s="6"/>
      <c r="VQ278" s="6"/>
      <c r="VR278" s="6"/>
      <c r="VS278" s="6"/>
      <c r="VT278" s="6"/>
      <c r="VU278" s="6"/>
      <c r="VV278" s="6"/>
      <c r="VW278" s="6"/>
      <c r="VX278" s="6"/>
      <c r="VY278" s="6"/>
      <c r="VZ278" s="6"/>
      <c r="WA278" s="6"/>
      <c r="WB278" s="6"/>
      <c r="WC278" s="6"/>
      <c r="WD278" s="6"/>
      <c r="WE278" s="6"/>
      <c r="WF278" s="6"/>
      <c r="WG278" s="6"/>
      <c r="WH278" s="6"/>
      <c r="WI278" s="6"/>
      <c r="WJ278" s="6"/>
      <c r="WK278" s="6"/>
      <c r="WL278" s="6"/>
      <c r="WM278" s="6"/>
      <c r="WN278" s="6"/>
      <c r="WO278" s="6"/>
      <c r="WP278" s="6"/>
      <c r="WQ278" s="6"/>
      <c r="WR278" s="6"/>
      <c r="WS278" s="6"/>
      <c r="WT278" s="6"/>
      <c r="WU278" s="6"/>
      <c r="WV278" s="6"/>
      <c r="WW278" s="6"/>
      <c r="WX278" s="6"/>
      <c r="WY278" s="6"/>
      <c r="WZ278" s="6"/>
      <c r="XA278" s="6"/>
      <c r="XB278" s="6"/>
      <c r="XC278" s="6"/>
      <c r="XD278" s="6"/>
      <c r="XE278" s="6"/>
      <c r="XF278" s="6"/>
      <c r="XG278" s="6"/>
      <c r="XH278" s="6"/>
      <c r="XI278" s="6"/>
      <c r="XJ278" s="6"/>
      <c r="XK278" s="6"/>
      <c r="XL278" s="6"/>
      <c r="XM278" s="6"/>
      <c r="XN278" s="6"/>
      <c r="XO278" s="6"/>
      <c r="XP278" s="6"/>
      <c r="XQ278" s="6"/>
      <c r="XR278" s="6"/>
      <c r="XS278" s="6"/>
      <c r="XT278" s="6"/>
      <c r="XU278" s="6"/>
      <c r="XV278" s="6"/>
      <c r="XW278" s="6"/>
      <c r="XX278" s="6"/>
      <c r="XY278" s="6"/>
      <c r="XZ278" s="6"/>
      <c r="YA278" s="6"/>
      <c r="YB278" s="6"/>
      <c r="YC278" s="6"/>
      <c r="YD278" s="6"/>
      <c r="YE278" s="6"/>
      <c r="YF278" s="6"/>
      <c r="YG278" s="6"/>
      <c r="YH278" s="6"/>
      <c r="YI278" s="6"/>
      <c r="YJ278" s="6"/>
      <c r="YK278" s="6"/>
      <c r="YL278" s="6"/>
      <c r="YM278" s="6"/>
      <c r="YN278" s="6"/>
      <c r="YO278" s="6"/>
      <c r="YP278" s="6"/>
      <c r="YQ278" s="6"/>
      <c r="YR278" s="6"/>
      <c r="YS278" s="6"/>
      <c r="YT278" s="6"/>
      <c r="YU278" s="6"/>
      <c r="YV278" s="6"/>
      <c r="YW278" s="6"/>
      <c r="YX278" s="6"/>
      <c r="YY278" s="6"/>
      <c r="YZ278" s="6"/>
      <c r="ZA278" s="6"/>
      <c r="ZB278" s="6"/>
      <c r="ZC278" s="6"/>
      <c r="ZD278" s="6"/>
      <c r="ZE278" s="6"/>
      <c r="ZF278" s="6"/>
      <c r="ZG278" s="6"/>
      <c r="ZH278" s="6"/>
      <c r="ZI278" s="6"/>
      <c r="ZJ278" s="6"/>
      <c r="ZK278" s="6"/>
      <c r="ZL278" s="6"/>
      <c r="ZM278" s="6"/>
      <c r="ZN278" s="6"/>
      <c r="ZO278" s="6"/>
      <c r="ZP278" s="6"/>
      <c r="ZQ278" s="6"/>
      <c r="ZR278" s="6"/>
      <c r="ZS278" s="6"/>
      <c r="ZT278" s="6"/>
      <c r="ZU278" s="6"/>
      <c r="ZV278" s="6"/>
      <c r="ZW278" s="6"/>
      <c r="ZX278" s="6"/>
      <c r="ZY278" s="6"/>
      <c r="ZZ278" s="6"/>
      <c r="AAA278" s="6"/>
      <c r="AAB278" s="6"/>
      <c r="AAC278" s="6"/>
      <c r="AAD278" s="6"/>
      <c r="AAE278" s="6"/>
      <c r="AAF278" s="6"/>
      <c r="AAG278" s="6"/>
      <c r="AAH278" s="6"/>
      <c r="AAI278" s="6"/>
      <c r="AAJ278" s="6"/>
      <c r="AAK278" s="6"/>
      <c r="AAL278" s="6"/>
      <c r="AAM278" s="6"/>
      <c r="AAN278" s="6"/>
      <c r="AAO278" s="6"/>
      <c r="AAP278" s="6"/>
      <c r="AAQ278" s="6"/>
      <c r="AAR278" s="6"/>
      <c r="AAS278" s="6"/>
      <c r="AAT278" s="6"/>
      <c r="AAU278" s="6"/>
      <c r="AAV278" s="6"/>
      <c r="AAW278" s="6"/>
      <c r="AAX278" s="6"/>
      <c r="AAY278" s="6"/>
      <c r="AAZ278" s="6"/>
      <c r="ABA278" s="6"/>
      <c r="ABB278" s="6"/>
      <c r="ABC278" s="6"/>
      <c r="ABD278" s="6"/>
      <c r="ABE278" s="6"/>
      <c r="ABF278" s="6"/>
      <c r="ABG278" s="6"/>
      <c r="ABH278" s="6"/>
      <c r="ABI278" s="6"/>
      <c r="ABJ278" s="6"/>
      <c r="ABK278" s="6"/>
      <c r="ABL278" s="6"/>
      <c r="ABM278" s="6"/>
      <c r="ABN278" s="6"/>
      <c r="ABO278" s="6"/>
      <c r="ABP278" s="6"/>
      <c r="ABQ278" s="6"/>
      <c r="ABR278" s="6"/>
      <c r="ABS278" s="6"/>
      <c r="ABT278" s="6"/>
      <c r="ABU278" s="6"/>
      <c r="ABV278" s="6"/>
      <c r="ABW278" s="6"/>
      <c r="ABX278" s="6"/>
      <c r="ABY278" s="6"/>
      <c r="ABZ278" s="6"/>
      <c r="ACA278" s="6"/>
      <c r="ACB278" s="6"/>
      <c r="ACC278" s="6"/>
      <c r="ACD278" s="6"/>
      <c r="ACE278" s="6"/>
      <c r="ACF278" s="6"/>
      <c r="ACG278" s="6"/>
      <c r="ACH278" s="6"/>
      <c r="ACI278" s="6"/>
      <c r="ACJ278" s="6"/>
      <c r="ACK278" s="6"/>
      <c r="ACL278" s="6"/>
      <c r="ACM278" s="6"/>
      <c r="ACN278" s="6"/>
      <c r="ACO278" s="6"/>
      <c r="ACP278" s="6"/>
      <c r="ACQ278" s="6"/>
      <c r="ACR278" s="6"/>
      <c r="ACS278" s="6"/>
      <c r="ACT278" s="6"/>
      <c r="ACU278" s="6"/>
      <c r="ACV278" s="6"/>
      <c r="ACW278" s="6"/>
      <c r="ACX278" s="6"/>
      <c r="ACY278" s="6"/>
      <c r="ACZ278" s="6"/>
      <c r="ADA278" s="6"/>
      <c r="ADB278" s="6"/>
      <c r="ADC278" s="6"/>
      <c r="ADD278" s="6"/>
      <c r="ADE278" s="6"/>
      <c r="ADF278" s="6"/>
      <c r="ADG278" s="6"/>
      <c r="ADH278" s="6"/>
      <c r="ADI278" s="6"/>
      <c r="ADJ278" s="6"/>
      <c r="ADK278" s="6"/>
      <c r="ADL278" s="6"/>
      <c r="ADM278" s="6"/>
      <c r="ADN278" s="6"/>
      <c r="ADO278" s="6"/>
      <c r="ADP278" s="6"/>
      <c r="ADQ278" s="6"/>
      <c r="ADR278" s="6"/>
      <c r="ADS278" s="6"/>
      <c r="ADT278" s="6"/>
      <c r="ADU278" s="6"/>
      <c r="ADV278" s="6"/>
      <c r="ADW278" s="6"/>
      <c r="ADX278" s="6"/>
      <c r="ADY278" s="6"/>
      <c r="ADZ278" s="6"/>
      <c r="AEA278" s="6"/>
      <c r="AEB278" s="6"/>
      <c r="AEC278" s="6"/>
      <c r="AED278" s="6"/>
      <c r="AEE278" s="6"/>
      <c r="AEF278" s="6"/>
      <c r="AEG278" s="6"/>
      <c r="AEH278" s="6"/>
      <c r="AEI278" s="6"/>
      <c r="AEJ278" s="6"/>
      <c r="AEK278" s="6"/>
      <c r="AEL278" s="6"/>
      <c r="AEM278" s="6"/>
      <c r="AEN278" s="6"/>
      <c r="AEO278" s="6"/>
      <c r="AEP278" s="6"/>
      <c r="AEQ278" s="6"/>
      <c r="AER278" s="6"/>
      <c r="AES278" s="6"/>
      <c r="AET278" s="6"/>
      <c r="AEU278" s="6"/>
      <c r="AEV278" s="6"/>
      <c r="AEW278" s="6"/>
      <c r="AEX278" s="6"/>
      <c r="AEY278" s="6"/>
      <c r="AEZ278" s="6"/>
      <c r="AFA278" s="6"/>
      <c r="AFB278" s="6"/>
      <c r="AFC278" s="6"/>
      <c r="AFD278" s="6"/>
      <c r="AFE278" s="6"/>
      <c r="AFF278" s="6"/>
      <c r="AFG278" s="6"/>
      <c r="AFH278" s="6"/>
      <c r="AFI278" s="6"/>
      <c r="AFJ278" s="6"/>
      <c r="AFK278" s="6"/>
      <c r="AFL278" s="6"/>
      <c r="AFM278" s="6"/>
      <c r="AFN278" s="6"/>
      <c r="AFO278" s="6"/>
      <c r="AFP278" s="6"/>
      <c r="AFQ278" s="6"/>
      <c r="AFR278" s="6"/>
      <c r="AFS278" s="6"/>
      <c r="AFT278" s="6"/>
      <c r="AFU278" s="6"/>
      <c r="AFV278" s="6"/>
      <c r="AFW278" s="6"/>
      <c r="AFX278" s="6"/>
      <c r="AFY278" s="6"/>
      <c r="AFZ278" s="6"/>
      <c r="AGA278" s="6"/>
      <c r="AGB278" s="6"/>
      <c r="AGC278" s="6"/>
      <c r="AGD278" s="6"/>
      <c r="AGE278" s="6"/>
      <c r="AGF278" s="6"/>
      <c r="AGG278" s="6"/>
      <c r="AGH278" s="6"/>
      <c r="AGI278" s="6"/>
      <c r="AGJ278" s="6"/>
      <c r="AGK278" s="6"/>
      <c r="AGL278" s="6"/>
      <c r="AGM278" s="6"/>
      <c r="AGN278" s="6"/>
      <c r="AGO278" s="6"/>
      <c r="AGP278" s="6"/>
      <c r="AGQ278" s="6"/>
      <c r="AGR278" s="6"/>
      <c r="AGS278" s="6"/>
      <c r="AGT278" s="6"/>
      <c r="AGU278" s="6"/>
      <c r="AGV278" s="6"/>
      <c r="AGW278" s="6"/>
      <c r="AGX278" s="6"/>
      <c r="AGY278" s="6"/>
      <c r="AGZ278" s="6"/>
      <c r="AHA278" s="6"/>
      <c r="AHB278" s="6"/>
      <c r="AHC278" s="6"/>
      <c r="AHD278" s="6"/>
      <c r="AHE278" s="6"/>
      <c r="AHF278" s="6"/>
      <c r="AHG278" s="6"/>
      <c r="AHH278" s="6"/>
      <c r="AHI278" s="6"/>
      <c r="AHJ278" s="6"/>
      <c r="AHK278" s="6"/>
      <c r="AHL278" s="6"/>
      <c r="AHM278" s="6"/>
      <c r="AHN278" s="6"/>
      <c r="AHO278" s="6"/>
      <c r="AHP278" s="6"/>
      <c r="AHQ278" s="6"/>
      <c r="AHR278" s="6"/>
      <c r="AHS278" s="6"/>
      <c r="AHT278" s="6"/>
      <c r="AHU278" s="6"/>
      <c r="AHV278" s="6"/>
      <c r="AHW278" s="6"/>
      <c r="AHX278" s="6"/>
      <c r="AHY278" s="6"/>
      <c r="AHZ278" s="6"/>
      <c r="AIA278" s="6"/>
      <c r="AIB278" s="6"/>
      <c r="AIC278" s="6"/>
      <c r="AID278" s="6"/>
      <c r="AIE278" s="6"/>
      <c r="AIF278" s="6"/>
      <c r="AIG278" s="6"/>
      <c r="AIH278" s="6"/>
      <c r="AII278" s="6"/>
      <c r="AIJ278" s="6"/>
      <c r="AIK278" s="6"/>
      <c r="AIL278" s="6"/>
      <c r="AIM278" s="6"/>
      <c r="AIN278" s="6"/>
      <c r="AIO278" s="6"/>
      <c r="AIP278" s="6"/>
      <c r="AIQ278" s="6"/>
      <c r="AIR278" s="6"/>
      <c r="AIS278" s="6"/>
      <c r="AIT278" s="6"/>
      <c r="AIU278" s="6"/>
      <c r="AIV278" s="6"/>
      <c r="AIW278" s="6"/>
      <c r="AIX278" s="6"/>
      <c r="AIY278" s="6"/>
      <c r="AIZ278" s="6"/>
      <c r="AJA278" s="6"/>
      <c r="AJB278" s="6"/>
      <c r="AJC278" s="6"/>
      <c r="AJD278" s="6"/>
      <c r="AJE278" s="6"/>
      <c r="AJF278" s="6"/>
      <c r="AJG278" s="6"/>
      <c r="AJH278" s="6"/>
      <c r="AJI278" s="6"/>
      <c r="AJJ278" s="6"/>
      <c r="AJK278" s="6"/>
      <c r="AJL278" s="6"/>
      <c r="AJM278" s="6"/>
      <c r="AJN278" s="6"/>
      <c r="AJO278" s="6"/>
      <c r="AJP278" s="6"/>
      <c r="AJQ278" s="6"/>
      <c r="AJR278" s="6"/>
      <c r="AJS278" s="6"/>
      <c r="AJT278" s="6"/>
      <c r="AJU278" s="6"/>
      <c r="AJV278" s="6"/>
      <c r="AJW278" s="6"/>
      <c r="AJX278" s="6"/>
      <c r="AJY278" s="6"/>
      <c r="AJZ278" s="6"/>
      <c r="AKA278" s="6"/>
      <c r="AKB278" s="6"/>
      <c r="AKC278" s="6"/>
      <c r="AKD278" s="6"/>
      <c r="AKE278" s="6"/>
      <c r="AKF278" s="6"/>
      <c r="AKG278" s="6"/>
      <c r="AKH278" s="6"/>
      <c r="AKI278" s="6"/>
      <c r="AKJ278" s="6"/>
      <c r="AKK278" s="6"/>
      <c r="AKL278" s="6"/>
      <c r="AKM278" s="6"/>
      <c r="AKN278" s="6"/>
      <c r="AKO278" s="6"/>
      <c r="AKP278" s="6"/>
      <c r="AKQ278" s="6"/>
      <c r="AKR278" s="6"/>
      <c r="AKS278" s="6"/>
      <c r="AKT278" s="6"/>
      <c r="AKU278" s="6"/>
      <c r="AKV278" s="6"/>
      <c r="AKW278" s="6"/>
      <c r="AKX278" s="6"/>
      <c r="AKY278" s="6"/>
      <c r="AKZ278" s="6"/>
      <c r="ALA278" s="6"/>
      <c r="ALB278" s="6"/>
      <c r="ALC278" s="6"/>
      <c r="ALD278" s="6"/>
      <c r="ALE278" s="6"/>
      <c r="ALF278" s="6"/>
      <c r="ALG278" s="6"/>
      <c r="ALH278" s="6"/>
      <c r="ALI278" s="6"/>
      <c r="ALJ278" s="6"/>
      <c r="ALK278" s="6"/>
      <c r="ALL278" s="6"/>
      <c r="ALM278" s="6"/>
      <c r="ALN278" s="6"/>
      <c r="ALO278" s="6"/>
      <c r="ALP278" s="6"/>
      <c r="ALQ278" s="6"/>
      <c r="ALR278" s="6"/>
      <c r="ALS278" s="6"/>
      <c r="ALT278" s="6"/>
      <c r="ALU278" s="6"/>
      <c r="ALV278" s="6"/>
      <c r="ALW278" s="6"/>
      <c r="ALX278" s="6"/>
      <c r="ALY278" s="6"/>
      <c r="ALZ278" s="6"/>
      <c r="AMA278" s="6"/>
      <c r="AMB278" s="6"/>
      <c r="AMC278" s="6"/>
      <c r="AMD278" s="6"/>
      <c r="AME278" s="6"/>
      <c r="AMF278" s="6"/>
      <c r="AMG278" s="6"/>
      <c r="AMH278" s="6"/>
      <c r="AMI278" s="6"/>
      <c r="AMJ278" s="6"/>
      <c r="AMK278" s="6"/>
      <c r="AML278" s="6"/>
      <c r="AMM278" s="6"/>
      <c r="AMN278" s="6"/>
      <c r="AMO278" s="6"/>
      <c r="AMP278" s="6"/>
    </row>
    <row r="279" spans="1:1030" x14ac:dyDescent="0.2">
      <c r="A279" s="9" t="str">
        <f t="shared" si="1034"/>
        <v>q80km9_hcmv_5WB2</v>
      </c>
      <c r="B279" s="40" t="s">
        <v>1524</v>
      </c>
      <c r="C279" s="9" t="s">
        <v>1527</v>
      </c>
      <c r="D279" s="9" t="str">
        <f>IFERROR(MID(VLOOKUP($B279,Seqs!$A:$B,2,0),E279,1),"")</f>
        <v>F</v>
      </c>
      <c r="E279" s="9">
        <v>25</v>
      </c>
      <c r="F279" s="9" t="str">
        <f>IFERROR(MID(VLOOKUP($B279,Seqs!$A:$B,2,0),G279,1),"")</f>
        <v>W</v>
      </c>
      <c r="G279" s="9">
        <v>60</v>
      </c>
      <c r="H279" s="9" t="str">
        <f>IFERROR(MID(VLOOKUP($B279,Seqs!$A:$B,2,0),I279,1),"")</f>
        <v/>
      </c>
      <c r="I279" s="109" t="s">
        <v>23</v>
      </c>
      <c r="J279" s="9" t="str">
        <f>IFERROR(MID(VLOOKUP($B279,Seqs!$A:$B,2,0),K279,1),"")</f>
        <v/>
      </c>
      <c r="K279" s="109" t="s">
        <v>23</v>
      </c>
      <c r="L279" s="9" t="str">
        <f>IFERROR(MID(VLOOKUP($B279,Seqs!$A:$B,2,0),M279,1),"")</f>
        <v>C</v>
      </c>
      <c r="M279" s="9">
        <v>66</v>
      </c>
      <c r="N279" s="9" t="str">
        <f>IFERROR(MID(VLOOKUP($B279,Seqs!$A:$B,2,0),O279,1),"")</f>
        <v>D</v>
      </c>
      <c r="O279" s="9">
        <v>95</v>
      </c>
      <c r="P279" s="9" t="str">
        <f>IFERROR(MID(VLOOKUP($B279,Seqs!$A:$B,2,0),Q279,1),"")</f>
        <v/>
      </c>
      <c r="Q279" s="9" t="s">
        <v>23</v>
      </c>
      <c r="R279" s="9" t="str">
        <f>IFERROR(MID(VLOOKUP($B279,Seqs!$A:$B,2,0),S279,1),"")</f>
        <v/>
      </c>
      <c r="S279" s="9" t="s">
        <v>23</v>
      </c>
      <c r="T279" s="9" t="str">
        <f>IFERROR(MID(VLOOKUP($B279,Seqs!$A:$B,2,0),U279,1),"")</f>
        <v>A</v>
      </c>
      <c r="U279" s="9">
        <v>100</v>
      </c>
      <c r="V279" s="9" t="str">
        <f>IFERROR(MID(VLOOKUP($B279,Seqs!$A:$B,2,0),W279,1),"")</f>
        <v>V</v>
      </c>
      <c r="W279" s="9">
        <v>134</v>
      </c>
      <c r="X279" s="9" t="str">
        <f>IFERROR(MID(VLOOKUP($B279,Seqs!$A:$B,2,0),Y279,1),"")</f>
        <v/>
      </c>
      <c r="Y279" s="9" t="s">
        <v>23</v>
      </c>
      <c r="Z279" s="9" t="str">
        <f>IFERROR(MID(VLOOKUP($B279,Seqs!$A:$B,2,0),AA279,1),"")</f>
        <v/>
      </c>
      <c r="AA279" s="9" t="s">
        <v>23</v>
      </c>
      <c r="AB279" s="9" t="str">
        <f>IFERROR(MID(VLOOKUP($B279,Seqs!$A:$B,2,0),AC279,1),"")</f>
        <v>P</v>
      </c>
      <c r="AC279" s="9">
        <v>140</v>
      </c>
      <c r="AD279" s="9" t="str">
        <f>IFERROR(MID(VLOOKUP($B279,Seqs!$A:$B,2,0),AE279,1),"")</f>
        <v>M</v>
      </c>
      <c r="AE279" s="9">
        <v>164</v>
      </c>
      <c r="AF279" s="9" t="str">
        <f>IFERROR(MID(VLOOKUP($B279,Seqs!$A:$B,2,0),AG279,1),"")</f>
        <v>C</v>
      </c>
      <c r="AG279" s="9">
        <v>173</v>
      </c>
      <c r="AH279" s="9" t="str">
        <f>IFERROR(MID(VLOOKUP($B279,Seqs!$A:$B,2,0),AI279,1),"")</f>
        <v>T</v>
      </c>
      <c r="AI279" s="9">
        <v>175</v>
      </c>
      <c r="AJ279" s="9" t="str">
        <f>IFERROR(MID(VLOOKUP($B279,Seqs!$A:$B,2,0),AK279,1),"")</f>
        <v>S</v>
      </c>
      <c r="AK279" s="9">
        <v>183</v>
      </c>
      <c r="AL279" s="9" t="str">
        <f>IFERROR(MID(VLOOKUP($B279,Seqs!$A:$B,2,0),AM279,1),"")</f>
        <v>S</v>
      </c>
      <c r="AM279" s="9">
        <v>218</v>
      </c>
      <c r="AN279" s="9" t="str">
        <f>IFERROR(MID(VLOOKUP($B279,Seqs!$A:$B,2,0),AO279,1),"")</f>
        <v>H</v>
      </c>
      <c r="AO279" s="9">
        <v>222</v>
      </c>
      <c r="AP279" s="9" t="str">
        <f>IFERROR(MID(VLOOKUP($B279,Seqs!$A:$B,2,0),AQ279,1),"")</f>
        <v>K</v>
      </c>
      <c r="AQ279" s="9">
        <v>257</v>
      </c>
      <c r="AR279" s="9" t="str">
        <f>IFERROR(MID(VLOOKUP($B279,Seqs!$A:$B,2,0),AS279,1),"")</f>
        <v>S</v>
      </c>
      <c r="AS279" s="9">
        <v>262</v>
      </c>
      <c r="AT279" s="9" t="str">
        <f>IFERROR(MID(VLOOKUP($B279,Seqs!$A:$B,2,0),AU279,1),"")</f>
        <v>V</v>
      </c>
      <c r="AU279" s="9">
        <v>294</v>
      </c>
      <c r="AV279" s="9" t="str">
        <f>IFERROR(MID(VLOOKUP($B279,Seqs!$A:$B,2,0),AW279,1),"")</f>
        <v>G</v>
      </c>
      <c r="AW279" s="9">
        <v>295</v>
      </c>
      <c r="AX279" s="9" t="str">
        <f>IFERROR(MID(VLOOKUP($B279,Seqs!$A:$B,2,0),AY279,1),"")</f>
        <v>A</v>
      </c>
      <c r="AY279" s="9">
        <v>307</v>
      </c>
      <c r="AZ279" s="110" t="str">
        <f>VLOOKUP(B279,Classification!A:D,2,0)</f>
        <v>A</v>
      </c>
      <c r="BA279" s="98" t="str">
        <f>VLOOKUP(B279,Classification!A:D,4,0)</f>
        <v>Chemokine</v>
      </c>
      <c r="BB279" s="36" t="b">
        <f t="shared" si="1007"/>
        <v>1</v>
      </c>
      <c r="BC279" s="109">
        <f t="shared" si="1008"/>
        <v>250</v>
      </c>
      <c r="BD279" s="11" t="s">
        <v>23</v>
      </c>
      <c r="BE279" s="9" t="s">
        <v>1297</v>
      </c>
      <c r="BF279" s="120">
        <v>3.5</v>
      </c>
      <c r="BG279" s="51" t="s">
        <v>1</v>
      </c>
      <c r="BH279" s="51" t="s">
        <v>1</v>
      </c>
      <c r="BI279" s="12"/>
      <c r="BJ279" s="111" t="s">
        <v>1293</v>
      </c>
      <c r="BK279" s="112" t="s">
        <v>1293</v>
      </c>
      <c r="BL279" s="112" t="s">
        <v>1293</v>
      </c>
      <c r="BM279" s="112" t="s">
        <v>1293</v>
      </c>
      <c r="BN279" s="112" t="s">
        <v>1293</v>
      </c>
      <c r="BO279" s="112" t="s">
        <v>1293</v>
      </c>
      <c r="BP279" s="112" t="s">
        <v>1293</v>
      </c>
      <c r="BQ279" s="112" t="s">
        <v>1293</v>
      </c>
      <c r="BR279" s="112" t="s">
        <v>1293</v>
      </c>
      <c r="BS279" s="112" t="s">
        <v>1293</v>
      </c>
      <c r="BT279" s="112" t="s">
        <v>1293</v>
      </c>
      <c r="BU279" s="112" t="s">
        <v>1293</v>
      </c>
      <c r="BV279" s="111">
        <f t="shared" si="1009"/>
        <v>25</v>
      </c>
      <c r="BW279" s="113" t="str">
        <f t="shared" si="1010"/>
        <v>-</v>
      </c>
      <c r="BX279" s="114">
        <f t="shared" si="1011"/>
        <v>66</v>
      </c>
      <c r="BY279" s="113" t="str">
        <f t="shared" si="1012"/>
        <v>-</v>
      </c>
      <c r="BZ279" s="114">
        <f t="shared" si="1013"/>
        <v>100</v>
      </c>
      <c r="CA279" s="113" t="str">
        <f t="shared" si="1014"/>
        <v>-</v>
      </c>
      <c r="CB279" s="114">
        <f t="shared" si="1015"/>
        <v>140</v>
      </c>
      <c r="CC279" s="113">
        <f t="shared" si="1016"/>
        <v>173</v>
      </c>
      <c r="CD279" s="114">
        <f t="shared" si="1017"/>
        <v>183</v>
      </c>
      <c r="CE279" s="113">
        <f t="shared" si="1018"/>
        <v>222</v>
      </c>
      <c r="CF279" s="114">
        <f t="shared" si="1019"/>
        <v>262</v>
      </c>
      <c r="CG279" s="113">
        <f t="shared" si="1020"/>
        <v>295</v>
      </c>
      <c r="CH279" s="111">
        <f t="shared" si="1021"/>
        <v>60</v>
      </c>
      <c r="CI279" s="113" t="str">
        <f t="shared" si="1022"/>
        <v>-</v>
      </c>
      <c r="CJ279" s="114">
        <f t="shared" si="1023"/>
        <v>95</v>
      </c>
      <c r="CK279" s="114" t="str">
        <f t="shared" si="1024"/>
        <v>-</v>
      </c>
      <c r="CL279" s="114">
        <f t="shared" si="1025"/>
        <v>134</v>
      </c>
      <c r="CM279" s="114" t="str">
        <f t="shared" si="1026"/>
        <v>-</v>
      </c>
      <c r="CN279" s="114">
        <f t="shared" si="1027"/>
        <v>164</v>
      </c>
      <c r="CO279" s="114">
        <f t="shared" si="1028"/>
        <v>175</v>
      </c>
      <c r="CP279" s="114">
        <f t="shared" si="1029"/>
        <v>218</v>
      </c>
      <c r="CQ279" s="114">
        <f t="shared" si="1030"/>
        <v>257</v>
      </c>
      <c r="CR279" s="114">
        <f t="shared" si="1031"/>
        <v>294</v>
      </c>
      <c r="CS279" s="114">
        <f t="shared" si="1032"/>
        <v>307</v>
      </c>
      <c r="CT279" s="109" t="e">
        <f t="shared" si="1033"/>
        <v>#VALUE!</v>
      </c>
      <c r="CU279" s="6"/>
      <c r="CV279" s="6"/>
      <c r="CW279" s="6"/>
      <c r="CX279" s="6"/>
      <c r="CY279" s="6"/>
      <c r="CZ279" s="6"/>
      <c r="DA279" s="6"/>
      <c r="DB279" s="6"/>
      <c r="DC279" s="6"/>
      <c r="DD279" s="6"/>
      <c r="DE279" s="6"/>
      <c r="DF279" s="6"/>
      <c r="DG279" s="6"/>
      <c r="DH279" s="6"/>
      <c r="DI279" s="6"/>
      <c r="DJ279" s="6"/>
      <c r="DK279" s="6"/>
      <c r="DL279" s="6"/>
      <c r="DM279" s="6"/>
      <c r="DN279" s="6"/>
      <c r="DO279" s="6"/>
      <c r="DP279" s="6"/>
      <c r="DQ279" s="6"/>
      <c r="DR279" s="6"/>
      <c r="DS279" s="6"/>
      <c r="DT279" s="6"/>
      <c r="DU279" s="6"/>
      <c r="DV279" s="6"/>
      <c r="DW279" s="6"/>
      <c r="DX279" s="6"/>
      <c r="DY279" s="6"/>
      <c r="DZ279" s="6"/>
      <c r="EA279" s="6"/>
      <c r="EB279" s="6"/>
      <c r="EC279" s="6"/>
      <c r="ED279" s="6"/>
      <c r="EE279" s="6"/>
      <c r="EF279" s="6"/>
      <c r="EG279" s="6"/>
      <c r="EH279" s="6"/>
      <c r="EI279" s="6"/>
      <c r="EJ279" s="6"/>
      <c r="EK279" s="6"/>
      <c r="EL279" s="6"/>
      <c r="EM279" s="6"/>
      <c r="EN279" s="6"/>
      <c r="EO279" s="6"/>
      <c r="EP279" s="6"/>
      <c r="EQ279" s="6"/>
      <c r="ER279" s="6"/>
      <c r="ES279" s="6"/>
      <c r="ET279" s="6"/>
      <c r="EU279" s="6"/>
      <c r="EV279" s="6"/>
      <c r="EW279" s="6"/>
      <c r="EX279" s="6"/>
      <c r="EY279" s="6"/>
      <c r="EZ279" s="6"/>
      <c r="FA279" s="6"/>
      <c r="FB279" s="6"/>
      <c r="FC279" s="6"/>
      <c r="FD279" s="6"/>
      <c r="FE279" s="6"/>
      <c r="FF279" s="6"/>
      <c r="FG279" s="6"/>
      <c r="FH279" s="6"/>
      <c r="FI279" s="6"/>
      <c r="FJ279" s="6"/>
      <c r="FK279" s="6"/>
      <c r="FL279" s="6"/>
      <c r="FM279" s="6"/>
      <c r="FN279" s="6"/>
      <c r="FO279" s="6"/>
      <c r="FP279" s="6"/>
      <c r="FQ279" s="6"/>
      <c r="FR279" s="6"/>
      <c r="FS279" s="6"/>
      <c r="FT279" s="6"/>
      <c r="FU279" s="6"/>
      <c r="FV279" s="6"/>
      <c r="FW279" s="6"/>
      <c r="FX279" s="6"/>
      <c r="FY279" s="6"/>
      <c r="FZ279" s="6"/>
      <c r="GA279" s="6"/>
      <c r="GB279" s="6"/>
      <c r="GC279" s="6"/>
      <c r="GD279" s="6"/>
      <c r="GE279" s="6"/>
      <c r="GF279" s="6"/>
      <c r="GG279" s="6"/>
      <c r="GH279" s="6"/>
      <c r="GI279" s="6"/>
      <c r="GJ279" s="6"/>
      <c r="GK279" s="6"/>
      <c r="GL279" s="6"/>
      <c r="GM279" s="6"/>
      <c r="GN279" s="6"/>
      <c r="GO279" s="6"/>
      <c r="GP279" s="6"/>
      <c r="GQ279" s="6"/>
      <c r="GR279" s="6"/>
      <c r="GS279" s="6"/>
      <c r="GT279" s="6"/>
      <c r="GU279" s="6"/>
      <c r="GV279" s="6"/>
      <c r="GW279" s="6"/>
      <c r="GX279" s="6"/>
      <c r="GY279" s="6"/>
      <c r="GZ279" s="6"/>
      <c r="HA279" s="6"/>
      <c r="HB279" s="6"/>
      <c r="HC279" s="6"/>
      <c r="HD279" s="6"/>
      <c r="HE279" s="6"/>
      <c r="HF279" s="6"/>
      <c r="HG279" s="6"/>
      <c r="HH279" s="6"/>
      <c r="HI279" s="6"/>
      <c r="HJ279" s="6"/>
      <c r="HK279" s="6"/>
      <c r="HL279" s="6"/>
      <c r="HM279" s="6"/>
      <c r="HN279" s="6"/>
      <c r="HO279" s="6"/>
      <c r="HP279" s="6"/>
      <c r="HQ279" s="6"/>
      <c r="HR279" s="6"/>
      <c r="HS279" s="6"/>
      <c r="HT279" s="6"/>
      <c r="HU279" s="6"/>
      <c r="HV279" s="6"/>
      <c r="HW279" s="6"/>
      <c r="HX279" s="6"/>
      <c r="HY279" s="6"/>
      <c r="HZ279" s="6"/>
      <c r="IA279" s="6"/>
      <c r="IB279" s="6"/>
      <c r="IC279" s="6"/>
      <c r="ID279" s="6"/>
      <c r="IE279" s="6"/>
      <c r="IF279" s="6"/>
      <c r="IG279" s="6"/>
      <c r="IH279" s="6"/>
      <c r="II279" s="6"/>
      <c r="IJ279" s="6"/>
      <c r="IK279" s="6"/>
      <c r="IL279" s="6"/>
      <c r="IM279" s="6"/>
      <c r="IN279" s="6"/>
      <c r="IO279" s="6"/>
      <c r="IP279" s="6"/>
      <c r="IQ279" s="6"/>
      <c r="IR279" s="6"/>
      <c r="IS279" s="6"/>
      <c r="IT279" s="6"/>
      <c r="IU279" s="6"/>
      <c r="IV279" s="6"/>
      <c r="IW279" s="6"/>
      <c r="IX279" s="6"/>
      <c r="IY279" s="6"/>
      <c r="IZ279" s="6"/>
      <c r="JA279" s="6"/>
      <c r="JB279" s="6"/>
      <c r="JC279" s="6"/>
      <c r="JD279" s="6"/>
      <c r="JE279" s="6"/>
      <c r="JF279" s="6"/>
      <c r="JG279" s="6"/>
      <c r="JH279" s="6"/>
      <c r="JI279" s="6"/>
      <c r="JJ279" s="6"/>
      <c r="JK279" s="6"/>
      <c r="JL279" s="6"/>
      <c r="JM279" s="6"/>
      <c r="JN279" s="6"/>
      <c r="JO279" s="6"/>
      <c r="JP279" s="6"/>
      <c r="JQ279" s="6"/>
      <c r="JR279" s="6"/>
      <c r="JS279" s="6"/>
      <c r="JT279" s="6"/>
      <c r="JU279" s="6"/>
      <c r="JV279" s="6"/>
      <c r="JW279" s="6"/>
      <c r="JX279" s="6"/>
      <c r="JY279" s="6"/>
      <c r="JZ279" s="6"/>
      <c r="KA279" s="6"/>
      <c r="KB279" s="6"/>
      <c r="KC279" s="6"/>
      <c r="KD279" s="6"/>
      <c r="KE279" s="6"/>
      <c r="KF279" s="6"/>
      <c r="KG279" s="6"/>
      <c r="KH279" s="6"/>
      <c r="KI279" s="6"/>
      <c r="KJ279" s="6"/>
      <c r="KK279" s="6"/>
      <c r="KL279" s="6"/>
      <c r="KM279" s="6"/>
      <c r="KN279" s="6"/>
      <c r="KO279" s="6"/>
      <c r="KP279" s="6"/>
      <c r="KQ279" s="6"/>
      <c r="KR279" s="6"/>
      <c r="KS279" s="6"/>
      <c r="KT279" s="6"/>
      <c r="KU279" s="6"/>
      <c r="KV279" s="6"/>
      <c r="KW279" s="6"/>
      <c r="KX279" s="6"/>
      <c r="KY279" s="6"/>
      <c r="KZ279" s="6"/>
      <c r="LA279" s="6"/>
      <c r="LB279" s="6"/>
      <c r="LC279" s="6"/>
      <c r="LD279" s="6"/>
      <c r="LE279" s="6"/>
      <c r="LF279" s="6"/>
      <c r="LG279" s="6"/>
      <c r="LH279" s="6"/>
      <c r="LI279" s="6"/>
      <c r="LJ279" s="6"/>
      <c r="LK279" s="6"/>
      <c r="LL279" s="6"/>
      <c r="LM279" s="6"/>
      <c r="LN279" s="6"/>
      <c r="LO279" s="6"/>
      <c r="LP279" s="6"/>
      <c r="LQ279" s="6"/>
      <c r="LR279" s="6"/>
      <c r="LS279" s="6"/>
      <c r="LT279" s="6"/>
      <c r="LU279" s="6"/>
      <c r="LV279" s="6"/>
      <c r="LW279" s="6"/>
      <c r="LX279" s="6"/>
      <c r="LY279" s="6"/>
      <c r="LZ279" s="6"/>
      <c r="MA279" s="6"/>
      <c r="MB279" s="6"/>
      <c r="MC279" s="6"/>
      <c r="MD279" s="6"/>
      <c r="ME279" s="6"/>
      <c r="MF279" s="6"/>
      <c r="MG279" s="6"/>
      <c r="MH279" s="6"/>
      <c r="MI279" s="6"/>
      <c r="MJ279" s="6"/>
      <c r="MK279" s="6"/>
      <c r="ML279" s="6"/>
      <c r="MM279" s="6"/>
      <c r="MN279" s="6"/>
      <c r="MO279" s="6"/>
      <c r="MP279" s="6"/>
      <c r="MQ279" s="6"/>
      <c r="MR279" s="6"/>
      <c r="MS279" s="6"/>
      <c r="MT279" s="6"/>
      <c r="MU279" s="6"/>
      <c r="MV279" s="6"/>
      <c r="MW279" s="6"/>
      <c r="MX279" s="6"/>
      <c r="MY279" s="6"/>
      <c r="MZ279" s="6"/>
      <c r="NA279" s="6"/>
      <c r="NB279" s="6"/>
      <c r="NC279" s="6"/>
      <c r="ND279" s="6"/>
      <c r="NE279" s="6"/>
      <c r="NF279" s="6"/>
      <c r="NG279" s="6"/>
      <c r="NH279" s="6"/>
      <c r="NI279" s="6"/>
      <c r="NJ279" s="6"/>
      <c r="NK279" s="6"/>
      <c r="NL279" s="6"/>
      <c r="NM279" s="6"/>
      <c r="NN279" s="6"/>
      <c r="NO279" s="6"/>
      <c r="NP279" s="6"/>
      <c r="NQ279" s="6"/>
      <c r="NR279" s="6"/>
      <c r="NS279" s="6"/>
      <c r="NT279" s="6"/>
      <c r="NU279" s="6"/>
      <c r="NV279" s="6"/>
      <c r="NW279" s="6"/>
      <c r="NX279" s="6"/>
      <c r="NY279" s="6"/>
      <c r="NZ279" s="6"/>
      <c r="OA279" s="6"/>
      <c r="OB279" s="6"/>
      <c r="OC279" s="6"/>
      <c r="OD279" s="6"/>
      <c r="OE279" s="6"/>
      <c r="OF279" s="6"/>
      <c r="OG279" s="6"/>
      <c r="OH279" s="6"/>
      <c r="OI279" s="6"/>
      <c r="OJ279" s="6"/>
      <c r="OK279" s="6"/>
      <c r="OL279" s="6"/>
      <c r="OM279" s="6"/>
      <c r="ON279" s="6"/>
      <c r="OO279" s="6"/>
      <c r="OP279" s="6"/>
      <c r="OQ279" s="6"/>
      <c r="OR279" s="6"/>
      <c r="OS279" s="6"/>
      <c r="OT279" s="6"/>
      <c r="OU279" s="6"/>
      <c r="OV279" s="6"/>
      <c r="OW279" s="6"/>
      <c r="OX279" s="6"/>
      <c r="OY279" s="6"/>
      <c r="OZ279" s="6"/>
      <c r="PA279" s="6"/>
      <c r="PB279" s="6"/>
      <c r="PC279" s="6"/>
      <c r="PD279" s="6"/>
      <c r="PE279" s="6"/>
      <c r="PF279" s="6"/>
      <c r="PG279" s="6"/>
      <c r="PH279" s="6"/>
      <c r="PI279" s="6"/>
      <c r="PJ279" s="6"/>
      <c r="PK279" s="6"/>
      <c r="PL279" s="6"/>
      <c r="PM279" s="6"/>
      <c r="PN279" s="6"/>
      <c r="PO279" s="6"/>
      <c r="PP279" s="6"/>
      <c r="PQ279" s="6"/>
      <c r="PR279" s="6"/>
      <c r="PS279" s="6"/>
      <c r="PT279" s="6"/>
      <c r="PU279" s="6"/>
      <c r="PV279" s="6"/>
      <c r="PW279" s="6"/>
      <c r="PX279" s="6"/>
      <c r="PY279" s="6"/>
      <c r="PZ279" s="6"/>
      <c r="QA279" s="6"/>
      <c r="QB279" s="6"/>
      <c r="QC279" s="6"/>
      <c r="QD279" s="6"/>
      <c r="QE279" s="6"/>
      <c r="QF279" s="6"/>
      <c r="QG279" s="6"/>
      <c r="QH279" s="6"/>
      <c r="QI279" s="6"/>
      <c r="QJ279" s="6"/>
      <c r="QK279" s="6"/>
      <c r="QL279" s="6"/>
      <c r="QM279" s="6"/>
      <c r="QN279" s="6"/>
      <c r="QO279" s="6"/>
      <c r="QP279" s="6"/>
      <c r="QQ279" s="6"/>
      <c r="QR279" s="6"/>
      <c r="QS279" s="6"/>
      <c r="QT279" s="6"/>
      <c r="QU279" s="6"/>
      <c r="QV279" s="6"/>
      <c r="QW279" s="6"/>
      <c r="QX279" s="6"/>
      <c r="QY279" s="6"/>
      <c r="QZ279" s="6"/>
      <c r="RA279" s="6"/>
      <c r="RB279" s="6"/>
      <c r="RC279" s="6"/>
      <c r="RD279" s="6"/>
      <c r="RE279" s="6"/>
      <c r="RF279" s="6"/>
      <c r="RG279" s="6"/>
      <c r="RH279" s="6"/>
      <c r="RI279" s="6"/>
      <c r="RJ279" s="6"/>
      <c r="RK279" s="6"/>
      <c r="RL279" s="6"/>
      <c r="RM279" s="6"/>
      <c r="RN279" s="6"/>
      <c r="RO279" s="6"/>
      <c r="RP279" s="6"/>
      <c r="RQ279" s="6"/>
      <c r="RR279" s="6"/>
      <c r="RS279" s="6"/>
      <c r="RT279" s="6"/>
      <c r="RU279" s="6"/>
      <c r="RV279" s="6"/>
      <c r="RW279" s="6"/>
      <c r="RX279" s="6"/>
      <c r="RY279" s="6"/>
      <c r="RZ279" s="6"/>
      <c r="SA279" s="6"/>
      <c r="SB279" s="6"/>
      <c r="SC279" s="6"/>
      <c r="SD279" s="6"/>
      <c r="SE279" s="6"/>
      <c r="SF279" s="6"/>
      <c r="SG279" s="6"/>
      <c r="SH279" s="6"/>
      <c r="SI279" s="6"/>
      <c r="SJ279" s="6"/>
      <c r="SK279" s="6"/>
      <c r="SL279" s="6"/>
      <c r="SM279" s="6"/>
      <c r="SN279" s="6"/>
      <c r="SO279" s="6"/>
      <c r="SP279" s="6"/>
      <c r="SQ279" s="6"/>
      <c r="SR279" s="6"/>
      <c r="SS279" s="6"/>
      <c r="ST279" s="6"/>
      <c r="SU279" s="6"/>
      <c r="SV279" s="6"/>
      <c r="SW279" s="6"/>
      <c r="SX279" s="6"/>
      <c r="SY279" s="6"/>
      <c r="SZ279" s="6"/>
      <c r="TA279" s="6"/>
      <c r="TB279" s="6"/>
      <c r="TC279" s="6"/>
      <c r="TD279" s="6"/>
      <c r="TE279" s="6"/>
      <c r="TF279" s="6"/>
      <c r="TG279" s="6"/>
      <c r="TH279" s="6"/>
      <c r="TI279" s="6"/>
      <c r="TJ279" s="6"/>
      <c r="TK279" s="6"/>
      <c r="TL279" s="6"/>
      <c r="TM279" s="6"/>
      <c r="TN279" s="6"/>
      <c r="TO279" s="6"/>
      <c r="TP279" s="6"/>
      <c r="TQ279" s="6"/>
      <c r="TR279" s="6"/>
      <c r="TS279" s="6"/>
      <c r="TT279" s="6"/>
      <c r="TU279" s="6"/>
      <c r="TV279" s="6"/>
      <c r="TW279" s="6"/>
      <c r="TX279" s="6"/>
      <c r="TY279" s="6"/>
      <c r="TZ279" s="6"/>
      <c r="UA279" s="6"/>
      <c r="UB279" s="6"/>
      <c r="UC279" s="6"/>
      <c r="UD279" s="6"/>
      <c r="UE279" s="6"/>
      <c r="UF279" s="6"/>
      <c r="UG279" s="6"/>
      <c r="UH279" s="6"/>
      <c r="UI279" s="6"/>
      <c r="UJ279" s="6"/>
      <c r="UK279" s="6"/>
      <c r="UL279" s="6"/>
      <c r="UM279" s="6"/>
      <c r="UN279" s="6"/>
      <c r="UO279" s="6"/>
      <c r="UP279" s="6"/>
      <c r="UQ279" s="6"/>
      <c r="UR279" s="6"/>
      <c r="US279" s="6"/>
      <c r="UT279" s="6"/>
      <c r="UU279" s="6"/>
      <c r="UV279" s="6"/>
      <c r="UW279" s="6"/>
      <c r="UX279" s="6"/>
      <c r="UY279" s="6"/>
      <c r="UZ279" s="6"/>
      <c r="VA279" s="6"/>
      <c r="VB279" s="6"/>
      <c r="VC279" s="6"/>
      <c r="VD279" s="6"/>
      <c r="VE279" s="6"/>
      <c r="VF279" s="6"/>
      <c r="VG279" s="6"/>
      <c r="VH279" s="6"/>
      <c r="VI279" s="6"/>
      <c r="VJ279" s="6"/>
      <c r="VK279" s="6"/>
      <c r="VL279" s="6"/>
      <c r="VM279" s="6"/>
      <c r="VN279" s="6"/>
      <c r="VO279" s="6"/>
      <c r="VP279" s="6"/>
      <c r="VQ279" s="6"/>
      <c r="VR279" s="6"/>
      <c r="VS279" s="6"/>
      <c r="VT279" s="6"/>
      <c r="VU279" s="6"/>
      <c r="VV279" s="6"/>
      <c r="VW279" s="6"/>
      <c r="VX279" s="6"/>
      <c r="VY279" s="6"/>
      <c r="VZ279" s="6"/>
      <c r="WA279" s="6"/>
      <c r="WB279" s="6"/>
      <c r="WC279" s="6"/>
      <c r="WD279" s="6"/>
      <c r="WE279" s="6"/>
      <c r="WF279" s="6"/>
      <c r="WG279" s="6"/>
      <c r="WH279" s="6"/>
      <c r="WI279" s="6"/>
      <c r="WJ279" s="6"/>
      <c r="WK279" s="6"/>
      <c r="WL279" s="6"/>
      <c r="WM279" s="6"/>
      <c r="WN279" s="6"/>
      <c r="WO279" s="6"/>
      <c r="WP279" s="6"/>
      <c r="WQ279" s="6"/>
      <c r="WR279" s="6"/>
      <c r="WS279" s="6"/>
      <c r="WT279" s="6"/>
      <c r="WU279" s="6"/>
      <c r="WV279" s="6"/>
      <c r="WW279" s="6"/>
      <c r="WX279" s="6"/>
      <c r="WY279" s="6"/>
      <c r="WZ279" s="6"/>
      <c r="XA279" s="6"/>
      <c r="XB279" s="6"/>
      <c r="XC279" s="6"/>
      <c r="XD279" s="6"/>
      <c r="XE279" s="6"/>
      <c r="XF279" s="6"/>
      <c r="XG279" s="6"/>
      <c r="XH279" s="6"/>
      <c r="XI279" s="6"/>
      <c r="XJ279" s="6"/>
      <c r="XK279" s="6"/>
      <c r="XL279" s="6"/>
      <c r="XM279" s="6"/>
      <c r="XN279" s="6"/>
      <c r="XO279" s="6"/>
      <c r="XP279" s="6"/>
      <c r="XQ279" s="6"/>
      <c r="XR279" s="6"/>
      <c r="XS279" s="6"/>
      <c r="XT279" s="6"/>
      <c r="XU279" s="6"/>
      <c r="XV279" s="6"/>
      <c r="XW279" s="6"/>
      <c r="XX279" s="6"/>
      <c r="XY279" s="6"/>
      <c r="XZ279" s="6"/>
      <c r="YA279" s="6"/>
      <c r="YB279" s="6"/>
      <c r="YC279" s="6"/>
      <c r="YD279" s="6"/>
      <c r="YE279" s="6"/>
      <c r="YF279" s="6"/>
      <c r="YG279" s="6"/>
      <c r="YH279" s="6"/>
      <c r="YI279" s="6"/>
      <c r="YJ279" s="6"/>
      <c r="YK279" s="6"/>
      <c r="YL279" s="6"/>
      <c r="YM279" s="6"/>
      <c r="YN279" s="6"/>
      <c r="YO279" s="6"/>
      <c r="YP279" s="6"/>
      <c r="YQ279" s="6"/>
      <c r="YR279" s="6"/>
      <c r="YS279" s="6"/>
      <c r="YT279" s="6"/>
      <c r="YU279" s="6"/>
      <c r="YV279" s="6"/>
      <c r="YW279" s="6"/>
      <c r="YX279" s="6"/>
      <c r="YY279" s="6"/>
      <c r="YZ279" s="6"/>
      <c r="ZA279" s="6"/>
      <c r="ZB279" s="6"/>
      <c r="ZC279" s="6"/>
      <c r="ZD279" s="6"/>
      <c r="ZE279" s="6"/>
      <c r="ZF279" s="6"/>
      <c r="ZG279" s="6"/>
      <c r="ZH279" s="6"/>
      <c r="ZI279" s="6"/>
      <c r="ZJ279" s="6"/>
      <c r="ZK279" s="6"/>
      <c r="ZL279" s="6"/>
      <c r="ZM279" s="6"/>
      <c r="ZN279" s="6"/>
      <c r="ZO279" s="6"/>
      <c r="ZP279" s="6"/>
      <c r="ZQ279" s="6"/>
      <c r="ZR279" s="6"/>
      <c r="ZS279" s="6"/>
      <c r="ZT279" s="6"/>
      <c r="ZU279" s="6"/>
      <c r="ZV279" s="6"/>
      <c r="ZW279" s="6"/>
      <c r="ZX279" s="6"/>
      <c r="ZY279" s="6"/>
      <c r="ZZ279" s="6"/>
      <c r="AAA279" s="6"/>
      <c r="AAB279" s="6"/>
      <c r="AAC279" s="6"/>
      <c r="AAD279" s="6"/>
      <c r="AAE279" s="6"/>
      <c r="AAF279" s="6"/>
      <c r="AAG279" s="6"/>
      <c r="AAH279" s="6"/>
      <c r="AAI279" s="6"/>
      <c r="AAJ279" s="6"/>
      <c r="AAK279" s="6"/>
      <c r="AAL279" s="6"/>
      <c r="AAM279" s="6"/>
      <c r="AAN279" s="6"/>
      <c r="AAO279" s="6"/>
      <c r="AAP279" s="6"/>
      <c r="AAQ279" s="6"/>
      <c r="AAR279" s="6"/>
      <c r="AAS279" s="6"/>
      <c r="AAT279" s="6"/>
      <c r="AAU279" s="6"/>
      <c r="AAV279" s="6"/>
      <c r="AAW279" s="6"/>
      <c r="AAX279" s="6"/>
      <c r="AAY279" s="6"/>
      <c r="AAZ279" s="6"/>
      <c r="ABA279" s="6"/>
      <c r="ABB279" s="6"/>
      <c r="ABC279" s="6"/>
      <c r="ABD279" s="6"/>
      <c r="ABE279" s="6"/>
      <c r="ABF279" s="6"/>
      <c r="ABG279" s="6"/>
      <c r="ABH279" s="6"/>
      <c r="ABI279" s="6"/>
      <c r="ABJ279" s="6"/>
      <c r="ABK279" s="6"/>
      <c r="ABL279" s="6"/>
      <c r="ABM279" s="6"/>
      <c r="ABN279" s="6"/>
      <c r="ABO279" s="6"/>
      <c r="ABP279" s="6"/>
      <c r="ABQ279" s="6"/>
      <c r="ABR279" s="6"/>
      <c r="ABS279" s="6"/>
      <c r="ABT279" s="6"/>
      <c r="ABU279" s="6"/>
      <c r="ABV279" s="6"/>
      <c r="ABW279" s="6"/>
      <c r="ABX279" s="6"/>
      <c r="ABY279" s="6"/>
      <c r="ABZ279" s="6"/>
      <c r="ACA279" s="6"/>
      <c r="ACB279" s="6"/>
      <c r="ACC279" s="6"/>
      <c r="ACD279" s="6"/>
      <c r="ACE279" s="6"/>
      <c r="ACF279" s="6"/>
      <c r="ACG279" s="6"/>
      <c r="ACH279" s="6"/>
      <c r="ACI279" s="6"/>
      <c r="ACJ279" s="6"/>
      <c r="ACK279" s="6"/>
      <c r="ACL279" s="6"/>
      <c r="ACM279" s="6"/>
      <c r="ACN279" s="6"/>
      <c r="ACO279" s="6"/>
      <c r="ACP279" s="6"/>
      <c r="ACQ279" s="6"/>
      <c r="ACR279" s="6"/>
      <c r="ACS279" s="6"/>
      <c r="ACT279" s="6"/>
      <c r="ACU279" s="6"/>
      <c r="ACV279" s="6"/>
      <c r="ACW279" s="6"/>
      <c r="ACX279" s="6"/>
      <c r="ACY279" s="6"/>
      <c r="ACZ279" s="6"/>
      <c r="ADA279" s="6"/>
      <c r="ADB279" s="6"/>
      <c r="ADC279" s="6"/>
      <c r="ADD279" s="6"/>
      <c r="ADE279" s="6"/>
      <c r="ADF279" s="6"/>
      <c r="ADG279" s="6"/>
      <c r="ADH279" s="6"/>
      <c r="ADI279" s="6"/>
      <c r="ADJ279" s="6"/>
      <c r="ADK279" s="6"/>
      <c r="ADL279" s="6"/>
      <c r="ADM279" s="6"/>
      <c r="ADN279" s="6"/>
      <c r="ADO279" s="6"/>
      <c r="ADP279" s="6"/>
      <c r="ADQ279" s="6"/>
      <c r="ADR279" s="6"/>
      <c r="ADS279" s="6"/>
      <c r="ADT279" s="6"/>
      <c r="ADU279" s="6"/>
      <c r="ADV279" s="6"/>
      <c r="ADW279" s="6"/>
      <c r="ADX279" s="6"/>
      <c r="ADY279" s="6"/>
      <c r="ADZ279" s="6"/>
      <c r="AEA279" s="6"/>
      <c r="AEB279" s="6"/>
      <c r="AEC279" s="6"/>
      <c r="AED279" s="6"/>
      <c r="AEE279" s="6"/>
      <c r="AEF279" s="6"/>
      <c r="AEG279" s="6"/>
      <c r="AEH279" s="6"/>
      <c r="AEI279" s="6"/>
      <c r="AEJ279" s="6"/>
      <c r="AEK279" s="6"/>
      <c r="AEL279" s="6"/>
      <c r="AEM279" s="6"/>
      <c r="AEN279" s="6"/>
      <c r="AEO279" s="6"/>
      <c r="AEP279" s="6"/>
      <c r="AEQ279" s="6"/>
      <c r="AER279" s="6"/>
      <c r="AES279" s="6"/>
      <c r="AET279" s="6"/>
      <c r="AEU279" s="6"/>
      <c r="AEV279" s="6"/>
      <c r="AEW279" s="6"/>
      <c r="AEX279" s="6"/>
      <c r="AEY279" s="6"/>
      <c r="AEZ279" s="6"/>
      <c r="AFA279" s="6"/>
      <c r="AFB279" s="6"/>
      <c r="AFC279" s="6"/>
      <c r="AFD279" s="6"/>
      <c r="AFE279" s="6"/>
      <c r="AFF279" s="6"/>
      <c r="AFG279" s="6"/>
      <c r="AFH279" s="6"/>
      <c r="AFI279" s="6"/>
      <c r="AFJ279" s="6"/>
      <c r="AFK279" s="6"/>
      <c r="AFL279" s="6"/>
      <c r="AFM279" s="6"/>
      <c r="AFN279" s="6"/>
      <c r="AFO279" s="6"/>
      <c r="AFP279" s="6"/>
      <c r="AFQ279" s="6"/>
      <c r="AFR279" s="6"/>
      <c r="AFS279" s="6"/>
      <c r="AFT279" s="6"/>
      <c r="AFU279" s="6"/>
      <c r="AFV279" s="6"/>
      <c r="AFW279" s="6"/>
      <c r="AFX279" s="6"/>
      <c r="AFY279" s="6"/>
      <c r="AFZ279" s="6"/>
      <c r="AGA279" s="6"/>
      <c r="AGB279" s="6"/>
      <c r="AGC279" s="6"/>
      <c r="AGD279" s="6"/>
      <c r="AGE279" s="6"/>
      <c r="AGF279" s="6"/>
      <c r="AGG279" s="6"/>
      <c r="AGH279" s="6"/>
      <c r="AGI279" s="6"/>
      <c r="AGJ279" s="6"/>
      <c r="AGK279" s="6"/>
      <c r="AGL279" s="6"/>
      <c r="AGM279" s="6"/>
      <c r="AGN279" s="6"/>
      <c r="AGO279" s="6"/>
      <c r="AGP279" s="6"/>
      <c r="AGQ279" s="6"/>
      <c r="AGR279" s="6"/>
      <c r="AGS279" s="6"/>
      <c r="AGT279" s="6"/>
      <c r="AGU279" s="6"/>
      <c r="AGV279" s="6"/>
      <c r="AGW279" s="6"/>
      <c r="AGX279" s="6"/>
      <c r="AGY279" s="6"/>
      <c r="AGZ279" s="6"/>
      <c r="AHA279" s="6"/>
      <c r="AHB279" s="6"/>
      <c r="AHC279" s="6"/>
      <c r="AHD279" s="6"/>
      <c r="AHE279" s="6"/>
      <c r="AHF279" s="6"/>
      <c r="AHG279" s="6"/>
      <c r="AHH279" s="6"/>
      <c r="AHI279" s="6"/>
      <c r="AHJ279" s="6"/>
      <c r="AHK279" s="6"/>
      <c r="AHL279" s="6"/>
      <c r="AHM279" s="6"/>
      <c r="AHN279" s="6"/>
      <c r="AHO279" s="6"/>
      <c r="AHP279" s="6"/>
      <c r="AHQ279" s="6"/>
      <c r="AHR279" s="6"/>
      <c r="AHS279" s="6"/>
      <c r="AHT279" s="6"/>
      <c r="AHU279" s="6"/>
      <c r="AHV279" s="6"/>
      <c r="AHW279" s="6"/>
      <c r="AHX279" s="6"/>
      <c r="AHY279" s="6"/>
      <c r="AHZ279" s="6"/>
      <c r="AIA279" s="6"/>
      <c r="AIB279" s="6"/>
      <c r="AIC279" s="6"/>
      <c r="AID279" s="6"/>
      <c r="AIE279" s="6"/>
      <c r="AIF279" s="6"/>
      <c r="AIG279" s="6"/>
      <c r="AIH279" s="6"/>
      <c r="AII279" s="6"/>
      <c r="AIJ279" s="6"/>
      <c r="AIK279" s="6"/>
      <c r="AIL279" s="6"/>
      <c r="AIM279" s="6"/>
      <c r="AIN279" s="6"/>
      <c r="AIO279" s="6"/>
      <c r="AIP279" s="6"/>
      <c r="AIQ279" s="6"/>
      <c r="AIR279" s="6"/>
      <c r="AIS279" s="6"/>
      <c r="AIT279" s="6"/>
      <c r="AIU279" s="6"/>
      <c r="AIV279" s="6"/>
      <c r="AIW279" s="6"/>
      <c r="AIX279" s="6"/>
      <c r="AIY279" s="6"/>
      <c r="AIZ279" s="6"/>
      <c r="AJA279" s="6"/>
      <c r="AJB279" s="6"/>
      <c r="AJC279" s="6"/>
      <c r="AJD279" s="6"/>
      <c r="AJE279" s="6"/>
      <c r="AJF279" s="6"/>
      <c r="AJG279" s="6"/>
      <c r="AJH279" s="6"/>
      <c r="AJI279" s="6"/>
      <c r="AJJ279" s="6"/>
      <c r="AJK279" s="6"/>
      <c r="AJL279" s="6"/>
      <c r="AJM279" s="6"/>
      <c r="AJN279" s="6"/>
      <c r="AJO279" s="6"/>
      <c r="AJP279" s="6"/>
      <c r="AJQ279" s="6"/>
      <c r="AJR279" s="6"/>
      <c r="AJS279" s="6"/>
      <c r="AJT279" s="6"/>
      <c r="AJU279" s="6"/>
      <c r="AJV279" s="6"/>
      <c r="AJW279" s="6"/>
      <c r="AJX279" s="6"/>
      <c r="AJY279" s="6"/>
      <c r="AJZ279" s="6"/>
      <c r="AKA279" s="6"/>
      <c r="AKB279" s="6"/>
      <c r="AKC279" s="6"/>
      <c r="AKD279" s="6"/>
      <c r="AKE279" s="6"/>
      <c r="AKF279" s="6"/>
      <c r="AKG279" s="6"/>
      <c r="AKH279" s="6"/>
      <c r="AKI279" s="6"/>
      <c r="AKJ279" s="6"/>
      <c r="AKK279" s="6"/>
      <c r="AKL279" s="6"/>
      <c r="AKM279" s="6"/>
      <c r="AKN279" s="6"/>
      <c r="AKO279" s="6"/>
      <c r="AKP279" s="6"/>
      <c r="AKQ279" s="6"/>
      <c r="AKR279" s="6"/>
      <c r="AKS279" s="6"/>
      <c r="AKT279" s="6"/>
      <c r="AKU279" s="6"/>
      <c r="AKV279" s="6"/>
      <c r="AKW279" s="6"/>
      <c r="AKX279" s="6"/>
      <c r="AKY279" s="6"/>
      <c r="AKZ279" s="6"/>
      <c r="ALA279" s="6"/>
      <c r="ALB279" s="6"/>
      <c r="ALC279" s="6"/>
      <c r="ALD279" s="6"/>
      <c r="ALE279" s="6"/>
      <c r="ALF279" s="6"/>
      <c r="ALG279" s="6"/>
      <c r="ALH279" s="6"/>
      <c r="ALI279" s="6"/>
      <c r="ALJ279" s="6"/>
      <c r="ALK279" s="6"/>
      <c r="ALL279" s="6"/>
      <c r="ALM279" s="6"/>
      <c r="ALN279" s="6"/>
      <c r="ALO279" s="6"/>
      <c r="ALP279" s="6"/>
      <c r="ALQ279" s="6"/>
      <c r="ALR279" s="6"/>
      <c r="ALS279" s="6"/>
      <c r="ALT279" s="6"/>
      <c r="ALU279" s="6"/>
      <c r="ALV279" s="6"/>
      <c r="ALW279" s="6"/>
      <c r="ALX279" s="6"/>
      <c r="ALY279" s="6"/>
      <c r="ALZ279" s="6"/>
      <c r="AMA279" s="6"/>
      <c r="AMB279" s="6"/>
      <c r="AMC279" s="6"/>
      <c r="AMD279" s="6"/>
      <c r="AME279" s="6"/>
      <c r="AMF279" s="6"/>
      <c r="AMG279" s="6"/>
      <c r="AMH279" s="6"/>
      <c r="AMI279" s="6"/>
      <c r="AMJ279" s="6"/>
      <c r="AMK279" s="6"/>
      <c r="AML279" s="6"/>
      <c r="AMM279" s="6"/>
      <c r="AMN279" s="6"/>
      <c r="AMO279" s="6"/>
      <c r="AMP279" s="6"/>
    </row>
    <row r="280" spans="1:1030" x14ac:dyDescent="0.2">
      <c r="A280" s="3" t="str">
        <f t="shared" si="1034"/>
        <v>calcr_human__wt</v>
      </c>
      <c r="B280" s="2" t="s">
        <v>401</v>
      </c>
      <c r="C280" s="3" t="s">
        <v>100</v>
      </c>
      <c r="D280" s="3" t="str">
        <f>IFERROR(MID(VLOOKUP($B280,Seqs!$A:$B,2,0),E280,1),"")</f>
        <v>T</v>
      </c>
      <c r="E280" s="3">
        <v>132</v>
      </c>
      <c r="F280" s="3" t="str">
        <f>IFERROR(MID(VLOOKUP($B280,Seqs!$A:$B,2,0),G280,1),"")</f>
        <v>F</v>
      </c>
      <c r="G280" s="3">
        <v>173</v>
      </c>
      <c r="H280" s="3" t="str">
        <f>IFERROR(MID(VLOOKUP($B280,Seqs!$A:$B,2,0),I280,1),"")</f>
        <v>R</v>
      </c>
      <c r="I280" s="23">
        <v>174</v>
      </c>
      <c r="J280" s="3" t="str">
        <f>IFERROR(MID(VLOOKUP($B280,Seqs!$A:$B,2,0),K280,1),"")</f>
        <v>G</v>
      </c>
      <c r="K280" s="23">
        <v>177</v>
      </c>
      <c r="L280" s="3" t="str">
        <f>IFERROR(MID(VLOOKUP($B280,Seqs!$A:$B,2,0),M280,1),"")</f>
        <v>C</v>
      </c>
      <c r="M280" s="3">
        <v>178</v>
      </c>
      <c r="N280" s="3" t="str">
        <f>IFERROR(MID(VLOOKUP($B280,Seqs!$A:$B,2,0),O280,1),"")</f>
        <v>V</v>
      </c>
      <c r="O280" s="3">
        <v>205</v>
      </c>
      <c r="P280" s="3" t="str">
        <f>IFERROR(MID(VLOOKUP($B280,Seqs!$A:$B,2,0),Q280,1),"")</f>
        <v/>
      </c>
      <c r="Q280" s="3" t="s">
        <v>23</v>
      </c>
      <c r="R280" s="3" t="str">
        <f>IFERROR(MID(VLOOKUP($B280,Seqs!$A:$B,2,0),S280,1),"")</f>
        <v/>
      </c>
      <c r="S280" s="3" t="s">
        <v>23</v>
      </c>
      <c r="T280" s="3" t="str">
        <f>IFERROR(MID(VLOOKUP($B280,Seqs!$A:$B,2,0),U280,1),"")</f>
        <v>V</v>
      </c>
      <c r="U280" s="105">
        <v>217</v>
      </c>
      <c r="V280" s="3" t="str">
        <f>IFERROR(MID(VLOOKUP($B280,Seqs!$A:$B,2,0),W280,1),"")</f>
        <v>V</v>
      </c>
      <c r="W280" s="3">
        <v>250</v>
      </c>
      <c r="X280" s="3" t="str">
        <f>IFERROR(MID(VLOOKUP($B280,Seqs!$A:$B,2,0),Y280,1),"")</f>
        <v/>
      </c>
      <c r="Y280" s="3" t="s">
        <v>23</v>
      </c>
      <c r="Z280" s="3" t="str">
        <f>IFERROR(MID(VLOOKUP($B280,Seqs!$A:$B,2,0),AA280,1),"")</f>
        <v/>
      </c>
      <c r="AA280" s="3" t="s">
        <v>23</v>
      </c>
      <c r="AB280" s="3" t="str">
        <f>IFERROR(MID(VLOOKUP($B280,Seqs!$A:$B,2,0),AC280,1),"")</f>
        <v>R</v>
      </c>
      <c r="AC280" s="3">
        <v>258</v>
      </c>
      <c r="AD280" s="3" t="str">
        <f>IFERROR(MID(VLOOKUP($B280,Seqs!$A:$B,2,0),AE280,1),"")</f>
        <v>F</v>
      </c>
      <c r="AE280" s="3">
        <v>285</v>
      </c>
      <c r="AF280" s="3" t="str">
        <f>IFERROR(MID(VLOOKUP($B280,Seqs!$A:$B,2,0),AG280,1),"")</f>
        <v>C</v>
      </c>
      <c r="AG280" s="3">
        <v>289</v>
      </c>
      <c r="AH280" s="3" t="str">
        <f>IFERROR(MID(VLOOKUP($B280,Seqs!$A:$B,2,0),AI280,1),"")</f>
        <v>L</v>
      </c>
      <c r="AI280" s="3">
        <v>291</v>
      </c>
      <c r="AJ280" s="3" t="str">
        <f>IFERROR(MID(VLOOKUP($B280,Seqs!$A:$B,2,0),AK280,1),"")</f>
        <v>L</v>
      </c>
      <c r="AK280" s="3">
        <v>298</v>
      </c>
      <c r="AL280" s="3" t="str">
        <f>IFERROR(MID(VLOOKUP($B280,Seqs!$A:$B,2,0),AM280,1),"")</f>
        <v>R</v>
      </c>
      <c r="AM280" s="3">
        <v>328</v>
      </c>
      <c r="AN280" s="3" t="str">
        <f>IFERROR(MID(VLOOKUP($B280,Seqs!$A:$B,2,0),AO280,1),"")</f>
        <v>Y</v>
      </c>
      <c r="AO280" s="3">
        <v>338</v>
      </c>
      <c r="AP280" s="3" t="str">
        <f>IFERROR(MID(VLOOKUP($B280,Seqs!$A:$B,2,0),AQ280,1),"")</f>
        <v>W</v>
      </c>
      <c r="AQ280" s="3">
        <v>361</v>
      </c>
      <c r="AR280" s="3" t="str">
        <f>IFERROR(MID(VLOOKUP($B280,Seqs!$A:$B,2,0),AS280,1),"")</f>
        <v>K</v>
      </c>
      <c r="AS280" s="3">
        <v>366</v>
      </c>
      <c r="AT280" s="3" t="str">
        <f>IFERROR(MID(VLOOKUP($B280,Seqs!$A:$B,2,0),AU280,1),"")</f>
        <v>C</v>
      </c>
      <c r="AU280" s="3">
        <v>394</v>
      </c>
      <c r="AV280" s="3" t="str">
        <f>IFERROR(MID(VLOOKUP($B280,Seqs!$A:$B,2,0),AW280,1),"")</f>
        <v>N</v>
      </c>
      <c r="AW280" s="3">
        <v>395</v>
      </c>
      <c r="AX280" s="3" t="str">
        <f>IFERROR(MID(VLOOKUP($B280,Seqs!$A:$B,2,0),AY280,1),"")</f>
        <v>R</v>
      </c>
      <c r="AY280" s="3">
        <v>420</v>
      </c>
      <c r="AZ280" s="77" t="str">
        <f>VLOOKUP(B280,Classification!A:D,2,0)</f>
        <v>B1</v>
      </c>
      <c r="BA280" s="94" t="str">
        <f>VLOOKUP(B280,Classification!A:D,4,0)</f>
        <v>Calcitonin</v>
      </c>
      <c r="BB280" s="27" t="b">
        <f t="shared" si="1007"/>
        <v>1</v>
      </c>
      <c r="BC280" s="23">
        <f t="shared" si="1008"/>
        <v>251</v>
      </c>
      <c r="BD280" s="4" t="s">
        <v>23</v>
      </c>
      <c r="BE280" s="3" t="s">
        <v>23</v>
      </c>
      <c r="BF280" s="119" t="s">
        <v>23</v>
      </c>
      <c r="BG280" s="49" t="s">
        <v>1384</v>
      </c>
      <c r="BH280" s="49" t="s">
        <v>1384</v>
      </c>
      <c r="BI280" s="1"/>
      <c r="BJ280" s="70" t="s">
        <v>1293</v>
      </c>
      <c r="BK280" s="57" t="s">
        <v>1293</v>
      </c>
      <c r="BL280" s="57" t="s">
        <v>1293</v>
      </c>
      <c r="BM280" s="57" t="s">
        <v>1293</v>
      </c>
      <c r="BN280" s="57" t="s">
        <v>1293</v>
      </c>
      <c r="BO280" s="57" t="s">
        <v>1293</v>
      </c>
      <c r="BP280" s="57" t="s">
        <v>1293</v>
      </c>
      <c r="BQ280" s="57" t="s">
        <v>1293</v>
      </c>
      <c r="BR280" s="57" t="s">
        <v>1293</v>
      </c>
      <c r="BS280" s="57" t="s">
        <v>1293</v>
      </c>
      <c r="BT280" s="57" t="s">
        <v>1293</v>
      </c>
      <c r="BU280" s="57" t="s">
        <v>1293</v>
      </c>
      <c r="BV280" s="70">
        <f t="shared" si="1009"/>
        <v>132</v>
      </c>
      <c r="BW280" s="71">
        <f t="shared" si="1010"/>
        <v>174</v>
      </c>
      <c r="BX280" s="72">
        <f t="shared" si="1011"/>
        <v>178</v>
      </c>
      <c r="BY280" s="71" t="str">
        <f t="shared" si="1012"/>
        <v>-</v>
      </c>
      <c r="BZ280" s="72">
        <f t="shared" si="1013"/>
        <v>217</v>
      </c>
      <c r="CA280" s="71" t="str">
        <f t="shared" si="1014"/>
        <v>-</v>
      </c>
      <c r="CB280" s="72">
        <f t="shared" si="1015"/>
        <v>258</v>
      </c>
      <c r="CC280" s="71">
        <f t="shared" si="1016"/>
        <v>289</v>
      </c>
      <c r="CD280" s="72">
        <f t="shared" si="1017"/>
        <v>298</v>
      </c>
      <c r="CE280" s="71">
        <f t="shared" si="1018"/>
        <v>338</v>
      </c>
      <c r="CF280" s="72">
        <f t="shared" si="1019"/>
        <v>366</v>
      </c>
      <c r="CG280" s="71">
        <f t="shared" si="1020"/>
        <v>395</v>
      </c>
      <c r="CH280" s="70">
        <f t="shared" si="1021"/>
        <v>173</v>
      </c>
      <c r="CI280" s="71">
        <f t="shared" si="1022"/>
        <v>177</v>
      </c>
      <c r="CJ280" s="72">
        <f t="shared" si="1023"/>
        <v>205</v>
      </c>
      <c r="CK280" s="72" t="str">
        <f t="shared" si="1024"/>
        <v>-</v>
      </c>
      <c r="CL280" s="72">
        <f t="shared" si="1025"/>
        <v>250</v>
      </c>
      <c r="CM280" s="72" t="str">
        <f t="shared" si="1026"/>
        <v>-</v>
      </c>
      <c r="CN280" s="72">
        <f t="shared" si="1027"/>
        <v>285</v>
      </c>
      <c r="CO280" s="72">
        <f t="shared" si="1028"/>
        <v>291</v>
      </c>
      <c r="CP280" s="72">
        <f t="shared" si="1029"/>
        <v>328</v>
      </c>
      <c r="CQ280" s="72">
        <f t="shared" si="1030"/>
        <v>361</v>
      </c>
      <c r="CR280" s="72">
        <f t="shared" si="1031"/>
        <v>394</v>
      </c>
      <c r="CS280" s="72">
        <f t="shared" si="1032"/>
        <v>420</v>
      </c>
      <c r="CT280" s="23">
        <f t="shared" si="1033"/>
        <v>1</v>
      </c>
      <c r="CU280" s="6"/>
      <c r="CV280" s="6"/>
      <c r="CW280" s="6"/>
      <c r="CX280" s="6"/>
      <c r="CY280" s="6"/>
      <c r="CZ280" s="6"/>
      <c r="DA280" s="6"/>
      <c r="DB280" s="6"/>
      <c r="DC280" s="6"/>
      <c r="DD280" s="6"/>
      <c r="DE280" s="6"/>
      <c r="DF280" s="6"/>
      <c r="DG280" s="6"/>
      <c r="DH280" s="6"/>
      <c r="DI280" s="6"/>
      <c r="DJ280" s="6"/>
      <c r="DK280" s="6"/>
      <c r="DL280" s="6"/>
      <c r="DM280" s="6"/>
      <c r="DN280" s="6"/>
      <c r="DO280" s="6"/>
      <c r="DP280" s="6"/>
      <c r="DQ280" s="6"/>
      <c r="DR280" s="6"/>
      <c r="DS280" s="6"/>
      <c r="DT280" s="6"/>
      <c r="DU280" s="6"/>
      <c r="DV280" s="6"/>
      <c r="DW280" s="6"/>
      <c r="DX280" s="6"/>
      <c r="DY280" s="6"/>
      <c r="DZ280" s="6"/>
      <c r="EA280" s="6"/>
      <c r="EB280" s="6"/>
      <c r="EC280" s="6"/>
      <c r="ED280" s="6"/>
      <c r="EE280" s="6"/>
      <c r="EF280" s="6"/>
      <c r="EG280" s="6"/>
      <c r="EH280" s="6"/>
      <c r="EI280" s="6"/>
      <c r="EJ280" s="6"/>
      <c r="EK280" s="6"/>
      <c r="EL280" s="6"/>
      <c r="EM280" s="6"/>
      <c r="EN280" s="6"/>
      <c r="EO280" s="6"/>
      <c r="EP280" s="6"/>
      <c r="EQ280" s="6"/>
      <c r="ER280" s="6"/>
      <c r="ES280" s="6"/>
      <c r="ET280" s="6"/>
      <c r="EU280" s="6"/>
      <c r="EV280" s="6"/>
      <c r="EW280" s="6"/>
      <c r="EX280" s="6"/>
      <c r="EY280" s="6"/>
      <c r="EZ280" s="6"/>
      <c r="FA280" s="6"/>
      <c r="FB280" s="6"/>
      <c r="FC280" s="6"/>
      <c r="FD280" s="6"/>
      <c r="FE280" s="6"/>
      <c r="FF280" s="6"/>
      <c r="FG280" s="6"/>
      <c r="FH280" s="6"/>
      <c r="FI280" s="6"/>
      <c r="FJ280" s="6"/>
      <c r="FK280" s="6"/>
      <c r="FL280" s="6"/>
      <c r="FM280" s="6"/>
      <c r="FN280" s="6"/>
      <c r="FO280" s="6"/>
      <c r="FP280" s="6"/>
      <c r="FQ280" s="6"/>
      <c r="FR280" s="6"/>
      <c r="FS280" s="6"/>
      <c r="FT280" s="6"/>
      <c r="FU280" s="6"/>
      <c r="FV280" s="6"/>
      <c r="FW280" s="6"/>
      <c r="FX280" s="6"/>
      <c r="FY280" s="6"/>
      <c r="FZ280" s="6"/>
      <c r="GA280" s="6"/>
      <c r="GB280" s="6"/>
      <c r="GC280" s="6"/>
      <c r="GD280" s="6"/>
      <c r="GE280" s="6"/>
      <c r="GF280" s="6"/>
      <c r="GG280" s="6"/>
      <c r="GH280" s="6"/>
      <c r="GI280" s="6"/>
      <c r="GJ280" s="6"/>
      <c r="GK280" s="6"/>
      <c r="GL280" s="6"/>
      <c r="GM280" s="6"/>
      <c r="GN280" s="6"/>
      <c r="GO280" s="6"/>
      <c r="GP280" s="6"/>
      <c r="GQ280" s="6"/>
      <c r="GR280" s="6"/>
      <c r="GS280" s="6"/>
      <c r="GT280" s="6"/>
      <c r="GU280" s="6"/>
      <c r="GV280" s="6"/>
      <c r="GW280" s="6"/>
      <c r="GX280" s="6"/>
      <c r="GY280" s="6"/>
      <c r="GZ280" s="6"/>
      <c r="HA280" s="6"/>
      <c r="HB280" s="6"/>
      <c r="HC280" s="6"/>
      <c r="HD280" s="6"/>
      <c r="HE280" s="6"/>
      <c r="HF280" s="6"/>
      <c r="HG280" s="6"/>
      <c r="HH280" s="6"/>
      <c r="HI280" s="6"/>
      <c r="HJ280" s="6"/>
      <c r="HK280" s="6"/>
      <c r="HL280" s="6"/>
      <c r="HM280" s="6"/>
      <c r="HN280" s="6"/>
      <c r="HO280" s="6"/>
      <c r="HP280" s="6"/>
      <c r="HQ280" s="6"/>
      <c r="HR280" s="6"/>
      <c r="HS280" s="6"/>
      <c r="HT280" s="6"/>
      <c r="HU280" s="6"/>
      <c r="HV280" s="6"/>
      <c r="HW280" s="6"/>
      <c r="HX280" s="6"/>
      <c r="HY280" s="6"/>
      <c r="HZ280" s="6"/>
      <c r="IA280" s="6"/>
      <c r="IB280" s="6"/>
      <c r="IC280" s="6"/>
      <c r="ID280" s="6"/>
      <c r="IE280" s="6"/>
      <c r="IF280" s="6"/>
      <c r="IG280" s="6"/>
      <c r="IH280" s="6"/>
      <c r="II280" s="6"/>
      <c r="IJ280" s="6"/>
      <c r="IK280" s="6"/>
      <c r="IL280" s="6"/>
      <c r="IM280" s="6"/>
      <c r="IN280" s="6"/>
      <c r="IO280" s="6"/>
      <c r="IP280" s="6"/>
      <c r="IQ280" s="6"/>
      <c r="IR280" s="6"/>
      <c r="IS280" s="6"/>
      <c r="IT280" s="6"/>
      <c r="IU280" s="6"/>
      <c r="IV280" s="6"/>
      <c r="IW280" s="6"/>
      <c r="IX280" s="6"/>
      <c r="IY280" s="6"/>
      <c r="IZ280" s="6"/>
      <c r="JA280" s="6"/>
      <c r="JB280" s="6"/>
      <c r="JC280" s="6"/>
      <c r="JD280" s="6"/>
      <c r="JE280" s="6"/>
      <c r="JF280" s="6"/>
      <c r="JG280" s="6"/>
      <c r="JH280" s="6"/>
      <c r="JI280" s="6"/>
      <c r="JJ280" s="6"/>
      <c r="JK280" s="6"/>
      <c r="JL280" s="6"/>
      <c r="JM280" s="6"/>
      <c r="JN280" s="6"/>
      <c r="JO280" s="6"/>
      <c r="JP280" s="6"/>
      <c r="JQ280" s="6"/>
      <c r="JR280" s="6"/>
      <c r="JS280" s="6"/>
      <c r="JT280" s="6"/>
      <c r="JU280" s="6"/>
      <c r="JV280" s="6"/>
      <c r="JW280" s="6"/>
      <c r="JX280" s="6"/>
      <c r="JY280" s="6"/>
      <c r="JZ280" s="6"/>
      <c r="KA280" s="6"/>
      <c r="KB280" s="6"/>
      <c r="KC280" s="6"/>
      <c r="KD280" s="6"/>
      <c r="KE280" s="6"/>
      <c r="KF280" s="6"/>
      <c r="KG280" s="6"/>
      <c r="KH280" s="6"/>
      <c r="KI280" s="6"/>
      <c r="KJ280" s="6"/>
      <c r="KK280" s="6"/>
      <c r="KL280" s="6"/>
      <c r="KM280" s="6"/>
      <c r="KN280" s="6"/>
      <c r="KO280" s="6"/>
      <c r="KP280" s="6"/>
      <c r="KQ280" s="6"/>
      <c r="KR280" s="6"/>
      <c r="KS280" s="6"/>
      <c r="KT280" s="6"/>
      <c r="KU280" s="6"/>
      <c r="KV280" s="6"/>
      <c r="KW280" s="6"/>
      <c r="KX280" s="6"/>
      <c r="KY280" s="6"/>
      <c r="KZ280" s="6"/>
      <c r="LA280" s="6"/>
      <c r="LB280" s="6"/>
      <c r="LC280" s="6"/>
      <c r="LD280" s="6"/>
      <c r="LE280" s="6"/>
      <c r="LF280" s="6"/>
      <c r="LG280" s="6"/>
      <c r="LH280" s="6"/>
      <c r="LI280" s="6"/>
      <c r="LJ280" s="6"/>
      <c r="LK280" s="6"/>
      <c r="LL280" s="6"/>
      <c r="LM280" s="6"/>
      <c r="LN280" s="6"/>
      <c r="LO280" s="6"/>
      <c r="LP280" s="6"/>
      <c r="LQ280" s="6"/>
      <c r="LR280" s="6"/>
      <c r="LS280" s="6"/>
      <c r="LT280" s="6"/>
      <c r="LU280" s="6"/>
      <c r="LV280" s="6"/>
      <c r="LW280" s="6"/>
      <c r="LX280" s="6"/>
      <c r="LY280" s="6"/>
      <c r="LZ280" s="6"/>
      <c r="MA280" s="6"/>
      <c r="MB280" s="6"/>
      <c r="MC280" s="6"/>
      <c r="MD280" s="6"/>
      <c r="ME280" s="6"/>
      <c r="MF280" s="6"/>
      <c r="MG280" s="6"/>
      <c r="MH280" s="6"/>
      <c r="MI280" s="6"/>
      <c r="MJ280" s="6"/>
      <c r="MK280" s="6"/>
      <c r="ML280" s="6"/>
      <c r="MM280" s="6"/>
      <c r="MN280" s="6"/>
      <c r="MO280" s="6"/>
      <c r="MP280" s="6"/>
      <c r="MQ280" s="6"/>
      <c r="MR280" s="6"/>
      <c r="MS280" s="6"/>
      <c r="MT280" s="6"/>
      <c r="MU280" s="6"/>
      <c r="MV280" s="6"/>
      <c r="MW280" s="6"/>
      <c r="MX280" s="6"/>
      <c r="MY280" s="6"/>
      <c r="MZ280" s="6"/>
      <c r="NA280" s="6"/>
      <c r="NB280" s="6"/>
      <c r="NC280" s="6"/>
      <c r="ND280" s="6"/>
      <c r="NE280" s="6"/>
      <c r="NF280" s="6"/>
      <c r="NG280" s="6"/>
      <c r="NH280" s="6"/>
      <c r="NI280" s="6"/>
      <c r="NJ280" s="6"/>
      <c r="NK280" s="6"/>
      <c r="NL280" s="6"/>
      <c r="NM280" s="6"/>
      <c r="NN280" s="6"/>
      <c r="NO280" s="6"/>
      <c r="NP280" s="6"/>
      <c r="NQ280" s="6"/>
      <c r="NR280" s="6"/>
      <c r="NS280" s="6"/>
      <c r="NT280" s="6"/>
      <c r="NU280" s="6"/>
      <c r="NV280" s="6"/>
      <c r="NW280" s="6"/>
      <c r="NX280" s="6"/>
      <c r="NY280" s="6"/>
      <c r="NZ280" s="6"/>
      <c r="OA280" s="6"/>
      <c r="OB280" s="6"/>
      <c r="OC280" s="6"/>
      <c r="OD280" s="6"/>
      <c r="OE280" s="6"/>
      <c r="OF280" s="6"/>
      <c r="OG280" s="6"/>
      <c r="OH280" s="6"/>
      <c r="OI280" s="6"/>
      <c r="OJ280" s="6"/>
      <c r="OK280" s="6"/>
      <c r="OL280" s="6"/>
      <c r="OM280" s="6"/>
      <c r="ON280" s="6"/>
      <c r="OO280" s="6"/>
      <c r="OP280" s="6"/>
      <c r="OQ280" s="6"/>
      <c r="OR280" s="6"/>
      <c r="OS280" s="6"/>
      <c r="OT280" s="6"/>
      <c r="OU280" s="6"/>
      <c r="OV280" s="6"/>
      <c r="OW280" s="6"/>
      <c r="OX280" s="6"/>
      <c r="OY280" s="6"/>
      <c r="OZ280" s="6"/>
      <c r="PA280" s="6"/>
      <c r="PB280" s="6"/>
      <c r="PC280" s="6"/>
      <c r="PD280" s="6"/>
      <c r="PE280" s="6"/>
      <c r="PF280" s="6"/>
      <c r="PG280" s="6"/>
      <c r="PH280" s="6"/>
      <c r="PI280" s="6"/>
      <c r="PJ280" s="6"/>
      <c r="PK280" s="6"/>
      <c r="PL280" s="6"/>
      <c r="PM280" s="6"/>
      <c r="PN280" s="6"/>
      <c r="PO280" s="6"/>
      <c r="PP280" s="6"/>
      <c r="PQ280" s="6"/>
      <c r="PR280" s="6"/>
      <c r="PS280" s="6"/>
      <c r="PT280" s="6"/>
      <c r="PU280" s="6"/>
      <c r="PV280" s="6"/>
      <c r="PW280" s="6"/>
      <c r="PX280" s="6"/>
      <c r="PY280" s="6"/>
      <c r="PZ280" s="6"/>
      <c r="QA280" s="6"/>
      <c r="QB280" s="6"/>
      <c r="QC280" s="6"/>
      <c r="QD280" s="6"/>
      <c r="QE280" s="6"/>
      <c r="QF280" s="6"/>
      <c r="QG280" s="6"/>
      <c r="QH280" s="6"/>
      <c r="QI280" s="6"/>
      <c r="QJ280" s="6"/>
      <c r="QK280" s="6"/>
      <c r="QL280" s="6"/>
      <c r="QM280" s="6"/>
      <c r="QN280" s="6"/>
      <c r="QO280" s="6"/>
      <c r="QP280" s="6"/>
      <c r="QQ280" s="6"/>
      <c r="QR280" s="6"/>
      <c r="QS280" s="6"/>
      <c r="QT280" s="6"/>
      <c r="QU280" s="6"/>
      <c r="QV280" s="6"/>
      <c r="QW280" s="6"/>
      <c r="QX280" s="6"/>
      <c r="QY280" s="6"/>
      <c r="QZ280" s="6"/>
      <c r="RA280" s="6"/>
      <c r="RB280" s="6"/>
      <c r="RC280" s="6"/>
      <c r="RD280" s="6"/>
      <c r="RE280" s="6"/>
      <c r="RF280" s="6"/>
      <c r="RG280" s="6"/>
      <c r="RH280" s="6"/>
      <c r="RI280" s="6"/>
      <c r="RJ280" s="6"/>
      <c r="RK280" s="6"/>
      <c r="RL280" s="6"/>
      <c r="RM280" s="6"/>
      <c r="RN280" s="6"/>
      <c r="RO280" s="6"/>
      <c r="RP280" s="6"/>
      <c r="RQ280" s="6"/>
      <c r="RR280" s="6"/>
      <c r="RS280" s="6"/>
      <c r="RT280" s="6"/>
      <c r="RU280" s="6"/>
      <c r="RV280" s="6"/>
      <c r="RW280" s="6"/>
      <c r="RX280" s="6"/>
      <c r="RY280" s="6"/>
      <c r="RZ280" s="6"/>
      <c r="SA280" s="6"/>
      <c r="SB280" s="6"/>
      <c r="SC280" s="6"/>
      <c r="SD280" s="6"/>
      <c r="SE280" s="6"/>
      <c r="SF280" s="6"/>
      <c r="SG280" s="6"/>
      <c r="SH280" s="6"/>
      <c r="SI280" s="6"/>
      <c r="SJ280" s="6"/>
      <c r="SK280" s="6"/>
      <c r="SL280" s="6"/>
      <c r="SM280" s="6"/>
      <c r="SN280" s="6"/>
      <c r="SO280" s="6"/>
      <c r="SP280" s="6"/>
      <c r="SQ280" s="6"/>
      <c r="SR280" s="6"/>
      <c r="SS280" s="6"/>
      <c r="ST280" s="6"/>
      <c r="SU280" s="6"/>
      <c r="SV280" s="6"/>
      <c r="SW280" s="6"/>
      <c r="SX280" s="6"/>
      <c r="SY280" s="6"/>
      <c r="SZ280" s="6"/>
      <c r="TA280" s="6"/>
      <c r="TB280" s="6"/>
      <c r="TC280" s="6"/>
      <c r="TD280" s="6"/>
      <c r="TE280" s="6"/>
      <c r="TF280" s="6"/>
      <c r="TG280" s="6"/>
      <c r="TH280" s="6"/>
      <c r="TI280" s="6"/>
      <c r="TJ280" s="6"/>
      <c r="TK280" s="6"/>
      <c r="TL280" s="6"/>
      <c r="TM280" s="6"/>
      <c r="TN280" s="6"/>
      <c r="TO280" s="6"/>
      <c r="TP280" s="6"/>
      <c r="TQ280" s="6"/>
      <c r="TR280" s="6"/>
      <c r="TS280" s="6"/>
      <c r="TT280" s="6"/>
      <c r="TU280" s="6"/>
      <c r="TV280" s="6"/>
      <c r="TW280" s="6"/>
      <c r="TX280" s="6"/>
      <c r="TY280" s="6"/>
      <c r="TZ280" s="6"/>
      <c r="UA280" s="6"/>
      <c r="UB280" s="6"/>
      <c r="UC280" s="6"/>
      <c r="UD280" s="6"/>
      <c r="UE280" s="6"/>
      <c r="UF280" s="6"/>
      <c r="UG280" s="6"/>
      <c r="UH280" s="6"/>
      <c r="UI280" s="6"/>
      <c r="UJ280" s="6"/>
      <c r="UK280" s="6"/>
      <c r="UL280" s="6"/>
      <c r="UM280" s="6"/>
      <c r="UN280" s="6"/>
      <c r="UO280" s="6"/>
      <c r="UP280" s="6"/>
      <c r="UQ280" s="6"/>
      <c r="UR280" s="6"/>
      <c r="US280" s="6"/>
      <c r="UT280" s="6"/>
      <c r="UU280" s="6"/>
      <c r="UV280" s="6"/>
      <c r="UW280" s="6"/>
      <c r="UX280" s="6"/>
      <c r="UY280" s="6"/>
      <c r="UZ280" s="6"/>
      <c r="VA280" s="6"/>
      <c r="VB280" s="6"/>
      <c r="VC280" s="6"/>
      <c r="VD280" s="6"/>
      <c r="VE280" s="6"/>
      <c r="VF280" s="6"/>
      <c r="VG280" s="6"/>
      <c r="VH280" s="6"/>
      <c r="VI280" s="6"/>
      <c r="VJ280" s="6"/>
      <c r="VK280" s="6"/>
      <c r="VL280" s="6"/>
      <c r="VM280" s="6"/>
      <c r="VN280" s="6"/>
      <c r="VO280" s="6"/>
      <c r="VP280" s="6"/>
      <c r="VQ280" s="6"/>
      <c r="VR280" s="6"/>
      <c r="VS280" s="6"/>
      <c r="VT280" s="6"/>
      <c r="VU280" s="6"/>
      <c r="VV280" s="6"/>
      <c r="VW280" s="6"/>
      <c r="VX280" s="6"/>
      <c r="VY280" s="6"/>
      <c r="VZ280" s="6"/>
      <c r="WA280" s="6"/>
      <c r="WB280" s="6"/>
      <c r="WC280" s="6"/>
      <c r="WD280" s="6"/>
      <c r="WE280" s="6"/>
      <c r="WF280" s="6"/>
      <c r="WG280" s="6"/>
      <c r="WH280" s="6"/>
      <c r="WI280" s="6"/>
      <c r="WJ280" s="6"/>
      <c r="WK280" s="6"/>
      <c r="WL280" s="6"/>
      <c r="WM280" s="6"/>
      <c r="WN280" s="6"/>
      <c r="WO280" s="6"/>
      <c r="WP280" s="6"/>
      <c r="WQ280" s="6"/>
      <c r="WR280" s="6"/>
      <c r="WS280" s="6"/>
      <c r="WT280" s="6"/>
      <c r="WU280" s="6"/>
      <c r="WV280" s="6"/>
      <c r="WW280" s="6"/>
      <c r="WX280" s="6"/>
      <c r="WY280" s="6"/>
      <c r="WZ280" s="6"/>
      <c r="XA280" s="6"/>
      <c r="XB280" s="6"/>
      <c r="XC280" s="6"/>
      <c r="XD280" s="6"/>
      <c r="XE280" s="6"/>
      <c r="XF280" s="6"/>
      <c r="XG280" s="6"/>
      <c r="XH280" s="6"/>
      <c r="XI280" s="6"/>
      <c r="XJ280" s="6"/>
      <c r="XK280" s="6"/>
      <c r="XL280" s="6"/>
      <c r="XM280" s="6"/>
      <c r="XN280" s="6"/>
      <c r="XO280" s="6"/>
      <c r="XP280" s="6"/>
      <c r="XQ280" s="6"/>
      <c r="XR280" s="6"/>
      <c r="XS280" s="6"/>
      <c r="XT280" s="6"/>
      <c r="XU280" s="6"/>
      <c r="XV280" s="6"/>
      <c r="XW280" s="6"/>
      <c r="XX280" s="6"/>
      <c r="XY280" s="6"/>
      <c r="XZ280" s="6"/>
      <c r="YA280" s="6"/>
      <c r="YB280" s="6"/>
      <c r="YC280" s="6"/>
      <c r="YD280" s="6"/>
      <c r="YE280" s="6"/>
      <c r="YF280" s="6"/>
      <c r="YG280" s="6"/>
      <c r="YH280" s="6"/>
      <c r="YI280" s="6"/>
      <c r="YJ280" s="6"/>
      <c r="YK280" s="6"/>
      <c r="YL280" s="6"/>
      <c r="YM280" s="6"/>
      <c r="YN280" s="6"/>
      <c r="YO280" s="6"/>
      <c r="YP280" s="6"/>
      <c r="YQ280" s="6"/>
      <c r="YR280" s="6"/>
      <c r="YS280" s="6"/>
      <c r="YT280" s="6"/>
      <c r="YU280" s="6"/>
      <c r="YV280" s="6"/>
      <c r="YW280" s="6"/>
      <c r="YX280" s="6"/>
      <c r="YY280" s="6"/>
      <c r="YZ280" s="6"/>
      <c r="ZA280" s="6"/>
      <c r="ZB280" s="6"/>
      <c r="ZC280" s="6"/>
      <c r="ZD280" s="6"/>
      <c r="ZE280" s="6"/>
      <c r="ZF280" s="6"/>
      <c r="ZG280" s="6"/>
      <c r="ZH280" s="6"/>
      <c r="ZI280" s="6"/>
      <c r="ZJ280" s="6"/>
      <c r="ZK280" s="6"/>
      <c r="ZL280" s="6"/>
      <c r="ZM280" s="6"/>
      <c r="ZN280" s="6"/>
      <c r="ZO280" s="6"/>
      <c r="ZP280" s="6"/>
      <c r="ZQ280" s="6"/>
      <c r="ZR280" s="6"/>
      <c r="ZS280" s="6"/>
      <c r="ZT280" s="6"/>
      <c r="ZU280" s="6"/>
      <c r="ZV280" s="6"/>
      <c r="ZW280" s="6"/>
      <c r="ZX280" s="6"/>
      <c r="ZY280" s="6"/>
      <c r="ZZ280" s="6"/>
      <c r="AAA280" s="6"/>
      <c r="AAB280" s="6"/>
      <c r="AAC280" s="6"/>
      <c r="AAD280" s="6"/>
      <c r="AAE280" s="6"/>
      <c r="AAF280" s="6"/>
      <c r="AAG280" s="6"/>
      <c r="AAH280" s="6"/>
      <c r="AAI280" s="6"/>
      <c r="AAJ280" s="6"/>
      <c r="AAK280" s="6"/>
      <c r="AAL280" s="6"/>
      <c r="AAM280" s="6"/>
      <c r="AAN280" s="6"/>
      <c r="AAO280" s="6"/>
      <c r="AAP280" s="6"/>
      <c r="AAQ280" s="6"/>
      <c r="AAR280" s="6"/>
      <c r="AAS280" s="6"/>
      <c r="AAT280" s="6"/>
      <c r="AAU280" s="6"/>
      <c r="AAV280" s="6"/>
      <c r="AAW280" s="6"/>
      <c r="AAX280" s="6"/>
      <c r="AAY280" s="6"/>
      <c r="AAZ280" s="6"/>
      <c r="ABA280" s="6"/>
      <c r="ABB280" s="6"/>
      <c r="ABC280" s="6"/>
      <c r="ABD280" s="6"/>
      <c r="ABE280" s="6"/>
      <c r="ABF280" s="6"/>
      <c r="ABG280" s="6"/>
      <c r="ABH280" s="6"/>
      <c r="ABI280" s="6"/>
      <c r="ABJ280" s="6"/>
      <c r="ABK280" s="6"/>
      <c r="ABL280" s="6"/>
      <c r="ABM280" s="6"/>
      <c r="ABN280" s="6"/>
      <c r="ABO280" s="6"/>
      <c r="ABP280" s="6"/>
      <c r="ABQ280" s="6"/>
      <c r="ABR280" s="6"/>
      <c r="ABS280" s="6"/>
      <c r="ABT280" s="6"/>
      <c r="ABU280" s="6"/>
      <c r="ABV280" s="6"/>
      <c r="ABW280" s="6"/>
      <c r="ABX280" s="6"/>
      <c r="ABY280" s="6"/>
      <c r="ABZ280" s="6"/>
      <c r="ACA280" s="6"/>
      <c r="ACB280" s="6"/>
      <c r="ACC280" s="6"/>
      <c r="ACD280" s="6"/>
      <c r="ACE280" s="6"/>
      <c r="ACF280" s="6"/>
      <c r="ACG280" s="6"/>
      <c r="ACH280" s="6"/>
      <c r="ACI280" s="6"/>
      <c r="ACJ280" s="6"/>
      <c r="ACK280" s="6"/>
      <c r="ACL280" s="6"/>
      <c r="ACM280" s="6"/>
      <c r="ACN280" s="6"/>
      <c r="ACO280" s="6"/>
      <c r="ACP280" s="6"/>
      <c r="ACQ280" s="6"/>
      <c r="ACR280" s="6"/>
      <c r="ACS280" s="6"/>
      <c r="ACT280" s="6"/>
      <c r="ACU280" s="6"/>
      <c r="ACV280" s="6"/>
      <c r="ACW280" s="6"/>
      <c r="ACX280" s="6"/>
      <c r="ACY280" s="6"/>
      <c r="ACZ280" s="6"/>
      <c r="ADA280" s="6"/>
      <c r="ADB280" s="6"/>
      <c r="ADC280" s="6"/>
      <c r="ADD280" s="6"/>
      <c r="ADE280" s="6"/>
      <c r="ADF280" s="6"/>
      <c r="ADG280" s="6"/>
      <c r="ADH280" s="6"/>
      <c r="ADI280" s="6"/>
      <c r="ADJ280" s="6"/>
      <c r="ADK280" s="6"/>
      <c r="ADL280" s="6"/>
      <c r="ADM280" s="6"/>
      <c r="ADN280" s="6"/>
      <c r="ADO280" s="6"/>
      <c r="ADP280" s="6"/>
      <c r="ADQ280" s="6"/>
      <c r="ADR280" s="6"/>
      <c r="ADS280" s="6"/>
      <c r="ADT280" s="6"/>
      <c r="ADU280" s="6"/>
      <c r="ADV280" s="6"/>
      <c r="ADW280" s="6"/>
      <c r="ADX280" s="6"/>
      <c r="ADY280" s="6"/>
      <c r="ADZ280" s="6"/>
      <c r="AEA280" s="6"/>
      <c r="AEB280" s="6"/>
      <c r="AEC280" s="6"/>
      <c r="AED280" s="6"/>
      <c r="AEE280" s="6"/>
      <c r="AEF280" s="6"/>
      <c r="AEG280" s="6"/>
      <c r="AEH280" s="6"/>
      <c r="AEI280" s="6"/>
      <c r="AEJ280" s="6"/>
      <c r="AEK280" s="6"/>
      <c r="AEL280" s="6"/>
      <c r="AEM280" s="6"/>
      <c r="AEN280" s="6"/>
      <c r="AEO280" s="6"/>
      <c r="AEP280" s="6"/>
      <c r="AEQ280" s="6"/>
      <c r="AER280" s="6"/>
      <c r="AES280" s="6"/>
      <c r="AET280" s="6"/>
      <c r="AEU280" s="6"/>
      <c r="AEV280" s="6"/>
      <c r="AEW280" s="6"/>
      <c r="AEX280" s="6"/>
      <c r="AEY280" s="6"/>
      <c r="AEZ280" s="6"/>
      <c r="AFA280" s="6"/>
      <c r="AFB280" s="6"/>
      <c r="AFC280" s="6"/>
      <c r="AFD280" s="6"/>
      <c r="AFE280" s="6"/>
      <c r="AFF280" s="6"/>
      <c r="AFG280" s="6"/>
      <c r="AFH280" s="6"/>
      <c r="AFI280" s="6"/>
      <c r="AFJ280" s="6"/>
      <c r="AFK280" s="6"/>
      <c r="AFL280" s="6"/>
      <c r="AFM280" s="6"/>
      <c r="AFN280" s="6"/>
      <c r="AFO280" s="6"/>
      <c r="AFP280" s="6"/>
      <c r="AFQ280" s="6"/>
      <c r="AFR280" s="6"/>
      <c r="AFS280" s="6"/>
      <c r="AFT280" s="6"/>
      <c r="AFU280" s="6"/>
      <c r="AFV280" s="6"/>
      <c r="AFW280" s="6"/>
      <c r="AFX280" s="6"/>
      <c r="AFY280" s="6"/>
      <c r="AFZ280" s="6"/>
      <c r="AGA280" s="6"/>
      <c r="AGB280" s="6"/>
      <c r="AGC280" s="6"/>
      <c r="AGD280" s="6"/>
      <c r="AGE280" s="6"/>
      <c r="AGF280" s="6"/>
      <c r="AGG280" s="6"/>
      <c r="AGH280" s="6"/>
      <c r="AGI280" s="6"/>
      <c r="AGJ280" s="6"/>
      <c r="AGK280" s="6"/>
      <c r="AGL280" s="6"/>
      <c r="AGM280" s="6"/>
      <c r="AGN280" s="6"/>
      <c r="AGO280" s="6"/>
      <c r="AGP280" s="6"/>
      <c r="AGQ280" s="6"/>
      <c r="AGR280" s="6"/>
      <c r="AGS280" s="6"/>
      <c r="AGT280" s="6"/>
      <c r="AGU280" s="6"/>
      <c r="AGV280" s="6"/>
      <c r="AGW280" s="6"/>
      <c r="AGX280" s="6"/>
      <c r="AGY280" s="6"/>
      <c r="AGZ280" s="6"/>
      <c r="AHA280" s="6"/>
      <c r="AHB280" s="6"/>
      <c r="AHC280" s="6"/>
      <c r="AHD280" s="6"/>
      <c r="AHE280" s="6"/>
      <c r="AHF280" s="6"/>
      <c r="AHG280" s="6"/>
      <c r="AHH280" s="6"/>
      <c r="AHI280" s="6"/>
      <c r="AHJ280" s="6"/>
      <c r="AHK280" s="6"/>
      <c r="AHL280" s="6"/>
      <c r="AHM280" s="6"/>
      <c r="AHN280" s="6"/>
      <c r="AHO280" s="6"/>
      <c r="AHP280" s="6"/>
      <c r="AHQ280" s="6"/>
      <c r="AHR280" s="6"/>
      <c r="AHS280" s="6"/>
      <c r="AHT280" s="6"/>
      <c r="AHU280" s="6"/>
      <c r="AHV280" s="6"/>
      <c r="AHW280" s="6"/>
      <c r="AHX280" s="6"/>
      <c r="AHY280" s="6"/>
      <c r="AHZ280" s="6"/>
      <c r="AIA280" s="6"/>
      <c r="AIB280" s="6"/>
      <c r="AIC280" s="6"/>
      <c r="AID280" s="6"/>
      <c r="AIE280" s="6"/>
      <c r="AIF280" s="6"/>
      <c r="AIG280" s="6"/>
      <c r="AIH280" s="6"/>
      <c r="AII280" s="6"/>
      <c r="AIJ280" s="6"/>
      <c r="AIK280" s="6"/>
      <c r="AIL280" s="6"/>
      <c r="AIM280" s="6"/>
      <c r="AIN280" s="6"/>
      <c r="AIO280" s="6"/>
      <c r="AIP280" s="6"/>
      <c r="AIQ280" s="6"/>
      <c r="AIR280" s="6"/>
      <c r="AIS280" s="6"/>
      <c r="AIT280" s="6"/>
      <c r="AIU280" s="6"/>
      <c r="AIV280" s="6"/>
      <c r="AIW280" s="6"/>
      <c r="AIX280" s="6"/>
      <c r="AIY280" s="6"/>
      <c r="AIZ280" s="6"/>
      <c r="AJA280" s="6"/>
      <c r="AJB280" s="6"/>
      <c r="AJC280" s="6"/>
      <c r="AJD280" s="6"/>
      <c r="AJE280" s="6"/>
      <c r="AJF280" s="6"/>
      <c r="AJG280" s="6"/>
      <c r="AJH280" s="6"/>
      <c r="AJI280" s="6"/>
      <c r="AJJ280" s="6"/>
      <c r="AJK280" s="6"/>
      <c r="AJL280" s="6"/>
      <c r="AJM280" s="6"/>
      <c r="AJN280" s="6"/>
      <c r="AJO280" s="6"/>
      <c r="AJP280" s="6"/>
      <c r="AJQ280" s="6"/>
      <c r="AJR280" s="6"/>
      <c r="AJS280" s="6"/>
      <c r="AJT280" s="6"/>
      <c r="AJU280" s="6"/>
      <c r="AJV280" s="6"/>
      <c r="AJW280" s="6"/>
      <c r="AJX280" s="6"/>
      <c r="AJY280" s="6"/>
      <c r="AJZ280" s="6"/>
      <c r="AKA280" s="6"/>
      <c r="AKB280" s="6"/>
      <c r="AKC280" s="6"/>
      <c r="AKD280" s="6"/>
      <c r="AKE280" s="6"/>
      <c r="AKF280" s="6"/>
      <c r="AKG280" s="6"/>
      <c r="AKH280" s="6"/>
      <c r="AKI280" s="6"/>
      <c r="AKJ280" s="6"/>
      <c r="AKK280" s="6"/>
      <c r="AKL280" s="6"/>
      <c r="AKM280" s="6"/>
      <c r="AKN280" s="6"/>
      <c r="AKO280" s="6"/>
      <c r="AKP280" s="6"/>
      <c r="AKQ280" s="6"/>
      <c r="AKR280" s="6"/>
      <c r="AKS280" s="6"/>
      <c r="AKT280" s="6"/>
      <c r="AKU280" s="6"/>
      <c r="AKV280" s="6"/>
      <c r="AKW280" s="6"/>
      <c r="AKX280" s="6"/>
      <c r="AKY280" s="6"/>
      <c r="AKZ280" s="6"/>
      <c r="ALA280" s="6"/>
      <c r="ALB280" s="6"/>
      <c r="ALC280" s="6"/>
      <c r="ALD280" s="6"/>
      <c r="ALE280" s="6"/>
      <c r="ALF280" s="6"/>
      <c r="ALG280" s="6"/>
      <c r="ALH280" s="6"/>
      <c r="ALI280" s="6"/>
      <c r="ALJ280" s="6"/>
      <c r="ALK280" s="6"/>
      <c r="ALL280" s="6"/>
      <c r="ALM280" s="6"/>
      <c r="ALN280" s="6"/>
      <c r="ALO280" s="6"/>
      <c r="ALP280" s="6"/>
      <c r="ALQ280" s="6"/>
      <c r="ALR280" s="6"/>
      <c r="ALS280" s="6"/>
      <c r="ALT280" s="6"/>
      <c r="ALU280" s="6"/>
      <c r="ALV280" s="6"/>
      <c r="ALW280" s="6"/>
      <c r="ALX280" s="6"/>
      <c r="ALY280" s="6"/>
      <c r="ALZ280" s="6"/>
      <c r="AMA280" s="6"/>
      <c r="AMB280" s="6"/>
      <c r="AMC280" s="6"/>
      <c r="AMD280" s="6"/>
      <c r="AME280" s="6"/>
      <c r="AMF280" s="6"/>
      <c r="AMG280" s="6"/>
      <c r="AMH280" s="6"/>
      <c r="AMI280" s="6"/>
      <c r="AMJ280" s="6"/>
      <c r="AMK280" s="6"/>
      <c r="AML280" s="6"/>
      <c r="AMM280" s="6"/>
      <c r="AMN280" s="6"/>
      <c r="AMO280" s="6"/>
      <c r="AMP280" s="6"/>
    </row>
    <row r="281" spans="1:1030" x14ac:dyDescent="0.2">
      <c r="A281" s="3" t="str">
        <f t="shared" si="1034"/>
        <v>calcr_human_5UZ7</v>
      </c>
      <c r="B281" s="2" t="s">
        <v>401</v>
      </c>
      <c r="C281" s="3" t="s">
        <v>1409</v>
      </c>
      <c r="D281" s="3" t="str">
        <f>IFERROR(MID(VLOOKUP($B281,Seqs!$A:$B,2,0),E281,1),"")</f>
        <v>A</v>
      </c>
      <c r="E281" s="3">
        <v>136</v>
      </c>
      <c r="F281" s="3" t="str">
        <f>IFERROR(MID(VLOOKUP($B281,Seqs!$A:$B,2,0),G281,1),"")</f>
        <v>F</v>
      </c>
      <c r="G281" s="3">
        <v>173</v>
      </c>
      <c r="H281" s="3" t="str">
        <f>IFERROR(MID(VLOOKUP($B281,Seqs!$A:$B,2,0),I281,1),"")</f>
        <v>R</v>
      </c>
      <c r="I281" s="23">
        <v>174</v>
      </c>
      <c r="J281" s="3" t="str">
        <f>IFERROR(MID(VLOOKUP($B281,Seqs!$A:$B,2,0),K281,1),"")</f>
        <v>G</v>
      </c>
      <c r="K281" s="23">
        <v>177</v>
      </c>
      <c r="L281" s="3" t="str">
        <f>IFERROR(MID(VLOOKUP($B281,Seqs!$A:$B,2,0),M281,1),"")</f>
        <v>C</v>
      </c>
      <c r="M281" s="3">
        <v>178</v>
      </c>
      <c r="N281" s="3" t="str">
        <f>IFERROR(MID(VLOOKUP($B281,Seqs!$A:$B,2,0),O281,1),"")</f>
        <v>V</v>
      </c>
      <c r="O281" s="3">
        <v>205</v>
      </c>
      <c r="P281" s="3" t="str">
        <f>IFERROR(MID(VLOOKUP($B281,Seqs!$A:$B,2,0),Q281,1),"")</f>
        <v/>
      </c>
      <c r="Q281" s="3" t="s">
        <v>23</v>
      </c>
      <c r="R281" s="3" t="str">
        <f>IFERROR(MID(VLOOKUP($B281,Seqs!$A:$B,2,0),S281,1),"")</f>
        <v/>
      </c>
      <c r="S281" s="3" t="s">
        <v>23</v>
      </c>
      <c r="T281" s="3" t="str">
        <f>IFERROR(MID(VLOOKUP($B281,Seqs!$A:$B,2,0),U281,1),"")</f>
        <v>D</v>
      </c>
      <c r="U281" s="3">
        <v>215</v>
      </c>
      <c r="V281" s="3" t="str">
        <f>IFERROR(MID(VLOOKUP($B281,Seqs!$A:$B,2,0),W281,1),"")</f>
        <v>V</v>
      </c>
      <c r="W281" s="3">
        <v>250</v>
      </c>
      <c r="X281" s="3" t="str">
        <f>IFERROR(MID(VLOOKUP($B281,Seqs!$A:$B,2,0),Y281,1),"")</f>
        <v/>
      </c>
      <c r="Y281" s="3" t="s">
        <v>23</v>
      </c>
      <c r="Z281" s="3" t="str">
        <f>IFERROR(MID(VLOOKUP($B281,Seqs!$A:$B,2,0),AA281,1),"")</f>
        <v/>
      </c>
      <c r="AA281" s="3" t="s">
        <v>23</v>
      </c>
      <c r="AB281" s="3" t="str">
        <f>IFERROR(MID(VLOOKUP($B281,Seqs!$A:$B,2,0),AC281,1),"")</f>
        <v>R</v>
      </c>
      <c r="AC281" s="3">
        <v>258</v>
      </c>
      <c r="AD281" s="3" t="str">
        <f>IFERROR(MID(VLOOKUP($B281,Seqs!$A:$B,2,0),AE281,1),"")</f>
        <v>F</v>
      </c>
      <c r="AE281" s="3">
        <v>285</v>
      </c>
      <c r="AF281" s="3" t="str">
        <f>IFERROR(MID(VLOOKUP($B281,Seqs!$A:$B,2,0),AG281,1),"")</f>
        <v>C</v>
      </c>
      <c r="AG281" s="3">
        <v>289</v>
      </c>
      <c r="AH281" s="3" t="str">
        <f>IFERROR(MID(VLOOKUP($B281,Seqs!$A:$B,2,0),AI281,1),"")</f>
        <v>L</v>
      </c>
      <c r="AI281" s="3">
        <v>291</v>
      </c>
      <c r="AJ281" s="3" t="str">
        <f>IFERROR(MID(VLOOKUP($B281,Seqs!$A:$B,2,0),AK281,1),"")</f>
        <v>L</v>
      </c>
      <c r="AK281" s="3">
        <v>298</v>
      </c>
      <c r="AL281" s="3" t="str">
        <f>IFERROR(MID(VLOOKUP($B281,Seqs!$A:$B,2,0),AM281,1),"")</f>
        <v>R</v>
      </c>
      <c r="AM281" s="3">
        <v>328</v>
      </c>
      <c r="AN281" s="3" t="str">
        <f>IFERROR(MID(VLOOKUP($B281,Seqs!$A:$B,2,0),AO281,1),"")</f>
        <v>Y</v>
      </c>
      <c r="AO281" s="3">
        <v>338</v>
      </c>
      <c r="AP281" s="3" t="str">
        <f>IFERROR(MID(VLOOKUP($B281,Seqs!$A:$B,2,0),AQ281,1),"")</f>
        <v>P</v>
      </c>
      <c r="AQ281" s="3">
        <v>360</v>
      </c>
      <c r="AR281" s="3" t="str">
        <f>IFERROR(MID(VLOOKUP($B281,Seqs!$A:$B,2,0),AS281,1),"")</f>
        <v>K</v>
      </c>
      <c r="AS281" s="3">
        <v>366</v>
      </c>
      <c r="AT281" s="3" t="str">
        <f>IFERROR(MID(VLOOKUP($B281,Seqs!$A:$B,2,0),AU281,1),"")</f>
        <v>C</v>
      </c>
      <c r="AU281" s="3">
        <v>394</v>
      </c>
      <c r="AV281" s="3" t="str">
        <f>IFERROR(MID(VLOOKUP($B281,Seqs!$A:$B,2,0),AW281,1),"")</f>
        <v>N</v>
      </c>
      <c r="AW281" s="3">
        <v>395</v>
      </c>
      <c r="AX281" s="3" t="str">
        <f>IFERROR(MID(VLOOKUP($B281,Seqs!$A:$B,2,0),AY281,1),"")</f>
        <v>G</v>
      </c>
      <c r="AY281" s="3">
        <v>418</v>
      </c>
      <c r="AZ281" s="77" t="str">
        <f>VLOOKUP(B281,Classification!A:D,2,0)</f>
        <v>B1</v>
      </c>
      <c r="BA281" s="94" t="str">
        <f>VLOOKUP(B281,Classification!A:D,4,0)</f>
        <v>Calcitonin</v>
      </c>
      <c r="BB281" s="27" t="b">
        <f t="shared" si="1007"/>
        <v>1</v>
      </c>
      <c r="BC281" s="23">
        <f t="shared" si="1008"/>
        <v>246</v>
      </c>
      <c r="BD281" s="4" t="s">
        <v>1382</v>
      </c>
      <c r="BE281" s="3" t="s">
        <v>1297</v>
      </c>
      <c r="BF281" s="119">
        <v>4.0999999999999996</v>
      </c>
      <c r="BG281" s="49" t="s">
        <v>1384</v>
      </c>
      <c r="BH281" s="49" t="s">
        <v>1384</v>
      </c>
      <c r="BI281" s="1"/>
      <c r="BJ281" s="70" t="s">
        <v>1293</v>
      </c>
      <c r="BK281" s="57" t="s">
        <v>1293</v>
      </c>
      <c r="BL281" s="57" t="s">
        <v>1293</v>
      </c>
      <c r="BM281" s="57" t="s">
        <v>1293</v>
      </c>
      <c r="BN281" s="57" t="s">
        <v>1293</v>
      </c>
      <c r="BO281" s="57" t="s">
        <v>1293</v>
      </c>
      <c r="BP281" s="57" t="s">
        <v>1293</v>
      </c>
      <c r="BQ281" s="57" t="s">
        <v>1293</v>
      </c>
      <c r="BR281" s="57" t="s">
        <v>1293</v>
      </c>
      <c r="BS281" s="57" t="s">
        <v>1293</v>
      </c>
      <c r="BT281" s="57" t="s">
        <v>1293</v>
      </c>
      <c r="BU281" s="57" t="s">
        <v>1293</v>
      </c>
      <c r="BV281" s="70">
        <f t="shared" si="1009"/>
        <v>136</v>
      </c>
      <c r="BW281" s="71">
        <f t="shared" si="1010"/>
        <v>174</v>
      </c>
      <c r="BX281" s="72">
        <f t="shared" si="1011"/>
        <v>178</v>
      </c>
      <c r="BY281" s="71" t="str">
        <f t="shared" si="1012"/>
        <v>-</v>
      </c>
      <c r="BZ281" s="72">
        <f t="shared" si="1013"/>
        <v>215</v>
      </c>
      <c r="CA281" s="71" t="str">
        <f t="shared" si="1014"/>
        <v>-</v>
      </c>
      <c r="CB281" s="72">
        <f t="shared" si="1015"/>
        <v>258</v>
      </c>
      <c r="CC281" s="71">
        <f t="shared" si="1016"/>
        <v>289</v>
      </c>
      <c r="CD281" s="72">
        <f t="shared" si="1017"/>
        <v>298</v>
      </c>
      <c r="CE281" s="71">
        <f t="shared" si="1018"/>
        <v>338</v>
      </c>
      <c r="CF281" s="72">
        <f t="shared" si="1019"/>
        <v>366</v>
      </c>
      <c r="CG281" s="71">
        <f t="shared" si="1020"/>
        <v>395</v>
      </c>
      <c r="CH281" s="70">
        <f t="shared" si="1021"/>
        <v>173</v>
      </c>
      <c r="CI281" s="71">
        <f t="shared" si="1022"/>
        <v>177</v>
      </c>
      <c r="CJ281" s="72">
        <f t="shared" si="1023"/>
        <v>205</v>
      </c>
      <c r="CK281" s="72" t="str">
        <f t="shared" si="1024"/>
        <v>-</v>
      </c>
      <c r="CL281" s="72">
        <f t="shared" si="1025"/>
        <v>250</v>
      </c>
      <c r="CM281" s="72" t="str">
        <f t="shared" si="1026"/>
        <v>-</v>
      </c>
      <c r="CN281" s="72">
        <f t="shared" si="1027"/>
        <v>285</v>
      </c>
      <c r="CO281" s="72">
        <f t="shared" si="1028"/>
        <v>291</v>
      </c>
      <c r="CP281" s="72">
        <f t="shared" si="1029"/>
        <v>328</v>
      </c>
      <c r="CQ281" s="72">
        <f t="shared" si="1030"/>
        <v>360</v>
      </c>
      <c r="CR281" s="72">
        <f t="shared" si="1031"/>
        <v>394</v>
      </c>
      <c r="CS281" s="72">
        <f t="shared" si="1032"/>
        <v>418</v>
      </c>
      <c r="CT281" s="23">
        <f t="shared" si="1033"/>
        <v>1</v>
      </c>
      <c r="CU281" s="6"/>
      <c r="CV281" s="6"/>
      <c r="CW281" s="6"/>
      <c r="CX281" s="6"/>
      <c r="CY281" s="6"/>
      <c r="CZ281" s="6"/>
      <c r="DA281" s="6"/>
      <c r="DB281" s="6"/>
      <c r="DC281" s="6"/>
      <c r="DD281" s="6"/>
      <c r="DE281" s="6"/>
      <c r="DF281" s="6"/>
      <c r="DG281" s="6"/>
      <c r="DH281" s="6"/>
      <c r="DI281" s="6"/>
      <c r="DJ281" s="6"/>
      <c r="DK281" s="6"/>
      <c r="DL281" s="6"/>
      <c r="DM281" s="6"/>
      <c r="DN281" s="6"/>
      <c r="DO281" s="6"/>
      <c r="DP281" s="6"/>
      <c r="DQ281" s="6"/>
      <c r="DR281" s="6"/>
      <c r="DS281" s="6"/>
      <c r="DT281" s="6"/>
      <c r="DU281" s="6"/>
      <c r="DV281" s="6"/>
      <c r="DW281" s="6"/>
      <c r="DX281" s="6"/>
      <c r="DY281" s="6"/>
      <c r="DZ281" s="6"/>
      <c r="EA281" s="6"/>
      <c r="EB281" s="6"/>
      <c r="EC281" s="6"/>
      <c r="ED281" s="6"/>
      <c r="EE281" s="6"/>
      <c r="EF281" s="6"/>
      <c r="EG281" s="6"/>
      <c r="EH281" s="6"/>
      <c r="EI281" s="6"/>
      <c r="EJ281" s="6"/>
      <c r="EK281" s="6"/>
      <c r="EL281" s="6"/>
      <c r="EM281" s="6"/>
      <c r="EN281" s="6"/>
      <c r="EO281" s="6"/>
      <c r="EP281" s="6"/>
      <c r="EQ281" s="6"/>
      <c r="ER281" s="6"/>
      <c r="ES281" s="6"/>
      <c r="ET281" s="6"/>
      <c r="EU281" s="6"/>
      <c r="EV281" s="6"/>
      <c r="EW281" s="6"/>
      <c r="EX281" s="6"/>
      <c r="EY281" s="6"/>
      <c r="EZ281" s="6"/>
      <c r="FA281" s="6"/>
      <c r="FB281" s="6"/>
      <c r="FC281" s="6"/>
      <c r="FD281" s="6"/>
      <c r="FE281" s="6"/>
      <c r="FF281" s="6"/>
      <c r="FG281" s="6"/>
      <c r="FH281" s="6"/>
      <c r="FI281" s="6"/>
      <c r="FJ281" s="6"/>
      <c r="FK281" s="6"/>
      <c r="FL281" s="6"/>
      <c r="FM281" s="6"/>
      <c r="FN281" s="6"/>
      <c r="FO281" s="6"/>
      <c r="FP281" s="6"/>
      <c r="FQ281" s="6"/>
      <c r="FR281" s="6"/>
      <c r="FS281" s="6"/>
      <c r="FT281" s="6"/>
      <c r="FU281" s="6"/>
      <c r="FV281" s="6"/>
      <c r="FW281" s="6"/>
      <c r="FX281" s="6"/>
      <c r="FY281" s="6"/>
      <c r="FZ281" s="6"/>
      <c r="GA281" s="6"/>
      <c r="GB281" s="6"/>
      <c r="GC281" s="6"/>
      <c r="GD281" s="6"/>
      <c r="GE281" s="6"/>
      <c r="GF281" s="6"/>
      <c r="GG281" s="6"/>
      <c r="GH281" s="6"/>
      <c r="GI281" s="6"/>
      <c r="GJ281" s="6"/>
      <c r="GK281" s="6"/>
      <c r="GL281" s="6"/>
      <c r="GM281" s="6"/>
      <c r="GN281" s="6"/>
      <c r="GO281" s="6"/>
      <c r="GP281" s="6"/>
      <c r="GQ281" s="6"/>
      <c r="GR281" s="6"/>
      <c r="GS281" s="6"/>
      <c r="GT281" s="6"/>
      <c r="GU281" s="6"/>
      <c r="GV281" s="6"/>
      <c r="GW281" s="6"/>
      <c r="GX281" s="6"/>
      <c r="GY281" s="6"/>
      <c r="GZ281" s="6"/>
      <c r="HA281" s="6"/>
      <c r="HB281" s="6"/>
      <c r="HC281" s="6"/>
      <c r="HD281" s="6"/>
      <c r="HE281" s="6"/>
      <c r="HF281" s="6"/>
      <c r="HG281" s="6"/>
      <c r="HH281" s="6"/>
      <c r="HI281" s="6"/>
      <c r="HJ281" s="6"/>
      <c r="HK281" s="6"/>
      <c r="HL281" s="6"/>
      <c r="HM281" s="6"/>
      <c r="HN281" s="6"/>
      <c r="HO281" s="6"/>
      <c r="HP281" s="6"/>
      <c r="HQ281" s="6"/>
      <c r="HR281" s="6"/>
      <c r="HS281" s="6"/>
      <c r="HT281" s="6"/>
      <c r="HU281" s="6"/>
      <c r="HV281" s="6"/>
      <c r="HW281" s="6"/>
      <c r="HX281" s="6"/>
      <c r="HY281" s="6"/>
      <c r="HZ281" s="6"/>
      <c r="IA281" s="6"/>
      <c r="IB281" s="6"/>
      <c r="IC281" s="6"/>
      <c r="ID281" s="6"/>
      <c r="IE281" s="6"/>
      <c r="IF281" s="6"/>
      <c r="IG281" s="6"/>
      <c r="IH281" s="6"/>
      <c r="II281" s="6"/>
      <c r="IJ281" s="6"/>
      <c r="IK281" s="6"/>
      <c r="IL281" s="6"/>
      <c r="IM281" s="6"/>
      <c r="IN281" s="6"/>
      <c r="IO281" s="6"/>
      <c r="IP281" s="6"/>
      <c r="IQ281" s="6"/>
      <c r="IR281" s="6"/>
      <c r="IS281" s="6"/>
      <c r="IT281" s="6"/>
      <c r="IU281" s="6"/>
      <c r="IV281" s="6"/>
      <c r="IW281" s="6"/>
      <c r="IX281" s="6"/>
      <c r="IY281" s="6"/>
      <c r="IZ281" s="6"/>
      <c r="JA281" s="6"/>
      <c r="JB281" s="6"/>
      <c r="JC281" s="6"/>
      <c r="JD281" s="6"/>
      <c r="JE281" s="6"/>
      <c r="JF281" s="6"/>
      <c r="JG281" s="6"/>
      <c r="JH281" s="6"/>
      <c r="JI281" s="6"/>
      <c r="JJ281" s="6"/>
      <c r="JK281" s="6"/>
      <c r="JL281" s="6"/>
      <c r="JM281" s="6"/>
      <c r="JN281" s="6"/>
      <c r="JO281" s="6"/>
      <c r="JP281" s="6"/>
      <c r="JQ281" s="6"/>
      <c r="JR281" s="6"/>
      <c r="JS281" s="6"/>
      <c r="JT281" s="6"/>
      <c r="JU281" s="6"/>
      <c r="JV281" s="6"/>
      <c r="JW281" s="6"/>
      <c r="JX281" s="6"/>
      <c r="JY281" s="6"/>
      <c r="JZ281" s="6"/>
      <c r="KA281" s="6"/>
      <c r="KB281" s="6"/>
      <c r="KC281" s="6"/>
      <c r="KD281" s="6"/>
      <c r="KE281" s="6"/>
      <c r="KF281" s="6"/>
      <c r="KG281" s="6"/>
      <c r="KH281" s="6"/>
      <c r="KI281" s="6"/>
      <c r="KJ281" s="6"/>
      <c r="KK281" s="6"/>
      <c r="KL281" s="6"/>
      <c r="KM281" s="6"/>
      <c r="KN281" s="6"/>
      <c r="KO281" s="6"/>
      <c r="KP281" s="6"/>
      <c r="KQ281" s="6"/>
      <c r="KR281" s="6"/>
      <c r="KS281" s="6"/>
      <c r="KT281" s="6"/>
      <c r="KU281" s="6"/>
      <c r="KV281" s="6"/>
      <c r="KW281" s="6"/>
      <c r="KX281" s="6"/>
      <c r="KY281" s="6"/>
      <c r="KZ281" s="6"/>
      <c r="LA281" s="6"/>
      <c r="LB281" s="6"/>
      <c r="LC281" s="6"/>
      <c r="LD281" s="6"/>
      <c r="LE281" s="6"/>
      <c r="LF281" s="6"/>
      <c r="LG281" s="6"/>
      <c r="LH281" s="6"/>
      <c r="LI281" s="6"/>
      <c r="LJ281" s="6"/>
      <c r="LK281" s="6"/>
      <c r="LL281" s="6"/>
      <c r="LM281" s="6"/>
      <c r="LN281" s="6"/>
      <c r="LO281" s="6"/>
      <c r="LP281" s="6"/>
      <c r="LQ281" s="6"/>
      <c r="LR281" s="6"/>
      <c r="LS281" s="6"/>
      <c r="LT281" s="6"/>
      <c r="LU281" s="6"/>
      <c r="LV281" s="6"/>
      <c r="LW281" s="6"/>
      <c r="LX281" s="6"/>
      <c r="LY281" s="6"/>
      <c r="LZ281" s="6"/>
      <c r="MA281" s="6"/>
      <c r="MB281" s="6"/>
      <c r="MC281" s="6"/>
      <c r="MD281" s="6"/>
      <c r="ME281" s="6"/>
      <c r="MF281" s="6"/>
      <c r="MG281" s="6"/>
      <c r="MH281" s="6"/>
      <c r="MI281" s="6"/>
      <c r="MJ281" s="6"/>
      <c r="MK281" s="6"/>
      <c r="ML281" s="6"/>
      <c r="MM281" s="6"/>
      <c r="MN281" s="6"/>
      <c r="MO281" s="6"/>
      <c r="MP281" s="6"/>
      <c r="MQ281" s="6"/>
      <c r="MR281" s="6"/>
      <c r="MS281" s="6"/>
      <c r="MT281" s="6"/>
      <c r="MU281" s="6"/>
      <c r="MV281" s="6"/>
      <c r="MW281" s="6"/>
      <c r="MX281" s="6"/>
      <c r="MY281" s="6"/>
      <c r="MZ281" s="6"/>
      <c r="NA281" s="6"/>
      <c r="NB281" s="6"/>
      <c r="NC281" s="6"/>
      <c r="ND281" s="6"/>
      <c r="NE281" s="6"/>
      <c r="NF281" s="6"/>
      <c r="NG281" s="6"/>
      <c r="NH281" s="6"/>
      <c r="NI281" s="6"/>
      <c r="NJ281" s="6"/>
      <c r="NK281" s="6"/>
      <c r="NL281" s="6"/>
      <c r="NM281" s="6"/>
      <c r="NN281" s="6"/>
      <c r="NO281" s="6"/>
      <c r="NP281" s="6"/>
      <c r="NQ281" s="6"/>
      <c r="NR281" s="6"/>
      <c r="NS281" s="6"/>
      <c r="NT281" s="6"/>
      <c r="NU281" s="6"/>
      <c r="NV281" s="6"/>
      <c r="NW281" s="6"/>
      <c r="NX281" s="6"/>
      <c r="NY281" s="6"/>
      <c r="NZ281" s="6"/>
      <c r="OA281" s="6"/>
      <c r="OB281" s="6"/>
      <c r="OC281" s="6"/>
      <c r="OD281" s="6"/>
      <c r="OE281" s="6"/>
      <c r="OF281" s="6"/>
      <c r="OG281" s="6"/>
      <c r="OH281" s="6"/>
      <c r="OI281" s="6"/>
      <c r="OJ281" s="6"/>
      <c r="OK281" s="6"/>
      <c r="OL281" s="6"/>
      <c r="OM281" s="6"/>
      <c r="ON281" s="6"/>
      <c r="OO281" s="6"/>
      <c r="OP281" s="6"/>
      <c r="OQ281" s="6"/>
      <c r="OR281" s="6"/>
      <c r="OS281" s="6"/>
      <c r="OT281" s="6"/>
      <c r="OU281" s="6"/>
      <c r="OV281" s="6"/>
      <c r="OW281" s="6"/>
      <c r="OX281" s="6"/>
      <c r="OY281" s="6"/>
      <c r="OZ281" s="6"/>
      <c r="PA281" s="6"/>
      <c r="PB281" s="6"/>
      <c r="PC281" s="6"/>
      <c r="PD281" s="6"/>
      <c r="PE281" s="6"/>
      <c r="PF281" s="6"/>
      <c r="PG281" s="6"/>
      <c r="PH281" s="6"/>
      <c r="PI281" s="6"/>
      <c r="PJ281" s="6"/>
      <c r="PK281" s="6"/>
      <c r="PL281" s="6"/>
      <c r="PM281" s="6"/>
      <c r="PN281" s="6"/>
      <c r="PO281" s="6"/>
      <c r="PP281" s="6"/>
      <c r="PQ281" s="6"/>
      <c r="PR281" s="6"/>
      <c r="PS281" s="6"/>
      <c r="PT281" s="6"/>
      <c r="PU281" s="6"/>
      <c r="PV281" s="6"/>
      <c r="PW281" s="6"/>
      <c r="PX281" s="6"/>
      <c r="PY281" s="6"/>
      <c r="PZ281" s="6"/>
      <c r="QA281" s="6"/>
      <c r="QB281" s="6"/>
      <c r="QC281" s="6"/>
      <c r="QD281" s="6"/>
      <c r="QE281" s="6"/>
      <c r="QF281" s="6"/>
      <c r="QG281" s="6"/>
      <c r="QH281" s="6"/>
      <c r="QI281" s="6"/>
      <c r="QJ281" s="6"/>
      <c r="QK281" s="6"/>
      <c r="QL281" s="6"/>
      <c r="QM281" s="6"/>
      <c r="QN281" s="6"/>
      <c r="QO281" s="6"/>
      <c r="QP281" s="6"/>
      <c r="QQ281" s="6"/>
      <c r="QR281" s="6"/>
      <c r="QS281" s="6"/>
      <c r="QT281" s="6"/>
      <c r="QU281" s="6"/>
      <c r="QV281" s="6"/>
      <c r="QW281" s="6"/>
      <c r="QX281" s="6"/>
      <c r="QY281" s="6"/>
      <c r="QZ281" s="6"/>
      <c r="RA281" s="6"/>
      <c r="RB281" s="6"/>
      <c r="RC281" s="6"/>
      <c r="RD281" s="6"/>
      <c r="RE281" s="6"/>
      <c r="RF281" s="6"/>
      <c r="RG281" s="6"/>
      <c r="RH281" s="6"/>
      <c r="RI281" s="6"/>
      <c r="RJ281" s="6"/>
      <c r="RK281" s="6"/>
      <c r="RL281" s="6"/>
      <c r="RM281" s="6"/>
      <c r="RN281" s="6"/>
      <c r="RO281" s="6"/>
      <c r="RP281" s="6"/>
      <c r="RQ281" s="6"/>
      <c r="RR281" s="6"/>
      <c r="RS281" s="6"/>
      <c r="RT281" s="6"/>
      <c r="RU281" s="6"/>
      <c r="RV281" s="6"/>
      <c r="RW281" s="6"/>
      <c r="RX281" s="6"/>
      <c r="RY281" s="6"/>
      <c r="RZ281" s="6"/>
      <c r="SA281" s="6"/>
      <c r="SB281" s="6"/>
      <c r="SC281" s="6"/>
      <c r="SD281" s="6"/>
      <c r="SE281" s="6"/>
      <c r="SF281" s="6"/>
      <c r="SG281" s="6"/>
      <c r="SH281" s="6"/>
      <c r="SI281" s="6"/>
      <c r="SJ281" s="6"/>
      <c r="SK281" s="6"/>
      <c r="SL281" s="6"/>
      <c r="SM281" s="6"/>
      <c r="SN281" s="6"/>
      <c r="SO281" s="6"/>
      <c r="SP281" s="6"/>
      <c r="SQ281" s="6"/>
      <c r="SR281" s="6"/>
      <c r="SS281" s="6"/>
      <c r="ST281" s="6"/>
      <c r="SU281" s="6"/>
      <c r="SV281" s="6"/>
      <c r="SW281" s="6"/>
      <c r="SX281" s="6"/>
      <c r="SY281" s="6"/>
      <c r="SZ281" s="6"/>
      <c r="TA281" s="6"/>
      <c r="TB281" s="6"/>
      <c r="TC281" s="6"/>
      <c r="TD281" s="6"/>
      <c r="TE281" s="6"/>
      <c r="TF281" s="6"/>
      <c r="TG281" s="6"/>
      <c r="TH281" s="6"/>
      <c r="TI281" s="6"/>
      <c r="TJ281" s="6"/>
      <c r="TK281" s="6"/>
      <c r="TL281" s="6"/>
      <c r="TM281" s="6"/>
      <c r="TN281" s="6"/>
      <c r="TO281" s="6"/>
      <c r="TP281" s="6"/>
      <c r="TQ281" s="6"/>
      <c r="TR281" s="6"/>
      <c r="TS281" s="6"/>
      <c r="TT281" s="6"/>
      <c r="TU281" s="6"/>
      <c r="TV281" s="6"/>
      <c r="TW281" s="6"/>
      <c r="TX281" s="6"/>
      <c r="TY281" s="6"/>
      <c r="TZ281" s="6"/>
      <c r="UA281" s="6"/>
      <c r="UB281" s="6"/>
      <c r="UC281" s="6"/>
      <c r="UD281" s="6"/>
      <c r="UE281" s="6"/>
      <c r="UF281" s="6"/>
      <c r="UG281" s="6"/>
      <c r="UH281" s="6"/>
      <c r="UI281" s="6"/>
      <c r="UJ281" s="6"/>
      <c r="UK281" s="6"/>
      <c r="UL281" s="6"/>
      <c r="UM281" s="6"/>
      <c r="UN281" s="6"/>
      <c r="UO281" s="6"/>
      <c r="UP281" s="6"/>
      <c r="UQ281" s="6"/>
      <c r="UR281" s="6"/>
      <c r="US281" s="6"/>
      <c r="UT281" s="6"/>
      <c r="UU281" s="6"/>
      <c r="UV281" s="6"/>
      <c r="UW281" s="6"/>
      <c r="UX281" s="6"/>
      <c r="UY281" s="6"/>
      <c r="UZ281" s="6"/>
      <c r="VA281" s="6"/>
      <c r="VB281" s="6"/>
      <c r="VC281" s="6"/>
      <c r="VD281" s="6"/>
      <c r="VE281" s="6"/>
      <c r="VF281" s="6"/>
      <c r="VG281" s="6"/>
      <c r="VH281" s="6"/>
      <c r="VI281" s="6"/>
      <c r="VJ281" s="6"/>
      <c r="VK281" s="6"/>
      <c r="VL281" s="6"/>
      <c r="VM281" s="6"/>
      <c r="VN281" s="6"/>
      <c r="VO281" s="6"/>
      <c r="VP281" s="6"/>
      <c r="VQ281" s="6"/>
      <c r="VR281" s="6"/>
      <c r="VS281" s="6"/>
      <c r="VT281" s="6"/>
      <c r="VU281" s="6"/>
      <c r="VV281" s="6"/>
      <c r="VW281" s="6"/>
      <c r="VX281" s="6"/>
      <c r="VY281" s="6"/>
      <c r="VZ281" s="6"/>
      <c r="WA281" s="6"/>
      <c r="WB281" s="6"/>
      <c r="WC281" s="6"/>
      <c r="WD281" s="6"/>
      <c r="WE281" s="6"/>
      <c r="WF281" s="6"/>
      <c r="WG281" s="6"/>
      <c r="WH281" s="6"/>
      <c r="WI281" s="6"/>
      <c r="WJ281" s="6"/>
      <c r="WK281" s="6"/>
      <c r="WL281" s="6"/>
      <c r="WM281" s="6"/>
      <c r="WN281" s="6"/>
      <c r="WO281" s="6"/>
      <c r="WP281" s="6"/>
      <c r="WQ281" s="6"/>
      <c r="WR281" s="6"/>
      <c r="WS281" s="6"/>
      <c r="WT281" s="6"/>
      <c r="WU281" s="6"/>
      <c r="WV281" s="6"/>
      <c r="WW281" s="6"/>
      <c r="WX281" s="6"/>
      <c r="WY281" s="6"/>
      <c r="WZ281" s="6"/>
      <c r="XA281" s="6"/>
      <c r="XB281" s="6"/>
      <c r="XC281" s="6"/>
      <c r="XD281" s="6"/>
      <c r="XE281" s="6"/>
      <c r="XF281" s="6"/>
      <c r="XG281" s="6"/>
      <c r="XH281" s="6"/>
      <c r="XI281" s="6"/>
      <c r="XJ281" s="6"/>
      <c r="XK281" s="6"/>
      <c r="XL281" s="6"/>
      <c r="XM281" s="6"/>
      <c r="XN281" s="6"/>
      <c r="XO281" s="6"/>
      <c r="XP281" s="6"/>
      <c r="XQ281" s="6"/>
      <c r="XR281" s="6"/>
      <c r="XS281" s="6"/>
      <c r="XT281" s="6"/>
      <c r="XU281" s="6"/>
      <c r="XV281" s="6"/>
      <c r="XW281" s="6"/>
      <c r="XX281" s="6"/>
      <c r="XY281" s="6"/>
      <c r="XZ281" s="6"/>
      <c r="YA281" s="6"/>
      <c r="YB281" s="6"/>
      <c r="YC281" s="6"/>
      <c r="YD281" s="6"/>
      <c r="YE281" s="6"/>
      <c r="YF281" s="6"/>
      <c r="YG281" s="6"/>
      <c r="YH281" s="6"/>
      <c r="YI281" s="6"/>
      <c r="YJ281" s="6"/>
      <c r="YK281" s="6"/>
      <c r="YL281" s="6"/>
      <c r="YM281" s="6"/>
      <c r="YN281" s="6"/>
      <c r="YO281" s="6"/>
      <c r="YP281" s="6"/>
      <c r="YQ281" s="6"/>
      <c r="YR281" s="6"/>
      <c r="YS281" s="6"/>
      <c r="YT281" s="6"/>
      <c r="YU281" s="6"/>
      <c r="YV281" s="6"/>
      <c r="YW281" s="6"/>
      <c r="YX281" s="6"/>
      <c r="YY281" s="6"/>
      <c r="YZ281" s="6"/>
      <c r="ZA281" s="6"/>
      <c r="ZB281" s="6"/>
      <c r="ZC281" s="6"/>
      <c r="ZD281" s="6"/>
      <c r="ZE281" s="6"/>
      <c r="ZF281" s="6"/>
      <c r="ZG281" s="6"/>
      <c r="ZH281" s="6"/>
      <c r="ZI281" s="6"/>
      <c r="ZJ281" s="6"/>
      <c r="ZK281" s="6"/>
      <c r="ZL281" s="6"/>
      <c r="ZM281" s="6"/>
      <c r="ZN281" s="6"/>
      <c r="ZO281" s="6"/>
      <c r="ZP281" s="6"/>
      <c r="ZQ281" s="6"/>
      <c r="ZR281" s="6"/>
      <c r="ZS281" s="6"/>
      <c r="ZT281" s="6"/>
      <c r="ZU281" s="6"/>
      <c r="ZV281" s="6"/>
      <c r="ZW281" s="6"/>
      <c r="ZX281" s="6"/>
      <c r="ZY281" s="6"/>
      <c r="ZZ281" s="6"/>
      <c r="AAA281" s="6"/>
      <c r="AAB281" s="6"/>
      <c r="AAC281" s="6"/>
      <c r="AAD281" s="6"/>
      <c r="AAE281" s="6"/>
      <c r="AAF281" s="6"/>
      <c r="AAG281" s="6"/>
      <c r="AAH281" s="6"/>
      <c r="AAI281" s="6"/>
      <c r="AAJ281" s="6"/>
      <c r="AAK281" s="6"/>
      <c r="AAL281" s="6"/>
      <c r="AAM281" s="6"/>
      <c r="AAN281" s="6"/>
      <c r="AAO281" s="6"/>
      <c r="AAP281" s="6"/>
      <c r="AAQ281" s="6"/>
      <c r="AAR281" s="6"/>
      <c r="AAS281" s="6"/>
      <c r="AAT281" s="6"/>
      <c r="AAU281" s="6"/>
      <c r="AAV281" s="6"/>
      <c r="AAW281" s="6"/>
      <c r="AAX281" s="6"/>
      <c r="AAY281" s="6"/>
      <c r="AAZ281" s="6"/>
      <c r="ABA281" s="6"/>
      <c r="ABB281" s="6"/>
      <c r="ABC281" s="6"/>
      <c r="ABD281" s="6"/>
      <c r="ABE281" s="6"/>
      <c r="ABF281" s="6"/>
      <c r="ABG281" s="6"/>
      <c r="ABH281" s="6"/>
      <c r="ABI281" s="6"/>
      <c r="ABJ281" s="6"/>
      <c r="ABK281" s="6"/>
      <c r="ABL281" s="6"/>
      <c r="ABM281" s="6"/>
      <c r="ABN281" s="6"/>
      <c r="ABO281" s="6"/>
      <c r="ABP281" s="6"/>
      <c r="ABQ281" s="6"/>
      <c r="ABR281" s="6"/>
      <c r="ABS281" s="6"/>
      <c r="ABT281" s="6"/>
      <c r="ABU281" s="6"/>
      <c r="ABV281" s="6"/>
      <c r="ABW281" s="6"/>
      <c r="ABX281" s="6"/>
      <c r="ABY281" s="6"/>
      <c r="ABZ281" s="6"/>
      <c r="ACA281" s="6"/>
      <c r="ACB281" s="6"/>
      <c r="ACC281" s="6"/>
      <c r="ACD281" s="6"/>
      <c r="ACE281" s="6"/>
      <c r="ACF281" s="6"/>
      <c r="ACG281" s="6"/>
      <c r="ACH281" s="6"/>
      <c r="ACI281" s="6"/>
      <c r="ACJ281" s="6"/>
      <c r="ACK281" s="6"/>
      <c r="ACL281" s="6"/>
      <c r="ACM281" s="6"/>
      <c r="ACN281" s="6"/>
      <c r="ACO281" s="6"/>
      <c r="ACP281" s="6"/>
      <c r="ACQ281" s="6"/>
      <c r="ACR281" s="6"/>
      <c r="ACS281" s="6"/>
      <c r="ACT281" s="6"/>
      <c r="ACU281" s="6"/>
      <c r="ACV281" s="6"/>
      <c r="ACW281" s="6"/>
      <c r="ACX281" s="6"/>
      <c r="ACY281" s="6"/>
      <c r="ACZ281" s="6"/>
      <c r="ADA281" s="6"/>
      <c r="ADB281" s="6"/>
      <c r="ADC281" s="6"/>
      <c r="ADD281" s="6"/>
      <c r="ADE281" s="6"/>
      <c r="ADF281" s="6"/>
      <c r="ADG281" s="6"/>
      <c r="ADH281" s="6"/>
      <c r="ADI281" s="6"/>
      <c r="ADJ281" s="6"/>
      <c r="ADK281" s="6"/>
      <c r="ADL281" s="6"/>
      <c r="ADM281" s="6"/>
      <c r="ADN281" s="6"/>
      <c r="ADO281" s="6"/>
      <c r="ADP281" s="6"/>
      <c r="ADQ281" s="6"/>
      <c r="ADR281" s="6"/>
      <c r="ADS281" s="6"/>
      <c r="ADT281" s="6"/>
      <c r="ADU281" s="6"/>
      <c r="ADV281" s="6"/>
      <c r="ADW281" s="6"/>
      <c r="ADX281" s="6"/>
      <c r="ADY281" s="6"/>
      <c r="ADZ281" s="6"/>
      <c r="AEA281" s="6"/>
      <c r="AEB281" s="6"/>
      <c r="AEC281" s="6"/>
      <c r="AED281" s="6"/>
      <c r="AEE281" s="6"/>
      <c r="AEF281" s="6"/>
      <c r="AEG281" s="6"/>
      <c r="AEH281" s="6"/>
      <c r="AEI281" s="6"/>
      <c r="AEJ281" s="6"/>
      <c r="AEK281" s="6"/>
      <c r="AEL281" s="6"/>
      <c r="AEM281" s="6"/>
      <c r="AEN281" s="6"/>
      <c r="AEO281" s="6"/>
      <c r="AEP281" s="6"/>
      <c r="AEQ281" s="6"/>
      <c r="AER281" s="6"/>
      <c r="AES281" s="6"/>
      <c r="AET281" s="6"/>
      <c r="AEU281" s="6"/>
      <c r="AEV281" s="6"/>
      <c r="AEW281" s="6"/>
      <c r="AEX281" s="6"/>
      <c r="AEY281" s="6"/>
      <c r="AEZ281" s="6"/>
      <c r="AFA281" s="6"/>
      <c r="AFB281" s="6"/>
      <c r="AFC281" s="6"/>
      <c r="AFD281" s="6"/>
      <c r="AFE281" s="6"/>
      <c r="AFF281" s="6"/>
      <c r="AFG281" s="6"/>
      <c r="AFH281" s="6"/>
      <c r="AFI281" s="6"/>
      <c r="AFJ281" s="6"/>
      <c r="AFK281" s="6"/>
      <c r="AFL281" s="6"/>
      <c r="AFM281" s="6"/>
      <c r="AFN281" s="6"/>
      <c r="AFO281" s="6"/>
      <c r="AFP281" s="6"/>
      <c r="AFQ281" s="6"/>
      <c r="AFR281" s="6"/>
      <c r="AFS281" s="6"/>
      <c r="AFT281" s="6"/>
      <c r="AFU281" s="6"/>
      <c r="AFV281" s="6"/>
      <c r="AFW281" s="6"/>
      <c r="AFX281" s="6"/>
      <c r="AFY281" s="6"/>
      <c r="AFZ281" s="6"/>
      <c r="AGA281" s="6"/>
      <c r="AGB281" s="6"/>
      <c r="AGC281" s="6"/>
      <c r="AGD281" s="6"/>
      <c r="AGE281" s="6"/>
      <c r="AGF281" s="6"/>
      <c r="AGG281" s="6"/>
      <c r="AGH281" s="6"/>
      <c r="AGI281" s="6"/>
      <c r="AGJ281" s="6"/>
      <c r="AGK281" s="6"/>
      <c r="AGL281" s="6"/>
      <c r="AGM281" s="6"/>
      <c r="AGN281" s="6"/>
      <c r="AGO281" s="6"/>
      <c r="AGP281" s="6"/>
      <c r="AGQ281" s="6"/>
      <c r="AGR281" s="6"/>
      <c r="AGS281" s="6"/>
      <c r="AGT281" s="6"/>
      <c r="AGU281" s="6"/>
      <c r="AGV281" s="6"/>
      <c r="AGW281" s="6"/>
      <c r="AGX281" s="6"/>
      <c r="AGY281" s="6"/>
      <c r="AGZ281" s="6"/>
      <c r="AHA281" s="6"/>
      <c r="AHB281" s="6"/>
      <c r="AHC281" s="6"/>
      <c r="AHD281" s="6"/>
      <c r="AHE281" s="6"/>
      <c r="AHF281" s="6"/>
      <c r="AHG281" s="6"/>
      <c r="AHH281" s="6"/>
      <c r="AHI281" s="6"/>
      <c r="AHJ281" s="6"/>
      <c r="AHK281" s="6"/>
      <c r="AHL281" s="6"/>
      <c r="AHM281" s="6"/>
      <c r="AHN281" s="6"/>
      <c r="AHO281" s="6"/>
      <c r="AHP281" s="6"/>
      <c r="AHQ281" s="6"/>
      <c r="AHR281" s="6"/>
      <c r="AHS281" s="6"/>
      <c r="AHT281" s="6"/>
      <c r="AHU281" s="6"/>
      <c r="AHV281" s="6"/>
      <c r="AHW281" s="6"/>
      <c r="AHX281" s="6"/>
      <c r="AHY281" s="6"/>
      <c r="AHZ281" s="6"/>
      <c r="AIA281" s="6"/>
      <c r="AIB281" s="6"/>
      <c r="AIC281" s="6"/>
      <c r="AID281" s="6"/>
      <c r="AIE281" s="6"/>
      <c r="AIF281" s="6"/>
      <c r="AIG281" s="6"/>
      <c r="AIH281" s="6"/>
      <c r="AII281" s="6"/>
      <c r="AIJ281" s="6"/>
      <c r="AIK281" s="6"/>
      <c r="AIL281" s="6"/>
      <c r="AIM281" s="6"/>
      <c r="AIN281" s="6"/>
      <c r="AIO281" s="6"/>
      <c r="AIP281" s="6"/>
      <c r="AIQ281" s="6"/>
      <c r="AIR281" s="6"/>
      <c r="AIS281" s="6"/>
      <c r="AIT281" s="6"/>
      <c r="AIU281" s="6"/>
      <c r="AIV281" s="6"/>
      <c r="AIW281" s="6"/>
      <c r="AIX281" s="6"/>
      <c r="AIY281" s="6"/>
      <c r="AIZ281" s="6"/>
      <c r="AJA281" s="6"/>
      <c r="AJB281" s="6"/>
      <c r="AJC281" s="6"/>
      <c r="AJD281" s="6"/>
      <c r="AJE281" s="6"/>
      <c r="AJF281" s="6"/>
      <c r="AJG281" s="6"/>
      <c r="AJH281" s="6"/>
      <c r="AJI281" s="6"/>
      <c r="AJJ281" s="6"/>
      <c r="AJK281" s="6"/>
      <c r="AJL281" s="6"/>
      <c r="AJM281" s="6"/>
      <c r="AJN281" s="6"/>
      <c r="AJO281" s="6"/>
      <c r="AJP281" s="6"/>
      <c r="AJQ281" s="6"/>
      <c r="AJR281" s="6"/>
      <c r="AJS281" s="6"/>
      <c r="AJT281" s="6"/>
      <c r="AJU281" s="6"/>
      <c r="AJV281" s="6"/>
      <c r="AJW281" s="6"/>
      <c r="AJX281" s="6"/>
      <c r="AJY281" s="6"/>
      <c r="AJZ281" s="6"/>
      <c r="AKA281" s="6"/>
      <c r="AKB281" s="6"/>
      <c r="AKC281" s="6"/>
      <c r="AKD281" s="6"/>
      <c r="AKE281" s="6"/>
      <c r="AKF281" s="6"/>
      <c r="AKG281" s="6"/>
      <c r="AKH281" s="6"/>
      <c r="AKI281" s="6"/>
      <c r="AKJ281" s="6"/>
      <c r="AKK281" s="6"/>
      <c r="AKL281" s="6"/>
      <c r="AKM281" s="6"/>
      <c r="AKN281" s="6"/>
      <c r="AKO281" s="6"/>
      <c r="AKP281" s="6"/>
      <c r="AKQ281" s="6"/>
      <c r="AKR281" s="6"/>
      <c r="AKS281" s="6"/>
      <c r="AKT281" s="6"/>
      <c r="AKU281" s="6"/>
      <c r="AKV281" s="6"/>
      <c r="AKW281" s="6"/>
      <c r="AKX281" s="6"/>
      <c r="AKY281" s="6"/>
      <c r="AKZ281" s="6"/>
      <c r="ALA281" s="6"/>
      <c r="ALB281" s="6"/>
      <c r="ALC281" s="6"/>
      <c r="ALD281" s="6"/>
      <c r="ALE281" s="6"/>
      <c r="ALF281" s="6"/>
      <c r="ALG281" s="6"/>
      <c r="ALH281" s="6"/>
      <c r="ALI281" s="6"/>
      <c r="ALJ281" s="6"/>
      <c r="ALK281" s="6"/>
      <c r="ALL281" s="6"/>
      <c r="ALM281" s="6"/>
      <c r="ALN281" s="6"/>
      <c r="ALO281" s="6"/>
      <c r="ALP281" s="6"/>
      <c r="ALQ281" s="6"/>
      <c r="ALR281" s="6"/>
      <c r="ALS281" s="6"/>
      <c r="ALT281" s="6"/>
      <c r="ALU281" s="6"/>
      <c r="ALV281" s="6"/>
      <c r="ALW281" s="6"/>
      <c r="ALX281" s="6"/>
      <c r="ALY281" s="6"/>
      <c r="ALZ281" s="6"/>
      <c r="AMA281" s="6"/>
      <c r="AMB281" s="6"/>
      <c r="AMC281" s="6"/>
      <c r="AMD281" s="6"/>
      <c r="AME281" s="6"/>
      <c r="AMF281" s="6"/>
      <c r="AMG281" s="6"/>
      <c r="AMH281" s="6"/>
      <c r="AMI281" s="6"/>
      <c r="AMJ281" s="6"/>
      <c r="AMK281" s="6"/>
      <c r="AML281" s="6"/>
      <c r="AMM281" s="6"/>
      <c r="AMN281" s="6"/>
      <c r="AMO281" s="6"/>
      <c r="AMP281" s="6"/>
    </row>
    <row r="282" spans="1:1030" s="12" customFormat="1" x14ac:dyDescent="0.2">
      <c r="A282" s="9" t="str">
        <f t="shared" si="1034"/>
        <v>calrl_human__wt</v>
      </c>
      <c r="B282" s="40" t="s">
        <v>402</v>
      </c>
      <c r="C282" s="9" t="s">
        <v>100</v>
      </c>
      <c r="D282" s="9" t="str">
        <f>IFERROR(MID(VLOOKUP($B282,Seqs!$A:$B,2,0),E282,1),"")</f>
        <v>N</v>
      </c>
      <c r="E282" s="9">
        <v>130</v>
      </c>
      <c r="F282" s="9" t="str">
        <f>IFERROR(MID(VLOOKUP($B282,Seqs!$A:$B,2,0),G282,1),"")</f>
        <v>F</v>
      </c>
      <c r="G282" s="9">
        <v>166</v>
      </c>
      <c r="H282" s="9" t="str">
        <f>IFERROR(MID(VLOOKUP($B282,Seqs!$A:$B,2,0),I282,1),"")</f>
        <v>K</v>
      </c>
      <c r="I282" s="109">
        <v>167</v>
      </c>
      <c r="J282" s="9" t="str">
        <f>IFERROR(MID(VLOOKUP($B282,Seqs!$A:$B,2,0),K282,1),"")</f>
        <v>S</v>
      </c>
      <c r="K282" s="109">
        <v>170</v>
      </c>
      <c r="L282" s="9" t="str">
        <f>IFERROR(MID(VLOOKUP($B282,Seqs!$A:$B,2,0),M282,1),"")</f>
        <v>C</v>
      </c>
      <c r="M282" s="9">
        <v>171</v>
      </c>
      <c r="N282" s="9" t="str">
        <f>IFERROR(MID(VLOOKUP($B282,Seqs!$A:$B,2,0),O282,1),"")</f>
        <v>V</v>
      </c>
      <c r="O282" s="9">
        <v>198</v>
      </c>
      <c r="P282" s="9" t="str">
        <f>IFERROR(MID(VLOOKUP($B282,Seqs!$A:$B,2,0),Q282,1),"")</f>
        <v/>
      </c>
      <c r="Q282" s="9" t="s">
        <v>23</v>
      </c>
      <c r="R282" s="9" t="str">
        <f>IFERROR(MID(VLOOKUP($B282,Seqs!$A:$B,2,0),S282,1),"")</f>
        <v/>
      </c>
      <c r="S282" s="9" t="s">
        <v>23</v>
      </c>
      <c r="T282" s="9" t="str">
        <f>IFERROR(MID(VLOOKUP($B282,Seqs!$A:$B,2,0),U282,1),"")</f>
        <v>V</v>
      </c>
      <c r="U282" s="9">
        <v>210</v>
      </c>
      <c r="V282" s="9" t="str">
        <f>IFERROR(MID(VLOOKUP($B282,Seqs!$A:$B,2,0),W282,1),"")</f>
        <v>V</v>
      </c>
      <c r="W282" s="9">
        <v>243</v>
      </c>
      <c r="X282" s="9" t="str">
        <f>IFERROR(MID(VLOOKUP($B282,Seqs!$A:$B,2,0),Y282,1),"")</f>
        <v/>
      </c>
      <c r="Y282" s="9" t="s">
        <v>23</v>
      </c>
      <c r="Z282" s="9" t="str">
        <f>IFERROR(MID(VLOOKUP($B282,Seqs!$A:$B,2,0),AA282,1),"")</f>
        <v/>
      </c>
      <c r="AA282" s="9" t="s">
        <v>23</v>
      </c>
      <c r="AB282" s="9" t="str">
        <f>IFERROR(MID(VLOOKUP($B282,Seqs!$A:$B,2,0),AC282,1),"")</f>
        <v>H</v>
      </c>
      <c r="AC282" s="9">
        <v>251</v>
      </c>
      <c r="AD282" s="9" t="str">
        <f>IFERROR(MID(VLOOKUP($B282,Seqs!$A:$B,2,0),AE282,1),"")</f>
        <v>Y</v>
      </c>
      <c r="AE282" s="9">
        <v>277</v>
      </c>
      <c r="AF282" s="9" t="str">
        <f>IFERROR(MID(VLOOKUP($B282,Seqs!$A:$B,2,0),AG282,1),"")</f>
        <v>C</v>
      </c>
      <c r="AG282" s="9">
        <v>282</v>
      </c>
      <c r="AH282" s="9" t="str">
        <f>IFERROR(MID(VLOOKUP($B282,Seqs!$A:$B,2,0),AI282,1),"")</f>
        <v>I</v>
      </c>
      <c r="AI282" s="9">
        <v>284</v>
      </c>
      <c r="AJ282" s="9" t="str">
        <f>IFERROR(MID(VLOOKUP($B282,Seqs!$A:$B,2,0),AK282,1),"")</f>
        <v>L</v>
      </c>
      <c r="AK282" s="9">
        <v>290</v>
      </c>
      <c r="AL282" s="9" t="str">
        <f>IFERROR(MID(VLOOKUP($B282,Seqs!$A:$B,2,0),AM282,1),"")</f>
        <v>K</v>
      </c>
      <c r="AM282" s="9">
        <v>321</v>
      </c>
      <c r="AN282" s="9" t="str">
        <f>IFERROR(MID(VLOOKUP($B282,Seqs!$A:$B,2,0),AO282,1),"")</f>
        <v>Y</v>
      </c>
      <c r="AO282" s="9">
        <v>331</v>
      </c>
      <c r="AP282" s="9" t="str">
        <f>IFERROR(MID(VLOOKUP($B282,Seqs!$A:$B,2,0),AQ282,1),"")</f>
        <v>W</v>
      </c>
      <c r="AQ282" s="9">
        <v>354</v>
      </c>
      <c r="AR282" s="9" t="str">
        <f>IFERROR(MID(VLOOKUP($B282,Seqs!$A:$B,2,0),AS282,1),"")</f>
        <v>K</v>
      </c>
      <c r="AS282" s="9">
        <v>359</v>
      </c>
      <c r="AT282" s="9" t="str">
        <f>IFERROR(MID(VLOOKUP($B282,Seqs!$A:$B,2,0),AU282,1),"")</f>
        <v>F</v>
      </c>
      <c r="AU282" s="9">
        <v>387</v>
      </c>
      <c r="AV282" s="9" t="str">
        <f>IFERROR(MID(VLOOKUP($B282,Seqs!$A:$B,2,0),AW282,1),"")</f>
        <v>N</v>
      </c>
      <c r="AW282" s="9">
        <v>388</v>
      </c>
      <c r="AX282" s="9" t="str">
        <f>IFERROR(MID(VLOOKUP($B282,Seqs!$A:$B,2,0),AY282,1),"")</f>
        <v>S</v>
      </c>
      <c r="AY282" s="9">
        <v>413</v>
      </c>
      <c r="AZ282" s="110" t="str">
        <f>VLOOKUP(B282,Classification!A:D,2,0)</f>
        <v>B1</v>
      </c>
      <c r="BA282" s="98" t="str">
        <f>VLOOKUP(B282,Classification!A:D,4,0)</f>
        <v>Calcitonin</v>
      </c>
      <c r="BB282" s="36" t="b">
        <f t="shared" ref="BB282" si="1035">AND(E282&lt;G282,OR(G282&lt;I282,I282="-"),OR(I282&lt;K282,I282="-"),OR(K282&lt;M282,K282="-"),M282&lt;O282,OR(O282&lt;Q282,Q282="-"),OR(Q282&lt;S282,Q282="-"),OR(S282&lt;U282,S282="-"),U282&lt;W282,OR(W282&lt;Y282,Y282="-"),OR(Y282&lt;AA282,Y282="-"),OR(AA282&lt;AC282,AA282="-"),AC282&lt;AE282,OR(AE282&lt;AG282,AG282="-"),OR(AG282&lt;AI282,AG282="-"),OR(AI282&lt;AK282,AI282="-"),AK282&lt;AM282,AM282&lt;AO282,AO282&lt;AQ282,AQ282&lt;AS282,AS282&lt;AU282,OR(AU282&lt;AW282,AW282="-"),OR(AW282&lt;AY282,AW282="-"))</f>
        <v>1</v>
      </c>
      <c r="BC282" s="109">
        <f t="shared" ref="BC282" si="1036">_xlfn.AGGREGATE(9,6,CH282:CS282)-_xlfn.AGGREGATE(9,6,BV282:CG282)+12</f>
        <v>246</v>
      </c>
      <c r="BD282" s="11" t="s">
        <v>23</v>
      </c>
      <c r="BE282" s="9" t="s">
        <v>23</v>
      </c>
      <c r="BF282" s="120" t="s">
        <v>23</v>
      </c>
      <c r="BG282" s="51" t="s">
        <v>1384</v>
      </c>
      <c r="BH282" s="51" t="s">
        <v>1384</v>
      </c>
      <c r="BJ282" s="111" t="s">
        <v>1293</v>
      </c>
      <c r="BK282" s="112" t="s">
        <v>1293</v>
      </c>
      <c r="BL282" s="112" t="s">
        <v>1293</v>
      </c>
      <c r="BM282" s="112" t="s">
        <v>1293</v>
      </c>
      <c r="BN282" s="112" t="s">
        <v>1293</v>
      </c>
      <c r="BO282" s="112" t="s">
        <v>1293</v>
      </c>
      <c r="BP282" s="112" t="s">
        <v>1293</v>
      </c>
      <c r="BQ282" s="112" t="s">
        <v>1293</v>
      </c>
      <c r="BR282" s="112" t="s">
        <v>1293</v>
      </c>
      <c r="BS282" s="112" t="s">
        <v>1293</v>
      </c>
      <c r="BT282" s="112" t="s">
        <v>1293</v>
      </c>
      <c r="BU282" s="112" t="s">
        <v>1293</v>
      </c>
      <c r="BV282" s="111">
        <f t="shared" ref="BV282" si="1037">E282</f>
        <v>130</v>
      </c>
      <c r="BW282" s="113">
        <f t="shared" ref="BW282" si="1038">I282</f>
        <v>167</v>
      </c>
      <c r="BX282" s="114">
        <f t="shared" ref="BX282" si="1039">M282</f>
        <v>171</v>
      </c>
      <c r="BY282" s="113" t="str">
        <f t="shared" ref="BY282" si="1040">Q282</f>
        <v>-</v>
      </c>
      <c r="BZ282" s="114">
        <f t="shared" ref="BZ282" si="1041">U282</f>
        <v>210</v>
      </c>
      <c r="CA282" s="113" t="str">
        <f t="shared" ref="CA282" si="1042">Y282</f>
        <v>-</v>
      </c>
      <c r="CB282" s="114">
        <f t="shared" ref="CB282" si="1043">AC282</f>
        <v>251</v>
      </c>
      <c r="CC282" s="113">
        <f t="shared" ref="CC282" si="1044">AG282</f>
        <v>282</v>
      </c>
      <c r="CD282" s="114">
        <f t="shared" ref="CD282" si="1045">AK282</f>
        <v>290</v>
      </c>
      <c r="CE282" s="113">
        <f t="shared" ref="CE282" si="1046">AO282</f>
        <v>331</v>
      </c>
      <c r="CF282" s="114">
        <f t="shared" ref="CF282" si="1047">AS282</f>
        <v>359</v>
      </c>
      <c r="CG282" s="113">
        <f t="shared" ref="CG282" si="1048">AW282</f>
        <v>388</v>
      </c>
      <c r="CH282" s="111">
        <f t="shared" ref="CH282" si="1049">G282</f>
        <v>166</v>
      </c>
      <c r="CI282" s="113">
        <f t="shared" ref="CI282" si="1050">K282</f>
        <v>170</v>
      </c>
      <c r="CJ282" s="114">
        <f t="shared" ref="CJ282" si="1051">O282</f>
        <v>198</v>
      </c>
      <c r="CK282" s="114" t="str">
        <f t="shared" ref="CK282" si="1052">S282</f>
        <v>-</v>
      </c>
      <c r="CL282" s="114">
        <f t="shared" ref="CL282" si="1053">W282</f>
        <v>243</v>
      </c>
      <c r="CM282" s="114" t="str">
        <f t="shared" ref="CM282" si="1054">AA282</f>
        <v>-</v>
      </c>
      <c r="CN282" s="114">
        <f t="shared" ref="CN282" si="1055">AE282</f>
        <v>277</v>
      </c>
      <c r="CO282" s="114">
        <f t="shared" ref="CO282" si="1056">AI282</f>
        <v>284</v>
      </c>
      <c r="CP282" s="114">
        <f t="shared" ref="CP282" si="1057">AM282</f>
        <v>321</v>
      </c>
      <c r="CQ282" s="114">
        <f t="shared" ref="CQ282" si="1058">AQ282</f>
        <v>354</v>
      </c>
      <c r="CR282" s="114">
        <f t="shared" ref="CR282" si="1059">AU282</f>
        <v>387</v>
      </c>
      <c r="CS282" s="114">
        <f t="shared" ref="CS282" si="1060">AY282</f>
        <v>413</v>
      </c>
      <c r="CT282" s="109">
        <f t="shared" ref="CT282" si="1061">M282-K282</f>
        <v>1</v>
      </c>
      <c r="CU282" s="132"/>
      <c r="CV282" s="132"/>
      <c r="CW282" s="132"/>
      <c r="CX282" s="132"/>
      <c r="CY282" s="132"/>
      <c r="CZ282" s="132"/>
      <c r="DA282" s="132"/>
      <c r="DB282" s="132"/>
      <c r="DC282" s="132"/>
      <c r="DD282" s="132"/>
      <c r="DE282" s="132"/>
      <c r="DF282" s="132"/>
      <c r="DG282" s="132"/>
      <c r="DH282" s="132"/>
      <c r="DI282" s="132"/>
      <c r="DJ282" s="132"/>
      <c r="DK282" s="132"/>
      <c r="DL282" s="132"/>
      <c r="DM282" s="132"/>
      <c r="DN282" s="132"/>
      <c r="DO282" s="132"/>
      <c r="DP282" s="132"/>
      <c r="DQ282" s="132"/>
      <c r="DR282" s="132"/>
      <c r="DS282" s="132"/>
      <c r="DT282" s="132"/>
      <c r="DU282" s="132"/>
      <c r="DV282" s="132"/>
      <c r="DW282" s="132"/>
      <c r="DX282" s="132"/>
      <c r="DY282" s="132"/>
      <c r="DZ282" s="132"/>
      <c r="EA282" s="132"/>
      <c r="EB282" s="132"/>
      <c r="EC282" s="132"/>
      <c r="ED282" s="132"/>
      <c r="EE282" s="132"/>
      <c r="EF282" s="132"/>
      <c r="EG282" s="132"/>
      <c r="EH282" s="132"/>
      <c r="EI282" s="132"/>
      <c r="EJ282" s="132"/>
      <c r="EK282" s="132"/>
      <c r="EL282" s="132"/>
      <c r="EM282" s="132"/>
      <c r="EN282" s="132"/>
      <c r="EO282" s="132"/>
      <c r="EP282" s="132"/>
      <c r="EQ282" s="132"/>
      <c r="ER282" s="132"/>
      <c r="ES282" s="132"/>
      <c r="ET282" s="132"/>
      <c r="EU282" s="132"/>
      <c r="EV282" s="132"/>
      <c r="EW282" s="132"/>
      <c r="EX282" s="132"/>
      <c r="EY282" s="132"/>
      <c r="EZ282" s="132"/>
      <c r="FA282" s="132"/>
      <c r="FB282" s="132"/>
      <c r="FC282" s="132"/>
      <c r="FD282" s="132"/>
      <c r="FE282" s="132"/>
      <c r="FF282" s="132"/>
      <c r="FG282" s="132"/>
      <c r="FH282" s="132"/>
      <c r="FI282" s="132"/>
      <c r="FJ282" s="132"/>
      <c r="FK282" s="132"/>
      <c r="FL282" s="132"/>
      <c r="FM282" s="132"/>
      <c r="FN282" s="132"/>
      <c r="FO282" s="132"/>
      <c r="FP282" s="132"/>
      <c r="FQ282" s="132"/>
      <c r="FR282" s="132"/>
      <c r="FS282" s="132"/>
      <c r="FT282" s="132"/>
      <c r="FU282" s="132"/>
      <c r="FV282" s="132"/>
      <c r="FW282" s="132"/>
      <c r="FX282" s="132"/>
      <c r="FY282" s="132"/>
      <c r="FZ282" s="132"/>
      <c r="GA282" s="132"/>
      <c r="GB282" s="132"/>
      <c r="GC282" s="132"/>
      <c r="GD282" s="132"/>
      <c r="GE282" s="132"/>
      <c r="GF282" s="132"/>
      <c r="GG282" s="132"/>
      <c r="GH282" s="132"/>
      <c r="GI282" s="132"/>
      <c r="GJ282" s="132"/>
      <c r="GK282" s="132"/>
      <c r="GL282" s="132"/>
      <c r="GM282" s="132"/>
      <c r="GN282" s="132"/>
      <c r="GO282" s="132"/>
      <c r="GP282" s="132"/>
      <c r="GQ282" s="132"/>
      <c r="GR282" s="132"/>
      <c r="GS282" s="132"/>
      <c r="GT282" s="132"/>
      <c r="GU282" s="132"/>
      <c r="GV282" s="132"/>
      <c r="GW282" s="132"/>
      <c r="GX282" s="132"/>
      <c r="GY282" s="132"/>
      <c r="GZ282" s="132"/>
      <c r="HA282" s="132"/>
      <c r="HB282" s="132"/>
      <c r="HC282" s="132"/>
      <c r="HD282" s="132"/>
      <c r="HE282" s="132"/>
      <c r="HF282" s="132"/>
      <c r="HG282" s="132"/>
      <c r="HH282" s="132"/>
      <c r="HI282" s="132"/>
      <c r="HJ282" s="132"/>
      <c r="HK282" s="132"/>
      <c r="HL282" s="132"/>
      <c r="HM282" s="132"/>
      <c r="HN282" s="132"/>
      <c r="HO282" s="132"/>
      <c r="HP282" s="132"/>
      <c r="HQ282" s="132"/>
      <c r="HR282" s="132"/>
      <c r="HS282" s="132"/>
      <c r="HT282" s="132"/>
      <c r="HU282" s="132"/>
      <c r="HV282" s="132"/>
      <c r="HW282" s="132"/>
      <c r="HX282" s="132"/>
      <c r="HY282" s="132"/>
      <c r="HZ282" s="132"/>
      <c r="IA282" s="132"/>
      <c r="IB282" s="132"/>
      <c r="IC282" s="132"/>
      <c r="ID282" s="132"/>
      <c r="IE282" s="132"/>
      <c r="IF282" s="132"/>
      <c r="IG282" s="132"/>
      <c r="IH282" s="132"/>
      <c r="II282" s="132"/>
      <c r="IJ282" s="132"/>
      <c r="IK282" s="132"/>
      <c r="IL282" s="132"/>
      <c r="IM282" s="132"/>
      <c r="IN282" s="132"/>
      <c r="IO282" s="132"/>
      <c r="IP282" s="132"/>
      <c r="IQ282" s="132"/>
      <c r="IR282" s="132"/>
      <c r="IS282" s="132"/>
      <c r="IT282" s="132"/>
      <c r="IU282" s="132"/>
      <c r="IV282" s="132"/>
      <c r="IW282" s="132"/>
      <c r="IX282" s="132"/>
      <c r="IY282" s="132"/>
      <c r="IZ282" s="132"/>
      <c r="JA282" s="132"/>
      <c r="JB282" s="132"/>
      <c r="JC282" s="132"/>
      <c r="JD282" s="132"/>
      <c r="JE282" s="132"/>
      <c r="JF282" s="132"/>
      <c r="JG282" s="132"/>
      <c r="JH282" s="132"/>
      <c r="JI282" s="132"/>
      <c r="JJ282" s="132"/>
      <c r="JK282" s="132"/>
      <c r="JL282" s="132"/>
      <c r="JM282" s="132"/>
      <c r="JN282" s="132"/>
      <c r="JO282" s="132"/>
      <c r="JP282" s="132"/>
      <c r="JQ282" s="132"/>
      <c r="JR282" s="132"/>
      <c r="JS282" s="132"/>
      <c r="JT282" s="132"/>
      <c r="JU282" s="132"/>
      <c r="JV282" s="132"/>
      <c r="JW282" s="132"/>
      <c r="JX282" s="132"/>
      <c r="JY282" s="132"/>
      <c r="JZ282" s="132"/>
      <c r="KA282" s="132"/>
      <c r="KB282" s="132"/>
      <c r="KC282" s="132"/>
      <c r="KD282" s="132"/>
      <c r="KE282" s="132"/>
      <c r="KF282" s="132"/>
      <c r="KG282" s="132"/>
      <c r="KH282" s="132"/>
      <c r="KI282" s="132"/>
      <c r="KJ282" s="132"/>
      <c r="KK282" s="132"/>
      <c r="KL282" s="132"/>
      <c r="KM282" s="132"/>
      <c r="KN282" s="132"/>
      <c r="KO282" s="132"/>
      <c r="KP282" s="132"/>
      <c r="KQ282" s="132"/>
      <c r="KR282" s="132"/>
      <c r="KS282" s="132"/>
      <c r="KT282" s="132"/>
      <c r="KU282" s="132"/>
      <c r="KV282" s="132"/>
      <c r="KW282" s="132"/>
      <c r="KX282" s="132"/>
      <c r="KY282" s="132"/>
      <c r="KZ282" s="132"/>
      <c r="LA282" s="132"/>
      <c r="LB282" s="132"/>
      <c r="LC282" s="132"/>
      <c r="LD282" s="132"/>
      <c r="LE282" s="132"/>
      <c r="LF282" s="132"/>
      <c r="LG282" s="132"/>
      <c r="LH282" s="132"/>
      <c r="LI282" s="132"/>
      <c r="LJ282" s="132"/>
      <c r="LK282" s="132"/>
      <c r="LL282" s="132"/>
      <c r="LM282" s="132"/>
      <c r="LN282" s="132"/>
      <c r="LO282" s="132"/>
      <c r="LP282" s="132"/>
      <c r="LQ282" s="132"/>
      <c r="LR282" s="132"/>
      <c r="LS282" s="132"/>
      <c r="LT282" s="132"/>
      <c r="LU282" s="132"/>
      <c r="LV282" s="132"/>
      <c r="LW282" s="132"/>
      <c r="LX282" s="132"/>
      <c r="LY282" s="132"/>
      <c r="LZ282" s="132"/>
      <c r="MA282" s="132"/>
      <c r="MB282" s="132"/>
      <c r="MC282" s="132"/>
      <c r="MD282" s="132"/>
      <c r="ME282" s="132"/>
      <c r="MF282" s="132"/>
      <c r="MG282" s="132"/>
      <c r="MH282" s="132"/>
      <c r="MI282" s="132"/>
      <c r="MJ282" s="132"/>
      <c r="MK282" s="132"/>
      <c r="ML282" s="132"/>
      <c r="MM282" s="132"/>
      <c r="MN282" s="132"/>
      <c r="MO282" s="132"/>
      <c r="MP282" s="132"/>
      <c r="MQ282" s="132"/>
      <c r="MR282" s="132"/>
      <c r="MS282" s="132"/>
      <c r="MT282" s="132"/>
      <c r="MU282" s="132"/>
      <c r="MV282" s="132"/>
      <c r="MW282" s="132"/>
      <c r="MX282" s="132"/>
      <c r="MY282" s="132"/>
      <c r="MZ282" s="132"/>
      <c r="NA282" s="132"/>
      <c r="NB282" s="132"/>
      <c r="NC282" s="132"/>
      <c r="ND282" s="132"/>
      <c r="NE282" s="132"/>
      <c r="NF282" s="132"/>
      <c r="NG282" s="132"/>
      <c r="NH282" s="132"/>
      <c r="NI282" s="132"/>
      <c r="NJ282" s="132"/>
      <c r="NK282" s="132"/>
      <c r="NL282" s="132"/>
      <c r="NM282" s="132"/>
      <c r="NN282" s="132"/>
      <c r="NO282" s="132"/>
      <c r="NP282" s="132"/>
      <c r="NQ282" s="132"/>
      <c r="NR282" s="132"/>
      <c r="NS282" s="132"/>
      <c r="NT282" s="132"/>
      <c r="NU282" s="132"/>
      <c r="NV282" s="132"/>
      <c r="NW282" s="132"/>
      <c r="NX282" s="132"/>
      <c r="NY282" s="132"/>
      <c r="NZ282" s="132"/>
      <c r="OA282" s="132"/>
      <c r="OB282" s="132"/>
      <c r="OC282" s="132"/>
      <c r="OD282" s="132"/>
      <c r="OE282" s="132"/>
      <c r="OF282" s="132"/>
      <c r="OG282" s="132"/>
      <c r="OH282" s="132"/>
      <c r="OI282" s="132"/>
      <c r="OJ282" s="132"/>
      <c r="OK282" s="132"/>
      <c r="OL282" s="132"/>
      <c r="OM282" s="132"/>
      <c r="ON282" s="132"/>
      <c r="OO282" s="132"/>
      <c r="OP282" s="132"/>
      <c r="OQ282" s="132"/>
      <c r="OR282" s="132"/>
      <c r="OS282" s="132"/>
      <c r="OT282" s="132"/>
      <c r="OU282" s="132"/>
      <c r="OV282" s="132"/>
      <c r="OW282" s="132"/>
      <c r="OX282" s="132"/>
      <c r="OY282" s="132"/>
      <c r="OZ282" s="132"/>
      <c r="PA282" s="132"/>
      <c r="PB282" s="132"/>
      <c r="PC282" s="132"/>
      <c r="PD282" s="132"/>
      <c r="PE282" s="132"/>
      <c r="PF282" s="132"/>
      <c r="PG282" s="132"/>
      <c r="PH282" s="132"/>
      <c r="PI282" s="132"/>
      <c r="PJ282" s="132"/>
      <c r="PK282" s="132"/>
      <c r="PL282" s="132"/>
      <c r="PM282" s="132"/>
      <c r="PN282" s="132"/>
      <c r="PO282" s="132"/>
      <c r="PP282" s="132"/>
      <c r="PQ282" s="132"/>
      <c r="PR282" s="132"/>
      <c r="PS282" s="132"/>
      <c r="PT282" s="132"/>
      <c r="PU282" s="132"/>
      <c r="PV282" s="132"/>
      <c r="PW282" s="132"/>
      <c r="PX282" s="132"/>
      <c r="PY282" s="132"/>
      <c r="PZ282" s="132"/>
      <c r="QA282" s="132"/>
      <c r="QB282" s="132"/>
      <c r="QC282" s="132"/>
      <c r="QD282" s="132"/>
      <c r="QE282" s="132"/>
      <c r="QF282" s="132"/>
      <c r="QG282" s="132"/>
      <c r="QH282" s="132"/>
      <c r="QI282" s="132"/>
      <c r="QJ282" s="132"/>
      <c r="QK282" s="132"/>
      <c r="QL282" s="132"/>
      <c r="QM282" s="132"/>
      <c r="QN282" s="132"/>
      <c r="QO282" s="132"/>
      <c r="QP282" s="132"/>
      <c r="QQ282" s="132"/>
      <c r="QR282" s="132"/>
      <c r="QS282" s="132"/>
      <c r="QT282" s="132"/>
      <c r="QU282" s="132"/>
      <c r="QV282" s="132"/>
      <c r="QW282" s="132"/>
      <c r="QX282" s="132"/>
      <c r="QY282" s="132"/>
      <c r="QZ282" s="132"/>
      <c r="RA282" s="132"/>
      <c r="RB282" s="132"/>
      <c r="RC282" s="132"/>
      <c r="RD282" s="132"/>
      <c r="RE282" s="132"/>
      <c r="RF282" s="132"/>
      <c r="RG282" s="132"/>
      <c r="RH282" s="132"/>
      <c r="RI282" s="132"/>
      <c r="RJ282" s="132"/>
      <c r="RK282" s="132"/>
      <c r="RL282" s="132"/>
      <c r="RM282" s="132"/>
      <c r="RN282" s="132"/>
      <c r="RO282" s="132"/>
      <c r="RP282" s="132"/>
      <c r="RQ282" s="132"/>
      <c r="RR282" s="132"/>
      <c r="RS282" s="132"/>
      <c r="RT282" s="132"/>
      <c r="RU282" s="132"/>
      <c r="RV282" s="132"/>
      <c r="RW282" s="132"/>
      <c r="RX282" s="132"/>
      <c r="RY282" s="132"/>
      <c r="RZ282" s="132"/>
      <c r="SA282" s="132"/>
      <c r="SB282" s="132"/>
      <c r="SC282" s="132"/>
      <c r="SD282" s="132"/>
      <c r="SE282" s="132"/>
      <c r="SF282" s="132"/>
      <c r="SG282" s="132"/>
      <c r="SH282" s="132"/>
      <c r="SI282" s="132"/>
      <c r="SJ282" s="132"/>
      <c r="SK282" s="132"/>
      <c r="SL282" s="132"/>
      <c r="SM282" s="132"/>
      <c r="SN282" s="132"/>
      <c r="SO282" s="132"/>
      <c r="SP282" s="132"/>
      <c r="SQ282" s="132"/>
      <c r="SR282" s="132"/>
      <c r="SS282" s="132"/>
      <c r="ST282" s="132"/>
      <c r="SU282" s="132"/>
      <c r="SV282" s="132"/>
      <c r="SW282" s="132"/>
      <c r="SX282" s="132"/>
      <c r="SY282" s="132"/>
      <c r="SZ282" s="132"/>
      <c r="TA282" s="132"/>
      <c r="TB282" s="132"/>
      <c r="TC282" s="132"/>
      <c r="TD282" s="132"/>
      <c r="TE282" s="132"/>
      <c r="TF282" s="132"/>
      <c r="TG282" s="132"/>
      <c r="TH282" s="132"/>
      <c r="TI282" s="132"/>
      <c r="TJ282" s="132"/>
      <c r="TK282" s="132"/>
      <c r="TL282" s="132"/>
      <c r="TM282" s="132"/>
      <c r="TN282" s="132"/>
      <c r="TO282" s="132"/>
      <c r="TP282" s="132"/>
      <c r="TQ282" s="132"/>
      <c r="TR282" s="132"/>
      <c r="TS282" s="132"/>
      <c r="TT282" s="132"/>
      <c r="TU282" s="132"/>
      <c r="TV282" s="132"/>
      <c r="TW282" s="132"/>
      <c r="TX282" s="132"/>
      <c r="TY282" s="132"/>
      <c r="TZ282" s="132"/>
      <c r="UA282" s="132"/>
      <c r="UB282" s="132"/>
      <c r="UC282" s="132"/>
      <c r="UD282" s="132"/>
      <c r="UE282" s="132"/>
      <c r="UF282" s="132"/>
      <c r="UG282" s="132"/>
      <c r="UH282" s="132"/>
      <c r="UI282" s="132"/>
      <c r="UJ282" s="132"/>
      <c r="UK282" s="132"/>
      <c r="UL282" s="132"/>
      <c r="UM282" s="132"/>
      <c r="UN282" s="132"/>
      <c r="UO282" s="132"/>
      <c r="UP282" s="132"/>
      <c r="UQ282" s="132"/>
      <c r="UR282" s="132"/>
      <c r="US282" s="132"/>
      <c r="UT282" s="132"/>
      <c r="UU282" s="132"/>
      <c r="UV282" s="132"/>
      <c r="UW282" s="132"/>
      <c r="UX282" s="132"/>
      <c r="UY282" s="132"/>
      <c r="UZ282" s="132"/>
      <c r="VA282" s="132"/>
      <c r="VB282" s="132"/>
      <c r="VC282" s="132"/>
      <c r="VD282" s="132"/>
      <c r="VE282" s="132"/>
      <c r="VF282" s="132"/>
      <c r="VG282" s="132"/>
      <c r="VH282" s="132"/>
      <c r="VI282" s="132"/>
      <c r="VJ282" s="132"/>
      <c r="VK282" s="132"/>
      <c r="VL282" s="132"/>
      <c r="VM282" s="132"/>
      <c r="VN282" s="132"/>
      <c r="VO282" s="132"/>
      <c r="VP282" s="132"/>
      <c r="VQ282" s="132"/>
      <c r="VR282" s="132"/>
      <c r="VS282" s="132"/>
      <c r="VT282" s="132"/>
      <c r="VU282" s="132"/>
      <c r="VV282" s="132"/>
      <c r="VW282" s="132"/>
      <c r="VX282" s="132"/>
      <c r="VY282" s="132"/>
      <c r="VZ282" s="132"/>
      <c r="WA282" s="132"/>
      <c r="WB282" s="132"/>
      <c r="WC282" s="132"/>
      <c r="WD282" s="132"/>
      <c r="WE282" s="132"/>
      <c r="WF282" s="132"/>
      <c r="WG282" s="132"/>
      <c r="WH282" s="132"/>
      <c r="WI282" s="132"/>
      <c r="WJ282" s="132"/>
      <c r="WK282" s="132"/>
      <c r="WL282" s="132"/>
      <c r="WM282" s="132"/>
      <c r="WN282" s="132"/>
      <c r="WO282" s="132"/>
      <c r="WP282" s="132"/>
      <c r="WQ282" s="132"/>
      <c r="WR282" s="132"/>
      <c r="WS282" s="132"/>
      <c r="WT282" s="132"/>
      <c r="WU282" s="132"/>
      <c r="WV282" s="132"/>
      <c r="WW282" s="132"/>
      <c r="WX282" s="132"/>
      <c r="WY282" s="132"/>
      <c r="WZ282" s="132"/>
      <c r="XA282" s="132"/>
      <c r="XB282" s="132"/>
      <c r="XC282" s="132"/>
      <c r="XD282" s="132"/>
      <c r="XE282" s="132"/>
      <c r="XF282" s="132"/>
      <c r="XG282" s="132"/>
      <c r="XH282" s="132"/>
      <c r="XI282" s="132"/>
      <c r="XJ282" s="132"/>
      <c r="XK282" s="132"/>
      <c r="XL282" s="132"/>
      <c r="XM282" s="132"/>
      <c r="XN282" s="132"/>
      <c r="XO282" s="132"/>
      <c r="XP282" s="132"/>
      <c r="XQ282" s="132"/>
      <c r="XR282" s="132"/>
      <c r="XS282" s="132"/>
      <c r="XT282" s="132"/>
      <c r="XU282" s="132"/>
      <c r="XV282" s="132"/>
      <c r="XW282" s="132"/>
      <c r="XX282" s="132"/>
      <c r="XY282" s="132"/>
      <c r="XZ282" s="132"/>
      <c r="YA282" s="132"/>
      <c r="YB282" s="132"/>
      <c r="YC282" s="132"/>
      <c r="YD282" s="132"/>
      <c r="YE282" s="132"/>
      <c r="YF282" s="132"/>
      <c r="YG282" s="132"/>
      <c r="YH282" s="132"/>
      <c r="YI282" s="132"/>
      <c r="YJ282" s="132"/>
      <c r="YK282" s="132"/>
      <c r="YL282" s="132"/>
      <c r="YM282" s="132"/>
      <c r="YN282" s="132"/>
      <c r="YO282" s="132"/>
      <c r="YP282" s="132"/>
      <c r="YQ282" s="132"/>
      <c r="YR282" s="132"/>
      <c r="YS282" s="132"/>
      <c r="YT282" s="132"/>
      <c r="YU282" s="132"/>
      <c r="YV282" s="132"/>
      <c r="YW282" s="132"/>
      <c r="YX282" s="132"/>
      <c r="YY282" s="132"/>
      <c r="YZ282" s="132"/>
      <c r="ZA282" s="132"/>
      <c r="ZB282" s="132"/>
      <c r="ZC282" s="132"/>
      <c r="ZD282" s="132"/>
      <c r="ZE282" s="132"/>
      <c r="ZF282" s="132"/>
      <c r="ZG282" s="132"/>
      <c r="ZH282" s="132"/>
      <c r="ZI282" s="132"/>
      <c r="ZJ282" s="132"/>
      <c r="ZK282" s="132"/>
      <c r="ZL282" s="132"/>
      <c r="ZM282" s="132"/>
      <c r="ZN282" s="132"/>
      <c r="ZO282" s="132"/>
      <c r="ZP282" s="132"/>
      <c r="ZQ282" s="132"/>
      <c r="ZR282" s="132"/>
      <c r="ZS282" s="132"/>
      <c r="ZT282" s="132"/>
      <c r="ZU282" s="132"/>
      <c r="ZV282" s="132"/>
      <c r="ZW282" s="132"/>
      <c r="ZX282" s="132"/>
      <c r="ZY282" s="132"/>
      <c r="ZZ282" s="132"/>
      <c r="AAA282" s="132"/>
      <c r="AAB282" s="132"/>
      <c r="AAC282" s="132"/>
      <c r="AAD282" s="132"/>
      <c r="AAE282" s="132"/>
      <c r="AAF282" s="132"/>
      <c r="AAG282" s="132"/>
      <c r="AAH282" s="132"/>
      <c r="AAI282" s="132"/>
      <c r="AAJ282" s="132"/>
      <c r="AAK282" s="132"/>
      <c r="AAL282" s="132"/>
      <c r="AAM282" s="132"/>
      <c r="AAN282" s="132"/>
      <c r="AAO282" s="132"/>
      <c r="AAP282" s="132"/>
      <c r="AAQ282" s="132"/>
      <c r="AAR282" s="132"/>
      <c r="AAS282" s="132"/>
      <c r="AAT282" s="132"/>
      <c r="AAU282" s="132"/>
      <c r="AAV282" s="132"/>
      <c r="AAW282" s="132"/>
      <c r="AAX282" s="132"/>
      <c r="AAY282" s="132"/>
      <c r="AAZ282" s="132"/>
      <c r="ABA282" s="132"/>
      <c r="ABB282" s="132"/>
      <c r="ABC282" s="132"/>
      <c r="ABD282" s="132"/>
      <c r="ABE282" s="132"/>
      <c r="ABF282" s="132"/>
      <c r="ABG282" s="132"/>
      <c r="ABH282" s="132"/>
      <c r="ABI282" s="132"/>
      <c r="ABJ282" s="132"/>
      <c r="ABK282" s="132"/>
      <c r="ABL282" s="132"/>
      <c r="ABM282" s="132"/>
      <c r="ABN282" s="132"/>
      <c r="ABO282" s="132"/>
      <c r="ABP282" s="132"/>
      <c r="ABQ282" s="132"/>
      <c r="ABR282" s="132"/>
      <c r="ABS282" s="132"/>
      <c r="ABT282" s="132"/>
      <c r="ABU282" s="132"/>
      <c r="ABV282" s="132"/>
      <c r="ABW282" s="132"/>
      <c r="ABX282" s="132"/>
      <c r="ABY282" s="132"/>
      <c r="ABZ282" s="132"/>
      <c r="ACA282" s="132"/>
      <c r="ACB282" s="132"/>
      <c r="ACC282" s="132"/>
      <c r="ACD282" s="132"/>
      <c r="ACE282" s="132"/>
      <c r="ACF282" s="132"/>
      <c r="ACG282" s="132"/>
      <c r="ACH282" s="132"/>
      <c r="ACI282" s="132"/>
      <c r="ACJ282" s="132"/>
      <c r="ACK282" s="132"/>
      <c r="ACL282" s="132"/>
      <c r="ACM282" s="132"/>
      <c r="ACN282" s="132"/>
      <c r="ACO282" s="132"/>
      <c r="ACP282" s="132"/>
      <c r="ACQ282" s="132"/>
      <c r="ACR282" s="132"/>
      <c r="ACS282" s="132"/>
      <c r="ACT282" s="132"/>
      <c r="ACU282" s="132"/>
      <c r="ACV282" s="132"/>
      <c r="ACW282" s="132"/>
      <c r="ACX282" s="132"/>
      <c r="ACY282" s="132"/>
      <c r="ACZ282" s="132"/>
      <c r="ADA282" s="132"/>
      <c r="ADB282" s="132"/>
      <c r="ADC282" s="132"/>
      <c r="ADD282" s="132"/>
      <c r="ADE282" s="132"/>
      <c r="ADF282" s="132"/>
      <c r="ADG282" s="132"/>
      <c r="ADH282" s="132"/>
      <c r="ADI282" s="132"/>
      <c r="ADJ282" s="132"/>
      <c r="ADK282" s="132"/>
      <c r="ADL282" s="132"/>
      <c r="ADM282" s="132"/>
      <c r="ADN282" s="132"/>
      <c r="ADO282" s="132"/>
      <c r="ADP282" s="132"/>
      <c r="ADQ282" s="132"/>
      <c r="ADR282" s="132"/>
      <c r="ADS282" s="132"/>
      <c r="ADT282" s="132"/>
      <c r="ADU282" s="132"/>
      <c r="ADV282" s="132"/>
      <c r="ADW282" s="132"/>
      <c r="ADX282" s="132"/>
      <c r="ADY282" s="132"/>
      <c r="ADZ282" s="132"/>
      <c r="AEA282" s="132"/>
      <c r="AEB282" s="132"/>
      <c r="AEC282" s="132"/>
      <c r="AED282" s="132"/>
      <c r="AEE282" s="132"/>
      <c r="AEF282" s="132"/>
      <c r="AEG282" s="132"/>
      <c r="AEH282" s="132"/>
      <c r="AEI282" s="132"/>
      <c r="AEJ282" s="132"/>
      <c r="AEK282" s="132"/>
      <c r="AEL282" s="132"/>
      <c r="AEM282" s="132"/>
      <c r="AEN282" s="132"/>
      <c r="AEO282" s="132"/>
      <c r="AEP282" s="132"/>
      <c r="AEQ282" s="132"/>
      <c r="AER282" s="132"/>
      <c r="AES282" s="132"/>
      <c r="AET282" s="132"/>
      <c r="AEU282" s="132"/>
      <c r="AEV282" s="132"/>
      <c r="AEW282" s="132"/>
      <c r="AEX282" s="132"/>
      <c r="AEY282" s="132"/>
      <c r="AEZ282" s="132"/>
      <c r="AFA282" s="132"/>
      <c r="AFB282" s="132"/>
      <c r="AFC282" s="132"/>
      <c r="AFD282" s="132"/>
      <c r="AFE282" s="132"/>
      <c r="AFF282" s="132"/>
      <c r="AFG282" s="132"/>
      <c r="AFH282" s="132"/>
      <c r="AFI282" s="132"/>
      <c r="AFJ282" s="132"/>
      <c r="AFK282" s="132"/>
      <c r="AFL282" s="132"/>
      <c r="AFM282" s="132"/>
      <c r="AFN282" s="132"/>
      <c r="AFO282" s="132"/>
      <c r="AFP282" s="132"/>
      <c r="AFQ282" s="132"/>
      <c r="AFR282" s="132"/>
      <c r="AFS282" s="132"/>
      <c r="AFT282" s="132"/>
      <c r="AFU282" s="132"/>
      <c r="AFV282" s="132"/>
      <c r="AFW282" s="132"/>
      <c r="AFX282" s="132"/>
      <c r="AFY282" s="132"/>
      <c r="AFZ282" s="132"/>
      <c r="AGA282" s="132"/>
      <c r="AGB282" s="132"/>
      <c r="AGC282" s="132"/>
      <c r="AGD282" s="132"/>
      <c r="AGE282" s="132"/>
      <c r="AGF282" s="132"/>
      <c r="AGG282" s="132"/>
      <c r="AGH282" s="132"/>
      <c r="AGI282" s="132"/>
      <c r="AGJ282" s="132"/>
      <c r="AGK282" s="132"/>
      <c r="AGL282" s="132"/>
      <c r="AGM282" s="132"/>
      <c r="AGN282" s="132"/>
      <c r="AGO282" s="132"/>
      <c r="AGP282" s="132"/>
      <c r="AGQ282" s="132"/>
      <c r="AGR282" s="132"/>
      <c r="AGS282" s="132"/>
      <c r="AGT282" s="132"/>
      <c r="AGU282" s="132"/>
      <c r="AGV282" s="132"/>
      <c r="AGW282" s="132"/>
      <c r="AGX282" s="132"/>
      <c r="AGY282" s="132"/>
      <c r="AGZ282" s="132"/>
      <c r="AHA282" s="132"/>
      <c r="AHB282" s="132"/>
      <c r="AHC282" s="132"/>
      <c r="AHD282" s="132"/>
      <c r="AHE282" s="132"/>
      <c r="AHF282" s="132"/>
      <c r="AHG282" s="132"/>
      <c r="AHH282" s="132"/>
      <c r="AHI282" s="132"/>
      <c r="AHJ282" s="132"/>
      <c r="AHK282" s="132"/>
      <c r="AHL282" s="132"/>
      <c r="AHM282" s="132"/>
      <c r="AHN282" s="132"/>
      <c r="AHO282" s="132"/>
      <c r="AHP282" s="132"/>
      <c r="AHQ282" s="132"/>
      <c r="AHR282" s="132"/>
      <c r="AHS282" s="132"/>
      <c r="AHT282" s="132"/>
      <c r="AHU282" s="132"/>
      <c r="AHV282" s="132"/>
      <c r="AHW282" s="132"/>
      <c r="AHX282" s="132"/>
      <c r="AHY282" s="132"/>
      <c r="AHZ282" s="132"/>
      <c r="AIA282" s="132"/>
      <c r="AIB282" s="132"/>
      <c r="AIC282" s="132"/>
      <c r="AID282" s="132"/>
      <c r="AIE282" s="132"/>
      <c r="AIF282" s="132"/>
      <c r="AIG282" s="132"/>
      <c r="AIH282" s="132"/>
      <c r="AII282" s="132"/>
      <c r="AIJ282" s="132"/>
      <c r="AIK282" s="132"/>
      <c r="AIL282" s="132"/>
      <c r="AIM282" s="132"/>
      <c r="AIN282" s="132"/>
      <c r="AIO282" s="132"/>
      <c r="AIP282" s="132"/>
      <c r="AIQ282" s="132"/>
      <c r="AIR282" s="132"/>
      <c r="AIS282" s="132"/>
      <c r="AIT282" s="132"/>
      <c r="AIU282" s="132"/>
      <c r="AIV282" s="132"/>
      <c r="AIW282" s="132"/>
      <c r="AIX282" s="132"/>
      <c r="AIY282" s="132"/>
      <c r="AIZ282" s="132"/>
      <c r="AJA282" s="132"/>
      <c r="AJB282" s="132"/>
      <c r="AJC282" s="132"/>
      <c r="AJD282" s="132"/>
      <c r="AJE282" s="132"/>
      <c r="AJF282" s="132"/>
      <c r="AJG282" s="132"/>
      <c r="AJH282" s="132"/>
      <c r="AJI282" s="132"/>
      <c r="AJJ282" s="132"/>
      <c r="AJK282" s="132"/>
      <c r="AJL282" s="132"/>
      <c r="AJM282" s="132"/>
      <c r="AJN282" s="132"/>
      <c r="AJO282" s="132"/>
      <c r="AJP282" s="132"/>
      <c r="AJQ282" s="132"/>
      <c r="AJR282" s="132"/>
      <c r="AJS282" s="132"/>
      <c r="AJT282" s="132"/>
      <c r="AJU282" s="132"/>
      <c r="AJV282" s="132"/>
      <c r="AJW282" s="132"/>
      <c r="AJX282" s="132"/>
      <c r="AJY282" s="132"/>
      <c r="AJZ282" s="132"/>
      <c r="AKA282" s="132"/>
      <c r="AKB282" s="132"/>
      <c r="AKC282" s="132"/>
      <c r="AKD282" s="132"/>
      <c r="AKE282" s="132"/>
      <c r="AKF282" s="132"/>
      <c r="AKG282" s="132"/>
      <c r="AKH282" s="132"/>
      <c r="AKI282" s="132"/>
      <c r="AKJ282" s="132"/>
      <c r="AKK282" s="132"/>
      <c r="AKL282" s="132"/>
      <c r="AKM282" s="132"/>
      <c r="AKN282" s="132"/>
      <c r="AKO282" s="132"/>
      <c r="AKP282" s="132"/>
      <c r="AKQ282" s="132"/>
      <c r="AKR282" s="132"/>
      <c r="AKS282" s="132"/>
      <c r="AKT282" s="132"/>
      <c r="AKU282" s="132"/>
      <c r="AKV282" s="132"/>
      <c r="AKW282" s="132"/>
      <c r="AKX282" s="132"/>
      <c r="AKY282" s="132"/>
      <c r="AKZ282" s="132"/>
      <c r="ALA282" s="132"/>
      <c r="ALB282" s="132"/>
      <c r="ALC282" s="132"/>
      <c r="ALD282" s="132"/>
      <c r="ALE282" s="132"/>
      <c r="ALF282" s="132"/>
      <c r="ALG282" s="132"/>
      <c r="ALH282" s="132"/>
      <c r="ALI282" s="132"/>
      <c r="ALJ282" s="132"/>
      <c r="ALK282" s="132"/>
      <c r="ALL282" s="132"/>
      <c r="ALM282" s="132"/>
      <c r="ALN282" s="132"/>
      <c r="ALO282" s="132"/>
      <c r="ALP282" s="132"/>
      <c r="ALQ282" s="132"/>
      <c r="ALR282" s="132"/>
      <c r="ALS282" s="132"/>
      <c r="ALT282" s="132"/>
      <c r="ALU282" s="132"/>
      <c r="ALV282" s="132"/>
      <c r="ALW282" s="132"/>
      <c r="ALX282" s="132"/>
      <c r="ALY282" s="132"/>
      <c r="ALZ282" s="132"/>
      <c r="AMA282" s="132"/>
      <c r="AMB282" s="132"/>
      <c r="AMC282" s="132"/>
      <c r="AMD282" s="132"/>
      <c r="AME282" s="132"/>
      <c r="AMF282" s="132"/>
      <c r="AMG282" s="132"/>
      <c r="AMH282" s="132"/>
      <c r="AMI282" s="132"/>
      <c r="AMJ282" s="132"/>
      <c r="AMK282" s="132"/>
      <c r="AML282" s="132"/>
      <c r="AMM282" s="132"/>
      <c r="AMN282" s="132"/>
      <c r="AMO282" s="132"/>
      <c r="AMP282" s="132"/>
    </row>
    <row r="283" spans="1:1030" s="12" customFormat="1" x14ac:dyDescent="0.2">
      <c r="A283" s="9" t="str">
        <f t="shared" si="1034"/>
        <v>calrl_human_6E3Y</v>
      </c>
      <c r="B283" s="40" t="s">
        <v>402</v>
      </c>
      <c r="C283" s="9" t="s">
        <v>1534</v>
      </c>
      <c r="D283" s="9" t="str">
        <f>IFERROR(MID(VLOOKUP($B283,Seqs!$A:$B,2,0),E283,1),"")</f>
        <v>N</v>
      </c>
      <c r="E283" s="9">
        <v>130</v>
      </c>
      <c r="F283" s="9" t="str">
        <f>IFERROR(MID(VLOOKUP($B283,Seqs!$A:$B,2,0),G283,1),"")</f>
        <v>F</v>
      </c>
      <c r="G283" s="9">
        <v>166</v>
      </c>
      <c r="H283" s="9" t="str">
        <f>IFERROR(MID(VLOOKUP($B283,Seqs!$A:$B,2,0),I283,1),"")</f>
        <v/>
      </c>
      <c r="I283" s="109" t="s">
        <v>23</v>
      </c>
      <c r="J283" s="9" t="str">
        <f>IFERROR(MID(VLOOKUP($B283,Seqs!$A:$B,2,0),K283,1),"")</f>
        <v/>
      </c>
      <c r="K283" s="109" t="s">
        <v>23</v>
      </c>
      <c r="L283" s="9" t="str">
        <f>IFERROR(MID(VLOOKUP($B283,Seqs!$A:$B,2,0),M283,1),"")</f>
        <v>C</v>
      </c>
      <c r="M283" s="9">
        <v>171</v>
      </c>
      <c r="N283" s="9" t="str">
        <f>IFERROR(MID(VLOOKUP($B283,Seqs!$A:$B,2,0),O283,1),"")</f>
        <v>V</v>
      </c>
      <c r="O283" s="9">
        <v>198</v>
      </c>
      <c r="P283" s="9" t="str">
        <f>IFERROR(MID(VLOOKUP($B283,Seqs!$A:$B,2,0),Q283,1),"")</f>
        <v/>
      </c>
      <c r="Q283" s="9" t="s">
        <v>23</v>
      </c>
      <c r="R283" s="9" t="str">
        <f>IFERROR(MID(VLOOKUP($B283,Seqs!$A:$B,2,0),S283,1),"")</f>
        <v/>
      </c>
      <c r="S283" s="9" t="s">
        <v>23</v>
      </c>
      <c r="T283" s="9" t="str">
        <f>IFERROR(MID(VLOOKUP($B283,Seqs!$A:$B,2,0),U283,1),"")</f>
        <v>V</v>
      </c>
      <c r="U283" s="9">
        <v>210</v>
      </c>
      <c r="V283" s="9" t="str">
        <f>IFERROR(MID(VLOOKUP($B283,Seqs!$A:$B,2,0),W283,1),"")</f>
        <v>V</v>
      </c>
      <c r="W283" s="9">
        <v>242</v>
      </c>
      <c r="X283" s="9" t="str">
        <f>IFERROR(MID(VLOOKUP($B283,Seqs!$A:$B,2,0),Y283,1),"")</f>
        <v/>
      </c>
      <c r="Y283" s="9" t="s">
        <v>23</v>
      </c>
      <c r="Z283" s="9" t="str">
        <f>IFERROR(MID(VLOOKUP($B283,Seqs!$A:$B,2,0),AA283,1),"")</f>
        <v/>
      </c>
      <c r="AA283" s="9" t="s">
        <v>23</v>
      </c>
      <c r="AB283" s="9" t="str">
        <f>IFERROR(MID(VLOOKUP($B283,Seqs!$A:$B,2,0),AC283,1),"")</f>
        <v>M</v>
      </c>
      <c r="AC283" s="9">
        <v>253</v>
      </c>
      <c r="AD283" s="9" t="str">
        <f>IFERROR(MID(VLOOKUP($B283,Seqs!$A:$B,2,0),AE283,1),"")</f>
        <v>Y</v>
      </c>
      <c r="AE283" s="9">
        <v>277</v>
      </c>
      <c r="AF283" s="9" t="str">
        <f>IFERROR(MID(VLOOKUP($B283,Seqs!$A:$B,2,0),AG283,1),"")</f>
        <v>C</v>
      </c>
      <c r="AG283" s="9">
        <v>282</v>
      </c>
      <c r="AH283" s="9" t="str">
        <f>IFERROR(MID(VLOOKUP($B283,Seqs!$A:$B,2,0),AI283,1),"")</f>
        <v>I</v>
      </c>
      <c r="AI283" s="9">
        <v>284</v>
      </c>
      <c r="AJ283" s="9" t="str">
        <f>IFERROR(MID(VLOOKUP($B283,Seqs!$A:$B,2,0),AK283,1),"")</f>
        <v>L</v>
      </c>
      <c r="AK283" s="9">
        <v>290</v>
      </c>
      <c r="AL283" s="9" t="str">
        <f>IFERROR(MID(VLOOKUP($B283,Seqs!$A:$B,2,0),AM283,1),"")</f>
        <v>K</v>
      </c>
      <c r="AM283" s="9">
        <v>321</v>
      </c>
      <c r="AN283" s="9" t="str">
        <f>IFERROR(MID(VLOOKUP($B283,Seqs!$A:$B,2,0),AO283,1),"")</f>
        <v>N</v>
      </c>
      <c r="AO283" s="9">
        <v>329</v>
      </c>
      <c r="AP283" s="9" t="str">
        <f>IFERROR(MID(VLOOKUP($B283,Seqs!$A:$B,2,0),AQ283,1),"")</f>
        <v>V</v>
      </c>
      <c r="AQ283" s="9">
        <v>350</v>
      </c>
      <c r="AR283" s="9" t="str">
        <f>IFERROR(MID(VLOOKUP($B283,Seqs!$A:$B,2,0),AS283,1),"")</f>
        <v>V</v>
      </c>
      <c r="AS283" s="9">
        <v>364</v>
      </c>
      <c r="AT283" s="9" t="str">
        <f>IFERROR(MID(VLOOKUP($B283,Seqs!$A:$B,2,0),AU283,1),"")</f>
        <v>F</v>
      </c>
      <c r="AU283" s="9">
        <v>387</v>
      </c>
      <c r="AV283" s="9" t="str">
        <f>IFERROR(MID(VLOOKUP($B283,Seqs!$A:$B,2,0),AW283,1),"")</f>
        <v>N</v>
      </c>
      <c r="AW283" s="9">
        <v>388</v>
      </c>
      <c r="AX283" s="9" t="str">
        <f>IFERROR(MID(VLOOKUP($B283,Seqs!$A:$B,2,0),AY283,1),"")</f>
        <v>W</v>
      </c>
      <c r="AY283" s="9">
        <v>399</v>
      </c>
      <c r="AZ283" s="110" t="str">
        <f>VLOOKUP(B283,Classification!A:D,2,0)</f>
        <v>B1</v>
      </c>
      <c r="BA283" s="98" t="str">
        <f>VLOOKUP(B283,Classification!A:D,4,0)</f>
        <v>Calcitonin</v>
      </c>
      <c r="BB283" s="36" t="b">
        <f t="shared" ref="BB283" si="1062">AND(E283&lt;G283,OR(G283&lt;I283,I283="-"),OR(I283&lt;K283,I283="-"),OR(K283&lt;M283,K283="-"),M283&lt;O283,OR(O283&lt;Q283,Q283="-"),OR(Q283&lt;S283,Q283="-"),OR(S283&lt;U283,S283="-"),U283&lt;W283,OR(W283&lt;Y283,Y283="-"),OR(Y283&lt;AA283,Y283="-"),OR(AA283&lt;AC283,AA283="-"),AC283&lt;AE283,OR(AE283&lt;AG283,AG283="-"),OR(AG283&lt;AI283,AG283="-"),OR(AI283&lt;AK283,AI283="-"),AK283&lt;AM283,AM283&lt;AO283,AO283&lt;AQ283,AQ283&lt;AS283,AS283&lt;AU283,OR(AU283&lt;AW283,AW283="-"),OR(AW283&lt;AY283,AW283="-"))</f>
        <v>1</v>
      </c>
      <c r="BC283" s="109">
        <f t="shared" ref="BC283" si="1063">_xlfn.AGGREGATE(9,6,CH283:CS283)-_xlfn.AGGREGATE(9,6,BV283:CG283)+12</f>
        <v>219</v>
      </c>
      <c r="BD283" s="11" t="s">
        <v>1382</v>
      </c>
      <c r="BE283" s="9" t="s">
        <v>1297</v>
      </c>
      <c r="BF283" s="120">
        <v>3.3</v>
      </c>
      <c r="BG283" s="51" t="s">
        <v>1433</v>
      </c>
      <c r="BH283" s="51" t="s">
        <v>1433</v>
      </c>
      <c r="BJ283" s="111" t="s">
        <v>1293</v>
      </c>
      <c r="BK283" s="112" t="s">
        <v>1293</v>
      </c>
      <c r="BL283" s="112" t="s">
        <v>1293</v>
      </c>
      <c r="BM283" s="112" t="s">
        <v>1293</v>
      </c>
      <c r="BN283" s="112" t="s">
        <v>1293</v>
      </c>
      <c r="BO283" s="112" t="s">
        <v>1293</v>
      </c>
      <c r="BP283" s="112" t="s">
        <v>1293</v>
      </c>
      <c r="BQ283" s="112" t="s">
        <v>1293</v>
      </c>
      <c r="BR283" s="112" t="s">
        <v>1293</v>
      </c>
      <c r="BS283" s="112" t="s">
        <v>1293</v>
      </c>
      <c r="BT283" s="112" t="s">
        <v>1293</v>
      </c>
      <c r="BU283" s="112" t="s">
        <v>1293</v>
      </c>
      <c r="BV283" s="111">
        <f t="shared" ref="BV283" si="1064">E283</f>
        <v>130</v>
      </c>
      <c r="BW283" s="113" t="str">
        <f t="shared" ref="BW283" si="1065">I283</f>
        <v>-</v>
      </c>
      <c r="BX283" s="114">
        <f t="shared" ref="BX283" si="1066">M283</f>
        <v>171</v>
      </c>
      <c r="BY283" s="113" t="str">
        <f t="shared" ref="BY283" si="1067">Q283</f>
        <v>-</v>
      </c>
      <c r="BZ283" s="114">
        <f t="shared" ref="BZ283" si="1068">U283</f>
        <v>210</v>
      </c>
      <c r="CA283" s="113" t="str">
        <f t="shared" ref="CA283" si="1069">Y283</f>
        <v>-</v>
      </c>
      <c r="CB283" s="114">
        <f t="shared" ref="CB283" si="1070">AC283</f>
        <v>253</v>
      </c>
      <c r="CC283" s="113">
        <f t="shared" ref="CC283" si="1071">AG283</f>
        <v>282</v>
      </c>
      <c r="CD283" s="114">
        <f t="shared" ref="CD283" si="1072">AK283</f>
        <v>290</v>
      </c>
      <c r="CE283" s="113">
        <f t="shared" ref="CE283" si="1073">AO283</f>
        <v>329</v>
      </c>
      <c r="CF283" s="114">
        <f t="shared" ref="CF283" si="1074">AS283</f>
        <v>364</v>
      </c>
      <c r="CG283" s="113">
        <f t="shared" ref="CG283" si="1075">AW283</f>
        <v>388</v>
      </c>
      <c r="CH283" s="111">
        <f t="shared" ref="CH283" si="1076">G283</f>
        <v>166</v>
      </c>
      <c r="CI283" s="113" t="str">
        <f t="shared" ref="CI283" si="1077">K283</f>
        <v>-</v>
      </c>
      <c r="CJ283" s="114">
        <f t="shared" ref="CJ283" si="1078">O283</f>
        <v>198</v>
      </c>
      <c r="CK283" s="114" t="str">
        <f t="shared" ref="CK283" si="1079">S283</f>
        <v>-</v>
      </c>
      <c r="CL283" s="114">
        <f t="shared" ref="CL283" si="1080">W283</f>
        <v>242</v>
      </c>
      <c r="CM283" s="114" t="str">
        <f t="shared" ref="CM283" si="1081">AA283</f>
        <v>-</v>
      </c>
      <c r="CN283" s="114">
        <f t="shared" ref="CN283" si="1082">AE283</f>
        <v>277</v>
      </c>
      <c r="CO283" s="114">
        <f t="shared" ref="CO283" si="1083">AI283</f>
        <v>284</v>
      </c>
      <c r="CP283" s="114">
        <f t="shared" ref="CP283" si="1084">AM283</f>
        <v>321</v>
      </c>
      <c r="CQ283" s="114">
        <f t="shared" ref="CQ283" si="1085">AQ283</f>
        <v>350</v>
      </c>
      <c r="CR283" s="114">
        <f t="shared" ref="CR283" si="1086">AU283</f>
        <v>387</v>
      </c>
      <c r="CS283" s="114">
        <f t="shared" ref="CS283" si="1087">AY283</f>
        <v>399</v>
      </c>
      <c r="CT283" s="109" t="e">
        <f t="shared" ref="CT283" si="1088">M283-K283</f>
        <v>#VALUE!</v>
      </c>
      <c r="CU283" s="132"/>
      <c r="CV283" s="132"/>
      <c r="CW283" s="132"/>
      <c r="CX283" s="132"/>
      <c r="CY283" s="132"/>
      <c r="CZ283" s="132"/>
      <c r="DA283" s="132"/>
      <c r="DB283" s="132"/>
      <c r="DC283" s="132"/>
      <c r="DD283" s="132"/>
      <c r="DE283" s="132"/>
      <c r="DF283" s="132"/>
      <c r="DG283" s="132"/>
      <c r="DH283" s="132"/>
      <c r="DI283" s="132"/>
      <c r="DJ283" s="132"/>
      <c r="DK283" s="132"/>
      <c r="DL283" s="132"/>
      <c r="DM283" s="132"/>
      <c r="DN283" s="132"/>
      <c r="DO283" s="132"/>
      <c r="DP283" s="132"/>
      <c r="DQ283" s="132"/>
      <c r="DR283" s="132"/>
      <c r="DS283" s="132"/>
      <c r="DT283" s="132"/>
      <c r="DU283" s="132"/>
      <c r="DV283" s="132"/>
      <c r="DW283" s="132"/>
      <c r="DX283" s="132"/>
      <c r="DY283" s="132"/>
      <c r="DZ283" s="132"/>
      <c r="EA283" s="132"/>
      <c r="EB283" s="132"/>
      <c r="EC283" s="132"/>
      <c r="ED283" s="132"/>
      <c r="EE283" s="132"/>
      <c r="EF283" s="132"/>
      <c r="EG283" s="132"/>
      <c r="EH283" s="132"/>
      <c r="EI283" s="132"/>
      <c r="EJ283" s="132"/>
      <c r="EK283" s="132"/>
      <c r="EL283" s="132"/>
      <c r="EM283" s="132"/>
      <c r="EN283" s="132"/>
      <c r="EO283" s="132"/>
      <c r="EP283" s="132"/>
      <c r="EQ283" s="132"/>
      <c r="ER283" s="132"/>
      <c r="ES283" s="132"/>
      <c r="ET283" s="132"/>
      <c r="EU283" s="132"/>
      <c r="EV283" s="132"/>
      <c r="EW283" s="132"/>
      <c r="EX283" s="132"/>
      <c r="EY283" s="132"/>
      <c r="EZ283" s="132"/>
      <c r="FA283" s="132"/>
      <c r="FB283" s="132"/>
      <c r="FC283" s="132"/>
      <c r="FD283" s="132"/>
      <c r="FE283" s="132"/>
      <c r="FF283" s="132"/>
      <c r="FG283" s="132"/>
      <c r="FH283" s="132"/>
      <c r="FI283" s="132"/>
      <c r="FJ283" s="132"/>
      <c r="FK283" s="132"/>
      <c r="FL283" s="132"/>
      <c r="FM283" s="132"/>
      <c r="FN283" s="132"/>
      <c r="FO283" s="132"/>
      <c r="FP283" s="132"/>
      <c r="FQ283" s="132"/>
      <c r="FR283" s="132"/>
      <c r="FS283" s="132"/>
      <c r="FT283" s="132"/>
      <c r="FU283" s="132"/>
      <c r="FV283" s="132"/>
      <c r="FW283" s="132"/>
      <c r="FX283" s="132"/>
      <c r="FY283" s="132"/>
      <c r="FZ283" s="132"/>
      <c r="GA283" s="132"/>
      <c r="GB283" s="132"/>
      <c r="GC283" s="132"/>
      <c r="GD283" s="132"/>
      <c r="GE283" s="132"/>
      <c r="GF283" s="132"/>
      <c r="GG283" s="132"/>
      <c r="GH283" s="132"/>
      <c r="GI283" s="132"/>
      <c r="GJ283" s="132"/>
      <c r="GK283" s="132"/>
      <c r="GL283" s="132"/>
      <c r="GM283" s="132"/>
      <c r="GN283" s="132"/>
      <c r="GO283" s="132"/>
      <c r="GP283" s="132"/>
      <c r="GQ283" s="132"/>
      <c r="GR283" s="132"/>
      <c r="GS283" s="132"/>
      <c r="GT283" s="132"/>
      <c r="GU283" s="132"/>
      <c r="GV283" s="132"/>
      <c r="GW283" s="132"/>
      <c r="GX283" s="132"/>
      <c r="GY283" s="132"/>
      <c r="GZ283" s="132"/>
      <c r="HA283" s="132"/>
      <c r="HB283" s="132"/>
      <c r="HC283" s="132"/>
      <c r="HD283" s="132"/>
      <c r="HE283" s="132"/>
      <c r="HF283" s="132"/>
      <c r="HG283" s="132"/>
      <c r="HH283" s="132"/>
      <c r="HI283" s="132"/>
      <c r="HJ283" s="132"/>
      <c r="HK283" s="132"/>
      <c r="HL283" s="132"/>
      <c r="HM283" s="132"/>
      <c r="HN283" s="132"/>
      <c r="HO283" s="132"/>
      <c r="HP283" s="132"/>
      <c r="HQ283" s="132"/>
      <c r="HR283" s="132"/>
      <c r="HS283" s="132"/>
      <c r="HT283" s="132"/>
      <c r="HU283" s="132"/>
      <c r="HV283" s="132"/>
      <c r="HW283" s="132"/>
      <c r="HX283" s="132"/>
      <c r="HY283" s="132"/>
      <c r="HZ283" s="132"/>
      <c r="IA283" s="132"/>
      <c r="IB283" s="132"/>
      <c r="IC283" s="132"/>
      <c r="ID283" s="132"/>
      <c r="IE283" s="132"/>
      <c r="IF283" s="132"/>
      <c r="IG283" s="132"/>
      <c r="IH283" s="132"/>
      <c r="II283" s="132"/>
      <c r="IJ283" s="132"/>
      <c r="IK283" s="132"/>
      <c r="IL283" s="132"/>
      <c r="IM283" s="132"/>
      <c r="IN283" s="132"/>
      <c r="IO283" s="132"/>
      <c r="IP283" s="132"/>
      <c r="IQ283" s="132"/>
      <c r="IR283" s="132"/>
      <c r="IS283" s="132"/>
      <c r="IT283" s="132"/>
      <c r="IU283" s="132"/>
      <c r="IV283" s="132"/>
      <c r="IW283" s="132"/>
      <c r="IX283" s="132"/>
      <c r="IY283" s="132"/>
      <c r="IZ283" s="132"/>
      <c r="JA283" s="132"/>
      <c r="JB283" s="132"/>
      <c r="JC283" s="132"/>
      <c r="JD283" s="132"/>
      <c r="JE283" s="132"/>
      <c r="JF283" s="132"/>
      <c r="JG283" s="132"/>
      <c r="JH283" s="132"/>
      <c r="JI283" s="132"/>
      <c r="JJ283" s="132"/>
      <c r="JK283" s="132"/>
      <c r="JL283" s="132"/>
      <c r="JM283" s="132"/>
      <c r="JN283" s="132"/>
      <c r="JO283" s="132"/>
      <c r="JP283" s="132"/>
      <c r="JQ283" s="132"/>
      <c r="JR283" s="132"/>
      <c r="JS283" s="132"/>
      <c r="JT283" s="132"/>
      <c r="JU283" s="132"/>
      <c r="JV283" s="132"/>
      <c r="JW283" s="132"/>
      <c r="JX283" s="132"/>
      <c r="JY283" s="132"/>
      <c r="JZ283" s="132"/>
      <c r="KA283" s="132"/>
      <c r="KB283" s="132"/>
      <c r="KC283" s="132"/>
      <c r="KD283" s="132"/>
      <c r="KE283" s="132"/>
      <c r="KF283" s="132"/>
      <c r="KG283" s="132"/>
      <c r="KH283" s="132"/>
      <c r="KI283" s="132"/>
      <c r="KJ283" s="132"/>
      <c r="KK283" s="132"/>
      <c r="KL283" s="132"/>
      <c r="KM283" s="132"/>
      <c r="KN283" s="132"/>
      <c r="KO283" s="132"/>
      <c r="KP283" s="132"/>
      <c r="KQ283" s="132"/>
      <c r="KR283" s="132"/>
      <c r="KS283" s="132"/>
      <c r="KT283" s="132"/>
      <c r="KU283" s="132"/>
      <c r="KV283" s="132"/>
      <c r="KW283" s="132"/>
      <c r="KX283" s="132"/>
      <c r="KY283" s="132"/>
      <c r="KZ283" s="132"/>
      <c r="LA283" s="132"/>
      <c r="LB283" s="132"/>
      <c r="LC283" s="132"/>
      <c r="LD283" s="132"/>
      <c r="LE283" s="132"/>
      <c r="LF283" s="132"/>
      <c r="LG283" s="132"/>
      <c r="LH283" s="132"/>
      <c r="LI283" s="132"/>
      <c r="LJ283" s="132"/>
      <c r="LK283" s="132"/>
      <c r="LL283" s="132"/>
      <c r="LM283" s="132"/>
      <c r="LN283" s="132"/>
      <c r="LO283" s="132"/>
      <c r="LP283" s="132"/>
      <c r="LQ283" s="132"/>
      <c r="LR283" s="132"/>
      <c r="LS283" s="132"/>
      <c r="LT283" s="132"/>
      <c r="LU283" s="132"/>
      <c r="LV283" s="132"/>
      <c r="LW283" s="132"/>
      <c r="LX283" s="132"/>
      <c r="LY283" s="132"/>
      <c r="LZ283" s="132"/>
      <c r="MA283" s="132"/>
      <c r="MB283" s="132"/>
      <c r="MC283" s="132"/>
      <c r="MD283" s="132"/>
      <c r="ME283" s="132"/>
      <c r="MF283" s="132"/>
      <c r="MG283" s="132"/>
      <c r="MH283" s="132"/>
      <c r="MI283" s="132"/>
      <c r="MJ283" s="132"/>
      <c r="MK283" s="132"/>
      <c r="ML283" s="132"/>
      <c r="MM283" s="132"/>
      <c r="MN283" s="132"/>
      <c r="MO283" s="132"/>
      <c r="MP283" s="132"/>
      <c r="MQ283" s="132"/>
      <c r="MR283" s="132"/>
      <c r="MS283" s="132"/>
      <c r="MT283" s="132"/>
      <c r="MU283" s="132"/>
      <c r="MV283" s="132"/>
      <c r="MW283" s="132"/>
      <c r="MX283" s="132"/>
      <c r="MY283" s="132"/>
      <c r="MZ283" s="132"/>
      <c r="NA283" s="132"/>
      <c r="NB283" s="132"/>
      <c r="NC283" s="132"/>
      <c r="ND283" s="132"/>
      <c r="NE283" s="132"/>
      <c r="NF283" s="132"/>
      <c r="NG283" s="132"/>
      <c r="NH283" s="132"/>
      <c r="NI283" s="132"/>
      <c r="NJ283" s="132"/>
      <c r="NK283" s="132"/>
      <c r="NL283" s="132"/>
      <c r="NM283" s="132"/>
      <c r="NN283" s="132"/>
      <c r="NO283" s="132"/>
      <c r="NP283" s="132"/>
      <c r="NQ283" s="132"/>
      <c r="NR283" s="132"/>
      <c r="NS283" s="132"/>
      <c r="NT283" s="132"/>
      <c r="NU283" s="132"/>
      <c r="NV283" s="132"/>
      <c r="NW283" s="132"/>
      <c r="NX283" s="132"/>
      <c r="NY283" s="132"/>
      <c r="NZ283" s="132"/>
      <c r="OA283" s="132"/>
      <c r="OB283" s="132"/>
      <c r="OC283" s="132"/>
      <c r="OD283" s="132"/>
      <c r="OE283" s="132"/>
      <c r="OF283" s="132"/>
      <c r="OG283" s="132"/>
      <c r="OH283" s="132"/>
      <c r="OI283" s="132"/>
      <c r="OJ283" s="132"/>
      <c r="OK283" s="132"/>
      <c r="OL283" s="132"/>
      <c r="OM283" s="132"/>
      <c r="ON283" s="132"/>
      <c r="OO283" s="132"/>
      <c r="OP283" s="132"/>
      <c r="OQ283" s="132"/>
      <c r="OR283" s="132"/>
      <c r="OS283" s="132"/>
      <c r="OT283" s="132"/>
      <c r="OU283" s="132"/>
      <c r="OV283" s="132"/>
      <c r="OW283" s="132"/>
      <c r="OX283" s="132"/>
      <c r="OY283" s="132"/>
      <c r="OZ283" s="132"/>
      <c r="PA283" s="132"/>
      <c r="PB283" s="132"/>
      <c r="PC283" s="132"/>
      <c r="PD283" s="132"/>
      <c r="PE283" s="132"/>
      <c r="PF283" s="132"/>
      <c r="PG283" s="132"/>
      <c r="PH283" s="132"/>
      <c r="PI283" s="132"/>
      <c r="PJ283" s="132"/>
      <c r="PK283" s="132"/>
      <c r="PL283" s="132"/>
      <c r="PM283" s="132"/>
      <c r="PN283" s="132"/>
      <c r="PO283" s="132"/>
      <c r="PP283" s="132"/>
      <c r="PQ283" s="132"/>
      <c r="PR283" s="132"/>
      <c r="PS283" s="132"/>
      <c r="PT283" s="132"/>
      <c r="PU283" s="132"/>
      <c r="PV283" s="132"/>
      <c r="PW283" s="132"/>
      <c r="PX283" s="132"/>
      <c r="PY283" s="132"/>
      <c r="PZ283" s="132"/>
      <c r="QA283" s="132"/>
      <c r="QB283" s="132"/>
      <c r="QC283" s="132"/>
      <c r="QD283" s="132"/>
      <c r="QE283" s="132"/>
      <c r="QF283" s="132"/>
      <c r="QG283" s="132"/>
      <c r="QH283" s="132"/>
      <c r="QI283" s="132"/>
      <c r="QJ283" s="132"/>
      <c r="QK283" s="132"/>
      <c r="QL283" s="132"/>
      <c r="QM283" s="132"/>
      <c r="QN283" s="132"/>
      <c r="QO283" s="132"/>
      <c r="QP283" s="132"/>
      <c r="QQ283" s="132"/>
      <c r="QR283" s="132"/>
      <c r="QS283" s="132"/>
      <c r="QT283" s="132"/>
      <c r="QU283" s="132"/>
      <c r="QV283" s="132"/>
      <c r="QW283" s="132"/>
      <c r="QX283" s="132"/>
      <c r="QY283" s="132"/>
      <c r="QZ283" s="132"/>
      <c r="RA283" s="132"/>
      <c r="RB283" s="132"/>
      <c r="RC283" s="132"/>
      <c r="RD283" s="132"/>
      <c r="RE283" s="132"/>
      <c r="RF283" s="132"/>
      <c r="RG283" s="132"/>
      <c r="RH283" s="132"/>
      <c r="RI283" s="132"/>
      <c r="RJ283" s="132"/>
      <c r="RK283" s="132"/>
      <c r="RL283" s="132"/>
      <c r="RM283" s="132"/>
      <c r="RN283" s="132"/>
      <c r="RO283" s="132"/>
      <c r="RP283" s="132"/>
      <c r="RQ283" s="132"/>
      <c r="RR283" s="132"/>
      <c r="RS283" s="132"/>
      <c r="RT283" s="132"/>
      <c r="RU283" s="132"/>
      <c r="RV283" s="132"/>
      <c r="RW283" s="132"/>
      <c r="RX283" s="132"/>
      <c r="RY283" s="132"/>
      <c r="RZ283" s="132"/>
      <c r="SA283" s="132"/>
      <c r="SB283" s="132"/>
      <c r="SC283" s="132"/>
      <c r="SD283" s="132"/>
      <c r="SE283" s="132"/>
      <c r="SF283" s="132"/>
      <c r="SG283" s="132"/>
      <c r="SH283" s="132"/>
      <c r="SI283" s="132"/>
      <c r="SJ283" s="132"/>
      <c r="SK283" s="132"/>
      <c r="SL283" s="132"/>
      <c r="SM283" s="132"/>
      <c r="SN283" s="132"/>
      <c r="SO283" s="132"/>
      <c r="SP283" s="132"/>
      <c r="SQ283" s="132"/>
      <c r="SR283" s="132"/>
      <c r="SS283" s="132"/>
      <c r="ST283" s="132"/>
      <c r="SU283" s="132"/>
      <c r="SV283" s="132"/>
      <c r="SW283" s="132"/>
      <c r="SX283" s="132"/>
      <c r="SY283" s="132"/>
      <c r="SZ283" s="132"/>
      <c r="TA283" s="132"/>
      <c r="TB283" s="132"/>
      <c r="TC283" s="132"/>
      <c r="TD283" s="132"/>
      <c r="TE283" s="132"/>
      <c r="TF283" s="132"/>
      <c r="TG283" s="132"/>
      <c r="TH283" s="132"/>
      <c r="TI283" s="132"/>
      <c r="TJ283" s="132"/>
      <c r="TK283" s="132"/>
      <c r="TL283" s="132"/>
      <c r="TM283" s="132"/>
      <c r="TN283" s="132"/>
      <c r="TO283" s="132"/>
      <c r="TP283" s="132"/>
      <c r="TQ283" s="132"/>
      <c r="TR283" s="132"/>
      <c r="TS283" s="132"/>
      <c r="TT283" s="132"/>
      <c r="TU283" s="132"/>
      <c r="TV283" s="132"/>
      <c r="TW283" s="132"/>
      <c r="TX283" s="132"/>
      <c r="TY283" s="132"/>
      <c r="TZ283" s="132"/>
      <c r="UA283" s="132"/>
      <c r="UB283" s="132"/>
      <c r="UC283" s="132"/>
      <c r="UD283" s="132"/>
      <c r="UE283" s="132"/>
      <c r="UF283" s="132"/>
      <c r="UG283" s="132"/>
      <c r="UH283" s="132"/>
      <c r="UI283" s="132"/>
      <c r="UJ283" s="132"/>
      <c r="UK283" s="132"/>
      <c r="UL283" s="132"/>
      <c r="UM283" s="132"/>
      <c r="UN283" s="132"/>
      <c r="UO283" s="132"/>
      <c r="UP283" s="132"/>
      <c r="UQ283" s="132"/>
      <c r="UR283" s="132"/>
      <c r="US283" s="132"/>
      <c r="UT283" s="132"/>
      <c r="UU283" s="132"/>
      <c r="UV283" s="132"/>
      <c r="UW283" s="132"/>
      <c r="UX283" s="132"/>
      <c r="UY283" s="132"/>
      <c r="UZ283" s="132"/>
      <c r="VA283" s="132"/>
      <c r="VB283" s="132"/>
      <c r="VC283" s="132"/>
      <c r="VD283" s="132"/>
      <c r="VE283" s="132"/>
      <c r="VF283" s="132"/>
      <c r="VG283" s="132"/>
      <c r="VH283" s="132"/>
      <c r="VI283" s="132"/>
      <c r="VJ283" s="132"/>
      <c r="VK283" s="132"/>
      <c r="VL283" s="132"/>
      <c r="VM283" s="132"/>
      <c r="VN283" s="132"/>
      <c r="VO283" s="132"/>
      <c r="VP283" s="132"/>
      <c r="VQ283" s="132"/>
      <c r="VR283" s="132"/>
      <c r="VS283" s="132"/>
      <c r="VT283" s="132"/>
      <c r="VU283" s="132"/>
      <c r="VV283" s="132"/>
      <c r="VW283" s="132"/>
      <c r="VX283" s="132"/>
      <c r="VY283" s="132"/>
      <c r="VZ283" s="132"/>
      <c r="WA283" s="132"/>
      <c r="WB283" s="132"/>
      <c r="WC283" s="132"/>
      <c r="WD283" s="132"/>
      <c r="WE283" s="132"/>
      <c r="WF283" s="132"/>
      <c r="WG283" s="132"/>
      <c r="WH283" s="132"/>
      <c r="WI283" s="132"/>
      <c r="WJ283" s="132"/>
      <c r="WK283" s="132"/>
      <c r="WL283" s="132"/>
      <c r="WM283" s="132"/>
      <c r="WN283" s="132"/>
      <c r="WO283" s="132"/>
      <c r="WP283" s="132"/>
      <c r="WQ283" s="132"/>
      <c r="WR283" s="132"/>
      <c r="WS283" s="132"/>
      <c r="WT283" s="132"/>
      <c r="WU283" s="132"/>
      <c r="WV283" s="132"/>
      <c r="WW283" s="132"/>
      <c r="WX283" s="132"/>
      <c r="WY283" s="132"/>
      <c r="WZ283" s="132"/>
      <c r="XA283" s="132"/>
      <c r="XB283" s="132"/>
      <c r="XC283" s="132"/>
      <c r="XD283" s="132"/>
      <c r="XE283" s="132"/>
      <c r="XF283" s="132"/>
      <c r="XG283" s="132"/>
      <c r="XH283" s="132"/>
      <c r="XI283" s="132"/>
      <c r="XJ283" s="132"/>
      <c r="XK283" s="132"/>
      <c r="XL283" s="132"/>
      <c r="XM283" s="132"/>
      <c r="XN283" s="132"/>
      <c r="XO283" s="132"/>
      <c r="XP283" s="132"/>
      <c r="XQ283" s="132"/>
      <c r="XR283" s="132"/>
      <c r="XS283" s="132"/>
      <c r="XT283" s="132"/>
      <c r="XU283" s="132"/>
      <c r="XV283" s="132"/>
      <c r="XW283" s="132"/>
      <c r="XX283" s="132"/>
      <c r="XY283" s="132"/>
      <c r="XZ283" s="132"/>
      <c r="YA283" s="132"/>
      <c r="YB283" s="132"/>
      <c r="YC283" s="132"/>
      <c r="YD283" s="132"/>
      <c r="YE283" s="132"/>
      <c r="YF283" s="132"/>
      <c r="YG283" s="132"/>
      <c r="YH283" s="132"/>
      <c r="YI283" s="132"/>
      <c r="YJ283" s="132"/>
      <c r="YK283" s="132"/>
      <c r="YL283" s="132"/>
      <c r="YM283" s="132"/>
      <c r="YN283" s="132"/>
      <c r="YO283" s="132"/>
      <c r="YP283" s="132"/>
      <c r="YQ283" s="132"/>
      <c r="YR283" s="132"/>
      <c r="YS283" s="132"/>
      <c r="YT283" s="132"/>
      <c r="YU283" s="132"/>
      <c r="YV283" s="132"/>
      <c r="YW283" s="132"/>
      <c r="YX283" s="132"/>
      <c r="YY283" s="132"/>
      <c r="YZ283" s="132"/>
      <c r="ZA283" s="132"/>
      <c r="ZB283" s="132"/>
      <c r="ZC283" s="132"/>
      <c r="ZD283" s="132"/>
      <c r="ZE283" s="132"/>
      <c r="ZF283" s="132"/>
      <c r="ZG283" s="132"/>
      <c r="ZH283" s="132"/>
      <c r="ZI283" s="132"/>
      <c r="ZJ283" s="132"/>
      <c r="ZK283" s="132"/>
      <c r="ZL283" s="132"/>
      <c r="ZM283" s="132"/>
      <c r="ZN283" s="132"/>
      <c r="ZO283" s="132"/>
      <c r="ZP283" s="132"/>
      <c r="ZQ283" s="132"/>
      <c r="ZR283" s="132"/>
      <c r="ZS283" s="132"/>
      <c r="ZT283" s="132"/>
      <c r="ZU283" s="132"/>
      <c r="ZV283" s="132"/>
      <c r="ZW283" s="132"/>
      <c r="ZX283" s="132"/>
      <c r="ZY283" s="132"/>
      <c r="ZZ283" s="132"/>
      <c r="AAA283" s="132"/>
      <c r="AAB283" s="132"/>
      <c r="AAC283" s="132"/>
      <c r="AAD283" s="132"/>
      <c r="AAE283" s="132"/>
      <c r="AAF283" s="132"/>
      <c r="AAG283" s="132"/>
      <c r="AAH283" s="132"/>
      <c r="AAI283" s="132"/>
      <c r="AAJ283" s="132"/>
      <c r="AAK283" s="132"/>
      <c r="AAL283" s="132"/>
      <c r="AAM283" s="132"/>
      <c r="AAN283" s="132"/>
      <c r="AAO283" s="132"/>
      <c r="AAP283" s="132"/>
      <c r="AAQ283" s="132"/>
      <c r="AAR283" s="132"/>
      <c r="AAS283" s="132"/>
      <c r="AAT283" s="132"/>
      <c r="AAU283" s="132"/>
      <c r="AAV283" s="132"/>
      <c r="AAW283" s="132"/>
      <c r="AAX283" s="132"/>
      <c r="AAY283" s="132"/>
      <c r="AAZ283" s="132"/>
      <c r="ABA283" s="132"/>
      <c r="ABB283" s="132"/>
      <c r="ABC283" s="132"/>
      <c r="ABD283" s="132"/>
      <c r="ABE283" s="132"/>
      <c r="ABF283" s="132"/>
      <c r="ABG283" s="132"/>
      <c r="ABH283" s="132"/>
      <c r="ABI283" s="132"/>
      <c r="ABJ283" s="132"/>
      <c r="ABK283" s="132"/>
      <c r="ABL283" s="132"/>
      <c r="ABM283" s="132"/>
      <c r="ABN283" s="132"/>
      <c r="ABO283" s="132"/>
      <c r="ABP283" s="132"/>
      <c r="ABQ283" s="132"/>
      <c r="ABR283" s="132"/>
      <c r="ABS283" s="132"/>
      <c r="ABT283" s="132"/>
      <c r="ABU283" s="132"/>
      <c r="ABV283" s="132"/>
      <c r="ABW283" s="132"/>
      <c r="ABX283" s="132"/>
      <c r="ABY283" s="132"/>
      <c r="ABZ283" s="132"/>
      <c r="ACA283" s="132"/>
      <c r="ACB283" s="132"/>
      <c r="ACC283" s="132"/>
      <c r="ACD283" s="132"/>
      <c r="ACE283" s="132"/>
      <c r="ACF283" s="132"/>
      <c r="ACG283" s="132"/>
      <c r="ACH283" s="132"/>
      <c r="ACI283" s="132"/>
      <c r="ACJ283" s="132"/>
      <c r="ACK283" s="132"/>
      <c r="ACL283" s="132"/>
      <c r="ACM283" s="132"/>
      <c r="ACN283" s="132"/>
      <c r="ACO283" s="132"/>
      <c r="ACP283" s="132"/>
      <c r="ACQ283" s="132"/>
      <c r="ACR283" s="132"/>
      <c r="ACS283" s="132"/>
      <c r="ACT283" s="132"/>
      <c r="ACU283" s="132"/>
      <c r="ACV283" s="132"/>
      <c r="ACW283" s="132"/>
      <c r="ACX283" s="132"/>
      <c r="ACY283" s="132"/>
      <c r="ACZ283" s="132"/>
      <c r="ADA283" s="132"/>
      <c r="ADB283" s="132"/>
      <c r="ADC283" s="132"/>
      <c r="ADD283" s="132"/>
      <c r="ADE283" s="132"/>
      <c r="ADF283" s="132"/>
      <c r="ADG283" s="132"/>
      <c r="ADH283" s="132"/>
      <c r="ADI283" s="132"/>
      <c r="ADJ283" s="132"/>
      <c r="ADK283" s="132"/>
      <c r="ADL283" s="132"/>
      <c r="ADM283" s="132"/>
      <c r="ADN283" s="132"/>
      <c r="ADO283" s="132"/>
      <c r="ADP283" s="132"/>
      <c r="ADQ283" s="132"/>
      <c r="ADR283" s="132"/>
      <c r="ADS283" s="132"/>
      <c r="ADT283" s="132"/>
      <c r="ADU283" s="132"/>
      <c r="ADV283" s="132"/>
      <c r="ADW283" s="132"/>
      <c r="ADX283" s="132"/>
      <c r="ADY283" s="132"/>
      <c r="ADZ283" s="132"/>
      <c r="AEA283" s="132"/>
      <c r="AEB283" s="132"/>
      <c r="AEC283" s="132"/>
      <c r="AED283" s="132"/>
      <c r="AEE283" s="132"/>
      <c r="AEF283" s="132"/>
      <c r="AEG283" s="132"/>
      <c r="AEH283" s="132"/>
      <c r="AEI283" s="132"/>
      <c r="AEJ283" s="132"/>
      <c r="AEK283" s="132"/>
      <c r="AEL283" s="132"/>
      <c r="AEM283" s="132"/>
      <c r="AEN283" s="132"/>
      <c r="AEO283" s="132"/>
      <c r="AEP283" s="132"/>
      <c r="AEQ283" s="132"/>
      <c r="AER283" s="132"/>
      <c r="AES283" s="132"/>
      <c r="AET283" s="132"/>
      <c r="AEU283" s="132"/>
      <c r="AEV283" s="132"/>
      <c r="AEW283" s="132"/>
      <c r="AEX283" s="132"/>
      <c r="AEY283" s="132"/>
      <c r="AEZ283" s="132"/>
      <c r="AFA283" s="132"/>
      <c r="AFB283" s="132"/>
      <c r="AFC283" s="132"/>
      <c r="AFD283" s="132"/>
      <c r="AFE283" s="132"/>
      <c r="AFF283" s="132"/>
      <c r="AFG283" s="132"/>
      <c r="AFH283" s="132"/>
      <c r="AFI283" s="132"/>
      <c r="AFJ283" s="132"/>
      <c r="AFK283" s="132"/>
      <c r="AFL283" s="132"/>
      <c r="AFM283" s="132"/>
      <c r="AFN283" s="132"/>
      <c r="AFO283" s="132"/>
      <c r="AFP283" s="132"/>
      <c r="AFQ283" s="132"/>
      <c r="AFR283" s="132"/>
      <c r="AFS283" s="132"/>
      <c r="AFT283" s="132"/>
      <c r="AFU283" s="132"/>
      <c r="AFV283" s="132"/>
      <c r="AFW283" s="132"/>
      <c r="AFX283" s="132"/>
      <c r="AFY283" s="132"/>
      <c r="AFZ283" s="132"/>
      <c r="AGA283" s="132"/>
      <c r="AGB283" s="132"/>
      <c r="AGC283" s="132"/>
      <c r="AGD283" s="132"/>
      <c r="AGE283" s="132"/>
      <c r="AGF283" s="132"/>
      <c r="AGG283" s="132"/>
      <c r="AGH283" s="132"/>
      <c r="AGI283" s="132"/>
      <c r="AGJ283" s="132"/>
      <c r="AGK283" s="132"/>
      <c r="AGL283" s="132"/>
      <c r="AGM283" s="132"/>
      <c r="AGN283" s="132"/>
      <c r="AGO283" s="132"/>
      <c r="AGP283" s="132"/>
      <c r="AGQ283" s="132"/>
      <c r="AGR283" s="132"/>
      <c r="AGS283" s="132"/>
      <c r="AGT283" s="132"/>
      <c r="AGU283" s="132"/>
      <c r="AGV283" s="132"/>
      <c r="AGW283" s="132"/>
      <c r="AGX283" s="132"/>
      <c r="AGY283" s="132"/>
      <c r="AGZ283" s="132"/>
      <c r="AHA283" s="132"/>
      <c r="AHB283" s="132"/>
      <c r="AHC283" s="132"/>
      <c r="AHD283" s="132"/>
      <c r="AHE283" s="132"/>
      <c r="AHF283" s="132"/>
      <c r="AHG283" s="132"/>
      <c r="AHH283" s="132"/>
      <c r="AHI283" s="132"/>
      <c r="AHJ283" s="132"/>
      <c r="AHK283" s="132"/>
      <c r="AHL283" s="132"/>
      <c r="AHM283" s="132"/>
      <c r="AHN283" s="132"/>
      <c r="AHO283" s="132"/>
      <c r="AHP283" s="132"/>
      <c r="AHQ283" s="132"/>
      <c r="AHR283" s="132"/>
      <c r="AHS283" s="132"/>
      <c r="AHT283" s="132"/>
      <c r="AHU283" s="132"/>
      <c r="AHV283" s="132"/>
      <c r="AHW283" s="132"/>
      <c r="AHX283" s="132"/>
      <c r="AHY283" s="132"/>
      <c r="AHZ283" s="132"/>
      <c r="AIA283" s="132"/>
      <c r="AIB283" s="132"/>
      <c r="AIC283" s="132"/>
      <c r="AID283" s="132"/>
      <c r="AIE283" s="132"/>
      <c r="AIF283" s="132"/>
      <c r="AIG283" s="132"/>
      <c r="AIH283" s="132"/>
      <c r="AII283" s="132"/>
      <c r="AIJ283" s="132"/>
      <c r="AIK283" s="132"/>
      <c r="AIL283" s="132"/>
      <c r="AIM283" s="132"/>
      <c r="AIN283" s="132"/>
      <c r="AIO283" s="132"/>
      <c r="AIP283" s="132"/>
      <c r="AIQ283" s="132"/>
      <c r="AIR283" s="132"/>
      <c r="AIS283" s="132"/>
      <c r="AIT283" s="132"/>
      <c r="AIU283" s="132"/>
      <c r="AIV283" s="132"/>
      <c r="AIW283" s="132"/>
      <c r="AIX283" s="132"/>
      <c r="AIY283" s="132"/>
      <c r="AIZ283" s="132"/>
      <c r="AJA283" s="132"/>
      <c r="AJB283" s="132"/>
      <c r="AJC283" s="132"/>
      <c r="AJD283" s="132"/>
      <c r="AJE283" s="132"/>
      <c r="AJF283" s="132"/>
      <c r="AJG283" s="132"/>
      <c r="AJH283" s="132"/>
      <c r="AJI283" s="132"/>
      <c r="AJJ283" s="132"/>
      <c r="AJK283" s="132"/>
      <c r="AJL283" s="132"/>
      <c r="AJM283" s="132"/>
      <c r="AJN283" s="132"/>
      <c r="AJO283" s="132"/>
      <c r="AJP283" s="132"/>
      <c r="AJQ283" s="132"/>
      <c r="AJR283" s="132"/>
      <c r="AJS283" s="132"/>
      <c r="AJT283" s="132"/>
      <c r="AJU283" s="132"/>
      <c r="AJV283" s="132"/>
      <c r="AJW283" s="132"/>
      <c r="AJX283" s="132"/>
      <c r="AJY283" s="132"/>
      <c r="AJZ283" s="132"/>
      <c r="AKA283" s="132"/>
      <c r="AKB283" s="132"/>
      <c r="AKC283" s="132"/>
      <c r="AKD283" s="132"/>
      <c r="AKE283" s="132"/>
      <c r="AKF283" s="132"/>
      <c r="AKG283" s="132"/>
      <c r="AKH283" s="132"/>
      <c r="AKI283" s="132"/>
      <c r="AKJ283" s="132"/>
      <c r="AKK283" s="132"/>
      <c r="AKL283" s="132"/>
      <c r="AKM283" s="132"/>
      <c r="AKN283" s="132"/>
      <c r="AKO283" s="132"/>
      <c r="AKP283" s="132"/>
      <c r="AKQ283" s="132"/>
      <c r="AKR283" s="132"/>
      <c r="AKS283" s="132"/>
      <c r="AKT283" s="132"/>
      <c r="AKU283" s="132"/>
      <c r="AKV283" s="132"/>
      <c r="AKW283" s="132"/>
      <c r="AKX283" s="132"/>
      <c r="AKY283" s="132"/>
      <c r="AKZ283" s="132"/>
      <c r="ALA283" s="132"/>
      <c r="ALB283" s="132"/>
      <c r="ALC283" s="132"/>
      <c r="ALD283" s="132"/>
      <c r="ALE283" s="132"/>
      <c r="ALF283" s="132"/>
      <c r="ALG283" s="132"/>
      <c r="ALH283" s="132"/>
      <c r="ALI283" s="132"/>
      <c r="ALJ283" s="132"/>
      <c r="ALK283" s="132"/>
      <c r="ALL283" s="132"/>
      <c r="ALM283" s="132"/>
      <c r="ALN283" s="132"/>
      <c r="ALO283" s="132"/>
      <c r="ALP283" s="132"/>
      <c r="ALQ283" s="132"/>
      <c r="ALR283" s="132"/>
      <c r="ALS283" s="132"/>
      <c r="ALT283" s="132"/>
      <c r="ALU283" s="132"/>
      <c r="ALV283" s="132"/>
      <c r="ALW283" s="132"/>
      <c r="ALX283" s="132"/>
      <c r="ALY283" s="132"/>
      <c r="ALZ283" s="132"/>
      <c r="AMA283" s="132"/>
      <c r="AMB283" s="132"/>
      <c r="AMC283" s="132"/>
      <c r="AMD283" s="132"/>
      <c r="AME283" s="132"/>
      <c r="AMF283" s="132"/>
      <c r="AMG283" s="132"/>
      <c r="AMH283" s="132"/>
      <c r="AMI283" s="132"/>
      <c r="AMJ283" s="132"/>
      <c r="AMK283" s="132"/>
      <c r="AML283" s="132"/>
      <c r="AMM283" s="132"/>
      <c r="AMN283" s="132"/>
      <c r="AMO283" s="132"/>
      <c r="AMP283" s="132"/>
    </row>
    <row r="284" spans="1:1030" x14ac:dyDescent="0.2">
      <c r="A284" s="3" t="str">
        <f t="shared" si="753"/>
        <v>crfr1_human__wt</v>
      </c>
      <c r="B284" s="3" t="s">
        <v>38</v>
      </c>
      <c r="C284" s="3" t="s">
        <v>100</v>
      </c>
      <c r="D284" s="3" t="str">
        <f>IFERROR(MID(VLOOKUP($B284,Seqs!$A:$B,2,0),E284,1),"")</f>
        <v>Q</v>
      </c>
      <c r="E284" s="3">
        <v>103</v>
      </c>
      <c r="F284" s="3" t="str">
        <f>IFERROR(MID(VLOOKUP($B284,Seqs!$A:$B,2,0),G284,1),"")</f>
        <v>L</v>
      </c>
      <c r="G284" s="3">
        <v>144</v>
      </c>
      <c r="H284" s="3" t="str">
        <f>IFERROR(MID(VLOOKUP($B284,Seqs!$A:$B,2,0),I284,1),"")</f>
        <v>R</v>
      </c>
      <c r="I284" s="23">
        <v>145</v>
      </c>
      <c r="J284" s="3" t="str">
        <f>IFERROR(MID(VLOOKUP($B284,Seqs!$A:$B,2,0),K284,1),"")</f>
        <v>R</v>
      </c>
      <c r="K284" s="23">
        <v>148</v>
      </c>
      <c r="L284" s="3" t="str">
        <f>IFERROR(MID(VLOOKUP($B284,Seqs!$A:$B,2,0),M284,1),"")</f>
        <v>C</v>
      </c>
      <c r="M284" s="23">
        <v>149</v>
      </c>
      <c r="N284" s="3" t="str">
        <f>IFERROR(MID(VLOOKUP($B284,Seqs!$A:$B,2,0),O284,1),"")</f>
        <v>T</v>
      </c>
      <c r="O284" s="3">
        <v>175</v>
      </c>
      <c r="P284" s="3" t="str">
        <f>IFERROR(MID(VLOOKUP($B284,Seqs!$A:$B,2,0),Q284,1),"")</f>
        <v/>
      </c>
      <c r="Q284" s="3" t="s">
        <v>23</v>
      </c>
      <c r="R284" s="3" t="str">
        <f>IFERROR(MID(VLOOKUP($B284,Seqs!$A:$B,2,0),S284,1),"")</f>
        <v/>
      </c>
      <c r="S284" s="3" t="s">
        <v>23</v>
      </c>
      <c r="T284" s="3" t="str">
        <f>IFERROR(MID(VLOOKUP($B284,Seqs!$A:$B,2,0),U284,1),"")</f>
        <v>V</v>
      </c>
      <c r="U284" s="3">
        <v>185</v>
      </c>
      <c r="V284" s="3" t="str">
        <f>IFERROR(MID(VLOOKUP($B284,Seqs!$A:$B,2,0),W284,1),"")</f>
        <v>L</v>
      </c>
      <c r="W284" s="3">
        <v>219</v>
      </c>
      <c r="X284" s="3" t="str">
        <f>IFERROR(MID(VLOOKUP($B284,Seqs!$A:$B,2,0),Y284,1),"")</f>
        <v/>
      </c>
      <c r="Y284" s="3" t="s">
        <v>23</v>
      </c>
      <c r="Z284" s="3" t="str">
        <f>IFERROR(MID(VLOOKUP($B284,Seqs!$A:$B,2,0),AA284,1),"")</f>
        <v/>
      </c>
      <c r="AA284" s="3" t="s">
        <v>23</v>
      </c>
      <c r="AB284" s="3" t="str">
        <f>IFERROR(MID(VLOOKUP($B284,Seqs!$A:$B,2,0),AC284,1),"")</f>
        <v>L</v>
      </c>
      <c r="AC284" s="9">
        <v>226</v>
      </c>
      <c r="AD284" s="3" t="str">
        <f>IFERROR(MID(VLOOKUP($B284,Seqs!$A:$B,2,0),AE284,1),"")</f>
        <v>D</v>
      </c>
      <c r="AE284" s="3">
        <v>254</v>
      </c>
      <c r="AF284" s="3" t="str">
        <f>IFERROR(MID(VLOOKUP($B284,Seqs!$A:$B,2,0),AG284,1),"")</f>
        <v>C</v>
      </c>
      <c r="AG284" s="3">
        <v>258</v>
      </c>
      <c r="AH284" s="3" t="str">
        <f>IFERROR(MID(VLOOKUP($B284,Seqs!$A:$B,2,0),AI284,1),"")</f>
        <v>F</v>
      </c>
      <c r="AI284" s="3">
        <v>260</v>
      </c>
      <c r="AJ284" s="3" t="str">
        <f>IFERROR(MID(VLOOKUP($B284,Seqs!$A:$B,2,0),AK284,1),"")</f>
        <v>T</v>
      </c>
      <c r="AK284" s="3">
        <v>268</v>
      </c>
      <c r="AL284" s="3" t="str">
        <f>IFERROR(MID(VLOOKUP($B284,Seqs!$A:$B,2,0),AM284,1),"")</f>
        <v>L</v>
      </c>
      <c r="AM284" s="3">
        <v>298</v>
      </c>
      <c r="AN284" s="3" t="str">
        <f>IFERROR(MID(VLOOKUP($B284,Seqs!$A:$B,2,0),AO284,1),"")</f>
        <v>S</v>
      </c>
      <c r="AO284" s="3">
        <v>304</v>
      </c>
      <c r="AP284" s="3" t="str">
        <f>IFERROR(MID(VLOOKUP($B284,Seqs!$A:$B,2,0),AQ284,1),"")</f>
        <v>V</v>
      </c>
      <c r="AQ284" s="3">
        <v>332</v>
      </c>
      <c r="AR284" s="3" t="str">
        <f>IFERROR(MID(VLOOKUP($B284,Seqs!$A:$B,2,0),AS284,1),"")</f>
        <v>V</v>
      </c>
      <c r="AS284" s="3">
        <v>339</v>
      </c>
      <c r="AT284" s="3" t="str">
        <f>IFERROR(MID(VLOOKUP($B284,Seqs!$A:$B,2,0),AU284,1),"")</f>
        <v>L</v>
      </c>
      <c r="AU284" s="3">
        <v>366</v>
      </c>
      <c r="AV284" s="3" t="str">
        <f>IFERROR(MID(VLOOKUP($B284,Seqs!$A:$B,2,0),AW284,1),"")</f>
        <v>N</v>
      </c>
      <c r="AW284" s="3">
        <v>367</v>
      </c>
      <c r="AX284" s="3" t="str">
        <f>IFERROR(MID(VLOOKUP($B284,Seqs!$A:$B,2,0),AY284,1),"")</f>
        <v>A</v>
      </c>
      <c r="AY284" s="3">
        <v>392</v>
      </c>
      <c r="AZ284" s="77" t="str">
        <f>VLOOKUP(B284,Classification!A:D,2,0)</f>
        <v>B1</v>
      </c>
      <c r="BA284" s="94" t="str">
        <f>VLOOKUP(B284,Classification!A:D,4,0)</f>
        <v>Corticotropin-releasingfact</v>
      </c>
      <c r="BB284" s="27" t="b">
        <f t="shared" si="754"/>
        <v>1</v>
      </c>
      <c r="BC284" s="23">
        <f t="shared" ref="BC284:BC320" si="1089">_xlfn.AGGREGATE(9,6,CH284:CS284)-_xlfn.AGGREGATE(9,6,BV284:CG284)+12</f>
        <v>256</v>
      </c>
      <c r="BD284" s="56" t="s">
        <v>1379</v>
      </c>
      <c r="BE284" s="3" t="s">
        <v>23</v>
      </c>
      <c r="BF284" s="119" t="s">
        <v>23</v>
      </c>
      <c r="BG284" s="49" t="s">
        <v>1379</v>
      </c>
      <c r="BH284" s="49" t="s">
        <v>1384</v>
      </c>
      <c r="BI284" s="1"/>
      <c r="BJ284" s="70" t="s">
        <v>1293</v>
      </c>
      <c r="BK284" s="57" t="s">
        <v>1293</v>
      </c>
      <c r="BL284" s="57" t="s">
        <v>1293</v>
      </c>
      <c r="BM284" s="57" t="s">
        <v>1293</v>
      </c>
      <c r="BN284" s="57" t="s">
        <v>1293</v>
      </c>
      <c r="BO284" s="57" t="s">
        <v>1293</v>
      </c>
      <c r="BP284" s="57" t="s">
        <v>1293</v>
      </c>
      <c r="BQ284" s="57" t="s">
        <v>1293</v>
      </c>
      <c r="BR284" s="57" t="s">
        <v>1293</v>
      </c>
      <c r="BS284" s="57" t="s">
        <v>1293</v>
      </c>
      <c r="BT284" s="57" t="s">
        <v>1293</v>
      </c>
      <c r="BU284" s="57" t="s">
        <v>1293</v>
      </c>
      <c r="BV284" s="70">
        <f t="shared" ref="BV284:BV320" si="1090">E284</f>
        <v>103</v>
      </c>
      <c r="BW284" s="71">
        <f t="shared" ref="BW284:BW320" si="1091">I284</f>
        <v>145</v>
      </c>
      <c r="BX284" s="72">
        <f t="shared" ref="BX284:BX320" si="1092">M284</f>
        <v>149</v>
      </c>
      <c r="BY284" s="71" t="str">
        <f t="shared" ref="BY284:BY320" si="1093">Q284</f>
        <v>-</v>
      </c>
      <c r="BZ284" s="72">
        <f t="shared" ref="BZ284:BZ320" si="1094">U284</f>
        <v>185</v>
      </c>
      <c r="CA284" s="71" t="str">
        <f t="shared" ref="CA284:CA320" si="1095">Y284</f>
        <v>-</v>
      </c>
      <c r="CB284" s="72">
        <f t="shared" ref="CB284:CB320" si="1096">AC284</f>
        <v>226</v>
      </c>
      <c r="CC284" s="71">
        <f t="shared" ref="CC284:CC320" si="1097">AG284</f>
        <v>258</v>
      </c>
      <c r="CD284" s="72">
        <f t="shared" ref="CD284:CD320" si="1098">AK284</f>
        <v>268</v>
      </c>
      <c r="CE284" s="71">
        <f t="shared" ref="CE284:CE320" si="1099">AO284</f>
        <v>304</v>
      </c>
      <c r="CF284" s="72">
        <f t="shared" ref="CF284:CF320" si="1100">AS284</f>
        <v>339</v>
      </c>
      <c r="CG284" s="71">
        <f t="shared" ref="CG284:CG320" si="1101">AW284</f>
        <v>367</v>
      </c>
      <c r="CH284" s="70">
        <f t="shared" ref="CH284:CH320" si="1102">G284</f>
        <v>144</v>
      </c>
      <c r="CI284" s="71">
        <f t="shared" ref="CI284:CI320" si="1103">K284</f>
        <v>148</v>
      </c>
      <c r="CJ284" s="72">
        <f t="shared" ref="CJ284:CJ320" si="1104">O284</f>
        <v>175</v>
      </c>
      <c r="CK284" s="72" t="str">
        <f t="shared" ref="CK284:CK320" si="1105">S284</f>
        <v>-</v>
      </c>
      <c r="CL284" s="72">
        <f t="shared" ref="CL284:CL320" si="1106">W284</f>
        <v>219</v>
      </c>
      <c r="CM284" s="72" t="str">
        <f t="shared" ref="CM284:CM320" si="1107">AA284</f>
        <v>-</v>
      </c>
      <c r="CN284" s="72">
        <f t="shared" ref="CN284:CN320" si="1108">AE284</f>
        <v>254</v>
      </c>
      <c r="CO284" s="72">
        <f t="shared" ref="CO284:CO320" si="1109">AI284</f>
        <v>260</v>
      </c>
      <c r="CP284" s="72">
        <f t="shared" ref="CP284:CP320" si="1110">AM284</f>
        <v>298</v>
      </c>
      <c r="CQ284" s="72">
        <f t="shared" ref="CQ284:CQ320" si="1111">AQ284</f>
        <v>332</v>
      </c>
      <c r="CR284" s="72">
        <f t="shared" ref="CR284:CR320" si="1112">AU284</f>
        <v>366</v>
      </c>
      <c r="CS284" s="72">
        <f t="shared" ref="CS284:CS320" si="1113">AY284</f>
        <v>392</v>
      </c>
      <c r="CT284" s="23">
        <f t="shared" ref="CT284:CT320" si="1114">M284-K284</f>
        <v>1</v>
      </c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  <c r="OK284" s="1"/>
      <c r="OL284" s="1"/>
      <c r="OM284" s="1"/>
      <c r="ON284" s="1"/>
      <c r="OO284" s="1"/>
      <c r="OP284" s="1"/>
      <c r="OQ284" s="1"/>
      <c r="OR284" s="1"/>
      <c r="OS284" s="1"/>
      <c r="OT284" s="1"/>
      <c r="OU284" s="1"/>
      <c r="OV284" s="1"/>
      <c r="OW284" s="1"/>
      <c r="OX284" s="1"/>
      <c r="OY284" s="1"/>
      <c r="OZ284" s="1"/>
      <c r="PA284" s="1"/>
      <c r="PB284" s="1"/>
      <c r="PC284" s="1"/>
      <c r="PD284" s="1"/>
      <c r="PE284" s="1"/>
      <c r="PF284" s="1"/>
      <c r="PG284" s="1"/>
      <c r="PH284" s="1"/>
      <c r="PI284" s="1"/>
      <c r="PJ284" s="1"/>
      <c r="PK284" s="1"/>
      <c r="PL284" s="1"/>
      <c r="PM284" s="1"/>
      <c r="PN284" s="1"/>
      <c r="PO284" s="1"/>
      <c r="PP284" s="1"/>
      <c r="PQ284" s="1"/>
      <c r="PR284" s="1"/>
      <c r="PS284" s="1"/>
      <c r="PT284" s="1"/>
      <c r="PU284" s="1"/>
      <c r="PV284" s="1"/>
      <c r="PW284" s="1"/>
      <c r="PX284" s="1"/>
      <c r="PY284" s="1"/>
      <c r="PZ284" s="1"/>
      <c r="QA284" s="1"/>
      <c r="QB284" s="1"/>
      <c r="QC284" s="1"/>
      <c r="QD284" s="1"/>
      <c r="QE284" s="1"/>
      <c r="QF284" s="1"/>
      <c r="QG284" s="1"/>
      <c r="QH284" s="1"/>
      <c r="QI284" s="1"/>
      <c r="QJ284" s="1"/>
      <c r="QK284" s="1"/>
      <c r="QL284" s="1"/>
      <c r="QM284" s="1"/>
      <c r="QN284" s="1"/>
      <c r="QO284" s="1"/>
      <c r="QP284" s="1"/>
      <c r="QQ284" s="1"/>
      <c r="QR284" s="1"/>
      <c r="QS284" s="1"/>
      <c r="QT284" s="1"/>
      <c r="QU284" s="1"/>
      <c r="QV284" s="1"/>
      <c r="QW284" s="1"/>
      <c r="QX284" s="1"/>
      <c r="QY284" s="1"/>
      <c r="QZ284" s="1"/>
      <c r="RA284" s="1"/>
      <c r="RB284" s="1"/>
      <c r="RC284" s="1"/>
      <c r="RD284" s="1"/>
      <c r="RE284" s="1"/>
      <c r="RF284" s="1"/>
      <c r="RG284" s="1"/>
      <c r="RH284" s="1"/>
      <c r="RI284" s="1"/>
      <c r="RJ284" s="1"/>
      <c r="RK284" s="1"/>
      <c r="RL284" s="1"/>
      <c r="RM284" s="1"/>
      <c r="RN284" s="1"/>
      <c r="RO284" s="1"/>
      <c r="RP284" s="1"/>
      <c r="RQ284" s="1"/>
      <c r="RR284" s="1"/>
      <c r="RS284" s="1"/>
      <c r="RT284" s="1"/>
      <c r="RU284" s="1"/>
      <c r="RV284" s="1"/>
      <c r="RW284" s="1"/>
      <c r="RX284" s="1"/>
      <c r="RY284" s="1"/>
      <c r="RZ284" s="1"/>
      <c r="SA284" s="1"/>
      <c r="SB284" s="1"/>
      <c r="SC284" s="1"/>
      <c r="SD284" s="1"/>
      <c r="SE284" s="1"/>
      <c r="SF284" s="1"/>
      <c r="SG284" s="1"/>
      <c r="SH284" s="1"/>
      <c r="SI284" s="1"/>
      <c r="SJ284" s="1"/>
      <c r="SK284" s="1"/>
      <c r="SL284" s="1"/>
      <c r="SM284" s="1"/>
      <c r="SN284" s="1"/>
      <c r="SO284" s="1"/>
      <c r="SP284" s="1"/>
      <c r="SQ284" s="1"/>
      <c r="SR284" s="1"/>
      <c r="SS284" s="1"/>
      <c r="ST284" s="1"/>
      <c r="SU284" s="1"/>
      <c r="SV284" s="1"/>
      <c r="SW284" s="1"/>
      <c r="SX284" s="1"/>
      <c r="SY284" s="1"/>
      <c r="SZ284" s="1"/>
      <c r="TA284" s="1"/>
      <c r="TB284" s="1"/>
      <c r="TC284" s="1"/>
      <c r="TD284" s="1"/>
      <c r="TE284" s="1"/>
      <c r="TF284" s="1"/>
      <c r="TG284" s="1"/>
      <c r="TH284" s="1"/>
      <c r="TI284" s="1"/>
      <c r="TJ284" s="1"/>
      <c r="TK284" s="1"/>
      <c r="TL284" s="1"/>
      <c r="TM284" s="1"/>
      <c r="TN284" s="1"/>
      <c r="TO284" s="1"/>
      <c r="TP284" s="1"/>
      <c r="TQ284" s="1"/>
      <c r="TR284" s="1"/>
      <c r="TS284" s="1"/>
      <c r="TT284" s="1"/>
      <c r="TU284" s="1"/>
      <c r="TV284" s="1"/>
      <c r="TW284" s="1"/>
      <c r="TX284" s="1"/>
      <c r="TY284" s="1"/>
      <c r="TZ284" s="1"/>
      <c r="UA284" s="1"/>
      <c r="UB284" s="1"/>
      <c r="UC284" s="1"/>
      <c r="UD284" s="1"/>
      <c r="UE284" s="1"/>
      <c r="UF284" s="1"/>
      <c r="UG284" s="1"/>
      <c r="UH284" s="1"/>
      <c r="UI284" s="1"/>
      <c r="UJ284" s="1"/>
      <c r="UK284" s="1"/>
      <c r="UL284" s="1"/>
      <c r="UM284" s="1"/>
      <c r="UN284" s="1"/>
      <c r="UO284" s="1"/>
      <c r="UP284" s="1"/>
      <c r="UQ284" s="1"/>
      <c r="UR284" s="1"/>
      <c r="US284" s="1"/>
      <c r="UT284" s="1"/>
      <c r="UU284" s="1"/>
      <c r="UV284" s="1"/>
      <c r="UW284" s="1"/>
      <c r="UX284" s="1"/>
      <c r="UY284" s="1"/>
      <c r="UZ284" s="1"/>
      <c r="VA284" s="1"/>
      <c r="VB284" s="1"/>
      <c r="VC284" s="1"/>
      <c r="VD284" s="1"/>
      <c r="VE284" s="1"/>
      <c r="VF284" s="1"/>
      <c r="VG284" s="1"/>
      <c r="VH284" s="1"/>
      <c r="VI284" s="1"/>
      <c r="VJ284" s="1"/>
      <c r="VK284" s="1"/>
      <c r="VL284" s="1"/>
      <c r="VM284" s="1"/>
      <c r="VN284" s="1"/>
      <c r="VO284" s="1"/>
      <c r="VP284" s="1"/>
      <c r="VQ284" s="1"/>
      <c r="VR284" s="1"/>
      <c r="VS284" s="1"/>
      <c r="VT284" s="1"/>
      <c r="VU284" s="1"/>
      <c r="VV284" s="1"/>
      <c r="VW284" s="1"/>
      <c r="VX284" s="1"/>
      <c r="VY284" s="1"/>
      <c r="VZ284" s="1"/>
      <c r="WA284" s="1"/>
      <c r="WB284" s="1"/>
      <c r="WC284" s="1"/>
      <c r="WD284" s="1"/>
      <c r="WE284" s="1"/>
      <c r="WF284" s="1"/>
      <c r="WG284" s="1"/>
      <c r="WH284" s="1"/>
      <c r="WI284" s="1"/>
      <c r="WJ284" s="1"/>
      <c r="WK284" s="1"/>
      <c r="WL284" s="1"/>
      <c r="WM284" s="1"/>
      <c r="WN284" s="1"/>
      <c r="WO284" s="1"/>
      <c r="WP284" s="1"/>
      <c r="WQ284" s="1"/>
      <c r="WR284" s="1"/>
      <c r="WS284" s="1"/>
      <c r="WT284" s="1"/>
      <c r="WU284" s="1"/>
      <c r="WV284" s="1"/>
      <c r="WW284" s="1"/>
      <c r="WX284" s="1"/>
      <c r="WY284" s="1"/>
      <c r="WZ284" s="1"/>
      <c r="XA284" s="1"/>
      <c r="XB284" s="1"/>
      <c r="XC284" s="1"/>
      <c r="XD284" s="1"/>
      <c r="XE284" s="1"/>
      <c r="XF284" s="1"/>
      <c r="XG284" s="1"/>
      <c r="XH284" s="1"/>
      <c r="XI284" s="1"/>
      <c r="XJ284" s="1"/>
      <c r="XK284" s="1"/>
      <c r="XL284" s="1"/>
      <c r="XM284" s="1"/>
      <c r="XN284" s="1"/>
      <c r="XO284" s="1"/>
      <c r="XP284" s="1"/>
      <c r="XQ284" s="1"/>
      <c r="XR284" s="1"/>
      <c r="XS284" s="1"/>
      <c r="XT284" s="1"/>
      <c r="XU284" s="1"/>
      <c r="XV284" s="1"/>
      <c r="XW284" s="1"/>
      <c r="XX284" s="1"/>
      <c r="XY284" s="1"/>
      <c r="XZ284" s="1"/>
      <c r="YA284" s="1"/>
      <c r="YB284" s="1"/>
      <c r="YC284" s="1"/>
      <c r="YD284" s="1"/>
      <c r="YE284" s="1"/>
      <c r="YF284" s="1"/>
      <c r="YG284" s="1"/>
      <c r="YH284" s="1"/>
      <c r="YI284" s="1"/>
      <c r="YJ284" s="1"/>
      <c r="YK284" s="1"/>
      <c r="YL284" s="1"/>
      <c r="YM284" s="1"/>
      <c r="YN284" s="1"/>
      <c r="YO284" s="1"/>
      <c r="YP284" s="1"/>
      <c r="YQ284" s="1"/>
      <c r="YR284" s="1"/>
      <c r="YS284" s="1"/>
      <c r="YT284" s="1"/>
      <c r="YU284" s="1"/>
      <c r="YV284" s="1"/>
      <c r="YW284" s="1"/>
      <c r="YX284" s="1"/>
      <c r="YY284" s="1"/>
      <c r="YZ284" s="1"/>
      <c r="ZA284" s="1"/>
      <c r="ZB284" s="1"/>
      <c r="ZC284" s="1"/>
      <c r="ZD284" s="1"/>
      <c r="ZE284" s="1"/>
      <c r="ZF284" s="1"/>
      <c r="ZG284" s="1"/>
      <c r="ZH284" s="1"/>
      <c r="ZI284" s="1"/>
      <c r="ZJ284" s="1"/>
      <c r="ZK284" s="1"/>
      <c r="ZL284" s="1"/>
      <c r="ZM284" s="1"/>
      <c r="ZN284" s="1"/>
      <c r="ZO284" s="1"/>
      <c r="ZP284" s="1"/>
      <c r="ZQ284" s="1"/>
      <c r="ZR284" s="1"/>
      <c r="ZS284" s="1"/>
      <c r="ZT284" s="1"/>
      <c r="ZU284" s="1"/>
      <c r="ZV284" s="1"/>
      <c r="ZW284" s="1"/>
      <c r="ZX284" s="1"/>
      <c r="ZY284" s="1"/>
      <c r="ZZ284" s="1"/>
      <c r="AAA284" s="1"/>
      <c r="AAB284" s="1"/>
      <c r="AAC284" s="1"/>
      <c r="AAD284" s="1"/>
      <c r="AAE284" s="1"/>
      <c r="AAF284" s="1"/>
      <c r="AAG284" s="1"/>
      <c r="AAH284" s="1"/>
      <c r="AAI284" s="1"/>
      <c r="AAJ284" s="1"/>
      <c r="AAK284" s="1"/>
      <c r="AAL284" s="1"/>
      <c r="AAM284" s="1"/>
      <c r="AAN284" s="1"/>
      <c r="AAO284" s="1"/>
      <c r="AAP284" s="1"/>
      <c r="AAQ284" s="1"/>
      <c r="AAR284" s="1"/>
      <c r="AAS284" s="1"/>
      <c r="AAT284" s="1"/>
      <c r="AAU284" s="1"/>
      <c r="AAV284" s="1"/>
      <c r="AAW284" s="1"/>
      <c r="AAX284" s="1"/>
      <c r="AAY284" s="1"/>
      <c r="AAZ284" s="1"/>
      <c r="ABA284" s="1"/>
      <c r="ABB284" s="1"/>
      <c r="ABC284" s="1"/>
      <c r="ABD284" s="1"/>
      <c r="ABE284" s="1"/>
      <c r="ABF284" s="1"/>
      <c r="ABG284" s="1"/>
      <c r="ABH284" s="1"/>
      <c r="ABI284" s="1"/>
      <c r="ABJ284" s="1"/>
      <c r="ABK284" s="1"/>
      <c r="ABL284" s="1"/>
      <c r="ABM284" s="1"/>
      <c r="ABN284" s="1"/>
      <c r="ABO284" s="1"/>
      <c r="ABP284" s="1"/>
      <c r="ABQ284" s="1"/>
      <c r="ABR284" s="1"/>
      <c r="ABS284" s="1"/>
      <c r="ABT284" s="1"/>
      <c r="ABU284" s="1"/>
      <c r="ABV284" s="1"/>
      <c r="ABW284" s="1"/>
      <c r="ABX284" s="1"/>
      <c r="ABY284" s="1"/>
      <c r="ABZ284" s="1"/>
      <c r="ACA284" s="1"/>
      <c r="ACB284" s="1"/>
      <c r="ACC284" s="1"/>
      <c r="ACD284" s="1"/>
      <c r="ACE284" s="1"/>
      <c r="ACF284" s="1"/>
      <c r="ACG284" s="1"/>
      <c r="ACH284" s="1"/>
      <c r="ACI284" s="1"/>
      <c r="ACJ284" s="1"/>
      <c r="ACK284" s="1"/>
      <c r="ACL284" s="1"/>
      <c r="ACM284" s="1"/>
      <c r="ACN284" s="1"/>
      <c r="ACO284" s="1"/>
      <c r="ACP284" s="1"/>
      <c r="ACQ284" s="1"/>
      <c r="ACR284" s="1"/>
      <c r="ACS284" s="1"/>
      <c r="ACT284" s="1"/>
      <c r="ACU284" s="1"/>
      <c r="ACV284" s="1"/>
      <c r="ACW284" s="1"/>
      <c r="ACX284" s="1"/>
      <c r="ACY284" s="1"/>
      <c r="ACZ284" s="1"/>
      <c r="ADA284" s="1"/>
      <c r="ADB284" s="1"/>
      <c r="ADC284" s="1"/>
      <c r="ADD284" s="1"/>
      <c r="ADE284" s="1"/>
      <c r="ADF284" s="1"/>
      <c r="ADG284" s="1"/>
      <c r="ADH284" s="1"/>
      <c r="ADI284" s="1"/>
      <c r="ADJ284" s="1"/>
      <c r="ADK284" s="1"/>
      <c r="ADL284" s="1"/>
      <c r="ADM284" s="1"/>
      <c r="ADN284" s="1"/>
      <c r="ADO284" s="1"/>
      <c r="ADP284" s="1"/>
      <c r="ADQ284" s="1"/>
      <c r="ADR284" s="1"/>
      <c r="ADS284" s="1"/>
      <c r="ADT284" s="1"/>
      <c r="ADU284" s="1"/>
      <c r="ADV284" s="1"/>
      <c r="ADW284" s="1"/>
      <c r="ADX284" s="1"/>
      <c r="ADY284" s="1"/>
      <c r="ADZ284" s="1"/>
      <c r="AEA284" s="1"/>
      <c r="AEB284" s="1"/>
      <c r="AEC284" s="1"/>
      <c r="AED284" s="1"/>
      <c r="AEE284" s="1"/>
      <c r="AEF284" s="1"/>
      <c r="AEG284" s="1"/>
      <c r="AEH284" s="1"/>
      <c r="AEI284" s="1"/>
      <c r="AEJ284" s="1"/>
      <c r="AEK284" s="1"/>
      <c r="AEL284" s="1"/>
      <c r="AEM284" s="1"/>
      <c r="AEN284" s="1"/>
      <c r="AEO284" s="1"/>
      <c r="AEP284" s="1"/>
      <c r="AEQ284" s="1"/>
      <c r="AER284" s="1"/>
      <c r="AES284" s="1"/>
      <c r="AET284" s="1"/>
      <c r="AEU284" s="1"/>
      <c r="AEV284" s="1"/>
      <c r="AEW284" s="1"/>
      <c r="AEX284" s="1"/>
      <c r="AEY284" s="1"/>
      <c r="AEZ284" s="1"/>
      <c r="AFA284" s="1"/>
      <c r="AFB284" s="1"/>
      <c r="AFC284" s="1"/>
      <c r="AFD284" s="1"/>
      <c r="AFE284" s="1"/>
      <c r="AFF284" s="1"/>
      <c r="AFG284" s="1"/>
      <c r="AFH284" s="1"/>
      <c r="AFI284" s="1"/>
      <c r="AFJ284" s="1"/>
      <c r="AFK284" s="1"/>
      <c r="AFL284" s="1"/>
      <c r="AFM284" s="1"/>
      <c r="AFN284" s="1"/>
      <c r="AFO284" s="1"/>
      <c r="AFP284" s="1"/>
      <c r="AFQ284" s="1"/>
      <c r="AFR284" s="1"/>
      <c r="AFS284" s="1"/>
      <c r="AFT284" s="1"/>
      <c r="AFU284" s="1"/>
      <c r="AFV284" s="1"/>
      <c r="AFW284" s="1"/>
      <c r="AFX284" s="1"/>
      <c r="AFY284" s="1"/>
      <c r="AFZ284" s="1"/>
      <c r="AGA284" s="1"/>
      <c r="AGB284" s="1"/>
      <c r="AGC284" s="1"/>
      <c r="AGD284" s="1"/>
      <c r="AGE284" s="1"/>
      <c r="AGF284" s="1"/>
      <c r="AGG284" s="1"/>
      <c r="AGH284" s="1"/>
      <c r="AGI284" s="1"/>
      <c r="AGJ284" s="1"/>
      <c r="AGK284" s="1"/>
      <c r="AGL284" s="1"/>
      <c r="AGM284" s="1"/>
      <c r="AGN284" s="1"/>
      <c r="AGO284" s="1"/>
      <c r="AGP284" s="1"/>
      <c r="AGQ284" s="1"/>
      <c r="AGR284" s="1"/>
      <c r="AGS284" s="1"/>
      <c r="AGT284" s="1"/>
      <c r="AGU284" s="1"/>
      <c r="AGV284" s="1"/>
      <c r="AGW284" s="1"/>
      <c r="AGX284" s="1"/>
      <c r="AGY284" s="1"/>
      <c r="AGZ284" s="1"/>
      <c r="AHA284" s="1"/>
      <c r="AHB284" s="1"/>
      <c r="AHC284" s="1"/>
      <c r="AHD284" s="1"/>
      <c r="AHE284" s="1"/>
      <c r="AHF284" s="1"/>
      <c r="AHG284" s="1"/>
      <c r="AHH284" s="1"/>
      <c r="AHI284" s="1"/>
      <c r="AHJ284" s="1"/>
      <c r="AHK284" s="1"/>
      <c r="AHL284" s="1"/>
      <c r="AHM284" s="1"/>
      <c r="AHN284" s="1"/>
      <c r="AHO284" s="1"/>
      <c r="AHP284" s="1"/>
      <c r="AHQ284" s="1"/>
      <c r="AHR284" s="1"/>
      <c r="AHS284" s="1"/>
      <c r="AHT284" s="1"/>
      <c r="AHU284" s="1"/>
      <c r="AHV284" s="1"/>
      <c r="AHW284" s="1"/>
      <c r="AHX284" s="1"/>
      <c r="AHY284" s="1"/>
      <c r="AHZ284" s="1"/>
      <c r="AIA284" s="1"/>
      <c r="AIB284" s="1"/>
      <c r="AIC284" s="1"/>
      <c r="AID284" s="1"/>
      <c r="AIE284" s="1"/>
      <c r="AIF284" s="1"/>
      <c r="AIG284" s="1"/>
      <c r="AIH284" s="1"/>
      <c r="AII284" s="1"/>
      <c r="AIJ284" s="1"/>
      <c r="AIK284" s="1"/>
      <c r="AIL284" s="1"/>
      <c r="AIM284" s="1"/>
      <c r="AIN284" s="1"/>
      <c r="AIO284" s="1"/>
      <c r="AIP284" s="1"/>
      <c r="AIQ284" s="1"/>
      <c r="AIR284" s="1"/>
      <c r="AIS284" s="1"/>
      <c r="AIT284" s="1"/>
      <c r="AIU284" s="1"/>
      <c r="AIV284" s="1"/>
      <c r="AIW284" s="1"/>
      <c r="AIX284" s="1"/>
      <c r="AIY284" s="1"/>
      <c r="AIZ284" s="1"/>
      <c r="AJA284" s="1"/>
      <c r="AJB284" s="1"/>
      <c r="AJC284" s="1"/>
      <c r="AJD284" s="1"/>
      <c r="AJE284" s="1"/>
      <c r="AJF284" s="1"/>
      <c r="AJG284" s="1"/>
      <c r="AJH284" s="1"/>
      <c r="AJI284" s="1"/>
      <c r="AJJ284" s="1"/>
      <c r="AJK284" s="1"/>
      <c r="AJL284" s="1"/>
      <c r="AJM284" s="1"/>
      <c r="AJN284" s="1"/>
      <c r="AJO284" s="1"/>
      <c r="AJP284" s="1"/>
      <c r="AJQ284" s="1"/>
      <c r="AJR284" s="1"/>
      <c r="AJS284" s="1"/>
      <c r="AJT284" s="1"/>
      <c r="AJU284" s="1"/>
      <c r="AJV284" s="1"/>
      <c r="AJW284" s="1"/>
      <c r="AJX284" s="1"/>
      <c r="AJY284" s="1"/>
      <c r="AJZ284" s="1"/>
      <c r="AKA284" s="1"/>
      <c r="AKB284" s="1"/>
      <c r="AKC284" s="1"/>
      <c r="AKD284" s="1"/>
      <c r="AKE284" s="1"/>
      <c r="AKF284" s="1"/>
      <c r="AKG284" s="1"/>
      <c r="AKH284" s="1"/>
      <c r="AKI284" s="1"/>
      <c r="AKJ284" s="1"/>
      <c r="AKK284" s="1"/>
      <c r="AKL284" s="1"/>
      <c r="AKM284" s="1"/>
      <c r="AKN284" s="1"/>
      <c r="AKO284" s="1"/>
      <c r="AKP284" s="1"/>
      <c r="AKQ284" s="1"/>
      <c r="AKR284" s="1"/>
      <c r="AKS284" s="1"/>
      <c r="AKT284" s="1"/>
      <c r="AKU284" s="1"/>
      <c r="AKV284" s="1"/>
      <c r="AKW284" s="1"/>
      <c r="AKX284" s="1"/>
      <c r="AKY284" s="1"/>
      <c r="AKZ284" s="1"/>
      <c r="ALA284" s="1"/>
      <c r="ALB284" s="1"/>
      <c r="ALC284" s="1"/>
      <c r="ALD284" s="1"/>
      <c r="ALE284" s="1"/>
      <c r="ALF284" s="1"/>
      <c r="ALG284" s="1"/>
      <c r="ALH284" s="1"/>
      <c r="ALI284" s="1"/>
      <c r="ALJ284" s="1"/>
      <c r="ALK284" s="1"/>
      <c r="ALL284" s="1"/>
      <c r="ALM284" s="1"/>
      <c r="ALN284" s="1"/>
      <c r="ALO284" s="1"/>
      <c r="ALP284" s="1"/>
      <c r="ALQ284" s="1"/>
      <c r="ALR284" s="1"/>
      <c r="ALS284" s="1"/>
      <c r="ALT284" s="1"/>
      <c r="ALU284" s="1"/>
      <c r="ALV284" s="1"/>
      <c r="ALW284" s="1"/>
      <c r="ALX284" s="1"/>
      <c r="ALY284" s="1"/>
      <c r="ALZ284" s="1"/>
      <c r="AMA284" s="1"/>
      <c r="AMB284" s="1"/>
      <c r="AMC284" s="1"/>
      <c r="AMD284" s="1"/>
      <c r="AME284" s="1"/>
      <c r="AMF284" s="1"/>
      <c r="AMG284" s="1"/>
      <c r="AMH284" s="1"/>
      <c r="AMI284" s="1"/>
      <c r="AMJ284" s="1"/>
      <c r="AMK284" s="1"/>
      <c r="AML284" s="1"/>
      <c r="AMM284" s="1"/>
      <c r="AMN284" s="1"/>
      <c r="AMO284" s="1"/>
    </row>
    <row r="285" spans="1:1030" x14ac:dyDescent="0.2">
      <c r="A285" s="3" t="str">
        <f t="shared" si="753"/>
        <v>crfr1_human_4K5Y</v>
      </c>
      <c r="B285" s="3" t="s">
        <v>38</v>
      </c>
      <c r="C285" s="3" t="s">
        <v>95</v>
      </c>
      <c r="D285" s="3" t="str">
        <f>IFERROR(MID(VLOOKUP($B285,Seqs!$A:$B,2,0),E285,1),"")</f>
        <v>H</v>
      </c>
      <c r="E285" s="3">
        <v>117</v>
      </c>
      <c r="F285" s="3" t="str">
        <f>IFERROR(MID(VLOOKUP($B285,Seqs!$A:$B,2,0),G285,1),"")</f>
        <v>L</v>
      </c>
      <c r="G285" s="3">
        <v>144</v>
      </c>
      <c r="H285" s="3" t="str">
        <f>IFERROR(MID(VLOOKUP($B285,Seqs!$A:$B,2,0),I285,1),"")</f>
        <v>R</v>
      </c>
      <c r="I285" s="23">
        <v>145</v>
      </c>
      <c r="J285" s="3" t="str">
        <f>IFERROR(MID(VLOOKUP($B285,Seqs!$A:$B,2,0),K285,1),"")</f>
        <v>R</v>
      </c>
      <c r="K285" s="23">
        <v>148</v>
      </c>
      <c r="L285" s="3" t="str">
        <f>IFERROR(MID(VLOOKUP($B285,Seqs!$A:$B,2,0),M285,1),"")</f>
        <v>C</v>
      </c>
      <c r="M285" s="23">
        <v>149</v>
      </c>
      <c r="N285" s="3" t="str">
        <f>IFERROR(MID(VLOOKUP($B285,Seqs!$A:$B,2,0),O285,1),"")</f>
        <v>T</v>
      </c>
      <c r="O285" s="3">
        <v>175</v>
      </c>
      <c r="P285" s="3" t="str">
        <f>IFERROR(MID(VLOOKUP($B285,Seqs!$A:$B,2,0),Q285,1),"")</f>
        <v/>
      </c>
      <c r="Q285" s="3" t="s">
        <v>23</v>
      </c>
      <c r="R285" s="3" t="str">
        <f>IFERROR(MID(VLOOKUP($B285,Seqs!$A:$B,2,0),S285,1),"")</f>
        <v/>
      </c>
      <c r="S285" s="3" t="s">
        <v>23</v>
      </c>
      <c r="T285" s="3" t="str">
        <f>IFERROR(MID(VLOOKUP($B285,Seqs!$A:$B,2,0),U285,1),"")</f>
        <v>V</v>
      </c>
      <c r="U285" s="3">
        <v>185</v>
      </c>
      <c r="V285" s="3" t="str">
        <f>IFERROR(MID(VLOOKUP($B285,Seqs!$A:$B,2,0),W285,1),"")</f>
        <v>L</v>
      </c>
      <c r="W285" s="3">
        <v>219</v>
      </c>
      <c r="X285" s="3" t="str">
        <f>IFERROR(MID(VLOOKUP($B285,Seqs!$A:$B,2,0),Y285,1),"")</f>
        <v/>
      </c>
      <c r="Y285" s="3" t="s">
        <v>23</v>
      </c>
      <c r="Z285" s="3" t="str">
        <f>IFERROR(MID(VLOOKUP($B285,Seqs!$A:$B,2,0),AA285,1),"")</f>
        <v/>
      </c>
      <c r="AA285" s="3" t="s">
        <v>23</v>
      </c>
      <c r="AB285" s="3" t="str">
        <f>IFERROR(MID(VLOOKUP($B285,Seqs!$A:$B,2,0),AC285,1),"")</f>
        <v>L</v>
      </c>
      <c r="AC285" s="9">
        <v>226</v>
      </c>
      <c r="AD285" s="3" t="str">
        <f>IFERROR(MID(VLOOKUP($B285,Seqs!$A:$B,2,0),AE285,1),"")</f>
        <v>D</v>
      </c>
      <c r="AE285" s="3">
        <v>254</v>
      </c>
      <c r="AF285" s="3" t="str">
        <f>IFERROR(MID(VLOOKUP($B285,Seqs!$A:$B,2,0),AG285,1),"")</f>
        <v>C</v>
      </c>
      <c r="AG285" s="3">
        <v>258</v>
      </c>
      <c r="AH285" s="3" t="str">
        <f>IFERROR(MID(VLOOKUP($B285,Seqs!$A:$B,2,0),AI285,1),"")</f>
        <v>F</v>
      </c>
      <c r="AI285" s="3">
        <v>260</v>
      </c>
      <c r="AJ285" s="3" t="str">
        <f>IFERROR(MID(VLOOKUP($B285,Seqs!$A:$B,2,0),AK285,1),"")</f>
        <v>T</v>
      </c>
      <c r="AK285" s="3">
        <v>268</v>
      </c>
      <c r="AL285" s="3" t="str">
        <f>IFERROR(MID(VLOOKUP($B285,Seqs!$A:$B,2,0),AM285,1),"")</f>
        <v>L</v>
      </c>
      <c r="AM285" s="3">
        <v>298</v>
      </c>
      <c r="AN285" s="3" t="str">
        <f>IFERROR(MID(VLOOKUP($B285,Seqs!$A:$B,2,0),AO285,1),"")</f>
        <v>S</v>
      </c>
      <c r="AO285" s="3">
        <v>304</v>
      </c>
      <c r="AP285" s="3" t="str">
        <f>IFERROR(MID(VLOOKUP($B285,Seqs!$A:$B,2,0),AQ285,1),"")</f>
        <v>V</v>
      </c>
      <c r="AQ285" s="3">
        <v>332</v>
      </c>
      <c r="AR285" s="3" t="str">
        <f>IFERROR(MID(VLOOKUP($B285,Seqs!$A:$B,2,0),AS285,1),"")</f>
        <v>V</v>
      </c>
      <c r="AS285" s="3">
        <v>339</v>
      </c>
      <c r="AT285" s="3" t="str">
        <f>IFERROR(MID(VLOOKUP($B285,Seqs!$A:$B,2,0),AU285,1),"")</f>
        <v>F</v>
      </c>
      <c r="AU285" s="3">
        <v>362</v>
      </c>
      <c r="AV285" s="3" t="str">
        <f>IFERROR(MID(VLOOKUP($B285,Seqs!$A:$B,2,0),AW285,1),"")</f>
        <v/>
      </c>
      <c r="AW285" s="3" t="s">
        <v>23</v>
      </c>
      <c r="AX285" s="3" t="str">
        <f>IFERROR(MID(VLOOKUP($B285,Seqs!$A:$B,2,0),AY285,1),"")</f>
        <v/>
      </c>
      <c r="AY285" s="3" t="s">
        <v>23</v>
      </c>
      <c r="AZ285" s="77" t="str">
        <f>VLOOKUP(B285,Classification!A:D,2,0)</f>
        <v>B1</v>
      </c>
      <c r="BA285" s="94" t="str">
        <f>VLOOKUP(B285,Classification!A:D,4,0)</f>
        <v>Corticotropin-releasingfact</v>
      </c>
      <c r="BB285" s="27" t="b">
        <f t="shared" si="754"/>
        <v>1</v>
      </c>
      <c r="BC285" s="23">
        <f t="shared" si="1089"/>
        <v>213</v>
      </c>
      <c r="BD285" s="4" t="s">
        <v>23</v>
      </c>
      <c r="BE285" s="3" t="s">
        <v>1381</v>
      </c>
      <c r="BF285" s="119">
        <v>2.98</v>
      </c>
      <c r="BG285" s="49" t="s">
        <v>1384</v>
      </c>
      <c r="BH285" s="49" t="s">
        <v>1384</v>
      </c>
      <c r="BI285" s="1"/>
      <c r="BJ285" s="70" t="s">
        <v>1293</v>
      </c>
      <c r="BK285" s="57" t="s">
        <v>1293</v>
      </c>
      <c r="BL285" s="57" t="s">
        <v>1293</v>
      </c>
      <c r="BM285" s="57" t="s">
        <v>1293</v>
      </c>
      <c r="BN285" s="57" t="s">
        <v>1293</v>
      </c>
      <c r="BO285" s="57" t="s">
        <v>1293</v>
      </c>
      <c r="BP285" s="57" t="s">
        <v>1293</v>
      </c>
      <c r="BQ285" s="57" t="s">
        <v>1293</v>
      </c>
      <c r="BR285" s="57" t="s">
        <v>1293</v>
      </c>
      <c r="BS285" s="57" t="s">
        <v>1293</v>
      </c>
      <c r="BT285" s="57" t="s">
        <v>1293</v>
      </c>
      <c r="BU285" s="57" t="s">
        <v>1293</v>
      </c>
      <c r="BV285" s="70">
        <f t="shared" si="1090"/>
        <v>117</v>
      </c>
      <c r="BW285" s="71">
        <f t="shared" si="1091"/>
        <v>145</v>
      </c>
      <c r="BX285" s="72">
        <f t="shared" si="1092"/>
        <v>149</v>
      </c>
      <c r="BY285" s="71" t="str">
        <f t="shared" si="1093"/>
        <v>-</v>
      </c>
      <c r="BZ285" s="72">
        <f t="shared" si="1094"/>
        <v>185</v>
      </c>
      <c r="CA285" s="71" t="str">
        <f t="shared" si="1095"/>
        <v>-</v>
      </c>
      <c r="CB285" s="72">
        <f t="shared" si="1096"/>
        <v>226</v>
      </c>
      <c r="CC285" s="71">
        <f t="shared" si="1097"/>
        <v>258</v>
      </c>
      <c r="CD285" s="72">
        <f t="shared" si="1098"/>
        <v>268</v>
      </c>
      <c r="CE285" s="71">
        <f t="shared" si="1099"/>
        <v>304</v>
      </c>
      <c r="CF285" s="72">
        <f t="shared" si="1100"/>
        <v>339</v>
      </c>
      <c r="CG285" s="71" t="str">
        <f t="shared" si="1101"/>
        <v>-</v>
      </c>
      <c r="CH285" s="70">
        <f t="shared" si="1102"/>
        <v>144</v>
      </c>
      <c r="CI285" s="71">
        <f t="shared" si="1103"/>
        <v>148</v>
      </c>
      <c r="CJ285" s="72">
        <f t="shared" si="1104"/>
        <v>175</v>
      </c>
      <c r="CK285" s="72" t="str">
        <f t="shared" si="1105"/>
        <v>-</v>
      </c>
      <c r="CL285" s="72">
        <f t="shared" si="1106"/>
        <v>219</v>
      </c>
      <c r="CM285" s="72" t="str">
        <f t="shared" si="1107"/>
        <v>-</v>
      </c>
      <c r="CN285" s="72">
        <f t="shared" si="1108"/>
        <v>254</v>
      </c>
      <c r="CO285" s="72">
        <f t="shared" si="1109"/>
        <v>260</v>
      </c>
      <c r="CP285" s="72">
        <f t="shared" si="1110"/>
        <v>298</v>
      </c>
      <c r="CQ285" s="72">
        <f t="shared" si="1111"/>
        <v>332</v>
      </c>
      <c r="CR285" s="72">
        <f t="shared" si="1112"/>
        <v>362</v>
      </c>
      <c r="CS285" s="72" t="str">
        <f t="shared" si="1113"/>
        <v>-</v>
      </c>
      <c r="CT285" s="23">
        <f t="shared" si="1114"/>
        <v>1</v>
      </c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  <c r="OK285" s="1"/>
      <c r="OL285" s="1"/>
      <c r="OM285" s="1"/>
      <c r="ON285" s="1"/>
      <c r="OO285" s="1"/>
      <c r="OP285" s="1"/>
      <c r="OQ285" s="1"/>
      <c r="OR285" s="1"/>
      <c r="OS285" s="1"/>
      <c r="OT285" s="1"/>
      <c r="OU285" s="1"/>
      <c r="OV285" s="1"/>
      <c r="OW285" s="1"/>
      <c r="OX285" s="1"/>
      <c r="OY285" s="1"/>
      <c r="OZ285" s="1"/>
      <c r="PA285" s="1"/>
      <c r="PB285" s="1"/>
      <c r="PC285" s="1"/>
      <c r="PD285" s="1"/>
      <c r="PE285" s="1"/>
      <c r="PF285" s="1"/>
      <c r="PG285" s="1"/>
      <c r="PH285" s="1"/>
      <c r="PI285" s="1"/>
      <c r="PJ285" s="1"/>
      <c r="PK285" s="1"/>
      <c r="PL285" s="1"/>
      <c r="PM285" s="1"/>
      <c r="PN285" s="1"/>
      <c r="PO285" s="1"/>
      <c r="PP285" s="1"/>
      <c r="PQ285" s="1"/>
      <c r="PR285" s="1"/>
      <c r="PS285" s="1"/>
      <c r="PT285" s="1"/>
      <c r="PU285" s="1"/>
      <c r="PV285" s="1"/>
      <c r="PW285" s="1"/>
      <c r="PX285" s="1"/>
      <c r="PY285" s="1"/>
      <c r="PZ285" s="1"/>
      <c r="QA285" s="1"/>
      <c r="QB285" s="1"/>
      <c r="QC285" s="1"/>
      <c r="QD285" s="1"/>
      <c r="QE285" s="1"/>
      <c r="QF285" s="1"/>
      <c r="QG285" s="1"/>
      <c r="QH285" s="1"/>
      <c r="QI285" s="1"/>
      <c r="QJ285" s="1"/>
      <c r="QK285" s="1"/>
      <c r="QL285" s="1"/>
      <c r="QM285" s="1"/>
      <c r="QN285" s="1"/>
      <c r="QO285" s="1"/>
      <c r="QP285" s="1"/>
      <c r="QQ285" s="1"/>
      <c r="QR285" s="1"/>
      <c r="QS285" s="1"/>
      <c r="QT285" s="1"/>
      <c r="QU285" s="1"/>
      <c r="QV285" s="1"/>
      <c r="QW285" s="1"/>
      <c r="QX285" s="1"/>
      <c r="QY285" s="1"/>
      <c r="QZ285" s="1"/>
      <c r="RA285" s="1"/>
      <c r="RB285" s="1"/>
      <c r="RC285" s="1"/>
      <c r="RD285" s="1"/>
      <c r="RE285" s="1"/>
      <c r="RF285" s="1"/>
      <c r="RG285" s="1"/>
      <c r="RH285" s="1"/>
      <c r="RI285" s="1"/>
      <c r="RJ285" s="1"/>
      <c r="RK285" s="1"/>
      <c r="RL285" s="1"/>
      <c r="RM285" s="1"/>
      <c r="RN285" s="1"/>
      <c r="RO285" s="1"/>
      <c r="RP285" s="1"/>
      <c r="RQ285" s="1"/>
      <c r="RR285" s="1"/>
      <c r="RS285" s="1"/>
      <c r="RT285" s="1"/>
      <c r="RU285" s="1"/>
      <c r="RV285" s="1"/>
      <c r="RW285" s="1"/>
      <c r="RX285" s="1"/>
      <c r="RY285" s="1"/>
      <c r="RZ285" s="1"/>
      <c r="SA285" s="1"/>
      <c r="SB285" s="1"/>
      <c r="SC285" s="1"/>
      <c r="SD285" s="1"/>
      <c r="SE285" s="1"/>
      <c r="SF285" s="1"/>
      <c r="SG285" s="1"/>
      <c r="SH285" s="1"/>
      <c r="SI285" s="1"/>
      <c r="SJ285" s="1"/>
      <c r="SK285" s="1"/>
      <c r="SL285" s="1"/>
      <c r="SM285" s="1"/>
      <c r="SN285" s="1"/>
      <c r="SO285" s="1"/>
      <c r="SP285" s="1"/>
      <c r="SQ285" s="1"/>
      <c r="SR285" s="1"/>
      <c r="SS285" s="1"/>
      <c r="ST285" s="1"/>
      <c r="SU285" s="1"/>
      <c r="SV285" s="1"/>
      <c r="SW285" s="1"/>
      <c r="SX285" s="1"/>
      <c r="SY285" s="1"/>
      <c r="SZ285" s="1"/>
      <c r="TA285" s="1"/>
      <c r="TB285" s="1"/>
      <c r="TC285" s="1"/>
      <c r="TD285" s="1"/>
      <c r="TE285" s="1"/>
      <c r="TF285" s="1"/>
      <c r="TG285" s="1"/>
      <c r="TH285" s="1"/>
      <c r="TI285" s="1"/>
      <c r="TJ285" s="1"/>
      <c r="TK285" s="1"/>
      <c r="TL285" s="1"/>
      <c r="TM285" s="1"/>
      <c r="TN285" s="1"/>
      <c r="TO285" s="1"/>
      <c r="TP285" s="1"/>
      <c r="TQ285" s="1"/>
      <c r="TR285" s="1"/>
      <c r="TS285" s="1"/>
      <c r="TT285" s="1"/>
      <c r="TU285" s="1"/>
      <c r="TV285" s="1"/>
      <c r="TW285" s="1"/>
      <c r="TX285" s="1"/>
      <c r="TY285" s="1"/>
      <c r="TZ285" s="1"/>
      <c r="UA285" s="1"/>
      <c r="UB285" s="1"/>
      <c r="UC285" s="1"/>
      <c r="UD285" s="1"/>
      <c r="UE285" s="1"/>
      <c r="UF285" s="1"/>
      <c r="UG285" s="1"/>
      <c r="UH285" s="1"/>
      <c r="UI285" s="1"/>
      <c r="UJ285" s="1"/>
      <c r="UK285" s="1"/>
      <c r="UL285" s="1"/>
      <c r="UM285" s="1"/>
      <c r="UN285" s="1"/>
      <c r="UO285" s="1"/>
      <c r="UP285" s="1"/>
      <c r="UQ285" s="1"/>
      <c r="UR285" s="1"/>
      <c r="US285" s="1"/>
      <c r="UT285" s="1"/>
      <c r="UU285" s="1"/>
      <c r="UV285" s="1"/>
      <c r="UW285" s="1"/>
      <c r="UX285" s="1"/>
      <c r="UY285" s="1"/>
      <c r="UZ285" s="1"/>
      <c r="VA285" s="1"/>
      <c r="VB285" s="1"/>
      <c r="VC285" s="1"/>
      <c r="VD285" s="1"/>
      <c r="VE285" s="1"/>
      <c r="VF285" s="1"/>
      <c r="VG285" s="1"/>
      <c r="VH285" s="1"/>
      <c r="VI285" s="1"/>
      <c r="VJ285" s="1"/>
      <c r="VK285" s="1"/>
      <c r="VL285" s="1"/>
      <c r="VM285" s="1"/>
      <c r="VN285" s="1"/>
      <c r="VO285" s="1"/>
      <c r="VP285" s="1"/>
      <c r="VQ285" s="1"/>
      <c r="VR285" s="1"/>
      <c r="VS285" s="1"/>
      <c r="VT285" s="1"/>
      <c r="VU285" s="1"/>
      <c r="VV285" s="1"/>
      <c r="VW285" s="1"/>
      <c r="VX285" s="1"/>
      <c r="VY285" s="1"/>
      <c r="VZ285" s="1"/>
      <c r="WA285" s="1"/>
      <c r="WB285" s="1"/>
      <c r="WC285" s="1"/>
      <c r="WD285" s="1"/>
      <c r="WE285" s="1"/>
      <c r="WF285" s="1"/>
      <c r="WG285" s="1"/>
      <c r="WH285" s="1"/>
      <c r="WI285" s="1"/>
      <c r="WJ285" s="1"/>
      <c r="WK285" s="1"/>
      <c r="WL285" s="1"/>
      <c r="WM285" s="1"/>
      <c r="WN285" s="1"/>
      <c r="WO285" s="1"/>
      <c r="WP285" s="1"/>
      <c r="WQ285" s="1"/>
      <c r="WR285" s="1"/>
      <c r="WS285" s="1"/>
      <c r="WT285" s="1"/>
      <c r="WU285" s="1"/>
      <c r="WV285" s="1"/>
      <c r="WW285" s="1"/>
      <c r="WX285" s="1"/>
      <c r="WY285" s="1"/>
      <c r="WZ285" s="1"/>
      <c r="XA285" s="1"/>
      <c r="XB285" s="1"/>
      <c r="XC285" s="1"/>
      <c r="XD285" s="1"/>
      <c r="XE285" s="1"/>
      <c r="XF285" s="1"/>
      <c r="XG285" s="1"/>
      <c r="XH285" s="1"/>
      <c r="XI285" s="1"/>
      <c r="XJ285" s="1"/>
      <c r="XK285" s="1"/>
      <c r="XL285" s="1"/>
      <c r="XM285" s="1"/>
      <c r="XN285" s="1"/>
      <c r="XO285" s="1"/>
      <c r="XP285" s="1"/>
      <c r="XQ285" s="1"/>
      <c r="XR285" s="1"/>
      <c r="XS285" s="1"/>
      <c r="XT285" s="1"/>
      <c r="XU285" s="1"/>
      <c r="XV285" s="1"/>
      <c r="XW285" s="1"/>
      <c r="XX285" s="1"/>
      <c r="XY285" s="1"/>
      <c r="XZ285" s="1"/>
      <c r="YA285" s="1"/>
      <c r="YB285" s="1"/>
      <c r="YC285" s="1"/>
      <c r="YD285" s="1"/>
      <c r="YE285" s="1"/>
      <c r="YF285" s="1"/>
      <c r="YG285" s="1"/>
      <c r="YH285" s="1"/>
      <c r="YI285" s="1"/>
      <c r="YJ285" s="1"/>
      <c r="YK285" s="1"/>
      <c r="YL285" s="1"/>
      <c r="YM285" s="1"/>
      <c r="YN285" s="1"/>
      <c r="YO285" s="1"/>
      <c r="YP285" s="1"/>
      <c r="YQ285" s="1"/>
      <c r="YR285" s="1"/>
      <c r="YS285" s="1"/>
      <c r="YT285" s="1"/>
      <c r="YU285" s="1"/>
      <c r="YV285" s="1"/>
      <c r="YW285" s="1"/>
      <c r="YX285" s="1"/>
      <c r="YY285" s="1"/>
      <c r="YZ285" s="1"/>
      <c r="ZA285" s="1"/>
      <c r="ZB285" s="1"/>
      <c r="ZC285" s="1"/>
      <c r="ZD285" s="1"/>
      <c r="ZE285" s="1"/>
      <c r="ZF285" s="1"/>
      <c r="ZG285" s="1"/>
      <c r="ZH285" s="1"/>
      <c r="ZI285" s="1"/>
      <c r="ZJ285" s="1"/>
      <c r="ZK285" s="1"/>
      <c r="ZL285" s="1"/>
      <c r="ZM285" s="1"/>
      <c r="ZN285" s="1"/>
      <c r="ZO285" s="1"/>
      <c r="ZP285" s="1"/>
      <c r="ZQ285" s="1"/>
      <c r="ZR285" s="1"/>
      <c r="ZS285" s="1"/>
      <c r="ZT285" s="1"/>
      <c r="ZU285" s="1"/>
      <c r="ZV285" s="1"/>
      <c r="ZW285" s="1"/>
      <c r="ZX285" s="1"/>
      <c r="ZY285" s="1"/>
      <c r="ZZ285" s="1"/>
      <c r="AAA285" s="1"/>
      <c r="AAB285" s="1"/>
      <c r="AAC285" s="1"/>
      <c r="AAD285" s="1"/>
      <c r="AAE285" s="1"/>
      <c r="AAF285" s="1"/>
      <c r="AAG285" s="1"/>
      <c r="AAH285" s="1"/>
      <c r="AAI285" s="1"/>
      <c r="AAJ285" s="1"/>
      <c r="AAK285" s="1"/>
      <c r="AAL285" s="1"/>
      <c r="AAM285" s="1"/>
      <c r="AAN285" s="1"/>
      <c r="AAO285" s="1"/>
      <c r="AAP285" s="1"/>
      <c r="AAQ285" s="1"/>
      <c r="AAR285" s="1"/>
      <c r="AAS285" s="1"/>
      <c r="AAT285" s="1"/>
      <c r="AAU285" s="1"/>
      <c r="AAV285" s="1"/>
      <c r="AAW285" s="1"/>
      <c r="AAX285" s="1"/>
      <c r="AAY285" s="1"/>
      <c r="AAZ285" s="1"/>
      <c r="ABA285" s="1"/>
      <c r="ABB285" s="1"/>
      <c r="ABC285" s="1"/>
      <c r="ABD285" s="1"/>
      <c r="ABE285" s="1"/>
      <c r="ABF285" s="1"/>
      <c r="ABG285" s="1"/>
      <c r="ABH285" s="1"/>
      <c r="ABI285" s="1"/>
      <c r="ABJ285" s="1"/>
      <c r="ABK285" s="1"/>
      <c r="ABL285" s="1"/>
      <c r="ABM285" s="1"/>
      <c r="ABN285" s="1"/>
      <c r="ABO285" s="1"/>
      <c r="ABP285" s="1"/>
      <c r="ABQ285" s="1"/>
      <c r="ABR285" s="1"/>
      <c r="ABS285" s="1"/>
      <c r="ABT285" s="1"/>
      <c r="ABU285" s="1"/>
      <c r="ABV285" s="1"/>
      <c r="ABW285" s="1"/>
      <c r="ABX285" s="1"/>
      <c r="ABY285" s="1"/>
      <c r="ABZ285" s="1"/>
      <c r="ACA285" s="1"/>
      <c r="ACB285" s="1"/>
      <c r="ACC285" s="1"/>
      <c r="ACD285" s="1"/>
      <c r="ACE285" s="1"/>
      <c r="ACF285" s="1"/>
      <c r="ACG285" s="1"/>
      <c r="ACH285" s="1"/>
      <c r="ACI285" s="1"/>
      <c r="ACJ285" s="1"/>
      <c r="ACK285" s="1"/>
      <c r="ACL285" s="1"/>
      <c r="ACM285" s="1"/>
      <c r="ACN285" s="1"/>
      <c r="ACO285" s="1"/>
      <c r="ACP285" s="1"/>
      <c r="ACQ285" s="1"/>
      <c r="ACR285" s="1"/>
      <c r="ACS285" s="1"/>
      <c r="ACT285" s="1"/>
      <c r="ACU285" s="1"/>
      <c r="ACV285" s="1"/>
      <c r="ACW285" s="1"/>
      <c r="ACX285" s="1"/>
      <c r="ACY285" s="1"/>
      <c r="ACZ285" s="1"/>
      <c r="ADA285" s="1"/>
      <c r="ADB285" s="1"/>
      <c r="ADC285" s="1"/>
      <c r="ADD285" s="1"/>
      <c r="ADE285" s="1"/>
      <c r="ADF285" s="1"/>
      <c r="ADG285" s="1"/>
      <c r="ADH285" s="1"/>
      <c r="ADI285" s="1"/>
      <c r="ADJ285" s="1"/>
      <c r="ADK285" s="1"/>
      <c r="ADL285" s="1"/>
      <c r="ADM285" s="1"/>
      <c r="ADN285" s="1"/>
      <c r="ADO285" s="1"/>
      <c r="ADP285" s="1"/>
      <c r="ADQ285" s="1"/>
      <c r="ADR285" s="1"/>
      <c r="ADS285" s="1"/>
      <c r="ADT285" s="1"/>
      <c r="ADU285" s="1"/>
      <c r="ADV285" s="1"/>
      <c r="ADW285" s="1"/>
      <c r="ADX285" s="1"/>
      <c r="ADY285" s="1"/>
      <c r="ADZ285" s="1"/>
      <c r="AEA285" s="1"/>
      <c r="AEB285" s="1"/>
      <c r="AEC285" s="1"/>
      <c r="AED285" s="1"/>
      <c r="AEE285" s="1"/>
      <c r="AEF285" s="1"/>
      <c r="AEG285" s="1"/>
      <c r="AEH285" s="1"/>
      <c r="AEI285" s="1"/>
      <c r="AEJ285" s="1"/>
      <c r="AEK285" s="1"/>
      <c r="AEL285" s="1"/>
      <c r="AEM285" s="1"/>
      <c r="AEN285" s="1"/>
      <c r="AEO285" s="1"/>
      <c r="AEP285" s="1"/>
      <c r="AEQ285" s="1"/>
      <c r="AER285" s="1"/>
      <c r="AES285" s="1"/>
      <c r="AET285" s="1"/>
      <c r="AEU285" s="1"/>
      <c r="AEV285" s="1"/>
      <c r="AEW285" s="1"/>
      <c r="AEX285" s="1"/>
      <c r="AEY285" s="1"/>
      <c r="AEZ285" s="1"/>
      <c r="AFA285" s="1"/>
      <c r="AFB285" s="1"/>
      <c r="AFC285" s="1"/>
      <c r="AFD285" s="1"/>
      <c r="AFE285" s="1"/>
      <c r="AFF285" s="1"/>
      <c r="AFG285" s="1"/>
      <c r="AFH285" s="1"/>
      <c r="AFI285" s="1"/>
      <c r="AFJ285" s="1"/>
      <c r="AFK285" s="1"/>
      <c r="AFL285" s="1"/>
      <c r="AFM285" s="1"/>
      <c r="AFN285" s="1"/>
      <c r="AFO285" s="1"/>
      <c r="AFP285" s="1"/>
      <c r="AFQ285" s="1"/>
      <c r="AFR285" s="1"/>
      <c r="AFS285" s="1"/>
      <c r="AFT285" s="1"/>
      <c r="AFU285" s="1"/>
      <c r="AFV285" s="1"/>
      <c r="AFW285" s="1"/>
      <c r="AFX285" s="1"/>
      <c r="AFY285" s="1"/>
      <c r="AFZ285" s="1"/>
      <c r="AGA285" s="1"/>
      <c r="AGB285" s="1"/>
      <c r="AGC285" s="1"/>
      <c r="AGD285" s="1"/>
      <c r="AGE285" s="1"/>
      <c r="AGF285" s="1"/>
      <c r="AGG285" s="1"/>
      <c r="AGH285" s="1"/>
      <c r="AGI285" s="1"/>
      <c r="AGJ285" s="1"/>
      <c r="AGK285" s="1"/>
      <c r="AGL285" s="1"/>
      <c r="AGM285" s="1"/>
      <c r="AGN285" s="1"/>
      <c r="AGO285" s="1"/>
      <c r="AGP285" s="1"/>
      <c r="AGQ285" s="1"/>
      <c r="AGR285" s="1"/>
      <c r="AGS285" s="1"/>
      <c r="AGT285" s="1"/>
      <c r="AGU285" s="1"/>
      <c r="AGV285" s="1"/>
      <c r="AGW285" s="1"/>
      <c r="AGX285" s="1"/>
      <c r="AGY285" s="1"/>
      <c r="AGZ285" s="1"/>
      <c r="AHA285" s="1"/>
      <c r="AHB285" s="1"/>
      <c r="AHC285" s="1"/>
      <c r="AHD285" s="1"/>
      <c r="AHE285" s="1"/>
      <c r="AHF285" s="1"/>
      <c r="AHG285" s="1"/>
      <c r="AHH285" s="1"/>
      <c r="AHI285" s="1"/>
      <c r="AHJ285" s="1"/>
      <c r="AHK285" s="1"/>
      <c r="AHL285" s="1"/>
      <c r="AHM285" s="1"/>
      <c r="AHN285" s="1"/>
      <c r="AHO285" s="1"/>
      <c r="AHP285" s="1"/>
      <c r="AHQ285" s="1"/>
      <c r="AHR285" s="1"/>
      <c r="AHS285" s="1"/>
      <c r="AHT285" s="1"/>
      <c r="AHU285" s="1"/>
      <c r="AHV285" s="1"/>
      <c r="AHW285" s="1"/>
      <c r="AHX285" s="1"/>
      <c r="AHY285" s="1"/>
      <c r="AHZ285" s="1"/>
      <c r="AIA285" s="1"/>
      <c r="AIB285" s="1"/>
      <c r="AIC285" s="1"/>
      <c r="AID285" s="1"/>
      <c r="AIE285" s="1"/>
      <c r="AIF285" s="1"/>
      <c r="AIG285" s="1"/>
      <c r="AIH285" s="1"/>
      <c r="AII285" s="1"/>
      <c r="AIJ285" s="1"/>
      <c r="AIK285" s="1"/>
      <c r="AIL285" s="1"/>
      <c r="AIM285" s="1"/>
      <c r="AIN285" s="1"/>
      <c r="AIO285" s="1"/>
      <c r="AIP285" s="1"/>
      <c r="AIQ285" s="1"/>
      <c r="AIR285" s="1"/>
      <c r="AIS285" s="1"/>
      <c r="AIT285" s="1"/>
      <c r="AIU285" s="1"/>
      <c r="AIV285" s="1"/>
      <c r="AIW285" s="1"/>
      <c r="AIX285" s="1"/>
      <c r="AIY285" s="1"/>
      <c r="AIZ285" s="1"/>
      <c r="AJA285" s="1"/>
      <c r="AJB285" s="1"/>
      <c r="AJC285" s="1"/>
      <c r="AJD285" s="1"/>
      <c r="AJE285" s="1"/>
      <c r="AJF285" s="1"/>
      <c r="AJG285" s="1"/>
      <c r="AJH285" s="1"/>
      <c r="AJI285" s="1"/>
      <c r="AJJ285" s="1"/>
      <c r="AJK285" s="1"/>
      <c r="AJL285" s="1"/>
      <c r="AJM285" s="1"/>
      <c r="AJN285" s="1"/>
      <c r="AJO285" s="1"/>
      <c r="AJP285" s="1"/>
      <c r="AJQ285" s="1"/>
      <c r="AJR285" s="1"/>
      <c r="AJS285" s="1"/>
      <c r="AJT285" s="1"/>
      <c r="AJU285" s="1"/>
      <c r="AJV285" s="1"/>
      <c r="AJW285" s="1"/>
      <c r="AJX285" s="1"/>
      <c r="AJY285" s="1"/>
      <c r="AJZ285" s="1"/>
      <c r="AKA285" s="1"/>
      <c r="AKB285" s="1"/>
      <c r="AKC285" s="1"/>
      <c r="AKD285" s="1"/>
      <c r="AKE285" s="1"/>
      <c r="AKF285" s="1"/>
      <c r="AKG285" s="1"/>
      <c r="AKH285" s="1"/>
      <c r="AKI285" s="1"/>
      <c r="AKJ285" s="1"/>
      <c r="AKK285" s="1"/>
      <c r="AKL285" s="1"/>
      <c r="AKM285" s="1"/>
      <c r="AKN285" s="1"/>
      <c r="AKO285" s="1"/>
      <c r="AKP285" s="1"/>
      <c r="AKQ285" s="1"/>
      <c r="AKR285" s="1"/>
      <c r="AKS285" s="1"/>
      <c r="AKT285" s="1"/>
      <c r="AKU285" s="1"/>
      <c r="AKV285" s="1"/>
      <c r="AKW285" s="1"/>
      <c r="AKX285" s="1"/>
      <c r="AKY285" s="1"/>
      <c r="AKZ285" s="1"/>
      <c r="ALA285" s="1"/>
      <c r="ALB285" s="1"/>
      <c r="ALC285" s="1"/>
      <c r="ALD285" s="1"/>
      <c r="ALE285" s="1"/>
      <c r="ALF285" s="1"/>
      <c r="ALG285" s="1"/>
      <c r="ALH285" s="1"/>
      <c r="ALI285" s="1"/>
      <c r="ALJ285" s="1"/>
      <c r="ALK285" s="1"/>
      <c r="ALL285" s="1"/>
      <c r="ALM285" s="1"/>
      <c r="ALN285" s="1"/>
      <c r="ALO285" s="1"/>
      <c r="ALP285" s="1"/>
      <c r="ALQ285" s="1"/>
      <c r="ALR285" s="1"/>
      <c r="ALS285" s="1"/>
      <c r="ALT285" s="1"/>
      <c r="ALU285" s="1"/>
      <c r="ALV285" s="1"/>
      <c r="ALW285" s="1"/>
      <c r="ALX285" s="1"/>
      <c r="ALY285" s="1"/>
      <c r="ALZ285" s="1"/>
      <c r="AMA285" s="1"/>
      <c r="AMB285" s="1"/>
      <c r="AMC285" s="1"/>
      <c r="AMD285" s="1"/>
      <c r="AME285" s="1"/>
      <c r="AMF285" s="1"/>
      <c r="AMG285" s="1"/>
      <c r="AMH285" s="1"/>
      <c r="AMI285" s="1"/>
      <c r="AMJ285" s="1"/>
      <c r="AMK285" s="1"/>
      <c r="AML285" s="1"/>
      <c r="AMM285" s="1"/>
      <c r="AMN285" s="1"/>
      <c r="AMO285" s="1"/>
    </row>
    <row r="286" spans="1:1030" x14ac:dyDescent="0.2">
      <c r="A286" s="3" t="str">
        <f t="shared" si="753"/>
        <v>crfr1_human_4K5Y_dist</v>
      </c>
      <c r="B286" s="3" t="s">
        <v>38</v>
      </c>
      <c r="C286" s="3" t="s">
        <v>1161</v>
      </c>
      <c r="D286" s="3" t="str">
        <f>IFERROR(MID(VLOOKUP($B286,Seqs!$A:$B,2,0),E286,1),"")</f>
        <v>H</v>
      </c>
      <c r="E286" s="3">
        <v>117</v>
      </c>
      <c r="F286" s="3" t="str">
        <f>IFERROR(MID(VLOOKUP($B286,Seqs!$A:$B,2,0),G286,1),"")</f>
        <v>L</v>
      </c>
      <c r="G286" s="3">
        <v>144</v>
      </c>
      <c r="H286" s="3" t="str">
        <f>IFERROR(MID(VLOOKUP($B286,Seqs!$A:$B,2,0),I286,1),"")</f>
        <v>R</v>
      </c>
      <c r="I286" s="23">
        <v>145</v>
      </c>
      <c r="J286" s="3" t="str">
        <f>IFERROR(MID(VLOOKUP($B286,Seqs!$A:$B,2,0),K286,1),"")</f>
        <v>R</v>
      </c>
      <c r="K286" s="23">
        <v>148</v>
      </c>
      <c r="L286" s="3" t="str">
        <f>IFERROR(MID(VLOOKUP($B286,Seqs!$A:$B,2,0),M286,1),"")</f>
        <v>C</v>
      </c>
      <c r="M286" s="23">
        <v>149</v>
      </c>
      <c r="N286" s="3" t="str">
        <f>IFERROR(MID(VLOOKUP($B286,Seqs!$A:$B,2,0),O286,1),"")</f>
        <v>T</v>
      </c>
      <c r="O286" s="3">
        <v>175</v>
      </c>
      <c r="P286" s="3" t="str">
        <f>IFERROR(MID(VLOOKUP($B286,Seqs!$A:$B,2,0),Q286,1),"")</f>
        <v/>
      </c>
      <c r="Q286" s="3" t="s">
        <v>23</v>
      </c>
      <c r="R286" s="3" t="str">
        <f>IFERROR(MID(VLOOKUP($B286,Seqs!$A:$B,2,0),S286,1),"")</f>
        <v/>
      </c>
      <c r="S286" s="3" t="s">
        <v>23</v>
      </c>
      <c r="T286" s="3" t="str">
        <f>IFERROR(MID(VLOOKUP($B286,Seqs!$A:$B,2,0),U286,1),"")</f>
        <v>V</v>
      </c>
      <c r="U286" s="3">
        <v>185</v>
      </c>
      <c r="V286" s="3" t="str">
        <f>IFERROR(MID(VLOOKUP($B286,Seqs!$A:$B,2,0),W286,1),"")</f>
        <v>L</v>
      </c>
      <c r="W286" s="3">
        <v>219</v>
      </c>
      <c r="X286" s="3" t="str">
        <f>IFERROR(MID(VLOOKUP($B286,Seqs!$A:$B,2,0),Y286,1),"")</f>
        <v/>
      </c>
      <c r="Y286" s="3" t="s">
        <v>23</v>
      </c>
      <c r="Z286" s="3" t="str">
        <f>IFERROR(MID(VLOOKUP($B286,Seqs!$A:$B,2,0),AA286,1),"")</f>
        <v/>
      </c>
      <c r="AA286" s="3" t="s">
        <v>23</v>
      </c>
      <c r="AB286" s="3" t="str">
        <f>IFERROR(MID(VLOOKUP($B286,Seqs!$A:$B,2,0),AC286,1),"")</f>
        <v>L</v>
      </c>
      <c r="AC286" s="9">
        <v>226</v>
      </c>
      <c r="AD286" s="3" t="str">
        <f>IFERROR(MID(VLOOKUP($B286,Seqs!$A:$B,2,0),AE286,1),"")</f>
        <v>D</v>
      </c>
      <c r="AE286" s="3">
        <v>254</v>
      </c>
      <c r="AF286" s="3" t="str">
        <f>IFERROR(MID(VLOOKUP($B286,Seqs!$A:$B,2,0),AG286,1),"")</f>
        <v>C</v>
      </c>
      <c r="AG286" s="3">
        <v>258</v>
      </c>
      <c r="AH286" s="3" t="str">
        <f>IFERROR(MID(VLOOKUP($B286,Seqs!$A:$B,2,0),AI286,1),"")</f>
        <v>F</v>
      </c>
      <c r="AI286" s="3">
        <v>260</v>
      </c>
      <c r="AJ286" s="3" t="str">
        <f>IFERROR(MID(VLOOKUP($B286,Seqs!$A:$B,2,0),AK286,1),"")</f>
        <v>T</v>
      </c>
      <c r="AK286" s="3">
        <v>268</v>
      </c>
      <c r="AL286" s="3" t="str">
        <f>IFERROR(MID(VLOOKUP($B286,Seqs!$A:$B,2,0),AM286,1),"")</f>
        <v>L</v>
      </c>
      <c r="AM286" s="3">
        <v>298</v>
      </c>
      <c r="AN286" s="3" t="str">
        <f>IFERROR(MID(VLOOKUP($B286,Seqs!$A:$B,2,0),AO286,1),"")</f>
        <v>S</v>
      </c>
      <c r="AO286" s="3">
        <v>304</v>
      </c>
      <c r="AP286" s="3" t="str">
        <f>IFERROR(MID(VLOOKUP($B286,Seqs!$A:$B,2,0),AQ286,1),"")</f>
        <v>V</v>
      </c>
      <c r="AQ286" s="3">
        <v>332</v>
      </c>
      <c r="AR286" s="3" t="str">
        <f>IFERROR(MID(VLOOKUP($B286,Seqs!$A:$B,2,0),AS286,1),"")</f>
        <v>V</v>
      </c>
      <c r="AS286" s="3">
        <v>339</v>
      </c>
      <c r="AT286" s="3" t="str">
        <f>IFERROR(MID(VLOOKUP($B286,Seqs!$A:$B,2,0),AU286,1),"")</f>
        <v>L</v>
      </c>
      <c r="AU286" s="3">
        <v>366</v>
      </c>
      <c r="AV286" s="3" t="str">
        <f>IFERROR(MID(VLOOKUP($B286,Seqs!$A:$B,2,0),AW286,1),"")</f>
        <v/>
      </c>
      <c r="AW286" s="3" t="s">
        <v>23</v>
      </c>
      <c r="AX286" s="3" t="str">
        <f>IFERROR(MID(VLOOKUP($B286,Seqs!$A:$B,2,0),AY286,1),"")</f>
        <v/>
      </c>
      <c r="AY286" s="3" t="s">
        <v>23</v>
      </c>
      <c r="AZ286" s="77" t="str">
        <f>VLOOKUP(B286,Classification!A:D,2,0)</f>
        <v>B1</v>
      </c>
      <c r="BA286" s="94" t="str">
        <f>VLOOKUP(B286,Classification!A:D,4,0)</f>
        <v>Corticotropin-releasingfact</v>
      </c>
      <c r="BB286" s="27" t="b">
        <f t="shared" si="754"/>
        <v>1</v>
      </c>
      <c r="BC286" s="23">
        <f t="shared" si="1089"/>
        <v>217</v>
      </c>
      <c r="BD286" s="56" t="s">
        <v>1379</v>
      </c>
      <c r="BE286" s="3" t="s">
        <v>1381</v>
      </c>
      <c r="BF286" s="119">
        <v>2.98</v>
      </c>
      <c r="BG286" s="49" t="s">
        <v>1384</v>
      </c>
      <c r="BH286" s="49" t="s">
        <v>1384</v>
      </c>
      <c r="BI286" s="3" t="s">
        <v>1163</v>
      </c>
      <c r="BJ286" s="70" t="s">
        <v>1293</v>
      </c>
      <c r="BK286" s="57" t="s">
        <v>1293</v>
      </c>
      <c r="BL286" s="57" t="s">
        <v>1293</v>
      </c>
      <c r="BM286" s="57" t="s">
        <v>1293</v>
      </c>
      <c r="BN286" s="57" t="s">
        <v>1293</v>
      </c>
      <c r="BO286" s="57" t="s">
        <v>1293</v>
      </c>
      <c r="BP286" s="57" t="s">
        <v>1293</v>
      </c>
      <c r="BQ286" s="57" t="s">
        <v>1293</v>
      </c>
      <c r="BR286" s="57" t="s">
        <v>1293</v>
      </c>
      <c r="BS286" s="57" t="s">
        <v>1293</v>
      </c>
      <c r="BT286" s="57" t="s">
        <v>1293</v>
      </c>
      <c r="BU286" s="57" t="s">
        <v>1293</v>
      </c>
      <c r="BV286" s="70">
        <f t="shared" si="1090"/>
        <v>117</v>
      </c>
      <c r="BW286" s="71">
        <f t="shared" si="1091"/>
        <v>145</v>
      </c>
      <c r="BX286" s="72">
        <f t="shared" si="1092"/>
        <v>149</v>
      </c>
      <c r="BY286" s="71" t="str">
        <f t="shared" si="1093"/>
        <v>-</v>
      </c>
      <c r="BZ286" s="72">
        <f t="shared" si="1094"/>
        <v>185</v>
      </c>
      <c r="CA286" s="71" t="str">
        <f t="shared" si="1095"/>
        <v>-</v>
      </c>
      <c r="CB286" s="72">
        <f t="shared" si="1096"/>
        <v>226</v>
      </c>
      <c r="CC286" s="71">
        <f t="shared" si="1097"/>
        <v>258</v>
      </c>
      <c r="CD286" s="72">
        <f t="shared" si="1098"/>
        <v>268</v>
      </c>
      <c r="CE286" s="71">
        <f t="shared" si="1099"/>
        <v>304</v>
      </c>
      <c r="CF286" s="72">
        <f t="shared" si="1100"/>
        <v>339</v>
      </c>
      <c r="CG286" s="71" t="str">
        <f t="shared" si="1101"/>
        <v>-</v>
      </c>
      <c r="CH286" s="70">
        <f t="shared" si="1102"/>
        <v>144</v>
      </c>
      <c r="CI286" s="71">
        <f t="shared" si="1103"/>
        <v>148</v>
      </c>
      <c r="CJ286" s="72">
        <f t="shared" si="1104"/>
        <v>175</v>
      </c>
      <c r="CK286" s="72" t="str">
        <f t="shared" si="1105"/>
        <v>-</v>
      </c>
      <c r="CL286" s="72">
        <f t="shared" si="1106"/>
        <v>219</v>
      </c>
      <c r="CM286" s="72" t="str">
        <f t="shared" si="1107"/>
        <v>-</v>
      </c>
      <c r="CN286" s="72">
        <f t="shared" si="1108"/>
        <v>254</v>
      </c>
      <c r="CO286" s="72">
        <f t="shared" si="1109"/>
        <v>260</v>
      </c>
      <c r="CP286" s="72">
        <f t="shared" si="1110"/>
        <v>298</v>
      </c>
      <c r="CQ286" s="72">
        <f t="shared" si="1111"/>
        <v>332</v>
      </c>
      <c r="CR286" s="72">
        <f t="shared" si="1112"/>
        <v>366</v>
      </c>
      <c r="CS286" s="72" t="str">
        <f t="shared" si="1113"/>
        <v>-</v>
      </c>
      <c r="CT286" s="23">
        <f t="shared" si="1114"/>
        <v>1</v>
      </c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  <c r="OK286" s="1"/>
      <c r="OL286" s="1"/>
      <c r="OM286" s="1"/>
      <c r="ON286" s="1"/>
      <c r="OO286" s="1"/>
      <c r="OP286" s="1"/>
      <c r="OQ286" s="1"/>
      <c r="OR286" s="1"/>
      <c r="OS286" s="1"/>
      <c r="OT286" s="1"/>
      <c r="OU286" s="1"/>
      <c r="OV286" s="1"/>
      <c r="OW286" s="1"/>
      <c r="OX286" s="1"/>
      <c r="OY286" s="1"/>
      <c r="OZ286" s="1"/>
      <c r="PA286" s="1"/>
      <c r="PB286" s="1"/>
      <c r="PC286" s="1"/>
      <c r="PD286" s="1"/>
      <c r="PE286" s="1"/>
      <c r="PF286" s="1"/>
      <c r="PG286" s="1"/>
      <c r="PH286" s="1"/>
      <c r="PI286" s="1"/>
      <c r="PJ286" s="1"/>
      <c r="PK286" s="1"/>
      <c r="PL286" s="1"/>
      <c r="PM286" s="1"/>
      <c r="PN286" s="1"/>
      <c r="PO286" s="1"/>
      <c r="PP286" s="1"/>
      <c r="PQ286" s="1"/>
      <c r="PR286" s="1"/>
      <c r="PS286" s="1"/>
      <c r="PT286" s="1"/>
      <c r="PU286" s="1"/>
      <c r="PV286" s="1"/>
      <c r="PW286" s="1"/>
      <c r="PX286" s="1"/>
      <c r="PY286" s="1"/>
      <c r="PZ286" s="1"/>
      <c r="QA286" s="1"/>
      <c r="QB286" s="1"/>
      <c r="QC286" s="1"/>
      <c r="QD286" s="1"/>
      <c r="QE286" s="1"/>
      <c r="QF286" s="1"/>
      <c r="QG286" s="1"/>
      <c r="QH286" s="1"/>
      <c r="QI286" s="1"/>
      <c r="QJ286" s="1"/>
      <c r="QK286" s="1"/>
      <c r="QL286" s="1"/>
      <c r="QM286" s="1"/>
      <c r="QN286" s="1"/>
      <c r="QO286" s="1"/>
      <c r="QP286" s="1"/>
      <c r="QQ286" s="1"/>
      <c r="QR286" s="1"/>
      <c r="QS286" s="1"/>
      <c r="QT286" s="1"/>
      <c r="QU286" s="1"/>
      <c r="QV286" s="1"/>
      <c r="QW286" s="1"/>
      <c r="QX286" s="1"/>
      <c r="QY286" s="1"/>
      <c r="QZ286" s="1"/>
      <c r="RA286" s="1"/>
      <c r="RB286" s="1"/>
      <c r="RC286" s="1"/>
      <c r="RD286" s="1"/>
      <c r="RE286" s="1"/>
      <c r="RF286" s="1"/>
      <c r="RG286" s="1"/>
      <c r="RH286" s="1"/>
      <c r="RI286" s="1"/>
      <c r="RJ286" s="1"/>
      <c r="RK286" s="1"/>
      <c r="RL286" s="1"/>
      <c r="RM286" s="1"/>
      <c r="RN286" s="1"/>
      <c r="RO286" s="1"/>
      <c r="RP286" s="1"/>
      <c r="RQ286" s="1"/>
      <c r="RR286" s="1"/>
      <c r="RS286" s="1"/>
      <c r="RT286" s="1"/>
      <c r="RU286" s="1"/>
      <c r="RV286" s="1"/>
      <c r="RW286" s="1"/>
      <c r="RX286" s="1"/>
      <c r="RY286" s="1"/>
      <c r="RZ286" s="1"/>
      <c r="SA286" s="1"/>
      <c r="SB286" s="1"/>
      <c r="SC286" s="1"/>
      <c r="SD286" s="1"/>
      <c r="SE286" s="1"/>
      <c r="SF286" s="1"/>
      <c r="SG286" s="1"/>
      <c r="SH286" s="1"/>
      <c r="SI286" s="1"/>
      <c r="SJ286" s="1"/>
      <c r="SK286" s="1"/>
      <c r="SL286" s="1"/>
      <c r="SM286" s="1"/>
      <c r="SN286" s="1"/>
      <c r="SO286" s="1"/>
      <c r="SP286" s="1"/>
      <c r="SQ286" s="1"/>
      <c r="SR286" s="1"/>
      <c r="SS286" s="1"/>
      <c r="ST286" s="1"/>
      <c r="SU286" s="1"/>
      <c r="SV286" s="1"/>
      <c r="SW286" s="1"/>
      <c r="SX286" s="1"/>
      <c r="SY286" s="1"/>
      <c r="SZ286" s="1"/>
      <c r="TA286" s="1"/>
      <c r="TB286" s="1"/>
      <c r="TC286" s="1"/>
      <c r="TD286" s="1"/>
      <c r="TE286" s="1"/>
      <c r="TF286" s="1"/>
      <c r="TG286" s="1"/>
      <c r="TH286" s="1"/>
      <c r="TI286" s="1"/>
      <c r="TJ286" s="1"/>
      <c r="TK286" s="1"/>
      <c r="TL286" s="1"/>
      <c r="TM286" s="1"/>
      <c r="TN286" s="1"/>
      <c r="TO286" s="1"/>
      <c r="TP286" s="1"/>
      <c r="TQ286" s="1"/>
      <c r="TR286" s="1"/>
      <c r="TS286" s="1"/>
      <c r="TT286" s="1"/>
      <c r="TU286" s="1"/>
      <c r="TV286" s="1"/>
      <c r="TW286" s="1"/>
      <c r="TX286" s="1"/>
      <c r="TY286" s="1"/>
      <c r="TZ286" s="1"/>
      <c r="UA286" s="1"/>
      <c r="UB286" s="1"/>
      <c r="UC286" s="1"/>
      <c r="UD286" s="1"/>
      <c r="UE286" s="1"/>
      <c r="UF286" s="1"/>
      <c r="UG286" s="1"/>
      <c r="UH286" s="1"/>
      <c r="UI286" s="1"/>
      <c r="UJ286" s="1"/>
      <c r="UK286" s="1"/>
      <c r="UL286" s="1"/>
      <c r="UM286" s="1"/>
      <c r="UN286" s="1"/>
      <c r="UO286" s="1"/>
      <c r="UP286" s="1"/>
      <c r="UQ286" s="1"/>
      <c r="UR286" s="1"/>
      <c r="US286" s="1"/>
      <c r="UT286" s="1"/>
      <c r="UU286" s="1"/>
      <c r="UV286" s="1"/>
      <c r="UW286" s="1"/>
      <c r="UX286" s="1"/>
      <c r="UY286" s="1"/>
      <c r="UZ286" s="1"/>
      <c r="VA286" s="1"/>
      <c r="VB286" s="1"/>
      <c r="VC286" s="1"/>
      <c r="VD286" s="1"/>
      <c r="VE286" s="1"/>
      <c r="VF286" s="1"/>
      <c r="VG286" s="1"/>
      <c r="VH286" s="1"/>
      <c r="VI286" s="1"/>
      <c r="VJ286" s="1"/>
      <c r="VK286" s="1"/>
      <c r="VL286" s="1"/>
      <c r="VM286" s="1"/>
      <c r="VN286" s="1"/>
      <c r="VO286" s="1"/>
      <c r="VP286" s="1"/>
      <c r="VQ286" s="1"/>
      <c r="VR286" s="1"/>
      <c r="VS286" s="1"/>
      <c r="VT286" s="1"/>
      <c r="VU286" s="1"/>
      <c r="VV286" s="1"/>
      <c r="VW286" s="1"/>
      <c r="VX286" s="1"/>
      <c r="VY286" s="1"/>
      <c r="VZ286" s="1"/>
      <c r="WA286" s="1"/>
      <c r="WB286" s="1"/>
      <c r="WC286" s="1"/>
      <c r="WD286" s="1"/>
      <c r="WE286" s="1"/>
      <c r="WF286" s="1"/>
      <c r="WG286" s="1"/>
      <c r="WH286" s="1"/>
      <c r="WI286" s="1"/>
      <c r="WJ286" s="1"/>
      <c r="WK286" s="1"/>
      <c r="WL286" s="1"/>
      <c r="WM286" s="1"/>
      <c r="WN286" s="1"/>
      <c r="WO286" s="1"/>
      <c r="WP286" s="1"/>
      <c r="WQ286" s="1"/>
      <c r="WR286" s="1"/>
      <c r="WS286" s="1"/>
      <c r="WT286" s="1"/>
      <c r="WU286" s="1"/>
      <c r="WV286" s="1"/>
      <c r="WW286" s="1"/>
      <c r="WX286" s="1"/>
      <c r="WY286" s="1"/>
      <c r="WZ286" s="1"/>
      <c r="XA286" s="1"/>
      <c r="XB286" s="1"/>
      <c r="XC286" s="1"/>
      <c r="XD286" s="1"/>
      <c r="XE286" s="1"/>
      <c r="XF286" s="1"/>
      <c r="XG286" s="1"/>
      <c r="XH286" s="1"/>
      <c r="XI286" s="1"/>
      <c r="XJ286" s="1"/>
      <c r="XK286" s="1"/>
      <c r="XL286" s="1"/>
      <c r="XM286" s="1"/>
      <c r="XN286" s="1"/>
      <c r="XO286" s="1"/>
      <c r="XP286" s="1"/>
      <c r="XQ286" s="1"/>
      <c r="XR286" s="1"/>
      <c r="XS286" s="1"/>
      <c r="XT286" s="1"/>
      <c r="XU286" s="1"/>
      <c r="XV286" s="1"/>
      <c r="XW286" s="1"/>
      <c r="XX286" s="1"/>
      <c r="XY286" s="1"/>
      <c r="XZ286" s="1"/>
      <c r="YA286" s="1"/>
      <c r="YB286" s="1"/>
      <c r="YC286" s="1"/>
      <c r="YD286" s="1"/>
      <c r="YE286" s="1"/>
      <c r="YF286" s="1"/>
      <c r="YG286" s="1"/>
      <c r="YH286" s="1"/>
      <c r="YI286" s="1"/>
      <c r="YJ286" s="1"/>
      <c r="YK286" s="1"/>
      <c r="YL286" s="1"/>
      <c r="YM286" s="1"/>
      <c r="YN286" s="1"/>
      <c r="YO286" s="1"/>
      <c r="YP286" s="1"/>
      <c r="YQ286" s="1"/>
      <c r="YR286" s="1"/>
      <c r="YS286" s="1"/>
      <c r="YT286" s="1"/>
      <c r="YU286" s="1"/>
      <c r="YV286" s="1"/>
      <c r="YW286" s="1"/>
      <c r="YX286" s="1"/>
      <c r="YY286" s="1"/>
      <c r="YZ286" s="1"/>
      <c r="ZA286" s="1"/>
      <c r="ZB286" s="1"/>
      <c r="ZC286" s="1"/>
      <c r="ZD286" s="1"/>
      <c r="ZE286" s="1"/>
      <c r="ZF286" s="1"/>
      <c r="ZG286" s="1"/>
      <c r="ZH286" s="1"/>
      <c r="ZI286" s="1"/>
      <c r="ZJ286" s="1"/>
      <c r="ZK286" s="1"/>
      <c r="ZL286" s="1"/>
      <c r="ZM286" s="1"/>
      <c r="ZN286" s="1"/>
      <c r="ZO286" s="1"/>
      <c r="ZP286" s="1"/>
      <c r="ZQ286" s="1"/>
      <c r="ZR286" s="1"/>
      <c r="ZS286" s="1"/>
      <c r="ZT286" s="1"/>
      <c r="ZU286" s="1"/>
      <c r="ZV286" s="1"/>
      <c r="ZW286" s="1"/>
      <c r="ZX286" s="1"/>
      <c r="ZY286" s="1"/>
      <c r="ZZ286" s="1"/>
      <c r="AAA286" s="1"/>
      <c r="AAB286" s="1"/>
      <c r="AAC286" s="1"/>
      <c r="AAD286" s="1"/>
      <c r="AAE286" s="1"/>
      <c r="AAF286" s="1"/>
      <c r="AAG286" s="1"/>
      <c r="AAH286" s="1"/>
      <c r="AAI286" s="1"/>
      <c r="AAJ286" s="1"/>
      <c r="AAK286" s="1"/>
      <c r="AAL286" s="1"/>
      <c r="AAM286" s="1"/>
      <c r="AAN286" s="1"/>
      <c r="AAO286" s="1"/>
      <c r="AAP286" s="1"/>
      <c r="AAQ286" s="1"/>
      <c r="AAR286" s="1"/>
      <c r="AAS286" s="1"/>
      <c r="AAT286" s="1"/>
      <c r="AAU286" s="1"/>
      <c r="AAV286" s="1"/>
      <c r="AAW286" s="1"/>
      <c r="AAX286" s="1"/>
      <c r="AAY286" s="1"/>
      <c r="AAZ286" s="1"/>
      <c r="ABA286" s="1"/>
      <c r="ABB286" s="1"/>
      <c r="ABC286" s="1"/>
      <c r="ABD286" s="1"/>
      <c r="ABE286" s="1"/>
      <c r="ABF286" s="1"/>
      <c r="ABG286" s="1"/>
      <c r="ABH286" s="1"/>
      <c r="ABI286" s="1"/>
      <c r="ABJ286" s="1"/>
      <c r="ABK286" s="1"/>
      <c r="ABL286" s="1"/>
      <c r="ABM286" s="1"/>
      <c r="ABN286" s="1"/>
      <c r="ABO286" s="1"/>
      <c r="ABP286" s="1"/>
      <c r="ABQ286" s="1"/>
      <c r="ABR286" s="1"/>
      <c r="ABS286" s="1"/>
      <c r="ABT286" s="1"/>
      <c r="ABU286" s="1"/>
      <c r="ABV286" s="1"/>
      <c r="ABW286" s="1"/>
      <c r="ABX286" s="1"/>
      <c r="ABY286" s="1"/>
      <c r="ABZ286" s="1"/>
      <c r="ACA286" s="1"/>
      <c r="ACB286" s="1"/>
      <c r="ACC286" s="1"/>
      <c r="ACD286" s="1"/>
      <c r="ACE286" s="1"/>
      <c r="ACF286" s="1"/>
      <c r="ACG286" s="1"/>
      <c r="ACH286" s="1"/>
      <c r="ACI286" s="1"/>
      <c r="ACJ286" s="1"/>
      <c r="ACK286" s="1"/>
      <c r="ACL286" s="1"/>
      <c r="ACM286" s="1"/>
      <c r="ACN286" s="1"/>
      <c r="ACO286" s="1"/>
      <c r="ACP286" s="1"/>
      <c r="ACQ286" s="1"/>
      <c r="ACR286" s="1"/>
      <c r="ACS286" s="1"/>
      <c r="ACT286" s="1"/>
      <c r="ACU286" s="1"/>
      <c r="ACV286" s="1"/>
      <c r="ACW286" s="1"/>
      <c r="ACX286" s="1"/>
      <c r="ACY286" s="1"/>
      <c r="ACZ286" s="1"/>
      <c r="ADA286" s="1"/>
      <c r="ADB286" s="1"/>
      <c r="ADC286" s="1"/>
      <c r="ADD286" s="1"/>
      <c r="ADE286" s="1"/>
      <c r="ADF286" s="1"/>
      <c r="ADG286" s="1"/>
      <c r="ADH286" s="1"/>
      <c r="ADI286" s="1"/>
      <c r="ADJ286" s="1"/>
      <c r="ADK286" s="1"/>
      <c r="ADL286" s="1"/>
      <c r="ADM286" s="1"/>
      <c r="ADN286" s="1"/>
      <c r="ADO286" s="1"/>
      <c r="ADP286" s="1"/>
      <c r="ADQ286" s="1"/>
      <c r="ADR286" s="1"/>
      <c r="ADS286" s="1"/>
      <c r="ADT286" s="1"/>
      <c r="ADU286" s="1"/>
      <c r="ADV286" s="1"/>
      <c r="ADW286" s="1"/>
      <c r="ADX286" s="1"/>
      <c r="ADY286" s="1"/>
      <c r="ADZ286" s="1"/>
      <c r="AEA286" s="1"/>
      <c r="AEB286" s="1"/>
      <c r="AEC286" s="1"/>
      <c r="AED286" s="1"/>
      <c r="AEE286" s="1"/>
      <c r="AEF286" s="1"/>
      <c r="AEG286" s="1"/>
      <c r="AEH286" s="1"/>
      <c r="AEI286" s="1"/>
      <c r="AEJ286" s="1"/>
      <c r="AEK286" s="1"/>
      <c r="AEL286" s="1"/>
      <c r="AEM286" s="1"/>
      <c r="AEN286" s="1"/>
      <c r="AEO286" s="1"/>
      <c r="AEP286" s="1"/>
      <c r="AEQ286" s="1"/>
      <c r="AER286" s="1"/>
      <c r="AES286" s="1"/>
      <c r="AET286" s="1"/>
      <c r="AEU286" s="1"/>
      <c r="AEV286" s="1"/>
      <c r="AEW286" s="1"/>
      <c r="AEX286" s="1"/>
      <c r="AEY286" s="1"/>
      <c r="AEZ286" s="1"/>
      <c r="AFA286" s="1"/>
      <c r="AFB286" s="1"/>
      <c r="AFC286" s="1"/>
      <c r="AFD286" s="1"/>
      <c r="AFE286" s="1"/>
      <c r="AFF286" s="1"/>
      <c r="AFG286" s="1"/>
      <c r="AFH286" s="1"/>
      <c r="AFI286" s="1"/>
      <c r="AFJ286" s="1"/>
      <c r="AFK286" s="1"/>
      <c r="AFL286" s="1"/>
      <c r="AFM286" s="1"/>
      <c r="AFN286" s="1"/>
      <c r="AFO286" s="1"/>
      <c r="AFP286" s="1"/>
      <c r="AFQ286" s="1"/>
      <c r="AFR286" s="1"/>
      <c r="AFS286" s="1"/>
      <c r="AFT286" s="1"/>
      <c r="AFU286" s="1"/>
      <c r="AFV286" s="1"/>
      <c r="AFW286" s="1"/>
      <c r="AFX286" s="1"/>
      <c r="AFY286" s="1"/>
      <c r="AFZ286" s="1"/>
      <c r="AGA286" s="1"/>
      <c r="AGB286" s="1"/>
      <c r="AGC286" s="1"/>
      <c r="AGD286" s="1"/>
      <c r="AGE286" s="1"/>
      <c r="AGF286" s="1"/>
      <c r="AGG286" s="1"/>
      <c r="AGH286" s="1"/>
      <c r="AGI286" s="1"/>
      <c r="AGJ286" s="1"/>
      <c r="AGK286" s="1"/>
      <c r="AGL286" s="1"/>
      <c r="AGM286" s="1"/>
      <c r="AGN286" s="1"/>
      <c r="AGO286" s="1"/>
      <c r="AGP286" s="1"/>
      <c r="AGQ286" s="1"/>
      <c r="AGR286" s="1"/>
      <c r="AGS286" s="1"/>
      <c r="AGT286" s="1"/>
      <c r="AGU286" s="1"/>
      <c r="AGV286" s="1"/>
      <c r="AGW286" s="1"/>
      <c r="AGX286" s="1"/>
      <c r="AGY286" s="1"/>
      <c r="AGZ286" s="1"/>
      <c r="AHA286" s="1"/>
      <c r="AHB286" s="1"/>
      <c r="AHC286" s="1"/>
      <c r="AHD286" s="1"/>
      <c r="AHE286" s="1"/>
      <c r="AHF286" s="1"/>
      <c r="AHG286" s="1"/>
      <c r="AHH286" s="1"/>
      <c r="AHI286" s="1"/>
      <c r="AHJ286" s="1"/>
      <c r="AHK286" s="1"/>
      <c r="AHL286" s="1"/>
      <c r="AHM286" s="1"/>
      <c r="AHN286" s="1"/>
      <c r="AHO286" s="1"/>
      <c r="AHP286" s="1"/>
      <c r="AHQ286" s="1"/>
      <c r="AHR286" s="1"/>
      <c r="AHS286" s="1"/>
      <c r="AHT286" s="1"/>
      <c r="AHU286" s="1"/>
      <c r="AHV286" s="1"/>
      <c r="AHW286" s="1"/>
      <c r="AHX286" s="1"/>
      <c r="AHY286" s="1"/>
      <c r="AHZ286" s="1"/>
      <c r="AIA286" s="1"/>
      <c r="AIB286" s="1"/>
      <c r="AIC286" s="1"/>
      <c r="AID286" s="1"/>
      <c r="AIE286" s="1"/>
      <c r="AIF286" s="1"/>
      <c r="AIG286" s="1"/>
      <c r="AIH286" s="1"/>
      <c r="AII286" s="1"/>
      <c r="AIJ286" s="1"/>
      <c r="AIK286" s="1"/>
      <c r="AIL286" s="1"/>
      <c r="AIM286" s="1"/>
      <c r="AIN286" s="1"/>
      <c r="AIO286" s="1"/>
      <c r="AIP286" s="1"/>
      <c r="AIQ286" s="1"/>
      <c r="AIR286" s="1"/>
      <c r="AIS286" s="1"/>
      <c r="AIT286" s="1"/>
      <c r="AIU286" s="1"/>
      <c r="AIV286" s="1"/>
      <c r="AIW286" s="1"/>
      <c r="AIX286" s="1"/>
      <c r="AIY286" s="1"/>
      <c r="AIZ286" s="1"/>
      <c r="AJA286" s="1"/>
      <c r="AJB286" s="1"/>
      <c r="AJC286" s="1"/>
      <c r="AJD286" s="1"/>
      <c r="AJE286" s="1"/>
      <c r="AJF286" s="1"/>
      <c r="AJG286" s="1"/>
      <c r="AJH286" s="1"/>
      <c r="AJI286" s="1"/>
      <c r="AJJ286" s="1"/>
      <c r="AJK286" s="1"/>
      <c r="AJL286" s="1"/>
      <c r="AJM286" s="1"/>
      <c r="AJN286" s="1"/>
      <c r="AJO286" s="1"/>
      <c r="AJP286" s="1"/>
      <c r="AJQ286" s="1"/>
      <c r="AJR286" s="1"/>
      <c r="AJS286" s="1"/>
      <c r="AJT286" s="1"/>
      <c r="AJU286" s="1"/>
      <c r="AJV286" s="1"/>
      <c r="AJW286" s="1"/>
      <c r="AJX286" s="1"/>
      <c r="AJY286" s="1"/>
      <c r="AJZ286" s="1"/>
      <c r="AKA286" s="1"/>
      <c r="AKB286" s="1"/>
      <c r="AKC286" s="1"/>
      <c r="AKD286" s="1"/>
      <c r="AKE286" s="1"/>
      <c r="AKF286" s="1"/>
      <c r="AKG286" s="1"/>
      <c r="AKH286" s="1"/>
      <c r="AKI286" s="1"/>
      <c r="AKJ286" s="1"/>
      <c r="AKK286" s="1"/>
      <c r="AKL286" s="1"/>
      <c r="AKM286" s="1"/>
      <c r="AKN286" s="1"/>
      <c r="AKO286" s="1"/>
      <c r="AKP286" s="1"/>
      <c r="AKQ286" s="1"/>
      <c r="AKR286" s="1"/>
      <c r="AKS286" s="1"/>
      <c r="AKT286" s="1"/>
      <c r="AKU286" s="1"/>
      <c r="AKV286" s="1"/>
      <c r="AKW286" s="1"/>
      <c r="AKX286" s="1"/>
      <c r="AKY286" s="1"/>
      <c r="AKZ286" s="1"/>
      <c r="ALA286" s="1"/>
      <c r="ALB286" s="1"/>
      <c r="ALC286" s="1"/>
      <c r="ALD286" s="1"/>
      <c r="ALE286" s="1"/>
      <c r="ALF286" s="1"/>
      <c r="ALG286" s="1"/>
      <c r="ALH286" s="1"/>
      <c r="ALI286" s="1"/>
      <c r="ALJ286" s="1"/>
      <c r="ALK286" s="1"/>
      <c r="ALL286" s="1"/>
      <c r="ALM286" s="1"/>
      <c r="ALN286" s="1"/>
      <c r="ALO286" s="1"/>
      <c r="ALP286" s="1"/>
      <c r="ALQ286" s="1"/>
      <c r="ALR286" s="1"/>
      <c r="ALS286" s="1"/>
      <c r="ALT286" s="1"/>
      <c r="ALU286" s="1"/>
      <c r="ALV286" s="1"/>
      <c r="ALW286" s="1"/>
      <c r="ALX286" s="1"/>
      <c r="ALY286" s="1"/>
      <c r="ALZ286" s="1"/>
      <c r="AMA286" s="1"/>
      <c r="AMB286" s="1"/>
      <c r="AMC286" s="1"/>
      <c r="AMD286" s="1"/>
      <c r="AME286" s="1"/>
      <c r="AMF286" s="1"/>
      <c r="AMG286" s="1"/>
      <c r="AMH286" s="1"/>
      <c r="AMI286" s="1"/>
      <c r="AMJ286" s="1"/>
      <c r="AMK286" s="1"/>
      <c r="AML286" s="1"/>
      <c r="AMM286" s="1"/>
      <c r="AMN286" s="1"/>
      <c r="AMO286" s="1"/>
    </row>
    <row r="287" spans="1:1030" x14ac:dyDescent="0.2">
      <c r="A287" s="3" t="str">
        <f t="shared" si="753"/>
        <v>crfr1_human_4Z9G</v>
      </c>
      <c r="B287" s="3" t="s">
        <v>38</v>
      </c>
      <c r="C287" s="3" t="s">
        <v>1060</v>
      </c>
      <c r="D287" s="3" t="str">
        <f>IFERROR(MID(VLOOKUP($B287,Seqs!$A:$B,2,0),E287,1),"")</f>
        <v>S</v>
      </c>
      <c r="E287" s="3">
        <v>112</v>
      </c>
      <c r="F287" s="3" t="str">
        <f>IFERROR(MID(VLOOKUP($B287,Seqs!$A:$B,2,0),G287,1),"")</f>
        <v>L</v>
      </c>
      <c r="G287" s="3">
        <v>144</v>
      </c>
      <c r="H287" s="3" t="str">
        <f>IFERROR(MID(VLOOKUP($B287,Seqs!$A:$B,2,0),I287,1),"")</f>
        <v>R</v>
      </c>
      <c r="I287" s="23">
        <v>145</v>
      </c>
      <c r="J287" s="3" t="str">
        <f>IFERROR(MID(VLOOKUP($B287,Seqs!$A:$B,2,0),K287,1),"")</f>
        <v>R</v>
      </c>
      <c r="K287" s="23">
        <v>148</v>
      </c>
      <c r="L287" s="3" t="str">
        <f>IFERROR(MID(VLOOKUP($B287,Seqs!$A:$B,2,0),M287,1),"")</f>
        <v>C</v>
      </c>
      <c r="M287" s="23">
        <v>149</v>
      </c>
      <c r="N287" s="3" t="str">
        <f>IFERROR(MID(VLOOKUP($B287,Seqs!$A:$B,2,0),O287,1),"")</f>
        <v>T</v>
      </c>
      <c r="O287" s="3">
        <v>175</v>
      </c>
      <c r="P287" s="3" t="str">
        <f>IFERROR(MID(VLOOKUP($B287,Seqs!$A:$B,2,0),Q287,1),"")</f>
        <v/>
      </c>
      <c r="Q287" s="3" t="s">
        <v>23</v>
      </c>
      <c r="R287" s="3" t="str">
        <f>IFERROR(MID(VLOOKUP($B287,Seqs!$A:$B,2,0),S287,1),"")</f>
        <v/>
      </c>
      <c r="S287" s="3" t="s">
        <v>23</v>
      </c>
      <c r="T287" s="3" t="str">
        <f>IFERROR(MID(VLOOKUP($B287,Seqs!$A:$B,2,0),U287,1),"")</f>
        <v>V</v>
      </c>
      <c r="U287" s="3">
        <v>185</v>
      </c>
      <c r="V287" s="3" t="str">
        <f>IFERROR(MID(VLOOKUP($B287,Seqs!$A:$B,2,0),W287,1),"")</f>
        <v>L</v>
      </c>
      <c r="W287" s="3">
        <v>219</v>
      </c>
      <c r="X287" s="3" t="str">
        <f>IFERROR(MID(VLOOKUP($B287,Seqs!$A:$B,2,0),Y287,1),"")</f>
        <v/>
      </c>
      <c r="Y287" s="3" t="s">
        <v>23</v>
      </c>
      <c r="Z287" s="3" t="str">
        <f>IFERROR(MID(VLOOKUP($B287,Seqs!$A:$B,2,0),AA287,1),"")</f>
        <v/>
      </c>
      <c r="AA287" s="3" t="s">
        <v>23</v>
      </c>
      <c r="AB287" s="3" t="str">
        <f>IFERROR(MID(VLOOKUP($B287,Seqs!$A:$B,2,0),AC287,1),"")</f>
        <v>L</v>
      </c>
      <c r="AC287" s="9">
        <v>226</v>
      </c>
      <c r="AD287" s="3" t="str">
        <f>IFERROR(MID(VLOOKUP($B287,Seqs!$A:$B,2,0),AE287,1),"")</f>
        <v>D</v>
      </c>
      <c r="AE287" s="3">
        <v>254</v>
      </c>
      <c r="AF287" s="3" t="str">
        <f>IFERROR(MID(VLOOKUP($B287,Seqs!$A:$B,2,0),AG287,1),"")</f>
        <v>C</v>
      </c>
      <c r="AG287" s="3">
        <v>258</v>
      </c>
      <c r="AH287" s="3" t="str">
        <f>IFERROR(MID(VLOOKUP($B287,Seqs!$A:$B,2,0),AI287,1),"")</f>
        <v>F</v>
      </c>
      <c r="AI287" s="3">
        <v>260</v>
      </c>
      <c r="AJ287" s="3" t="str">
        <f>IFERROR(MID(VLOOKUP($B287,Seqs!$A:$B,2,0),AK287,1),"")</f>
        <v>T</v>
      </c>
      <c r="AK287" s="3">
        <v>268</v>
      </c>
      <c r="AL287" s="3" t="str">
        <f>IFERROR(MID(VLOOKUP($B287,Seqs!$A:$B,2,0),AM287,1),"")</f>
        <v>L</v>
      </c>
      <c r="AM287" s="3">
        <v>298</v>
      </c>
      <c r="AN287" s="3" t="str">
        <f>IFERROR(MID(VLOOKUP($B287,Seqs!$A:$B,2,0),AO287,1),"")</f>
        <v>S</v>
      </c>
      <c r="AO287" s="3">
        <v>304</v>
      </c>
      <c r="AP287" s="3" t="str">
        <f>IFERROR(MID(VLOOKUP($B287,Seqs!$A:$B,2,0),AQ287,1),"")</f>
        <v>V</v>
      </c>
      <c r="AQ287" s="3">
        <v>332</v>
      </c>
      <c r="AR287" s="3" t="str">
        <f>IFERROR(MID(VLOOKUP($B287,Seqs!$A:$B,2,0),AS287,1),"")</f>
        <v>V</v>
      </c>
      <c r="AS287" s="3">
        <v>339</v>
      </c>
      <c r="AT287" s="3" t="str">
        <f>IFERROR(MID(VLOOKUP($B287,Seqs!$A:$B,2,0),AU287,1),"")</f>
        <v>F</v>
      </c>
      <c r="AU287" s="3">
        <v>362</v>
      </c>
      <c r="AV287" s="3" t="str">
        <f>IFERROR(MID(VLOOKUP($B287,Seqs!$A:$B,2,0),AW287,1),"")</f>
        <v/>
      </c>
      <c r="AW287" s="3" t="s">
        <v>23</v>
      </c>
      <c r="AX287" s="3" t="str">
        <f>IFERROR(MID(VLOOKUP($B287,Seqs!$A:$B,2,0),AY287,1),"")</f>
        <v/>
      </c>
      <c r="AY287" s="3" t="s">
        <v>23</v>
      </c>
      <c r="AZ287" s="77" t="str">
        <f>VLOOKUP(B287,Classification!A:D,2,0)</f>
        <v>B1</v>
      </c>
      <c r="BA287" s="94" t="str">
        <f>VLOOKUP(B287,Classification!A:D,4,0)</f>
        <v>Corticotropin-releasingfact</v>
      </c>
      <c r="BB287" s="27" t="b">
        <f t="shared" si="754"/>
        <v>1</v>
      </c>
      <c r="BC287" s="23">
        <f t="shared" si="1089"/>
        <v>218</v>
      </c>
      <c r="BD287" s="2" t="s">
        <v>1383</v>
      </c>
      <c r="BE287" s="3" t="s">
        <v>1381</v>
      </c>
      <c r="BF287" s="119">
        <v>3.18</v>
      </c>
      <c r="BG287" s="49" t="s">
        <v>1384</v>
      </c>
      <c r="BH287" s="49" t="s">
        <v>1384</v>
      </c>
      <c r="BI287" s="1"/>
      <c r="BJ287" s="70" t="s">
        <v>1293</v>
      </c>
      <c r="BK287" s="57" t="s">
        <v>1293</v>
      </c>
      <c r="BL287" s="57" t="s">
        <v>1293</v>
      </c>
      <c r="BM287" s="57" t="s">
        <v>1293</v>
      </c>
      <c r="BN287" s="57" t="s">
        <v>1293</v>
      </c>
      <c r="BO287" s="57" t="s">
        <v>1293</v>
      </c>
      <c r="BP287" s="57" t="s">
        <v>1293</v>
      </c>
      <c r="BQ287" s="57" t="s">
        <v>1293</v>
      </c>
      <c r="BR287" s="57" t="s">
        <v>1293</v>
      </c>
      <c r="BS287" s="57" t="s">
        <v>1293</v>
      </c>
      <c r="BT287" s="57" t="s">
        <v>1293</v>
      </c>
      <c r="BU287" s="57" t="s">
        <v>1293</v>
      </c>
      <c r="BV287" s="70">
        <f t="shared" si="1090"/>
        <v>112</v>
      </c>
      <c r="BW287" s="71">
        <f t="shared" si="1091"/>
        <v>145</v>
      </c>
      <c r="BX287" s="72">
        <f t="shared" si="1092"/>
        <v>149</v>
      </c>
      <c r="BY287" s="71" t="str">
        <f t="shared" si="1093"/>
        <v>-</v>
      </c>
      <c r="BZ287" s="72">
        <f t="shared" si="1094"/>
        <v>185</v>
      </c>
      <c r="CA287" s="71" t="str">
        <f t="shared" si="1095"/>
        <v>-</v>
      </c>
      <c r="CB287" s="72">
        <f t="shared" si="1096"/>
        <v>226</v>
      </c>
      <c r="CC287" s="71">
        <f t="shared" si="1097"/>
        <v>258</v>
      </c>
      <c r="CD287" s="72">
        <f t="shared" si="1098"/>
        <v>268</v>
      </c>
      <c r="CE287" s="71">
        <f t="shared" si="1099"/>
        <v>304</v>
      </c>
      <c r="CF287" s="72">
        <f t="shared" si="1100"/>
        <v>339</v>
      </c>
      <c r="CG287" s="71" t="str">
        <f t="shared" si="1101"/>
        <v>-</v>
      </c>
      <c r="CH287" s="70">
        <f t="shared" si="1102"/>
        <v>144</v>
      </c>
      <c r="CI287" s="71">
        <f t="shared" si="1103"/>
        <v>148</v>
      </c>
      <c r="CJ287" s="72">
        <f t="shared" si="1104"/>
        <v>175</v>
      </c>
      <c r="CK287" s="72" t="str">
        <f t="shared" si="1105"/>
        <v>-</v>
      </c>
      <c r="CL287" s="72">
        <f t="shared" si="1106"/>
        <v>219</v>
      </c>
      <c r="CM287" s="72" t="str">
        <f t="shared" si="1107"/>
        <v>-</v>
      </c>
      <c r="CN287" s="72">
        <f t="shared" si="1108"/>
        <v>254</v>
      </c>
      <c r="CO287" s="72">
        <f t="shared" si="1109"/>
        <v>260</v>
      </c>
      <c r="CP287" s="72">
        <f t="shared" si="1110"/>
        <v>298</v>
      </c>
      <c r="CQ287" s="72">
        <f t="shared" si="1111"/>
        <v>332</v>
      </c>
      <c r="CR287" s="72">
        <f t="shared" si="1112"/>
        <v>362</v>
      </c>
      <c r="CS287" s="72" t="str">
        <f t="shared" si="1113"/>
        <v>-</v>
      </c>
      <c r="CT287" s="23">
        <f t="shared" si="1114"/>
        <v>1</v>
      </c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  <c r="OK287" s="1"/>
      <c r="OL287" s="1"/>
      <c r="OM287" s="1"/>
      <c r="ON287" s="1"/>
      <c r="OO287" s="1"/>
      <c r="OP287" s="1"/>
      <c r="OQ287" s="1"/>
      <c r="OR287" s="1"/>
      <c r="OS287" s="1"/>
      <c r="OT287" s="1"/>
      <c r="OU287" s="1"/>
      <c r="OV287" s="1"/>
      <c r="OW287" s="1"/>
      <c r="OX287" s="1"/>
      <c r="OY287" s="1"/>
      <c r="OZ287" s="1"/>
      <c r="PA287" s="1"/>
      <c r="PB287" s="1"/>
      <c r="PC287" s="1"/>
      <c r="PD287" s="1"/>
      <c r="PE287" s="1"/>
      <c r="PF287" s="1"/>
      <c r="PG287" s="1"/>
      <c r="PH287" s="1"/>
      <c r="PI287" s="1"/>
      <c r="PJ287" s="1"/>
      <c r="PK287" s="1"/>
      <c r="PL287" s="1"/>
      <c r="PM287" s="1"/>
      <c r="PN287" s="1"/>
      <c r="PO287" s="1"/>
      <c r="PP287" s="1"/>
      <c r="PQ287" s="1"/>
      <c r="PR287" s="1"/>
      <c r="PS287" s="1"/>
      <c r="PT287" s="1"/>
      <c r="PU287" s="1"/>
      <c r="PV287" s="1"/>
      <c r="PW287" s="1"/>
      <c r="PX287" s="1"/>
      <c r="PY287" s="1"/>
      <c r="PZ287" s="1"/>
      <c r="QA287" s="1"/>
      <c r="QB287" s="1"/>
      <c r="QC287" s="1"/>
      <c r="QD287" s="1"/>
      <c r="QE287" s="1"/>
      <c r="QF287" s="1"/>
      <c r="QG287" s="1"/>
      <c r="QH287" s="1"/>
      <c r="QI287" s="1"/>
      <c r="QJ287" s="1"/>
      <c r="QK287" s="1"/>
      <c r="QL287" s="1"/>
      <c r="QM287" s="1"/>
      <c r="QN287" s="1"/>
      <c r="QO287" s="1"/>
      <c r="QP287" s="1"/>
      <c r="QQ287" s="1"/>
      <c r="QR287" s="1"/>
      <c r="QS287" s="1"/>
      <c r="QT287" s="1"/>
      <c r="QU287" s="1"/>
      <c r="QV287" s="1"/>
      <c r="QW287" s="1"/>
      <c r="QX287" s="1"/>
      <c r="QY287" s="1"/>
      <c r="QZ287" s="1"/>
      <c r="RA287" s="1"/>
      <c r="RB287" s="1"/>
      <c r="RC287" s="1"/>
      <c r="RD287" s="1"/>
      <c r="RE287" s="1"/>
      <c r="RF287" s="1"/>
      <c r="RG287" s="1"/>
      <c r="RH287" s="1"/>
      <c r="RI287" s="1"/>
      <c r="RJ287" s="1"/>
      <c r="RK287" s="1"/>
      <c r="RL287" s="1"/>
      <c r="RM287" s="1"/>
      <c r="RN287" s="1"/>
      <c r="RO287" s="1"/>
      <c r="RP287" s="1"/>
      <c r="RQ287" s="1"/>
      <c r="RR287" s="1"/>
      <c r="RS287" s="1"/>
      <c r="RT287" s="1"/>
      <c r="RU287" s="1"/>
      <c r="RV287" s="1"/>
      <c r="RW287" s="1"/>
      <c r="RX287" s="1"/>
      <c r="RY287" s="1"/>
      <c r="RZ287" s="1"/>
      <c r="SA287" s="1"/>
      <c r="SB287" s="1"/>
      <c r="SC287" s="1"/>
      <c r="SD287" s="1"/>
      <c r="SE287" s="1"/>
      <c r="SF287" s="1"/>
      <c r="SG287" s="1"/>
      <c r="SH287" s="1"/>
      <c r="SI287" s="1"/>
      <c r="SJ287" s="1"/>
      <c r="SK287" s="1"/>
      <c r="SL287" s="1"/>
      <c r="SM287" s="1"/>
      <c r="SN287" s="1"/>
      <c r="SO287" s="1"/>
      <c r="SP287" s="1"/>
      <c r="SQ287" s="1"/>
      <c r="SR287" s="1"/>
      <c r="SS287" s="1"/>
      <c r="ST287" s="1"/>
      <c r="SU287" s="1"/>
      <c r="SV287" s="1"/>
      <c r="SW287" s="1"/>
      <c r="SX287" s="1"/>
      <c r="SY287" s="1"/>
      <c r="SZ287" s="1"/>
      <c r="TA287" s="1"/>
      <c r="TB287" s="1"/>
      <c r="TC287" s="1"/>
      <c r="TD287" s="1"/>
      <c r="TE287" s="1"/>
      <c r="TF287" s="1"/>
      <c r="TG287" s="1"/>
      <c r="TH287" s="1"/>
      <c r="TI287" s="1"/>
      <c r="TJ287" s="1"/>
      <c r="TK287" s="1"/>
      <c r="TL287" s="1"/>
      <c r="TM287" s="1"/>
      <c r="TN287" s="1"/>
      <c r="TO287" s="1"/>
      <c r="TP287" s="1"/>
      <c r="TQ287" s="1"/>
      <c r="TR287" s="1"/>
      <c r="TS287" s="1"/>
      <c r="TT287" s="1"/>
      <c r="TU287" s="1"/>
      <c r="TV287" s="1"/>
      <c r="TW287" s="1"/>
      <c r="TX287" s="1"/>
      <c r="TY287" s="1"/>
      <c r="TZ287" s="1"/>
      <c r="UA287" s="1"/>
      <c r="UB287" s="1"/>
      <c r="UC287" s="1"/>
      <c r="UD287" s="1"/>
      <c r="UE287" s="1"/>
      <c r="UF287" s="1"/>
      <c r="UG287" s="1"/>
      <c r="UH287" s="1"/>
      <c r="UI287" s="1"/>
      <c r="UJ287" s="1"/>
      <c r="UK287" s="1"/>
      <c r="UL287" s="1"/>
      <c r="UM287" s="1"/>
      <c r="UN287" s="1"/>
      <c r="UO287" s="1"/>
      <c r="UP287" s="1"/>
      <c r="UQ287" s="1"/>
      <c r="UR287" s="1"/>
      <c r="US287" s="1"/>
      <c r="UT287" s="1"/>
      <c r="UU287" s="1"/>
      <c r="UV287" s="1"/>
      <c r="UW287" s="1"/>
      <c r="UX287" s="1"/>
      <c r="UY287" s="1"/>
      <c r="UZ287" s="1"/>
      <c r="VA287" s="1"/>
      <c r="VB287" s="1"/>
      <c r="VC287" s="1"/>
      <c r="VD287" s="1"/>
      <c r="VE287" s="1"/>
      <c r="VF287" s="1"/>
      <c r="VG287" s="1"/>
      <c r="VH287" s="1"/>
      <c r="VI287" s="1"/>
      <c r="VJ287" s="1"/>
      <c r="VK287" s="1"/>
      <c r="VL287" s="1"/>
      <c r="VM287" s="1"/>
      <c r="VN287" s="1"/>
      <c r="VO287" s="1"/>
      <c r="VP287" s="1"/>
      <c r="VQ287" s="1"/>
      <c r="VR287" s="1"/>
      <c r="VS287" s="1"/>
      <c r="VT287" s="1"/>
      <c r="VU287" s="1"/>
      <c r="VV287" s="1"/>
      <c r="VW287" s="1"/>
      <c r="VX287" s="1"/>
      <c r="VY287" s="1"/>
      <c r="VZ287" s="1"/>
      <c r="WA287" s="1"/>
      <c r="WB287" s="1"/>
      <c r="WC287" s="1"/>
      <c r="WD287" s="1"/>
      <c r="WE287" s="1"/>
      <c r="WF287" s="1"/>
      <c r="WG287" s="1"/>
      <c r="WH287" s="1"/>
      <c r="WI287" s="1"/>
      <c r="WJ287" s="1"/>
      <c r="WK287" s="1"/>
      <c r="WL287" s="1"/>
      <c r="WM287" s="1"/>
      <c r="WN287" s="1"/>
      <c r="WO287" s="1"/>
      <c r="WP287" s="1"/>
      <c r="WQ287" s="1"/>
      <c r="WR287" s="1"/>
      <c r="WS287" s="1"/>
      <c r="WT287" s="1"/>
      <c r="WU287" s="1"/>
      <c r="WV287" s="1"/>
      <c r="WW287" s="1"/>
      <c r="WX287" s="1"/>
      <c r="WY287" s="1"/>
      <c r="WZ287" s="1"/>
      <c r="XA287" s="1"/>
      <c r="XB287" s="1"/>
      <c r="XC287" s="1"/>
      <c r="XD287" s="1"/>
      <c r="XE287" s="1"/>
      <c r="XF287" s="1"/>
      <c r="XG287" s="1"/>
      <c r="XH287" s="1"/>
      <c r="XI287" s="1"/>
      <c r="XJ287" s="1"/>
      <c r="XK287" s="1"/>
      <c r="XL287" s="1"/>
      <c r="XM287" s="1"/>
      <c r="XN287" s="1"/>
      <c r="XO287" s="1"/>
      <c r="XP287" s="1"/>
      <c r="XQ287" s="1"/>
      <c r="XR287" s="1"/>
      <c r="XS287" s="1"/>
      <c r="XT287" s="1"/>
      <c r="XU287" s="1"/>
      <c r="XV287" s="1"/>
      <c r="XW287" s="1"/>
      <c r="XX287" s="1"/>
      <c r="XY287" s="1"/>
      <c r="XZ287" s="1"/>
      <c r="YA287" s="1"/>
      <c r="YB287" s="1"/>
      <c r="YC287" s="1"/>
      <c r="YD287" s="1"/>
      <c r="YE287" s="1"/>
      <c r="YF287" s="1"/>
      <c r="YG287" s="1"/>
      <c r="YH287" s="1"/>
      <c r="YI287" s="1"/>
      <c r="YJ287" s="1"/>
      <c r="YK287" s="1"/>
      <c r="YL287" s="1"/>
      <c r="YM287" s="1"/>
      <c r="YN287" s="1"/>
      <c r="YO287" s="1"/>
      <c r="YP287" s="1"/>
      <c r="YQ287" s="1"/>
      <c r="YR287" s="1"/>
      <c r="YS287" s="1"/>
      <c r="YT287" s="1"/>
      <c r="YU287" s="1"/>
      <c r="YV287" s="1"/>
      <c r="YW287" s="1"/>
      <c r="YX287" s="1"/>
      <c r="YY287" s="1"/>
      <c r="YZ287" s="1"/>
      <c r="ZA287" s="1"/>
      <c r="ZB287" s="1"/>
      <c r="ZC287" s="1"/>
      <c r="ZD287" s="1"/>
      <c r="ZE287" s="1"/>
      <c r="ZF287" s="1"/>
      <c r="ZG287" s="1"/>
      <c r="ZH287" s="1"/>
      <c r="ZI287" s="1"/>
      <c r="ZJ287" s="1"/>
      <c r="ZK287" s="1"/>
      <c r="ZL287" s="1"/>
      <c r="ZM287" s="1"/>
      <c r="ZN287" s="1"/>
      <c r="ZO287" s="1"/>
      <c r="ZP287" s="1"/>
      <c r="ZQ287" s="1"/>
      <c r="ZR287" s="1"/>
      <c r="ZS287" s="1"/>
      <c r="ZT287" s="1"/>
      <c r="ZU287" s="1"/>
      <c r="ZV287" s="1"/>
      <c r="ZW287" s="1"/>
      <c r="ZX287" s="1"/>
      <c r="ZY287" s="1"/>
      <c r="ZZ287" s="1"/>
      <c r="AAA287" s="1"/>
      <c r="AAB287" s="1"/>
      <c r="AAC287" s="1"/>
      <c r="AAD287" s="1"/>
      <c r="AAE287" s="1"/>
      <c r="AAF287" s="1"/>
      <c r="AAG287" s="1"/>
      <c r="AAH287" s="1"/>
      <c r="AAI287" s="1"/>
      <c r="AAJ287" s="1"/>
      <c r="AAK287" s="1"/>
      <c r="AAL287" s="1"/>
      <c r="AAM287" s="1"/>
      <c r="AAN287" s="1"/>
      <c r="AAO287" s="1"/>
      <c r="AAP287" s="1"/>
      <c r="AAQ287" s="1"/>
      <c r="AAR287" s="1"/>
      <c r="AAS287" s="1"/>
      <c r="AAT287" s="1"/>
      <c r="AAU287" s="1"/>
      <c r="AAV287" s="1"/>
      <c r="AAW287" s="1"/>
      <c r="AAX287" s="1"/>
      <c r="AAY287" s="1"/>
      <c r="AAZ287" s="1"/>
      <c r="ABA287" s="1"/>
      <c r="ABB287" s="1"/>
      <c r="ABC287" s="1"/>
      <c r="ABD287" s="1"/>
      <c r="ABE287" s="1"/>
      <c r="ABF287" s="1"/>
      <c r="ABG287" s="1"/>
      <c r="ABH287" s="1"/>
      <c r="ABI287" s="1"/>
      <c r="ABJ287" s="1"/>
      <c r="ABK287" s="1"/>
      <c r="ABL287" s="1"/>
      <c r="ABM287" s="1"/>
      <c r="ABN287" s="1"/>
      <c r="ABO287" s="1"/>
      <c r="ABP287" s="1"/>
      <c r="ABQ287" s="1"/>
      <c r="ABR287" s="1"/>
      <c r="ABS287" s="1"/>
      <c r="ABT287" s="1"/>
      <c r="ABU287" s="1"/>
      <c r="ABV287" s="1"/>
      <c r="ABW287" s="1"/>
      <c r="ABX287" s="1"/>
      <c r="ABY287" s="1"/>
      <c r="ABZ287" s="1"/>
      <c r="ACA287" s="1"/>
      <c r="ACB287" s="1"/>
      <c r="ACC287" s="1"/>
      <c r="ACD287" s="1"/>
      <c r="ACE287" s="1"/>
      <c r="ACF287" s="1"/>
      <c r="ACG287" s="1"/>
      <c r="ACH287" s="1"/>
      <c r="ACI287" s="1"/>
      <c r="ACJ287" s="1"/>
      <c r="ACK287" s="1"/>
      <c r="ACL287" s="1"/>
      <c r="ACM287" s="1"/>
      <c r="ACN287" s="1"/>
      <c r="ACO287" s="1"/>
      <c r="ACP287" s="1"/>
      <c r="ACQ287" s="1"/>
      <c r="ACR287" s="1"/>
      <c r="ACS287" s="1"/>
      <c r="ACT287" s="1"/>
      <c r="ACU287" s="1"/>
      <c r="ACV287" s="1"/>
      <c r="ACW287" s="1"/>
      <c r="ACX287" s="1"/>
      <c r="ACY287" s="1"/>
      <c r="ACZ287" s="1"/>
      <c r="ADA287" s="1"/>
      <c r="ADB287" s="1"/>
      <c r="ADC287" s="1"/>
      <c r="ADD287" s="1"/>
      <c r="ADE287" s="1"/>
      <c r="ADF287" s="1"/>
      <c r="ADG287" s="1"/>
      <c r="ADH287" s="1"/>
      <c r="ADI287" s="1"/>
      <c r="ADJ287" s="1"/>
      <c r="ADK287" s="1"/>
      <c r="ADL287" s="1"/>
      <c r="ADM287" s="1"/>
      <c r="ADN287" s="1"/>
      <c r="ADO287" s="1"/>
      <c r="ADP287" s="1"/>
      <c r="ADQ287" s="1"/>
      <c r="ADR287" s="1"/>
      <c r="ADS287" s="1"/>
      <c r="ADT287" s="1"/>
      <c r="ADU287" s="1"/>
      <c r="ADV287" s="1"/>
      <c r="ADW287" s="1"/>
      <c r="ADX287" s="1"/>
      <c r="ADY287" s="1"/>
      <c r="ADZ287" s="1"/>
      <c r="AEA287" s="1"/>
      <c r="AEB287" s="1"/>
      <c r="AEC287" s="1"/>
      <c r="AED287" s="1"/>
      <c r="AEE287" s="1"/>
      <c r="AEF287" s="1"/>
      <c r="AEG287" s="1"/>
      <c r="AEH287" s="1"/>
      <c r="AEI287" s="1"/>
      <c r="AEJ287" s="1"/>
      <c r="AEK287" s="1"/>
      <c r="AEL287" s="1"/>
      <c r="AEM287" s="1"/>
      <c r="AEN287" s="1"/>
      <c r="AEO287" s="1"/>
      <c r="AEP287" s="1"/>
      <c r="AEQ287" s="1"/>
      <c r="AER287" s="1"/>
      <c r="AES287" s="1"/>
      <c r="AET287" s="1"/>
      <c r="AEU287" s="1"/>
      <c r="AEV287" s="1"/>
      <c r="AEW287" s="1"/>
      <c r="AEX287" s="1"/>
      <c r="AEY287" s="1"/>
      <c r="AEZ287" s="1"/>
      <c r="AFA287" s="1"/>
      <c r="AFB287" s="1"/>
      <c r="AFC287" s="1"/>
      <c r="AFD287" s="1"/>
      <c r="AFE287" s="1"/>
      <c r="AFF287" s="1"/>
      <c r="AFG287" s="1"/>
      <c r="AFH287" s="1"/>
      <c r="AFI287" s="1"/>
      <c r="AFJ287" s="1"/>
      <c r="AFK287" s="1"/>
      <c r="AFL287" s="1"/>
      <c r="AFM287" s="1"/>
      <c r="AFN287" s="1"/>
      <c r="AFO287" s="1"/>
      <c r="AFP287" s="1"/>
      <c r="AFQ287" s="1"/>
      <c r="AFR287" s="1"/>
      <c r="AFS287" s="1"/>
      <c r="AFT287" s="1"/>
      <c r="AFU287" s="1"/>
      <c r="AFV287" s="1"/>
      <c r="AFW287" s="1"/>
      <c r="AFX287" s="1"/>
      <c r="AFY287" s="1"/>
      <c r="AFZ287" s="1"/>
      <c r="AGA287" s="1"/>
      <c r="AGB287" s="1"/>
      <c r="AGC287" s="1"/>
      <c r="AGD287" s="1"/>
      <c r="AGE287" s="1"/>
      <c r="AGF287" s="1"/>
      <c r="AGG287" s="1"/>
      <c r="AGH287" s="1"/>
      <c r="AGI287" s="1"/>
      <c r="AGJ287" s="1"/>
      <c r="AGK287" s="1"/>
      <c r="AGL287" s="1"/>
      <c r="AGM287" s="1"/>
      <c r="AGN287" s="1"/>
      <c r="AGO287" s="1"/>
      <c r="AGP287" s="1"/>
      <c r="AGQ287" s="1"/>
      <c r="AGR287" s="1"/>
      <c r="AGS287" s="1"/>
      <c r="AGT287" s="1"/>
      <c r="AGU287" s="1"/>
      <c r="AGV287" s="1"/>
      <c r="AGW287" s="1"/>
      <c r="AGX287" s="1"/>
      <c r="AGY287" s="1"/>
      <c r="AGZ287" s="1"/>
      <c r="AHA287" s="1"/>
      <c r="AHB287" s="1"/>
      <c r="AHC287" s="1"/>
      <c r="AHD287" s="1"/>
      <c r="AHE287" s="1"/>
      <c r="AHF287" s="1"/>
      <c r="AHG287" s="1"/>
      <c r="AHH287" s="1"/>
      <c r="AHI287" s="1"/>
      <c r="AHJ287" s="1"/>
      <c r="AHK287" s="1"/>
      <c r="AHL287" s="1"/>
      <c r="AHM287" s="1"/>
      <c r="AHN287" s="1"/>
      <c r="AHO287" s="1"/>
      <c r="AHP287" s="1"/>
      <c r="AHQ287" s="1"/>
      <c r="AHR287" s="1"/>
      <c r="AHS287" s="1"/>
      <c r="AHT287" s="1"/>
      <c r="AHU287" s="1"/>
      <c r="AHV287" s="1"/>
      <c r="AHW287" s="1"/>
      <c r="AHX287" s="1"/>
      <c r="AHY287" s="1"/>
      <c r="AHZ287" s="1"/>
      <c r="AIA287" s="1"/>
      <c r="AIB287" s="1"/>
      <c r="AIC287" s="1"/>
      <c r="AID287" s="1"/>
      <c r="AIE287" s="1"/>
      <c r="AIF287" s="1"/>
      <c r="AIG287" s="1"/>
      <c r="AIH287" s="1"/>
      <c r="AII287" s="1"/>
      <c r="AIJ287" s="1"/>
      <c r="AIK287" s="1"/>
      <c r="AIL287" s="1"/>
      <c r="AIM287" s="1"/>
      <c r="AIN287" s="1"/>
      <c r="AIO287" s="1"/>
      <c r="AIP287" s="1"/>
      <c r="AIQ287" s="1"/>
      <c r="AIR287" s="1"/>
      <c r="AIS287" s="1"/>
      <c r="AIT287" s="1"/>
      <c r="AIU287" s="1"/>
      <c r="AIV287" s="1"/>
      <c r="AIW287" s="1"/>
      <c r="AIX287" s="1"/>
      <c r="AIY287" s="1"/>
      <c r="AIZ287" s="1"/>
      <c r="AJA287" s="1"/>
      <c r="AJB287" s="1"/>
      <c r="AJC287" s="1"/>
      <c r="AJD287" s="1"/>
      <c r="AJE287" s="1"/>
      <c r="AJF287" s="1"/>
      <c r="AJG287" s="1"/>
      <c r="AJH287" s="1"/>
      <c r="AJI287" s="1"/>
      <c r="AJJ287" s="1"/>
      <c r="AJK287" s="1"/>
      <c r="AJL287" s="1"/>
      <c r="AJM287" s="1"/>
      <c r="AJN287" s="1"/>
      <c r="AJO287" s="1"/>
      <c r="AJP287" s="1"/>
      <c r="AJQ287" s="1"/>
      <c r="AJR287" s="1"/>
      <c r="AJS287" s="1"/>
      <c r="AJT287" s="1"/>
      <c r="AJU287" s="1"/>
      <c r="AJV287" s="1"/>
      <c r="AJW287" s="1"/>
      <c r="AJX287" s="1"/>
      <c r="AJY287" s="1"/>
      <c r="AJZ287" s="1"/>
      <c r="AKA287" s="1"/>
      <c r="AKB287" s="1"/>
      <c r="AKC287" s="1"/>
      <c r="AKD287" s="1"/>
      <c r="AKE287" s="1"/>
      <c r="AKF287" s="1"/>
      <c r="AKG287" s="1"/>
      <c r="AKH287" s="1"/>
      <c r="AKI287" s="1"/>
      <c r="AKJ287" s="1"/>
      <c r="AKK287" s="1"/>
      <c r="AKL287" s="1"/>
      <c r="AKM287" s="1"/>
      <c r="AKN287" s="1"/>
      <c r="AKO287" s="1"/>
      <c r="AKP287" s="1"/>
      <c r="AKQ287" s="1"/>
      <c r="AKR287" s="1"/>
      <c r="AKS287" s="1"/>
      <c r="AKT287" s="1"/>
      <c r="AKU287" s="1"/>
      <c r="AKV287" s="1"/>
      <c r="AKW287" s="1"/>
      <c r="AKX287" s="1"/>
      <c r="AKY287" s="1"/>
      <c r="AKZ287" s="1"/>
      <c r="ALA287" s="1"/>
      <c r="ALB287" s="1"/>
      <c r="ALC287" s="1"/>
      <c r="ALD287" s="1"/>
      <c r="ALE287" s="1"/>
      <c r="ALF287" s="1"/>
      <c r="ALG287" s="1"/>
      <c r="ALH287" s="1"/>
      <c r="ALI287" s="1"/>
      <c r="ALJ287" s="1"/>
      <c r="ALK287" s="1"/>
      <c r="ALL287" s="1"/>
      <c r="ALM287" s="1"/>
      <c r="ALN287" s="1"/>
      <c r="ALO287" s="1"/>
      <c r="ALP287" s="1"/>
      <c r="ALQ287" s="1"/>
      <c r="ALR287" s="1"/>
      <c r="ALS287" s="1"/>
      <c r="ALT287" s="1"/>
      <c r="ALU287" s="1"/>
      <c r="ALV287" s="1"/>
      <c r="ALW287" s="1"/>
      <c r="ALX287" s="1"/>
      <c r="ALY287" s="1"/>
      <c r="ALZ287" s="1"/>
      <c r="AMA287" s="1"/>
      <c r="AMB287" s="1"/>
      <c r="AMC287" s="1"/>
      <c r="AMD287" s="1"/>
      <c r="AME287" s="1"/>
      <c r="AMF287" s="1"/>
      <c r="AMG287" s="1"/>
      <c r="AMH287" s="1"/>
      <c r="AMI287" s="1"/>
      <c r="AMJ287" s="1"/>
      <c r="AMK287" s="1"/>
      <c r="AML287" s="1"/>
      <c r="AMM287" s="1"/>
      <c r="AMN287" s="1"/>
      <c r="AMO287" s="1"/>
    </row>
    <row r="288" spans="1:1030" x14ac:dyDescent="0.2">
      <c r="A288" s="3" t="str">
        <f t="shared" si="753"/>
        <v>crfr1_human_4Z9G_dist</v>
      </c>
      <c r="B288" s="3" t="s">
        <v>38</v>
      </c>
      <c r="C288" s="3" t="s">
        <v>1162</v>
      </c>
      <c r="D288" s="3" t="str">
        <f>IFERROR(MID(VLOOKUP($B288,Seqs!$A:$B,2,0),E288,1),"")</f>
        <v>S</v>
      </c>
      <c r="E288" s="3">
        <v>112</v>
      </c>
      <c r="F288" s="3" t="str">
        <f>IFERROR(MID(VLOOKUP($B288,Seqs!$A:$B,2,0),G288,1),"")</f>
        <v>L</v>
      </c>
      <c r="G288" s="3">
        <v>144</v>
      </c>
      <c r="H288" s="3" t="str">
        <f>IFERROR(MID(VLOOKUP($B288,Seqs!$A:$B,2,0),I288,1),"")</f>
        <v>R</v>
      </c>
      <c r="I288" s="23">
        <v>145</v>
      </c>
      <c r="J288" s="3" t="str">
        <f>IFERROR(MID(VLOOKUP($B288,Seqs!$A:$B,2,0),K288,1),"")</f>
        <v>R</v>
      </c>
      <c r="K288" s="23">
        <v>148</v>
      </c>
      <c r="L288" s="3" t="str">
        <f>IFERROR(MID(VLOOKUP($B288,Seqs!$A:$B,2,0),M288,1),"")</f>
        <v>C</v>
      </c>
      <c r="M288" s="23">
        <v>149</v>
      </c>
      <c r="N288" s="3" t="str">
        <f>IFERROR(MID(VLOOKUP($B288,Seqs!$A:$B,2,0),O288,1),"")</f>
        <v>T</v>
      </c>
      <c r="O288" s="3">
        <v>175</v>
      </c>
      <c r="P288" s="3" t="str">
        <f>IFERROR(MID(VLOOKUP($B288,Seqs!$A:$B,2,0),Q288,1),"")</f>
        <v/>
      </c>
      <c r="Q288" s="3" t="s">
        <v>23</v>
      </c>
      <c r="R288" s="3" t="str">
        <f>IFERROR(MID(VLOOKUP($B288,Seqs!$A:$B,2,0),S288,1),"")</f>
        <v/>
      </c>
      <c r="S288" s="3" t="s">
        <v>23</v>
      </c>
      <c r="T288" s="3" t="str">
        <f>IFERROR(MID(VLOOKUP($B288,Seqs!$A:$B,2,0),U288,1),"")</f>
        <v>V</v>
      </c>
      <c r="U288" s="3">
        <v>185</v>
      </c>
      <c r="V288" s="3" t="str">
        <f>IFERROR(MID(VLOOKUP($B288,Seqs!$A:$B,2,0),W288,1),"")</f>
        <v>L</v>
      </c>
      <c r="W288" s="3">
        <v>219</v>
      </c>
      <c r="X288" s="3" t="str">
        <f>IFERROR(MID(VLOOKUP($B288,Seqs!$A:$B,2,0),Y288,1),"")</f>
        <v/>
      </c>
      <c r="Y288" s="3" t="s">
        <v>23</v>
      </c>
      <c r="Z288" s="3" t="str">
        <f>IFERROR(MID(VLOOKUP($B288,Seqs!$A:$B,2,0),AA288,1),"")</f>
        <v/>
      </c>
      <c r="AA288" s="3" t="s">
        <v>23</v>
      </c>
      <c r="AB288" s="3" t="str">
        <f>IFERROR(MID(VLOOKUP($B288,Seqs!$A:$B,2,0),AC288,1),"")</f>
        <v>L</v>
      </c>
      <c r="AC288" s="9">
        <v>226</v>
      </c>
      <c r="AD288" s="3" t="str">
        <f>IFERROR(MID(VLOOKUP($B288,Seqs!$A:$B,2,0),AE288,1),"")</f>
        <v>D</v>
      </c>
      <c r="AE288" s="3">
        <v>254</v>
      </c>
      <c r="AF288" s="3" t="str">
        <f>IFERROR(MID(VLOOKUP($B288,Seqs!$A:$B,2,0),AG288,1),"")</f>
        <v>C</v>
      </c>
      <c r="AG288" s="3">
        <v>258</v>
      </c>
      <c r="AH288" s="3" t="str">
        <f>IFERROR(MID(VLOOKUP($B288,Seqs!$A:$B,2,0),AI288,1),"")</f>
        <v>F</v>
      </c>
      <c r="AI288" s="3">
        <v>260</v>
      </c>
      <c r="AJ288" s="3" t="str">
        <f>IFERROR(MID(VLOOKUP($B288,Seqs!$A:$B,2,0),AK288,1),"")</f>
        <v>T</v>
      </c>
      <c r="AK288" s="3">
        <v>268</v>
      </c>
      <c r="AL288" s="3" t="str">
        <f>IFERROR(MID(VLOOKUP($B288,Seqs!$A:$B,2,0),AM288,1),"")</f>
        <v>L</v>
      </c>
      <c r="AM288" s="3">
        <v>298</v>
      </c>
      <c r="AN288" s="3" t="str">
        <f>IFERROR(MID(VLOOKUP($B288,Seqs!$A:$B,2,0),AO288,1),"")</f>
        <v>S</v>
      </c>
      <c r="AO288" s="3">
        <v>304</v>
      </c>
      <c r="AP288" s="3" t="str">
        <f>IFERROR(MID(VLOOKUP($B288,Seqs!$A:$B,2,0),AQ288,1),"")</f>
        <v>V</v>
      </c>
      <c r="AQ288" s="3">
        <v>332</v>
      </c>
      <c r="AR288" s="3" t="str">
        <f>IFERROR(MID(VLOOKUP($B288,Seqs!$A:$B,2,0),AS288,1),"")</f>
        <v>V</v>
      </c>
      <c r="AS288" s="3">
        <v>339</v>
      </c>
      <c r="AT288" s="3" t="str">
        <f>IFERROR(MID(VLOOKUP($B288,Seqs!$A:$B,2,0),AU288,1),"")</f>
        <v>E</v>
      </c>
      <c r="AU288" s="3">
        <v>369</v>
      </c>
      <c r="AV288" s="3" t="str">
        <f>IFERROR(MID(VLOOKUP($B288,Seqs!$A:$B,2,0),AW288,1),"")</f>
        <v/>
      </c>
      <c r="AW288" s="3" t="s">
        <v>23</v>
      </c>
      <c r="AX288" s="3" t="str">
        <f>IFERROR(MID(VLOOKUP($B288,Seqs!$A:$B,2,0),AY288,1),"")</f>
        <v/>
      </c>
      <c r="AY288" s="3" t="s">
        <v>23</v>
      </c>
      <c r="AZ288" s="77" t="str">
        <f>VLOOKUP(B288,Classification!A:D,2,0)</f>
        <v>B1</v>
      </c>
      <c r="BA288" s="94" t="str">
        <f>VLOOKUP(B288,Classification!A:D,4,0)</f>
        <v>Corticotropin-releasingfact</v>
      </c>
      <c r="BB288" s="27" t="b">
        <f t="shared" si="754"/>
        <v>1</v>
      </c>
      <c r="BC288" s="23">
        <f t="shared" si="1089"/>
        <v>225</v>
      </c>
      <c r="BD288" s="56" t="s">
        <v>1379</v>
      </c>
      <c r="BE288" s="3" t="s">
        <v>1381</v>
      </c>
      <c r="BF288" s="119">
        <v>3.18</v>
      </c>
      <c r="BG288" s="49" t="s">
        <v>1384</v>
      </c>
      <c r="BH288" s="49" t="s">
        <v>1384</v>
      </c>
      <c r="BI288" s="3" t="s">
        <v>1163</v>
      </c>
      <c r="BJ288" s="70" t="s">
        <v>1293</v>
      </c>
      <c r="BK288" s="57" t="s">
        <v>1293</v>
      </c>
      <c r="BL288" s="57" t="s">
        <v>1293</v>
      </c>
      <c r="BM288" s="57" t="s">
        <v>1293</v>
      </c>
      <c r="BN288" s="57" t="s">
        <v>1293</v>
      </c>
      <c r="BO288" s="57" t="s">
        <v>1293</v>
      </c>
      <c r="BP288" s="57" t="s">
        <v>1293</v>
      </c>
      <c r="BQ288" s="57" t="s">
        <v>1293</v>
      </c>
      <c r="BR288" s="57" t="s">
        <v>1293</v>
      </c>
      <c r="BS288" s="57" t="s">
        <v>1293</v>
      </c>
      <c r="BT288" s="57" t="s">
        <v>1293</v>
      </c>
      <c r="BU288" s="57" t="s">
        <v>1293</v>
      </c>
      <c r="BV288" s="70">
        <f t="shared" si="1090"/>
        <v>112</v>
      </c>
      <c r="BW288" s="71">
        <f t="shared" si="1091"/>
        <v>145</v>
      </c>
      <c r="BX288" s="72">
        <f t="shared" si="1092"/>
        <v>149</v>
      </c>
      <c r="BY288" s="71" t="str">
        <f t="shared" si="1093"/>
        <v>-</v>
      </c>
      <c r="BZ288" s="72">
        <f t="shared" si="1094"/>
        <v>185</v>
      </c>
      <c r="CA288" s="71" t="str">
        <f t="shared" si="1095"/>
        <v>-</v>
      </c>
      <c r="CB288" s="72">
        <f t="shared" si="1096"/>
        <v>226</v>
      </c>
      <c r="CC288" s="71">
        <f t="shared" si="1097"/>
        <v>258</v>
      </c>
      <c r="CD288" s="72">
        <f t="shared" si="1098"/>
        <v>268</v>
      </c>
      <c r="CE288" s="71">
        <f t="shared" si="1099"/>
        <v>304</v>
      </c>
      <c r="CF288" s="72">
        <f t="shared" si="1100"/>
        <v>339</v>
      </c>
      <c r="CG288" s="71" t="str">
        <f t="shared" si="1101"/>
        <v>-</v>
      </c>
      <c r="CH288" s="70">
        <f t="shared" si="1102"/>
        <v>144</v>
      </c>
      <c r="CI288" s="71">
        <f t="shared" si="1103"/>
        <v>148</v>
      </c>
      <c r="CJ288" s="72">
        <f t="shared" si="1104"/>
        <v>175</v>
      </c>
      <c r="CK288" s="72" t="str">
        <f t="shared" si="1105"/>
        <v>-</v>
      </c>
      <c r="CL288" s="72">
        <f t="shared" si="1106"/>
        <v>219</v>
      </c>
      <c r="CM288" s="72" t="str">
        <f t="shared" si="1107"/>
        <v>-</v>
      </c>
      <c r="CN288" s="72">
        <f t="shared" si="1108"/>
        <v>254</v>
      </c>
      <c r="CO288" s="72">
        <f t="shared" si="1109"/>
        <v>260</v>
      </c>
      <c r="CP288" s="72">
        <f t="shared" si="1110"/>
        <v>298</v>
      </c>
      <c r="CQ288" s="72">
        <f t="shared" si="1111"/>
        <v>332</v>
      </c>
      <c r="CR288" s="72">
        <f t="shared" si="1112"/>
        <v>369</v>
      </c>
      <c r="CS288" s="72" t="str">
        <f t="shared" si="1113"/>
        <v>-</v>
      </c>
      <c r="CT288" s="23">
        <f t="shared" si="1114"/>
        <v>1</v>
      </c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  <c r="OK288" s="1"/>
      <c r="OL288" s="1"/>
      <c r="OM288" s="1"/>
      <c r="ON288" s="1"/>
      <c r="OO288" s="1"/>
      <c r="OP288" s="1"/>
      <c r="OQ288" s="1"/>
      <c r="OR288" s="1"/>
      <c r="OS288" s="1"/>
      <c r="OT288" s="1"/>
      <c r="OU288" s="1"/>
      <c r="OV288" s="1"/>
      <c r="OW288" s="1"/>
      <c r="OX288" s="1"/>
      <c r="OY288" s="1"/>
      <c r="OZ288" s="1"/>
      <c r="PA288" s="1"/>
      <c r="PB288" s="1"/>
      <c r="PC288" s="1"/>
      <c r="PD288" s="1"/>
      <c r="PE288" s="1"/>
      <c r="PF288" s="1"/>
      <c r="PG288" s="1"/>
      <c r="PH288" s="1"/>
      <c r="PI288" s="1"/>
      <c r="PJ288" s="1"/>
      <c r="PK288" s="1"/>
      <c r="PL288" s="1"/>
      <c r="PM288" s="1"/>
      <c r="PN288" s="1"/>
      <c r="PO288" s="1"/>
      <c r="PP288" s="1"/>
      <c r="PQ288" s="1"/>
      <c r="PR288" s="1"/>
      <c r="PS288" s="1"/>
      <c r="PT288" s="1"/>
      <c r="PU288" s="1"/>
      <c r="PV288" s="1"/>
      <c r="PW288" s="1"/>
      <c r="PX288" s="1"/>
      <c r="PY288" s="1"/>
      <c r="PZ288" s="1"/>
      <c r="QA288" s="1"/>
      <c r="QB288" s="1"/>
      <c r="QC288" s="1"/>
      <c r="QD288" s="1"/>
      <c r="QE288" s="1"/>
      <c r="QF288" s="1"/>
      <c r="QG288" s="1"/>
      <c r="QH288" s="1"/>
      <c r="QI288" s="1"/>
      <c r="QJ288" s="1"/>
      <c r="QK288" s="1"/>
      <c r="QL288" s="1"/>
      <c r="QM288" s="1"/>
      <c r="QN288" s="1"/>
      <c r="QO288" s="1"/>
      <c r="QP288" s="1"/>
      <c r="QQ288" s="1"/>
      <c r="QR288" s="1"/>
      <c r="QS288" s="1"/>
      <c r="QT288" s="1"/>
      <c r="QU288" s="1"/>
      <c r="QV288" s="1"/>
      <c r="QW288" s="1"/>
      <c r="QX288" s="1"/>
      <c r="QY288" s="1"/>
      <c r="QZ288" s="1"/>
      <c r="RA288" s="1"/>
      <c r="RB288" s="1"/>
      <c r="RC288" s="1"/>
      <c r="RD288" s="1"/>
      <c r="RE288" s="1"/>
      <c r="RF288" s="1"/>
      <c r="RG288" s="1"/>
      <c r="RH288" s="1"/>
      <c r="RI288" s="1"/>
      <c r="RJ288" s="1"/>
      <c r="RK288" s="1"/>
      <c r="RL288" s="1"/>
      <c r="RM288" s="1"/>
      <c r="RN288" s="1"/>
      <c r="RO288" s="1"/>
      <c r="RP288" s="1"/>
      <c r="RQ288" s="1"/>
      <c r="RR288" s="1"/>
      <c r="RS288" s="1"/>
      <c r="RT288" s="1"/>
      <c r="RU288" s="1"/>
      <c r="RV288" s="1"/>
      <c r="RW288" s="1"/>
      <c r="RX288" s="1"/>
      <c r="RY288" s="1"/>
      <c r="RZ288" s="1"/>
      <c r="SA288" s="1"/>
      <c r="SB288" s="1"/>
      <c r="SC288" s="1"/>
      <c r="SD288" s="1"/>
      <c r="SE288" s="1"/>
      <c r="SF288" s="1"/>
      <c r="SG288" s="1"/>
      <c r="SH288" s="1"/>
      <c r="SI288" s="1"/>
      <c r="SJ288" s="1"/>
      <c r="SK288" s="1"/>
      <c r="SL288" s="1"/>
      <c r="SM288" s="1"/>
      <c r="SN288" s="1"/>
      <c r="SO288" s="1"/>
      <c r="SP288" s="1"/>
      <c r="SQ288" s="1"/>
      <c r="SR288" s="1"/>
      <c r="SS288" s="1"/>
      <c r="ST288" s="1"/>
      <c r="SU288" s="1"/>
      <c r="SV288" s="1"/>
      <c r="SW288" s="1"/>
      <c r="SX288" s="1"/>
      <c r="SY288" s="1"/>
      <c r="SZ288" s="1"/>
      <c r="TA288" s="1"/>
      <c r="TB288" s="1"/>
      <c r="TC288" s="1"/>
      <c r="TD288" s="1"/>
      <c r="TE288" s="1"/>
      <c r="TF288" s="1"/>
      <c r="TG288" s="1"/>
      <c r="TH288" s="1"/>
      <c r="TI288" s="1"/>
      <c r="TJ288" s="1"/>
      <c r="TK288" s="1"/>
      <c r="TL288" s="1"/>
      <c r="TM288" s="1"/>
      <c r="TN288" s="1"/>
      <c r="TO288" s="1"/>
      <c r="TP288" s="1"/>
      <c r="TQ288" s="1"/>
      <c r="TR288" s="1"/>
      <c r="TS288" s="1"/>
      <c r="TT288" s="1"/>
      <c r="TU288" s="1"/>
      <c r="TV288" s="1"/>
      <c r="TW288" s="1"/>
      <c r="TX288" s="1"/>
      <c r="TY288" s="1"/>
      <c r="TZ288" s="1"/>
      <c r="UA288" s="1"/>
      <c r="UB288" s="1"/>
      <c r="UC288" s="1"/>
      <c r="UD288" s="1"/>
      <c r="UE288" s="1"/>
      <c r="UF288" s="1"/>
      <c r="UG288" s="1"/>
      <c r="UH288" s="1"/>
      <c r="UI288" s="1"/>
      <c r="UJ288" s="1"/>
      <c r="UK288" s="1"/>
      <c r="UL288" s="1"/>
      <c r="UM288" s="1"/>
      <c r="UN288" s="1"/>
      <c r="UO288" s="1"/>
      <c r="UP288" s="1"/>
      <c r="UQ288" s="1"/>
      <c r="UR288" s="1"/>
      <c r="US288" s="1"/>
      <c r="UT288" s="1"/>
      <c r="UU288" s="1"/>
      <c r="UV288" s="1"/>
      <c r="UW288" s="1"/>
      <c r="UX288" s="1"/>
      <c r="UY288" s="1"/>
      <c r="UZ288" s="1"/>
      <c r="VA288" s="1"/>
      <c r="VB288" s="1"/>
      <c r="VC288" s="1"/>
      <c r="VD288" s="1"/>
      <c r="VE288" s="1"/>
      <c r="VF288" s="1"/>
      <c r="VG288" s="1"/>
      <c r="VH288" s="1"/>
      <c r="VI288" s="1"/>
      <c r="VJ288" s="1"/>
      <c r="VK288" s="1"/>
      <c r="VL288" s="1"/>
      <c r="VM288" s="1"/>
      <c r="VN288" s="1"/>
      <c r="VO288" s="1"/>
      <c r="VP288" s="1"/>
      <c r="VQ288" s="1"/>
      <c r="VR288" s="1"/>
      <c r="VS288" s="1"/>
      <c r="VT288" s="1"/>
      <c r="VU288" s="1"/>
      <c r="VV288" s="1"/>
      <c r="VW288" s="1"/>
      <c r="VX288" s="1"/>
      <c r="VY288" s="1"/>
      <c r="VZ288" s="1"/>
      <c r="WA288" s="1"/>
      <c r="WB288" s="1"/>
      <c r="WC288" s="1"/>
      <c r="WD288" s="1"/>
      <c r="WE288" s="1"/>
      <c r="WF288" s="1"/>
      <c r="WG288" s="1"/>
      <c r="WH288" s="1"/>
      <c r="WI288" s="1"/>
      <c r="WJ288" s="1"/>
      <c r="WK288" s="1"/>
      <c r="WL288" s="1"/>
      <c r="WM288" s="1"/>
      <c r="WN288" s="1"/>
      <c r="WO288" s="1"/>
      <c r="WP288" s="1"/>
      <c r="WQ288" s="1"/>
      <c r="WR288" s="1"/>
      <c r="WS288" s="1"/>
      <c r="WT288" s="1"/>
      <c r="WU288" s="1"/>
      <c r="WV288" s="1"/>
      <c r="WW288" s="1"/>
      <c r="WX288" s="1"/>
      <c r="WY288" s="1"/>
      <c r="WZ288" s="1"/>
      <c r="XA288" s="1"/>
      <c r="XB288" s="1"/>
      <c r="XC288" s="1"/>
      <c r="XD288" s="1"/>
      <c r="XE288" s="1"/>
      <c r="XF288" s="1"/>
      <c r="XG288" s="1"/>
      <c r="XH288" s="1"/>
      <c r="XI288" s="1"/>
      <c r="XJ288" s="1"/>
      <c r="XK288" s="1"/>
      <c r="XL288" s="1"/>
      <c r="XM288" s="1"/>
      <c r="XN288" s="1"/>
      <c r="XO288" s="1"/>
      <c r="XP288" s="1"/>
      <c r="XQ288" s="1"/>
      <c r="XR288" s="1"/>
      <c r="XS288" s="1"/>
      <c r="XT288" s="1"/>
      <c r="XU288" s="1"/>
      <c r="XV288" s="1"/>
      <c r="XW288" s="1"/>
      <c r="XX288" s="1"/>
      <c r="XY288" s="1"/>
      <c r="XZ288" s="1"/>
      <c r="YA288" s="1"/>
      <c r="YB288" s="1"/>
      <c r="YC288" s="1"/>
      <c r="YD288" s="1"/>
      <c r="YE288" s="1"/>
      <c r="YF288" s="1"/>
      <c r="YG288" s="1"/>
      <c r="YH288" s="1"/>
      <c r="YI288" s="1"/>
      <c r="YJ288" s="1"/>
      <c r="YK288" s="1"/>
      <c r="YL288" s="1"/>
      <c r="YM288" s="1"/>
      <c r="YN288" s="1"/>
      <c r="YO288" s="1"/>
      <c r="YP288" s="1"/>
      <c r="YQ288" s="1"/>
      <c r="YR288" s="1"/>
      <c r="YS288" s="1"/>
      <c r="YT288" s="1"/>
      <c r="YU288" s="1"/>
      <c r="YV288" s="1"/>
      <c r="YW288" s="1"/>
      <c r="YX288" s="1"/>
      <c r="YY288" s="1"/>
      <c r="YZ288" s="1"/>
      <c r="ZA288" s="1"/>
      <c r="ZB288" s="1"/>
      <c r="ZC288" s="1"/>
      <c r="ZD288" s="1"/>
      <c r="ZE288" s="1"/>
      <c r="ZF288" s="1"/>
      <c r="ZG288" s="1"/>
      <c r="ZH288" s="1"/>
      <c r="ZI288" s="1"/>
      <c r="ZJ288" s="1"/>
      <c r="ZK288" s="1"/>
      <c r="ZL288" s="1"/>
      <c r="ZM288" s="1"/>
      <c r="ZN288" s="1"/>
      <c r="ZO288" s="1"/>
      <c r="ZP288" s="1"/>
      <c r="ZQ288" s="1"/>
      <c r="ZR288" s="1"/>
      <c r="ZS288" s="1"/>
      <c r="ZT288" s="1"/>
      <c r="ZU288" s="1"/>
      <c r="ZV288" s="1"/>
      <c r="ZW288" s="1"/>
      <c r="ZX288" s="1"/>
      <c r="ZY288" s="1"/>
      <c r="ZZ288" s="1"/>
      <c r="AAA288" s="1"/>
      <c r="AAB288" s="1"/>
      <c r="AAC288" s="1"/>
      <c r="AAD288" s="1"/>
      <c r="AAE288" s="1"/>
      <c r="AAF288" s="1"/>
      <c r="AAG288" s="1"/>
      <c r="AAH288" s="1"/>
      <c r="AAI288" s="1"/>
      <c r="AAJ288" s="1"/>
      <c r="AAK288" s="1"/>
      <c r="AAL288" s="1"/>
      <c r="AAM288" s="1"/>
      <c r="AAN288" s="1"/>
      <c r="AAO288" s="1"/>
      <c r="AAP288" s="1"/>
      <c r="AAQ288" s="1"/>
      <c r="AAR288" s="1"/>
      <c r="AAS288" s="1"/>
      <c r="AAT288" s="1"/>
      <c r="AAU288" s="1"/>
      <c r="AAV288" s="1"/>
      <c r="AAW288" s="1"/>
      <c r="AAX288" s="1"/>
      <c r="AAY288" s="1"/>
      <c r="AAZ288" s="1"/>
      <c r="ABA288" s="1"/>
      <c r="ABB288" s="1"/>
      <c r="ABC288" s="1"/>
      <c r="ABD288" s="1"/>
      <c r="ABE288" s="1"/>
      <c r="ABF288" s="1"/>
      <c r="ABG288" s="1"/>
      <c r="ABH288" s="1"/>
      <c r="ABI288" s="1"/>
      <c r="ABJ288" s="1"/>
      <c r="ABK288" s="1"/>
      <c r="ABL288" s="1"/>
      <c r="ABM288" s="1"/>
      <c r="ABN288" s="1"/>
      <c r="ABO288" s="1"/>
      <c r="ABP288" s="1"/>
      <c r="ABQ288" s="1"/>
      <c r="ABR288" s="1"/>
      <c r="ABS288" s="1"/>
      <c r="ABT288" s="1"/>
      <c r="ABU288" s="1"/>
      <c r="ABV288" s="1"/>
      <c r="ABW288" s="1"/>
      <c r="ABX288" s="1"/>
      <c r="ABY288" s="1"/>
      <c r="ABZ288" s="1"/>
      <c r="ACA288" s="1"/>
      <c r="ACB288" s="1"/>
      <c r="ACC288" s="1"/>
      <c r="ACD288" s="1"/>
      <c r="ACE288" s="1"/>
      <c r="ACF288" s="1"/>
      <c r="ACG288" s="1"/>
      <c r="ACH288" s="1"/>
      <c r="ACI288" s="1"/>
      <c r="ACJ288" s="1"/>
      <c r="ACK288" s="1"/>
      <c r="ACL288" s="1"/>
      <c r="ACM288" s="1"/>
      <c r="ACN288" s="1"/>
      <c r="ACO288" s="1"/>
      <c r="ACP288" s="1"/>
      <c r="ACQ288" s="1"/>
      <c r="ACR288" s="1"/>
      <c r="ACS288" s="1"/>
      <c r="ACT288" s="1"/>
      <c r="ACU288" s="1"/>
      <c r="ACV288" s="1"/>
      <c r="ACW288" s="1"/>
      <c r="ACX288" s="1"/>
      <c r="ACY288" s="1"/>
      <c r="ACZ288" s="1"/>
      <c r="ADA288" s="1"/>
      <c r="ADB288" s="1"/>
      <c r="ADC288" s="1"/>
      <c r="ADD288" s="1"/>
      <c r="ADE288" s="1"/>
      <c r="ADF288" s="1"/>
      <c r="ADG288" s="1"/>
      <c r="ADH288" s="1"/>
      <c r="ADI288" s="1"/>
      <c r="ADJ288" s="1"/>
      <c r="ADK288" s="1"/>
      <c r="ADL288" s="1"/>
      <c r="ADM288" s="1"/>
      <c r="ADN288" s="1"/>
      <c r="ADO288" s="1"/>
      <c r="ADP288" s="1"/>
      <c r="ADQ288" s="1"/>
      <c r="ADR288" s="1"/>
      <c r="ADS288" s="1"/>
      <c r="ADT288" s="1"/>
      <c r="ADU288" s="1"/>
      <c r="ADV288" s="1"/>
      <c r="ADW288" s="1"/>
      <c r="ADX288" s="1"/>
      <c r="ADY288" s="1"/>
      <c r="ADZ288" s="1"/>
      <c r="AEA288" s="1"/>
      <c r="AEB288" s="1"/>
      <c r="AEC288" s="1"/>
      <c r="AED288" s="1"/>
      <c r="AEE288" s="1"/>
      <c r="AEF288" s="1"/>
      <c r="AEG288" s="1"/>
      <c r="AEH288" s="1"/>
      <c r="AEI288" s="1"/>
      <c r="AEJ288" s="1"/>
      <c r="AEK288" s="1"/>
      <c r="AEL288" s="1"/>
      <c r="AEM288" s="1"/>
      <c r="AEN288" s="1"/>
      <c r="AEO288" s="1"/>
      <c r="AEP288" s="1"/>
      <c r="AEQ288" s="1"/>
      <c r="AER288" s="1"/>
      <c r="AES288" s="1"/>
      <c r="AET288" s="1"/>
      <c r="AEU288" s="1"/>
      <c r="AEV288" s="1"/>
      <c r="AEW288" s="1"/>
      <c r="AEX288" s="1"/>
      <c r="AEY288" s="1"/>
      <c r="AEZ288" s="1"/>
      <c r="AFA288" s="1"/>
      <c r="AFB288" s="1"/>
      <c r="AFC288" s="1"/>
      <c r="AFD288" s="1"/>
      <c r="AFE288" s="1"/>
      <c r="AFF288" s="1"/>
      <c r="AFG288" s="1"/>
      <c r="AFH288" s="1"/>
      <c r="AFI288" s="1"/>
      <c r="AFJ288" s="1"/>
      <c r="AFK288" s="1"/>
      <c r="AFL288" s="1"/>
      <c r="AFM288" s="1"/>
      <c r="AFN288" s="1"/>
      <c r="AFO288" s="1"/>
      <c r="AFP288" s="1"/>
      <c r="AFQ288" s="1"/>
      <c r="AFR288" s="1"/>
      <c r="AFS288" s="1"/>
      <c r="AFT288" s="1"/>
      <c r="AFU288" s="1"/>
      <c r="AFV288" s="1"/>
      <c r="AFW288" s="1"/>
      <c r="AFX288" s="1"/>
      <c r="AFY288" s="1"/>
      <c r="AFZ288" s="1"/>
      <c r="AGA288" s="1"/>
      <c r="AGB288" s="1"/>
      <c r="AGC288" s="1"/>
      <c r="AGD288" s="1"/>
      <c r="AGE288" s="1"/>
      <c r="AGF288" s="1"/>
      <c r="AGG288" s="1"/>
      <c r="AGH288" s="1"/>
      <c r="AGI288" s="1"/>
      <c r="AGJ288" s="1"/>
      <c r="AGK288" s="1"/>
      <c r="AGL288" s="1"/>
      <c r="AGM288" s="1"/>
      <c r="AGN288" s="1"/>
      <c r="AGO288" s="1"/>
      <c r="AGP288" s="1"/>
      <c r="AGQ288" s="1"/>
      <c r="AGR288" s="1"/>
      <c r="AGS288" s="1"/>
      <c r="AGT288" s="1"/>
      <c r="AGU288" s="1"/>
      <c r="AGV288" s="1"/>
      <c r="AGW288" s="1"/>
      <c r="AGX288" s="1"/>
      <c r="AGY288" s="1"/>
      <c r="AGZ288" s="1"/>
      <c r="AHA288" s="1"/>
      <c r="AHB288" s="1"/>
      <c r="AHC288" s="1"/>
      <c r="AHD288" s="1"/>
      <c r="AHE288" s="1"/>
      <c r="AHF288" s="1"/>
      <c r="AHG288" s="1"/>
      <c r="AHH288" s="1"/>
      <c r="AHI288" s="1"/>
      <c r="AHJ288" s="1"/>
      <c r="AHK288" s="1"/>
      <c r="AHL288" s="1"/>
      <c r="AHM288" s="1"/>
      <c r="AHN288" s="1"/>
      <c r="AHO288" s="1"/>
      <c r="AHP288" s="1"/>
      <c r="AHQ288" s="1"/>
      <c r="AHR288" s="1"/>
      <c r="AHS288" s="1"/>
      <c r="AHT288" s="1"/>
      <c r="AHU288" s="1"/>
      <c r="AHV288" s="1"/>
      <c r="AHW288" s="1"/>
      <c r="AHX288" s="1"/>
      <c r="AHY288" s="1"/>
      <c r="AHZ288" s="1"/>
      <c r="AIA288" s="1"/>
      <c r="AIB288" s="1"/>
      <c r="AIC288" s="1"/>
      <c r="AID288" s="1"/>
      <c r="AIE288" s="1"/>
      <c r="AIF288" s="1"/>
      <c r="AIG288" s="1"/>
      <c r="AIH288" s="1"/>
      <c r="AII288" s="1"/>
      <c r="AIJ288" s="1"/>
      <c r="AIK288" s="1"/>
      <c r="AIL288" s="1"/>
      <c r="AIM288" s="1"/>
      <c r="AIN288" s="1"/>
      <c r="AIO288" s="1"/>
      <c r="AIP288" s="1"/>
      <c r="AIQ288" s="1"/>
      <c r="AIR288" s="1"/>
      <c r="AIS288" s="1"/>
      <c r="AIT288" s="1"/>
      <c r="AIU288" s="1"/>
      <c r="AIV288" s="1"/>
      <c r="AIW288" s="1"/>
      <c r="AIX288" s="1"/>
      <c r="AIY288" s="1"/>
      <c r="AIZ288" s="1"/>
      <c r="AJA288" s="1"/>
      <c r="AJB288" s="1"/>
      <c r="AJC288" s="1"/>
      <c r="AJD288" s="1"/>
      <c r="AJE288" s="1"/>
      <c r="AJF288" s="1"/>
      <c r="AJG288" s="1"/>
      <c r="AJH288" s="1"/>
      <c r="AJI288" s="1"/>
      <c r="AJJ288" s="1"/>
      <c r="AJK288" s="1"/>
      <c r="AJL288" s="1"/>
      <c r="AJM288" s="1"/>
      <c r="AJN288" s="1"/>
      <c r="AJO288" s="1"/>
      <c r="AJP288" s="1"/>
      <c r="AJQ288" s="1"/>
      <c r="AJR288" s="1"/>
      <c r="AJS288" s="1"/>
      <c r="AJT288" s="1"/>
      <c r="AJU288" s="1"/>
      <c r="AJV288" s="1"/>
      <c r="AJW288" s="1"/>
      <c r="AJX288" s="1"/>
      <c r="AJY288" s="1"/>
      <c r="AJZ288" s="1"/>
      <c r="AKA288" s="1"/>
      <c r="AKB288" s="1"/>
      <c r="AKC288" s="1"/>
      <c r="AKD288" s="1"/>
      <c r="AKE288" s="1"/>
      <c r="AKF288" s="1"/>
      <c r="AKG288" s="1"/>
      <c r="AKH288" s="1"/>
      <c r="AKI288" s="1"/>
      <c r="AKJ288" s="1"/>
      <c r="AKK288" s="1"/>
      <c r="AKL288" s="1"/>
      <c r="AKM288" s="1"/>
      <c r="AKN288" s="1"/>
      <c r="AKO288" s="1"/>
      <c r="AKP288" s="1"/>
      <c r="AKQ288" s="1"/>
      <c r="AKR288" s="1"/>
      <c r="AKS288" s="1"/>
      <c r="AKT288" s="1"/>
      <c r="AKU288" s="1"/>
      <c r="AKV288" s="1"/>
      <c r="AKW288" s="1"/>
      <c r="AKX288" s="1"/>
      <c r="AKY288" s="1"/>
      <c r="AKZ288" s="1"/>
      <c r="ALA288" s="1"/>
      <c r="ALB288" s="1"/>
      <c r="ALC288" s="1"/>
      <c r="ALD288" s="1"/>
      <c r="ALE288" s="1"/>
      <c r="ALF288" s="1"/>
      <c r="ALG288" s="1"/>
      <c r="ALH288" s="1"/>
      <c r="ALI288" s="1"/>
      <c r="ALJ288" s="1"/>
      <c r="ALK288" s="1"/>
      <c r="ALL288" s="1"/>
      <c r="ALM288" s="1"/>
      <c r="ALN288" s="1"/>
      <c r="ALO288" s="1"/>
      <c r="ALP288" s="1"/>
      <c r="ALQ288" s="1"/>
      <c r="ALR288" s="1"/>
      <c r="ALS288" s="1"/>
      <c r="ALT288" s="1"/>
      <c r="ALU288" s="1"/>
      <c r="ALV288" s="1"/>
      <c r="ALW288" s="1"/>
      <c r="ALX288" s="1"/>
      <c r="ALY288" s="1"/>
      <c r="ALZ288" s="1"/>
      <c r="AMA288" s="1"/>
      <c r="AMB288" s="1"/>
      <c r="AMC288" s="1"/>
      <c r="AMD288" s="1"/>
      <c r="AME288" s="1"/>
      <c r="AMF288" s="1"/>
      <c r="AMG288" s="1"/>
      <c r="AMH288" s="1"/>
      <c r="AMI288" s="1"/>
      <c r="AMJ288" s="1"/>
      <c r="AMK288" s="1"/>
      <c r="AML288" s="1"/>
      <c r="AMM288" s="1"/>
      <c r="AMN288" s="1"/>
      <c r="AMO288" s="1"/>
    </row>
    <row r="289" spans="1:1029" x14ac:dyDescent="0.2">
      <c r="A289" s="3" t="str">
        <f t="shared" si="753"/>
        <v>glr_human__wt</v>
      </c>
      <c r="B289" s="3" t="s">
        <v>32</v>
      </c>
      <c r="C289" s="3" t="s">
        <v>100</v>
      </c>
      <c r="D289" s="3" t="str">
        <f>IFERROR(MID(VLOOKUP($B289,Seqs!$A:$B,2,0),E289,1),"")</f>
        <v>Q</v>
      </c>
      <c r="E289" s="105">
        <v>131</v>
      </c>
      <c r="F289" s="3" t="str">
        <f>IFERROR(MID(VLOOKUP($B289,Seqs!$A:$B,2,0),G289,1),"")</f>
        <v>L</v>
      </c>
      <c r="G289" s="3">
        <v>166</v>
      </c>
      <c r="H289" s="3" t="str">
        <f>IFERROR(MID(VLOOKUP($B289,Seqs!$A:$B,2,0),I289,1),"")</f>
        <v>S</v>
      </c>
      <c r="I289" s="23">
        <v>167</v>
      </c>
      <c r="J289" s="3" t="str">
        <f>IFERROR(MID(VLOOKUP($B289,Seqs!$A:$B,2,0),K289,1),"")</f>
        <v>H</v>
      </c>
      <c r="K289" s="23">
        <v>170</v>
      </c>
      <c r="L289" s="3" t="str">
        <f>IFERROR(MID(VLOOKUP($B289,Seqs!$A:$B,2,0),M289,1),"")</f>
        <v>C</v>
      </c>
      <c r="M289" s="23">
        <v>171</v>
      </c>
      <c r="N289" s="3" t="str">
        <f>IFERROR(MID(VLOOKUP($B289,Seqs!$A:$B,2,0),O289,1),"")</f>
        <v>S</v>
      </c>
      <c r="O289" s="105">
        <v>203</v>
      </c>
      <c r="P289" s="3" t="str">
        <f>IFERROR(MID(VLOOKUP($B289,Seqs!$A:$B,2,0),Q289,1),"")</f>
        <v/>
      </c>
      <c r="Q289" s="3" t="s">
        <v>23</v>
      </c>
      <c r="R289" s="3" t="str">
        <f>IFERROR(MID(VLOOKUP($B289,Seqs!$A:$B,2,0),S289,1),"")</f>
        <v/>
      </c>
      <c r="S289" s="3" t="s">
        <v>23</v>
      </c>
      <c r="T289" s="3" t="str">
        <f>IFERROR(MID(VLOOKUP($B289,Seqs!$A:$B,2,0),U289,1),"")</f>
        <v>A</v>
      </c>
      <c r="U289" s="3">
        <v>220</v>
      </c>
      <c r="V289" s="3" t="str">
        <f>IFERROR(MID(VLOOKUP($B289,Seqs!$A:$B,2,0),W289,1),"")</f>
        <v>L</v>
      </c>
      <c r="W289" s="3">
        <v>255</v>
      </c>
      <c r="X289" s="3" t="str">
        <f>IFERROR(MID(VLOOKUP($B289,Seqs!$A:$B,2,0),Y289,1),"")</f>
        <v/>
      </c>
      <c r="Y289" s="3" t="s">
        <v>23</v>
      </c>
      <c r="Z289" s="3" t="str">
        <f>IFERROR(MID(VLOOKUP($B289,Seqs!$A:$B,2,0),AA289,1),"")</f>
        <v/>
      </c>
      <c r="AA289" s="3" t="s">
        <v>23</v>
      </c>
      <c r="AB289" s="3" t="str">
        <f>IFERROR(MID(VLOOKUP($B289,Seqs!$A:$B,2,0),AC289,1),"")</f>
        <v>S</v>
      </c>
      <c r="AC289" s="9">
        <v>262</v>
      </c>
      <c r="AD289" s="3" t="str">
        <f>IFERROR(MID(VLOOKUP($B289,Seqs!$A:$B,2,0),AE289,1),"")</f>
        <v>E</v>
      </c>
      <c r="AE289" s="3">
        <v>290</v>
      </c>
      <c r="AF289" s="3" t="str">
        <f>IFERROR(MID(VLOOKUP($B289,Seqs!$A:$B,2,0),AG289,1),"")</f>
        <v>C</v>
      </c>
      <c r="AG289" s="3">
        <v>294</v>
      </c>
      <c r="AH289" s="3" t="str">
        <f>IFERROR(MID(VLOOKUP($B289,Seqs!$A:$B,2,0),AI289,1),"")</f>
        <v>T</v>
      </c>
      <c r="AI289" s="3">
        <v>296</v>
      </c>
      <c r="AJ289" s="3" t="str">
        <f>IFERROR(MID(VLOOKUP($B289,Seqs!$A:$B,2,0),AK289,1),"")</f>
        <v>N</v>
      </c>
      <c r="AK289" s="3">
        <v>300</v>
      </c>
      <c r="AL289" s="3" t="str">
        <f>IFERROR(MID(VLOOKUP($B289,Seqs!$A:$B,2,0),AM289,1),"")</f>
        <v>A</v>
      </c>
      <c r="AM289" s="3">
        <v>335</v>
      </c>
      <c r="AN289" s="3" t="str">
        <f>IFERROR(MID(VLOOKUP($B289,Seqs!$A:$B,2,0),AO289,1),"")</f>
        <v>D</v>
      </c>
      <c r="AO289" s="3">
        <v>342</v>
      </c>
      <c r="AP289" s="3" t="str">
        <f>IFERROR(MID(VLOOKUP($B289,Seqs!$A:$B,2,0),AQ289,1),"")</f>
        <v>F</v>
      </c>
      <c r="AQ289" s="3">
        <v>367</v>
      </c>
      <c r="AR289" s="3" t="str">
        <f>IFERROR(MID(VLOOKUP($B289,Seqs!$A:$B,2,0),AS289,1),"")</f>
        <v>Q</v>
      </c>
      <c r="AS289" s="3">
        <v>374</v>
      </c>
      <c r="AT289" s="3" t="str">
        <f>IFERROR(MID(VLOOKUP($B289,Seqs!$A:$B,2,0),AU289,1),"")</f>
        <v>L</v>
      </c>
      <c r="AU289" s="3">
        <v>403</v>
      </c>
      <c r="AV289" s="3" t="str">
        <f>IFERROR(MID(VLOOKUP($B289,Seqs!$A:$B,2,0),AW289,1),"")</f>
        <v>N</v>
      </c>
      <c r="AW289" s="3">
        <v>404</v>
      </c>
      <c r="AX289" s="3" t="str">
        <f>IFERROR(MID(VLOOKUP($B289,Seqs!$A:$B,2,0),AY289,1),"")</f>
        <v>N</v>
      </c>
      <c r="AY289" s="3">
        <v>429</v>
      </c>
      <c r="AZ289" s="77" t="str">
        <f>VLOOKUP(B289,Classification!A:D,2,0)</f>
        <v>B1</v>
      </c>
      <c r="BA289" s="94" t="str">
        <f>VLOOKUP(B289,Classification!A:D,4,0)</f>
        <v>Glucagonreceptorfamily</v>
      </c>
      <c r="BB289" s="27" t="b">
        <f t="shared" si="754"/>
        <v>1</v>
      </c>
      <c r="BC289" s="23">
        <f t="shared" si="1089"/>
        <v>261</v>
      </c>
      <c r="BD289" s="56" t="s">
        <v>1379</v>
      </c>
      <c r="BE289" s="3" t="s">
        <v>23</v>
      </c>
      <c r="BF289" s="119" t="s">
        <v>23</v>
      </c>
      <c r="BG289" s="49" t="s">
        <v>1379</v>
      </c>
      <c r="BH289" s="49" t="s">
        <v>1384</v>
      </c>
      <c r="BI289" s="1"/>
      <c r="BJ289" s="70" t="s">
        <v>1293</v>
      </c>
      <c r="BK289" s="57" t="s">
        <v>1293</v>
      </c>
      <c r="BL289" s="57" t="s">
        <v>1293</v>
      </c>
      <c r="BM289" s="57" t="s">
        <v>1293</v>
      </c>
      <c r="BN289" s="57" t="s">
        <v>1293</v>
      </c>
      <c r="BO289" s="57" t="s">
        <v>1293</v>
      </c>
      <c r="BP289" s="57" t="s">
        <v>1293</v>
      </c>
      <c r="BQ289" s="57" t="s">
        <v>1293</v>
      </c>
      <c r="BR289" s="57" t="s">
        <v>1293</v>
      </c>
      <c r="BS289" s="57" t="s">
        <v>1293</v>
      </c>
      <c r="BT289" s="57" t="s">
        <v>1293</v>
      </c>
      <c r="BU289" s="57" t="s">
        <v>1293</v>
      </c>
      <c r="BV289" s="70">
        <f t="shared" si="1090"/>
        <v>131</v>
      </c>
      <c r="BW289" s="71">
        <f t="shared" si="1091"/>
        <v>167</v>
      </c>
      <c r="BX289" s="72">
        <f t="shared" si="1092"/>
        <v>171</v>
      </c>
      <c r="BY289" s="71" t="str">
        <f t="shared" si="1093"/>
        <v>-</v>
      </c>
      <c r="BZ289" s="72">
        <f t="shared" si="1094"/>
        <v>220</v>
      </c>
      <c r="CA289" s="71" t="str">
        <f t="shared" si="1095"/>
        <v>-</v>
      </c>
      <c r="CB289" s="72">
        <f t="shared" si="1096"/>
        <v>262</v>
      </c>
      <c r="CC289" s="71">
        <f t="shared" si="1097"/>
        <v>294</v>
      </c>
      <c r="CD289" s="72">
        <f t="shared" si="1098"/>
        <v>300</v>
      </c>
      <c r="CE289" s="71">
        <f t="shared" si="1099"/>
        <v>342</v>
      </c>
      <c r="CF289" s="72">
        <f t="shared" si="1100"/>
        <v>374</v>
      </c>
      <c r="CG289" s="71">
        <f t="shared" si="1101"/>
        <v>404</v>
      </c>
      <c r="CH289" s="70">
        <f t="shared" si="1102"/>
        <v>166</v>
      </c>
      <c r="CI289" s="71">
        <f t="shared" si="1103"/>
        <v>170</v>
      </c>
      <c r="CJ289" s="72">
        <f t="shared" si="1104"/>
        <v>203</v>
      </c>
      <c r="CK289" s="72" t="str">
        <f t="shared" si="1105"/>
        <v>-</v>
      </c>
      <c r="CL289" s="72">
        <f t="shared" si="1106"/>
        <v>255</v>
      </c>
      <c r="CM289" s="72" t="str">
        <f t="shared" si="1107"/>
        <v>-</v>
      </c>
      <c r="CN289" s="72">
        <f t="shared" si="1108"/>
        <v>290</v>
      </c>
      <c r="CO289" s="72">
        <f t="shared" si="1109"/>
        <v>296</v>
      </c>
      <c r="CP289" s="72">
        <f t="shared" si="1110"/>
        <v>335</v>
      </c>
      <c r="CQ289" s="72">
        <f t="shared" si="1111"/>
        <v>367</v>
      </c>
      <c r="CR289" s="72">
        <f t="shared" si="1112"/>
        <v>403</v>
      </c>
      <c r="CS289" s="72">
        <f t="shared" si="1113"/>
        <v>429</v>
      </c>
      <c r="CT289" s="23">
        <f t="shared" si="1114"/>
        <v>1</v>
      </c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  <c r="OK289" s="1"/>
      <c r="OL289" s="1"/>
      <c r="OM289" s="1"/>
      <c r="ON289" s="1"/>
      <c r="OO289" s="1"/>
      <c r="OP289" s="1"/>
      <c r="OQ289" s="1"/>
      <c r="OR289" s="1"/>
      <c r="OS289" s="1"/>
      <c r="OT289" s="1"/>
      <c r="OU289" s="1"/>
      <c r="OV289" s="1"/>
      <c r="OW289" s="1"/>
      <c r="OX289" s="1"/>
      <c r="OY289" s="1"/>
      <c r="OZ289" s="1"/>
      <c r="PA289" s="1"/>
      <c r="PB289" s="1"/>
      <c r="PC289" s="1"/>
      <c r="PD289" s="1"/>
      <c r="PE289" s="1"/>
      <c r="PF289" s="1"/>
      <c r="PG289" s="1"/>
      <c r="PH289" s="1"/>
      <c r="PI289" s="1"/>
      <c r="PJ289" s="1"/>
      <c r="PK289" s="1"/>
      <c r="PL289" s="1"/>
      <c r="PM289" s="1"/>
      <c r="PN289" s="1"/>
      <c r="PO289" s="1"/>
      <c r="PP289" s="1"/>
      <c r="PQ289" s="1"/>
      <c r="PR289" s="1"/>
      <c r="PS289" s="1"/>
      <c r="PT289" s="1"/>
      <c r="PU289" s="1"/>
      <c r="PV289" s="1"/>
      <c r="PW289" s="1"/>
      <c r="PX289" s="1"/>
      <c r="PY289" s="1"/>
      <c r="PZ289" s="1"/>
      <c r="QA289" s="1"/>
      <c r="QB289" s="1"/>
      <c r="QC289" s="1"/>
      <c r="QD289" s="1"/>
      <c r="QE289" s="1"/>
      <c r="QF289" s="1"/>
      <c r="QG289" s="1"/>
      <c r="QH289" s="1"/>
      <c r="QI289" s="1"/>
      <c r="QJ289" s="1"/>
      <c r="QK289" s="1"/>
      <c r="QL289" s="1"/>
      <c r="QM289" s="1"/>
      <c r="QN289" s="1"/>
      <c r="QO289" s="1"/>
      <c r="QP289" s="1"/>
      <c r="QQ289" s="1"/>
      <c r="QR289" s="1"/>
      <c r="QS289" s="1"/>
      <c r="QT289" s="1"/>
      <c r="QU289" s="1"/>
      <c r="QV289" s="1"/>
      <c r="QW289" s="1"/>
      <c r="QX289" s="1"/>
      <c r="QY289" s="1"/>
      <c r="QZ289" s="1"/>
      <c r="RA289" s="1"/>
      <c r="RB289" s="1"/>
      <c r="RC289" s="1"/>
      <c r="RD289" s="1"/>
      <c r="RE289" s="1"/>
      <c r="RF289" s="1"/>
      <c r="RG289" s="1"/>
      <c r="RH289" s="1"/>
      <c r="RI289" s="1"/>
      <c r="RJ289" s="1"/>
      <c r="RK289" s="1"/>
      <c r="RL289" s="1"/>
      <c r="RM289" s="1"/>
      <c r="RN289" s="1"/>
      <c r="RO289" s="1"/>
      <c r="RP289" s="1"/>
      <c r="RQ289" s="1"/>
      <c r="RR289" s="1"/>
      <c r="RS289" s="1"/>
      <c r="RT289" s="1"/>
      <c r="RU289" s="1"/>
      <c r="RV289" s="1"/>
      <c r="RW289" s="1"/>
      <c r="RX289" s="1"/>
      <c r="RY289" s="1"/>
      <c r="RZ289" s="1"/>
      <c r="SA289" s="1"/>
      <c r="SB289" s="1"/>
      <c r="SC289" s="1"/>
      <c r="SD289" s="1"/>
      <c r="SE289" s="1"/>
      <c r="SF289" s="1"/>
      <c r="SG289" s="1"/>
      <c r="SH289" s="1"/>
      <c r="SI289" s="1"/>
      <c r="SJ289" s="1"/>
      <c r="SK289" s="1"/>
      <c r="SL289" s="1"/>
      <c r="SM289" s="1"/>
      <c r="SN289" s="1"/>
      <c r="SO289" s="1"/>
      <c r="SP289" s="1"/>
      <c r="SQ289" s="1"/>
      <c r="SR289" s="1"/>
      <c r="SS289" s="1"/>
      <c r="ST289" s="1"/>
      <c r="SU289" s="1"/>
      <c r="SV289" s="1"/>
      <c r="SW289" s="1"/>
      <c r="SX289" s="1"/>
      <c r="SY289" s="1"/>
      <c r="SZ289" s="1"/>
      <c r="TA289" s="1"/>
      <c r="TB289" s="1"/>
      <c r="TC289" s="1"/>
      <c r="TD289" s="1"/>
      <c r="TE289" s="1"/>
      <c r="TF289" s="1"/>
      <c r="TG289" s="1"/>
      <c r="TH289" s="1"/>
      <c r="TI289" s="1"/>
      <c r="TJ289" s="1"/>
      <c r="TK289" s="1"/>
      <c r="TL289" s="1"/>
      <c r="TM289" s="1"/>
      <c r="TN289" s="1"/>
      <c r="TO289" s="1"/>
      <c r="TP289" s="1"/>
      <c r="TQ289" s="1"/>
      <c r="TR289" s="1"/>
      <c r="TS289" s="1"/>
      <c r="TT289" s="1"/>
      <c r="TU289" s="1"/>
      <c r="TV289" s="1"/>
      <c r="TW289" s="1"/>
      <c r="TX289" s="1"/>
      <c r="TY289" s="1"/>
      <c r="TZ289" s="1"/>
      <c r="UA289" s="1"/>
      <c r="UB289" s="1"/>
      <c r="UC289" s="1"/>
      <c r="UD289" s="1"/>
      <c r="UE289" s="1"/>
      <c r="UF289" s="1"/>
      <c r="UG289" s="1"/>
      <c r="UH289" s="1"/>
      <c r="UI289" s="1"/>
      <c r="UJ289" s="1"/>
      <c r="UK289" s="1"/>
      <c r="UL289" s="1"/>
      <c r="UM289" s="1"/>
      <c r="UN289" s="1"/>
      <c r="UO289" s="1"/>
      <c r="UP289" s="1"/>
      <c r="UQ289" s="1"/>
      <c r="UR289" s="1"/>
      <c r="US289" s="1"/>
      <c r="UT289" s="1"/>
      <c r="UU289" s="1"/>
      <c r="UV289" s="1"/>
      <c r="UW289" s="1"/>
      <c r="UX289" s="1"/>
      <c r="UY289" s="1"/>
      <c r="UZ289" s="1"/>
      <c r="VA289" s="1"/>
      <c r="VB289" s="1"/>
      <c r="VC289" s="1"/>
      <c r="VD289" s="1"/>
      <c r="VE289" s="1"/>
      <c r="VF289" s="1"/>
      <c r="VG289" s="1"/>
      <c r="VH289" s="1"/>
      <c r="VI289" s="1"/>
      <c r="VJ289" s="1"/>
      <c r="VK289" s="1"/>
      <c r="VL289" s="1"/>
      <c r="VM289" s="1"/>
      <c r="VN289" s="1"/>
      <c r="VO289" s="1"/>
      <c r="VP289" s="1"/>
      <c r="VQ289" s="1"/>
      <c r="VR289" s="1"/>
      <c r="VS289" s="1"/>
      <c r="VT289" s="1"/>
      <c r="VU289" s="1"/>
      <c r="VV289" s="1"/>
      <c r="VW289" s="1"/>
      <c r="VX289" s="1"/>
      <c r="VY289" s="1"/>
      <c r="VZ289" s="1"/>
      <c r="WA289" s="1"/>
      <c r="WB289" s="1"/>
      <c r="WC289" s="1"/>
      <c r="WD289" s="1"/>
      <c r="WE289" s="1"/>
      <c r="WF289" s="1"/>
      <c r="WG289" s="1"/>
      <c r="WH289" s="1"/>
      <c r="WI289" s="1"/>
      <c r="WJ289" s="1"/>
      <c r="WK289" s="1"/>
      <c r="WL289" s="1"/>
      <c r="WM289" s="1"/>
      <c r="WN289" s="1"/>
      <c r="WO289" s="1"/>
      <c r="WP289" s="1"/>
      <c r="WQ289" s="1"/>
      <c r="WR289" s="1"/>
      <c r="WS289" s="1"/>
      <c r="WT289" s="1"/>
      <c r="WU289" s="1"/>
      <c r="WV289" s="1"/>
      <c r="WW289" s="1"/>
      <c r="WX289" s="1"/>
      <c r="WY289" s="1"/>
      <c r="WZ289" s="1"/>
      <c r="XA289" s="1"/>
      <c r="XB289" s="1"/>
      <c r="XC289" s="1"/>
      <c r="XD289" s="1"/>
      <c r="XE289" s="1"/>
      <c r="XF289" s="1"/>
      <c r="XG289" s="1"/>
      <c r="XH289" s="1"/>
      <c r="XI289" s="1"/>
      <c r="XJ289" s="1"/>
      <c r="XK289" s="1"/>
      <c r="XL289" s="1"/>
      <c r="XM289" s="1"/>
      <c r="XN289" s="1"/>
      <c r="XO289" s="1"/>
      <c r="XP289" s="1"/>
      <c r="XQ289" s="1"/>
      <c r="XR289" s="1"/>
      <c r="XS289" s="1"/>
      <c r="XT289" s="1"/>
      <c r="XU289" s="1"/>
      <c r="XV289" s="1"/>
      <c r="XW289" s="1"/>
      <c r="XX289" s="1"/>
      <c r="XY289" s="1"/>
      <c r="XZ289" s="1"/>
      <c r="YA289" s="1"/>
      <c r="YB289" s="1"/>
      <c r="YC289" s="1"/>
      <c r="YD289" s="1"/>
      <c r="YE289" s="1"/>
      <c r="YF289" s="1"/>
      <c r="YG289" s="1"/>
      <c r="YH289" s="1"/>
      <c r="YI289" s="1"/>
      <c r="YJ289" s="1"/>
      <c r="YK289" s="1"/>
      <c r="YL289" s="1"/>
      <c r="YM289" s="1"/>
      <c r="YN289" s="1"/>
      <c r="YO289" s="1"/>
      <c r="YP289" s="1"/>
      <c r="YQ289" s="1"/>
      <c r="YR289" s="1"/>
      <c r="YS289" s="1"/>
      <c r="YT289" s="1"/>
      <c r="YU289" s="1"/>
      <c r="YV289" s="1"/>
      <c r="YW289" s="1"/>
      <c r="YX289" s="1"/>
      <c r="YY289" s="1"/>
      <c r="YZ289" s="1"/>
      <c r="ZA289" s="1"/>
      <c r="ZB289" s="1"/>
      <c r="ZC289" s="1"/>
      <c r="ZD289" s="1"/>
      <c r="ZE289" s="1"/>
      <c r="ZF289" s="1"/>
      <c r="ZG289" s="1"/>
      <c r="ZH289" s="1"/>
      <c r="ZI289" s="1"/>
      <c r="ZJ289" s="1"/>
      <c r="ZK289" s="1"/>
      <c r="ZL289" s="1"/>
      <c r="ZM289" s="1"/>
      <c r="ZN289" s="1"/>
      <c r="ZO289" s="1"/>
      <c r="ZP289" s="1"/>
      <c r="ZQ289" s="1"/>
      <c r="ZR289" s="1"/>
      <c r="ZS289" s="1"/>
      <c r="ZT289" s="1"/>
      <c r="ZU289" s="1"/>
      <c r="ZV289" s="1"/>
      <c r="ZW289" s="1"/>
      <c r="ZX289" s="1"/>
      <c r="ZY289" s="1"/>
      <c r="ZZ289" s="1"/>
      <c r="AAA289" s="1"/>
      <c r="AAB289" s="1"/>
      <c r="AAC289" s="1"/>
      <c r="AAD289" s="1"/>
      <c r="AAE289" s="1"/>
      <c r="AAF289" s="1"/>
      <c r="AAG289" s="1"/>
      <c r="AAH289" s="1"/>
      <c r="AAI289" s="1"/>
      <c r="AAJ289" s="1"/>
      <c r="AAK289" s="1"/>
      <c r="AAL289" s="1"/>
      <c r="AAM289" s="1"/>
      <c r="AAN289" s="1"/>
      <c r="AAO289" s="1"/>
      <c r="AAP289" s="1"/>
      <c r="AAQ289" s="1"/>
      <c r="AAR289" s="1"/>
      <c r="AAS289" s="1"/>
      <c r="AAT289" s="1"/>
      <c r="AAU289" s="1"/>
      <c r="AAV289" s="1"/>
      <c r="AAW289" s="1"/>
      <c r="AAX289" s="1"/>
      <c r="AAY289" s="1"/>
      <c r="AAZ289" s="1"/>
      <c r="ABA289" s="1"/>
      <c r="ABB289" s="1"/>
      <c r="ABC289" s="1"/>
      <c r="ABD289" s="1"/>
      <c r="ABE289" s="1"/>
      <c r="ABF289" s="1"/>
      <c r="ABG289" s="1"/>
      <c r="ABH289" s="1"/>
      <c r="ABI289" s="1"/>
      <c r="ABJ289" s="1"/>
      <c r="ABK289" s="1"/>
      <c r="ABL289" s="1"/>
      <c r="ABM289" s="1"/>
      <c r="ABN289" s="1"/>
      <c r="ABO289" s="1"/>
      <c r="ABP289" s="1"/>
      <c r="ABQ289" s="1"/>
      <c r="ABR289" s="1"/>
      <c r="ABS289" s="1"/>
      <c r="ABT289" s="1"/>
      <c r="ABU289" s="1"/>
      <c r="ABV289" s="1"/>
      <c r="ABW289" s="1"/>
      <c r="ABX289" s="1"/>
      <c r="ABY289" s="1"/>
      <c r="ABZ289" s="1"/>
      <c r="ACA289" s="1"/>
      <c r="ACB289" s="1"/>
      <c r="ACC289" s="1"/>
      <c r="ACD289" s="1"/>
      <c r="ACE289" s="1"/>
      <c r="ACF289" s="1"/>
      <c r="ACG289" s="1"/>
      <c r="ACH289" s="1"/>
      <c r="ACI289" s="1"/>
      <c r="ACJ289" s="1"/>
      <c r="ACK289" s="1"/>
      <c r="ACL289" s="1"/>
      <c r="ACM289" s="1"/>
      <c r="ACN289" s="1"/>
      <c r="ACO289" s="1"/>
      <c r="ACP289" s="1"/>
      <c r="ACQ289" s="1"/>
      <c r="ACR289" s="1"/>
      <c r="ACS289" s="1"/>
      <c r="ACT289" s="1"/>
      <c r="ACU289" s="1"/>
      <c r="ACV289" s="1"/>
      <c r="ACW289" s="1"/>
      <c r="ACX289" s="1"/>
      <c r="ACY289" s="1"/>
      <c r="ACZ289" s="1"/>
      <c r="ADA289" s="1"/>
      <c r="ADB289" s="1"/>
      <c r="ADC289" s="1"/>
      <c r="ADD289" s="1"/>
      <c r="ADE289" s="1"/>
      <c r="ADF289" s="1"/>
      <c r="ADG289" s="1"/>
      <c r="ADH289" s="1"/>
      <c r="ADI289" s="1"/>
      <c r="ADJ289" s="1"/>
      <c r="ADK289" s="1"/>
      <c r="ADL289" s="1"/>
      <c r="ADM289" s="1"/>
      <c r="ADN289" s="1"/>
      <c r="ADO289" s="1"/>
      <c r="ADP289" s="1"/>
      <c r="ADQ289" s="1"/>
      <c r="ADR289" s="1"/>
      <c r="ADS289" s="1"/>
      <c r="ADT289" s="1"/>
      <c r="ADU289" s="1"/>
      <c r="ADV289" s="1"/>
      <c r="ADW289" s="1"/>
      <c r="ADX289" s="1"/>
      <c r="ADY289" s="1"/>
      <c r="ADZ289" s="1"/>
      <c r="AEA289" s="1"/>
      <c r="AEB289" s="1"/>
      <c r="AEC289" s="1"/>
      <c r="AED289" s="1"/>
      <c r="AEE289" s="1"/>
      <c r="AEF289" s="1"/>
      <c r="AEG289" s="1"/>
      <c r="AEH289" s="1"/>
      <c r="AEI289" s="1"/>
      <c r="AEJ289" s="1"/>
      <c r="AEK289" s="1"/>
      <c r="AEL289" s="1"/>
      <c r="AEM289" s="1"/>
      <c r="AEN289" s="1"/>
      <c r="AEO289" s="1"/>
      <c r="AEP289" s="1"/>
      <c r="AEQ289" s="1"/>
      <c r="AER289" s="1"/>
      <c r="AES289" s="1"/>
      <c r="AET289" s="1"/>
      <c r="AEU289" s="1"/>
      <c r="AEV289" s="1"/>
      <c r="AEW289" s="1"/>
      <c r="AEX289" s="1"/>
      <c r="AEY289" s="1"/>
      <c r="AEZ289" s="1"/>
      <c r="AFA289" s="1"/>
      <c r="AFB289" s="1"/>
      <c r="AFC289" s="1"/>
      <c r="AFD289" s="1"/>
      <c r="AFE289" s="1"/>
      <c r="AFF289" s="1"/>
      <c r="AFG289" s="1"/>
      <c r="AFH289" s="1"/>
      <c r="AFI289" s="1"/>
      <c r="AFJ289" s="1"/>
      <c r="AFK289" s="1"/>
      <c r="AFL289" s="1"/>
      <c r="AFM289" s="1"/>
      <c r="AFN289" s="1"/>
      <c r="AFO289" s="1"/>
      <c r="AFP289" s="1"/>
      <c r="AFQ289" s="1"/>
      <c r="AFR289" s="1"/>
      <c r="AFS289" s="1"/>
      <c r="AFT289" s="1"/>
      <c r="AFU289" s="1"/>
      <c r="AFV289" s="1"/>
      <c r="AFW289" s="1"/>
      <c r="AFX289" s="1"/>
      <c r="AFY289" s="1"/>
      <c r="AFZ289" s="1"/>
      <c r="AGA289" s="1"/>
      <c r="AGB289" s="1"/>
      <c r="AGC289" s="1"/>
      <c r="AGD289" s="1"/>
      <c r="AGE289" s="1"/>
      <c r="AGF289" s="1"/>
      <c r="AGG289" s="1"/>
      <c r="AGH289" s="1"/>
      <c r="AGI289" s="1"/>
      <c r="AGJ289" s="1"/>
      <c r="AGK289" s="1"/>
      <c r="AGL289" s="1"/>
      <c r="AGM289" s="1"/>
      <c r="AGN289" s="1"/>
      <c r="AGO289" s="1"/>
      <c r="AGP289" s="1"/>
      <c r="AGQ289" s="1"/>
      <c r="AGR289" s="1"/>
      <c r="AGS289" s="1"/>
      <c r="AGT289" s="1"/>
      <c r="AGU289" s="1"/>
      <c r="AGV289" s="1"/>
      <c r="AGW289" s="1"/>
      <c r="AGX289" s="1"/>
      <c r="AGY289" s="1"/>
      <c r="AGZ289" s="1"/>
      <c r="AHA289" s="1"/>
      <c r="AHB289" s="1"/>
      <c r="AHC289" s="1"/>
      <c r="AHD289" s="1"/>
      <c r="AHE289" s="1"/>
      <c r="AHF289" s="1"/>
      <c r="AHG289" s="1"/>
      <c r="AHH289" s="1"/>
      <c r="AHI289" s="1"/>
      <c r="AHJ289" s="1"/>
      <c r="AHK289" s="1"/>
      <c r="AHL289" s="1"/>
      <c r="AHM289" s="1"/>
      <c r="AHN289" s="1"/>
      <c r="AHO289" s="1"/>
      <c r="AHP289" s="1"/>
      <c r="AHQ289" s="1"/>
      <c r="AHR289" s="1"/>
      <c r="AHS289" s="1"/>
      <c r="AHT289" s="1"/>
      <c r="AHU289" s="1"/>
      <c r="AHV289" s="1"/>
      <c r="AHW289" s="1"/>
      <c r="AHX289" s="1"/>
      <c r="AHY289" s="1"/>
      <c r="AHZ289" s="1"/>
      <c r="AIA289" s="1"/>
      <c r="AIB289" s="1"/>
      <c r="AIC289" s="1"/>
      <c r="AID289" s="1"/>
      <c r="AIE289" s="1"/>
      <c r="AIF289" s="1"/>
      <c r="AIG289" s="1"/>
      <c r="AIH289" s="1"/>
      <c r="AII289" s="1"/>
      <c r="AIJ289" s="1"/>
      <c r="AIK289" s="1"/>
      <c r="AIL289" s="1"/>
      <c r="AIM289" s="1"/>
      <c r="AIN289" s="1"/>
      <c r="AIO289" s="1"/>
      <c r="AIP289" s="1"/>
      <c r="AIQ289" s="1"/>
      <c r="AIR289" s="1"/>
      <c r="AIS289" s="1"/>
      <c r="AIT289" s="1"/>
      <c r="AIU289" s="1"/>
      <c r="AIV289" s="1"/>
      <c r="AIW289" s="1"/>
      <c r="AIX289" s="1"/>
      <c r="AIY289" s="1"/>
      <c r="AIZ289" s="1"/>
      <c r="AJA289" s="1"/>
      <c r="AJB289" s="1"/>
      <c r="AJC289" s="1"/>
      <c r="AJD289" s="1"/>
      <c r="AJE289" s="1"/>
      <c r="AJF289" s="1"/>
      <c r="AJG289" s="1"/>
      <c r="AJH289" s="1"/>
      <c r="AJI289" s="1"/>
      <c r="AJJ289" s="1"/>
      <c r="AJK289" s="1"/>
      <c r="AJL289" s="1"/>
      <c r="AJM289" s="1"/>
      <c r="AJN289" s="1"/>
      <c r="AJO289" s="1"/>
      <c r="AJP289" s="1"/>
      <c r="AJQ289" s="1"/>
      <c r="AJR289" s="1"/>
      <c r="AJS289" s="1"/>
      <c r="AJT289" s="1"/>
      <c r="AJU289" s="1"/>
      <c r="AJV289" s="1"/>
      <c r="AJW289" s="1"/>
      <c r="AJX289" s="1"/>
      <c r="AJY289" s="1"/>
      <c r="AJZ289" s="1"/>
      <c r="AKA289" s="1"/>
      <c r="AKB289" s="1"/>
      <c r="AKC289" s="1"/>
      <c r="AKD289" s="1"/>
      <c r="AKE289" s="1"/>
      <c r="AKF289" s="1"/>
      <c r="AKG289" s="1"/>
      <c r="AKH289" s="1"/>
      <c r="AKI289" s="1"/>
      <c r="AKJ289" s="1"/>
      <c r="AKK289" s="1"/>
      <c r="AKL289" s="1"/>
      <c r="AKM289" s="1"/>
      <c r="AKN289" s="1"/>
      <c r="AKO289" s="1"/>
      <c r="AKP289" s="1"/>
      <c r="AKQ289" s="1"/>
      <c r="AKR289" s="1"/>
      <c r="AKS289" s="1"/>
      <c r="AKT289" s="1"/>
      <c r="AKU289" s="1"/>
      <c r="AKV289" s="1"/>
      <c r="AKW289" s="1"/>
      <c r="AKX289" s="1"/>
      <c r="AKY289" s="1"/>
      <c r="AKZ289" s="1"/>
      <c r="ALA289" s="1"/>
      <c r="ALB289" s="1"/>
      <c r="ALC289" s="1"/>
      <c r="ALD289" s="1"/>
      <c r="ALE289" s="1"/>
      <c r="ALF289" s="1"/>
      <c r="ALG289" s="1"/>
      <c r="ALH289" s="1"/>
      <c r="ALI289" s="1"/>
      <c r="ALJ289" s="1"/>
      <c r="ALK289" s="1"/>
      <c r="ALL289" s="1"/>
      <c r="ALM289" s="1"/>
      <c r="ALN289" s="1"/>
      <c r="ALO289" s="1"/>
      <c r="ALP289" s="1"/>
      <c r="ALQ289" s="1"/>
      <c r="ALR289" s="1"/>
      <c r="ALS289" s="1"/>
      <c r="ALT289" s="1"/>
      <c r="ALU289" s="1"/>
      <c r="ALV289" s="1"/>
      <c r="ALW289" s="1"/>
      <c r="ALX289" s="1"/>
      <c r="ALY289" s="1"/>
      <c r="ALZ289" s="1"/>
      <c r="AMA289" s="1"/>
      <c r="AMB289" s="1"/>
      <c r="AMC289" s="1"/>
      <c r="AMD289" s="1"/>
      <c r="AME289" s="1"/>
      <c r="AMF289" s="1"/>
      <c r="AMG289" s="1"/>
      <c r="AMH289" s="1"/>
      <c r="AMI289" s="1"/>
      <c r="AMJ289" s="1"/>
      <c r="AMK289" s="1"/>
      <c r="AML289" s="1"/>
      <c r="AMM289" s="1"/>
      <c r="AMN289" s="1"/>
      <c r="AMO289" s="1"/>
    </row>
    <row r="290" spans="1:1029" x14ac:dyDescent="0.2">
      <c r="A290" s="3" t="str">
        <f t="shared" si="753"/>
        <v>glr_human_4L6R</v>
      </c>
      <c r="B290" s="3" t="s">
        <v>32</v>
      </c>
      <c r="C290" s="3" t="s">
        <v>51</v>
      </c>
      <c r="D290" s="3" t="str">
        <f>IFERROR(MID(VLOOKUP($B290,Seqs!$A:$B,2,0),E290,1),"")</f>
        <v>G</v>
      </c>
      <c r="E290" s="3">
        <v>125</v>
      </c>
      <c r="F290" s="3" t="str">
        <f>IFERROR(MID(VLOOKUP($B290,Seqs!$A:$B,2,0),G290,1),"")</f>
        <v>G</v>
      </c>
      <c r="G290" s="3">
        <v>164</v>
      </c>
      <c r="H290" s="3" t="str">
        <f>IFERROR(MID(VLOOKUP($B290,Seqs!$A:$B,2,0),I290,1),"")</f>
        <v>S</v>
      </c>
      <c r="I290" s="23">
        <v>167</v>
      </c>
      <c r="J290" s="3" t="str">
        <f>IFERROR(MID(VLOOKUP($B290,Seqs!$A:$B,2,0),K290,1),"")</f>
        <v>H</v>
      </c>
      <c r="K290" s="23">
        <v>170</v>
      </c>
      <c r="L290" s="3" t="str">
        <f>IFERROR(MID(VLOOKUP($B290,Seqs!$A:$B,2,0),M290,1),"")</f>
        <v>C</v>
      </c>
      <c r="M290" s="23">
        <v>171</v>
      </c>
      <c r="N290" s="3" t="str">
        <f>IFERROR(MID(VLOOKUP($B290,Seqs!$A:$B,2,0),O290,1),"")</f>
        <v>R</v>
      </c>
      <c r="O290" s="3">
        <v>199</v>
      </c>
      <c r="P290" s="3" t="str">
        <f>IFERROR(MID(VLOOKUP($B290,Seqs!$A:$B,2,0),Q290,1),"")</f>
        <v/>
      </c>
      <c r="Q290" s="3" t="s">
        <v>23</v>
      </c>
      <c r="R290" s="3" t="str">
        <f>IFERROR(MID(VLOOKUP($B290,Seqs!$A:$B,2,0),S290,1),"")</f>
        <v/>
      </c>
      <c r="S290" s="3" t="s">
        <v>23</v>
      </c>
      <c r="T290" s="3" t="str">
        <f>IFERROR(MID(VLOOKUP($B290,Seqs!$A:$B,2,0),U290,1),"")</f>
        <v>S</v>
      </c>
      <c r="U290" s="3">
        <v>217</v>
      </c>
      <c r="V290" s="3" t="str">
        <f>IFERROR(MID(VLOOKUP($B290,Seqs!$A:$B,2,0),W290,1),"")</f>
        <v>L</v>
      </c>
      <c r="W290" s="3">
        <v>255</v>
      </c>
      <c r="X290" s="3" t="str">
        <f>IFERROR(MID(VLOOKUP($B290,Seqs!$A:$B,2,0),Y290,1),"")</f>
        <v/>
      </c>
      <c r="Y290" s="3" t="s">
        <v>23</v>
      </c>
      <c r="Z290" s="3" t="str">
        <f>IFERROR(MID(VLOOKUP($B290,Seqs!$A:$B,2,0),AA290,1),"")</f>
        <v/>
      </c>
      <c r="AA290" s="3" t="s">
        <v>23</v>
      </c>
      <c r="AB290" s="3" t="str">
        <f>IFERROR(MID(VLOOKUP($B290,Seqs!$A:$B,2,0),AC290,1),"")</f>
        <v>A</v>
      </c>
      <c r="AC290" s="9">
        <v>274</v>
      </c>
      <c r="AD290" s="3" t="str">
        <f>IFERROR(MID(VLOOKUP($B290,Seqs!$A:$B,2,0),AE290,1),"")</f>
        <v>E</v>
      </c>
      <c r="AE290" s="3">
        <v>290</v>
      </c>
      <c r="AF290" s="3" t="str">
        <f>IFERROR(MID(VLOOKUP($B290,Seqs!$A:$B,2,0),AG290,1),"")</f>
        <v>C</v>
      </c>
      <c r="AG290" s="3">
        <v>294</v>
      </c>
      <c r="AH290" s="3" t="str">
        <f>IFERROR(MID(VLOOKUP($B290,Seqs!$A:$B,2,0),AI290,1),"")</f>
        <v>T</v>
      </c>
      <c r="AI290" s="3">
        <v>296</v>
      </c>
      <c r="AJ290" s="3" t="str">
        <f>IFERROR(MID(VLOOKUP($B290,Seqs!$A:$B,2,0),AK290,1),"")</f>
        <v>N</v>
      </c>
      <c r="AK290" s="3">
        <v>300</v>
      </c>
      <c r="AL290" s="3" t="str">
        <f>IFERROR(MID(VLOOKUP($B290,Seqs!$A:$B,2,0),AM290,1),"")</f>
        <v>A</v>
      </c>
      <c r="AM290" s="3">
        <v>335</v>
      </c>
      <c r="AN290" s="3" t="str">
        <f>IFERROR(MID(VLOOKUP($B290,Seqs!$A:$B,2,0),AO290,1),"")</f>
        <v>D</v>
      </c>
      <c r="AO290" s="3">
        <v>342</v>
      </c>
      <c r="AP290" s="3" t="str">
        <f>IFERROR(MID(VLOOKUP($B290,Seqs!$A:$B,2,0),AQ290,1),"")</f>
        <v>F</v>
      </c>
      <c r="AQ290" s="3">
        <v>367</v>
      </c>
      <c r="AR290" s="3" t="str">
        <f>IFERROR(MID(VLOOKUP($B290,Seqs!$A:$B,2,0),AS290,1),"")</f>
        <v>Q</v>
      </c>
      <c r="AS290" s="3">
        <v>374</v>
      </c>
      <c r="AT290" s="3" t="str">
        <f>IFERROR(MID(VLOOKUP($B290,Seqs!$A:$B,2,0),AU290,1),"")</f>
        <v>L</v>
      </c>
      <c r="AU290" s="3">
        <v>403</v>
      </c>
      <c r="AV290" s="3" t="str">
        <f>IFERROR(MID(VLOOKUP($B290,Seqs!$A:$B,2,0),AW290,1),"")</f>
        <v>N</v>
      </c>
      <c r="AW290" s="3">
        <v>404</v>
      </c>
      <c r="AX290" s="3" t="str">
        <f>IFERROR(MID(VLOOKUP($B290,Seqs!$A:$B,2,0),AY290,1),"")</f>
        <v>N</v>
      </c>
      <c r="AY290" s="3">
        <v>429</v>
      </c>
      <c r="AZ290" s="77" t="str">
        <f>VLOOKUP(B290,Classification!A:D,2,0)</f>
        <v>B1</v>
      </c>
      <c r="BA290" s="94" t="str">
        <f>VLOOKUP(B290,Classification!A:D,4,0)</f>
        <v>Glucagonreceptorfamily</v>
      </c>
      <c r="BB290" s="27" t="b">
        <f t="shared" si="754"/>
        <v>1</v>
      </c>
      <c r="BC290" s="23">
        <f t="shared" si="1089"/>
        <v>252</v>
      </c>
      <c r="BD290" s="2" t="s">
        <v>23</v>
      </c>
      <c r="BE290" s="3" t="s">
        <v>1381</v>
      </c>
      <c r="BF290" s="119">
        <v>3.3</v>
      </c>
      <c r="BG290" s="49" t="s">
        <v>1384</v>
      </c>
      <c r="BH290" s="49" t="s">
        <v>1384</v>
      </c>
      <c r="BI290" s="1"/>
      <c r="BJ290" s="70" t="s">
        <v>1293</v>
      </c>
      <c r="BK290" s="57" t="s">
        <v>1293</v>
      </c>
      <c r="BL290" s="57" t="s">
        <v>1293</v>
      </c>
      <c r="BM290" s="57" t="s">
        <v>1293</v>
      </c>
      <c r="BN290" s="57" t="s">
        <v>1293</v>
      </c>
      <c r="BO290" s="57" t="s">
        <v>1293</v>
      </c>
      <c r="BP290" s="57" t="s">
        <v>1293</v>
      </c>
      <c r="BQ290" s="57" t="s">
        <v>1293</v>
      </c>
      <c r="BR290" s="57" t="s">
        <v>1293</v>
      </c>
      <c r="BS290" s="57" t="s">
        <v>1293</v>
      </c>
      <c r="BT290" s="57" t="s">
        <v>1293</v>
      </c>
      <c r="BU290" s="57" t="s">
        <v>1293</v>
      </c>
      <c r="BV290" s="70">
        <f t="shared" si="1090"/>
        <v>125</v>
      </c>
      <c r="BW290" s="71">
        <f t="shared" si="1091"/>
        <v>167</v>
      </c>
      <c r="BX290" s="72">
        <f t="shared" si="1092"/>
        <v>171</v>
      </c>
      <c r="BY290" s="71" t="str">
        <f t="shared" si="1093"/>
        <v>-</v>
      </c>
      <c r="BZ290" s="72">
        <f t="shared" si="1094"/>
        <v>217</v>
      </c>
      <c r="CA290" s="71" t="str">
        <f t="shared" si="1095"/>
        <v>-</v>
      </c>
      <c r="CB290" s="72">
        <f t="shared" si="1096"/>
        <v>274</v>
      </c>
      <c r="CC290" s="71">
        <f t="shared" si="1097"/>
        <v>294</v>
      </c>
      <c r="CD290" s="72">
        <f t="shared" si="1098"/>
        <v>300</v>
      </c>
      <c r="CE290" s="71">
        <f t="shared" si="1099"/>
        <v>342</v>
      </c>
      <c r="CF290" s="72">
        <f t="shared" si="1100"/>
        <v>374</v>
      </c>
      <c r="CG290" s="71">
        <f t="shared" si="1101"/>
        <v>404</v>
      </c>
      <c r="CH290" s="70">
        <f t="shared" si="1102"/>
        <v>164</v>
      </c>
      <c r="CI290" s="71">
        <f t="shared" si="1103"/>
        <v>170</v>
      </c>
      <c r="CJ290" s="72">
        <f t="shared" si="1104"/>
        <v>199</v>
      </c>
      <c r="CK290" s="72" t="str">
        <f t="shared" si="1105"/>
        <v>-</v>
      </c>
      <c r="CL290" s="72">
        <f t="shared" si="1106"/>
        <v>255</v>
      </c>
      <c r="CM290" s="72" t="str">
        <f t="shared" si="1107"/>
        <v>-</v>
      </c>
      <c r="CN290" s="72">
        <f t="shared" si="1108"/>
        <v>290</v>
      </c>
      <c r="CO290" s="72">
        <f t="shared" si="1109"/>
        <v>296</v>
      </c>
      <c r="CP290" s="72">
        <f t="shared" si="1110"/>
        <v>335</v>
      </c>
      <c r="CQ290" s="72">
        <f t="shared" si="1111"/>
        <v>367</v>
      </c>
      <c r="CR290" s="72">
        <f t="shared" si="1112"/>
        <v>403</v>
      </c>
      <c r="CS290" s="72">
        <f t="shared" si="1113"/>
        <v>429</v>
      </c>
      <c r="CT290" s="23">
        <f t="shared" si="1114"/>
        <v>1</v>
      </c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  <c r="OK290" s="1"/>
      <c r="OL290" s="1"/>
      <c r="OM290" s="1"/>
      <c r="ON290" s="1"/>
      <c r="OO290" s="1"/>
      <c r="OP290" s="1"/>
      <c r="OQ290" s="1"/>
      <c r="OR290" s="1"/>
      <c r="OS290" s="1"/>
      <c r="OT290" s="1"/>
      <c r="OU290" s="1"/>
      <c r="OV290" s="1"/>
      <c r="OW290" s="1"/>
      <c r="OX290" s="1"/>
      <c r="OY290" s="1"/>
      <c r="OZ290" s="1"/>
      <c r="PA290" s="1"/>
      <c r="PB290" s="1"/>
      <c r="PC290" s="1"/>
      <c r="PD290" s="1"/>
      <c r="PE290" s="1"/>
      <c r="PF290" s="1"/>
      <c r="PG290" s="1"/>
      <c r="PH290" s="1"/>
      <c r="PI290" s="1"/>
      <c r="PJ290" s="1"/>
      <c r="PK290" s="1"/>
      <c r="PL290" s="1"/>
      <c r="PM290" s="1"/>
      <c r="PN290" s="1"/>
      <c r="PO290" s="1"/>
      <c r="PP290" s="1"/>
      <c r="PQ290" s="1"/>
      <c r="PR290" s="1"/>
      <c r="PS290" s="1"/>
      <c r="PT290" s="1"/>
      <c r="PU290" s="1"/>
      <c r="PV290" s="1"/>
      <c r="PW290" s="1"/>
      <c r="PX290" s="1"/>
      <c r="PY290" s="1"/>
      <c r="PZ290" s="1"/>
      <c r="QA290" s="1"/>
      <c r="QB290" s="1"/>
      <c r="QC290" s="1"/>
      <c r="QD290" s="1"/>
      <c r="QE290" s="1"/>
      <c r="QF290" s="1"/>
      <c r="QG290" s="1"/>
      <c r="QH290" s="1"/>
      <c r="QI290" s="1"/>
      <c r="QJ290" s="1"/>
      <c r="QK290" s="1"/>
      <c r="QL290" s="1"/>
      <c r="QM290" s="1"/>
      <c r="QN290" s="1"/>
      <c r="QO290" s="1"/>
      <c r="QP290" s="1"/>
      <c r="QQ290" s="1"/>
      <c r="QR290" s="1"/>
      <c r="QS290" s="1"/>
      <c r="QT290" s="1"/>
      <c r="QU290" s="1"/>
      <c r="QV290" s="1"/>
      <c r="QW290" s="1"/>
      <c r="QX290" s="1"/>
      <c r="QY290" s="1"/>
      <c r="QZ290" s="1"/>
      <c r="RA290" s="1"/>
      <c r="RB290" s="1"/>
      <c r="RC290" s="1"/>
      <c r="RD290" s="1"/>
      <c r="RE290" s="1"/>
      <c r="RF290" s="1"/>
      <c r="RG290" s="1"/>
      <c r="RH290" s="1"/>
      <c r="RI290" s="1"/>
      <c r="RJ290" s="1"/>
      <c r="RK290" s="1"/>
      <c r="RL290" s="1"/>
      <c r="RM290" s="1"/>
      <c r="RN290" s="1"/>
      <c r="RO290" s="1"/>
      <c r="RP290" s="1"/>
      <c r="RQ290" s="1"/>
      <c r="RR290" s="1"/>
      <c r="RS290" s="1"/>
      <c r="RT290" s="1"/>
      <c r="RU290" s="1"/>
      <c r="RV290" s="1"/>
      <c r="RW290" s="1"/>
      <c r="RX290" s="1"/>
      <c r="RY290" s="1"/>
      <c r="RZ290" s="1"/>
      <c r="SA290" s="1"/>
      <c r="SB290" s="1"/>
      <c r="SC290" s="1"/>
      <c r="SD290" s="1"/>
      <c r="SE290" s="1"/>
      <c r="SF290" s="1"/>
      <c r="SG290" s="1"/>
      <c r="SH290" s="1"/>
      <c r="SI290" s="1"/>
      <c r="SJ290" s="1"/>
      <c r="SK290" s="1"/>
      <c r="SL290" s="1"/>
      <c r="SM290" s="1"/>
      <c r="SN290" s="1"/>
      <c r="SO290" s="1"/>
      <c r="SP290" s="1"/>
      <c r="SQ290" s="1"/>
      <c r="SR290" s="1"/>
      <c r="SS290" s="1"/>
      <c r="ST290" s="1"/>
      <c r="SU290" s="1"/>
      <c r="SV290" s="1"/>
      <c r="SW290" s="1"/>
      <c r="SX290" s="1"/>
      <c r="SY290" s="1"/>
      <c r="SZ290" s="1"/>
      <c r="TA290" s="1"/>
      <c r="TB290" s="1"/>
      <c r="TC290" s="1"/>
      <c r="TD290" s="1"/>
      <c r="TE290" s="1"/>
      <c r="TF290" s="1"/>
      <c r="TG290" s="1"/>
      <c r="TH290" s="1"/>
      <c r="TI290" s="1"/>
      <c r="TJ290" s="1"/>
      <c r="TK290" s="1"/>
      <c r="TL290" s="1"/>
      <c r="TM290" s="1"/>
      <c r="TN290" s="1"/>
      <c r="TO290" s="1"/>
      <c r="TP290" s="1"/>
      <c r="TQ290" s="1"/>
      <c r="TR290" s="1"/>
      <c r="TS290" s="1"/>
      <c r="TT290" s="1"/>
      <c r="TU290" s="1"/>
      <c r="TV290" s="1"/>
      <c r="TW290" s="1"/>
      <c r="TX290" s="1"/>
      <c r="TY290" s="1"/>
      <c r="TZ290" s="1"/>
      <c r="UA290" s="1"/>
      <c r="UB290" s="1"/>
      <c r="UC290" s="1"/>
      <c r="UD290" s="1"/>
      <c r="UE290" s="1"/>
      <c r="UF290" s="1"/>
      <c r="UG290" s="1"/>
      <c r="UH290" s="1"/>
      <c r="UI290" s="1"/>
      <c r="UJ290" s="1"/>
      <c r="UK290" s="1"/>
      <c r="UL290" s="1"/>
      <c r="UM290" s="1"/>
      <c r="UN290" s="1"/>
      <c r="UO290" s="1"/>
      <c r="UP290" s="1"/>
      <c r="UQ290" s="1"/>
      <c r="UR290" s="1"/>
      <c r="US290" s="1"/>
      <c r="UT290" s="1"/>
      <c r="UU290" s="1"/>
      <c r="UV290" s="1"/>
      <c r="UW290" s="1"/>
      <c r="UX290" s="1"/>
      <c r="UY290" s="1"/>
      <c r="UZ290" s="1"/>
      <c r="VA290" s="1"/>
      <c r="VB290" s="1"/>
      <c r="VC290" s="1"/>
      <c r="VD290" s="1"/>
      <c r="VE290" s="1"/>
      <c r="VF290" s="1"/>
      <c r="VG290" s="1"/>
      <c r="VH290" s="1"/>
      <c r="VI290" s="1"/>
      <c r="VJ290" s="1"/>
      <c r="VK290" s="1"/>
      <c r="VL290" s="1"/>
      <c r="VM290" s="1"/>
      <c r="VN290" s="1"/>
      <c r="VO290" s="1"/>
      <c r="VP290" s="1"/>
      <c r="VQ290" s="1"/>
      <c r="VR290" s="1"/>
      <c r="VS290" s="1"/>
      <c r="VT290" s="1"/>
      <c r="VU290" s="1"/>
      <c r="VV290" s="1"/>
      <c r="VW290" s="1"/>
      <c r="VX290" s="1"/>
      <c r="VY290" s="1"/>
      <c r="VZ290" s="1"/>
      <c r="WA290" s="1"/>
      <c r="WB290" s="1"/>
      <c r="WC290" s="1"/>
      <c r="WD290" s="1"/>
      <c r="WE290" s="1"/>
      <c r="WF290" s="1"/>
      <c r="WG290" s="1"/>
      <c r="WH290" s="1"/>
      <c r="WI290" s="1"/>
      <c r="WJ290" s="1"/>
      <c r="WK290" s="1"/>
      <c r="WL290" s="1"/>
      <c r="WM290" s="1"/>
      <c r="WN290" s="1"/>
      <c r="WO290" s="1"/>
      <c r="WP290" s="1"/>
      <c r="WQ290" s="1"/>
      <c r="WR290" s="1"/>
      <c r="WS290" s="1"/>
      <c r="WT290" s="1"/>
      <c r="WU290" s="1"/>
      <c r="WV290" s="1"/>
      <c r="WW290" s="1"/>
      <c r="WX290" s="1"/>
      <c r="WY290" s="1"/>
      <c r="WZ290" s="1"/>
      <c r="XA290" s="1"/>
      <c r="XB290" s="1"/>
      <c r="XC290" s="1"/>
      <c r="XD290" s="1"/>
      <c r="XE290" s="1"/>
      <c r="XF290" s="1"/>
      <c r="XG290" s="1"/>
      <c r="XH290" s="1"/>
      <c r="XI290" s="1"/>
      <c r="XJ290" s="1"/>
      <c r="XK290" s="1"/>
      <c r="XL290" s="1"/>
      <c r="XM290" s="1"/>
      <c r="XN290" s="1"/>
      <c r="XO290" s="1"/>
      <c r="XP290" s="1"/>
      <c r="XQ290" s="1"/>
      <c r="XR290" s="1"/>
      <c r="XS290" s="1"/>
      <c r="XT290" s="1"/>
      <c r="XU290" s="1"/>
      <c r="XV290" s="1"/>
      <c r="XW290" s="1"/>
      <c r="XX290" s="1"/>
      <c r="XY290" s="1"/>
      <c r="XZ290" s="1"/>
      <c r="YA290" s="1"/>
      <c r="YB290" s="1"/>
      <c r="YC290" s="1"/>
      <c r="YD290" s="1"/>
      <c r="YE290" s="1"/>
      <c r="YF290" s="1"/>
      <c r="YG290" s="1"/>
      <c r="YH290" s="1"/>
      <c r="YI290" s="1"/>
      <c r="YJ290" s="1"/>
      <c r="YK290" s="1"/>
      <c r="YL290" s="1"/>
      <c r="YM290" s="1"/>
      <c r="YN290" s="1"/>
      <c r="YO290" s="1"/>
      <c r="YP290" s="1"/>
      <c r="YQ290" s="1"/>
      <c r="YR290" s="1"/>
      <c r="YS290" s="1"/>
      <c r="YT290" s="1"/>
      <c r="YU290" s="1"/>
      <c r="YV290" s="1"/>
      <c r="YW290" s="1"/>
      <c r="YX290" s="1"/>
      <c r="YY290" s="1"/>
      <c r="YZ290" s="1"/>
      <c r="ZA290" s="1"/>
      <c r="ZB290" s="1"/>
      <c r="ZC290" s="1"/>
      <c r="ZD290" s="1"/>
      <c r="ZE290" s="1"/>
      <c r="ZF290" s="1"/>
      <c r="ZG290" s="1"/>
      <c r="ZH290" s="1"/>
      <c r="ZI290" s="1"/>
      <c r="ZJ290" s="1"/>
      <c r="ZK290" s="1"/>
      <c r="ZL290" s="1"/>
      <c r="ZM290" s="1"/>
      <c r="ZN290" s="1"/>
      <c r="ZO290" s="1"/>
      <c r="ZP290" s="1"/>
      <c r="ZQ290" s="1"/>
      <c r="ZR290" s="1"/>
      <c r="ZS290" s="1"/>
      <c r="ZT290" s="1"/>
      <c r="ZU290" s="1"/>
      <c r="ZV290" s="1"/>
      <c r="ZW290" s="1"/>
      <c r="ZX290" s="1"/>
      <c r="ZY290" s="1"/>
      <c r="ZZ290" s="1"/>
      <c r="AAA290" s="1"/>
      <c r="AAB290" s="1"/>
      <c r="AAC290" s="1"/>
      <c r="AAD290" s="1"/>
      <c r="AAE290" s="1"/>
      <c r="AAF290" s="1"/>
      <c r="AAG290" s="1"/>
      <c r="AAH290" s="1"/>
      <c r="AAI290" s="1"/>
      <c r="AAJ290" s="1"/>
      <c r="AAK290" s="1"/>
      <c r="AAL290" s="1"/>
      <c r="AAM290" s="1"/>
      <c r="AAN290" s="1"/>
      <c r="AAO290" s="1"/>
      <c r="AAP290" s="1"/>
      <c r="AAQ290" s="1"/>
      <c r="AAR290" s="1"/>
      <c r="AAS290" s="1"/>
      <c r="AAT290" s="1"/>
      <c r="AAU290" s="1"/>
      <c r="AAV290" s="1"/>
      <c r="AAW290" s="1"/>
      <c r="AAX290" s="1"/>
      <c r="AAY290" s="1"/>
      <c r="AAZ290" s="1"/>
      <c r="ABA290" s="1"/>
      <c r="ABB290" s="1"/>
      <c r="ABC290" s="1"/>
      <c r="ABD290" s="1"/>
      <c r="ABE290" s="1"/>
      <c r="ABF290" s="1"/>
      <c r="ABG290" s="1"/>
      <c r="ABH290" s="1"/>
      <c r="ABI290" s="1"/>
      <c r="ABJ290" s="1"/>
      <c r="ABK290" s="1"/>
      <c r="ABL290" s="1"/>
      <c r="ABM290" s="1"/>
      <c r="ABN290" s="1"/>
      <c r="ABO290" s="1"/>
      <c r="ABP290" s="1"/>
      <c r="ABQ290" s="1"/>
      <c r="ABR290" s="1"/>
      <c r="ABS290" s="1"/>
      <c r="ABT290" s="1"/>
      <c r="ABU290" s="1"/>
      <c r="ABV290" s="1"/>
      <c r="ABW290" s="1"/>
      <c r="ABX290" s="1"/>
      <c r="ABY290" s="1"/>
      <c r="ABZ290" s="1"/>
      <c r="ACA290" s="1"/>
      <c r="ACB290" s="1"/>
      <c r="ACC290" s="1"/>
      <c r="ACD290" s="1"/>
      <c r="ACE290" s="1"/>
      <c r="ACF290" s="1"/>
      <c r="ACG290" s="1"/>
      <c r="ACH290" s="1"/>
      <c r="ACI290" s="1"/>
      <c r="ACJ290" s="1"/>
      <c r="ACK290" s="1"/>
      <c r="ACL290" s="1"/>
      <c r="ACM290" s="1"/>
      <c r="ACN290" s="1"/>
      <c r="ACO290" s="1"/>
      <c r="ACP290" s="1"/>
      <c r="ACQ290" s="1"/>
      <c r="ACR290" s="1"/>
      <c r="ACS290" s="1"/>
      <c r="ACT290" s="1"/>
      <c r="ACU290" s="1"/>
      <c r="ACV290" s="1"/>
      <c r="ACW290" s="1"/>
      <c r="ACX290" s="1"/>
      <c r="ACY290" s="1"/>
      <c r="ACZ290" s="1"/>
      <c r="ADA290" s="1"/>
      <c r="ADB290" s="1"/>
      <c r="ADC290" s="1"/>
      <c r="ADD290" s="1"/>
      <c r="ADE290" s="1"/>
      <c r="ADF290" s="1"/>
      <c r="ADG290" s="1"/>
      <c r="ADH290" s="1"/>
      <c r="ADI290" s="1"/>
      <c r="ADJ290" s="1"/>
      <c r="ADK290" s="1"/>
      <c r="ADL290" s="1"/>
      <c r="ADM290" s="1"/>
      <c r="ADN290" s="1"/>
      <c r="ADO290" s="1"/>
      <c r="ADP290" s="1"/>
      <c r="ADQ290" s="1"/>
      <c r="ADR290" s="1"/>
      <c r="ADS290" s="1"/>
      <c r="ADT290" s="1"/>
      <c r="ADU290" s="1"/>
      <c r="ADV290" s="1"/>
      <c r="ADW290" s="1"/>
      <c r="ADX290" s="1"/>
      <c r="ADY290" s="1"/>
      <c r="ADZ290" s="1"/>
      <c r="AEA290" s="1"/>
      <c r="AEB290" s="1"/>
      <c r="AEC290" s="1"/>
      <c r="AED290" s="1"/>
      <c r="AEE290" s="1"/>
      <c r="AEF290" s="1"/>
      <c r="AEG290" s="1"/>
      <c r="AEH290" s="1"/>
      <c r="AEI290" s="1"/>
      <c r="AEJ290" s="1"/>
      <c r="AEK290" s="1"/>
      <c r="AEL290" s="1"/>
      <c r="AEM290" s="1"/>
      <c r="AEN290" s="1"/>
      <c r="AEO290" s="1"/>
      <c r="AEP290" s="1"/>
      <c r="AEQ290" s="1"/>
      <c r="AER290" s="1"/>
      <c r="AES290" s="1"/>
      <c r="AET290" s="1"/>
      <c r="AEU290" s="1"/>
      <c r="AEV290" s="1"/>
      <c r="AEW290" s="1"/>
      <c r="AEX290" s="1"/>
      <c r="AEY290" s="1"/>
      <c r="AEZ290" s="1"/>
      <c r="AFA290" s="1"/>
      <c r="AFB290" s="1"/>
      <c r="AFC290" s="1"/>
      <c r="AFD290" s="1"/>
      <c r="AFE290" s="1"/>
      <c r="AFF290" s="1"/>
      <c r="AFG290" s="1"/>
      <c r="AFH290" s="1"/>
      <c r="AFI290" s="1"/>
      <c r="AFJ290" s="1"/>
      <c r="AFK290" s="1"/>
      <c r="AFL290" s="1"/>
      <c r="AFM290" s="1"/>
      <c r="AFN290" s="1"/>
      <c r="AFO290" s="1"/>
      <c r="AFP290" s="1"/>
      <c r="AFQ290" s="1"/>
      <c r="AFR290" s="1"/>
      <c r="AFS290" s="1"/>
      <c r="AFT290" s="1"/>
      <c r="AFU290" s="1"/>
      <c r="AFV290" s="1"/>
      <c r="AFW290" s="1"/>
      <c r="AFX290" s="1"/>
      <c r="AFY290" s="1"/>
      <c r="AFZ290" s="1"/>
      <c r="AGA290" s="1"/>
      <c r="AGB290" s="1"/>
      <c r="AGC290" s="1"/>
      <c r="AGD290" s="1"/>
      <c r="AGE290" s="1"/>
      <c r="AGF290" s="1"/>
      <c r="AGG290" s="1"/>
      <c r="AGH290" s="1"/>
      <c r="AGI290" s="1"/>
      <c r="AGJ290" s="1"/>
      <c r="AGK290" s="1"/>
      <c r="AGL290" s="1"/>
      <c r="AGM290" s="1"/>
      <c r="AGN290" s="1"/>
      <c r="AGO290" s="1"/>
      <c r="AGP290" s="1"/>
      <c r="AGQ290" s="1"/>
      <c r="AGR290" s="1"/>
      <c r="AGS290" s="1"/>
      <c r="AGT290" s="1"/>
      <c r="AGU290" s="1"/>
      <c r="AGV290" s="1"/>
      <c r="AGW290" s="1"/>
      <c r="AGX290" s="1"/>
      <c r="AGY290" s="1"/>
      <c r="AGZ290" s="1"/>
      <c r="AHA290" s="1"/>
      <c r="AHB290" s="1"/>
      <c r="AHC290" s="1"/>
      <c r="AHD290" s="1"/>
      <c r="AHE290" s="1"/>
      <c r="AHF290" s="1"/>
      <c r="AHG290" s="1"/>
      <c r="AHH290" s="1"/>
      <c r="AHI290" s="1"/>
      <c r="AHJ290" s="1"/>
      <c r="AHK290" s="1"/>
      <c r="AHL290" s="1"/>
      <c r="AHM290" s="1"/>
      <c r="AHN290" s="1"/>
      <c r="AHO290" s="1"/>
      <c r="AHP290" s="1"/>
      <c r="AHQ290" s="1"/>
      <c r="AHR290" s="1"/>
      <c r="AHS290" s="1"/>
      <c r="AHT290" s="1"/>
      <c r="AHU290" s="1"/>
      <c r="AHV290" s="1"/>
      <c r="AHW290" s="1"/>
      <c r="AHX290" s="1"/>
      <c r="AHY290" s="1"/>
      <c r="AHZ290" s="1"/>
      <c r="AIA290" s="1"/>
      <c r="AIB290" s="1"/>
      <c r="AIC290" s="1"/>
      <c r="AID290" s="1"/>
      <c r="AIE290" s="1"/>
      <c r="AIF290" s="1"/>
      <c r="AIG290" s="1"/>
      <c r="AIH290" s="1"/>
      <c r="AII290" s="1"/>
      <c r="AIJ290" s="1"/>
      <c r="AIK290" s="1"/>
      <c r="AIL290" s="1"/>
      <c r="AIM290" s="1"/>
      <c r="AIN290" s="1"/>
      <c r="AIO290" s="1"/>
      <c r="AIP290" s="1"/>
      <c r="AIQ290" s="1"/>
      <c r="AIR290" s="1"/>
      <c r="AIS290" s="1"/>
      <c r="AIT290" s="1"/>
      <c r="AIU290" s="1"/>
      <c r="AIV290" s="1"/>
      <c r="AIW290" s="1"/>
      <c r="AIX290" s="1"/>
      <c r="AIY290" s="1"/>
      <c r="AIZ290" s="1"/>
      <c r="AJA290" s="1"/>
      <c r="AJB290" s="1"/>
      <c r="AJC290" s="1"/>
      <c r="AJD290" s="1"/>
      <c r="AJE290" s="1"/>
      <c r="AJF290" s="1"/>
      <c r="AJG290" s="1"/>
      <c r="AJH290" s="1"/>
      <c r="AJI290" s="1"/>
      <c r="AJJ290" s="1"/>
      <c r="AJK290" s="1"/>
      <c r="AJL290" s="1"/>
      <c r="AJM290" s="1"/>
      <c r="AJN290" s="1"/>
      <c r="AJO290" s="1"/>
      <c r="AJP290" s="1"/>
      <c r="AJQ290" s="1"/>
      <c r="AJR290" s="1"/>
      <c r="AJS290" s="1"/>
      <c r="AJT290" s="1"/>
      <c r="AJU290" s="1"/>
      <c r="AJV290" s="1"/>
      <c r="AJW290" s="1"/>
      <c r="AJX290" s="1"/>
      <c r="AJY290" s="1"/>
      <c r="AJZ290" s="1"/>
      <c r="AKA290" s="1"/>
      <c r="AKB290" s="1"/>
      <c r="AKC290" s="1"/>
      <c r="AKD290" s="1"/>
      <c r="AKE290" s="1"/>
      <c r="AKF290" s="1"/>
      <c r="AKG290" s="1"/>
      <c r="AKH290" s="1"/>
      <c r="AKI290" s="1"/>
      <c r="AKJ290" s="1"/>
      <c r="AKK290" s="1"/>
      <c r="AKL290" s="1"/>
      <c r="AKM290" s="1"/>
      <c r="AKN290" s="1"/>
      <c r="AKO290" s="1"/>
      <c r="AKP290" s="1"/>
      <c r="AKQ290" s="1"/>
      <c r="AKR290" s="1"/>
      <c r="AKS290" s="1"/>
      <c r="AKT290" s="1"/>
      <c r="AKU290" s="1"/>
      <c r="AKV290" s="1"/>
      <c r="AKW290" s="1"/>
      <c r="AKX290" s="1"/>
      <c r="AKY290" s="1"/>
      <c r="AKZ290" s="1"/>
      <c r="ALA290" s="1"/>
      <c r="ALB290" s="1"/>
      <c r="ALC290" s="1"/>
      <c r="ALD290" s="1"/>
      <c r="ALE290" s="1"/>
      <c r="ALF290" s="1"/>
      <c r="ALG290" s="1"/>
      <c r="ALH290" s="1"/>
      <c r="ALI290" s="1"/>
      <c r="ALJ290" s="1"/>
      <c r="ALK290" s="1"/>
      <c r="ALL290" s="1"/>
      <c r="ALM290" s="1"/>
      <c r="ALN290" s="1"/>
      <c r="ALO290" s="1"/>
      <c r="ALP290" s="1"/>
      <c r="ALQ290" s="1"/>
      <c r="ALR290" s="1"/>
      <c r="ALS290" s="1"/>
      <c r="ALT290" s="1"/>
      <c r="ALU290" s="1"/>
      <c r="ALV290" s="1"/>
      <c r="ALW290" s="1"/>
      <c r="ALX290" s="1"/>
      <c r="ALY290" s="1"/>
      <c r="ALZ290" s="1"/>
      <c r="AMA290" s="1"/>
      <c r="AMB290" s="1"/>
      <c r="AMC290" s="1"/>
      <c r="AMD290" s="1"/>
      <c r="AME290" s="1"/>
      <c r="AMF290" s="1"/>
      <c r="AMG290" s="1"/>
      <c r="AMH290" s="1"/>
      <c r="AMI290" s="1"/>
      <c r="AMJ290" s="1"/>
      <c r="AMK290" s="1"/>
      <c r="AML290" s="1"/>
      <c r="AMM290" s="1"/>
      <c r="AMN290" s="1"/>
      <c r="AMO290" s="1"/>
    </row>
    <row r="291" spans="1:1029" x14ac:dyDescent="0.2">
      <c r="A291" s="3" t="str">
        <f t="shared" si="753"/>
        <v>glr_human_4L6R_dist</v>
      </c>
      <c r="B291" s="3" t="s">
        <v>32</v>
      </c>
      <c r="C291" s="3" t="s">
        <v>1282</v>
      </c>
      <c r="D291" s="3" t="str">
        <f>IFERROR(MID(VLOOKUP($B291,Seqs!$A:$B,2,0),E291,1),"")</f>
        <v>G</v>
      </c>
      <c r="E291" s="3">
        <v>125</v>
      </c>
      <c r="F291" s="3" t="str">
        <f>IFERROR(MID(VLOOKUP($B291,Seqs!$A:$B,2,0),G291,1),"")</f>
        <v>G</v>
      </c>
      <c r="G291" s="3">
        <v>164</v>
      </c>
      <c r="H291" s="3" t="str">
        <f>IFERROR(MID(VLOOKUP($B291,Seqs!$A:$B,2,0),I291,1),"")</f>
        <v>S</v>
      </c>
      <c r="I291" s="23">
        <v>167</v>
      </c>
      <c r="J291" s="3" t="str">
        <f>IFERROR(MID(VLOOKUP($B291,Seqs!$A:$B,2,0),K291,1),"")</f>
        <v>H</v>
      </c>
      <c r="K291" s="23">
        <v>170</v>
      </c>
      <c r="L291" s="3" t="str">
        <f>IFERROR(MID(VLOOKUP($B291,Seqs!$A:$B,2,0),M291,1),"")</f>
        <v>C</v>
      </c>
      <c r="M291" s="23">
        <v>171</v>
      </c>
      <c r="N291" s="3" t="str">
        <f>IFERROR(MID(VLOOKUP($B291,Seqs!$A:$B,2,0),O291,1),"")</f>
        <v>R</v>
      </c>
      <c r="O291" s="3">
        <v>199</v>
      </c>
      <c r="P291" s="3" t="str">
        <f>IFERROR(MID(VLOOKUP($B291,Seqs!$A:$B,2,0),Q291,1),"")</f>
        <v/>
      </c>
      <c r="Q291" s="3" t="s">
        <v>23</v>
      </c>
      <c r="R291" s="3" t="str">
        <f>IFERROR(MID(VLOOKUP($B291,Seqs!$A:$B,2,0),S291,1),"")</f>
        <v/>
      </c>
      <c r="S291" s="3" t="s">
        <v>23</v>
      </c>
      <c r="T291" s="3" t="str">
        <f>IFERROR(MID(VLOOKUP($B291,Seqs!$A:$B,2,0),U291,1),"")</f>
        <v>S</v>
      </c>
      <c r="U291" s="3">
        <v>217</v>
      </c>
      <c r="V291" s="3" t="str">
        <f>IFERROR(MID(VLOOKUP($B291,Seqs!$A:$B,2,0),W291,1),"")</f>
        <v>L</v>
      </c>
      <c r="W291" s="3">
        <v>255</v>
      </c>
      <c r="X291" s="3" t="str">
        <f>IFERROR(MID(VLOOKUP($B291,Seqs!$A:$B,2,0),Y291,1),"")</f>
        <v/>
      </c>
      <c r="Y291" s="3" t="s">
        <v>23</v>
      </c>
      <c r="Z291" s="3" t="str">
        <f>IFERROR(MID(VLOOKUP($B291,Seqs!$A:$B,2,0),AA291,1),"")</f>
        <v/>
      </c>
      <c r="AA291" s="3" t="s">
        <v>23</v>
      </c>
      <c r="AB291" s="3" t="str">
        <f>IFERROR(MID(VLOOKUP($B291,Seqs!$A:$B,2,0),AC291,1),"")</f>
        <v>S</v>
      </c>
      <c r="AC291" s="9">
        <v>262</v>
      </c>
      <c r="AD291" s="3" t="str">
        <f>IFERROR(MID(VLOOKUP($B291,Seqs!$A:$B,2,0),AE291,1),"")</f>
        <v>E</v>
      </c>
      <c r="AE291" s="3">
        <v>290</v>
      </c>
      <c r="AF291" s="3" t="str">
        <f>IFERROR(MID(VLOOKUP($B291,Seqs!$A:$B,2,0),AG291,1),"")</f>
        <v>C</v>
      </c>
      <c r="AG291" s="3">
        <v>294</v>
      </c>
      <c r="AH291" s="3" t="str">
        <f>IFERROR(MID(VLOOKUP($B291,Seqs!$A:$B,2,0),AI291,1),"")</f>
        <v>T</v>
      </c>
      <c r="AI291" s="3">
        <v>296</v>
      </c>
      <c r="AJ291" s="3" t="str">
        <f>IFERROR(MID(VLOOKUP($B291,Seqs!$A:$B,2,0),AK291,1),"")</f>
        <v>N</v>
      </c>
      <c r="AK291" s="3">
        <v>300</v>
      </c>
      <c r="AL291" s="3" t="str">
        <f>IFERROR(MID(VLOOKUP($B291,Seqs!$A:$B,2,0),AM291,1),"")</f>
        <v>A</v>
      </c>
      <c r="AM291" s="3">
        <v>335</v>
      </c>
      <c r="AN291" s="3" t="str">
        <f>IFERROR(MID(VLOOKUP($B291,Seqs!$A:$B,2,0),AO291,1),"")</f>
        <v>D</v>
      </c>
      <c r="AO291" s="3">
        <v>342</v>
      </c>
      <c r="AP291" s="3" t="str">
        <f>IFERROR(MID(VLOOKUP($B291,Seqs!$A:$B,2,0),AQ291,1),"")</f>
        <v>F</v>
      </c>
      <c r="AQ291" s="3">
        <v>367</v>
      </c>
      <c r="AR291" s="3" t="str">
        <f>IFERROR(MID(VLOOKUP($B291,Seqs!$A:$B,2,0),AS291,1),"")</f>
        <v>Q</v>
      </c>
      <c r="AS291" s="3">
        <v>374</v>
      </c>
      <c r="AT291" s="3" t="str">
        <f>IFERROR(MID(VLOOKUP($B291,Seqs!$A:$B,2,0),AU291,1),"")</f>
        <v>L</v>
      </c>
      <c r="AU291" s="3">
        <v>403</v>
      </c>
      <c r="AV291" s="3" t="str">
        <f>IFERROR(MID(VLOOKUP($B291,Seqs!$A:$B,2,0),AW291,1),"")</f>
        <v>N</v>
      </c>
      <c r="AW291" s="3">
        <v>404</v>
      </c>
      <c r="AX291" s="3" t="str">
        <f>IFERROR(MID(VLOOKUP($B291,Seqs!$A:$B,2,0),AY291,1),"")</f>
        <v>N</v>
      </c>
      <c r="AY291" s="3">
        <v>429</v>
      </c>
      <c r="AZ291" s="77" t="str">
        <f>VLOOKUP(B291,Classification!A:D,2,0)</f>
        <v>B1</v>
      </c>
      <c r="BA291" s="94" t="str">
        <f>VLOOKUP(B291,Classification!A:D,4,0)</f>
        <v>Glucagonreceptorfamily</v>
      </c>
      <c r="BB291" s="27" t="b">
        <f t="shared" si="754"/>
        <v>1</v>
      </c>
      <c r="BC291" s="23">
        <f t="shared" si="1089"/>
        <v>264</v>
      </c>
      <c r="BD291" s="56" t="s">
        <v>1379</v>
      </c>
      <c r="BE291" s="3" t="s">
        <v>1381</v>
      </c>
      <c r="BF291" s="119">
        <v>3.3</v>
      </c>
      <c r="BG291" s="49" t="s">
        <v>1384</v>
      </c>
      <c r="BH291" s="49" t="s">
        <v>1384</v>
      </c>
      <c r="BI291" s="1"/>
      <c r="BJ291" s="70" t="s">
        <v>1293</v>
      </c>
      <c r="BK291" s="57" t="s">
        <v>1293</v>
      </c>
      <c r="BL291" s="57" t="s">
        <v>1293</v>
      </c>
      <c r="BM291" s="57" t="s">
        <v>1293</v>
      </c>
      <c r="BN291" s="57" t="s">
        <v>1293</v>
      </c>
      <c r="BO291" s="57" t="s">
        <v>1293</v>
      </c>
      <c r="BP291" s="57" t="s">
        <v>1293</v>
      </c>
      <c r="BQ291" s="57" t="s">
        <v>1293</v>
      </c>
      <c r="BR291" s="57" t="s">
        <v>1293</v>
      </c>
      <c r="BS291" s="57" t="s">
        <v>1293</v>
      </c>
      <c r="BT291" s="57" t="s">
        <v>1293</v>
      </c>
      <c r="BU291" s="57" t="s">
        <v>1293</v>
      </c>
      <c r="BV291" s="70">
        <f t="shared" si="1090"/>
        <v>125</v>
      </c>
      <c r="BW291" s="71">
        <f t="shared" si="1091"/>
        <v>167</v>
      </c>
      <c r="BX291" s="72">
        <f t="shared" si="1092"/>
        <v>171</v>
      </c>
      <c r="BY291" s="71" t="str">
        <f t="shared" si="1093"/>
        <v>-</v>
      </c>
      <c r="BZ291" s="72">
        <f t="shared" si="1094"/>
        <v>217</v>
      </c>
      <c r="CA291" s="71" t="str">
        <f t="shared" si="1095"/>
        <v>-</v>
      </c>
      <c r="CB291" s="72">
        <f t="shared" si="1096"/>
        <v>262</v>
      </c>
      <c r="CC291" s="71">
        <f t="shared" si="1097"/>
        <v>294</v>
      </c>
      <c r="CD291" s="72">
        <f t="shared" si="1098"/>
        <v>300</v>
      </c>
      <c r="CE291" s="71">
        <f t="shared" si="1099"/>
        <v>342</v>
      </c>
      <c r="CF291" s="72">
        <f t="shared" si="1100"/>
        <v>374</v>
      </c>
      <c r="CG291" s="71">
        <f t="shared" si="1101"/>
        <v>404</v>
      </c>
      <c r="CH291" s="70">
        <f t="shared" si="1102"/>
        <v>164</v>
      </c>
      <c r="CI291" s="71">
        <f t="shared" si="1103"/>
        <v>170</v>
      </c>
      <c r="CJ291" s="72">
        <f t="shared" si="1104"/>
        <v>199</v>
      </c>
      <c r="CK291" s="72" t="str">
        <f t="shared" si="1105"/>
        <v>-</v>
      </c>
      <c r="CL291" s="72">
        <f t="shared" si="1106"/>
        <v>255</v>
      </c>
      <c r="CM291" s="72" t="str">
        <f t="shared" si="1107"/>
        <v>-</v>
      </c>
      <c r="CN291" s="72">
        <f t="shared" si="1108"/>
        <v>290</v>
      </c>
      <c r="CO291" s="72">
        <f t="shared" si="1109"/>
        <v>296</v>
      </c>
      <c r="CP291" s="72">
        <f t="shared" si="1110"/>
        <v>335</v>
      </c>
      <c r="CQ291" s="72">
        <f t="shared" si="1111"/>
        <v>367</v>
      </c>
      <c r="CR291" s="72">
        <f t="shared" si="1112"/>
        <v>403</v>
      </c>
      <c r="CS291" s="72">
        <f t="shared" si="1113"/>
        <v>429</v>
      </c>
      <c r="CT291" s="23">
        <f t="shared" si="1114"/>
        <v>1</v>
      </c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  <c r="OK291" s="1"/>
      <c r="OL291" s="1"/>
      <c r="OM291" s="1"/>
      <c r="ON291" s="1"/>
      <c r="OO291" s="1"/>
      <c r="OP291" s="1"/>
      <c r="OQ291" s="1"/>
      <c r="OR291" s="1"/>
      <c r="OS291" s="1"/>
      <c r="OT291" s="1"/>
      <c r="OU291" s="1"/>
      <c r="OV291" s="1"/>
      <c r="OW291" s="1"/>
      <c r="OX291" s="1"/>
      <c r="OY291" s="1"/>
      <c r="OZ291" s="1"/>
      <c r="PA291" s="1"/>
      <c r="PB291" s="1"/>
      <c r="PC291" s="1"/>
      <c r="PD291" s="1"/>
      <c r="PE291" s="1"/>
      <c r="PF291" s="1"/>
      <c r="PG291" s="1"/>
      <c r="PH291" s="1"/>
      <c r="PI291" s="1"/>
      <c r="PJ291" s="1"/>
      <c r="PK291" s="1"/>
      <c r="PL291" s="1"/>
      <c r="PM291" s="1"/>
      <c r="PN291" s="1"/>
      <c r="PO291" s="1"/>
      <c r="PP291" s="1"/>
      <c r="PQ291" s="1"/>
      <c r="PR291" s="1"/>
      <c r="PS291" s="1"/>
      <c r="PT291" s="1"/>
      <c r="PU291" s="1"/>
      <c r="PV291" s="1"/>
      <c r="PW291" s="1"/>
      <c r="PX291" s="1"/>
      <c r="PY291" s="1"/>
      <c r="PZ291" s="1"/>
      <c r="QA291" s="1"/>
      <c r="QB291" s="1"/>
      <c r="QC291" s="1"/>
      <c r="QD291" s="1"/>
      <c r="QE291" s="1"/>
      <c r="QF291" s="1"/>
      <c r="QG291" s="1"/>
      <c r="QH291" s="1"/>
      <c r="QI291" s="1"/>
      <c r="QJ291" s="1"/>
      <c r="QK291" s="1"/>
      <c r="QL291" s="1"/>
      <c r="QM291" s="1"/>
      <c r="QN291" s="1"/>
      <c r="QO291" s="1"/>
      <c r="QP291" s="1"/>
      <c r="QQ291" s="1"/>
      <c r="QR291" s="1"/>
      <c r="QS291" s="1"/>
      <c r="QT291" s="1"/>
      <c r="QU291" s="1"/>
      <c r="QV291" s="1"/>
      <c r="QW291" s="1"/>
      <c r="QX291" s="1"/>
      <c r="QY291" s="1"/>
      <c r="QZ291" s="1"/>
      <c r="RA291" s="1"/>
      <c r="RB291" s="1"/>
      <c r="RC291" s="1"/>
      <c r="RD291" s="1"/>
      <c r="RE291" s="1"/>
      <c r="RF291" s="1"/>
      <c r="RG291" s="1"/>
      <c r="RH291" s="1"/>
      <c r="RI291" s="1"/>
      <c r="RJ291" s="1"/>
      <c r="RK291" s="1"/>
      <c r="RL291" s="1"/>
      <c r="RM291" s="1"/>
      <c r="RN291" s="1"/>
      <c r="RO291" s="1"/>
      <c r="RP291" s="1"/>
      <c r="RQ291" s="1"/>
      <c r="RR291" s="1"/>
      <c r="RS291" s="1"/>
      <c r="RT291" s="1"/>
      <c r="RU291" s="1"/>
      <c r="RV291" s="1"/>
      <c r="RW291" s="1"/>
      <c r="RX291" s="1"/>
      <c r="RY291" s="1"/>
      <c r="RZ291" s="1"/>
      <c r="SA291" s="1"/>
      <c r="SB291" s="1"/>
      <c r="SC291" s="1"/>
      <c r="SD291" s="1"/>
      <c r="SE291" s="1"/>
      <c r="SF291" s="1"/>
      <c r="SG291" s="1"/>
      <c r="SH291" s="1"/>
      <c r="SI291" s="1"/>
      <c r="SJ291" s="1"/>
      <c r="SK291" s="1"/>
      <c r="SL291" s="1"/>
      <c r="SM291" s="1"/>
      <c r="SN291" s="1"/>
      <c r="SO291" s="1"/>
      <c r="SP291" s="1"/>
      <c r="SQ291" s="1"/>
      <c r="SR291" s="1"/>
      <c r="SS291" s="1"/>
      <c r="ST291" s="1"/>
      <c r="SU291" s="1"/>
      <c r="SV291" s="1"/>
      <c r="SW291" s="1"/>
      <c r="SX291" s="1"/>
      <c r="SY291" s="1"/>
      <c r="SZ291" s="1"/>
      <c r="TA291" s="1"/>
      <c r="TB291" s="1"/>
      <c r="TC291" s="1"/>
      <c r="TD291" s="1"/>
      <c r="TE291" s="1"/>
      <c r="TF291" s="1"/>
      <c r="TG291" s="1"/>
      <c r="TH291" s="1"/>
      <c r="TI291" s="1"/>
      <c r="TJ291" s="1"/>
      <c r="TK291" s="1"/>
      <c r="TL291" s="1"/>
      <c r="TM291" s="1"/>
      <c r="TN291" s="1"/>
      <c r="TO291" s="1"/>
      <c r="TP291" s="1"/>
      <c r="TQ291" s="1"/>
      <c r="TR291" s="1"/>
      <c r="TS291" s="1"/>
      <c r="TT291" s="1"/>
      <c r="TU291" s="1"/>
      <c r="TV291" s="1"/>
      <c r="TW291" s="1"/>
      <c r="TX291" s="1"/>
      <c r="TY291" s="1"/>
      <c r="TZ291" s="1"/>
      <c r="UA291" s="1"/>
      <c r="UB291" s="1"/>
      <c r="UC291" s="1"/>
      <c r="UD291" s="1"/>
      <c r="UE291" s="1"/>
      <c r="UF291" s="1"/>
      <c r="UG291" s="1"/>
      <c r="UH291" s="1"/>
      <c r="UI291" s="1"/>
      <c r="UJ291" s="1"/>
      <c r="UK291" s="1"/>
      <c r="UL291" s="1"/>
      <c r="UM291" s="1"/>
      <c r="UN291" s="1"/>
      <c r="UO291" s="1"/>
      <c r="UP291" s="1"/>
      <c r="UQ291" s="1"/>
      <c r="UR291" s="1"/>
      <c r="US291" s="1"/>
      <c r="UT291" s="1"/>
      <c r="UU291" s="1"/>
      <c r="UV291" s="1"/>
      <c r="UW291" s="1"/>
      <c r="UX291" s="1"/>
      <c r="UY291" s="1"/>
      <c r="UZ291" s="1"/>
      <c r="VA291" s="1"/>
      <c r="VB291" s="1"/>
      <c r="VC291" s="1"/>
      <c r="VD291" s="1"/>
      <c r="VE291" s="1"/>
      <c r="VF291" s="1"/>
      <c r="VG291" s="1"/>
      <c r="VH291" s="1"/>
      <c r="VI291" s="1"/>
      <c r="VJ291" s="1"/>
      <c r="VK291" s="1"/>
      <c r="VL291" s="1"/>
      <c r="VM291" s="1"/>
      <c r="VN291" s="1"/>
      <c r="VO291" s="1"/>
      <c r="VP291" s="1"/>
      <c r="VQ291" s="1"/>
      <c r="VR291" s="1"/>
      <c r="VS291" s="1"/>
      <c r="VT291" s="1"/>
      <c r="VU291" s="1"/>
      <c r="VV291" s="1"/>
      <c r="VW291" s="1"/>
      <c r="VX291" s="1"/>
      <c r="VY291" s="1"/>
      <c r="VZ291" s="1"/>
      <c r="WA291" s="1"/>
      <c r="WB291" s="1"/>
      <c r="WC291" s="1"/>
      <c r="WD291" s="1"/>
      <c r="WE291" s="1"/>
      <c r="WF291" s="1"/>
      <c r="WG291" s="1"/>
      <c r="WH291" s="1"/>
      <c r="WI291" s="1"/>
      <c r="WJ291" s="1"/>
      <c r="WK291" s="1"/>
      <c r="WL291" s="1"/>
      <c r="WM291" s="1"/>
      <c r="WN291" s="1"/>
      <c r="WO291" s="1"/>
      <c r="WP291" s="1"/>
      <c r="WQ291" s="1"/>
      <c r="WR291" s="1"/>
      <c r="WS291" s="1"/>
      <c r="WT291" s="1"/>
      <c r="WU291" s="1"/>
      <c r="WV291" s="1"/>
      <c r="WW291" s="1"/>
      <c r="WX291" s="1"/>
      <c r="WY291" s="1"/>
      <c r="WZ291" s="1"/>
      <c r="XA291" s="1"/>
      <c r="XB291" s="1"/>
      <c r="XC291" s="1"/>
      <c r="XD291" s="1"/>
      <c r="XE291" s="1"/>
      <c r="XF291" s="1"/>
      <c r="XG291" s="1"/>
      <c r="XH291" s="1"/>
      <c r="XI291" s="1"/>
      <c r="XJ291" s="1"/>
      <c r="XK291" s="1"/>
      <c r="XL291" s="1"/>
      <c r="XM291" s="1"/>
      <c r="XN291" s="1"/>
      <c r="XO291" s="1"/>
      <c r="XP291" s="1"/>
      <c r="XQ291" s="1"/>
      <c r="XR291" s="1"/>
      <c r="XS291" s="1"/>
      <c r="XT291" s="1"/>
      <c r="XU291" s="1"/>
      <c r="XV291" s="1"/>
      <c r="XW291" s="1"/>
      <c r="XX291" s="1"/>
      <c r="XY291" s="1"/>
      <c r="XZ291" s="1"/>
      <c r="YA291" s="1"/>
      <c r="YB291" s="1"/>
      <c r="YC291" s="1"/>
      <c r="YD291" s="1"/>
      <c r="YE291" s="1"/>
      <c r="YF291" s="1"/>
      <c r="YG291" s="1"/>
      <c r="YH291" s="1"/>
      <c r="YI291" s="1"/>
      <c r="YJ291" s="1"/>
      <c r="YK291" s="1"/>
      <c r="YL291" s="1"/>
      <c r="YM291" s="1"/>
      <c r="YN291" s="1"/>
      <c r="YO291" s="1"/>
      <c r="YP291" s="1"/>
      <c r="YQ291" s="1"/>
      <c r="YR291" s="1"/>
      <c r="YS291" s="1"/>
      <c r="YT291" s="1"/>
      <c r="YU291" s="1"/>
      <c r="YV291" s="1"/>
      <c r="YW291" s="1"/>
      <c r="YX291" s="1"/>
      <c r="YY291" s="1"/>
      <c r="YZ291" s="1"/>
      <c r="ZA291" s="1"/>
      <c r="ZB291" s="1"/>
      <c r="ZC291" s="1"/>
      <c r="ZD291" s="1"/>
      <c r="ZE291" s="1"/>
      <c r="ZF291" s="1"/>
      <c r="ZG291" s="1"/>
      <c r="ZH291" s="1"/>
      <c r="ZI291" s="1"/>
      <c r="ZJ291" s="1"/>
      <c r="ZK291" s="1"/>
      <c r="ZL291" s="1"/>
      <c r="ZM291" s="1"/>
      <c r="ZN291" s="1"/>
      <c r="ZO291" s="1"/>
      <c r="ZP291" s="1"/>
      <c r="ZQ291" s="1"/>
      <c r="ZR291" s="1"/>
      <c r="ZS291" s="1"/>
      <c r="ZT291" s="1"/>
      <c r="ZU291" s="1"/>
      <c r="ZV291" s="1"/>
      <c r="ZW291" s="1"/>
      <c r="ZX291" s="1"/>
      <c r="ZY291" s="1"/>
      <c r="ZZ291" s="1"/>
      <c r="AAA291" s="1"/>
      <c r="AAB291" s="1"/>
      <c r="AAC291" s="1"/>
      <c r="AAD291" s="1"/>
      <c r="AAE291" s="1"/>
      <c r="AAF291" s="1"/>
      <c r="AAG291" s="1"/>
      <c r="AAH291" s="1"/>
      <c r="AAI291" s="1"/>
      <c r="AAJ291" s="1"/>
      <c r="AAK291" s="1"/>
      <c r="AAL291" s="1"/>
      <c r="AAM291" s="1"/>
      <c r="AAN291" s="1"/>
      <c r="AAO291" s="1"/>
      <c r="AAP291" s="1"/>
      <c r="AAQ291" s="1"/>
      <c r="AAR291" s="1"/>
      <c r="AAS291" s="1"/>
      <c r="AAT291" s="1"/>
      <c r="AAU291" s="1"/>
      <c r="AAV291" s="1"/>
      <c r="AAW291" s="1"/>
      <c r="AAX291" s="1"/>
      <c r="AAY291" s="1"/>
      <c r="AAZ291" s="1"/>
      <c r="ABA291" s="1"/>
      <c r="ABB291" s="1"/>
      <c r="ABC291" s="1"/>
      <c r="ABD291" s="1"/>
      <c r="ABE291" s="1"/>
      <c r="ABF291" s="1"/>
      <c r="ABG291" s="1"/>
      <c r="ABH291" s="1"/>
      <c r="ABI291" s="1"/>
      <c r="ABJ291" s="1"/>
      <c r="ABK291" s="1"/>
      <c r="ABL291" s="1"/>
      <c r="ABM291" s="1"/>
      <c r="ABN291" s="1"/>
      <c r="ABO291" s="1"/>
      <c r="ABP291" s="1"/>
      <c r="ABQ291" s="1"/>
      <c r="ABR291" s="1"/>
      <c r="ABS291" s="1"/>
      <c r="ABT291" s="1"/>
      <c r="ABU291" s="1"/>
      <c r="ABV291" s="1"/>
      <c r="ABW291" s="1"/>
      <c r="ABX291" s="1"/>
      <c r="ABY291" s="1"/>
      <c r="ABZ291" s="1"/>
      <c r="ACA291" s="1"/>
      <c r="ACB291" s="1"/>
      <c r="ACC291" s="1"/>
      <c r="ACD291" s="1"/>
      <c r="ACE291" s="1"/>
      <c r="ACF291" s="1"/>
      <c r="ACG291" s="1"/>
      <c r="ACH291" s="1"/>
      <c r="ACI291" s="1"/>
      <c r="ACJ291" s="1"/>
      <c r="ACK291" s="1"/>
      <c r="ACL291" s="1"/>
      <c r="ACM291" s="1"/>
      <c r="ACN291" s="1"/>
      <c r="ACO291" s="1"/>
      <c r="ACP291" s="1"/>
      <c r="ACQ291" s="1"/>
      <c r="ACR291" s="1"/>
      <c r="ACS291" s="1"/>
      <c r="ACT291" s="1"/>
      <c r="ACU291" s="1"/>
      <c r="ACV291" s="1"/>
      <c r="ACW291" s="1"/>
      <c r="ACX291" s="1"/>
      <c r="ACY291" s="1"/>
      <c r="ACZ291" s="1"/>
      <c r="ADA291" s="1"/>
      <c r="ADB291" s="1"/>
      <c r="ADC291" s="1"/>
      <c r="ADD291" s="1"/>
      <c r="ADE291" s="1"/>
      <c r="ADF291" s="1"/>
      <c r="ADG291" s="1"/>
      <c r="ADH291" s="1"/>
      <c r="ADI291" s="1"/>
      <c r="ADJ291" s="1"/>
      <c r="ADK291" s="1"/>
      <c r="ADL291" s="1"/>
      <c r="ADM291" s="1"/>
      <c r="ADN291" s="1"/>
      <c r="ADO291" s="1"/>
      <c r="ADP291" s="1"/>
      <c r="ADQ291" s="1"/>
      <c r="ADR291" s="1"/>
      <c r="ADS291" s="1"/>
      <c r="ADT291" s="1"/>
      <c r="ADU291" s="1"/>
      <c r="ADV291" s="1"/>
      <c r="ADW291" s="1"/>
      <c r="ADX291" s="1"/>
      <c r="ADY291" s="1"/>
      <c r="ADZ291" s="1"/>
      <c r="AEA291" s="1"/>
      <c r="AEB291" s="1"/>
      <c r="AEC291" s="1"/>
      <c r="AED291" s="1"/>
      <c r="AEE291" s="1"/>
      <c r="AEF291" s="1"/>
      <c r="AEG291" s="1"/>
      <c r="AEH291" s="1"/>
      <c r="AEI291" s="1"/>
      <c r="AEJ291" s="1"/>
      <c r="AEK291" s="1"/>
      <c r="AEL291" s="1"/>
      <c r="AEM291" s="1"/>
      <c r="AEN291" s="1"/>
      <c r="AEO291" s="1"/>
      <c r="AEP291" s="1"/>
      <c r="AEQ291" s="1"/>
      <c r="AER291" s="1"/>
      <c r="AES291" s="1"/>
      <c r="AET291" s="1"/>
      <c r="AEU291" s="1"/>
      <c r="AEV291" s="1"/>
      <c r="AEW291" s="1"/>
      <c r="AEX291" s="1"/>
      <c r="AEY291" s="1"/>
      <c r="AEZ291" s="1"/>
      <c r="AFA291" s="1"/>
      <c r="AFB291" s="1"/>
      <c r="AFC291" s="1"/>
      <c r="AFD291" s="1"/>
      <c r="AFE291" s="1"/>
      <c r="AFF291" s="1"/>
      <c r="AFG291" s="1"/>
      <c r="AFH291" s="1"/>
      <c r="AFI291" s="1"/>
      <c r="AFJ291" s="1"/>
      <c r="AFK291" s="1"/>
      <c r="AFL291" s="1"/>
      <c r="AFM291" s="1"/>
      <c r="AFN291" s="1"/>
      <c r="AFO291" s="1"/>
      <c r="AFP291" s="1"/>
      <c r="AFQ291" s="1"/>
      <c r="AFR291" s="1"/>
      <c r="AFS291" s="1"/>
      <c r="AFT291" s="1"/>
      <c r="AFU291" s="1"/>
      <c r="AFV291" s="1"/>
      <c r="AFW291" s="1"/>
      <c r="AFX291" s="1"/>
      <c r="AFY291" s="1"/>
      <c r="AFZ291" s="1"/>
      <c r="AGA291" s="1"/>
      <c r="AGB291" s="1"/>
      <c r="AGC291" s="1"/>
      <c r="AGD291" s="1"/>
      <c r="AGE291" s="1"/>
      <c r="AGF291" s="1"/>
      <c r="AGG291" s="1"/>
      <c r="AGH291" s="1"/>
      <c r="AGI291" s="1"/>
      <c r="AGJ291" s="1"/>
      <c r="AGK291" s="1"/>
      <c r="AGL291" s="1"/>
      <c r="AGM291" s="1"/>
      <c r="AGN291" s="1"/>
      <c r="AGO291" s="1"/>
      <c r="AGP291" s="1"/>
      <c r="AGQ291" s="1"/>
      <c r="AGR291" s="1"/>
      <c r="AGS291" s="1"/>
      <c r="AGT291" s="1"/>
      <c r="AGU291" s="1"/>
      <c r="AGV291" s="1"/>
      <c r="AGW291" s="1"/>
      <c r="AGX291" s="1"/>
      <c r="AGY291" s="1"/>
      <c r="AGZ291" s="1"/>
      <c r="AHA291" s="1"/>
      <c r="AHB291" s="1"/>
      <c r="AHC291" s="1"/>
      <c r="AHD291" s="1"/>
      <c r="AHE291" s="1"/>
      <c r="AHF291" s="1"/>
      <c r="AHG291" s="1"/>
      <c r="AHH291" s="1"/>
      <c r="AHI291" s="1"/>
      <c r="AHJ291" s="1"/>
      <c r="AHK291" s="1"/>
      <c r="AHL291" s="1"/>
      <c r="AHM291" s="1"/>
      <c r="AHN291" s="1"/>
      <c r="AHO291" s="1"/>
      <c r="AHP291" s="1"/>
      <c r="AHQ291" s="1"/>
      <c r="AHR291" s="1"/>
      <c r="AHS291" s="1"/>
      <c r="AHT291" s="1"/>
      <c r="AHU291" s="1"/>
      <c r="AHV291" s="1"/>
      <c r="AHW291" s="1"/>
      <c r="AHX291" s="1"/>
      <c r="AHY291" s="1"/>
      <c r="AHZ291" s="1"/>
      <c r="AIA291" s="1"/>
      <c r="AIB291" s="1"/>
      <c r="AIC291" s="1"/>
      <c r="AID291" s="1"/>
      <c r="AIE291" s="1"/>
      <c r="AIF291" s="1"/>
      <c r="AIG291" s="1"/>
      <c r="AIH291" s="1"/>
      <c r="AII291" s="1"/>
      <c r="AIJ291" s="1"/>
      <c r="AIK291" s="1"/>
      <c r="AIL291" s="1"/>
      <c r="AIM291" s="1"/>
      <c r="AIN291" s="1"/>
      <c r="AIO291" s="1"/>
      <c r="AIP291" s="1"/>
      <c r="AIQ291" s="1"/>
      <c r="AIR291" s="1"/>
      <c r="AIS291" s="1"/>
      <c r="AIT291" s="1"/>
      <c r="AIU291" s="1"/>
      <c r="AIV291" s="1"/>
      <c r="AIW291" s="1"/>
      <c r="AIX291" s="1"/>
      <c r="AIY291" s="1"/>
      <c r="AIZ291" s="1"/>
      <c r="AJA291" s="1"/>
      <c r="AJB291" s="1"/>
      <c r="AJC291" s="1"/>
      <c r="AJD291" s="1"/>
      <c r="AJE291" s="1"/>
      <c r="AJF291" s="1"/>
      <c r="AJG291" s="1"/>
      <c r="AJH291" s="1"/>
      <c r="AJI291" s="1"/>
      <c r="AJJ291" s="1"/>
      <c r="AJK291" s="1"/>
      <c r="AJL291" s="1"/>
      <c r="AJM291" s="1"/>
      <c r="AJN291" s="1"/>
      <c r="AJO291" s="1"/>
      <c r="AJP291" s="1"/>
      <c r="AJQ291" s="1"/>
      <c r="AJR291" s="1"/>
      <c r="AJS291" s="1"/>
      <c r="AJT291" s="1"/>
      <c r="AJU291" s="1"/>
      <c r="AJV291" s="1"/>
      <c r="AJW291" s="1"/>
      <c r="AJX291" s="1"/>
      <c r="AJY291" s="1"/>
      <c r="AJZ291" s="1"/>
      <c r="AKA291" s="1"/>
      <c r="AKB291" s="1"/>
      <c r="AKC291" s="1"/>
      <c r="AKD291" s="1"/>
      <c r="AKE291" s="1"/>
      <c r="AKF291" s="1"/>
      <c r="AKG291" s="1"/>
      <c r="AKH291" s="1"/>
      <c r="AKI291" s="1"/>
      <c r="AKJ291" s="1"/>
      <c r="AKK291" s="1"/>
      <c r="AKL291" s="1"/>
      <c r="AKM291" s="1"/>
      <c r="AKN291" s="1"/>
      <c r="AKO291" s="1"/>
      <c r="AKP291" s="1"/>
      <c r="AKQ291" s="1"/>
      <c r="AKR291" s="1"/>
      <c r="AKS291" s="1"/>
      <c r="AKT291" s="1"/>
      <c r="AKU291" s="1"/>
      <c r="AKV291" s="1"/>
      <c r="AKW291" s="1"/>
      <c r="AKX291" s="1"/>
      <c r="AKY291" s="1"/>
      <c r="AKZ291" s="1"/>
      <c r="ALA291" s="1"/>
      <c r="ALB291" s="1"/>
      <c r="ALC291" s="1"/>
      <c r="ALD291" s="1"/>
      <c r="ALE291" s="1"/>
      <c r="ALF291" s="1"/>
      <c r="ALG291" s="1"/>
      <c r="ALH291" s="1"/>
      <c r="ALI291" s="1"/>
      <c r="ALJ291" s="1"/>
      <c r="ALK291" s="1"/>
      <c r="ALL291" s="1"/>
      <c r="ALM291" s="1"/>
      <c r="ALN291" s="1"/>
      <c r="ALO291" s="1"/>
      <c r="ALP291" s="1"/>
      <c r="ALQ291" s="1"/>
      <c r="ALR291" s="1"/>
      <c r="ALS291" s="1"/>
      <c r="ALT291" s="1"/>
      <c r="ALU291" s="1"/>
      <c r="ALV291" s="1"/>
      <c r="ALW291" s="1"/>
      <c r="ALX291" s="1"/>
      <c r="ALY291" s="1"/>
      <c r="ALZ291" s="1"/>
      <c r="AMA291" s="1"/>
      <c r="AMB291" s="1"/>
      <c r="AMC291" s="1"/>
      <c r="AMD291" s="1"/>
      <c r="AME291" s="1"/>
      <c r="AMF291" s="1"/>
      <c r="AMG291" s="1"/>
      <c r="AMH291" s="1"/>
      <c r="AMI291" s="1"/>
      <c r="AMJ291" s="1"/>
      <c r="AMK291" s="1"/>
      <c r="AML291" s="1"/>
      <c r="AMM291" s="1"/>
      <c r="AMN291" s="1"/>
      <c r="AMO291" s="1"/>
    </row>
    <row r="292" spans="1:1029" x14ac:dyDescent="0.2">
      <c r="A292" s="3" t="str">
        <f t="shared" ref="A292:A320" si="1115">CONCATENATE(B292,"_",C292)</f>
        <v>glr_human_5EE7</v>
      </c>
      <c r="B292" s="3" t="s">
        <v>32</v>
      </c>
      <c r="C292" s="3" t="s">
        <v>49</v>
      </c>
      <c r="D292" s="3" t="str">
        <f>IFERROR(MID(VLOOKUP($B292,Seqs!$A:$B,2,0),E292,1),"")</f>
        <v>Y</v>
      </c>
      <c r="E292" s="3">
        <v>138</v>
      </c>
      <c r="F292" s="3" t="str">
        <f>IFERROR(MID(VLOOKUP($B292,Seqs!$A:$B,2,0),G292,1),"")</f>
        <v>L</v>
      </c>
      <c r="G292" s="3">
        <v>166</v>
      </c>
      <c r="H292" s="3" t="str">
        <f>IFERROR(MID(VLOOKUP($B292,Seqs!$A:$B,2,0),I292,1),"")</f>
        <v>S</v>
      </c>
      <c r="I292" s="23">
        <v>167</v>
      </c>
      <c r="J292" s="3" t="str">
        <f>IFERROR(MID(VLOOKUP($B292,Seqs!$A:$B,2,0),K292,1),"")</f>
        <v>H</v>
      </c>
      <c r="K292" s="23">
        <v>170</v>
      </c>
      <c r="L292" s="3" t="str">
        <f>IFERROR(MID(VLOOKUP($B292,Seqs!$A:$B,2,0),M292,1),"")</f>
        <v>C</v>
      </c>
      <c r="M292" s="23">
        <v>171</v>
      </c>
      <c r="N292" s="3" t="str">
        <f>IFERROR(MID(VLOOKUP($B292,Seqs!$A:$B,2,0),O292,1),"")</f>
        <v>R</v>
      </c>
      <c r="O292" s="3">
        <v>199</v>
      </c>
      <c r="P292" s="3" t="str">
        <f>IFERROR(MID(VLOOKUP($B292,Seqs!$A:$B,2,0),Q292,1),"")</f>
        <v/>
      </c>
      <c r="Q292" s="3" t="s">
        <v>23</v>
      </c>
      <c r="R292" s="3" t="str">
        <f>IFERROR(MID(VLOOKUP($B292,Seqs!$A:$B,2,0),S292,1),"")</f>
        <v/>
      </c>
      <c r="S292" s="3" t="s">
        <v>23</v>
      </c>
      <c r="T292" s="3" t="str">
        <f>IFERROR(MID(VLOOKUP($B292,Seqs!$A:$B,2,0),U292,1),"")</f>
        <v>D</v>
      </c>
      <c r="U292" s="3">
        <v>218</v>
      </c>
      <c r="V292" s="3" t="str">
        <f>IFERROR(MID(VLOOKUP($B292,Seqs!$A:$B,2,0),W292,1),"")</f>
        <v>G</v>
      </c>
      <c r="W292" s="3">
        <v>254</v>
      </c>
      <c r="X292" s="3" t="str">
        <f>IFERROR(MID(VLOOKUP($B292,Seqs!$A:$B,2,0),Y292,1),"")</f>
        <v/>
      </c>
      <c r="Y292" s="3" t="s">
        <v>23</v>
      </c>
      <c r="Z292" s="3" t="str">
        <f>IFERROR(MID(VLOOKUP($B292,Seqs!$A:$B,2,0),AA292,1),"")</f>
        <v/>
      </c>
      <c r="AA292" s="3" t="s">
        <v>23</v>
      </c>
      <c r="AB292" s="3" t="str">
        <f>IFERROR(MID(VLOOKUP($B292,Seqs!$A:$B,2,0),AC292,1),"")</f>
        <v>S</v>
      </c>
      <c r="AC292" s="9">
        <v>262</v>
      </c>
      <c r="AD292" s="3" t="str">
        <f>IFERROR(MID(VLOOKUP($B292,Seqs!$A:$B,2,0),AE292,1),"")</f>
        <v>E</v>
      </c>
      <c r="AE292" s="3">
        <v>290</v>
      </c>
      <c r="AF292" s="3" t="str">
        <f>IFERROR(MID(VLOOKUP($B292,Seqs!$A:$B,2,0),AG292,1),"")</f>
        <v>C</v>
      </c>
      <c r="AG292" s="3">
        <v>294</v>
      </c>
      <c r="AH292" s="3" t="str">
        <f>IFERROR(MID(VLOOKUP($B292,Seqs!$A:$B,2,0),AI292,1),"")</f>
        <v>T</v>
      </c>
      <c r="AI292" s="3">
        <v>296</v>
      </c>
      <c r="AJ292" s="3" t="str">
        <f>IFERROR(MID(VLOOKUP($B292,Seqs!$A:$B,2,0),AK292,1),"")</f>
        <v>R</v>
      </c>
      <c r="AK292" s="105">
        <v>308</v>
      </c>
      <c r="AL292" s="3" t="str">
        <f>IFERROR(MID(VLOOKUP($B292,Seqs!$A:$B,2,0),AM292,1),"")</f>
        <v>A</v>
      </c>
      <c r="AM292" s="3">
        <v>335</v>
      </c>
      <c r="AN292" s="3" t="str">
        <f>IFERROR(MID(VLOOKUP($B292,Seqs!$A:$B,2,0),AO292,1),"")</f>
        <v>D</v>
      </c>
      <c r="AO292" s="3">
        <v>342</v>
      </c>
      <c r="AP292" s="3" t="str">
        <f>IFERROR(MID(VLOOKUP($B292,Seqs!$A:$B,2,0),AQ292,1),"")</f>
        <v>D</v>
      </c>
      <c r="AQ292" s="3">
        <v>370</v>
      </c>
      <c r="AR292" s="3" t="str">
        <f>IFERROR(MID(VLOOKUP($B292,Seqs!$A:$B,2,0),AS292,1),"")</f>
        <v>S</v>
      </c>
      <c r="AS292" s="3">
        <v>379</v>
      </c>
      <c r="AT292" s="3" t="str">
        <f>IFERROR(MID(VLOOKUP($B292,Seqs!$A:$B,2,0),AU292,1),"")</f>
        <v>F</v>
      </c>
      <c r="AU292" s="3">
        <v>402</v>
      </c>
      <c r="AV292" s="3" t="str">
        <f>IFERROR(MID(VLOOKUP($B292,Seqs!$A:$B,2,0),AW292,1),"")</f>
        <v>N</v>
      </c>
      <c r="AW292" s="3">
        <v>404</v>
      </c>
      <c r="AX292" s="3" t="str">
        <f>IFERROR(MID(VLOOKUP($B292,Seqs!$A:$B,2,0),AY292,1),"")</f>
        <v>R</v>
      </c>
      <c r="AY292" s="3">
        <v>417</v>
      </c>
      <c r="AZ292" s="77" t="str">
        <f>VLOOKUP(B292,Classification!A:D,2,0)</f>
        <v>B1</v>
      </c>
      <c r="BA292" s="94" t="str">
        <f>VLOOKUP(B292,Classification!A:D,4,0)</f>
        <v>Glucagonreceptorfamily</v>
      </c>
      <c r="BB292" s="27" t="b">
        <f t="shared" ref="BB292:BB320" si="1116">AND(E292&lt;G292,OR(G292&lt;I292,I292="-"),OR(I292&lt;K292,I292="-"),OR(K292&lt;M292,K292="-"),M292&lt;O292,OR(O292&lt;Q292,Q292="-"),OR(Q292&lt;S292,Q292="-"),OR(S292&lt;U292,S292="-"),U292&lt;W292,OR(W292&lt;Y292,Y292="-"),OR(Y292&lt;AA292,Y292="-"),OR(AA292&lt;AC292,AA292="-"),AC292&lt;AE292,OR(AE292&lt;AG292,AG292="-"),OR(AG292&lt;AI292,AG292="-"),OR(AI292&lt;AK292,AI292="-"),AK292&lt;AM292,AM292&lt;AO292,AO292&lt;AQ292,AQ292&lt;AS292,AS292&lt;AU292,OR(AU292&lt;AW292,AW292="-"),OR(AW292&lt;AY292,AW292="-"))</f>
        <v>1</v>
      </c>
      <c r="BC292" s="23">
        <f t="shared" si="1089"/>
        <v>228</v>
      </c>
      <c r="BD292" s="4" t="s">
        <v>23</v>
      </c>
      <c r="BE292" s="3" t="s">
        <v>1381</v>
      </c>
      <c r="BF292" s="119">
        <v>2.5</v>
      </c>
      <c r="BG292" s="49" t="s">
        <v>1384</v>
      </c>
      <c r="BH292" s="49" t="s">
        <v>1384</v>
      </c>
      <c r="BI292" s="1"/>
      <c r="BJ292" s="70" t="s">
        <v>1293</v>
      </c>
      <c r="BK292" s="57" t="s">
        <v>1293</v>
      </c>
      <c r="BL292" s="57" t="s">
        <v>1293</v>
      </c>
      <c r="BM292" s="57" t="s">
        <v>1293</v>
      </c>
      <c r="BN292" s="57" t="s">
        <v>1293</v>
      </c>
      <c r="BO292" s="57" t="s">
        <v>1293</v>
      </c>
      <c r="BP292" s="57" t="s">
        <v>1293</v>
      </c>
      <c r="BQ292" s="57" t="s">
        <v>1293</v>
      </c>
      <c r="BR292" s="57" t="s">
        <v>1293</v>
      </c>
      <c r="BS292" s="57" t="s">
        <v>1293</v>
      </c>
      <c r="BT292" s="57" t="s">
        <v>1293</v>
      </c>
      <c r="BU292" s="57" t="s">
        <v>1293</v>
      </c>
      <c r="BV292" s="70">
        <f t="shared" si="1090"/>
        <v>138</v>
      </c>
      <c r="BW292" s="71">
        <f t="shared" si="1091"/>
        <v>167</v>
      </c>
      <c r="BX292" s="72">
        <f t="shared" si="1092"/>
        <v>171</v>
      </c>
      <c r="BY292" s="71" t="str">
        <f t="shared" si="1093"/>
        <v>-</v>
      </c>
      <c r="BZ292" s="72">
        <f t="shared" si="1094"/>
        <v>218</v>
      </c>
      <c r="CA292" s="71" t="str">
        <f t="shared" si="1095"/>
        <v>-</v>
      </c>
      <c r="CB292" s="72">
        <f t="shared" si="1096"/>
        <v>262</v>
      </c>
      <c r="CC292" s="71">
        <f t="shared" si="1097"/>
        <v>294</v>
      </c>
      <c r="CD292" s="72">
        <f t="shared" si="1098"/>
        <v>308</v>
      </c>
      <c r="CE292" s="71">
        <f t="shared" si="1099"/>
        <v>342</v>
      </c>
      <c r="CF292" s="72">
        <f t="shared" si="1100"/>
        <v>379</v>
      </c>
      <c r="CG292" s="71">
        <f t="shared" si="1101"/>
        <v>404</v>
      </c>
      <c r="CH292" s="70">
        <f t="shared" si="1102"/>
        <v>166</v>
      </c>
      <c r="CI292" s="71">
        <f t="shared" si="1103"/>
        <v>170</v>
      </c>
      <c r="CJ292" s="72">
        <f t="shared" si="1104"/>
        <v>199</v>
      </c>
      <c r="CK292" s="72" t="str">
        <f t="shared" si="1105"/>
        <v>-</v>
      </c>
      <c r="CL292" s="72">
        <f t="shared" si="1106"/>
        <v>254</v>
      </c>
      <c r="CM292" s="72" t="str">
        <f t="shared" si="1107"/>
        <v>-</v>
      </c>
      <c r="CN292" s="72">
        <f t="shared" si="1108"/>
        <v>290</v>
      </c>
      <c r="CO292" s="72">
        <f t="shared" si="1109"/>
        <v>296</v>
      </c>
      <c r="CP292" s="72">
        <f t="shared" si="1110"/>
        <v>335</v>
      </c>
      <c r="CQ292" s="72">
        <f t="shared" si="1111"/>
        <v>370</v>
      </c>
      <c r="CR292" s="72">
        <f t="shared" si="1112"/>
        <v>402</v>
      </c>
      <c r="CS292" s="72">
        <f t="shared" si="1113"/>
        <v>417</v>
      </c>
      <c r="CT292" s="23">
        <f t="shared" si="1114"/>
        <v>1</v>
      </c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  <c r="OK292" s="1"/>
      <c r="OL292" s="1"/>
      <c r="OM292" s="1"/>
      <c r="ON292" s="1"/>
      <c r="OO292" s="1"/>
      <c r="OP292" s="1"/>
      <c r="OQ292" s="1"/>
      <c r="OR292" s="1"/>
      <c r="OS292" s="1"/>
      <c r="OT292" s="1"/>
      <c r="OU292" s="1"/>
      <c r="OV292" s="1"/>
      <c r="OW292" s="1"/>
      <c r="OX292" s="1"/>
      <c r="OY292" s="1"/>
      <c r="OZ292" s="1"/>
      <c r="PA292" s="1"/>
      <c r="PB292" s="1"/>
      <c r="PC292" s="1"/>
      <c r="PD292" s="1"/>
      <c r="PE292" s="1"/>
      <c r="PF292" s="1"/>
      <c r="PG292" s="1"/>
      <c r="PH292" s="1"/>
      <c r="PI292" s="1"/>
      <c r="PJ292" s="1"/>
      <c r="PK292" s="1"/>
      <c r="PL292" s="1"/>
      <c r="PM292" s="1"/>
      <c r="PN292" s="1"/>
      <c r="PO292" s="1"/>
      <c r="PP292" s="1"/>
      <c r="PQ292" s="1"/>
      <c r="PR292" s="1"/>
      <c r="PS292" s="1"/>
      <c r="PT292" s="1"/>
      <c r="PU292" s="1"/>
      <c r="PV292" s="1"/>
      <c r="PW292" s="1"/>
      <c r="PX292" s="1"/>
      <c r="PY292" s="1"/>
      <c r="PZ292" s="1"/>
      <c r="QA292" s="1"/>
      <c r="QB292" s="1"/>
      <c r="QC292" s="1"/>
      <c r="QD292" s="1"/>
      <c r="QE292" s="1"/>
      <c r="QF292" s="1"/>
      <c r="QG292" s="1"/>
      <c r="QH292" s="1"/>
      <c r="QI292" s="1"/>
      <c r="QJ292" s="1"/>
      <c r="QK292" s="1"/>
      <c r="QL292" s="1"/>
      <c r="QM292" s="1"/>
      <c r="QN292" s="1"/>
      <c r="QO292" s="1"/>
      <c r="QP292" s="1"/>
      <c r="QQ292" s="1"/>
      <c r="QR292" s="1"/>
      <c r="QS292" s="1"/>
      <c r="QT292" s="1"/>
      <c r="QU292" s="1"/>
      <c r="QV292" s="1"/>
      <c r="QW292" s="1"/>
      <c r="QX292" s="1"/>
      <c r="QY292" s="1"/>
      <c r="QZ292" s="1"/>
      <c r="RA292" s="1"/>
      <c r="RB292" s="1"/>
      <c r="RC292" s="1"/>
      <c r="RD292" s="1"/>
      <c r="RE292" s="1"/>
      <c r="RF292" s="1"/>
      <c r="RG292" s="1"/>
      <c r="RH292" s="1"/>
      <c r="RI292" s="1"/>
      <c r="RJ292" s="1"/>
      <c r="RK292" s="1"/>
      <c r="RL292" s="1"/>
      <c r="RM292" s="1"/>
      <c r="RN292" s="1"/>
      <c r="RO292" s="1"/>
      <c r="RP292" s="1"/>
      <c r="RQ292" s="1"/>
      <c r="RR292" s="1"/>
      <c r="RS292" s="1"/>
      <c r="RT292" s="1"/>
      <c r="RU292" s="1"/>
      <c r="RV292" s="1"/>
      <c r="RW292" s="1"/>
      <c r="RX292" s="1"/>
      <c r="RY292" s="1"/>
      <c r="RZ292" s="1"/>
      <c r="SA292" s="1"/>
      <c r="SB292" s="1"/>
      <c r="SC292" s="1"/>
      <c r="SD292" s="1"/>
      <c r="SE292" s="1"/>
      <c r="SF292" s="1"/>
      <c r="SG292" s="1"/>
      <c r="SH292" s="1"/>
      <c r="SI292" s="1"/>
      <c r="SJ292" s="1"/>
      <c r="SK292" s="1"/>
      <c r="SL292" s="1"/>
      <c r="SM292" s="1"/>
      <c r="SN292" s="1"/>
      <c r="SO292" s="1"/>
      <c r="SP292" s="1"/>
      <c r="SQ292" s="1"/>
      <c r="SR292" s="1"/>
      <c r="SS292" s="1"/>
      <c r="ST292" s="1"/>
      <c r="SU292" s="1"/>
      <c r="SV292" s="1"/>
      <c r="SW292" s="1"/>
      <c r="SX292" s="1"/>
      <c r="SY292" s="1"/>
      <c r="SZ292" s="1"/>
      <c r="TA292" s="1"/>
      <c r="TB292" s="1"/>
      <c r="TC292" s="1"/>
      <c r="TD292" s="1"/>
      <c r="TE292" s="1"/>
      <c r="TF292" s="1"/>
      <c r="TG292" s="1"/>
      <c r="TH292" s="1"/>
      <c r="TI292" s="1"/>
      <c r="TJ292" s="1"/>
      <c r="TK292" s="1"/>
      <c r="TL292" s="1"/>
      <c r="TM292" s="1"/>
      <c r="TN292" s="1"/>
      <c r="TO292" s="1"/>
      <c r="TP292" s="1"/>
      <c r="TQ292" s="1"/>
      <c r="TR292" s="1"/>
      <c r="TS292" s="1"/>
      <c r="TT292" s="1"/>
      <c r="TU292" s="1"/>
      <c r="TV292" s="1"/>
      <c r="TW292" s="1"/>
      <c r="TX292" s="1"/>
      <c r="TY292" s="1"/>
      <c r="TZ292" s="1"/>
      <c r="UA292" s="1"/>
      <c r="UB292" s="1"/>
      <c r="UC292" s="1"/>
      <c r="UD292" s="1"/>
      <c r="UE292" s="1"/>
      <c r="UF292" s="1"/>
      <c r="UG292" s="1"/>
      <c r="UH292" s="1"/>
      <c r="UI292" s="1"/>
      <c r="UJ292" s="1"/>
      <c r="UK292" s="1"/>
      <c r="UL292" s="1"/>
      <c r="UM292" s="1"/>
      <c r="UN292" s="1"/>
      <c r="UO292" s="1"/>
      <c r="UP292" s="1"/>
      <c r="UQ292" s="1"/>
      <c r="UR292" s="1"/>
      <c r="US292" s="1"/>
      <c r="UT292" s="1"/>
      <c r="UU292" s="1"/>
      <c r="UV292" s="1"/>
      <c r="UW292" s="1"/>
      <c r="UX292" s="1"/>
      <c r="UY292" s="1"/>
      <c r="UZ292" s="1"/>
      <c r="VA292" s="1"/>
      <c r="VB292" s="1"/>
      <c r="VC292" s="1"/>
      <c r="VD292" s="1"/>
      <c r="VE292" s="1"/>
      <c r="VF292" s="1"/>
      <c r="VG292" s="1"/>
      <c r="VH292" s="1"/>
      <c r="VI292" s="1"/>
      <c r="VJ292" s="1"/>
      <c r="VK292" s="1"/>
      <c r="VL292" s="1"/>
      <c r="VM292" s="1"/>
      <c r="VN292" s="1"/>
      <c r="VO292" s="1"/>
      <c r="VP292" s="1"/>
      <c r="VQ292" s="1"/>
      <c r="VR292" s="1"/>
      <c r="VS292" s="1"/>
      <c r="VT292" s="1"/>
      <c r="VU292" s="1"/>
      <c r="VV292" s="1"/>
      <c r="VW292" s="1"/>
      <c r="VX292" s="1"/>
      <c r="VY292" s="1"/>
      <c r="VZ292" s="1"/>
      <c r="WA292" s="1"/>
      <c r="WB292" s="1"/>
      <c r="WC292" s="1"/>
      <c r="WD292" s="1"/>
      <c r="WE292" s="1"/>
      <c r="WF292" s="1"/>
      <c r="WG292" s="1"/>
      <c r="WH292" s="1"/>
      <c r="WI292" s="1"/>
      <c r="WJ292" s="1"/>
      <c r="WK292" s="1"/>
      <c r="WL292" s="1"/>
      <c r="WM292" s="1"/>
      <c r="WN292" s="1"/>
      <c r="WO292" s="1"/>
      <c r="WP292" s="1"/>
      <c r="WQ292" s="1"/>
      <c r="WR292" s="1"/>
      <c r="WS292" s="1"/>
      <c r="WT292" s="1"/>
      <c r="WU292" s="1"/>
      <c r="WV292" s="1"/>
      <c r="WW292" s="1"/>
      <c r="WX292" s="1"/>
      <c r="WY292" s="1"/>
      <c r="WZ292" s="1"/>
      <c r="XA292" s="1"/>
      <c r="XB292" s="1"/>
      <c r="XC292" s="1"/>
      <c r="XD292" s="1"/>
      <c r="XE292" s="1"/>
      <c r="XF292" s="1"/>
      <c r="XG292" s="1"/>
      <c r="XH292" s="1"/>
      <c r="XI292" s="1"/>
      <c r="XJ292" s="1"/>
      <c r="XK292" s="1"/>
      <c r="XL292" s="1"/>
      <c r="XM292" s="1"/>
      <c r="XN292" s="1"/>
      <c r="XO292" s="1"/>
      <c r="XP292" s="1"/>
      <c r="XQ292" s="1"/>
      <c r="XR292" s="1"/>
      <c r="XS292" s="1"/>
      <c r="XT292" s="1"/>
      <c r="XU292" s="1"/>
      <c r="XV292" s="1"/>
      <c r="XW292" s="1"/>
      <c r="XX292" s="1"/>
      <c r="XY292" s="1"/>
      <c r="XZ292" s="1"/>
      <c r="YA292" s="1"/>
      <c r="YB292" s="1"/>
      <c r="YC292" s="1"/>
      <c r="YD292" s="1"/>
      <c r="YE292" s="1"/>
      <c r="YF292" s="1"/>
      <c r="YG292" s="1"/>
      <c r="YH292" s="1"/>
      <c r="YI292" s="1"/>
      <c r="YJ292" s="1"/>
      <c r="YK292" s="1"/>
      <c r="YL292" s="1"/>
      <c r="YM292" s="1"/>
      <c r="YN292" s="1"/>
      <c r="YO292" s="1"/>
      <c r="YP292" s="1"/>
      <c r="YQ292" s="1"/>
      <c r="YR292" s="1"/>
      <c r="YS292" s="1"/>
      <c r="YT292" s="1"/>
      <c r="YU292" s="1"/>
      <c r="YV292" s="1"/>
      <c r="YW292" s="1"/>
      <c r="YX292" s="1"/>
      <c r="YY292" s="1"/>
      <c r="YZ292" s="1"/>
      <c r="ZA292" s="1"/>
      <c r="ZB292" s="1"/>
      <c r="ZC292" s="1"/>
      <c r="ZD292" s="1"/>
      <c r="ZE292" s="1"/>
      <c r="ZF292" s="1"/>
      <c r="ZG292" s="1"/>
      <c r="ZH292" s="1"/>
      <c r="ZI292" s="1"/>
      <c r="ZJ292" s="1"/>
      <c r="ZK292" s="1"/>
      <c r="ZL292" s="1"/>
      <c r="ZM292" s="1"/>
      <c r="ZN292" s="1"/>
      <c r="ZO292" s="1"/>
      <c r="ZP292" s="1"/>
      <c r="ZQ292" s="1"/>
      <c r="ZR292" s="1"/>
      <c r="ZS292" s="1"/>
      <c r="ZT292" s="1"/>
      <c r="ZU292" s="1"/>
      <c r="ZV292" s="1"/>
      <c r="ZW292" s="1"/>
      <c r="ZX292" s="1"/>
      <c r="ZY292" s="1"/>
      <c r="ZZ292" s="1"/>
      <c r="AAA292" s="1"/>
      <c r="AAB292" s="1"/>
      <c r="AAC292" s="1"/>
      <c r="AAD292" s="1"/>
      <c r="AAE292" s="1"/>
      <c r="AAF292" s="1"/>
      <c r="AAG292" s="1"/>
      <c r="AAH292" s="1"/>
      <c r="AAI292" s="1"/>
      <c r="AAJ292" s="1"/>
      <c r="AAK292" s="1"/>
      <c r="AAL292" s="1"/>
      <c r="AAM292" s="1"/>
      <c r="AAN292" s="1"/>
      <c r="AAO292" s="1"/>
      <c r="AAP292" s="1"/>
      <c r="AAQ292" s="1"/>
      <c r="AAR292" s="1"/>
      <c r="AAS292" s="1"/>
      <c r="AAT292" s="1"/>
      <c r="AAU292" s="1"/>
      <c r="AAV292" s="1"/>
      <c r="AAW292" s="1"/>
      <c r="AAX292" s="1"/>
      <c r="AAY292" s="1"/>
      <c r="AAZ292" s="1"/>
      <c r="ABA292" s="1"/>
      <c r="ABB292" s="1"/>
      <c r="ABC292" s="1"/>
      <c r="ABD292" s="1"/>
      <c r="ABE292" s="1"/>
      <c r="ABF292" s="1"/>
      <c r="ABG292" s="1"/>
      <c r="ABH292" s="1"/>
      <c r="ABI292" s="1"/>
      <c r="ABJ292" s="1"/>
      <c r="ABK292" s="1"/>
      <c r="ABL292" s="1"/>
      <c r="ABM292" s="1"/>
      <c r="ABN292" s="1"/>
      <c r="ABO292" s="1"/>
      <c r="ABP292" s="1"/>
      <c r="ABQ292" s="1"/>
      <c r="ABR292" s="1"/>
      <c r="ABS292" s="1"/>
      <c r="ABT292" s="1"/>
      <c r="ABU292" s="1"/>
      <c r="ABV292" s="1"/>
      <c r="ABW292" s="1"/>
      <c r="ABX292" s="1"/>
      <c r="ABY292" s="1"/>
      <c r="ABZ292" s="1"/>
      <c r="ACA292" s="1"/>
      <c r="ACB292" s="1"/>
      <c r="ACC292" s="1"/>
      <c r="ACD292" s="1"/>
      <c r="ACE292" s="1"/>
      <c r="ACF292" s="1"/>
      <c r="ACG292" s="1"/>
      <c r="ACH292" s="1"/>
      <c r="ACI292" s="1"/>
      <c r="ACJ292" s="1"/>
      <c r="ACK292" s="1"/>
      <c r="ACL292" s="1"/>
      <c r="ACM292" s="1"/>
      <c r="ACN292" s="1"/>
      <c r="ACO292" s="1"/>
      <c r="ACP292" s="1"/>
      <c r="ACQ292" s="1"/>
      <c r="ACR292" s="1"/>
      <c r="ACS292" s="1"/>
      <c r="ACT292" s="1"/>
      <c r="ACU292" s="1"/>
      <c r="ACV292" s="1"/>
      <c r="ACW292" s="1"/>
      <c r="ACX292" s="1"/>
      <c r="ACY292" s="1"/>
      <c r="ACZ292" s="1"/>
      <c r="ADA292" s="1"/>
      <c r="ADB292" s="1"/>
      <c r="ADC292" s="1"/>
      <c r="ADD292" s="1"/>
      <c r="ADE292" s="1"/>
      <c r="ADF292" s="1"/>
      <c r="ADG292" s="1"/>
      <c r="ADH292" s="1"/>
      <c r="ADI292" s="1"/>
      <c r="ADJ292" s="1"/>
      <c r="ADK292" s="1"/>
      <c r="ADL292" s="1"/>
      <c r="ADM292" s="1"/>
      <c r="ADN292" s="1"/>
      <c r="ADO292" s="1"/>
      <c r="ADP292" s="1"/>
      <c r="ADQ292" s="1"/>
      <c r="ADR292" s="1"/>
      <c r="ADS292" s="1"/>
      <c r="ADT292" s="1"/>
      <c r="ADU292" s="1"/>
      <c r="ADV292" s="1"/>
      <c r="ADW292" s="1"/>
      <c r="ADX292" s="1"/>
      <c r="ADY292" s="1"/>
      <c r="ADZ292" s="1"/>
      <c r="AEA292" s="1"/>
      <c r="AEB292" s="1"/>
      <c r="AEC292" s="1"/>
      <c r="AED292" s="1"/>
      <c r="AEE292" s="1"/>
      <c r="AEF292" s="1"/>
      <c r="AEG292" s="1"/>
      <c r="AEH292" s="1"/>
      <c r="AEI292" s="1"/>
      <c r="AEJ292" s="1"/>
      <c r="AEK292" s="1"/>
      <c r="AEL292" s="1"/>
      <c r="AEM292" s="1"/>
      <c r="AEN292" s="1"/>
      <c r="AEO292" s="1"/>
      <c r="AEP292" s="1"/>
      <c r="AEQ292" s="1"/>
      <c r="AER292" s="1"/>
      <c r="AES292" s="1"/>
      <c r="AET292" s="1"/>
      <c r="AEU292" s="1"/>
      <c r="AEV292" s="1"/>
      <c r="AEW292" s="1"/>
      <c r="AEX292" s="1"/>
      <c r="AEY292" s="1"/>
      <c r="AEZ292" s="1"/>
      <c r="AFA292" s="1"/>
      <c r="AFB292" s="1"/>
      <c r="AFC292" s="1"/>
      <c r="AFD292" s="1"/>
      <c r="AFE292" s="1"/>
      <c r="AFF292" s="1"/>
      <c r="AFG292" s="1"/>
      <c r="AFH292" s="1"/>
      <c r="AFI292" s="1"/>
      <c r="AFJ292" s="1"/>
      <c r="AFK292" s="1"/>
      <c r="AFL292" s="1"/>
      <c r="AFM292" s="1"/>
      <c r="AFN292" s="1"/>
      <c r="AFO292" s="1"/>
      <c r="AFP292" s="1"/>
      <c r="AFQ292" s="1"/>
      <c r="AFR292" s="1"/>
      <c r="AFS292" s="1"/>
      <c r="AFT292" s="1"/>
      <c r="AFU292" s="1"/>
      <c r="AFV292" s="1"/>
      <c r="AFW292" s="1"/>
      <c r="AFX292" s="1"/>
      <c r="AFY292" s="1"/>
      <c r="AFZ292" s="1"/>
      <c r="AGA292" s="1"/>
      <c r="AGB292" s="1"/>
      <c r="AGC292" s="1"/>
      <c r="AGD292" s="1"/>
      <c r="AGE292" s="1"/>
      <c r="AGF292" s="1"/>
      <c r="AGG292" s="1"/>
      <c r="AGH292" s="1"/>
      <c r="AGI292" s="1"/>
      <c r="AGJ292" s="1"/>
      <c r="AGK292" s="1"/>
      <c r="AGL292" s="1"/>
      <c r="AGM292" s="1"/>
      <c r="AGN292" s="1"/>
      <c r="AGO292" s="1"/>
      <c r="AGP292" s="1"/>
      <c r="AGQ292" s="1"/>
      <c r="AGR292" s="1"/>
      <c r="AGS292" s="1"/>
      <c r="AGT292" s="1"/>
      <c r="AGU292" s="1"/>
      <c r="AGV292" s="1"/>
      <c r="AGW292" s="1"/>
      <c r="AGX292" s="1"/>
      <c r="AGY292" s="1"/>
      <c r="AGZ292" s="1"/>
      <c r="AHA292" s="1"/>
      <c r="AHB292" s="1"/>
      <c r="AHC292" s="1"/>
      <c r="AHD292" s="1"/>
      <c r="AHE292" s="1"/>
      <c r="AHF292" s="1"/>
      <c r="AHG292" s="1"/>
      <c r="AHH292" s="1"/>
      <c r="AHI292" s="1"/>
      <c r="AHJ292" s="1"/>
      <c r="AHK292" s="1"/>
      <c r="AHL292" s="1"/>
      <c r="AHM292" s="1"/>
      <c r="AHN292" s="1"/>
      <c r="AHO292" s="1"/>
      <c r="AHP292" s="1"/>
      <c r="AHQ292" s="1"/>
      <c r="AHR292" s="1"/>
      <c r="AHS292" s="1"/>
      <c r="AHT292" s="1"/>
      <c r="AHU292" s="1"/>
      <c r="AHV292" s="1"/>
      <c r="AHW292" s="1"/>
      <c r="AHX292" s="1"/>
      <c r="AHY292" s="1"/>
      <c r="AHZ292" s="1"/>
      <c r="AIA292" s="1"/>
      <c r="AIB292" s="1"/>
      <c r="AIC292" s="1"/>
      <c r="AID292" s="1"/>
      <c r="AIE292" s="1"/>
      <c r="AIF292" s="1"/>
      <c r="AIG292" s="1"/>
      <c r="AIH292" s="1"/>
      <c r="AII292" s="1"/>
      <c r="AIJ292" s="1"/>
      <c r="AIK292" s="1"/>
      <c r="AIL292" s="1"/>
      <c r="AIM292" s="1"/>
      <c r="AIN292" s="1"/>
      <c r="AIO292" s="1"/>
      <c r="AIP292" s="1"/>
      <c r="AIQ292" s="1"/>
      <c r="AIR292" s="1"/>
      <c r="AIS292" s="1"/>
      <c r="AIT292" s="1"/>
      <c r="AIU292" s="1"/>
      <c r="AIV292" s="1"/>
      <c r="AIW292" s="1"/>
      <c r="AIX292" s="1"/>
      <c r="AIY292" s="1"/>
      <c r="AIZ292" s="1"/>
      <c r="AJA292" s="1"/>
      <c r="AJB292" s="1"/>
      <c r="AJC292" s="1"/>
      <c r="AJD292" s="1"/>
      <c r="AJE292" s="1"/>
      <c r="AJF292" s="1"/>
      <c r="AJG292" s="1"/>
      <c r="AJH292" s="1"/>
      <c r="AJI292" s="1"/>
      <c r="AJJ292" s="1"/>
      <c r="AJK292" s="1"/>
      <c r="AJL292" s="1"/>
      <c r="AJM292" s="1"/>
      <c r="AJN292" s="1"/>
      <c r="AJO292" s="1"/>
      <c r="AJP292" s="1"/>
      <c r="AJQ292" s="1"/>
      <c r="AJR292" s="1"/>
      <c r="AJS292" s="1"/>
      <c r="AJT292" s="1"/>
      <c r="AJU292" s="1"/>
      <c r="AJV292" s="1"/>
      <c r="AJW292" s="1"/>
      <c r="AJX292" s="1"/>
      <c r="AJY292" s="1"/>
      <c r="AJZ292" s="1"/>
      <c r="AKA292" s="1"/>
      <c r="AKB292" s="1"/>
      <c r="AKC292" s="1"/>
      <c r="AKD292" s="1"/>
      <c r="AKE292" s="1"/>
      <c r="AKF292" s="1"/>
      <c r="AKG292" s="1"/>
      <c r="AKH292" s="1"/>
      <c r="AKI292" s="1"/>
      <c r="AKJ292" s="1"/>
      <c r="AKK292" s="1"/>
      <c r="AKL292" s="1"/>
      <c r="AKM292" s="1"/>
      <c r="AKN292" s="1"/>
      <c r="AKO292" s="1"/>
      <c r="AKP292" s="1"/>
      <c r="AKQ292" s="1"/>
      <c r="AKR292" s="1"/>
      <c r="AKS292" s="1"/>
      <c r="AKT292" s="1"/>
      <c r="AKU292" s="1"/>
      <c r="AKV292" s="1"/>
      <c r="AKW292" s="1"/>
      <c r="AKX292" s="1"/>
      <c r="AKY292" s="1"/>
      <c r="AKZ292" s="1"/>
      <c r="ALA292" s="1"/>
      <c r="ALB292" s="1"/>
      <c r="ALC292" s="1"/>
      <c r="ALD292" s="1"/>
      <c r="ALE292" s="1"/>
      <c r="ALF292" s="1"/>
      <c r="ALG292" s="1"/>
      <c r="ALH292" s="1"/>
      <c r="ALI292" s="1"/>
      <c r="ALJ292" s="1"/>
      <c r="ALK292" s="1"/>
      <c r="ALL292" s="1"/>
      <c r="ALM292" s="1"/>
      <c r="ALN292" s="1"/>
      <c r="ALO292" s="1"/>
      <c r="ALP292" s="1"/>
      <c r="ALQ292" s="1"/>
      <c r="ALR292" s="1"/>
      <c r="ALS292" s="1"/>
      <c r="ALT292" s="1"/>
      <c r="ALU292" s="1"/>
      <c r="ALV292" s="1"/>
      <c r="ALW292" s="1"/>
      <c r="ALX292" s="1"/>
      <c r="ALY292" s="1"/>
      <c r="ALZ292" s="1"/>
      <c r="AMA292" s="1"/>
      <c r="AMB292" s="1"/>
      <c r="AMC292" s="1"/>
      <c r="AMD292" s="1"/>
      <c r="AME292" s="1"/>
      <c r="AMF292" s="1"/>
      <c r="AMG292" s="1"/>
      <c r="AMH292" s="1"/>
      <c r="AMI292" s="1"/>
      <c r="AMJ292" s="1"/>
      <c r="AMK292" s="1"/>
      <c r="AML292" s="1"/>
      <c r="AMM292" s="1"/>
      <c r="AMN292" s="1"/>
      <c r="AMO292" s="1"/>
    </row>
    <row r="293" spans="1:1029" x14ac:dyDescent="0.2">
      <c r="A293" s="3" t="str">
        <f t="shared" ref="A293:A302" si="1117">CONCATENATE(B293,"_",C293)</f>
        <v>glr_human_5XEZ</v>
      </c>
      <c r="B293" s="3" t="s">
        <v>32</v>
      </c>
      <c r="C293" s="3" t="s">
        <v>1419</v>
      </c>
      <c r="D293" s="3" t="str">
        <f>IFERROR(MID(VLOOKUP($B293,Seqs!$A:$B,2,0),E293,1),"")</f>
        <v>Q</v>
      </c>
      <c r="E293" s="3">
        <v>131</v>
      </c>
      <c r="F293" s="3" t="str">
        <f>IFERROR(MID(VLOOKUP($B293,Seqs!$A:$B,2,0),G293,1),"")</f>
        <v>G</v>
      </c>
      <c r="G293" s="3">
        <v>164</v>
      </c>
      <c r="H293" s="3" t="str">
        <f>IFERROR(MID(VLOOKUP($B293,Seqs!$A:$B,2,0),I293,1),"")</f>
        <v>S</v>
      </c>
      <c r="I293" s="23">
        <v>167</v>
      </c>
      <c r="J293" s="3" t="str">
        <f>IFERROR(MID(VLOOKUP($B293,Seqs!$A:$B,2,0),K293,1),"")</f>
        <v>H</v>
      </c>
      <c r="K293" s="23">
        <v>170</v>
      </c>
      <c r="L293" s="3" t="str">
        <f>IFERROR(MID(VLOOKUP($B293,Seqs!$A:$B,2,0),M293,1),"")</f>
        <v>C</v>
      </c>
      <c r="M293" s="23">
        <v>171</v>
      </c>
      <c r="N293" s="3" t="str">
        <f>IFERROR(MID(VLOOKUP($B293,Seqs!$A:$B,2,0),O293,1),"")</f>
        <v>R</v>
      </c>
      <c r="O293" s="3">
        <v>201</v>
      </c>
      <c r="P293" s="3" t="str">
        <f>IFERROR(MID(VLOOKUP($B293,Seqs!$A:$B,2,0),Q293,1),"")</f>
        <v/>
      </c>
      <c r="Q293" s="3" t="s">
        <v>23</v>
      </c>
      <c r="R293" s="3" t="str">
        <f>IFERROR(MID(VLOOKUP($B293,Seqs!$A:$B,2,0),S293,1),"")</f>
        <v/>
      </c>
      <c r="S293" s="3" t="s">
        <v>23</v>
      </c>
      <c r="T293" s="3" t="str">
        <f>IFERROR(MID(VLOOKUP($B293,Seqs!$A:$B,2,0),U293,1),"")</f>
        <v>S</v>
      </c>
      <c r="U293" s="3">
        <v>217</v>
      </c>
      <c r="V293" s="3" t="str">
        <f>IFERROR(MID(VLOOKUP($B293,Seqs!$A:$B,2,0),W293,1),"")</f>
        <v>L</v>
      </c>
      <c r="W293" s="3">
        <v>255</v>
      </c>
      <c r="X293" s="3" t="str">
        <f>IFERROR(MID(VLOOKUP($B293,Seqs!$A:$B,2,0),Y293,1),"")</f>
        <v/>
      </c>
      <c r="Y293" s="3" t="s">
        <v>23</v>
      </c>
      <c r="Z293" s="3" t="str">
        <f>IFERROR(MID(VLOOKUP($B293,Seqs!$A:$B,2,0),AA293,1),"")</f>
        <v/>
      </c>
      <c r="AA293" s="3" t="s">
        <v>23</v>
      </c>
      <c r="AB293" s="3" t="str">
        <f>IFERROR(MID(VLOOKUP($B293,Seqs!$A:$B,2,0),AC293,1),"")</f>
        <v>E</v>
      </c>
      <c r="AC293" s="3">
        <v>260</v>
      </c>
      <c r="AD293" s="3" t="str">
        <f>IFERROR(MID(VLOOKUP($B293,Seqs!$A:$B,2,0),AE293,1),"")</f>
        <v>E</v>
      </c>
      <c r="AE293" s="3">
        <v>290</v>
      </c>
      <c r="AF293" s="3" t="str">
        <f>IFERROR(MID(VLOOKUP($B293,Seqs!$A:$B,2,0),AG293,1),"")</f>
        <v>C</v>
      </c>
      <c r="AG293" s="3">
        <v>294</v>
      </c>
      <c r="AH293" s="3" t="str">
        <f>IFERROR(MID(VLOOKUP($B293,Seqs!$A:$B,2,0),AI293,1),"")</f>
        <v>T</v>
      </c>
      <c r="AI293" s="3">
        <v>296</v>
      </c>
      <c r="AJ293" s="3" t="str">
        <f>IFERROR(MID(VLOOKUP($B293,Seqs!$A:$B,2,0),AK293,1),"")</f>
        <v>G</v>
      </c>
      <c r="AK293" s="3">
        <v>302</v>
      </c>
      <c r="AL293" s="3" t="str">
        <f>IFERROR(MID(VLOOKUP($B293,Seqs!$A:$B,2,0),AM293,1),"")</f>
        <v>R</v>
      </c>
      <c r="AM293" s="3">
        <v>334</v>
      </c>
      <c r="AN293" s="3" t="str">
        <f>IFERROR(MID(VLOOKUP($B293,Seqs!$A:$B,2,0),AO293,1),"")</f>
        <v>D</v>
      </c>
      <c r="AO293" s="3">
        <v>342</v>
      </c>
      <c r="AP293" s="3" t="str">
        <f>IFERROR(MID(VLOOKUP($B293,Seqs!$A:$B,2,0),AQ293,1),"")</f>
        <v>F</v>
      </c>
      <c r="AQ293" s="3">
        <v>367</v>
      </c>
      <c r="AR293" s="3" t="str">
        <f>IFERROR(MID(VLOOKUP($B293,Seqs!$A:$B,2,0),AS293,1),"")</f>
        <v>G</v>
      </c>
      <c r="AS293" s="3">
        <v>375</v>
      </c>
      <c r="AT293" s="3" t="str">
        <f>IFERROR(MID(VLOOKUP($B293,Seqs!$A:$B,2,0),AU293,1),"")</f>
        <v>L</v>
      </c>
      <c r="AU293" s="3">
        <v>403</v>
      </c>
      <c r="AV293" s="3" t="str">
        <f>IFERROR(MID(VLOOKUP($B293,Seqs!$A:$B,2,0),AW293,1),"")</f>
        <v>N</v>
      </c>
      <c r="AW293" s="3">
        <v>404</v>
      </c>
      <c r="AX293" s="3" t="str">
        <f>IFERROR(MID(VLOOKUP($B293,Seqs!$A:$B,2,0),AY293,1),"")</f>
        <v>W</v>
      </c>
      <c r="AY293" s="3">
        <v>415</v>
      </c>
      <c r="AZ293" s="77" t="str">
        <f>VLOOKUP(B293,Classification!A:D,2,0)</f>
        <v>B1</v>
      </c>
      <c r="BA293" s="94" t="str">
        <f>VLOOKUP(B293,Classification!A:D,4,0)</f>
        <v>Glucagonreceptorfamily</v>
      </c>
      <c r="BB293" s="27" t="b">
        <f t="shared" ref="BB293:BB302" si="1118">AND(E293&lt;G293,OR(G293&lt;I293,I293="-"),OR(I293&lt;K293,I293="-"),OR(K293&lt;M293,K293="-"),M293&lt;O293,OR(O293&lt;Q293,Q293="-"),OR(Q293&lt;S293,Q293="-"),OR(S293&lt;U293,S293="-"),U293&lt;W293,OR(W293&lt;Y293,Y293="-"),OR(Y293&lt;AA293,Y293="-"),OR(AA293&lt;AC293,AA293="-"),AC293&lt;AE293,OR(AE293&lt;AG293,AG293="-"),OR(AG293&lt;AI293,AG293="-"),OR(AI293&lt;AK293,AI293="-"),AK293&lt;AM293,AM293&lt;AO293,AO293&lt;AQ293,AQ293&lt;AS293,AS293&lt;AU293,OR(AU293&lt;AW293,AW293="-"),OR(AW293&lt;AY293,AW293="-"))</f>
        <v>1</v>
      </c>
      <c r="BC293" s="23">
        <f t="shared" ref="BC293:BC302" si="1119">_xlfn.AGGREGATE(9,6,CH293:CS293)-_xlfn.AGGREGATE(9,6,BV293:CG293)+12</f>
        <v>244</v>
      </c>
      <c r="BD293" s="4" t="s">
        <v>1383</v>
      </c>
      <c r="BE293" s="3" t="s">
        <v>1381</v>
      </c>
      <c r="BF293" s="119">
        <v>3</v>
      </c>
      <c r="BG293" s="49" t="s">
        <v>1287</v>
      </c>
      <c r="BH293" s="49" t="s">
        <v>1287</v>
      </c>
      <c r="BI293" s="1"/>
      <c r="BJ293" s="70" t="s">
        <v>1293</v>
      </c>
      <c r="BK293" s="57" t="s">
        <v>1293</v>
      </c>
      <c r="BL293" s="57" t="s">
        <v>1293</v>
      </c>
      <c r="BM293" s="57" t="s">
        <v>1293</v>
      </c>
      <c r="BN293" s="57" t="s">
        <v>1293</v>
      </c>
      <c r="BO293" s="57" t="s">
        <v>1293</v>
      </c>
      <c r="BP293" s="57" t="s">
        <v>1293</v>
      </c>
      <c r="BQ293" s="57" t="s">
        <v>1293</v>
      </c>
      <c r="BR293" s="57" t="s">
        <v>1293</v>
      </c>
      <c r="BS293" s="57" t="s">
        <v>1293</v>
      </c>
      <c r="BT293" s="57" t="s">
        <v>1293</v>
      </c>
      <c r="BU293" s="57" t="s">
        <v>1293</v>
      </c>
      <c r="BV293" s="70">
        <f t="shared" ref="BV293:BV302" si="1120">E293</f>
        <v>131</v>
      </c>
      <c r="BW293" s="71">
        <f t="shared" ref="BW293:BW302" si="1121">I293</f>
        <v>167</v>
      </c>
      <c r="BX293" s="72">
        <f t="shared" ref="BX293:BX302" si="1122">M293</f>
        <v>171</v>
      </c>
      <c r="BY293" s="71" t="str">
        <f t="shared" ref="BY293:BY302" si="1123">Q293</f>
        <v>-</v>
      </c>
      <c r="BZ293" s="72">
        <f t="shared" ref="BZ293:BZ302" si="1124">U293</f>
        <v>217</v>
      </c>
      <c r="CA293" s="71" t="str">
        <f t="shared" ref="CA293:CA302" si="1125">Y293</f>
        <v>-</v>
      </c>
      <c r="CB293" s="72">
        <f t="shared" ref="CB293:CB302" si="1126">AC293</f>
        <v>260</v>
      </c>
      <c r="CC293" s="71">
        <f t="shared" ref="CC293:CC302" si="1127">AG293</f>
        <v>294</v>
      </c>
      <c r="CD293" s="72">
        <f t="shared" ref="CD293:CD302" si="1128">AK293</f>
        <v>302</v>
      </c>
      <c r="CE293" s="71">
        <f t="shared" ref="CE293:CE302" si="1129">AO293</f>
        <v>342</v>
      </c>
      <c r="CF293" s="72">
        <f t="shared" ref="CF293:CF302" si="1130">AS293</f>
        <v>375</v>
      </c>
      <c r="CG293" s="71">
        <f t="shared" ref="CG293:CG302" si="1131">AW293</f>
        <v>404</v>
      </c>
      <c r="CH293" s="70">
        <f t="shared" ref="CH293:CH302" si="1132">G293</f>
        <v>164</v>
      </c>
      <c r="CI293" s="71">
        <f t="shared" ref="CI293:CI302" si="1133">K293</f>
        <v>170</v>
      </c>
      <c r="CJ293" s="72">
        <f t="shared" ref="CJ293:CJ302" si="1134">O293</f>
        <v>201</v>
      </c>
      <c r="CK293" s="72" t="str">
        <f t="shared" ref="CK293:CK302" si="1135">S293</f>
        <v>-</v>
      </c>
      <c r="CL293" s="72">
        <f t="shared" ref="CL293:CL302" si="1136">W293</f>
        <v>255</v>
      </c>
      <c r="CM293" s="72" t="str">
        <f t="shared" ref="CM293:CM302" si="1137">AA293</f>
        <v>-</v>
      </c>
      <c r="CN293" s="72">
        <f t="shared" ref="CN293:CN302" si="1138">AE293</f>
        <v>290</v>
      </c>
      <c r="CO293" s="72">
        <f t="shared" ref="CO293:CO302" si="1139">AI293</f>
        <v>296</v>
      </c>
      <c r="CP293" s="72">
        <f t="shared" ref="CP293:CP302" si="1140">AM293</f>
        <v>334</v>
      </c>
      <c r="CQ293" s="72">
        <f t="shared" ref="CQ293:CQ302" si="1141">AQ293</f>
        <v>367</v>
      </c>
      <c r="CR293" s="72">
        <f t="shared" ref="CR293:CR302" si="1142">AU293</f>
        <v>403</v>
      </c>
      <c r="CS293" s="72">
        <f t="shared" ref="CS293:CS302" si="1143">AY293</f>
        <v>415</v>
      </c>
      <c r="CT293" s="23">
        <f t="shared" ref="CT293:CT302" si="1144">M293-K293</f>
        <v>1</v>
      </c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  <c r="OK293" s="1"/>
      <c r="OL293" s="1"/>
      <c r="OM293" s="1"/>
      <c r="ON293" s="1"/>
      <c r="OO293" s="1"/>
      <c r="OP293" s="1"/>
      <c r="OQ293" s="1"/>
      <c r="OR293" s="1"/>
      <c r="OS293" s="1"/>
      <c r="OT293" s="1"/>
      <c r="OU293" s="1"/>
      <c r="OV293" s="1"/>
      <c r="OW293" s="1"/>
      <c r="OX293" s="1"/>
      <c r="OY293" s="1"/>
      <c r="OZ293" s="1"/>
      <c r="PA293" s="1"/>
      <c r="PB293" s="1"/>
      <c r="PC293" s="1"/>
      <c r="PD293" s="1"/>
      <c r="PE293" s="1"/>
      <c r="PF293" s="1"/>
      <c r="PG293" s="1"/>
      <c r="PH293" s="1"/>
      <c r="PI293" s="1"/>
      <c r="PJ293" s="1"/>
      <c r="PK293" s="1"/>
      <c r="PL293" s="1"/>
      <c r="PM293" s="1"/>
      <c r="PN293" s="1"/>
      <c r="PO293" s="1"/>
      <c r="PP293" s="1"/>
      <c r="PQ293" s="1"/>
      <c r="PR293" s="1"/>
      <c r="PS293" s="1"/>
      <c r="PT293" s="1"/>
      <c r="PU293" s="1"/>
      <c r="PV293" s="1"/>
      <c r="PW293" s="1"/>
      <c r="PX293" s="1"/>
      <c r="PY293" s="1"/>
      <c r="PZ293" s="1"/>
      <c r="QA293" s="1"/>
      <c r="QB293" s="1"/>
      <c r="QC293" s="1"/>
      <c r="QD293" s="1"/>
      <c r="QE293" s="1"/>
      <c r="QF293" s="1"/>
      <c r="QG293" s="1"/>
      <c r="QH293" s="1"/>
      <c r="QI293" s="1"/>
      <c r="QJ293" s="1"/>
      <c r="QK293" s="1"/>
      <c r="QL293" s="1"/>
      <c r="QM293" s="1"/>
      <c r="QN293" s="1"/>
      <c r="QO293" s="1"/>
      <c r="QP293" s="1"/>
      <c r="QQ293" s="1"/>
      <c r="QR293" s="1"/>
      <c r="QS293" s="1"/>
      <c r="QT293" s="1"/>
      <c r="QU293" s="1"/>
      <c r="QV293" s="1"/>
      <c r="QW293" s="1"/>
      <c r="QX293" s="1"/>
      <c r="QY293" s="1"/>
      <c r="QZ293" s="1"/>
      <c r="RA293" s="1"/>
      <c r="RB293" s="1"/>
      <c r="RC293" s="1"/>
      <c r="RD293" s="1"/>
      <c r="RE293" s="1"/>
      <c r="RF293" s="1"/>
      <c r="RG293" s="1"/>
      <c r="RH293" s="1"/>
      <c r="RI293" s="1"/>
      <c r="RJ293" s="1"/>
      <c r="RK293" s="1"/>
      <c r="RL293" s="1"/>
      <c r="RM293" s="1"/>
      <c r="RN293" s="1"/>
      <c r="RO293" s="1"/>
      <c r="RP293" s="1"/>
      <c r="RQ293" s="1"/>
      <c r="RR293" s="1"/>
      <c r="RS293" s="1"/>
      <c r="RT293" s="1"/>
      <c r="RU293" s="1"/>
      <c r="RV293" s="1"/>
      <c r="RW293" s="1"/>
      <c r="RX293" s="1"/>
      <c r="RY293" s="1"/>
      <c r="RZ293" s="1"/>
      <c r="SA293" s="1"/>
      <c r="SB293" s="1"/>
      <c r="SC293" s="1"/>
      <c r="SD293" s="1"/>
      <c r="SE293" s="1"/>
      <c r="SF293" s="1"/>
      <c r="SG293" s="1"/>
      <c r="SH293" s="1"/>
      <c r="SI293" s="1"/>
      <c r="SJ293" s="1"/>
      <c r="SK293" s="1"/>
      <c r="SL293" s="1"/>
      <c r="SM293" s="1"/>
      <c r="SN293" s="1"/>
      <c r="SO293" s="1"/>
      <c r="SP293" s="1"/>
      <c r="SQ293" s="1"/>
      <c r="SR293" s="1"/>
      <c r="SS293" s="1"/>
      <c r="ST293" s="1"/>
      <c r="SU293" s="1"/>
      <c r="SV293" s="1"/>
      <c r="SW293" s="1"/>
      <c r="SX293" s="1"/>
      <c r="SY293" s="1"/>
      <c r="SZ293" s="1"/>
      <c r="TA293" s="1"/>
      <c r="TB293" s="1"/>
      <c r="TC293" s="1"/>
      <c r="TD293" s="1"/>
      <c r="TE293" s="1"/>
      <c r="TF293" s="1"/>
      <c r="TG293" s="1"/>
      <c r="TH293" s="1"/>
      <c r="TI293" s="1"/>
      <c r="TJ293" s="1"/>
      <c r="TK293" s="1"/>
      <c r="TL293" s="1"/>
      <c r="TM293" s="1"/>
      <c r="TN293" s="1"/>
      <c r="TO293" s="1"/>
      <c r="TP293" s="1"/>
      <c r="TQ293" s="1"/>
      <c r="TR293" s="1"/>
      <c r="TS293" s="1"/>
      <c r="TT293" s="1"/>
      <c r="TU293" s="1"/>
      <c r="TV293" s="1"/>
      <c r="TW293" s="1"/>
      <c r="TX293" s="1"/>
      <c r="TY293" s="1"/>
      <c r="TZ293" s="1"/>
      <c r="UA293" s="1"/>
      <c r="UB293" s="1"/>
      <c r="UC293" s="1"/>
      <c r="UD293" s="1"/>
      <c r="UE293" s="1"/>
      <c r="UF293" s="1"/>
      <c r="UG293" s="1"/>
      <c r="UH293" s="1"/>
      <c r="UI293" s="1"/>
      <c r="UJ293" s="1"/>
      <c r="UK293" s="1"/>
      <c r="UL293" s="1"/>
      <c r="UM293" s="1"/>
      <c r="UN293" s="1"/>
      <c r="UO293" s="1"/>
      <c r="UP293" s="1"/>
      <c r="UQ293" s="1"/>
      <c r="UR293" s="1"/>
      <c r="US293" s="1"/>
      <c r="UT293" s="1"/>
      <c r="UU293" s="1"/>
      <c r="UV293" s="1"/>
      <c r="UW293" s="1"/>
      <c r="UX293" s="1"/>
      <c r="UY293" s="1"/>
      <c r="UZ293" s="1"/>
      <c r="VA293" s="1"/>
      <c r="VB293" s="1"/>
      <c r="VC293" s="1"/>
      <c r="VD293" s="1"/>
      <c r="VE293" s="1"/>
      <c r="VF293" s="1"/>
      <c r="VG293" s="1"/>
      <c r="VH293" s="1"/>
      <c r="VI293" s="1"/>
      <c r="VJ293" s="1"/>
      <c r="VK293" s="1"/>
      <c r="VL293" s="1"/>
      <c r="VM293" s="1"/>
      <c r="VN293" s="1"/>
      <c r="VO293" s="1"/>
      <c r="VP293" s="1"/>
      <c r="VQ293" s="1"/>
      <c r="VR293" s="1"/>
      <c r="VS293" s="1"/>
      <c r="VT293" s="1"/>
      <c r="VU293" s="1"/>
      <c r="VV293" s="1"/>
      <c r="VW293" s="1"/>
      <c r="VX293" s="1"/>
      <c r="VY293" s="1"/>
      <c r="VZ293" s="1"/>
      <c r="WA293" s="1"/>
      <c r="WB293" s="1"/>
      <c r="WC293" s="1"/>
      <c r="WD293" s="1"/>
      <c r="WE293" s="1"/>
      <c r="WF293" s="1"/>
      <c r="WG293" s="1"/>
      <c r="WH293" s="1"/>
      <c r="WI293" s="1"/>
      <c r="WJ293" s="1"/>
      <c r="WK293" s="1"/>
      <c r="WL293" s="1"/>
      <c r="WM293" s="1"/>
      <c r="WN293" s="1"/>
      <c r="WO293" s="1"/>
      <c r="WP293" s="1"/>
      <c r="WQ293" s="1"/>
      <c r="WR293" s="1"/>
      <c r="WS293" s="1"/>
      <c r="WT293" s="1"/>
      <c r="WU293" s="1"/>
      <c r="WV293" s="1"/>
      <c r="WW293" s="1"/>
      <c r="WX293" s="1"/>
      <c r="WY293" s="1"/>
      <c r="WZ293" s="1"/>
      <c r="XA293" s="1"/>
      <c r="XB293" s="1"/>
      <c r="XC293" s="1"/>
      <c r="XD293" s="1"/>
      <c r="XE293" s="1"/>
      <c r="XF293" s="1"/>
      <c r="XG293" s="1"/>
      <c r="XH293" s="1"/>
      <c r="XI293" s="1"/>
      <c r="XJ293" s="1"/>
      <c r="XK293" s="1"/>
      <c r="XL293" s="1"/>
      <c r="XM293" s="1"/>
      <c r="XN293" s="1"/>
      <c r="XO293" s="1"/>
      <c r="XP293" s="1"/>
      <c r="XQ293" s="1"/>
      <c r="XR293" s="1"/>
      <c r="XS293" s="1"/>
      <c r="XT293" s="1"/>
      <c r="XU293" s="1"/>
      <c r="XV293" s="1"/>
      <c r="XW293" s="1"/>
      <c r="XX293" s="1"/>
      <c r="XY293" s="1"/>
      <c r="XZ293" s="1"/>
      <c r="YA293" s="1"/>
      <c r="YB293" s="1"/>
      <c r="YC293" s="1"/>
      <c r="YD293" s="1"/>
      <c r="YE293" s="1"/>
      <c r="YF293" s="1"/>
      <c r="YG293" s="1"/>
      <c r="YH293" s="1"/>
      <c r="YI293" s="1"/>
      <c r="YJ293" s="1"/>
      <c r="YK293" s="1"/>
      <c r="YL293" s="1"/>
      <c r="YM293" s="1"/>
      <c r="YN293" s="1"/>
      <c r="YO293" s="1"/>
      <c r="YP293" s="1"/>
      <c r="YQ293" s="1"/>
      <c r="YR293" s="1"/>
      <c r="YS293" s="1"/>
      <c r="YT293" s="1"/>
      <c r="YU293" s="1"/>
      <c r="YV293" s="1"/>
      <c r="YW293" s="1"/>
      <c r="YX293" s="1"/>
      <c r="YY293" s="1"/>
      <c r="YZ293" s="1"/>
      <c r="ZA293" s="1"/>
      <c r="ZB293" s="1"/>
      <c r="ZC293" s="1"/>
      <c r="ZD293" s="1"/>
      <c r="ZE293" s="1"/>
      <c r="ZF293" s="1"/>
      <c r="ZG293" s="1"/>
      <c r="ZH293" s="1"/>
      <c r="ZI293" s="1"/>
      <c r="ZJ293" s="1"/>
      <c r="ZK293" s="1"/>
      <c r="ZL293" s="1"/>
      <c r="ZM293" s="1"/>
      <c r="ZN293" s="1"/>
      <c r="ZO293" s="1"/>
      <c r="ZP293" s="1"/>
      <c r="ZQ293" s="1"/>
      <c r="ZR293" s="1"/>
      <c r="ZS293" s="1"/>
      <c r="ZT293" s="1"/>
      <c r="ZU293" s="1"/>
      <c r="ZV293" s="1"/>
      <c r="ZW293" s="1"/>
      <c r="ZX293" s="1"/>
      <c r="ZY293" s="1"/>
      <c r="ZZ293" s="1"/>
      <c r="AAA293" s="1"/>
      <c r="AAB293" s="1"/>
      <c r="AAC293" s="1"/>
      <c r="AAD293" s="1"/>
      <c r="AAE293" s="1"/>
      <c r="AAF293" s="1"/>
      <c r="AAG293" s="1"/>
      <c r="AAH293" s="1"/>
      <c r="AAI293" s="1"/>
      <c r="AAJ293" s="1"/>
      <c r="AAK293" s="1"/>
      <c r="AAL293" s="1"/>
      <c r="AAM293" s="1"/>
      <c r="AAN293" s="1"/>
      <c r="AAO293" s="1"/>
      <c r="AAP293" s="1"/>
      <c r="AAQ293" s="1"/>
      <c r="AAR293" s="1"/>
      <c r="AAS293" s="1"/>
      <c r="AAT293" s="1"/>
      <c r="AAU293" s="1"/>
      <c r="AAV293" s="1"/>
      <c r="AAW293" s="1"/>
      <c r="AAX293" s="1"/>
      <c r="AAY293" s="1"/>
      <c r="AAZ293" s="1"/>
      <c r="ABA293" s="1"/>
      <c r="ABB293" s="1"/>
      <c r="ABC293" s="1"/>
      <c r="ABD293" s="1"/>
      <c r="ABE293" s="1"/>
      <c r="ABF293" s="1"/>
      <c r="ABG293" s="1"/>
      <c r="ABH293" s="1"/>
      <c r="ABI293" s="1"/>
      <c r="ABJ293" s="1"/>
      <c r="ABK293" s="1"/>
      <c r="ABL293" s="1"/>
      <c r="ABM293" s="1"/>
      <c r="ABN293" s="1"/>
      <c r="ABO293" s="1"/>
      <c r="ABP293" s="1"/>
      <c r="ABQ293" s="1"/>
      <c r="ABR293" s="1"/>
      <c r="ABS293" s="1"/>
      <c r="ABT293" s="1"/>
      <c r="ABU293" s="1"/>
      <c r="ABV293" s="1"/>
      <c r="ABW293" s="1"/>
      <c r="ABX293" s="1"/>
      <c r="ABY293" s="1"/>
      <c r="ABZ293" s="1"/>
      <c r="ACA293" s="1"/>
      <c r="ACB293" s="1"/>
      <c r="ACC293" s="1"/>
      <c r="ACD293" s="1"/>
      <c r="ACE293" s="1"/>
      <c r="ACF293" s="1"/>
      <c r="ACG293" s="1"/>
      <c r="ACH293" s="1"/>
      <c r="ACI293" s="1"/>
      <c r="ACJ293" s="1"/>
      <c r="ACK293" s="1"/>
      <c r="ACL293" s="1"/>
      <c r="ACM293" s="1"/>
      <c r="ACN293" s="1"/>
      <c r="ACO293" s="1"/>
      <c r="ACP293" s="1"/>
      <c r="ACQ293" s="1"/>
      <c r="ACR293" s="1"/>
      <c r="ACS293" s="1"/>
      <c r="ACT293" s="1"/>
      <c r="ACU293" s="1"/>
      <c r="ACV293" s="1"/>
      <c r="ACW293" s="1"/>
      <c r="ACX293" s="1"/>
      <c r="ACY293" s="1"/>
      <c r="ACZ293" s="1"/>
      <c r="ADA293" s="1"/>
      <c r="ADB293" s="1"/>
      <c r="ADC293" s="1"/>
      <c r="ADD293" s="1"/>
      <c r="ADE293" s="1"/>
      <c r="ADF293" s="1"/>
      <c r="ADG293" s="1"/>
      <c r="ADH293" s="1"/>
      <c r="ADI293" s="1"/>
      <c r="ADJ293" s="1"/>
      <c r="ADK293" s="1"/>
      <c r="ADL293" s="1"/>
      <c r="ADM293" s="1"/>
      <c r="ADN293" s="1"/>
      <c r="ADO293" s="1"/>
      <c r="ADP293" s="1"/>
      <c r="ADQ293" s="1"/>
      <c r="ADR293" s="1"/>
      <c r="ADS293" s="1"/>
      <c r="ADT293" s="1"/>
      <c r="ADU293" s="1"/>
      <c r="ADV293" s="1"/>
      <c r="ADW293" s="1"/>
      <c r="ADX293" s="1"/>
      <c r="ADY293" s="1"/>
      <c r="ADZ293" s="1"/>
      <c r="AEA293" s="1"/>
      <c r="AEB293" s="1"/>
      <c r="AEC293" s="1"/>
      <c r="AED293" s="1"/>
      <c r="AEE293" s="1"/>
      <c r="AEF293" s="1"/>
      <c r="AEG293" s="1"/>
      <c r="AEH293" s="1"/>
      <c r="AEI293" s="1"/>
      <c r="AEJ293" s="1"/>
      <c r="AEK293" s="1"/>
      <c r="AEL293" s="1"/>
      <c r="AEM293" s="1"/>
      <c r="AEN293" s="1"/>
      <c r="AEO293" s="1"/>
      <c r="AEP293" s="1"/>
      <c r="AEQ293" s="1"/>
      <c r="AER293" s="1"/>
      <c r="AES293" s="1"/>
      <c r="AET293" s="1"/>
      <c r="AEU293" s="1"/>
      <c r="AEV293" s="1"/>
      <c r="AEW293" s="1"/>
      <c r="AEX293" s="1"/>
      <c r="AEY293" s="1"/>
      <c r="AEZ293" s="1"/>
      <c r="AFA293" s="1"/>
      <c r="AFB293" s="1"/>
      <c r="AFC293" s="1"/>
      <c r="AFD293" s="1"/>
      <c r="AFE293" s="1"/>
      <c r="AFF293" s="1"/>
      <c r="AFG293" s="1"/>
      <c r="AFH293" s="1"/>
      <c r="AFI293" s="1"/>
      <c r="AFJ293" s="1"/>
      <c r="AFK293" s="1"/>
      <c r="AFL293" s="1"/>
      <c r="AFM293" s="1"/>
      <c r="AFN293" s="1"/>
      <c r="AFO293" s="1"/>
      <c r="AFP293" s="1"/>
      <c r="AFQ293" s="1"/>
      <c r="AFR293" s="1"/>
      <c r="AFS293" s="1"/>
      <c r="AFT293" s="1"/>
      <c r="AFU293" s="1"/>
      <c r="AFV293" s="1"/>
      <c r="AFW293" s="1"/>
      <c r="AFX293" s="1"/>
      <c r="AFY293" s="1"/>
      <c r="AFZ293" s="1"/>
      <c r="AGA293" s="1"/>
      <c r="AGB293" s="1"/>
      <c r="AGC293" s="1"/>
      <c r="AGD293" s="1"/>
      <c r="AGE293" s="1"/>
      <c r="AGF293" s="1"/>
      <c r="AGG293" s="1"/>
      <c r="AGH293" s="1"/>
      <c r="AGI293" s="1"/>
      <c r="AGJ293" s="1"/>
      <c r="AGK293" s="1"/>
      <c r="AGL293" s="1"/>
      <c r="AGM293" s="1"/>
      <c r="AGN293" s="1"/>
      <c r="AGO293" s="1"/>
      <c r="AGP293" s="1"/>
      <c r="AGQ293" s="1"/>
      <c r="AGR293" s="1"/>
      <c r="AGS293" s="1"/>
      <c r="AGT293" s="1"/>
      <c r="AGU293" s="1"/>
      <c r="AGV293" s="1"/>
      <c r="AGW293" s="1"/>
      <c r="AGX293" s="1"/>
      <c r="AGY293" s="1"/>
      <c r="AGZ293" s="1"/>
      <c r="AHA293" s="1"/>
      <c r="AHB293" s="1"/>
      <c r="AHC293" s="1"/>
      <c r="AHD293" s="1"/>
      <c r="AHE293" s="1"/>
      <c r="AHF293" s="1"/>
      <c r="AHG293" s="1"/>
      <c r="AHH293" s="1"/>
      <c r="AHI293" s="1"/>
      <c r="AHJ293" s="1"/>
      <c r="AHK293" s="1"/>
      <c r="AHL293" s="1"/>
      <c r="AHM293" s="1"/>
      <c r="AHN293" s="1"/>
      <c r="AHO293" s="1"/>
      <c r="AHP293" s="1"/>
      <c r="AHQ293" s="1"/>
      <c r="AHR293" s="1"/>
      <c r="AHS293" s="1"/>
      <c r="AHT293" s="1"/>
      <c r="AHU293" s="1"/>
      <c r="AHV293" s="1"/>
      <c r="AHW293" s="1"/>
      <c r="AHX293" s="1"/>
      <c r="AHY293" s="1"/>
      <c r="AHZ293" s="1"/>
      <c r="AIA293" s="1"/>
      <c r="AIB293" s="1"/>
      <c r="AIC293" s="1"/>
      <c r="AID293" s="1"/>
      <c r="AIE293" s="1"/>
      <c r="AIF293" s="1"/>
      <c r="AIG293" s="1"/>
      <c r="AIH293" s="1"/>
      <c r="AII293" s="1"/>
      <c r="AIJ293" s="1"/>
      <c r="AIK293" s="1"/>
      <c r="AIL293" s="1"/>
      <c r="AIM293" s="1"/>
      <c r="AIN293" s="1"/>
      <c r="AIO293" s="1"/>
      <c r="AIP293" s="1"/>
      <c r="AIQ293" s="1"/>
      <c r="AIR293" s="1"/>
      <c r="AIS293" s="1"/>
      <c r="AIT293" s="1"/>
      <c r="AIU293" s="1"/>
      <c r="AIV293" s="1"/>
      <c r="AIW293" s="1"/>
      <c r="AIX293" s="1"/>
      <c r="AIY293" s="1"/>
      <c r="AIZ293" s="1"/>
      <c r="AJA293" s="1"/>
      <c r="AJB293" s="1"/>
      <c r="AJC293" s="1"/>
      <c r="AJD293" s="1"/>
      <c r="AJE293" s="1"/>
      <c r="AJF293" s="1"/>
      <c r="AJG293" s="1"/>
      <c r="AJH293" s="1"/>
      <c r="AJI293" s="1"/>
      <c r="AJJ293" s="1"/>
      <c r="AJK293" s="1"/>
      <c r="AJL293" s="1"/>
      <c r="AJM293" s="1"/>
      <c r="AJN293" s="1"/>
      <c r="AJO293" s="1"/>
      <c r="AJP293" s="1"/>
      <c r="AJQ293" s="1"/>
      <c r="AJR293" s="1"/>
      <c r="AJS293" s="1"/>
      <c r="AJT293" s="1"/>
      <c r="AJU293" s="1"/>
      <c r="AJV293" s="1"/>
      <c r="AJW293" s="1"/>
      <c r="AJX293" s="1"/>
      <c r="AJY293" s="1"/>
      <c r="AJZ293" s="1"/>
      <c r="AKA293" s="1"/>
      <c r="AKB293" s="1"/>
      <c r="AKC293" s="1"/>
      <c r="AKD293" s="1"/>
      <c r="AKE293" s="1"/>
      <c r="AKF293" s="1"/>
      <c r="AKG293" s="1"/>
      <c r="AKH293" s="1"/>
      <c r="AKI293" s="1"/>
      <c r="AKJ293" s="1"/>
      <c r="AKK293" s="1"/>
      <c r="AKL293" s="1"/>
      <c r="AKM293" s="1"/>
      <c r="AKN293" s="1"/>
      <c r="AKO293" s="1"/>
      <c r="AKP293" s="1"/>
      <c r="AKQ293" s="1"/>
      <c r="AKR293" s="1"/>
      <c r="AKS293" s="1"/>
      <c r="AKT293" s="1"/>
      <c r="AKU293" s="1"/>
      <c r="AKV293" s="1"/>
      <c r="AKW293" s="1"/>
      <c r="AKX293" s="1"/>
      <c r="AKY293" s="1"/>
      <c r="AKZ293" s="1"/>
      <c r="ALA293" s="1"/>
      <c r="ALB293" s="1"/>
      <c r="ALC293" s="1"/>
      <c r="ALD293" s="1"/>
      <c r="ALE293" s="1"/>
      <c r="ALF293" s="1"/>
      <c r="ALG293" s="1"/>
      <c r="ALH293" s="1"/>
      <c r="ALI293" s="1"/>
      <c r="ALJ293" s="1"/>
      <c r="ALK293" s="1"/>
      <c r="ALL293" s="1"/>
      <c r="ALM293" s="1"/>
      <c r="ALN293" s="1"/>
      <c r="ALO293" s="1"/>
      <c r="ALP293" s="1"/>
      <c r="ALQ293" s="1"/>
      <c r="ALR293" s="1"/>
      <c r="ALS293" s="1"/>
      <c r="ALT293" s="1"/>
      <c r="ALU293" s="1"/>
      <c r="ALV293" s="1"/>
      <c r="ALW293" s="1"/>
      <c r="ALX293" s="1"/>
      <c r="ALY293" s="1"/>
      <c r="ALZ293" s="1"/>
      <c r="AMA293" s="1"/>
      <c r="AMB293" s="1"/>
      <c r="AMC293" s="1"/>
      <c r="AMD293" s="1"/>
      <c r="AME293" s="1"/>
      <c r="AMF293" s="1"/>
      <c r="AMG293" s="1"/>
      <c r="AMH293" s="1"/>
      <c r="AMI293" s="1"/>
      <c r="AMJ293" s="1"/>
      <c r="AMK293" s="1"/>
      <c r="AML293" s="1"/>
      <c r="AMM293" s="1"/>
      <c r="AMN293" s="1"/>
      <c r="AMO293" s="1"/>
    </row>
    <row r="294" spans="1:1029" x14ac:dyDescent="0.2">
      <c r="A294" s="3" t="str">
        <f t="shared" si="1117"/>
        <v>glr_human_5XF1</v>
      </c>
      <c r="B294" s="3" t="s">
        <v>32</v>
      </c>
      <c r="C294" s="3" t="s">
        <v>1420</v>
      </c>
      <c r="D294" s="3" t="str">
        <f>IFERROR(MID(VLOOKUP($B294,Seqs!$A:$B,2,0),E294,1),"")</f>
        <v>Q</v>
      </c>
      <c r="E294" s="3">
        <v>131</v>
      </c>
      <c r="F294" s="3" t="str">
        <f>IFERROR(MID(VLOOKUP($B294,Seqs!$A:$B,2,0),G294,1),"")</f>
        <v>L</v>
      </c>
      <c r="G294" s="3">
        <v>166</v>
      </c>
      <c r="H294" s="3" t="str">
        <f>IFERROR(MID(VLOOKUP($B294,Seqs!$A:$B,2,0),I294,1),"")</f>
        <v>S</v>
      </c>
      <c r="I294" s="23">
        <v>167</v>
      </c>
      <c r="J294" s="3" t="str">
        <f>IFERROR(MID(VLOOKUP($B294,Seqs!$A:$B,2,0),K294,1),"")</f>
        <v>H</v>
      </c>
      <c r="K294" s="23">
        <v>170</v>
      </c>
      <c r="L294" s="3" t="str">
        <f>IFERROR(MID(VLOOKUP($B294,Seqs!$A:$B,2,0),M294,1),"")</f>
        <v>N</v>
      </c>
      <c r="M294" s="23">
        <v>174</v>
      </c>
      <c r="N294" s="3" t="str">
        <f>IFERROR(MID(VLOOKUP($B294,Seqs!$A:$B,2,0),O294,1),"")</f>
        <v>R</v>
      </c>
      <c r="O294" s="3">
        <v>201</v>
      </c>
      <c r="P294" s="3" t="str">
        <f>IFERROR(MID(VLOOKUP($B294,Seqs!$A:$B,2,0),Q294,1),"")</f>
        <v/>
      </c>
      <c r="Q294" s="3" t="s">
        <v>23</v>
      </c>
      <c r="R294" s="3" t="str">
        <f>IFERROR(MID(VLOOKUP($B294,Seqs!$A:$B,2,0),S294,1),"")</f>
        <v/>
      </c>
      <c r="S294" s="3" t="s">
        <v>23</v>
      </c>
      <c r="T294" s="3" t="str">
        <f>IFERROR(MID(VLOOKUP($B294,Seqs!$A:$B,2,0),U294,1),"")</f>
        <v>S</v>
      </c>
      <c r="U294" s="3">
        <v>217</v>
      </c>
      <c r="V294" s="3" t="str">
        <f>IFERROR(MID(VLOOKUP($B294,Seqs!$A:$B,2,0),W294,1),"")</f>
        <v>L</v>
      </c>
      <c r="W294" s="3">
        <v>255</v>
      </c>
      <c r="X294" s="3" t="str">
        <f>IFERROR(MID(VLOOKUP($B294,Seqs!$A:$B,2,0),Y294,1),"")</f>
        <v/>
      </c>
      <c r="Y294" s="3" t="s">
        <v>23</v>
      </c>
      <c r="Z294" s="3" t="str">
        <f>IFERROR(MID(VLOOKUP($B294,Seqs!$A:$B,2,0),AA294,1),"")</f>
        <v/>
      </c>
      <c r="AA294" s="3" t="s">
        <v>23</v>
      </c>
      <c r="AB294" s="3" t="str">
        <f>IFERROR(MID(VLOOKUP($B294,Seqs!$A:$B,2,0),AC294,1),"")</f>
        <v>R</v>
      </c>
      <c r="AC294" s="3">
        <v>261</v>
      </c>
      <c r="AD294" s="3" t="str">
        <f>IFERROR(MID(VLOOKUP($B294,Seqs!$A:$B,2,0),AE294,1),"")</f>
        <v>F</v>
      </c>
      <c r="AE294" s="3">
        <v>289</v>
      </c>
      <c r="AF294" s="3" t="str">
        <f>IFERROR(MID(VLOOKUP($B294,Seqs!$A:$B,2,0),AG294,1),"")</f>
        <v>C</v>
      </c>
      <c r="AG294" s="3">
        <v>294</v>
      </c>
      <c r="AH294" s="3" t="str">
        <f>IFERROR(MID(VLOOKUP($B294,Seqs!$A:$B,2,0),AI294,1),"")</f>
        <v>T</v>
      </c>
      <c r="AI294" s="3">
        <v>296</v>
      </c>
      <c r="AJ294" s="3" t="str">
        <f>IFERROR(MID(VLOOKUP($B294,Seqs!$A:$B,2,0),AK294,1),"")</f>
        <v>D</v>
      </c>
      <c r="AK294" s="3">
        <v>299</v>
      </c>
      <c r="AL294" s="3" t="str">
        <f>IFERROR(MID(VLOOKUP($B294,Seqs!$A:$B,2,0),AM294,1),"")</f>
        <v>L</v>
      </c>
      <c r="AM294" s="3">
        <v>333</v>
      </c>
      <c r="AN294" s="3" t="str">
        <f>IFERROR(MID(VLOOKUP($B294,Seqs!$A:$B,2,0),AO294,1),"")</f>
        <v>D</v>
      </c>
      <c r="AO294" s="3">
        <v>342</v>
      </c>
      <c r="AP294" s="3" t="str">
        <f>IFERROR(MID(VLOOKUP($B294,Seqs!$A:$B,2,0),AQ294,1),"")</f>
        <v>V</v>
      </c>
      <c r="AQ294" s="3">
        <v>368</v>
      </c>
      <c r="AR294" s="3" t="str">
        <f>IFERROR(MID(VLOOKUP($B294,Seqs!$A:$B,2,0),AS294,1),"")</f>
        <v>L</v>
      </c>
      <c r="AS294" s="3">
        <v>377</v>
      </c>
      <c r="AT294" s="3" t="str">
        <f>IFERROR(MID(VLOOKUP($B294,Seqs!$A:$B,2,0),AU294,1),"")</f>
        <v>L</v>
      </c>
      <c r="AU294" s="3">
        <v>403</v>
      </c>
      <c r="AV294" s="3" t="str">
        <f>IFERROR(MID(VLOOKUP($B294,Seqs!$A:$B,2,0),AW294,1),"")</f>
        <v>N</v>
      </c>
      <c r="AW294" s="3">
        <v>404</v>
      </c>
      <c r="AX294" s="3" t="str">
        <f>IFERROR(MID(VLOOKUP($B294,Seqs!$A:$B,2,0),AY294,1),"")</f>
        <v>W</v>
      </c>
      <c r="AY294" s="3">
        <v>415</v>
      </c>
      <c r="AZ294" s="77" t="str">
        <f>VLOOKUP(B294,Classification!A:D,2,0)</f>
        <v>B1</v>
      </c>
      <c r="BA294" s="94" t="str">
        <f>VLOOKUP(B294,Classification!A:D,4,0)</f>
        <v>Glucagonreceptorfamily</v>
      </c>
      <c r="BB294" s="27" t="b">
        <f t="shared" si="1118"/>
        <v>1</v>
      </c>
      <c r="BC294" s="23">
        <f t="shared" si="1119"/>
        <v>242</v>
      </c>
      <c r="BD294" s="4" t="s">
        <v>23</v>
      </c>
      <c r="BE294" s="3" t="s">
        <v>1381</v>
      </c>
      <c r="BF294" s="119">
        <v>3.19</v>
      </c>
      <c r="BG294" s="49" t="s">
        <v>1287</v>
      </c>
      <c r="BH294" s="49" t="s">
        <v>1287</v>
      </c>
      <c r="BI294" s="1"/>
      <c r="BJ294" s="70" t="s">
        <v>1293</v>
      </c>
      <c r="BK294" s="57" t="s">
        <v>1293</v>
      </c>
      <c r="BL294" s="57" t="s">
        <v>1293</v>
      </c>
      <c r="BM294" s="57" t="s">
        <v>1293</v>
      </c>
      <c r="BN294" s="57" t="s">
        <v>1293</v>
      </c>
      <c r="BO294" s="57" t="s">
        <v>1293</v>
      </c>
      <c r="BP294" s="57" t="s">
        <v>1293</v>
      </c>
      <c r="BQ294" s="57" t="s">
        <v>1293</v>
      </c>
      <c r="BR294" s="57" t="s">
        <v>1293</v>
      </c>
      <c r="BS294" s="57" t="s">
        <v>1293</v>
      </c>
      <c r="BT294" s="57" t="s">
        <v>1293</v>
      </c>
      <c r="BU294" s="57" t="s">
        <v>1293</v>
      </c>
      <c r="BV294" s="70">
        <f t="shared" si="1120"/>
        <v>131</v>
      </c>
      <c r="BW294" s="71">
        <f t="shared" si="1121"/>
        <v>167</v>
      </c>
      <c r="BX294" s="72">
        <f t="shared" si="1122"/>
        <v>174</v>
      </c>
      <c r="BY294" s="71" t="str">
        <f t="shared" si="1123"/>
        <v>-</v>
      </c>
      <c r="BZ294" s="72">
        <f t="shared" si="1124"/>
        <v>217</v>
      </c>
      <c r="CA294" s="71" t="str">
        <f t="shared" si="1125"/>
        <v>-</v>
      </c>
      <c r="CB294" s="72">
        <f t="shared" si="1126"/>
        <v>261</v>
      </c>
      <c r="CC294" s="71">
        <f t="shared" si="1127"/>
        <v>294</v>
      </c>
      <c r="CD294" s="72">
        <f t="shared" si="1128"/>
        <v>299</v>
      </c>
      <c r="CE294" s="71">
        <f t="shared" si="1129"/>
        <v>342</v>
      </c>
      <c r="CF294" s="72">
        <f t="shared" si="1130"/>
        <v>377</v>
      </c>
      <c r="CG294" s="71">
        <f t="shared" si="1131"/>
        <v>404</v>
      </c>
      <c r="CH294" s="70">
        <f t="shared" si="1132"/>
        <v>166</v>
      </c>
      <c r="CI294" s="71">
        <f t="shared" si="1133"/>
        <v>170</v>
      </c>
      <c r="CJ294" s="72">
        <f t="shared" si="1134"/>
        <v>201</v>
      </c>
      <c r="CK294" s="72" t="str">
        <f t="shared" si="1135"/>
        <v>-</v>
      </c>
      <c r="CL294" s="72">
        <f t="shared" si="1136"/>
        <v>255</v>
      </c>
      <c r="CM294" s="72" t="str">
        <f t="shared" si="1137"/>
        <v>-</v>
      </c>
      <c r="CN294" s="72">
        <f t="shared" si="1138"/>
        <v>289</v>
      </c>
      <c r="CO294" s="72">
        <f t="shared" si="1139"/>
        <v>296</v>
      </c>
      <c r="CP294" s="72">
        <f t="shared" si="1140"/>
        <v>333</v>
      </c>
      <c r="CQ294" s="72">
        <f t="shared" si="1141"/>
        <v>368</v>
      </c>
      <c r="CR294" s="72">
        <f t="shared" si="1142"/>
        <v>403</v>
      </c>
      <c r="CS294" s="72">
        <f t="shared" si="1143"/>
        <v>415</v>
      </c>
      <c r="CT294" s="23">
        <f t="shared" si="1144"/>
        <v>4</v>
      </c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  <c r="OK294" s="1"/>
      <c r="OL294" s="1"/>
      <c r="OM294" s="1"/>
      <c r="ON294" s="1"/>
      <c r="OO294" s="1"/>
      <c r="OP294" s="1"/>
      <c r="OQ294" s="1"/>
      <c r="OR294" s="1"/>
      <c r="OS294" s="1"/>
      <c r="OT294" s="1"/>
      <c r="OU294" s="1"/>
      <c r="OV294" s="1"/>
      <c r="OW294" s="1"/>
      <c r="OX294" s="1"/>
      <c r="OY294" s="1"/>
      <c r="OZ294" s="1"/>
      <c r="PA294" s="1"/>
      <c r="PB294" s="1"/>
      <c r="PC294" s="1"/>
      <c r="PD294" s="1"/>
      <c r="PE294" s="1"/>
      <c r="PF294" s="1"/>
      <c r="PG294" s="1"/>
      <c r="PH294" s="1"/>
      <c r="PI294" s="1"/>
      <c r="PJ294" s="1"/>
      <c r="PK294" s="1"/>
      <c r="PL294" s="1"/>
      <c r="PM294" s="1"/>
      <c r="PN294" s="1"/>
      <c r="PO294" s="1"/>
      <c r="PP294" s="1"/>
      <c r="PQ294" s="1"/>
      <c r="PR294" s="1"/>
      <c r="PS294" s="1"/>
      <c r="PT294" s="1"/>
      <c r="PU294" s="1"/>
      <c r="PV294" s="1"/>
      <c r="PW294" s="1"/>
      <c r="PX294" s="1"/>
      <c r="PY294" s="1"/>
      <c r="PZ294" s="1"/>
      <c r="QA294" s="1"/>
      <c r="QB294" s="1"/>
      <c r="QC294" s="1"/>
      <c r="QD294" s="1"/>
      <c r="QE294" s="1"/>
      <c r="QF294" s="1"/>
      <c r="QG294" s="1"/>
      <c r="QH294" s="1"/>
      <c r="QI294" s="1"/>
      <c r="QJ294" s="1"/>
      <c r="QK294" s="1"/>
      <c r="QL294" s="1"/>
      <c r="QM294" s="1"/>
      <c r="QN294" s="1"/>
      <c r="QO294" s="1"/>
      <c r="QP294" s="1"/>
      <c r="QQ294" s="1"/>
      <c r="QR294" s="1"/>
      <c r="QS294" s="1"/>
      <c r="QT294" s="1"/>
      <c r="QU294" s="1"/>
      <c r="QV294" s="1"/>
      <c r="QW294" s="1"/>
      <c r="QX294" s="1"/>
      <c r="QY294" s="1"/>
      <c r="QZ294" s="1"/>
      <c r="RA294" s="1"/>
      <c r="RB294" s="1"/>
      <c r="RC294" s="1"/>
      <c r="RD294" s="1"/>
      <c r="RE294" s="1"/>
      <c r="RF294" s="1"/>
      <c r="RG294" s="1"/>
      <c r="RH294" s="1"/>
      <c r="RI294" s="1"/>
      <c r="RJ294" s="1"/>
      <c r="RK294" s="1"/>
      <c r="RL294" s="1"/>
      <c r="RM294" s="1"/>
      <c r="RN294" s="1"/>
      <c r="RO294" s="1"/>
      <c r="RP294" s="1"/>
      <c r="RQ294" s="1"/>
      <c r="RR294" s="1"/>
      <c r="RS294" s="1"/>
      <c r="RT294" s="1"/>
      <c r="RU294" s="1"/>
      <c r="RV294" s="1"/>
      <c r="RW294" s="1"/>
      <c r="RX294" s="1"/>
      <c r="RY294" s="1"/>
      <c r="RZ294" s="1"/>
      <c r="SA294" s="1"/>
      <c r="SB294" s="1"/>
      <c r="SC294" s="1"/>
      <c r="SD294" s="1"/>
      <c r="SE294" s="1"/>
      <c r="SF294" s="1"/>
      <c r="SG294" s="1"/>
      <c r="SH294" s="1"/>
      <c r="SI294" s="1"/>
      <c r="SJ294" s="1"/>
      <c r="SK294" s="1"/>
      <c r="SL294" s="1"/>
      <c r="SM294" s="1"/>
      <c r="SN294" s="1"/>
      <c r="SO294" s="1"/>
      <c r="SP294" s="1"/>
      <c r="SQ294" s="1"/>
      <c r="SR294" s="1"/>
      <c r="SS294" s="1"/>
      <c r="ST294" s="1"/>
      <c r="SU294" s="1"/>
      <c r="SV294" s="1"/>
      <c r="SW294" s="1"/>
      <c r="SX294" s="1"/>
      <c r="SY294" s="1"/>
      <c r="SZ294" s="1"/>
      <c r="TA294" s="1"/>
      <c r="TB294" s="1"/>
      <c r="TC294" s="1"/>
      <c r="TD294" s="1"/>
      <c r="TE294" s="1"/>
      <c r="TF294" s="1"/>
      <c r="TG294" s="1"/>
      <c r="TH294" s="1"/>
      <c r="TI294" s="1"/>
      <c r="TJ294" s="1"/>
      <c r="TK294" s="1"/>
      <c r="TL294" s="1"/>
      <c r="TM294" s="1"/>
      <c r="TN294" s="1"/>
      <c r="TO294" s="1"/>
      <c r="TP294" s="1"/>
      <c r="TQ294" s="1"/>
      <c r="TR294" s="1"/>
      <c r="TS294" s="1"/>
      <c r="TT294" s="1"/>
      <c r="TU294" s="1"/>
      <c r="TV294" s="1"/>
      <c r="TW294" s="1"/>
      <c r="TX294" s="1"/>
      <c r="TY294" s="1"/>
      <c r="TZ294" s="1"/>
      <c r="UA294" s="1"/>
      <c r="UB294" s="1"/>
      <c r="UC294" s="1"/>
      <c r="UD294" s="1"/>
      <c r="UE294" s="1"/>
      <c r="UF294" s="1"/>
      <c r="UG294" s="1"/>
      <c r="UH294" s="1"/>
      <c r="UI294" s="1"/>
      <c r="UJ294" s="1"/>
      <c r="UK294" s="1"/>
      <c r="UL294" s="1"/>
      <c r="UM294" s="1"/>
      <c r="UN294" s="1"/>
      <c r="UO294" s="1"/>
      <c r="UP294" s="1"/>
      <c r="UQ294" s="1"/>
      <c r="UR294" s="1"/>
      <c r="US294" s="1"/>
      <c r="UT294" s="1"/>
      <c r="UU294" s="1"/>
      <c r="UV294" s="1"/>
      <c r="UW294" s="1"/>
      <c r="UX294" s="1"/>
      <c r="UY294" s="1"/>
      <c r="UZ294" s="1"/>
      <c r="VA294" s="1"/>
      <c r="VB294" s="1"/>
      <c r="VC294" s="1"/>
      <c r="VD294" s="1"/>
      <c r="VE294" s="1"/>
      <c r="VF294" s="1"/>
      <c r="VG294" s="1"/>
      <c r="VH294" s="1"/>
      <c r="VI294" s="1"/>
      <c r="VJ294" s="1"/>
      <c r="VK294" s="1"/>
      <c r="VL294" s="1"/>
      <c r="VM294" s="1"/>
      <c r="VN294" s="1"/>
      <c r="VO294" s="1"/>
      <c r="VP294" s="1"/>
      <c r="VQ294" s="1"/>
      <c r="VR294" s="1"/>
      <c r="VS294" s="1"/>
      <c r="VT294" s="1"/>
      <c r="VU294" s="1"/>
      <c r="VV294" s="1"/>
      <c r="VW294" s="1"/>
      <c r="VX294" s="1"/>
      <c r="VY294" s="1"/>
      <c r="VZ294" s="1"/>
      <c r="WA294" s="1"/>
      <c r="WB294" s="1"/>
      <c r="WC294" s="1"/>
      <c r="WD294" s="1"/>
      <c r="WE294" s="1"/>
      <c r="WF294" s="1"/>
      <c r="WG294" s="1"/>
      <c r="WH294" s="1"/>
      <c r="WI294" s="1"/>
      <c r="WJ294" s="1"/>
      <c r="WK294" s="1"/>
      <c r="WL294" s="1"/>
      <c r="WM294" s="1"/>
      <c r="WN294" s="1"/>
      <c r="WO294" s="1"/>
      <c r="WP294" s="1"/>
      <c r="WQ294" s="1"/>
      <c r="WR294" s="1"/>
      <c r="WS294" s="1"/>
      <c r="WT294" s="1"/>
      <c r="WU294" s="1"/>
      <c r="WV294" s="1"/>
      <c r="WW294" s="1"/>
      <c r="WX294" s="1"/>
      <c r="WY294" s="1"/>
      <c r="WZ294" s="1"/>
      <c r="XA294" s="1"/>
      <c r="XB294" s="1"/>
      <c r="XC294" s="1"/>
      <c r="XD294" s="1"/>
      <c r="XE294" s="1"/>
      <c r="XF294" s="1"/>
      <c r="XG294" s="1"/>
      <c r="XH294" s="1"/>
      <c r="XI294" s="1"/>
      <c r="XJ294" s="1"/>
      <c r="XK294" s="1"/>
      <c r="XL294" s="1"/>
      <c r="XM294" s="1"/>
      <c r="XN294" s="1"/>
      <c r="XO294" s="1"/>
      <c r="XP294" s="1"/>
      <c r="XQ294" s="1"/>
      <c r="XR294" s="1"/>
      <c r="XS294" s="1"/>
      <c r="XT294" s="1"/>
      <c r="XU294" s="1"/>
      <c r="XV294" s="1"/>
      <c r="XW294" s="1"/>
      <c r="XX294" s="1"/>
      <c r="XY294" s="1"/>
      <c r="XZ294" s="1"/>
      <c r="YA294" s="1"/>
      <c r="YB294" s="1"/>
      <c r="YC294" s="1"/>
      <c r="YD294" s="1"/>
      <c r="YE294" s="1"/>
      <c r="YF294" s="1"/>
      <c r="YG294" s="1"/>
      <c r="YH294" s="1"/>
      <c r="YI294" s="1"/>
      <c r="YJ294" s="1"/>
      <c r="YK294" s="1"/>
      <c r="YL294" s="1"/>
      <c r="YM294" s="1"/>
      <c r="YN294" s="1"/>
      <c r="YO294" s="1"/>
      <c r="YP294" s="1"/>
      <c r="YQ294" s="1"/>
      <c r="YR294" s="1"/>
      <c r="YS294" s="1"/>
      <c r="YT294" s="1"/>
      <c r="YU294" s="1"/>
      <c r="YV294" s="1"/>
      <c r="YW294" s="1"/>
      <c r="YX294" s="1"/>
      <c r="YY294" s="1"/>
      <c r="YZ294" s="1"/>
      <c r="ZA294" s="1"/>
      <c r="ZB294" s="1"/>
      <c r="ZC294" s="1"/>
      <c r="ZD294" s="1"/>
      <c r="ZE294" s="1"/>
      <c r="ZF294" s="1"/>
      <c r="ZG294" s="1"/>
      <c r="ZH294" s="1"/>
      <c r="ZI294" s="1"/>
      <c r="ZJ294" s="1"/>
      <c r="ZK294" s="1"/>
      <c r="ZL294" s="1"/>
      <c r="ZM294" s="1"/>
      <c r="ZN294" s="1"/>
      <c r="ZO294" s="1"/>
      <c r="ZP294" s="1"/>
      <c r="ZQ294" s="1"/>
      <c r="ZR294" s="1"/>
      <c r="ZS294" s="1"/>
      <c r="ZT294" s="1"/>
      <c r="ZU294" s="1"/>
      <c r="ZV294" s="1"/>
      <c r="ZW294" s="1"/>
      <c r="ZX294" s="1"/>
      <c r="ZY294" s="1"/>
      <c r="ZZ294" s="1"/>
      <c r="AAA294" s="1"/>
      <c r="AAB294" s="1"/>
      <c r="AAC294" s="1"/>
      <c r="AAD294" s="1"/>
      <c r="AAE294" s="1"/>
      <c r="AAF294" s="1"/>
      <c r="AAG294" s="1"/>
      <c r="AAH294" s="1"/>
      <c r="AAI294" s="1"/>
      <c r="AAJ294" s="1"/>
      <c r="AAK294" s="1"/>
      <c r="AAL294" s="1"/>
      <c r="AAM294" s="1"/>
      <c r="AAN294" s="1"/>
      <c r="AAO294" s="1"/>
      <c r="AAP294" s="1"/>
      <c r="AAQ294" s="1"/>
      <c r="AAR294" s="1"/>
      <c r="AAS294" s="1"/>
      <c r="AAT294" s="1"/>
      <c r="AAU294" s="1"/>
      <c r="AAV294" s="1"/>
      <c r="AAW294" s="1"/>
      <c r="AAX294" s="1"/>
      <c r="AAY294" s="1"/>
      <c r="AAZ294" s="1"/>
      <c r="ABA294" s="1"/>
      <c r="ABB294" s="1"/>
      <c r="ABC294" s="1"/>
      <c r="ABD294" s="1"/>
      <c r="ABE294" s="1"/>
      <c r="ABF294" s="1"/>
      <c r="ABG294" s="1"/>
      <c r="ABH294" s="1"/>
      <c r="ABI294" s="1"/>
      <c r="ABJ294" s="1"/>
      <c r="ABK294" s="1"/>
      <c r="ABL294" s="1"/>
      <c r="ABM294" s="1"/>
      <c r="ABN294" s="1"/>
      <c r="ABO294" s="1"/>
      <c r="ABP294" s="1"/>
      <c r="ABQ294" s="1"/>
      <c r="ABR294" s="1"/>
      <c r="ABS294" s="1"/>
      <c r="ABT294" s="1"/>
      <c r="ABU294" s="1"/>
      <c r="ABV294" s="1"/>
      <c r="ABW294" s="1"/>
      <c r="ABX294" s="1"/>
      <c r="ABY294" s="1"/>
      <c r="ABZ294" s="1"/>
      <c r="ACA294" s="1"/>
      <c r="ACB294" s="1"/>
      <c r="ACC294" s="1"/>
      <c r="ACD294" s="1"/>
      <c r="ACE294" s="1"/>
      <c r="ACF294" s="1"/>
      <c r="ACG294" s="1"/>
      <c r="ACH294" s="1"/>
      <c r="ACI294" s="1"/>
      <c r="ACJ294" s="1"/>
      <c r="ACK294" s="1"/>
      <c r="ACL294" s="1"/>
      <c r="ACM294" s="1"/>
      <c r="ACN294" s="1"/>
      <c r="ACO294" s="1"/>
      <c r="ACP294" s="1"/>
      <c r="ACQ294" s="1"/>
      <c r="ACR294" s="1"/>
      <c r="ACS294" s="1"/>
      <c r="ACT294" s="1"/>
      <c r="ACU294" s="1"/>
      <c r="ACV294" s="1"/>
      <c r="ACW294" s="1"/>
      <c r="ACX294" s="1"/>
      <c r="ACY294" s="1"/>
      <c r="ACZ294" s="1"/>
      <c r="ADA294" s="1"/>
      <c r="ADB294" s="1"/>
      <c r="ADC294" s="1"/>
      <c r="ADD294" s="1"/>
      <c r="ADE294" s="1"/>
      <c r="ADF294" s="1"/>
      <c r="ADG294" s="1"/>
      <c r="ADH294" s="1"/>
      <c r="ADI294" s="1"/>
      <c r="ADJ294" s="1"/>
      <c r="ADK294" s="1"/>
      <c r="ADL294" s="1"/>
      <c r="ADM294" s="1"/>
      <c r="ADN294" s="1"/>
      <c r="ADO294" s="1"/>
      <c r="ADP294" s="1"/>
      <c r="ADQ294" s="1"/>
      <c r="ADR294" s="1"/>
      <c r="ADS294" s="1"/>
      <c r="ADT294" s="1"/>
      <c r="ADU294" s="1"/>
      <c r="ADV294" s="1"/>
      <c r="ADW294" s="1"/>
      <c r="ADX294" s="1"/>
      <c r="ADY294" s="1"/>
      <c r="ADZ294" s="1"/>
      <c r="AEA294" s="1"/>
      <c r="AEB294" s="1"/>
      <c r="AEC294" s="1"/>
      <c r="AED294" s="1"/>
      <c r="AEE294" s="1"/>
      <c r="AEF294" s="1"/>
      <c r="AEG294" s="1"/>
      <c r="AEH294" s="1"/>
      <c r="AEI294" s="1"/>
      <c r="AEJ294" s="1"/>
      <c r="AEK294" s="1"/>
      <c r="AEL294" s="1"/>
      <c r="AEM294" s="1"/>
      <c r="AEN294" s="1"/>
      <c r="AEO294" s="1"/>
      <c r="AEP294" s="1"/>
      <c r="AEQ294" s="1"/>
      <c r="AER294" s="1"/>
      <c r="AES294" s="1"/>
      <c r="AET294" s="1"/>
      <c r="AEU294" s="1"/>
      <c r="AEV294" s="1"/>
      <c r="AEW294" s="1"/>
      <c r="AEX294" s="1"/>
      <c r="AEY294" s="1"/>
      <c r="AEZ294" s="1"/>
      <c r="AFA294" s="1"/>
      <c r="AFB294" s="1"/>
      <c r="AFC294" s="1"/>
      <c r="AFD294" s="1"/>
      <c r="AFE294" s="1"/>
      <c r="AFF294" s="1"/>
      <c r="AFG294" s="1"/>
      <c r="AFH294" s="1"/>
      <c r="AFI294" s="1"/>
      <c r="AFJ294" s="1"/>
      <c r="AFK294" s="1"/>
      <c r="AFL294" s="1"/>
      <c r="AFM294" s="1"/>
      <c r="AFN294" s="1"/>
      <c r="AFO294" s="1"/>
      <c r="AFP294" s="1"/>
      <c r="AFQ294" s="1"/>
      <c r="AFR294" s="1"/>
      <c r="AFS294" s="1"/>
      <c r="AFT294" s="1"/>
      <c r="AFU294" s="1"/>
      <c r="AFV294" s="1"/>
      <c r="AFW294" s="1"/>
      <c r="AFX294" s="1"/>
      <c r="AFY294" s="1"/>
      <c r="AFZ294" s="1"/>
      <c r="AGA294" s="1"/>
      <c r="AGB294" s="1"/>
      <c r="AGC294" s="1"/>
      <c r="AGD294" s="1"/>
      <c r="AGE294" s="1"/>
      <c r="AGF294" s="1"/>
      <c r="AGG294" s="1"/>
      <c r="AGH294" s="1"/>
      <c r="AGI294" s="1"/>
      <c r="AGJ294" s="1"/>
      <c r="AGK294" s="1"/>
      <c r="AGL294" s="1"/>
      <c r="AGM294" s="1"/>
      <c r="AGN294" s="1"/>
      <c r="AGO294" s="1"/>
      <c r="AGP294" s="1"/>
      <c r="AGQ294" s="1"/>
      <c r="AGR294" s="1"/>
      <c r="AGS294" s="1"/>
      <c r="AGT294" s="1"/>
      <c r="AGU294" s="1"/>
      <c r="AGV294" s="1"/>
      <c r="AGW294" s="1"/>
      <c r="AGX294" s="1"/>
      <c r="AGY294" s="1"/>
      <c r="AGZ294" s="1"/>
      <c r="AHA294" s="1"/>
      <c r="AHB294" s="1"/>
      <c r="AHC294" s="1"/>
      <c r="AHD294" s="1"/>
      <c r="AHE294" s="1"/>
      <c r="AHF294" s="1"/>
      <c r="AHG294" s="1"/>
      <c r="AHH294" s="1"/>
      <c r="AHI294" s="1"/>
      <c r="AHJ294" s="1"/>
      <c r="AHK294" s="1"/>
      <c r="AHL294" s="1"/>
      <c r="AHM294" s="1"/>
      <c r="AHN294" s="1"/>
      <c r="AHO294" s="1"/>
      <c r="AHP294" s="1"/>
      <c r="AHQ294" s="1"/>
      <c r="AHR294" s="1"/>
      <c r="AHS294" s="1"/>
      <c r="AHT294" s="1"/>
      <c r="AHU294" s="1"/>
      <c r="AHV294" s="1"/>
      <c r="AHW294" s="1"/>
      <c r="AHX294" s="1"/>
      <c r="AHY294" s="1"/>
      <c r="AHZ294" s="1"/>
      <c r="AIA294" s="1"/>
      <c r="AIB294" s="1"/>
      <c r="AIC294" s="1"/>
      <c r="AID294" s="1"/>
      <c r="AIE294" s="1"/>
      <c r="AIF294" s="1"/>
      <c r="AIG294" s="1"/>
      <c r="AIH294" s="1"/>
      <c r="AII294" s="1"/>
      <c r="AIJ294" s="1"/>
      <c r="AIK294" s="1"/>
      <c r="AIL294" s="1"/>
      <c r="AIM294" s="1"/>
      <c r="AIN294" s="1"/>
      <c r="AIO294" s="1"/>
      <c r="AIP294" s="1"/>
      <c r="AIQ294" s="1"/>
      <c r="AIR294" s="1"/>
      <c r="AIS294" s="1"/>
      <c r="AIT294" s="1"/>
      <c r="AIU294" s="1"/>
      <c r="AIV294" s="1"/>
      <c r="AIW294" s="1"/>
      <c r="AIX294" s="1"/>
      <c r="AIY294" s="1"/>
      <c r="AIZ294" s="1"/>
      <c r="AJA294" s="1"/>
      <c r="AJB294" s="1"/>
      <c r="AJC294" s="1"/>
      <c r="AJD294" s="1"/>
      <c r="AJE294" s="1"/>
      <c r="AJF294" s="1"/>
      <c r="AJG294" s="1"/>
      <c r="AJH294" s="1"/>
      <c r="AJI294" s="1"/>
      <c r="AJJ294" s="1"/>
      <c r="AJK294" s="1"/>
      <c r="AJL294" s="1"/>
      <c r="AJM294" s="1"/>
      <c r="AJN294" s="1"/>
      <c r="AJO294" s="1"/>
      <c r="AJP294" s="1"/>
      <c r="AJQ294" s="1"/>
      <c r="AJR294" s="1"/>
      <c r="AJS294" s="1"/>
      <c r="AJT294" s="1"/>
      <c r="AJU294" s="1"/>
      <c r="AJV294" s="1"/>
      <c r="AJW294" s="1"/>
      <c r="AJX294" s="1"/>
      <c r="AJY294" s="1"/>
      <c r="AJZ294" s="1"/>
      <c r="AKA294" s="1"/>
      <c r="AKB294" s="1"/>
      <c r="AKC294" s="1"/>
      <c r="AKD294" s="1"/>
      <c r="AKE294" s="1"/>
      <c r="AKF294" s="1"/>
      <c r="AKG294" s="1"/>
      <c r="AKH294" s="1"/>
      <c r="AKI294" s="1"/>
      <c r="AKJ294" s="1"/>
      <c r="AKK294" s="1"/>
      <c r="AKL294" s="1"/>
      <c r="AKM294" s="1"/>
      <c r="AKN294" s="1"/>
      <c r="AKO294" s="1"/>
      <c r="AKP294" s="1"/>
      <c r="AKQ294" s="1"/>
      <c r="AKR294" s="1"/>
      <c r="AKS294" s="1"/>
      <c r="AKT294" s="1"/>
      <c r="AKU294" s="1"/>
      <c r="AKV294" s="1"/>
      <c r="AKW294" s="1"/>
      <c r="AKX294" s="1"/>
      <c r="AKY294" s="1"/>
      <c r="AKZ294" s="1"/>
      <c r="ALA294" s="1"/>
      <c r="ALB294" s="1"/>
      <c r="ALC294" s="1"/>
      <c r="ALD294" s="1"/>
      <c r="ALE294" s="1"/>
      <c r="ALF294" s="1"/>
      <c r="ALG294" s="1"/>
      <c r="ALH294" s="1"/>
      <c r="ALI294" s="1"/>
      <c r="ALJ294" s="1"/>
      <c r="ALK294" s="1"/>
      <c r="ALL294" s="1"/>
      <c r="ALM294" s="1"/>
      <c r="ALN294" s="1"/>
      <c r="ALO294" s="1"/>
      <c r="ALP294" s="1"/>
      <c r="ALQ294" s="1"/>
      <c r="ALR294" s="1"/>
      <c r="ALS294" s="1"/>
      <c r="ALT294" s="1"/>
      <c r="ALU294" s="1"/>
      <c r="ALV294" s="1"/>
      <c r="ALW294" s="1"/>
      <c r="ALX294" s="1"/>
      <c r="ALY294" s="1"/>
      <c r="ALZ294" s="1"/>
      <c r="AMA294" s="1"/>
      <c r="AMB294" s="1"/>
      <c r="AMC294" s="1"/>
      <c r="AMD294" s="1"/>
      <c r="AME294" s="1"/>
      <c r="AMF294" s="1"/>
      <c r="AMG294" s="1"/>
      <c r="AMH294" s="1"/>
      <c r="AMI294" s="1"/>
      <c r="AMJ294" s="1"/>
      <c r="AMK294" s="1"/>
      <c r="AML294" s="1"/>
      <c r="AMM294" s="1"/>
      <c r="AMN294" s="1"/>
      <c r="AMO294" s="1"/>
    </row>
    <row r="295" spans="1:1029" x14ac:dyDescent="0.2">
      <c r="A295" s="3" t="str">
        <f t="shared" si="1117"/>
        <v>glr_human_5YQZ</v>
      </c>
      <c r="B295" s="3" t="s">
        <v>32</v>
      </c>
      <c r="C295" s="3" t="s">
        <v>1475</v>
      </c>
      <c r="D295" s="3" t="str">
        <f>IFERROR(MID(VLOOKUP($B295,Seqs!$A:$B,2,0),E295,1),"")</f>
        <v>D</v>
      </c>
      <c r="E295" s="3">
        <v>124</v>
      </c>
      <c r="F295" s="3" t="str">
        <f>IFERROR(MID(VLOOKUP($B295,Seqs!$A:$B,2,0),G295,1),"")</f>
        <v>L</v>
      </c>
      <c r="G295" s="3">
        <v>166</v>
      </c>
      <c r="H295" s="3" t="str">
        <f>IFERROR(MID(VLOOKUP($B295,Seqs!$A:$B,2,0),I295,1),"")</f>
        <v>S</v>
      </c>
      <c r="I295" s="23">
        <v>167</v>
      </c>
      <c r="J295" s="3" t="str">
        <f>IFERROR(MID(VLOOKUP($B295,Seqs!$A:$B,2,0),K295,1),"")</f>
        <v>H</v>
      </c>
      <c r="K295" s="23">
        <v>170</v>
      </c>
      <c r="L295" s="3" t="str">
        <f>IFERROR(MID(VLOOKUP($B295,Seqs!$A:$B,2,0),M295,1),"")</f>
        <v>C</v>
      </c>
      <c r="M295" s="23">
        <v>171</v>
      </c>
      <c r="N295" s="3" t="str">
        <f>IFERROR(MID(VLOOKUP($B295,Seqs!$A:$B,2,0),O295,1),"")</f>
        <v>S</v>
      </c>
      <c r="O295" s="3">
        <v>203</v>
      </c>
      <c r="P295" s="3" t="str">
        <f>IFERROR(MID(VLOOKUP($B295,Seqs!$A:$B,2,0),Q295,1),"")</f>
        <v/>
      </c>
      <c r="Q295" s="3" t="s">
        <v>23</v>
      </c>
      <c r="R295" s="3" t="str">
        <f>IFERROR(MID(VLOOKUP($B295,Seqs!$A:$B,2,0),S295,1),"")</f>
        <v/>
      </c>
      <c r="S295" s="3" t="s">
        <v>23</v>
      </c>
      <c r="T295" s="3" t="str">
        <f>IFERROR(MID(VLOOKUP($B295,Seqs!$A:$B,2,0),U295,1),"")</f>
        <v>A</v>
      </c>
      <c r="U295" s="3">
        <v>220</v>
      </c>
      <c r="V295" s="3" t="str">
        <f>IFERROR(MID(VLOOKUP($B295,Seqs!$A:$B,2,0),W295,1),"")</f>
        <v>L</v>
      </c>
      <c r="W295" s="3">
        <v>255</v>
      </c>
      <c r="X295" s="3" t="str">
        <f>IFERROR(MID(VLOOKUP($B295,Seqs!$A:$B,2,0),Y295,1),"")</f>
        <v/>
      </c>
      <c r="Y295" s="3" t="s">
        <v>23</v>
      </c>
      <c r="Z295" s="3" t="str">
        <f>IFERROR(MID(VLOOKUP($B295,Seqs!$A:$B,2,0),AA295,1),"")</f>
        <v/>
      </c>
      <c r="AA295" s="3" t="s">
        <v>23</v>
      </c>
      <c r="AB295" s="3" t="str">
        <f>IFERROR(MID(VLOOKUP($B295,Seqs!$A:$B,2,0),AC295,1),"")</f>
        <v>F</v>
      </c>
      <c r="AC295" s="3">
        <v>263</v>
      </c>
      <c r="AD295" s="3" t="str">
        <f>IFERROR(MID(VLOOKUP($B295,Seqs!$A:$B,2,0),AE295,1),"")</f>
        <v>E</v>
      </c>
      <c r="AE295" s="3">
        <v>290</v>
      </c>
      <c r="AF295" s="3" t="str">
        <f>IFERROR(MID(VLOOKUP($B295,Seqs!$A:$B,2,0),AG295,1),"")</f>
        <v>C</v>
      </c>
      <c r="AG295" s="3">
        <v>294</v>
      </c>
      <c r="AH295" s="3" t="str">
        <f>IFERROR(MID(VLOOKUP($B295,Seqs!$A:$B,2,0),AI295,1),"")</f>
        <v>T</v>
      </c>
      <c r="AI295" s="3">
        <v>296</v>
      </c>
      <c r="AJ295" s="3" t="str">
        <f>IFERROR(MID(VLOOKUP($B295,Seqs!$A:$B,2,0),AK295,1),"")</f>
        <v>F</v>
      </c>
      <c r="AK295" s="3">
        <v>303</v>
      </c>
      <c r="AL295" s="3" t="str">
        <f>IFERROR(MID(VLOOKUP($B295,Seqs!$A:$B,2,0),AM295,1),"")</f>
        <v>A</v>
      </c>
      <c r="AM295" s="3">
        <v>335</v>
      </c>
      <c r="AN295" s="3" t="str">
        <f>IFERROR(MID(VLOOKUP($B295,Seqs!$A:$B,2,0),AO295,1),"")</f>
        <v>D</v>
      </c>
      <c r="AO295" s="3">
        <v>342</v>
      </c>
      <c r="AP295" s="3" t="str">
        <f>IFERROR(MID(VLOOKUP($B295,Seqs!$A:$B,2,0),AQ295,1),"")</f>
        <v>T</v>
      </c>
      <c r="AQ295" s="3">
        <v>369</v>
      </c>
      <c r="AR295" s="3" t="str">
        <f>IFERROR(MID(VLOOKUP($B295,Seqs!$A:$B,2,0),AS295,1),"")</f>
        <v>G</v>
      </c>
      <c r="AS295" s="3">
        <v>375</v>
      </c>
      <c r="AT295" s="3" t="str">
        <f>IFERROR(MID(VLOOKUP($B295,Seqs!$A:$B,2,0),AU295,1),"")</f>
        <v>L</v>
      </c>
      <c r="AU295" s="3">
        <v>403</v>
      </c>
      <c r="AV295" s="3" t="str">
        <f>IFERROR(MID(VLOOKUP($B295,Seqs!$A:$B,2,0),AW295,1),"")</f>
        <v>N</v>
      </c>
      <c r="AW295" s="3">
        <v>404</v>
      </c>
      <c r="AX295" s="3" t="str">
        <f>IFERROR(MID(VLOOKUP($B295,Seqs!$A:$B,2,0),AY295,1),"")</f>
        <v>E</v>
      </c>
      <c r="AY295" s="3">
        <v>426</v>
      </c>
      <c r="AZ295" s="77" t="str">
        <f>VLOOKUP(B295,Classification!A:D,2,0)</f>
        <v>B1</v>
      </c>
      <c r="BA295" s="94" t="str">
        <f>VLOOKUP(B295,Classification!A:D,4,0)</f>
        <v>Glucagonreceptorfamily</v>
      </c>
      <c r="BB295" s="27" t="b">
        <f t="shared" si="1118"/>
        <v>1</v>
      </c>
      <c r="BC295" s="23">
        <f t="shared" si="1119"/>
        <v>262</v>
      </c>
      <c r="BD295" s="4" t="s">
        <v>23</v>
      </c>
      <c r="BE295" s="3" t="s">
        <v>1381</v>
      </c>
      <c r="BF295" s="119">
        <v>3</v>
      </c>
      <c r="BG295" s="49" t="s">
        <v>1433</v>
      </c>
      <c r="BH295" s="49" t="s">
        <v>1433</v>
      </c>
      <c r="BI295" s="1"/>
      <c r="BJ295" s="70" t="s">
        <v>1293</v>
      </c>
      <c r="BK295" s="57" t="s">
        <v>1293</v>
      </c>
      <c r="BL295" s="57" t="s">
        <v>1293</v>
      </c>
      <c r="BM295" s="57" t="s">
        <v>1293</v>
      </c>
      <c r="BN295" s="57" t="s">
        <v>1293</v>
      </c>
      <c r="BO295" s="57" t="s">
        <v>1293</v>
      </c>
      <c r="BP295" s="57" t="s">
        <v>1293</v>
      </c>
      <c r="BQ295" s="57" t="s">
        <v>1293</v>
      </c>
      <c r="BR295" s="57" t="s">
        <v>1293</v>
      </c>
      <c r="BS295" s="57" t="s">
        <v>1293</v>
      </c>
      <c r="BT295" s="57" t="s">
        <v>1293</v>
      </c>
      <c r="BU295" s="57" t="s">
        <v>1293</v>
      </c>
      <c r="BV295" s="70">
        <f t="shared" si="1120"/>
        <v>124</v>
      </c>
      <c r="BW295" s="71">
        <f t="shared" si="1121"/>
        <v>167</v>
      </c>
      <c r="BX295" s="72">
        <f t="shared" si="1122"/>
        <v>171</v>
      </c>
      <c r="BY295" s="71" t="str">
        <f t="shared" si="1123"/>
        <v>-</v>
      </c>
      <c r="BZ295" s="72">
        <f t="shared" si="1124"/>
        <v>220</v>
      </c>
      <c r="CA295" s="71" t="str">
        <f t="shared" si="1125"/>
        <v>-</v>
      </c>
      <c r="CB295" s="72">
        <f t="shared" si="1126"/>
        <v>263</v>
      </c>
      <c r="CC295" s="71">
        <f t="shared" si="1127"/>
        <v>294</v>
      </c>
      <c r="CD295" s="72">
        <f t="shared" si="1128"/>
        <v>303</v>
      </c>
      <c r="CE295" s="71">
        <f t="shared" si="1129"/>
        <v>342</v>
      </c>
      <c r="CF295" s="72">
        <f t="shared" si="1130"/>
        <v>375</v>
      </c>
      <c r="CG295" s="71">
        <f t="shared" si="1131"/>
        <v>404</v>
      </c>
      <c r="CH295" s="70">
        <f t="shared" si="1132"/>
        <v>166</v>
      </c>
      <c r="CI295" s="71">
        <f t="shared" si="1133"/>
        <v>170</v>
      </c>
      <c r="CJ295" s="72">
        <f t="shared" si="1134"/>
        <v>203</v>
      </c>
      <c r="CK295" s="72" t="str">
        <f t="shared" si="1135"/>
        <v>-</v>
      </c>
      <c r="CL295" s="72">
        <f t="shared" si="1136"/>
        <v>255</v>
      </c>
      <c r="CM295" s="72" t="str">
        <f t="shared" si="1137"/>
        <v>-</v>
      </c>
      <c r="CN295" s="72">
        <f t="shared" si="1138"/>
        <v>290</v>
      </c>
      <c r="CO295" s="72">
        <f t="shared" si="1139"/>
        <v>296</v>
      </c>
      <c r="CP295" s="72">
        <f t="shared" si="1140"/>
        <v>335</v>
      </c>
      <c r="CQ295" s="72">
        <f t="shared" si="1141"/>
        <v>369</v>
      </c>
      <c r="CR295" s="72">
        <f t="shared" si="1142"/>
        <v>403</v>
      </c>
      <c r="CS295" s="72">
        <f t="shared" si="1143"/>
        <v>426</v>
      </c>
      <c r="CT295" s="23">
        <f t="shared" si="1144"/>
        <v>1</v>
      </c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  <c r="OK295" s="1"/>
      <c r="OL295" s="1"/>
      <c r="OM295" s="1"/>
      <c r="ON295" s="1"/>
      <c r="OO295" s="1"/>
      <c r="OP295" s="1"/>
      <c r="OQ295" s="1"/>
      <c r="OR295" s="1"/>
      <c r="OS295" s="1"/>
      <c r="OT295" s="1"/>
      <c r="OU295" s="1"/>
      <c r="OV295" s="1"/>
      <c r="OW295" s="1"/>
      <c r="OX295" s="1"/>
      <c r="OY295" s="1"/>
      <c r="OZ295" s="1"/>
      <c r="PA295" s="1"/>
      <c r="PB295" s="1"/>
      <c r="PC295" s="1"/>
      <c r="PD295" s="1"/>
      <c r="PE295" s="1"/>
      <c r="PF295" s="1"/>
      <c r="PG295" s="1"/>
      <c r="PH295" s="1"/>
      <c r="PI295" s="1"/>
      <c r="PJ295" s="1"/>
      <c r="PK295" s="1"/>
      <c r="PL295" s="1"/>
      <c r="PM295" s="1"/>
      <c r="PN295" s="1"/>
      <c r="PO295" s="1"/>
      <c r="PP295" s="1"/>
      <c r="PQ295" s="1"/>
      <c r="PR295" s="1"/>
      <c r="PS295" s="1"/>
      <c r="PT295" s="1"/>
      <c r="PU295" s="1"/>
      <c r="PV295" s="1"/>
      <c r="PW295" s="1"/>
      <c r="PX295" s="1"/>
      <c r="PY295" s="1"/>
      <c r="PZ295" s="1"/>
      <c r="QA295" s="1"/>
      <c r="QB295" s="1"/>
      <c r="QC295" s="1"/>
      <c r="QD295" s="1"/>
      <c r="QE295" s="1"/>
      <c r="QF295" s="1"/>
      <c r="QG295" s="1"/>
      <c r="QH295" s="1"/>
      <c r="QI295" s="1"/>
      <c r="QJ295" s="1"/>
      <c r="QK295" s="1"/>
      <c r="QL295" s="1"/>
      <c r="QM295" s="1"/>
      <c r="QN295" s="1"/>
      <c r="QO295" s="1"/>
      <c r="QP295" s="1"/>
      <c r="QQ295" s="1"/>
      <c r="QR295" s="1"/>
      <c r="QS295" s="1"/>
      <c r="QT295" s="1"/>
      <c r="QU295" s="1"/>
      <c r="QV295" s="1"/>
      <c r="QW295" s="1"/>
      <c r="QX295" s="1"/>
      <c r="QY295" s="1"/>
      <c r="QZ295" s="1"/>
      <c r="RA295" s="1"/>
      <c r="RB295" s="1"/>
      <c r="RC295" s="1"/>
      <c r="RD295" s="1"/>
      <c r="RE295" s="1"/>
      <c r="RF295" s="1"/>
      <c r="RG295" s="1"/>
      <c r="RH295" s="1"/>
      <c r="RI295" s="1"/>
      <c r="RJ295" s="1"/>
      <c r="RK295" s="1"/>
      <c r="RL295" s="1"/>
      <c r="RM295" s="1"/>
      <c r="RN295" s="1"/>
      <c r="RO295" s="1"/>
      <c r="RP295" s="1"/>
      <c r="RQ295" s="1"/>
      <c r="RR295" s="1"/>
      <c r="RS295" s="1"/>
      <c r="RT295" s="1"/>
      <c r="RU295" s="1"/>
      <c r="RV295" s="1"/>
      <c r="RW295" s="1"/>
      <c r="RX295" s="1"/>
      <c r="RY295" s="1"/>
      <c r="RZ295" s="1"/>
      <c r="SA295" s="1"/>
      <c r="SB295" s="1"/>
      <c r="SC295" s="1"/>
      <c r="SD295" s="1"/>
      <c r="SE295" s="1"/>
      <c r="SF295" s="1"/>
      <c r="SG295" s="1"/>
      <c r="SH295" s="1"/>
      <c r="SI295" s="1"/>
      <c r="SJ295" s="1"/>
      <c r="SK295" s="1"/>
      <c r="SL295" s="1"/>
      <c r="SM295" s="1"/>
      <c r="SN295" s="1"/>
      <c r="SO295" s="1"/>
      <c r="SP295" s="1"/>
      <c r="SQ295" s="1"/>
      <c r="SR295" s="1"/>
      <c r="SS295" s="1"/>
      <c r="ST295" s="1"/>
      <c r="SU295" s="1"/>
      <c r="SV295" s="1"/>
      <c r="SW295" s="1"/>
      <c r="SX295" s="1"/>
      <c r="SY295" s="1"/>
      <c r="SZ295" s="1"/>
      <c r="TA295" s="1"/>
      <c r="TB295" s="1"/>
      <c r="TC295" s="1"/>
      <c r="TD295" s="1"/>
      <c r="TE295" s="1"/>
      <c r="TF295" s="1"/>
      <c r="TG295" s="1"/>
      <c r="TH295" s="1"/>
      <c r="TI295" s="1"/>
      <c r="TJ295" s="1"/>
      <c r="TK295" s="1"/>
      <c r="TL295" s="1"/>
      <c r="TM295" s="1"/>
      <c r="TN295" s="1"/>
      <c r="TO295" s="1"/>
      <c r="TP295" s="1"/>
      <c r="TQ295" s="1"/>
      <c r="TR295" s="1"/>
      <c r="TS295" s="1"/>
      <c r="TT295" s="1"/>
      <c r="TU295" s="1"/>
      <c r="TV295" s="1"/>
      <c r="TW295" s="1"/>
      <c r="TX295" s="1"/>
      <c r="TY295" s="1"/>
      <c r="TZ295" s="1"/>
      <c r="UA295" s="1"/>
      <c r="UB295" s="1"/>
      <c r="UC295" s="1"/>
      <c r="UD295" s="1"/>
      <c r="UE295" s="1"/>
      <c r="UF295" s="1"/>
      <c r="UG295" s="1"/>
      <c r="UH295" s="1"/>
      <c r="UI295" s="1"/>
      <c r="UJ295" s="1"/>
      <c r="UK295" s="1"/>
      <c r="UL295" s="1"/>
      <c r="UM295" s="1"/>
      <c r="UN295" s="1"/>
      <c r="UO295" s="1"/>
      <c r="UP295" s="1"/>
      <c r="UQ295" s="1"/>
      <c r="UR295" s="1"/>
      <c r="US295" s="1"/>
      <c r="UT295" s="1"/>
      <c r="UU295" s="1"/>
      <c r="UV295" s="1"/>
      <c r="UW295" s="1"/>
      <c r="UX295" s="1"/>
      <c r="UY295" s="1"/>
      <c r="UZ295" s="1"/>
      <c r="VA295" s="1"/>
      <c r="VB295" s="1"/>
      <c r="VC295" s="1"/>
      <c r="VD295" s="1"/>
      <c r="VE295" s="1"/>
      <c r="VF295" s="1"/>
      <c r="VG295" s="1"/>
      <c r="VH295" s="1"/>
      <c r="VI295" s="1"/>
      <c r="VJ295" s="1"/>
      <c r="VK295" s="1"/>
      <c r="VL295" s="1"/>
      <c r="VM295" s="1"/>
      <c r="VN295" s="1"/>
      <c r="VO295" s="1"/>
      <c r="VP295" s="1"/>
      <c r="VQ295" s="1"/>
      <c r="VR295" s="1"/>
      <c r="VS295" s="1"/>
      <c r="VT295" s="1"/>
      <c r="VU295" s="1"/>
      <c r="VV295" s="1"/>
      <c r="VW295" s="1"/>
      <c r="VX295" s="1"/>
      <c r="VY295" s="1"/>
      <c r="VZ295" s="1"/>
      <c r="WA295" s="1"/>
      <c r="WB295" s="1"/>
      <c r="WC295" s="1"/>
      <c r="WD295" s="1"/>
      <c r="WE295" s="1"/>
      <c r="WF295" s="1"/>
      <c r="WG295" s="1"/>
      <c r="WH295" s="1"/>
      <c r="WI295" s="1"/>
      <c r="WJ295" s="1"/>
      <c r="WK295" s="1"/>
      <c r="WL295" s="1"/>
      <c r="WM295" s="1"/>
      <c r="WN295" s="1"/>
      <c r="WO295" s="1"/>
      <c r="WP295" s="1"/>
      <c r="WQ295" s="1"/>
      <c r="WR295" s="1"/>
      <c r="WS295" s="1"/>
      <c r="WT295" s="1"/>
      <c r="WU295" s="1"/>
      <c r="WV295" s="1"/>
      <c r="WW295" s="1"/>
      <c r="WX295" s="1"/>
      <c r="WY295" s="1"/>
      <c r="WZ295" s="1"/>
      <c r="XA295" s="1"/>
      <c r="XB295" s="1"/>
      <c r="XC295" s="1"/>
      <c r="XD295" s="1"/>
      <c r="XE295" s="1"/>
      <c r="XF295" s="1"/>
      <c r="XG295" s="1"/>
      <c r="XH295" s="1"/>
      <c r="XI295" s="1"/>
      <c r="XJ295" s="1"/>
      <c r="XK295" s="1"/>
      <c r="XL295" s="1"/>
      <c r="XM295" s="1"/>
      <c r="XN295" s="1"/>
      <c r="XO295" s="1"/>
      <c r="XP295" s="1"/>
      <c r="XQ295" s="1"/>
      <c r="XR295" s="1"/>
      <c r="XS295" s="1"/>
      <c r="XT295" s="1"/>
      <c r="XU295" s="1"/>
      <c r="XV295" s="1"/>
      <c r="XW295" s="1"/>
      <c r="XX295" s="1"/>
      <c r="XY295" s="1"/>
      <c r="XZ295" s="1"/>
      <c r="YA295" s="1"/>
      <c r="YB295" s="1"/>
      <c r="YC295" s="1"/>
      <c r="YD295" s="1"/>
      <c r="YE295" s="1"/>
      <c r="YF295" s="1"/>
      <c r="YG295" s="1"/>
      <c r="YH295" s="1"/>
      <c r="YI295" s="1"/>
      <c r="YJ295" s="1"/>
      <c r="YK295" s="1"/>
      <c r="YL295" s="1"/>
      <c r="YM295" s="1"/>
      <c r="YN295" s="1"/>
      <c r="YO295" s="1"/>
      <c r="YP295" s="1"/>
      <c r="YQ295" s="1"/>
      <c r="YR295" s="1"/>
      <c r="YS295" s="1"/>
      <c r="YT295" s="1"/>
      <c r="YU295" s="1"/>
      <c r="YV295" s="1"/>
      <c r="YW295" s="1"/>
      <c r="YX295" s="1"/>
      <c r="YY295" s="1"/>
      <c r="YZ295" s="1"/>
      <c r="ZA295" s="1"/>
      <c r="ZB295" s="1"/>
      <c r="ZC295" s="1"/>
      <c r="ZD295" s="1"/>
      <c r="ZE295" s="1"/>
      <c r="ZF295" s="1"/>
      <c r="ZG295" s="1"/>
      <c r="ZH295" s="1"/>
      <c r="ZI295" s="1"/>
      <c r="ZJ295" s="1"/>
      <c r="ZK295" s="1"/>
      <c r="ZL295" s="1"/>
      <c r="ZM295" s="1"/>
      <c r="ZN295" s="1"/>
      <c r="ZO295" s="1"/>
      <c r="ZP295" s="1"/>
      <c r="ZQ295" s="1"/>
      <c r="ZR295" s="1"/>
      <c r="ZS295" s="1"/>
      <c r="ZT295" s="1"/>
      <c r="ZU295" s="1"/>
      <c r="ZV295" s="1"/>
      <c r="ZW295" s="1"/>
      <c r="ZX295" s="1"/>
      <c r="ZY295" s="1"/>
      <c r="ZZ295" s="1"/>
      <c r="AAA295" s="1"/>
      <c r="AAB295" s="1"/>
      <c r="AAC295" s="1"/>
      <c r="AAD295" s="1"/>
      <c r="AAE295" s="1"/>
      <c r="AAF295" s="1"/>
      <c r="AAG295" s="1"/>
      <c r="AAH295" s="1"/>
      <c r="AAI295" s="1"/>
      <c r="AAJ295" s="1"/>
      <c r="AAK295" s="1"/>
      <c r="AAL295" s="1"/>
      <c r="AAM295" s="1"/>
      <c r="AAN295" s="1"/>
      <c r="AAO295" s="1"/>
      <c r="AAP295" s="1"/>
      <c r="AAQ295" s="1"/>
      <c r="AAR295" s="1"/>
      <c r="AAS295" s="1"/>
      <c r="AAT295" s="1"/>
      <c r="AAU295" s="1"/>
      <c r="AAV295" s="1"/>
      <c r="AAW295" s="1"/>
      <c r="AAX295" s="1"/>
      <c r="AAY295" s="1"/>
      <c r="AAZ295" s="1"/>
      <c r="ABA295" s="1"/>
      <c r="ABB295" s="1"/>
      <c r="ABC295" s="1"/>
      <c r="ABD295" s="1"/>
      <c r="ABE295" s="1"/>
      <c r="ABF295" s="1"/>
      <c r="ABG295" s="1"/>
      <c r="ABH295" s="1"/>
      <c r="ABI295" s="1"/>
      <c r="ABJ295" s="1"/>
      <c r="ABK295" s="1"/>
      <c r="ABL295" s="1"/>
      <c r="ABM295" s="1"/>
      <c r="ABN295" s="1"/>
      <c r="ABO295" s="1"/>
      <c r="ABP295" s="1"/>
      <c r="ABQ295" s="1"/>
      <c r="ABR295" s="1"/>
      <c r="ABS295" s="1"/>
      <c r="ABT295" s="1"/>
      <c r="ABU295" s="1"/>
      <c r="ABV295" s="1"/>
      <c r="ABW295" s="1"/>
      <c r="ABX295" s="1"/>
      <c r="ABY295" s="1"/>
      <c r="ABZ295" s="1"/>
      <c r="ACA295" s="1"/>
      <c r="ACB295" s="1"/>
      <c r="ACC295" s="1"/>
      <c r="ACD295" s="1"/>
      <c r="ACE295" s="1"/>
      <c r="ACF295" s="1"/>
      <c r="ACG295" s="1"/>
      <c r="ACH295" s="1"/>
      <c r="ACI295" s="1"/>
      <c r="ACJ295" s="1"/>
      <c r="ACK295" s="1"/>
      <c r="ACL295" s="1"/>
      <c r="ACM295" s="1"/>
      <c r="ACN295" s="1"/>
      <c r="ACO295" s="1"/>
      <c r="ACP295" s="1"/>
      <c r="ACQ295" s="1"/>
      <c r="ACR295" s="1"/>
      <c r="ACS295" s="1"/>
      <c r="ACT295" s="1"/>
      <c r="ACU295" s="1"/>
      <c r="ACV295" s="1"/>
      <c r="ACW295" s="1"/>
      <c r="ACX295" s="1"/>
      <c r="ACY295" s="1"/>
      <c r="ACZ295" s="1"/>
      <c r="ADA295" s="1"/>
      <c r="ADB295" s="1"/>
      <c r="ADC295" s="1"/>
      <c r="ADD295" s="1"/>
      <c r="ADE295" s="1"/>
      <c r="ADF295" s="1"/>
      <c r="ADG295" s="1"/>
      <c r="ADH295" s="1"/>
      <c r="ADI295" s="1"/>
      <c r="ADJ295" s="1"/>
      <c r="ADK295" s="1"/>
      <c r="ADL295" s="1"/>
      <c r="ADM295" s="1"/>
      <c r="ADN295" s="1"/>
      <c r="ADO295" s="1"/>
      <c r="ADP295" s="1"/>
      <c r="ADQ295" s="1"/>
      <c r="ADR295" s="1"/>
      <c r="ADS295" s="1"/>
      <c r="ADT295" s="1"/>
      <c r="ADU295" s="1"/>
      <c r="ADV295" s="1"/>
      <c r="ADW295" s="1"/>
      <c r="ADX295" s="1"/>
      <c r="ADY295" s="1"/>
      <c r="ADZ295" s="1"/>
      <c r="AEA295" s="1"/>
      <c r="AEB295" s="1"/>
      <c r="AEC295" s="1"/>
      <c r="AED295" s="1"/>
      <c r="AEE295" s="1"/>
      <c r="AEF295" s="1"/>
      <c r="AEG295" s="1"/>
      <c r="AEH295" s="1"/>
      <c r="AEI295" s="1"/>
      <c r="AEJ295" s="1"/>
      <c r="AEK295" s="1"/>
      <c r="AEL295" s="1"/>
      <c r="AEM295" s="1"/>
      <c r="AEN295" s="1"/>
      <c r="AEO295" s="1"/>
      <c r="AEP295" s="1"/>
      <c r="AEQ295" s="1"/>
      <c r="AER295" s="1"/>
      <c r="AES295" s="1"/>
      <c r="AET295" s="1"/>
      <c r="AEU295" s="1"/>
      <c r="AEV295" s="1"/>
      <c r="AEW295" s="1"/>
      <c r="AEX295" s="1"/>
      <c r="AEY295" s="1"/>
      <c r="AEZ295" s="1"/>
      <c r="AFA295" s="1"/>
      <c r="AFB295" s="1"/>
      <c r="AFC295" s="1"/>
      <c r="AFD295" s="1"/>
      <c r="AFE295" s="1"/>
      <c r="AFF295" s="1"/>
      <c r="AFG295" s="1"/>
      <c r="AFH295" s="1"/>
      <c r="AFI295" s="1"/>
      <c r="AFJ295" s="1"/>
      <c r="AFK295" s="1"/>
      <c r="AFL295" s="1"/>
      <c r="AFM295" s="1"/>
      <c r="AFN295" s="1"/>
      <c r="AFO295" s="1"/>
      <c r="AFP295" s="1"/>
      <c r="AFQ295" s="1"/>
      <c r="AFR295" s="1"/>
      <c r="AFS295" s="1"/>
      <c r="AFT295" s="1"/>
      <c r="AFU295" s="1"/>
      <c r="AFV295" s="1"/>
      <c r="AFW295" s="1"/>
      <c r="AFX295" s="1"/>
      <c r="AFY295" s="1"/>
      <c r="AFZ295" s="1"/>
      <c r="AGA295" s="1"/>
      <c r="AGB295" s="1"/>
      <c r="AGC295" s="1"/>
      <c r="AGD295" s="1"/>
      <c r="AGE295" s="1"/>
      <c r="AGF295" s="1"/>
      <c r="AGG295" s="1"/>
      <c r="AGH295" s="1"/>
      <c r="AGI295" s="1"/>
      <c r="AGJ295" s="1"/>
      <c r="AGK295" s="1"/>
      <c r="AGL295" s="1"/>
      <c r="AGM295" s="1"/>
      <c r="AGN295" s="1"/>
      <c r="AGO295" s="1"/>
      <c r="AGP295" s="1"/>
      <c r="AGQ295" s="1"/>
      <c r="AGR295" s="1"/>
      <c r="AGS295" s="1"/>
      <c r="AGT295" s="1"/>
      <c r="AGU295" s="1"/>
      <c r="AGV295" s="1"/>
      <c r="AGW295" s="1"/>
      <c r="AGX295" s="1"/>
      <c r="AGY295" s="1"/>
      <c r="AGZ295" s="1"/>
      <c r="AHA295" s="1"/>
      <c r="AHB295" s="1"/>
      <c r="AHC295" s="1"/>
      <c r="AHD295" s="1"/>
      <c r="AHE295" s="1"/>
      <c r="AHF295" s="1"/>
      <c r="AHG295" s="1"/>
      <c r="AHH295" s="1"/>
      <c r="AHI295" s="1"/>
      <c r="AHJ295" s="1"/>
      <c r="AHK295" s="1"/>
      <c r="AHL295" s="1"/>
      <c r="AHM295" s="1"/>
      <c r="AHN295" s="1"/>
      <c r="AHO295" s="1"/>
      <c r="AHP295" s="1"/>
      <c r="AHQ295" s="1"/>
      <c r="AHR295" s="1"/>
      <c r="AHS295" s="1"/>
      <c r="AHT295" s="1"/>
      <c r="AHU295" s="1"/>
      <c r="AHV295" s="1"/>
      <c r="AHW295" s="1"/>
      <c r="AHX295" s="1"/>
      <c r="AHY295" s="1"/>
      <c r="AHZ295" s="1"/>
      <c r="AIA295" s="1"/>
      <c r="AIB295" s="1"/>
      <c r="AIC295" s="1"/>
      <c r="AID295" s="1"/>
      <c r="AIE295" s="1"/>
      <c r="AIF295" s="1"/>
      <c r="AIG295" s="1"/>
      <c r="AIH295" s="1"/>
      <c r="AII295" s="1"/>
      <c r="AIJ295" s="1"/>
      <c r="AIK295" s="1"/>
      <c r="AIL295" s="1"/>
      <c r="AIM295" s="1"/>
      <c r="AIN295" s="1"/>
      <c r="AIO295" s="1"/>
      <c r="AIP295" s="1"/>
      <c r="AIQ295" s="1"/>
      <c r="AIR295" s="1"/>
      <c r="AIS295" s="1"/>
      <c r="AIT295" s="1"/>
      <c r="AIU295" s="1"/>
      <c r="AIV295" s="1"/>
      <c r="AIW295" s="1"/>
      <c r="AIX295" s="1"/>
      <c r="AIY295" s="1"/>
      <c r="AIZ295" s="1"/>
      <c r="AJA295" s="1"/>
      <c r="AJB295" s="1"/>
      <c r="AJC295" s="1"/>
      <c r="AJD295" s="1"/>
      <c r="AJE295" s="1"/>
      <c r="AJF295" s="1"/>
      <c r="AJG295" s="1"/>
      <c r="AJH295" s="1"/>
      <c r="AJI295" s="1"/>
      <c r="AJJ295" s="1"/>
      <c r="AJK295" s="1"/>
      <c r="AJL295" s="1"/>
      <c r="AJM295" s="1"/>
      <c r="AJN295" s="1"/>
      <c r="AJO295" s="1"/>
      <c r="AJP295" s="1"/>
      <c r="AJQ295" s="1"/>
      <c r="AJR295" s="1"/>
      <c r="AJS295" s="1"/>
      <c r="AJT295" s="1"/>
      <c r="AJU295" s="1"/>
      <c r="AJV295" s="1"/>
      <c r="AJW295" s="1"/>
      <c r="AJX295" s="1"/>
      <c r="AJY295" s="1"/>
      <c r="AJZ295" s="1"/>
      <c r="AKA295" s="1"/>
      <c r="AKB295" s="1"/>
      <c r="AKC295" s="1"/>
      <c r="AKD295" s="1"/>
      <c r="AKE295" s="1"/>
      <c r="AKF295" s="1"/>
      <c r="AKG295" s="1"/>
      <c r="AKH295" s="1"/>
      <c r="AKI295" s="1"/>
      <c r="AKJ295" s="1"/>
      <c r="AKK295" s="1"/>
      <c r="AKL295" s="1"/>
      <c r="AKM295" s="1"/>
      <c r="AKN295" s="1"/>
      <c r="AKO295" s="1"/>
      <c r="AKP295" s="1"/>
      <c r="AKQ295" s="1"/>
      <c r="AKR295" s="1"/>
      <c r="AKS295" s="1"/>
      <c r="AKT295" s="1"/>
      <c r="AKU295" s="1"/>
      <c r="AKV295" s="1"/>
      <c r="AKW295" s="1"/>
      <c r="AKX295" s="1"/>
      <c r="AKY295" s="1"/>
      <c r="AKZ295" s="1"/>
      <c r="ALA295" s="1"/>
      <c r="ALB295" s="1"/>
      <c r="ALC295" s="1"/>
      <c r="ALD295" s="1"/>
      <c r="ALE295" s="1"/>
      <c r="ALF295" s="1"/>
      <c r="ALG295" s="1"/>
      <c r="ALH295" s="1"/>
      <c r="ALI295" s="1"/>
      <c r="ALJ295" s="1"/>
      <c r="ALK295" s="1"/>
      <c r="ALL295" s="1"/>
      <c r="ALM295" s="1"/>
      <c r="ALN295" s="1"/>
      <c r="ALO295" s="1"/>
      <c r="ALP295" s="1"/>
      <c r="ALQ295" s="1"/>
      <c r="ALR295" s="1"/>
      <c r="ALS295" s="1"/>
      <c r="ALT295" s="1"/>
      <c r="ALU295" s="1"/>
      <c r="ALV295" s="1"/>
      <c r="ALW295" s="1"/>
      <c r="ALX295" s="1"/>
      <c r="ALY295" s="1"/>
      <c r="ALZ295" s="1"/>
      <c r="AMA295" s="1"/>
      <c r="AMB295" s="1"/>
      <c r="AMC295" s="1"/>
      <c r="AMD295" s="1"/>
      <c r="AME295" s="1"/>
      <c r="AMF295" s="1"/>
      <c r="AMG295" s="1"/>
      <c r="AMH295" s="1"/>
      <c r="AMI295" s="1"/>
      <c r="AMJ295" s="1"/>
      <c r="AMK295" s="1"/>
      <c r="AML295" s="1"/>
      <c r="AMM295" s="1"/>
      <c r="AMN295" s="1"/>
      <c r="AMO295" s="1"/>
    </row>
    <row r="296" spans="1:1029" x14ac:dyDescent="0.2">
      <c r="A296" s="3" t="str">
        <f t="shared" si="1117"/>
        <v>glp1r_human__wt</v>
      </c>
      <c r="B296" s="3" t="s">
        <v>406</v>
      </c>
      <c r="C296" s="3" t="s">
        <v>100</v>
      </c>
      <c r="D296" s="3" t="str">
        <f>IFERROR(MID(VLOOKUP($B296,Seqs!$A:$B,2,0),E296,1),"")</f>
        <v>E</v>
      </c>
      <c r="E296" s="3">
        <v>138</v>
      </c>
      <c r="F296" s="3" t="str">
        <f>IFERROR(MID(VLOOKUP($B296,Seqs!$A:$B,2,0),G296,1),"")</f>
        <v>F</v>
      </c>
      <c r="G296" s="3">
        <v>169</v>
      </c>
      <c r="H296" s="3" t="str">
        <f>IFERROR(MID(VLOOKUP($B296,Seqs!$A:$B,2,0),I296,1),"")</f>
        <v>R</v>
      </c>
      <c r="I296" s="23">
        <v>170</v>
      </c>
      <c r="J296" s="3" t="str">
        <f>IFERROR(MID(VLOOKUP($B296,Seqs!$A:$B,2,0),K296,1),"")</f>
        <v>H</v>
      </c>
      <c r="K296" s="23">
        <v>173</v>
      </c>
      <c r="L296" s="3" t="str">
        <f>IFERROR(MID(VLOOKUP($B296,Seqs!$A:$B,2,0),M296,1),"")</f>
        <v>C</v>
      </c>
      <c r="M296" s="23">
        <v>174</v>
      </c>
      <c r="N296" s="3" t="str">
        <f>IFERROR(MID(VLOOKUP($B296,Seqs!$A:$B,2,0),O296,1),"")</f>
        <v>S</v>
      </c>
      <c r="O296" s="3">
        <v>206</v>
      </c>
      <c r="P296" s="3" t="str">
        <f>IFERROR(MID(VLOOKUP($B296,Seqs!$A:$B,2,0),Q296,1),"")</f>
        <v/>
      </c>
      <c r="Q296" s="3" t="s">
        <v>23</v>
      </c>
      <c r="R296" s="3" t="str">
        <f>IFERROR(MID(VLOOKUP($B296,Seqs!$A:$B,2,0),S296,1),"")</f>
        <v/>
      </c>
      <c r="S296" s="3" t="s">
        <v>23</v>
      </c>
      <c r="T296" s="3" t="str">
        <f>IFERROR(MID(VLOOKUP($B296,Seqs!$A:$B,2,0),U296,1),"")</f>
        <v>L</v>
      </c>
      <c r="U296" s="3">
        <v>224</v>
      </c>
      <c r="V296" s="3" t="str">
        <f>IFERROR(MID(VLOOKUP($B296,Seqs!$A:$B,2,0),W296,1),"")</f>
        <v>F</v>
      </c>
      <c r="W296" s="3">
        <v>257</v>
      </c>
      <c r="X296" s="3" t="str">
        <f>IFERROR(MID(VLOOKUP($B296,Seqs!$A:$B,2,0),Y296,1),"")</f>
        <v/>
      </c>
      <c r="Y296" s="3" t="s">
        <v>23</v>
      </c>
      <c r="Z296" s="3" t="str">
        <f>IFERROR(MID(VLOOKUP($B296,Seqs!$A:$B,2,0),AA296,1),"")</f>
        <v/>
      </c>
      <c r="AA296" s="3" t="s">
        <v>23</v>
      </c>
      <c r="AB296" s="3" t="str">
        <f>IFERROR(MID(VLOOKUP($B296,Seqs!$A:$B,2,0),AC296,1),"")</f>
        <v>E</v>
      </c>
      <c r="AC296" s="3">
        <v>262</v>
      </c>
      <c r="AD296" s="3" t="str">
        <f>IFERROR(MID(VLOOKUP($B296,Seqs!$A:$B,2,0),AE296,1),"")</f>
        <v>E</v>
      </c>
      <c r="AE296" s="3">
        <v>292</v>
      </c>
      <c r="AF296" s="3" t="str">
        <f>IFERROR(MID(VLOOKUP($B296,Seqs!$A:$B,2,0),AG296,1),"")</f>
        <v>C</v>
      </c>
      <c r="AG296" s="3">
        <v>296</v>
      </c>
      <c r="AH296" s="3" t="str">
        <f>IFERROR(MID(VLOOKUP($B296,Seqs!$A:$B,2,0),AI296,1),"")</f>
        <v>T</v>
      </c>
      <c r="AI296" s="3">
        <v>298</v>
      </c>
      <c r="AJ296" s="3" t="str">
        <f>IFERROR(MID(VLOOKUP($B296,Seqs!$A:$B,2,0),AK296,1),"")</f>
        <v>N</v>
      </c>
      <c r="AK296" s="3">
        <v>302</v>
      </c>
      <c r="AL296" s="3" t="str">
        <f>IFERROR(MID(VLOOKUP($B296,Seqs!$A:$B,2,0),AM296,1),"")</f>
        <v>A</v>
      </c>
      <c r="AM296" s="3">
        <v>337</v>
      </c>
      <c r="AN296" s="3" t="str">
        <f>IFERROR(MID(VLOOKUP($B296,Seqs!$A:$B,2,0),AO296,1),"")</f>
        <v>D</v>
      </c>
      <c r="AO296" s="3">
        <v>344</v>
      </c>
      <c r="AP296" s="3" t="str">
        <f>IFERROR(MID(VLOOKUP($B296,Seqs!$A:$B,2,0),AQ296,1),"")</f>
        <v>F</v>
      </c>
      <c r="AQ296" s="3">
        <v>369</v>
      </c>
      <c r="AR296" s="3" t="str">
        <f>IFERROR(MID(VLOOKUP($B296,Seqs!$A:$B,2,0),AS296,1),"")</f>
        <v>G</v>
      </c>
      <c r="AS296" s="3">
        <v>377</v>
      </c>
      <c r="AT296" s="3" t="str">
        <f>IFERROR(MID(VLOOKUP($B296,Seqs!$A:$B,2,0),AU296,1),"")</f>
        <v>V</v>
      </c>
      <c r="AU296" s="3">
        <v>405</v>
      </c>
      <c r="AV296" s="3" t="str">
        <f>IFERROR(MID(VLOOKUP($B296,Seqs!$A:$B,2,0),AW296,1),"")</f>
        <v>N</v>
      </c>
      <c r="AW296" s="3">
        <v>406</v>
      </c>
      <c r="AX296" s="3" t="str">
        <f>IFERROR(MID(VLOOKUP($B296,Seqs!$A:$B,2,0),AY296,1),"")</f>
        <v>S</v>
      </c>
      <c r="AY296" s="3">
        <v>431</v>
      </c>
      <c r="AZ296" s="77" t="str">
        <f>VLOOKUP(B296,Classification!A:D,2,0)</f>
        <v>B1</v>
      </c>
      <c r="BA296" s="94" t="str">
        <f>VLOOKUP(B296,Classification!A:D,4,0)</f>
        <v>Glucagonreceptorfamily</v>
      </c>
      <c r="BB296" s="27" t="b">
        <f t="shared" si="1118"/>
        <v>1</v>
      </c>
      <c r="BC296" s="23">
        <f t="shared" si="1119"/>
        <v>256</v>
      </c>
      <c r="BD296" s="4" t="s">
        <v>23</v>
      </c>
      <c r="BE296" s="3" t="s">
        <v>23</v>
      </c>
      <c r="BF296" s="119" t="s">
        <v>23</v>
      </c>
      <c r="BG296" s="49" t="s">
        <v>1384</v>
      </c>
      <c r="BH296" s="49" t="s">
        <v>1384</v>
      </c>
      <c r="BI296" s="1"/>
      <c r="BJ296" s="70" t="s">
        <v>1293</v>
      </c>
      <c r="BK296" s="57" t="s">
        <v>1293</v>
      </c>
      <c r="BL296" s="57" t="s">
        <v>1293</v>
      </c>
      <c r="BM296" s="57" t="s">
        <v>1293</v>
      </c>
      <c r="BN296" s="57" t="s">
        <v>1293</v>
      </c>
      <c r="BO296" s="57" t="s">
        <v>1293</v>
      </c>
      <c r="BP296" s="57" t="s">
        <v>1293</v>
      </c>
      <c r="BQ296" s="57" t="s">
        <v>1293</v>
      </c>
      <c r="BR296" s="57" t="s">
        <v>1293</v>
      </c>
      <c r="BS296" s="57" t="s">
        <v>1293</v>
      </c>
      <c r="BT296" s="57" t="s">
        <v>1293</v>
      </c>
      <c r="BU296" s="57" t="s">
        <v>1293</v>
      </c>
      <c r="BV296" s="70">
        <f t="shared" si="1120"/>
        <v>138</v>
      </c>
      <c r="BW296" s="71">
        <f t="shared" si="1121"/>
        <v>170</v>
      </c>
      <c r="BX296" s="72">
        <f t="shared" si="1122"/>
        <v>174</v>
      </c>
      <c r="BY296" s="71" t="str">
        <f t="shared" si="1123"/>
        <v>-</v>
      </c>
      <c r="BZ296" s="72">
        <f t="shared" si="1124"/>
        <v>224</v>
      </c>
      <c r="CA296" s="71" t="str">
        <f t="shared" si="1125"/>
        <v>-</v>
      </c>
      <c r="CB296" s="72">
        <f t="shared" si="1126"/>
        <v>262</v>
      </c>
      <c r="CC296" s="71">
        <f t="shared" si="1127"/>
        <v>296</v>
      </c>
      <c r="CD296" s="72">
        <f t="shared" si="1128"/>
        <v>302</v>
      </c>
      <c r="CE296" s="71">
        <f t="shared" si="1129"/>
        <v>344</v>
      </c>
      <c r="CF296" s="72">
        <f t="shared" si="1130"/>
        <v>377</v>
      </c>
      <c r="CG296" s="71">
        <f t="shared" si="1131"/>
        <v>406</v>
      </c>
      <c r="CH296" s="70">
        <f t="shared" si="1132"/>
        <v>169</v>
      </c>
      <c r="CI296" s="71">
        <f t="shared" si="1133"/>
        <v>173</v>
      </c>
      <c r="CJ296" s="72">
        <f t="shared" si="1134"/>
        <v>206</v>
      </c>
      <c r="CK296" s="72" t="str">
        <f t="shared" si="1135"/>
        <v>-</v>
      </c>
      <c r="CL296" s="72">
        <f t="shared" si="1136"/>
        <v>257</v>
      </c>
      <c r="CM296" s="72" t="str">
        <f t="shared" si="1137"/>
        <v>-</v>
      </c>
      <c r="CN296" s="72">
        <f t="shared" si="1138"/>
        <v>292</v>
      </c>
      <c r="CO296" s="72">
        <f t="shared" si="1139"/>
        <v>298</v>
      </c>
      <c r="CP296" s="72">
        <f t="shared" si="1140"/>
        <v>337</v>
      </c>
      <c r="CQ296" s="72">
        <f t="shared" si="1141"/>
        <v>369</v>
      </c>
      <c r="CR296" s="72">
        <f t="shared" si="1142"/>
        <v>405</v>
      </c>
      <c r="CS296" s="72">
        <f t="shared" si="1143"/>
        <v>431</v>
      </c>
      <c r="CT296" s="23">
        <f t="shared" si="1144"/>
        <v>1</v>
      </c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  <c r="OK296" s="1"/>
      <c r="OL296" s="1"/>
      <c r="OM296" s="1"/>
      <c r="ON296" s="1"/>
      <c r="OO296" s="1"/>
      <c r="OP296" s="1"/>
      <c r="OQ296" s="1"/>
      <c r="OR296" s="1"/>
      <c r="OS296" s="1"/>
      <c r="OT296" s="1"/>
      <c r="OU296" s="1"/>
      <c r="OV296" s="1"/>
      <c r="OW296" s="1"/>
      <c r="OX296" s="1"/>
      <c r="OY296" s="1"/>
      <c r="OZ296" s="1"/>
      <c r="PA296" s="1"/>
      <c r="PB296" s="1"/>
      <c r="PC296" s="1"/>
      <c r="PD296" s="1"/>
      <c r="PE296" s="1"/>
      <c r="PF296" s="1"/>
      <c r="PG296" s="1"/>
      <c r="PH296" s="1"/>
      <c r="PI296" s="1"/>
      <c r="PJ296" s="1"/>
      <c r="PK296" s="1"/>
      <c r="PL296" s="1"/>
      <c r="PM296" s="1"/>
      <c r="PN296" s="1"/>
      <c r="PO296" s="1"/>
      <c r="PP296" s="1"/>
      <c r="PQ296" s="1"/>
      <c r="PR296" s="1"/>
      <c r="PS296" s="1"/>
      <c r="PT296" s="1"/>
      <c r="PU296" s="1"/>
      <c r="PV296" s="1"/>
      <c r="PW296" s="1"/>
      <c r="PX296" s="1"/>
      <c r="PY296" s="1"/>
      <c r="PZ296" s="1"/>
      <c r="QA296" s="1"/>
      <c r="QB296" s="1"/>
      <c r="QC296" s="1"/>
      <c r="QD296" s="1"/>
      <c r="QE296" s="1"/>
      <c r="QF296" s="1"/>
      <c r="QG296" s="1"/>
      <c r="QH296" s="1"/>
      <c r="QI296" s="1"/>
      <c r="QJ296" s="1"/>
      <c r="QK296" s="1"/>
      <c r="QL296" s="1"/>
      <c r="QM296" s="1"/>
      <c r="QN296" s="1"/>
      <c r="QO296" s="1"/>
      <c r="QP296" s="1"/>
      <c r="QQ296" s="1"/>
      <c r="QR296" s="1"/>
      <c r="QS296" s="1"/>
      <c r="QT296" s="1"/>
      <c r="QU296" s="1"/>
      <c r="QV296" s="1"/>
      <c r="QW296" s="1"/>
      <c r="QX296" s="1"/>
      <c r="QY296" s="1"/>
      <c r="QZ296" s="1"/>
      <c r="RA296" s="1"/>
      <c r="RB296" s="1"/>
      <c r="RC296" s="1"/>
      <c r="RD296" s="1"/>
      <c r="RE296" s="1"/>
      <c r="RF296" s="1"/>
      <c r="RG296" s="1"/>
      <c r="RH296" s="1"/>
      <c r="RI296" s="1"/>
      <c r="RJ296" s="1"/>
      <c r="RK296" s="1"/>
      <c r="RL296" s="1"/>
      <c r="RM296" s="1"/>
      <c r="RN296" s="1"/>
      <c r="RO296" s="1"/>
      <c r="RP296" s="1"/>
      <c r="RQ296" s="1"/>
      <c r="RR296" s="1"/>
      <c r="RS296" s="1"/>
      <c r="RT296" s="1"/>
      <c r="RU296" s="1"/>
      <c r="RV296" s="1"/>
      <c r="RW296" s="1"/>
      <c r="RX296" s="1"/>
      <c r="RY296" s="1"/>
      <c r="RZ296" s="1"/>
      <c r="SA296" s="1"/>
      <c r="SB296" s="1"/>
      <c r="SC296" s="1"/>
      <c r="SD296" s="1"/>
      <c r="SE296" s="1"/>
      <c r="SF296" s="1"/>
      <c r="SG296" s="1"/>
      <c r="SH296" s="1"/>
      <c r="SI296" s="1"/>
      <c r="SJ296" s="1"/>
      <c r="SK296" s="1"/>
      <c r="SL296" s="1"/>
      <c r="SM296" s="1"/>
      <c r="SN296" s="1"/>
      <c r="SO296" s="1"/>
      <c r="SP296" s="1"/>
      <c r="SQ296" s="1"/>
      <c r="SR296" s="1"/>
      <c r="SS296" s="1"/>
      <c r="ST296" s="1"/>
      <c r="SU296" s="1"/>
      <c r="SV296" s="1"/>
      <c r="SW296" s="1"/>
      <c r="SX296" s="1"/>
      <c r="SY296" s="1"/>
      <c r="SZ296" s="1"/>
      <c r="TA296" s="1"/>
      <c r="TB296" s="1"/>
      <c r="TC296" s="1"/>
      <c r="TD296" s="1"/>
      <c r="TE296" s="1"/>
      <c r="TF296" s="1"/>
      <c r="TG296" s="1"/>
      <c r="TH296" s="1"/>
      <c r="TI296" s="1"/>
      <c r="TJ296" s="1"/>
      <c r="TK296" s="1"/>
      <c r="TL296" s="1"/>
      <c r="TM296" s="1"/>
      <c r="TN296" s="1"/>
      <c r="TO296" s="1"/>
      <c r="TP296" s="1"/>
      <c r="TQ296" s="1"/>
      <c r="TR296" s="1"/>
      <c r="TS296" s="1"/>
      <c r="TT296" s="1"/>
      <c r="TU296" s="1"/>
      <c r="TV296" s="1"/>
      <c r="TW296" s="1"/>
      <c r="TX296" s="1"/>
      <c r="TY296" s="1"/>
      <c r="TZ296" s="1"/>
      <c r="UA296" s="1"/>
      <c r="UB296" s="1"/>
      <c r="UC296" s="1"/>
      <c r="UD296" s="1"/>
      <c r="UE296" s="1"/>
      <c r="UF296" s="1"/>
      <c r="UG296" s="1"/>
      <c r="UH296" s="1"/>
      <c r="UI296" s="1"/>
      <c r="UJ296" s="1"/>
      <c r="UK296" s="1"/>
      <c r="UL296" s="1"/>
      <c r="UM296" s="1"/>
      <c r="UN296" s="1"/>
      <c r="UO296" s="1"/>
      <c r="UP296" s="1"/>
      <c r="UQ296" s="1"/>
      <c r="UR296" s="1"/>
      <c r="US296" s="1"/>
      <c r="UT296" s="1"/>
      <c r="UU296" s="1"/>
      <c r="UV296" s="1"/>
      <c r="UW296" s="1"/>
      <c r="UX296" s="1"/>
      <c r="UY296" s="1"/>
      <c r="UZ296" s="1"/>
      <c r="VA296" s="1"/>
      <c r="VB296" s="1"/>
      <c r="VC296" s="1"/>
      <c r="VD296" s="1"/>
      <c r="VE296" s="1"/>
      <c r="VF296" s="1"/>
      <c r="VG296" s="1"/>
      <c r="VH296" s="1"/>
      <c r="VI296" s="1"/>
      <c r="VJ296" s="1"/>
      <c r="VK296" s="1"/>
      <c r="VL296" s="1"/>
      <c r="VM296" s="1"/>
      <c r="VN296" s="1"/>
      <c r="VO296" s="1"/>
      <c r="VP296" s="1"/>
      <c r="VQ296" s="1"/>
      <c r="VR296" s="1"/>
      <c r="VS296" s="1"/>
      <c r="VT296" s="1"/>
      <c r="VU296" s="1"/>
      <c r="VV296" s="1"/>
      <c r="VW296" s="1"/>
      <c r="VX296" s="1"/>
      <c r="VY296" s="1"/>
      <c r="VZ296" s="1"/>
      <c r="WA296" s="1"/>
      <c r="WB296" s="1"/>
      <c r="WC296" s="1"/>
      <c r="WD296" s="1"/>
      <c r="WE296" s="1"/>
      <c r="WF296" s="1"/>
      <c r="WG296" s="1"/>
      <c r="WH296" s="1"/>
      <c r="WI296" s="1"/>
      <c r="WJ296" s="1"/>
      <c r="WK296" s="1"/>
      <c r="WL296" s="1"/>
      <c r="WM296" s="1"/>
      <c r="WN296" s="1"/>
      <c r="WO296" s="1"/>
      <c r="WP296" s="1"/>
      <c r="WQ296" s="1"/>
      <c r="WR296" s="1"/>
      <c r="WS296" s="1"/>
      <c r="WT296" s="1"/>
      <c r="WU296" s="1"/>
      <c r="WV296" s="1"/>
      <c r="WW296" s="1"/>
      <c r="WX296" s="1"/>
      <c r="WY296" s="1"/>
      <c r="WZ296" s="1"/>
      <c r="XA296" s="1"/>
      <c r="XB296" s="1"/>
      <c r="XC296" s="1"/>
      <c r="XD296" s="1"/>
      <c r="XE296" s="1"/>
      <c r="XF296" s="1"/>
      <c r="XG296" s="1"/>
      <c r="XH296" s="1"/>
      <c r="XI296" s="1"/>
      <c r="XJ296" s="1"/>
      <c r="XK296" s="1"/>
      <c r="XL296" s="1"/>
      <c r="XM296" s="1"/>
      <c r="XN296" s="1"/>
      <c r="XO296" s="1"/>
      <c r="XP296" s="1"/>
      <c r="XQ296" s="1"/>
      <c r="XR296" s="1"/>
      <c r="XS296" s="1"/>
      <c r="XT296" s="1"/>
      <c r="XU296" s="1"/>
      <c r="XV296" s="1"/>
      <c r="XW296" s="1"/>
      <c r="XX296" s="1"/>
      <c r="XY296" s="1"/>
      <c r="XZ296" s="1"/>
      <c r="YA296" s="1"/>
      <c r="YB296" s="1"/>
      <c r="YC296" s="1"/>
      <c r="YD296" s="1"/>
      <c r="YE296" s="1"/>
      <c r="YF296" s="1"/>
      <c r="YG296" s="1"/>
      <c r="YH296" s="1"/>
      <c r="YI296" s="1"/>
      <c r="YJ296" s="1"/>
      <c r="YK296" s="1"/>
      <c r="YL296" s="1"/>
      <c r="YM296" s="1"/>
      <c r="YN296" s="1"/>
      <c r="YO296" s="1"/>
      <c r="YP296" s="1"/>
      <c r="YQ296" s="1"/>
      <c r="YR296" s="1"/>
      <c r="YS296" s="1"/>
      <c r="YT296" s="1"/>
      <c r="YU296" s="1"/>
      <c r="YV296" s="1"/>
      <c r="YW296" s="1"/>
      <c r="YX296" s="1"/>
      <c r="YY296" s="1"/>
      <c r="YZ296" s="1"/>
      <c r="ZA296" s="1"/>
      <c r="ZB296" s="1"/>
      <c r="ZC296" s="1"/>
      <c r="ZD296" s="1"/>
      <c r="ZE296" s="1"/>
      <c r="ZF296" s="1"/>
      <c r="ZG296" s="1"/>
      <c r="ZH296" s="1"/>
      <c r="ZI296" s="1"/>
      <c r="ZJ296" s="1"/>
      <c r="ZK296" s="1"/>
      <c r="ZL296" s="1"/>
      <c r="ZM296" s="1"/>
      <c r="ZN296" s="1"/>
      <c r="ZO296" s="1"/>
      <c r="ZP296" s="1"/>
      <c r="ZQ296" s="1"/>
      <c r="ZR296" s="1"/>
      <c r="ZS296" s="1"/>
      <c r="ZT296" s="1"/>
      <c r="ZU296" s="1"/>
      <c r="ZV296" s="1"/>
      <c r="ZW296" s="1"/>
      <c r="ZX296" s="1"/>
      <c r="ZY296" s="1"/>
      <c r="ZZ296" s="1"/>
      <c r="AAA296" s="1"/>
      <c r="AAB296" s="1"/>
      <c r="AAC296" s="1"/>
      <c r="AAD296" s="1"/>
      <c r="AAE296" s="1"/>
      <c r="AAF296" s="1"/>
      <c r="AAG296" s="1"/>
      <c r="AAH296" s="1"/>
      <c r="AAI296" s="1"/>
      <c r="AAJ296" s="1"/>
      <c r="AAK296" s="1"/>
      <c r="AAL296" s="1"/>
      <c r="AAM296" s="1"/>
      <c r="AAN296" s="1"/>
      <c r="AAO296" s="1"/>
      <c r="AAP296" s="1"/>
      <c r="AAQ296" s="1"/>
      <c r="AAR296" s="1"/>
      <c r="AAS296" s="1"/>
      <c r="AAT296" s="1"/>
      <c r="AAU296" s="1"/>
      <c r="AAV296" s="1"/>
      <c r="AAW296" s="1"/>
      <c r="AAX296" s="1"/>
      <c r="AAY296" s="1"/>
      <c r="AAZ296" s="1"/>
      <c r="ABA296" s="1"/>
      <c r="ABB296" s="1"/>
      <c r="ABC296" s="1"/>
      <c r="ABD296" s="1"/>
      <c r="ABE296" s="1"/>
      <c r="ABF296" s="1"/>
      <c r="ABG296" s="1"/>
      <c r="ABH296" s="1"/>
      <c r="ABI296" s="1"/>
      <c r="ABJ296" s="1"/>
      <c r="ABK296" s="1"/>
      <c r="ABL296" s="1"/>
      <c r="ABM296" s="1"/>
      <c r="ABN296" s="1"/>
      <c r="ABO296" s="1"/>
      <c r="ABP296" s="1"/>
      <c r="ABQ296" s="1"/>
      <c r="ABR296" s="1"/>
      <c r="ABS296" s="1"/>
      <c r="ABT296" s="1"/>
      <c r="ABU296" s="1"/>
      <c r="ABV296" s="1"/>
      <c r="ABW296" s="1"/>
      <c r="ABX296" s="1"/>
      <c r="ABY296" s="1"/>
      <c r="ABZ296" s="1"/>
      <c r="ACA296" s="1"/>
      <c r="ACB296" s="1"/>
      <c r="ACC296" s="1"/>
      <c r="ACD296" s="1"/>
      <c r="ACE296" s="1"/>
      <c r="ACF296" s="1"/>
      <c r="ACG296" s="1"/>
      <c r="ACH296" s="1"/>
      <c r="ACI296" s="1"/>
      <c r="ACJ296" s="1"/>
      <c r="ACK296" s="1"/>
      <c r="ACL296" s="1"/>
      <c r="ACM296" s="1"/>
      <c r="ACN296" s="1"/>
      <c r="ACO296" s="1"/>
      <c r="ACP296" s="1"/>
      <c r="ACQ296" s="1"/>
      <c r="ACR296" s="1"/>
      <c r="ACS296" s="1"/>
      <c r="ACT296" s="1"/>
      <c r="ACU296" s="1"/>
      <c r="ACV296" s="1"/>
      <c r="ACW296" s="1"/>
      <c r="ACX296" s="1"/>
      <c r="ACY296" s="1"/>
      <c r="ACZ296" s="1"/>
      <c r="ADA296" s="1"/>
      <c r="ADB296" s="1"/>
      <c r="ADC296" s="1"/>
      <c r="ADD296" s="1"/>
      <c r="ADE296" s="1"/>
      <c r="ADF296" s="1"/>
      <c r="ADG296" s="1"/>
      <c r="ADH296" s="1"/>
      <c r="ADI296" s="1"/>
      <c r="ADJ296" s="1"/>
      <c r="ADK296" s="1"/>
      <c r="ADL296" s="1"/>
      <c r="ADM296" s="1"/>
      <c r="ADN296" s="1"/>
      <c r="ADO296" s="1"/>
      <c r="ADP296" s="1"/>
      <c r="ADQ296" s="1"/>
      <c r="ADR296" s="1"/>
      <c r="ADS296" s="1"/>
      <c r="ADT296" s="1"/>
      <c r="ADU296" s="1"/>
      <c r="ADV296" s="1"/>
      <c r="ADW296" s="1"/>
      <c r="ADX296" s="1"/>
      <c r="ADY296" s="1"/>
      <c r="ADZ296" s="1"/>
      <c r="AEA296" s="1"/>
      <c r="AEB296" s="1"/>
      <c r="AEC296" s="1"/>
      <c r="AED296" s="1"/>
      <c r="AEE296" s="1"/>
      <c r="AEF296" s="1"/>
      <c r="AEG296" s="1"/>
      <c r="AEH296" s="1"/>
      <c r="AEI296" s="1"/>
      <c r="AEJ296" s="1"/>
      <c r="AEK296" s="1"/>
      <c r="AEL296" s="1"/>
      <c r="AEM296" s="1"/>
      <c r="AEN296" s="1"/>
      <c r="AEO296" s="1"/>
      <c r="AEP296" s="1"/>
      <c r="AEQ296" s="1"/>
      <c r="AER296" s="1"/>
      <c r="AES296" s="1"/>
      <c r="AET296" s="1"/>
      <c r="AEU296" s="1"/>
      <c r="AEV296" s="1"/>
      <c r="AEW296" s="1"/>
      <c r="AEX296" s="1"/>
      <c r="AEY296" s="1"/>
      <c r="AEZ296" s="1"/>
      <c r="AFA296" s="1"/>
      <c r="AFB296" s="1"/>
      <c r="AFC296" s="1"/>
      <c r="AFD296" s="1"/>
      <c r="AFE296" s="1"/>
      <c r="AFF296" s="1"/>
      <c r="AFG296" s="1"/>
      <c r="AFH296" s="1"/>
      <c r="AFI296" s="1"/>
      <c r="AFJ296" s="1"/>
      <c r="AFK296" s="1"/>
      <c r="AFL296" s="1"/>
      <c r="AFM296" s="1"/>
      <c r="AFN296" s="1"/>
      <c r="AFO296" s="1"/>
      <c r="AFP296" s="1"/>
      <c r="AFQ296" s="1"/>
      <c r="AFR296" s="1"/>
      <c r="AFS296" s="1"/>
      <c r="AFT296" s="1"/>
      <c r="AFU296" s="1"/>
      <c r="AFV296" s="1"/>
      <c r="AFW296" s="1"/>
      <c r="AFX296" s="1"/>
      <c r="AFY296" s="1"/>
      <c r="AFZ296" s="1"/>
      <c r="AGA296" s="1"/>
      <c r="AGB296" s="1"/>
      <c r="AGC296" s="1"/>
      <c r="AGD296" s="1"/>
      <c r="AGE296" s="1"/>
      <c r="AGF296" s="1"/>
      <c r="AGG296" s="1"/>
      <c r="AGH296" s="1"/>
      <c r="AGI296" s="1"/>
      <c r="AGJ296" s="1"/>
      <c r="AGK296" s="1"/>
      <c r="AGL296" s="1"/>
      <c r="AGM296" s="1"/>
      <c r="AGN296" s="1"/>
      <c r="AGO296" s="1"/>
      <c r="AGP296" s="1"/>
      <c r="AGQ296" s="1"/>
      <c r="AGR296" s="1"/>
      <c r="AGS296" s="1"/>
      <c r="AGT296" s="1"/>
      <c r="AGU296" s="1"/>
      <c r="AGV296" s="1"/>
      <c r="AGW296" s="1"/>
      <c r="AGX296" s="1"/>
      <c r="AGY296" s="1"/>
      <c r="AGZ296" s="1"/>
      <c r="AHA296" s="1"/>
      <c r="AHB296" s="1"/>
      <c r="AHC296" s="1"/>
      <c r="AHD296" s="1"/>
      <c r="AHE296" s="1"/>
      <c r="AHF296" s="1"/>
      <c r="AHG296" s="1"/>
      <c r="AHH296" s="1"/>
      <c r="AHI296" s="1"/>
      <c r="AHJ296" s="1"/>
      <c r="AHK296" s="1"/>
      <c r="AHL296" s="1"/>
      <c r="AHM296" s="1"/>
      <c r="AHN296" s="1"/>
      <c r="AHO296" s="1"/>
      <c r="AHP296" s="1"/>
      <c r="AHQ296" s="1"/>
      <c r="AHR296" s="1"/>
      <c r="AHS296" s="1"/>
      <c r="AHT296" s="1"/>
      <c r="AHU296" s="1"/>
      <c r="AHV296" s="1"/>
      <c r="AHW296" s="1"/>
      <c r="AHX296" s="1"/>
      <c r="AHY296" s="1"/>
      <c r="AHZ296" s="1"/>
      <c r="AIA296" s="1"/>
      <c r="AIB296" s="1"/>
      <c r="AIC296" s="1"/>
      <c r="AID296" s="1"/>
      <c r="AIE296" s="1"/>
      <c r="AIF296" s="1"/>
      <c r="AIG296" s="1"/>
      <c r="AIH296" s="1"/>
      <c r="AII296" s="1"/>
      <c r="AIJ296" s="1"/>
      <c r="AIK296" s="1"/>
      <c r="AIL296" s="1"/>
      <c r="AIM296" s="1"/>
      <c r="AIN296" s="1"/>
      <c r="AIO296" s="1"/>
      <c r="AIP296" s="1"/>
      <c r="AIQ296" s="1"/>
      <c r="AIR296" s="1"/>
      <c r="AIS296" s="1"/>
      <c r="AIT296" s="1"/>
      <c r="AIU296" s="1"/>
      <c r="AIV296" s="1"/>
      <c r="AIW296" s="1"/>
      <c r="AIX296" s="1"/>
      <c r="AIY296" s="1"/>
      <c r="AIZ296" s="1"/>
      <c r="AJA296" s="1"/>
      <c r="AJB296" s="1"/>
      <c r="AJC296" s="1"/>
      <c r="AJD296" s="1"/>
      <c r="AJE296" s="1"/>
      <c r="AJF296" s="1"/>
      <c r="AJG296" s="1"/>
      <c r="AJH296" s="1"/>
      <c r="AJI296" s="1"/>
      <c r="AJJ296" s="1"/>
      <c r="AJK296" s="1"/>
      <c r="AJL296" s="1"/>
      <c r="AJM296" s="1"/>
      <c r="AJN296" s="1"/>
      <c r="AJO296" s="1"/>
      <c r="AJP296" s="1"/>
      <c r="AJQ296" s="1"/>
      <c r="AJR296" s="1"/>
      <c r="AJS296" s="1"/>
      <c r="AJT296" s="1"/>
      <c r="AJU296" s="1"/>
      <c r="AJV296" s="1"/>
      <c r="AJW296" s="1"/>
      <c r="AJX296" s="1"/>
      <c r="AJY296" s="1"/>
      <c r="AJZ296" s="1"/>
      <c r="AKA296" s="1"/>
      <c r="AKB296" s="1"/>
      <c r="AKC296" s="1"/>
      <c r="AKD296" s="1"/>
      <c r="AKE296" s="1"/>
      <c r="AKF296" s="1"/>
      <c r="AKG296" s="1"/>
      <c r="AKH296" s="1"/>
      <c r="AKI296" s="1"/>
      <c r="AKJ296" s="1"/>
      <c r="AKK296" s="1"/>
      <c r="AKL296" s="1"/>
      <c r="AKM296" s="1"/>
      <c r="AKN296" s="1"/>
      <c r="AKO296" s="1"/>
      <c r="AKP296" s="1"/>
      <c r="AKQ296" s="1"/>
      <c r="AKR296" s="1"/>
      <c r="AKS296" s="1"/>
      <c r="AKT296" s="1"/>
      <c r="AKU296" s="1"/>
      <c r="AKV296" s="1"/>
      <c r="AKW296" s="1"/>
      <c r="AKX296" s="1"/>
      <c r="AKY296" s="1"/>
      <c r="AKZ296" s="1"/>
      <c r="ALA296" s="1"/>
      <c r="ALB296" s="1"/>
      <c r="ALC296" s="1"/>
      <c r="ALD296" s="1"/>
      <c r="ALE296" s="1"/>
      <c r="ALF296" s="1"/>
      <c r="ALG296" s="1"/>
      <c r="ALH296" s="1"/>
      <c r="ALI296" s="1"/>
      <c r="ALJ296" s="1"/>
      <c r="ALK296" s="1"/>
      <c r="ALL296" s="1"/>
      <c r="ALM296" s="1"/>
      <c r="ALN296" s="1"/>
      <c r="ALO296" s="1"/>
      <c r="ALP296" s="1"/>
      <c r="ALQ296" s="1"/>
      <c r="ALR296" s="1"/>
      <c r="ALS296" s="1"/>
      <c r="ALT296" s="1"/>
      <c r="ALU296" s="1"/>
      <c r="ALV296" s="1"/>
      <c r="ALW296" s="1"/>
      <c r="ALX296" s="1"/>
      <c r="ALY296" s="1"/>
      <c r="ALZ296" s="1"/>
      <c r="AMA296" s="1"/>
      <c r="AMB296" s="1"/>
      <c r="AMC296" s="1"/>
      <c r="AMD296" s="1"/>
      <c r="AME296" s="1"/>
      <c r="AMF296" s="1"/>
      <c r="AMG296" s="1"/>
      <c r="AMH296" s="1"/>
      <c r="AMI296" s="1"/>
      <c r="AMJ296" s="1"/>
      <c r="AMK296" s="1"/>
      <c r="AML296" s="1"/>
      <c r="AMM296" s="1"/>
      <c r="AMN296" s="1"/>
      <c r="AMO296" s="1"/>
    </row>
    <row r="297" spans="1:1029" x14ac:dyDescent="0.2">
      <c r="A297" s="3" t="str">
        <f t="shared" si="1117"/>
        <v>glp1r_human_5VEW</v>
      </c>
      <c r="B297" s="3" t="s">
        <v>406</v>
      </c>
      <c r="C297" s="3" t="s">
        <v>1416</v>
      </c>
      <c r="D297" s="3" t="str">
        <f>IFERROR(MID(VLOOKUP($B297,Seqs!$A:$B,2,0),E297,1),"")</f>
        <v>S</v>
      </c>
      <c r="E297" s="3">
        <v>136</v>
      </c>
      <c r="F297" s="3" t="str">
        <f>IFERROR(MID(VLOOKUP($B297,Seqs!$A:$B,2,0),G297,1),"")</f>
        <v>F</v>
      </c>
      <c r="G297" s="3">
        <v>169</v>
      </c>
      <c r="H297" s="3" t="str">
        <f>IFERROR(MID(VLOOKUP($B297,Seqs!$A:$B,2,0),I297,1),"")</f>
        <v>R</v>
      </c>
      <c r="I297" s="23">
        <v>170</v>
      </c>
      <c r="J297" s="3" t="str">
        <f>IFERROR(MID(VLOOKUP($B297,Seqs!$A:$B,2,0),K297,1),"")</f>
        <v>H</v>
      </c>
      <c r="K297" s="23">
        <v>173</v>
      </c>
      <c r="L297" s="3" t="str">
        <f>IFERROR(MID(VLOOKUP($B297,Seqs!$A:$B,2,0),M297,1),"")</f>
        <v>C</v>
      </c>
      <c r="M297" s="23">
        <v>174</v>
      </c>
      <c r="N297" s="3" t="str">
        <f>IFERROR(MID(VLOOKUP($B297,Seqs!$A:$B,2,0),O297,1),"")</f>
        <v>L</v>
      </c>
      <c r="O297" s="3">
        <v>201</v>
      </c>
      <c r="P297" s="3" t="str">
        <f>IFERROR(MID(VLOOKUP($B297,Seqs!$A:$B,2,0),Q297,1),"")</f>
        <v/>
      </c>
      <c r="Q297" s="3" t="s">
        <v>23</v>
      </c>
      <c r="R297" s="3" t="str">
        <f>IFERROR(MID(VLOOKUP($B297,Seqs!$A:$B,2,0),S297,1),"")</f>
        <v/>
      </c>
      <c r="S297" s="3" t="s">
        <v>23</v>
      </c>
      <c r="T297" s="3" t="str">
        <f>IFERROR(MID(VLOOKUP($B297,Seqs!$A:$B,2,0),U297,1),"")</f>
        <v>L</v>
      </c>
      <c r="U297" s="3">
        <v>224</v>
      </c>
      <c r="V297" s="3" t="str">
        <f>IFERROR(MID(VLOOKUP($B297,Seqs!$A:$B,2,0),W297,1),"")</f>
        <v>F</v>
      </c>
      <c r="W297" s="3">
        <v>257</v>
      </c>
      <c r="X297" s="3" t="str">
        <f>IFERROR(MID(VLOOKUP($B297,Seqs!$A:$B,2,0),Y297,1),"")</f>
        <v/>
      </c>
      <c r="Y297" s="3" t="s">
        <v>23</v>
      </c>
      <c r="Z297" s="3" t="str">
        <f>IFERROR(MID(VLOOKUP($B297,Seqs!$A:$B,2,0),AA297,1),"")</f>
        <v/>
      </c>
      <c r="AA297" s="3" t="s">
        <v>23</v>
      </c>
      <c r="AB297" s="3" t="str">
        <f>IFERROR(MID(VLOOKUP($B297,Seqs!$A:$B,2,0),AC297,1),"")</f>
        <v>E</v>
      </c>
      <c r="AC297" s="3">
        <v>262</v>
      </c>
      <c r="AD297" s="3" t="str">
        <f>IFERROR(MID(VLOOKUP($B297,Seqs!$A:$B,2,0),AE297,1),"")</f>
        <v>E</v>
      </c>
      <c r="AE297" s="3">
        <v>292</v>
      </c>
      <c r="AF297" s="3" t="str">
        <f>IFERROR(MID(VLOOKUP($B297,Seqs!$A:$B,2,0),AG297,1),"")</f>
        <v>C</v>
      </c>
      <c r="AG297" s="3">
        <v>296</v>
      </c>
      <c r="AH297" s="3" t="str">
        <f>IFERROR(MID(VLOOKUP($B297,Seqs!$A:$B,2,0),AI297,1),"")</f>
        <v>T</v>
      </c>
      <c r="AI297" s="3">
        <v>298</v>
      </c>
      <c r="AJ297" s="3" t="str">
        <f>IFERROR(MID(VLOOKUP($B297,Seqs!$A:$B,2,0),AK297,1),"")</f>
        <v>Y</v>
      </c>
      <c r="AK297" s="3">
        <v>305</v>
      </c>
      <c r="AL297" s="3" t="str">
        <f>IFERROR(MID(VLOOKUP($B297,Seqs!$A:$B,2,0),AM297,1),"")</f>
        <v>A</v>
      </c>
      <c r="AM297" s="3">
        <v>337</v>
      </c>
      <c r="AN297" s="3" t="str">
        <f>IFERROR(MID(VLOOKUP($B297,Seqs!$A:$B,2,0),AO297,1),"")</f>
        <v>D</v>
      </c>
      <c r="AO297" s="3">
        <v>344</v>
      </c>
      <c r="AP297" s="3" t="str">
        <f>IFERROR(MID(VLOOKUP($B297,Seqs!$A:$B,2,0),AQ297,1),"")</f>
        <v>F</v>
      </c>
      <c r="AQ297" s="3">
        <v>367</v>
      </c>
      <c r="AR297" s="3" t="str">
        <f>IFERROR(MID(VLOOKUP($B297,Seqs!$A:$B,2,0),AS297,1),"")</f>
        <v>R</v>
      </c>
      <c r="AS297" s="3">
        <v>380</v>
      </c>
      <c r="AT297" s="3" t="str">
        <f>IFERROR(MID(VLOOKUP($B297,Seqs!$A:$B,2,0),AU297,1),"")</f>
        <v>V</v>
      </c>
      <c r="AU297" s="3">
        <v>405</v>
      </c>
      <c r="AV297" s="3" t="str">
        <f>IFERROR(MID(VLOOKUP($B297,Seqs!$A:$B,2,0),AW297,1),"")</f>
        <v>N</v>
      </c>
      <c r="AW297" s="3">
        <v>406</v>
      </c>
      <c r="AX297" s="3" t="str">
        <f>IFERROR(MID(VLOOKUP($B297,Seqs!$A:$B,2,0),AY297,1),"")</f>
        <v>L</v>
      </c>
      <c r="AY297" s="3">
        <v>422</v>
      </c>
      <c r="AZ297" s="77" t="str">
        <f>VLOOKUP(B297,Classification!A:D,2,0)</f>
        <v>B1</v>
      </c>
      <c r="BA297" s="94" t="str">
        <f>VLOOKUP(B297,Classification!A:D,4,0)</f>
        <v>Glucagonreceptorfamily</v>
      </c>
      <c r="BB297" s="27" t="b">
        <f t="shared" si="1118"/>
        <v>1</v>
      </c>
      <c r="BC297" s="23">
        <f t="shared" si="1119"/>
        <v>236</v>
      </c>
      <c r="BD297" s="4" t="s">
        <v>1383</v>
      </c>
      <c r="BE297" s="3" t="s">
        <v>1381</v>
      </c>
      <c r="BF297" s="119">
        <v>2.7</v>
      </c>
      <c r="BG297" s="49" t="s">
        <v>1287</v>
      </c>
      <c r="BH297" s="49" t="s">
        <v>1287</v>
      </c>
      <c r="BI297" s="1"/>
      <c r="BJ297" s="70" t="s">
        <v>1293</v>
      </c>
      <c r="BK297" s="57" t="s">
        <v>1293</v>
      </c>
      <c r="BL297" s="57" t="s">
        <v>1293</v>
      </c>
      <c r="BM297" s="57" t="s">
        <v>1293</v>
      </c>
      <c r="BN297" s="57" t="s">
        <v>1293</v>
      </c>
      <c r="BO297" s="57" t="s">
        <v>1293</v>
      </c>
      <c r="BP297" s="57" t="s">
        <v>1293</v>
      </c>
      <c r="BQ297" s="57" t="s">
        <v>1293</v>
      </c>
      <c r="BR297" s="57" t="s">
        <v>1293</v>
      </c>
      <c r="BS297" s="57" t="s">
        <v>1293</v>
      </c>
      <c r="BT297" s="57" t="s">
        <v>1293</v>
      </c>
      <c r="BU297" s="57" t="s">
        <v>1293</v>
      </c>
      <c r="BV297" s="70">
        <f t="shared" si="1120"/>
        <v>136</v>
      </c>
      <c r="BW297" s="71">
        <f t="shared" si="1121"/>
        <v>170</v>
      </c>
      <c r="BX297" s="72">
        <f t="shared" si="1122"/>
        <v>174</v>
      </c>
      <c r="BY297" s="71" t="str">
        <f t="shared" si="1123"/>
        <v>-</v>
      </c>
      <c r="BZ297" s="72">
        <f t="shared" si="1124"/>
        <v>224</v>
      </c>
      <c r="CA297" s="71" t="str">
        <f t="shared" si="1125"/>
        <v>-</v>
      </c>
      <c r="CB297" s="72">
        <f t="shared" si="1126"/>
        <v>262</v>
      </c>
      <c r="CC297" s="71">
        <f t="shared" si="1127"/>
        <v>296</v>
      </c>
      <c r="CD297" s="72">
        <f t="shared" si="1128"/>
        <v>305</v>
      </c>
      <c r="CE297" s="71">
        <f t="shared" si="1129"/>
        <v>344</v>
      </c>
      <c r="CF297" s="72">
        <f t="shared" si="1130"/>
        <v>380</v>
      </c>
      <c r="CG297" s="71">
        <f t="shared" si="1131"/>
        <v>406</v>
      </c>
      <c r="CH297" s="70">
        <f t="shared" si="1132"/>
        <v>169</v>
      </c>
      <c r="CI297" s="71">
        <f t="shared" si="1133"/>
        <v>173</v>
      </c>
      <c r="CJ297" s="72">
        <f t="shared" si="1134"/>
        <v>201</v>
      </c>
      <c r="CK297" s="72" t="str">
        <f t="shared" si="1135"/>
        <v>-</v>
      </c>
      <c r="CL297" s="72">
        <f t="shared" si="1136"/>
        <v>257</v>
      </c>
      <c r="CM297" s="72" t="str">
        <f t="shared" si="1137"/>
        <v>-</v>
      </c>
      <c r="CN297" s="72">
        <f t="shared" si="1138"/>
        <v>292</v>
      </c>
      <c r="CO297" s="72">
        <f t="shared" si="1139"/>
        <v>298</v>
      </c>
      <c r="CP297" s="72">
        <f t="shared" si="1140"/>
        <v>337</v>
      </c>
      <c r="CQ297" s="72">
        <f t="shared" si="1141"/>
        <v>367</v>
      </c>
      <c r="CR297" s="72">
        <f t="shared" si="1142"/>
        <v>405</v>
      </c>
      <c r="CS297" s="72">
        <f t="shared" si="1143"/>
        <v>422</v>
      </c>
      <c r="CT297" s="23">
        <f t="shared" si="1144"/>
        <v>1</v>
      </c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  <c r="OK297" s="1"/>
      <c r="OL297" s="1"/>
      <c r="OM297" s="1"/>
      <c r="ON297" s="1"/>
      <c r="OO297" s="1"/>
      <c r="OP297" s="1"/>
      <c r="OQ297" s="1"/>
      <c r="OR297" s="1"/>
      <c r="OS297" s="1"/>
      <c r="OT297" s="1"/>
      <c r="OU297" s="1"/>
      <c r="OV297" s="1"/>
      <c r="OW297" s="1"/>
      <c r="OX297" s="1"/>
      <c r="OY297" s="1"/>
      <c r="OZ297" s="1"/>
      <c r="PA297" s="1"/>
      <c r="PB297" s="1"/>
      <c r="PC297" s="1"/>
      <c r="PD297" s="1"/>
      <c r="PE297" s="1"/>
      <c r="PF297" s="1"/>
      <c r="PG297" s="1"/>
      <c r="PH297" s="1"/>
      <c r="PI297" s="1"/>
      <c r="PJ297" s="1"/>
      <c r="PK297" s="1"/>
      <c r="PL297" s="1"/>
      <c r="PM297" s="1"/>
      <c r="PN297" s="1"/>
      <c r="PO297" s="1"/>
      <c r="PP297" s="1"/>
      <c r="PQ297" s="1"/>
      <c r="PR297" s="1"/>
      <c r="PS297" s="1"/>
      <c r="PT297" s="1"/>
      <c r="PU297" s="1"/>
      <c r="PV297" s="1"/>
      <c r="PW297" s="1"/>
      <c r="PX297" s="1"/>
      <c r="PY297" s="1"/>
      <c r="PZ297" s="1"/>
      <c r="QA297" s="1"/>
      <c r="QB297" s="1"/>
      <c r="QC297" s="1"/>
      <c r="QD297" s="1"/>
      <c r="QE297" s="1"/>
      <c r="QF297" s="1"/>
      <c r="QG297" s="1"/>
      <c r="QH297" s="1"/>
      <c r="QI297" s="1"/>
      <c r="QJ297" s="1"/>
      <c r="QK297" s="1"/>
      <c r="QL297" s="1"/>
      <c r="QM297" s="1"/>
      <c r="QN297" s="1"/>
      <c r="QO297" s="1"/>
      <c r="QP297" s="1"/>
      <c r="QQ297" s="1"/>
      <c r="QR297" s="1"/>
      <c r="QS297" s="1"/>
      <c r="QT297" s="1"/>
      <c r="QU297" s="1"/>
      <c r="QV297" s="1"/>
      <c r="QW297" s="1"/>
      <c r="QX297" s="1"/>
      <c r="QY297" s="1"/>
      <c r="QZ297" s="1"/>
      <c r="RA297" s="1"/>
      <c r="RB297" s="1"/>
      <c r="RC297" s="1"/>
      <c r="RD297" s="1"/>
      <c r="RE297" s="1"/>
      <c r="RF297" s="1"/>
      <c r="RG297" s="1"/>
      <c r="RH297" s="1"/>
      <c r="RI297" s="1"/>
      <c r="RJ297" s="1"/>
      <c r="RK297" s="1"/>
      <c r="RL297" s="1"/>
      <c r="RM297" s="1"/>
      <c r="RN297" s="1"/>
      <c r="RO297" s="1"/>
      <c r="RP297" s="1"/>
      <c r="RQ297" s="1"/>
      <c r="RR297" s="1"/>
      <c r="RS297" s="1"/>
      <c r="RT297" s="1"/>
      <c r="RU297" s="1"/>
      <c r="RV297" s="1"/>
      <c r="RW297" s="1"/>
      <c r="RX297" s="1"/>
      <c r="RY297" s="1"/>
      <c r="RZ297" s="1"/>
      <c r="SA297" s="1"/>
      <c r="SB297" s="1"/>
      <c r="SC297" s="1"/>
      <c r="SD297" s="1"/>
      <c r="SE297" s="1"/>
      <c r="SF297" s="1"/>
      <c r="SG297" s="1"/>
      <c r="SH297" s="1"/>
      <c r="SI297" s="1"/>
      <c r="SJ297" s="1"/>
      <c r="SK297" s="1"/>
      <c r="SL297" s="1"/>
      <c r="SM297" s="1"/>
      <c r="SN297" s="1"/>
      <c r="SO297" s="1"/>
      <c r="SP297" s="1"/>
      <c r="SQ297" s="1"/>
      <c r="SR297" s="1"/>
      <c r="SS297" s="1"/>
      <c r="ST297" s="1"/>
      <c r="SU297" s="1"/>
      <c r="SV297" s="1"/>
      <c r="SW297" s="1"/>
      <c r="SX297" s="1"/>
      <c r="SY297" s="1"/>
      <c r="SZ297" s="1"/>
      <c r="TA297" s="1"/>
      <c r="TB297" s="1"/>
      <c r="TC297" s="1"/>
      <c r="TD297" s="1"/>
      <c r="TE297" s="1"/>
      <c r="TF297" s="1"/>
      <c r="TG297" s="1"/>
      <c r="TH297" s="1"/>
      <c r="TI297" s="1"/>
      <c r="TJ297" s="1"/>
      <c r="TK297" s="1"/>
      <c r="TL297" s="1"/>
      <c r="TM297" s="1"/>
      <c r="TN297" s="1"/>
      <c r="TO297" s="1"/>
      <c r="TP297" s="1"/>
      <c r="TQ297" s="1"/>
      <c r="TR297" s="1"/>
      <c r="TS297" s="1"/>
      <c r="TT297" s="1"/>
      <c r="TU297" s="1"/>
      <c r="TV297" s="1"/>
      <c r="TW297" s="1"/>
      <c r="TX297" s="1"/>
      <c r="TY297" s="1"/>
      <c r="TZ297" s="1"/>
      <c r="UA297" s="1"/>
      <c r="UB297" s="1"/>
      <c r="UC297" s="1"/>
      <c r="UD297" s="1"/>
      <c r="UE297" s="1"/>
      <c r="UF297" s="1"/>
      <c r="UG297" s="1"/>
      <c r="UH297" s="1"/>
      <c r="UI297" s="1"/>
      <c r="UJ297" s="1"/>
      <c r="UK297" s="1"/>
      <c r="UL297" s="1"/>
      <c r="UM297" s="1"/>
      <c r="UN297" s="1"/>
      <c r="UO297" s="1"/>
      <c r="UP297" s="1"/>
      <c r="UQ297" s="1"/>
      <c r="UR297" s="1"/>
      <c r="US297" s="1"/>
      <c r="UT297" s="1"/>
      <c r="UU297" s="1"/>
      <c r="UV297" s="1"/>
      <c r="UW297" s="1"/>
      <c r="UX297" s="1"/>
      <c r="UY297" s="1"/>
      <c r="UZ297" s="1"/>
      <c r="VA297" s="1"/>
      <c r="VB297" s="1"/>
      <c r="VC297" s="1"/>
      <c r="VD297" s="1"/>
      <c r="VE297" s="1"/>
      <c r="VF297" s="1"/>
      <c r="VG297" s="1"/>
      <c r="VH297" s="1"/>
      <c r="VI297" s="1"/>
      <c r="VJ297" s="1"/>
      <c r="VK297" s="1"/>
      <c r="VL297" s="1"/>
      <c r="VM297" s="1"/>
      <c r="VN297" s="1"/>
      <c r="VO297" s="1"/>
      <c r="VP297" s="1"/>
      <c r="VQ297" s="1"/>
      <c r="VR297" s="1"/>
      <c r="VS297" s="1"/>
      <c r="VT297" s="1"/>
      <c r="VU297" s="1"/>
      <c r="VV297" s="1"/>
      <c r="VW297" s="1"/>
      <c r="VX297" s="1"/>
      <c r="VY297" s="1"/>
      <c r="VZ297" s="1"/>
      <c r="WA297" s="1"/>
      <c r="WB297" s="1"/>
      <c r="WC297" s="1"/>
      <c r="WD297" s="1"/>
      <c r="WE297" s="1"/>
      <c r="WF297" s="1"/>
      <c r="WG297" s="1"/>
      <c r="WH297" s="1"/>
      <c r="WI297" s="1"/>
      <c r="WJ297" s="1"/>
      <c r="WK297" s="1"/>
      <c r="WL297" s="1"/>
      <c r="WM297" s="1"/>
      <c r="WN297" s="1"/>
      <c r="WO297" s="1"/>
      <c r="WP297" s="1"/>
      <c r="WQ297" s="1"/>
      <c r="WR297" s="1"/>
      <c r="WS297" s="1"/>
      <c r="WT297" s="1"/>
      <c r="WU297" s="1"/>
      <c r="WV297" s="1"/>
      <c r="WW297" s="1"/>
      <c r="WX297" s="1"/>
      <c r="WY297" s="1"/>
      <c r="WZ297" s="1"/>
      <c r="XA297" s="1"/>
      <c r="XB297" s="1"/>
      <c r="XC297" s="1"/>
      <c r="XD297" s="1"/>
      <c r="XE297" s="1"/>
      <c r="XF297" s="1"/>
      <c r="XG297" s="1"/>
      <c r="XH297" s="1"/>
      <c r="XI297" s="1"/>
      <c r="XJ297" s="1"/>
      <c r="XK297" s="1"/>
      <c r="XL297" s="1"/>
      <c r="XM297" s="1"/>
      <c r="XN297" s="1"/>
      <c r="XO297" s="1"/>
      <c r="XP297" s="1"/>
      <c r="XQ297" s="1"/>
      <c r="XR297" s="1"/>
      <c r="XS297" s="1"/>
      <c r="XT297" s="1"/>
      <c r="XU297" s="1"/>
      <c r="XV297" s="1"/>
      <c r="XW297" s="1"/>
      <c r="XX297" s="1"/>
      <c r="XY297" s="1"/>
      <c r="XZ297" s="1"/>
      <c r="YA297" s="1"/>
      <c r="YB297" s="1"/>
      <c r="YC297" s="1"/>
      <c r="YD297" s="1"/>
      <c r="YE297" s="1"/>
      <c r="YF297" s="1"/>
      <c r="YG297" s="1"/>
      <c r="YH297" s="1"/>
      <c r="YI297" s="1"/>
      <c r="YJ297" s="1"/>
      <c r="YK297" s="1"/>
      <c r="YL297" s="1"/>
      <c r="YM297" s="1"/>
      <c r="YN297" s="1"/>
      <c r="YO297" s="1"/>
      <c r="YP297" s="1"/>
      <c r="YQ297" s="1"/>
      <c r="YR297" s="1"/>
      <c r="YS297" s="1"/>
      <c r="YT297" s="1"/>
      <c r="YU297" s="1"/>
      <c r="YV297" s="1"/>
      <c r="YW297" s="1"/>
      <c r="YX297" s="1"/>
      <c r="YY297" s="1"/>
      <c r="YZ297" s="1"/>
      <c r="ZA297" s="1"/>
      <c r="ZB297" s="1"/>
      <c r="ZC297" s="1"/>
      <c r="ZD297" s="1"/>
      <c r="ZE297" s="1"/>
      <c r="ZF297" s="1"/>
      <c r="ZG297" s="1"/>
      <c r="ZH297" s="1"/>
      <c r="ZI297" s="1"/>
      <c r="ZJ297" s="1"/>
      <c r="ZK297" s="1"/>
      <c r="ZL297" s="1"/>
      <c r="ZM297" s="1"/>
      <c r="ZN297" s="1"/>
      <c r="ZO297" s="1"/>
      <c r="ZP297" s="1"/>
      <c r="ZQ297" s="1"/>
      <c r="ZR297" s="1"/>
      <c r="ZS297" s="1"/>
      <c r="ZT297" s="1"/>
      <c r="ZU297" s="1"/>
      <c r="ZV297" s="1"/>
      <c r="ZW297" s="1"/>
      <c r="ZX297" s="1"/>
      <c r="ZY297" s="1"/>
      <c r="ZZ297" s="1"/>
      <c r="AAA297" s="1"/>
      <c r="AAB297" s="1"/>
      <c r="AAC297" s="1"/>
      <c r="AAD297" s="1"/>
      <c r="AAE297" s="1"/>
      <c r="AAF297" s="1"/>
      <c r="AAG297" s="1"/>
      <c r="AAH297" s="1"/>
      <c r="AAI297" s="1"/>
      <c r="AAJ297" s="1"/>
      <c r="AAK297" s="1"/>
      <c r="AAL297" s="1"/>
      <c r="AAM297" s="1"/>
      <c r="AAN297" s="1"/>
      <c r="AAO297" s="1"/>
      <c r="AAP297" s="1"/>
      <c r="AAQ297" s="1"/>
      <c r="AAR297" s="1"/>
      <c r="AAS297" s="1"/>
      <c r="AAT297" s="1"/>
      <c r="AAU297" s="1"/>
      <c r="AAV297" s="1"/>
      <c r="AAW297" s="1"/>
      <c r="AAX297" s="1"/>
      <c r="AAY297" s="1"/>
      <c r="AAZ297" s="1"/>
      <c r="ABA297" s="1"/>
      <c r="ABB297" s="1"/>
      <c r="ABC297" s="1"/>
      <c r="ABD297" s="1"/>
      <c r="ABE297" s="1"/>
      <c r="ABF297" s="1"/>
      <c r="ABG297" s="1"/>
      <c r="ABH297" s="1"/>
      <c r="ABI297" s="1"/>
      <c r="ABJ297" s="1"/>
      <c r="ABK297" s="1"/>
      <c r="ABL297" s="1"/>
      <c r="ABM297" s="1"/>
      <c r="ABN297" s="1"/>
      <c r="ABO297" s="1"/>
      <c r="ABP297" s="1"/>
      <c r="ABQ297" s="1"/>
      <c r="ABR297" s="1"/>
      <c r="ABS297" s="1"/>
      <c r="ABT297" s="1"/>
      <c r="ABU297" s="1"/>
      <c r="ABV297" s="1"/>
      <c r="ABW297" s="1"/>
      <c r="ABX297" s="1"/>
      <c r="ABY297" s="1"/>
      <c r="ABZ297" s="1"/>
      <c r="ACA297" s="1"/>
      <c r="ACB297" s="1"/>
      <c r="ACC297" s="1"/>
      <c r="ACD297" s="1"/>
      <c r="ACE297" s="1"/>
      <c r="ACF297" s="1"/>
      <c r="ACG297" s="1"/>
      <c r="ACH297" s="1"/>
      <c r="ACI297" s="1"/>
      <c r="ACJ297" s="1"/>
      <c r="ACK297" s="1"/>
      <c r="ACL297" s="1"/>
      <c r="ACM297" s="1"/>
      <c r="ACN297" s="1"/>
      <c r="ACO297" s="1"/>
      <c r="ACP297" s="1"/>
      <c r="ACQ297" s="1"/>
      <c r="ACR297" s="1"/>
      <c r="ACS297" s="1"/>
      <c r="ACT297" s="1"/>
      <c r="ACU297" s="1"/>
      <c r="ACV297" s="1"/>
      <c r="ACW297" s="1"/>
      <c r="ACX297" s="1"/>
      <c r="ACY297" s="1"/>
      <c r="ACZ297" s="1"/>
      <c r="ADA297" s="1"/>
      <c r="ADB297" s="1"/>
      <c r="ADC297" s="1"/>
      <c r="ADD297" s="1"/>
      <c r="ADE297" s="1"/>
      <c r="ADF297" s="1"/>
      <c r="ADG297" s="1"/>
      <c r="ADH297" s="1"/>
      <c r="ADI297" s="1"/>
      <c r="ADJ297" s="1"/>
      <c r="ADK297" s="1"/>
      <c r="ADL297" s="1"/>
      <c r="ADM297" s="1"/>
      <c r="ADN297" s="1"/>
      <c r="ADO297" s="1"/>
      <c r="ADP297" s="1"/>
      <c r="ADQ297" s="1"/>
      <c r="ADR297" s="1"/>
      <c r="ADS297" s="1"/>
      <c r="ADT297" s="1"/>
      <c r="ADU297" s="1"/>
      <c r="ADV297" s="1"/>
      <c r="ADW297" s="1"/>
      <c r="ADX297" s="1"/>
      <c r="ADY297" s="1"/>
      <c r="ADZ297" s="1"/>
      <c r="AEA297" s="1"/>
      <c r="AEB297" s="1"/>
      <c r="AEC297" s="1"/>
      <c r="AED297" s="1"/>
      <c r="AEE297" s="1"/>
      <c r="AEF297" s="1"/>
      <c r="AEG297" s="1"/>
      <c r="AEH297" s="1"/>
      <c r="AEI297" s="1"/>
      <c r="AEJ297" s="1"/>
      <c r="AEK297" s="1"/>
      <c r="AEL297" s="1"/>
      <c r="AEM297" s="1"/>
      <c r="AEN297" s="1"/>
      <c r="AEO297" s="1"/>
      <c r="AEP297" s="1"/>
      <c r="AEQ297" s="1"/>
      <c r="AER297" s="1"/>
      <c r="AES297" s="1"/>
      <c r="AET297" s="1"/>
      <c r="AEU297" s="1"/>
      <c r="AEV297" s="1"/>
      <c r="AEW297" s="1"/>
      <c r="AEX297" s="1"/>
      <c r="AEY297" s="1"/>
      <c r="AEZ297" s="1"/>
      <c r="AFA297" s="1"/>
      <c r="AFB297" s="1"/>
      <c r="AFC297" s="1"/>
      <c r="AFD297" s="1"/>
      <c r="AFE297" s="1"/>
      <c r="AFF297" s="1"/>
      <c r="AFG297" s="1"/>
      <c r="AFH297" s="1"/>
      <c r="AFI297" s="1"/>
      <c r="AFJ297" s="1"/>
      <c r="AFK297" s="1"/>
      <c r="AFL297" s="1"/>
      <c r="AFM297" s="1"/>
      <c r="AFN297" s="1"/>
      <c r="AFO297" s="1"/>
      <c r="AFP297" s="1"/>
      <c r="AFQ297" s="1"/>
      <c r="AFR297" s="1"/>
      <c r="AFS297" s="1"/>
      <c r="AFT297" s="1"/>
      <c r="AFU297" s="1"/>
      <c r="AFV297" s="1"/>
      <c r="AFW297" s="1"/>
      <c r="AFX297" s="1"/>
      <c r="AFY297" s="1"/>
      <c r="AFZ297" s="1"/>
      <c r="AGA297" s="1"/>
      <c r="AGB297" s="1"/>
      <c r="AGC297" s="1"/>
      <c r="AGD297" s="1"/>
      <c r="AGE297" s="1"/>
      <c r="AGF297" s="1"/>
      <c r="AGG297" s="1"/>
      <c r="AGH297" s="1"/>
      <c r="AGI297" s="1"/>
      <c r="AGJ297" s="1"/>
      <c r="AGK297" s="1"/>
      <c r="AGL297" s="1"/>
      <c r="AGM297" s="1"/>
      <c r="AGN297" s="1"/>
      <c r="AGO297" s="1"/>
      <c r="AGP297" s="1"/>
      <c r="AGQ297" s="1"/>
      <c r="AGR297" s="1"/>
      <c r="AGS297" s="1"/>
      <c r="AGT297" s="1"/>
      <c r="AGU297" s="1"/>
      <c r="AGV297" s="1"/>
      <c r="AGW297" s="1"/>
      <c r="AGX297" s="1"/>
      <c r="AGY297" s="1"/>
      <c r="AGZ297" s="1"/>
      <c r="AHA297" s="1"/>
      <c r="AHB297" s="1"/>
      <c r="AHC297" s="1"/>
      <c r="AHD297" s="1"/>
      <c r="AHE297" s="1"/>
      <c r="AHF297" s="1"/>
      <c r="AHG297" s="1"/>
      <c r="AHH297" s="1"/>
      <c r="AHI297" s="1"/>
      <c r="AHJ297" s="1"/>
      <c r="AHK297" s="1"/>
      <c r="AHL297" s="1"/>
      <c r="AHM297" s="1"/>
      <c r="AHN297" s="1"/>
      <c r="AHO297" s="1"/>
      <c r="AHP297" s="1"/>
      <c r="AHQ297" s="1"/>
      <c r="AHR297" s="1"/>
      <c r="AHS297" s="1"/>
      <c r="AHT297" s="1"/>
      <c r="AHU297" s="1"/>
      <c r="AHV297" s="1"/>
      <c r="AHW297" s="1"/>
      <c r="AHX297" s="1"/>
      <c r="AHY297" s="1"/>
      <c r="AHZ297" s="1"/>
      <c r="AIA297" s="1"/>
      <c r="AIB297" s="1"/>
      <c r="AIC297" s="1"/>
      <c r="AID297" s="1"/>
      <c r="AIE297" s="1"/>
      <c r="AIF297" s="1"/>
      <c r="AIG297" s="1"/>
      <c r="AIH297" s="1"/>
      <c r="AII297" s="1"/>
      <c r="AIJ297" s="1"/>
      <c r="AIK297" s="1"/>
      <c r="AIL297" s="1"/>
      <c r="AIM297" s="1"/>
      <c r="AIN297" s="1"/>
      <c r="AIO297" s="1"/>
      <c r="AIP297" s="1"/>
      <c r="AIQ297" s="1"/>
      <c r="AIR297" s="1"/>
      <c r="AIS297" s="1"/>
      <c r="AIT297" s="1"/>
      <c r="AIU297" s="1"/>
      <c r="AIV297" s="1"/>
      <c r="AIW297" s="1"/>
      <c r="AIX297" s="1"/>
      <c r="AIY297" s="1"/>
      <c r="AIZ297" s="1"/>
      <c r="AJA297" s="1"/>
      <c r="AJB297" s="1"/>
      <c r="AJC297" s="1"/>
      <c r="AJD297" s="1"/>
      <c r="AJE297" s="1"/>
      <c r="AJF297" s="1"/>
      <c r="AJG297" s="1"/>
      <c r="AJH297" s="1"/>
      <c r="AJI297" s="1"/>
      <c r="AJJ297" s="1"/>
      <c r="AJK297" s="1"/>
      <c r="AJL297" s="1"/>
      <c r="AJM297" s="1"/>
      <c r="AJN297" s="1"/>
      <c r="AJO297" s="1"/>
      <c r="AJP297" s="1"/>
      <c r="AJQ297" s="1"/>
      <c r="AJR297" s="1"/>
      <c r="AJS297" s="1"/>
      <c r="AJT297" s="1"/>
      <c r="AJU297" s="1"/>
      <c r="AJV297" s="1"/>
      <c r="AJW297" s="1"/>
      <c r="AJX297" s="1"/>
      <c r="AJY297" s="1"/>
      <c r="AJZ297" s="1"/>
      <c r="AKA297" s="1"/>
      <c r="AKB297" s="1"/>
      <c r="AKC297" s="1"/>
      <c r="AKD297" s="1"/>
      <c r="AKE297" s="1"/>
      <c r="AKF297" s="1"/>
      <c r="AKG297" s="1"/>
      <c r="AKH297" s="1"/>
      <c r="AKI297" s="1"/>
      <c r="AKJ297" s="1"/>
      <c r="AKK297" s="1"/>
      <c r="AKL297" s="1"/>
      <c r="AKM297" s="1"/>
      <c r="AKN297" s="1"/>
      <c r="AKO297" s="1"/>
      <c r="AKP297" s="1"/>
      <c r="AKQ297" s="1"/>
      <c r="AKR297" s="1"/>
      <c r="AKS297" s="1"/>
      <c r="AKT297" s="1"/>
      <c r="AKU297" s="1"/>
      <c r="AKV297" s="1"/>
      <c r="AKW297" s="1"/>
      <c r="AKX297" s="1"/>
      <c r="AKY297" s="1"/>
      <c r="AKZ297" s="1"/>
      <c r="ALA297" s="1"/>
      <c r="ALB297" s="1"/>
      <c r="ALC297" s="1"/>
      <c r="ALD297" s="1"/>
      <c r="ALE297" s="1"/>
      <c r="ALF297" s="1"/>
      <c r="ALG297" s="1"/>
      <c r="ALH297" s="1"/>
      <c r="ALI297" s="1"/>
      <c r="ALJ297" s="1"/>
      <c r="ALK297" s="1"/>
      <c r="ALL297" s="1"/>
      <c r="ALM297" s="1"/>
      <c r="ALN297" s="1"/>
      <c r="ALO297" s="1"/>
      <c r="ALP297" s="1"/>
      <c r="ALQ297" s="1"/>
      <c r="ALR297" s="1"/>
      <c r="ALS297" s="1"/>
      <c r="ALT297" s="1"/>
      <c r="ALU297" s="1"/>
      <c r="ALV297" s="1"/>
      <c r="ALW297" s="1"/>
      <c r="ALX297" s="1"/>
      <c r="ALY297" s="1"/>
      <c r="ALZ297" s="1"/>
      <c r="AMA297" s="1"/>
      <c r="AMB297" s="1"/>
      <c r="AMC297" s="1"/>
      <c r="AMD297" s="1"/>
      <c r="AME297" s="1"/>
      <c r="AMF297" s="1"/>
      <c r="AMG297" s="1"/>
      <c r="AMH297" s="1"/>
      <c r="AMI297" s="1"/>
      <c r="AMJ297" s="1"/>
      <c r="AMK297" s="1"/>
      <c r="AML297" s="1"/>
      <c r="AMM297" s="1"/>
      <c r="AMN297" s="1"/>
      <c r="AMO297" s="1"/>
    </row>
    <row r="298" spans="1:1029" x14ac:dyDescent="0.2">
      <c r="A298" s="3" t="str">
        <f t="shared" si="1117"/>
        <v>glp1r_human_5VEX</v>
      </c>
      <c r="B298" s="3" t="s">
        <v>406</v>
      </c>
      <c r="C298" s="3" t="s">
        <v>1415</v>
      </c>
      <c r="D298" s="3" t="str">
        <f>IFERROR(MID(VLOOKUP($B298,Seqs!$A:$B,2,0),E298,1),"")</f>
        <v>S</v>
      </c>
      <c r="E298" s="3">
        <v>136</v>
      </c>
      <c r="F298" s="3" t="str">
        <f>IFERROR(MID(VLOOKUP($B298,Seqs!$A:$B,2,0),G298,1),"")</f>
        <v>F</v>
      </c>
      <c r="G298" s="3">
        <v>169</v>
      </c>
      <c r="H298" s="3" t="str">
        <f>IFERROR(MID(VLOOKUP($B298,Seqs!$A:$B,2,0),I298,1),"")</f>
        <v>R</v>
      </c>
      <c r="I298" s="23">
        <v>170</v>
      </c>
      <c r="J298" s="3" t="str">
        <f>IFERROR(MID(VLOOKUP($B298,Seqs!$A:$B,2,0),K298,1),"")</f>
        <v>H</v>
      </c>
      <c r="K298" s="23">
        <v>173</v>
      </c>
      <c r="L298" s="3" t="str">
        <f>IFERROR(MID(VLOOKUP($B298,Seqs!$A:$B,2,0),M298,1),"")</f>
        <v>C</v>
      </c>
      <c r="M298" s="23">
        <v>174</v>
      </c>
      <c r="N298" s="3" t="str">
        <f>IFERROR(MID(VLOOKUP($B298,Seqs!$A:$B,2,0),O298,1),"")</f>
        <v>L</v>
      </c>
      <c r="O298" s="3">
        <v>201</v>
      </c>
      <c r="P298" s="3" t="str">
        <f>IFERROR(MID(VLOOKUP($B298,Seqs!$A:$B,2,0),Q298,1),"")</f>
        <v/>
      </c>
      <c r="Q298" s="3" t="s">
        <v>23</v>
      </c>
      <c r="R298" s="3" t="str">
        <f>IFERROR(MID(VLOOKUP($B298,Seqs!$A:$B,2,0),S298,1),"")</f>
        <v/>
      </c>
      <c r="S298" s="3" t="s">
        <v>23</v>
      </c>
      <c r="T298" s="3" t="str">
        <f>IFERROR(MID(VLOOKUP($B298,Seqs!$A:$B,2,0),U298,1),"")</f>
        <v>L</v>
      </c>
      <c r="U298" s="3">
        <v>224</v>
      </c>
      <c r="V298" s="3" t="str">
        <f>IFERROR(MID(VLOOKUP($B298,Seqs!$A:$B,2,0),W298,1),"")</f>
        <v>F</v>
      </c>
      <c r="W298" s="3">
        <v>257</v>
      </c>
      <c r="X298" s="3" t="str">
        <f>IFERROR(MID(VLOOKUP($B298,Seqs!$A:$B,2,0),Y298,1),"")</f>
        <v/>
      </c>
      <c r="Y298" s="3" t="s">
        <v>23</v>
      </c>
      <c r="Z298" s="3" t="str">
        <f>IFERROR(MID(VLOOKUP($B298,Seqs!$A:$B,2,0),AA298,1),"")</f>
        <v/>
      </c>
      <c r="AA298" s="3" t="s">
        <v>23</v>
      </c>
      <c r="AB298" s="3" t="str">
        <f>IFERROR(MID(VLOOKUP($B298,Seqs!$A:$B,2,0),AC298,1),"")</f>
        <v>E</v>
      </c>
      <c r="AC298" s="3">
        <v>262</v>
      </c>
      <c r="AD298" s="3" t="str">
        <f>IFERROR(MID(VLOOKUP($B298,Seqs!$A:$B,2,0),AE298,1),"")</f>
        <v>E</v>
      </c>
      <c r="AE298" s="3">
        <v>292</v>
      </c>
      <c r="AF298" s="3" t="str">
        <f>IFERROR(MID(VLOOKUP($B298,Seqs!$A:$B,2,0),AG298,1),"")</f>
        <v>C</v>
      </c>
      <c r="AG298" s="3">
        <v>296</v>
      </c>
      <c r="AH298" s="3" t="str">
        <f>IFERROR(MID(VLOOKUP($B298,Seqs!$A:$B,2,0),AI298,1),"")</f>
        <v>T</v>
      </c>
      <c r="AI298" s="3">
        <v>298</v>
      </c>
      <c r="AJ298" s="3" t="str">
        <f>IFERROR(MID(VLOOKUP($B298,Seqs!$A:$B,2,0),AK298,1),"")</f>
        <v>Y</v>
      </c>
      <c r="AK298" s="3">
        <v>305</v>
      </c>
      <c r="AL298" s="3" t="str">
        <f>IFERROR(MID(VLOOKUP($B298,Seqs!$A:$B,2,0),AM298,1),"")</f>
        <v>A</v>
      </c>
      <c r="AM298" s="3">
        <v>337</v>
      </c>
      <c r="AN298" s="3" t="str">
        <f>IFERROR(MID(VLOOKUP($B298,Seqs!$A:$B,2,0),AO298,1),"")</f>
        <v>D</v>
      </c>
      <c r="AO298" s="3">
        <v>344</v>
      </c>
      <c r="AP298" s="3" t="str">
        <f>IFERROR(MID(VLOOKUP($B298,Seqs!$A:$B,2,0),AQ298,1),"")</f>
        <v>F</v>
      </c>
      <c r="AQ298" s="3">
        <v>367</v>
      </c>
      <c r="AR298" s="3" t="str">
        <f>IFERROR(MID(VLOOKUP($B298,Seqs!$A:$B,2,0),AS298,1),"")</f>
        <v>R</v>
      </c>
      <c r="AS298" s="3">
        <v>380</v>
      </c>
      <c r="AT298" s="3" t="str">
        <f>IFERROR(MID(VLOOKUP($B298,Seqs!$A:$B,2,0),AU298,1),"")</f>
        <v>V</v>
      </c>
      <c r="AU298" s="3">
        <v>405</v>
      </c>
      <c r="AV298" s="3" t="str">
        <f>IFERROR(MID(VLOOKUP($B298,Seqs!$A:$B,2,0),AW298,1),"")</f>
        <v>N</v>
      </c>
      <c r="AW298" s="3">
        <v>406</v>
      </c>
      <c r="AX298" s="3" t="str">
        <f>IFERROR(MID(VLOOKUP($B298,Seqs!$A:$B,2,0),AY298,1),"")</f>
        <v>L</v>
      </c>
      <c r="AY298" s="3">
        <v>422</v>
      </c>
      <c r="AZ298" s="77" t="str">
        <f>VLOOKUP(B298,Classification!A:D,2,0)</f>
        <v>B1</v>
      </c>
      <c r="BA298" s="94" t="str">
        <f>VLOOKUP(B298,Classification!A:D,4,0)</f>
        <v>Glucagonreceptorfamily</v>
      </c>
      <c r="BB298" s="27" t="b">
        <f t="shared" si="1118"/>
        <v>1</v>
      </c>
      <c r="BC298" s="23">
        <f t="shared" si="1119"/>
        <v>236</v>
      </c>
      <c r="BD298" s="4" t="s">
        <v>23</v>
      </c>
      <c r="BE298" s="3" t="s">
        <v>1381</v>
      </c>
      <c r="BF298" s="119">
        <v>3</v>
      </c>
      <c r="BG298" s="49" t="s">
        <v>1</v>
      </c>
      <c r="BH298" s="49" t="s">
        <v>1</v>
      </c>
      <c r="BI298" s="1"/>
      <c r="BJ298" s="70" t="s">
        <v>1293</v>
      </c>
      <c r="BK298" s="57" t="s">
        <v>1293</v>
      </c>
      <c r="BL298" s="57" t="s">
        <v>1293</v>
      </c>
      <c r="BM298" s="57" t="s">
        <v>1293</v>
      </c>
      <c r="BN298" s="57" t="s">
        <v>1293</v>
      </c>
      <c r="BO298" s="57" t="s">
        <v>1293</v>
      </c>
      <c r="BP298" s="57" t="s">
        <v>1293</v>
      </c>
      <c r="BQ298" s="57" t="s">
        <v>1293</v>
      </c>
      <c r="BR298" s="57" t="s">
        <v>1293</v>
      </c>
      <c r="BS298" s="57" t="s">
        <v>1293</v>
      </c>
      <c r="BT298" s="57" t="s">
        <v>1293</v>
      </c>
      <c r="BU298" s="57" t="s">
        <v>1293</v>
      </c>
      <c r="BV298" s="70">
        <f t="shared" si="1120"/>
        <v>136</v>
      </c>
      <c r="BW298" s="71">
        <f t="shared" si="1121"/>
        <v>170</v>
      </c>
      <c r="BX298" s="72">
        <f t="shared" si="1122"/>
        <v>174</v>
      </c>
      <c r="BY298" s="71" t="str">
        <f t="shared" si="1123"/>
        <v>-</v>
      </c>
      <c r="BZ298" s="72">
        <f t="shared" si="1124"/>
        <v>224</v>
      </c>
      <c r="CA298" s="71" t="str">
        <f t="shared" si="1125"/>
        <v>-</v>
      </c>
      <c r="CB298" s="72">
        <f t="shared" si="1126"/>
        <v>262</v>
      </c>
      <c r="CC298" s="71">
        <f t="shared" si="1127"/>
        <v>296</v>
      </c>
      <c r="CD298" s="72">
        <f t="shared" si="1128"/>
        <v>305</v>
      </c>
      <c r="CE298" s="71">
        <f t="shared" si="1129"/>
        <v>344</v>
      </c>
      <c r="CF298" s="72">
        <f t="shared" si="1130"/>
        <v>380</v>
      </c>
      <c r="CG298" s="71">
        <f t="shared" si="1131"/>
        <v>406</v>
      </c>
      <c r="CH298" s="70">
        <f t="shared" si="1132"/>
        <v>169</v>
      </c>
      <c r="CI298" s="71">
        <f t="shared" si="1133"/>
        <v>173</v>
      </c>
      <c r="CJ298" s="72">
        <f t="shared" si="1134"/>
        <v>201</v>
      </c>
      <c r="CK298" s="72" t="str">
        <f t="shared" si="1135"/>
        <v>-</v>
      </c>
      <c r="CL298" s="72">
        <f t="shared" si="1136"/>
        <v>257</v>
      </c>
      <c r="CM298" s="72" t="str">
        <f t="shared" si="1137"/>
        <v>-</v>
      </c>
      <c r="CN298" s="72">
        <f t="shared" si="1138"/>
        <v>292</v>
      </c>
      <c r="CO298" s="72">
        <f t="shared" si="1139"/>
        <v>298</v>
      </c>
      <c r="CP298" s="72">
        <f t="shared" si="1140"/>
        <v>337</v>
      </c>
      <c r="CQ298" s="72">
        <f t="shared" si="1141"/>
        <v>367</v>
      </c>
      <c r="CR298" s="72">
        <f t="shared" si="1142"/>
        <v>405</v>
      </c>
      <c r="CS298" s="72">
        <f t="shared" si="1143"/>
        <v>422</v>
      </c>
      <c r="CT298" s="23">
        <f t="shared" si="1144"/>
        <v>1</v>
      </c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  <c r="OK298" s="1"/>
      <c r="OL298" s="1"/>
      <c r="OM298" s="1"/>
      <c r="ON298" s="1"/>
      <c r="OO298" s="1"/>
      <c r="OP298" s="1"/>
      <c r="OQ298" s="1"/>
      <c r="OR298" s="1"/>
      <c r="OS298" s="1"/>
      <c r="OT298" s="1"/>
      <c r="OU298" s="1"/>
      <c r="OV298" s="1"/>
      <c r="OW298" s="1"/>
      <c r="OX298" s="1"/>
      <c r="OY298" s="1"/>
      <c r="OZ298" s="1"/>
      <c r="PA298" s="1"/>
      <c r="PB298" s="1"/>
      <c r="PC298" s="1"/>
      <c r="PD298" s="1"/>
      <c r="PE298" s="1"/>
      <c r="PF298" s="1"/>
      <c r="PG298" s="1"/>
      <c r="PH298" s="1"/>
      <c r="PI298" s="1"/>
      <c r="PJ298" s="1"/>
      <c r="PK298" s="1"/>
      <c r="PL298" s="1"/>
      <c r="PM298" s="1"/>
      <c r="PN298" s="1"/>
      <c r="PO298" s="1"/>
      <c r="PP298" s="1"/>
      <c r="PQ298" s="1"/>
      <c r="PR298" s="1"/>
      <c r="PS298" s="1"/>
      <c r="PT298" s="1"/>
      <c r="PU298" s="1"/>
      <c r="PV298" s="1"/>
      <c r="PW298" s="1"/>
      <c r="PX298" s="1"/>
      <c r="PY298" s="1"/>
      <c r="PZ298" s="1"/>
      <c r="QA298" s="1"/>
      <c r="QB298" s="1"/>
      <c r="QC298" s="1"/>
      <c r="QD298" s="1"/>
      <c r="QE298" s="1"/>
      <c r="QF298" s="1"/>
      <c r="QG298" s="1"/>
      <c r="QH298" s="1"/>
      <c r="QI298" s="1"/>
      <c r="QJ298" s="1"/>
      <c r="QK298" s="1"/>
      <c r="QL298" s="1"/>
      <c r="QM298" s="1"/>
      <c r="QN298" s="1"/>
      <c r="QO298" s="1"/>
      <c r="QP298" s="1"/>
      <c r="QQ298" s="1"/>
      <c r="QR298" s="1"/>
      <c r="QS298" s="1"/>
      <c r="QT298" s="1"/>
      <c r="QU298" s="1"/>
      <c r="QV298" s="1"/>
      <c r="QW298" s="1"/>
      <c r="QX298" s="1"/>
      <c r="QY298" s="1"/>
      <c r="QZ298" s="1"/>
      <c r="RA298" s="1"/>
      <c r="RB298" s="1"/>
      <c r="RC298" s="1"/>
      <c r="RD298" s="1"/>
      <c r="RE298" s="1"/>
      <c r="RF298" s="1"/>
      <c r="RG298" s="1"/>
      <c r="RH298" s="1"/>
      <c r="RI298" s="1"/>
      <c r="RJ298" s="1"/>
      <c r="RK298" s="1"/>
      <c r="RL298" s="1"/>
      <c r="RM298" s="1"/>
      <c r="RN298" s="1"/>
      <c r="RO298" s="1"/>
      <c r="RP298" s="1"/>
      <c r="RQ298" s="1"/>
      <c r="RR298" s="1"/>
      <c r="RS298" s="1"/>
      <c r="RT298" s="1"/>
      <c r="RU298" s="1"/>
      <c r="RV298" s="1"/>
      <c r="RW298" s="1"/>
      <c r="RX298" s="1"/>
      <c r="RY298" s="1"/>
      <c r="RZ298" s="1"/>
      <c r="SA298" s="1"/>
      <c r="SB298" s="1"/>
      <c r="SC298" s="1"/>
      <c r="SD298" s="1"/>
      <c r="SE298" s="1"/>
      <c r="SF298" s="1"/>
      <c r="SG298" s="1"/>
      <c r="SH298" s="1"/>
      <c r="SI298" s="1"/>
      <c r="SJ298" s="1"/>
      <c r="SK298" s="1"/>
      <c r="SL298" s="1"/>
      <c r="SM298" s="1"/>
      <c r="SN298" s="1"/>
      <c r="SO298" s="1"/>
      <c r="SP298" s="1"/>
      <c r="SQ298" s="1"/>
      <c r="SR298" s="1"/>
      <c r="SS298" s="1"/>
      <c r="ST298" s="1"/>
      <c r="SU298" s="1"/>
      <c r="SV298" s="1"/>
      <c r="SW298" s="1"/>
      <c r="SX298" s="1"/>
      <c r="SY298" s="1"/>
      <c r="SZ298" s="1"/>
      <c r="TA298" s="1"/>
      <c r="TB298" s="1"/>
      <c r="TC298" s="1"/>
      <c r="TD298" s="1"/>
      <c r="TE298" s="1"/>
      <c r="TF298" s="1"/>
      <c r="TG298" s="1"/>
      <c r="TH298" s="1"/>
      <c r="TI298" s="1"/>
      <c r="TJ298" s="1"/>
      <c r="TK298" s="1"/>
      <c r="TL298" s="1"/>
      <c r="TM298" s="1"/>
      <c r="TN298" s="1"/>
      <c r="TO298" s="1"/>
      <c r="TP298" s="1"/>
      <c r="TQ298" s="1"/>
      <c r="TR298" s="1"/>
      <c r="TS298" s="1"/>
      <c r="TT298" s="1"/>
      <c r="TU298" s="1"/>
      <c r="TV298" s="1"/>
      <c r="TW298" s="1"/>
      <c r="TX298" s="1"/>
      <c r="TY298" s="1"/>
      <c r="TZ298" s="1"/>
      <c r="UA298" s="1"/>
      <c r="UB298" s="1"/>
      <c r="UC298" s="1"/>
      <c r="UD298" s="1"/>
      <c r="UE298" s="1"/>
      <c r="UF298" s="1"/>
      <c r="UG298" s="1"/>
      <c r="UH298" s="1"/>
      <c r="UI298" s="1"/>
      <c r="UJ298" s="1"/>
      <c r="UK298" s="1"/>
      <c r="UL298" s="1"/>
      <c r="UM298" s="1"/>
      <c r="UN298" s="1"/>
      <c r="UO298" s="1"/>
      <c r="UP298" s="1"/>
      <c r="UQ298" s="1"/>
      <c r="UR298" s="1"/>
      <c r="US298" s="1"/>
      <c r="UT298" s="1"/>
      <c r="UU298" s="1"/>
      <c r="UV298" s="1"/>
      <c r="UW298" s="1"/>
      <c r="UX298" s="1"/>
      <c r="UY298" s="1"/>
      <c r="UZ298" s="1"/>
      <c r="VA298" s="1"/>
      <c r="VB298" s="1"/>
      <c r="VC298" s="1"/>
      <c r="VD298" s="1"/>
      <c r="VE298" s="1"/>
      <c r="VF298" s="1"/>
      <c r="VG298" s="1"/>
      <c r="VH298" s="1"/>
      <c r="VI298" s="1"/>
      <c r="VJ298" s="1"/>
      <c r="VK298" s="1"/>
      <c r="VL298" s="1"/>
      <c r="VM298" s="1"/>
      <c r="VN298" s="1"/>
      <c r="VO298" s="1"/>
      <c r="VP298" s="1"/>
      <c r="VQ298" s="1"/>
      <c r="VR298" s="1"/>
      <c r="VS298" s="1"/>
      <c r="VT298" s="1"/>
      <c r="VU298" s="1"/>
      <c r="VV298" s="1"/>
      <c r="VW298" s="1"/>
      <c r="VX298" s="1"/>
      <c r="VY298" s="1"/>
      <c r="VZ298" s="1"/>
      <c r="WA298" s="1"/>
      <c r="WB298" s="1"/>
      <c r="WC298" s="1"/>
      <c r="WD298" s="1"/>
      <c r="WE298" s="1"/>
      <c r="WF298" s="1"/>
      <c r="WG298" s="1"/>
      <c r="WH298" s="1"/>
      <c r="WI298" s="1"/>
      <c r="WJ298" s="1"/>
      <c r="WK298" s="1"/>
      <c r="WL298" s="1"/>
      <c r="WM298" s="1"/>
      <c r="WN298" s="1"/>
      <c r="WO298" s="1"/>
      <c r="WP298" s="1"/>
      <c r="WQ298" s="1"/>
      <c r="WR298" s="1"/>
      <c r="WS298" s="1"/>
      <c r="WT298" s="1"/>
      <c r="WU298" s="1"/>
      <c r="WV298" s="1"/>
      <c r="WW298" s="1"/>
      <c r="WX298" s="1"/>
      <c r="WY298" s="1"/>
      <c r="WZ298" s="1"/>
      <c r="XA298" s="1"/>
      <c r="XB298" s="1"/>
      <c r="XC298" s="1"/>
      <c r="XD298" s="1"/>
      <c r="XE298" s="1"/>
      <c r="XF298" s="1"/>
      <c r="XG298" s="1"/>
      <c r="XH298" s="1"/>
      <c r="XI298" s="1"/>
      <c r="XJ298" s="1"/>
      <c r="XK298" s="1"/>
      <c r="XL298" s="1"/>
      <c r="XM298" s="1"/>
      <c r="XN298" s="1"/>
      <c r="XO298" s="1"/>
      <c r="XP298" s="1"/>
      <c r="XQ298" s="1"/>
      <c r="XR298" s="1"/>
      <c r="XS298" s="1"/>
      <c r="XT298" s="1"/>
      <c r="XU298" s="1"/>
      <c r="XV298" s="1"/>
      <c r="XW298" s="1"/>
      <c r="XX298" s="1"/>
      <c r="XY298" s="1"/>
      <c r="XZ298" s="1"/>
      <c r="YA298" s="1"/>
      <c r="YB298" s="1"/>
      <c r="YC298" s="1"/>
      <c r="YD298" s="1"/>
      <c r="YE298" s="1"/>
      <c r="YF298" s="1"/>
      <c r="YG298" s="1"/>
      <c r="YH298" s="1"/>
      <c r="YI298" s="1"/>
      <c r="YJ298" s="1"/>
      <c r="YK298" s="1"/>
      <c r="YL298" s="1"/>
      <c r="YM298" s="1"/>
      <c r="YN298" s="1"/>
      <c r="YO298" s="1"/>
      <c r="YP298" s="1"/>
      <c r="YQ298" s="1"/>
      <c r="YR298" s="1"/>
      <c r="YS298" s="1"/>
      <c r="YT298" s="1"/>
      <c r="YU298" s="1"/>
      <c r="YV298" s="1"/>
      <c r="YW298" s="1"/>
      <c r="YX298" s="1"/>
      <c r="YY298" s="1"/>
      <c r="YZ298" s="1"/>
      <c r="ZA298" s="1"/>
      <c r="ZB298" s="1"/>
      <c r="ZC298" s="1"/>
      <c r="ZD298" s="1"/>
      <c r="ZE298" s="1"/>
      <c r="ZF298" s="1"/>
      <c r="ZG298" s="1"/>
      <c r="ZH298" s="1"/>
      <c r="ZI298" s="1"/>
      <c r="ZJ298" s="1"/>
      <c r="ZK298" s="1"/>
      <c r="ZL298" s="1"/>
      <c r="ZM298" s="1"/>
      <c r="ZN298" s="1"/>
      <c r="ZO298" s="1"/>
      <c r="ZP298" s="1"/>
      <c r="ZQ298" s="1"/>
      <c r="ZR298" s="1"/>
      <c r="ZS298" s="1"/>
      <c r="ZT298" s="1"/>
      <c r="ZU298" s="1"/>
      <c r="ZV298" s="1"/>
      <c r="ZW298" s="1"/>
      <c r="ZX298" s="1"/>
      <c r="ZY298" s="1"/>
      <c r="ZZ298" s="1"/>
      <c r="AAA298" s="1"/>
      <c r="AAB298" s="1"/>
      <c r="AAC298" s="1"/>
      <c r="AAD298" s="1"/>
      <c r="AAE298" s="1"/>
      <c r="AAF298" s="1"/>
      <c r="AAG298" s="1"/>
      <c r="AAH298" s="1"/>
      <c r="AAI298" s="1"/>
      <c r="AAJ298" s="1"/>
      <c r="AAK298" s="1"/>
      <c r="AAL298" s="1"/>
      <c r="AAM298" s="1"/>
      <c r="AAN298" s="1"/>
      <c r="AAO298" s="1"/>
      <c r="AAP298" s="1"/>
      <c r="AAQ298" s="1"/>
      <c r="AAR298" s="1"/>
      <c r="AAS298" s="1"/>
      <c r="AAT298" s="1"/>
      <c r="AAU298" s="1"/>
      <c r="AAV298" s="1"/>
      <c r="AAW298" s="1"/>
      <c r="AAX298" s="1"/>
      <c r="AAY298" s="1"/>
      <c r="AAZ298" s="1"/>
      <c r="ABA298" s="1"/>
      <c r="ABB298" s="1"/>
      <c r="ABC298" s="1"/>
      <c r="ABD298" s="1"/>
      <c r="ABE298" s="1"/>
      <c r="ABF298" s="1"/>
      <c r="ABG298" s="1"/>
      <c r="ABH298" s="1"/>
      <c r="ABI298" s="1"/>
      <c r="ABJ298" s="1"/>
      <c r="ABK298" s="1"/>
      <c r="ABL298" s="1"/>
      <c r="ABM298" s="1"/>
      <c r="ABN298" s="1"/>
      <c r="ABO298" s="1"/>
      <c r="ABP298" s="1"/>
      <c r="ABQ298" s="1"/>
      <c r="ABR298" s="1"/>
      <c r="ABS298" s="1"/>
      <c r="ABT298" s="1"/>
      <c r="ABU298" s="1"/>
      <c r="ABV298" s="1"/>
      <c r="ABW298" s="1"/>
      <c r="ABX298" s="1"/>
      <c r="ABY298" s="1"/>
      <c r="ABZ298" s="1"/>
      <c r="ACA298" s="1"/>
      <c r="ACB298" s="1"/>
      <c r="ACC298" s="1"/>
      <c r="ACD298" s="1"/>
      <c r="ACE298" s="1"/>
      <c r="ACF298" s="1"/>
      <c r="ACG298" s="1"/>
      <c r="ACH298" s="1"/>
      <c r="ACI298" s="1"/>
      <c r="ACJ298" s="1"/>
      <c r="ACK298" s="1"/>
      <c r="ACL298" s="1"/>
      <c r="ACM298" s="1"/>
      <c r="ACN298" s="1"/>
      <c r="ACO298" s="1"/>
      <c r="ACP298" s="1"/>
      <c r="ACQ298" s="1"/>
      <c r="ACR298" s="1"/>
      <c r="ACS298" s="1"/>
      <c r="ACT298" s="1"/>
      <c r="ACU298" s="1"/>
      <c r="ACV298" s="1"/>
      <c r="ACW298" s="1"/>
      <c r="ACX298" s="1"/>
      <c r="ACY298" s="1"/>
      <c r="ACZ298" s="1"/>
      <c r="ADA298" s="1"/>
      <c r="ADB298" s="1"/>
      <c r="ADC298" s="1"/>
      <c r="ADD298" s="1"/>
      <c r="ADE298" s="1"/>
      <c r="ADF298" s="1"/>
      <c r="ADG298" s="1"/>
      <c r="ADH298" s="1"/>
      <c r="ADI298" s="1"/>
      <c r="ADJ298" s="1"/>
      <c r="ADK298" s="1"/>
      <c r="ADL298" s="1"/>
      <c r="ADM298" s="1"/>
      <c r="ADN298" s="1"/>
      <c r="ADO298" s="1"/>
      <c r="ADP298" s="1"/>
      <c r="ADQ298" s="1"/>
      <c r="ADR298" s="1"/>
      <c r="ADS298" s="1"/>
      <c r="ADT298" s="1"/>
      <c r="ADU298" s="1"/>
      <c r="ADV298" s="1"/>
      <c r="ADW298" s="1"/>
      <c r="ADX298" s="1"/>
      <c r="ADY298" s="1"/>
      <c r="ADZ298" s="1"/>
      <c r="AEA298" s="1"/>
      <c r="AEB298" s="1"/>
      <c r="AEC298" s="1"/>
      <c r="AED298" s="1"/>
      <c r="AEE298" s="1"/>
      <c r="AEF298" s="1"/>
      <c r="AEG298" s="1"/>
      <c r="AEH298" s="1"/>
      <c r="AEI298" s="1"/>
      <c r="AEJ298" s="1"/>
      <c r="AEK298" s="1"/>
      <c r="AEL298" s="1"/>
      <c r="AEM298" s="1"/>
      <c r="AEN298" s="1"/>
      <c r="AEO298" s="1"/>
      <c r="AEP298" s="1"/>
      <c r="AEQ298" s="1"/>
      <c r="AER298" s="1"/>
      <c r="AES298" s="1"/>
      <c r="AET298" s="1"/>
      <c r="AEU298" s="1"/>
      <c r="AEV298" s="1"/>
      <c r="AEW298" s="1"/>
      <c r="AEX298" s="1"/>
      <c r="AEY298" s="1"/>
      <c r="AEZ298" s="1"/>
      <c r="AFA298" s="1"/>
      <c r="AFB298" s="1"/>
      <c r="AFC298" s="1"/>
      <c r="AFD298" s="1"/>
      <c r="AFE298" s="1"/>
      <c r="AFF298" s="1"/>
      <c r="AFG298" s="1"/>
      <c r="AFH298" s="1"/>
      <c r="AFI298" s="1"/>
      <c r="AFJ298" s="1"/>
      <c r="AFK298" s="1"/>
      <c r="AFL298" s="1"/>
      <c r="AFM298" s="1"/>
      <c r="AFN298" s="1"/>
      <c r="AFO298" s="1"/>
      <c r="AFP298" s="1"/>
      <c r="AFQ298" s="1"/>
      <c r="AFR298" s="1"/>
      <c r="AFS298" s="1"/>
      <c r="AFT298" s="1"/>
      <c r="AFU298" s="1"/>
      <c r="AFV298" s="1"/>
      <c r="AFW298" s="1"/>
      <c r="AFX298" s="1"/>
      <c r="AFY298" s="1"/>
      <c r="AFZ298" s="1"/>
      <c r="AGA298" s="1"/>
      <c r="AGB298" s="1"/>
      <c r="AGC298" s="1"/>
      <c r="AGD298" s="1"/>
      <c r="AGE298" s="1"/>
      <c r="AGF298" s="1"/>
      <c r="AGG298" s="1"/>
      <c r="AGH298" s="1"/>
      <c r="AGI298" s="1"/>
      <c r="AGJ298" s="1"/>
      <c r="AGK298" s="1"/>
      <c r="AGL298" s="1"/>
      <c r="AGM298" s="1"/>
      <c r="AGN298" s="1"/>
      <c r="AGO298" s="1"/>
      <c r="AGP298" s="1"/>
      <c r="AGQ298" s="1"/>
      <c r="AGR298" s="1"/>
      <c r="AGS298" s="1"/>
      <c r="AGT298" s="1"/>
      <c r="AGU298" s="1"/>
      <c r="AGV298" s="1"/>
      <c r="AGW298" s="1"/>
      <c r="AGX298" s="1"/>
      <c r="AGY298" s="1"/>
      <c r="AGZ298" s="1"/>
      <c r="AHA298" s="1"/>
      <c r="AHB298" s="1"/>
      <c r="AHC298" s="1"/>
      <c r="AHD298" s="1"/>
      <c r="AHE298" s="1"/>
      <c r="AHF298" s="1"/>
      <c r="AHG298" s="1"/>
      <c r="AHH298" s="1"/>
      <c r="AHI298" s="1"/>
      <c r="AHJ298" s="1"/>
      <c r="AHK298" s="1"/>
      <c r="AHL298" s="1"/>
      <c r="AHM298" s="1"/>
      <c r="AHN298" s="1"/>
      <c r="AHO298" s="1"/>
      <c r="AHP298" s="1"/>
      <c r="AHQ298" s="1"/>
      <c r="AHR298" s="1"/>
      <c r="AHS298" s="1"/>
      <c r="AHT298" s="1"/>
      <c r="AHU298" s="1"/>
      <c r="AHV298" s="1"/>
      <c r="AHW298" s="1"/>
      <c r="AHX298" s="1"/>
      <c r="AHY298" s="1"/>
      <c r="AHZ298" s="1"/>
      <c r="AIA298" s="1"/>
      <c r="AIB298" s="1"/>
      <c r="AIC298" s="1"/>
      <c r="AID298" s="1"/>
      <c r="AIE298" s="1"/>
      <c r="AIF298" s="1"/>
      <c r="AIG298" s="1"/>
      <c r="AIH298" s="1"/>
      <c r="AII298" s="1"/>
      <c r="AIJ298" s="1"/>
      <c r="AIK298" s="1"/>
      <c r="AIL298" s="1"/>
      <c r="AIM298" s="1"/>
      <c r="AIN298" s="1"/>
      <c r="AIO298" s="1"/>
      <c r="AIP298" s="1"/>
      <c r="AIQ298" s="1"/>
      <c r="AIR298" s="1"/>
      <c r="AIS298" s="1"/>
      <c r="AIT298" s="1"/>
      <c r="AIU298" s="1"/>
      <c r="AIV298" s="1"/>
      <c r="AIW298" s="1"/>
      <c r="AIX298" s="1"/>
      <c r="AIY298" s="1"/>
      <c r="AIZ298" s="1"/>
      <c r="AJA298" s="1"/>
      <c r="AJB298" s="1"/>
      <c r="AJC298" s="1"/>
      <c r="AJD298" s="1"/>
      <c r="AJE298" s="1"/>
      <c r="AJF298" s="1"/>
      <c r="AJG298" s="1"/>
      <c r="AJH298" s="1"/>
      <c r="AJI298" s="1"/>
      <c r="AJJ298" s="1"/>
      <c r="AJK298" s="1"/>
      <c r="AJL298" s="1"/>
      <c r="AJM298" s="1"/>
      <c r="AJN298" s="1"/>
      <c r="AJO298" s="1"/>
      <c r="AJP298" s="1"/>
      <c r="AJQ298" s="1"/>
      <c r="AJR298" s="1"/>
      <c r="AJS298" s="1"/>
      <c r="AJT298" s="1"/>
      <c r="AJU298" s="1"/>
      <c r="AJV298" s="1"/>
      <c r="AJW298" s="1"/>
      <c r="AJX298" s="1"/>
      <c r="AJY298" s="1"/>
      <c r="AJZ298" s="1"/>
      <c r="AKA298" s="1"/>
      <c r="AKB298" s="1"/>
      <c r="AKC298" s="1"/>
      <c r="AKD298" s="1"/>
      <c r="AKE298" s="1"/>
      <c r="AKF298" s="1"/>
      <c r="AKG298" s="1"/>
      <c r="AKH298" s="1"/>
      <c r="AKI298" s="1"/>
      <c r="AKJ298" s="1"/>
      <c r="AKK298" s="1"/>
      <c r="AKL298" s="1"/>
      <c r="AKM298" s="1"/>
      <c r="AKN298" s="1"/>
      <c r="AKO298" s="1"/>
      <c r="AKP298" s="1"/>
      <c r="AKQ298" s="1"/>
      <c r="AKR298" s="1"/>
      <c r="AKS298" s="1"/>
      <c r="AKT298" s="1"/>
      <c r="AKU298" s="1"/>
      <c r="AKV298" s="1"/>
      <c r="AKW298" s="1"/>
      <c r="AKX298" s="1"/>
      <c r="AKY298" s="1"/>
      <c r="AKZ298" s="1"/>
      <c r="ALA298" s="1"/>
      <c r="ALB298" s="1"/>
      <c r="ALC298" s="1"/>
      <c r="ALD298" s="1"/>
      <c r="ALE298" s="1"/>
      <c r="ALF298" s="1"/>
      <c r="ALG298" s="1"/>
      <c r="ALH298" s="1"/>
      <c r="ALI298" s="1"/>
      <c r="ALJ298" s="1"/>
      <c r="ALK298" s="1"/>
      <c r="ALL298" s="1"/>
      <c r="ALM298" s="1"/>
      <c r="ALN298" s="1"/>
      <c r="ALO298" s="1"/>
      <c r="ALP298" s="1"/>
      <c r="ALQ298" s="1"/>
      <c r="ALR298" s="1"/>
      <c r="ALS298" s="1"/>
      <c r="ALT298" s="1"/>
      <c r="ALU298" s="1"/>
      <c r="ALV298" s="1"/>
      <c r="ALW298" s="1"/>
      <c r="ALX298" s="1"/>
      <c r="ALY298" s="1"/>
      <c r="ALZ298" s="1"/>
      <c r="AMA298" s="1"/>
      <c r="AMB298" s="1"/>
      <c r="AMC298" s="1"/>
      <c r="AMD298" s="1"/>
      <c r="AME298" s="1"/>
      <c r="AMF298" s="1"/>
      <c r="AMG298" s="1"/>
      <c r="AMH298" s="1"/>
      <c r="AMI298" s="1"/>
      <c r="AMJ298" s="1"/>
      <c r="AMK298" s="1"/>
      <c r="AML298" s="1"/>
      <c r="AMM298" s="1"/>
      <c r="AMN298" s="1"/>
      <c r="AMO298" s="1"/>
    </row>
    <row r="299" spans="1:1029" x14ac:dyDescent="0.2">
      <c r="A299" s="3" t="str">
        <f t="shared" si="1117"/>
        <v>glp1r_human_5NX2</v>
      </c>
      <c r="B299" s="3" t="s">
        <v>406</v>
      </c>
      <c r="C299" s="3" t="s">
        <v>1428</v>
      </c>
      <c r="D299" s="3" t="str">
        <f>IFERROR(MID(VLOOKUP($B299,Seqs!$A:$B,2,0),E299,1),"")</f>
        <v>E</v>
      </c>
      <c r="E299" s="3">
        <v>138</v>
      </c>
      <c r="F299" s="3" t="str">
        <f>IFERROR(MID(VLOOKUP($B299,Seqs!$A:$B,2,0),G299,1),"")</f>
        <v>F</v>
      </c>
      <c r="G299" s="3">
        <v>169</v>
      </c>
      <c r="H299" s="3" t="str">
        <f>IFERROR(MID(VLOOKUP($B299,Seqs!$A:$B,2,0),I299,1),"")</f>
        <v>R</v>
      </c>
      <c r="I299" s="23">
        <v>170</v>
      </c>
      <c r="J299" s="3" t="str">
        <f>IFERROR(MID(VLOOKUP($B299,Seqs!$A:$B,2,0),K299,1),"")</f>
        <v>H</v>
      </c>
      <c r="K299" s="23">
        <v>173</v>
      </c>
      <c r="L299" s="3" t="str">
        <f>IFERROR(MID(VLOOKUP($B299,Seqs!$A:$B,2,0),M299,1),"")</f>
        <v>C</v>
      </c>
      <c r="M299" s="23">
        <v>174</v>
      </c>
      <c r="N299" s="3" t="str">
        <f>IFERROR(MID(VLOOKUP($B299,Seqs!$A:$B,2,0),O299,1),"")</f>
        <v>S</v>
      </c>
      <c r="O299" s="3">
        <v>206</v>
      </c>
      <c r="P299" s="3" t="str">
        <f>IFERROR(MID(VLOOKUP($B299,Seqs!$A:$B,2,0),Q299,1),"")</f>
        <v/>
      </c>
      <c r="Q299" s="3" t="s">
        <v>23</v>
      </c>
      <c r="R299" s="3" t="str">
        <f>IFERROR(MID(VLOOKUP($B299,Seqs!$A:$B,2,0),S299,1),"")</f>
        <v/>
      </c>
      <c r="S299" s="3" t="s">
        <v>23</v>
      </c>
      <c r="T299" s="3" t="str">
        <f>IFERROR(MID(VLOOKUP($B299,Seqs!$A:$B,2,0),U299,1),"")</f>
        <v>L</v>
      </c>
      <c r="U299" s="3">
        <v>224</v>
      </c>
      <c r="V299" s="3" t="str">
        <f>IFERROR(MID(VLOOKUP($B299,Seqs!$A:$B,2,0),W299,1),"")</f>
        <v>F</v>
      </c>
      <c r="W299" s="3">
        <v>257</v>
      </c>
      <c r="X299" s="3" t="str">
        <f>IFERROR(MID(VLOOKUP($B299,Seqs!$A:$B,2,0),Y299,1),"")</f>
        <v/>
      </c>
      <c r="Y299" s="3" t="s">
        <v>23</v>
      </c>
      <c r="Z299" s="3" t="str">
        <f>IFERROR(MID(VLOOKUP($B299,Seqs!$A:$B,2,0),AA299,1),"")</f>
        <v/>
      </c>
      <c r="AA299" s="3" t="s">
        <v>23</v>
      </c>
      <c r="AB299" s="3" t="str">
        <f>IFERROR(MID(VLOOKUP($B299,Seqs!$A:$B,2,0),AC299,1),"")</f>
        <v>E</v>
      </c>
      <c r="AC299" s="3">
        <v>262</v>
      </c>
      <c r="AD299" s="3" t="str">
        <f>IFERROR(MID(VLOOKUP($B299,Seqs!$A:$B,2,0),AE299,1),"")</f>
        <v>Y</v>
      </c>
      <c r="AE299" s="3">
        <v>291</v>
      </c>
      <c r="AF299" s="3" t="str">
        <f>IFERROR(MID(VLOOKUP($B299,Seqs!$A:$B,2,0),AG299,1),"")</f>
        <v>C</v>
      </c>
      <c r="AG299" s="3">
        <v>296</v>
      </c>
      <c r="AH299" s="3" t="str">
        <f>IFERROR(MID(VLOOKUP($B299,Seqs!$A:$B,2,0),AI299,1),"")</f>
        <v>T</v>
      </c>
      <c r="AI299" s="3">
        <v>298</v>
      </c>
      <c r="AJ299" s="3" t="str">
        <f>IFERROR(MID(VLOOKUP($B299,Seqs!$A:$B,2,0),AK299,1),"")</f>
        <v>N</v>
      </c>
      <c r="AK299" s="3">
        <v>302</v>
      </c>
      <c r="AL299" s="3" t="str">
        <f>IFERROR(MID(VLOOKUP($B299,Seqs!$A:$B,2,0),AM299,1),"")</f>
        <v>L</v>
      </c>
      <c r="AM299" s="3">
        <v>335</v>
      </c>
      <c r="AN299" s="3" t="str">
        <f>IFERROR(MID(VLOOKUP($B299,Seqs!$A:$B,2,0),AO299,1),"")</f>
        <v>M</v>
      </c>
      <c r="AO299" s="3">
        <v>340</v>
      </c>
      <c r="AP299" s="3" t="str">
        <f>IFERROR(MID(VLOOKUP($B299,Seqs!$A:$B,2,0),AQ299,1),"")</f>
        <v>F</v>
      </c>
      <c r="AQ299" s="3">
        <v>369</v>
      </c>
      <c r="AR299" s="3" t="str">
        <f>IFERROR(MID(VLOOKUP($B299,Seqs!$A:$B,2,0),AS299,1),"")</f>
        <v>G</v>
      </c>
      <c r="AS299" s="3">
        <v>377</v>
      </c>
      <c r="AT299" s="3" t="str">
        <f>IFERROR(MID(VLOOKUP($B299,Seqs!$A:$B,2,0),AU299,1),"")</f>
        <v>V</v>
      </c>
      <c r="AU299" s="3">
        <v>405</v>
      </c>
      <c r="AV299" s="3" t="str">
        <f>IFERROR(MID(VLOOKUP($B299,Seqs!$A:$B,2,0),AW299,1),"")</f>
        <v>N</v>
      </c>
      <c r="AW299" s="3">
        <v>406</v>
      </c>
      <c r="AX299" s="3" t="str">
        <f>IFERROR(MID(VLOOKUP($B299,Seqs!$A:$B,2,0),AY299,1),"")</f>
        <v>S</v>
      </c>
      <c r="AY299" s="3">
        <v>416</v>
      </c>
      <c r="AZ299" s="77" t="str">
        <f>VLOOKUP(B299,Classification!A:D,2,0)</f>
        <v>B1</v>
      </c>
      <c r="BA299" s="94" t="str">
        <f>VLOOKUP(B299,Classification!A:D,4,0)</f>
        <v>Glucagonreceptorfamily</v>
      </c>
      <c r="BB299" s="27" t="b">
        <f t="shared" si="1118"/>
        <v>1</v>
      </c>
      <c r="BC299" s="23">
        <f t="shared" si="1119"/>
        <v>242</v>
      </c>
      <c r="BD299" s="4" t="s">
        <v>1440</v>
      </c>
      <c r="BE299" s="3" t="s">
        <v>1439</v>
      </c>
      <c r="BF299" s="119">
        <v>3.7</v>
      </c>
      <c r="BG299" s="49" t="s">
        <v>1</v>
      </c>
      <c r="BH299" s="49" t="s">
        <v>1</v>
      </c>
      <c r="BI299" s="1"/>
      <c r="BJ299" s="70" t="s">
        <v>1293</v>
      </c>
      <c r="BK299" s="57" t="s">
        <v>1293</v>
      </c>
      <c r="BL299" s="57" t="s">
        <v>1293</v>
      </c>
      <c r="BM299" s="57" t="s">
        <v>1293</v>
      </c>
      <c r="BN299" s="57" t="s">
        <v>1293</v>
      </c>
      <c r="BO299" s="57" t="s">
        <v>1293</v>
      </c>
      <c r="BP299" s="57" t="s">
        <v>1293</v>
      </c>
      <c r="BQ299" s="57" t="s">
        <v>1293</v>
      </c>
      <c r="BR299" s="57" t="s">
        <v>1293</v>
      </c>
      <c r="BS299" s="57" t="s">
        <v>1293</v>
      </c>
      <c r="BT299" s="57" t="s">
        <v>1293</v>
      </c>
      <c r="BU299" s="57" t="s">
        <v>1293</v>
      </c>
      <c r="BV299" s="70">
        <f t="shared" si="1120"/>
        <v>138</v>
      </c>
      <c r="BW299" s="71">
        <f t="shared" si="1121"/>
        <v>170</v>
      </c>
      <c r="BX299" s="72">
        <f t="shared" si="1122"/>
        <v>174</v>
      </c>
      <c r="BY299" s="71" t="str">
        <f t="shared" si="1123"/>
        <v>-</v>
      </c>
      <c r="BZ299" s="72">
        <f t="shared" si="1124"/>
        <v>224</v>
      </c>
      <c r="CA299" s="71" t="str">
        <f t="shared" si="1125"/>
        <v>-</v>
      </c>
      <c r="CB299" s="72">
        <f t="shared" si="1126"/>
        <v>262</v>
      </c>
      <c r="CC299" s="71">
        <f t="shared" si="1127"/>
        <v>296</v>
      </c>
      <c r="CD299" s="72">
        <f t="shared" si="1128"/>
        <v>302</v>
      </c>
      <c r="CE299" s="71">
        <f t="shared" si="1129"/>
        <v>340</v>
      </c>
      <c r="CF299" s="72">
        <f t="shared" si="1130"/>
        <v>377</v>
      </c>
      <c r="CG299" s="71">
        <f t="shared" si="1131"/>
        <v>406</v>
      </c>
      <c r="CH299" s="70">
        <f t="shared" si="1132"/>
        <v>169</v>
      </c>
      <c r="CI299" s="71">
        <f t="shared" si="1133"/>
        <v>173</v>
      </c>
      <c r="CJ299" s="72">
        <f t="shared" si="1134"/>
        <v>206</v>
      </c>
      <c r="CK299" s="72" t="str">
        <f t="shared" si="1135"/>
        <v>-</v>
      </c>
      <c r="CL299" s="72">
        <f t="shared" si="1136"/>
        <v>257</v>
      </c>
      <c r="CM299" s="72" t="str">
        <f t="shared" si="1137"/>
        <v>-</v>
      </c>
      <c r="CN299" s="72">
        <f t="shared" si="1138"/>
        <v>291</v>
      </c>
      <c r="CO299" s="72">
        <f t="shared" si="1139"/>
        <v>298</v>
      </c>
      <c r="CP299" s="72">
        <f t="shared" si="1140"/>
        <v>335</v>
      </c>
      <c r="CQ299" s="72">
        <f t="shared" si="1141"/>
        <v>369</v>
      </c>
      <c r="CR299" s="72">
        <f t="shared" si="1142"/>
        <v>405</v>
      </c>
      <c r="CS299" s="72">
        <f t="shared" si="1143"/>
        <v>416</v>
      </c>
      <c r="CT299" s="23">
        <f t="shared" si="1144"/>
        <v>1</v>
      </c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  <c r="OI299" s="1"/>
      <c r="OJ299" s="1"/>
      <c r="OK299" s="1"/>
      <c r="OL299" s="1"/>
      <c r="OM299" s="1"/>
      <c r="ON299" s="1"/>
      <c r="OO299" s="1"/>
      <c r="OP299" s="1"/>
      <c r="OQ299" s="1"/>
      <c r="OR299" s="1"/>
      <c r="OS299" s="1"/>
      <c r="OT299" s="1"/>
      <c r="OU299" s="1"/>
      <c r="OV299" s="1"/>
      <c r="OW299" s="1"/>
      <c r="OX299" s="1"/>
      <c r="OY299" s="1"/>
      <c r="OZ299" s="1"/>
      <c r="PA299" s="1"/>
      <c r="PB299" s="1"/>
      <c r="PC299" s="1"/>
      <c r="PD299" s="1"/>
      <c r="PE299" s="1"/>
      <c r="PF299" s="1"/>
      <c r="PG299" s="1"/>
      <c r="PH299" s="1"/>
      <c r="PI299" s="1"/>
      <c r="PJ299" s="1"/>
      <c r="PK299" s="1"/>
      <c r="PL299" s="1"/>
      <c r="PM299" s="1"/>
      <c r="PN299" s="1"/>
      <c r="PO299" s="1"/>
      <c r="PP299" s="1"/>
      <c r="PQ299" s="1"/>
      <c r="PR299" s="1"/>
      <c r="PS299" s="1"/>
      <c r="PT299" s="1"/>
      <c r="PU299" s="1"/>
      <c r="PV299" s="1"/>
      <c r="PW299" s="1"/>
      <c r="PX299" s="1"/>
      <c r="PY299" s="1"/>
      <c r="PZ299" s="1"/>
      <c r="QA299" s="1"/>
      <c r="QB299" s="1"/>
      <c r="QC299" s="1"/>
      <c r="QD299" s="1"/>
      <c r="QE299" s="1"/>
      <c r="QF299" s="1"/>
      <c r="QG299" s="1"/>
      <c r="QH299" s="1"/>
      <c r="QI299" s="1"/>
      <c r="QJ299" s="1"/>
      <c r="QK299" s="1"/>
      <c r="QL299" s="1"/>
      <c r="QM299" s="1"/>
      <c r="QN299" s="1"/>
      <c r="QO299" s="1"/>
      <c r="QP299" s="1"/>
      <c r="QQ299" s="1"/>
      <c r="QR299" s="1"/>
      <c r="QS299" s="1"/>
      <c r="QT299" s="1"/>
      <c r="QU299" s="1"/>
      <c r="QV299" s="1"/>
      <c r="QW299" s="1"/>
      <c r="QX299" s="1"/>
      <c r="QY299" s="1"/>
      <c r="QZ299" s="1"/>
      <c r="RA299" s="1"/>
      <c r="RB299" s="1"/>
      <c r="RC299" s="1"/>
      <c r="RD299" s="1"/>
      <c r="RE299" s="1"/>
      <c r="RF299" s="1"/>
      <c r="RG299" s="1"/>
      <c r="RH299" s="1"/>
      <c r="RI299" s="1"/>
      <c r="RJ299" s="1"/>
      <c r="RK299" s="1"/>
      <c r="RL299" s="1"/>
      <c r="RM299" s="1"/>
      <c r="RN299" s="1"/>
      <c r="RO299" s="1"/>
      <c r="RP299" s="1"/>
      <c r="RQ299" s="1"/>
      <c r="RR299" s="1"/>
      <c r="RS299" s="1"/>
      <c r="RT299" s="1"/>
      <c r="RU299" s="1"/>
      <c r="RV299" s="1"/>
      <c r="RW299" s="1"/>
      <c r="RX299" s="1"/>
      <c r="RY299" s="1"/>
      <c r="RZ299" s="1"/>
      <c r="SA299" s="1"/>
      <c r="SB299" s="1"/>
      <c r="SC299" s="1"/>
      <c r="SD299" s="1"/>
      <c r="SE299" s="1"/>
      <c r="SF299" s="1"/>
      <c r="SG299" s="1"/>
      <c r="SH299" s="1"/>
      <c r="SI299" s="1"/>
      <c r="SJ299" s="1"/>
      <c r="SK299" s="1"/>
      <c r="SL299" s="1"/>
      <c r="SM299" s="1"/>
      <c r="SN299" s="1"/>
      <c r="SO299" s="1"/>
      <c r="SP299" s="1"/>
      <c r="SQ299" s="1"/>
      <c r="SR299" s="1"/>
      <c r="SS299" s="1"/>
      <c r="ST299" s="1"/>
      <c r="SU299" s="1"/>
      <c r="SV299" s="1"/>
      <c r="SW299" s="1"/>
      <c r="SX299" s="1"/>
      <c r="SY299" s="1"/>
      <c r="SZ299" s="1"/>
      <c r="TA299" s="1"/>
      <c r="TB299" s="1"/>
      <c r="TC299" s="1"/>
      <c r="TD299" s="1"/>
      <c r="TE299" s="1"/>
      <c r="TF299" s="1"/>
      <c r="TG299" s="1"/>
      <c r="TH299" s="1"/>
      <c r="TI299" s="1"/>
      <c r="TJ299" s="1"/>
      <c r="TK299" s="1"/>
      <c r="TL299" s="1"/>
      <c r="TM299" s="1"/>
      <c r="TN299" s="1"/>
      <c r="TO299" s="1"/>
      <c r="TP299" s="1"/>
      <c r="TQ299" s="1"/>
      <c r="TR299" s="1"/>
      <c r="TS299" s="1"/>
      <c r="TT299" s="1"/>
      <c r="TU299" s="1"/>
      <c r="TV299" s="1"/>
      <c r="TW299" s="1"/>
      <c r="TX299" s="1"/>
      <c r="TY299" s="1"/>
      <c r="TZ299" s="1"/>
      <c r="UA299" s="1"/>
      <c r="UB299" s="1"/>
      <c r="UC299" s="1"/>
      <c r="UD299" s="1"/>
      <c r="UE299" s="1"/>
      <c r="UF299" s="1"/>
      <c r="UG299" s="1"/>
      <c r="UH299" s="1"/>
      <c r="UI299" s="1"/>
      <c r="UJ299" s="1"/>
      <c r="UK299" s="1"/>
      <c r="UL299" s="1"/>
      <c r="UM299" s="1"/>
      <c r="UN299" s="1"/>
      <c r="UO299" s="1"/>
      <c r="UP299" s="1"/>
      <c r="UQ299" s="1"/>
      <c r="UR299" s="1"/>
      <c r="US299" s="1"/>
      <c r="UT299" s="1"/>
      <c r="UU299" s="1"/>
      <c r="UV299" s="1"/>
      <c r="UW299" s="1"/>
      <c r="UX299" s="1"/>
      <c r="UY299" s="1"/>
      <c r="UZ299" s="1"/>
      <c r="VA299" s="1"/>
      <c r="VB299" s="1"/>
      <c r="VC299" s="1"/>
      <c r="VD299" s="1"/>
      <c r="VE299" s="1"/>
      <c r="VF299" s="1"/>
      <c r="VG299" s="1"/>
      <c r="VH299" s="1"/>
      <c r="VI299" s="1"/>
      <c r="VJ299" s="1"/>
      <c r="VK299" s="1"/>
      <c r="VL299" s="1"/>
      <c r="VM299" s="1"/>
      <c r="VN299" s="1"/>
      <c r="VO299" s="1"/>
      <c r="VP299" s="1"/>
      <c r="VQ299" s="1"/>
      <c r="VR299" s="1"/>
      <c r="VS299" s="1"/>
      <c r="VT299" s="1"/>
      <c r="VU299" s="1"/>
      <c r="VV299" s="1"/>
      <c r="VW299" s="1"/>
      <c r="VX299" s="1"/>
      <c r="VY299" s="1"/>
      <c r="VZ299" s="1"/>
      <c r="WA299" s="1"/>
      <c r="WB299" s="1"/>
      <c r="WC299" s="1"/>
      <c r="WD299" s="1"/>
      <c r="WE299" s="1"/>
      <c r="WF299" s="1"/>
      <c r="WG299" s="1"/>
      <c r="WH299" s="1"/>
      <c r="WI299" s="1"/>
      <c r="WJ299" s="1"/>
      <c r="WK299" s="1"/>
      <c r="WL299" s="1"/>
      <c r="WM299" s="1"/>
      <c r="WN299" s="1"/>
      <c r="WO299" s="1"/>
      <c r="WP299" s="1"/>
      <c r="WQ299" s="1"/>
      <c r="WR299" s="1"/>
      <c r="WS299" s="1"/>
      <c r="WT299" s="1"/>
      <c r="WU299" s="1"/>
      <c r="WV299" s="1"/>
      <c r="WW299" s="1"/>
      <c r="WX299" s="1"/>
      <c r="WY299" s="1"/>
      <c r="WZ299" s="1"/>
      <c r="XA299" s="1"/>
      <c r="XB299" s="1"/>
      <c r="XC299" s="1"/>
      <c r="XD299" s="1"/>
      <c r="XE299" s="1"/>
      <c r="XF299" s="1"/>
      <c r="XG299" s="1"/>
      <c r="XH299" s="1"/>
      <c r="XI299" s="1"/>
      <c r="XJ299" s="1"/>
      <c r="XK299" s="1"/>
      <c r="XL299" s="1"/>
      <c r="XM299" s="1"/>
      <c r="XN299" s="1"/>
      <c r="XO299" s="1"/>
      <c r="XP299" s="1"/>
      <c r="XQ299" s="1"/>
      <c r="XR299" s="1"/>
      <c r="XS299" s="1"/>
      <c r="XT299" s="1"/>
      <c r="XU299" s="1"/>
      <c r="XV299" s="1"/>
      <c r="XW299" s="1"/>
      <c r="XX299" s="1"/>
      <c r="XY299" s="1"/>
      <c r="XZ299" s="1"/>
      <c r="YA299" s="1"/>
      <c r="YB299" s="1"/>
      <c r="YC299" s="1"/>
      <c r="YD299" s="1"/>
      <c r="YE299" s="1"/>
      <c r="YF299" s="1"/>
      <c r="YG299" s="1"/>
      <c r="YH299" s="1"/>
      <c r="YI299" s="1"/>
      <c r="YJ299" s="1"/>
      <c r="YK299" s="1"/>
      <c r="YL299" s="1"/>
      <c r="YM299" s="1"/>
      <c r="YN299" s="1"/>
      <c r="YO299" s="1"/>
      <c r="YP299" s="1"/>
      <c r="YQ299" s="1"/>
      <c r="YR299" s="1"/>
      <c r="YS299" s="1"/>
      <c r="YT299" s="1"/>
      <c r="YU299" s="1"/>
      <c r="YV299" s="1"/>
      <c r="YW299" s="1"/>
      <c r="YX299" s="1"/>
      <c r="YY299" s="1"/>
      <c r="YZ299" s="1"/>
      <c r="ZA299" s="1"/>
      <c r="ZB299" s="1"/>
      <c r="ZC299" s="1"/>
      <c r="ZD299" s="1"/>
      <c r="ZE299" s="1"/>
      <c r="ZF299" s="1"/>
      <c r="ZG299" s="1"/>
      <c r="ZH299" s="1"/>
      <c r="ZI299" s="1"/>
      <c r="ZJ299" s="1"/>
      <c r="ZK299" s="1"/>
      <c r="ZL299" s="1"/>
      <c r="ZM299" s="1"/>
      <c r="ZN299" s="1"/>
      <c r="ZO299" s="1"/>
      <c r="ZP299" s="1"/>
      <c r="ZQ299" s="1"/>
      <c r="ZR299" s="1"/>
      <c r="ZS299" s="1"/>
      <c r="ZT299" s="1"/>
      <c r="ZU299" s="1"/>
      <c r="ZV299" s="1"/>
      <c r="ZW299" s="1"/>
      <c r="ZX299" s="1"/>
      <c r="ZY299" s="1"/>
      <c r="ZZ299" s="1"/>
      <c r="AAA299" s="1"/>
      <c r="AAB299" s="1"/>
      <c r="AAC299" s="1"/>
      <c r="AAD299" s="1"/>
      <c r="AAE299" s="1"/>
      <c r="AAF299" s="1"/>
      <c r="AAG299" s="1"/>
      <c r="AAH299" s="1"/>
      <c r="AAI299" s="1"/>
      <c r="AAJ299" s="1"/>
      <c r="AAK299" s="1"/>
      <c r="AAL299" s="1"/>
      <c r="AAM299" s="1"/>
      <c r="AAN299" s="1"/>
      <c r="AAO299" s="1"/>
      <c r="AAP299" s="1"/>
      <c r="AAQ299" s="1"/>
      <c r="AAR299" s="1"/>
      <c r="AAS299" s="1"/>
      <c r="AAT299" s="1"/>
      <c r="AAU299" s="1"/>
      <c r="AAV299" s="1"/>
      <c r="AAW299" s="1"/>
      <c r="AAX299" s="1"/>
      <c r="AAY299" s="1"/>
      <c r="AAZ299" s="1"/>
      <c r="ABA299" s="1"/>
      <c r="ABB299" s="1"/>
      <c r="ABC299" s="1"/>
      <c r="ABD299" s="1"/>
      <c r="ABE299" s="1"/>
      <c r="ABF299" s="1"/>
      <c r="ABG299" s="1"/>
      <c r="ABH299" s="1"/>
      <c r="ABI299" s="1"/>
      <c r="ABJ299" s="1"/>
      <c r="ABK299" s="1"/>
      <c r="ABL299" s="1"/>
      <c r="ABM299" s="1"/>
      <c r="ABN299" s="1"/>
      <c r="ABO299" s="1"/>
      <c r="ABP299" s="1"/>
      <c r="ABQ299" s="1"/>
      <c r="ABR299" s="1"/>
      <c r="ABS299" s="1"/>
      <c r="ABT299" s="1"/>
      <c r="ABU299" s="1"/>
      <c r="ABV299" s="1"/>
      <c r="ABW299" s="1"/>
      <c r="ABX299" s="1"/>
      <c r="ABY299" s="1"/>
      <c r="ABZ299" s="1"/>
      <c r="ACA299" s="1"/>
      <c r="ACB299" s="1"/>
      <c r="ACC299" s="1"/>
      <c r="ACD299" s="1"/>
      <c r="ACE299" s="1"/>
      <c r="ACF299" s="1"/>
      <c r="ACG299" s="1"/>
      <c r="ACH299" s="1"/>
      <c r="ACI299" s="1"/>
      <c r="ACJ299" s="1"/>
      <c r="ACK299" s="1"/>
      <c r="ACL299" s="1"/>
      <c r="ACM299" s="1"/>
      <c r="ACN299" s="1"/>
      <c r="ACO299" s="1"/>
      <c r="ACP299" s="1"/>
      <c r="ACQ299" s="1"/>
      <c r="ACR299" s="1"/>
      <c r="ACS299" s="1"/>
      <c r="ACT299" s="1"/>
      <c r="ACU299" s="1"/>
      <c r="ACV299" s="1"/>
      <c r="ACW299" s="1"/>
      <c r="ACX299" s="1"/>
      <c r="ACY299" s="1"/>
      <c r="ACZ299" s="1"/>
      <c r="ADA299" s="1"/>
      <c r="ADB299" s="1"/>
      <c r="ADC299" s="1"/>
      <c r="ADD299" s="1"/>
      <c r="ADE299" s="1"/>
      <c r="ADF299" s="1"/>
      <c r="ADG299" s="1"/>
      <c r="ADH299" s="1"/>
      <c r="ADI299" s="1"/>
      <c r="ADJ299" s="1"/>
      <c r="ADK299" s="1"/>
      <c r="ADL299" s="1"/>
      <c r="ADM299" s="1"/>
      <c r="ADN299" s="1"/>
      <c r="ADO299" s="1"/>
      <c r="ADP299" s="1"/>
      <c r="ADQ299" s="1"/>
      <c r="ADR299" s="1"/>
      <c r="ADS299" s="1"/>
      <c r="ADT299" s="1"/>
      <c r="ADU299" s="1"/>
      <c r="ADV299" s="1"/>
      <c r="ADW299" s="1"/>
      <c r="ADX299" s="1"/>
      <c r="ADY299" s="1"/>
      <c r="ADZ299" s="1"/>
      <c r="AEA299" s="1"/>
      <c r="AEB299" s="1"/>
      <c r="AEC299" s="1"/>
      <c r="AED299" s="1"/>
      <c r="AEE299" s="1"/>
      <c r="AEF299" s="1"/>
      <c r="AEG299" s="1"/>
      <c r="AEH299" s="1"/>
      <c r="AEI299" s="1"/>
      <c r="AEJ299" s="1"/>
      <c r="AEK299" s="1"/>
      <c r="AEL299" s="1"/>
      <c r="AEM299" s="1"/>
      <c r="AEN299" s="1"/>
      <c r="AEO299" s="1"/>
      <c r="AEP299" s="1"/>
      <c r="AEQ299" s="1"/>
      <c r="AER299" s="1"/>
      <c r="AES299" s="1"/>
      <c r="AET299" s="1"/>
      <c r="AEU299" s="1"/>
      <c r="AEV299" s="1"/>
      <c r="AEW299" s="1"/>
      <c r="AEX299" s="1"/>
      <c r="AEY299" s="1"/>
      <c r="AEZ299" s="1"/>
      <c r="AFA299" s="1"/>
      <c r="AFB299" s="1"/>
      <c r="AFC299" s="1"/>
      <c r="AFD299" s="1"/>
      <c r="AFE299" s="1"/>
      <c r="AFF299" s="1"/>
      <c r="AFG299" s="1"/>
      <c r="AFH299" s="1"/>
      <c r="AFI299" s="1"/>
      <c r="AFJ299" s="1"/>
      <c r="AFK299" s="1"/>
      <c r="AFL299" s="1"/>
      <c r="AFM299" s="1"/>
      <c r="AFN299" s="1"/>
      <c r="AFO299" s="1"/>
      <c r="AFP299" s="1"/>
      <c r="AFQ299" s="1"/>
      <c r="AFR299" s="1"/>
      <c r="AFS299" s="1"/>
      <c r="AFT299" s="1"/>
      <c r="AFU299" s="1"/>
      <c r="AFV299" s="1"/>
      <c r="AFW299" s="1"/>
      <c r="AFX299" s="1"/>
      <c r="AFY299" s="1"/>
      <c r="AFZ299" s="1"/>
      <c r="AGA299" s="1"/>
      <c r="AGB299" s="1"/>
      <c r="AGC299" s="1"/>
      <c r="AGD299" s="1"/>
      <c r="AGE299" s="1"/>
      <c r="AGF299" s="1"/>
      <c r="AGG299" s="1"/>
      <c r="AGH299" s="1"/>
      <c r="AGI299" s="1"/>
      <c r="AGJ299" s="1"/>
      <c r="AGK299" s="1"/>
      <c r="AGL299" s="1"/>
      <c r="AGM299" s="1"/>
      <c r="AGN299" s="1"/>
      <c r="AGO299" s="1"/>
      <c r="AGP299" s="1"/>
      <c r="AGQ299" s="1"/>
      <c r="AGR299" s="1"/>
      <c r="AGS299" s="1"/>
      <c r="AGT299" s="1"/>
      <c r="AGU299" s="1"/>
      <c r="AGV299" s="1"/>
      <c r="AGW299" s="1"/>
      <c r="AGX299" s="1"/>
      <c r="AGY299" s="1"/>
      <c r="AGZ299" s="1"/>
      <c r="AHA299" s="1"/>
      <c r="AHB299" s="1"/>
      <c r="AHC299" s="1"/>
      <c r="AHD299" s="1"/>
      <c r="AHE299" s="1"/>
      <c r="AHF299" s="1"/>
      <c r="AHG299" s="1"/>
      <c r="AHH299" s="1"/>
      <c r="AHI299" s="1"/>
      <c r="AHJ299" s="1"/>
      <c r="AHK299" s="1"/>
      <c r="AHL299" s="1"/>
      <c r="AHM299" s="1"/>
      <c r="AHN299" s="1"/>
      <c r="AHO299" s="1"/>
      <c r="AHP299" s="1"/>
      <c r="AHQ299" s="1"/>
      <c r="AHR299" s="1"/>
      <c r="AHS299" s="1"/>
      <c r="AHT299" s="1"/>
      <c r="AHU299" s="1"/>
      <c r="AHV299" s="1"/>
      <c r="AHW299" s="1"/>
      <c r="AHX299" s="1"/>
      <c r="AHY299" s="1"/>
      <c r="AHZ299" s="1"/>
      <c r="AIA299" s="1"/>
      <c r="AIB299" s="1"/>
      <c r="AIC299" s="1"/>
      <c r="AID299" s="1"/>
      <c r="AIE299" s="1"/>
      <c r="AIF299" s="1"/>
      <c r="AIG299" s="1"/>
      <c r="AIH299" s="1"/>
      <c r="AII299" s="1"/>
      <c r="AIJ299" s="1"/>
      <c r="AIK299" s="1"/>
      <c r="AIL299" s="1"/>
      <c r="AIM299" s="1"/>
      <c r="AIN299" s="1"/>
      <c r="AIO299" s="1"/>
      <c r="AIP299" s="1"/>
      <c r="AIQ299" s="1"/>
      <c r="AIR299" s="1"/>
      <c r="AIS299" s="1"/>
      <c r="AIT299" s="1"/>
      <c r="AIU299" s="1"/>
      <c r="AIV299" s="1"/>
      <c r="AIW299" s="1"/>
      <c r="AIX299" s="1"/>
      <c r="AIY299" s="1"/>
      <c r="AIZ299" s="1"/>
      <c r="AJA299" s="1"/>
      <c r="AJB299" s="1"/>
      <c r="AJC299" s="1"/>
      <c r="AJD299" s="1"/>
      <c r="AJE299" s="1"/>
      <c r="AJF299" s="1"/>
      <c r="AJG299" s="1"/>
      <c r="AJH299" s="1"/>
      <c r="AJI299" s="1"/>
      <c r="AJJ299" s="1"/>
      <c r="AJK299" s="1"/>
      <c r="AJL299" s="1"/>
      <c r="AJM299" s="1"/>
      <c r="AJN299" s="1"/>
      <c r="AJO299" s="1"/>
      <c r="AJP299" s="1"/>
      <c r="AJQ299" s="1"/>
      <c r="AJR299" s="1"/>
      <c r="AJS299" s="1"/>
      <c r="AJT299" s="1"/>
      <c r="AJU299" s="1"/>
      <c r="AJV299" s="1"/>
      <c r="AJW299" s="1"/>
      <c r="AJX299" s="1"/>
      <c r="AJY299" s="1"/>
      <c r="AJZ299" s="1"/>
      <c r="AKA299" s="1"/>
      <c r="AKB299" s="1"/>
      <c r="AKC299" s="1"/>
      <c r="AKD299" s="1"/>
      <c r="AKE299" s="1"/>
      <c r="AKF299" s="1"/>
      <c r="AKG299" s="1"/>
      <c r="AKH299" s="1"/>
      <c r="AKI299" s="1"/>
      <c r="AKJ299" s="1"/>
      <c r="AKK299" s="1"/>
      <c r="AKL299" s="1"/>
      <c r="AKM299" s="1"/>
      <c r="AKN299" s="1"/>
      <c r="AKO299" s="1"/>
      <c r="AKP299" s="1"/>
      <c r="AKQ299" s="1"/>
      <c r="AKR299" s="1"/>
      <c r="AKS299" s="1"/>
      <c r="AKT299" s="1"/>
      <c r="AKU299" s="1"/>
      <c r="AKV299" s="1"/>
      <c r="AKW299" s="1"/>
      <c r="AKX299" s="1"/>
      <c r="AKY299" s="1"/>
      <c r="AKZ299" s="1"/>
      <c r="ALA299" s="1"/>
      <c r="ALB299" s="1"/>
      <c r="ALC299" s="1"/>
      <c r="ALD299" s="1"/>
      <c r="ALE299" s="1"/>
      <c r="ALF299" s="1"/>
      <c r="ALG299" s="1"/>
      <c r="ALH299" s="1"/>
      <c r="ALI299" s="1"/>
      <c r="ALJ299" s="1"/>
      <c r="ALK299" s="1"/>
      <c r="ALL299" s="1"/>
      <c r="ALM299" s="1"/>
      <c r="ALN299" s="1"/>
      <c r="ALO299" s="1"/>
      <c r="ALP299" s="1"/>
      <c r="ALQ299" s="1"/>
      <c r="ALR299" s="1"/>
      <c r="ALS299" s="1"/>
      <c r="ALT299" s="1"/>
      <c r="ALU299" s="1"/>
      <c r="ALV299" s="1"/>
      <c r="ALW299" s="1"/>
      <c r="ALX299" s="1"/>
      <c r="ALY299" s="1"/>
      <c r="ALZ299" s="1"/>
      <c r="AMA299" s="1"/>
      <c r="AMB299" s="1"/>
      <c r="AMC299" s="1"/>
      <c r="AMD299" s="1"/>
      <c r="AME299" s="1"/>
      <c r="AMF299" s="1"/>
      <c r="AMG299" s="1"/>
      <c r="AMH299" s="1"/>
      <c r="AMI299" s="1"/>
      <c r="AMJ299" s="1"/>
      <c r="AMK299" s="1"/>
      <c r="AML299" s="1"/>
      <c r="AMM299" s="1"/>
      <c r="AMN299" s="1"/>
      <c r="AMO299" s="1"/>
    </row>
    <row r="300" spans="1:1029" x14ac:dyDescent="0.2">
      <c r="A300" s="3" t="str">
        <f t="shared" si="1117"/>
        <v>glp1r_human_6B3J</v>
      </c>
      <c r="B300" s="3" t="s">
        <v>406</v>
      </c>
      <c r="C300" s="3" t="s">
        <v>1486</v>
      </c>
      <c r="D300" s="3" t="str">
        <f>IFERROR(MID(VLOOKUP($B300,Seqs!$A:$B,2,0),E300,1),"")</f>
        <v>E</v>
      </c>
      <c r="E300" s="3">
        <v>138</v>
      </c>
      <c r="F300" s="3" t="str">
        <f>IFERROR(MID(VLOOKUP($B300,Seqs!$A:$B,2,0),G300,1),"")</f>
        <v>F</v>
      </c>
      <c r="G300" s="3">
        <v>169</v>
      </c>
      <c r="H300" s="3" t="str">
        <f>IFERROR(MID(VLOOKUP($B300,Seqs!$A:$B,2,0),I300,1),"")</f>
        <v/>
      </c>
      <c r="I300" s="23" t="s">
        <v>23</v>
      </c>
      <c r="J300" s="3" t="str">
        <f>IFERROR(MID(VLOOKUP($B300,Seqs!$A:$B,2,0),K300,1),"")</f>
        <v/>
      </c>
      <c r="K300" s="23" t="s">
        <v>23</v>
      </c>
      <c r="L300" s="3" t="str">
        <f>IFERROR(MID(VLOOKUP($B300,Seqs!$A:$B,2,0),M300,1),"")</f>
        <v>C</v>
      </c>
      <c r="M300" s="23">
        <v>174</v>
      </c>
      <c r="N300" s="3" t="str">
        <f>IFERROR(MID(VLOOKUP($B300,Seqs!$A:$B,2,0),O300,1),"")</f>
        <v>Y</v>
      </c>
      <c r="O300" s="3">
        <v>205</v>
      </c>
      <c r="P300" s="3" t="str">
        <f>IFERROR(MID(VLOOKUP($B300,Seqs!$A:$B,2,0),Q300,1),"")</f>
        <v/>
      </c>
      <c r="Q300" s="3" t="s">
        <v>23</v>
      </c>
      <c r="R300" s="3" t="str">
        <f>IFERROR(MID(VLOOKUP($B300,Seqs!$A:$B,2,0),S300,1),"")</f>
        <v/>
      </c>
      <c r="S300" s="3" t="s">
        <v>23</v>
      </c>
      <c r="T300" s="3" t="str">
        <f>IFERROR(MID(VLOOKUP($B300,Seqs!$A:$B,2,0),U300,1),"")</f>
        <v>S</v>
      </c>
      <c r="U300" s="3">
        <v>225</v>
      </c>
      <c r="V300" s="3" t="str">
        <f>IFERROR(MID(VLOOKUP($B300,Seqs!$A:$B,2,0),W300,1),"")</f>
        <v>F</v>
      </c>
      <c r="W300" s="3">
        <v>257</v>
      </c>
      <c r="X300" s="3" t="str">
        <f>IFERROR(MID(VLOOKUP($B300,Seqs!$A:$B,2,0),Y300,1),"")</f>
        <v/>
      </c>
      <c r="Y300" s="3" t="s">
        <v>23</v>
      </c>
      <c r="Z300" s="3" t="str">
        <f>IFERROR(MID(VLOOKUP($B300,Seqs!$A:$B,2,0),AA300,1),"")</f>
        <v/>
      </c>
      <c r="AA300" s="3" t="s">
        <v>23</v>
      </c>
      <c r="AB300" s="3" t="str">
        <f>IFERROR(MID(VLOOKUP($B300,Seqs!$A:$B,2,0),AC300,1),"")</f>
        <v>S</v>
      </c>
      <c r="AC300" s="3">
        <v>261</v>
      </c>
      <c r="AD300" s="3" t="str">
        <f>IFERROR(MID(VLOOKUP($B300,Seqs!$A:$B,2,0),AE300,1),"")</f>
        <v>E</v>
      </c>
      <c r="AE300" s="3">
        <v>292</v>
      </c>
      <c r="AF300" s="3" t="str">
        <f>IFERROR(MID(VLOOKUP($B300,Seqs!$A:$B,2,0),AG300,1),"")</f>
        <v>C</v>
      </c>
      <c r="AG300" s="3">
        <v>296</v>
      </c>
      <c r="AH300" s="3" t="str">
        <f>IFERROR(MID(VLOOKUP($B300,Seqs!$A:$B,2,0),AI300,1),"")</f>
        <v>T</v>
      </c>
      <c r="AI300" s="3">
        <v>298</v>
      </c>
      <c r="AJ300" s="3" t="str">
        <f>IFERROR(MID(VLOOKUP($B300,Seqs!$A:$B,2,0),AK300,1),"")</f>
        <v>N</v>
      </c>
      <c r="AK300" s="3">
        <v>302</v>
      </c>
      <c r="AL300" s="3" t="str">
        <f>IFERROR(MID(VLOOKUP($B300,Seqs!$A:$B,2,0),AM300,1),"")</f>
        <v>A</v>
      </c>
      <c r="AM300" s="3">
        <v>337</v>
      </c>
      <c r="AN300" s="3" t="str">
        <f>IFERROR(MID(VLOOKUP($B300,Seqs!$A:$B,2,0),AO300,1),"")</f>
        <v>D</v>
      </c>
      <c r="AO300" s="3">
        <v>344</v>
      </c>
      <c r="AP300" s="3" t="str">
        <f>IFERROR(MID(VLOOKUP($B300,Seqs!$A:$B,2,0),AQ300,1),"")</f>
        <v>F</v>
      </c>
      <c r="AQ300" s="3">
        <v>369</v>
      </c>
      <c r="AR300" s="3" t="str">
        <f>IFERROR(MID(VLOOKUP($B300,Seqs!$A:$B,2,0),AS300,1),"")</f>
        <v>R</v>
      </c>
      <c r="AS300" s="3">
        <v>380</v>
      </c>
      <c r="AT300" s="3" t="str">
        <f>IFERROR(MID(VLOOKUP($B300,Seqs!$A:$B,2,0),AU300,1),"")</f>
        <v>V</v>
      </c>
      <c r="AU300" s="3">
        <v>405</v>
      </c>
      <c r="AV300" s="3" t="str">
        <f>IFERROR(MID(VLOOKUP($B300,Seqs!$A:$B,2,0),AW300,1),"")</f>
        <v>N</v>
      </c>
      <c r="AW300" s="3">
        <v>406</v>
      </c>
      <c r="AX300" s="3" t="str">
        <f>IFERROR(MID(VLOOKUP($B300,Seqs!$A:$B,2,0),AY300,1),"")</f>
        <v>E</v>
      </c>
      <c r="AY300" s="3">
        <v>423</v>
      </c>
      <c r="AZ300" s="77" t="str">
        <f>VLOOKUP(B300,Classification!A:D,2,0)</f>
        <v>B1</v>
      </c>
      <c r="BA300" s="94" t="str">
        <f>VLOOKUP(B300,Classification!A:D,4,0)</f>
        <v>Glucagonreceptorfamily</v>
      </c>
      <c r="BB300" s="27" t="b">
        <f t="shared" si="1118"/>
        <v>1</v>
      </c>
      <c r="BC300" s="23">
        <f t="shared" si="1119"/>
        <v>241</v>
      </c>
      <c r="BD300" s="4" t="s">
        <v>1382</v>
      </c>
      <c r="BE300" s="3" t="s">
        <v>1297</v>
      </c>
      <c r="BF300" s="119">
        <v>3.3</v>
      </c>
      <c r="BG300" s="49" t="s">
        <v>1433</v>
      </c>
      <c r="BH300" s="49" t="s">
        <v>1433</v>
      </c>
      <c r="BI300" s="1"/>
      <c r="BJ300" s="70" t="s">
        <v>1293</v>
      </c>
      <c r="BK300" s="57" t="s">
        <v>1293</v>
      </c>
      <c r="BL300" s="57" t="s">
        <v>1293</v>
      </c>
      <c r="BM300" s="57" t="s">
        <v>1293</v>
      </c>
      <c r="BN300" s="57" t="s">
        <v>1293</v>
      </c>
      <c r="BO300" s="57" t="s">
        <v>1293</v>
      </c>
      <c r="BP300" s="57" t="s">
        <v>1293</v>
      </c>
      <c r="BQ300" s="57" t="s">
        <v>1293</v>
      </c>
      <c r="BR300" s="57" t="s">
        <v>1293</v>
      </c>
      <c r="BS300" s="57" t="s">
        <v>1293</v>
      </c>
      <c r="BT300" s="57" t="s">
        <v>1293</v>
      </c>
      <c r="BU300" s="57" t="s">
        <v>1293</v>
      </c>
      <c r="BV300" s="70">
        <f t="shared" si="1120"/>
        <v>138</v>
      </c>
      <c r="BW300" s="71" t="str">
        <f t="shared" si="1121"/>
        <v>-</v>
      </c>
      <c r="BX300" s="72">
        <f t="shared" si="1122"/>
        <v>174</v>
      </c>
      <c r="BY300" s="71" t="str">
        <f t="shared" si="1123"/>
        <v>-</v>
      </c>
      <c r="BZ300" s="72">
        <f t="shared" si="1124"/>
        <v>225</v>
      </c>
      <c r="CA300" s="71" t="str">
        <f t="shared" si="1125"/>
        <v>-</v>
      </c>
      <c r="CB300" s="72">
        <f t="shared" si="1126"/>
        <v>261</v>
      </c>
      <c r="CC300" s="71">
        <f t="shared" si="1127"/>
        <v>296</v>
      </c>
      <c r="CD300" s="72">
        <f t="shared" si="1128"/>
        <v>302</v>
      </c>
      <c r="CE300" s="71">
        <f t="shared" si="1129"/>
        <v>344</v>
      </c>
      <c r="CF300" s="72">
        <f t="shared" si="1130"/>
        <v>380</v>
      </c>
      <c r="CG300" s="71">
        <f t="shared" si="1131"/>
        <v>406</v>
      </c>
      <c r="CH300" s="70">
        <f t="shared" si="1132"/>
        <v>169</v>
      </c>
      <c r="CI300" s="71" t="str">
        <f t="shared" si="1133"/>
        <v>-</v>
      </c>
      <c r="CJ300" s="72">
        <f t="shared" si="1134"/>
        <v>205</v>
      </c>
      <c r="CK300" s="72" t="str">
        <f t="shared" si="1135"/>
        <v>-</v>
      </c>
      <c r="CL300" s="72">
        <f t="shared" si="1136"/>
        <v>257</v>
      </c>
      <c r="CM300" s="72" t="str">
        <f t="shared" si="1137"/>
        <v>-</v>
      </c>
      <c r="CN300" s="72">
        <f t="shared" si="1138"/>
        <v>292</v>
      </c>
      <c r="CO300" s="72">
        <f t="shared" si="1139"/>
        <v>298</v>
      </c>
      <c r="CP300" s="72">
        <f t="shared" si="1140"/>
        <v>337</v>
      </c>
      <c r="CQ300" s="72">
        <f t="shared" si="1141"/>
        <v>369</v>
      </c>
      <c r="CR300" s="72">
        <f t="shared" si="1142"/>
        <v>405</v>
      </c>
      <c r="CS300" s="72">
        <f t="shared" si="1143"/>
        <v>423</v>
      </c>
      <c r="CT300" s="23" t="e">
        <f t="shared" si="1144"/>
        <v>#VALUE!</v>
      </c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  <c r="OK300" s="1"/>
      <c r="OL300" s="1"/>
      <c r="OM300" s="1"/>
      <c r="ON300" s="1"/>
      <c r="OO300" s="1"/>
      <c r="OP300" s="1"/>
      <c r="OQ300" s="1"/>
      <c r="OR300" s="1"/>
      <c r="OS300" s="1"/>
      <c r="OT300" s="1"/>
      <c r="OU300" s="1"/>
      <c r="OV300" s="1"/>
      <c r="OW300" s="1"/>
      <c r="OX300" s="1"/>
      <c r="OY300" s="1"/>
      <c r="OZ300" s="1"/>
      <c r="PA300" s="1"/>
      <c r="PB300" s="1"/>
      <c r="PC300" s="1"/>
      <c r="PD300" s="1"/>
      <c r="PE300" s="1"/>
      <c r="PF300" s="1"/>
      <c r="PG300" s="1"/>
      <c r="PH300" s="1"/>
      <c r="PI300" s="1"/>
      <c r="PJ300" s="1"/>
      <c r="PK300" s="1"/>
      <c r="PL300" s="1"/>
      <c r="PM300" s="1"/>
      <c r="PN300" s="1"/>
      <c r="PO300" s="1"/>
      <c r="PP300" s="1"/>
      <c r="PQ300" s="1"/>
      <c r="PR300" s="1"/>
      <c r="PS300" s="1"/>
      <c r="PT300" s="1"/>
      <c r="PU300" s="1"/>
      <c r="PV300" s="1"/>
      <c r="PW300" s="1"/>
      <c r="PX300" s="1"/>
      <c r="PY300" s="1"/>
      <c r="PZ300" s="1"/>
      <c r="QA300" s="1"/>
      <c r="QB300" s="1"/>
      <c r="QC300" s="1"/>
      <c r="QD300" s="1"/>
      <c r="QE300" s="1"/>
      <c r="QF300" s="1"/>
      <c r="QG300" s="1"/>
      <c r="QH300" s="1"/>
      <c r="QI300" s="1"/>
      <c r="QJ300" s="1"/>
      <c r="QK300" s="1"/>
      <c r="QL300" s="1"/>
      <c r="QM300" s="1"/>
      <c r="QN300" s="1"/>
      <c r="QO300" s="1"/>
      <c r="QP300" s="1"/>
      <c r="QQ300" s="1"/>
      <c r="QR300" s="1"/>
      <c r="QS300" s="1"/>
      <c r="QT300" s="1"/>
      <c r="QU300" s="1"/>
      <c r="QV300" s="1"/>
      <c r="QW300" s="1"/>
      <c r="QX300" s="1"/>
      <c r="QY300" s="1"/>
      <c r="QZ300" s="1"/>
      <c r="RA300" s="1"/>
      <c r="RB300" s="1"/>
      <c r="RC300" s="1"/>
      <c r="RD300" s="1"/>
      <c r="RE300" s="1"/>
      <c r="RF300" s="1"/>
      <c r="RG300" s="1"/>
      <c r="RH300" s="1"/>
      <c r="RI300" s="1"/>
      <c r="RJ300" s="1"/>
      <c r="RK300" s="1"/>
      <c r="RL300" s="1"/>
      <c r="RM300" s="1"/>
      <c r="RN300" s="1"/>
      <c r="RO300" s="1"/>
      <c r="RP300" s="1"/>
      <c r="RQ300" s="1"/>
      <c r="RR300" s="1"/>
      <c r="RS300" s="1"/>
      <c r="RT300" s="1"/>
      <c r="RU300" s="1"/>
      <c r="RV300" s="1"/>
      <c r="RW300" s="1"/>
      <c r="RX300" s="1"/>
      <c r="RY300" s="1"/>
      <c r="RZ300" s="1"/>
      <c r="SA300" s="1"/>
      <c r="SB300" s="1"/>
      <c r="SC300" s="1"/>
      <c r="SD300" s="1"/>
      <c r="SE300" s="1"/>
      <c r="SF300" s="1"/>
      <c r="SG300" s="1"/>
      <c r="SH300" s="1"/>
      <c r="SI300" s="1"/>
      <c r="SJ300" s="1"/>
      <c r="SK300" s="1"/>
      <c r="SL300" s="1"/>
      <c r="SM300" s="1"/>
      <c r="SN300" s="1"/>
      <c r="SO300" s="1"/>
      <c r="SP300" s="1"/>
      <c r="SQ300" s="1"/>
      <c r="SR300" s="1"/>
      <c r="SS300" s="1"/>
      <c r="ST300" s="1"/>
      <c r="SU300" s="1"/>
      <c r="SV300" s="1"/>
      <c r="SW300" s="1"/>
      <c r="SX300" s="1"/>
      <c r="SY300" s="1"/>
      <c r="SZ300" s="1"/>
      <c r="TA300" s="1"/>
      <c r="TB300" s="1"/>
      <c r="TC300" s="1"/>
      <c r="TD300" s="1"/>
      <c r="TE300" s="1"/>
      <c r="TF300" s="1"/>
      <c r="TG300" s="1"/>
      <c r="TH300" s="1"/>
      <c r="TI300" s="1"/>
      <c r="TJ300" s="1"/>
      <c r="TK300" s="1"/>
      <c r="TL300" s="1"/>
      <c r="TM300" s="1"/>
      <c r="TN300" s="1"/>
      <c r="TO300" s="1"/>
      <c r="TP300" s="1"/>
      <c r="TQ300" s="1"/>
      <c r="TR300" s="1"/>
      <c r="TS300" s="1"/>
      <c r="TT300" s="1"/>
      <c r="TU300" s="1"/>
      <c r="TV300" s="1"/>
      <c r="TW300" s="1"/>
      <c r="TX300" s="1"/>
      <c r="TY300" s="1"/>
      <c r="TZ300" s="1"/>
      <c r="UA300" s="1"/>
      <c r="UB300" s="1"/>
      <c r="UC300" s="1"/>
      <c r="UD300" s="1"/>
      <c r="UE300" s="1"/>
      <c r="UF300" s="1"/>
      <c r="UG300" s="1"/>
      <c r="UH300" s="1"/>
      <c r="UI300" s="1"/>
      <c r="UJ300" s="1"/>
      <c r="UK300" s="1"/>
      <c r="UL300" s="1"/>
      <c r="UM300" s="1"/>
      <c r="UN300" s="1"/>
      <c r="UO300" s="1"/>
      <c r="UP300" s="1"/>
      <c r="UQ300" s="1"/>
      <c r="UR300" s="1"/>
      <c r="US300" s="1"/>
      <c r="UT300" s="1"/>
      <c r="UU300" s="1"/>
      <c r="UV300" s="1"/>
      <c r="UW300" s="1"/>
      <c r="UX300" s="1"/>
      <c r="UY300" s="1"/>
      <c r="UZ300" s="1"/>
      <c r="VA300" s="1"/>
      <c r="VB300" s="1"/>
      <c r="VC300" s="1"/>
      <c r="VD300" s="1"/>
      <c r="VE300" s="1"/>
      <c r="VF300" s="1"/>
      <c r="VG300" s="1"/>
      <c r="VH300" s="1"/>
      <c r="VI300" s="1"/>
      <c r="VJ300" s="1"/>
      <c r="VK300" s="1"/>
      <c r="VL300" s="1"/>
      <c r="VM300" s="1"/>
      <c r="VN300" s="1"/>
      <c r="VO300" s="1"/>
      <c r="VP300" s="1"/>
      <c r="VQ300" s="1"/>
      <c r="VR300" s="1"/>
      <c r="VS300" s="1"/>
      <c r="VT300" s="1"/>
      <c r="VU300" s="1"/>
      <c r="VV300" s="1"/>
      <c r="VW300" s="1"/>
      <c r="VX300" s="1"/>
      <c r="VY300" s="1"/>
      <c r="VZ300" s="1"/>
      <c r="WA300" s="1"/>
      <c r="WB300" s="1"/>
      <c r="WC300" s="1"/>
      <c r="WD300" s="1"/>
      <c r="WE300" s="1"/>
      <c r="WF300" s="1"/>
      <c r="WG300" s="1"/>
      <c r="WH300" s="1"/>
      <c r="WI300" s="1"/>
      <c r="WJ300" s="1"/>
      <c r="WK300" s="1"/>
      <c r="WL300" s="1"/>
      <c r="WM300" s="1"/>
      <c r="WN300" s="1"/>
      <c r="WO300" s="1"/>
      <c r="WP300" s="1"/>
      <c r="WQ300" s="1"/>
      <c r="WR300" s="1"/>
      <c r="WS300" s="1"/>
      <c r="WT300" s="1"/>
      <c r="WU300" s="1"/>
      <c r="WV300" s="1"/>
      <c r="WW300" s="1"/>
      <c r="WX300" s="1"/>
      <c r="WY300" s="1"/>
      <c r="WZ300" s="1"/>
      <c r="XA300" s="1"/>
      <c r="XB300" s="1"/>
      <c r="XC300" s="1"/>
      <c r="XD300" s="1"/>
      <c r="XE300" s="1"/>
      <c r="XF300" s="1"/>
      <c r="XG300" s="1"/>
      <c r="XH300" s="1"/>
      <c r="XI300" s="1"/>
      <c r="XJ300" s="1"/>
      <c r="XK300" s="1"/>
      <c r="XL300" s="1"/>
      <c r="XM300" s="1"/>
      <c r="XN300" s="1"/>
      <c r="XO300" s="1"/>
      <c r="XP300" s="1"/>
      <c r="XQ300" s="1"/>
      <c r="XR300" s="1"/>
      <c r="XS300" s="1"/>
      <c r="XT300" s="1"/>
      <c r="XU300" s="1"/>
      <c r="XV300" s="1"/>
      <c r="XW300" s="1"/>
      <c r="XX300" s="1"/>
      <c r="XY300" s="1"/>
      <c r="XZ300" s="1"/>
      <c r="YA300" s="1"/>
      <c r="YB300" s="1"/>
      <c r="YC300" s="1"/>
      <c r="YD300" s="1"/>
      <c r="YE300" s="1"/>
      <c r="YF300" s="1"/>
      <c r="YG300" s="1"/>
      <c r="YH300" s="1"/>
      <c r="YI300" s="1"/>
      <c r="YJ300" s="1"/>
      <c r="YK300" s="1"/>
      <c r="YL300" s="1"/>
      <c r="YM300" s="1"/>
      <c r="YN300" s="1"/>
      <c r="YO300" s="1"/>
      <c r="YP300" s="1"/>
      <c r="YQ300" s="1"/>
      <c r="YR300" s="1"/>
      <c r="YS300" s="1"/>
      <c r="YT300" s="1"/>
      <c r="YU300" s="1"/>
      <c r="YV300" s="1"/>
      <c r="YW300" s="1"/>
      <c r="YX300" s="1"/>
      <c r="YY300" s="1"/>
      <c r="YZ300" s="1"/>
      <c r="ZA300" s="1"/>
      <c r="ZB300" s="1"/>
      <c r="ZC300" s="1"/>
      <c r="ZD300" s="1"/>
      <c r="ZE300" s="1"/>
      <c r="ZF300" s="1"/>
      <c r="ZG300" s="1"/>
      <c r="ZH300" s="1"/>
      <c r="ZI300" s="1"/>
      <c r="ZJ300" s="1"/>
      <c r="ZK300" s="1"/>
      <c r="ZL300" s="1"/>
      <c r="ZM300" s="1"/>
      <c r="ZN300" s="1"/>
      <c r="ZO300" s="1"/>
      <c r="ZP300" s="1"/>
      <c r="ZQ300" s="1"/>
      <c r="ZR300" s="1"/>
      <c r="ZS300" s="1"/>
      <c r="ZT300" s="1"/>
      <c r="ZU300" s="1"/>
      <c r="ZV300" s="1"/>
      <c r="ZW300" s="1"/>
      <c r="ZX300" s="1"/>
      <c r="ZY300" s="1"/>
      <c r="ZZ300" s="1"/>
      <c r="AAA300" s="1"/>
      <c r="AAB300" s="1"/>
      <c r="AAC300" s="1"/>
      <c r="AAD300" s="1"/>
      <c r="AAE300" s="1"/>
      <c r="AAF300" s="1"/>
      <c r="AAG300" s="1"/>
      <c r="AAH300" s="1"/>
      <c r="AAI300" s="1"/>
      <c r="AAJ300" s="1"/>
      <c r="AAK300" s="1"/>
      <c r="AAL300" s="1"/>
      <c r="AAM300" s="1"/>
      <c r="AAN300" s="1"/>
      <c r="AAO300" s="1"/>
      <c r="AAP300" s="1"/>
      <c r="AAQ300" s="1"/>
      <c r="AAR300" s="1"/>
      <c r="AAS300" s="1"/>
      <c r="AAT300" s="1"/>
      <c r="AAU300" s="1"/>
      <c r="AAV300" s="1"/>
      <c r="AAW300" s="1"/>
      <c r="AAX300" s="1"/>
      <c r="AAY300" s="1"/>
      <c r="AAZ300" s="1"/>
      <c r="ABA300" s="1"/>
      <c r="ABB300" s="1"/>
      <c r="ABC300" s="1"/>
      <c r="ABD300" s="1"/>
      <c r="ABE300" s="1"/>
      <c r="ABF300" s="1"/>
      <c r="ABG300" s="1"/>
      <c r="ABH300" s="1"/>
      <c r="ABI300" s="1"/>
      <c r="ABJ300" s="1"/>
      <c r="ABK300" s="1"/>
      <c r="ABL300" s="1"/>
      <c r="ABM300" s="1"/>
      <c r="ABN300" s="1"/>
      <c r="ABO300" s="1"/>
      <c r="ABP300" s="1"/>
      <c r="ABQ300" s="1"/>
      <c r="ABR300" s="1"/>
      <c r="ABS300" s="1"/>
      <c r="ABT300" s="1"/>
      <c r="ABU300" s="1"/>
      <c r="ABV300" s="1"/>
      <c r="ABW300" s="1"/>
      <c r="ABX300" s="1"/>
      <c r="ABY300" s="1"/>
      <c r="ABZ300" s="1"/>
      <c r="ACA300" s="1"/>
      <c r="ACB300" s="1"/>
      <c r="ACC300" s="1"/>
      <c r="ACD300" s="1"/>
      <c r="ACE300" s="1"/>
      <c r="ACF300" s="1"/>
      <c r="ACG300" s="1"/>
      <c r="ACH300" s="1"/>
      <c r="ACI300" s="1"/>
      <c r="ACJ300" s="1"/>
      <c r="ACK300" s="1"/>
      <c r="ACL300" s="1"/>
      <c r="ACM300" s="1"/>
      <c r="ACN300" s="1"/>
      <c r="ACO300" s="1"/>
      <c r="ACP300" s="1"/>
      <c r="ACQ300" s="1"/>
      <c r="ACR300" s="1"/>
      <c r="ACS300" s="1"/>
      <c r="ACT300" s="1"/>
      <c r="ACU300" s="1"/>
      <c r="ACV300" s="1"/>
      <c r="ACW300" s="1"/>
      <c r="ACX300" s="1"/>
      <c r="ACY300" s="1"/>
      <c r="ACZ300" s="1"/>
      <c r="ADA300" s="1"/>
      <c r="ADB300" s="1"/>
      <c r="ADC300" s="1"/>
      <c r="ADD300" s="1"/>
      <c r="ADE300" s="1"/>
      <c r="ADF300" s="1"/>
      <c r="ADG300" s="1"/>
      <c r="ADH300" s="1"/>
      <c r="ADI300" s="1"/>
      <c r="ADJ300" s="1"/>
      <c r="ADK300" s="1"/>
      <c r="ADL300" s="1"/>
      <c r="ADM300" s="1"/>
      <c r="ADN300" s="1"/>
      <c r="ADO300" s="1"/>
      <c r="ADP300" s="1"/>
      <c r="ADQ300" s="1"/>
      <c r="ADR300" s="1"/>
      <c r="ADS300" s="1"/>
      <c r="ADT300" s="1"/>
      <c r="ADU300" s="1"/>
      <c r="ADV300" s="1"/>
      <c r="ADW300" s="1"/>
      <c r="ADX300" s="1"/>
      <c r="ADY300" s="1"/>
      <c r="ADZ300" s="1"/>
      <c r="AEA300" s="1"/>
      <c r="AEB300" s="1"/>
      <c r="AEC300" s="1"/>
      <c r="AED300" s="1"/>
      <c r="AEE300" s="1"/>
      <c r="AEF300" s="1"/>
      <c r="AEG300" s="1"/>
      <c r="AEH300" s="1"/>
      <c r="AEI300" s="1"/>
      <c r="AEJ300" s="1"/>
      <c r="AEK300" s="1"/>
      <c r="AEL300" s="1"/>
      <c r="AEM300" s="1"/>
      <c r="AEN300" s="1"/>
      <c r="AEO300" s="1"/>
      <c r="AEP300" s="1"/>
      <c r="AEQ300" s="1"/>
      <c r="AER300" s="1"/>
      <c r="AES300" s="1"/>
      <c r="AET300" s="1"/>
      <c r="AEU300" s="1"/>
      <c r="AEV300" s="1"/>
      <c r="AEW300" s="1"/>
      <c r="AEX300" s="1"/>
      <c r="AEY300" s="1"/>
      <c r="AEZ300" s="1"/>
      <c r="AFA300" s="1"/>
      <c r="AFB300" s="1"/>
      <c r="AFC300" s="1"/>
      <c r="AFD300" s="1"/>
      <c r="AFE300" s="1"/>
      <c r="AFF300" s="1"/>
      <c r="AFG300" s="1"/>
      <c r="AFH300" s="1"/>
      <c r="AFI300" s="1"/>
      <c r="AFJ300" s="1"/>
      <c r="AFK300" s="1"/>
      <c r="AFL300" s="1"/>
      <c r="AFM300" s="1"/>
      <c r="AFN300" s="1"/>
      <c r="AFO300" s="1"/>
      <c r="AFP300" s="1"/>
      <c r="AFQ300" s="1"/>
      <c r="AFR300" s="1"/>
      <c r="AFS300" s="1"/>
      <c r="AFT300" s="1"/>
      <c r="AFU300" s="1"/>
      <c r="AFV300" s="1"/>
      <c r="AFW300" s="1"/>
      <c r="AFX300" s="1"/>
      <c r="AFY300" s="1"/>
      <c r="AFZ300" s="1"/>
      <c r="AGA300" s="1"/>
      <c r="AGB300" s="1"/>
      <c r="AGC300" s="1"/>
      <c r="AGD300" s="1"/>
      <c r="AGE300" s="1"/>
      <c r="AGF300" s="1"/>
      <c r="AGG300" s="1"/>
      <c r="AGH300" s="1"/>
      <c r="AGI300" s="1"/>
      <c r="AGJ300" s="1"/>
      <c r="AGK300" s="1"/>
      <c r="AGL300" s="1"/>
      <c r="AGM300" s="1"/>
      <c r="AGN300" s="1"/>
      <c r="AGO300" s="1"/>
      <c r="AGP300" s="1"/>
      <c r="AGQ300" s="1"/>
      <c r="AGR300" s="1"/>
      <c r="AGS300" s="1"/>
      <c r="AGT300" s="1"/>
      <c r="AGU300" s="1"/>
      <c r="AGV300" s="1"/>
      <c r="AGW300" s="1"/>
      <c r="AGX300" s="1"/>
      <c r="AGY300" s="1"/>
      <c r="AGZ300" s="1"/>
      <c r="AHA300" s="1"/>
      <c r="AHB300" s="1"/>
      <c r="AHC300" s="1"/>
      <c r="AHD300" s="1"/>
      <c r="AHE300" s="1"/>
      <c r="AHF300" s="1"/>
      <c r="AHG300" s="1"/>
      <c r="AHH300" s="1"/>
      <c r="AHI300" s="1"/>
      <c r="AHJ300" s="1"/>
      <c r="AHK300" s="1"/>
      <c r="AHL300" s="1"/>
      <c r="AHM300" s="1"/>
      <c r="AHN300" s="1"/>
      <c r="AHO300" s="1"/>
      <c r="AHP300" s="1"/>
      <c r="AHQ300" s="1"/>
      <c r="AHR300" s="1"/>
      <c r="AHS300" s="1"/>
      <c r="AHT300" s="1"/>
      <c r="AHU300" s="1"/>
      <c r="AHV300" s="1"/>
      <c r="AHW300" s="1"/>
      <c r="AHX300" s="1"/>
      <c r="AHY300" s="1"/>
      <c r="AHZ300" s="1"/>
      <c r="AIA300" s="1"/>
      <c r="AIB300" s="1"/>
      <c r="AIC300" s="1"/>
      <c r="AID300" s="1"/>
      <c r="AIE300" s="1"/>
      <c r="AIF300" s="1"/>
      <c r="AIG300" s="1"/>
      <c r="AIH300" s="1"/>
      <c r="AII300" s="1"/>
      <c r="AIJ300" s="1"/>
      <c r="AIK300" s="1"/>
      <c r="AIL300" s="1"/>
      <c r="AIM300" s="1"/>
      <c r="AIN300" s="1"/>
      <c r="AIO300" s="1"/>
      <c r="AIP300" s="1"/>
      <c r="AIQ300" s="1"/>
      <c r="AIR300" s="1"/>
      <c r="AIS300" s="1"/>
      <c r="AIT300" s="1"/>
      <c r="AIU300" s="1"/>
      <c r="AIV300" s="1"/>
      <c r="AIW300" s="1"/>
      <c r="AIX300" s="1"/>
      <c r="AIY300" s="1"/>
      <c r="AIZ300" s="1"/>
      <c r="AJA300" s="1"/>
      <c r="AJB300" s="1"/>
      <c r="AJC300" s="1"/>
      <c r="AJD300" s="1"/>
      <c r="AJE300" s="1"/>
      <c r="AJF300" s="1"/>
      <c r="AJG300" s="1"/>
      <c r="AJH300" s="1"/>
      <c r="AJI300" s="1"/>
      <c r="AJJ300" s="1"/>
      <c r="AJK300" s="1"/>
      <c r="AJL300" s="1"/>
      <c r="AJM300" s="1"/>
      <c r="AJN300" s="1"/>
      <c r="AJO300" s="1"/>
      <c r="AJP300" s="1"/>
      <c r="AJQ300" s="1"/>
      <c r="AJR300" s="1"/>
      <c r="AJS300" s="1"/>
      <c r="AJT300" s="1"/>
      <c r="AJU300" s="1"/>
      <c r="AJV300" s="1"/>
      <c r="AJW300" s="1"/>
      <c r="AJX300" s="1"/>
      <c r="AJY300" s="1"/>
      <c r="AJZ300" s="1"/>
      <c r="AKA300" s="1"/>
      <c r="AKB300" s="1"/>
      <c r="AKC300" s="1"/>
      <c r="AKD300" s="1"/>
      <c r="AKE300" s="1"/>
      <c r="AKF300" s="1"/>
      <c r="AKG300" s="1"/>
      <c r="AKH300" s="1"/>
      <c r="AKI300" s="1"/>
      <c r="AKJ300" s="1"/>
      <c r="AKK300" s="1"/>
      <c r="AKL300" s="1"/>
      <c r="AKM300" s="1"/>
      <c r="AKN300" s="1"/>
      <c r="AKO300" s="1"/>
      <c r="AKP300" s="1"/>
      <c r="AKQ300" s="1"/>
      <c r="AKR300" s="1"/>
      <c r="AKS300" s="1"/>
      <c r="AKT300" s="1"/>
      <c r="AKU300" s="1"/>
      <c r="AKV300" s="1"/>
      <c r="AKW300" s="1"/>
      <c r="AKX300" s="1"/>
      <c r="AKY300" s="1"/>
      <c r="AKZ300" s="1"/>
      <c r="ALA300" s="1"/>
      <c r="ALB300" s="1"/>
      <c r="ALC300" s="1"/>
      <c r="ALD300" s="1"/>
      <c r="ALE300" s="1"/>
      <c r="ALF300" s="1"/>
      <c r="ALG300" s="1"/>
      <c r="ALH300" s="1"/>
      <c r="ALI300" s="1"/>
      <c r="ALJ300" s="1"/>
      <c r="ALK300" s="1"/>
      <c r="ALL300" s="1"/>
      <c r="ALM300" s="1"/>
      <c r="ALN300" s="1"/>
      <c r="ALO300" s="1"/>
      <c r="ALP300" s="1"/>
      <c r="ALQ300" s="1"/>
      <c r="ALR300" s="1"/>
      <c r="ALS300" s="1"/>
      <c r="ALT300" s="1"/>
      <c r="ALU300" s="1"/>
      <c r="ALV300" s="1"/>
      <c r="ALW300" s="1"/>
      <c r="ALX300" s="1"/>
      <c r="ALY300" s="1"/>
      <c r="ALZ300" s="1"/>
      <c r="AMA300" s="1"/>
      <c r="AMB300" s="1"/>
      <c r="AMC300" s="1"/>
      <c r="AMD300" s="1"/>
      <c r="AME300" s="1"/>
      <c r="AMF300" s="1"/>
      <c r="AMG300" s="1"/>
      <c r="AMH300" s="1"/>
      <c r="AMI300" s="1"/>
      <c r="AMJ300" s="1"/>
      <c r="AMK300" s="1"/>
      <c r="AML300" s="1"/>
      <c r="AMM300" s="1"/>
      <c r="AMN300" s="1"/>
      <c r="AMO300" s="1"/>
    </row>
    <row r="301" spans="1:1029" x14ac:dyDescent="0.2">
      <c r="A301" s="3" t="str">
        <f t="shared" si="1117"/>
        <v>g1sgd4_rabit__wt</v>
      </c>
      <c r="B301" s="3" t="s">
        <v>1430</v>
      </c>
      <c r="C301" s="3" t="s">
        <v>100</v>
      </c>
      <c r="D301" s="3" t="str">
        <f>IFERROR(MID(VLOOKUP($B301,Seqs!$A:$B,2,0),E301,1),"")</f>
        <v>P</v>
      </c>
      <c r="E301" s="3">
        <v>137</v>
      </c>
      <c r="F301" s="3" t="str">
        <f>IFERROR(MID(VLOOKUP($B301,Seqs!$A:$B,2,0),G301,1),"")</f>
        <v>F</v>
      </c>
      <c r="G301" s="3">
        <v>169</v>
      </c>
      <c r="H301" s="3" t="str">
        <f>IFERROR(MID(VLOOKUP($B301,Seqs!$A:$B,2,0),I301,1),"")</f>
        <v>R</v>
      </c>
      <c r="I301" s="23">
        <v>170</v>
      </c>
      <c r="J301" s="3" t="str">
        <f>IFERROR(MID(VLOOKUP($B301,Seqs!$A:$B,2,0),K301,1),"")</f>
        <v>H</v>
      </c>
      <c r="K301" s="23">
        <v>173</v>
      </c>
      <c r="L301" s="3" t="str">
        <f>IFERROR(MID(VLOOKUP($B301,Seqs!$A:$B,2,0),M301,1),"")</f>
        <v>C</v>
      </c>
      <c r="M301" s="23">
        <v>174</v>
      </c>
      <c r="N301" s="3" t="str">
        <f>IFERROR(MID(VLOOKUP($B301,Seqs!$A:$B,2,0),O301,1),"")</f>
        <v>Q</v>
      </c>
      <c r="O301" s="3">
        <v>211</v>
      </c>
      <c r="P301" s="3" t="str">
        <f>IFERROR(MID(VLOOKUP($B301,Seqs!$A:$B,2,0),Q301,1),"")</f>
        <v/>
      </c>
      <c r="Q301" s="3" t="s">
        <v>23</v>
      </c>
      <c r="R301" s="3" t="str">
        <f>IFERROR(MID(VLOOKUP($B301,Seqs!$A:$B,2,0),S301,1),"")</f>
        <v/>
      </c>
      <c r="S301" s="3" t="s">
        <v>23</v>
      </c>
      <c r="T301" s="3" t="str">
        <f>IFERROR(MID(VLOOKUP($B301,Seqs!$A:$B,2,0),U301,1),"")</f>
        <v>L</v>
      </c>
      <c r="U301" s="3">
        <v>224</v>
      </c>
      <c r="V301" s="3" t="str">
        <f>IFERROR(MID(VLOOKUP($B301,Seqs!$A:$B,2,0),W301,1),"")</f>
        <v>F</v>
      </c>
      <c r="W301" s="3">
        <v>257</v>
      </c>
      <c r="X301" s="3" t="str">
        <f>IFERROR(MID(VLOOKUP($B301,Seqs!$A:$B,2,0),Y301,1),"")</f>
        <v/>
      </c>
      <c r="Y301" s="3" t="s">
        <v>23</v>
      </c>
      <c r="Z301" s="3" t="str">
        <f>IFERROR(MID(VLOOKUP($B301,Seqs!$A:$B,2,0),AA301,1),"")</f>
        <v/>
      </c>
      <c r="AA301" s="3" t="s">
        <v>23</v>
      </c>
      <c r="AB301" s="3" t="str">
        <f>IFERROR(MID(VLOOKUP($B301,Seqs!$A:$B,2,0),AC301,1),"")</f>
        <v>S</v>
      </c>
      <c r="AC301" s="3">
        <v>261</v>
      </c>
      <c r="AD301" s="3" t="str">
        <f>IFERROR(MID(VLOOKUP($B301,Seqs!$A:$B,2,0),AE301,1),"")</f>
        <v>E</v>
      </c>
      <c r="AE301" s="3">
        <v>292</v>
      </c>
      <c r="AF301" s="3" t="str">
        <f>IFERROR(MID(VLOOKUP($B301,Seqs!$A:$B,2,0),AG301,1),"")</f>
        <v>C</v>
      </c>
      <c r="AG301" s="3">
        <v>296</v>
      </c>
      <c r="AH301" s="3" t="str">
        <f>IFERROR(MID(VLOOKUP($B301,Seqs!$A:$B,2,0),AI301,1),"")</f>
        <v>T</v>
      </c>
      <c r="AI301" s="3">
        <v>298</v>
      </c>
      <c r="AJ301" s="3" t="str">
        <f>IFERROR(MID(VLOOKUP($B301,Seqs!$A:$B,2,0),AK301,1),"")</f>
        <v>Y</v>
      </c>
      <c r="AK301" s="3">
        <v>305</v>
      </c>
      <c r="AL301" s="3" t="str">
        <f>IFERROR(MID(VLOOKUP($B301,Seqs!$A:$B,2,0),AM301,1),"")</f>
        <v>A</v>
      </c>
      <c r="AM301" s="3">
        <v>337</v>
      </c>
      <c r="AN301" s="3" t="str">
        <f>IFERROR(MID(VLOOKUP($B301,Seqs!$A:$B,2,0),AO301,1),"")</f>
        <v>K</v>
      </c>
      <c r="AO301" s="3">
        <v>346</v>
      </c>
      <c r="AP301" s="3" t="str">
        <f>IFERROR(MID(VLOOKUP($B301,Seqs!$A:$B,2,0),AQ301,1),"")</f>
        <v>F</v>
      </c>
      <c r="AQ301" s="3">
        <v>369</v>
      </c>
      <c r="AR301" s="3" t="str">
        <f>IFERROR(MID(VLOOKUP($B301,Seqs!$A:$B,2,0),AS301,1),"")</f>
        <v>L</v>
      </c>
      <c r="AS301" s="3">
        <v>379</v>
      </c>
      <c r="AT301" s="3" t="str">
        <f>IFERROR(MID(VLOOKUP($B301,Seqs!$A:$B,2,0),AU301,1),"")</f>
        <v>V</v>
      </c>
      <c r="AU301" s="3">
        <v>405</v>
      </c>
      <c r="AV301" s="3" t="str">
        <f>IFERROR(MID(VLOOKUP($B301,Seqs!$A:$B,2,0),AW301,1),"")</f>
        <v>N</v>
      </c>
      <c r="AW301" s="3">
        <v>406</v>
      </c>
      <c r="AX301" s="3" t="str">
        <f>IFERROR(MID(VLOOKUP($B301,Seqs!$A:$B,2,0),AY301,1),"")</f>
        <v>S</v>
      </c>
      <c r="AY301" s="3">
        <v>431</v>
      </c>
      <c r="AZ301" s="77" t="str">
        <f>VLOOKUP(B301,Classification!A:D,2,0)</f>
        <v>B1</v>
      </c>
      <c r="BA301" s="94" t="str">
        <f>VLOOKUP(B301,Classification!A:D,4,0)</f>
        <v>Glucagonreceptorfamily</v>
      </c>
      <c r="BB301" s="27" t="b">
        <f t="shared" si="1118"/>
        <v>1</v>
      </c>
      <c r="BC301" s="23">
        <f t="shared" si="1119"/>
        <v>256</v>
      </c>
      <c r="BD301" s="4" t="s">
        <v>23</v>
      </c>
      <c r="BE301" s="3" t="s">
        <v>23</v>
      </c>
      <c r="BF301" s="119" t="s">
        <v>23</v>
      </c>
      <c r="BI301" s="1"/>
      <c r="BJ301" s="70" t="s">
        <v>1293</v>
      </c>
      <c r="BK301" s="57" t="s">
        <v>1293</v>
      </c>
      <c r="BL301" s="57" t="s">
        <v>1293</v>
      </c>
      <c r="BM301" s="57" t="s">
        <v>1293</v>
      </c>
      <c r="BN301" s="57" t="s">
        <v>1293</v>
      </c>
      <c r="BO301" s="57" t="s">
        <v>1293</v>
      </c>
      <c r="BP301" s="57" t="s">
        <v>1293</v>
      </c>
      <c r="BQ301" s="57" t="s">
        <v>1293</v>
      </c>
      <c r="BR301" s="57" t="s">
        <v>1293</v>
      </c>
      <c r="BS301" s="57" t="s">
        <v>1293</v>
      </c>
      <c r="BT301" s="57" t="s">
        <v>1293</v>
      </c>
      <c r="BU301" s="57" t="s">
        <v>1293</v>
      </c>
      <c r="BV301" s="70">
        <f t="shared" si="1120"/>
        <v>137</v>
      </c>
      <c r="BW301" s="71">
        <f t="shared" si="1121"/>
        <v>170</v>
      </c>
      <c r="BX301" s="72">
        <f t="shared" si="1122"/>
        <v>174</v>
      </c>
      <c r="BY301" s="71" t="str">
        <f t="shared" si="1123"/>
        <v>-</v>
      </c>
      <c r="BZ301" s="72">
        <f t="shared" si="1124"/>
        <v>224</v>
      </c>
      <c r="CA301" s="71" t="str">
        <f t="shared" si="1125"/>
        <v>-</v>
      </c>
      <c r="CB301" s="72">
        <f t="shared" si="1126"/>
        <v>261</v>
      </c>
      <c r="CC301" s="71">
        <f t="shared" si="1127"/>
        <v>296</v>
      </c>
      <c r="CD301" s="72">
        <f t="shared" si="1128"/>
        <v>305</v>
      </c>
      <c r="CE301" s="71">
        <f t="shared" si="1129"/>
        <v>346</v>
      </c>
      <c r="CF301" s="72">
        <f t="shared" si="1130"/>
        <v>379</v>
      </c>
      <c r="CG301" s="71">
        <f t="shared" si="1131"/>
        <v>406</v>
      </c>
      <c r="CH301" s="70">
        <f t="shared" si="1132"/>
        <v>169</v>
      </c>
      <c r="CI301" s="71">
        <f t="shared" si="1133"/>
        <v>173</v>
      </c>
      <c r="CJ301" s="72">
        <f t="shared" si="1134"/>
        <v>211</v>
      </c>
      <c r="CK301" s="72" t="str">
        <f t="shared" si="1135"/>
        <v>-</v>
      </c>
      <c r="CL301" s="72">
        <f t="shared" si="1136"/>
        <v>257</v>
      </c>
      <c r="CM301" s="72" t="str">
        <f t="shared" si="1137"/>
        <v>-</v>
      </c>
      <c r="CN301" s="72">
        <f t="shared" si="1138"/>
        <v>292</v>
      </c>
      <c r="CO301" s="72">
        <f t="shared" si="1139"/>
        <v>298</v>
      </c>
      <c r="CP301" s="72">
        <f t="shared" si="1140"/>
        <v>337</v>
      </c>
      <c r="CQ301" s="72">
        <f t="shared" si="1141"/>
        <v>369</v>
      </c>
      <c r="CR301" s="72">
        <f t="shared" si="1142"/>
        <v>405</v>
      </c>
      <c r="CS301" s="72">
        <f t="shared" si="1143"/>
        <v>431</v>
      </c>
      <c r="CT301" s="23">
        <f t="shared" si="1144"/>
        <v>1</v>
      </c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  <c r="OK301" s="1"/>
      <c r="OL301" s="1"/>
      <c r="OM301" s="1"/>
      <c r="ON301" s="1"/>
      <c r="OO301" s="1"/>
      <c r="OP301" s="1"/>
      <c r="OQ301" s="1"/>
      <c r="OR301" s="1"/>
      <c r="OS301" s="1"/>
      <c r="OT301" s="1"/>
      <c r="OU301" s="1"/>
      <c r="OV301" s="1"/>
      <c r="OW301" s="1"/>
      <c r="OX301" s="1"/>
      <c r="OY301" s="1"/>
      <c r="OZ301" s="1"/>
      <c r="PA301" s="1"/>
      <c r="PB301" s="1"/>
      <c r="PC301" s="1"/>
      <c r="PD301" s="1"/>
      <c r="PE301" s="1"/>
      <c r="PF301" s="1"/>
      <c r="PG301" s="1"/>
      <c r="PH301" s="1"/>
      <c r="PI301" s="1"/>
      <c r="PJ301" s="1"/>
      <c r="PK301" s="1"/>
      <c r="PL301" s="1"/>
      <c r="PM301" s="1"/>
      <c r="PN301" s="1"/>
      <c r="PO301" s="1"/>
      <c r="PP301" s="1"/>
      <c r="PQ301" s="1"/>
      <c r="PR301" s="1"/>
      <c r="PS301" s="1"/>
      <c r="PT301" s="1"/>
      <c r="PU301" s="1"/>
      <c r="PV301" s="1"/>
      <c r="PW301" s="1"/>
      <c r="PX301" s="1"/>
      <c r="PY301" s="1"/>
      <c r="PZ301" s="1"/>
      <c r="QA301" s="1"/>
      <c r="QB301" s="1"/>
      <c r="QC301" s="1"/>
      <c r="QD301" s="1"/>
      <c r="QE301" s="1"/>
      <c r="QF301" s="1"/>
      <c r="QG301" s="1"/>
      <c r="QH301" s="1"/>
      <c r="QI301" s="1"/>
      <c r="QJ301" s="1"/>
      <c r="QK301" s="1"/>
      <c r="QL301" s="1"/>
      <c r="QM301" s="1"/>
      <c r="QN301" s="1"/>
      <c r="QO301" s="1"/>
      <c r="QP301" s="1"/>
      <c r="QQ301" s="1"/>
      <c r="QR301" s="1"/>
      <c r="QS301" s="1"/>
      <c r="QT301" s="1"/>
      <c r="QU301" s="1"/>
      <c r="QV301" s="1"/>
      <c r="QW301" s="1"/>
      <c r="QX301" s="1"/>
      <c r="QY301" s="1"/>
      <c r="QZ301" s="1"/>
      <c r="RA301" s="1"/>
      <c r="RB301" s="1"/>
      <c r="RC301" s="1"/>
      <c r="RD301" s="1"/>
      <c r="RE301" s="1"/>
      <c r="RF301" s="1"/>
      <c r="RG301" s="1"/>
      <c r="RH301" s="1"/>
      <c r="RI301" s="1"/>
      <c r="RJ301" s="1"/>
      <c r="RK301" s="1"/>
      <c r="RL301" s="1"/>
      <c r="RM301" s="1"/>
      <c r="RN301" s="1"/>
      <c r="RO301" s="1"/>
      <c r="RP301" s="1"/>
      <c r="RQ301" s="1"/>
      <c r="RR301" s="1"/>
      <c r="RS301" s="1"/>
      <c r="RT301" s="1"/>
      <c r="RU301" s="1"/>
      <c r="RV301" s="1"/>
      <c r="RW301" s="1"/>
      <c r="RX301" s="1"/>
      <c r="RY301" s="1"/>
      <c r="RZ301" s="1"/>
      <c r="SA301" s="1"/>
      <c r="SB301" s="1"/>
      <c r="SC301" s="1"/>
      <c r="SD301" s="1"/>
      <c r="SE301" s="1"/>
      <c r="SF301" s="1"/>
      <c r="SG301" s="1"/>
      <c r="SH301" s="1"/>
      <c r="SI301" s="1"/>
      <c r="SJ301" s="1"/>
      <c r="SK301" s="1"/>
      <c r="SL301" s="1"/>
      <c r="SM301" s="1"/>
      <c r="SN301" s="1"/>
      <c r="SO301" s="1"/>
      <c r="SP301" s="1"/>
      <c r="SQ301" s="1"/>
      <c r="SR301" s="1"/>
      <c r="SS301" s="1"/>
      <c r="ST301" s="1"/>
      <c r="SU301" s="1"/>
      <c r="SV301" s="1"/>
      <c r="SW301" s="1"/>
      <c r="SX301" s="1"/>
      <c r="SY301" s="1"/>
      <c r="SZ301" s="1"/>
      <c r="TA301" s="1"/>
      <c r="TB301" s="1"/>
      <c r="TC301" s="1"/>
      <c r="TD301" s="1"/>
      <c r="TE301" s="1"/>
      <c r="TF301" s="1"/>
      <c r="TG301" s="1"/>
      <c r="TH301" s="1"/>
      <c r="TI301" s="1"/>
      <c r="TJ301" s="1"/>
      <c r="TK301" s="1"/>
      <c r="TL301" s="1"/>
      <c r="TM301" s="1"/>
      <c r="TN301" s="1"/>
      <c r="TO301" s="1"/>
      <c r="TP301" s="1"/>
      <c r="TQ301" s="1"/>
      <c r="TR301" s="1"/>
      <c r="TS301" s="1"/>
      <c r="TT301" s="1"/>
      <c r="TU301" s="1"/>
      <c r="TV301" s="1"/>
      <c r="TW301" s="1"/>
      <c r="TX301" s="1"/>
      <c r="TY301" s="1"/>
      <c r="TZ301" s="1"/>
      <c r="UA301" s="1"/>
      <c r="UB301" s="1"/>
      <c r="UC301" s="1"/>
      <c r="UD301" s="1"/>
      <c r="UE301" s="1"/>
      <c r="UF301" s="1"/>
      <c r="UG301" s="1"/>
      <c r="UH301" s="1"/>
      <c r="UI301" s="1"/>
      <c r="UJ301" s="1"/>
      <c r="UK301" s="1"/>
      <c r="UL301" s="1"/>
      <c r="UM301" s="1"/>
      <c r="UN301" s="1"/>
      <c r="UO301" s="1"/>
      <c r="UP301" s="1"/>
      <c r="UQ301" s="1"/>
      <c r="UR301" s="1"/>
      <c r="US301" s="1"/>
      <c r="UT301" s="1"/>
      <c r="UU301" s="1"/>
      <c r="UV301" s="1"/>
      <c r="UW301" s="1"/>
      <c r="UX301" s="1"/>
      <c r="UY301" s="1"/>
      <c r="UZ301" s="1"/>
      <c r="VA301" s="1"/>
      <c r="VB301" s="1"/>
      <c r="VC301" s="1"/>
      <c r="VD301" s="1"/>
      <c r="VE301" s="1"/>
      <c r="VF301" s="1"/>
      <c r="VG301" s="1"/>
      <c r="VH301" s="1"/>
      <c r="VI301" s="1"/>
      <c r="VJ301" s="1"/>
      <c r="VK301" s="1"/>
      <c r="VL301" s="1"/>
      <c r="VM301" s="1"/>
      <c r="VN301" s="1"/>
      <c r="VO301" s="1"/>
      <c r="VP301" s="1"/>
      <c r="VQ301" s="1"/>
      <c r="VR301" s="1"/>
      <c r="VS301" s="1"/>
      <c r="VT301" s="1"/>
      <c r="VU301" s="1"/>
      <c r="VV301" s="1"/>
      <c r="VW301" s="1"/>
      <c r="VX301" s="1"/>
      <c r="VY301" s="1"/>
      <c r="VZ301" s="1"/>
      <c r="WA301" s="1"/>
      <c r="WB301" s="1"/>
      <c r="WC301" s="1"/>
      <c r="WD301" s="1"/>
      <c r="WE301" s="1"/>
      <c r="WF301" s="1"/>
      <c r="WG301" s="1"/>
      <c r="WH301" s="1"/>
      <c r="WI301" s="1"/>
      <c r="WJ301" s="1"/>
      <c r="WK301" s="1"/>
      <c r="WL301" s="1"/>
      <c r="WM301" s="1"/>
      <c r="WN301" s="1"/>
      <c r="WO301" s="1"/>
      <c r="WP301" s="1"/>
      <c r="WQ301" s="1"/>
      <c r="WR301" s="1"/>
      <c r="WS301" s="1"/>
      <c r="WT301" s="1"/>
      <c r="WU301" s="1"/>
      <c r="WV301" s="1"/>
      <c r="WW301" s="1"/>
      <c r="WX301" s="1"/>
      <c r="WY301" s="1"/>
      <c r="WZ301" s="1"/>
      <c r="XA301" s="1"/>
      <c r="XB301" s="1"/>
      <c r="XC301" s="1"/>
      <c r="XD301" s="1"/>
      <c r="XE301" s="1"/>
      <c r="XF301" s="1"/>
      <c r="XG301" s="1"/>
      <c r="XH301" s="1"/>
      <c r="XI301" s="1"/>
      <c r="XJ301" s="1"/>
      <c r="XK301" s="1"/>
      <c r="XL301" s="1"/>
      <c r="XM301" s="1"/>
      <c r="XN301" s="1"/>
      <c r="XO301" s="1"/>
      <c r="XP301" s="1"/>
      <c r="XQ301" s="1"/>
      <c r="XR301" s="1"/>
      <c r="XS301" s="1"/>
      <c r="XT301" s="1"/>
      <c r="XU301" s="1"/>
      <c r="XV301" s="1"/>
      <c r="XW301" s="1"/>
      <c r="XX301" s="1"/>
      <c r="XY301" s="1"/>
      <c r="XZ301" s="1"/>
      <c r="YA301" s="1"/>
      <c r="YB301" s="1"/>
      <c r="YC301" s="1"/>
      <c r="YD301" s="1"/>
      <c r="YE301" s="1"/>
      <c r="YF301" s="1"/>
      <c r="YG301" s="1"/>
      <c r="YH301" s="1"/>
      <c r="YI301" s="1"/>
      <c r="YJ301" s="1"/>
      <c r="YK301" s="1"/>
      <c r="YL301" s="1"/>
      <c r="YM301" s="1"/>
      <c r="YN301" s="1"/>
      <c r="YO301" s="1"/>
      <c r="YP301" s="1"/>
      <c r="YQ301" s="1"/>
      <c r="YR301" s="1"/>
      <c r="YS301" s="1"/>
      <c r="YT301" s="1"/>
      <c r="YU301" s="1"/>
      <c r="YV301" s="1"/>
      <c r="YW301" s="1"/>
      <c r="YX301" s="1"/>
      <c r="YY301" s="1"/>
      <c r="YZ301" s="1"/>
      <c r="ZA301" s="1"/>
      <c r="ZB301" s="1"/>
      <c r="ZC301" s="1"/>
      <c r="ZD301" s="1"/>
      <c r="ZE301" s="1"/>
      <c r="ZF301" s="1"/>
      <c r="ZG301" s="1"/>
      <c r="ZH301" s="1"/>
      <c r="ZI301" s="1"/>
      <c r="ZJ301" s="1"/>
      <c r="ZK301" s="1"/>
      <c r="ZL301" s="1"/>
      <c r="ZM301" s="1"/>
      <c r="ZN301" s="1"/>
      <c r="ZO301" s="1"/>
      <c r="ZP301" s="1"/>
      <c r="ZQ301" s="1"/>
      <c r="ZR301" s="1"/>
      <c r="ZS301" s="1"/>
      <c r="ZT301" s="1"/>
      <c r="ZU301" s="1"/>
      <c r="ZV301" s="1"/>
      <c r="ZW301" s="1"/>
      <c r="ZX301" s="1"/>
      <c r="ZY301" s="1"/>
      <c r="ZZ301" s="1"/>
      <c r="AAA301" s="1"/>
      <c r="AAB301" s="1"/>
      <c r="AAC301" s="1"/>
      <c r="AAD301" s="1"/>
      <c r="AAE301" s="1"/>
      <c r="AAF301" s="1"/>
      <c r="AAG301" s="1"/>
      <c r="AAH301" s="1"/>
      <c r="AAI301" s="1"/>
      <c r="AAJ301" s="1"/>
      <c r="AAK301" s="1"/>
      <c r="AAL301" s="1"/>
      <c r="AAM301" s="1"/>
      <c r="AAN301" s="1"/>
      <c r="AAO301" s="1"/>
      <c r="AAP301" s="1"/>
      <c r="AAQ301" s="1"/>
      <c r="AAR301" s="1"/>
      <c r="AAS301" s="1"/>
      <c r="AAT301" s="1"/>
      <c r="AAU301" s="1"/>
      <c r="AAV301" s="1"/>
      <c r="AAW301" s="1"/>
      <c r="AAX301" s="1"/>
      <c r="AAY301" s="1"/>
      <c r="AAZ301" s="1"/>
      <c r="ABA301" s="1"/>
      <c r="ABB301" s="1"/>
      <c r="ABC301" s="1"/>
      <c r="ABD301" s="1"/>
      <c r="ABE301" s="1"/>
      <c r="ABF301" s="1"/>
      <c r="ABG301" s="1"/>
      <c r="ABH301" s="1"/>
      <c r="ABI301" s="1"/>
      <c r="ABJ301" s="1"/>
      <c r="ABK301" s="1"/>
      <c r="ABL301" s="1"/>
      <c r="ABM301" s="1"/>
      <c r="ABN301" s="1"/>
      <c r="ABO301" s="1"/>
      <c r="ABP301" s="1"/>
      <c r="ABQ301" s="1"/>
      <c r="ABR301" s="1"/>
      <c r="ABS301" s="1"/>
      <c r="ABT301" s="1"/>
      <c r="ABU301" s="1"/>
      <c r="ABV301" s="1"/>
      <c r="ABW301" s="1"/>
      <c r="ABX301" s="1"/>
      <c r="ABY301" s="1"/>
      <c r="ABZ301" s="1"/>
      <c r="ACA301" s="1"/>
      <c r="ACB301" s="1"/>
      <c r="ACC301" s="1"/>
      <c r="ACD301" s="1"/>
      <c r="ACE301" s="1"/>
      <c r="ACF301" s="1"/>
      <c r="ACG301" s="1"/>
      <c r="ACH301" s="1"/>
      <c r="ACI301" s="1"/>
      <c r="ACJ301" s="1"/>
      <c r="ACK301" s="1"/>
      <c r="ACL301" s="1"/>
      <c r="ACM301" s="1"/>
      <c r="ACN301" s="1"/>
      <c r="ACO301" s="1"/>
      <c r="ACP301" s="1"/>
      <c r="ACQ301" s="1"/>
      <c r="ACR301" s="1"/>
      <c r="ACS301" s="1"/>
      <c r="ACT301" s="1"/>
      <c r="ACU301" s="1"/>
      <c r="ACV301" s="1"/>
      <c r="ACW301" s="1"/>
      <c r="ACX301" s="1"/>
      <c r="ACY301" s="1"/>
      <c r="ACZ301" s="1"/>
      <c r="ADA301" s="1"/>
      <c r="ADB301" s="1"/>
      <c r="ADC301" s="1"/>
      <c r="ADD301" s="1"/>
      <c r="ADE301" s="1"/>
      <c r="ADF301" s="1"/>
      <c r="ADG301" s="1"/>
      <c r="ADH301" s="1"/>
      <c r="ADI301" s="1"/>
      <c r="ADJ301" s="1"/>
      <c r="ADK301" s="1"/>
      <c r="ADL301" s="1"/>
      <c r="ADM301" s="1"/>
      <c r="ADN301" s="1"/>
      <c r="ADO301" s="1"/>
      <c r="ADP301" s="1"/>
      <c r="ADQ301" s="1"/>
      <c r="ADR301" s="1"/>
      <c r="ADS301" s="1"/>
      <c r="ADT301" s="1"/>
      <c r="ADU301" s="1"/>
      <c r="ADV301" s="1"/>
      <c r="ADW301" s="1"/>
      <c r="ADX301" s="1"/>
      <c r="ADY301" s="1"/>
      <c r="ADZ301" s="1"/>
      <c r="AEA301" s="1"/>
      <c r="AEB301" s="1"/>
      <c r="AEC301" s="1"/>
      <c r="AED301" s="1"/>
      <c r="AEE301" s="1"/>
      <c r="AEF301" s="1"/>
      <c r="AEG301" s="1"/>
      <c r="AEH301" s="1"/>
      <c r="AEI301" s="1"/>
      <c r="AEJ301" s="1"/>
      <c r="AEK301" s="1"/>
      <c r="AEL301" s="1"/>
      <c r="AEM301" s="1"/>
      <c r="AEN301" s="1"/>
      <c r="AEO301" s="1"/>
      <c r="AEP301" s="1"/>
      <c r="AEQ301" s="1"/>
      <c r="AER301" s="1"/>
      <c r="AES301" s="1"/>
      <c r="AET301" s="1"/>
      <c r="AEU301" s="1"/>
      <c r="AEV301" s="1"/>
      <c r="AEW301" s="1"/>
      <c r="AEX301" s="1"/>
      <c r="AEY301" s="1"/>
      <c r="AEZ301" s="1"/>
      <c r="AFA301" s="1"/>
      <c r="AFB301" s="1"/>
      <c r="AFC301" s="1"/>
      <c r="AFD301" s="1"/>
      <c r="AFE301" s="1"/>
      <c r="AFF301" s="1"/>
      <c r="AFG301" s="1"/>
      <c r="AFH301" s="1"/>
      <c r="AFI301" s="1"/>
      <c r="AFJ301" s="1"/>
      <c r="AFK301" s="1"/>
      <c r="AFL301" s="1"/>
      <c r="AFM301" s="1"/>
      <c r="AFN301" s="1"/>
      <c r="AFO301" s="1"/>
      <c r="AFP301" s="1"/>
      <c r="AFQ301" s="1"/>
      <c r="AFR301" s="1"/>
      <c r="AFS301" s="1"/>
      <c r="AFT301" s="1"/>
      <c r="AFU301" s="1"/>
      <c r="AFV301" s="1"/>
      <c r="AFW301" s="1"/>
      <c r="AFX301" s="1"/>
      <c r="AFY301" s="1"/>
      <c r="AFZ301" s="1"/>
      <c r="AGA301" s="1"/>
      <c r="AGB301" s="1"/>
      <c r="AGC301" s="1"/>
      <c r="AGD301" s="1"/>
      <c r="AGE301" s="1"/>
      <c r="AGF301" s="1"/>
      <c r="AGG301" s="1"/>
      <c r="AGH301" s="1"/>
      <c r="AGI301" s="1"/>
      <c r="AGJ301" s="1"/>
      <c r="AGK301" s="1"/>
      <c r="AGL301" s="1"/>
      <c r="AGM301" s="1"/>
      <c r="AGN301" s="1"/>
      <c r="AGO301" s="1"/>
      <c r="AGP301" s="1"/>
      <c r="AGQ301" s="1"/>
      <c r="AGR301" s="1"/>
      <c r="AGS301" s="1"/>
      <c r="AGT301" s="1"/>
      <c r="AGU301" s="1"/>
      <c r="AGV301" s="1"/>
      <c r="AGW301" s="1"/>
      <c r="AGX301" s="1"/>
      <c r="AGY301" s="1"/>
      <c r="AGZ301" s="1"/>
      <c r="AHA301" s="1"/>
      <c r="AHB301" s="1"/>
      <c r="AHC301" s="1"/>
      <c r="AHD301" s="1"/>
      <c r="AHE301" s="1"/>
      <c r="AHF301" s="1"/>
      <c r="AHG301" s="1"/>
      <c r="AHH301" s="1"/>
      <c r="AHI301" s="1"/>
      <c r="AHJ301" s="1"/>
      <c r="AHK301" s="1"/>
      <c r="AHL301" s="1"/>
      <c r="AHM301" s="1"/>
      <c r="AHN301" s="1"/>
      <c r="AHO301" s="1"/>
      <c r="AHP301" s="1"/>
      <c r="AHQ301" s="1"/>
      <c r="AHR301" s="1"/>
      <c r="AHS301" s="1"/>
      <c r="AHT301" s="1"/>
      <c r="AHU301" s="1"/>
      <c r="AHV301" s="1"/>
      <c r="AHW301" s="1"/>
      <c r="AHX301" s="1"/>
      <c r="AHY301" s="1"/>
      <c r="AHZ301" s="1"/>
      <c r="AIA301" s="1"/>
      <c r="AIB301" s="1"/>
      <c r="AIC301" s="1"/>
      <c r="AID301" s="1"/>
      <c r="AIE301" s="1"/>
      <c r="AIF301" s="1"/>
      <c r="AIG301" s="1"/>
      <c r="AIH301" s="1"/>
      <c r="AII301" s="1"/>
      <c r="AIJ301" s="1"/>
      <c r="AIK301" s="1"/>
      <c r="AIL301" s="1"/>
      <c r="AIM301" s="1"/>
      <c r="AIN301" s="1"/>
      <c r="AIO301" s="1"/>
      <c r="AIP301" s="1"/>
      <c r="AIQ301" s="1"/>
      <c r="AIR301" s="1"/>
      <c r="AIS301" s="1"/>
      <c r="AIT301" s="1"/>
      <c r="AIU301" s="1"/>
      <c r="AIV301" s="1"/>
      <c r="AIW301" s="1"/>
      <c r="AIX301" s="1"/>
      <c r="AIY301" s="1"/>
      <c r="AIZ301" s="1"/>
      <c r="AJA301" s="1"/>
      <c r="AJB301" s="1"/>
      <c r="AJC301" s="1"/>
      <c r="AJD301" s="1"/>
      <c r="AJE301" s="1"/>
      <c r="AJF301" s="1"/>
      <c r="AJG301" s="1"/>
      <c r="AJH301" s="1"/>
      <c r="AJI301" s="1"/>
      <c r="AJJ301" s="1"/>
      <c r="AJK301" s="1"/>
      <c r="AJL301" s="1"/>
      <c r="AJM301" s="1"/>
      <c r="AJN301" s="1"/>
      <c r="AJO301" s="1"/>
      <c r="AJP301" s="1"/>
      <c r="AJQ301" s="1"/>
      <c r="AJR301" s="1"/>
      <c r="AJS301" s="1"/>
      <c r="AJT301" s="1"/>
      <c r="AJU301" s="1"/>
      <c r="AJV301" s="1"/>
      <c r="AJW301" s="1"/>
      <c r="AJX301" s="1"/>
      <c r="AJY301" s="1"/>
      <c r="AJZ301" s="1"/>
      <c r="AKA301" s="1"/>
      <c r="AKB301" s="1"/>
      <c r="AKC301" s="1"/>
      <c r="AKD301" s="1"/>
      <c r="AKE301" s="1"/>
      <c r="AKF301" s="1"/>
      <c r="AKG301" s="1"/>
      <c r="AKH301" s="1"/>
      <c r="AKI301" s="1"/>
      <c r="AKJ301" s="1"/>
      <c r="AKK301" s="1"/>
      <c r="AKL301" s="1"/>
      <c r="AKM301" s="1"/>
      <c r="AKN301" s="1"/>
      <c r="AKO301" s="1"/>
      <c r="AKP301" s="1"/>
      <c r="AKQ301" s="1"/>
      <c r="AKR301" s="1"/>
      <c r="AKS301" s="1"/>
      <c r="AKT301" s="1"/>
      <c r="AKU301" s="1"/>
      <c r="AKV301" s="1"/>
      <c r="AKW301" s="1"/>
      <c r="AKX301" s="1"/>
      <c r="AKY301" s="1"/>
      <c r="AKZ301" s="1"/>
      <c r="ALA301" s="1"/>
      <c r="ALB301" s="1"/>
      <c r="ALC301" s="1"/>
      <c r="ALD301" s="1"/>
      <c r="ALE301" s="1"/>
      <c r="ALF301" s="1"/>
      <c r="ALG301" s="1"/>
      <c r="ALH301" s="1"/>
      <c r="ALI301" s="1"/>
      <c r="ALJ301" s="1"/>
      <c r="ALK301" s="1"/>
      <c r="ALL301" s="1"/>
      <c r="ALM301" s="1"/>
      <c r="ALN301" s="1"/>
      <c r="ALO301" s="1"/>
      <c r="ALP301" s="1"/>
      <c r="ALQ301" s="1"/>
      <c r="ALR301" s="1"/>
      <c r="ALS301" s="1"/>
      <c r="ALT301" s="1"/>
      <c r="ALU301" s="1"/>
      <c r="ALV301" s="1"/>
      <c r="ALW301" s="1"/>
      <c r="ALX301" s="1"/>
      <c r="ALY301" s="1"/>
      <c r="ALZ301" s="1"/>
      <c r="AMA301" s="1"/>
      <c r="AMB301" s="1"/>
      <c r="AMC301" s="1"/>
      <c r="AMD301" s="1"/>
      <c r="AME301" s="1"/>
      <c r="AMF301" s="1"/>
      <c r="AMG301" s="1"/>
      <c r="AMH301" s="1"/>
      <c r="AMI301" s="1"/>
      <c r="AMJ301" s="1"/>
      <c r="AMK301" s="1"/>
      <c r="AML301" s="1"/>
      <c r="AMM301" s="1"/>
      <c r="AMN301" s="1"/>
      <c r="AMO301" s="1"/>
    </row>
    <row r="302" spans="1:1029" x14ac:dyDescent="0.2">
      <c r="A302" s="3" t="str">
        <f t="shared" si="1117"/>
        <v>g1sgd4_rabit_5VAI</v>
      </c>
      <c r="B302" s="3" t="s">
        <v>1430</v>
      </c>
      <c r="C302" s="3" t="s">
        <v>1432</v>
      </c>
      <c r="D302" s="3" t="str">
        <f>IFERROR(MID(VLOOKUP($B302,Seqs!$A:$B,2,0),E302,1),"")</f>
        <v>P</v>
      </c>
      <c r="E302" s="3">
        <v>137</v>
      </c>
      <c r="F302" s="3" t="str">
        <f>IFERROR(MID(VLOOKUP($B302,Seqs!$A:$B,2,0),G302,1),"")</f>
        <v>G</v>
      </c>
      <c r="G302" s="3">
        <v>168</v>
      </c>
      <c r="H302" s="3" t="str">
        <f>IFERROR(MID(VLOOKUP($B302,Seqs!$A:$B,2,0),I302,1),"")</f>
        <v>R</v>
      </c>
      <c r="I302" s="23">
        <v>170</v>
      </c>
      <c r="J302" s="3" t="str">
        <f>IFERROR(MID(VLOOKUP($B302,Seqs!$A:$B,2,0),K302,1),"")</f>
        <v>H</v>
      </c>
      <c r="K302" s="23">
        <v>173</v>
      </c>
      <c r="L302" s="3" t="str">
        <f>IFERROR(MID(VLOOKUP($B302,Seqs!$A:$B,2,0),M302,1),"")</f>
        <v>C</v>
      </c>
      <c r="M302" s="23">
        <v>174</v>
      </c>
      <c r="N302" s="3" t="str">
        <f>IFERROR(MID(VLOOKUP($B302,Seqs!$A:$B,2,0),O302,1),"")</f>
        <v>Q</v>
      </c>
      <c r="O302" s="3">
        <v>211</v>
      </c>
      <c r="P302" s="3" t="str">
        <f>IFERROR(MID(VLOOKUP($B302,Seqs!$A:$B,2,0),Q302,1),"")</f>
        <v/>
      </c>
      <c r="Q302" s="3" t="s">
        <v>23</v>
      </c>
      <c r="R302" s="3" t="str">
        <f>IFERROR(MID(VLOOKUP($B302,Seqs!$A:$B,2,0),S302,1),"")</f>
        <v/>
      </c>
      <c r="S302" s="3" t="s">
        <v>23</v>
      </c>
      <c r="T302" s="3" t="str">
        <f>IFERROR(MID(VLOOKUP($B302,Seqs!$A:$B,2,0),U302,1),"")</f>
        <v>L</v>
      </c>
      <c r="U302" s="3">
        <v>224</v>
      </c>
      <c r="V302" s="3" t="str">
        <f>IFERROR(MID(VLOOKUP($B302,Seqs!$A:$B,2,0),W302,1),"")</f>
        <v>F</v>
      </c>
      <c r="W302" s="3">
        <v>257</v>
      </c>
      <c r="X302" s="3" t="str">
        <f>IFERROR(MID(VLOOKUP($B302,Seqs!$A:$B,2,0),Y302,1),"")</f>
        <v/>
      </c>
      <c r="Y302" s="3" t="s">
        <v>23</v>
      </c>
      <c r="Z302" s="3" t="str">
        <f>IFERROR(MID(VLOOKUP($B302,Seqs!$A:$B,2,0),AA302,1),"")</f>
        <v/>
      </c>
      <c r="AA302" s="3" t="s">
        <v>23</v>
      </c>
      <c r="AB302" s="3" t="str">
        <f>IFERROR(MID(VLOOKUP($B302,Seqs!$A:$B,2,0),AC302,1),"")</f>
        <v>S</v>
      </c>
      <c r="AC302" s="3">
        <v>261</v>
      </c>
      <c r="AD302" s="3" t="str">
        <f>IFERROR(MID(VLOOKUP($B302,Seqs!$A:$B,2,0),AE302,1),"")</f>
        <v>E</v>
      </c>
      <c r="AE302" s="3">
        <v>292</v>
      </c>
      <c r="AF302" s="3" t="str">
        <f>IFERROR(MID(VLOOKUP($B302,Seqs!$A:$B,2,0),AG302,1),"")</f>
        <v>C</v>
      </c>
      <c r="AG302" s="3">
        <v>296</v>
      </c>
      <c r="AH302" s="3" t="str">
        <f>IFERROR(MID(VLOOKUP($B302,Seqs!$A:$B,2,0),AI302,1),"")</f>
        <v>T</v>
      </c>
      <c r="AI302" s="3">
        <v>298</v>
      </c>
      <c r="AJ302" s="3" t="str">
        <f>IFERROR(MID(VLOOKUP($B302,Seqs!$A:$B,2,0),AK302,1),"")</f>
        <v>Y</v>
      </c>
      <c r="AK302" s="3">
        <v>305</v>
      </c>
      <c r="AL302" s="3" t="str">
        <f>IFERROR(MID(VLOOKUP($B302,Seqs!$A:$B,2,0),AM302,1),"")</f>
        <v>A</v>
      </c>
      <c r="AM302" s="3">
        <v>337</v>
      </c>
      <c r="AN302" s="3" t="str">
        <f>IFERROR(MID(VLOOKUP($B302,Seqs!$A:$B,2,0),AO302,1),"")</f>
        <v>K</v>
      </c>
      <c r="AO302" s="3">
        <v>346</v>
      </c>
      <c r="AP302" s="3" t="str">
        <f>IFERROR(MID(VLOOKUP($B302,Seqs!$A:$B,2,0),AQ302,1),"")</f>
        <v>F</v>
      </c>
      <c r="AQ302" s="3">
        <v>369</v>
      </c>
      <c r="AR302" s="3" t="str">
        <f>IFERROR(MID(VLOOKUP($B302,Seqs!$A:$B,2,0),AS302,1),"")</f>
        <v>L</v>
      </c>
      <c r="AS302" s="3">
        <v>379</v>
      </c>
      <c r="AT302" s="3" t="str">
        <f>IFERROR(MID(VLOOKUP($B302,Seqs!$A:$B,2,0),AU302,1),"")</f>
        <v>V</v>
      </c>
      <c r="AU302" s="3">
        <v>405</v>
      </c>
      <c r="AV302" s="3" t="str">
        <f>IFERROR(MID(VLOOKUP($B302,Seqs!$A:$B,2,0),AW302,1),"")</f>
        <v>N</v>
      </c>
      <c r="AW302" s="3">
        <v>406</v>
      </c>
      <c r="AX302" s="3" t="str">
        <f>IFERROR(MID(VLOOKUP($B302,Seqs!$A:$B,2,0),AY302,1),"")</f>
        <v>R</v>
      </c>
      <c r="AY302" s="3">
        <v>421</v>
      </c>
      <c r="AZ302" s="77" t="str">
        <f>VLOOKUP(B302,Classification!A:D,2,0)</f>
        <v>B1</v>
      </c>
      <c r="BA302" s="94" t="str">
        <f>VLOOKUP(B302,Classification!A:D,4,0)</f>
        <v>Glucagonreceptorfamily</v>
      </c>
      <c r="BB302" s="27" t="b">
        <f t="shared" si="1118"/>
        <v>1</v>
      </c>
      <c r="BC302" s="23">
        <f t="shared" si="1119"/>
        <v>245</v>
      </c>
      <c r="BD302" s="4" t="s">
        <v>1382</v>
      </c>
      <c r="BE302" s="3" t="s">
        <v>1297</v>
      </c>
      <c r="BF302" s="119">
        <v>4.0999999999999996</v>
      </c>
      <c r="BG302" s="49" t="s">
        <v>1433</v>
      </c>
      <c r="BH302" s="49" t="s">
        <v>1433</v>
      </c>
      <c r="BI302" s="1"/>
      <c r="BJ302" s="70" t="s">
        <v>1293</v>
      </c>
      <c r="BK302" s="57" t="s">
        <v>1293</v>
      </c>
      <c r="BL302" s="57" t="s">
        <v>1293</v>
      </c>
      <c r="BM302" s="57" t="s">
        <v>1293</v>
      </c>
      <c r="BN302" s="57" t="s">
        <v>1293</v>
      </c>
      <c r="BO302" s="57" t="s">
        <v>1293</v>
      </c>
      <c r="BP302" s="57" t="s">
        <v>1293</v>
      </c>
      <c r="BQ302" s="57" t="s">
        <v>1293</v>
      </c>
      <c r="BR302" s="57" t="s">
        <v>1293</v>
      </c>
      <c r="BS302" s="57" t="s">
        <v>1293</v>
      </c>
      <c r="BT302" s="57" t="s">
        <v>1293</v>
      </c>
      <c r="BU302" s="57" t="s">
        <v>1293</v>
      </c>
      <c r="BV302" s="70">
        <f t="shared" si="1120"/>
        <v>137</v>
      </c>
      <c r="BW302" s="71">
        <f t="shared" si="1121"/>
        <v>170</v>
      </c>
      <c r="BX302" s="72">
        <f t="shared" si="1122"/>
        <v>174</v>
      </c>
      <c r="BY302" s="71" t="str">
        <f t="shared" si="1123"/>
        <v>-</v>
      </c>
      <c r="BZ302" s="72">
        <f t="shared" si="1124"/>
        <v>224</v>
      </c>
      <c r="CA302" s="71" t="str">
        <f t="shared" si="1125"/>
        <v>-</v>
      </c>
      <c r="CB302" s="72">
        <f t="shared" si="1126"/>
        <v>261</v>
      </c>
      <c r="CC302" s="71">
        <f t="shared" si="1127"/>
        <v>296</v>
      </c>
      <c r="CD302" s="72">
        <f t="shared" si="1128"/>
        <v>305</v>
      </c>
      <c r="CE302" s="71">
        <f t="shared" si="1129"/>
        <v>346</v>
      </c>
      <c r="CF302" s="72">
        <f t="shared" si="1130"/>
        <v>379</v>
      </c>
      <c r="CG302" s="71">
        <f t="shared" si="1131"/>
        <v>406</v>
      </c>
      <c r="CH302" s="70">
        <f t="shared" si="1132"/>
        <v>168</v>
      </c>
      <c r="CI302" s="71">
        <f t="shared" si="1133"/>
        <v>173</v>
      </c>
      <c r="CJ302" s="72">
        <f t="shared" si="1134"/>
        <v>211</v>
      </c>
      <c r="CK302" s="72" t="str">
        <f t="shared" si="1135"/>
        <v>-</v>
      </c>
      <c r="CL302" s="72">
        <f t="shared" si="1136"/>
        <v>257</v>
      </c>
      <c r="CM302" s="72" t="str">
        <f t="shared" si="1137"/>
        <v>-</v>
      </c>
      <c r="CN302" s="72">
        <f t="shared" si="1138"/>
        <v>292</v>
      </c>
      <c r="CO302" s="72">
        <f t="shared" si="1139"/>
        <v>298</v>
      </c>
      <c r="CP302" s="72">
        <f t="shared" si="1140"/>
        <v>337</v>
      </c>
      <c r="CQ302" s="72">
        <f t="shared" si="1141"/>
        <v>369</v>
      </c>
      <c r="CR302" s="72">
        <f t="shared" si="1142"/>
        <v>405</v>
      </c>
      <c r="CS302" s="72">
        <f t="shared" si="1143"/>
        <v>421</v>
      </c>
      <c r="CT302" s="23">
        <f t="shared" si="1144"/>
        <v>1</v>
      </c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  <c r="OK302" s="1"/>
      <c r="OL302" s="1"/>
      <c r="OM302" s="1"/>
      <c r="ON302" s="1"/>
      <c r="OO302" s="1"/>
      <c r="OP302" s="1"/>
      <c r="OQ302" s="1"/>
      <c r="OR302" s="1"/>
      <c r="OS302" s="1"/>
      <c r="OT302" s="1"/>
      <c r="OU302" s="1"/>
      <c r="OV302" s="1"/>
      <c r="OW302" s="1"/>
      <c r="OX302" s="1"/>
      <c r="OY302" s="1"/>
      <c r="OZ302" s="1"/>
      <c r="PA302" s="1"/>
      <c r="PB302" s="1"/>
      <c r="PC302" s="1"/>
      <c r="PD302" s="1"/>
      <c r="PE302" s="1"/>
      <c r="PF302" s="1"/>
      <c r="PG302" s="1"/>
      <c r="PH302" s="1"/>
      <c r="PI302" s="1"/>
      <c r="PJ302" s="1"/>
      <c r="PK302" s="1"/>
      <c r="PL302" s="1"/>
      <c r="PM302" s="1"/>
      <c r="PN302" s="1"/>
      <c r="PO302" s="1"/>
      <c r="PP302" s="1"/>
      <c r="PQ302" s="1"/>
      <c r="PR302" s="1"/>
      <c r="PS302" s="1"/>
      <c r="PT302" s="1"/>
      <c r="PU302" s="1"/>
      <c r="PV302" s="1"/>
      <c r="PW302" s="1"/>
      <c r="PX302" s="1"/>
      <c r="PY302" s="1"/>
      <c r="PZ302" s="1"/>
      <c r="QA302" s="1"/>
      <c r="QB302" s="1"/>
      <c r="QC302" s="1"/>
      <c r="QD302" s="1"/>
      <c r="QE302" s="1"/>
      <c r="QF302" s="1"/>
      <c r="QG302" s="1"/>
      <c r="QH302" s="1"/>
      <c r="QI302" s="1"/>
      <c r="QJ302" s="1"/>
      <c r="QK302" s="1"/>
      <c r="QL302" s="1"/>
      <c r="QM302" s="1"/>
      <c r="QN302" s="1"/>
      <c r="QO302" s="1"/>
      <c r="QP302" s="1"/>
      <c r="QQ302" s="1"/>
      <c r="QR302" s="1"/>
      <c r="QS302" s="1"/>
      <c r="QT302" s="1"/>
      <c r="QU302" s="1"/>
      <c r="QV302" s="1"/>
      <c r="QW302" s="1"/>
      <c r="QX302" s="1"/>
      <c r="QY302" s="1"/>
      <c r="QZ302" s="1"/>
      <c r="RA302" s="1"/>
      <c r="RB302" s="1"/>
      <c r="RC302" s="1"/>
      <c r="RD302" s="1"/>
      <c r="RE302" s="1"/>
      <c r="RF302" s="1"/>
      <c r="RG302" s="1"/>
      <c r="RH302" s="1"/>
      <c r="RI302" s="1"/>
      <c r="RJ302" s="1"/>
      <c r="RK302" s="1"/>
      <c r="RL302" s="1"/>
      <c r="RM302" s="1"/>
      <c r="RN302" s="1"/>
      <c r="RO302" s="1"/>
      <c r="RP302" s="1"/>
      <c r="RQ302" s="1"/>
      <c r="RR302" s="1"/>
      <c r="RS302" s="1"/>
      <c r="RT302" s="1"/>
      <c r="RU302" s="1"/>
      <c r="RV302" s="1"/>
      <c r="RW302" s="1"/>
      <c r="RX302" s="1"/>
      <c r="RY302" s="1"/>
      <c r="RZ302" s="1"/>
      <c r="SA302" s="1"/>
      <c r="SB302" s="1"/>
      <c r="SC302" s="1"/>
      <c r="SD302" s="1"/>
      <c r="SE302" s="1"/>
      <c r="SF302" s="1"/>
      <c r="SG302" s="1"/>
      <c r="SH302" s="1"/>
      <c r="SI302" s="1"/>
      <c r="SJ302" s="1"/>
      <c r="SK302" s="1"/>
      <c r="SL302" s="1"/>
      <c r="SM302" s="1"/>
      <c r="SN302" s="1"/>
      <c r="SO302" s="1"/>
      <c r="SP302" s="1"/>
      <c r="SQ302" s="1"/>
      <c r="SR302" s="1"/>
      <c r="SS302" s="1"/>
      <c r="ST302" s="1"/>
      <c r="SU302" s="1"/>
      <c r="SV302" s="1"/>
      <c r="SW302" s="1"/>
      <c r="SX302" s="1"/>
      <c r="SY302" s="1"/>
      <c r="SZ302" s="1"/>
      <c r="TA302" s="1"/>
      <c r="TB302" s="1"/>
      <c r="TC302" s="1"/>
      <c r="TD302" s="1"/>
      <c r="TE302" s="1"/>
      <c r="TF302" s="1"/>
      <c r="TG302" s="1"/>
      <c r="TH302" s="1"/>
      <c r="TI302" s="1"/>
      <c r="TJ302" s="1"/>
      <c r="TK302" s="1"/>
      <c r="TL302" s="1"/>
      <c r="TM302" s="1"/>
      <c r="TN302" s="1"/>
      <c r="TO302" s="1"/>
      <c r="TP302" s="1"/>
      <c r="TQ302" s="1"/>
      <c r="TR302" s="1"/>
      <c r="TS302" s="1"/>
      <c r="TT302" s="1"/>
      <c r="TU302" s="1"/>
      <c r="TV302" s="1"/>
      <c r="TW302" s="1"/>
      <c r="TX302" s="1"/>
      <c r="TY302" s="1"/>
      <c r="TZ302" s="1"/>
      <c r="UA302" s="1"/>
      <c r="UB302" s="1"/>
      <c r="UC302" s="1"/>
      <c r="UD302" s="1"/>
      <c r="UE302" s="1"/>
      <c r="UF302" s="1"/>
      <c r="UG302" s="1"/>
      <c r="UH302" s="1"/>
      <c r="UI302" s="1"/>
      <c r="UJ302" s="1"/>
      <c r="UK302" s="1"/>
      <c r="UL302" s="1"/>
      <c r="UM302" s="1"/>
      <c r="UN302" s="1"/>
      <c r="UO302" s="1"/>
      <c r="UP302" s="1"/>
      <c r="UQ302" s="1"/>
      <c r="UR302" s="1"/>
      <c r="US302" s="1"/>
      <c r="UT302" s="1"/>
      <c r="UU302" s="1"/>
      <c r="UV302" s="1"/>
      <c r="UW302" s="1"/>
      <c r="UX302" s="1"/>
      <c r="UY302" s="1"/>
      <c r="UZ302" s="1"/>
      <c r="VA302" s="1"/>
      <c r="VB302" s="1"/>
      <c r="VC302" s="1"/>
      <c r="VD302" s="1"/>
      <c r="VE302" s="1"/>
      <c r="VF302" s="1"/>
      <c r="VG302" s="1"/>
      <c r="VH302" s="1"/>
      <c r="VI302" s="1"/>
      <c r="VJ302" s="1"/>
      <c r="VK302" s="1"/>
      <c r="VL302" s="1"/>
      <c r="VM302" s="1"/>
      <c r="VN302" s="1"/>
      <c r="VO302" s="1"/>
      <c r="VP302" s="1"/>
      <c r="VQ302" s="1"/>
      <c r="VR302" s="1"/>
      <c r="VS302" s="1"/>
      <c r="VT302" s="1"/>
      <c r="VU302" s="1"/>
      <c r="VV302" s="1"/>
      <c r="VW302" s="1"/>
      <c r="VX302" s="1"/>
      <c r="VY302" s="1"/>
      <c r="VZ302" s="1"/>
      <c r="WA302" s="1"/>
      <c r="WB302" s="1"/>
      <c r="WC302" s="1"/>
      <c r="WD302" s="1"/>
      <c r="WE302" s="1"/>
      <c r="WF302" s="1"/>
      <c r="WG302" s="1"/>
      <c r="WH302" s="1"/>
      <c r="WI302" s="1"/>
      <c r="WJ302" s="1"/>
      <c r="WK302" s="1"/>
      <c r="WL302" s="1"/>
      <c r="WM302" s="1"/>
      <c r="WN302" s="1"/>
      <c r="WO302" s="1"/>
      <c r="WP302" s="1"/>
      <c r="WQ302" s="1"/>
      <c r="WR302" s="1"/>
      <c r="WS302" s="1"/>
      <c r="WT302" s="1"/>
      <c r="WU302" s="1"/>
      <c r="WV302" s="1"/>
      <c r="WW302" s="1"/>
      <c r="WX302" s="1"/>
      <c r="WY302" s="1"/>
      <c r="WZ302" s="1"/>
      <c r="XA302" s="1"/>
      <c r="XB302" s="1"/>
      <c r="XC302" s="1"/>
      <c r="XD302" s="1"/>
      <c r="XE302" s="1"/>
      <c r="XF302" s="1"/>
      <c r="XG302" s="1"/>
      <c r="XH302" s="1"/>
      <c r="XI302" s="1"/>
      <c r="XJ302" s="1"/>
      <c r="XK302" s="1"/>
      <c r="XL302" s="1"/>
      <c r="XM302" s="1"/>
      <c r="XN302" s="1"/>
      <c r="XO302" s="1"/>
      <c r="XP302" s="1"/>
      <c r="XQ302" s="1"/>
      <c r="XR302" s="1"/>
      <c r="XS302" s="1"/>
      <c r="XT302" s="1"/>
      <c r="XU302" s="1"/>
      <c r="XV302" s="1"/>
      <c r="XW302" s="1"/>
      <c r="XX302" s="1"/>
      <c r="XY302" s="1"/>
      <c r="XZ302" s="1"/>
      <c r="YA302" s="1"/>
      <c r="YB302" s="1"/>
      <c r="YC302" s="1"/>
      <c r="YD302" s="1"/>
      <c r="YE302" s="1"/>
      <c r="YF302" s="1"/>
      <c r="YG302" s="1"/>
      <c r="YH302" s="1"/>
      <c r="YI302" s="1"/>
      <c r="YJ302" s="1"/>
      <c r="YK302" s="1"/>
      <c r="YL302" s="1"/>
      <c r="YM302" s="1"/>
      <c r="YN302" s="1"/>
      <c r="YO302" s="1"/>
      <c r="YP302" s="1"/>
      <c r="YQ302" s="1"/>
      <c r="YR302" s="1"/>
      <c r="YS302" s="1"/>
      <c r="YT302" s="1"/>
      <c r="YU302" s="1"/>
      <c r="YV302" s="1"/>
      <c r="YW302" s="1"/>
      <c r="YX302" s="1"/>
      <c r="YY302" s="1"/>
      <c r="YZ302" s="1"/>
      <c r="ZA302" s="1"/>
      <c r="ZB302" s="1"/>
      <c r="ZC302" s="1"/>
      <c r="ZD302" s="1"/>
      <c r="ZE302" s="1"/>
      <c r="ZF302" s="1"/>
      <c r="ZG302" s="1"/>
      <c r="ZH302" s="1"/>
      <c r="ZI302" s="1"/>
      <c r="ZJ302" s="1"/>
      <c r="ZK302" s="1"/>
      <c r="ZL302" s="1"/>
      <c r="ZM302" s="1"/>
      <c r="ZN302" s="1"/>
      <c r="ZO302" s="1"/>
      <c r="ZP302" s="1"/>
      <c r="ZQ302" s="1"/>
      <c r="ZR302" s="1"/>
      <c r="ZS302" s="1"/>
      <c r="ZT302" s="1"/>
      <c r="ZU302" s="1"/>
      <c r="ZV302" s="1"/>
      <c r="ZW302" s="1"/>
      <c r="ZX302" s="1"/>
      <c r="ZY302" s="1"/>
      <c r="ZZ302" s="1"/>
      <c r="AAA302" s="1"/>
      <c r="AAB302" s="1"/>
      <c r="AAC302" s="1"/>
      <c r="AAD302" s="1"/>
      <c r="AAE302" s="1"/>
      <c r="AAF302" s="1"/>
      <c r="AAG302" s="1"/>
      <c r="AAH302" s="1"/>
      <c r="AAI302" s="1"/>
      <c r="AAJ302" s="1"/>
      <c r="AAK302" s="1"/>
      <c r="AAL302" s="1"/>
      <c r="AAM302" s="1"/>
      <c r="AAN302" s="1"/>
      <c r="AAO302" s="1"/>
      <c r="AAP302" s="1"/>
      <c r="AAQ302" s="1"/>
      <c r="AAR302" s="1"/>
      <c r="AAS302" s="1"/>
      <c r="AAT302" s="1"/>
      <c r="AAU302" s="1"/>
      <c r="AAV302" s="1"/>
      <c r="AAW302" s="1"/>
      <c r="AAX302" s="1"/>
      <c r="AAY302" s="1"/>
      <c r="AAZ302" s="1"/>
      <c r="ABA302" s="1"/>
      <c r="ABB302" s="1"/>
      <c r="ABC302" s="1"/>
      <c r="ABD302" s="1"/>
      <c r="ABE302" s="1"/>
      <c r="ABF302" s="1"/>
      <c r="ABG302" s="1"/>
      <c r="ABH302" s="1"/>
      <c r="ABI302" s="1"/>
      <c r="ABJ302" s="1"/>
      <c r="ABK302" s="1"/>
      <c r="ABL302" s="1"/>
      <c r="ABM302" s="1"/>
      <c r="ABN302" s="1"/>
      <c r="ABO302" s="1"/>
      <c r="ABP302" s="1"/>
      <c r="ABQ302" s="1"/>
      <c r="ABR302" s="1"/>
      <c r="ABS302" s="1"/>
      <c r="ABT302" s="1"/>
      <c r="ABU302" s="1"/>
      <c r="ABV302" s="1"/>
      <c r="ABW302" s="1"/>
      <c r="ABX302" s="1"/>
      <c r="ABY302" s="1"/>
      <c r="ABZ302" s="1"/>
      <c r="ACA302" s="1"/>
      <c r="ACB302" s="1"/>
      <c r="ACC302" s="1"/>
      <c r="ACD302" s="1"/>
      <c r="ACE302" s="1"/>
      <c r="ACF302" s="1"/>
      <c r="ACG302" s="1"/>
      <c r="ACH302" s="1"/>
      <c r="ACI302" s="1"/>
      <c r="ACJ302" s="1"/>
      <c r="ACK302" s="1"/>
      <c r="ACL302" s="1"/>
      <c r="ACM302" s="1"/>
      <c r="ACN302" s="1"/>
      <c r="ACO302" s="1"/>
      <c r="ACP302" s="1"/>
      <c r="ACQ302" s="1"/>
      <c r="ACR302" s="1"/>
      <c r="ACS302" s="1"/>
      <c r="ACT302" s="1"/>
      <c r="ACU302" s="1"/>
      <c r="ACV302" s="1"/>
      <c r="ACW302" s="1"/>
      <c r="ACX302" s="1"/>
      <c r="ACY302" s="1"/>
      <c r="ACZ302" s="1"/>
      <c r="ADA302" s="1"/>
      <c r="ADB302" s="1"/>
      <c r="ADC302" s="1"/>
      <c r="ADD302" s="1"/>
      <c r="ADE302" s="1"/>
      <c r="ADF302" s="1"/>
      <c r="ADG302" s="1"/>
      <c r="ADH302" s="1"/>
      <c r="ADI302" s="1"/>
      <c r="ADJ302" s="1"/>
      <c r="ADK302" s="1"/>
      <c r="ADL302" s="1"/>
      <c r="ADM302" s="1"/>
      <c r="ADN302" s="1"/>
      <c r="ADO302" s="1"/>
      <c r="ADP302" s="1"/>
      <c r="ADQ302" s="1"/>
      <c r="ADR302" s="1"/>
      <c r="ADS302" s="1"/>
      <c r="ADT302" s="1"/>
      <c r="ADU302" s="1"/>
      <c r="ADV302" s="1"/>
      <c r="ADW302" s="1"/>
      <c r="ADX302" s="1"/>
      <c r="ADY302" s="1"/>
      <c r="ADZ302" s="1"/>
      <c r="AEA302" s="1"/>
      <c r="AEB302" s="1"/>
      <c r="AEC302" s="1"/>
      <c r="AED302" s="1"/>
      <c r="AEE302" s="1"/>
      <c r="AEF302" s="1"/>
      <c r="AEG302" s="1"/>
      <c r="AEH302" s="1"/>
      <c r="AEI302" s="1"/>
      <c r="AEJ302" s="1"/>
      <c r="AEK302" s="1"/>
      <c r="AEL302" s="1"/>
      <c r="AEM302" s="1"/>
      <c r="AEN302" s="1"/>
      <c r="AEO302" s="1"/>
      <c r="AEP302" s="1"/>
      <c r="AEQ302" s="1"/>
      <c r="AER302" s="1"/>
      <c r="AES302" s="1"/>
      <c r="AET302" s="1"/>
      <c r="AEU302" s="1"/>
      <c r="AEV302" s="1"/>
      <c r="AEW302" s="1"/>
      <c r="AEX302" s="1"/>
      <c r="AEY302" s="1"/>
      <c r="AEZ302" s="1"/>
      <c r="AFA302" s="1"/>
      <c r="AFB302" s="1"/>
      <c r="AFC302" s="1"/>
      <c r="AFD302" s="1"/>
      <c r="AFE302" s="1"/>
      <c r="AFF302" s="1"/>
      <c r="AFG302" s="1"/>
      <c r="AFH302" s="1"/>
      <c r="AFI302" s="1"/>
      <c r="AFJ302" s="1"/>
      <c r="AFK302" s="1"/>
      <c r="AFL302" s="1"/>
      <c r="AFM302" s="1"/>
      <c r="AFN302" s="1"/>
      <c r="AFO302" s="1"/>
      <c r="AFP302" s="1"/>
      <c r="AFQ302" s="1"/>
      <c r="AFR302" s="1"/>
      <c r="AFS302" s="1"/>
      <c r="AFT302" s="1"/>
      <c r="AFU302" s="1"/>
      <c r="AFV302" s="1"/>
      <c r="AFW302" s="1"/>
      <c r="AFX302" s="1"/>
      <c r="AFY302" s="1"/>
      <c r="AFZ302" s="1"/>
      <c r="AGA302" s="1"/>
      <c r="AGB302" s="1"/>
      <c r="AGC302" s="1"/>
      <c r="AGD302" s="1"/>
      <c r="AGE302" s="1"/>
      <c r="AGF302" s="1"/>
      <c r="AGG302" s="1"/>
      <c r="AGH302" s="1"/>
      <c r="AGI302" s="1"/>
      <c r="AGJ302" s="1"/>
      <c r="AGK302" s="1"/>
      <c r="AGL302" s="1"/>
      <c r="AGM302" s="1"/>
      <c r="AGN302" s="1"/>
      <c r="AGO302" s="1"/>
      <c r="AGP302" s="1"/>
      <c r="AGQ302" s="1"/>
      <c r="AGR302" s="1"/>
      <c r="AGS302" s="1"/>
      <c r="AGT302" s="1"/>
      <c r="AGU302" s="1"/>
      <c r="AGV302" s="1"/>
      <c r="AGW302" s="1"/>
      <c r="AGX302" s="1"/>
      <c r="AGY302" s="1"/>
      <c r="AGZ302" s="1"/>
      <c r="AHA302" s="1"/>
      <c r="AHB302" s="1"/>
      <c r="AHC302" s="1"/>
      <c r="AHD302" s="1"/>
      <c r="AHE302" s="1"/>
      <c r="AHF302" s="1"/>
      <c r="AHG302" s="1"/>
      <c r="AHH302" s="1"/>
      <c r="AHI302" s="1"/>
      <c r="AHJ302" s="1"/>
      <c r="AHK302" s="1"/>
      <c r="AHL302" s="1"/>
      <c r="AHM302" s="1"/>
      <c r="AHN302" s="1"/>
      <c r="AHO302" s="1"/>
      <c r="AHP302" s="1"/>
      <c r="AHQ302" s="1"/>
      <c r="AHR302" s="1"/>
      <c r="AHS302" s="1"/>
      <c r="AHT302" s="1"/>
      <c r="AHU302" s="1"/>
      <c r="AHV302" s="1"/>
      <c r="AHW302" s="1"/>
      <c r="AHX302" s="1"/>
      <c r="AHY302" s="1"/>
      <c r="AHZ302" s="1"/>
      <c r="AIA302" s="1"/>
      <c r="AIB302" s="1"/>
      <c r="AIC302" s="1"/>
      <c r="AID302" s="1"/>
      <c r="AIE302" s="1"/>
      <c r="AIF302" s="1"/>
      <c r="AIG302" s="1"/>
      <c r="AIH302" s="1"/>
      <c r="AII302" s="1"/>
      <c r="AIJ302" s="1"/>
      <c r="AIK302" s="1"/>
      <c r="AIL302" s="1"/>
      <c r="AIM302" s="1"/>
      <c r="AIN302" s="1"/>
      <c r="AIO302" s="1"/>
      <c r="AIP302" s="1"/>
      <c r="AIQ302" s="1"/>
      <c r="AIR302" s="1"/>
      <c r="AIS302" s="1"/>
      <c r="AIT302" s="1"/>
      <c r="AIU302" s="1"/>
      <c r="AIV302" s="1"/>
      <c r="AIW302" s="1"/>
      <c r="AIX302" s="1"/>
      <c r="AIY302" s="1"/>
      <c r="AIZ302" s="1"/>
      <c r="AJA302" s="1"/>
      <c r="AJB302" s="1"/>
      <c r="AJC302" s="1"/>
      <c r="AJD302" s="1"/>
      <c r="AJE302" s="1"/>
      <c r="AJF302" s="1"/>
      <c r="AJG302" s="1"/>
      <c r="AJH302" s="1"/>
      <c r="AJI302" s="1"/>
      <c r="AJJ302" s="1"/>
      <c r="AJK302" s="1"/>
      <c r="AJL302" s="1"/>
      <c r="AJM302" s="1"/>
      <c r="AJN302" s="1"/>
      <c r="AJO302" s="1"/>
      <c r="AJP302" s="1"/>
      <c r="AJQ302" s="1"/>
      <c r="AJR302" s="1"/>
      <c r="AJS302" s="1"/>
      <c r="AJT302" s="1"/>
      <c r="AJU302" s="1"/>
      <c r="AJV302" s="1"/>
      <c r="AJW302" s="1"/>
      <c r="AJX302" s="1"/>
      <c r="AJY302" s="1"/>
      <c r="AJZ302" s="1"/>
      <c r="AKA302" s="1"/>
      <c r="AKB302" s="1"/>
      <c r="AKC302" s="1"/>
      <c r="AKD302" s="1"/>
      <c r="AKE302" s="1"/>
      <c r="AKF302" s="1"/>
      <c r="AKG302" s="1"/>
      <c r="AKH302" s="1"/>
      <c r="AKI302" s="1"/>
      <c r="AKJ302" s="1"/>
      <c r="AKK302" s="1"/>
      <c r="AKL302" s="1"/>
      <c r="AKM302" s="1"/>
      <c r="AKN302" s="1"/>
      <c r="AKO302" s="1"/>
      <c r="AKP302" s="1"/>
      <c r="AKQ302" s="1"/>
      <c r="AKR302" s="1"/>
      <c r="AKS302" s="1"/>
      <c r="AKT302" s="1"/>
      <c r="AKU302" s="1"/>
      <c r="AKV302" s="1"/>
      <c r="AKW302" s="1"/>
      <c r="AKX302" s="1"/>
      <c r="AKY302" s="1"/>
      <c r="AKZ302" s="1"/>
      <c r="ALA302" s="1"/>
      <c r="ALB302" s="1"/>
      <c r="ALC302" s="1"/>
      <c r="ALD302" s="1"/>
      <c r="ALE302" s="1"/>
      <c r="ALF302" s="1"/>
      <c r="ALG302" s="1"/>
      <c r="ALH302" s="1"/>
      <c r="ALI302" s="1"/>
      <c r="ALJ302" s="1"/>
      <c r="ALK302" s="1"/>
      <c r="ALL302" s="1"/>
      <c r="ALM302" s="1"/>
      <c r="ALN302" s="1"/>
      <c r="ALO302" s="1"/>
      <c r="ALP302" s="1"/>
      <c r="ALQ302" s="1"/>
      <c r="ALR302" s="1"/>
      <c r="ALS302" s="1"/>
      <c r="ALT302" s="1"/>
      <c r="ALU302" s="1"/>
      <c r="ALV302" s="1"/>
      <c r="ALW302" s="1"/>
      <c r="ALX302" s="1"/>
      <c r="ALY302" s="1"/>
      <c r="ALZ302" s="1"/>
      <c r="AMA302" s="1"/>
      <c r="AMB302" s="1"/>
      <c r="AMC302" s="1"/>
      <c r="AMD302" s="1"/>
      <c r="AME302" s="1"/>
      <c r="AMF302" s="1"/>
      <c r="AMG302" s="1"/>
      <c r="AMH302" s="1"/>
      <c r="AMI302" s="1"/>
      <c r="AMJ302" s="1"/>
      <c r="AMK302" s="1"/>
      <c r="AML302" s="1"/>
      <c r="AMM302" s="1"/>
      <c r="AMN302" s="1"/>
      <c r="AMO302" s="1"/>
    </row>
    <row r="303" spans="1:1029" s="12" customFormat="1" x14ac:dyDescent="0.2">
      <c r="A303" s="9" t="str">
        <f t="shared" ref="A303" si="1145">CONCATENATE(B303,"_",C303)</f>
        <v>pth1r_human__wt</v>
      </c>
      <c r="B303" s="9" t="s">
        <v>409</v>
      </c>
      <c r="C303" s="9" t="s">
        <v>100</v>
      </c>
      <c r="D303" s="9" t="str">
        <f>IFERROR(MID(VLOOKUP($B303,Seqs!$A:$B,2,0),E303,1),"")</f>
        <v>R</v>
      </c>
      <c r="E303" s="9">
        <v>179</v>
      </c>
      <c r="F303" s="9" t="str">
        <f>IFERROR(MID(VLOOKUP($B303,Seqs!$A:$B,2,0),G303,1),"")</f>
        <v>F</v>
      </c>
      <c r="G303" s="9">
        <v>212</v>
      </c>
      <c r="H303" s="9" t="str">
        <f>IFERROR(MID(VLOOKUP($B303,Seqs!$A:$B,2,0),I303,1),"")</f>
        <v>R</v>
      </c>
      <c r="I303" s="109">
        <v>213</v>
      </c>
      <c r="J303" s="9" t="str">
        <f>IFERROR(MID(VLOOKUP($B303,Seqs!$A:$B,2,0),K303,1),"")</f>
        <v>H</v>
      </c>
      <c r="K303" s="109">
        <v>216</v>
      </c>
      <c r="L303" s="9" t="str">
        <f>IFERROR(MID(VLOOKUP($B303,Seqs!$A:$B,2,0),M303,1),"")</f>
        <v>C</v>
      </c>
      <c r="M303" s="109">
        <v>217</v>
      </c>
      <c r="N303" s="9" t="str">
        <f>IFERROR(MID(VLOOKUP($B303,Seqs!$A:$B,2,0),O303,1),"")</f>
        <v>T</v>
      </c>
      <c r="O303" s="9">
        <v>249</v>
      </c>
      <c r="P303" s="9" t="str">
        <f>IFERROR(MID(VLOOKUP($B303,Seqs!$A:$B,2,0),Q303,1),"")</f>
        <v/>
      </c>
      <c r="Q303" s="9" t="s">
        <v>23</v>
      </c>
      <c r="R303" s="9" t="str">
        <f>IFERROR(MID(VLOOKUP($B303,Seqs!$A:$B,2,0),S303,1),"")</f>
        <v/>
      </c>
      <c r="S303" s="9" t="s">
        <v>23</v>
      </c>
      <c r="T303" s="9" t="str">
        <f>IFERROR(MID(VLOOKUP($B303,Seqs!$A:$B,2,0),U303,1),"")</f>
        <v>G</v>
      </c>
      <c r="U303" s="9">
        <v>277</v>
      </c>
      <c r="V303" s="9" t="str">
        <f>IFERROR(MID(VLOOKUP($B303,Seqs!$A:$B,2,0),W303,1),"")</f>
        <v>M</v>
      </c>
      <c r="W303" s="9">
        <v>312</v>
      </c>
      <c r="X303" s="9" t="str">
        <f>IFERROR(MID(VLOOKUP($B303,Seqs!$A:$B,2,0),Y303,1),"")</f>
        <v/>
      </c>
      <c r="Y303" s="9" t="s">
        <v>23</v>
      </c>
      <c r="Z303" s="9" t="str">
        <f>IFERROR(MID(VLOOKUP($B303,Seqs!$A:$B,2,0),AA303,1),"")</f>
        <v/>
      </c>
      <c r="AA303" s="9" t="s">
        <v>23</v>
      </c>
      <c r="AB303" s="9" t="str">
        <f>IFERROR(MID(VLOOKUP($B303,Seqs!$A:$B,2,0),AC303,1),"")</f>
        <v>S</v>
      </c>
      <c r="AC303" s="9">
        <v>316</v>
      </c>
      <c r="AD303" s="9" t="str">
        <f>IFERROR(MID(VLOOKUP($B303,Seqs!$A:$B,2,0),AE303,1),"")</f>
        <v>A</v>
      </c>
      <c r="AE303" s="9">
        <v>347</v>
      </c>
      <c r="AF303" s="9" t="str">
        <f>IFERROR(MID(VLOOKUP($B303,Seqs!$A:$B,2,0),AG303,1),"")</f>
        <v>C</v>
      </c>
      <c r="AG303" s="9">
        <v>351</v>
      </c>
      <c r="AH303" s="9" t="str">
        <f>IFERROR(MID(VLOOKUP($B303,Seqs!$A:$B,2,0),AI303,1),"")</f>
        <v>D</v>
      </c>
      <c r="AI303" s="9">
        <v>353</v>
      </c>
      <c r="AJ303" s="9" t="str">
        <f>IFERROR(MID(VLOOKUP($B303,Seqs!$A:$B,2,0),AK303,1),"")</f>
        <v>N</v>
      </c>
      <c r="AK303" s="9">
        <v>358</v>
      </c>
      <c r="AL303" s="9" t="str">
        <f>IFERROR(MID(VLOOKUP($B303,Seqs!$A:$B,2,0),AM303,1),"")</f>
        <v>L</v>
      </c>
      <c r="AM303" s="9">
        <v>389</v>
      </c>
      <c r="AN303" s="9" t="str">
        <f>IFERROR(MID(VLOOKUP($B303,Seqs!$A:$B,2,0),AO303,1),"")</f>
        <v>D</v>
      </c>
      <c r="AO303" s="9">
        <v>398</v>
      </c>
      <c r="AP303" s="9" t="str">
        <f>IFERROR(MID(VLOOKUP($B303,Seqs!$A:$B,2,0),AQ303,1),"")</f>
        <v>T</v>
      </c>
      <c r="AQ303" s="9">
        <v>427</v>
      </c>
      <c r="AR303" s="9" t="str">
        <f>IFERROR(MID(VLOOKUP($B303,Seqs!$A:$B,2,0),AS303,1),"")</f>
        <v>G</v>
      </c>
      <c r="AS303" s="9">
        <v>434</v>
      </c>
      <c r="AT303" s="9" t="str">
        <f>IFERROR(MID(VLOOKUP($B303,Seqs!$A:$B,2,0),AU303,1),"")</f>
        <v>C</v>
      </c>
      <c r="AU303" s="9">
        <v>462</v>
      </c>
      <c r="AV303" s="9" t="str">
        <f>IFERROR(MID(VLOOKUP($B303,Seqs!$A:$B,2,0),AW303,1),"")</f>
        <v>N</v>
      </c>
      <c r="AW303" s="9">
        <v>463</v>
      </c>
      <c r="AX303" s="9" t="str">
        <f>IFERROR(MID(VLOOKUP($B303,Seqs!$A:$B,2,0),AY303,1),"")</f>
        <v>R</v>
      </c>
      <c r="AY303" s="9">
        <v>488</v>
      </c>
      <c r="AZ303" s="110" t="str">
        <f>VLOOKUP(B303,Classification!A:D,2,0)</f>
        <v>B1</v>
      </c>
      <c r="BA303" s="98" t="str">
        <f>VLOOKUP(B303,Classification!A:D,4,0)</f>
        <v>Parathyroidhormone</v>
      </c>
      <c r="BB303" s="36" t="b">
        <f t="shared" ref="BB303" si="1146">AND(E303&lt;G303,OR(G303&lt;I303,I303="-"),OR(I303&lt;K303,I303="-"),OR(K303&lt;M303,K303="-"),M303&lt;O303,OR(O303&lt;Q303,Q303="-"),OR(Q303&lt;S303,Q303="-"),OR(S303&lt;U303,S303="-"),U303&lt;W303,OR(W303&lt;Y303,Y303="-"),OR(Y303&lt;AA303,Y303="-"),OR(AA303&lt;AC303,AA303="-"),AC303&lt;AE303,OR(AE303&lt;AG303,AG303="-"),OR(AG303&lt;AI303,AG303="-"),OR(AI303&lt;AK303,AI303="-"),AK303&lt;AM303,AM303&lt;AO303,AO303&lt;AQ303,AQ303&lt;AS303,AS303&lt;AU303,OR(AU303&lt;AW303,AW303="-"),OR(AW303&lt;AY303,AW303="-"))</f>
        <v>1</v>
      </c>
      <c r="BC303" s="109">
        <f t="shared" ref="BC303" si="1147">_xlfn.AGGREGATE(9,6,CH303:CS303)-_xlfn.AGGREGATE(9,6,BV303:CG303)+12</f>
        <v>261</v>
      </c>
      <c r="BD303" s="11" t="s">
        <v>23</v>
      </c>
      <c r="BE303" s="9" t="s">
        <v>23</v>
      </c>
      <c r="BF303" s="120" t="s">
        <v>23</v>
      </c>
      <c r="BG303" s="51" t="s">
        <v>23</v>
      </c>
      <c r="BH303" s="51" t="s">
        <v>23</v>
      </c>
      <c r="BJ303" s="111" t="s">
        <v>1293</v>
      </c>
      <c r="BK303" s="112" t="s">
        <v>1293</v>
      </c>
      <c r="BL303" s="112" t="s">
        <v>1293</v>
      </c>
      <c r="BM303" s="112" t="s">
        <v>1293</v>
      </c>
      <c r="BN303" s="112" t="s">
        <v>1293</v>
      </c>
      <c r="BO303" s="112" t="s">
        <v>1293</v>
      </c>
      <c r="BP303" s="112" t="s">
        <v>1293</v>
      </c>
      <c r="BQ303" s="112" t="s">
        <v>1293</v>
      </c>
      <c r="BR303" s="112" t="s">
        <v>1293</v>
      </c>
      <c r="BS303" s="112" t="s">
        <v>1293</v>
      </c>
      <c r="BT303" s="112" t="s">
        <v>1293</v>
      </c>
      <c r="BU303" s="112" t="s">
        <v>1293</v>
      </c>
      <c r="BV303" s="111">
        <f t="shared" ref="BV303" si="1148">E303</f>
        <v>179</v>
      </c>
      <c r="BW303" s="113">
        <f t="shared" ref="BW303" si="1149">I303</f>
        <v>213</v>
      </c>
      <c r="BX303" s="114">
        <f t="shared" ref="BX303" si="1150">M303</f>
        <v>217</v>
      </c>
      <c r="BY303" s="113" t="str">
        <f t="shared" ref="BY303" si="1151">Q303</f>
        <v>-</v>
      </c>
      <c r="BZ303" s="114">
        <f t="shared" ref="BZ303" si="1152">U303</f>
        <v>277</v>
      </c>
      <c r="CA303" s="113" t="str">
        <f t="shared" ref="CA303" si="1153">Y303</f>
        <v>-</v>
      </c>
      <c r="CB303" s="114">
        <f t="shared" ref="CB303" si="1154">AC303</f>
        <v>316</v>
      </c>
      <c r="CC303" s="113">
        <f t="shared" ref="CC303" si="1155">AG303</f>
        <v>351</v>
      </c>
      <c r="CD303" s="114">
        <f t="shared" ref="CD303" si="1156">AK303</f>
        <v>358</v>
      </c>
      <c r="CE303" s="113">
        <f t="shared" ref="CE303" si="1157">AO303</f>
        <v>398</v>
      </c>
      <c r="CF303" s="114">
        <f t="shared" ref="CF303" si="1158">AS303</f>
        <v>434</v>
      </c>
      <c r="CG303" s="113">
        <f t="shared" ref="CG303" si="1159">AW303</f>
        <v>463</v>
      </c>
      <c r="CH303" s="111">
        <f t="shared" ref="CH303" si="1160">G303</f>
        <v>212</v>
      </c>
      <c r="CI303" s="113">
        <f t="shared" ref="CI303" si="1161">K303</f>
        <v>216</v>
      </c>
      <c r="CJ303" s="114">
        <f t="shared" ref="CJ303" si="1162">O303</f>
        <v>249</v>
      </c>
      <c r="CK303" s="114" t="str">
        <f t="shared" ref="CK303" si="1163">S303</f>
        <v>-</v>
      </c>
      <c r="CL303" s="114">
        <f t="shared" ref="CL303" si="1164">W303</f>
        <v>312</v>
      </c>
      <c r="CM303" s="114" t="str">
        <f t="shared" ref="CM303" si="1165">AA303</f>
        <v>-</v>
      </c>
      <c r="CN303" s="114">
        <f t="shared" ref="CN303" si="1166">AE303</f>
        <v>347</v>
      </c>
      <c r="CO303" s="114">
        <f t="shared" ref="CO303" si="1167">AI303</f>
        <v>353</v>
      </c>
      <c r="CP303" s="114">
        <f t="shared" ref="CP303" si="1168">AM303</f>
        <v>389</v>
      </c>
      <c r="CQ303" s="114">
        <f t="shared" ref="CQ303" si="1169">AQ303</f>
        <v>427</v>
      </c>
      <c r="CR303" s="114">
        <f t="shared" ref="CR303" si="1170">AU303</f>
        <v>462</v>
      </c>
      <c r="CS303" s="114">
        <f t="shared" ref="CS303" si="1171">AY303</f>
        <v>488</v>
      </c>
      <c r="CT303" s="109">
        <f t="shared" ref="CT303" si="1172">M303-K303</f>
        <v>1</v>
      </c>
    </row>
    <row r="304" spans="1:1029" s="12" customFormat="1" x14ac:dyDescent="0.2">
      <c r="A304" s="9" t="str">
        <f t="shared" ref="A304" si="1173">CONCATENATE(B304,"_",C304)</f>
        <v>pth1r_human_6FJ3</v>
      </c>
      <c r="B304" s="9" t="s">
        <v>409</v>
      </c>
      <c r="C304" s="9" t="s">
        <v>1548</v>
      </c>
      <c r="D304" s="9" t="str">
        <f>IFERROR(MID(VLOOKUP($B304,Seqs!$A:$B,2,0),E304,1),"")</f>
        <v>R</v>
      </c>
      <c r="E304" s="9">
        <v>179</v>
      </c>
      <c r="F304" s="9" t="str">
        <f>IFERROR(MID(VLOOKUP($B304,Seqs!$A:$B,2,0),G304,1),"")</f>
        <v>F</v>
      </c>
      <c r="G304" s="9">
        <v>212</v>
      </c>
      <c r="H304" s="9" t="str">
        <f>IFERROR(MID(VLOOKUP($B304,Seqs!$A:$B,2,0),I304,1),"")</f>
        <v>R</v>
      </c>
      <c r="I304" s="109">
        <v>213</v>
      </c>
      <c r="J304" s="9" t="str">
        <f>IFERROR(MID(VLOOKUP($B304,Seqs!$A:$B,2,0),K304,1),"")</f>
        <v>H</v>
      </c>
      <c r="K304" s="109">
        <v>216</v>
      </c>
      <c r="L304" s="9" t="str">
        <f>IFERROR(MID(VLOOKUP($B304,Seqs!$A:$B,2,0),M304,1),"")</f>
        <v>C</v>
      </c>
      <c r="M304" s="109">
        <v>217</v>
      </c>
      <c r="N304" s="9" t="str">
        <f>IFERROR(MID(VLOOKUP($B304,Seqs!$A:$B,2,0),O304,1),"")</f>
        <v>Y</v>
      </c>
      <c r="O304" s="9">
        <v>245</v>
      </c>
      <c r="P304" s="9" t="str">
        <f>IFERROR(MID(VLOOKUP($B304,Seqs!$A:$B,2,0),Q304,1),"")</f>
        <v/>
      </c>
      <c r="Q304" s="9" t="s">
        <v>23</v>
      </c>
      <c r="R304" s="9" t="str">
        <f>IFERROR(MID(VLOOKUP($B304,Seqs!$A:$B,2,0),S304,1),"")</f>
        <v/>
      </c>
      <c r="S304" s="9" t="s">
        <v>23</v>
      </c>
      <c r="T304" s="9" t="str">
        <f>IFERROR(MID(VLOOKUP($B304,Seqs!$A:$B,2,0),U304,1),"")</f>
        <v>Y</v>
      </c>
      <c r="U304" s="9">
        <v>278</v>
      </c>
      <c r="V304" s="9" t="str">
        <f>IFERROR(MID(VLOOKUP($B304,Seqs!$A:$B,2,0),W304,1),"")</f>
        <v>M</v>
      </c>
      <c r="W304" s="9">
        <v>312</v>
      </c>
      <c r="X304" s="9" t="str">
        <f>IFERROR(MID(VLOOKUP($B304,Seqs!$A:$B,2,0),Y304,1),"")</f>
        <v/>
      </c>
      <c r="Y304" s="9" t="s">
        <v>23</v>
      </c>
      <c r="Z304" s="9" t="str">
        <f>IFERROR(MID(VLOOKUP($B304,Seqs!$A:$B,2,0),AA304,1),"")</f>
        <v/>
      </c>
      <c r="AA304" s="9" t="s">
        <v>23</v>
      </c>
      <c r="AB304" s="9" t="str">
        <f>IFERROR(MID(VLOOKUP($B304,Seqs!$A:$B,2,0),AC304,1),"")</f>
        <v>S</v>
      </c>
      <c r="AC304" s="9">
        <v>316</v>
      </c>
      <c r="AD304" s="9" t="str">
        <f>IFERROR(MID(VLOOKUP($B304,Seqs!$A:$B,2,0),AE304,1),"")</f>
        <v>A</v>
      </c>
      <c r="AE304" s="9">
        <v>347</v>
      </c>
      <c r="AF304" s="9" t="str">
        <f>IFERROR(MID(VLOOKUP($B304,Seqs!$A:$B,2,0),AG304,1),"")</f>
        <v>C</v>
      </c>
      <c r="AG304" s="9">
        <v>351</v>
      </c>
      <c r="AH304" s="9" t="str">
        <f>IFERROR(MID(VLOOKUP($B304,Seqs!$A:$B,2,0),AI304,1),"")</f>
        <v>D</v>
      </c>
      <c r="AI304" s="9">
        <v>353</v>
      </c>
      <c r="AJ304" s="9" t="str">
        <f>IFERROR(MID(VLOOKUP($B304,Seqs!$A:$B,2,0),AK304,1),"")</f>
        <v>N</v>
      </c>
      <c r="AK304" s="9">
        <v>358</v>
      </c>
      <c r="AL304" s="9" t="str">
        <f>IFERROR(MID(VLOOKUP($B304,Seqs!$A:$B,2,0),AM304,1),"")</f>
        <v>R</v>
      </c>
      <c r="AM304" s="9">
        <v>383</v>
      </c>
      <c r="AN304" s="9" t="str">
        <f>IFERROR(MID(VLOOKUP($B304,Seqs!$A:$B,2,0),AO304,1),"")</f>
        <v>D</v>
      </c>
      <c r="AO304" s="9">
        <v>398</v>
      </c>
      <c r="AP304" s="9" t="str">
        <f>IFERROR(MID(VLOOKUP($B304,Seqs!$A:$B,2,0),AQ304,1),"")</f>
        <v>T</v>
      </c>
      <c r="AQ304" s="9">
        <v>427</v>
      </c>
      <c r="AR304" s="9" t="str">
        <f>IFERROR(MID(VLOOKUP($B304,Seqs!$A:$B,2,0),AS304,1),"")</f>
        <v>G</v>
      </c>
      <c r="AS304" s="9">
        <v>434</v>
      </c>
      <c r="AT304" s="9" t="str">
        <f>IFERROR(MID(VLOOKUP($B304,Seqs!$A:$B,2,0),AU304,1),"")</f>
        <v>C</v>
      </c>
      <c r="AU304" s="9">
        <v>462</v>
      </c>
      <c r="AV304" s="9" t="str">
        <f>IFERROR(MID(VLOOKUP($B304,Seqs!$A:$B,2,0),AW304,1),"")</f>
        <v>N</v>
      </c>
      <c r="AW304" s="9">
        <v>463</v>
      </c>
      <c r="AX304" s="9" t="str">
        <f>IFERROR(MID(VLOOKUP($B304,Seqs!$A:$B,2,0),AY304,1),"")</f>
        <v>W</v>
      </c>
      <c r="AY304" s="9">
        <v>477</v>
      </c>
      <c r="AZ304" s="110" t="str">
        <f>VLOOKUP(B304,Classification!A:D,2,0)</f>
        <v>B1</v>
      </c>
      <c r="BA304" s="98" t="str">
        <f>VLOOKUP(B304,Classification!A:D,4,0)</f>
        <v>Parathyroidhormone</v>
      </c>
      <c r="BB304" s="36" t="b">
        <f t="shared" ref="BB304" si="1174">AND(E304&lt;G304,OR(G304&lt;I304,I304="-"),OR(I304&lt;K304,I304="-"),OR(K304&lt;M304,K304="-"),M304&lt;O304,OR(O304&lt;Q304,Q304="-"),OR(Q304&lt;S304,Q304="-"),OR(S304&lt;U304,S304="-"),U304&lt;W304,OR(W304&lt;Y304,Y304="-"),OR(Y304&lt;AA304,Y304="-"),OR(AA304&lt;AC304,AA304="-"),AC304&lt;AE304,OR(AE304&lt;AG304,AG304="-"),OR(AG304&lt;AI304,AG304="-"),OR(AI304&lt;AK304,AI304="-"),AK304&lt;AM304,AM304&lt;AO304,AO304&lt;AQ304,AQ304&lt;AS304,AS304&lt;AU304,OR(AU304&lt;AW304,AW304="-"),OR(AW304&lt;AY304,AW304="-"))</f>
        <v>1</v>
      </c>
      <c r="BC304" s="109">
        <f t="shared" ref="BC304" si="1175">_xlfn.AGGREGATE(9,6,CH304:CS304)-_xlfn.AGGREGATE(9,6,BV304:CG304)+12</f>
        <v>239</v>
      </c>
      <c r="BD304" s="11" t="s">
        <v>1383</v>
      </c>
      <c r="BE304" s="9" t="s">
        <v>1381</v>
      </c>
      <c r="BF304" s="120">
        <v>2.5</v>
      </c>
      <c r="BG304" s="51" t="s">
        <v>1</v>
      </c>
      <c r="BH304" s="51" t="s">
        <v>1</v>
      </c>
      <c r="BJ304" s="111" t="s">
        <v>1293</v>
      </c>
      <c r="BK304" s="112" t="s">
        <v>1293</v>
      </c>
      <c r="BL304" s="112" t="s">
        <v>1293</v>
      </c>
      <c r="BM304" s="112" t="s">
        <v>1293</v>
      </c>
      <c r="BN304" s="112" t="s">
        <v>1293</v>
      </c>
      <c r="BO304" s="112" t="s">
        <v>1293</v>
      </c>
      <c r="BP304" s="112" t="s">
        <v>1293</v>
      </c>
      <c r="BQ304" s="112" t="s">
        <v>1293</v>
      </c>
      <c r="BR304" s="112" t="s">
        <v>1293</v>
      </c>
      <c r="BS304" s="112" t="s">
        <v>1293</v>
      </c>
      <c r="BT304" s="112" t="s">
        <v>1293</v>
      </c>
      <c r="BU304" s="112" t="s">
        <v>1293</v>
      </c>
      <c r="BV304" s="111">
        <f t="shared" ref="BV304" si="1176">E304</f>
        <v>179</v>
      </c>
      <c r="BW304" s="113">
        <f t="shared" ref="BW304" si="1177">I304</f>
        <v>213</v>
      </c>
      <c r="BX304" s="114">
        <f t="shared" ref="BX304" si="1178">M304</f>
        <v>217</v>
      </c>
      <c r="BY304" s="113" t="str">
        <f t="shared" ref="BY304" si="1179">Q304</f>
        <v>-</v>
      </c>
      <c r="BZ304" s="114">
        <f t="shared" ref="BZ304" si="1180">U304</f>
        <v>278</v>
      </c>
      <c r="CA304" s="113" t="str">
        <f t="shared" ref="CA304" si="1181">Y304</f>
        <v>-</v>
      </c>
      <c r="CB304" s="114">
        <f t="shared" ref="CB304" si="1182">AC304</f>
        <v>316</v>
      </c>
      <c r="CC304" s="113">
        <f t="shared" ref="CC304" si="1183">AG304</f>
        <v>351</v>
      </c>
      <c r="CD304" s="114">
        <f t="shared" ref="CD304" si="1184">AK304</f>
        <v>358</v>
      </c>
      <c r="CE304" s="113">
        <f t="shared" ref="CE304" si="1185">AO304</f>
        <v>398</v>
      </c>
      <c r="CF304" s="114">
        <f t="shared" ref="CF304" si="1186">AS304</f>
        <v>434</v>
      </c>
      <c r="CG304" s="113">
        <f t="shared" ref="CG304" si="1187">AW304</f>
        <v>463</v>
      </c>
      <c r="CH304" s="111">
        <f t="shared" ref="CH304" si="1188">G304</f>
        <v>212</v>
      </c>
      <c r="CI304" s="113">
        <f t="shared" ref="CI304" si="1189">K304</f>
        <v>216</v>
      </c>
      <c r="CJ304" s="114">
        <f t="shared" ref="CJ304" si="1190">O304</f>
        <v>245</v>
      </c>
      <c r="CK304" s="114" t="str">
        <f t="shared" ref="CK304" si="1191">S304</f>
        <v>-</v>
      </c>
      <c r="CL304" s="114">
        <f t="shared" ref="CL304" si="1192">W304</f>
        <v>312</v>
      </c>
      <c r="CM304" s="114" t="str">
        <f t="shared" ref="CM304" si="1193">AA304</f>
        <v>-</v>
      </c>
      <c r="CN304" s="114">
        <f t="shared" ref="CN304" si="1194">AE304</f>
        <v>347</v>
      </c>
      <c r="CO304" s="114">
        <f t="shared" ref="CO304" si="1195">AI304</f>
        <v>353</v>
      </c>
      <c r="CP304" s="114">
        <f t="shared" ref="CP304" si="1196">AM304</f>
        <v>383</v>
      </c>
      <c r="CQ304" s="114">
        <f t="shared" ref="CQ304" si="1197">AQ304</f>
        <v>427</v>
      </c>
      <c r="CR304" s="114">
        <f t="shared" ref="CR304" si="1198">AU304</f>
        <v>462</v>
      </c>
      <c r="CS304" s="114">
        <f t="shared" ref="CS304" si="1199">AY304</f>
        <v>477</v>
      </c>
      <c r="CT304" s="109">
        <f t="shared" ref="CT304" si="1200">M304-K304</f>
        <v>1</v>
      </c>
    </row>
    <row r="305" spans="1:1030" x14ac:dyDescent="0.2">
      <c r="A305" s="3" t="str">
        <f t="shared" si="1115"/>
        <v>grm1_human__wt</v>
      </c>
      <c r="B305" s="3" t="s">
        <v>40</v>
      </c>
      <c r="C305" s="3" t="s">
        <v>100</v>
      </c>
      <c r="D305" s="3" t="str">
        <f>IFERROR(MID(VLOOKUP($B305,Seqs!$A:$B,2,0),E305,1),"")</f>
        <v>I</v>
      </c>
      <c r="E305" s="3">
        <v>591</v>
      </c>
      <c r="F305" s="3" t="str">
        <f>IFERROR(MID(VLOOKUP($B305,Seqs!$A:$B,2,0),G305,1),"")</f>
        <v>Y</v>
      </c>
      <c r="G305" s="3">
        <v>617</v>
      </c>
      <c r="H305" s="3" t="str">
        <f>IFERROR(MID(VLOOKUP($B305,Seqs!$A:$B,2,0),I305,1),"")</f>
        <v>T</v>
      </c>
      <c r="I305" s="23">
        <v>620</v>
      </c>
      <c r="J305" s="3" t="str">
        <f>IFERROR(MID(VLOOKUP($B305,Seqs!$A:$B,2,0),K305,1),"")</f>
        <v>S</v>
      </c>
      <c r="K305" s="23">
        <v>626</v>
      </c>
      <c r="L305" s="3" t="str">
        <f>IFERROR(MID(VLOOKUP($B305,Seqs!$A:$B,2,0),M305,1),"")</f>
        <v>S</v>
      </c>
      <c r="M305" s="3">
        <v>627</v>
      </c>
      <c r="N305" s="3" t="str">
        <f>IFERROR(MID(VLOOKUP($B305,Seqs!$A:$B,2,0),O305,1),"")</f>
        <v>I</v>
      </c>
      <c r="O305" s="3">
        <v>649</v>
      </c>
      <c r="P305" s="3" t="str">
        <f>IFERROR(MID(VLOOKUP($B305,Seqs!$A:$B,2,0),Q305,1),"")</f>
        <v/>
      </c>
      <c r="Q305" s="3" t="s">
        <v>23</v>
      </c>
      <c r="R305" s="3" t="str">
        <f>IFERROR(MID(VLOOKUP($B305,Seqs!$A:$B,2,0),S305,1),"")</f>
        <v/>
      </c>
      <c r="S305" s="3" t="s">
        <v>23</v>
      </c>
      <c r="T305" s="3" t="str">
        <f>IFERROR(MID(VLOOKUP($B305,Seqs!$A:$B,2,0),U305,1),"")</f>
        <v>T</v>
      </c>
      <c r="U305" s="3">
        <v>654</v>
      </c>
      <c r="V305" s="3" t="str">
        <f>IFERROR(MID(VLOOKUP($B305,Seqs!$A:$B,2,0),W305,1),"")</f>
        <v>L</v>
      </c>
      <c r="W305" s="3">
        <v>686</v>
      </c>
      <c r="X305" s="3" t="str">
        <f>IFERROR(MID(VLOOKUP($B305,Seqs!$A:$B,2,0),Y305,1),"")</f>
        <v/>
      </c>
      <c r="Y305" s="3" t="s">
        <v>23</v>
      </c>
      <c r="Z305" s="3" t="str">
        <f>IFERROR(MID(VLOOKUP($B305,Seqs!$A:$B,2,0),AA305,1),"")</f>
        <v/>
      </c>
      <c r="AA305" s="3" t="s">
        <v>23</v>
      </c>
      <c r="AB305" s="3" t="str">
        <f>IFERROR(MID(VLOOKUP($B305,Seqs!$A:$B,2,0),AC305,1),"")</f>
        <v>S</v>
      </c>
      <c r="AC305" s="9">
        <v>702</v>
      </c>
      <c r="AD305" s="3" t="str">
        <f>IFERROR(MID(VLOOKUP($B305,Seqs!$A:$B,2,0),AE305,1),"")</f>
        <v>E</v>
      </c>
      <c r="AE305" s="3">
        <v>728</v>
      </c>
      <c r="AF305" s="3" t="str">
        <f>IFERROR(MID(VLOOKUP($B305,Seqs!$A:$B,2,0),AG305,1),"")</f>
        <v>C</v>
      </c>
      <c r="AG305" s="3">
        <v>746</v>
      </c>
      <c r="AH305" s="3" t="str">
        <f>IFERROR(MID(VLOOKUP($B305,Seqs!$A:$B,2,0),AI305,1),"")</f>
        <v>T</v>
      </c>
      <c r="AI305" s="3">
        <v>748</v>
      </c>
      <c r="AJ305" s="3" t="str">
        <f>IFERROR(MID(VLOOKUP($B305,Seqs!$A:$B,2,0),AK305,1),"")</f>
        <v>S</v>
      </c>
      <c r="AK305" s="105">
        <v>749</v>
      </c>
      <c r="AL305" s="3" t="str">
        <f>IFERROR(MID(VLOOKUP($B305,Seqs!$A:$B,2,0),AM305,1),"")</f>
        <v>T</v>
      </c>
      <c r="AM305" s="3">
        <v>774</v>
      </c>
      <c r="AN305" s="3" t="str">
        <f>IFERROR(MID(VLOOKUP($B305,Seqs!$A:$B,2,0),AO305,1),"")</f>
        <v>E</v>
      </c>
      <c r="AO305" s="3">
        <v>783</v>
      </c>
      <c r="AP305" s="3" t="str">
        <f>IFERROR(MID(VLOOKUP($B305,Seqs!$A:$B,2,0),AQ305,1),"")</f>
        <v>G</v>
      </c>
      <c r="AQ305" s="3">
        <v>807</v>
      </c>
      <c r="AR305" s="3" t="str">
        <f>IFERROR(MID(VLOOKUP($B305,Seqs!$A:$B,2,0),AS305,1),"")</f>
        <v>Y</v>
      </c>
      <c r="AS305" s="105">
        <v>810</v>
      </c>
      <c r="AT305" s="3" t="str">
        <f>IFERROR(MID(VLOOKUP($B305,Seqs!$A:$B,2,0),AU305,1),"")</f>
        <v>K</v>
      </c>
      <c r="AU305" s="3">
        <v>841</v>
      </c>
      <c r="AV305" s="3" t="str">
        <f>IFERROR(MID(VLOOKUP($B305,Seqs!$A:$B,2,0),AW305,1),"")</f>
        <v>P</v>
      </c>
      <c r="AW305" s="3">
        <v>842</v>
      </c>
      <c r="AX305" s="3" t="str">
        <f>IFERROR(MID(VLOOKUP($B305,Seqs!$A:$B,2,0),AY305,1),"")</f>
        <v>S</v>
      </c>
      <c r="AY305" s="3">
        <v>853</v>
      </c>
      <c r="AZ305" s="77" t="str">
        <f>VLOOKUP(B305,Classification!A:D,2,0)</f>
        <v>C</v>
      </c>
      <c r="BA305" s="94" t="str">
        <f>VLOOKUP(B305,Classification!A:D,4,0)</f>
        <v>Metabotropicglutamate</v>
      </c>
      <c r="BB305" s="27" t="b">
        <f t="shared" si="1116"/>
        <v>1</v>
      </c>
      <c r="BC305" s="23">
        <f t="shared" si="1089"/>
        <v>217</v>
      </c>
      <c r="BD305" s="56" t="s">
        <v>1379</v>
      </c>
      <c r="BE305" s="3" t="s">
        <v>23</v>
      </c>
      <c r="BF305" s="119" t="s">
        <v>23</v>
      </c>
      <c r="BG305" s="49" t="s">
        <v>1379</v>
      </c>
      <c r="BH305" s="49" t="s">
        <v>1384</v>
      </c>
      <c r="BI305" s="3" t="s">
        <v>1164</v>
      </c>
      <c r="BJ305" s="70" t="s">
        <v>1293</v>
      </c>
      <c r="BK305" s="57" t="s">
        <v>1293</v>
      </c>
      <c r="BL305" s="57" t="s">
        <v>1293</v>
      </c>
      <c r="BM305" s="57" t="s">
        <v>1293</v>
      </c>
      <c r="BN305" s="57" t="s">
        <v>1293</v>
      </c>
      <c r="BO305" s="57" t="s">
        <v>1293</v>
      </c>
      <c r="BP305" s="57" t="s">
        <v>1293</v>
      </c>
      <c r="BQ305" s="57" t="s">
        <v>1293</v>
      </c>
      <c r="BR305" s="57" t="s">
        <v>1293</v>
      </c>
      <c r="BS305" s="57" t="s">
        <v>1293</v>
      </c>
      <c r="BT305" s="57" t="s">
        <v>1293</v>
      </c>
      <c r="BU305" s="57" t="s">
        <v>1293</v>
      </c>
      <c r="BV305" s="70">
        <f t="shared" si="1090"/>
        <v>591</v>
      </c>
      <c r="BW305" s="71">
        <f t="shared" si="1091"/>
        <v>620</v>
      </c>
      <c r="BX305" s="72">
        <f t="shared" si="1092"/>
        <v>627</v>
      </c>
      <c r="BY305" s="71" t="str">
        <f t="shared" si="1093"/>
        <v>-</v>
      </c>
      <c r="BZ305" s="72">
        <f t="shared" si="1094"/>
        <v>654</v>
      </c>
      <c r="CA305" s="71" t="str">
        <f t="shared" si="1095"/>
        <v>-</v>
      </c>
      <c r="CB305" s="72">
        <f t="shared" si="1096"/>
        <v>702</v>
      </c>
      <c r="CC305" s="71">
        <f t="shared" si="1097"/>
        <v>746</v>
      </c>
      <c r="CD305" s="72">
        <f t="shared" si="1098"/>
        <v>749</v>
      </c>
      <c r="CE305" s="71">
        <f t="shared" si="1099"/>
        <v>783</v>
      </c>
      <c r="CF305" s="72">
        <f t="shared" si="1100"/>
        <v>810</v>
      </c>
      <c r="CG305" s="71">
        <f t="shared" si="1101"/>
        <v>842</v>
      </c>
      <c r="CH305" s="70">
        <f t="shared" si="1102"/>
        <v>617</v>
      </c>
      <c r="CI305" s="71">
        <f t="shared" si="1103"/>
        <v>626</v>
      </c>
      <c r="CJ305" s="72">
        <f t="shared" si="1104"/>
        <v>649</v>
      </c>
      <c r="CK305" s="72" t="str">
        <f t="shared" si="1105"/>
        <v>-</v>
      </c>
      <c r="CL305" s="72">
        <f t="shared" si="1106"/>
        <v>686</v>
      </c>
      <c r="CM305" s="72" t="str">
        <f t="shared" si="1107"/>
        <v>-</v>
      </c>
      <c r="CN305" s="72">
        <f t="shared" si="1108"/>
        <v>728</v>
      </c>
      <c r="CO305" s="72">
        <f t="shared" si="1109"/>
        <v>748</v>
      </c>
      <c r="CP305" s="72">
        <f t="shared" si="1110"/>
        <v>774</v>
      </c>
      <c r="CQ305" s="72">
        <f t="shared" si="1111"/>
        <v>807</v>
      </c>
      <c r="CR305" s="72">
        <f t="shared" si="1112"/>
        <v>841</v>
      </c>
      <c r="CS305" s="72">
        <f t="shared" si="1113"/>
        <v>853</v>
      </c>
      <c r="CT305" s="23">
        <f t="shared" si="1114"/>
        <v>1</v>
      </c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  <c r="OK305" s="1"/>
      <c r="OL305" s="1"/>
      <c r="OM305" s="1"/>
      <c r="ON305" s="1"/>
      <c r="OO305" s="1"/>
      <c r="OP305" s="1"/>
      <c r="OQ305" s="1"/>
      <c r="OR305" s="1"/>
      <c r="OS305" s="1"/>
      <c r="OT305" s="1"/>
      <c r="OU305" s="1"/>
      <c r="OV305" s="1"/>
      <c r="OW305" s="1"/>
      <c r="OX305" s="1"/>
      <c r="OY305" s="1"/>
      <c r="OZ305" s="1"/>
      <c r="PA305" s="1"/>
      <c r="PB305" s="1"/>
      <c r="PC305" s="1"/>
      <c r="PD305" s="1"/>
      <c r="PE305" s="1"/>
      <c r="PF305" s="1"/>
      <c r="PG305" s="1"/>
      <c r="PH305" s="1"/>
      <c r="PI305" s="1"/>
      <c r="PJ305" s="1"/>
      <c r="PK305" s="1"/>
      <c r="PL305" s="1"/>
      <c r="PM305" s="1"/>
      <c r="PN305" s="1"/>
      <c r="PO305" s="1"/>
      <c r="PP305" s="1"/>
      <c r="PQ305" s="1"/>
      <c r="PR305" s="1"/>
      <c r="PS305" s="1"/>
      <c r="PT305" s="1"/>
      <c r="PU305" s="1"/>
      <c r="PV305" s="1"/>
      <c r="PW305" s="1"/>
      <c r="PX305" s="1"/>
      <c r="PY305" s="1"/>
      <c r="PZ305" s="1"/>
      <c r="QA305" s="1"/>
      <c r="QB305" s="1"/>
      <c r="QC305" s="1"/>
      <c r="QD305" s="1"/>
      <c r="QE305" s="1"/>
      <c r="QF305" s="1"/>
      <c r="QG305" s="1"/>
      <c r="QH305" s="1"/>
      <c r="QI305" s="1"/>
      <c r="QJ305" s="1"/>
      <c r="QK305" s="1"/>
      <c r="QL305" s="1"/>
      <c r="QM305" s="1"/>
      <c r="QN305" s="1"/>
      <c r="QO305" s="1"/>
      <c r="QP305" s="1"/>
      <c r="QQ305" s="1"/>
      <c r="QR305" s="1"/>
      <c r="QS305" s="1"/>
      <c r="QT305" s="1"/>
      <c r="QU305" s="1"/>
      <c r="QV305" s="1"/>
      <c r="QW305" s="1"/>
      <c r="QX305" s="1"/>
      <c r="QY305" s="1"/>
      <c r="QZ305" s="1"/>
      <c r="RA305" s="1"/>
      <c r="RB305" s="1"/>
      <c r="RC305" s="1"/>
      <c r="RD305" s="1"/>
      <c r="RE305" s="1"/>
      <c r="RF305" s="1"/>
      <c r="RG305" s="1"/>
      <c r="RH305" s="1"/>
      <c r="RI305" s="1"/>
      <c r="RJ305" s="1"/>
      <c r="RK305" s="1"/>
      <c r="RL305" s="1"/>
      <c r="RM305" s="1"/>
      <c r="RN305" s="1"/>
      <c r="RO305" s="1"/>
      <c r="RP305" s="1"/>
      <c r="RQ305" s="1"/>
      <c r="RR305" s="1"/>
      <c r="RS305" s="1"/>
      <c r="RT305" s="1"/>
      <c r="RU305" s="1"/>
      <c r="RV305" s="1"/>
      <c r="RW305" s="1"/>
      <c r="RX305" s="1"/>
      <c r="RY305" s="1"/>
      <c r="RZ305" s="1"/>
      <c r="SA305" s="1"/>
      <c r="SB305" s="1"/>
      <c r="SC305" s="1"/>
      <c r="SD305" s="1"/>
      <c r="SE305" s="1"/>
      <c r="SF305" s="1"/>
      <c r="SG305" s="1"/>
      <c r="SH305" s="1"/>
      <c r="SI305" s="1"/>
      <c r="SJ305" s="1"/>
      <c r="SK305" s="1"/>
      <c r="SL305" s="1"/>
      <c r="SM305" s="1"/>
      <c r="SN305" s="1"/>
      <c r="SO305" s="1"/>
      <c r="SP305" s="1"/>
      <c r="SQ305" s="1"/>
      <c r="SR305" s="1"/>
      <c r="SS305" s="1"/>
      <c r="ST305" s="1"/>
      <c r="SU305" s="1"/>
      <c r="SV305" s="1"/>
      <c r="SW305" s="1"/>
      <c r="SX305" s="1"/>
      <c r="SY305" s="1"/>
      <c r="SZ305" s="1"/>
      <c r="TA305" s="1"/>
      <c r="TB305" s="1"/>
      <c r="TC305" s="1"/>
      <c r="TD305" s="1"/>
      <c r="TE305" s="1"/>
      <c r="TF305" s="1"/>
      <c r="TG305" s="1"/>
      <c r="TH305" s="1"/>
      <c r="TI305" s="1"/>
      <c r="TJ305" s="1"/>
      <c r="TK305" s="1"/>
      <c r="TL305" s="1"/>
      <c r="TM305" s="1"/>
      <c r="TN305" s="1"/>
      <c r="TO305" s="1"/>
      <c r="TP305" s="1"/>
      <c r="TQ305" s="1"/>
      <c r="TR305" s="1"/>
      <c r="TS305" s="1"/>
      <c r="TT305" s="1"/>
      <c r="TU305" s="1"/>
      <c r="TV305" s="1"/>
      <c r="TW305" s="1"/>
      <c r="TX305" s="1"/>
      <c r="TY305" s="1"/>
      <c r="TZ305" s="1"/>
      <c r="UA305" s="1"/>
      <c r="UB305" s="1"/>
      <c r="UC305" s="1"/>
      <c r="UD305" s="1"/>
      <c r="UE305" s="1"/>
      <c r="UF305" s="1"/>
      <c r="UG305" s="1"/>
      <c r="UH305" s="1"/>
      <c r="UI305" s="1"/>
      <c r="UJ305" s="1"/>
      <c r="UK305" s="1"/>
      <c r="UL305" s="1"/>
      <c r="UM305" s="1"/>
      <c r="UN305" s="1"/>
      <c r="UO305" s="1"/>
      <c r="UP305" s="1"/>
      <c r="UQ305" s="1"/>
      <c r="UR305" s="1"/>
      <c r="US305" s="1"/>
      <c r="UT305" s="1"/>
      <c r="UU305" s="1"/>
      <c r="UV305" s="1"/>
      <c r="UW305" s="1"/>
      <c r="UX305" s="1"/>
      <c r="UY305" s="1"/>
      <c r="UZ305" s="1"/>
      <c r="VA305" s="1"/>
      <c r="VB305" s="1"/>
      <c r="VC305" s="1"/>
      <c r="VD305" s="1"/>
      <c r="VE305" s="1"/>
      <c r="VF305" s="1"/>
      <c r="VG305" s="1"/>
      <c r="VH305" s="1"/>
      <c r="VI305" s="1"/>
      <c r="VJ305" s="1"/>
      <c r="VK305" s="1"/>
      <c r="VL305" s="1"/>
      <c r="VM305" s="1"/>
      <c r="VN305" s="1"/>
      <c r="VO305" s="1"/>
      <c r="VP305" s="1"/>
      <c r="VQ305" s="1"/>
      <c r="VR305" s="1"/>
      <c r="VS305" s="1"/>
      <c r="VT305" s="1"/>
      <c r="VU305" s="1"/>
      <c r="VV305" s="1"/>
      <c r="VW305" s="1"/>
      <c r="VX305" s="1"/>
      <c r="VY305" s="1"/>
      <c r="VZ305" s="1"/>
      <c r="WA305" s="1"/>
      <c r="WB305" s="1"/>
      <c r="WC305" s="1"/>
      <c r="WD305" s="1"/>
      <c r="WE305" s="1"/>
      <c r="WF305" s="1"/>
      <c r="WG305" s="1"/>
      <c r="WH305" s="1"/>
      <c r="WI305" s="1"/>
      <c r="WJ305" s="1"/>
      <c r="WK305" s="1"/>
      <c r="WL305" s="1"/>
      <c r="WM305" s="1"/>
      <c r="WN305" s="1"/>
      <c r="WO305" s="1"/>
      <c r="WP305" s="1"/>
      <c r="WQ305" s="1"/>
      <c r="WR305" s="1"/>
      <c r="WS305" s="1"/>
      <c r="WT305" s="1"/>
      <c r="WU305" s="1"/>
      <c r="WV305" s="1"/>
      <c r="WW305" s="1"/>
      <c r="WX305" s="1"/>
      <c r="WY305" s="1"/>
      <c r="WZ305" s="1"/>
      <c r="XA305" s="1"/>
      <c r="XB305" s="1"/>
      <c r="XC305" s="1"/>
      <c r="XD305" s="1"/>
      <c r="XE305" s="1"/>
      <c r="XF305" s="1"/>
      <c r="XG305" s="1"/>
      <c r="XH305" s="1"/>
      <c r="XI305" s="1"/>
      <c r="XJ305" s="1"/>
      <c r="XK305" s="1"/>
      <c r="XL305" s="1"/>
      <c r="XM305" s="1"/>
      <c r="XN305" s="1"/>
      <c r="XO305" s="1"/>
      <c r="XP305" s="1"/>
      <c r="XQ305" s="1"/>
      <c r="XR305" s="1"/>
      <c r="XS305" s="1"/>
      <c r="XT305" s="1"/>
      <c r="XU305" s="1"/>
      <c r="XV305" s="1"/>
      <c r="XW305" s="1"/>
      <c r="XX305" s="1"/>
      <c r="XY305" s="1"/>
      <c r="XZ305" s="1"/>
      <c r="YA305" s="1"/>
      <c r="YB305" s="1"/>
      <c r="YC305" s="1"/>
      <c r="YD305" s="1"/>
      <c r="YE305" s="1"/>
      <c r="YF305" s="1"/>
      <c r="YG305" s="1"/>
      <c r="YH305" s="1"/>
      <c r="YI305" s="1"/>
      <c r="YJ305" s="1"/>
      <c r="YK305" s="1"/>
      <c r="YL305" s="1"/>
      <c r="YM305" s="1"/>
      <c r="YN305" s="1"/>
      <c r="YO305" s="1"/>
      <c r="YP305" s="1"/>
      <c r="YQ305" s="1"/>
      <c r="YR305" s="1"/>
      <c r="YS305" s="1"/>
      <c r="YT305" s="1"/>
      <c r="YU305" s="1"/>
      <c r="YV305" s="1"/>
      <c r="YW305" s="1"/>
      <c r="YX305" s="1"/>
      <c r="YY305" s="1"/>
      <c r="YZ305" s="1"/>
      <c r="ZA305" s="1"/>
      <c r="ZB305" s="1"/>
      <c r="ZC305" s="1"/>
      <c r="ZD305" s="1"/>
      <c r="ZE305" s="1"/>
      <c r="ZF305" s="1"/>
      <c r="ZG305" s="1"/>
      <c r="ZH305" s="1"/>
      <c r="ZI305" s="1"/>
      <c r="ZJ305" s="1"/>
      <c r="ZK305" s="1"/>
      <c r="ZL305" s="1"/>
      <c r="ZM305" s="1"/>
      <c r="ZN305" s="1"/>
      <c r="ZO305" s="1"/>
      <c r="ZP305" s="1"/>
      <c r="ZQ305" s="1"/>
      <c r="ZR305" s="1"/>
      <c r="ZS305" s="1"/>
      <c r="ZT305" s="1"/>
      <c r="ZU305" s="1"/>
      <c r="ZV305" s="1"/>
      <c r="ZW305" s="1"/>
      <c r="ZX305" s="1"/>
      <c r="ZY305" s="1"/>
      <c r="ZZ305" s="1"/>
      <c r="AAA305" s="1"/>
      <c r="AAB305" s="1"/>
      <c r="AAC305" s="1"/>
      <c r="AAD305" s="1"/>
      <c r="AAE305" s="1"/>
      <c r="AAF305" s="1"/>
      <c r="AAG305" s="1"/>
      <c r="AAH305" s="1"/>
      <c r="AAI305" s="1"/>
      <c r="AAJ305" s="1"/>
      <c r="AAK305" s="1"/>
      <c r="AAL305" s="1"/>
      <c r="AAM305" s="1"/>
      <c r="AAN305" s="1"/>
      <c r="AAO305" s="1"/>
      <c r="AAP305" s="1"/>
      <c r="AAQ305" s="1"/>
      <c r="AAR305" s="1"/>
      <c r="AAS305" s="1"/>
      <c r="AAT305" s="1"/>
      <c r="AAU305" s="1"/>
      <c r="AAV305" s="1"/>
      <c r="AAW305" s="1"/>
      <c r="AAX305" s="1"/>
      <c r="AAY305" s="1"/>
      <c r="AAZ305" s="1"/>
      <c r="ABA305" s="1"/>
      <c r="ABB305" s="1"/>
      <c r="ABC305" s="1"/>
      <c r="ABD305" s="1"/>
      <c r="ABE305" s="1"/>
      <c r="ABF305" s="1"/>
      <c r="ABG305" s="1"/>
      <c r="ABH305" s="1"/>
      <c r="ABI305" s="1"/>
      <c r="ABJ305" s="1"/>
      <c r="ABK305" s="1"/>
      <c r="ABL305" s="1"/>
      <c r="ABM305" s="1"/>
      <c r="ABN305" s="1"/>
      <c r="ABO305" s="1"/>
      <c r="ABP305" s="1"/>
      <c r="ABQ305" s="1"/>
      <c r="ABR305" s="1"/>
      <c r="ABS305" s="1"/>
      <c r="ABT305" s="1"/>
      <c r="ABU305" s="1"/>
      <c r="ABV305" s="1"/>
      <c r="ABW305" s="1"/>
      <c r="ABX305" s="1"/>
      <c r="ABY305" s="1"/>
      <c r="ABZ305" s="1"/>
      <c r="ACA305" s="1"/>
      <c r="ACB305" s="1"/>
      <c r="ACC305" s="1"/>
      <c r="ACD305" s="1"/>
      <c r="ACE305" s="1"/>
      <c r="ACF305" s="1"/>
      <c r="ACG305" s="1"/>
      <c r="ACH305" s="1"/>
      <c r="ACI305" s="1"/>
      <c r="ACJ305" s="1"/>
      <c r="ACK305" s="1"/>
      <c r="ACL305" s="1"/>
      <c r="ACM305" s="1"/>
      <c r="ACN305" s="1"/>
      <c r="ACO305" s="1"/>
      <c r="ACP305" s="1"/>
      <c r="ACQ305" s="1"/>
      <c r="ACR305" s="1"/>
      <c r="ACS305" s="1"/>
      <c r="ACT305" s="1"/>
      <c r="ACU305" s="1"/>
      <c r="ACV305" s="1"/>
      <c r="ACW305" s="1"/>
      <c r="ACX305" s="1"/>
      <c r="ACY305" s="1"/>
      <c r="ACZ305" s="1"/>
      <c r="ADA305" s="1"/>
      <c r="ADB305" s="1"/>
      <c r="ADC305" s="1"/>
      <c r="ADD305" s="1"/>
      <c r="ADE305" s="1"/>
      <c r="ADF305" s="1"/>
      <c r="ADG305" s="1"/>
      <c r="ADH305" s="1"/>
      <c r="ADI305" s="1"/>
      <c r="ADJ305" s="1"/>
      <c r="ADK305" s="1"/>
      <c r="ADL305" s="1"/>
      <c r="ADM305" s="1"/>
      <c r="ADN305" s="1"/>
      <c r="ADO305" s="1"/>
      <c r="ADP305" s="1"/>
      <c r="ADQ305" s="1"/>
      <c r="ADR305" s="1"/>
      <c r="ADS305" s="1"/>
      <c r="ADT305" s="1"/>
      <c r="ADU305" s="1"/>
      <c r="ADV305" s="1"/>
      <c r="ADW305" s="1"/>
      <c r="ADX305" s="1"/>
      <c r="ADY305" s="1"/>
      <c r="ADZ305" s="1"/>
      <c r="AEA305" s="1"/>
      <c r="AEB305" s="1"/>
      <c r="AEC305" s="1"/>
      <c r="AED305" s="1"/>
      <c r="AEE305" s="1"/>
      <c r="AEF305" s="1"/>
      <c r="AEG305" s="1"/>
      <c r="AEH305" s="1"/>
      <c r="AEI305" s="1"/>
      <c r="AEJ305" s="1"/>
      <c r="AEK305" s="1"/>
      <c r="AEL305" s="1"/>
      <c r="AEM305" s="1"/>
      <c r="AEN305" s="1"/>
      <c r="AEO305" s="1"/>
      <c r="AEP305" s="1"/>
      <c r="AEQ305" s="1"/>
      <c r="AER305" s="1"/>
      <c r="AES305" s="1"/>
      <c r="AET305" s="1"/>
      <c r="AEU305" s="1"/>
      <c r="AEV305" s="1"/>
      <c r="AEW305" s="1"/>
      <c r="AEX305" s="1"/>
      <c r="AEY305" s="1"/>
      <c r="AEZ305" s="1"/>
      <c r="AFA305" s="1"/>
      <c r="AFB305" s="1"/>
      <c r="AFC305" s="1"/>
      <c r="AFD305" s="1"/>
      <c r="AFE305" s="1"/>
      <c r="AFF305" s="1"/>
      <c r="AFG305" s="1"/>
      <c r="AFH305" s="1"/>
      <c r="AFI305" s="1"/>
      <c r="AFJ305" s="1"/>
      <c r="AFK305" s="1"/>
      <c r="AFL305" s="1"/>
      <c r="AFM305" s="1"/>
      <c r="AFN305" s="1"/>
      <c r="AFO305" s="1"/>
      <c r="AFP305" s="1"/>
      <c r="AFQ305" s="1"/>
      <c r="AFR305" s="1"/>
      <c r="AFS305" s="1"/>
      <c r="AFT305" s="1"/>
      <c r="AFU305" s="1"/>
      <c r="AFV305" s="1"/>
      <c r="AFW305" s="1"/>
      <c r="AFX305" s="1"/>
      <c r="AFY305" s="1"/>
      <c r="AFZ305" s="1"/>
      <c r="AGA305" s="1"/>
      <c r="AGB305" s="1"/>
      <c r="AGC305" s="1"/>
      <c r="AGD305" s="1"/>
      <c r="AGE305" s="1"/>
      <c r="AGF305" s="1"/>
      <c r="AGG305" s="1"/>
      <c r="AGH305" s="1"/>
      <c r="AGI305" s="1"/>
      <c r="AGJ305" s="1"/>
      <c r="AGK305" s="1"/>
      <c r="AGL305" s="1"/>
      <c r="AGM305" s="1"/>
      <c r="AGN305" s="1"/>
      <c r="AGO305" s="1"/>
      <c r="AGP305" s="1"/>
      <c r="AGQ305" s="1"/>
      <c r="AGR305" s="1"/>
      <c r="AGS305" s="1"/>
      <c r="AGT305" s="1"/>
      <c r="AGU305" s="1"/>
      <c r="AGV305" s="1"/>
      <c r="AGW305" s="1"/>
      <c r="AGX305" s="1"/>
      <c r="AGY305" s="1"/>
      <c r="AGZ305" s="1"/>
      <c r="AHA305" s="1"/>
      <c r="AHB305" s="1"/>
      <c r="AHC305" s="1"/>
      <c r="AHD305" s="1"/>
      <c r="AHE305" s="1"/>
      <c r="AHF305" s="1"/>
      <c r="AHG305" s="1"/>
      <c r="AHH305" s="1"/>
      <c r="AHI305" s="1"/>
      <c r="AHJ305" s="1"/>
      <c r="AHK305" s="1"/>
      <c r="AHL305" s="1"/>
      <c r="AHM305" s="1"/>
      <c r="AHN305" s="1"/>
      <c r="AHO305" s="1"/>
      <c r="AHP305" s="1"/>
      <c r="AHQ305" s="1"/>
      <c r="AHR305" s="1"/>
      <c r="AHS305" s="1"/>
      <c r="AHT305" s="1"/>
      <c r="AHU305" s="1"/>
      <c r="AHV305" s="1"/>
      <c r="AHW305" s="1"/>
      <c r="AHX305" s="1"/>
      <c r="AHY305" s="1"/>
      <c r="AHZ305" s="1"/>
      <c r="AIA305" s="1"/>
      <c r="AIB305" s="1"/>
      <c r="AIC305" s="1"/>
      <c r="AID305" s="1"/>
      <c r="AIE305" s="1"/>
      <c r="AIF305" s="1"/>
      <c r="AIG305" s="1"/>
      <c r="AIH305" s="1"/>
      <c r="AII305" s="1"/>
      <c r="AIJ305" s="1"/>
      <c r="AIK305" s="1"/>
      <c r="AIL305" s="1"/>
      <c r="AIM305" s="1"/>
      <c r="AIN305" s="1"/>
      <c r="AIO305" s="1"/>
      <c r="AIP305" s="1"/>
      <c r="AIQ305" s="1"/>
      <c r="AIR305" s="1"/>
      <c r="AIS305" s="1"/>
      <c r="AIT305" s="1"/>
      <c r="AIU305" s="1"/>
      <c r="AIV305" s="1"/>
      <c r="AIW305" s="1"/>
      <c r="AIX305" s="1"/>
      <c r="AIY305" s="1"/>
      <c r="AIZ305" s="1"/>
      <c r="AJA305" s="1"/>
      <c r="AJB305" s="1"/>
      <c r="AJC305" s="1"/>
      <c r="AJD305" s="1"/>
      <c r="AJE305" s="1"/>
      <c r="AJF305" s="1"/>
      <c r="AJG305" s="1"/>
      <c r="AJH305" s="1"/>
      <c r="AJI305" s="1"/>
      <c r="AJJ305" s="1"/>
      <c r="AJK305" s="1"/>
      <c r="AJL305" s="1"/>
      <c r="AJM305" s="1"/>
      <c r="AJN305" s="1"/>
      <c r="AJO305" s="1"/>
      <c r="AJP305" s="1"/>
      <c r="AJQ305" s="1"/>
      <c r="AJR305" s="1"/>
      <c r="AJS305" s="1"/>
      <c r="AJT305" s="1"/>
      <c r="AJU305" s="1"/>
      <c r="AJV305" s="1"/>
      <c r="AJW305" s="1"/>
      <c r="AJX305" s="1"/>
      <c r="AJY305" s="1"/>
      <c r="AJZ305" s="1"/>
      <c r="AKA305" s="1"/>
      <c r="AKB305" s="1"/>
      <c r="AKC305" s="1"/>
      <c r="AKD305" s="1"/>
      <c r="AKE305" s="1"/>
      <c r="AKF305" s="1"/>
      <c r="AKG305" s="1"/>
      <c r="AKH305" s="1"/>
      <c r="AKI305" s="1"/>
      <c r="AKJ305" s="1"/>
      <c r="AKK305" s="1"/>
      <c r="AKL305" s="1"/>
      <c r="AKM305" s="1"/>
      <c r="AKN305" s="1"/>
      <c r="AKO305" s="1"/>
      <c r="AKP305" s="1"/>
      <c r="AKQ305" s="1"/>
      <c r="AKR305" s="1"/>
      <c r="AKS305" s="1"/>
      <c r="AKT305" s="1"/>
      <c r="AKU305" s="1"/>
      <c r="AKV305" s="1"/>
      <c r="AKW305" s="1"/>
      <c r="AKX305" s="1"/>
      <c r="AKY305" s="1"/>
      <c r="AKZ305" s="1"/>
      <c r="ALA305" s="1"/>
      <c r="ALB305" s="1"/>
      <c r="ALC305" s="1"/>
      <c r="ALD305" s="1"/>
      <c r="ALE305" s="1"/>
      <c r="ALF305" s="1"/>
      <c r="ALG305" s="1"/>
      <c r="ALH305" s="1"/>
      <c r="ALI305" s="1"/>
      <c r="ALJ305" s="1"/>
      <c r="ALK305" s="1"/>
      <c r="ALL305" s="1"/>
      <c r="ALM305" s="1"/>
      <c r="ALN305" s="1"/>
      <c r="ALO305" s="1"/>
      <c r="ALP305" s="1"/>
      <c r="ALQ305" s="1"/>
      <c r="ALR305" s="1"/>
      <c r="ALS305" s="1"/>
      <c r="ALT305" s="1"/>
      <c r="ALU305" s="1"/>
      <c r="ALV305" s="1"/>
      <c r="ALW305" s="1"/>
      <c r="ALX305" s="1"/>
      <c r="ALY305" s="1"/>
      <c r="ALZ305" s="1"/>
      <c r="AMA305" s="1"/>
      <c r="AMB305" s="1"/>
      <c r="AMC305" s="1"/>
      <c r="AMD305" s="1"/>
      <c r="AME305" s="1"/>
      <c r="AMF305" s="1"/>
      <c r="AMG305" s="1"/>
      <c r="AMH305" s="1"/>
      <c r="AMI305" s="1"/>
      <c r="AMJ305" s="1"/>
      <c r="AMK305" s="1"/>
      <c r="AML305" s="1"/>
      <c r="AMM305" s="1"/>
      <c r="AMN305" s="1"/>
      <c r="AMO305" s="1"/>
    </row>
    <row r="306" spans="1:1030" x14ac:dyDescent="0.2">
      <c r="A306" s="3" t="str">
        <f t="shared" si="1115"/>
        <v>grm1_human_4OR2</v>
      </c>
      <c r="B306" s="3" t="s">
        <v>40</v>
      </c>
      <c r="C306" s="3" t="s">
        <v>96</v>
      </c>
      <c r="D306" s="3" t="str">
        <f>IFERROR(MID(VLOOKUP($B306,Seqs!$A:$B,2,0),E306,1),"")</f>
        <v>I</v>
      </c>
      <c r="E306" s="3">
        <v>591</v>
      </c>
      <c r="F306" s="3" t="str">
        <f>IFERROR(MID(VLOOKUP($B306,Seqs!$A:$B,2,0),G306,1),"")</f>
        <v>Y</v>
      </c>
      <c r="G306" s="3">
        <v>617</v>
      </c>
      <c r="H306" s="3" t="str">
        <f>IFERROR(MID(VLOOKUP($B306,Seqs!$A:$B,2,0),I306,1),"")</f>
        <v>T</v>
      </c>
      <c r="I306" s="23">
        <v>620</v>
      </c>
      <c r="J306" s="3" t="str">
        <f>IFERROR(MID(VLOOKUP($B306,Seqs!$A:$B,2,0),K306,1),"")</f>
        <v>S</v>
      </c>
      <c r="K306" s="23">
        <v>626</v>
      </c>
      <c r="L306" s="3" t="str">
        <f>IFERROR(MID(VLOOKUP($B306,Seqs!$A:$B,2,0),M306,1),"")</f>
        <v>S</v>
      </c>
      <c r="M306" s="3">
        <v>627</v>
      </c>
      <c r="N306" s="3" t="str">
        <f>IFERROR(MID(VLOOKUP($B306,Seqs!$A:$B,2,0),O306,1),"")</f>
        <v>I</v>
      </c>
      <c r="O306" s="3">
        <v>649</v>
      </c>
      <c r="P306" s="3" t="str">
        <f>IFERROR(MID(VLOOKUP($B306,Seqs!$A:$B,2,0),Q306,1),"")</f>
        <v/>
      </c>
      <c r="Q306" s="3" t="s">
        <v>23</v>
      </c>
      <c r="R306" s="3" t="str">
        <f>IFERROR(MID(VLOOKUP($B306,Seqs!$A:$B,2,0),S306,1),"")</f>
        <v/>
      </c>
      <c r="S306" s="3" t="s">
        <v>23</v>
      </c>
      <c r="T306" s="3" t="str">
        <f>IFERROR(MID(VLOOKUP($B306,Seqs!$A:$B,2,0),U306,1),"")</f>
        <v>T</v>
      </c>
      <c r="U306" s="3">
        <v>654</v>
      </c>
      <c r="V306" s="3" t="str">
        <f>IFERROR(MID(VLOOKUP($B306,Seqs!$A:$B,2,0),W306,1),"")</f>
        <v>L</v>
      </c>
      <c r="W306" s="3">
        <v>686</v>
      </c>
      <c r="X306" s="3" t="str">
        <f>IFERROR(MID(VLOOKUP($B306,Seqs!$A:$B,2,0),Y306,1),"")</f>
        <v/>
      </c>
      <c r="Y306" s="3" t="s">
        <v>23</v>
      </c>
      <c r="Z306" s="3" t="str">
        <f>IFERROR(MID(VLOOKUP($B306,Seqs!$A:$B,2,0),AA306,1),"")</f>
        <v/>
      </c>
      <c r="AA306" s="3" t="s">
        <v>23</v>
      </c>
      <c r="AB306" s="3" t="str">
        <f>IFERROR(MID(VLOOKUP($B306,Seqs!$A:$B,2,0),AC306,1),"")</f>
        <v>S</v>
      </c>
      <c r="AC306" s="9">
        <v>702</v>
      </c>
      <c r="AD306" s="3" t="str">
        <f>IFERROR(MID(VLOOKUP($B306,Seqs!$A:$B,2,0),AE306,1),"")</f>
        <v>E</v>
      </c>
      <c r="AE306" s="3">
        <v>728</v>
      </c>
      <c r="AF306" s="3" t="str">
        <f>IFERROR(MID(VLOOKUP($B306,Seqs!$A:$B,2,0),AG306,1),"")</f>
        <v>C</v>
      </c>
      <c r="AG306" s="3">
        <v>746</v>
      </c>
      <c r="AH306" s="3" t="str">
        <f>IFERROR(MID(VLOOKUP($B306,Seqs!$A:$B,2,0),AI306,1),"")</f>
        <v>T</v>
      </c>
      <c r="AI306" s="3">
        <v>748</v>
      </c>
      <c r="AJ306" s="3" t="str">
        <f>IFERROR(MID(VLOOKUP($B306,Seqs!$A:$B,2,0),AK306,1),"")</f>
        <v>S</v>
      </c>
      <c r="AK306" s="105">
        <v>749</v>
      </c>
      <c r="AL306" s="3" t="str">
        <f>IFERROR(MID(VLOOKUP($B306,Seqs!$A:$B,2,0),AM306,1),"")</f>
        <v>T</v>
      </c>
      <c r="AM306" s="3">
        <v>774</v>
      </c>
      <c r="AN306" s="3" t="str">
        <f>IFERROR(MID(VLOOKUP($B306,Seqs!$A:$B,2,0),AO306,1),"")</f>
        <v>E</v>
      </c>
      <c r="AO306" s="3">
        <v>783</v>
      </c>
      <c r="AP306" s="3" t="str">
        <f>IFERROR(MID(VLOOKUP($B306,Seqs!$A:$B,2,0),AQ306,1),"")</f>
        <v>G</v>
      </c>
      <c r="AQ306" s="3">
        <v>807</v>
      </c>
      <c r="AR306" s="3" t="str">
        <f>IFERROR(MID(VLOOKUP($B306,Seqs!$A:$B,2,0),AS306,1),"")</f>
        <v>Y</v>
      </c>
      <c r="AS306" s="105">
        <v>810</v>
      </c>
      <c r="AT306" s="3" t="str">
        <f>IFERROR(MID(VLOOKUP($B306,Seqs!$A:$B,2,0),AU306,1),"")</f>
        <v>K</v>
      </c>
      <c r="AU306" s="3">
        <v>841</v>
      </c>
      <c r="AV306" s="3" t="str">
        <f>IFERROR(MID(VLOOKUP($B306,Seqs!$A:$B,2,0),AW306,1),"")</f>
        <v/>
      </c>
      <c r="AW306" s="3" t="s">
        <v>23</v>
      </c>
      <c r="AX306" s="3" t="str">
        <f>IFERROR(MID(VLOOKUP($B306,Seqs!$A:$B,2,0),AY306,1),"")</f>
        <v/>
      </c>
      <c r="AY306" s="3" t="s">
        <v>23</v>
      </c>
      <c r="AZ306" s="77" t="str">
        <f>VLOOKUP(B306,Classification!A:D,2,0)</f>
        <v>C</v>
      </c>
      <c r="BA306" s="94" t="str">
        <f>VLOOKUP(B306,Classification!A:D,4,0)</f>
        <v>Metabotropicglutamate</v>
      </c>
      <c r="BB306" s="27" t="b">
        <f t="shared" si="1116"/>
        <v>1</v>
      </c>
      <c r="BC306" s="23">
        <f t="shared" si="1089"/>
        <v>206</v>
      </c>
      <c r="BD306" s="2" t="s">
        <v>1383</v>
      </c>
      <c r="BE306" s="3" t="s">
        <v>1381</v>
      </c>
      <c r="BF306" s="119">
        <v>2.8</v>
      </c>
      <c r="BG306" s="49" t="s">
        <v>1384</v>
      </c>
      <c r="BH306" s="49" t="s">
        <v>1384</v>
      </c>
      <c r="BJ306" s="70" t="s">
        <v>1293</v>
      </c>
      <c r="BK306" s="57" t="s">
        <v>1293</v>
      </c>
      <c r="BL306" s="57" t="s">
        <v>1293</v>
      </c>
      <c r="BM306" s="57" t="s">
        <v>1293</v>
      </c>
      <c r="BN306" s="57" t="s">
        <v>1293</v>
      </c>
      <c r="BO306" s="57" t="s">
        <v>1293</v>
      </c>
      <c r="BP306" s="57" t="s">
        <v>1293</v>
      </c>
      <c r="BQ306" s="57" t="s">
        <v>1293</v>
      </c>
      <c r="BR306" s="57" t="s">
        <v>1293</v>
      </c>
      <c r="BS306" s="57" t="s">
        <v>1293</v>
      </c>
      <c r="BT306" s="57" t="s">
        <v>1293</v>
      </c>
      <c r="BU306" s="57" t="s">
        <v>1293</v>
      </c>
      <c r="BV306" s="70">
        <f t="shared" si="1090"/>
        <v>591</v>
      </c>
      <c r="BW306" s="71">
        <f t="shared" si="1091"/>
        <v>620</v>
      </c>
      <c r="BX306" s="72">
        <f t="shared" si="1092"/>
        <v>627</v>
      </c>
      <c r="BY306" s="71" t="str">
        <f t="shared" si="1093"/>
        <v>-</v>
      </c>
      <c r="BZ306" s="72">
        <f t="shared" si="1094"/>
        <v>654</v>
      </c>
      <c r="CA306" s="71" t="str">
        <f t="shared" si="1095"/>
        <v>-</v>
      </c>
      <c r="CB306" s="72">
        <f t="shared" si="1096"/>
        <v>702</v>
      </c>
      <c r="CC306" s="71">
        <f t="shared" si="1097"/>
        <v>746</v>
      </c>
      <c r="CD306" s="72">
        <f t="shared" si="1098"/>
        <v>749</v>
      </c>
      <c r="CE306" s="71">
        <f t="shared" si="1099"/>
        <v>783</v>
      </c>
      <c r="CF306" s="72">
        <f t="shared" si="1100"/>
        <v>810</v>
      </c>
      <c r="CG306" s="71" t="str">
        <f t="shared" si="1101"/>
        <v>-</v>
      </c>
      <c r="CH306" s="70">
        <f t="shared" si="1102"/>
        <v>617</v>
      </c>
      <c r="CI306" s="71">
        <f t="shared" si="1103"/>
        <v>626</v>
      </c>
      <c r="CJ306" s="72">
        <f t="shared" si="1104"/>
        <v>649</v>
      </c>
      <c r="CK306" s="72" t="str">
        <f t="shared" si="1105"/>
        <v>-</v>
      </c>
      <c r="CL306" s="72">
        <f t="shared" si="1106"/>
        <v>686</v>
      </c>
      <c r="CM306" s="72" t="str">
        <f t="shared" si="1107"/>
        <v>-</v>
      </c>
      <c r="CN306" s="72">
        <f t="shared" si="1108"/>
        <v>728</v>
      </c>
      <c r="CO306" s="72">
        <f t="shared" si="1109"/>
        <v>748</v>
      </c>
      <c r="CP306" s="72">
        <f t="shared" si="1110"/>
        <v>774</v>
      </c>
      <c r="CQ306" s="72">
        <f t="shared" si="1111"/>
        <v>807</v>
      </c>
      <c r="CR306" s="72">
        <f t="shared" si="1112"/>
        <v>841</v>
      </c>
      <c r="CS306" s="72" t="str">
        <f t="shared" si="1113"/>
        <v>-</v>
      </c>
      <c r="CT306" s="23">
        <f t="shared" si="1114"/>
        <v>1</v>
      </c>
    </row>
    <row r="307" spans="1:1030" x14ac:dyDescent="0.2">
      <c r="A307" s="3" t="str">
        <f t="shared" si="1115"/>
        <v>grm5_human__wt</v>
      </c>
      <c r="B307" s="3" t="s">
        <v>41</v>
      </c>
      <c r="C307" s="3" t="s">
        <v>100</v>
      </c>
      <c r="D307" s="3" t="str">
        <f>IFERROR(MID(VLOOKUP($B307,Seqs!$A:$B,2,0),E307,1),"")</f>
        <v>P</v>
      </c>
      <c r="E307" s="3">
        <v>578</v>
      </c>
      <c r="F307" s="3" t="str">
        <f>IFERROR(MID(VLOOKUP($B307,Seqs!$A:$B,2,0),G307,1),"")</f>
        <v>Y</v>
      </c>
      <c r="G307" s="3">
        <v>604</v>
      </c>
      <c r="H307" s="3" t="str">
        <f>IFERROR(MID(VLOOKUP($B307,Seqs!$A:$B,2,0),I307,1),"")</f>
        <v>T</v>
      </c>
      <c r="I307" s="23">
        <v>607</v>
      </c>
      <c r="J307" s="3" t="str">
        <f>IFERROR(MID(VLOOKUP($B307,Seqs!$A:$B,2,0),K307,1),"")</f>
        <v>S</v>
      </c>
      <c r="K307" s="23">
        <v>613</v>
      </c>
      <c r="L307" s="3" t="str">
        <f>IFERROR(MID(VLOOKUP($B307,Seqs!$A:$B,2,0),M307,1),"")</f>
        <v>S</v>
      </c>
      <c r="M307" s="3">
        <v>614</v>
      </c>
      <c r="N307" s="3" t="str">
        <f>IFERROR(MID(VLOOKUP($B307,Seqs!$A:$B,2,0),O307,1),"")</f>
        <v>I</v>
      </c>
      <c r="O307" s="3">
        <v>636</v>
      </c>
      <c r="P307" s="3" t="str">
        <f>IFERROR(MID(VLOOKUP($B307,Seqs!$A:$B,2,0),Q307,1),"")</f>
        <v/>
      </c>
      <c r="Q307" s="3" t="s">
        <v>23</v>
      </c>
      <c r="R307" s="3" t="str">
        <f>IFERROR(MID(VLOOKUP($B307,Seqs!$A:$B,2,0),S307,1),"")</f>
        <v/>
      </c>
      <c r="S307" s="3" t="s">
        <v>23</v>
      </c>
      <c r="T307" s="3" t="str">
        <f>IFERROR(MID(VLOOKUP($B307,Seqs!$A:$B,2,0),U307,1),"")</f>
        <v>Q</v>
      </c>
      <c r="U307" s="3">
        <v>641</v>
      </c>
      <c r="V307" s="3" t="str">
        <f>IFERROR(MID(VLOOKUP($B307,Seqs!$A:$B,2,0),W307,1),"")</f>
        <v>L</v>
      </c>
      <c r="W307" s="3">
        <v>673</v>
      </c>
      <c r="X307" s="3" t="str">
        <f>IFERROR(MID(VLOOKUP($B307,Seqs!$A:$B,2,0),Y307,1),"")</f>
        <v/>
      </c>
      <c r="Y307" s="3" t="s">
        <v>23</v>
      </c>
      <c r="Z307" s="3" t="str">
        <f>IFERROR(MID(VLOOKUP($B307,Seqs!$A:$B,2,0),AA307,1),"")</f>
        <v/>
      </c>
      <c r="AA307" s="3" t="s">
        <v>23</v>
      </c>
      <c r="AB307" s="3" t="str">
        <f>IFERROR(MID(VLOOKUP($B307,Seqs!$A:$B,2,0),AC307,1),"")</f>
        <v>S</v>
      </c>
      <c r="AC307" s="9">
        <v>689</v>
      </c>
      <c r="AD307" s="3" t="str">
        <f>IFERROR(MID(VLOOKUP($B307,Seqs!$A:$B,2,0),AE307,1),"")</f>
        <v>E</v>
      </c>
      <c r="AE307" s="3">
        <v>715</v>
      </c>
      <c r="AF307" s="3" t="str">
        <f>IFERROR(MID(VLOOKUP($B307,Seqs!$A:$B,2,0),AG307,1),"")</f>
        <v>C</v>
      </c>
      <c r="AG307" s="3">
        <v>733</v>
      </c>
      <c r="AH307" s="3" t="str">
        <f>IFERROR(MID(VLOOKUP($B307,Seqs!$A:$B,2,0),AI307,1),"")</f>
        <v>T</v>
      </c>
      <c r="AI307" s="3">
        <v>735</v>
      </c>
      <c r="AJ307" s="3" t="str">
        <f>IFERROR(MID(VLOOKUP($B307,Seqs!$A:$B,2,0),AK307,1),"")</f>
        <v>T</v>
      </c>
      <c r="AK307" s="105">
        <v>736</v>
      </c>
      <c r="AL307" s="3" t="str">
        <f>IFERROR(MID(VLOOKUP($B307,Seqs!$A:$B,2,0),AM307,1),"")</f>
        <v>T</v>
      </c>
      <c r="AM307" s="3">
        <v>761</v>
      </c>
      <c r="AN307" s="3" t="str">
        <f>IFERROR(MID(VLOOKUP($B307,Seqs!$A:$B,2,0),AO307,1),"")</f>
        <v>E</v>
      </c>
      <c r="AO307" s="3">
        <v>770</v>
      </c>
      <c r="AP307" s="3" t="str">
        <f>IFERROR(MID(VLOOKUP($B307,Seqs!$A:$B,2,0),AQ307,1),"")</f>
        <v>G</v>
      </c>
      <c r="AQ307" s="3">
        <v>794</v>
      </c>
      <c r="AR307" s="3" t="str">
        <f>IFERROR(MID(VLOOKUP($B307,Seqs!$A:$B,2,0),AS307,1),"")</f>
        <v>Y</v>
      </c>
      <c r="AS307" s="105">
        <v>797</v>
      </c>
      <c r="AT307" s="3" t="str">
        <f>IFERROR(MID(VLOOKUP($B307,Seqs!$A:$B,2,0),AU307,1),"")</f>
        <v>K</v>
      </c>
      <c r="AU307" s="3">
        <v>828</v>
      </c>
      <c r="AV307" s="3" t="str">
        <f>IFERROR(MID(VLOOKUP($B307,Seqs!$A:$B,2,0),AW307,1),"")</f>
        <v>P</v>
      </c>
      <c r="AW307" s="3">
        <v>829</v>
      </c>
      <c r="AX307" s="3" t="str">
        <f>IFERROR(MID(VLOOKUP($B307,Seqs!$A:$B,2,0),AY307,1),"")</f>
        <v>S</v>
      </c>
      <c r="AY307" s="3">
        <v>840</v>
      </c>
      <c r="AZ307" s="77" t="str">
        <f>VLOOKUP(B307,Classification!A:D,2,0)</f>
        <v>C</v>
      </c>
      <c r="BA307" s="94" t="str">
        <f>VLOOKUP(B307,Classification!A:D,4,0)</f>
        <v>Metabotropicglutamate</v>
      </c>
      <c r="BB307" s="27" t="b">
        <f t="shared" si="1116"/>
        <v>1</v>
      </c>
      <c r="BC307" s="23">
        <f t="shared" si="1089"/>
        <v>217</v>
      </c>
      <c r="BD307" s="56" t="s">
        <v>1379</v>
      </c>
      <c r="BE307" s="3" t="s">
        <v>23</v>
      </c>
      <c r="BF307" s="119" t="s">
        <v>23</v>
      </c>
      <c r="BG307" s="49" t="s">
        <v>1379</v>
      </c>
      <c r="BH307" s="49" t="s">
        <v>1384</v>
      </c>
      <c r="BJ307" s="70" t="s">
        <v>1293</v>
      </c>
      <c r="BK307" s="57" t="s">
        <v>1293</v>
      </c>
      <c r="BL307" s="57" t="s">
        <v>1293</v>
      </c>
      <c r="BM307" s="57" t="s">
        <v>1293</v>
      </c>
      <c r="BN307" s="57" t="s">
        <v>1293</v>
      </c>
      <c r="BO307" s="57" t="s">
        <v>1293</v>
      </c>
      <c r="BP307" s="57" t="s">
        <v>1293</v>
      </c>
      <c r="BQ307" s="57" t="s">
        <v>1293</v>
      </c>
      <c r="BR307" s="57" t="s">
        <v>1293</v>
      </c>
      <c r="BS307" s="57" t="s">
        <v>1293</v>
      </c>
      <c r="BT307" s="57" t="s">
        <v>1293</v>
      </c>
      <c r="BU307" s="57" t="s">
        <v>1293</v>
      </c>
      <c r="BV307" s="70">
        <f t="shared" si="1090"/>
        <v>578</v>
      </c>
      <c r="BW307" s="71">
        <f t="shared" si="1091"/>
        <v>607</v>
      </c>
      <c r="BX307" s="72">
        <f t="shared" si="1092"/>
        <v>614</v>
      </c>
      <c r="BY307" s="71" t="str">
        <f t="shared" si="1093"/>
        <v>-</v>
      </c>
      <c r="BZ307" s="72">
        <f t="shared" si="1094"/>
        <v>641</v>
      </c>
      <c r="CA307" s="71" t="str">
        <f t="shared" si="1095"/>
        <v>-</v>
      </c>
      <c r="CB307" s="72">
        <f t="shared" si="1096"/>
        <v>689</v>
      </c>
      <c r="CC307" s="71">
        <f t="shared" si="1097"/>
        <v>733</v>
      </c>
      <c r="CD307" s="72">
        <f t="shared" si="1098"/>
        <v>736</v>
      </c>
      <c r="CE307" s="71">
        <f t="shared" si="1099"/>
        <v>770</v>
      </c>
      <c r="CF307" s="72">
        <f t="shared" si="1100"/>
        <v>797</v>
      </c>
      <c r="CG307" s="71">
        <f t="shared" si="1101"/>
        <v>829</v>
      </c>
      <c r="CH307" s="70">
        <f t="shared" si="1102"/>
        <v>604</v>
      </c>
      <c r="CI307" s="71">
        <f t="shared" si="1103"/>
        <v>613</v>
      </c>
      <c r="CJ307" s="72">
        <f t="shared" si="1104"/>
        <v>636</v>
      </c>
      <c r="CK307" s="72" t="str">
        <f t="shared" si="1105"/>
        <v>-</v>
      </c>
      <c r="CL307" s="72">
        <f t="shared" si="1106"/>
        <v>673</v>
      </c>
      <c r="CM307" s="72" t="str">
        <f t="shared" si="1107"/>
        <v>-</v>
      </c>
      <c r="CN307" s="72">
        <f t="shared" si="1108"/>
        <v>715</v>
      </c>
      <c r="CO307" s="72">
        <f t="shared" si="1109"/>
        <v>735</v>
      </c>
      <c r="CP307" s="72">
        <f t="shared" si="1110"/>
        <v>761</v>
      </c>
      <c r="CQ307" s="72">
        <f t="shared" si="1111"/>
        <v>794</v>
      </c>
      <c r="CR307" s="72">
        <f t="shared" si="1112"/>
        <v>828</v>
      </c>
      <c r="CS307" s="72">
        <f t="shared" si="1113"/>
        <v>840</v>
      </c>
      <c r="CT307" s="23">
        <f t="shared" si="1114"/>
        <v>1</v>
      </c>
    </row>
    <row r="308" spans="1:1030" x14ac:dyDescent="0.2">
      <c r="A308" s="3" t="str">
        <f t="shared" si="1115"/>
        <v>grm5_human_4OO9</v>
      </c>
      <c r="B308" s="3" t="s">
        <v>41</v>
      </c>
      <c r="C308" s="3" t="s">
        <v>57</v>
      </c>
      <c r="D308" s="3" t="str">
        <f>IFERROR(MID(VLOOKUP($B308,Seqs!$A:$B,2,0),E308,1),"")</f>
        <v>P</v>
      </c>
      <c r="E308" s="3">
        <v>578</v>
      </c>
      <c r="F308" s="3" t="str">
        <f>IFERROR(MID(VLOOKUP($B308,Seqs!$A:$B,2,0),G308,1),"")</f>
        <v>Y</v>
      </c>
      <c r="G308" s="3">
        <v>604</v>
      </c>
      <c r="H308" s="3" t="str">
        <f>IFERROR(MID(VLOOKUP($B308,Seqs!$A:$B,2,0),I308,1),"")</f>
        <v>T</v>
      </c>
      <c r="I308" s="23">
        <v>607</v>
      </c>
      <c r="J308" s="3" t="str">
        <f>IFERROR(MID(VLOOKUP($B308,Seqs!$A:$B,2,0),K308,1),"")</f>
        <v>S</v>
      </c>
      <c r="K308" s="23">
        <v>613</v>
      </c>
      <c r="L308" s="3" t="str">
        <f>IFERROR(MID(VLOOKUP($B308,Seqs!$A:$B,2,0),M308,1),"")</f>
        <v>S</v>
      </c>
      <c r="M308" s="3">
        <v>614</v>
      </c>
      <c r="N308" s="3" t="str">
        <f>IFERROR(MID(VLOOKUP($B308,Seqs!$A:$B,2,0),O308,1),"")</f>
        <v>I</v>
      </c>
      <c r="O308" s="3">
        <v>636</v>
      </c>
      <c r="P308" s="3" t="str">
        <f>IFERROR(MID(VLOOKUP($B308,Seqs!$A:$B,2,0),Q308,1),"")</f>
        <v/>
      </c>
      <c r="Q308" s="3" t="s">
        <v>23</v>
      </c>
      <c r="R308" s="3" t="str">
        <f>IFERROR(MID(VLOOKUP($B308,Seqs!$A:$B,2,0),S308,1),"")</f>
        <v/>
      </c>
      <c r="S308" s="3" t="s">
        <v>23</v>
      </c>
      <c r="T308" s="3" t="str">
        <f>IFERROR(MID(VLOOKUP($B308,Seqs!$A:$B,2,0),U308,1),"")</f>
        <v>Q</v>
      </c>
      <c r="U308" s="3">
        <v>641</v>
      </c>
      <c r="V308" s="3" t="str">
        <f>IFERROR(MID(VLOOKUP($B308,Seqs!$A:$B,2,0),W308,1),"")</f>
        <v>K</v>
      </c>
      <c r="W308" s="3">
        <v>678</v>
      </c>
      <c r="X308" s="3" t="str">
        <f>IFERROR(MID(VLOOKUP($B308,Seqs!$A:$B,2,0),Y308,1),"")</f>
        <v/>
      </c>
      <c r="Y308" s="3" t="s">
        <v>23</v>
      </c>
      <c r="Z308" s="3" t="str">
        <f>IFERROR(MID(VLOOKUP($B308,Seqs!$A:$B,2,0),AA308,1),"")</f>
        <v/>
      </c>
      <c r="AA308" s="3" t="s">
        <v>23</v>
      </c>
      <c r="AB308" s="3" t="str">
        <f>IFERROR(MID(VLOOKUP($B308,Seqs!$A:$B,2,0),AC308,1),"")</f>
        <v>S</v>
      </c>
      <c r="AC308" s="9">
        <v>689</v>
      </c>
      <c r="AD308" s="3" t="str">
        <f>IFERROR(MID(VLOOKUP($B308,Seqs!$A:$B,2,0),AE308,1),"")</f>
        <v>E</v>
      </c>
      <c r="AE308" s="3">
        <v>715</v>
      </c>
      <c r="AF308" s="3" t="str">
        <f>IFERROR(MID(VLOOKUP($B308,Seqs!$A:$B,2,0),AG308,1),"")</f>
        <v>C</v>
      </c>
      <c r="AG308" s="3">
        <v>733</v>
      </c>
      <c r="AH308" s="3" t="str">
        <f>IFERROR(MID(VLOOKUP($B308,Seqs!$A:$B,2,0),AI308,1),"")</f>
        <v>T</v>
      </c>
      <c r="AI308" s="3">
        <v>735</v>
      </c>
      <c r="AJ308" s="3" t="str">
        <f>IFERROR(MID(VLOOKUP($B308,Seqs!$A:$B,2,0),AK308,1),"")</f>
        <v>N</v>
      </c>
      <c r="AK308" s="3">
        <v>737</v>
      </c>
      <c r="AL308" s="3" t="str">
        <f>IFERROR(MID(VLOOKUP($B308,Seqs!$A:$B,2,0),AM308,1),"")</f>
        <v>T</v>
      </c>
      <c r="AM308" s="3">
        <v>761</v>
      </c>
      <c r="AN308" s="3" t="str">
        <f>IFERROR(MID(VLOOKUP($B308,Seqs!$A:$B,2,0),AO308,1),"")</f>
        <v>E</v>
      </c>
      <c r="AO308" s="3">
        <v>770</v>
      </c>
      <c r="AP308" s="3" t="str">
        <f>IFERROR(MID(VLOOKUP($B308,Seqs!$A:$B,2,0),AQ308,1),"")</f>
        <v>G</v>
      </c>
      <c r="AQ308" s="3">
        <v>794</v>
      </c>
      <c r="AR308" s="3" t="str">
        <f>IFERROR(MID(VLOOKUP($B308,Seqs!$A:$B,2,0),AS308,1),"")</f>
        <v>Y</v>
      </c>
      <c r="AS308" s="105">
        <v>797</v>
      </c>
      <c r="AT308" s="3" t="str">
        <f>IFERROR(MID(VLOOKUP($B308,Seqs!$A:$B,2,0),AU308,1),"")</f>
        <v>K</v>
      </c>
      <c r="AU308" s="3">
        <v>828</v>
      </c>
      <c r="AV308" s="3" t="str">
        <f>IFERROR(MID(VLOOKUP($B308,Seqs!$A:$B,2,0),AW308,1),"")</f>
        <v>P</v>
      </c>
      <c r="AW308" s="3">
        <v>829</v>
      </c>
      <c r="AX308" s="3" t="str">
        <f>IFERROR(MID(VLOOKUP($B308,Seqs!$A:$B,2,0),AY308,1),"")</f>
        <v>N</v>
      </c>
      <c r="AY308" s="3">
        <v>832</v>
      </c>
      <c r="AZ308" s="77" t="str">
        <f>VLOOKUP(B308,Classification!A:D,2,0)</f>
        <v>C</v>
      </c>
      <c r="BA308" s="94" t="str">
        <f>VLOOKUP(B308,Classification!A:D,4,0)</f>
        <v>Metabotropicglutamate</v>
      </c>
      <c r="BB308" s="27" t="b">
        <f t="shared" si="1116"/>
        <v>1</v>
      </c>
      <c r="BC308" s="23">
        <f t="shared" si="1089"/>
        <v>213</v>
      </c>
      <c r="BD308" s="106" t="s">
        <v>1383</v>
      </c>
      <c r="BE308" s="3" t="s">
        <v>1381</v>
      </c>
      <c r="BF308" s="119">
        <v>2.6</v>
      </c>
      <c r="BG308" s="49" t="s">
        <v>1384</v>
      </c>
      <c r="BH308" s="49" t="s">
        <v>1384</v>
      </c>
      <c r="BJ308" s="70" t="s">
        <v>1293</v>
      </c>
      <c r="BK308" s="57" t="s">
        <v>1293</v>
      </c>
      <c r="BL308" s="57" t="s">
        <v>1293</v>
      </c>
      <c r="BM308" s="57" t="s">
        <v>1293</v>
      </c>
      <c r="BN308" s="57" t="s">
        <v>1293</v>
      </c>
      <c r="BO308" s="57" t="s">
        <v>1293</v>
      </c>
      <c r="BP308" s="57" t="s">
        <v>1293</v>
      </c>
      <c r="BQ308" s="57" t="s">
        <v>1293</v>
      </c>
      <c r="BR308" s="57" t="s">
        <v>1293</v>
      </c>
      <c r="BS308" s="57" t="s">
        <v>1293</v>
      </c>
      <c r="BT308" s="57" t="s">
        <v>1293</v>
      </c>
      <c r="BU308" s="57" t="s">
        <v>1293</v>
      </c>
      <c r="BV308" s="70">
        <f t="shared" si="1090"/>
        <v>578</v>
      </c>
      <c r="BW308" s="71">
        <f t="shared" si="1091"/>
        <v>607</v>
      </c>
      <c r="BX308" s="72">
        <f t="shared" si="1092"/>
        <v>614</v>
      </c>
      <c r="BY308" s="71" t="str">
        <f t="shared" si="1093"/>
        <v>-</v>
      </c>
      <c r="BZ308" s="72">
        <f t="shared" si="1094"/>
        <v>641</v>
      </c>
      <c r="CA308" s="71" t="str">
        <f t="shared" si="1095"/>
        <v>-</v>
      </c>
      <c r="CB308" s="72">
        <f t="shared" si="1096"/>
        <v>689</v>
      </c>
      <c r="CC308" s="71">
        <f t="shared" si="1097"/>
        <v>733</v>
      </c>
      <c r="CD308" s="72">
        <f t="shared" si="1098"/>
        <v>737</v>
      </c>
      <c r="CE308" s="71">
        <f t="shared" si="1099"/>
        <v>770</v>
      </c>
      <c r="CF308" s="72">
        <f t="shared" si="1100"/>
        <v>797</v>
      </c>
      <c r="CG308" s="71">
        <f t="shared" si="1101"/>
        <v>829</v>
      </c>
      <c r="CH308" s="70">
        <f t="shared" si="1102"/>
        <v>604</v>
      </c>
      <c r="CI308" s="71">
        <f t="shared" si="1103"/>
        <v>613</v>
      </c>
      <c r="CJ308" s="72">
        <f t="shared" si="1104"/>
        <v>636</v>
      </c>
      <c r="CK308" s="72" t="str">
        <f t="shared" si="1105"/>
        <v>-</v>
      </c>
      <c r="CL308" s="72">
        <f t="shared" si="1106"/>
        <v>678</v>
      </c>
      <c r="CM308" s="72" t="str">
        <f t="shared" si="1107"/>
        <v>-</v>
      </c>
      <c r="CN308" s="72">
        <f t="shared" si="1108"/>
        <v>715</v>
      </c>
      <c r="CO308" s="72">
        <f t="shared" si="1109"/>
        <v>735</v>
      </c>
      <c r="CP308" s="72">
        <f t="shared" si="1110"/>
        <v>761</v>
      </c>
      <c r="CQ308" s="72">
        <f t="shared" si="1111"/>
        <v>794</v>
      </c>
      <c r="CR308" s="72">
        <f t="shared" si="1112"/>
        <v>828</v>
      </c>
      <c r="CS308" s="72">
        <f t="shared" si="1113"/>
        <v>832</v>
      </c>
      <c r="CT308" s="23">
        <f t="shared" si="1114"/>
        <v>1</v>
      </c>
    </row>
    <row r="309" spans="1:1030" x14ac:dyDescent="0.2">
      <c r="A309" s="3" t="str">
        <f t="shared" si="1115"/>
        <v>grm5_human_5CGC</v>
      </c>
      <c r="B309" s="3" t="s">
        <v>41</v>
      </c>
      <c r="C309" s="3" t="s">
        <v>58</v>
      </c>
      <c r="D309" s="3" t="str">
        <f>IFERROR(MID(VLOOKUP($B309,Seqs!$A:$B,2,0),E309,1),"")</f>
        <v>P</v>
      </c>
      <c r="E309" s="3">
        <v>578</v>
      </c>
      <c r="F309" s="3" t="str">
        <f>IFERROR(MID(VLOOKUP($B309,Seqs!$A:$B,2,0),G309,1),"")</f>
        <v>Y</v>
      </c>
      <c r="G309" s="3">
        <v>604</v>
      </c>
      <c r="H309" s="3" t="str">
        <f>IFERROR(MID(VLOOKUP($B309,Seqs!$A:$B,2,0),I309,1),"")</f>
        <v>T</v>
      </c>
      <c r="I309" s="23">
        <v>607</v>
      </c>
      <c r="J309" s="3" t="str">
        <f>IFERROR(MID(VLOOKUP($B309,Seqs!$A:$B,2,0),K309,1),"")</f>
        <v>S</v>
      </c>
      <c r="K309" s="23">
        <v>613</v>
      </c>
      <c r="L309" s="3" t="str">
        <f>IFERROR(MID(VLOOKUP($B309,Seqs!$A:$B,2,0),M309,1),"")</f>
        <v>S</v>
      </c>
      <c r="M309" s="3">
        <v>614</v>
      </c>
      <c r="N309" s="3" t="str">
        <f>IFERROR(MID(VLOOKUP($B309,Seqs!$A:$B,2,0),O309,1),"")</f>
        <v>I</v>
      </c>
      <c r="O309" s="3">
        <v>636</v>
      </c>
      <c r="P309" s="3" t="str">
        <f>IFERROR(MID(VLOOKUP($B309,Seqs!$A:$B,2,0),Q309,1),"")</f>
        <v/>
      </c>
      <c r="Q309" s="3" t="s">
        <v>23</v>
      </c>
      <c r="R309" s="3" t="str">
        <f>IFERROR(MID(VLOOKUP($B309,Seqs!$A:$B,2,0),S309,1),"")</f>
        <v/>
      </c>
      <c r="S309" s="3" t="s">
        <v>23</v>
      </c>
      <c r="T309" s="3" t="str">
        <f>IFERROR(MID(VLOOKUP($B309,Seqs!$A:$B,2,0),U309,1),"")</f>
        <v>Q</v>
      </c>
      <c r="U309" s="3">
        <v>641</v>
      </c>
      <c r="V309" s="3" t="str">
        <f>IFERROR(MID(VLOOKUP($B309,Seqs!$A:$B,2,0),W309,1),"")</f>
        <v>K</v>
      </c>
      <c r="W309" s="3">
        <v>678</v>
      </c>
      <c r="X309" s="3" t="str">
        <f>IFERROR(MID(VLOOKUP($B309,Seqs!$A:$B,2,0),Y309,1),"")</f>
        <v/>
      </c>
      <c r="Y309" s="3" t="s">
        <v>23</v>
      </c>
      <c r="Z309" s="3" t="str">
        <f>IFERROR(MID(VLOOKUP($B309,Seqs!$A:$B,2,0),AA309,1),"")</f>
        <v/>
      </c>
      <c r="AA309" s="3" t="s">
        <v>23</v>
      </c>
      <c r="AB309" s="3" t="str">
        <f>IFERROR(MID(VLOOKUP($B309,Seqs!$A:$B,2,0),AC309,1),"")</f>
        <v>S</v>
      </c>
      <c r="AC309" s="9">
        <v>689</v>
      </c>
      <c r="AD309" s="3" t="str">
        <f>IFERROR(MID(VLOOKUP($B309,Seqs!$A:$B,2,0),AE309,1),"")</f>
        <v>E</v>
      </c>
      <c r="AE309" s="3">
        <v>715</v>
      </c>
      <c r="AF309" s="3" t="str">
        <f>IFERROR(MID(VLOOKUP($B309,Seqs!$A:$B,2,0),AG309,1),"")</f>
        <v>C</v>
      </c>
      <c r="AG309" s="3">
        <v>733</v>
      </c>
      <c r="AH309" s="3" t="str">
        <f>IFERROR(MID(VLOOKUP($B309,Seqs!$A:$B,2,0),AI309,1),"")</f>
        <v>T</v>
      </c>
      <c r="AI309" s="3">
        <v>735</v>
      </c>
      <c r="AJ309" s="3" t="str">
        <f>IFERROR(MID(VLOOKUP($B309,Seqs!$A:$B,2,0),AK309,1),"")</f>
        <v>N</v>
      </c>
      <c r="AK309" s="3">
        <v>737</v>
      </c>
      <c r="AL309" s="3" t="str">
        <f>IFERROR(MID(VLOOKUP($B309,Seqs!$A:$B,2,0),AM309,1),"")</f>
        <v>T</v>
      </c>
      <c r="AM309" s="3">
        <v>761</v>
      </c>
      <c r="AN309" s="3" t="str">
        <f>IFERROR(MID(VLOOKUP($B309,Seqs!$A:$B,2,0),AO309,1),"")</f>
        <v>E</v>
      </c>
      <c r="AO309" s="3">
        <v>770</v>
      </c>
      <c r="AP309" s="3" t="str">
        <f>IFERROR(MID(VLOOKUP($B309,Seqs!$A:$B,2,0),AQ309,1),"")</f>
        <v>G</v>
      </c>
      <c r="AQ309" s="3">
        <v>794</v>
      </c>
      <c r="AR309" s="3" t="str">
        <f>IFERROR(MID(VLOOKUP($B309,Seqs!$A:$B,2,0),AS309,1),"")</f>
        <v>Y</v>
      </c>
      <c r="AS309" s="105">
        <v>797</v>
      </c>
      <c r="AT309" s="3" t="str">
        <f>IFERROR(MID(VLOOKUP($B309,Seqs!$A:$B,2,0),AU309,1),"")</f>
        <v>K</v>
      </c>
      <c r="AU309" s="3">
        <v>828</v>
      </c>
      <c r="AV309" s="3" t="str">
        <f>IFERROR(MID(VLOOKUP($B309,Seqs!$A:$B,2,0),AW309,1),"")</f>
        <v>P</v>
      </c>
      <c r="AW309" s="3">
        <v>829</v>
      </c>
      <c r="AX309" s="3" t="str">
        <f>IFERROR(MID(VLOOKUP($B309,Seqs!$A:$B,2,0),AY309,1),"")</f>
        <v>N</v>
      </c>
      <c r="AY309" s="3">
        <v>832</v>
      </c>
      <c r="AZ309" s="77" t="str">
        <f>VLOOKUP(B309,Classification!A:D,2,0)</f>
        <v>C</v>
      </c>
      <c r="BA309" s="94" t="str">
        <f>VLOOKUP(B309,Classification!A:D,4,0)</f>
        <v>Metabotropicglutamate</v>
      </c>
      <c r="BB309" s="27" t="b">
        <f t="shared" si="1116"/>
        <v>1</v>
      </c>
      <c r="BC309" s="23">
        <f t="shared" si="1089"/>
        <v>213</v>
      </c>
      <c r="BD309" s="4" t="s">
        <v>23</v>
      </c>
      <c r="BE309" s="3" t="s">
        <v>1381</v>
      </c>
      <c r="BF309" s="119">
        <v>3.1</v>
      </c>
      <c r="BG309" s="49" t="s">
        <v>1384</v>
      </c>
      <c r="BH309" s="49" t="s">
        <v>1384</v>
      </c>
      <c r="BJ309" s="70" t="s">
        <v>1293</v>
      </c>
      <c r="BK309" s="57" t="s">
        <v>1293</v>
      </c>
      <c r="BL309" s="57" t="s">
        <v>1293</v>
      </c>
      <c r="BM309" s="57" t="s">
        <v>1293</v>
      </c>
      <c r="BN309" s="57" t="s">
        <v>1293</v>
      </c>
      <c r="BO309" s="57" t="s">
        <v>1293</v>
      </c>
      <c r="BP309" s="57" t="s">
        <v>1293</v>
      </c>
      <c r="BQ309" s="57" t="s">
        <v>1293</v>
      </c>
      <c r="BR309" s="57" t="s">
        <v>1293</v>
      </c>
      <c r="BS309" s="57" t="s">
        <v>1293</v>
      </c>
      <c r="BT309" s="57" t="s">
        <v>1293</v>
      </c>
      <c r="BU309" s="57" t="s">
        <v>1293</v>
      </c>
      <c r="BV309" s="70">
        <f t="shared" si="1090"/>
        <v>578</v>
      </c>
      <c r="BW309" s="71">
        <f t="shared" si="1091"/>
        <v>607</v>
      </c>
      <c r="BX309" s="72">
        <f t="shared" si="1092"/>
        <v>614</v>
      </c>
      <c r="BY309" s="71" t="str">
        <f t="shared" si="1093"/>
        <v>-</v>
      </c>
      <c r="BZ309" s="72">
        <f t="shared" si="1094"/>
        <v>641</v>
      </c>
      <c r="CA309" s="71" t="str">
        <f t="shared" si="1095"/>
        <v>-</v>
      </c>
      <c r="CB309" s="72">
        <f t="shared" si="1096"/>
        <v>689</v>
      </c>
      <c r="CC309" s="71">
        <f t="shared" si="1097"/>
        <v>733</v>
      </c>
      <c r="CD309" s="72">
        <f t="shared" si="1098"/>
        <v>737</v>
      </c>
      <c r="CE309" s="71">
        <f t="shared" si="1099"/>
        <v>770</v>
      </c>
      <c r="CF309" s="72">
        <f t="shared" si="1100"/>
        <v>797</v>
      </c>
      <c r="CG309" s="71">
        <f t="shared" si="1101"/>
        <v>829</v>
      </c>
      <c r="CH309" s="70">
        <f t="shared" si="1102"/>
        <v>604</v>
      </c>
      <c r="CI309" s="71">
        <f t="shared" si="1103"/>
        <v>613</v>
      </c>
      <c r="CJ309" s="72">
        <f t="shared" si="1104"/>
        <v>636</v>
      </c>
      <c r="CK309" s="72" t="str">
        <f t="shared" si="1105"/>
        <v>-</v>
      </c>
      <c r="CL309" s="72">
        <f t="shared" si="1106"/>
        <v>678</v>
      </c>
      <c r="CM309" s="72" t="str">
        <f t="shared" si="1107"/>
        <v>-</v>
      </c>
      <c r="CN309" s="72">
        <f t="shared" si="1108"/>
        <v>715</v>
      </c>
      <c r="CO309" s="72">
        <f t="shared" si="1109"/>
        <v>735</v>
      </c>
      <c r="CP309" s="72">
        <f t="shared" si="1110"/>
        <v>761</v>
      </c>
      <c r="CQ309" s="72">
        <f t="shared" si="1111"/>
        <v>794</v>
      </c>
      <c r="CR309" s="72">
        <f t="shared" si="1112"/>
        <v>828</v>
      </c>
      <c r="CS309" s="72">
        <f t="shared" si="1113"/>
        <v>832</v>
      </c>
      <c r="CT309" s="23">
        <f t="shared" si="1114"/>
        <v>1</v>
      </c>
    </row>
    <row r="310" spans="1:1030" x14ac:dyDescent="0.2">
      <c r="A310" s="3" t="str">
        <f t="shared" si="1115"/>
        <v>grm5_human_5CGD</v>
      </c>
      <c r="B310" s="3" t="s">
        <v>41</v>
      </c>
      <c r="C310" s="3" t="s">
        <v>59</v>
      </c>
      <c r="D310" s="3" t="str">
        <f>IFERROR(MID(VLOOKUP($B310,Seqs!$A:$B,2,0),E310,1),"")</f>
        <v>P</v>
      </c>
      <c r="E310" s="3">
        <v>578</v>
      </c>
      <c r="F310" s="3" t="str">
        <f>IFERROR(MID(VLOOKUP($B310,Seqs!$A:$B,2,0),G310,1),"")</f>
        <v>Y</v>
      </c>
      <c r="G310" s="3">
        <v>604</v>
      </c>
      <c r="H310" s="3" t="str">
        <f>IFERROR(MID(VLOOKUP($B310,Seqs!$A:$B,2,0),I310,1),"")</f>
        <v>T</v>
      </c>
      <c r="I310" s="23">
        <v>607</v>
      </c>
      <c r="J310" s="3" t="str">
        <f>IFERROR(MID(VLOOKUP($B310,Seqs!$A:$B,2,0),K310,1),"")</f>
        <v>S</v>
      </c>
      <c r="K310" s="23">
        <v>613</v>
      </c>
      <c r="L310" s="3" t="str">
        <f>IFERROR(MID(VLOOKUP($B310,Seqs!$A:$B,2,0),M310,1),"")</f>
        <v>S</v>
      </c>
      <c r="M310" s="3">
        <v>614</v>
      </c>
      <c r="N310" s="3" t="str">
        <f>IFERROR(MID(VLOOKUP($B310,Seqs!$A:$B,2,0),O310,1),"")</f>
        <v>I</v>
      </c>
      <c r="O310" s="3">
        <v>636</v>
      </c>
      <c r="P310" s="3" t="str">
        <f>IFERROR(MID(VLOOKUP($B310,Seqs!$A:$B,2,0),Q310,1),"")</f>
        <v/>
      </c>
      <c r="Q310" s="3" t="s">
        <v>23</v>
      </c>
      <c r="R310" s="3" t="str">
        <f>IFERROR(MID(VLOOKUP($B310,Seqs!$A:$B,2,0),S310,1),"")</f>
        <v/>
      </c>
      <c r="S310" s="3" t="s">
        <v>23</v>
      </c>
      <c r="T310" s="3" t="str">
        <f>IFERROR(MID(VLOOKUP($B310,Seqs!$A:$B,2,0),U310,1),"")</f>
        <v>Q</v>
      </c>
      <c r="U310" s="3">
        <v>641</v>
      </c>
      <c r="V310" s="3" t="str">
        <f>IFERROR(MID(VLOOKUP($B310,Seqs!$A:$B,2,0),W310,1),"")</f>
        <v>K</v>
      </c>
      <c r="W310" s="3">
        <v>678</v>
      </c>
      <c r="X310" s="3" t="str">
        <f>IFERROR(MID(VLOOKUP($B310,Seqs!$A:$B,2,0),Y310,1),"")</f>
        <v/>
      </c>
      <c r="Y310" s="3" t="s">
        <v>23</v>
      </c>
      <c r="Z310" s="3" t="str">
        <f>IFERROR(MID(VLOOKUP($B310,Seqs!$A:$B,2,0),AA310,1),"")</f>
        <v/>
      </c>
      <c r="AA310" s="3" t="s">
        <v>23</v>
      </c>
      <c r="AB310" s="3" t="str">
        <f>IFERROR(MID(VLOOKUP($B310,Seqs!$A:$B,2,0),AC310,1),"")</f>
        <v>S</v>
      </c>
      <c r="AC310" s="9">
        <v>689</v>
      </c>
      <c r="AD310" s="3" t="str">
        <f>IFERROR(MID(VLOOKUP($B310,Seqs!$A:$B,2,0),AE310,1),"")</f>
        <v>E</v>
      </c>
      <c r="AE310" s="3">
        <v>715</v>
      </c>
      <c r="AF310" s="3" t="str">
        <f>IFERROR(MID(VLOOKUP($B310,Seqs!$A:$B,2,0),AG310,1),"")</f>
        <v>C</v>
      </c>
      <c r="AG310" s="3">
        <v>733</v>
      </c>
      <c r="AH310" s="3" t="str">
        <f>IFERROR(MID(VLOOKUP($B310,Seqs!$A:$B,2,0),AI310,1),"")</f>
        <v>T</v>
      </c>
      <c r="AI310" s="3">
        <v>735</v>
      </c>
      <c r="AJ310" s="3" t="str">
        <f>IFERROR(MID(VLOOKUP($B310,Seqs!$A:$B,2,0),AK310,1),"")</f>
        <v>N</v>
      </c>
      <c r="AK310" s="3">
        <v>737</v>
      </c>
      <c r="AL310" s="3" t="str">
        <f>IFERROR(MID(VLOOKUP($B310,Seqs!$A:$B,2,0),AM310,1),"")</f>
        <v>T</v>
      </c>
      <c r="AM310" s="3">
        <v>761</v>
      </c>
      <c r="AN310" s="3" t="str">
        <f>IFERROR(MID(VLOOKUP($B310,Seqs!$A:$B,2,0),AO310,1),"")</f>
        <v>E</v>
      </c>
      <c r="AO310" s="3">
        <v>770</v>
      </c>
      <c r="AP310" s="3" t="str">
        <f>IFERROR(MID(VLOOKUP($B310,Seqs!$A:$B,2,0),AQ310,1),"")</f>
        <v>G</v>
      </c>
      <c r="AQ310" s="3">
        <v>794</v>
      </c>
      <c r="AR310" s="3" t="str">
        <f>IFERROR(MID(VLOOKUP($B310,Seqs!$A:$B,2,0),AS310,1),"")</f>
        <v>Y</v>
      </c>
      <c r="AS310" s="105">
        <v>797</v>
      </c>
      <c r="AT310" s="3" t="str">
        <f>IFERROR(MID(VLOOKUP($B310,Seqs!$A:$B,2,0),AU310,1),"")</f>
        <v>K</v>
      </c>
      <c r="AU310" s="3">
        <v>828</v>
      </c>
      <c r="AV310" s="3" t="str">
        <f>IFERROR(MID(VLOOKUP($B310,Seqs!$A:$B,2,0),AW310,1),"")</f>
        <v>P</v>
      </c>
      <c r="AW310" s="3">
        <v>829</v>
      </c>
      <c r="AX310" s="3" t="str">
        <f>IFERROR(MID(VLOOKUP($B310,Seqs!$A:$B,2,0),AY310,1),"")</f>
        <v>R</v>
      </c>
      <c r="AY310" s="3">
        <v>831</v>
      </c>
      <c r="AZ310" s="77" t="str">
        <f>VLOOKUP(B310,Classification!A:D,2,0)</f>
        <v>C</v>
      </c>
      <c r="BA310" s="94" t="str">
        <f>VLOOKUP(B310,Classification!A:D,4,0)</f>
        <v>Metabotropicglutamate</v>
      </c>
      <c r="BB310" s="27" t="b">
        <f t="shared" si="1116"/>
        <v>1</v>
      </c>
      <c r="BC310" s="23">
        <f t="shared" si="1089"/>
        <v>212</v>
      </c>
      <c r="BD310" s="4" t="s">
        <v>23</v>
      </c>
      <c r="BE310" s="3" t="s">
        <v>1381</v>
      </c>
      <c r="BF310" s="119">
        <v>2.6</v>
      </c>
      <c r="BG310" s="49" t="s">
        <v>1384</v>
      </c>
      <c r="BH310" s="49" t="s">
        <v>1384</v>
      </c>
      <c r="BJ310" s="70" t="s">
        <v>1293</v>
      </c>
      <c r="BK310" s="57" t="s">
        <v>1293</v>
      </c>
      <c r="BL310" s="57" t="s">
        <v>1293</v>
      </c>
      <c r="BM310" s="57" t="s">
        <v>1293</v>
      </c>
      <c r="BN310" s="57" t="s">
        <v>1293</v>
      </c>
      <c r="BO310" s="57" t="s">
        <v>1293</v>
      </c>
      <c r="BP310" s="57" t="s">
        <v>1293</v>
      </c>
      <c r="BQ310" s="57" t="s">
        <v>1293</v>
      </c>
      <c r="BR310" s="57" t="s">
        <v>1293</v>
      </c>
      <c r="BS310" s="57" t="s">
        <v>1293</v>
      </c>
      <c r="BT310" s="57" t="s">
        <v>1293</v>
      </c>
      <c r="BU310" s="57" t="s">
        <v>1293</v>
      </c>
      <c r="BV310" s="70">
        <f t="shared" si="1090"/>
        <v>578</v>
      </c>
      <c r="BW310" s="71">
        <f t="shared" si="1091"/>
        <v>607</v>
      </c>
      <c r="BX310" s="72">
        <f t="shared" si="1092"/>
        <v>614</v>
      </c>
      <c r="BY310" s="71" t="str">
        <f t="shared" si="1093"/>
        <v>-</v>
      </c>
      <c r="BZ310" s="72">
        <f t="shared" si="1094"/>
        <v>641</v>
      </c>
      <c r="CA310" s="71" t="str">
        <f t="shared" si="1095"/>
        <v>-</v>
      </c>
      <c r="CB310" s="72">
        <f t="shared" si="1096"/>
        <v>689</v>
      </c>
      <c r="CC310" s="71">
        <f t="shared" si="1097"/>
        <v>733</v>
      </c>
      <c r="CD310" s="72">
        <f t="shared" si="1098"/>
        <v>737</v>
      </c>
      <c r="CE310" s="71">
        <f t="shared" si="1099"/>
        <v>770</v>
      </c>
      <c r="CF310" s="72">
        <f t="shared" si="1100"/>
        <v>797</v>
      </c>
      <c r="CG310" s="71">
        <f t="shared" si="1101"/>
        <v>829</v>
      </c>
      <c r="CH310" s="70">
        <f t="shared" si="1102"/>
        <v>604</v>
      </c>
      <c r="CI310" s="71">
        <f t="shared" si="1103"/>
        <v>613</v>
      </c>
      <c r="CJ310" s="72">
        <f t="shared" si="1104"/>
        <v>636</v>
      </c>
      <c r="CK310" s="72" t="str">
        <f t="shared" si="1105"/>
        <v>-</v>
      </c>
      <c r="CL310" s="72">
        <f t="shared" si="1106"/>
        <v>678</v>
      </c>
      <c r="CM310" s="72" t="str">
        <f t="shared" si="1107"/>
        <v>-</v>
      </c>
      <c r="CN310" s="72">
        <f t="shared" si="1108"/>
        <v>715</v>
      </c>
      <c r="CO310" s="72">
        <f t="shared" si="1109"/>
        <v>735</v>
      </c>
      <c r="CP310" s="72">
        <f t="shared" si="1110"/>
        <v>761</v>
      </c>
      <c r="CQ310" s="72">
        <f t="shared" si="1111"/>
        <v>794</v>
      </c>
      <c r="CR310" s="72">
        <f t="shared" si="1112"/>
        <v>828</v>
      </c>
      <c r="CS310" s="72">
        <f t="shared" si="1113"/>
        <v>831</v>
      </c>
      <c r="CT310" s="23">
        <f t="shared" si="1114"/>
        <v>1</v>
      </c>
      <c r="AMP310" s="3"/>
    </row>
    <row r="311" spans="1:1030" s="12" customFormat="1" x14ac:dyDescent="0.2">
      <c r="A311" s="9" t="str">
        <f>CONCATENATE(B311,"_",C311)</f>
        <v>grm5_human_6FFH</v>
      </c>
      <c r="B311" s="9" t="s">
        <v>41</v>
      </c>
      <c r="C311" s="9" t="s">
        <v>1487</v>
      </c>
      <c r="D311" s="9" t="str">
        <f>IFERROR(MID(VLOOKUP($B311,Seqs!$A:$B,2,0),E311,1),"")</f>
        <v>P</v>
      </c>
      <c r="E311" s="9">
        <v>578</v>
      </c>
      <c r="F311" s="9" t="str">
        <f>IFERROR(MID(VLOOKUP($B311,Seqs!$A:$B,2,0),G311,1),"")</f>
        <v>Y</v>
      </c>
      <c r="G311" s="9">
        <v>604</v>
      </c>
      <c r="H311" s="9" t="str">
        <f>IFERROR(MID(VLOOKUP($B311,Seqs!$A:$B,2,0),I311,1),"")</f>
        <v>T</v>
      </c>
      <c r="I311" s="109">
        <v>607</v>
      </c>
      <c r="J311" s="9" t="str">
        <f>IFERROR(MID(VLOOKUP($B311,Seqs!$A:$B,2,0),K311,1),"")</f>
        <v>S</v>
      </c>
      <c r="K311" s="109">
        <v>613</v>
      </c>
      <c r="L311" s="9" t="str">
        <f>IFERROR(MID(VLOOKUP($B311,Seqs!$A:$B,2,0),M311,1),"")</f>
        <v>S</v>
      </c>
      <c r="M311" s="9">
        <v>614</v>
      </c>
      <c r="N311" s="9" t="str">
        <f>IFERROR(MID(VLOOKUP($B311,Seqs!$A:$B,2,0),O311,1),"")</f>
        <v>I</v>
      </c>
      <c r="O311" s="9">
        <v>636</v>
      </c>
      <c r="P311" s="9" t="str">
        <f>IFERROR(MID(VLOOKUP($B311,Seqs!$A:$B,2,0),Q311,1),"")</f>
        <v/>
      </c>
      <c r="Q311" s="9" t="s">
        <v>23</v>
      </c>
      <c r="R311" s="9" t="str">
        <f>IFERROR(MID(VLOOKUP($B311,Seqs!$A:$B,2,0),S311,1),"")</f>
        <v/>
      </c>
      <c r="S311" s="9" t="s">
        <v>23</v>
      </c>
      <c r="T311" s="9" t="str">
        <f>IFERROR(MID(VLOOKUP($B311,Seqs!$A:$B,2,0),U311,1),"")</f>
        <v>Q</v>
      </c>
      <c r="U311" s="9">
        <v>641</v>
      </c>
      <c r="V311" s="9" t="str">
        <f>IFERROR(MID(VLOOKUP($B311,Seqs!$A:$B,2,0),W311,1),"")</f>
        <v>K</v>
      </c>
      <c r="W311" s="9">
        <v>678</v>
      </c>
      <c r="X311" s="9" t="str">
        <f>IFERROR(MID(VLOOKUP($B311,Seqs!$A:$B,2,0),Y311,1),"")</f>
        <v/>
      </c>
      <c r="Y311" s="9" t="s">
        <v>23</v>
      </c>
      <c r="Z311" s="9" t="str">
        <f>IFERROR(MID(VLOOKUP($B311,Seqs!$A:$B,2,0),AA311,1),"")</f>
        <v/>
      </c>
      <c r="AA311" s="9" t="s">
        <v>23</v>
      </c>
      <c r="AB311" s="9" t="str">
        <f>IFERROR(MID(VLOOKUP($B311,Seqs!$A:$B,2,0),AC311,1),"")</f>
        <v>S</v>
      </c>
      <c r="AC311" s="9">
        <v>689</v>
      </c>
      <c r="AD311" s="9" t="str">
        <f>IFERROR(MID(VLOOKUP($B311,Seqs!$A:$B,2,0),AE311,1),"")</f>
        <v>E</v>
      </c>
      <c r="AE311" s="9">
        <v>715</v>
      </c>
      <c r="AF311" s="9" t="str">
        <f>IFERROR(MID(VLOOKUP($B311,Seqs!$A:$B,2,0),AG311,1),"")</f>
        <v>C</v>
      </c>
      <c r="AG311" s="9">
        <v>733</v>
      </c>
      <c r="AH311" s="9" t="str">
        <f>IFERROR(MID(VLOOKUP($B311,Seqs!$A:$B,2,0),AI311,1),"")</f>
        <v>T</v>
      </c>
      <c r="AI311" s="9">
        <v>735</v>
      </c>
      <c r="AJ311" s="9" t="str">
        <f>IFERROR(MID(VLOOKUP($B311,Seqs!$A:$B,2,0),AK311,1),"")</f>
        <v>T</v>
      </c>
      <c r="AK311" s="105">
        <v>736</v>
      </c>
      <c r="AL311" s="9" t="str">
        <f>IFERROR(MID(VLOOKUP($B311,Seqs!$A:$B,2,0),AM311,1),"")</f>
        <v>T</v>
      </c>
      <c r="AM311" s="9">
        <v>761</v>
      </c>
      <c r="AN311" s="9" t="str">
        <f>IFERROR(MID(VLOOKUP($B311,Seqs!$A:$B,2,0),AO311,1),"")</f>
        <v>E</v>
      </c>
      <c r="AO311" s="9">
        <v>770</v>
      </c>
      <c r="AP311" s="9" t="str">
        <f>IFERROR(MID(VLOOKUP($B311,Seqs!$A:$B,2,0),AQ311,1),"")</f>
        <v>G</v>
      </c>
      <c r="AQ311" s="9">
        <v>794</v>
      </c>
      <c r="AR311" s="9" t="str">
        <f>IFERROR(MID(VLOOKUP($B311,Seqs!$A:$B,2,0),AS311,1),"")</f>
        <v>Y</v>
      </c>
      <c r="AS311" s="105">
        <v>797</v>
      </c>
      <c r="AT311" s="9" t="str">
        <f>IFERROR(MID(VLOOKUP($B311,Seqs!$A:$B,2,0),AU311,1),"")</f>
        <v>K</v>
      </c>
      <c r="AU311" s="9">
        <v>828</v>
      </c>
      <c r="AV311" s="9" t="str">
        <f>IFERROR(MID(VLOOKUP($B311,Seqs!$A:$B,2,0),AW311,1),"")</f>
        <v>P</v>
      </c>
      <c r="AW311" s="9">
        <v>829</v>
      </c>
      <c r="AX311" s="9" t="str">
        <f>IFERROR(MID(VLOOKUP($B311,Seqs!$A:$B,2,0),AY311,1),"")</f>
        <v>N</v>
      </c>
      <c r="AY311" s="9">
        <v>832</v>
      </c>
      <c r="AZ311" s="110" t="str">
        <f>VLOOKUP(B311,Classification!A:D,2,0)</f>
        <v>C</v>
      </c>
      <c r="BA311" s="98" t="str">
        <f>VLOOKUP(B311,Classification!A:D,4,0)</f>
        <v>Metabotropicglutamate</v>
      </c>
      <c r="BB311" s="36" t="b">
        <f>AND(E311&lt;G311,OR(G311&lt;I311,I311="-"),OR(I311&lt;K311,I311="-"),OR(K311&lt;M311,K311="-"),M311&lt;O311,OR(O311&lt;Q311,Q311="-"),OR(Q311&lt;S311,Q311="-"),OR(S311&lt;U311,S311="-"),U311&lt;W311,OR(W311&lt;Y311,Y311="-"),OR(Y311&lt;AA311,Y311="-"),OR(AA311&lt;AC311,AA311="-"),AC311&lt;AE311,OR(AE311&lt;AG311,AG311="-"),OR(AG311&lt;AI311,AG311="-"),OR(AI311&lt;AK311,AI311="-"),AK311&lt;AM311,AM311&lt;AO311,AO311&lt;AQ311,AQ311&lt;AS311,AS311&lt;AU311,OR(AU311&lt;AW311,AW311="-"),OR(AW311&lt;AY311,AW311="-"))</f>
        <v>1</v>
      </c>
      <c r="BC311" s="109">
        <f>_xlfn.AGGREGATE(9,6,CH311:CS311)-_xlfn.AGGREGATE(9,6,BV311:CG311)+12</f>
        <v>214</v>
      </c>
      <c r="BD311" s="11" t="s">
        <v>23</v>
      </c>
      <c r="BE311" s="9" t="s">
        <v>1381</v>
      </c>
      <c r="BF311" s="120">
        <v>2.65</v>
      </c>
      <c r="BG311" s="51" t="s">
        <v>1</v>
      </c>
      <c r="BH311" s="51" t="s">
        <v>1</v>
      </c>
      <c r="BI311" s="9"/>
      <c r="BJ311" s="111" t="s">
        <v>1293</v>
      </c>
      <c r="BK311" s="112" t="s">
        <v>1293</v>
      </c>
      <c r="BL311" s="112" t="s">
        <v>1293</v>
      </c>
      <c r="BM311" s="112" t="s">
        <v>1293</v>
      </c>
      <c r="BN311" s="112" t="s">
        <v>1293</v>
      </c>
      <c r="BO311" s="112" t="s">
        <v>1293</v>
      </c>
      <c r="BP311" s="112" t="s">
        <v>1293</v>
      </c>
      <c r="BQ311" s="112" t="s">
        <v>1293</v>
      </c>
      <c r="BR311" s="112" t="s">
        <v>1293</v>
      </c>
      <c r="BS311" s="112" t="s">
        <v>1293</v>
      </c>
      <c r="BT311" s="112" t="s">
        <v>1293</v>
      </c>
      <c r="BU311" s="112" t="s">
        <v>1293</v>
      </c>
      <c r="BV311" s="111">
        <f>E311</f>
        <v>578</v>
      </c>
      <c r="BW311" s="113">
        <f>I311</f>
        <v>607</v>
      </c>
      <c r="BX311" s="114">
        <f>M311</f>
        <v>614</v>
      </c>
      <c r="BY311" s="113" t="str">
        <f>Q311</f>
        <v>-</v>
      </c>
      <c r="BZ311" s="114">
        <f>U311</f>
        <v>641</v>
      </c>
      <c r="CA311" s="113" t="str">
        <f>Y311</f>
        <v>-</v>
      </c>
      <c r="CB311" s="114">
        <f>AC311</f>
        <v>689</v>
      </c>
      <c r="CC311" s="113">
        <f>AG311</f>
        <v>733</v>
      </c>
      <c r="CD311" s="114">
        <f>AK311</f>
        <v>736</v>
      </c>
      <c r="CE311" s="113">
        <f>AO311</f>
        <v>770</v>
      </c>
      <c r="CF311" s="114">
        <f>AS311</f>
        <v>797</v>
      </c>
      <c r="CG311" s="113">
        <f>AW311</f>
        <v>829</v>
      </c>
      <c r="CH311" s="111">
        <f>G311</f>
        <v>604</v>
      </c>
      <c r="CI311" s="113">
        <f>K311</f>
        <v>613</v>
      </c>
      <c r="CJ311" s="114">
        <f>O311</f>
        <v>636</v>
      </c>
      <c r="CK311" s="114" t="str">
        <f>S311</f>
        <v>-</v>
      </c>
      <c r="CL311" s="114">
        <f>W311</f>
        <v>678</v>
      </c>
      <c r="CM311" s="114" t="str">
        <f>AA311</f>
        <v>-</v>
      </c>
      <c r="CN311" s="114">
        <f>AE311</f>
        <v>715</v>
      </c>
      <c r="CO311" s="114">
        <f>AI311</f>
        <v>735</v>
      </c>
      <c r="CP311" s="114">
        <f>AM311</f>
        <v>761</v>
      </c>
      <c r="CQ311" s="114">
        <f>AQ311</f>
        <v>794</v>
      </c>
      <c r="CR311" s="114">
        <f>AU311</f>
        <v>828</v>
      </c>
      <c r="CS311" s="114">
        <f>AY311</f>
        <v>832</v>
      </c>
      <c r="CT311" s="109">
        <f>M311-K311</f>
        <v>1</v>
      </c>
      <c r="CU311" s="9"/>
      <c r="CV311" s="9"/>
      <c r="CW311" s="9"/>
      <c r="CX311" s="9"/>
      <c r="CY311" s="9"/>
      <c r="CZ311" s="9"/>
      <c r="DA311" s="9"/>
      <c r="DB311" s="9"/>
      <c r="DC311" s="9"/>
      <c r="DD311" s="9"/>
      <c r="DE311" s="9"/>
      <c r="DF311" s="9"/>
      <c r="DG311" s="9"/>
      <c r="DH311" s="9"/>
      <c r="DI311" s="9"/>
      <c r="DJ311" s="9"/>
      <c r="DK311" s="9"/>
      <c r="DL311" s="9"/>
      <c r="DM311" s="9"/>
      <c r="DN311" s="9"/>
      <c r="DO311" s="9"/>
      <c r="DP311" s="9"/>
      <c r="DQ311" s="9"/>
      <c r="DR311" s="9"/>
      <c r="DS311" s="9"/>
      <c r="DT311" s="9"/>
      <c r="DU311" s="9"/>
      <c r="DV311" s="9"/>
      <c r="DW311" s="9"/>
      <c r="DX311" s="9"/>
      <c r="DY311" s="9"/>
      <c r="DZ311" s="9"/>
      <c r="EA311" s="9"/>
      <c r="EB311" s="9"/>
      <c r="EC311" s="9"/>
      <c r="ED311" s="9"/>
      <c r="EE311" s="9"/>
      <c r="EF311" s="9"/>
      <c r="EG311" s="9"/>
      <c r="EH311" s="9"/>
      <c r="EI311" s="9"/>
      <c r="EJ311" s="9"/>
      <c r="EK311" s="9"/>
      <c r="EL311" s="9"/>
      <c r="EM311" s="9"/>
      <c r="EN311" s="9"/>
      <c r="EO311" s="9"/>
      <c r="EP311" s="9"/>
      <c r="EQ311" s="9"/>
      <c r="ER311" s="9"/>
      <c r="ES311" s="9"/>
      <c r="ET311" s="9"/>
      <c r="EU311" s="9"/>
      <c r="EV311" s="9"/>
      <c r="EW311" s="9"/>
      <c r="EX311" s="9"/>
      <c r="EY311" s="9"/>
      <c r="EZ311" s="9"/>
      <c r="FA311" s="9"/>
      <c r="FB311" s="9"/>
      <c r="FC311" s="9"/>
      <c r="FD311" s="9"/>
      <c r="FE311" s="9"/>
      <c r="FF311" s="9"/>
      <c r="FG311" s="9"/>
      <c r="FH311" s="9"/>
      <c r="FI311" s="9"/>
      <c r="FJ311" s="9"/>
      <c r="FK311" s="9"/>
      <c r="FL311" s="9"/>
      <c r="FM311" s="9"/>
      <c r="FN311" s="9"/>
      <c r="FO311" s="9"/>
      <c r="FP311" s="9"/>
      <c r="FQ311" s="9"/>
      <c r="FR311" s="9"/>
      <c r="FS311" s="9"/>
      <c r="FT311" s="9"/>
      <c r="FU311" s="9"/>
      <c r="FV311" s="9"/>
      <c r="FW311" s="9"/>
      <c r="FX311" s="9"/>
      <c r="FY311" s="9"/>
      <c r="FZ311" s="9"/>
      <c r="GA311" s="9"/>
      <c r="GB311" s="9"/>
      <c r="GC311" s="9"/>
      <c r="GD311" s="9"/>
      <c r="GE311" s="9"/>
      <c r="GF311" s="9"/>
      <c r="GG311" s="9"/>
      <c r="GH311" s="9"/>
      <c r="GI311" s="9"/>
      <c r="GJ311" s="9"/>
      <c r="GK311" s="9"/>
      <c r="GL311" s="9"/>
      <c r="GM311" s="9"/>
      <c r="GN311" s="9"/>
      <c r="GO311" s="9"/>
      <c r="GP311" s="9"/>
      <c r="GQ311" s="9"/>
      <c r="GR311" s="9"/>
      <c r="GS311" s="9"/>
      <c r="GT311" s="9"/>
      <c r="GU311" s="9"/>
      <c r="GV311" s="9"/>
      <c r="GW311" s="9"/>
      <c r="GX311" s="9"/>
      <c r="GY311" s="9"/>
      <c r="GZ311" s="9"/>
      <c r="HA311" s="9"/>
      <c r="HB311" s="9"/>
      <c r="HC311" s="9"/>
      <c r="HD311" s="9"/>
      <c r="HE311" s="9"/>
      <c r="HF311" s="9"/>
      <c r="HG311" s="9"/>
      <c r="HH311" s="9"/>
      <c r="HI311" s="9"/>
      <c r="HJ311" s="9"/>
      <c r="HK311" s="9"/>
      <c r="HL311" s="9"/>
      <c r="HM311" s="9"/>
      <c r="HN311" s="9"/>
      <c r="HO311" s="9"/>
      <c r="HP311" s="9"/>
      <c r="HQ311" s="9"/>
      <c r="HR311" s="9"/>
      <c r="HS311" s="9"/>
      <c r="HT311" s="9"/>
      <c r="HU311" s="9"/>
      <c r="HV311" s="9"/>
      <c r="HW311" s="9"/>
      <c r="HX311" s="9"/>
      <c r="HY311" s="9"/>
      <c r="HZ311" s="9"/>
      <c r="IA311" s="9"/>
      <c r="IB311" s="9"/>
      <c r="IC311" s="9"/>
      <c r="ID311" s="9"/>
      <c r="IE311" s="9"/>
      <c r="IF311" s="9"/>
      <c r="IG311" s="9"/>
      <c r="IH311" s="9"/>
      <c r="II311" s="9"/>
      <c r="IJ311" s="9"/>
      <c r="IK311" s="9"/>
      <c r="IL311" s="9"/>
      <c r="IM311" s="9"/>
      <c r="IN311" s="9"/>
      <c r="IO311" s="9"/>
      <c r="IP311" s="9"/>
      <c r="IQ311" s="9"/>
      <c r="IR311" s="9"/>
      <c r="IS311" s="9"/>
      <c r="IT311" s="9"/>
      <c r="IU311" s="9"/>
      <c r="IV311" s="9"/>
      <c r="IW311" s="9"/>
      <c r="IX311" s="9"/>
      <c r="IY311" s="9"/>
      <c r="IZ311" s="9"/>
      <c r="JA311" s="9"/>
      <c r="JB311" s="9"/>
      <c r="JC311" s="9"/>
      <c r="JD311" s="9"/>
      <c r="JE311" s="9"/>
      <c r="JF311" s="9"/>
      <c r="JG311" s="9"/>
      <c r="JH311" s="9"/>
      <c r="JI311" s="9"/>
      <c r="JJ311" s="9"/>
      <c r="JK311" s="9"/>
      <c r="JL311" s="9"/>
      <c r="JM311" s="9"/>
      <c r="JN311" s="9"/>
      <c r="JO311" s="9"/>
      <c r="JP311" s="9"/>
      <c r="JQ311" s="9"/>
      <c r="JR311" s="9"/>
      <c r="JS311" s="9"/>
      <c r="JT311" s="9"/>
      <c r="JU311" s="9"/>
      <c r="JV311" s="9"/>
      <c r="JW311" s="9"/>
      <c r="JX311" s="9"/>
      <c r="JY311" s="9"/>
      <c r="JZ311" s="9"/>
      <c r="KA311" s="9"/>
      <c r="KB311" s="9"/>
      <c r="KC311" s="9"/>
      <c r="KD311" s="9"/>
      <c r="KE311" s="9"/>
      <c r="KF311" s="9"/>
      <c r="KG311" s="9"/>
      <c r="KH311" s="9"/>
      <c r="KI311" s="9"/>
      <c r="KJ311" s="9"/>
      <c r="KK311" s="9"/>
      <c r="KL311" s="9"/>
      <c r="KM311" s="9"/>
      <c r="KN311" s="9"/>
      <c r="KO311" s="9"/>
      <c r="KP311" s="9"/>
      <c r="KQ311" s="9"/>
      <c r="KR311" s="9"/>
      <c r="KS311" s="9"/>
      <c r="KT311" s="9"/>
      <c r="KU311" s="9"/>
      <c r="KV311" s="9"/>
      <c r="KW311" s="9"/>
      <c r="KX311" s="9"/>
      <c r="KY311" s="9"/>
      <c r="KZ311" s="9"/>
      <c r="LA311" s="9"/>
      <c r="LB311" s="9"/>
      <c r="LC311" s="9"/>
      <c r="LD311" s="9"/>
      <c r="LE311" s="9"/>
      <c r="LF311" s="9"/>
      <c r="LG311" s="9"/>
      <c r="LH311" s="9"/>
      <c r="LI311" s="9"/>
      <c r="LJ311" s="9"/>
      <c r="LK311" s="9"/>
      <c r="LL311" s="9"/>
      <c r="LM311" s="9"/>
      <c r="LN311" s="9"/>
      <c r="LO311" s="9"/>
      <c r="LP311" s="9"/>
      <c r="LQ311" s="9"/>
      <c r="LR311" s="9"/>
      <c r="LS311" s="9"/>
      <c r="LT311" s="9"/>
      <c r="LU311" s="9"/>
      <c r="LV311" s="9"/>
      <c r="LW311" s="9"/>
      <c r="LX311" s="9"/>
      <c r="LY311" s="9"/>
      <c r="LZ311" s="9"/>
      <c r="MA311" s="9"/>
      <c r="MB311" s="9"/>
      <c r="MC311" s="9"/>
      <c r="MD311" s="9"/>
      <c r="ME311" s="9"/>
      <c r="MF311" s="9"/>
      <c r="MG311" s="9"/>
      <c r="MH311" s="9"/>
      <c r="MI311" s="9"/>
      <c r="MJ311" s="9"/>
      <c r="MK311" s="9"/>
      <c r="ML311" s="9"/>
      <c r="MM311" s="9"/>
      <c r="MN311" s="9"/>
      <c r="MO311" s="9"/>
      <c r="MP311" s="9"/>
      <c r="MQ311" s="9"/>
      <c r="MR311" s="9"/>
      <c r="MS311" s="9"/>
      <c r="MT311" s="9"/>
      <c r="MU311" s="9"/>
      <c r="MV311" s="9"/>
      <c r="MW311" s="9"/>
      <c r="MX311" s="9"/>
      <c r="MY311" s="9"/>
      <c r="MZ311" s="9"/>
      <c r="NA311" s="9"/>
      <c r="NB311" s="9"/>
      <c r="NC311" s="9"/>
      <c r="ND311" s="9"/>
      <c r="NE311" s="9"/>
      <c r="NF311" s="9"/>
      <c r="NG311" s="9"/>
      <c r="NH311" s="9"/>
      <c r="NI311" s="9"/>
      <c r="NJ311" s="9"/>
      <c r="NK311" s="9"/>
      <c r="NL311" s="9"/>
      <c r="NM311" s="9"/>
      <c r="NN311" s="9"/>
      <c r="NO311" s="9"/>
      <c r="NP311" s="9"/>
      <c r="NQ311" s="9"/>
      <c r="NR311" s="9"/>
      <c r="NS311" s="9"/>
      <c r="NT311" s="9"/>
      <c r="NU311" s="9"/>
      <c r="NV311" s="9"/>
      <c r="NW311" s="9"/>
      <c r="NX311" s="9"/>
      <c r="NY311" s="9"/>
      <c r="NZ311" s="9"/>
      <c r="OA311" s="9"/>
      <c r="OB311" s="9"/>
      <c r="OC311" s="9"/>
      <c r="OD311" s="9"/>
      <c r="OE311" s="9"/>
      <c r="OF311" s="9"/>
      <c r="OG311" s="9"/>
      <c r="OH311" s="9"/>
      <c r="OI311" s="9"/>
      <c r="OJ311" s="9"/>
      <c r="OK311" s="9"/>
      <c r="OL311" s="9"/>
      <c r="OM311" s="9"/>
      <c r="ON311" s="9"/>
      <c r="OO311" s="9"/>
      <c r="OP311" s="9"/>
      <c r="OQ311" s="9"/>
      <c r="OR311" s="9"/>
      <c r="OS311" s="9"/>
      <c r="OT311" s="9"/>
      <c r="OU311" s="9"/>
      <c r="OV311" s="9"/>
      <c r="OW311" s="9"/>
      <c r="OX311" s="9"/>
      <c r="OY311" s="9"/>
      <c r="OZ311" s="9"/>
      <c r="PA311" s="9"/>
      <c r="PB311" s="9"/>
      <c r="PC311" s="9"/>
      <c r="PD311" s="9"/>
      <c r="PE311" s="9"/>
      <c r="PF311" s="9"/>
      <c r="PG311" s="9"/>
      <c r="PH311" s="9"/>
      <c r="PI311" s="9"/>
      <c r="PJ311" s="9"/>
      <c r="PK311" s="9"/>
      <c r="PL311" s="9"/>
      <c r="PM311" s="9"/>
      <c r="PN311" s="9"/>
      <c r="PO311" s="9"/>
      <c r="PP311" s="9"/>
      <c r="PQ311" s="9"/>
      <c r="PR311" s="9"/>
      <c r="PS311" s="9"/>
      <c r="PT311" s="9"/>
      <c r="PU311" s="9"/>
      <c r="PV311" s="9"/>
      <c r="PW311" s="9"/>
      <c r="PX311" s="9"/>
      <c r="PY311" s="9"/>
      <c r="PZ311" s="9"/>
      <c r="QA311" s="9"/>
      <c r="QB311" s="9"/>
      <c r="QC311" s="9"/>
      <c r="QD311" s="9"/>
      <c r="QE311" s="9"/>
      <c r="QF311" s="9"/>
      <c r="QG311" s="9"/>
      <c r="QH311" s="9"/>
      <c r="QI311" s="9"/>
      <c r="QJ311" s="9"/>
      <c r="QK311" s="9"/>
      <c r="QL311" s="9"/>
      <c r="QM311" s="9"/>
      <c r="QN311" s="9"/>
      <c r="QO311" s="9"/>
      <c r="QP311" s="9"/>
      <c r="QQ311" s="9"/>
      <c r="QR311" s="9"/>
      <c r="QS311" s="9"/>
      <c r="QT311" s="9"/>
      <c r="QU311" s="9"/>
      <c r="QV311" s="9"/>
      <c r="QW311" s="9"/>
      <c r="QX311" s="9"/>
      <c r="QY311" s="9"/>
      <c r="QZ311" s="9"/>
      <c r="RA311" s="9"/>
      <c r="RB311" s="9"/>
      <c r="RC311" s="9"/>
      <c r="RD311" s="9"/>
      <c r="RE311" s="9"/>
      <c r="RF311" s="9"/>
      <c r="RG311" s="9"/>
      <c r="RH311" s="9"/>
      <c r="RI311" s="9"/>
      <c r="RJ311" s="9"/>
      <c r="RK311" s="9"/>
      <c r="RL311" s="9"/>
      <c r="RM311" s="9"/>
      <c r="RN311" s="9"/>
      <c r="RO311" s="9"/>
      <c r="RP311" s="9"/>
      <c r="RQ311" s="9"/>
      <c r="RR311" s="9"/>
      <c r="RS311" s="9"/>
      <c r="RT311" s="9"/>
      <c r="RU311" s="9"/>
      <c r="RV311" s="9"/>
      <c r="RW311" s="9"/>
      <c r="RX311" s="9"/>
      <c r="RY311" s="9"/>
      <c r="RZ311" s="9"/>
      <c r="SA311" s="9"/>
      <c r="SB311" s="9"/>
      <c r="SC311" s="9"/>
      <c r="SD311" s="9"/>
      <c r="SE311" s="9"/>
      <c r="SF311" s="9"/>
      <c r="SG311" s="9"/>
      <c r="SH311" s="9"/>
      <c r="SI311" s="9"/>
      <c r="SJ311" s="9"/>
      <c r="SK311" s="9"/>
      <c r="SL311" s="9"/>
      <c r="SM311" s="9"/>
      <c r="SN311" s="9"/>
      <c r="SO311" s="9"/>
      <c r="SP311" s="9"/>
      <c r="SQ311" s="9"/>
      <c r="SR311" s="9"/>
      <c r="SS311" s="9"/>
      <c r="ST311" s="9"/>
      <c r="SU311" s="9"/>
      <c r="SV311" s="9"/>
      <c r="SW311" s="9"/>
      <c r="SX311" s="9"/>
      <c r="SY311" s="9"/>
      <c r="SZ311" s="9"/>
      <c r="TA311" s="9"/>
      <c r="TB311" s="9"/>
      <c r="TC311" s="9"/>
      <c r="TD311" s="9"/>
      <c r="TE311" s="9"/>
      <c r="TF311" s="9"/>
      <c r="TG311" s="9"/>
      <c r="TH311" s="9"/>
      <c r="TI311" s="9"/>
      <c r="TJ311" s="9"/>
      <c r="TK311" s="9"/>
      <c r="TL311" s="9"/>
      <c r="TM311" s="9"/>
      <c r="TN311" s="9"/>
      <c r="TO311" s="9"/>
      <c r="TP311" s="9"/>
      <c r="TQ311" s="9"/>
      <c r="TR311" s="9"/>
      <c r="TS311" s="9"/>
      <c r="TT311" s="9"/>
      <c r="TU311" s="9"/>
      <c r="TV311" s="9"/>
      <c r="TW311" s="9"/>
      <c r="TX311" s="9"/>
      <c r="TY311" s="9"/>
      <c r="TZ311" s="9"/>
      <c r="UA311" s="9"/>
      <c r="UB311" s="9"/>
      <c r="UC311" s="9"/>
      <c r="UD311" s="9"/>
      <c r="UE311" s="9"/>
      <c r="UF311" s="9"/>
      <c r="UG311" s="9"/>
      <c r="UH311" s="9"/>
      <c r="UI311" s="9"/>
      <c r="UJ311" s="9"/>
      <c r="UK311" s="9"/>
      <c r="UL311" s="9"/>
      <c r="UM311" s="9"/>
      <c r="UN311" s="9"/>
      <c r="UO311" s="9"/>
      <c r="UP311" s="9"/>
      <c r="UQ311" s="9"/>
      <c r="UR311" s="9"/>
      <c r="US311" s="9"/>
      <c r="UT311" s="9"/>
      <c r="UU311" s="9"/>
      <c r="UV311" s="9"/>
      <c r="UW311" s="9"/>
      <c r="UX311" s="9"/>
      <c r="UY311" s="9"/>
      <c r="UZ311" s="9"/>
      <c r="VA311" s="9"/>
      <c r="VB311" s="9"/>
      <c r="VC311" s="9"/>
      <c r="VD311" s="9"/>
      <c r="VE311" s="9"/>
      <c r="VF311" s="9"/>
      <c r="VG311" s="9"/>
      <c r="VH311" s="9"/>
      <c r="VI311" s="9"/>
      <c r="VJ311" s="9"/>
      <c r="VK311" s="9"/>
      <c r="VL311" s="9"/>
      <c r="VM311" s="9"/>
      <c r="VN311" s="9"/>
      <c r="VO311" s="9"/>
      <c r="VP311" s="9"/>
      <c r="VQ311" s="9"/>
      <c r="VR311" s="9"/>
      <c r="VS311" s="9"/>
      <c r="VT311" s="9"/>
      <c r="VU311" s="9"/>
      <c r="VV311" s="9"/>
      <c r="VW311" s="9"/>
      <c r="VX311" s="9"/>
      <c r="VY311" s="9"/>
      <c r="VZ311" s="9"/>
      <c r="WA311" s="9"/>
      <c r="WB311" s="9"/>
      <c r="WC311" s="9"/>
      <c r="WD311" s="9"/>
      <c r="WE311" s="9"/>
      <c r="WF311" s="9"/>
      <c r="WG311" s="9"/>
      <c r="WH311" s="9"/>
      <c r="WI311" s="9"/>
      <c r="WJ311" s="9"/>
      <c r="WK311" s="9"/>
      <c r="WL311" s="9"/>
      <c r="WM311" s="9"/>
      <c r="WN311" s="9"/>
      <c r="WO311" s="9"/>
      <c r="WP311" s="9"/>
      <c r="WQ311" s="9"/>
      <c r="WR311" s="9"/>
      <c r="WS311" s="9"/>
      <c r="WT311" s="9"/>
      <c r="WU311" s="9"/>
      <c r="WV311" s="9"/>
      <c r="WW311" s="9"/>
      <c r="WX311" s="9"/>
      <c r="WY311" s="9"/>
      <c r="WZ311" s="9"/>
      <c r="XA311" s="9"/>
      <c r="XB311" s="9"/>
      <c r="XC311" s="9"/>
      <c r="XD311" s="9"/>
      <c r="XE311" s="9"/>
      <c r="XF311" s="9"/>
      <c r="XG311" s="9"/>
      <c r="XH311" s="9"/>
      <c r="XI311" s="9"/>
      <c r="XJ311" s="9"/>
      <c r="XK311" s="9"/>
      <c r="XL311" s="9"/>
      <c r="XM311" s="9"/>
      <c r="XN311" s="9"/>
      <c r="XO311" s="9"/>
      <c r="XP311" s="9"/>
      <c r="XQ311" s="9"/>
      <c r="XR311" s="9"/>
      <c r="XS311" s="9"/>
      <c r="XT311" s="9"/>
      <c r="XU311" s="9"/>
      <c r="XV311" s="9"/>
      <c r="XW311" s="9"/>
      <c r="XX311" s="9"/>
      <c r="XY311" s="9"/>
      <c r="XZ311" s="9"/>
      <c r="YA311" s="9"/>
      <c r="YB311" s="9"/>
      <c r="YC311" s="9"/>
      <c r="YD311" s="9"/>
      <c r="YE311" s="9"/>
      <c r="YF311" s="9"/>
      <c r="YG311" s="9"/>
      <c r="YH311" s="9"/>
      <c r="YI311" s="9"/>
      <c r="YJ311" s="9"/>
      <c r="YK311" s="9"/>
      <c r="YL311" s="9"/>
      <c r="YM311" s="9"/>
      <c r="YN311" s="9"/>
      <c r="YO311" s="9"/>
      <c r="YP311" s="9"/>
      <c r="YQ311" s="9"/>
      <c r="YR311" s="9"/>
      <c r="YS311" s="9"/>
      <c r="YT311" s="9"/>
      <c r="YU311" s="9"/>
      <c r="YV311" s="9"/>
      <c r="YW311" s="9"/>
      <c r="YX311" s="9"/>
      <c r="YY311" s="9"/>
      <c r="YZ311" s="9"/>
      <c r="ZA311" s="9"/>
      <c r="ZB311" s="9"/>
      <c r="ZC311" s="9"/>
      <c r="ZD311" s="9"/>
      <c r="ZE311" s="9"/>
      <c r="ZF311" s="9"/>
      <c r="ZG311" s="9"/>
      <c r="ZH311" s="9"/>
      <c r="ZI311" s="9"/>
      <c r="ZJ311" s="9"/>
      <c r="ZK311" s="9"/>
      <c r="ZL311" s="9"/>
      <c r="ZM311" s="9"/>
      <c r="ZN311" s="9"/>
      <c r="ZO311" s="9"/>
      <c r="ZP311" s="9"/>
      <c r="ZQ311" s="9"/>
      <c r="ZR311" s="9"/>
      <c r="ZS311" s="9"/>
      <c r="ZT311" s="9"/>
      <c r="ZU311" s="9"/>
      <c r="ZV311" s="9"/>
      <c r="ZW311" s="9"/>
      <c r="ZX311" s="9"/>
      <c r="ZY311" s="9"/>
      <c r="ZZ311" s="9"/>
      <c r="AAA311" s="9"/>
      <c r="AAB311" s="9"/>
      <c r="AAC311" s="9"/>
      <c r="AAD311" s="9"/>
      <c r="AAE311" s="9"/>
      <c r="AAF311" s="9"/>
      <c r="AAG311" s="9"/>
      <c r="AAH311" s="9"/>
      <c r="AAI311" s="9"/>
      <c r="AAJ311" s="9"/>
      <c r="AAK311" s="9"/>
      <c r="AAL311" s="9"/>
      <c r="AAM311" s="9"/>
      <c r="AAN311" s="9"/>
      <c r="AAO311" s="9"/>
      <c r="AAP311" s="9"/>
      <c r="AAQ311" s="9"/>
      <c r="AAR311" s="9"/>
      <c r="AAS311" s="9"/>
      <c r="AAT311" s="9"/>
      <c r="AAU311" s="9"/>
      <c r="AAV311" s="9"/>
      <c r="AAW311" s="9"/>
      <c r="AAX311" s="9"/>
      <c r="AAY311" s="9"/>
      <c r="AAZ311" s="9"/>
      <c r="ABA311" s="9"/>
      <c r="ABB311" s="9"/>
      <c r="ABC311" s="9"/>
      <c r="ABD311" s="9"/>
      <c r="ABE311" s="9"/>
      <c r="ABF311" s="9"/>
      <c r="ABG311" s="9"/>
      <c r="ABH311" s="9"/>
      <c r="ABI311" s="9"/>
      <c r="ABJ311" s="9"/>
      <c r="ABK311" s="9"/>
      <c r="ABL311" s="9"/>
      <c r="ABM311" s="9"/>
      <c r="ABN311" s="9"/>
      <c r="ABO311" s="9"/>
      <c r="ABP311" s="9"/>
      <c r="ABQ311" s="9"/>
      <c r="ABR311" s="9"/>
      <c r="ABS311" s="9"/>
      <c r="ABT311" s="9"/>
      <c r="ABU311" s="9"/>
      <c r="ABV311" s="9"/>
      <c r="ABW311" s="9"/>
      <c r="ABX311" s="9"/>
      <c r="ABY311" s="9"/>
      <c r="ABZ311" s="9"/>
      <c r="ACA311" s="9"/>
      <c r="ACB311" s="9"/>
      <c r="ACC311" s="9"/>
      <c r="ACD311" s="9"/>
      <c r="ACE311" s="9"/>
      <c r="ACF311" s="9"/>
      <c r="ACG311" s="9"/>
      <c r="ACH311" s="9"/>
      <c r="ACI311" s="9"/>
      <c r="ACJ311" s="9"/>
      <c r="ACK311" s="9"/>
      <c r="ACL311" s="9"/>
      <c r="ACM311" s="9"/>
      <c r="ACN311" s="9"/>
      <c r="ACO311" s="9"/>
      <c r="ACP311" s="9"/>
      <c r="ACQ311" s="9"/>
      <c r="ACR311" s="9"/>
      <c r="ACS311" s="9"/>
      <c r="ACT311" s="9"/>
      <c r="ACU311" s="9"/>
      <c r="ACV311" s="9"/>
      <c r="ACW311" s="9"/>
      <c r="ACX311" s="9"/>
      <c r="ACY311" s="9"/>
      <c r="ACZ311" s="9"/>
      <c r="ADA311" s="9"/>
      <c r="ADB311" s="9"/>
      <c r="ADC311" s="9"/>
      <c r="ADD311" s="9"/>
      <c r="ADE311" s="9"/>
      <c r="ADF311" s="9"/>
      <c r="ADG311" s="9"/>
      <c r="ADH311" s="9"/>
      <c r="ADI311" s="9"/>
      <c r="ADJ311" s="9"/>
      <c r="ADK311" s="9"/>
      <c r="ADL311" s="9"/>
      <c r="ADM311" s="9"/>
      <c r="ADN311" s="9"/>
      <c r="ADO311" s="9"/>
      <c r="ADP311" s="9"/>
      <c r="ADQ311" s="9"/>
      <c r="ADR311" s="9"/>
      <c r="ADS311" s="9"/>
      <c r="ADT311" s="9"/>
      <c r="ADU311" s="9"/>
      <c r="ADV311" s="9"/>
      <c r="ADW311" s="9"/>
      <c r="ADX311" s="9"/>
      <c r="ADY311" s="9"/>
      <c r="ADZ311" s="9"/>
      <c r="AEA311" s="9"/>
      <c r="AEB311" s="9"/>
      <c r="AEC311" s="9"/>
      <c r="AED311" s="9"/>
      <c r="AEE311" s="9"/>
      <c r="AEF311" s="9"/>
      <c r="AEG311" s="9"/>
      <c r="AEH311" s="9"/>
      <c r="AEI311" s="9"/>
      <c r="AEJ311" s="9"/>
      <c r="AEK311" s="9"/>
      <c r="AEL311" s="9"/>
      <c r="AEM311" s="9"/>
      <c r="AEN311" s="9"/>
      <c r="AEO311" s="9"/>
      <c r="AEP311" s="9"/>
      <c r="AEQ311" s="9"/>
      <c r="AER311" s="9"/>
      <c r="AES311" s="9"/>
      <c r="AET311" s="9"/>
      <c r="AEU311" s="9"/>
      <c r="AEV311" s="9"/>
      <c r="AEW311" s="9"/>
      <c r="AEX311" s="9"/>
      <c r="AEY311" s="9"/>
      <c r="AEZ311" s="9"/>
      <c r="AFA311" s="9"/>
      <c r="AFB311" s="9"/>
      <c r="AFC311" s="9"/>
      <c r="AFD311" s="9"/>
      <c r="AFE311" s="9"/>
      <c r="AFF311" s="9"/>
      <c r="AFG311" s="9"/>
      <c r="AFH311" s="9"/>
      <c r="AFI311" s="9"/>
      <c r="AFJ311" s="9"/>
      <c r="AFK311" s="9"/>
      <c r="AFL311" s="9"/>
      <c r="AFM311" s="9"/>
      <c r="AFN311" s="9"/>
      <c r="AFO311" s="9"/>
      <c r="AFP311" s="9"/>
      <c r="AFQ311" s="9"/>
      <c r="AFR311" s="9"/>
      <c r="AFS311" s="9"/>
      <c r="AFT311" s="9"/>
      <c r="AFU311" s="9"/>
      <c r="AFV311" s="9"/>
      <c r="AFW311" s="9"/>
      <c r="AFX311" s="9"/>
      <c r="AFY311" s="9"/>
      <c r="AFZ311" s="9"/>
      <c r="AGA311" s="9"/>
      <c r="AGB311" s="9"/>
      <c r="AGC311" s="9"/>
      <c r="AGD311" s="9"/>
      <c r="AGE311" s="9"/>
      <c r="AGF311" s="9"/>
      <c r="AGG311" s="9"/>
      <c r="AGH311" s="9"/>
      <c r="AGI311" s="9"/>
      <c r="AGJ311" s="9"/>
      <c r="AGK311" s="9"/>
      <c r="AGL311" s="9"/>
      <c r="AGM311" s="9"/>
      <c r="AGN311" s="9"/>
      <c r="AGO311" s="9"/>
      <c r="AGP311" s="9"/>
      <c r="AGQ311" s="9"/>
      <c r="AGR311" s="9"/>
      <c r="AGS311" s="9"/>
      <c r="AGT311" s="9"/>
      <c r="AGU311" s="9"/>
      <c r="AGV311" s="9"/>
      <c r="AGW311" s="9"/>
      <c r="AGX311" s="9"/>
      <c r="AGY311" s="9"/>
      <c r="AGZ311" s="9"/>
      <c r="AHA311" s="9"/>
      <c r="AHB311" s="9"/>
      <c r="AHC311" s="9"/>
      <c r="AHD311" s="9"/>
      <c r="AHE311" s="9"/>
      <c r="AHF311" s="9"/>
      <c r="AHG311" s="9"/>
      <c r="AHH311" s="9"/>
      <c r="AHI311" s="9"/>
      <c r="AHJ311" s="9"/>
      <c r="AHK311" s="9"/>
      <c r="AHL311" s="9"/>
      <c r="AHM311" s="9"/>
      <c r="AHN311" s="9"/>
      <c r="AHO311" s="9"/>
      <c r="AHP311" s="9"/>
      <c r="AHQ311" s="9"/>
      <c r="AHR311" s="9"/>
      <c r="AHS311" s="9"/>
      <c r="AHT311" s="9"/>
      <c r="AHU311" s="9"/>
      <c r="AHV311" s="9"/>
      <c r="AHW311" s="9"/>
      <c r="AHX311" s="9"/>
      <c r="AHY311" s="9"/>
      <c r="AHZ311" s="9"/>
      <c r="AIA311" s="9"/>
      <c r="AIB311" s="9"/>
      <c r="AIC311" s="9"/>
      <c r="AID311" s="9"/>
      <c r="AIE311" s="9"/>
      <c r="AIF311" s="9"/>
      <c r="AIG311" s="9"/>
      <c r="AIH311" s="9"/>
      <c r="AII311" s="9"/>
      <c r="AIJ311" s="9"/>
      <c r="AIK311" s="9"/>
      <c r="AIL311" s="9"/>
      <c r="AIM311" s="9"/>
      <c r="AIN311" s="9"/>
      <c r="AIO311" s="9"/>
      <c r="AIP311" s="9"/>
      <c r="AIQ311" s="9"/>
      <c r="AIR311" s="9"/>
      <c r="AIS311" s="9"/>
      <c r="AIT311" s="9"/>
      <c r="AIU311" s="9"/>
      <c r="AIV311" s="9"/>
      <c r="AIW311" s="9"/>
      <c r="AIX311" s="9"/>
      <c r="AIY311" s="9"/>
      <c r="AIZ311" s="9"/>
      <c r="AJA311" s="9"/>
      <c r="AJB311" s="9"/>
      <c r="AJC311" s="9"/>
      <c r="AJD311" s="9"/>
      <c r="AJE311" s="9"/>
      <c r="AJF311" s="9"/>
      <c r="AJG311" s="9"/>
      <c r="AJH311" s="9"/>
      <c r="AJI311" s="9"/>
      <c r="AJJ311" s="9"/>
      <c r="AJK311" s="9"/>
      <c r="AJL311" s="9"/>
      <c r="AJM311" s="9"/>
      <c r="AJN311" s="9"/>
      <c r="AJO311" s="9"/>
      <c r="AJP311" s="9"/>
      <c r="AJQ311" s="9"/>
      <c r="AJR311" s="9"/>
      <c r="AJS311" s="9"/>
      <c r="AJT311" s="9"/>
      <c r="AJU311" s="9"/>
      <c r="AJV311" s="9"/>
      <c r="AJW311" s="9"/>
      <c r="AJX311" s="9"/>
      <c r="AJY311" s="9"/>
      <c r="AJZ311" s="9"/>
      <c r="AKA311" s="9"/>
      <c r="AKB311" s="9"/>
      <c r="AKC311" s="9"/>
      <c r="AKD311" s="9"/>
      <c r="AKE311" s="9"/>
      <c r="AKF311" s="9"/>
      <c r="AKG311" s="9"/>
      <c r="AKH311" s="9"/>
      <c r="AKI311" s="9"/>
      <c r="AKJ311" s="9"/>
      <c r="AKK311" s="9"/>
      <c r="AKL311" s="9"/>
      <c r="AKM311" s="9"/>
      <c r="AKN311" s="9"/>
      <c r="AKO311" s="9"/>
      <c r="AKP311" s="9"/>
      <c r="AKQ311" s="9"/>
      <c r="AKR311" s="9"/>
      <c r="AKS311" s="9"/>
      <c r="AKT311" s="9"/>
      <c r="AKU311" s="9"/>
      <c r="AKV311" s="9"/>
      <c r="AKW311" s="9"/>
      <c r="AKX311" s="9"/>
      <c r="AKY311" s="9"/>
      <c r="AKZ311" s="9"/>
      <c r="ALA311" s="9"/>
      <c r="ALB311" s="9"/>
      <c r="ALC311" s="9"/>
      <c r="ALD311" s="9"/>
      <c r="ALE311" s="9"/>
      <c r="ALF311" s="9"/>
      <c r="ALG311" s="9"/>
      <c r="ALH311" s="9"/>
      <c r="ALI311" s="9"/>
      <c r="ALJ311" s="9"/>
      <c r="ALK311" s="9"/>
      <c r="ALL311" s="9"/>
      <c r="ALM311" s="9"/>
      <c r="ALN311" s="9"/>
      <c r="ALO311" s="9"/>
      <c r="ALP311" s="9"/>
      <c r="ALQ311" s="9"/>
      <c r="ALR311" s="9"/>
      <c r="ALS311" s="9"/>
      <c r="ALT311" s="9"/>
      <c r="ALU311" s="9"/>
      <c r="ALV311" s="9"/>
      <c r="ALW311" s="9"/>
      <c r="ALX311" s="9"/>
      <c r="ALY311" s="9"/>
      <c r="ALZ311" s="9"/>
      <c r="AMA311" s="9"/>
      <c r="AMB311" s="9"/>
      <c r="AMC311" s="9"/>
      <c r="AMD311" s="9"/>
      <c r="AME311" s="9"/>
      <c r="AMF311" s="9"/>
      <c r="AMG311" s="9"/>
      <c r="AMH311" s="9"/>
      <c r="AMI311" s="9"/>
      <c r="AMJ311" s="9"/>
      <c r="AMK311" s="9"/>
      <c r="AML311" s="9"/>
      <c r="AMM311" s="9"/>
      <c r="AMN311" s="9"/>
      <c r="AMO311" s="9"/>
      <c r="AMP311" s="9"/>
    </row>
    <row r="312" spans="1:1030" s="12" customFormat="1" x14ac:dyDescent="0.2">
      <c r="A312" s="9" t="str">
        <f>CONCATENATE(B312,"_",C312)</f>
        <v>grm5_human_6FFI</v>
      </c>
      <c r="B312" s="9" t="s">
        <v>41</v>
      </c>
      <c r="C312" s="9" t="s">
        <v>1488</v>
      </c>
      <c r="D312" s="9" t="str">
        <f>IFERROR(MID(VLOOKUP($B312,Seqs!$A:$B,2,0),E312,1),"")</f>
        <v>P</v>
      </c>
      <c r="E312" s="9">
        <v>578</v>
      </c>
      <c r="F312" s="9" t="str">
        <f>IFERROR(MID(VLOOKUP($B312,Seqs!$A:$B,2,0),G312,1),"")</f>
        <v>Y</v>
      </c>
      <c r="G312" s="9">
        <v>604</v>
      </c>
      <c r="H312" s="9" t="str">
        <f>IFERROR(MID(VLOOKUP($B312,Seqs!$A:$B,2,0),I312,1),"")</f>
        <v>T</v>
      </c>
      <c r="I312" s="109">
        <v>607</v>
      </c>
      <c r="J312" s="9" t="str">
        <f>IFERROR(MID(VLOOKUP($B312,Seqs!$A:$B,2,0),K312,1),"")</f>
        <v>S</v>
      </c>
      <c r="K312" s="109">
        <v>613</v>
      </c>
      <c r="L312" s="9" t="str">
        <f>IFERROR(MID(VLOOKUP($B312,Seqs!$A:$B,2,0),M312,1),"")</f>
        <v>S</v>
      </c>
      <c r="M312" s="9">
        <v>614</v>
      </c>
      <c r="N312" s="9" t="str">
        <f>IFERROR(MID(VLOOKUP($B312,Seqs!$A:$B,2,0),O312,1),"")</f>
        <v>I</v>
      </c>
      <c r="O312" s="9">
        <v>636</v>
      </c>
      <c r="P312" s="9" t="str">
        <f>IFERROR(MID(VLOOKUP($B312,Seqs!$A:$B,2,0),Q312,1),"")</f>
        <v/>
      </c>
      <c r="Q312" s="9" t="s">
        <v>23</v>
      </c>
      <c r="R312" s="9" t="str">
        <f>IFERROR(MID(VLOOKUP($B312,Seqs!$A:$B,2,0),S312,1),"")</f>
        <v/>
      </c>
      <c r="S312" s="9" t="s">
        <v>23</v>
      </c>
      <c r="T312" s="9" t="str">
        <f>IFERROR(MID(VLOOKUP($B312,Seqs!$A:$B,2,0),U312,1),"")</f>
        <v>Q</v>
      </c>
      <c r="U312" s="9">
        <v>641</v>
      </c>
      <c r="V312" s="9" t="str">
        <f>IFERROR(MID(VLOOKUP($B312,Seqs!$A:$B,2,0),W312,1),"")</f>
        <v>K</v>
      </c>
      <c r="W312" s="9">
        <v>678</v>
      </c>
      <c r="X312" s="9" t="str">
        <f>IFERROR(MID(VLOOKUP($B312,Seqs!$A:$B,2,0),Y312,1),"")</f>
        <v/>
      </c>
      <c r="Y312" s="9" t="s">
        <v>23</v>
      </c>
      <c r="Z312" s="9" t="str">
        <f>IFERROR(MID(VLOOKUP($B312,Seqs!$A:$B,2,0),AA312,1),"")</f>
        <v/>
      </c>
      <c r="AA312" s="9" t="s">
        <v>23</v>
      </c>
      <c r="AB312" s="9" t="str">
        <f>IFERROR(MID(VLOOKUP($B312,Seqs!$A:$B,2,0),AC312,1),"")</f>
        <v>S</v>
      </c>
      <c r="AC312" s="9">
        <v>689</v>
      </c>
      <c r="AD312" s="9" t="str">
        <f>IFERROR(MID(VLOOKUP($B312,Seqs!$A:$B,2,0),AE312,1),"")</f>
        <v>E</v>
      </c>
      <c r="AE312" s="9">
        <v>715</v>
      </c>
      <c r="AF312" s="9" t="str">
        <f>IFERROR(MID(VLOOKUP($B312,Seqs!$A:$B,2,0),AG312,1),"")</f>
        <v>C</v>
      </c>
      <c r="AG312" s="9">
        <v>733</v>
      </c>
      <c r="AH312" s="9" t="str">
        <f>IFERROR(MID(VLOOKUP($B312,Seqs!$A:$B,2,0),AI312,1),"")</f>
        <v>T</v>
      </c>
      <c r="AI312" s="9">
        <v>735</v>
      </c>
      <c r="AJ312" s="9" t="str">
        <f>IFERROR(MID(VLOOKUP($B312,Seqs!$A:$B,2,0),AK312,1),"")</f>
        <v>T</v>
      </c>
      <c r="AK312" s="105">
        <v>736</v>
      </c>
      <c r="AL312" s="9" t="str">
        <f>IFERROR(MID(VLOOKUP($B312,Seqs!$A:$B,2,0),AM312,1),"")</f>
        <v>T</v>
      </c>
      <c r="AM312" s="9">
        <v>761</v>
      </c>
      <c r="AN312" s="9" t="str">
        <f>IFERROR(MID(VLOOKUP($B312,Seqs!$A:$B,2,0),AO312,1),"")</f>
        <v>E</v>
      </c>
      <c r="AO312" s="9">
        <v>770</v>
      </c>
      <c r="AP312" s="9" t="str">
        <f>IFERROR(MID(VLOOKUP($B312,Seqs!$A:$B,2,0),AQ312,1),"")</f>
        <v>G</v>
      </c>
      <c r="AQ312" s="9">
        <v>794</v>
      </c>
      <c r="AR312" s="9" t="str">
        <f>IFERROR(MID(VLOOKUP($B312,Seqs!$A:$B,2,0),AS312,1),"")</f>
        <v>Y</v>
      </c>
      <c r="AS312" s="105">
        <v>797</v>
      </c>
      <c r="AT312" s="9" t="str">
        <f>IFERROR(MID(VLOOKUP($B312,Seqs!$A:$B,2,0),AU312,1),"")</f>
        <v>K</v>
      </c>
      <c r="AU312" s="9">
        <v>828</v>
      </c>
      <c r="AV312" s="9" t="str">
        <f>IFERROR(MID(VLOOKUP($B312,Seqs!$A:$B,2,0),AW312,1),"")</f>
        <v>P</v>
      </c>
      <c r="AW312" s="9">
        <v>829</v>
      </c>
      <c r="AX312" s="9" t="str">
        <f>IFERROR(MID(VLOOKUP($B312,Seqs!$A:$B,2,0),AY312,1),"")</f>
        <v>N</v>
      </c>
      <c r="AY312" s="9">
        <v>832</v>
      </c>
      <c r="AZ312" s="110" t="str">
        <f>VLOOKUP(B312,Classification!A:D,2,0)</f>
        <v>C</v>
      </c>
      <c r="BA312" s="98" t="str">
        <f>VLOOKUP(B312,Classification!A:D,4,0)</f>
        <v>Metabotropicglutamate</v>
      </c>
      <c r="BB312" s="36" t="b">
        <f>AND(E312&lt;G312,OR(G312&lt;I312,I312="-"),OR(I312&lt;K312,I312="-"),OR(K312&lt;M312,K312="-"),M312&lt;O312,OR(O312&lt;Q312,Q312="-"),OR(Q312&lt;S312,Q312="-"),OR(S312&lt;U312,S312="-"),U312&lt;W312,OR(W312&lt;Y312,Y312="-"),OR(Y312&lt;AA312,Y312="-"),OR(AA312&lt;AC312,AA312="-"),AC312&lt;AE312,OR(AE312&lt;AG312,AG312="-"),OR(AG312&lt;AI312,AG312="-"),OR(AI312&lt;AK312,AI312="-"),AK312&lt;AM312,AM312&lt;AO312,AO312&lt;AQ312,AQ312&lt;AS312,AS312&lt;AU312,OR(AU312&lt;AW312,AW312="-"),OR(AW312&lt;AY312,AW312="-"))</f>
        <v>1</v>
      </c>
      <c r="BC312" s="109">
        <f>_xlfn.AGGREGATE(9,6,CH312:CS312)-_xlfn.AGGREGATE(9,6,BV312:CG312)+12</f>
        <v>214</v>
      </c>
      <c r="BD312" s="11" t="s">
        <v>23</v>
      </c>
      <c r="BE312" s="9" t="s">
        <v>1381</v>
      </c>
      <c r="BF312" s="120">
        <v>2.2000000000000002</v>
      </c>
      <c r="BG312" s="51" t="s">
        <v>1</v>
      </c>
      <c r="BH312" s="51" t="s">
        <v>1</v>
      </c>
      <c r="BI312" s="9"/>
      <c r="BJ312" s="111" t="s">
        <v>1293</v>
      </c>
      <c r="BK312" s="112" t="s">
        <v>1293</v>
      </c>
      <c r="BL312" s="112" t="s">
        <v>1293</v>
      </c>
      <c r="BM312" s="112" t="s">
        <v>1293</v>
      </c>
      <c r="BN312" s="112" t="s">
        <v>1293</v>
      </c>
      <c r="BO312" s="112" t="s">
        <v>1293</v>
      </c>
      <c r="BP312" s="112" t="s">
        <v>1293</v>
      </c>
      <c r="BQ312" s="112" t="s">
        <v>1293</v>
      </c>
      <c r="BR312" s="112" t="s">
        <v>1293</v>
      </c>
      <c r="BS312" s="112" t="s">
        <v>1293</v>
      </c>
      <c r="BT312" s="112" t="s">
        <v>1293</v>
      </c>
      <c r="BU312" s="112" t="s">
        <v>1293</v>
      </c>
      <c r="BV312" s="111">
        <f>E312</f>
        <v>578</v>
      </c>
      <c r="BW312" s="113">
        <f>I312</f>
        <v>607</v>
      </c>
      <c r="BX312" s="114">
        <f>M312</f>
        <v>614</v>
      </c>
      <c r="BY312" s="113" t="str">
        <f>Q312</f>
        <v>-</v>
      </c>
      <c r="BZ312" s="114">
        <f>U312</f>
        <v>641</v>
      </c>
      <c r="CA312" s="113" t="str">
        <f>Y312</f>
        <v>-</v>
      </c>
      <c r="CB312" s="114">
        <f>AC312</f>
        <v>689</v>
      </c>
      <c r="CC312" s="113">
        <f>AG312</f>
        <v>733</v>
      </c>
      <c r="CD312" s="114">
        <f>AK312</f>
        <v>736</v>
      </c>
      <c r="CE312" s="113">
        <f>AO312</f>
        <v>770</v>
      </c>
      <c r="CF312" s="114">
        <f>AS312</f>
        <v>797</v>
      </c>
      <c r="CG312" s="113">
        <f>AW312</f>
        <v>829</v>
      </c>
      <c r="CH312" s="111">
        <f>G312</f>
        <v>604</v>
      </c>
      <c r="CI312" s="113">
        <f>K312</f>
        <v>613</v>
      </c>
      <c r="CJ312" s="114">
        <f>O312</f>
        <v>636</v>
      </c>
      <c r="CK312" s="114" t="str">
        <f>S312</f>
        <v>-</v>
      </c>
      <c r="CL312" s="114">
        <f>W312</f>
        <v>678</v>
      </c>
      <c r="CM312" s="114" t="str">
        <f>AA312</f>
        <v>-</v>
      </c>
      <c r="CN312" s="114">
        <f>AE312</f>
        <v>715</v>
      </c>
      <c r="CO312" s="114">
        <f>AI312</f>
        <v>735</v>
      </c>
      <c r="CP312" s="114">
        <f>AM312</f>
        <v>761</v>
      </c>
      <c r="CQ312" s="114">
        <f>AQ312</f>
        <v>794</v>
      </c>
      <c r="CR312" s="114">
        <f>AU312</f>
        <v>828</v>
      </c>
      <c r="CS312" s="114">
        <f>AY312</f>
        <v>832</v>
      </c>
      <c r="CT312" s="109">
        <f>M312-K312</f>
        <v>1</v>
      </c>
      <c r="CU312" s="9"/>
      <c r="CV312" s="9"/>
      <c r="CW312" s="9"/>
      <c r="CX312" s="9"/>
      <c r="CY312" s="9"/>
      <c r="CZ312" s="9"/>
      <c r="DA312" s="9"/>
      <c r="DB312" s="9"/>
      <c r="DC312" s="9"/>
      <c r="DD312" s="9"/>
      <c r="DE312" s="9"/>
      <c r="DF312" s="9"/>
      <c r="DG312" s="9"/>
      <c r="DH312" s="9"/>
      <c r="DI312" s="9"/>
      <c r="DJ312" s="9"/>
      <c r="DK312" s="9"/>
      <c r="DL312" s="9"/>
      <c r="DM312" s="9"/>
      <c r="DN312" s="9"/>
      <c r="DO312" s="9"/>
      <c r="DP312" s="9"/>
      <c r="DQ312" s="9"/>
      <c r="DR312" s="9"/>
      <c r="DS312" s="9"/>
      <c r="DT312" s="9"/>
      <c r="DU312" s="9"/>
      <c r="DV312" s="9"/>
      <c r="DW312" s="9"/>
      <c r="DX312" s="9"/>
      <c r="DY312" s="9"/>
      <c r="DZ312" s="9"/>
      <c r="EA312" s="9"/>
      <c r="EB312" s="9"/>
      <c r="EC312" s="9"/>
      <c r="ED312" s="9"/>
      <c r="EE312" s="9"/>
      <c r="EF312" s="9"/>
      <c r="EG312" s="9"/>
      <c r="EH312" s="9"/>
      <c r="EI312" s="9"/>
      <c r="EJ312" s="9"/>
      <c r="EK312" s="9"/>
      <c r="EL312" s="9"/>
      <c r="EM312" s="9"/>
      <c r="EN312" s="9"/>
      <c r="EO312" s="9"/>
      <c r="EP312" s="9"/>
      <c r="EQ312" s="9"/>
      <c r="ER312" s="9"/>
      <c r="ES312" s="9"/>
      <c r="ET312" s="9"/>
      <c r="EU312" s="9"/>
      <c r="EV312" s="9"/>
      <c r="EW312" s="9"/>
      <c r="EX312" s="9"/>
      <c r="EY312" s="9"/>
      <c r="EZ312" s="9"/>
      <c r="FA312" s="9"/>
      <c r="FB312" s="9"/>
      <c r="FC312" s="9"/>
      <c r="FD312" s="9"/>
      <c r="FE312" s="9"/>
      <c r="FF312" s="9"/>
      <c r="FG312" s="9"/>
      <c r="FH312" s="9"/>
      <c r="FI312" s="9"/>
      <c r="FJ312" s="9"/>
      <c r="FK312" s="9"/>
      <c r="FL312" s="9"/>
      <c r="FM312" s="9"/>
      <c r="FN312" s="9"/>
      <c r="FO312" s="9"/>
      <c r="FP312" s="9"/>
      <c r="FQ312" s="9"/>
      <c r="FR312" s="9"/>
      <c r="FS312" s="9"/>
      <c r="FT312" s="9"/>
      <c r="FU312" s="9"/>
      <c r="FV312" s="9"/>
      <c r="FW312" s="9"/>
      <c r="FX312" s="9"/>
      <c r="FY312" s="9"/>
      <c r="FZ312" s="9"/>
      <c r="GA312" s="9"/>
      <c r="GB312" s="9"/>
      <c r="GC312" s="9"/>
      <c r="GD312" s="9"/>
      <c r="GE312" s="9"/>
      <c r="GF312" s="9"/>
      <c r="GG312" s="9"/>
      <c r="GH312" s="9"/>
      <c r="GI312" s="9"/>
      <c r="GJ312" s="9"/>
      <c r="GK312" s="9"/>
      <c r="GL312" s="9"/>
      <c r="GM312" s="9"/>
      <c r="GN312" s="9"/>
      <c r="GO312" s="9"/>
      <c r="GP312" s="9"/>
      <c r="GQ312" s="9"/>
      <c r="GR312" s="9"/>
      <c r="GS312" s="9"/>
      <c r="GT312" s="9"/>
      <c r="GU312" s="9"/>
      <c r="GV312" s="9"/>
      <c r="GW312" s="9"/>
      <c r="GX312" s="9"/>
      <c r="GY312" s="9"/>
      <c r="GZ312" s="9"/>
      <c r="HA312" s="9"/>
      <c r="HB312" s="9"/>
      <c r="HC312" s="9"/>
      <c r="HD312" s="9"/>
      <c r="HE312" s="9"/>
      <c r="HF312" s="9"/>
      <c r="HG312" s="9"/>
      <c r="HH312" s="9"/>
      <c r="HI312" s="9"/>
      <c r="HJ312" s="9"/>
      <c r="HK312" s="9"/>
      <c r="HL312" s="9"/>
      <c r="HM312" s="9"/>
      <c r="HN312" s="9"/>
      <c r="HO312" s="9"/>
      <c r="HP312" s="9"/>
      <c r="HQ312" s="9"/>
      <c r="HR312" s="9"/>
      <c r="HS312" s="9"/>
      <c r="HT312" s="9"/>
      <c r="HU312" s="9"/>
      <c r="HV312" s="9"/>
      <c r="HW312" s="9"/>
      <c r="HX312" s="9"/>
      <c r="HY312" s="9"/>
      <c r="HZ312" s="9"/>
      <c r="IA312" s="9"/>
      <c r="IB312" s="9"/>
      <c r="IC312" s="9"/>
      <c r="ID312" s="9"/>
      <c r="IE312" s="9"/>
      <c r="IF312" s="9"/>
      <c r="IG312" s="9"/>
      <c r="IH312" s="9"/>
      <c r="II312" s="9"/>
      <c r="IJ312" s="9"/>
      <c r="IK312" s="9"/>
      <c r="IL312" s="9"/>
      <c r="IM312" s="9"/>
      <c r="IN312" s="9"/>
      <c r="IO312" s="9"/>
      <c r="IP312" s="9"/>
      <c r="IQ312" s="9"/>
      <c r="IR312" s="9"/>
      <c r="IS312" s="9"/>
      <c r="IT312" s="9"/>
      <c r="IU312" s="9"/>
      <c r="IV312" s="9"/>
      <c r="IW312" s="9"/>
      <c r="IX312" s="9"/>
      <c r="IY312" s="9"/>
      <c r="IZ312" s="9"/>
      <c r="JA312" s="9"/>
      <c r="JB312" s="9"/>
      <c r="JC312" s="9"/>
      <c r="JD312" s="9"/>
      <c r="JE312" s="9"/>
      <c r="JF312" s="9"/>
      <c r="JG312" s="9"/>
      <c r="JH312" s="9"/>
      <c r="JI312" s="9"/>
      <c r="JJ312" s="9"/>
      <c r="JK312" s="9"/>
      <c r="JL312" s="9"/>
      <c r="JM312" s="9"/>
      <c r="JN312" s="9"/>
      <c r="JO312" s="9"/>
      <c r="JP312" s="9"/>
      <c r="JQ312" s="9"/>
      <c r="JR312" s="9"/>
      <c r="JS312" s="9"/>
      <c r="JT312" s="9"/>
      <c r="JU312" s="9"/>
      <c r="JV312" s="9"/>
      <c r="JW312" s="9"/>
      <c r="JX312" s="9"/>
      <c r="JY312" s="9"/>
      <c r="JZ312" s="9"/>
      <c r="KA312" s="9"/>
      <c r="KB312" s="9"/>
      <c r="KC312" s="9"/>
      <c r="KD312" s="9"/>
      <c r="KE312" s="9"/>
      <c r="KF312" s="9"/>
      <c r="KG312" s="9"/>
      <c r="KH312" s="9"/>
      <c r="KI312" s="9"/>
      <c r="KJ312" s="9"/>
      <c r="KK312" s="9"/>
      <c r="KL312" s="9"/>
      <c r="KM312" s="9"/>
      <c r="KN312" s="9"/>
      <c r="KO312" s="9"/>
      <c r="KP312" s="9"/>
      <c r="KQ312" s="9"/>
      <c r="KR312" s="9"/>
      <c r="KS312" s="9"/>
      <c r="KT312" s="9"/>
      <c r="KU312" s="9"/>
      <c r="KV312" s="9"/>
      <c r="KW312" s="9"/>
      <c r="KX312" s="9"/>
      <c r="KY312" s="9"/>
      <c r="KZ312" s="9"/>
      <c r="LA312" s="9"/>
      <c r="LB312" s="9"/>
      <c r="LC312" s="9"/>
      <c r="LD312" s="9"/>
      <c r="LE312" s="9"/>
      <c r="LF312" s="9"/>
      <c r="LG312" s="9"/>
      <c r="LH312" s="9"/>
      <c r="LI312" s="9"/>
      <c r="LJ312" s="9"/>
      <c r="LK312" s="9"/>
      <c r="LL312" s="9"/>
      <c r="LM312" s="9"/>
      <c r="LN312" s="9"/>
      <c r="LO312" s="9"/>
      <c r="LP312" s="9"/>
      <c r="LQ312" s="9"/>
      <c r="LR312" s="9"/>
      <c r="LS312" s="9"/>
      <c r="LT312" s="9"/>
      <c r="LU312" s="9"/>
      <c r="LV312" s="9"/>
      <c r="LW312" s="9"/>
      <c r="LX312" s="9"/>
      <c r="LY312" s="9"/>
      <c r="LZ312" s="9"/>
      <c r="MA312" s="9"/>
      <c r="MB312" s="9"/>
      <c r="MC312" s="9"/>
      <c r="MD312" s="9"/>
      <c r="ME312" s="9"/>
      <c r="MF312" s="9"/>
      <c r="MG312" s="9"/>
      <c r="MH312" s="9"/>
      <c r="MI312" s="9"/>
      <c r="MJ312" s="9"/>
      <c r="MK312" s="9"/>
      <c r="ML312" s="9"/>
      <c r="MM312" s="9"/>
      <c r="MN312" s="9"/>
      <c r="MO312" s="9"/>
      <c r="MP312" s="9"/>
      <c r="MQ312" s="9"/>
      <c r="MR312" s="9"/>
      <c r="MS312" s="9"/>
      <c r="MT312" s="9"/>
      <c r="MU312" s="9"/>
      <c r="MV312" s="9"/>
      <c r="MW312" s="9"/>
      <c r="MX312" s="9"/>
      <c r="MY312" s="9"/>
      <c r="MZ312" s="9"/>
      <c r="NA312" s="9"/>
      <c r="NB312" s="9"/>
      <c r="NC312" s="9"/>
      <c r="ND312" s="9"/>
      <c r="NE312" s="9"/>
      <c r="NF312" s="9"/>
      <c r="NG312" s="9"/>
      <c r="NH312" s="9"/>
      <c r="NI312" s="9"/>
      <c r="NJ312" s="9"/>
      <c r="NK312" s="9"/>
      <c r="NL312" s="9"/>
      <c r="NM312" s="9"/>
      <c r="NN312" s="9"/>
      <c r="NO312" s="9"/>
      <c r="NP312" s="9"/>
      <c r="NQ312" s="9"/>
      <c r="NR312" s="9"/>
      <c r="NS312" s="9"/>
      <c r="NT312" s="9"/>
      <c r="NU312" s="9"/>
      <c r="NV312" s="9"/>
      <c r="NW312" s="9"/>
      <c r="NX312" s="9"/>
      <c r="NY312" s="9"/>
      <c r="NZ312" s="9"/>
      <c r="OA312" s="9"/>
      <c r="OB312" s="9"/>
      <c r="OC312" s="9"/>
      <c r="OD312" s="9"/>
      <c r="OE312" s="9"/>
      <c r="OF312" s="9"/>
      <c r="OG312" s="9"/>
      <c r="OH312" s="9"/>
      <c r="OI312" s="9"/>
      <c r="OJ312" s="9"/>
      <c r="OK312" s="9"/>
      <c r="OL312" s="9"/>
      <c r="OM312" s="9"/>
      <c r="ON312" s="9"/>
      <c r="OO312" s="9"/>
      <c r="OP312" s="9"/>
      <c r="OQ312" s="9"/>
      <c r="OR312" s="9"/>
      <c r="OS312" s="9"/>
      <c r="OT312" s="9"/>
      <c r="OU312" s="9"/>
      <c r="OV312" s="9"/>
      <c r="OW312" s="9"/>
      <c r="OX312" s="9"/>
      <c r="OY312" s="9"/>
      <c r="OZ312" s="9"/>
      <c r="PA312" s="9"/>
      <c r="PB312" s="9"/>
      <c r="PC312" s="9"/>
      <c r="PD312" s="9"/>
      <c r="PE312" s="9"/>
      <c r="PF312" s="9"/>
      <c r="PG312" s="9"/>
      <c r="PH312" s="9"/>
      <c r="PI312" s="9"/>
      <c r="PJ312" s="9"/>
      <c r="PK312" s="9"/>
      <c r="PL312" s="9"/>
      <c r="PM312" s="9"/>
      <c r="PN312" s="9"/>
      <c r="PO312" s="9"/>
      <c r="PP312" s="9"/>
      <c r="PQ312" s="9"/>
      <c r="PR312" s="9"/>
      <c r="PS312" s="9"/>
      <c r="PT312" s="9"/>
      <c r="PU312" s="9"/>
      <c r="PV312" s="9"/>
      <c r="PW312" s="9"/>
      <c r="PX312" s="9"/>
      <c r="PY312" s="9"/>
      <c r="PZ312" s="9"/>
      <c r="QA312" s="9"/>
      <c r="QB312" s="9"/>
      <c r="QC312" s="9"/>
      <c r="QD312" s="9"/>
      <c r="QE312" s="9"/>
      <c r="QF312" s="9"/>
      <c r="QG312" s="9"/>
      <c r="QH312" s="9"/>
      <c r="QI312" s="9"/>
      <c r="QJ312" s="9"/>
      <c r="QK312" s="9"/>
      <c r="QL312" s="9"/>
      <c r="QM312" s="9"/>
      <c r="QN312" s="9"/>
      <c r="QO312" s="9"/>
      <c r="QP312" s="9"/>
      <c r="QQ312" s="9"/>
      <c r="QR312" s="9"/>
      <c r="QS312" s="9"/>
      <c r="QT312" s="9"/>
      <c r="QU312" s="9"/>
      <c r="QV312" s="9"/>
      <c r="QW312" s="9"/>
      <c r="QX312" s="9"/>
      <c r="QY312" s="9"/>
      <c r="QZ312" s="9"/>
      <c r="RA312" s="9"/>
      <c r="RB312" s="9"/>
      <c r="RC312" s="9"/>
      <c r="RD312" s="9"/>
      <c r="RE312" s="9"/>
      <c r="RF312" s="9"/>
      <c r="RG312" s="9"/>
      <c r="RH312" s="9"/>
      <c r="RI312" s="9"/>
      <c r="RJ312" s="9"/>
      <c r="RK312" s="9"/>
      <c r="RL312" s="9"/>
      <c r="RM312" s="9"/>
      <c r="RN312" s="9"/>
      <c r="RO312" s="9"/>
      <c r="RP312" s="9"/>
      <c r="RQ312" s="9"/>
      <c r="RR312" s="9"/>
      <c r="RS312" s="9"/>
      <c r="RT312" s="9"/>
      <c r="RU312" s="9"/>
      <c r="RV312" s="9"/>
      <c r="RW312" s="9"/>
      <c r="RX312" s="9"/>
      <c r="RY312" s="9"/>
      <c r="RZ312" s="9"/>
      <c r="SA312" s="9"/>
      <c r="SB312" s="9"/>
      <c r="SC312" s="9"/>
      <c r="SD312" s="9"/>
      <c r="SE312" s="9"/>
      <c r="SF312" s="9"/>
      <c r="SG312" s="9"/>
      <c r="SH312" s="9"/>
      <c r="SI312" s="9"/>
      <c r="SJ312" s="9"/>
      <c r="SK312" s="9"/>
      <c r="SL312" s="9"/>
      <c r="SM312" s="9"/>
      <c r="SN312" s="9"/>
      <c r="SO312" s="9"/>
      <c r="SP312" s="9"/>
      <c r="SQ312" s="9"/>
      <c r="SR312" s="9"/>
      <c r="SS312" s="9"/>
      <c r="ST312" s="9"/>
      <c r="SU312" s="9"/>
      <c r="SV312" s="9"/>
      <c r="SW312" s="9"/>
      <c r="SX312" s="9"/>
      <c r="SY312" s="9"/>
      <c r="SZ312" s="9"/>
      <c r="TA312" s="9"/>
      <c r="TB312" s="9"/>
      <c r="TC312" s="9"/>
      <c r="TD312" s="9"/>
      <c r="TE312" s="9"/>
      <c r="TF312" s="9"/>
      <c r="TG312" s="9"/>
      <c r="TH312" s="9"/>
      <c r="TI312" s="9"/>
      <c r="TJ312" s="9"/>
      <c r="TK312" s="9"/>
      <c r="TL312" s="9"/>
      <c r="TM312" s="9"/>
      <c r="TN312" s="9"/>
      <c r="TO312" s="9"/>
      <c r="TP312" s="9"/>
      <c r="TQ312" s="9"/>
      <c r="TR312" s="9"/>
      <c r="TS312" s="9"/>
      <c r="TT312" s="9"/>
      <c r="TU312" s="9"/>
      <c r="TV312" s="9"/>
      <c r="TW312" s="9"/>
      <c r="TX312" s="9"/>
      <c r="TY312" s="9"/>
      <c r="TZ312" s="9"/>
      <c r="UA312" s="9"/>
      <c r="UB312" s="9"/>
      <c r="UC312" s="9"/>
      <c r="UD312" s="9"/>
      <c r="UE312" s="9"/>
      <c r="UF312" s="9"/>
      <c r="UG312" s="9"/>
      <c r="UH312" s="9"/>
      <c r="UI312" s="9"/>
      <c r="UJ312" s="9"/>
      <c r="UK312" s="9"/>
      <c r="UL312" s="9"/>
      <c r="UM312" s="9"/>
      <c r="UN312" s="9"/>
      <c r="UO312" s="9"/>
      <c r="UP312" s="9"/>
      <c r="UQ312" s="9"/>
      <c r="UR312" s="9"/>
      <c r="US312" s="9"/>
      <c r="UT312" s="9"/>
      <c r="UU312" s="9"/>
      <c r="UV312" s="9"/>
      <c r="UW312" s="9"/>
      <c r="UX312" s="9"/>
      <c r="UY312" s="9"/>
      <c r="UZ312" s="9"/>
      <c r="VA312" s="9"/>
      <c r="VB312" s="9"/>
      <c r="VC312" s="9"/>
      <c r="VD312" s="9"/>
      <c r="VE312" s="9"/>
      <c r="VF312" s="9"/>
      <c r="VG312" s="9"/>
      <c r="VH312" s="9"/>
      <c r="VI312" s="9"/>
      <c r="VJ312" s="9"/>
      <c r="VK312" s="9"/>
      <c r="VL312" s="9"/>
      <c r="VM312" s="9"/>
      <c r="VN312" s="9"/>
      <c r="VO312" s="9"/>
      <c r="VP312" s="9"/>
      <c r="VQ312" s="9"/>
      <c r="VR312" s="9"/>
      <c r="VS312" s="9"/>
      <c r="VT312" s="9"/>
      <c r="VU312" s="9"/>
      <c r="VV312" s="9"/>
      <c r="VW312" s="9"/>
      <c r="VX312" s="9"/>
      <c r="VY312" s="9"/>
      <c r="VZ312" s="9"/>
      <c r="WA312" s="9"/>
      <c r="WB312" s="9"/>
      <c r="WC312" s="9"/>
      <c r="WD312" s="9"/>
      <c r="WE312" s="9"/>
      <c r="WF312" s="9"/>
      <c r="WG312" s="9"/>
      <c r="WH312" s="9"/>
      <c r="WI312" s="9"/>
      <c r="WJ312" s="9"/>
      <c r="WK312" s="9"/>
      <c r="WL312" s="9"/>
      <c r="WM312" s="9"/>
      <c r="WN312" s="9"/>
      <c r="WO312" s="9"/>
      <c r="WP312" s="9"/>
      <c r="WQ312" s="9"/>
      <c r="WR312" s="9"/>
      <c r="WS312" s="9"/>
      <c r="WT312" s="9"/>
      <c r="WU312" s="9"/>
      <c r="WV312" s="9"/>
      <c r="WW312" s="9"/>
      <c r="WX312" s="9"/>
      <c r="WY312" s="9"/>
      <c r="WZ312" s="9"/>
      <c r="XA312" s="9"/>
      <c r="XB312" s="9"/>
      <c r="XC312" s="9"/>
      <c r="XD312" s="9"/>
      <c r="XE312" s="9"/>
      <c r="XF312" s="9"/>
      <c r="XG312" s="9"/>
      <c r="XH312" s="9"/>
      <c r="XI312" s="9"/>
      <c r="XJ312" s="9"/>
      <c r="XK312" s="9"/>
      <c r="XL312" s="9"/>
      <c r="XM312" s="9"/>
      <c r="XN312" s="9"/>
      <c r="XO312" s="9"/>
      <c r="XP312" s="9"/>
      <c r="XQ312" s="9"/>
      <c r="XR312" s="9"/>
      <c r="XS312" s="9"/>
      <c r="XT312" s="9"/>
      <c r="XU312" s="9"/>
      <c r="XV312" s="9"/>
      <c r="XW312" s="9"/>
      <c r="XX312" s="9"/>
      <c r="XY312" s="9"/>
      <c r="XZ312" s="9"/>
      <c r="YA312" s="9"/>
      <c r="YB312" s="9"/>
      <c r="YC312" s="9"/>
      <c r="YD312" s="9"/>
      <c r="YE312" s="9"/>
      <c r="YF312" s="9"/>
      <c r="YG312" s="9"/>
      <c r="YH312" s="9"/>
      <c r="YI312" s="9"/>
      <c r="YJ312" s="9"/>
      <c r="YK312" s="9"/>
      <c r="YL312" s="9"/>
      <c r="YM312" s="9"/>
      <c r="YN312" s="9"/>
      <c r="YO312" s="9"/>
      <c r="YP312" s="9"/>
      <c r="YQ312" s="9"/>
      <c r="YR312" s="9"/>
      <c r="YS312" s="9"/>
      <c r="YT312" s="9"/>
      <c r="YU312" s="9"/>
      <c r="YV312" s="9"/>
      <c r="YW312" s="9"/>
      <c r="YX312" s="9"/>
      <c r="YY312" s="9"/>
      <c r="YZ312" s="9"/>
      <c r="ZA312" s="9"/>
      <c r="ZB312" s="9"/>
      <c r="ZC312" s="9"/>
      <c r="ZD312" s="9"/>
      <c r="ZE312" s="9"/>
      <c r="ZF312" s="9"/>
      <c r="ZG312" s="9"/>
      <c r="ZH312" s="9"/>
      <c r="ZI312" s="9"/>
      <c r="ZJ312" s="9"/>
      <c r="ZK312" s="9"/>
      <c r="ZL312" s="9"/>
      <c r="ZM312" s="9"/>
      <c r="ZN312" s="9"/>
      <c r="ZO312" s="9"/>
      <c r="ZP312" s="9"/>
      <c r="ZQ312" s="9"/>
      <c r="ZR312" s="9"/>
      <c r="ZS312" s="9"/>
      <c r="ZT312" s="9"/>
      <c r="ZU312" s="9"/>
      <c r="ZV312" s="9"/>
      <c r="ZW312" s="9"/>
      <c r="ZX312" s="9"/>
      <c r="ZY312" s="9"/>
      <c r="ZZ312" s="9"/>
      <c r="AAA312" s="9"/>
      <c r="AAB312" s="9"/>
      <c r="AAC312" s="9"/>
      <c r="AAD312" s="9"/>
      <c r="AAE312" s="9"/>
      <c r="AAF312" s="9"/>
      <c r="AAG312" s="9"/>
      <c r="AAH312" s="9"/>
      <c r="AAI312" s="9"/>
      <c r="AAJ312" s="9"/>
      <c r="AAK312" s="9"/>
      <c r="AAL312" s="9"/>
      <c r="AAM312" s="9"/>
      <c r="AAN312" s="9"/>
      <c r="AAO312" s="9"/>
      <c r="AAP312" s="9"/>
      <c r="AAQ312" s="9"/>
      <c r="AAR312" s="9"/>
      <c r="AAS312" s="9"/>
      <c r="AAT312" s="9"/>
      <c r="AAU312" s="9"/>
      <c r="AAV312" s="9"/>
      <c r="AAW312" s="9"/>
      <c r="AAX312" s="9"/>
      <c r="AAY312" s="9"/>
      <c r="AAZ312" s="9"/>
      <c r="ABA312" s="9"/>
      <c r="ABB312" s="9"/>
      <c r="ABC312" s="9"/>
      <c r="ABD312" s="9"/>
      <c r="ABE312" s="9"/>
      <c r="ABF312" s="9"/>
      <c r="ABG312" s="9"/>
      <c r="ABH312" s="9"/>
      <c r="ABI312" s="9"/>
      <c r="ABJ312" s="9"/>
      <c r="ABK312" s="9"/>
      <c r="ABL312" s="9"/>
      <c r="ABM312" s="9"/>
      <c r="ABN312" s="9"/>
      <c r="ABO312" s="9"/>
      <c r="ABP312" s="9"/>
      <c r="ABQ312" s="9"/>
      <c r="ABR312" s="9"/>
      <c r="ABS312" s="9"/>
      <c r="ABT312" s="9"/>
      <c r="ABU312" s="9"/>
      <c r="ABV312" s="9"/>
      <c r="ABW312" s="9"/>
      <c r="ABX312" s="9"/>
      <c r="ABY312" s="9"/>
      <c r="ABZ312" s="9"/>
      <c r="ACA312" s="9"/>
      <c r="ACB312" s="9"/>
      <c r="ACC312" s="9"/>
      <c r="ACD312" s="9"/>
      <c r="ACE312" s="9"/>
      <c r="ACF312" s="9"/>
      <c r="ACG312" s="9"/>
      <c r="ACH312" s="9"/>
      <c r="ACI312" s="9"/>
      <c r="ACJ312" s="9"/>
      <c r="ACK312" s="9"/>
      <c r="ACL312" s="9"/>
      <c r="ACM312" s="9"/>
      <c r="ACN312" s="9"/>
      <c r="ACO312" s="9"/>
      <c r="ACP312" s="9"/>
      <c r="ACQ312" s="9"/>
      <c r="ACR312" s="9"/>
      <c r="ACS312" s="9"/>
      <c r="ACT312" s="9"/>
      <c r="ACU312" s="9"/>
      <c r="ACV312" s="9"/>
      <c r="ACW312" s="9"/>
      <c r="ACX312" s="9"/>
      <c r="ACY312" s="9"/>
      <c r="ACZ312" s="9"/>
      <c r="ADA312" s="9"/>
      <c r="ADB312" s="9"/>
      <c r="ADC312" s="9"/>
      <c r="ADD312" s="9"/>
      <c r="ADE312" s="9"/>
      <c r="ADF312" s="9"/>
      <c r="ADG312" s="9"/>
      <c r="ADH312" s="9"/>
      <c r="ADI312" s="9"/>
      <c r="ADJ312" s="9"/>
      <c r="ADK312" s="9"/>
      <c r="ADL312" s="9"/>
      <c r="ADM312" s="9"/>
      <c r="ADN312" s="9"/>
      <c r="ADO312" s="9"/>
      <c r="ADP312" s="9"/>
      <c r="ADQ312" s="9"/>
      <c r="ADR312" s="9"/>
      <c r="ADS312" s="9"/>
      <c r="ADT312" s="9"/>
      <c r="ADU312" s="9"/>
      <c r="ADV312" s="9"/>
      <c r="ADW312" s="9"/>
      <c r="ADX312" s="9"/>
      <c r="ADY312" s="9"/>
      <c r="ADZ312" s="9"/>
      <c r="AEA312" s="9"/>
      <c r="AEB312" s="9"/>
      <c r="AEC312" s="9"/>
      <c r="AED312" s="9"/>
      <c r="AEE312" s="9"/>
      <c r="AEF312" s="9"/>
      <c r="AEG312" s="9"/>
      <c r="AEH312" s="9"/>
      <c r="AEI312" s="9"/>
      <c r="AEJ312" s="9"/>
      <c r="AEK312" s="9"/>
      <c r="AEL312" s="9"/>
      <c r="AEM312" s="9"/>
      <c r="AEN312" s="9"/>
      <c r="AEO312" s="9"/>
      <c r="AEP312" s="9"/>
      <c r="AEQ312" s="9"/>
      <c r="AER312" s="9"/>
      <c r="AES312" s="9"/>
      <c r="AET312" s="9"/>
      <c r="AEU312" s="9"/>
      <c r="AEV312" s="9"/>
      <c r="AEW312" s="9"/>
      <c r="AEX312" s="9"/>
      <c r="AEY312" s="9"/>
      <c r="AEZ312" s="9"/>
      <c r="AFA312" s="9"/>
      <c r="AFB312" s="9"/>
      <c r="AFC312" s="9"/>
      <c r="AFD312" s="9"/>
      <c r="AFE312" s="9"/>
      <c r="AFF312" s="9"/>
      <c r="AFG312" s="9"/>
      <c r="AFH312" s="9"/>
      <c r="AFI312" s="9"/>
      <c r="AFJ312" s="9"/>
      <c r="AFK312" s="9"/>
      <c r="AFL312" s="9"/>
      <c r="AFM312" s="9"/>
      <c r="AFN312" s="9"/>
      <c r="AFO312" s="9"/>
      <c r="AFP312" s="9"/>
      <c r="AFQ312" s="9"/>
      <c r="AFR312" s="9"/>
      <c r="AFS312" s="9"/>
      <c r="AFT312" s="9"/>
      <c r="AFU312" s="9"/>
      <c r="AFV312" s="9"/>
      <c r="AFW312" s="9"/>
      <c r="AFX312" s="9"/>
      <c r="AFY312" s="9"/>
      <c r="AFZ312" s="9"/>
      <c r="AGA312" s="9"/>
      <c r="AGB312" s="9"/>
      <c r="AGC312" s="9"/>
      <c r="AGD312" s="9"/>
      <c r="AGE312" s="9"/>
      <c r="AGF312" s="9"/>
      <c r="AGG312" s="9"/>
      <c r="AGH312" s="9"/>
      <c r="AGI312" s="9"/>
      <c r="AGJ312" s="9"/>
      <c r="AGK312" s="9"/>
      <c r="AGL312" s="9"/>
      <c r="AGM312" s="9"/>
      <c r="AGN312" s="9"/>
      <c r="AGO312" s="9"/>
      <c r="AGP312" s="9"/>
      <c r="AGQ312" s="9"/>
      <c r="AGR312" s="9"/>
      <c r="AGS312" s="9"/>
      <c r="AGT312" s="9"/>
      <c r="AGU312" s="9"/>
      <c r="AGV312" s="9"/>
      <c r="AGW312" s="9"/>
      <c r="AGX312" s="9"/>
      <c r="AGY312" s="9"/>
      <c r="AGZ312" s="9"/>
      <c r="AHA312" s="9"/>
      <c r="AHB312" s="9"/>
      <c r="AHC312" s="9"/>
      <c r="AHD312" s="9"/>
      <c r="AHE312" s="9"/>
      <c r="AHF312" s="9"/>
      <c r="AHG312" s="9"/>
      <c r="AHH312" s="9"/>
      <c r="AHI312" s="9"/>
      <c r="AHJ312" s="9"/>
      <c r="AHK312" s="9"/>
      <c r="AHL312" s="9"/>
      <c r="AHM312" s="9"/>
      <c r="AHN312" s="9"/>
      <c r="AHO312" s="9"/>
      <c r="AHP312" s="9"/>
      <c r="AHQ312" s="9"/>
      <c r="AHR312" s="9"/>
      <c r="AHS312" s="9"/>
      <c r="AHT312" s="9"/>
      <c r="AHU312" s="9"/>
      <c r="AHV312" s="9"/>
      <c r="AHW312" s="9"/>
      <c r="AHX312" s="9"/>
      <c r="AHY312" s="9"/>
      <c r="AHZ312" s="9"/>
      <c r="AIA312" s="9"/>
      <c r="AIB312" s="9"/>
      <c r="AIC312" s="9"/>
      <c r="AID312" s="9"/>
      <c r="AIE312" s="9"/>
      <c r="AIF312" s="9"/>
      <c r="AIG312" s="9"/>
      <c r="AIH312" s="9"/>
      <c r="AII312" s="9"/>
      <c r="AIJ312" s="9"/>
      <c r="AIK312" s="9"/>
      <c r="AIL312" s="9"/>
      <c r="AIM312" s="9"/>
      <c r="AIN312" s="9"/>
      <c r="AIO312" s="9"/>
      <c r="AIP312" s="9"/>
      <c r="AIQ312" s="9"/>
      <c r="AIR312" s="9"/>
      <c r="AIS312" s="9"/>
      <c r="AIT312" s="9"/>
      <c r="AIU312" s="9"/>
      <c r="AIV312" s="9"/>
      <c r="AIW312" s="9"/>
      <c r="AIX312" s="9"/>
      <c r="AIY312" s="9"/>
      <c r="AIZ312" s="9"/>
      <c r="AJA312" s="9"/>
      <c r="AJB312" s="9"/>
      <c r="AJC312" s="9"/>
      <c r="AJD312" s="9"/>
      <c r="AJE312" s="9"/>
      <c r="AJF312" s="9"/>
      <c r="AJG312" s="9"/>
      <c r="AJH312" s="9"/>
      <c r="AJI312" s="9"/>
      <c r="AJJ312" s="9"/>
      <c r="AJK312" s="9"/>
      <c r="AJL312" s="9"/>
      <c r="AJM312" s="9"/>
      <c r="AJN312" s="9"/>
      <c r="AJO312" s="9"/>
      <c r="AJP312" s="9"/>
      <c r="AJQ312" s="9"/>
      <c r="AJR312" s="9"/>
      <c r="AJS312" s="9"/>
      <c r="AJT312" s="9"/>
      <c r="AJU312" s="9"/>
      <c r="AJV312" s="9"/>
      <c r="AJW312" s="9"/>
      <c r="AJX312" s="9"/>
      <c r="AJY312" s="9"/>
      <c r="AJZ312" s="9"/>
      <c r="AKA312" s="9"/>
      <c r="AKB312" s="9"/>
      <c r="AKC312" s="9"/>
      <c r="AKD312" s="9"/>
      <c r="AKE312" s="9"/>
      <c r="AKF312" s="9"/>
      <c r="AKG312" s="9"/>
      <c r="AKH312" s="9"/>
      <c r="AKI312" s="9"/>
      <c r="AKJ312" s="9"/>
      <c r="AKK312" s="9"/>
      <c r="AKL312" s="9"/>
      <c r="AKM312" s="9"/>
      <c r="AKN312" s="9"/>
      <c r="AKO312" s="9"/>
      <c r="AKP312" s="9"/>
      <c r="AKQ312" s="9"/>
      <c r="AKR312" s="9"/>
      <c r="AKS312" s="9"/>
      <c r="AKT312" s="9"/>
      <c r="AKU312" s="9"/>
      <c r="AKV312" s="9"/>
      <c r="AKW312" s="9"/>
      <c r="AKX312" s="9"/>
      <c r="AKY312" s="9"/>
      <c r="AKZ312" s="9"/>
      <c r="ALA312" s="9"/>
      <c r="ALB312" s="9"/>
      <c r="ALC312" s="9"/>
      <c r="ALD312" s="9"/>
      <c r="ALE312" s="9"/>
      <c r="ALF312" s="9"/>
      <c r="ALG312" s="9"/>
      <c r="ALH312" s="9"/>
      <c r="ALI312" s="9"/>
      <c r="ALJ312" s="9"/>
      <c r="ALK312" s="9"/>
      <c r="ALL312" s="9"/>
      <c r="ALM312" s="9"/>
      <c r="ALN312" s="9"/>
      <c r="ALO312" s="9"/>
      <c r="ALP312" s="9"/>
      <c r="ALQ312" s="9"/>
      <c r="ALR312" s="9"/>
      <c r="ALS312" s="9"/>
      <c r="ALT312" s="9"/>
      <c r="ALU312" s="9"/>
      <c r="ALV312" s="9"/>
      <c r="ALW312" s="9"/>
      <c r="ALX312" s="9"/>
      <c r="ALY312" s="9"/>
      <c r="ALZ312" s="9"/>
      <c r="AMA312" s="9"/>
      <c r="AMB312" s="9"/>
      <c r="AMC312" s="9"/>
      <c r="AMD312" s="9"/>
      <c r="AME312" s="9"/>
      <c r="AMF312" s="9"/>
      <c r="AMG312" s="9"/>
      <c r="AMH312" s="9"/>
      <c r="AMI312" s="9"/>
      <c r="AMJ312" s="9"/>
      <c r="AMK312" s="9"/>
      <c r="AML312" s="9"/>
      <c r="AMM312" s="9"/>
      <c r="AMN312" s="9"/>
      <c r="AMO312" s="9"/>
      <c r="AMP312" s="9"/>
    </row>
    <row r="313" spans="1:1030" x14ac:dyDescent="0.2">
      <c r="A313" s="3" t="str">
        <f t="shared" si="1115"/>
        <v>smo_human__wt</v>
      </c>
      <c r="B313" s="3" t="s">
        <v>33</v>
      </c>
      <c r="C313" s="3" t="s">
        <v>100</v>
      </c>
      <c r="D313" s="3" t="str">
        <f>IFERROR(MID(VLOOKUP($B313,Seqs!$A:$B,2,0),E313,1),"")</f>
        <v>T</v>
      </c>
      <c r="E313" s="105">
        <v>223</v>
      </c>
      <c r="F313" s="3" t="str">
        <f>IFERROR(MID(VLOOKUP($B313,Seqs!$A:$B,2,0),G313,1),"")</f>
        <v>D</v>
      </c>
      <c r="G313" s="3">
        <v>255</v>
      </c>
      <c r="H313" s="3" t="str">
        <f>IFERROR(MID(VLOOKUP($B313,Seqs!$A:$B,2,0),I313,1),"")</f>
        <v>W</v>
      </c>
      <c r="I313" s="23">
        <v>256</v>
      </c>
      <c r="J313" s="3" t="str">
        <f>IFERROR(MID(VLOOKUP($B313,Seqs!$A:$B,2,0),K313,1),"")</f>
        <v>N</v>
      </c>
      <c r="K313" s="23">
        <v>260</v>
      </c>
      <c r="L313" s="3" t="str">
        <f>IFERROR(MID(VLOOKUP($B313,Seqs!$A:$B,2,0),M313,1),"")</f>
        <v>R</v>
      </c>
      <c r="M313" s="3">
        <v>261</v>
      </c>
      <c r="N313" s="3" t="str">
        <f>IFERROR(MID(VLOOKUP($B313,Seqs!$A:$B,2,0),O313,1),"")</f>
        <v>F</v>
      </c>
      <c r="O313" s="3">
        <v>285</v>
      </c>
      <c r="P313" s="3" t="str">
        <f>IFERROR(MID(VLOOKUP($B313,Seqs!$A:$B,2,0),Q313,1),"")</f>
        <v/>
      </c>
      <c r="Q313" s="3" t="s">
        <v>23</v>
      </c>
      <c r="R313" s="3" t="str">
        <f>IFERROR(MID(VLOOKUP($B313,Seqs!$A:$B,2,0),S313,1),"")</f>
        <v/>
      </c>
      <c r="S313" s="3" t="s">
        <v>23</v>
      </c>
      <c r="T313" s="3" t="str">
        <f>IFERROR(MID(VLOOKUP($B313,Seqs!$A:$B,2,0),U313,1),"")</f>
        <v>L</v>
      </c>
      <c r="U313" s="3">
        <v>312</v>
      </c>
      <c r="V313" s="3" t="str">
        <f>IFERROR(MID(VLOOKUP($B313,Seqs!$A:$B,2,0),W313,1),"")</f>
        <v>T</v>
      </c>
      <c r="W313" s="3">
        <v>348</v>
      </c>
      <c r="X313" s="3" t="str">
        <f>IFERROR(MID(VLOOKUP($B313,Seqs!$A:$B,2,0),Y313,1),"")</f>
        <v/>
      </c>
      <c r="Y313" s="3" t="s">
        <v>23</v>
      </c>
      <c r="Z313" s="3" t="str">
        <f>IFERROR(MID(VLOOKUP($B313,Seqs!$A:$B,2,0),AA313,1),"")</f>
        <v/>
      </c>
      <c r="AA313" s="3" t="s">
        <v>23</v>
      </c>
      <c r="AB313" s="3" t="str">
        <f>IFERROR(MID(VLOOKUP($B313,Seqs!$A:$B,2,0),AC313,1),"")</f>
        <v>L</v>
      </c>
      <c r="AC313" s="9">
        <v>353</v>
      </c>
      <c r="AD313" s="3" t="str">
        <f>IFERROR(MID(VLOOKUP($B313,Seqs!$A:$B,2,0),AE313,1),"")</f>
        <v>V</v>
      </c>
      <c r="AE313" s="3">
        <v>378</v>
      </c>
      <c r="AF313" s="3" t="str">
        <f>IFERROR(MID(VLOOKUP($B313,Seqs!$A:$B,2,0),AG313,1),"")</f>
        <v>C</v>
      </c>
      <c r="AG313" s="3">
        <v>390</v>
      </c>
      <c r="AH313" s="3" t="str">
        <f>IFERROR(MID(VLOOKUP($B313,Seqs!$A:$B,2,0),AI313,1),"")</f>
        <v>V</v>
      </c>
      <c r="AI313" s="3">
        <v>392</v>
      </c>
      <c r="AJ313" s="3" t="str">
        <f>IFERROR(MID(VLOOKUP($B313,Seqs!$A:$B,2,0),AK313,1),"")</f>
        <v>N</v>
      </c>
      <c r="AK313" s="105">
        <v>396</v>
      </c>
      <c r="AL313" s="3" t="str">
        <f>IFERROR(MID(VLOOKUP($B313,Seqs!$A:$B,2,0),AM313,1),"")</f>
        <v>H</v>
      </c>
      <c r="AM313" s="3">
        <v>433</v>
      </c>
      <c r="AN313" s="3" t="str">
        <f>IFERROR(MID(VLOOKUP($B313,Seqs!$A:$B,2,0),AO313,1),"")</f>
        <v>A</v>
      </c>
      <c r="AO313" s="3">
        <v>442</v>
      </c>
      <c r="AP313" s="3" t="str">
        <f>IFERROR(MID(VLOOKUP($B313,Seqs!$A:$B,2,0),AQ313,1),"")</f>
        <v>I</v>
      </c>
      <c r="AQ313" s="3">
        <v>496</v>
      </c>
      <c r="AR313" s="3" t="str">
        <f>IFERROR(MID(VLOOKUP($B313,Seqs!$A:$B,2,0),AS313,1),"")</f>
        <v>S</v>
      </c>
      <c r="AS313" s="105">
        <v>514</v>
      </c>
      <c r="AT313" s="3" t="str">
        <f>IFERROR(MID(VLOOKUP($B313,Seqs!$A:$B,2,0),AU313,1),"")</f>
        <v>W</v>
      </c>
      <c r="AU313" s="3">
        <v>537</v>
      </c>
      <c r="AV313" s="3" t="str">
        <f>IFERROR(MID(VLOOKUP($B313,Seqs!$A:$B,2,0),AW313,1),"")</f>
        <v>T</v>
      </c>
      <c r="AW313" s="3">
        <v>538</v>
      </c>
      <c r="AX313" s="3" t="str">
        <f>IFERROR(MID(VLOOKUP($B313,Seqs!$A:$B,2,0),AY313,1),"")</f>
        <v>T</v>
      </c>
      <c r="AY313" s="3">
        <v>553</v>
      </c>
      <c r="AZ313" s="77" t="str">
        <f>VLOOKUP(B313,Classification!A:D,2,0)</f>
        <v>F</v>
      </c>
      <c r="BA313" s="94" t="str">
        <f>VLOOKUP(B313,Classification!A:D,4,0)</f>
        <v>Frizzled</v>
      </c>
      <c r="BB313" s="27" t="b">
        <f t="shared" si="1116"/>
        <v>1</v>
      </c>
      <c r="BC313" s="23">
        <f t="shared" si="1089"/>
        <v>264</v>
      </c>
      <c r="BD313" s="56" t="s">
        <v>1379</v>
      </c>
      <c r="BE313" s="3" t="s">
        <v>23</v>
      </c>
      <c r="BF313" s="119" t="s">
        <v>23</v>
      </c>
      <c r="BG313" s="49" t="s">
        <v>1379</v>
      </c>
      <c r="BH313" s="49" t="s">
        <v>1384</v>
      </c>
      <c r="BJ313" s="70" t="s">
        <v>1293</v>
      </c>
      <c r="BK313" s="57" t="s">
        <v>1293</v>
      </c>
      <c r="BL313" s="57" t="s">
        <v>1293</v>
      </c>
      <c r="BM313" s="57" t="s">
        <v>1293</v>
      </c>
      <c r="BN313" s="57" t="s">
        <v>1293</v>
      </c>
      <c r="BO313" s="57" t="s">
        <v>1293</v>
      </c>
      <c r="BP313" s="57" t="s">
        <v>1293</v>
      </c>
      <c r="BQ313" s="57" t="s">
        <v>1293</v>
      </c>
      <c r="BR313" s="57" t="s">
        <v>1293</v>
      </c>
      <c r="BS313" s="57" t="s">
        <v>1293</v>
      </c>
      <c r="BT313" s="57" t="s">
        <v>1293</v>
      </c>
      <c r="BU313" s="57" t="s">
        <v>1293</v>
      </c>
      <c r="BV313" s="70">
        <f t="shared" si="1090"/>
        <v>223</v>
      </c>
      <c r="BW313" s="71">
        <f t="shared" si="1091"/>
        <v>256</v>
      </c>
      <c r="BX313" s="72">
        <f t="shared" si="1092"/>
        <v>261</v>
      </c>
      <c r="BY313" s="71" t="str">
        <f t="shared" si="1093"/>
        <v>-</v>
      </c>
      <c r="BZ313" s="72">
        <f t="shared" si="1094"/>
        <v>312</v>
      </c>
      <c r="CA313" s="71" t="str">
        <f t="shared" si="1095"/>
        <v>-</v>
      </c>
      <c r="CB313" s="72">
        <f t="shared" si="1096"/>
        <v>353</v>
      </c>
      <c r="CC313" s="71">
        <f t="shared" si="1097"/>
        <v>390</v>
      </c>
      <c r="CD313" s="72">
        <f t="shared" si="1098"/>
        <v>396</v>
      </c>
      <c r="CE313" s="71">
        <f t="shared" si="1099"/>
        <v>442</v>
      </c>
      <c r="CF313" s="72">
        <f t="shared" si="1100"/>
        <v>514</v>
      </c>
      <c r="CG313" s="71">
        <f t="shared" si="1101"/>
        <v>538</v>
      </c>
      <c r="CH313" s="70">
        <f t="shared" si="1102"/>
        <v>255</v>
      </c>
      <c r="CI313" s="71">
        <f t="shared" si="1103"/>
        <v>260</v>
      </c>
      <c r="CJ313" s="72">
        <f t="shared" si="1104"/>
        <v>285</v>
      </c>
      <c r="CK313" s="72" t="str">
        <f t="shared" si="1105"/>
        <v>-</v>
      </c>
      <c r="CL313" s="72">
        <f t="shared" si="1106"/>
        <v>348</v>
      </c>
      <c r="CM313" s="72" t="str">
        <f t="shared" si="1107"/>
        <v>-</v>
      </c>
      <c r="CN313" s="72">
        <f t="shared" si="1108"/>
        <v>378</v>
      </c>
      <c r="CO313" s="72">
        <f t="shared" si="1109"/>
        <v>392</v>
      </c>
      <c r="CP313" s="72">
        <f t="shared" si="1110"/>
        <v>433</v>
      </c>
      <c r="CQ313" s="72">
        <f t="shared" si="1111"/>
        <v>496</v>
      </c>
      <c r="CR313" s="72">
        <f t="shared" si="1112"/>
        <v>537</v>
      </c>
      <c r="CS313" s="72">
        <f t="shared" si="1113"/>
        <v>553</v>
      </c>
      <c r="CT313" s="23">
        <f t="shared" si="1114"/>
        <v>1</v>
      </c>
    </row>
    <row r="314" spans="1:1030" x14ac:dyDescent="0.2">
      <c r="A314" s="3" t="str">
        <f t="shared" si="1115"/>
        <v>smo_human_4JKV</v>
      </c>
      <c r="B314" s="3" t="s">
        <v>33</v>
      </c>
      <c r="C314" s="3" t="s">
        <v>86</v>
      </c>
      <c r="D314" s="3" t="str">
        <f>IFERROR(MID(VLOOKUP($B314,Seqs!$A:$B,2,0),E314,1),"")</f>
        <v>T</v>
      </c>
      <c r="E314" s="105">
        <v>223</v>
      </c>
      <c r="F314" s="3" t="str">
        <f>IFERROR(MID(VLOOKUP($B314,Seqs!$A:$B,2,0),G314,1),"")</f>
        <v>D</v>
      </c>
      <c r="G314" s="3">
        <v>255</v>
      </c>
      <c r="H314" s="3" t="str">
        <f>IFERROR(MID(VLOOKUP($B314,Seqs!$A:$B,2,0),I314,1),"")</f>
        <v>W</v>
      </c>
      <c r="I314" s="23">
        <v>256</v>
      </c>
      <c r="J314" s="3" t="str">
        <f>IFERROR(MID(VLOOKUP($B314,Seqs!$A:$B,2,0),K314,1),"")</f>
        <v>N</v>
      </c>
      <c r="K314" s="23">
        <v>260</v>
      </c>
      <c r="L314" s="3" t="str">
        <f>IFERROR(MID(VLOOKUP($B314,Seqs!$A:$B,2,0),M314,1),"")</f>
        <v>R</v>
      </c>
      <c r="M314" s="3">
        <v>261</v>
      </c>
      <c r="N314" s="3" t="str">
        <f>IFERROR(MID(VLOOKUP($B314,Seqs!$A:$B,2,0),O314,1),"")</f>
        <v>F</v>
      </c>
      <c r="O314" s="3">
        <v>285</v>
      </c>
      <c r="P314" s="3" t="str">
        <f>IFERROR(MID(VLOOKUP($B314,Seqs!$A:$B,2,0),Q314,1),"")</f>
        <v/>
      </c>
      <c r="Q314" s="3" t="s">
        <v>23</v>
      </c>
      <c r="R314" s="3" t="str">
        <f>IFERROR(MID(VLOOKUP($B314,Seqs!$A:$B,2,0),S314,1),"")</f>
        <v/>
      </c>
      <c r="S314" s="3" t="s">
        <v>23</v>
      </c>
      <c r="T314" s="3" t="str">
        <f>IFERROR(MID(VLOOKUP($B314,Seqs!$A:$B,2,0),U314,1),"")</f>
        <v>L</v>
      </c>
      <c r="U314" s="3">
        <v>312</v>
      </c>
      <c r="V314" s="3" t="str">
        <f>IFERROR(MID(VLOOKUP($B314,Seqs!$A:$B,2,0),W314,1),"")</f>
        <v>T</v>
      </c>
      <c r="W314" s="3">
        <v>348</v>
      </c>
      <c r="X314" s="3" t="str">
        <f>IFERROR(MID(VLOOKUP($B314,Seqs!$A:$B,2,0),Y314,1),"")</f>
        <v/>
      </c>
      <c r="Y314" s="3" t="s">
        <v>23</v>
      </c>
      <c r="Z314" s="3" t="str">
        <f>IFERROR(MID(VLOOKUP($B314,Seqs!$A:$B,2,0),AA314,1),"")</f>
        <v/>
      </c>
      <c r="AA314" s="3" t="s">
        <v>23</v>
      </c>
      <c r="AB314" s="3" t="str">
        <f>IFERROR(MID(VLOOKUP($B314,Seqs!$A:$B,2,0),AC314,1),"")</f>
        <v>F</v>
      </c>
      <c r="AC314" s="9">
        <v>360</v>
      </c>
      <c r="AD314" s="3" t="str">
        <f>IFERROR(MID(VLOOKUP($B314,Seqs!$A:$B,2,0),AE314,1),"")</f>
        <v>V</v>
      </c>
      <c r="AE314" s="3">
        <v>378</v>
      </c>
      <c r="AF314" s="3" t="str">
        <f>IFERROR(MID(VLOOKUP($B314,Seqs!$A:$B,2,0),AG314,1),"")</f>
        <v>C</v>
      </c>
      <c r="AG314" s="3">
        <v>390</v>
      </c>
      <c r="AH314" s="3" t="str">
        <f>IFERROR(MID(VLOOKUP($B314,Seqs!$A:$B,2,0),AI314,1),"")</f>
        <v>V</v>
      </c>
      <c r="AI314" s="3">
        <v>392</v>
      </c>
      <c r="AJ314" s="3" t="str">
        <f>IFERROR(MID(VLOOKUP($B314,Seqs!$A:$B,2,0),AK314,1),"")</f>
        <v>N</v>
      </c>
      <c r="AK314" s="105">
        <v>396</v>
      </c>
      <c r="AL314" s="3" t="str">
        <f>IFERROR(MID(VLOOKUP($B314,Seqs!$A:$B,2,0),AM314,1),"")</f>
        <v>H</v>
      </c>
      <c r="AM314" s="3">
        <v>433</v>
      </c>
      <c r="AN314" s="3" t="str">
        <f>IFERROR(MID(VLOOKUP($B314,Seqs!$A:$B,2,0),AO314,1),"")</f>
        <v>A</v>
      </c>
      <c r="AO314" s="3">
        <v>442</v>
      </c>
      <c r="AP314" s="3" t="str">
        <f>IFERROR(MID(VLOOKUP($B314,Seqs!$A:$B,2,0),AQ314,1),"")</f>
        <v>N</v>
      </c>
      <c r="AQ314" s="3">
        <v>493</v>
      </c>
      <c r="AR314" s="3" t="str">
        <f>IFERROR(MID(VLOOKUP($B314,Seqs!$A:$B,2,0),AS314,1),"")</f>
        <v>S</v>
      </c>
      <c r="AS314" s="105">
        <v>514</v>
      </c>
      <c r="AT314" s="3" t="str">
        <f>IFERROR(MID(VLOOKUP($B314,Seqs!$A:$B,2,0),AU314,1),"")</f>
        <v>W</v>
      </c>
      <c r="AU314" s="3">
        <v>537</v>
      </c>
      <c r="AV314" s="3" t="str">
        <f>IFERROR(MID(VLOOKUP($B314,Seqs!$A:$B,2,0),AW314,1),"")</f>
        <v>T</v>
      </c>
      <c r="AW314" s="3">
        <v>538</v>
      </c>
      <c r="AX314" s="3" t="str">
        <f>IFERROR(MID(VLOOKUP($B314,Seqs!$A:$B,2,0),AY314,1),"")</f>
        <v>C</v>
      </c>
      <c r="AY314" s="3">
        <v>550</v>
      </c>
      <c r="AZ314" s="77" t="str">
        <f>VLOOKUP(B314,Classification!A:D,2,0)</f>
        <v>F</v>
      </c>
      <c r="BA314" s="94" t="str">
        <f>VLOOKUP(B314,Classification!A:D,4,0)</f>
        <v>Frizzled</v>
      </c>
      <c r="BB314" s="27" t="b">
        <f t="shared" si="1116"/>
        <v>1</v>
      </c>
      <c r="BC314" s="23">
        <f t="shared" si="1089"/>
        <v>251</v>
      </c>
      <c r="BD314" s="4" t="s">
        <v>23</v>
      </c>
      <c r="BE314" s="3" t="s">
        <v>1381</v>
      </c>
      <c r="BF314" s="119">
        <v>2.4500000000000002</v>
      </c>
      <c r="BG314" s="49" t="s">
        <v>1384</v>
      </c>
      <c r="BH314" s="49" t="s">
        <v>1384</v>
      </c>
      <c r="BJ314" s="70" t="s">
        <v>1293</v>
      </c>
      <c r="BK314" s="57" t="s">
        <v>1293</v>
      </c>
      <c r="BL314" s="57" t="s">
        <v>1293</v>
      </c>
      <c r="BM314" s="57" t="s">
        <v>1293</v>
      </c>
      <c r="BN314" s="57" t="s">
        <v>1293</v>
      </c>
      <c r="BO314" s="57" t="s">
        <v>1293</v>
      </c>
      <c r="BP314" s="57" t="s">
        <v>1293</v>
      </c>
      <c r="BQ314" s="57" t="s">
        <v>1293</v>
      </c>
      <c r="BR314" s="57" t="s">
        <v>1293</v>
      </c>
      <c r="BS314" s="57" t="s">
        <v>1293</v>
      </c>
      <c r="BT314" s="57" t="s">
        <v>1293</v>
      </c>
      <c r="BU314" s="57" t="s">
        <v>1293</v>
      </c>
      <c r="BV314" s="70">
        <f t="shared" si="1090"/>
        <v>223</v>
      </c>
      <c r="BW314" s="71">
        <f t="shared" si="1091"/>
        <v>256</v>
      </c>
      <c r="BX314" s="72">
        <f t="shared" si="1092"/>
        <v>261</v>
      </c>
      <c r="BY314" s="71" t="str">
        <f t="shared" si="1093"/>
        <v>-</v>
      </c>
      <c r="BZ314" s="72">
        <f t="shared" si="1094"/>
        <v>312</v>
      </c>
      <c r="CA314" s="71" t="str">
        <f t="shared" si="1095"/>
        <v>-</v>
      </c>
      <c r="CB314" s="72">
        <f t="shared" si="1096"/>
        <v>360</v>
      </c>
      <c r="CC314" s="71">
        <f t="shared" si="1097"/>
        <v>390</v>
      </c>
      <c r="CD314" s="72">
        <f t="shared" si="1098"/>
        <v>396</v>
      </c>
      <c r="CE314" s="71">
        <f t="shared" si="1099"/>
        <v>442</v>
      </c>
      <c r="CF314" s="72">
        <f t="shared" si="1100"/>
        <v>514</v>
      </c>
      <c r="CG314" s="71">
        <f t="shared" si="1101"/>
        <v>538</v>
      </c>
      <c r="CH314" s="70">
        <f t="shared" si="1102"/>
        <v>255</v>
      </c>
      <c r="CI314" s="71">
        <f t="shared" si="1103"/>
        <v>260</v>
      </c>
      <c r="CJ314" s="72">
        <f t="shared" si="1104"/>
        <v>285</v>
      </c>
      <c r="CK314" s="72" t="str">
        <f t="shared" si="1105"/>
        <v>-</v>
      </c>
      <c r="CL314" s="72">
        <f t="shared" si="1106"/>
        <v>348</v>
      </c>
      <c r="CM314" s="72" t="str">
        <f t="shared" si="1107"/>
        <v>-</v>
      </c>
      <c r="CN314" s="72">
        <f t="shared" si="1108"/>
        <v>378</v>
      </c>
      <c r="CO314" s="72">
        <f t="shared" si="1109"/>
        <v>392</v>
      </c>
      <c r="CP314" s="72">
        <f t="shared" si="1110"/>
        <v>433</v>
      </c>
      <c r="CQ314" s="72">
        <f t="shared" si="1111"/>
        <v>493</v>
      </c>
      <c r="CR314" s="72">
        <f t="shared" si="1112"/>
        <v>537</v>
      </c>
      <c r="CS314" s="72">
        <f t="shared" si="1113"/>
        <v>550</v>
      </c>
      <c r="CT314" s="23">
        <f t="shared" si="1114"/>
        <v>1</v>
      </c>
    </row>
    <row r="315" spans="1:1030" x14ac:dyDescent="0.2">
      <c r="A315" s="3" t="str">
        <f t="shared" si="1115"/>
        <v>smo_human_4N4W</v>
      </c>
      <c r="B315" s="3" t="s">
        <v>33</v>
      </c>
      <c r="C315" s="3" t="s">
        <v>1048</v>
      </c>
      <c r="D315" s="3" t="str">
        <f>IFERROR(MID(VLOOKUP($B315,Seqs!$A:$B,2,0),E315,1),"")</f>
        <v>T</v>
      </c>
      <c r="E315" s="105">
        <v>223</v>
      </c>
      <c r="F315" s="3" t="str">
        <f>IFERROR(MID(VLOOKUP($B315,Seqs!$A:$B,2,0),G315,1),"")</f>
        <v>D</v>
      </c>
      <c r="G315" s="3">
        <v>255</v>
      </c>
      <c r="H315" s="3" t="str">
        <f>IFERROR(MID(VLOOKUP($B315,Seqs!$A:$B,2,0),I315,1),"")</f>
        <v>W</v>
      </c>
      <c r="I315" s="23">
        <v>256</v>
      </c>
      <c r="J315" s="3" t="str">
        <f>IFERROR(MID(VLOOKUP($B315,Seqs!$A:$B,2,0),K315,1),"")</f>
        <v>N</v>
      </c>
      <c r="K315" s="23">
        <v>260</v>
      </c>
      <c r="L315" s="3" t="str">
        <f>IFERROR(MID(VLOOKUP($B315,Seqs!$A:$B,2,0),M315,1),"")</f>
        <v>R</v>
      </c>
      <c r="M315" s="3">
        <v>261</v>
      </c>
      <c r="N315" s="3" t="str">
        <f>IFERROR(MID(VLOOKUP($B315,Seqs!$A:$B,2,0),O315,1),"")</f>
        <v>F</v>
      </c>
      <c r="O315" s="3">
        <v>285</v>
      </c>
      <c r="P315" s="3" t="str">
        <f>IFERROR(MID(VLOOKUP($B315,Seqs!$A:$B,2,0),Q315,1),"")</f>
        <v/>
      </c>
      <c r="Q315" s="3" t="s">
        <v>23</v>
      </c>
      <c r="R315" s="3" t="str">
        <f>IFERROR(MID(VLOOKUP($B315,Seqs!$A:$B,2,0),S315,1),"")</f>
        <v/>
      </c>
      <c r="S315" s="3" t="s">
        <v>23</v>
      </c>
      <c r="T315" s="3" t="str">
        <f>IFERROR(MID(VLOOKUP($B315,Seqs!$A:$B,2,0),U315,1),"")</f>
        <v>L</v>
      </c>
      <c r="U315" s="3">
        <v>312</v>
      </c>
      <c r="V315" s="3" t="str">
        <f>IFERROR(MID(VLOOKUP($B315,Seqs!$A:$B,2,0),W315,1),"")</f>
        <v>A</v>
      </c>
      <c r="W315" s="3">
        <v>345</v>
      </c>
      <c r="X315" s="3" t="str">
        <f>IFERROR(MID(VLOOKUP($B315,Seqs!$A:$B,2,0),Y315,1),"")</f>
        <v/>
      </c>
      <c r="Y315" s="3" t="s">
        <v>23</v>
      </c>
      <c r="Z315" s="3" t="str">
        <f>IFERROR(MID(VLOOKUP($B315,Seqs!$A:$B,2,0),AA315,1),"")</f>
        <v/>
      </c>
      <c r="AA315" s="3" t="s">
        <v>23</v>
      </c>
      <c r="AB315" s="3" t="str">
        <f>IFERROR(MID(VLOOKUP($B315,Seqs!$A:$B,2,0),AC315,1),"")</f>
        <v>K</v>
      </c>
      <c r="AC315" s="9">
        <v>356</v>
      </c>
      <c r="AD315" s="3" t="str">
        <f>IFERROR(MID(VLOOKUP($B315,Seqs!$A:$B,2,0),AE315,1),"")</f>
        <v>V</v>
      </c>
      <c r="AE315" s="3">
        <v>378</v>
      </c>
      <c r="AF315" s="3" t="str">
        <f>IFERROR(MID(VLOOKUP($B315,Seqs!$A:$B,2,0),AG315,1),"")</f>
        <v>C</v>
      </c>
      <c r="AG315" s="3">
        <v>390</v>
      </c>
      <c r="AH315" s="3" t="str">
        <f>IFERROR(MID(VLOOKUP($B315,Seqs!$A:$B,2,0),AI315,1),"")</f>
        <v>V</v>
      </c>
      <c r="AI315" s="3">
        <v>392</v>
      </c>
      <c r="AJ315" s="3" t="str">
        <f>IFERROR(MID(VLOOKUP($B315,Seqs!$A:$B,2,0),AK315,1),"")</f>
        <v>N</v>
      </c>
      <c r="AK315" s="105">
        <v>396</v>
      </c>
      <c r="AL315" s="3" t="str">
        <f>IFERROR(MID(VLOOKUP($B315,Seqs!$A:$B,2,0),AM315,1),"")</f>
        <v>H</v>
      </c>
      <c r="AM315" s="3">
        <v>433</v>
      </c>
      <c r="AN315" s="3" t="str">
        <f>IFERROR(MID(VLOOKUP($B315,Seqs!$A:$B,2,0),AO315,1),"")</f>
        <v>S</v>
      </c>
      <c r="AO315" s="3">
        <v>443</v>
      </c>
      <c r="AP315" s="3" t="str">
        <f>IFERROR(MID(VLOOKUP($B315,Seqs!$A:$B,2,0),AQ315,1),"")</f>
        <v>Q</v>
      </c>
      <c r="AQ315" s="3">
        <v>491</v>
      </c>
      <c r="AR315" s="3" t="str">
        <f>IFERROR(MID(VLOOKUP($B315,Seqs!$A:$B,2,0),AS315,1),"")</f>
        <v>S</v>
      </c>
      <c r="AS315" s="105">
        <v>514</v>
      </c>
      <c r="AT315" s="3" t="str">
        <f>IFERROR(MID(VLOOKUP($B315,Seqs!$A:$B,2,0),AU315,1),"")</f>
        <v>W</v>
      </c>
      <c r="AU315" s="3">
        <v>537</v>
      </c>
      <c r="AV315" s="3" t="str">
        <f>IFERROR(MID(VLOOKUP($B315,Seqs!$A:$B,2,0),AW315,1),"")</f>
        <v>T</v>
      </c>
      <c r="AW315" s="3">
        <v>538</v>
      </c>
      <c r="AX315" s="3" t="str">
        <f>IFERROR(MID(VLOOKUP($B315,Seqs!$A:$B,2,0),AY315,1),"")</f>
        <v>L</v>
      </c>
      <c r="AY315" s="3">
        <v>552</v>
      </c>
      <c r="AZ315" s="77" t="str">
        <f>VLOOKUP(B315,Classification!A:D,2,0)</f>
        <v>F</v>
      </c>
      <c r="BA315" s="94" t="str">
        <f>VLOOKUP(B315,Classification!A:D,4,0)</f>
        <v>Frizzled</v>
      </c>
      <c r="BB315" s="27" t="b">
        <f t="shared" si="1116"/>
        <v>1</v>
      </c>
      <c r="BC315" s="23">
        <f t="shared" si="1089"/>
        <v>251</v>
      </c>
      <c r="BD315" s="2" t="s">
        <v>23</v>
      </c>
      <c r="BE315" s="3" t="s">
        <v>1381</v>
      </c>
      <c r="BF315" s="119">
        <v>2.8</v>
      </c>
      <c r="BG315" s="49" t="s">
        <v>1384</v>
      </c>
      <c r="BH315" s="49" t="s">
        <v>1384</v>
      </c>
      <c r="BJ315" s="70" t="s">
        <v>1293</v>
      </c>
      <c r="BK315" s="57" t="s">
        <v>1293</v>
      </c>
      <c r="BL315" s="57" t="s">
        <v>1293</v>
      </c>
      <c r="BM315" s="57" t="s">
        <v>1293</v>
      </c>
      <c r="BN315" s="57" t="s">
        <v>1293</v>
      </c>
      <c r="BO315" s="57" t="s">
        <v>1293</v>
      </c>
      <c r="BP315" s="57" t="s">
        <v>1293</v>
      </c>
      <c r="BQ315" s="57" t="s">
        <v>1293</v>
      </c>
      <c r="BR315" s="57" t="s">
        <v>1293</v>
      </c>
      <c r="BS315" s="57" t="s">
        <v>1293</v>
      </c>
      <c r="BT315" s="57" t="s">
        <v>1293</v>
      </c>
      <c r="BU315" s="57" t="s">
        <v>1293</v>
      </c>
      <c r="BV315" s="70">
        <f t="shared" si="1090"/>
        <v>223</v>
      </c>
      <c r="BW315" s="71">
        <f t="shared" si="1091"/>
        <v>256</v>
      </c>
      <c r="BX315" s="72">
        <f t="shared" si="1092"/>
        <v>261</v>
      </c>
      <c r="BY315" s="71" t="str">
        <f t="shared" si="1093"/>
        <v>-</v>
      </c>
      <c r="BZ315" s="72">
        <f t="shared" si="1094"/>
        <v>312</v>
      </c>
      <c r="CA315" s="71" t="str">
        <f t="shared" si="1095"/>
        <v>-</v>
      </c>
      <c r="CB315" s="72">
        <f t="shared" si="1096"/>
        <v>356</v>
      </c>
      <c r="CC315" s="71">
        <f t="shared" si="1097"/>
        <v>390</v>
      </c>
      <c r="CD315" s="72">
        <f t="shared" si="1098"/>
        <v>396</v>
      </c>
      <c r="CE315" s="71">
        <f t="shared" si="1099"/>
        <v>443</v>
      </c>
      <c r="CF315" s="72">
        <f t="shared" si="1100"/>
        <v>514</v>
      </c>
      <c r="CG315" s="71">
        <f t="shared" si="1101"/>
        <v>538</v>
      </c>
      <c r="CH315" s="70">
        <f t="shared" si="1102"/>
        <v>255</v>
      </c>
      <c r="CI315" s="71">
        <f t="shared" si="1103"/>
        <v>260</v>
      </c>
      <c r="CJ315" s="72">
        <f t="shared" si="1104"/>
        <v>285</v>
      </c>
      <c r="CK315" s="72" t="str">
        <f t="shared" si="1105"/>
        <v>-</v>
      </c>
      <c r="CL315" s="72">
        <f t="shared" si="1106"/>
        <v>345</v>
      </c>
      <c r="CM315" s="72" t="str">
        <f t="shared" si="1107"/>
        <v>-</v>
      </c>
      <c r="CN315" s="72">
        <f t="shared" si="1108"/>
        <v>378</v>
      </c>
      <c r="CO315" s="72">
        <f t="shared" si="1109"/>
        <v>392</v>
      </c>
      <c r="CP315" s="72">
        <f t="shared" si="1110"/>
        <v>433</v>
      </c>
      <c r="CQ315" s="72">
        <f t="shared" si="1111"/>
        <v>491</v>
      </c>
      <c r="CR315" s="72">
        <f t="shared" si="1112"/>
        <v>537</v>
      </c>
      <c r="CS315" s="72">
        <f t="shared" si="1113"/>
        <v>552</v>
      </c>
      <c r="CT315" s="23">
        <f t="shared" si="1114"/>
        <v>1</v>
      </c>
    </row>
    <row r="316" spans="1:1030" x14ac:dyDescent="0.2">
      <c r="A316" s="3" t="str">
        <f t="shared" si="1115"/>
        <v>smo_human_4O9R</v>
      </c>
      <c r="B316" s="3" t="s">
        <v>33</v>
      </c>
      <c r="C316" s="3" t="s">
        <v>1050</v>
      </c>
      <c r="D316" s="3" t="str">
        <f>IFERROR(MID(VLOOKUP($B316,Seqs!$A:$B,2,0),E316,1),"")</f>
        <v>T</v>
      </c>
      <c r="E316" s="105">
        <v>223</v>
      </c>
      <c r="F316" s="3" t="str">
        <f>IFERROR(MID(VLOOKUP($B316,Seqs!$A:$B,2,0),G316,1),"")</f>
        <v>D</v>
      </c>
      <c r="G316" s="3">
        <v>255</v>
      </c>
      <c r="H316" s="3" t="str">
        <f>IFERROR(MID(VLOOKUP($B316,Seqs!$A:$B,2,0),I316,1),"")</f>
        <v>W</v>
      </c>
      <c r="I316" s="23">
        <v>256</v>
      </c>
      <c r="J316" s="3" t="str">
        <f>IFERROR(MID(VLOOKUP($B316,Seqs!$A:$B,2,0),K316,1),"")</f>
        <v>N</v>
      </c>
      <c r="K316" s="23">
        <v>260</v>
      </c>
      <c r="L316" s="3" t="str">
        <f>IFERROR(MID(VLOOKUP($B316,Seqs!$A:$B,2,0),M316,1),"")</f>
        <v>R</v>
      </c>
      <c r="M316" s="3">
        <v>261</v>
      </c>
      <c r="N316" s="3" t="str">
        <f>IFERROR(MID(VLOOKUP($B316,Seqs!$A:$B,2,0),O316,1),"")</f>
        <v>F</v>
      </c>
      <c r="O316" s="3">
        <v>285</v>
      </c>
      <c r="P316" s="3" t="str">
        <f>IFERROR(MID(VLOOKUP($B316,Seqs!$A:$B,2,0),Q316,1),"")</f>
        <v/>
      </c>
      <c r="Q316" s="3" t="s">
        <v>23</v>
      </c>
      <c r="R316" s="3" t="str">
        <f>IFERROR(MID(VLOOKUP($B316,Seqs!$A:$B,2,0),S316,1),"")</f>
        <v/>
      </c>
      <c r="S316" s="3" t="s">
        <v>23</v>
      </c>
      <c r="T316" s="3" t="str">
        <f>IFERROR(MID(VLOOKUP($B316,Seqs!$A:$B,2,0),U316,1),"")</f>
        <v>L</v>
      </c>
      <c r="U316" s="3">
        <v>312</v>
      </c>
      <c r="V316" s="3" t="str">
        <f>IFERROR(MID(VLOOKUP($B316,Seqs!$A:$B,2,0),W316,1),"")</f>
        <v>F</v>
      </c>
      <c r="W316" s="3">
        <v>343</v>
      </c>
      <c r="X316" s="3" t="str">
        <f>IFERROR(MID(VLOOKUP($B316,Seqs!$A:$B,2,0),Y316,1),"")</f>
        <v/>
      </c>
      <c r="Y316" s="3" t="s">
        <v>23</v>
      </c>
      <c r="Z316" s="3" t="str">
        <f>IFERROR(MID(VLOOKUP($B316,Seqs!$A:$B,2,0),AA316,1),"")</f>
        <v/>
      </c>
      <c r="AA316" s="3" t="s">
        <v>23</v>
      </c>
      <c r="AB316" s="3" t="str">
        <f>IFERROR(MID(VLOOKUP($B316,Seqs!$A:$B,2,0),AC316,1),"")</f>
        <v>F</v>
      </c>
      <c r="AC316" s="9">
        <v>360</v>
      </c>
      <c r="AD316" s="3" t="str">
        <f>IFERROR(MID(VLOOKUP($B316,Seqs!$A:$B,2,0),AE316,1),"")</f>
        <v>V</v>
      </c>
      <c r="AE316" s="3">
        <v>378</v>
      </c>
      <c r="AF316" s="3" t="str">
        <f>IFERROR(MID(VLOOKUP($B316,Seqs!$A:$B,2,0),AG316,1),"")</f>
        <v>C</v>
      </c>
      <c r="AG316" s="3">
        <v>390</v>
      </c>
      <c r="AH316" s="3" t="str">
        <f>IFERROR(MID(VLOOKUP($B316,Seqs!$A:$B,2,0),AI316,1),"")</f>
        <v>V</v>
      </c>
      <c r="AI316" s="3">
        <v>392</v>
      </c>
      <c r="AJ316" s="3" t="str">
        <f>IFERROR(MID(VLOOKUP($B316,Seqs!$A:$B,2,0),AK316,1),"")</f>
        <v>N</v>
      </c>
      <c r="AK316" s="105">
        <v>396</v>
      </c>
      <c r="AL316" s="3" t="str">
        <f>IFERROR(MID(VLOOKUP($B316,Seqs!$A:$B,2,0),AM316,1),"")</f>
        <v>H</v>
      </c>
      <c r="AM316" s="3">
        <v>433</v>
      </c>
      <c r="AN316" s="3" t="str">
        <f>IFERROR(MID(VLOOKUP($B316,Seqs!$A:$B,2,0),AO316,1),"")</f>
        <v>E</v>
      </c>
      <c r="AO316" s="3">
        <v>447</v>
      </c>
      <c r="AP316" s="3" t="str">
        <f>IFERROR(MID(VLOOKUP($B316,Seqs!$A:$B,2,0),AQ316,1),"")</f>
        <v>N</v>
      </c>
      <c r="AQ316" s="3">
        <v>493</v>
      </c>
      <c r="AR316" s="3" t="str">
        <f>IFERROR(MID(VLOOKUP($B316,Seqs!$A:$B,2,0),AS316,1),"")</f>
        <v>S</v>
      </c>
      <c r="AS316" s="105">
        <v>514</v>
      </c>
      <c r="AT316" s="3" t="str">
        <f>IFERROR(MID(VLOOKUP($B316,Seqs!$A:$B,2,0),AU316,1),"")</f>
        <v>W</v>
      </c>
      <c r="AU316" s="3">
        <v>537</v>
      </c>
      <c r="AV316" s="3" t="str">
        <f>IFERROR(MID(VLOOKUP($B316,Seqs!$A:$B,2,0),AW316,1),"")</f>
        <v>T</v>
      </c>
      <c r="AW316" s="3">
        <v>538</v>
      </c>
      <c r="AX316" s="3" t="str">
        <f>IFERROR(MID(VLOOKUP($B316,Seqs!$A:$B,2,0),AY316,1),"")</f>
        <v>W</v>
      </c>
      <c r="AY316" s="3">
        <v>549</v>
      </c>
      <c r="AZ316" s="78" t="str">
        <f>VLOOKUP(B316,Classification!A:D,2,0)</f>
        <v>F</v>
      </c>
      <c r="BA316" s="94" t="str">
        <f>VLOOKUP(B316,Classification!A:D,4,0)</f>
        <v>Frizzled</v>
      </c>
      <c r="BB316" s="92" t="b">
        <f t="shared" si="1116"/>
        <v>1</v>
      </c>
      <c r="BC316" s="23">
        <f t="shared" si="1089"/>
        <v>240</v>
      </c>
      <c r="BD316" s="74" t="s">
        <v>23</v>
      </c>
      <c r="BE316" s="3" t="s">
        <v>1381</v>
      </c>
      <c r="BF316" s="119">
        <v>3.2</v>
      </c>
      <c r="BG316" s="49" t="s">
        <v>1384</v>
      </c>
      <c r="BH316" s="49" t="s">
        <v>1384</v>
      </c>
      <c r="BJ316" s="75" t="s">
        <v>1293</v>
      </c>
      <c r="BK316" s="57" t="s">
        <v>1293</v>
      </c>
      <c r="BL316" s="57" t="s">
        <v>1293</v>
      </c>
      <c r="BM316" s="57" t="s">
        <v>1293</v>
      </c>
      <c r="BN316" s="57" t="s">
        <v>1293</v>
      </c>
      <c r="BO316" s="57" t="s">
        <v>1293</v>
      </c>
      <c r="BP316" s="57" t="s">
        <v>1293</v>
      </c>
      <c r="BQ316" s="57" t="s">
        <v>1293</v>
      </c>
      <c r="BR316" s="57" t="s">
        <v>1293</v>
      </c>
      <c r="BS316" s="57" t="s">
        <v>1293</v>
      </c>
      <c r="BT316" s="57" t="s">
        <v>1293</v>
      </c>
      <c r="BU316" s="57" t="s">
        <v>1293</v>
      </c>
      <c r="BV316" s="75">
        <f t="shared" si="1090"/>
        <v>223</v>
      </c>
      <c r="BW316" s="71">
        <f t="shared" si="1091"/>
        <v>256</v>
      </c>
      <c r="BX316" s="72">
        <f t="shared" si="1092"/>
        <v>261</v>
      </c>
      <c r="BY316" s="71" t="str">
        <f t="shared" si="1093"/>
        <v>-</v>
      </c>
      <c r="BZ316" s="72">
        <f t="shared" si="1094"/>
        <v>312</v>
      </c>
      <c r="CA316" s="71" t="str">
        <f t="shared" si="1095"/>
        <v>-</v>
      </c>
      <c r="CB316" s="72">
        <f t="shared" si="1096"/>
        <v>360</v>
      </c>
      <c r="CC316" s="71">
        <f t="shared" si="1097"/>
        <v>390</v>
      </c>
      <c r="CD316" s="72">
        <f t="shared" si="1098"/>
        <v>396</v>
      </c>
      <c r="CE316" s="71">
        <f t="shared" si="1099"/>
        <v>447</v>
      </c>
      <c r="CF316" s="72">
        <f t="shared" si="1100"/>
        <v>514</v>
      </c>
      <c r="CG316" s="71">
        <f t="shared" si="1101"/>
        <v>538</v>
      </c>
      <c r="CH316" s="75">
        <f t="shared" si="1102"/>
        <v>255</v>
      </c>
      <c r="CI316" s="71">
        <f t="shared" si="1103"/>
        <v>260</v>
      </c>
      <c r="CJ316" s="72">
        <f t="shared" si="1104"/>
        <v>285</v>
      </c>
      <c r="CK316" s="72" t="str">
        <f t="shared" si="1105"/>
        <v>-</v>
      </c>
      <c r="CL316" s="72">
        <f t="shared" si="1106"/>
        <v>343</v>
      </c>
      <c r="CM316" s="72" t="str">
        <f t="shared" si="1107"/>
        <v>-</v>
      </c>
      <c r="CN316" s="72">
        <f t="shared" si="1108"/>
        <v>378</v>
      </c>
      <c r="CO316" s="72">
        <f t="shared" si="1109"/>
        <v>392</v>
      </c>
      <c r="CP316" s="72">
        <f t="shared" si="1110"/>
        <v>433</v>
      </c>
      <c r="CQ316" s="72">
        <f t="shared" si="1111"/>
        <v>493</v>
      </c>
      <c r="CR316" s="72">
        <f t="shared" si="1112"/>
        <v>537</v>
      </c>
      <c r="CS316" s="72">
        <f t="shared" si="1113"/>
        <v>549</v>
      </c>
      <c r="CT316" s="23">
        <f t="shared" si="1114"/>
        <v>1</v>
      </c>
    </row>
    <row r="317" spans="1:1030" s="6" customFormat="1" x14ac:dyDescent="0.2">
      <c r="A317" s="3" t="str">
        <f t="shared" si="1115"/>
        <v>smo_human_4QIM</v>
      </c>
      <c r="B317" s="3" t="s">
        <v>33</v>
      </c>
      <c r="C317" s="3" t="s">
        <v>1052</v>
      </c>
      <c r="D317" s="3" t="str">
        <f>IFERROR(MID(VLOOKUP($B317,Seqs!$A:$B,2,0),E317,1),"")</f>
        <v>T</v>
      </c>
      <c r="E317" s="105">
        <v>223</v>
      </c>
      <c r="F317" s="3" t="str">
        <f>IFERROR(MID(VLOOKUP($B317,Seqs!$A:$B,2,0),G317,1),"")</f>
        <v>D</v>
      </c>
      <c r="G317" s="3">
        <v>255</v>
      </c>
      <c r="H317" s="3" t="str">
        <f>IFERROR(MID(VLOOKUP($B317,Seqs!$A:$B,2,0),I317,1),"")</f>
        <v>W</v>
      </c>
      <c r="I317" s="23">
        <v>256</v>
      </c>
      <c r="J317" s="3" t="str">
        <f>IFERROR(MID(VLOOKUP($B317,Seqs!$A:$B,2,0),K317,1),"")</f>
        <v>N</v>
      </c>
      <c r="K317" s="23">
        <v>260</v>
      </c>
      <c r="L317" s="3" t="str">
        <f>IFERROR(MID(VLOOKUP($B317,Seqs!$A:$B,2,0),M317,1),"")</f>
        <v>R</v>
      </c>
      <c r="M317" s="3">
        <v>261</v>
      </c>
      <c r="N317" s="3" t="str">
        <f>IFERROR(MID(VLOOKUP($B317,Seqs!$A:$B,2,0),O317,1),"")</f>
        <v>F</v>
      </c>
      <c r="O317" s="3">
        <v>285</v>
      </c>
      <c r="P317" s="3" t="str">
        <f>IFERROR(MID(VLOOKUP($B317,Seqs!$A:$B,2,0),Q317,1),"")</f>
        <v/>
      </c>
      <c r="Q317" s="3" t="s">
        <v>23</v>
      </c>
      <c r="R317" s="3" t="str">
        <f>IFERROR(MID(VLOOKUP($B317,Seqs!$A:$B,2,0),S317,1),"")</f>
        <v/>
      </c>
      <c r="S317" s="3" t="s">
        <v>23</v>
      </c>
      <c r="T317" s="3" t="str">
        <f>IFERROR(MID(VLOOKUP($B317,Seqs!$A:$B,2,0),U317,1),"")</f>
        <v>L</v>
      </c>
      <c r="U317" s="3">
        <v>312</v>
      </c>
      <c r="V317" s="3" t="str">
        <f>IFERROR(MID(VLOOKUP($B317,Seqs!$A:$B,2,0),W317,1),"")</f>
        <v>A</v>
      </c>
      <c r="W317" s="3">
        <v>345</v>
      </c>
      <c r="X317" s="3" t="str">
        <f>IFERROR(MID(VLOOKUP($B317,Seqs!$A:$B,2,0),Y317,1),"")</f>
        <v/>
      </c>
      <c r="Y317" s="3" t="s">
        <v>23</v>
      </c>
      <c r="Z317" s="3" t="str">
        <f>IFERROR(MID(VLOOKUP($B317,Seqs!$A:$B,2,0),AA317,1),"")</f>
        <v/>
      </c>
      <c r="AA317" s="3" t="s">
        <v>23</v>
      </c>
      <c r="AB317" s="3" t="str">
        <f>IFERROR(MID(VLOOKUP($B317,Seqs!$A:$B,2,0),AC317,1),"")</f>
        <v>K</v>
      </c>
      <c r="AC317" s="9">
        <v>356</v>
      </c>
      <c r="AD317" s="3" t="str">
        <f>IFERROR(MID(VLOOKUP($B317,Seqs!$A:$B,2,0),AE317,1),"")</f>
        <v>V</v>
      </c>
      <c r="AE317" s="3">
        <v>378</v>
      </c>
      <c r="AF317" s="3" t="str">
        <f>IFERROR(MID(VLOOKUP($B317,Seqs!$A:$B,2,0),AG317,1),"")</f>
        <v>C</v>
      </c>
      <c r="AG317" s="3">
        <v>390</v>
      </c>
      <c r="AH317" s="3" t="str">
        <f>IFERROR(MID(VLOOKUP($B317,Seqs!$A:$B,2,0),AI317,1),"")</f>
        <v>V</v>
      </c>
      <c r="AI317" s="3">
        <v>392</v>
      </c>
      <c r="AJ317" s="3" t="str">
        <f>IFERROR(MID(VLOOKUP($B317,Seqs!$A:$B,2,0),AK317,1),"")</f>
        <v>N</v>
      </c>
      <c r="AK317" s="105">
        <v>396</v>
      </c>
      <c r="AL317" s="3" t="str">
        <f>IFERROR(MID(VLOOKUP($B317,Seqs!$A:$B,2,0),AM317,1),"")</f>
        <v>H</v>
      </c>
      <c r="AM317" s="3">
        <v>433</v>
      </c>
      <c r="AN317" s="3" t="str">
        <f>IFERROR(MID(VLOOKUP($B317,Seqs!$A:$B,2,0),AO317,1),"")</f>
        <v>E</v>
      </c>
      <c r="AO317" s="3">
        <v>447</v>
      </c>
      <c r="AP317" s="3" t="str">
        <f>IFERROR(MID(VLOOKUP($B317,Seqs!$A:$B,2,0),AQ317,1),"")</f>
        <v>N</v>
      </c>
      <c r="AQ317" s="3">
        <v>493</v>
      </c>
      <c r="AR317" s="3" t="str">
        <f>IFERROR(MID(VLOOKUP($B317,Seqs!$A:$B,2,0),AS317,1),"")</f>
        <v>S</v>
      </c>
      <c r="AS317" s="105">
        <v>514</v>
      </c>
      <c r="AT317" s="3" t="str">
        <f>IFERROR(MID(VLOOKUP($B317,Seqs!$A:$B,2,0),AU317,1),"")</f>
        <v>W</v>
      </c>
      <c r="AU317" s="3">
        <v>537</v>
      </c>
      <c r="AV317" s="3" t="str">
        <f>IFERROR(MID(VLOOKUP($B317,Seqs!$A:$B,2,0),AW317,1),"")</f>
        <v>T</v>
      </c>
      <c r="AW317" s="3">
        <v>538</v>
      </c>
      <c r="AX317" s="3" t="str">
        <f>IFERROR(MID(VLOOKUP($B317,Seqs!$A:$B,2,0),AY317,1),"")</f>
        <v>T</v>
      </c>
      <c r="AY317" s="3">
        <v>553</v>
      </c>
      <c r="AZ317" s="78" t="str">
        <f>VLOOKUP(B317,Classification!A:D,2,0)</f>
        <v>F</v>
      </c>
      <c r="BA317" s="94" t="str">
        <f>VLOOKUP(B317,Classification!A:D,4,0)</f>
        <v>Frizzled</v>
      </c>
      <c r="BB317" s="92" t="b">
        <f t="shared" si="1116"/>
        <v>1</v>
      </c>
      <c r="BC317" s="23">
        <f t="shared" si="1089"/>
        <v>250</v>
      </c>
      <c r="BD317" s="74" t="s">
        <v>23</v>
      </c>
      <c r="BE317" s="3" t="s">
        <v>1381</v>
      </c>
      <c r="BF317" s="119">
        <v>2.61</v>
      </c>
      <c r="BG317" s="49" t="s">
        <v>1384</v>
      </c>
      <c r="BH317" s="49" t="s">
        <v>1384</v>
      </c>
      <c r="BI317" s="3"/>
      <c r="BJ317" s="75" t="s">
        <v>1293</v>
      </c>
      <c r="BK317" s="57" t="s">
        <v>1293</v>
      </c>
      <c r="BL317" s="57" t="s">
        <v>1293</v>
      </c>
      <c r="BM317" s="57" t="s">
        <v>1293</v>
      </c>
      <c r="BN317" s="57" t="s">
        <v>1293</v>
      </c>
      <c r="BO317" s="57" t="s">
        <v>1293</v>
      </c>
      <c r="BP317" s="57" t="s">
        <v>1293</v>
      </c>
      <c r="BQ317" s="57" t="s">
        <v>1293</v>
      </c>
      <c r="BR317" s="57" t="s">
        <v>1293</v>
      </c>
      <c r="BS317" s="57" t="s">
        <v>1293</v>
      </c>
      <c r="BT317" s="57" t="s">
        <v>1293</v>
      </c>
      <c r="BU317" s="57" t="s">
        <v>1293</v>
      </c>
      <c r="BV317" s="75">
        <f t="shared" si="1090"/>
        <v>223</v>
      </c>
      <c r="BW317" s="71">
        <f t="shared" si="1091"/>
        <v>256</v>
      </c>
      <c r="BX317" s="72">
        <f t="shared" si="1092"/>
        <v>261</v>
      </c>
      <c r="BY317" s="71" t="str">
        <f t="shared" si="1093"/>
        <v>-</v>
      </c>
      <c r="BZ317" s="72">
        <f t="shared" si="1094"/>
        <v>312</v>
      </c>
      <c r="CA317" s="71" t="str">
        <f t="shared" si="1095"/>
        <v>-</v>
      </c>
      <c r="CB317" s="72">
        <f t="shared" si="1096"/>
        <v>356</v>
      </c>
      <c r="CC317" s="71">
        <f t="shared" si="1097"/>
        <v>390</v>
      </c>
      <c r="CD317" s="72">
        <f t="shared" si="1098"/>
        <v>396</v>
      </c>
      <c r="CE317" s="71">
        <f t="shared" si="1099"/>
        <v>447</v>
      </c>
      <c r="CF317" s="72">
        <f t="shared" si="1100"/>
        <v>514</v>
      </c>
      <c r="CG317" s="71">
        <f t="shared" si="1101"/>
        <v>538</v>
      </c>
      <c r="CH317" s="75">
        <f t="shared" si="1102"/>
        <v>255</v>
      </c>
      <c r="CI317" s="71">
        <f t="shared" si="1103"/>
        <v>260</v>
      </c>
      <c r="CJ317" s="72">
        <f t="shared" si="1104"/>
        <v>285</v>
      </c>
      <c r="CK317" s="72" t="str">
        <f t="shared" si="1105"/>
        <v>-</v>
      </c>
      <c r="CL317" s="72">
        <f t="shared" si="1106"/>
        <v>345</v>
      </c>
      <c r="CM317" s="72" t="str">
        <f t="shared" si="1107"/>
        <v>-</v>
      </c>
      <c r="CN317" s="72">
        <f t="shared" si="1108"/>
        <v>378</v>
      </c>
      <c r="CO317" s="72">
        <f t="shared" si="1109"/>
        <v>392</v>
      </c>
      <c r="CP317" s="72">
        <f t="shared" si="1110"/>
        <v>433</v>
      </c>
      <c r="CQ317" s="72">
        <f t="shared" si="1111"/>
        <v>493</v>
      </c>
      <c r="CR317" s="72">
        <f t="shared" si="1112"/>
        <v>537</v>
      </c>
      <c r="CS317" s="72">
        <f t="shared" si="1113"/>
        <v>553</v>
      </c>
      <c r="CT317" s="23">
        <f t="shared" si="1114"/>
        <v>1</v>
      </c>
      <c r="CU317" s="3"/>
      <c r="CV317" s="3"/>
      <c r="CW317" s="3"/>
      <c r="CX317" s="3"/>
      <c r="CY317" s="3"/>
      <c r="CZ317" s="3"/>
      <c r="DA317" s="3"/>
      <c r="DB317" s="3"/>
      <c r="DC317" s="3"/>
      <c r="DD317" s="3"/>
      <c r="DE317" s="3"/>
      <c r="DF317" s="3"/>
      <c r="DG317" s="3"/>
      <c r="DH317" s="3"/>
      <c r="DI317" s="3"/>
      <c r="DJ317" s="3"/>
      <c r="DK317" s="3"/>
      <c r="DL317" s="3"/>
      <c r="DM317" s="3"/>
      <c r="DN317" s="3"/>
      <c r="DO317" s="3"/>
      <c r="DP317" s="3"/>
      <c r="DQ317" s="3"/>
      <c r="DR317" s="3"/>
      <c r="DS317" s="3"/>
      <c r="DT317" s="3"/>
      <c r="DU317" s="3"/>
      <c r="DV317" s="3"/>
      <c r="DW317" s="3"/>
      <c r="DX317" s="3"/>
      <c r="DY317" s="3"/>
      <c r="DZ317" s="3"/>
      <c r="EA317" s="3"/>
      <c r="EB317" s="3"/>
      <c r="EC317" s="3"/>
      <c r="ED317" s="3"/>
      <c r="EE317" s="3"/>
      <c r="EF317" s="3"/>
      <c r="EG317" s="3"/>
      <c r="EH317" s="3"/>
      <c r="EI317" s="3"/>
      <c r="EJ317" s="3"/>
      <c r="EK317" s="3"/>
      <c r="EL317" s="3"/>
      <c r="EM317" s="3"/>
      <c r="EN317" s="3"/>
      <c r="EO317" s="3"/>
      <c r="EP317" s="3"/>
      <c r="EQ317" s="3"/>
      <c r="ER317" s="3"/>
      <c r="ES317" s="3"/>
      <c r="ET317" s="3"/>
      <c r="EU317" s="3"/>
      <c r="EV317" s="3"/>
      <c r="EW317" s="3"/>
      <c r="EX317" s="3"/>
      <c r="EY317" s="3"/>
      <c r="EZ317" s="3"/>
      <c r="FA317" s="3"/>
      <c r="FB317" s="3"/>
      <c r="FC317" s="3"/>
      <c r="FD317" s="3"/>
      <c r="FE317" s="3"/>
      <c r="FF317" s="3"/>
      <c r="FG317" s="3"/>
      <c r="FH317" s="3"/>
      <c r="FI317" s="3"/>
      <c r="FJ317" s="3"/>
      <c r="FK317" s="3"/>
      <c r="FL317" s="3"/>
      <c r="FM317" s="3"/>
      <c r="FN317" s="3"/>
      <c r="FO317" s="3"/>
      <c r="FP317" s="3"/>
      <c r="FQ317" s="3"/>
      <c r="FR317" s="3"/>
      <c r="FS317" s="3"/>
      <c r="FT317" s="3"/>
      <c r="FU317" s="3"/>
      <c r="FV317" s="3"/>
      <c r="FW317" s="3"/>
      <c r="FX317" s="3"/>
      <c r="FY317" s="3"/>
      <c r="FZ317" s="3"/>
      <c r="GA317" s="3"/>
      <c r="GB317" s="3"/>
      <c r="GC317" s="3"/>
      <c r="GD317" s="3"/>
      <c r="GE317" s="3"/>
      <c r="GF317" s="3"/>
      <c r="GG317" s="3"/>
      <c r="GH317" s="3"/>
      <c r="GI317" s="3"/>
      <c r="GJ317" s="3"/>
      <c r="GK317" s="3"/>
      <c r="GL317" s="3"/>
      <c r="GM317" s="3"/>
      <c r="GN317" s="3"/>
      <c r="GO317" s="3"/>
      <c r="GP317" s="3"/>
      <c r="GQ317" s="3"/>
      <c r="GR317" s="3"/>
      <c r="GS317" s="3"/>
      <c r="GT317" s="3"/>
      <c r="GU317" s="3"/>
      <c r="GV317" s="3"/>
      <c r="GW317" s="3"/>
      <c r="GX317" s="3"/>
      <c r="GY317" s="3"/>
      <c r="GZ317" s="3"/>
      <c r="HA317" s="3"/>
      <c r="HB317" s="3"/>
      <c r="HC317" s="3"/>
      <c r="HD317" s="3"/>
      <c r="HE317" s="3"/>
      <c r="HF317" s="3"/>
      <c r="HG317" s="3"/>
      <c r="HH317" s="3"/>
      <c r="HI317" s="3"/>
      <c r="HJ317" s="3"/>
      <c r="HK317" s="3"/>
      <c r="HL317" s="3"/>
      <c r="HM317" s="3"/>
      <c r="HN317" s="3"/>
      <c r="HO317" s="3"/>
      <c r="HP317" s="3"/>
      <c r="HQ317" s="3"/>
      <c r="HR317" s="3"/>
      <c r="HS317" s="3"/>
      <c r="HT317" s="3"/>
      <c r="HU317" s="3"/>
      <c r="HV317" s="3"/>
      <c r="HW317" s="3"/>
      <c r="HX317" s="3"/>
      <c r="HY317" s="3"/>
      <c r="HZ317" s="3"/>
      <c r="IA317" s="3"/>
      <c r="IB317" s="3"/>
      <c r="IC317" s="3"/>
      <c r="ID317" s="3"/>
      <c r="IE317" s="3"/>
      <c r="IF317" s="3"/>
      <c r="IG317" s="3"/>
      <c r="IH317" s="3"/>
      <c r="II317" s="3"/>
      <c r="IJ317" s="3"/>
      <c r="IK317" s="3"/>
      <c r="IL317" s="3"/>
      <c r="IM317" s="3"/>
      <c r="IN317" s="3"/>
      <c r="IO317" s="3"/>
      <c r="IP317" s="3"/>
      <c r="IQ317" s="3"/>
      <c r="IR317" s="3"/>
      <c r="IS317" s="3"/>
      <c r="IT317" s="3"/>
      <c r="IU317" s="3"/>
      <c r="IV317" s="3"/>
      <c r="IW317" s="3"/>
      <c r="IX317" s="3"/>
      <c r="IY317" s="3"/>
      <c r="IZ317" s="3"/>
      <c r="JA317" s="3"/>
      <c r="JB317" s="3"/>
      <c r="JC317" s="3"/>
      <c r="JD317" s="3"/>
      <c r="JE317" s="3"/>
      <c r="JF317" s="3"/>
      <c r="JG317" s="3"/>
      <c r="JH317" s="3"/>
      <c r="JI317" s="3"/>
      <c r="JJ317" s="3"/>
      <c r="JK317" s="3"/>
      <c r="JL317" s="3"/>
      <c r="JM317" s="3"/>
      <c r="JN317" s="3"/>
      <c r="JO317" s="3"/>
      <c r="JP317" s="3"/>
      <c r="JQ317" s="3"/>
      <c r="JR317" s="3"/>
      <c r="JS317" s="3"/>
      <c r="JT317" s="3"/>
      <c r="JU317" s="3"/>
      <c r="JV317" s="3"/>
      <c r="JW317" s="3"/>
      <c r="JX317" s="3"/>
      <c r="JY317" s="3"/>
      <c r="JZ317" s="3"/>
      <c r="KA317" s="3"/>
      <c r="KB317" s="3"/>
      <c r="KC317" s="3"/>
      <c r="KD317" s="3"/>
      <c r="KE317" s="3"/>
      <c r="KF317" s="3"/>
      <c r="KG317" s="3"/>
      <c r="KH317" s="3"/>
      <c r="KI317" s="3"/>
      <c r="KJ317" s="3"/>
      <c r="KK317" s="3"/>
      <c r="KL317" s="3"/>
      <c r="KM317" s="3"/>
      <c r="KN317" s="3"/>
      <c r="KO317" s="3"/>
      <c r="KP317" s="3"/>
      <c r="KQ317" s="3"/>
      <c r="KR317" s="3"/>
      <c r="KS317" s="3"/>
      <c r="KT317" s="3"/>
      <c r="KU317" s="3"/>
      <c r="KV317" s="3"/>
      <c r="KW317" s="3"/>
      <c r="KX317" s="3"/>
      <c r="KY317" s="3"/>
      <c r="KZ317" s="3"/>
      <c r="LA317" s="3"/>
      <c r="LB317" s="3"/>
      <c r="LC317" s="3"/>
      <c r="LD317" s="3"/>
      <c r="LE317" s="3"/>
      <c r="LF317" s="3"/>
      <c r="LG317" s="3"/>
      <c r="LH317" s="3"/>
      <c r="LI317" s="3"/>
      <c r="LJ317" s="3"/>
      <c r="LK317" s="3"/>
      <c r="LL317" s="3"/>
      <c r="LM317" s="3"/>
      <c r="LN317" s="3"/>
      <c r="LO317" s="3"/>
      <c r="LP317" s="3"/>
      <c r="LQ317" s="3"/>
      <c r="LR317" s="3"/>
      <c r="LS317" s="3"/>
      <c r="LT317" s="3"/>
      <c r="LU317" s="3"/>
      <c r="LV317" s="3"/>
      <c r="LW317" s="3"/>
      <c r="LX317" s="3"/>
      <c r="LY317" s="3"/>
      <c r="LZ317" s="3"/>
      <c r="MA317" s="3"/>
      <c r="MB317" s="3"/>
      <c r="MC317" s="3"/>
      <c r="MD317" s="3"/>
      <c r="ME317" s="3"/>
      <c r="MF317" s="3"/>
      <c r="MG317" s="3"/>
      <c r="MH317" s="3"/>
      <c r="MI317" s="3"/>
      <c r="MJ317" s="3"/>
      <c r="MK317" s="3"/>
      <c r="ML317" s="3"/>
      <c r="MM317" s="3"/>
      <c r="MN317" s="3"/>
      <c r="MO317" s="3"/>
      <c r="MP317" s="3"/>
      <c r="MQ317" s="3"/>
      <c r="MR317" s="3"/>
      <c r="MS317" s="3"/>
      <c r="MT317" s="3"/>
      <c r="MU317" s="3"/>
      <c r="MV317" s="3"/>
      <c r="MW317" s="3"/>
      <c r="MX317" s="3"/>
      <c r="MY317" s="3"/>
      <c r="MZ317" s="3"/>
      <c r="NA317" s="3"/>
      <c r="NB317" s="3"/>
      <c r="NC317" s="3"/>
      <c r="ND317" s="3"/>
      <c r="NE317" s="3"/>
      <c r="NF317" s="3"/>
      <c r="NG317" s="3"/>
      <c r="NH317" s="3"/>
      <c r="NI317" s="3"/>
      <c r="NJ317" s="3"/>
      <c r="NK317" s="3"/>
      <c r="NL317" s="3"/>
      <c r="NM317" s="3"/>
      <c r="NN317" s="3"/>
      <c r="NO317" s="3"/>
      <c r="NP317" s="3"/>
      <c r="NQ317" s="3"/>
      <c r="NR317" s="3"/>
      <c r="NS317" s="3"/>
      <c r="NT317" s="3"/>
      <c r="NU317" s="3"/>
      <c r="NV317" s="3"/>
      <c r="NW317" s="3"/>
      <c r="NX317" s="3"/>
      <c r="NY317" s="3"/>
      <c r="NZ317" s="3"/>
      <c r="OA317" s="3"/>
      <c r="OB317" s="3"/>
      <c r="OC317" s="3"/>
      <c r="OD317" s="3"/>
      <c r="OE317" s="3"/>
      <c r="OF317" s="3"/>
      <c r="OG317" s="3"/>
      <c r="OH317" s="3"/>
      <c r="OI317" s="3"/>
      <c r="OJ317" s="3"/>
      <c r="OK317" s="3"/>
      <c r="OL317" s="3"/>
      <c r="OM317" s="3"/>
      <c r="ON317" s="3"/>
      <c r="OO317" s="3"/>
      <c r="OP317" s="3"/>
      <c r="OQ317" s="3"/>
      <c r="OR317" s="3"/>
      <c r="OS317" s="3"/>
      <c r="OT317" s="3"/>
      <c r="OU317" s="3"/>
      <c r="OV317" s="3"/>
      <c r="OW317" s="3"/>
      <c r="OX317" s="3"/>
      <c r="OY317" s="3"/>
      <c r="OZ317" s="3"/>
      <c r="PA317" s="3"/>
      <c r="PB317" s="3"/>
      <c r="PC317" s="3"/>
      <c r="PD317" s="3"/>
      <c r="PE317" s="3"/>
      <c r="PF317" s="3"/>
      <c r="PG317" s="3"/>
      <c r="PH317" s="3"/>
      <c r="PI317" s="3"/>
      <c r="PJ317" s="3"/>
      <c r="PK317" s="3"/>
      <c r="PL317" s="3"/>
      <c r="PM317" s="3"/>
      <c r="PN317" s="3"/>
      <c r="PO317" s="3"/>
      <c r="PP317" s="3"/>
      <c r="PQ317" s="3"/>
      <c r="PR317" s="3"/>
      <c r="PS317" s="3"/>
      <c r="PT317" s="3"/>
      <c r="PU317" s="3"/>
      <c r="PV317" s="3"/>
      <c r="PW317" s="3"/>
      <c r="PX317" s="3"/>
      <c r="PY317" s="3"/>
      <c r="PZ317" s="3"/>
      <c r="QA317" s="3"/>
      <c r="QB317" s="3"/>
      <c r="QC317" s="3"/>
      <c r="QD317" s="3"/>
      <c r="QE317" s="3"/>
      <c r="QF317" s="3"/>
      <c r="QG317" s="3"/>
      <c r="QH317" s="3"/>
      <c r="QI317" s="3"/>
      <c r="QJ317" s="3"/>
      <c r="QK317" s="3"/>
      <c r="QL317" s="3"/>
      <c r="QM317" s="3"/>
      <c r="QN317" s="3"/>
      <c r="QO317" s="3"/>
      <c r="QP317" s="3"/>
      <c r="QQ317" s="3"/>
      <c r="QR317" s="3"/>
      <c r="QS317" s="3"/>
      <c r="QT317" s="3"/>
      <c r="QU317" s="3"/>
      <c r="QV317" s="3"/>
      <c r="QW317" s="3"/>
      <c r="QX317" s="3"/>
      <c r="QY317" s="3"/>
      <c r="QZ317" s="3"/>
      <c r="RA317" s="3"/>
      <c r="RB317" s="3"/>
      <c r="RC317" s="3"/>
      <c r="RD317" s="3"/>
      <c r="RE317" s="3"/>
      <c r="RF317" s="3"/>
      <c r="RG317" s="3"/>
      <c r="RH317" s="3"/>
      <c r="RI317" s="3"/>
      <c r="RJ317" s="3"/>
      <c r="RK317" s="3"/>
      <c r="RL317" s="3"/>
      <c r="RM317" s="3"/>
      <c r="RN317" s="3"/>
      <c r="RO317" s="3"/>
      <c r="RP317" s="3"/>
      <c r="RQ317" s="3"/>
      <c r="RR317" s="3"/>
      <c r="RS317" s="3"/>
      <c r="RT317" s="3"/>
      <c r="RU317" s="3"/>
      <c r="RV317" s="3"/>
      <c r="RW317" s="3"/>
      <c r="RX317" s="3"/>
      <c r="RY317" s="3"/>
      <c r="RZ317" s="3"/>
      <c r="SA317" s="3"/>
      <c r="SB317" s="3"/>
      <c r="SC317" s="3"/>
      <c r="SD317" s="3"/>
      <c r="SE317" s="3"/>
      <c r="SF317" s="3"/>
      <c r="SG317" s="3"/>
      <c r="SH317" s="3"/>
      <c r="SI317" s="3"/>
      <c r="SJ317" s="3"/>
      <c r="SK317" s="3"/>
      <c r="SL317" s="3"/>
      <c r="SM317" s="3"/>
      <c r="SN317" s="3"/>
      <c r="SO317" s="3"/>
      <c r="SP317" s="3"/>
      <c r="SQ317" s="3"/>
      <c r="SR317" s="3"/>
      <c r="SS317" s="3"/>
      <c r="ST317" s="3"/>
      <c r="SU317" s="3"/>
      <c r="SV317" s="3"/>
      <c r="SW317" s="3"/>
      <c r="SX317" s="3"/>
      <c r="SY317" s="3"/>
      <c r="SZ317" s="3"/>
      <c r="TA317" s="3"/>
      <c r="TB317" s="3"/>
      <c r="TC317" s="3"/>
      <c r="TD317" s="3"/>
      <c r="TE317" s="3"/>
      <c r="TF317" s="3"/>
      <c r="TG317" s="3"/>
      <c r="TH317" s="3"/>
      <c r="TI317" s="3"/>
      <c r="TJ317" s="3"/>
      <c r="TK317" s="3"/>
      <c r="TL317" s="3"/>
      <c r="TM317" s="3"/>
      <c r="TN317" s="3"/>
      <c r="TO317" s="3"/>
      <c r="TP317" s="3"/>
      <c r="TQ317" s="3"/>
      <c r="TR317" s="3"/>
      <c r="TS317" s="3"/>
      <c r="TT317" s="3"/>
      <c r="TU317" s="3"/>
      <c r="TV317" s="3"/>
      <c r="TW317" s="3"/>
      <c r="TX317" s="3"/>
      <c r="TY317" s="3"/>
      <c r="TZ317" s="3"/>
      <c r="UA317" s="3"/>
      <c r="UB317" s="3"/>
      <c r="UC317" s="3"/>
      <c r="UD317" s="3"/>
      <c r="UE317" s="3"/>
      <c r="UF317" s="3"/>
      <c r="UG317" s="3"/>
      <c r="UH317" s="3"/>
      <c r="UI317" s="3"/>
      <c r="UJ317" s="3"/>
      <c r="UK317" s="3"/>
      <c r="UL317" s="3"/>
      <c r="UM317" s="3"/>
      <c r="UN317" s="3"/>
      <c r="UO317" s="3"/>
      <c r="UP317" s="3"/>
      <c r="UQ317" s="3"/>
      <c r="UR317" s="3"/>
      <c r="US317" s="3"/>
      <c r="UT317" s="3"/>
      <c r="UU317" s="3"/>
      <c r="UV317" s="3"/>
      <c r="UW317" s="3"/>
      <c r="UX317" s="3"/>
      <c r="UY317" s="3"/>
      <c r="UZ317" s="3"/>
      <c r="VA317" s="3"/>
      <c r="VB317" s="3"/>
      <c r="VC317" s="3"/>
      <c r="VD317" s="3"/>
      <c r="VE317" s="3"/>
      <c r="VF317" s="3"/>
      <c r="VG317" s="3"/>
      <c r="VH317" s="3"/>
      <c r="VI317" s="3"/>
      <c r="VJ317" s="3"/>
      <c r="VK317" s="3"/>
      <c r="VL317" s="3"/>
      <c r="VM317" s="3"/>
      <c r="VN317" s="3"/>
      <c r="VO317" s="3"/>
      <c r="VP317" s="3"/>
      <c r="VQ317" s="3"/>
      <c r="VR317" s="3"/>
      <c r="VS317" s="3"/>
      <c r="VT317" s="3"/>
      <c r="VU317" s="3"/>
      <c r="VV317" s="3"/>
      <c r="VW317" s="3"/>
      <c r="VX317" s="3"/>
      <c r="VY317" s="3"/>
      <c r="VZ317" s="3"/>
      <c r="WA317" s="3"/>
      <c r="WB317" s="3"/>
      <c r="WC317" s="3"/>
      <c r="WD317" s="3"/>
      <c r="WE317" s="3"/>
      <c r="WF317" s="3"/>
      <c r="WG317" s="3"/>
      <c r="WH317" s="3"/>
      <c r="WI317" s="3"/>
      <c r="WJ317" s="3"/>
      <c r="WK317" s="3"/>
      <c r="WL317" s="3"/>
      <c r="WM317" s="3"/>
      <c r="WN317" s="3"/>
      <c r="WO317" s="3"/>
      <c r="WP317" s="3"/>
      <c r="WQ317" s="3"/>
      <c r="WR317" s="3"/>
      <c r="WS317" s="3"/>
      <c r="WT317" s="3"/>
      <c r="WU317" s="3"/>
      <c r="WV317" s="3"/>
      <c r="WW317" s="3"/>
      <c r="WX317" s="3"/>
      <c r="WY317" s="3"/>
      <c r="WZ317" s="3"/>
      <c r="XA317" s="3"/>
      <c r="XB317" s="3"/>
      <c r="XC317" s="3"/>
      <c r="XD317" s="3"/>
      <c r="XE317" s="3"/>
      <c r="XF317" s="3"/>
      <c r="XG317" s="3"/>
      <c r="XH317" s="3"/>
      <c r="XI317" s="3"/>
      <c r="XJ317" s="3"/>
      <c r="XK317" s="3"/>
      <c r="XL317" s="3"/>
      <c r="XM317" s="3"/>
      <c r="XN317" s="3"/>
      <c r="XO317" s="3"/>
      <c r="XP317" s="3"/>
      <c r="XQ317" s="3"/>
      <c r="XR317" s="3"/>
      <c r="XS317" s="3"/>
      <c r="XT317" s="3"/>
      <c r="XU317" s="3"/>
      <c r="XV317" s="3"/>
      <c r="XW317" s="3"/>
      <c r="XX317" s="3"/>
      <c r="XY317" s="3"/>
      <c r="XZ317" s="3"/>
      <c r="YA317" s="3"/>
      <c r="YB317" s="3"/>
      <c r="YC317" s="3"/>
      <c r="YD317" s="3"/>
      <c r="YE317" s="3"/>
      <c r="YF317" s="3"/>
      <c r="YG317" s="3"/>
      <c r="YH317" s="3"/>
      <c r="YI317" s="3"/>
      <c r="YJ317" s="3"/>
      <c r="YK317" s="3"/>
      <c r="YL317" s="3"/>
      <c r="YM317" s="3"/>
      <c r="YN317" s="3"/>
      <c r="YO317" s="3"/>
      <c r="YP317" s="3"/>
      <c r="YQ317" s="3"/>
      <c r="YR317" s="3"/>
      <c r="YS317" s="3"/>
      <c r="YT317" s="3"/>
      <c r="YU317" s="3"/>
      <c r="YV317" s="3"/>
      <c r="YW317" s="3"/>
      <c r="YX317" s="3"/>
      <c r="YY317" s="3"/>
      <c r="YZ317" s="3"/>
      <c r="ZA317" s="3"/>
      <c r="ZB317" s="3"/>
      <c r="ZC317" s="3"/>
      <c r="ZD317" s="3"/>
      <c r="ZE317" s="3"/>
      <c r="ZF317" s="3"/>
      <c r="ZG317" s="3"/>
      <c r="ZH317" s="3"/>
      <c r="ZI317" s="3"/>
      <c r="ZJ317" s="3"/>
      <c r="ZK317" s="3"/>
      <c r="ZL317" s="3"/>
      <c r="ZM317" s="3"/>
      <c r="ZN317" s="3"/>
      <c r="ZO317" s="3"/>
      <c r="ZP317" s="3"/>
      <c r="ZQ317" s="3"/>
      <c r="ZR317" s="3"/>
      <c r="ZS317" s="3"/>
      <c r="ZT317" s="3"/>
      <c r="ZU317" s="3"/>
      <c r="ZV317" s="3"/>
      <c r="ZW317" s="3"/>
      <c r="ZX317" s="3"/>
      <c r="ZY317" s="3"/>
      <c r="ZZ317" s="3"/>
      <c r="AAA317" s="3"/>
      <c r="AAB317" s="3"/>
      <c r="AAC317" s="3"/>
      <c r="AAD317" s="3"/>
      <c r="AAE317" s="3"/>
      <c r="AAF317" s="3"/>
      <c r="AAG317" s="3"/>
      <c r="AAH317" s="3"/>
      <c r="AAI317" s="3"/>
      <c r="AAJ317" s="3"/>
      <c r="AAK317" s="3"/>
      <c r="AAL317" s="3"/>
      <c r="AAM317" s="3"/>
      <c r="AAN317" s="3"/>
      <c r="AAO317" s="3"/>
      <c r="AAP317" s="3"/>
      <c r="AAQ317" s="3"/>
      <c r="AAR317" s="3"/>
      <c r="AAS317" s="3"/>
      <c r="AAT317" s="3"/>
      <c r="AAU317" s="3"/>
      <c r="AAV317" s="3"/>
      <c r="AAW317" s="3"/>
      <c r="AAX317" s="3"/>
      <c r="AAY317" s="3"/>
      <c r="AAZ317" s="3"/>
      <c r="ABA317" s="3"/>
      <c r="ABB317" s="3"/>
      <c r="ABC317" s="3"/>
      <c r="ABD317" s="3"/>
      <c r="ABE317" s="3"/>
      <c r="ABF317" s="3"/>
      <c r="ABG317" s="3"/>
      <c r="ABH317" s="3"/>
      <c r="ABI317" s="3"/>
      <c r="ABJ317" s="3"/>
      <c r="ABK317" s="3"/>
      <c r="ABL317" s="3"/>
      <c r="ABM317" s="3"/>
      <c r="ABN317" s="3"/>
      <c r="ABO317" s="3"/>
      <c r="ABP317" s="3"/>
      <c r="ABQ317" s="3"/>
      <c r="ABR317" s="3"/>
      <c r="ABS317" s="3"/>
      <c r="ABT317" s="3"/>
      <c r="ABU317" s="3"/>
      <c r="ABV317" s="3"/>
      <c r="ABW317" s="3"/>
      <c r="ABX317" s="3"/>
      <c r="ABY317" s="3"/>
      <c r="ABZ317" s="3"/>
      <c r="ACA317" s="3"/>
      <c r="ACB317" s="3"/>
      <c r="ACC317" s="3"/>
      <c r="ACD317" s="3"/>
      <c r="ACE317" s="3"/>
      <c r="ACF317" s="3"/>
      <c r="ACG317" s="3"/>
      <c r="ACH317" s="3"/>
      <c r="ACI317" s="3"/>
      <c r="ACJ317" s="3"/>
      <c r="ACK317" s="3"/>
      <c r="ACL317" s="3"/>
      <c r="ACM317" s="3"/>
      <c r="ACN317" s="3"/>
      <c r="ACO317" s="3"/>
      <c r="ACP317" s="3"/>
      <c r="ACQ317" s="3"/>
      <c r="ACR317" s="3"/>
      <c r="ACS317" s="3"/>
      <c r="ACT317" s="3"/>
      <c r="ACU317" s="3"/>
      <c r="ACV317" s="3"/>
      <c r="ACW317" s="3"/>
      <c r="ACX317" s="3"/>
      <c r="ACY317" s="3"/>
      <c r="ACZ317" s="3"/>
      <c r="ADA317" s="3"/>
      <c r="ADB317" s="3"/>
      <c r="ADC317" s="3"/>
      <c r="ADD317" s="3"/>
      <c r="ADE317" s="3"/>
      <c r="ADF317" s="3"/>
      <c r="ADG317" s="3"/>
      <c r="ADH317" s="3"/>
      <c r="ADI317" s="3"/>
      <c r="ADJ317" s="3"/>
      <c r="ADK317" s="3"/>
      <c r="ADL317" s="3"/>
      <c r="ADM317" s="3"/>
      <c r="ADN317" s="3"/>
      <c r="ADO317" s="3"/>
      <c r="ADP317" s="3"/>
      <c r="ADQ317" s="3"/>
      <c r="ADR317" s="3"/>
      <c r="ADS317" s="3"/>
      <c r="ADT317" s="3"/>
      <c r="ADU317" s="3"/>
      <c r="ADV317" s="3"/>
      <c r="ADW317" s="3"/>
      <c r="ADX317" s="3"/>
      <c r="ADY317" s="3"/>
      <c r="ADZ317" s="3"/>
      <c r="AEA317" s="3"/>
      <c r="AEB317" s="3"/>
      <c r="AEC317" s="3"/>
      <c r="AED317" s="3"/>
      <c r="AEE317" s="3"/>
      <c r="AEF317" s="3"/>
      <c r="AEG317" s="3"/>
      <c r="AEH317" s="3"/>
      <c r="AEI317" s="3"/>
      <c r="AEJ317" s="3"/>
      <c r="AEK317" s="3"/>
      <c r="AEL317" s="3"/>
      <c r="AEM317" s="3"/>
      <c r="AEN317" s="3"/>
      <c r="AEO317" s="3"/>
      <c r="AEP317" s="3"/>
      <c r="AEQ317" s="3"/>
      <c r="AER317" s="3"/>
      <c r="AES317" s="3"/>
      <c r="AET317" s="3"/>
      <c r="AEU317" s="3"/>
      <c r="AEV317" s="3"/>
      <c r="AEW317" s="3"/>
      <c r="AEX317" s="3"/>
      <c r="AEY317" s="3"/>
      <c r="AEZ317" s="3"/>
      <c r="AFA317" s="3"/>
      <c r="AFB317" s="3"/>
      <c r="AFC317" s="3"/>
      <c r="AFD317" s="3"/>
      <c r="AFE317" s="3"/>
      <c r="AFF317" s="3"/>
      <c r="AFG317" s="3"/>
      <c r="AFH317" s="3"/>
      <c r="AFI317" s="3"/>
      <c r="AFJ317" s="3"/>
      <c r="AFK317" s="3"/>
      <c r="AFL317" s="3"/>
      <c r="AFM317" s="3"/>
      <c r="AFN317" s="3"/>
      <c r="AFO317" s="3"/>
      <c r="AFP317" s="3"/>
      <c r="AFQ317" s="3"/>
      <c r="AFR317" s="3"/>
      <c r="AFS317" s="3"/>
      <c r="AFT317" s="3"/>
      <c r="AFU317" s="3"/>
      <c r="AFV317" s="3"/>
      <c r="AFW317" s="3"/>
      <c r="AFX317" s="3"/>
      <c r="AFY317" s="3"/>
      <c r="AFZ317" s="3"/>
      <c r="AGA317" s="3"/>
      <c r="AGB317" s="3"/>
      <c r="AGC317" s="3"/>
      <c r="AGD317" s="3"/>
      <c r="AGE317" s="3"/>
      <c r="AGF317" s="3"/>
      <c r="AGG317" s="3"/>
      <c r="AGH317" s="3"/>
      <c r="AGI317" s="3"/>
      <c r="AGJ317" s="3"/>
      <c r="AGK317" s="3"/>
      <c r="AGL317" s="3"/>
      <c r="AGM317" s="3"/>
      <c r="AGN317" s="3"/>
      <c r="AGO317" s="3"/>
      <c r="AGP317" s="3"/>
      <c r="AGQ317" s="3"/>
      <c r="AGR317" s="3"/>
      <c r="AGS317" s="3"/>
      <c r="AGT317" s="3"/>
      <c r="AGU317" s="3"/>
      <c r="AGV317" s="3"/>
      <c r="AGW317" s="3"/>
      <c r="AGX317" s="3"/>
      <c r="AGY317" s="3"/>
      <c r="AGZ317" s="3"/>
      <c r="AHA317" s="3"/>
      <c r="AHB317" s="3"/>
      <c r="AHC317" s="3"/>
      <c r="AHD317" s="3"/>
      <c r="AHE317" s="3"/>
      <c r="AHF317" s="3"/>
      <c r="AHG317" s="3"/>
      <c r="AHH317" s="3"/>
      <c r="AHI317" s="3"/>
      <c r="AHJ317" s="3"/>
      <c r="AHK317" s="3"/>
      <c r="AHL317" s="3"/>
      <c r="AHM317" s="3"/>
      <c r="AHN317" s="3"/>
      <c r="AHO317" s="3"/>
      <c r="AHP317" s="3"/>
      <c r="AHQ317" s="3"/>
      <c r="AHR317" s="3"/>
      <c r="AHS317" s="3"/>
      <c r="AHT317" s="3"/>
      <c r="AHU317" s="3"/>
      <c r="AHV317" s="3"/>
      <c r="AHW317" s="3"/>
      <c r="AHX317" s="3"/>
      <c r="AHY317" s="3"/>
      <c r="AHZ317" s="3"/>
      <c r="AIA317" s="3"/>
      <c r="AIB317" s="3"/>
      <c r="AIC317" s="3"/>
      <c r="AID317" s="3"/>
      <c r="AIE317" s="3"/>
      <c r="AIF317" s="3"/>
      <c r="AIG317" s="3"/>
      <c r="AIH317" s="3"/>
      <c r="AII317" s="3"/>
      <c r="AIJ317" s="3"/>
      <c r="AIK317" s="3"/>
      <c r="AIL317" s="3"/>
      <c r="AIM317" s="3"/>
      <c r="AIN317" s="3"/>
      <c r="AIO317" s="3"/>
      <c r="AIP317" s="3"/>
      <c r="AIQ317" s="3"/>
      <c r="AIR317" s="3"/>
      <c r="AIS317" s="3"/>
      <c r="AIT317" s="3"/>
      <c r="AIU317" s="3"/>
      <c r="AIV317" s="3"/>
      <c r="AIW317" s="3"/>
      <c r="AIX317" s="3"/>
      <c r="AIY317" s="3"/>
      <c r="AIZ317" s="3"/>
      <c r="AJA317" s="3"/>
      <c r="AJB317" s="3"/>
      <c r="AJC317" s="3"/>
      <c r="AJD317" s="3"/>
      <c r="AJE317" s="3"/>
      <c r="AJF317" s="3"/>
      <c r="AJG317" s="3"/>
      <c r="AJH317" s="3"/>
      <c r="AJI317" s="3"/>
      <c r="AJJ317" s="3"/>
      <c r="AJK317" s="3"/>
      <c r="AJL317" s="3"/>
      <c r="AJM317" s="3"/>
      <c r="AJN317" s="3"/>
      <c r="AJO317" s="3"/>
      <c r="AJP317" s="3"/>
      <c r="AJQ317" s="3"/>
      <c r="AJR317" s="3"/>
      <c r="AJS317" s="3"/>
      <c r="AJT317" s="3"/>
      <c r="AJU317" s="3"/>
      <c r="AJV317" s="3"/>
      <c r="AJW317" s="3"/>
      <c r="AJX317" s="3"/>
      <c r="AJY317" s="3"/>
      <c r="AJZ317" s="3"/>
      <c r="AKA317" s="3"/>
      <c r="AKB317" s="3"/>
      <c r="AKC317" s="3"/>
      <c r="AKD317" s="3"/>
      <c r="AKE317" s="3"/>
      <c r="AKF317" s="3"/>
      <c r="AKG317" s="3"/>
      <c r="AKH317" s="3"/>
      <c r="AKI317" s="3"/>
      <c r="AKJ317" s="3"/>
      <c r="AKK317" s="3"/>
      <c r="AKL317" s="3"/>
      <c r="AKM317" s="3"/>
      <c r="AKN317" s="3"/>
      <c r="AKO317" s="3"/>
      <c r="AKP317" s="3"/>
      <c r="AKQ317" s="3"/>
      <c r="AKR317" s="3"/>
      <c r="AKS317" s="3"/>
      <c r="AKT317" s="3"/>
      <c r="AKU317" s="3"/>
      <c r="AKV317" s="3"/>
      <c r="AKW317" s="3"/>
      <c r="AKX317" s="3"/>
      <c r="AKY317" s="3"/>
      <c r="AKZ317" s="3"/>
      <c r="ALA317" s="3"/>
      <c r="ALB317" s="3"/>
      <c r="ALC317" s="3"/>
      <c r="ALD317" s="3"/>
      <c r="ALE317" s="3"/>
      <c r="ALF317" s="3"/>
      <c r="ALG317" s="3"/>
      <c r="ALH317" s="3"/>
      <c r="ALI317" s="3"/>
      <c r="ALJ317" s="3"/>
      <c r="ALK317" s="3"/>
      <c r="ALL317" s="3"/>
      <c r="ALM317" s="3"/>
      <c r="ALN317" s="3"/>
      <c r="ALO317" s="3"/>
      <c r="ALP317" s="3"/>
      <c r="ALQ317" s="3"/>
      <c r="ALR317" s="3"/>
      <c r="ALS317" s="3"/>
      <c r="ALT317" s="3"/>
      <c r="ALU317" s="3"/>
      <c r="ALV317" s="3"/>
      <c r="ALW317" s="3"/>
      <c r="ALX317" s="3"/>
      <c r="ALY317" s="3"/>
      <c r="ALZ317" s="3"/>
      <c r="AMA317" s="3"/>
      <c r="AMB317" s="3"/>
      <c r="AMC317" s="3"/>
      <c r="AMD317" s="3"/>
      <c r="AME317" s="3"/>
      <c r="AMF317" s="3"/>
      <c r="AMG317" s="3"/>
      <c r="AMH317" s="3"/>
      <c r="AMI317" s="3"/>
      <c r="AMJ317" s="3"/>
      <c r="AMK317" s="3"/>
      <c r="AML317" s="3"/>
      <c r="AMM317" s="3"/>
      <c r="AMN317" s="3"/>
      <c r="AMO317" s="3"/>
      <c r="AMP317" s="1"/>
    </row>
    <row r="318" spans="1:1030" s="6" customFormat="1" x14ac:dyDescent="0.2">
      <c r="A318" s="3" t="str">
        <f t="shared" si="1115"/>
        <v>smo_human_4QIN</v>
      </c>
      <c r="B318" s="3" t="s">
        <v>33</v>
      </c>
      <c r="C318" s="3" t="s">
        <v>56</v>
      </c>
      <c r="D318" s="3" t="str">
        <f>IFERROR(MID(VLOOKUP($B318,Seqs!$A:$B,2,0),E318,1),"")</f>
        <v>T</v>
      </c>
      <c r="E318" s="105">
        <v>223</v>
      </c>
      <c r="F318" s="3" t="str">
        <f>IFERROR(MID(VLOOKUP($B318,Seqs!$A:$B,2,0),G318,1),"")</f>
        <v>D</v>
      </c>
      <c r="G318" s="3">
        <v>255</v>
      </c>
      <c r="H318" s="3" t="str">
        <f>IFERROR(MID(VLOOKUP($B318,Seqs!$A:$B,2,0),I318,1),"")</f>
        <v>W</v>
      </c>
      <c r="I318" s="23">
        <v>256</v>
      </c>
      <c r="J318" s="3" t="str">
        <f>IFERROR(MID(VLOOKUP($B318,Seqs!$A:$B,2,0),K318,1),"")</f>
        <v>N</v>
      </c>
      <c r="K318" s="23">
        <v>260</v>
      </c>
      <c r="L318" s="3" t="str">
        <f>IFERROR(MID(VLOOKUP($B318,Seqs!$A:$B,2,0),M318,1),"")</f>
        <v>R</v>
      </c>
      <c r="M318" s="3">
        <v>261</v>
      </c>
      <c r="N318" s="3" t="str">
        <f>IFERROR(MID(VLOOKUP($B318,Seqs!$A:$B,2,0),O318,1),"")</f>
        <v>F</v>
      </c>
      <c r="O318" s="3">
        <v>285</v>
      </c>
      <c r="P318" s="3" t="str">
        <f>IFERROR(MID(VLOOKUP($B318,Seqs!$A:$B,2,0),Q318,1),"")</f>
        <v/>
      </c>
      <c r="Q318" s="3" t="s">
        <v>23</v>
      </c>
      <c r="R318" s="3" t="str">
        <f>IFERROR(MID(VLOOKUP($B318,Seqs!$A:$B,2,0),S318,1),"")</f>
        <v/>
      </c>
      <c r="S318" s="3" t="s">
        <v>23</v>
      </c>
      <c r="T318" s="3" t="str">
        <f>IFERROR(MID(VLOOKUP($B318,Seqs!$A:$B,2,0),U318,1),"")</f>
        <v>L</v>
      </c>
      <c r="U318" s="3">
        <v>312</v>
      </c>
      <c r="V318" s="3" t="str">
        <f>IFERROR(MID(VLOOKUP($B318,Seqs!$A:$B,2,0),W318,1),"")</f>
        <v>A</v>
      </c>
      <c r="W318" s="3">
        <v>345</v>
      </c>
      <c r="X318" s="3" t="str">
        <f>IFERROR(MID(VLOOKUP($B318,Seqs!$A:$B,2,0),Y318,1),"")</f>
        <v/>
      </c>
      <c r="Y318" s="3" t="s">
        <v>23</v>
      </c>
      <c r="Z318" s="3" t="str">
        <f>IFERROR(MID(VLOOKUP($B318,Seqs!$A:$B,2,0),AA318,1),"")</f>
        <v/>
      </c>
      <c r="AA318" s="3" t="s">
        <v>23</v>
      </c>
      <c r="AB318" s="3" t="str">
        <f>IFERROR(MID(VLOOKUP($B318,Seqs!$A:$B,2,0),AC318,1),"")</f>
        <v>L</v>
      </c>
      <c r="AC318" s="9">
        <v>353</v>
      </c>
      <c r="AD318" s="3" t="str">
        <f>IFERROR(MID(VLOOKUP($B318,Seqs!$A:$B,2,0),AE318,1),"")</f>
        <v>V</v>
      </c>
      <c r="AE318" s="3">
        <v>378</v>
      </c>
      <c r="AF318" s="3" t="str">
        <f>IFERROR(MID(VLOOKUP($B318,Seqs!$A:$B,2,0),AG318,1),"")</f>
        <v>C</v>
      </c>
      <c r="AG318" s="3">
        <v>390</v>
      </c>
      <c r="AH318" s="3" t="str">
        <f>IFERROR(MID(VLOOKUP($B318,Seqs!$A:$B,2,0),AI318,1),"")</f>
        <v>V</v>
      </c>
      <c r="AI318" s="3">
        <v>392</v>
      </c>
      <c r="AJ318" s="3" t="str">
        <f>IFERROR(MID(VLOOKUP($B318,Seqs!$A:$B,2,0),AK318,1),"")</f>
        <v>N</v>
      </c>
      <c r="AK318" s="105">
        <v>396</v>
      </c>
      <c r="AL318" s="3" t="str">
        <f>IFERROR(MID(VLOOKUP($B318,Seqs!$A:$B,2,0),AM318,1),"")</f>
        <v>H</v>
      </c>
      <c r="AM318" s="3">
        <v>433</v>
      </c>
      <c r="AN318" s="3" t="str">
        <f>IFERROR(MID(VLOOKUP($B318,Seqs!$A:$B,2,0),AO318,1),"")</f>
        <v>E</v>
      </c>
      <c r="AO318" s="3">
        <v>447</v>
      </c>
      <c r="AP318" s="3" t="str">
        <f>IFERROR(MID(VLOOKUP($B318,Seqs!$A:$B,2,0),AQ318,1),"")</f>
        <v>A</v>
      </c>
      <c r="AQ318" s="3">
        <v>492</v>
      </c>
      <c r="AR318" s="3" t="str">
        <f>IFERROR(MID(VLOOKUP($B318,Seqs!$A:$B,2,0),AS318,1),"")</f>
        <v>S</v>
      </c>
      <c r="AS318" s="105">
        <v>514</v>
      </c>
      <c r="AT318" s="3" t="str">
        <f>IFERROR(MID(VLOOKUP($B318,Seqs!$A:$B,2,0),AU318,1),"")</f>
        <v>W</v>
      </c>
      <c r="AU318" s="3">
        <v>537</v>
      </c>
      <c r="AV318" s="3" t="str">
        <f>IFERROR(MID(VLOOKUP($B318,Seqs!$A:$B,2,0),AW318,1),"")</f>
        <v>T</v>
      </c>
      <c r="AW318" s="3">
        <v>538</v>
      </c>
      <c r="AX318" s="3" t="str">
        <f>IFERROR(MID(VLOOKUP($B318,Seqs!$A:$B,2,0),AY318,1),"")</f>
        <v>R</v>
      </c>
      <c r="AY318" s="3">
        <v>551</v>
      </c>
      <c r="AZ318" s="78" t="str">
        <f>VLOOKUP(B318,Classification!A:D,2,0)</f>
        <v>F</v>
      </c>
      <c r="BA318" s="94" t="str">
        <f>VLOOKUP(B318,Classification!A:D,4,0)</f>
        <v>Frizzled</v>
      </c>
      <c r="BB318" s="92" t="b">
        <f t="shared" si="1116"/>
        <v>1</v>
      </c>
      <c r="BC318" s="23">
        <f t="shared" si="1089"/>
        <v>250</v>
      </c>
      <c r="BD318" s="74" t="s">
        <v>23</v>
      </c>
      <c r="BE318" s="3" t="s">
        <v>1381</v>
      </c>
      <c r="BF318" s="119">
        <v>2.6</v>
      </c>
      <c r="BG318" s="49" t="s">
        <v>1384</v>
      </c>
      <c r="BH318" s="49" t="s">
        <v>1384</v>
      </c>
      <c r="BI318" s="3"/>
      <c r="BJ318" s="75" t="s">
        <v>1293</v>
      </c>
      <c r="BK318" s="57" t="s">
        <v>1293</v>
      </c>
      <c r="BL318" s="57" t="s">
        <v>1293</v>
      </c>
      <c r="BM318" s="57" t="s">
        <v>1293</v>
      </c>
      <c r="BN318" s="57" t="s">
        <v>1293</v>
      </c>
      <c r="BO318" s="57" t="s">
        <v>1293</v>
      </c>
      <c r="BP318" s="57" t="s">
        <v>1293</v>
      </c>
      <c r="BQ318" s="57" t="s">
        <v>1293</v>
      </c>
      <c r="BR318" s="57" t="s">
        <v>1293</v>
      </c>
      <c r="BS318" s="57" t="s">
        <v>1293</v>
      </c>
      <c r="BT318" s="57" t="s">
        <v>1293</v>
      </c>
      <c r="BU318" s="57" t="s">
        <v>1293</v>
      </c>
      <c r="BV318" s="75">
        <f t="shared" si="1090"/>
        <v>223</v>
      </c>
      <c r="BW318" s="71">
        <f t="shared" si="1091"/>
        <v>256</v>
      </c>
      <c r="BX318" s="72">
        <f t="shared" si="1092"/>
        <v>261</v>
      </c>
      <c r="BY318" s="71" t="str">
        <f t="shared" si="1093"/>
        <v>-</v>
      </c>
      <c r="BZ318" s="72">
        <f t="shared" si="1094"/>
        <v>312</v>
      </c>
      <c r="CA318" s="71" t="str">
        <f t="shared" si="1095"/>
        <v>-</v>
      </c>
      <c r="CB318" s="72">
        <f t="shared" si="1096"/>
        <v>353</v>
      </c>
      <c r="CC318" s="71">
        <f t="shared" si="1097"/>
        <v>390</v>
      </c>
      <c r="CD318" s="72">
        <f t="shared" si="1098"/>
        <v>396</v>
      </c>
      <c r="CE318" s="71">
        <f t="shared" si="1099"/>
        <v>447</v>
      </c>
      <c r="CF318" s="72">
        <f t="shared" si="1100"/>
        <v>514</v>
      </c>
      <c r="CG318" s="71">
        <f t="shared" si="1101"/>
        <v>538</v>
      </c>
      <c r="CH318" s="75">
        <f t="shared" si="1102"/>
        <v>255</v>
      </c>
      <c r="CI318" s="71">
        <f t="shared" si="1103"/>
        <v>260</v>
      </c>
      <c r="CJ318" s="72">
        <f t="shared" si="1104"/>
        <v>285</v>
      </c>
      <c r="CK318" s="72" t="str">
        <f t="shared" si="1105"/>
        <v>-</v>
      </c>
      <c r="CL318" s="72">
        <f t="shared" si="1106"/>
        <v>345</v>
      </c>
      <c r="CM318" s="72" t="str">
        <f t="shared" si="1107"/>
        <v>-</v>
      </c>
      <c r="CN318" s="72">
        <f t="shared" si="1108"/>
        <v>378</v>
      </c>
      <c r="CO318" s="72">
        <f t="shared" si="1109"/>
        <v>392</v>
      </c>
      <c r="CP318" s="72">
        <f t="shared" si="1110"/>
        <v>433</v>
      </c>
      <c r="CQ318" s="72">
        <f t="shared" si="1111"/>
        <v>492</v>
      </c>
      <c r="CR318" s="72">
        <f t="shared" si="1112"/>
        <v>537</v>
      </c>
      <c r="CS318" s="72">
        <f t="shared" si="1113"/>
        <v>551</v>
      </c>
      <c r="CT318" s="23">
        <f t="shared" si="1114"/>
        <v>1</v>
      </c>
      <c r="CU318" s="3"/>
      <c r="CV318" s="3"/>
      <c r="CW318" s="3"/>
      <c r="CX318" s="3"/>
      <c r="CY318" s="3"/>
      <c r="CZ318" s="3"/>
      <c r="DA318" s="3"/>
      <c r="DB318" s="3"/>
      <c r="DC318" s="3"/>
      <c r="DD318" s="3"/>
      <c r="DE318" s="3"/>
      <c r="DF318" s="3"/>
      <c r="DG318" s="3"/>
      <c r="DH318" s="3"/>
      <c r="DI318" s="3"/>
      <c r="DJ318" s="3"/>
      <c r="DK318" s="3"/>
      <c r="DL318" s="3"/>
      <c r="DM318" s="3"/>
      <c r="DN318" s="3"/>
      <c r="DO318" s="3"/>
      <c r="DP318" s="3"/>
      <c r="DQ318" s="3"/>
      <c r="DR318" s="3"/>
      <c r="DS318" s="3"/>
      <c r="DT318" s="3"/>
      <c r="DU318" s="3"/>
      <c r="DV318" s="3"/>
      <c r="DW318" s="3"/>
      <c r="DX318" s="3"/>
      <c r="DY318" s="3"/>
      <c r="DZ318" s="3"/>
      <c r="EA318" s="3"/>
      <c r="EB318" s="3"/>
      <c r="EC318" s="3"/>
      <c r="ED318" s="3"/>
      <c r="EE318" s="3"/>
      <c r="EF318" s="3"/>
      <c r="EG318" s="3"/>
      <c r="EH318" s="3"/>
      <c r="EI318" s="3"/>
      <c r="EJ318" s="3"/>
      <c r="EK318" s="3"/>
      <c r="EL318" s="3"/>
      <c r="EM318" s="3"/>
      <c r="EN318" s="3"/>
      <c r="EO318" s="3"/>
      <c r="EP318" s="3"/>
      <c r="EQ318" s="3"/>
      <c r="ER318" s="3"/>
      <c r="ES318" s="3"/>
      <c r="ET318" s="3"/>
      <c r="EU318" s="3"/>
      <c r="EV318" s="3"/>
      <c r="EW318" s="3"/>
      <c r="EX318" s="3"/>
      <c r="EY318" s="3"/>
      <c r="EZ318" s="3"/>
      <c r="FA318" s="3"/>
      <c r="FB318" s="3"/>
      <c r="FC318" s="3"/>
      <c r="FD318" s="3"/>
      <c r="FE318" s="3"/>
      <c r="FF318" s="3"/>
      <c r="FG318" s="3"/>
      <c r="FH318" s="3"/>
      <c r="FI318" s="3"/>
      <c r="FJ318" s="3"/>
      <c r="FK318" s="3"/>
      <c r="FL318" s="3"/>
      <c r="FM318" s="3"/>
      <c r="FN318" s="3"/>
      <c r="FO318" s="3"/>
      <c r="FP318" s="3"/>
      <c r="FQ318" s="3"/>
      <c r="FR318" s="3"/>
      <c r="FS318" s="3"/>
      <c r="FT318" s="3"/>
      <c r="FU318" s="3"/>
      <c r="FV318" s="3"/>
      <c r="FW318" s="3"/>
      <c r="FX318" s="3"/>
      <c r="FY318" s="3"/>
      <c r="FZ318" s="3"/>
      <c r="GA318" s="3"/>
      <c r="GB318" s="3"/>
      <c r="GC318" s="3"/>
      <c r="GD318" s="3"/>
      <c r="GE318" s="3"/>
      <c r="GF318" s="3"/>
      <c r="GG318" s="3"/>
      <c r="GH318" s="3"/>
      <c r="GI318" s="3"/>
      <c r="GJ318" s="3"/>
      <c r="GK318" s="3"/>
      <c r="GL318" s="3"/>
      <c r="GM318" s="3"/>
      <c r="GN318" s="3"/>
      <c r="GO318" s="3"/>
      <c r="GP318" s="3"/>
      <c r="GQ318" s="3"/>
      <c r="GR318" s="3"/>
      <c r="GS318" s="3"/>
      <c r="GT318" s="3"/>
      <c r="GU318" s="3"/>
      <c r="GV318" s="3"/>
      <c r="GW318" s="3"/>
      <c r="GX318" s="3"/>
      <c r="GY318" s="3"/>
      <c r="GZ318" s="3"/>
      <c r="HA318" s="3"/>
      <c r="HB318" s="3"/>
      <c r="HC318" s="3"/>
      <c r="HD318" s="3"/>
      <c r="HE318" s="3"/>
      <c r="HF318" s="3"/>
      <c r="HG318" s="3"/>
      <c r="HH318" s="3"/>
      <c r="HI318" s="3"/>
      <c r="HJ318" s="3"/>
      <c r="HK318" s="3"/>
      <c r="HL318" s="3"/>
      <c r="HM318" s="3"/>
      <c r="HN318" s="3"/>
      <c r="HO318" s="3"/>
      <c r="HP318" s="3"/>
      <c r="HQ318" s="3"/>
      <c r="HR318" s="3"/>
      <c r="HS318" s="3"/>
      <c r="HT318" s="3"/>
      <c r="HU318" s="3"/>
      <c r="HV318" s="3"/>
      <c r="HW318" s="3"/>
      <c r="HX318" s="3"/>
      <c r="HY318" s="3"/>
      <c r="HZ318" s="3"/>
      <c r="IA318" s="3"/>
      <c r="IB318" s="3"/>
      <c r="IC318" s="3"/>
      <c r="ID318" s="3"/>
      <c r="IE318" s="3"/>
      <c r="IF318" s="3"/>
      <c r="IG318" s="3"/>
      <c r="IH318" s="3"/>
      <c r="II318" s="3"/>
      <c r="IJ318" s="3"/>
      <c r="IK318" s="3"/>
      <c r="IL318" s="3"/>
      <c r="IM318" s="3"/>
      <c r="IN318" s="3"/>
      <c r="IO318" s="3"/>
      <c r="IP318" s="3"/>
      <c r="IQ318" s="3"/>
      <c r="IR318" s="3"/>
      <c r="IS318" s="3"/>
      <c r="IT318" s="3"/>
      <c r="IU318" s="3"/>
      <c r="IV318" s="3"/>
      <c r="IW318" s="3"/>
      <c r="IX318" s="3"/>
      <c r="IY318" s="3"/>
      <c r="IZ318" s="3"/>
      <c r="JA318" s="3"/>
      <c r="JB318" s="3"/>
      <c r="JC318" s="3"/>
      <c r="JD318" s="3"/>
      <c r="JE318" s="3"/>
      <c r="JF318" s="3"/>
      <c r="JG318" s="3"/>
      <c r="JH318" s="3"/>
      <c r="JI318" s="3"/>
      <c r="JJ318" s="3"/>
      <c r="JK318" s="3"/>
      <c r="JL318" s="3"/>
      <c r="JM318" s="3"/>
      <c r="JN318" s="3"/>
      <c r="JO318" s="3"/>
      <c r="JP318" s="3"/>
      <c r="JQ318" s="3"/>
      <c r="JR318" s="3"/>
      <c r="JS318" s="3"/>
      <c r="JT318" s="3"/>
      <c r="JU318" s="3"/>
      <c r="JV318" s="3"/>
      <c r="JW318" s="3"/>
      <c r="JX318" s="3"/>
      <c r="JY318" s="3"/>
      <c r="JZ318" s="3"/>
      <c r="KA318" s="3"/>
      <c r="KB318" s="3"/>
      <c r="KC318" s="3"/>
      <c r="KD318" s="3"/>
      <c r="KE318" s="3"/>
      <c r="KF318" s="3"/>
      <c r="KG318" s="3"/>
      <c r="KH318" s="3"/>
      <c r="KI318" s="3"/>
      <c r="KJ318" s="3"/>
      <c r="KK318" s="3"/>
      <c r="KL318" s="3"/>
      <c r="KM318" s="3"/>
      <c r="KN318" s="3"/>
      <c r="KO318" s="3"/>
      <c r="KP318" s="3"/>
      <c r="KQ318" s="3"/>
      <c r="KR318" s="3"/>
      <c r="KS318" s="3"/>
      <c r="KT318" s="3"/>
      <c r="KU318" s="3"/>
      <c r="KV318" s="3"/>
      <c r="KW318" s="3"/>
      <c r="KX318" s="3"/>
      <c r="KY318" s="3"/>
      <c r="KZ318" s="3"/>
      <c r="LA318" s="3"/>
      <c r="LB318" s="3"/>
      <c r="LC318" s="3"/>
      <c r="LD318" s="3"/>
      <c r="LE318" s="3"/>
      <c r="LF318" s="3"/>
      <c r="LG318" s="3"/>
      <c r="LH318" s="3"/>
      <c r="LI318" s="3"/>
      <c r="LJ318" s="3"/>
      <c r="LK318" s="3"/>
      <c r="LL318" s="3"/>
      <c r="LM318" s="3"/>
      <c r="LN318" s="3"/>
      <c r="LO318" s="3"/>
      <c r="LP318" s="3"/>
      <c r="LQ318" s="3"/>
      <c r="LR318" s="3"/>
      <c r="LS318" s="3"/>
      <c r="LT318" s="3"/>
      <c r="LU318" s="3"/>
      <c r="LV318" s="3"/>
      <c r="LW318" s="3"/>
      <c r="LX318" s="3"/>
      <c r="LY318" s="3"/>
      <c r="LZ318" s="3"/>
      <c r="MA318" s="3"/>
      <c r="MB318" s="3"/>
      <c r="MC318" s="3"/>
      <c r="MD318" s="3"/>
      <c r="ME318" s="3"/>
      <c r="MF318" s="3"/>
      <c r="MG318" s="3"/>
      <c r="MH318" s="3"/>
      <c r="MI318" s="3"/>
      <c r="MJ318" s="3"/>
      <c r="MK318" s="3"/>
      <c r="ML318" s="3"/>
      <c r="MM318" s="3"/>
      <c r="MN318" s="3"/>
      <c r="MO318" s="3"/>
      <c r="MP318" s="3"/>
      <c r="MQ318" s="3"/>
      <c r="MR318" s="3"/>
      <c r="MS318" s="3"/>
      <c r="MT318" s="3"/>
      <c r="MU318" s="3"/>
      <c r="MV318" s="3"/>
      <c r="MW318" s="3"/>
      <c r="MX318" s="3"/>
      <c r="MY318" s="3"/>
      <c r="MZ318" s="3"/>
      <c r="NA318" s="3"/>
      <c r="NB318" s="3"/>
      <c r="NC318" s="3"/>
      <c r="ND318" s="3"/>
      <c r="NE318" s="3"/>
      <c r="NF318" s="3"/>
      <c r="NG318" s="3"/>
      <c r="NH318" s="3"/>
      <c r="NI318" s="3"/>
      <c r="NJ318" s="3"/>
      <c r="NK318" s="3"/>
      <c r="NL318" s="3"/>
      <c r="NM318" s="3"/>
      <c r="NN318" s="3"/>
      <c r="NO318" s="3"/>
      <c r="NP318" s="3"/>
      <c r="NQ318" s="3"/>
      <c r="NR318" s="3"/>
      <c r="NS318" s="3"/>
      <c r="NT318" s="3"/>
      <c r="NU318" s="3"/>
      <c r="NV318" s="3"/>
      <c r="NW318" s="3"/>
      <c r="NX318" s="3"/>
      <c r="NY318" s="3"/>
      <c r="NZ318" s="3"/>
      <c r="OA318" s="3"/>
      <c r="OB318" s="3"/>
      <c r="OC318" s="3"/>
      <c r="OD318" s="3"/>
      <c r="OE318" s="3"/>
      <c r="OF318" s="3"/>
      <c r="OG318" s="3"/>
      <c r="OH318" s="3"/>
      <c r="OI318" s="3"/>
      <c r="OJ318" s="3"/>
      <c r="OK318" s="3"/>
      <c r="OL318" s="3"/>
      <c r="OM318" s="3"/>
      <c r="ON318" s="3"/>
      <c r="OO318" s="3"/>
      <c r="OP318" s="3"/>
      <c r="OQ318" s="3"/>
      <c r="OR318" s="3"/>
      <c r="OS318" s="3"/>
      <c r="OT318" s="3"/>
      <c r="OU318" s="3"/>
      <c r="OV318" s="3"/>
      <c r="OW318" s="3"/>
      <c r="OX318" s="3"/>
      <c r="OY318" s="3"/>
      <c r="OZ318" s="3"/>
      <c r="PA318" s="3"/>
      <c r="PB318" s="3"/>
      <c r="PC318" s="3"/>
      <c r="PD318" s="3"/>
      <c r="PE318" s="3"/>
      <c r="PF318" s="3"/>
      <c r="PG318" s="3"/>
      <c r="PH318" s="3"/>
      <c r="PI318" s="3"/>
      <c r="PJ318" s="3"/>
      <c r="PK318" s="3"/>
      <c r="PL318" s="3"/>
      <c r="PM318" s="3"/>
      <c r="PN318" s="3"/>
      <c r="PO318" s="3"/>
      <c r="PP318" s="3"/>
      <c r="PQ318" s="3"/>
      <c r="PR318" s="3"/>
      <c r="PS318" s="3"/>
      <c r="PT318" s="3"/>
      <c r="PU318" s="3"/>
      <c r="PV318" s="3"/>
      <c r="PW318" s="3"/>
      <c r="PX318" s="3"/>
      <c r="PY318" s="3"/>
      <c r="PZ318" s="3"/>
      <c r="QA318" s="3"/>
      <c r="QB318" s="3"/>
      <c r="QC318" s="3"/>
      <c r="QD318" s="3"/>
      <c r="QE318" s="3"/>
      <c r="QF318" s="3"/>
      <c r="QG318" s="3"/>
      <c r="QH318" s="3"/>
      <c r="QI318" s="3"/>
      <c r="QJ318" s="3"/>
      <c r="QK318" s="3"/>
      <c r="QL318" s="3"/>
      <c r="QM318" s="3"/>
      <c r="QN318" s="3"/>
      <c r="QO318" s="3"/>
      <c r="QP318" s="3"/>
      <c r="QQ318" s="3"/>
      <c r="QR318" s="3"/>
      <c r="QS318" s="3"/>
      <c r="QT318" s="3"/>
      <c r="QU318" s="3"/>
      <c r="QV318" s="3"/>
      <c r="QW318" s="3"/>
      <c r="QX318" s="3"/>
      <c r="QY318" s="3"/>
      <c r="QZ318" s="3"/>
      <c r="RA318" s="3"/>
      <c r="RB318" s="3"/>
      <c r="RC318" s="3"/>
      <c r="RD318" s="3"/>
      <c r="RE318" s="3"/>
      <c r="RF318" s="3"/>
      <c r="RG318" s="3"/>
      <c r="RH318" s="3"/>
      <c r="RI318" s="3"/>
      <c r="RJ318" s="3"/>
      <c r="RK318" s="3"/>
      <c r="RL318" s="3"/>
      <c r="RM318" s="3"/>
      <c r="RN318" s="3"/>
      <c r="RO318" s="3"/>
      <c r="RP318" s="3"/>
      <c r="RQ318" s="3"/>
      <c r="RR318" s="3"/>
      <c r="RS318" s="3"/>
      <c r="RT318" s="3"/>
      <c r="RU318" s="3"/>
      <c r="RV318" s="3"/>
      <c r="RW318" s="3"/>
      <c r="RX318" s="3"/>
      <c r="RY318" s="3"/>
      <c r="RZ318" s="3"/>
      <c r="SA318" s="3"/>
      <c r="SB318" s="3"/>
      <c r="SC318" s="3"/>
      <c r="SD318" s="3"/>
      <c r="SE318" s="3"/>
      <c r="SF318" s="3"/>
      <c r="SG318" s="3"/>
      <c r="SH318" s="3"/>
      <c r="SI318" s="3"/>
      <c r="SJ318" s="3"/>
      <c r="SK318" s="3"/>
      <c r="SL318" s="3"/>
      <c r="SM318" s="3"/>
      <c r="SN318" s="3"/>
      <c r="SO318" s="3"/>
      <c r="SP318" s="3"/>
      <c r="SQ318" s="3"/>
      <c r="SR318" s="3"/>
      <c r="SS318" s="3"/>
      <c r="ST318" s="3"/>
      <c r="SU318" s="3"/>
      <c r="SV318" s="3"/>
      <c r="SW318" s="3"/>
      <c r="SX318" s="3"/>
      <c r="SY318" s="3"/>
      <c r="SZ318" s="3"/>
      <c r="TA318" s="3"/>
      <c r="TB318" s="3"/>
      <c r="TC318" s="3"/>
      <c r="TD318" s="3"/>
      <c r="TE318" s="3"/>
      <c r="TF318" s="3"/>
      <c r="TG318" s="3"/>
      <c r="TH318" s="3"/>
      <c r="TI318" s="3"/>
      <c r="TJ318" s="3"/>
      <c r="TK318" s="3"/>
      <c r="TL318" s="3"/>
      <c r="TM318" s="3"/>
      <c r="TN318" s="3"/>
      <c r="TO318" s="3"/>
      <c r="TP318" s="3"/>
      <c r="TQ318" s="3"/>
      <c r="TR318" s="3"/>
      <c r="TS318" s="3"/>
      <c r="TT318" s="3"/>
      <c r="TU318" s="3"/>
      <c r="TV318" s="3"/>
      <c r="TW318" s="3"/>
      <c r="TX318" s="3"/>
      <c r="TY318" s="3"/>
      <c r="TZ318" s="3"/>
      <c r="UA318" s="3"/>
      <c r="UB318" s="3"/>
      <c r="UC318" s="3"/>
      <c r="UD318" s="3"/>
      <c r="UE318" s="3"/>
      <c r="UF318" s="3"/>
      <c r="UG318" s="3"/>
      <c r="UH318" s="3"/>
      <c r="UI318" s="3"/>
      <c r="UJ318" s="3"/>
      <c r="UK318" s="3"/>
      <c r="UL318" s="3"/>
      <c r="UM318" s="3"/>
      <c r="UN318" s="3"/>
      <c r="UO318" s="3"/>
      <c r="UP318" s="3"/>
      <c r="UQ318" s="3"/>
      <c r="UR318" s="3"/>
      <c r="US318" s="3"/>
      <c r="UT318" s="3"/>
      <c r="UU318" s="3"/>
      <c r="UV318" s="3"/>
      <c r="UW318" s="3"/>
      <c r="UX318" s="3"/>
      <c r="UY318" s="3"/>
      <c r="UZ318" s="3"/>
      <c r="VA318" s="3"/>
      <c r="VB318" s="3"/>
      <c r="VC318" s="3"/>
      <c r="VD318" s="3"/>
      <c r="VE318" s="3"/>
      <c r="VF318" s="3"/>
      <c r="VG318" s="3"/>
      <c r="VH318" s="3"/>
      <c r="VI318" s="3"/>
      <c r="VJ318" s="3"/>
      <c r="VK318" s="3"/>
      <c r="VL318" s="3"/>
      <c r="VM318" s="3"/>
      <c r="VN318" s="3"/>
      <c r="VO318" s="3"/>
      <c r="VP318" s="3"/>
      <c r="VQ318" s="3"/>
      <c r="VR318" s="3"/>
      <c r="VS318" s="3"/>
      <c r="VT318" s="3"/>
      <c r="VU318" s="3"/>
      <c r="VV318" s="3"/>
      <c r="VW318" s="3"/>
      <c r="VX318" s="3"/>
      <c r="VY318" s="3"/>
      <c r="VZ318" s="3"/>
      <c r="WA318" s="3"/>
      <c r="WB318" s="3"/>
      <c r="WC318" s="3"/>
      <c r="WD318" s="3"/>
      <c r="WE318" s="3"/>
      <c r="WF318" s="3"/>
      <c r="WG318" s="3"/>
      <c r="WH318" s="3"/>
      <c r="WI318" s="3"/>
      <c r="WJ318" s="3"/>
      <c r="WK318" s="3"/>
      <c r="WL318" s="3"/>
      <c r="WM318" s="3"/>
      <c r="WN318" s="3"/>
      <c r="WO318" s="3"/>
      <c r="WP318" s="3"/>
      <c r="WQ318" s="3"/>
      <c r="WR318" s="3"/>
      <c r="WS318" s="3"/>
      <c r="WT318" s="3"/>
      <c r="WU318" s="3"/>
      <c r="WV318" s="3"/>
      <c r="WW318" s="3"/>
      <c r="WX318" s="3"/>
      <c r="WY318" s="3"/>
      <c r="WZ318" s="3"/>
      <c r="XA318" s="3"/>
      <c r="XB318" s="3"/>
      <c r="XC318" s="3"/>
      <c r="XD318" s="3"/>
      <c r="XE318" s="3"/>
      <c r="XF318" s="3"/>
      <c r="XG318" s="3"/>
      <c r="XH318" s="3"/>
      <c r="XI318" s="3"/>
      <c r="XJ318" s="3"/>
      <c r="XK318" s="3"/>
      <c r="XL318" s="3"/>
      <c r="XM318" s="3"/>
      <c r="XN318" s="3"/>
      <c r="XO318" s="3"/>
      <c r="XP318" s="3"/>
      <c r="XQ318" s="3"/>
      <c r="XR318" s="3"/>
      <c r="XS318" s="3"/>
      <c r="XT318" s="3"/>
      <c r="XU318" s="3"/>
      <c r="XV318" s="3"/>
      <c r="XW318" s="3"/>
      <c r="XX318" s="3"/>
      <c r="XY318" s="3"/>
      <c r="XZ318" s="3"/>
      <c r="YA318" s="3"/>
      <c r="YB318" s="3"/>
      <c r="YC318" s="3"/>
      <c r="YD318" s="3"/>
      <c r="YE318" s="3"/>
      <c r="YF318" s="3"/>
      <c r="YG318" s="3"/>
      <c r="YH318" s="3"/>
      <c r="YI318" s="3"/>
      <c r="YJ318" s="3"/>
      <c r="YK318" s="3"/>
      <c r="YL318" s="3"/>
      <c r="YM318" s="3"/>
      <c r="YN318" s="3"/>
      <c r="YO318" s="3"/>
      <c r="YP318" s="3"/>
      <c r="YQ318" s="3"/>
      <c r="YR318" s="3"/>
      <c r="YS318" s="3"/>
      <c r="YT318" s="3"/>
      <c r="YU318" s="3"/>
      <c r="YV318" s="3"/>
      <c r="YW318" s="3"/>
      <c r="YX318" s="3"/>
      <c r="YY318" s="3"/>
      <c r="YZ318" s="3"/>
      <c r="ZA318" s="3"/>
      <c r="ZB318" s="3"/>
      <c r="ZC318" s="3"/>
      <c r="ZD318" s="3"/>
      <c r="ZE318" s="3"/>
      <c r="ZF318" s="3"/>
      <c r="ZG318" s="3"/>
      <c r="ZH318" s="3"/>
      <c r="ZI318" s="3"/>
      <c r="ZJ318" s="3"/>
      <c r="ZK318" s="3"/>
      <c r="ZL318" s="3"/>
      <c r="ZM318" s="3"/>
      <c r="ZN318" s="3"/>
      <c r="ZO318" s="3"/>
      <c r="ZP318" s="3"/>
      <c r="ZQ318" s="3"/>
      <c r="ZR318" s="3"/>
      <c r="ZS318" s="3"/>
      <c r="ZT318" s="3"/>
      <c r="ZU318" s="3"/>
      <c r="ZV318" s="3"/>
      <c r="ZW318" s="3"/>
      <c r="ZX318" s="3"/>
      <c r="ZY318" s="3"/>
      <c r="ZZ318" s="3"/>
      <c r="AAA318" s="3"/>
      <c r="AAB318" s="3"/>
      <c r="AAC318" s="3"/>
      <c r="AAD318" s="3"/>
      <c r="AAE318" s="3"/>
      <c r="AAF318" s="3"/>
      <c r="AAG318" s="3"/>
      <c r="AAH318" s="3"/>
      <c r="AAI318" s="3"/>
      <c r="AAJ318" s="3"/>
      <c r="AAK318" s="3"/>
      <c r="AAL318" s="3"/>
      <c r="AAM318" s="3"/>
      <c r="AAN318" s="3"/>
      <c r="AAO318" s="3"/>
      <c r="AAP318" s="3"/>
      <c r="AAQ318" s="3"/>
      <c r="AAR318" s="3"/>
      <c r="AAS318" s="3"/>
      <c r="AAT318" s="3"/>
      <c r="AAU318" s="3"/>
      <c r="AAV318" s="3"/>
      <c r="AAW318" s="3"/>
      <c r="AAX318" s="3"/>
      <c r="AAY318" s="3"/>
      <c r="AAZ318" s="3"/>
      <c r="ABA318" s="3"/>
      <c r="ABB318" s="3"/>
      <c r="ABC318" s="3"/>
      <c r="ABD318" s="3"/>
      <c r="ABE318" s="3"/>
      <c r="ABF318" s="3"/>
      <c r="ABG318" s="3"/>
      <c r="ABH318" s="3"/>
      <c r="ABI318" s="3"/>
      <c r="ABJ318" s="3"/>
      <c r="ABK318" s="3"/>
      <c r="ABL318" s="3"/>
      <c r="ABM318" s="3"/>
      <c r="ABN318" s="3"/>
      <c r="ABO318" s="3"/>
      <c r="ABP318" s="3"/>
      <c r="ABQ318" s="3"/>
      <c r="ABR318" s="3"/>
      <c r="ABS318" s="3"/>
      <c r="ABT318" s="3"/>
      <c r="ABU318" s="3"/>
      <c r="ABV318" s="3"/>
      <c r="ABW318" s="3"/>
      <c r="ABX318" s="3"/>
      <c r="ABY318" s="3"/>
      <c r="ABZ318" s="3"/>
      <c r="ACA318" s="3"/>
      <c r="ACB318" s="3"/>
      <c r="ACC318" s="3"/>
      <c r="ACD318" s="3"/>
      <c r="ACE318" s="3"/>
      <c r="ACF318" s="3"/>
      <c r="ACG318" s="3"/>
      <c r="ACH318" s="3"/>
      <c r="ACI318" s="3"/>
      <c r="ACJ318" s="3"/>
      <c r="ACK318" s="3"/>
      <c r="ACL318" s="3"/>
      <c r="ACM318" s="3"/>
      <c r="ACN318" s="3"/>
      <c r="ACO318" s="3"/>
      <c r="ACP318" s="3"/>
      <c r="ACQ318" s="3"/>
      <c r="ACR318" s="3"/>
      <c r="ACS318" s="3"/>
      <c r="ACT318" s="3"/>
      <c r="ACU318" s="3"/>
      <c r="ACV318" s="3"/>
      <c r="ACW318" s="3"/>
      <c r="ACX318" s="3"/>
      <c r="ACY318" s="3"/>
      <c r="ACZ318" s="3"/>
      <c r="ADA318" s="3"/>
      <c r="ADB318" s="3"/>
      <c r="ADC318" s="3"/>
      <c r="ADD318" s="3"/>
      <c r="ADE318" s="3"/>
      <c r="ADF318" s="3"/>
      <c r="ADG318" s="3"/>
      <c r="ADH318" s="3"/>
      <c r="ADI318" s="3"/>
      <c r="ADJ318" s="3"/>
      <c r="ADK318" s="3"/>
      <c r="ADL318" s="3"/>
      <c r="ADM318" s="3"/>
      <c r="ADN318" s="3"/>
      <c r="ADO318" s="3"/>
      <c r="ADP318" s="3"/>
      <c r="ADQ318" s="3"/>
      <c r="ADR318" s="3"/>
      <c r="ADS318" s="3"/>
      <c r="ADT318" s="3"/>
      <c r="ADU318" s="3"/>
      <c r="ADV318" s="3"/>
      <c r="ADW318" s="3"/>
      <c r="ADX318" s="3"/>
      <c r="ADY318" s="3"/>
      <c r="ADZ318" s="3"/>
      <c r="AEA318" s="3"/>
      <c r="AEB318" s="3"/>
      <c r="AEC318" s="3"/>
      <c r="AED318" s="3"/>
      <c r="AEE318" s="3"/>
      <c r="AEF318" s="3"/>
      <c r="AEG318" s="3"/>
      <c r="AEH318" s="3"/>
      <c r="AEI318" s="3"/>
      <c r="AEJ318" s="3"/>
      <c r="AEK318" s="3"/>
      <c r="AEL318" s="3"/>
      <c r="AEM318" s="3"/>
      <c r="AEN318" s="3"/>
      <c r="AEO318" s="3"/>
      <c r="AEP318" s="3"/>
      <c r="AEQ318" s="3"/>
      <c r="AER318" s="3"/>
      <c r="AES318" s="3"/>
      <c r="AET318" s="3"/>
      <c r="AEU318" s="3"/>
      <c r="AEV318" s="3"/>
      <c r="AEW318" s="3"/>
      <c r="AEX318" s="3"/>
      <c r="AEY318" s="3"/>
      <c r="AEZ318" s="3"/>
      <c r="AFA318" s="3"/>
      <c r="AFB318" s="3"/>
      <c r="AFC318" s="3"/>
      <c r="AFD318" s="3"/>
      <c r="AFE318" s="3"/>
      <c r="AFF318" s="3"/>
      <c r="AFG318" s="3"/>
      <c r="AFH318" s="3"/>
      <c r="AFI318" s="3"/>
      <c r="AFJ318" s="3"/>
      <c r="AFK318" s="3"/>
      <c r="AFL318" s="3"/>
      <c r="AFM318" s="3"/>
      <c r="AFN318" s="3"/>
      <c r="AFO318" s="3"/>
      <c r="AFP318" s="3"/>
      <c r="AFQ318" s="3"/>
      <c r="AFR318" s="3"/>
      <c r="AFS318" s="3"/>
      <c r="AFT318" s="3"/>
      <c r="AFU318" s="3"/>
      <c r="AFV318" s="3"/>
      <c r="AFW318" s="3"/>
      <c r="AFX318" s="3"/>
      <c r="AFY318" s="3"/>
      <c r="AFZ318" s="3"/>
      <c r="AGA318" s="3"/>
      <c r="AGB318" s="3"/>
      <c r="AGC318" s="3"/>
      <c r="AGD318" s="3"/>
      <c r="AGE318" s="3"/>
      <c r="AGF318" s="3"/>
      <c r="AGG318" s="3"/>
      <c r="AGH318" s="3"/>
      <c r="AGI318" s="3"/>
      <c r="AGJ318" s="3"/>
      <c r="AGK318" s="3"/>
      <c r="AGL318" s="3"/>
      <c r="AGM318" s="3"/>
      <c r="AGN318" s="3"/>
      <c r="AGO318" s="3"/>
      <c r="AGP318" s="3"/>
      <c r="AGQ318" s="3"/>
      <c r="AGR318" s="3"/>
      <c r="AGS318" s="3"/>
      <c r="AGT318" s="3"/>
      <c r="AGU318" s="3"/>
      <c r="AGV318" s="3"/>
      <c r="AGW318" s="3"/>
      <c r="AGX318" s="3"/>
      <c r="AGY318" s="3"/>
      <c r="AGZ318" s="3"/>
      <c r="AHA318" s="3"/>
      <c r="AHB318" s="3"/>
      <c r="AHC318" s="3"/>
      <c r="AHD318" s="3"/>
      <c r="AHE318" s="3"/>
      <c r="AHF318" s="3"/>
      <c r="AHG318" s="3"/>
      <c r="AHH318" s="3"/>
      <c r="AHI318" s="3"/>
      <c r="AHJ318" s="3"/>
      <c r="AHK318" s="3"/>
      <c r="AHL318" s="3"/>
      <c r="AHM318" s="3"/>
      <c r="AHN318" s="3"/>
      <c r="AHO318" s="3"/>
      <c r="AHP318" s="3"/>
      <c r="AHQ318" s="3"/>
      <c r="AHR318" s="3"/>
      <c r="AHS318" s="3"/>
      <c r="AHT318" s="3"/>
      <c r="AHU318" s="3"/>
      <c r="AHV318" s="3"/>
      <c r="AHW318" s="3"/>
      <c r="AHX318" s="3"/>
      <c r="AHY318" s="3"/>
      <c r="AHZ318" s="3"/>
      <c r="AIA318" s="3"/>
      <c r="AIB318" s="3"/>
      <c r="AIC318" s="3"/>
      <c r="AID318" s="3"/>
      <c r="AIE318" s="3"/>
      <c r="AIF318" s="3"/>
      <c r="AIG318" s="3"/>
      <c r="AIH318" s="3"/>
      <c r="AII318" s="3"/>
      <c r="AIJ318" s="3"/>
      <c r="AIK318" s="3"/>
      <c r="AIL318" s="3"/>
      <c r="AIM318" s="3"/>
      <c r="AIN318" s="3"/>
      <c r="AIO318" s="3"/>
      <c r="AIP318" s="3"/>
      <c r="AIQ318" s="3"/>
      <c r="AIR318" s="3"/>
      <c r="AIS318" s="3"/>
      <c r="AIT318" s="3"/>
      <c r="AIU318" s="3"/>
      <c r="AIV318" s="3"/>
      <c r="AIW318" s="3"/>
      <c r="AIX318" s="3"/>
      <c r="AIY318" s="3"/>
      <c r="AIZ318" s="3"/>
      <c r="AJA318" s="3"/>
      <c r="AJB318" s="3"/>
      <c r="AJC318" s="3"/>
      <c r="AJD318" s="3"/>
      <c r="AJE318" s="3"/>
      <c r="AJF318" s="3"/>
      <c r="AJG318" s="3"/>
      <c r="AJH318" s="3"/>
      <c r="AJI318" s="3"/>
      <c r="AJJ318" s="3"/>
      <c r="AJK318" s="3"/>
      <c r="AJL318" s="3"/>
      <c r="AJM318" s="3"/>
      <c r="AJN318" s="3"/>
      <c r="AJO318" s="3"/>
      <c r="AJP318" s="3"/>
      <c r="AJQ318" s="3"/>
      <c r="AJR318" s="3"/>
      <c r="AJS318" s="3"/>
      <c r="AJT318" s="3"/>
      <c r="AJU318" s="3"/>
      <c r="AJV318" s="3"/>
      <c r="AJW318" s="3"/>
      <c r="AJX318" s="3"/>
      <c r="AJY318" s="3"/>
      <c r="AJZ318" s="3"/>
      <c r="AKA318" s="3"/>
      <c r="AKB318" s="3"/>
      <c r="AKC318" s="3"/>
      <c r="AKD318" s="3"/>
      <c r="AKE318" s="3"/>
      <c r="AKF318" s="3"/>
      <c r="AKG318" s="3"/>
      <c r="AKH318" s="3"/>
      <c r="AKI318" s="3"/>
      <c r="AKJ318" s="3"/>
      <c r="AKK318" s="3"/>
      <c r="AKL318" s="3"/>
      <c r="AKM318" s="3"/>
      <c r="AKN318" s="3"/>
      <c r="AKO318" s="3"/>
      <c r="AKP318" s="3"/>
      <c r="AKQ318" s="3"/>
      <c r="AKR318" s="3"/>
      <c r="AKS318" s="3"/>
      <c r="AKT318" s="3"/>
      <c r="AKU318" s="3"/>
      <c r="AKV318" s="3"/>
      <c r="AKW318" s="3"/>
      <c r="AKX318" s="3"/>
      <c r="AKY318" s="3"/>
      <c r="AKZ318" s="3"/>
      <c r="ALA318" s="3"/>
      <c r="ALB318" s="3"/>
      <c r="ALC318" s="3"/>
      <c r="ALD318" s="3"/>
      <c r="ALE318" s="3"/>
      <c r="ALF318" s="3"/>
      <c r="ALG318" s="3"/>
      <c r="ALH318" s="3"/>
      <c r="ALI318" s="3"/>
      <c r="ALJ318" s="3"/>
      <c r="ALK318" s="3"/>
      <c r="ALL318" s="3"/>
      <c r="ALM318" s="3"/>
      <c r="ALN318" s="3"/>
      <c r="ALO318" s="3"/>
      <c r="ALP318" s="3"/>
      <c r="ALQ318" s="3"/>
      <c r="ALR318" s="3"/>
      <c r="ALS318" s="3"/>
      <c r="ALT318" s="3"/>
      <c r="ALU318" s="3"/>
      <c r="ALV318" s="3"/>
      <c r="ALW318" s="3"/>
      <c r="ALX318" s="3"/>
      <c r="ALY318" s="3"/>
      <c r="ALZ318" s="3"/>
      <c r="AMA318" s="3"/>
      <c r="AMB318" s="3"/>
      <c r="AMC318" s="3"/>
      <c r="AMD318" s="3"/>
      <c r="AME318" s="3"/>
      <c r="AMF318" s="3"/>
      <c r="AMG318" s="3"/>
      <c r="AMH318" s="3"/>
      <c r="AMI318" s="3"/>
      <c r="AMJ318" s="3"/>
      <c r="AMK318" s="3"/>
      <c r="AML318" s="3"/>
      <c r="AMM318" s="3"/>
      <c r="AMN318" s="3"/>
      <c r="AMO318" s="3"/>
      <c r="AMP318" s="1"/>
    </row>
    <row r="319" spans="1:1030" s="6" customFormat="1" x14ac:dyDescent="0.2">
      <c r="A319" s="3" t="str">
        <f t="shared" si="1115"/>
        <v>smo_human_5L7D</v>
      </c>
      <c r="B319" s="3" t="s">
        <v>33</v>
      </c>
      <c r="C319" s="3" t="s">
        <v>1358</v>
      </c>
      <c r="D319" s="3" t="str">
        <f>IFERROR(MID(VLOOKUP($B319,Seqs!$A:$B,2,0),E319,1),"")</f>
        <v>T</v>
      </c>
      <c r="E319" s="105">
        <v>223</v>
      </c>
      <c r="F319" s="3" t="str">
        <f>IFERROR(MID(VLOOKUP($B319,Seqs!$A:$B,2,0),G319,1),"")</f>
        <v>D</v>
      </c>
      <c r="G319" s="3">
        <v>255</v>
      </c>
      <c r="H319" s="3" t="str">
        <f>IFERROR(MID(VLOOKUP($B319,Seqs!$A:$B,2,0),I319,1),"")</f>
        <v>W</v>
      </c>
      <c r="I319" s="23">
        <v>256</v>
      </c>
      <c r="J319" s="3" t="str">
        <f>IFERROR(MID(VLOOKUP($B319,Seqs!$A:$B,2,0),K319,1),"")</f>
        <v>N</v>
      </c>
      <c r="K319" s="23">
        <v>260</v>
      </c>
      <c r="L319" s="3" t="str">
        <f>IFERROR(MID(VLOOKUP($B319,Seqs!$A:$B,2,0),M319,1),"")</f>
        <v>R</v>
      </c>
      <c r="M319" s="3">
        <v>261</v>
      </c>
      <c r="N319" s="3" t="str">
        <f>IFERROR(MID(VLOOKUP($B319,Seqs!$A:$B,2,0),O319,1),"")</f>
        <v>F</v>
      </c>
      <c r="O319" s="3">
        <v>285</v>
      </c>
      <c r="P319" s="3" t="str">
        <f>IFERROR(MID(VLOOKUP($B319,Seqs!$A:$B,2,0),Q319,1),"")</f>
        <v/>
      </c>
      <c r="Q319" s="3" t="s">
        <v>23</v>
      </c>
      <c r="R319" s="3" t="str">
        <f>IFERROR(MID(VLOOKUP($B319,Seqs!$A:$B,2,0),S319,1),"")</f>
        <v/>
      </c>
      <c r="S319" s="3" t="s">
        <v>23</v>
      </c>
      <c r="T319" s="3" t="str">
        <f>IFERROR(MID(VLOOKUP($B319,Seqs!$A:$B,2,0),U319,1),"")</f>
        <v>L</v>
      </c>
      <c r="U319" s="3">
        <v>312</v>
      </c>
      <c r="V319" s="3" t="str">
        <f>IFERROR(MID(VLOOKUP($B319,Seqs!$A:$B,2,0),W319,1),"")</f>
        <v>L</v>
      </c>
      <c r="W319" s="3">
        <v>346</v>
      </c>
      <c r="X319" s="3" t="str">
        <f>IFERROR(MID(VLOOKUP($B319,Seqs!$A:$B,2,0),Y319,1),"")</f>
        <v/>
      </c>
      <c r="Y319" s="3" t="s">
        <v>23</v>
      </c>
      <c r="Z319" s="3" t="str">
        <f>IFERROR(MID(VLOOKUP($B319,Seqs!$A:$B,2,0),AA319,1),"")</f>
        <v/>
      </c>
      <c r="AA319" s="3" t="s">
        <v>23</v>
      </c>
      <c r="AB319" s="3" t="str">
        <f>IFERROR(MID(VLOOKUP($B319,Seqs!$A:$B,2,0),AC319,1),"")</f>
        <v>L</v>
      </c>
      <c r="AC319" s="9">
        <v>353</v>
      </c>
      <c r="AD319" s="3" t="str">
        <f>IFERROR(MID(VLOOKUP($B319,Seqs!$A:$B,2,0),AE319,1),"")</f>
        <v>V</v>
      </c>
      <c r="AE319" s="3">
        <v>378</v>
      </c>
      <c r="AF319" s="3" t="str">
        <f>IFERROR(MID(VLOOKUP($B319,Seqs!$A:$B,2,0),AG319,1),"")</f>
        <v>C</v>
      </c>
      <c r="AG319" s="3">
        <v>390</v>
      </c>
      <c r="AH319" s="3" t="str">
        <f>IFERROR(MID(VLOOKUP($B319,Seqs!$A:$B,2,0),AI319,1),"")</f>
        <v>V</v>
      </c>
      <c r="AI319" s="3">
        <v>392</v>
      </c>
      <c r="AJ319" s="3" t="str">
        <f>IFERROR(MID(VLOOKUP($B319,Seqs!$A:$B,2,0),AK319,1),"")</f>
        <v>N</v>
      </c>
      <c r="AK319" s="105">
        <v>396</v>
      </c>
      <c r="AL319" s="3" t="str">
        <f>IFERROR(MID(VLOOKUP($B319,Seqs!$A:$B,2,0),AM319,1),"")</f>
        <v>S</v>
      </c>
      <c r="AM319" s="3">
        <v>428</v>
      </c>
      <c r="AN319" s="3" t="str">
        <f>IFERROR(MID(VLOOKUP($B319,Seqs!$A:$B,2,0),AO319,1),"")</f>
        <v>E</v>
      </c>
      <c r="AO319" s="3">
        <v>447</v>
      </c>
      <c r="AP319" s="3" t="str">
        <f>IFERROR(MID(VLOOKUP($B319,Seqs!$A:$B,2,0),AQ319,1),"")</f>
        <v>I</v>
      </c>
      <c r="AQ319" s="3">
        <v>496</v>
      </c>
      <c r="AR319" s="3" t="str">
        <f>IFERROR(MID(VLOOKUP($B319,Seqs!$A:$B,2,0),AS319,1),"")</f>
        <v>S</v>
      </c>
      <c r="AS319" s="105">
        <v>514</v>
      </c>
      <c r="AT319" s="3" t="str">
        <f>IFERROR(MID(VLOOKUP($B319,Seqs!$A:$B,2,0),AU319,1),"")</f>
        <v>W</v>
      </c>
      <c r="AU319" s="3">
        <v>537</v>
      </c>
      <c r="AV319" s="3" t="str">
        <f>IFERROR(MID(VLOOKUP($B319,Seqs!$A:$B,2,0),AW319,1),"")</f>
        <v>T</v>
      </c>
      <c r="AW319" s="3">
        <v>538</v>
      </c>
      <c r="AX319" s="3" t="str">
        <f>IFERROR(MID(VLOOKUP($B319,Seqs!$A:$B,2,0),AY319,1),"")</f>
        <v>T</v>
      </c>
      <c r="AY319" s="3">
        <v>553</v>
      </c>
      <c r="AZ319" s="78" t="str">
        <f>VLOOKUP(B319,Classification!A:D,2,0)</f>
        <v>F</v>
      </c>
      <c r="BA319" s="94" t="str">
        <f>VLOOKUP(B319,Classification!A:D,4,0)</f>
        <v>Frizzled</v>
      </c>
      <c r="BB319" s="92" t="b">
        <f t="shared" si="1116"/>
        <v>1</v>
      </c>
      <c r="BC319" s="23">
        <f t="shared" si="1089"/>
        <v>252</v>
      </c>
      <c r="BD319" s="74" t="s">
        <v>1383</v>
      </c>
      <c r="BE319" s="3" t="s">
        <v>1381</v>
      </c>
      <c r="BF319" s="119">
        <v>3.2</v>
      </c>
      <c r="BG319" s="49" t="s">
        <v>1</v>
      </c>
      <c r="BH319" s="49" t="s">
        <v>1384</v>
      </c>
      <c r="BI319" s="3" t="s">
        <v>1367</v>
      </c>
      <c r="BJ319" s="75" t="s">
        <v>1293</v>
      </c>
      <c r="BK319" s="57" t="s">
        <v>1293</v>
      </c>
      <c r="BL319" s="57" t="s">
        <v>1293</v>
      </c>
      <c r="BM319" s="57" t="s">
        <v>1293</v>
      </c>
      <c r="BN319" s="57" t="s">
        <v>1293</v>
      </c>
      <c r="BO319" s="57" t="s">
        <v>1293</v>
      </c>
      <c r="BP319" s="57" t="s">
        <v>1293</v>
      </c>
      <c r="BQ319" s="57" t="s">
        <v>1293</v>
      </c>
      <c r="BR319" s="57" t="s">
        <v>1293</v>
      </c>
      <c r="BS319" s="57" t="s">
        <v>1293</v>
      </c>
      <c r="BT319" s="57" t="s">
        <v>1293</v>
      </c>
      <c r="BU319" s="57" t="s">
        <v>1293</v>
      </c>
      <c r="BV319" s="75">
        <f t="shared" si="1090"/>
        <v>223</v>
      </c>
      <c r="BW319" s="71">
        <f t="shared" si="1091"/>
        <v>256</v>
      </c>
      <c r="BX319" s="72">
        <f t="shared" si="1092"/>
        <v>261</v>
      </c>
      <c r="BY319" s="71" t="str">
        <f t="shared" si="1093"/>
        <v>-</v>
      </c>
      <c r="BZ319" s="72">
        <f t="shared" si="1094"/>
        <v>312</v>
      </c>
      <c r="CA319" s="71" t="str">
        <f t="shared" si="1095"/>
        <v>-</v>
      </c>
      <c r="CB319" s="72">
        <f t="shared" si="1096"/>
        <v>353</v>
      </c>
      <c r="CC319" s="71">
        <f t="shared" si="1097"/>
        <v>390</v>
      </c>
      <c r="CD319" s="72">
        <f t="shared" si="1098"/>
        <v>396</v>
      </c>
      <c r="CE319" s="71">
        <f t="shared" si="1099"/>
        <v>447</v>
      </c>
      <c r="CF319" s="72">
        <f t="shared" si="1100"/>
        <v>514</v>
      </c>
      <c r="CG319" s="71">
        <f t="shared" si="1101"/>
        <v>538</v>
      </c>
      <c r="CH319" s="75">
        <f t="shared" si="1102"/>
        <v>255</v>
      </c>
      <c r="CI319" s="71">
        <f t="shared" si="1103"/>
        <v>260</v>
      </c>
      <c r="CJ319" s="72">
        <f t="shared" si="1104"/>
        <v>285</v>
      </c>
      <c r="CK319" s="72" t="str">
        <f t="shared" si="1105"/>
        <v>-</v>
      </c>
      <c r="CL319" s="72">
        <f t="shared" si="1106"/>
        <v>346</v>
      </c>
      <c r="CM319" s="72" t="str">
        <f t="shared" si="1107"/>
        <v>-</v>
      </c>
      <c r="CN319" s="72">
        <f t="shared" si="1108"/>
        <v>378</v>
      </c>
      <c r="CO319" s="72">
        <f t="shared" si="1109"/>
        <v>392</v>
      </c>
      <c r="CP319" s="72">
        <f t="shared" si="1110"/>
        <v>428</v>
      </c>
      <c r="CQ319" s="72">
        <f t="shared" si="1111"/>
        <v>496</v>
      </c>
      <c r="CR319" s="72">
        <f t="shared" si="1112"/>
        <v>537</v>
      </c>
      <c r="CS319" s="72">
        <f t="shared" si="1113"/>
        <v>553</v>
      </c>
      <c r="CT319" s="23">
        <f t="shared" si="1114"/>
        <v>1</v>
      </c>
      <c r="CU319" s="3"/>
      <c r="CV319" s="3"/>
      <c r="CW319" s="3"/>
      <c r="CX319" s="3"/>
      <c r="CY319" s="3"/>
      <c r="CZ319" s="3"/>
      <c r="DA319" s="3"/>
      <c r="DB319" s="3"/>
      <c r="DC319" s="3"/>
      <c r="DD319" s="3"/>
      <c r="DE319" s="3"/>
      <c r="DF319" s="3"/>
      <c r="DG319" s="3"/>
      <c r="DH319" s="3"/>
      <c r="DI319" s="3"/>
      <c r="DJ319" s="3"/>
      <c r="DK319" s="3"/>
      <c r="DL319" s="3"/>
      <c r="DM319" s="3"/>
      <c r="DN319" s="3"/>
      <c r="DO319" s="3"/>
      <c r="DP319" s="3"/>
      <c r="DQ319" s="3"/>
      <c r="DR319" s="3"/>
      <c r="DS319" s="3"/>
      <c r="DT319" s="3"/>
      <c r="DU319" s="3"/>
      <c r="DV319" s="3"/>
      <c r="DW319" s="3"/>
      <c r="DX319" s="3"/>
      <c r="DY319" s="3"/>
      <c r="DZ319" s="3"/>
      <c r="EA319" s="3"/>
      <c r="EB319" s="3"/>
      <c r="EC319" s="3"/>
      <c r="ED319" s="3"/>
      <c r="EE319" s="3"/>
      <c r="EF319" s="3"/>
      <c r="EG319" s="3"/>
      <c r="EH319" s="3"/>
      <c r="EI319" s="3"/>
      <c r="EJ319" s="3"/>
      <c r="EK319" s="3"/>
      <c r="EL319" s="3"/>
      <c r="EM319" s="3"/>
      <c r="EN319" s="3"/>
      <c r="EO319" s="3"/>
      <c r="EP319" s="3"/>
      <c r="EQ319" s="3"/>
      <c r="ER319" s="3"/>
      <c r="ES319" s="3"/>
      <c r="ET319" s="3"/>
      <c r="EU319" s="3"/>
      <c r="EV319" s="3"/>
      <c r="EW319" s="3"/>
      <c r="EX319" s="3"/>
      <c r="EY319" s="3"/>
      <c r="EZ319" s="3"/>
      <c r="FA319" s="3"/>
      <c r="FB319" s="3"/>
      <c r="FC319" s="3"/>
      <c r="FD319" s="3"/>
      <c r="FE319" s="3"/>
      <c r="FF319" s="3"/>
      <c r="FG319" s="3"/>
      <c r="FH319" s="3"/>
      <c r="FI319" s="3"/>
      <c r="FJ319" s="3"/>
      <c r="FK319" s="3"/>
      <c r="FL319" s="3"/>
      <c r="FM319" s="3"/>
      <c r="FN319" s="3"/>
      <c r="FO319" s="3"/>
      <c r="FP319" s="3"/>
      <c r="FQ319" s="3"/>
      <c r="FR319" s="3"/>
      <c r="FS319" s="3"/>
      <c r="FT319" s="3"/>
      <c r="FU319" s="3"/>
      <c r="FV319" s="3"/>
      <c r="FW319" s="3"/>
      <c r="FX319" s="3"/>
      <c r="FY319" s="3"/>
      <c r="FZ319" s="3"/>
      <c r="GA319" s="3"/>
      <c r="GB319" s="3"/>
      <c r="GC319" s="3"/>
      <c r="GD319" s="3"/>
      <c r="GE319" s="3"/>
      <c r="GF319" s="3"/>
      <c r="GG319" s="3"/>
      <c r="GH319" s="3"/>
      <c r="GI319" s="3"/>
      <c r="GJ319" s="3"/>
      <c r="GK319" s="3"/>
      <c r="GL319" s="3"/>
      <c r="GM319" s="3"/>
      <c r="GN319" s="3"/>
      <c r="GO319" s="3"/>
      <c r="GP319" s="3"/>
      <c r="GQ319" s="3"/>
      <c r="GR319" s="3"/>
      <c r="GS319" s="3"/>
      <c r="GT319" s="3"/>
      <c r="GU319" s="3"/>
      <c r="GV319" s="3"/>
      <c r="GW319" s="3"/>
      <c r="GX319" s="3"/>
      <c r="GY319" s="3"/>
      <c r="GZ319" s="3"/>
      <c r="HA319" s="3"/>
      <c r="HB319" s="3"/>
      <c r="HC319" s="3"/>
      <c r="HD319" s="3"/>
      <c r="HE319" s="3"/>
      <c r="HF319" s="3"/>
      <c r="HG319" s="3"/>
      <c r="HH319" s="3"/>
      <c r="HI319" s="3"/>
      <c r="HJ319" s="3"/>
      <c r="HK319" s="3"/>
      <c r="HL319" s="3"/>
      <c r="HM319" s="3"/>
      <c r="HN319" s="3"/>
      <c r="HO319" s="3"/>
      <c r="HP319" s="3"/>
      <c r="HQ319" s="3"/>
      <c r="HR319" s="3"/>
      <c r="HS319" s="3"/>
      <c r="HT319" s="3"/>
      <c r="HU319" s="3"/>
      <c r="HV319" s="3"/>
      <c r="HW319" s="3"/>
      <c r="HX319" s="3"/>
      <c r="HY319" s="3"/>
      <c r="HZ319" s="3"/>
      <c r="IA319" s="3"/>
      <c r="IB319" s="3"/>
      <c r="IC319" s="3"/>
      <c r="ID319" s="3"/>
      <c r="IE319" s="3"/>
      <c r="IF319" s="3"/>
      <c r="IG319" s="3"/>
      <c r="IH319" s="3"/>
      <c r="II319" s="3"/>
      <c r="IJ319" s="3"/>
      <c r="IK319" s="3"/>
      <c r="IL319" s="3"/>
      <c r="IM319" s="3"/>
      <c r="IN319" s="3"/>
      <c r="IO319" s="3"/>
      <c r="IP319" s="3"/>
      <c r="IQ319" s="3"/>
      <c r="IR319" s="3"/>
      <c r="IS319" s="3"/>
      <c r="IT319" s="3"/>
      <c r="IU319" s="3"/>
      <c r="IV319" s="3"/>
      <c r="IW319" s="3"/>
      <c r="IX319" s="3"/>
      <c r="IY319" s="3"/>
      <c r="IZ319" s="3"/>
      <c r="JA319" s="3"/>
      <c r="JB319" s="3"/>
      <c r="JC319" s="3"/>
      <c r="JD319" s="3"/>
      <c r="JE319" s="3"/>
      <c r="JF319" s="3"/>
      <c r="JG319" s="3"/>
      <c r="JH319" s="3"/>
      <c r="JI319" s="3"/>
      <c r="JJ319" s="3"/>
      <c r="JK319" s="3"/>
      <c r="JL319" s="3"/>
      <c r="JM319" s="3"/>
      <c r="JN319" s="3"/>
      <c r="JO319" s="3"/>
      <c r="JP319" s="3"/>
      <c r="JQ319" s="3"/>
      <c r="JR319" s="3"/>
      <c r="JS319" s="3"/>
      <c r="JT319" s="3"/>
      <c r="JU319" s="3"/>
      <c r="JV319" s="3"/>
      <c r="JW319" s="3"/>
      <c r="JX319" s="3"/>
      <c r="JY319" s="3"/>
      <c r="JZ319" s="3"/>
      <c r="KA319" s="3"/>
      <c r="KB319" s="3"/>
      <c r="KC319" s="3"/>
      <c r="KD319" s="3"/>
      <c r="KE319" s="3"/>
      <c r="KF319" s="3"/>
      <c r="KG319" s="3"/>
      <c r="KH319" s="3"/>
      <c r="KI319" s="3"/>
      <c r="KJ319" s="3"/>
      <c r="KK319" s="3"/>
      <c r="KL319" s="3"/>
      <c r="KM319" s="3"/>
      <c r="KN319" s="3"/>
      <c r="KO319" s="3"/>
      <c r="KP319" s="3"/>
      <c r="KQ319" s="3"/>
      <c r="KR319" s="3"/>
      <c r="KS319" s="3"/>
      <c r="KT319" s="3"/>
      <c r="KU319" s="3"/>
      <c r="KV319" s="3"/>
      <c r="KW319" s="3"/>
      <c r="KX319" s="3"/>
      <c r="KY319" s="3"/>
      <c r="KZ319" s="3"/>
      <c r="LA319" s="3"/>
      <c r="LB319" s="3"/>
      <c r="LC319" s="3"/>
      <c r="LD319" s="3"/>
      <c r="LE319" s="3"/>
      <c r="LF319" s="3"/>
      <c r="LG319" s="3"/>
      <c r="LH319" s="3"/>
      <c r="LI319" s="3"/>
      <c r="LJ319" s="3"/>
      <c r="LK319" s="3"/>
      <c r="LL319" s="3"/>
      <c r="LM319" s="3"/>
      <c r="LN319" s="3"/>
      <c r="LO319" s="3"/>
      <c r="LP319" s="3"/>
      <c r="LQ319" s="3"/>
      <c r="LR319" s="3"/>
      <c r="LS319" s="3"/>
      <c r="LT319" s="3"/>
      <c r="LU319" s="3"/>
      <c r="LV319" s="3"/>
      <c r="LW319" s="3"/>
      <c r="LX319" s="3"/>
      <c r="LY319" s="3"/>
      <c r="LZ319" s="3"/>
      <c r="MA319" s="3"/>
      <c r="MB319" s="3"/>
      <c r="MC319" s="3"/>
      <c r="MD319" s="3"/>
      <c r="ME319" s="3"/>
      <c r="MF319" s="3"/>
      <c r="MG319" s="3"/>
      <c r="MH319" s="3"/>
      <c r="MI319" s="3"/>
      <c r="MJ319" s="3"/>
      <c r="MK319" s="3"/>
      <c r="ML319" s="3"/>
      <c r="MM319" s="3"/>
      <c r="MN319" s="3"/>
      <c r="MO319" s="3"/>
      <c r="MP319" s="3"/>
      <c r="MQ319" s="3"/>
      <c r="MR319" s="3"/>
      <c r="MS319" s="3"/>
      <c r="MT319" s="3"/>
      <c r="MU319" s="3"/>
      <c r="MV319" s="3"/>
      <c r="MW319" s="3"/>
      <c r="MX319" s="3"/>
      <c r="MY319" s="3"/>
      <c r="MZ319" s="3"/>
      <c r="NA319" s="3"/>
      <c r="NB319" s="3"/>
      <c r="NC319" s="3"/>
      <c r="ND319" s="3"/>
      <c r="NE319" s="3"/>
      <c r="NF319" s="3"/>
      <c r="NG319" s="3"/>
      <c r="NH319" s="3"/>
      <c r="NI319" s="3"/>
      <c r="NJ319" s="3"/>
      <c r="NK319" s="3"/>
      <c r="NL319" s="3"/>
      <c r="NM319" s="3"/>
      <c r="NN319" s="3"/>
      <c r="NO319" s="3"/>
      <c r="NP319" s="3"/>
      <c r="NQ319" s="3"/>
      <c r="NR319" s="3"/>
      <c r="NS319" s="3"/>
      <c r="NT319" s="3"/>
      <c r="NU319" s="3"/>
      <c r="NV319" s="3"/>
      <c r="NW319" s="3"/>
      <c r="NX319" s="3"/>
      <c r="NY319" s="3"/>
      <c r="NZ319" s="3"/>
      <c r="OA319" s="3"/>
      <c r="OB319" s="3"/>
      <c r="OC319" s="3"/>
      <c r="OD319" s="3"/>
      <c r="OE319" s="3"/>
      <c r="OF319" s="3"/>
      <c r="OG319" s="3"/>
      <c r="OH319" s="3"/>
      <c r="OI319" s="3"/>
      <c r="OJ319" s="3"/>
      <c r="OK319" s="3"/>
      <c r="OL319" s="3"/>
      <c r="OM319" s="3"/>
      <c r="ON319" s="3"/>
      <c r="OO319" s="3"/>
      <c r="OP319" s="3"/>
      <c r="OQ319" s="3"/>
      <c r="OR319" s="3"/>
      <c r="OS319" s="3"/>
      <c r="OT319" s="3"/>
      <c r="OU319" s="3"/>
      <c r="OV319" s="3"/>
      <c r="OW319" s="3"/>
      <c r="OX319" s="3"/>
      <c r="OY319" s="3"/>
      <c r="OZ319" s="3"/>
      <c r="PA319" s="3"/>
      <c r="PB319" s="3"/>
      <c r="PC319" s="3"/>
      <c r="PD319" s="3"/>
      <c r="PE319" s="3"/>
      <c r="PF319" s="3"/>
      <c r="PG319" s="3"/>
      <c r="PH319" s="3"/>
      <c r="PI319" s="3"/>
      <c r="PJ319" s="3"/>
      <c r="PK319" s="3"/>
      <c r="PL319" s="3"/>
      <c r="PM319" s="3"/>
      <c r="PN319" s="3"/>
      <c r="PO319" s="3"/>
      <c r="PP319" s="3"/>
      <c r="PQ319" s="3"/>
      <c r="PR319" s="3"/>
      <c r="PS319" s="3"/>
      <c r="PT319" s="3"/>
      <c r="PU319" s="3"/>
      <c r="PV319" s="3"/>
      <c r="PW319" s="3"/>
      <c r="PX319" s="3"/>
      <c r="PY319" s="3"/>
      <c r="PZ319" s="3"/>
      <c r="QA319" s="3"/>
      <c r="QB319" s="3"/>
      <c r="QC319" s="3"/>
      <c r="QD319" s="3"/>
      <c r="QE319" s="3"/>
      <c r="QF319" s="3"/>
      <c r="QG319" s="3"/>
      <c r="QH319" s="3"/>
      <c r="QI319" s="3"/>
      <c r="QJ319" s="3"/>
      <c r="QK319" s="3"/>
      <c r="QL319" s="3"/>
      <c r="QM319" s="3"/>
      <c r="QN319" s="3"/>
      <c r="QO319" s="3"/>
      <c r="QP319" s="3"/>
      <c r="QQ319" s="3"/>
      <c r="QR319" s="3"/>
      <c r="QS319" s="3"/>
      <c r="QT319" s="3"/>
      <c r="QU319" s="3"/>
      <c r="QV319" s="3"/>
      <c r="QW319" s="3"/>
      <c r="QX319" s="3"/>
      <c r="QY319" s="3"/>
      <c r="QZ319" s="3"/>
      <c r="RA319" s="3"/>
      <c r="RB319" s="3"/>
      <c r="RC319" s="3"/>
      <c r="RD319" s="3"/>
      <c r="RE319" s="3"/>
      <c r="RF319" s="3"/>
      <c r="RG319" s="3"/>
      <c r="RH319" s="3"/>
      <c r="RI319" s="3"/>
      <c r="RJ319" s="3"/>
      <c r="RK319" s="3"/>
      <c r="RL319" s="3"/>
      <c r="RM319" s="3"/>
      <c r="RN319" s="3"/>
      <c r="RO319" s="3"/>
      <c r="RP319" s="3"/>
      <c r="RQ319" s="3"/>
      <c r="RR319" s="3"/>
      <c r="RS319" s="3"/>
      <c r="RT319" s="3"/>
      <c r="RU319" s="3"/>
      <c r="RV319" s="3"/>
      <c r="RW319" s="3"/>
      <c r="RX319" s="3"/>
      <c r="RY319" s="3"/>
      <c r="RZ319" s="3"/>
      <c r="SA319" s="3"/>
      <c r="SB319" s="3"/>
      <c r="SC319" s="3"/>
      <c r="SD319" s="3"/>
      <c r="SE319" s="3"/>
      <c r="SF319" s="3"/>
      <c r="SG319" s="3"/>
      <c r="SH319" s="3"/>
      <c r="SI319" s="3"/>
      <c r="SJ319" s="3"/>
      <c r="SK319" s="3"/>
      <c r="SL319" s="3"/>
      <c r="SM319" s="3"/>
      <c r="SN319" s="3"/>
      <c r="SO319" s="3"/>
      <c r="SP319" s="3"/>
      <c r="SQ319" s="3"/>
      <c r="SR319" s="3"/>
      <c r="SS319" s="3"/>
      <c r="ST319" s="3"/>
      <c r="SU319" s="3"/>
      <c r="SV319" s="3"/>
      <c r="SW319" s="3"/>
      <c r="SX319" s="3"/>
      <c r="SY319" s="3"/>
      <c r="SZ319" s="3"/>
      <c r="TA319" s="3"/>
      <c r="TB319" s="3"/>
      <c r="TC319" s="3"/>
      <c r="TD319" s="3"/>
      <c r="TE319" s="3"/>
      <c r="TF319" s="3"/>
      <c r="TG319" s="3"/>
      <c r="TH319" s="3"/>
      <c r="TI319" s="3"/>
      <c r="TJ319" s="3"/>
      <c r="TK319" s="3"/>
      <c r="TL319" s="3"/>
      <c r="TM319" s="3"/>
      <c r="TN319" s="3"/>
      <c r="TO319" s="3"/>
      <c r="TP319" s="3"/>
      <c r="TQ319" s="3"/>
      <c r="TR319" s="3"/>
      <c r="TS319" s="3"/>
      <c r="TT319" s="3"/>
      <c r="TU319" s="3"/>
      <c r="TV319" s="3"/>
      <c r="TW319" s="3"/>
      <c r="TX319" s="3"/>
      <c r="TY319" s="3"/>
      <c r="TZ319" s="3"/>
      <c r="UA319" s="3"/>
      <c r="UB319" s="3"/>
      <c r="UC319" s="3"/>
      <c r="UD319" s="3"/>
      <c r="UE319" s="3"/>
      <c r="UF319" s="3"/>
      <c r="UG319" s="3"/>
      <c r="UH319" s="3"/>
      <c r="UI319" s="3"/>
      <c r="UJ319" s="3"/>
      <c r="UK319" s="3"/>
      <c r="UL319" s="3"/>
      <c r="UM319" s="3"/>
      <c r="UN319" s="3"/>
      <c r="UO319" s="3"/>
      <c r="UP319" s="3"/>
      <c r="UQ319" s="3"/>
      <c r="UR319" s="3"/>
      <c r="US319" s="3"/>
      <c r="UT319" s="3"/>
      <c r="UU319" s="3"/>
      <c r="UV319" s="3"/>
      <c r="UW319" s="3"/>
      <c r="UX319" s="3"/>
      <c r="UY319" s="3"/>
      <c r="UZ319" s="3"/>
      <c r="VA319" s="3"/>
      <c r="VB319" s="3"/>
      <c r="VC319" s="3"/>
      <c r="VD319" s="3"/>
      <c r="VE319" s="3"/>
      <c r="VF319" s="3"/>
      <c r="VG319" s="3"/>
      <c r="VH319" s="3"/>
      <c r="VI319" s="3"/>
      <c r="VJ319" s="3"/>
      <c r="VK319" s="3"/>
      <c r="VL319" s="3"/>
      <c r="VM319" s="3"/>
      <c r="VN319" s="3"/>
      <c r="VO319" s="3"/>
      <c r="VP319" s="3"/>
      <c r="VQ319" s="3"/>
      <c r="VR319" s="3"/>
      <c r="VS319" s="3"/>
      <c r="VT319" s="3"/>
      <c r="VU319" s="3"/>
      <c r="VV319" s="3"/>
      <c r="VW319" s="3"/>
      <c r="VX319" s="3"/>
      <c r="VY319" s="3"/>
      <c r="VZ319" s="3"/>
      <c r="WA319" s="3"/>
      <c r="WB319" s="3"/>
      <c r="WC319" s="3"/>
      <c r="WD319" s="3"/>
      <c r="WE319" s="3"/>
      <c r="WF319" s="3"/>
      <c r="WG319" s="3"/>
      <c r="WH319" s="3"/>
      <c r="WI319" s="3"/>
      <c r="WJ319" s="3"/>
      <c r="WK319" s="3"/>
      <c r="WL319" s="3"/>
      <c r="WM319" s="3"/>
      <c r="WN319" s="3"/>
      <c r="WO319" s="3"/>
      <c r="WP319" s="3"/>
      <c r="WQ319" s="3"/>
      <c r="WR319" s="3"/>
      <c r="WS319" s="3"/>
      <c r="WT319" s="3"/>
      <c r="WU319" s="3"/>
      <c r="WV319" s="3"/>
      <c r="WW319" s="3"/>
      <c r="WX319" s="3"/>
      <c r="WY319" s="3"/>
      <c r="WZ319" s="3"/>
      <c r="XA319" s="3"/>
      <c r="XB319" s="3"/>
      <c r="XC319" s="3"/>
      <c r="XD319" s="3"/>
      <c r="XE319" s="3"/>
      <c r="XF319" s="3"/>
      <c r="XG319" s="3"/>
      <c r="XH319" s="3"/>
      <c r="XI319" s="3"/>
      <c r="XJ319" s="3"/>
      <c r="XK319" s="3"/>
      <c r="XL319" s="3"/>
      <c r="XM319" s="3"/>
      <c r="XN319" s="3"/>
      <c r="XO319" s="3"/>
      <c r="XP319" s="3"/>
      <c r="XQ319" s="3"/>
      <c r="XR319" s="3"/>
      <c r="XS319" s="3"/>
      <c r="XT319" s="3"/>
      <c r="XU319" s="3"/>
      <c r="XV319" s="3"/>
      <c r="XW319" s="3"/>
      <c r="XX319" s="3"/>
      <c r="XY319" s="3"/>
      <c r="XZ319" s="3"/>
      <c r="YA319" s="3"/>
      <c r="YB319" s="3"/>
      <c r="YC319" s="3"/>
      <c r="YD319" s="3"/>
      <c r="YE319" s="3"/>
      <c r="YF319" s="3"/>
      <c r="YG319" s="3"/>
      <c r="YH319" s="3"/>
      <c r="YI319" s="3"/>
      <c r="YJ319" s="3"/>
      <c r="YK319" s="3"/>
      <c r="YL319" s="3"/>
      <c r="YM319" s="3"/>
      <c r="YN319" s="3"/>
      <c r="YO319" s="3"/>
      <c r="YP319" s="3"/>
      <c r="YQ319" s="3"/>
      <c r="YR319" s="3"/>
      <c r="YS319" s="3"/>
      <c r="YT319" s="3"/>
      <c r="YU319" s="3"/>
      <c r="YV319" s="3"/>
      <c r="YW319" s="3"/>
      <c r="YX319" s="3"/>
      <c r="YY319" s="3"/>
      <c r="YZ319" s="3"/>
      <c r="ZA319" s="3"/>
      <c r="ZB319" s="3"/>
      <c r="ZC319" s="3"/>
      <c r="ZD319" s="3"/>
      <c r="ZE319" s="3"/>
      <c r="ZF319" s="3"/>
      <c r="ZG319" s="3"/>
      <c r="ZH319" s="3"/>
      <c r="ZI319" s="3"/>
      <c r="ZJ319" s="3"/>
      <c r="ZK319" s="3"/>
      <c r="ZL319" s="3"/>
      <c r="ZM319" s="3"/>
      <c r="ZN319" s="3"/>
      <c r="ZO319" s="3"/>
      <c r="ZP319" s="3"/>
      <c r="ZQ319" s="3"/>
      <c r="ZR319" s="3"/>
      <c r="ZS319" s="3"/>
      <c r="ZT319" s="3"/>
      <c r="ZU319" s="3"/>
      <c r="ZV319" s="3"/>
      <c r="ZW319" s="3"/>
      <c r="ZX319" s="3"/>
      <c r="ZY319" s="3"/>
      <c r="ZZ319" s="3"/>
      <c r="AAA319" s="3"/>
      <c r="AAB319" s="3"/>
      <c r="AAC319" s="3"/>
      <c r="AAD319" s="3"/>
      <c r="AAE319" s="3"/>
      <c r="AAF319" s="3"/>
      <c r="AAG319" s="3"/>
      <c r="AAH319" s="3"/>
      <c r="AAI319" s="3"/>
      <c r="AAJ319" s="3"/>
      <c r="AAK319" s="3"/>
      <c r="AAL319" s="3"/>
      <c r="AAM319" s="3"/>
      <c r="AAN319" s="3"/>
      <c r="AAO319" s="3"/>
      <c r="AAP319" s="3"/>
      <c r="AAQ319" s="3"/>
      <c r="AAR319" s="3"/>
      <c r="AAS319" s="3"/>
      <c r="AAT319" s="3"/>
      <c r="AAU319" s="3"/>
      <c r="AAV319" s="3"/>
      <c r="AAW319" s="3"/>
      <c r="AAX319" s="3"/>
      <c r="AAY319" s="3"/>
      <c r="AAZ319" s="3"/>
      <c r="ABA319" s="3"/>
      <c r="ABB319" s="3"/>
      <c r="ABC319" s="3"/>
      <c r="ABD319" s="3"/>
      <c r="ABE319" s="3"/>
      <c r="ABF319" s="3"/>
      <c r="ABG319" s="3"/>
      <c r="ABH319" s="3"/>
      <c r="ABI319" s="3"/>
      <c r="ABJ319" s="3"/>
      <c r="ABK319" s="3"/>
      <c r="ABL319" s="3"/>
      <c r="ABM319" s="3"/>
      <c r="ABN319" s="3"/>
      <c r="ABO319" s="3"/>
      <c r="ABP319" s="3"/>
      <c r="ABQ319" s="3"/>
      <c r="ABR319" s="3"/>
      <c r="ABS319" s="3"/>
      <c r="ABT319" s="3"/>
      <c r="ABU319" s="3"/>
      <c r="ABV319" s="3"/>
      <c r="ABW319" s="3"/>
      <c r="ABX319" s="3"/>
      <c r="ABY319" s="3"/>
      <c r="ABZ319" s="3"/>
      <c r="ACA319" s="3"/>
      <c r="ACB319" s="3"/>
      <c r="ACC319" s="3"/>
      <c r="ACD319" s="3"/>
      <c r="ACE319" s="3"/>
      <c r="ACF319" s="3"/>
      <c r="ACG319" s="3"/>
      <c r="ACH319" s="3"/>
      <c r="ACI319" s="3"/>
      <c r="ACJ319" s="3"/>
      <c r="ACK319" s="3"/>
      <c r="ACL319" s="3"/>
      <c r="ACM319" s="3"/>
      <c r="ACN319" s="3"/>
      <c r="ACO319" s="3"/>
      <c r="ACP319" s="3"/>
      <c r="ACQ319" s="3"/>
      <c r="ACR319" s="3"/>
      <c r="ACS319" s="3"/>
      <c r="ACT319" s="3"/>
      <c r="ACU319" s="3"/>
      <c r="ACV319" s="3"/>
      <c r="ACW319" s="3"/>
      <c r="ACX319" s="3"/>
      <c r="ACY319" s="3"/>
      <c r="ACZ319" s="3"/>
      <c r="ADA319" s="3"/>
      <c r="ADB319" s="3"/>
      <c r="ADC319" s="3"/>
      <c r="ADD319" s="3"/>
      <c r="ADE319" s="3"/>
      <c r="ADF319" s="3"/>
      <c r="ADG319" s="3"/>
      <c r="ADH319" s="3"/>
      <c r="ADI319" s="3"/>
      <c r="ADJ319" s="3"/>
      <c r="ADK319" s="3"/>
      <c r="ADL319" s="3"/>
      <c r="ADM319" s="3"/>
      <c r="ADN319" s="3"/>
      <c r="ADO319" s="3"/>
      <c r="ADP319" s="3"/>
      <c r="ADQ319" s="3"/>
      <c r="ADR319" s="3"/>
      <c r="ADS319" s="3"/>
      <c r="ADT319" s="3"/>
      <c r="ADU319" s="3"/>
      <c r="ADV319" s="3"/>
      <c r="ADW319" s="3"/>
      <c r="ADX319" s="3"/>
      <c r="ADY319" s="3"/>
      <c r="ADZ319" s="3"/>
      <c r="AEA319" s="3"/>
      <c r="AEB319" s="3"/>
      <c r="AEC319" s="3"/>
      <c r="AED319" s="3"/>
      <c r="AEE319" s="3"/>
      <c r="AEF319" s="3"/>
      <c r="AEG319" s="3"/>
      <c r="AEH319" s="3"/>
      <c r="AEI319" s="3"/>
      <c r="AEJ319" s="3"/>
      <c r="AEK319" s="3"/>
      <c r="AEL319" s="3"/>
      <c r="AEM319" s="3"/>
      <c r="AEN319" s="3"/>
      <c r="AEO319" s="3"/>
      <c r="AEP319" s="3"/>
      <c r="AEQ319" s="3"/>
      <c r="AER319" s="3"/>
      <c r="AES319" s="3"/>
      <c r="AET319" s="3"/>
      <c r="AEU319" s="3"/>
      <c r="AEV319" s="3"/>
      <c r="AEW319" s="3"/>
      <c r="AEX319" s="3"/>
      <c r="AEY319" s="3"/>
      <c r="AEZ319" s="3"/>
      <c r="AFA319" s="3"/>
      <c r="AFB319" s="3"/>
      <c r="AFC319" s="3"/>
      <c r="AFD319" s="3"/>
      <c r="AFE319" s="3"/>
      <c r="AFF319" s="3"/>
      <c r="AFG319" s="3"/>
      <c r="AFH319" s="3"/>
      <c r="AFI319" s="3"/>
      <c r="AFJ319" s="3"/>
      <c r="AFK319" s="3"/>
      <c r="AFL319" s="3"/>
      <c r="AFM319" s="3"/>
      <c r="AFN319" s="3"/>
      <c r="AFO319" s="3"/>
      <c r="AFP319" s="3"/>
      <c r="AFQ319" s="3"/>
      <c r="AFR319" s="3"/>
      <c r="AFS319" s="3"/>
      <c r="AFT319" s="3"/>
      <c r="AFU319" s="3"/>
      <c r="AFV319" s="3"/>
      <c r="AFW319" s="3"/>
      <c r="AFX319" s="3"/>
      <c r="AFY319" s="3"/>
      <c r="AFZ319" s="3"/>
      <c r="AGA319" s="3"/>
      <c r="AGB319" s="3"/>
      <c r="AGC319" s="3"/>
      <c r="AGD319" s="3"/>
      <c r="AGE319" s="3"/>
      <c r="AGF319" s="3"/>
      <c r="AGG319" s="3"/>
      <c r="AGH319" s="3"/>
      <c r="AGI319" s="3"/>
      <c r="AGJ319" s="3"/>
      <c r="AGK319" s="3"/>
      <c r="AGL319" s="3"/>
      <c r="AGM319" s="3"/>
      <c r="AGN319" s="3"/>
      <c r="AGO319" s="3"/>
      <c r="AGP319" s="3"/>
      <c r="AGQ319" s="3"/>
      <c r="AGR319" s="3"/>
      <c r="AGS319" s="3"/>
      <c r="AGT319" s="3"/>
      <c r="AGU319" s="3"/>
      <c r="AGV319" s="3"/>
      <c r="AGW319" s="3"/>
      <c r="AGX319" s="3"/>
      <c r="AGY319" s="3"/>
      <c r="AGZ319" s="3"/>
      <c r="AHA319" s="3"/>
      <c r="AHB319" s="3"/>
      <c r="AHC319" s="3"/>
      <c r="AHD319" s="3"/>
      <c r="AHE319" s="3"/>
      <c r="AHF319" s="3"/>
      <c r="AHG319" s="3"/>
      <c r="AHH319" s="3"/>
      <c r="AHI319" s="3"/>
      <c r="AHJ319" s="3"/>
      <c r="AHK319" s="3"/>
      <c r="AHL319" s="3"/>
      <c r="AHM319" s="3"/>
      <c r="AHN319" s="3"/>
      <c r="AHO319" s="3"/>
      <c r="AHP319" s="3"/>
      <c r="AHQ319" s="3"/>
      <c r="AHR319" s="3"/>
      <c r="AHS319" s="3"/>
      <c r="AHT319" s="3"/>
      <c r="AHU319" s="3"/>
      <c r="AHV319" s="3"/>
      <c r="AHW319" s="3"/>
      <c r="AHX319" s="3"/>
      <c r="AHY319" s="3"/>
      <c r="AHZ319" s="3"/>
      <c r="AIA319" s="3"/>
      <c r="AIB319" s="3"/>
      <c r="AIC319" s="3"/>
      <c r="AID319" s="3"/>
      <c r="AIE319" s="3"/>
      <c r="AIF319" s="3"/>
      <c r="AIG319" s="3"/>
      <c r="AIH319" s="3"/>
      <c r="AII319" s="3"/>
      <c r="AIJ319" s="3"/>
      <c r="AIK319" s="3"/>
      <c r="AIL319" s="3"/>
      <c r="AIM319" s="3"/>
      <c r="AIN319" s="3"/>
      <c r="AIO319" s="3"/>
      <c r="AIP319" s="3"/>
      <c r="AIQ319" s="3"/>
      <c r="AIR319" s="3"/>
      <c r="AIS319" s="3"/>
      <c r="AIT319" s="3"/>
      <c r="AIU319" s="3"/>
      <c r="AIV319" s="3"/>
      <c r="AIW319" s="3"/>
      <c r="AIX319" s="3"/>
      <c r="AIY319" s="3"/>
      <c r="AIZ319" s="3"/>
      <c r="AJA319" s="3"/>
      <c r="AJB319" s="3"/>
      <c r="AJC319" s="3"/>
      <c r="AJD319" s="3"/>
      <c r="AJE319" s="3"/>
      <c r="AJF319" s="3"/>
      <c r="AJG319" s="3"/>
      <c r="AJH319" s="3"/>
      <c r="AJI319" s="3"/>
      <c r="AJJ319" s="3"/>
      <c r="AJK319" s="3"/>
      <c r="AJL319" s="3"/>
      <c r="AJM319" s="3"/>
      <c r="AJN319" s="3"/>
      <c r="AJO319" s="3"/>
      <c r="AJP319" s="3"/>
      <c r="AJQ319" s="3"/>
      <c r="AJR319" s="3"/>
      <c r="AJS319" s="3"/>
      <c r="AJT319" s="3"/>
      <c r="AJU319" s="3"/>
      <c r="AJV319" s="3"/>
      <c r="AJW319" s="3"/>
      <c r="AJX319" s="3"/>
      <c r="AJY319" s="3"/>
      <c r="AJZ319" s="3"/>
      <c r="AKA319" s="3"/>
      <c r="AKB319" s="3"/>
      <c r="AKC319" s="3"/>
      <c r="AKD319" s="3"/>
      <c r="AKE319" s="3"/>
      <c r="AKF319" s="3"/>
      <c r="AKG319" s="3"/>
      <c r="AKH319" s="3"/>
      <c r="AKI319" s="3"/>
      <c r="AKJ319" s="3"/>
      <c r="AKK319" s="3"/>
      <c r="AKL319" s="3"/>
      <c r="AKM319" s="3"/>
      <c r="AKN319" s="3"/>
      <c r="AKO319" s="3"/>
      <c r="AKP319" s="3"/>
      <c r="AKQ319" s="3"/>
      <c r="AKR319" s="3"/>
      <c r="AKS319" s="3"/>
      <c r="AKT319" s="3"/>
      <c r="AKU319" s="3"/>
      <c r="AKV319" s="3"/>
      <c r="AKW319" s="3"/>
      <c r="AKX319" s="3"/>
      <c r="AKY319" s="3"/>
      <c r="AKZ319" s="3"/>
      <c r="ALA319" s="3"/>
      <c r="ALB319" s="3"/>
      <c r="ALC319" s="3"/>
      <c r="ALD319" s="3"/>
      <c r="ALE319" s="3"/>
      <c r="ALF319" s="3"/>
      <c r="ALG319" s="3"/>
      <c r="ALH319" s="3"/>
      <c r="ALI319" s="3"/>
      <c r="ALJ319" s="3"/>
      <c r="ALK319" s="3"/>
      <c r="ALL319" s="3"/>
      <c r="ALM319" s="3"/>
      <c r="ALN319" s="3"/>
      <c r="ALO319" s="3"/>
      <c r="ALP319" s="3"/>
      <c r="ALQ319" s="3"/>
      <c r="ALR319" s="3"/>
      <c r="ALS319" s="3"/>
      <c r="ALT319" s="3"/>
      <c r="ALU319" s="3"/>
      <c r="ALV319" s="3"/>
      <c r="ALW319" s="3"/>
      <c r="ALX319" s="3"/>
      <c r="ALY319" s="3"/>
      <c r="ALZ319" s="3"/>
      <c r="AMA319" s="3"/>
      <c r="AMB319" s="3"/>
      <c r="AMC319" s="3"/>
      <c r="AMD319" s="3"/>
      <c r="AME319" s="3"/>
      <c r="AMF319" s="3"/>
      <c r="AMG319" s="3"/>
      <c r="AMH319" s="3"/>
      <c r="AMI319" s="3"/>
      <c r="AMJ319" s="3"/>
      <c r="AMK319" s="3"/>
      <c r="AML319" s="3"/>
      <c r="AMM319" s="3"/>
      <c r="AMN319" s="3"/>
      <c r="AMO319" s="3"/>
      <c r="AMP319" s="1"/>
    </row>
    <row r="320" spans="1:1030" s="6" customFormat="1" x14ac:dyDescent="0.2">
      <c r="A320" s="3" t="str">
        <f t="shared" si="1115"/>
        <v>smo_human_5L7I</v>
      </c>
      <c r="B320" s="3" t="s">
        <v>33</v>
      </c>
      <c r="C320" s="3" t="s">
        <v>1359</v>
      </c>
      <c r="D320" s="3" t="str">
        <f>IFERROR(MID(VLOOKUP($B320,Seqs!$A:$B,2,0),E320,1),"")</f>
        <v>T</v>
      </c>
      <c r="E320" s="105">
        <v>223</v>
      </c>
      <c r="F320" s="3" t="str">
        <f>IFERROR(MID(VLOOKUP($B320,Seqs!$A:$B,2,0),G320,1),"")</f>
        <v>D</v>
      </c>
      <c r="G320" s="3">
        <v>255</v>
      </c>
      <c r="H320" s="3" t="str">
        <f>IFERROR(MID(VLOOKUP($B320,Seqs!$A:$B,2,0),I320,1),"")</f>
        <v>W</v>
      </c>
      <c r="I320" s="23">
        <v>256</v>
      </c>
      <c r="J320" s="3" t="str">
        <f>IFERROR(MID(VLOOKUP($B320,Seqs!$A:$B,2,0),K320,1),"")</f>
        <v>N</v>
      </c>
      <c r="K320" s="23">
        <v>260</v>
      </c>
      <c r="L320" s="3" t="str">
        <f>IFERROR(MID(VLOOKUP($B320,Seqs!$A:$B,2,0),M320,1),"")</f>
        <v>R</v>
      </c>
      <c r="M320" s="3">
        <v>261</v>
      </c>
      <c r="N320" s="3" t="str">
        <f>IFERROR(MID(VLOOKUP($B320,Seqs!$A:$B,2,0),O320,1),"")</f>
        <v>F</v>
      </c>
      <c r="O320" s="3">
        <v>285</v>
      </c>
      <c r="P320" s="3" t="str">
        <f>IFERROR(MID(VLOOKUP($B320,Seqs!$A:$B,2,0),Q320,1),"")</f>
        <v/>
      </c>
      <c r="Q320" s="3" t="s">
        <v>23</v>
      </c>
      <c r="R320" s="3" t="str">
        <f>IFERROR(MID(VLOOKUP($B320,Seqs!$A:$B,2,0),S320,1),"")</f>
        <v/>
      </c>
      <c r="S320" s="3" t="s">
        <v>23</v>
      </c>
      <c r="T320" s="3" t="str">
        <f>IFERROR(MID(VLOOKUP($B320,Seqs!$A:$B,2,0),U320,1),"")</f>
        <v>L</v>
      </c>
      <c r="U320" s="3">
        <v>312</v>
      </c>
      <c r="V320" s="3" t="str">
        <f>IFERROR(MID(VLOOKUP($B320,Seqs!$A:$B,2,0),W320,1),"")</f>
        <v>L</v>
      </c>
      <c r="W320" s="3">
        <v>346</v>
      </c>
      <c r="X320" s="3" t="str">
        <f>IFERROR(MID(VLOOKUP($B320,Seqs!$A:$B,2,0),Y320,1),"")</f>
        <v/>
      </c>
      <c r="Y320" s="3" t="s">
        <v>23</v>
      </c>
      <c r="Z320" s="3" t="str">
        <f>IFERROR(MID(VLOOKUP($B320,Seqs!$A:$B,2,0),AA320,1),"")</f>
        <v/>
      </c>
      <c r="AA320" s="3" t="s">
        <v>23</v>
      </c>
      <c r="AB320" s="3" t="str">
        <f>IFERROR(MID(VLOOKUP($B320,Seqs!$A:$B,2,0),AC320,1),"")</f>
        <v>S</v>
      </c>
      <c r="AC320" s="9">
        <v>354</v>
      </c>
      <c r="AD320" s="3" t="str">
        <f>IFERROR(MID(VLOOKUP($B320,Seqs!$A:$B,2,0),AE320,1),"")</f>
        <v>V</v>
      </c>
      <c r="AE320" s="3">
        <v>378</v>
      </c>
      <c r="AF320" s="3" t="str">
        <f>IFERROR(MID(VLOOKUP($B320,Seqs!$A:$B,2,0),AG320,1),"")</f>
        <v>C</v>
      </c>
      <c r="AG320" s="3">
        <v>390</v>
      </c>
      <c r="AH320" s="3" t="str">
        <f>IFERROR(MID(VLOOKUP($B320,Seqs!$A:$B,2,0),AI320,1),"")</f>
        <v>V</v>
      </c>
      <c r="AI320" s="3">
        <v>392</v>
      </c>
      <c r="AJ320" s="3" t="str">
        <f>IFERROR(MID(VLOOKUP($B320,Seqs!$A:$B,2,0),AK320,1),"")</f>
        <v>N</v>
      </c>
      <c r="AK320" s="105">
        <v>396</v>
      </c>
      <c r="AL320" s="3" t="str">
        <f>IFERROR(MID(VLOOKUP($B320,Seqs!$A:$B,2,0),AM320,1),"")</f>
        <v>S</v>
      </c>
      <c r="AM320" s="3">
        <v>428</v>
      </c>
      <c r="AN320" s="3" t="str">
        <f>IFERROR(MID(VLOOKUP($B320,Seqs!$A:$B,2,0),AO320,1),"")</f>
        <v>E</v>
      </c>
      <c r="AO320" s="3">
        <v>447</v>
      </c>
      <c r="AP320" s="3" t="str">
        <f>IFERROR(MID(VLOOKUP($B320,Seqs!$A:$B,2,0),AQ320,1),"")</f>
        <v>N</v>
      </c>
      <c r="AQ320" s="3">
        <v>493</v>
      </c>
      <c r="AR320" s="3" t="str">
        <f>IFERROR(MID(VLOOKUP($B320,Seqs!$A:$B,2,0),AS320,1),"")</f>
        <v>S</v>
      </c>
      <c r="AS320" s="105">
        <v>514</v>
      </c>
      <c r="AT320" s="3" t="str">
        <f>IFERROR(MID(VLOOKUP($B320,Seqs!$A:$B,2,0),AU320,1),"")</f>
        <v>W</v>
      </c>
      <c r="AU320" s="3">
        <v>537</v>
      </c>
      <c r="AV320" s="3" t="str">
        <f>IFERROR(MID(VLOOKUP($B320,Seqs!$A:$B,2,0),AW320,1),"")</f>
        <v>T</v>
      </c>
      <c r="AW320" s="3">
        <v>538</v>
      </c>
      <c r="AX320" s="3" t="str">
        <f>IFERROR(MID(VLOOKUP($B320,Seqs!$A:$B,2,0),AY320,1),"")</f>
        <v>R</v>
      </c>
      <c r="AY320" s="3">
        <v>551</v>
      </c>
      <c r="AZ320" s="78" t="str">
        <f>VLOOKUP(B320,Classification!A:D,2,0)</f>
        <v>F</v>
      </c>
      <c r="BA320" s="94" t="str">
        <f>VLOOKUP(B320,Classification!A:D,4,0)</f>
        <v>Frizzled</v>
      </c>
      <c r="BB320" s="92" t="b">
        <f t="shared" si="1116"/>
        <v>1</v>
      </c>
      <c r="BC320" s="23">
        <f t="shared" si="1089"/>
        <v>246</v>
      </c>
      <c r="BD320" s="74" t="s">
        <v>23</v>
      </c>
      <c r="BE320" s="3" t="s">
        <v>1381</v>
      </c>
      <c r="BF320" s="119">
        <v>3.3</v>
      </c>
      <c r="BG320" s="49" t="s">
        <v>1287</v>
      </c>
      <c r="BH320" s="49" t="s">
        <v>1384</v>
      </c>
      <c r="BI320" s="3" t="s">
        <v>1368</v>
      </c>
      <c r="BJ320" s="75" t="s">
        <v>1293</v>
      </c>
      <c r="BK320" s="57" t="s">
        <v>1293</v>
      </c>
      <c r="BL320" s="57" t="s">
        <v>1293</v>
      </c>
      <c r="BM320" s="57" t="s">
        <v>1293</v>
      </c>
      <c r="BN320" s="57" t="s">
        <v>1293</v>
      </c>
      <c r="BO320" s="57" t="s">
        <v>1293</v>
      </c>
      <c r="BP320" s="57" t="s">
        <v>1293</v>
      </c>
      <c r="BQ320" s="57" t="s">
        <v>1293</v>
      </c>
      <c r="BR320" s="57" t="s">
        <v>1293</v>
      </c>
      <c r="BS320" s="57" t="s">
        <v>1293</v>
      </c>
      <c r="BT320" s="57" t="s">
        <v>1293</v>
      </c>
      <c r="BU320" s="57" t="s">
        <v>1293</v>
      </c>
      <c r="BV320" s="75">
        <f t="shared" si="1090"/>
        <v>223</v>
      </c>
      <c r="BW320" s="71">
        <f t="shared" si="1091"/>
        <v>256</v>
      </c>
      <c r="BX320" s="72">
        <f t="shared" si="1092"/>
        <v>261</v>
      </c>
      <c r="BY320" s="71" t="str">
        <f t="shared" si="1093"/>
        <v>-</v>
      </c>
      <c r="BZ320" s="72">
        <f t="shared" si="1094"/>
        <v>312</v>
      </c>
      <c r="CA320" s="71" t="str">
        <f t="shared" si="1095"/>
        <v>-</v>
      </c>
      <c r="CB320" s="72">
        <f t="shared" si="1096"/>
        <v>354</v>
      </c>
      <c r="CC320" s="71">
        <f t="shared" si="1097"/>
        <v>390</v>
      </c>
      <c r="CD320" s="72">
        <f t="shared" si="1098"/>
        <v>396</v>
      </c>
      <c r="CE320" s="71">
        <f t="shared" si="1099"/>
        <v>447</v>
      </c>
      <c r="CF320" s="72">
        <f t="shared" si="1100"/>
        <v>514</v>
      </c>
      <c r="CG320" s="71">
        <f t="shared" si="1101"/>
        <v>538</v>
      </c>
      <c r="CH320" s="75">
        <f t="shared" si="1102"/>
        <v>255</v>
      </c>
      <c r="CI320" s="71">
        <f t="shared" si="1103"/>
        <v>260</v>
      </c>
      <c r="CJ320" s="72">
        <f t="shared" si="1104"/>
        <v>285</v>
      </c>
      <c r="CK320" s="72" t="str">
        <f t="shared" si="1105"/>
        <v>-</v>
      </c>
      <c r="CL320" s="72">
        <f t="shared" si="1106"/>
        <v>346</v>
      </c>
      <c r="CM320" s="72" t="str">
        <f t="shared" si="1107"/>
        <v>-</v>
      </c>
      <c r="CN320" s="72">
        <f t="shared" si="1108"/>
        <v>378</v>
      </c>
      <c r="CO320" s="72">
        <f t="shared" si="1109"/>
        <v>392</v>
      </c>
      <c r="CP320" s="72">
        <f t="shared" si="1110"/>
        <v>428</v>
      </c>
      <c r="CQ320" s="72">
        <f t="shared" si="1111"/>
        <v>493</v>
      </c>
      <c r="CR320" s="72">
        <f t="shared" si="1112"/>
        <v>537</v>
      </c>
      <c r="CS320" s="72">
        <f t="shared" si="1113"/>
        <v>551</v>
      </c>
      <c r="CT320" s="23">
        <f t="shared" si="1114"/>
        <v>1</v>
      </c>
      <c r="CU320" s="3"/>
      <c r="CV320" s="3"/>
      <c r="CW320" s="3"/>
      <c r="CX320" s="3"/>
      <c r="CY320" s="3"/>
      <c r="CZ320" s="3"/>
      <c r="DA320" s="3"/>
      <c r="DB320" s="3"/>
      <c r="DC320" s="3"/>
      <c r="DD320" s="3"/>
      <c r="DE320" s="3"/>
      <c r="DF320" s="3"/>
      <c r="DG320" s="3"/>
      <c r="DH320" s="3"/>
      <c r="DI320" s="3"/>
      <c r="DJ320" s="3"/>
      <c r="DK320" s="3"/>
      <c r="DL320" s="3"/>
      <c r="DM320" s="3"/>
      <c r="DN320" s="3"/>
      <c r="DO320" s="3"/>
      <c r="DP320" s="3"/>
      <c r="DQ320" s="3"/>
      <c r="DR320" s="3"/>
      <c r="DS320" s="3"/>
      <c r="DT320" s="3"/>
      <c r="DU320" s="3"/>
      <c r="DV320" s="3"/>
      <c r="DW320" s="3"/>
      <c r="DX320" s="3"/>
      <c r="DY320" s="3"/>
      <c r="DZ320" s="3"/>
      <c r="EA320" s="3"/>
      <c r="EB320" s="3"/>
      <c r="EC320" s="3"/>
      <c r="ED320" s="3"/>
      <c r="EE320" s="3"/>
      <c r="EF320" s="3"/>
      <c r="EG320" s="3"/>
      <c r="EH320" s="3"/>
      <c r="EI320" s="3"/>
      <c r="EJ320" s="3"/>
      <c r="EK320" s="3"/>
      <c r="EL320" s="3"/>
      <c r="EM320" s="3"/>
      <c r="EN320" s="3"/>
      <c r="EO320" s="3"/>
      <c r="EP320" s="3"/>
      <c r="EQ320" s="3"/>
      <c r="ER320" s="3"/>
      <c r="ES320" s="3"/>
      <c r="ET320" s="3"/>
      <c r="EU320" s="3"/>
      <c r="EV320" s="3"/>
      <c r="EW320" s="3"/>
      <c r="EX320" s="3"/>
      <c r="EY320" s="3"/>
      <c r="EZ320" s="3"/>
      <c r="FA320" s="3"/>
      <c r="FB320" s="3"/>
      <c r="FC320" s="3"/>
      <c r="FD320" s="3"/>
      <c r="FE320" s="3"/>
      <c r="FF320" s="3"/>
      <c r="FG320" s="3"/>
      <c r="FH320" s="3"/>
      <c r="FI320" s="3"/>
      <c r="FJ320" s="3"/>
      <c r="FK320" s="3"/>
      <c r="FL320" s="3"/>
      <c r="FM320" s="3"/>
      <c r="FN320" s="3"/>
      <c r="FO320" s="3"/>
      <c r="FP320" s="3"/>
      <c r="FQ320" s="3"/>
      <c r="FR320" s="3"/>
      <c r="FS320" s="3"/>
      <c r="FT320" s="3"/>
      <c r="FU320" s="3"/>
      <c r="FV320" s="3"/>
      <c r="FW320" s="3"/>
      <c r="FX320" s="3"/>
      <c r="FY320" s="3"/>
      <c r="FZ320" s="3"/>
      <c r="GA320" s="3"/>
      <c r="GB320" s="3"/>
      <c r="GC320" s="3"/>
      <c r="GD320" s="3"/>
      <c r="GE320" s="3"/>
      <c r="GF320" s="3"/>
      <c r="GG320" s="3"/>
      <c r="GH320" s="3"/>
      <c r="GI320" s="3"/>
      <c r="GJ320" s="3"/>
      <c r="GK320" s="3"/>
      <c r="GL320" s="3"/>
      <c r="GM320" s="3"/>
      <c r="GN320" s="3"/>
      <c r="GO320" s="3"/>
      <c r="GP320" s="3"/>
      <c r="GQ320" s="3"/>
      <c r="GR320" s="3"/>
      <c r="GS320" s="3"/>
      <c r="GT320" s="3"/>
      <c r="GU320" s="3"/>
      <c r="GV320" s="3"/>
      <c r="GW320" s="3"/>
      <c r="GX320" s="3"/>
      <c r="GY320" s="3"/>
      <c r="GZ320" s="3"/>
      <c r="HA320" s="3"/>
      <c r="HB320" s="3"/>
      <c r="HC320" s="3"/>
      <c r="HD320" s="3"/>
      <c r="HE320" s="3"/>
      <c r="HF320" s="3"/>
      <c r="HG320" s="3"/>
      <c r="HH320" s="3"/>
      <c r="HI320" s="3"/>
      <c r="HJ320" s="3"/>
      <c r="HK320" s="3"/>
      <c r="HL320" s="3"/>
      <c r="HM320" s="3"/>
      <c r="HN320" s="3"/>
      <c r="HO320" s="3"/>
      <c r="HP320" s="3"/>
      <c r="HQ320" s="3"/>
      <c r="HR320" s="3"/>
      <c r="HS320" s="3"/>
      <c r="HT320" s="3"/>
      <c r="HU320" s="3"/>
      <c r="HV320" s="3"/>
      <c r="HW320" s="3"/>
      <c r="HX320" s="3"/>
      <c r="HY320" s="3"/>
      <c r="HZ320" s="3"/>
      <c r="IA320" s="3"/>
      <c r="IB320" s="3"/>
      <c r="IC320" s="3"/>
      <c r="ID320" s="3"/>
      <c r="IE320" s="3"/>
      <c r="IF320" s="3"/>
      <c r="IG320" s="3"/>
      <c r="IH320" s="3"/>
      <c r="II320" s="3"/>
      <c r="IJ320" s="3"/>
      <c r="IK320" s="3"/>
      <c r="IL320" s="3"/>
      <c r="IM320" s="3"/>
      <c r="IN320" s="3"/>
      <c r="IO320" s="3"/>
      <c r="IP320" s="3"/>
      <c r="IQ320" s="3"/>
      <c r="IR320" s="3"/>
      <c r="IS320" s="3"/>
      <c r="IT320" s="3"/>
      <c r="IU320" s="3"/>
      <c r="IV320" s="3"/>
      <c r="IW320" s="3"/>
      <c r="IX320" s="3"/>
      <c r="IY320" s="3"/>
      <c r="IZ320" s="3"/>
      <c r="JA320" s="3"/>
      <c r="JB320" s="3"/>
      <c r="JC320" s="3"/>
      <c r="JD320" s="3"/>
      <c r="JE320" s="3"/>
      <c r="JF320" s="3"/>
      <c r="JG320" s="3"/>
      <c r="JH320" s="3"/>
      <c r="JI320" s="3"/>
      <c r="JJ320" s="3"/>
      <c r="JK320" s="3"/>
      <c r="JL320" s="3"/>
      <c r="JM320" s="3"/>
      <c r="JN320" s="3"/>
      <c r="JO320" s="3"/>
      <c r="JP320" s="3"/>
      <c r="JQ320" s="3"/>
      <c r="JR320" s="3"/>
      <c r="JS320" s="3"/>
      <c r="JT320" s="3"/>
      <c r="JU320" s="3"/>
      <c r="JV320" s="3"/>
      <c r="JW320" s="3"/>
      <c r="JX320" s="3"/>
      <c r="JY320" s="3"/>
      <c r="JZ320" s="3"/>
      <c r="KA320" s="3"/>
      <c r="KB320" s="3"/>
      <c r="KC320" s="3"/>
      <c r="KD320" s="3"/>
      <c r="KE320" s="3"/>
      <c r="KF320" s="3"/>
      <c r="KG320" s="3"/>
      <c r="KH320" s="3"/>
      <c r="KI320" s="3"/>
      <c r="KJ320" s="3"/>
      <c r="KK320" s="3"/>
      <c r="KL320" s="3"/>
      <c r="KM320" s="3"/>
      <c r="KN320" s="3"/>
      <c r="KO320" s="3"/>
      <c r="KP320" s="3"/>
      <c r="KQ320" s="3"/>
      <c r="KR320" s="3"/>
      <c r="KS320" s="3"/>
      <c r="KT320" s="3"/>
      <c r="KU320" s="3"/>
      <c r="KV320" s="3"/>
      <c r="KW320" s="3"/>
      <c r="KX320" s="3"/>
      <c r="KY320" s="3"/>
      <c r="KZ320" s="3"/>
      <c r="LA320" s="3"/>
      <c r="LB320" s="3"/>
      <c r="LC320" s="3"/>
      <c r="LD320" s="3"/>
      <c r="LE320" s="3"/>
      <c r="LF320" s="3"/>
      <c r="LG320" s="3"/>
      <c r="LH320" s="3"/>
      <c r="LI320" s="3"/>
      <c r="LJ320" s="3"/>
      <c r="LK320" s="3"/>
      <c r="LL320" s="3"/>
      <c r="LM320" s="3"/>
      <c r="LN320" s="3"/>
      <c r="LO320" s="3"/>
      <c r="LP320" s="3"/>
      <c r="LQ320" s="3"/>
      <c r="LR320" s="3"/>
      <c r="LS320" s="3"/>
      <c r="LT320" s="3"/>
      <c r="LU320" s="3"/>
      <c r="LV320" s="3"/>
      <c r="LW320" s="3"/>
      <c r="LX320" s="3"/>
      <c r="LY320" s="3"/>
      <c r="LZ320" s="3"/>
      <c r="MA320" s="3"/>
      <c r="MB320" s="3"/>
      <c r="MC320" s="3"/>
      <c r="MD320" s="3"/>
      <c r="ME320" s="3"/>
      <c r="MF320" s="3"/>
      <c r="MG320" s="3"/>
      <c r="MH320" s="3"/>
      <c r="MI320" s="3"/>
      <c r="MJ320" s="3"/>
      <c r="MK320" s="3"/>
      <c r="ML320" s="3"/>
      <c r="MM320" s="3"/>
      <c r="MN320" s="3"/>
      <c r="MO320" s="3"/>
      <c r="MP320" s="3"/>
      <c r="MQ320" s="3"/>
      <c r="MR320" s="3"/>
      <c r="MS320" s="3"/>
      <c r="MT320" s="3"/>
      <c r="MU320" s="3"/>
      <c r="MV320" s="3"/>
      <c r="MW320" s="3"/>
      <c r="MX320" s="3"/>
      <c r="MY320" s="3"/>
      <c r="MZ320" s="3"/>
      <c r="NA320" s="3"/>
      <c r="NB320" s="3"/>
      <c r="NC320" s="3"/>
      <c r="ND320" s="3"/>
      <c r="NE320" s="3"/>
      <c r="NF320" s="3"/>
      <c r="NG320" s="3"/>
      <c r="NH320" s="3"/>
      <c r="NI320" s="3"/>
      <c r="NJ320" s="3"/>
      <c r="NK320" s="3"/>
      <c r="NL320" s="3"/>
      <c r="NM320" s="3"/>
      <c r="NN320" s="3"/>
      <c r="NO320" s="3"/>
      <c r="NP320" s="3"/>
      <c r="NQ320" s="3"/>
      <c r="NR320" s="3"/>
      <c r="NS320" s="3"/>
      <c r="NT320" s="3"/>
      <c r="NU320" s="3"/>
      <c r="NV320" s="3"/>
      <c r="NW320" s="3"/>
      <c r="NX320" s="3"/>
      <c r="NY320" s="3"/>
      <c r="NZ320" s="3"/>
      <c r="OA320" s="3"/>
      <c r="OB320" s="3"/>
      <c r="OC320" s="3"/>
      <c r="OD320" s="3"/>
      <c r="OE320" s="3"/>
      <c r="OF320" s="3"/>
      <c r="OG320" s="3"/>
      <c r="OH320" s="3"/>
      <c r="OI320" s="3"/>
      <c r="OJ320" s="3"/>
      <c r="OK320" s="3"/>
      <c r="OL320" s="3"/>
      <c r="OM320" s="3"/>
      <c r="ON320" s="3"/>
      <c r="OO320" s="3"/>
      <c r="OP320" s="3"/>
      <c r="OQ320" s="3"/>
      <c r="OR320" s="3"/>
      <c r="OS320" s="3"/>
      <c r="OT320" s="3"/>
      <c r="OU320" s="3"/>
      <c r="OV320" s="3"/>
      <c r="OW320" s="3"/>
      <c r="OX320" s="3"/>
      <c r="OY320" s="3"/>
      <c r="OZ320" s="3"/>
      <c r="PA320" s="3"/>
      <c r="PB320" s="3"/>
      <c r="PC320" s="3"/>
      <c r="PD320" s="3"/>
      <c r="PE320" s="3"/>
      <c r="PF320" s="3"/>
      <c r="PG320" s="3"/>
      <c r="PH320" s="3"/>
      <c r="PI320" s="3"/>
      <c r="PJ320" s="3"/>
      <c r="PK320" s="3"/>
      <c r="PL320" s="3"/>
      <c r="PM320" s="3"/>
      <c r="PN320" s="3"/>
      <c r="PO320" s="3"/>
      <c r="PP320" s="3"/>
      <c r="PQ320" s="3"/>
      <c r="PR320" s="3"/>
      <c r="PS320" s="3"/>
      <c r="PT320" s="3"/>
      <c r="PU320" s="3"/>
      <c r="PV320" s="3"/>
      <c r="PW320" s="3"/>
      <c r="PX320" s="3"/>
      <c r="PY320" s="3"/>
      <c r="PZ320" s="3"/>
      <c r="QA320" s="3"/>
      <c r="QB320" s="3"/>
      <c r="QC320" s="3"/>
      <c r="QD320" s="3"/>
      <c r="QE320" s="3"/>
      <c r="QF320" s="3"/>
      <c r="QG320" s="3"/>
      <c r="QH320" s="3"/>
      <c r="QI320" s="3"/>
      <c r="QJ320" s="3"/>
      <c r="QK320" s="3"/>
      <c r="QL320" s="3"/>
      <c r="QM320" s="3"/>
      <c r="QN320" s="3"/>
      <c r="QO320" s="3"/>
      <c r="QP320" s="3"/>
      <c r="QQ320" s="3"/>
      <c r="QR320" s="3"/>
      <c r="QS320" s="3"/>
      <c r="QT320" s="3"/>
      <c r="QU320" s="3"/>
      <c r="QV320" s="3"/>
      <c r="QW320" s="3"/>
      <c r="QX320" s="3"/>
      <c r="QY320" s="3"/>
      <c r="QZ320" s="3"/>
      <c r="RA320" s="3"/>
      <c r="RB320" s="3"/>
      <c r="RC320" s="3"/>
      <c r="RD320" s="3"/>
      <c r="RE320" s="3"/>
      <c r="RF320" s="3"/>
      <c r="RG320" s="3"/>
      <c r="RH320" s="3"/>
      <c r="RI320" s="3"/>
      <c r="RJ320" s="3"/>
      <c r="RK320" s="3"/>
      <c r="RL320" s="3"/>
      <c r="RM320" s="3"/>
      <c r="RN320" s="3"/>
      <c r="RO320" s="3"/>
      <c r="RP320" s="3"/>
      <c r="RQ320" s="3"/>
      <c r="RR320" s="3"/>
      <c r="RS320" s="3"/>
      <c r="RT320" s="3"/>
      <c r="RU320" s="3"/>
      <c r="RV320" s="3"/>
      <c r="RW320" s="3"/>
      <c r="RX320" s="3"/>
      <c r="RY320" s="3"/>
      <c r="RZ320" s="3"/>
      <c r="SA320" s="3"/>
      <c r="SB320" s="3"/>
      <c r="SC320" s="3"/>
      <c r="SD320" s="3"/>
      <c r="SE320" s="3"/>
      <c r="SF320" s="3"/>
      <c r="SG320" s="3"/>
      <c r="SH320" s="3"/>
      <c r="SI320" s="3"/>
      <c r="SJ320" s="3"/>
      <c r="SK320" s="3"/>
      <c r="SL320" s="3"/>
      <c r="SM320" s="3"/>
      <c r="SN320" s="3"/>
      <c r="SO320" s="3"/>
      <c r="SP320" s="3"/>
      <c r="SQ320" s="3"/>
      <c r="SR320" s="3"/>
      <c r="SS320" s="3"/>
      <c r="ST320" s="3"/>
      <c r="SU320" s="3"/>
      <c r="SV320" s="3"/>
      <c r="SW320" s="3"/>
      <c r="SX320" s="3"/>
      <c r="SY320" s="3"/>
      <c r="SZ320" s="3"/>
      <c r="TA320" s="3"/>
      <c r="TB320" s="3"/>
      <c r="TC320" s="3"/>
      <c r="TD320" s="3"/>
      <c r="TE320" s="3"/>
      <c r="TF320" s="3"/>
      <c r="TG320" s="3"/>
      <c r="TH320" s="3"/>
      <c r="TI320" s="3"/>
      <c r="TJ320" s="3"/>
      <c r="TK320" s="3"/>
      <c r="TL320" s="3"/>
      <c r="TM320" s="3"/>
      <c r="TN320" s="3"/>
      <c r="TO320" s="3"/>
      <c r="TP320" s="3"/>
      <c r="TQ320" s="3"/>
      <c r="TR320" s="3"/>
      <c r="TS320" s="3"/>
      <c r="TT320" s="3"/>
      <c r="TU320" s="3"/>
      <c r="TV320" s="3"/>
      <c r="TW320" s="3"/>
      <c r="TX320" s="3"/>
      <c r="TY320" s="3"/>
      <c r="TZ320" s="3"/>
      <c r="UA320" s="3"/>
      <c r="UB320" s="3"/>
      <c r="UC320" s="3"/>
      <c r="UD320" s="3"/>
      <c r="UE320" s="3"/>
      <c r="UF320" s="3"/>
      <c r="UG320" s="3"/>
      <c r="UH320" s="3"/>
      <c r="UI320" s="3"/>
      <c r="UJ320" s="3"/>
      <c r="UK320" s="3"/>
      <c r="UL320" s="3"/>
      <c r="UM320" s="3"/>
      <c r="UN320" s="3"/>
      <c r="UO320" s="3"/>
      <c r="UP320" s="3"/>
      <c r="UQ320" s="3"/>
      <c r="UR320" s="3"/>
      <c r="US320" s="3"/>
      <c r="UT320" s="3"/>
      <c r="UU320" s="3"/>
      <c r="UV320" s="3"/>
      <c r="UW320" s="3"/>
      <c r="UX320" s="3"/>
      <c r="UY320" s="3"/>
      <c r="UZ320" s="3"/>
      <c r="VA320" s="3"/>
      <c r="VB320" s="3"/>
      <c r="VC320" s="3"/>
      <c r="VD320" s="3"/>
      <c r="VE320" s="3"/>
      <c r="VF320" s="3"/>
      <c r="VG320" s="3"/>
      <c r="VH320" s="3"/>
      <c r="VI320" s="3"/>
      <c r="VJ320" s="3"/>
      <c r="VK320" s="3"/>
      <c r="VL320" s="3"/>
      <c r="VM320" s="3"/>
      <c r="VN320" s="3"/>
      <c r="VO320" s="3"/>
      <c r="VP320" s="3"/>
      <c r="VQ320" s="3"/>
      <c r="VR320" s="3"/>
      <c r="VS320" s="3"/>
      <c r="VT320" s="3"/>
      <c r="VU320" s="3"/>
      <c r="VV320" s="3"/>
      <c r="VW320" s="3"/>
      <c r="VX320" s="3"/>
      <c r="VY320" s="3"/>
      <c r="VZ320" s="3"/>
      <c r="WA320" s="3"/>
      <c r="WB320" s="3"/>
      <c r="WC320" s="3"/>
      <c r="WD320" s="3"/>
      <c r="WE320" s="3"/>
      <c r="WF320" s="3"/>
      <c r="WG320" s="3"/>
      <c r="WH320" s="3"/>
      <c r="WI320" s="3"/>
      <c r="WJ320" s="3"/>
      <c r="WK320" s="3"/>
      <c r="WL320" s="3"/>
      <c r="WM320" s="3"/>
      <c r="WN320" s="3"/>
      <c r="WO320" s="3"/>
      <c r="WP320" s="3"/>
      <c r="WQ320" s="3"/>
      <c r="WR320" s="3"/>
      <c r="WS320" s="3"/>
      <c r="WT320" s="3"/>
      <c r="WU320" s="3"/>
      <c r="WV320" s="3"/>
      <c r="WW320" s="3"/>
      <c r="WX320" s="3"/>
      <c r="WY320" s="3"/>
      <c r="WZ320" s="3"/>
      <c r="XA320" s="3"/>
      <c r="XB320" s="3"/>
      <c r="XC320" s="3"/>
      <c r="XD320" s="3"/>
      <c r="XE320" s="3"/>
      <c r="XF320" s="3"/>
      <c r="XG320" s="3"/>
      <c r="XH320" s="3"/>
      <c r="XI320" s="3"/>
      <c r="XJ320" s="3"/>
      <c r="XK320" s="3"/>
      <c r="XL320" s="3"/>
      <c r="XM320" s="3"/>
      <c r="XN320" s="3"/>
      <c r="XO320" s="3"/>
      <c r="XP320" s="3"/>
      <c r="XQ320" s="3"/>
      <c r="XR320" s="3"/>
      <c r="XS320" s="3"/>
      <c r="XT320" s="3"/>
      <c r="XU320" s="3"/>
      <c r="XV320" s="3"/>
      <c r="XW320" s="3"/>
      <c r="XX320" s="3"/>
      <c r="XY320" s="3"/>
      <c r="XZ320" s="3"/>
      <c r="YA320" s="3"/>
      <c r="YB320" s="3"/>
      <c r="YC320" s="3"/>
      <c r="YD320" s="3"/>
      <c r="YE320" s="3"/>
      <c r="YF320" s="3"/>
      <c r="YG320" s="3"/>
      <c r="YH320" s="3"/>
      <c r="YI320" s="3"/>
      <c r="YJ320" s="3"/>
      <c r="YK320" s="3"/>
      <c r="YL320" s="3"/>
      <c r="YM320" s="3"/>
      <c r="YN320" s="3"/>
      <c r="YO320" s="3"/>
      <c r="YP320" s="3"/>
      <c r="YQ320" s="3"/>
      <c r="YR320" s="3"/>
      <c r="YS320" s="3"/>
      <c r="YT320" s="3"/>
      <c r="YU320" s="3"/>
      <c r="YV320" s="3"/>
      <c r="YW320" s="3"/>
      <c r="YX320" s="3"/>
      <c r="YY320" s="3"/>
      <c r="YZ320" s="3"/>
      <c r="ZA320" s="3"/>
      <c r="ZB320" s="3"/>
      <c r="ZC320" s="3"/>
      <c r="ZD320" s="3"/>
      <c r="ZE320" s="3"/>
      <c r="ZF320" s="3"/>
      <c r="ZG320" s="3"/>
      <c r="ZH320" s="3"/>
      <c r="ZI320" s="3"/>
      <c r="ZJ320" s="3"/>
      <c r="ZK320" s="3"/>
      <c r="ZL320" s="3"/>
      <c r="ZM320" s="3"/>
      <c r="ZN320" s="3"/>
      <c r="ZO320" s="3"/>
      <c r="ZP320" s="3"/>
      <c r="ZQ320" s="3"/>
      <c r="ZR320" s="3"/>
      <c r="ZS320" s="3"/>
      <c r="ZT320" s="3"/>
      <c r="ZU320" s="3"/>
      <c r="ZV320" s="3"/>
      <c r="ZW320" s="3"/>
      <c r="ZX320" s="3"/>
      <c r="ZY320" s="3"/>
      <c r="ZZ320" s="3"/>
      <c r="AAA320" s="3"/>
      <c r="AAB320" s="3"/>
      <c r="AAC320" s="3"/>
      <c r="AAD320" s="3"/>
      <c r="AAE320" s="3"/>
      <c r="AAF320" s="3"/>
      <c r="AAG320" s="3"/>
      <c r="AAH320" s="3"/>
      <c r="AAI320" s="3"/>
      <c r="AAJ320" s="3"/>
      <c r="AAK320" s="3"/>
      <c r="AAL320" s="3"/>
      <c r="AAM320" s="3"/>
      <c r="AAN320" s="3"/>
      <c r="AAO320" s="3"/>
      <c r="AAP320" s="3"/>
      <c r="AAQ320" s="3"/>
      <c r="AAR320" s="3"/>
      <c r="AAS320" s="3"/>
      <c r="AAT320" s="3"/>
      <c r="AAU320" s="3"/>
      <c r="AAV320" s="3"/>
      <c r="AAW320" s="3"/>
      <c r="AAX320" s="3"/>
      <c r="AAY320" s="3"/>
      <c r="AAZ320" s="3"/>
      <c r="ABA320" s="3"/>
      <c r="ABB320" s="3"/>
      <c r="ABC320" s="3"/>
      <c r="ABD320" s="3"/>
      <c r="ABE320" s="3"/>
      <c r="ABF320" s="3"/>
      <c r="ABG320" s="3"/>
      <c r="ABH320" s="3"/>
      <c r="ABI320" s="3"/>
      <c r="ABJ320" s="3"/>
      <c r="ABK320" s="3"/>
      <c r="ABL320" s="3"/>
      <c r="ABM320" s="3"/>
      <c r="ABN320" s="3"/>
      <c r="ABO320" s="3"/>
      <c r="ABP320" s="3"/>
      <c r="ABQ320" s="3"/>
      <c r="ABR320" s="3"/>
      <c r="ABS320" s="3"/>
      <c r="ABT320" s="3"/>
      <c r="ABU320" s="3"/>
      <c r="ABV320" s="3"/>
      <c r="ABW320" s="3"/>
      <c r="ABX320" s="3"/>
      <c r="ABY320" s="3"/>
      <c r="ABZ320" s="3"/>
      <c r="ACA320" s="3"/>
      <c r="ACB320" s="3"/>
      <c r="ACC320" s="3"/>
      <c r="ACD320" s="3"/>
      <c r="ACE320" s="3"/>
      <c r="ACF320" s="3"/>
      <c r="ACG320" s="3"/>
      <c r="ACH320" s="3"/>
      <c r="ACI320" s="3"/>
      <c r="ACJ320" s="3"/>
      <c r="ACK320" s="3"/>
      <c r="ACL320" s="3"/>
      <c r="ACM320" s="3"/>
      <c r="ACN320" s="3"/>
      <c r="ACO320" s="3"/>
      <c r="ACP320" s="3"/>
      <c r="ACQ320" s="3"/>
      <c r="ACR320" s="3"/>
      <c r="ACS320" s="3"/>
      <c r="ACT320" s="3"/>
      <c r="ACU320" s="3"/>
      <c r="ACV320" s="3"/>
      <c r="ACW320" s="3"/>
      <c r="ACX320" s="3"/>
      <c r="ACY320" s="3"/>
      <c r="ACZ320" s="3"/>
      <c r="ADA320" s="3"/>
      <c r="ADB320" s="3"/>
      <c r="ADC320" s="3"/>
      <c r="ADD320" s="3"/>
      <c r="ADE320" s="3"/>
      <c r="ADF320" s="3"/>
      <c r="ADG320" s="3"/>
      <c r="ADH320" s="3"/>
      <c r="ADI320" s="3"/>
      <c r="ADJ320" s="3"/>
      <c r="ADK320" s="3"/>
      <c r="ADL320" s="3"/>
      <c r="ADM320" s="3"/>
      <c r="ADN320" s="3"/>
      <c r="ADO320" s="3"/>
      <c r="ADP320" s="3"/>
      <c r="ADQ320" s="3"/>
      <c r="ADR320" s="3"/>
      <c r="ADS320" s="3"/>
      <c r="ADT320" s="3"/>
      <c r="ADU320" s="3"/>
      <c r="ADV320" s="3"/>
      <c r="ADW320" s="3"/>
      <c r="ADX320" s="3"/>
      <c r="ADY320" s="3"/>
      <c r="ADZ320" s="3"/>
      <c r="AEA320" s="3"/>
      <c r="AEB320" s="3"/>
      <c r="AEC320" s="3"/>
      <c r="AED320" s="3"/>
      <c r="AEE320" s="3"/>
      <c r="AEF320" s="3"/>
      <c r="AEG320" s="3"/>
      <c r="AEH320" s="3"/>
      <c r="AEI320" s="3"/>
      <c r="AEJ320" s="3"/>
      <c r="AEK320" s="3"/>
      <c r="AEL320" s="3"/>
      <c r="AEM320" s="3"/>
      <c r="AEN320" s="3"/>
      <c r="AEO320" s="3"/>
      <c r="AEP320" s="3"/>
      <c r="AEQ320" s="3"/>
      <c r="AER320" s="3"/>
      <c r="AES320" s="3"/>
      <c r="AET320" s="3"/>
      <c r="AEU320" s="3"/>
      <c r="AEV320" s="3"/>
      <c r="AEW320" s="3"/>
      <c r="AEX320" s="3"/>
      <c r="AEY320" s="3"/>
      <c r="AEZ320" s="3"/>
      <c r="AFA320" s="3"/>
      <c r="AFB320" s="3"/>
      <c r="AFC320" s="3"/>
      <c r="AFD320" s="3"/>
      <c r="AFE320" s="3"/>
      <c r="AFF320" s="3"/>
      <c r="AFG320" s="3"/>
      <c r="AFH320" s="3"/>
      <c r="AFI320" s="3"/>
      <c r="AFJ320" s="3"/>
      <c r="AFK320" s="3"/>
      <c r="AFL320" s="3"/>
      <c r="AFM320" s="3"/>
      <c r="AFN320" s="3"/>
      <c r="AFO320" s="3"/>
      <c r="AFP320" s="3"/>
      <c r="AFQ320" s="3"/>
      <c r="AFR320" s="3"/>
      <c r="AFS320" s="3"/>
      <c r="AFT320" s="3"/>
      <c r="AFU320" s="3"/>
      <c r="AFV320" s="3"/>
      <c r="AFW320" s="3"/>
      <c r="AFX320" s="3"/>
      <c r="AFY320" s="3"/>
      <c r="AFZ320" s="3"/>
      <c r="AGA320" s="3"/>
      <c r="AGB320" s="3"/>
      <c r="AGC320" s="3"/>
      <c r="AGD320" s="3"/>
      <c r="AGE320" s="3"/>
      <c r="AGF320" s="3"/>
      <c r="AGG320" s="3"/>
      <c r="AGH320" s="3"/>
      <c r="AGI320" s="3"/>
      <c r="AGJ320" s="3"/>
      <c r="AGK320" s="3"/>
      <c r="AGL320" s="3"/>
      <c r="AGM320" s="3"/>
      <c r="AGN320" s="3"/>
      <c r="AGO320" s="3"/>
      <c r="AGP320" s="3"/>
      <c r="AGQ320" s="3"/>
      <c r="AGR320" s="3"/>
      <c r="AGS320" s="3"/>
      <c r="AGT320" s="3"/>
      <c r="AGU320" s="3"/>
      <c r="AGV320" s="3"/>
      <c r="AGW320" s="3"/>
      <c r="AGX320" s="3"/>
      <c r="AGY320" s="3"/>
      <c r="AGZ320" s="3"/>
      <c r="AHA320" s="3"/>
      <c r="AHB320" s="3"/>
      <c r="AHC320" s="3"/>
      <c r="AHD320" s="3"/>
      <c r="AHE320" s="3"/>
      <c r="AHF320" s="3"/>
      <c r="AHG320" s="3"/>
      <c r="AHH320" s="3"/>
      <c r="AHI320" s="3"/>
      <c r="AHJ320" s="3"/>
      <c r="AHK320" s="3"/>
      <c r="AHL320" s="3"/>
      <c r="AHM320" s="3"/>
      <c r="AHN320" s="3"/>
      <c r="AHO320" s="3"/>
      <c r="AHP320" s="3"/>
      <c r="AHQ320" s="3"/>
      <c r="AHR320" s="3"/>
      <c r="AHS320" s="3"/>
      <c r="AHT320" s="3"/>
      <c r="AHU320" s="3"/>
      <c r="AHV320" s="3"/>
      <c r="AHW320" s="3"/>
      <c r="AHX320" s="3"/>
      <c r="AHY320" s="3"/>
      <c r="AHZ320" s="3"/>
      <c r="AIA320" s="3"/>
      <c r="AIB320" s="3"/>
      <c r="AIC320" s="3"/>
      <c r="AID320" s="3"/>
      <c r="AIE320" s="3"/>
      <c r="AIF320" s="3"/>
      <c r="AIG320" s="3"/>
      <c r="AIH320" s="3"/>
      <c r="AII320" s="3"/>
      <c r="AIJ320" s="3"/>
      <c r="AIK320" s="3"/>
      <c r="AIL320" s="3"/>
      <c r="AIM320" s="3"/>
      <c r="AIN320" s="3"/>
      <c r="AIO320" s="3"/>
      <c r="AIP320" s="3"/>
      <c r="AIQ320" s="3"/>
      <c r="AIR320" s="3"/>
      <c r="AIS320" s="3"/>
      <c r="AIT320" s="3"/>
      <c r="AIU320" s="3"/>
      <c r="AIV320" s="3"/>
      <c r="AIW320" s="3"/>
      <c r="AIX320" s="3"/>
      <c r="AIY320" s="3"/>
      <c r="AIZ320" s="3"/>
      <c r="AJA320" s="3"/>
      <c r="AJB320" s="3"/>
      <c r="AJC320" s="3"/>
      <c r="AJD320" s="3"/>
      <c r="AJE320" s="3"/>
      <c r="AJF320" s="3"/>
      <c r="AJG320" s="3"/>
      <c r="AJH320" s="3"/>
      <c r="AJI320" s="3"/>
      <c r="AJJ320" s="3"/>
      <c r="AJK320" s="3"/>
      <c r="AJL320" s="3"/>
      <c r="AJM320" s="3"/>
      <c r="AJN320" s="3"/>
      <c r="AJO320" s="3"/>
      <c r="AJP320" s="3"/>
      <c r="AJQ320" s="3"/>
      <c r="AJR320" s="3"/>
      <c r="AJS320" s="3"/>
      <c r="AJT320" s="3"/>
      <c r="AJU320" s="3"/>
      <c r="AJV320" s="3"/>
      <c r="AJW320" s="3"/>
      <c r="AJX320" s="3"/>
      <c r="AJY320" s="3"/>
      <c r="AJZ320" s="3"/>
      <c r="AKA320" s="3"/>
      <c r="AKB320" s="3"/>
      <c r="AKC320" s="3"/>
      <c r="AKD320" s="3"/>
      <c r="AKE320" s="3"/>
      <c r="AKF320" s="3"/>
      <c r="AKG320" s="3"/>
      <c r="AKH320" s="3"/>
      <c r="AKI320" s="3"/>
      <c r="AKJ320" s="3"/>
      <c r="AKK320" s="3"/>
      <c r="AKL320" s="3"/>
      <c r="AKM320" s="3"/>
      <c r="AKN320" s="3"/>
      <c r="AKO320" s="3"/>
      <c r="AKP320" s="3"/>
      <c r="AKQ320" s="3"/>
      <c r="AKR320" s="3"/>
      <c r="AKS320" s="3"/>
      <c r="AKT320" s="3"/>
      <c r="AKU320" s="3"/>
      <c r="AKV320" s="3"/>
      <c r="AKW320" s="3"/>
      <c r="AKX320" s="3"/>
      <c r="AKY320" s="3"/>
      <c r="AKZ320" s="3"/>
      <c r="ALA320" s="3"/>
      <c r="ALB320" s="3"/>
      <c r="ALC320" s="3"/>
      <c r="ALD320" s="3"/>
      <c r="ALE320" s="3"/>
      <c r="ALF320" s="3"/>
      <c r="ALG320" s="3"/>
      <c r="ALH320" s="3"/>
      <c r="ALI320" s="3"/>
      <c r="ALJ320" s="3"/>
      <c r="ALK320" s="3"/>
      <c r="ALL320" s="3"/>
      <c r="ALM320" s="3"/>
      <c r="ALN320" s="3"/>
      <c r="ALO320" s="3"/>
      <c r="ALP320" s="3"/>
      <c r="ALQ320" s="3"/>
      <c r="ALR320" s="3"/>
      <c r="ALS320" s="3"/>
      <c r="ALT320" s="3"/>
      <c r="ALU320" s="3"/>
      <c r="ALV320" s="3"/>
      <c r="ALW320" s="3"/>
      <c r="ALX320" s="3"/>
      <c r="ALY320" s="3"/>
      <c r="ALZ320" s="3"/>
      <c r="AMA320" s="3"/>
      <c r="AMB320" s="3"/>
      <c r="AMC320" s="3"/>
      <c r="AMD320" s="3"/>
      <c r="AME320" s="3"/>
      <c r="AMF320" s="3"/>
      <c r="AMG320" s="3"/>
      <c r="AMH320" s="3"/>
      <c r="AMI320" s="3"/>
      <c r="AMJ320" s="3"/>
      <c r="AMK320" s="3"/>
      <c r="AML320" s="3"/>
      <c r="AMM320" s="3"/>
      <c r="AMN320" s="3"/>
      <c r="AMO320" s="3"/>
      <c r="AMP320" s="1"/>
    </row>
    <row r="321" spans="1:98" x14ac:dyDescent="0.2">
      <c r="A321" s="3" t="str">
        <f>CONCATENATE(B321,"_",C321)</f>
        <v>smo_human_5V56</v>
      </c>
      <c r="B321" s="3" t="s">
        <v>33</v>
      </c>
      <c r="C321" s="3" t="s">
        <v>1490</v>
      </c>
      <c r="D321" s="3" t="str">
        <f>IFERROR(MID(VLOOKUP($B321,Seqs!$A:$B,2,0),E321,1),"")</f>
        <v>T</v>
      </c>
      <c r="E321" s="3">
        <v>223</v>
      </c>
      <c r="F321" s="3" t="str">
        <f>IFERROR(MID(VLOOKUP($B321,Seqs!$A:$B,2,0),G321,1),"")</f>
        <v>D</v>
      </c>
      <c r="G321" s="3">
        <v>255</v>
      </c>
      <c r="H321" s="3" t="str">
        <f>IFERROR(MID(VLOOKUP($B321,Seqs!$A:$B,2,0),I321,1),"")</f>
        <v>W</v>
      </c>
      <c r="I321" s="23">
        <v>256</v>
      </c>
      <c r="J321" s="3" t="str">
        <f>IFERROR(MID(VLOOKUP($B321,Seqs!$A:$B,2,0),K321,1),"")</f>
        <v>N</v>
      </c>
      <c r="K321" s="23">
        <v>260</v>
      </c>
      <c r="L321" s="3" t="str">
        <f>IFERROR(MID(VLOOKUP($B321,Seqs!$A:$B,2,0),M321,1),"")</f>
        <v>R</v>
      </c>
      <c r="M321" s="3">
        <v>261</v>
      </c>
      <c r="N321" s="3" t="str">
        <f>IFERROR(MID(VLOOKUP($B321,Seqs!$A:$B,2,0),O321,1),"")</f>
        <v>F</v>
      </c>
      <c r="O321" s="3">
        <v>285</v>
      </c>
      <c r="P321" s="3" t="str">
        <f>IFERROR(MID(VLOOKUP($B321,Seqs!$A:$B,2,0),Q321,1),"")</f>
        <v/>
      </c>
      <c r="Q321" s="3" t="s">
        <v>23</v>
      </c>
      <c r="R321" s="3" t="str">
        <f>IFERROR(MID(VLOOKUP($B321,Seqs!$A:$B,2,0),S321,1),"")</f>
        <v/>
      </c>
      <c r="S321" s="3" t="s">
        <v>23</v>
      </c>
      <c r="T321" s="3" t="str">
        <f>IFERROR(MID(VLOOKUP($B321,Seqs!$A:$B,2,0),U321,1),"")</f>
        <v>L</v>
      </c>
      <c r="U321" s="3">
        <v>312</v>
      </c>
      <c r="V321" s="3" t="str">
        <f>IFERROR(MID(VLOOKUP($B321,Seqs!$A:$B,2,0),W321,1),"")</f>
        <v>S</v>
      </c>
      <c r="W321" s="3">
        <v>342</v>
      </c>
      <c r="X321" s="3" t="str">
        <f>IFERROR(MID(VLOOKUP($B321,Seqs!$A:$B,2,0),Y321,1),"")</f>
        <v/>
      </c>
      <c r="Y321" s="3" t="s">
        <v>23</v>
      </c>
      <c r="Z321" s="3" t="str">
        <f>IFERROR(MID(VLOOKUP($B321,Seqs!$A:$B,2,0),AA321,1),"")</f>
        <v/>
      </c>
      <c r="AA321" s="3" t="s">
        <v>23</v>
      </c>
      <c r="AB321" s="3" t="str">
        <f>IFERROR(MID(VLOOKUP($B321,Seqs!$A:$B,2,0),AC321,1),"")</f>
        <v>K</v>
      </c>
      <c r="AC321" s="3">
        <v>356</v>
      </c>
      <c r="AD321" s="3" t="str">
        <f>IFERROR(MID(VLOOKUP($B321,Seqs!$A:$B,2,0),AE321,1),"")</f>
        <v>V</v>
      </c>
      <c r="AE321" s="3">
        <v>378</v>
      </c>
      <c r="AF321" s="3" t="str">
        <f>IFERROR(MID(VLOOKUP($B321,Seqs!$A:$B,2,0),AG321,1),"")</f>
        <v>C</v>
      </c>
      <c r="AG321" s="3">
        <v>390</v>
      </c>
      <c r="AH321" s="3" t="str">
        <f>IFERROR(MID(VLOOKUP($B321,Seqs!$A:$B,2,0),AI321,1),"")</f>
        <v>V</v>
      </c>
      <c r="AI321" s="3">
        <v>392</v>
      </c>
      <c r="AJ321" s="3" t="str">
        <f>IFERROR(MID(VLOOKUP($B321,Seqs!$A:$B,2,0),AK321,1),"")</f>
        <v>N</v>
      </c>
      <c r="AK321" s="3">
        <v>396</v>
      </c>
      <c r="AL321" s="3" t="str">
        <f>IFERROR(MID(VLOOKUP($B321,Seqs!$A:$B,2,0),AM321,1),"")</f>
        <v>I</v>
      </c>
      <c r="AM321" s="3">
        <v>429</v>
      </c>
      <c r="AN321" s="3" t="str">
        <f>IFERROR(MID(VLOOKUP($B321,Seqs!$A:$B,2,0),AO321,1),"")</f>
        <v>N</v>
      </c>
      <c r="AO321" s="3">
        <v>446</v>
      </c>
      <c r="AP321" s="3" t="str">
        <f>IFERROR(MID(VLOOKUP($B321,Seqs!$A:$B,2,0),AQ321,1),"")</f>
        <v>N</v>
      </c>
      <c r="AQ321" s="3">
        <v>493</v>
      </c>
      <c r="AR321" s="3" t="str">
        <f>IFERROR(MID(VLOOKUP($B321,Seqs!$A:$B,2,0),AS321,1),"")</f>
        <v>S</v>
      </c>
      <c r="AS321" s="3">
        <v>514</v>
      </c>
      <c r="AT321" s="3" t="str">
        <f>IFERROR(MID(VLOOKUP($B321,Seqs!$A:$B,2,0),AU321,1),"")</f>
        <v>W</v>
      </c>
      <c r="AU321" s="3">
        <v>537</v>
      </c>
      <c r="AV321" s="3" t="str">
        <f>IFERROR(MID(VLOOKUP($B321,Seqs!$A:$B,2,0),AW321,1),"")</f>
        <v>T</v>
      </c>
      <c r="AW321" s="3">
        <v>538</v>
      </c>
      <c r="AX321" s="3" t="str">
        <f>IFERROR(MID(VLOOKUP($B321,Seqs!$A:$B,2,0),AY321,1),"")</f>
        <v>T</v>
      </c>
      <c r="AY321" s="3">
        <v>553</v>
      </c>
      <c r="AZ321" s="78" t="str">
        <f>VLOOKUP(B321,Classification!A:D,2,0)</f>
        <v>F</v>
      </c>
      <c r="BA321" s="94" t="str">
        <f>VLOOKUP(B321,Classification!A:D,4,0)</f>
        <v>Frizzled</v>
      </c>
      <c r="BB321" s="92" t="b">
        <f>AND(E321&lt;G321,OR(G321&lt;I321,I321="-"),OR(I321&lt;K321,I321="-"),OR(K321&lt;M321,K321="-"),M321&lt;O321,OR(O321&lt;Q321,Q321="-"),OR(Q321&lt;S321,Q321="-"),OR(S321&lt;U321,S321="-"),U321&lt;W321,OR(W321&lt;Y321,Y321="-"),OR(Y321&lt;AA321,Y321="-"),OR(AA321&lt;AC321,AA321="-"),AC321&lt;AE321,OR(AE321&lt;AG321,AG321="-"),OR(AG321&lt;AI321,AG321="-"),OR(AI321&lt;AK321,AI321="-"),AK321&lt;AM321,AM321&lt;AO321,AO321&lt;AQ321,AQ321&lt;AS321,AS321&lt;AU321,OR(AU321&lt;AW321,AW321="-"),OR(AW321&lt;AY321,AW321="-"))</f>
        <v>1</v>
      </c>
      <c r="BC321" s="23">
        <f>_xlfn.AGGREGATE(9,6,CH321:CS321)-_xlfn.AGGREGATE(9,6,BV321:CG321)+12</f>
        <v>244</v>
      </c>
      <c r="BD321" s="74" t="s">
        <v>23</v>
      </c>
      <c r="BE321" s="3" t="s">
        <v>1381</v>
      </c>
      <c r="BF321" s="119">
        <v>2.9</v>
      </c>
      <c r="BG321" s="49" t="s">
        <v>1287</v>
      </c>
      <c r="BH321" s="49" t="s">
        <v>1287</v>
      </c>
      <c r="BJ321" s="75" t="s">
        <v>1293</v>
      </c>
      <c r="BK321" s="57" t="s">
        <v>1293</v>
      </c>
      <c r="BL321" s="57" t="s">
        <v>1293</v>
      </c>
      <c r="BM321" s="57" t="s">
        <v>1293</v>
      </c>
      <c r="BN321" s="57" t="s">
        <v>1293</v>
      </c>
      <c r="BO321" s="57" t="s">
        <v>1293</v>
      </c>
      <c r="BP321" s="57" t="s">
        <v>1293</v>
      </c>
      <c r="BQ321" s="57" t="s">
        <v>1293</v>
      </c>
      <c r="BR321" s="57" t="s">
        <v>1293</v>
      </c>
      <c r="BS321" s="57" t="s">
        <v>1293</v>
      </c>
      <c r="BT321" s="57" t="s">
        <v>1293</v>
      </c>
      <c r="BU321" s="57" t="s">
        <v>1293</v>
      </c>
      <c r="BV321" s="75">
        <f>E321</f>
        <v>223</v>
      </c>
      <c r="BW321" s="71">
        <f>I321</f>
        <v>256</v>
      </c>
      <c r="BX321" s="72">
        <f>M321</f>
        <v>261</v>
      </c>
      <c r="BY321" s="71" t="str">
        <f>Q321</f>
        <v>-</v>
      </c>
      <c r="BZ321" s="72">
        <f>U321</f>
        <v>312</v>
      </c>
      <c r="CA321" s="71" t="str">
        <f>Y321</f>
        <v>-</v>
      </c>
      <c r="CB321" s="72">
        <f>AC321</f>
        <v>356</v>
      </c>
      <c r="CC321" s="71">
        <f>AG321</f>
        <v>390</v>
      </c>
      <c r="CD321" s="72">
        <f>AK321</f>
        <v>396</v>
      </c>
      <c r="CE321" s="71">
        <f>AO321</f>
        <v>446</v>
      </c>
      <c r="CF321" s="72">
        <f>AS321</f>
        <v>514</v>
      </c>
      <c r="CG321" s="71">
        <f>AW321</f>
        <v>538</v>
      </c>
      <c r="CH321" s="75">
        <f>G321</f>
        <v>255</v>
      </c>
      <c r="CI321" s="71">
        <f>K321</f>
        <v>260</v>
      </c>
      <c r="CJ321" s="72">
        <f>O321</f>
        <v>285</v>
      </c>
      <c r="CK321" s="72" t="str">
        <f>S321</f>
        <v>-</v>
      </c>
      <c r="CL321" s="72">
        <f>W321</f>
        <v>342</v>
      </c>
      <c r="CM321" s="72" t="str">
        <f>AA321</f>
        <v>-</v>
      </c>
      <c r="CN321" s="72">
        <f>AE321</f>
        <v>378</v>
      </c>
      <c r="CO321" s="72">
        <f>AI321</f>
        <v>392</v>
      </c>
      <c r="CP321" s="72">
        <f>AM321</f>
        <v>429</v>
      </c>
      <c r="CQ321" s="72">
        <f>AQ321</f>
        <v>493</v>
      </c>
      <c r="CR321" s="72">
        <f>AU321</f>
        <v>537</v>
      </c>
      <c r="CS321" s="72">
        <f>AY321</f>
        <v>553</v>
      </c>
      <c r="CT321" s="23">
        <f>M321-K321</f>
        <v>1</v>
      </c>
    </row>
    <row r="322" spans="1:98" x14ac:dyDescent="0.2">
      <c r="A322" s="3" t="str">
        <f>CONCATENATE(B322,"_",C322)</f>
        <v>smo_human_5V57</v>
      </c>
      <c r="B322" s="3" t="s">
        <v>33</v>
      </c>
      <c r="C322" s="3" t="s">
        <v>1491</v>
      </c>
      <c r="D322" s="3" t="str">
        <f>IFERROR(MID(VLOOKUP($B322,Seqs!$A:$B,2,0),E322,1),"")</f>
        <v>T</v>
      </c>
      <c r="E322" s="3">
        <v>223</v>
      </c>
      <c r="F322" s="3" t="str">
        <f>IFERROR(MID(VLOOKUP($B322,Seqs!$A:$B,2,0),G322,1),"")</f>
        <v>D</v>
      </c>
      <c r="G322" s="3">
        <v>255</v>
      </c>
      <c r="H322" s="3" t="str">
        <f>IFERROR(MID(VLOOKUP($B322,Seqs!$A:$B,2,0),I322,1),"")</f>
        <v>W</v>
      </c>
      <c r="I322" s="23">
        <v>256</v>
      </c>
      <c r="J322" s="3" t="str">
        <f>IFERROR(MID(VLOOKUP($B322,Seqs!$A:$B,2,0),K322,1),"")</f>
        <v>N</v>
      </c>
      <c r="K322" s="23">
        <v>260</v>
      </c>
      <c r="L322" s="3" t="str">
        <f>IFERROR(MID(VLOOKUP($B322,Seqs!$A:$B,2,0),M322,1),"")</f>
        <v>R</v>
      </c>
      <c r="M322" s="3">
        <v>261</v>
      </c>
      <c r="N322" s="3" t="str">
        <f>IFERROR(MID(VLOOKUP($B322,Seqs!$A:$B,2,0),O322,1),"")</f>
        <v>F</v>
      </c>
      <c r="O322" s="3">
        <v>285</v>
      </c>
      <c r="P322" s="3" t="str">
        <f>IFERROR(MID(VLOOKUP($B322,Seqs!$A:$B,2,0),Q322,1),"")</f>
        <v/>
      </c>
      <c r="Q322" s="3" t="s">
        <v>23</v>
      </c>
      <c r="R322" s="3" t="str">
        <f>IFERROR(MID(VLOOKUP($B322,Seqs!$A:$B,2,0),S322,1),"")</f>
        <v/>
      </c>
      <c r="S322" s="3" t="s">
        <v>23</v>
      </c>
      <c r="T322" s="3" t="str">
        <f>IFERROR(MID(VLOOKUP($B322,Seqs!$A:$B,2,0),U322,1),"")</f>
        <v>L</v>
      </c>
      <c r="U322" s="3">
        <v>312</v>
      </c>
      <c r="V322" s="3" t="str">
        <f>IFERROR(MID(VLOOKUP($B322,Seqs!$A:$B,2,0),W322,1),"")</f>
        <v>S</v>
      </c>
      <c r="W322" s="3">
        <v>342</v>
      </c>
      <c r="X322" s="3" t="str">
        <f>IFERROR(MID(VLOOKUP($B322,Seqs!$A:$B,2,0),Y322,1),"")</f>
        <v/>
      </c>
      <c r="Y322" s="3" t="s">
        <v>23</v>
      </c>
      <c r="Z322" s="3" t="str">
        <f>IFERROR(MID(VLOOKUP($B322,Seqs!$A:$B,2,0),AA322,1),"")</f>
        <v/>
      </c>
      <c r="AA322" s="3" t="s">
        <v>23</v>
      </c>
      <c r="AB322" s="3" t="str">
        <f>IFERROR(MID(VLOOKUP($B322,Seqs!$A:$B,2,0),AC322,1),"")</f>
        <v>T</v>
      </c>
      <c r="AC322" s="3">
        <v>357</v>
      </c>
      <c r="AD322" s="3" t="str">
        <f>IFERROR(MID(VLOOKUP($B322,Seqs!$A:$B,2,0),AE322,1),"")</f>
        <v>V</v>
      </c>
      <c r="AE322" s="3">
        <v>378</v>
      </c>
      <c r="AF322" s="3" t="str">
        <f>IFERROR(MID(VLOOKUP($B322,Seqs!$A:$B,2,0),AG322,1),"")</f>
        <v>C</v>
      </c>
      <c r="AG322" s="3">
        <v>390</v>
      </c>
      <c r="AH322" s="3" t="str">
        <f>IFERROR(MID(VLOOKUP($B322,Seqs!$A:$B,2,0),AI322,1),"")</f>
        <v>V</v>
      </c>
      <c r="AI322" s="3">
        <v>392</v>
      </c>
      <c r="AJ322" s="3" t="str">
        <f>IFERROR(MID(VLOOKUP($B322,Seqs!$A:$B,2,0),AK322,1),"")</f>
        <v>N</v>
      </c>
      <c r="AK322" s="3">
        <v>396</v>
      </c>
      <c r="AL322" s="3" t="str">
        <f>IFERROR(MID(VLOOKUP($B322,Seqs!$A:$B,2,0),AM322,1),"")</f>
        <v>N</v>
      </c>
      <c r="AM322" s="3">
        <v>432</v>
      </c>
      <c r="AN322" s="3" t="str">
        <f>IFERROR(MID(VLOOKUP($B322,Seqs!$A:$B,2,0),AO322,1),"")</f>
        <v>E</v>
      </c>
      <c r="AO322" s="3">
        <v>447</v>
      </c>
      <c r="AP322" s="3" t="str">
        <f>IFERROR(MID(VLOOKUP($B322,Seqs!$A:$B,2,0),AQ322,1),"")</f>
        <v>N</v>
      </c>
      <c r="AQ322" s="3">
        <v>493</v>
      </c>
      <c r="AR322" s="3" t="str">
        <f>IFERROR(MID(VLOOKUP($B322,Seqs!$A:$B,2,0),AS322,1),"")</f>
        <v>S</v>
      </c>
      <c r="AS322" s="3">
        <v>514</v>
      </c>
      <c r="AT322" s="3" t="str">
        <f>IFERROR(MID(VLOOKUP($B322,Seqs!$A:$B,2,0),AU322,1),"")</f>
        <v>W</v>
      </c>
      <c r="AU322" s="3">
        <v>537</v>
      </c>
      <c r="AV322" s="3" t="str">
        <f>IFERROR(MID(VLOOKUP($B322,Seqs!$A:$B,2,0),AW322,1),"")</f>
        <v>T</v>
      </c>
      <c r="AW322" s="3">
        <v>538</v>
      </c>
      <c r="AX322" s="3" t="str">
        <f>IFERROR(MID(VLOOKUP($B322,Seqs!$A:$B,2,0),AY322,1),"")</f>
        <v>G</v>
      </c>
      <c r="AY322" s="3">
        <v>554</v>
      </c>
      <c r="AZ322" s="78" t="str">
        <f>VLOOKUP(B322,Classification!A:D,2,0)</f>
        <v>F</v>
      </c>
      <c r="BA322" s="94" t="str">
        <f>VLOOKUP(B322,Classification!A:D,4,0)</f>
        <v>Frizzled</v>
      </c>
      <c r="BB322" s="92" t="b">
        <f>AND(E322&lt;G322,OR(G322&lt;I322,I322="-"),OR(I322&lt;K322,I322="-"),OR(K322&lt;M322,K322="-"),M322&lt;O322,OR(O322&lt;Q322,Q322="-"),OR(Q322&lt;S322,Q322="-"),OR(S322&lt;U322,S322="-"),U322&lt;W322,OR(W322&lt;Y322,Y322="-"),OR(Y322&lt;AA322,Y322="-"),OR(AA322&lt;AC322,AA322="-"),AC322&lt;AE322,OR(AE322&lt;AG322,AG322="-"),OR(AG322&lt;AI322,AG322="-"),OR(AI322&lt;AK322,AI322="-"),AK322&lt;AM322,AM322&lt;AO322,AO322&lt;AQ322,AQ322&lt;AS322,AS322&lt;AU322,OR(AU322&lt;AW322,AW322="-"),OR(AW322&lt;AY322,AW322="-"))</f>
        <v>1</v>
      </c>
      <c r="BC322" s="23">
        <f>_xlfn.AGGREGATE(9,6,CH322:CS322)-_xlfn.AGGREGATE(9,6,BV322:CG322)+12</f>
        <v>246</v>
      </c>
      <c r="BD322" s="74" t="s">
        <v>23</v>
      </c>
      <c r="BE322" s="3" t="s">
        <v>1381</v>
      </c>
      <c r="BF322" s="119">
        <v>3</v>
      </c>
      <c r="BG322" s="49" t="s">
        <v>1</v>
      </c>
      <c r="BH322" s="49" t="s">
        <v>1</v>
      </c>
      <c r="BJ322" s="75" t="s">
        <v>1293</v>
      </c>
      <c r="BK322" s="57" t="s">
        <v>1293</v>
      </c>
      <c r="BL322" s="57" t="s">
        <v>1293</v>
      </c>
      <c r="BM322" s="57" t="s">
        <v>1293</v>
      </c>
      <c r="BN322" s="57" t="s">
        <v>1293</v>
      </c>
      <c r="BO322" s="57" t="s">
        <v>1293</v>
      </c>
      <c r="BP322" s="57" t="s">
        <v>1293</v>
      </c>
      <c r="BQ322" s="57" t="s">
        <v>1293</v>
      </c>
      <c r="BR322" s="57" t="s">
        <v>1293</v>
      </c>
      <c r="BS322" s="57" t="s">
        <v>1293</v>
      </c>
      <c r="BT322" s="57" t="s">
        <v>1293</v>
      </c>
      <c r="BU322" s="57" t="s">
        <v>1293</v>
      </c>
      <c r="BV322" s="75">
        <f>E322</f>
        <v>223</v>
      </c>
      <c r="BW322" s="71">
        <f>I322</f>
        <v>256</v>
      </c>
      <c r="BX322" s="72">
        <f>M322</f>
        <v>261</v>
      </c>
      <c r="BY322" s="71" t="str">
        <f>Q322</f>
        <v>-</v>
      </c>
      <c r="BZ322" s="72">
        <f>U322</f>
        <v>312</v>
      </c>
      <c r="CA322" s="71" t="str">
        <f>Y322</f>
        <v>-</v>
      </c>
      <c r="CB322" s="72">
        <f>AC322</f>
        <v>357</v>
      </c>
      <c r="CC322" s="71">
        <f>AG322</f>
        <v>390</v>
      </c>
      <c r="CD322" s="72">
        <f>AK322</f>
        <v>396</v>
      </c>
      <c r="CE322" s="71">
        <f>AO322</f>
        <v>447</v>
      </c>
      <c r="CF322" s="72">
        <f>AS322</f>
        <v>514</v>
      </c>
      <c r="CG322" s="71">
        <f>AW322</f>
        <v>538</v>
      </c>
      <c r="CH322" s="75">
        <f>G322</f>
        <v>255</v>
      </c>
      <c r="CI322" s="71">
        <f>K322</f>
        <v>260</v>
      </c>
      <c r="CJ322" s="72">
        <f>O322</f>
        <v>285</v>
      </c>
      <c r="CK322" s="72" t="str">
        <f>S322</f>
        <v>-</v>
      </c>
      <c r="CL322" s="72">
        <f>W322</f>
        <v>342</v>
      </c>
      <c r="CM322" s="72" t="str">
        <f>AA322</f>
        <v>-</v>
      </c>
      <c r="CN322" s="72">
        <f>AE322</f>
        <v>378</v>
      </c>
      <c r="CO322" s="72">
        <f>AI322</f>
        <v>392</v>
      </c>
      <c r="CP322" s="72">
        <f>AM322</f>
        <v>432</v>
      </c>
      <c r="CQ322" s="72">
        <f>AQ322</f>
        <v>493</v>
      </c>
      <c r="CR322" s="72">
        <f>AU322</f>
        <v>537</v>
      </c>
      <c r="CS322" s="72">
        <f>AY322</f>
        <v>554</v>
      </c>
      <c r="CT322" s="23">
        <f>M322-K322</f>
        <v>1</v>
      </c>
    </row>
    <row r="323" spans="1:98" x14ac:dyDescent="0.2">
      <c r="A323" s="9" t="str">
        <f>CONCATENATE(B323,"_",C323)</f>
        <v>q98sw5_xenla__wt</v>
      </c>
      <c r="B323" s="9" t="s">
        <v>1510</v>
      </c>
      <c r="C323" s="9" t="s">
        <v>100</v>
      </c>
      <c r="D323" s="9" t="str">
        <f>IFERROR(MID(VLOOKUP($B323,Seqs!$A:$B,2,0),E323,1),"")</f>
        <v>T</v>
      </c>
      <c r="E323" s="9">
        <v>196</v>
      </c>
      <c r="F323" s="9" t="str">
        <f>IFERROR(MID(VLOOKUP($B323,Seqs!$A:$B,2,0),G323,1),"")</f>
        <v>D</v>
      </c>
      <c r="G323" s="9">
        <v>228</v>
      </c>
      <c r="H323" s="9" t="str">
        <f>IFERROR(MID(VLOOKUP($B323,Seqs!$A:$B,2,0),I323,1),"")</f>
        <v>W</v>
      </c>
      <c r="I323" s="109">
        <v>229</v>
      </c>
      <c r="J323" s="9" t="str">
        <f>IFERROR(MID(VLOOKUP($B323,Seqs!$A:$B,2,0),K323,1),"")</f>
        <v>N</v>
      </c>
      <c r="K323" s="109">
        <v>233</v>
      </c>
      <c r="L323" s="9" t="str">
        <f>IFERROR(MID(VLOOKUP($B323,Seqs!$A:$B,2,0),M323,1),"")</f>
        <v>R</v>
      </c>
      <c r="M323" s="9">
        <v>234</v>
      </c>
      <c r="N323" s="9" t="str">
        <f>IFERROR(MID(VLOOKUP($B323,Seqs!$A:$B,2,0),O323,1),"")</f>
        <v>A</v>
      </c>
      <c r="O323" s="9">
        <v>256</v>
      </c>
      <c r="P323" s="9" t="str">
        <f>IFERROR(MID(VLOOKUP($B323,Seqs!$A:$B,2,0),Q323,1),"")</f>
        <v/>
      </c>
      <c r="Q323" s="9" t="s">
        <v>23</v>
      </c>
      <c r="R323" s="9" t="str">
        <f>IFERROR(MID(VLOOKUP($B323,Seqs!$A:$B,2,0),S323,1),"")</f>
        <v/>
      </c>
      <c r="S323" s="9" t="s">
        <v>23</v>
      </c>
      <c r="T323" s="9" t="str">
        <f>IFERROR(MID(VLOOKUP($B323,Seqs!$A:$B,2,0),U323,1),"")</f>
        <v>L</v>
      </c>
      <c r="U323" s="9">
        <v>285</v>
      </c>
      <c r="V323" s="9" t="str">
        <f>IFERROR(MID(VLOOKUP($B323,Seqs!$A:$B,2,0),W323,1),"")</f>
        <v>T</v>
      </c>
      <c r="W323" s="9">
        <v>321</v>
      </c>
      <c r="X323" s="9" t="str">
        <f>IFERROR(MID(VLOOKUP($B323,Seqs!$A:$B,2,0),Y323,1),"")</f>
        <v/>
      </c>
      <c r="Y323" s="9" t="s">
        <v>23</v>
      </c>
      <c r="Z323" s="9" t="str">
        <f>IFERROR(MID(VLOOKUP($B323,Seqs!$A:$B,2,0),AA323,1),"")</f>
        <v/>
      </c>
      <c r="AA323" s="9" t="s">
        <v>23</v>
      </c>
      <c r="AB323" s="9" t="str">
        <f>IFERROR(MID(VLOOKUP($B323,Seqs!$A:$B,2,0),AC323,1),"")</f>
        <v>L</v>
      </c>
      <c r="AC323" s="9">
        <v>326</v>
      </c>
      <c r="AD323" s="9" t="str">
        <f>IFERROR(MID(VLOOKUP($B323,Seqs!$A:$B,2,0),AE323,1),"")</f>
        <v>V</v>
      </c>
      <c r="AE323" s="9">
        <v>351</v>
      </c>
      <c r="AF323" s="9" t="str">
        <f>IFERROR(MID(VLOOKUP($B323,Seqs!$A:$B,2,0),AG323,1),"")</f>
        <v>C</v>
      </c>
      <c r="AG323" s="9">
        <v>363</v>
      </c>
      <c r="AH323" s="9" t="str">
        <f>IFERROR(MID(VLOOKUP($B323,Seqs!$A:$B,2,0),AI323,1),"")</f>
        <v>V</v>
      </c>
      <c r="AI323" s="9">
        <v>365</v>
      </c>
      <c r="AJ323" s="9" t="str">
        <f>IFERROR(MID(VLOOKUP($B323,Seqs!$A:$B,2,0),AK323,1),"")</f>
        <v>N</v>
      </c>
      <c r="AK323" s="9">
        <v>369</v>
      </c>
      <c r="AL323" s="9" t="str">
        <f>IFERROR(MID(VLOOKUP($B323,Seqs!$A:$B,2,0),AM323,1),"")</f>
        <v>H</v>
      </c>
      <c r="AM323" s="9">
        <v>406</v>
      </c>
      <c r="AN323" s="9" t="str">
        <f>IFERROR(MID(VLOOKUP($B323,Seqs!$A:$B,2,0),AO323,1),"")</f>
        <v>A</v>
      </c>
      <c r="AO323" s="9">
        <v>415</v>
      </c>
      <c r="AP323" s="9" t="str">
        <f>IFERROR(MID(VLOOKUP($B323,Seqs!$A:$B,2,0),AQ323,1),"")</f>
        <v>Q</v>
      </c>
      <c r="AQ323" s="9">
        <v>472</v>
      </c>
      <c r="AR323" s="9" t="str">
        <f>IFERROR(MID(VLOOKUP($B323,Seqs!$A:$B,2,0),AS323,1),"")</f>
        <v>S</v>
      </c>
      <c r="AS323" s="9">
        <v>487</v>
      </c>
      <c r="AT323" s="9" t="str">
        <f>IFERROR(MID(VLOOKUP($B323,Seqs!$A:$B,2,0),AU323,1),"")</f>
        <v>W</v>
      </c>
      <c r="AU323" s="9">
        <v>510</v>
      </c>
      <c r="AV323" s="9" t="str">
        <f>IFERROR(MID(VLOOKUP($B323,Seqs!$A:$B,2,0),AW323,1),"")</f>
        <v>T</v>
      </c>
      <c r="AW323" s="9">
        <v>511</v>
      </c>
      <c r="AX323" s="9" t="str">
        <f>IFERROR(MID(VLOOKUP($B323,Seqs!$A:$B,2,0),AY323,1),"")</f>
        <v>L</v>
      </c>
      <c r="AY323" s="9">
        <v>526</v>
      </c>
      <c r="AZ323" s="124" t="str">
        <f>VLOOKUP(B323,Classification!A:D,2,0)</f>
        <v>F</v>
      </c>
      <c r="BA323" s="98" t="str">
        <f>VLOOKUP(B323,Classification!A:D,4,0)</f>
        <v>Frizzled</v>
      </c>
      <c r="BB323" s="125" t="b">
        <f>AND(E323&lt;G323,OR(G323&lt;I323,I323="-"),OR(I323&lt;K323,I323="-"),OR(K323&lt;M323,K323="-"),M323&lt;O323,OR(O323&lt;Q323,Q323="-"),OR(Q323&lt;S323,Q323="-"),OR(S323&lt;U323,S323="-"),U323&lt;W323,OR(W323&lt;Y323,Y323="-"),OR(Y323&lt;AA323,Y323="-"),OR(AA323&lt;AC323,AA323="-"),AC323&lt;AE323,OR(AE323&lt;AG323,AG323="-"),OR(AG323&lt;AI323,AG323="-"),OR(AI323&lt;AK323,AI323="-"),AK323&lt;AM323,AM323&lt;AO323,AO323&lt;AQ323,AQ323&lt;AS323,AS323&lt;AU323,OR(AU323&lt;AW323,AW323="-"),OR(AW323&lt;AY323,AW323="-"))</f>
        <v>1</v>
      </c>
      <c r="BC323" s="109">
        <f>_xlfn.AGGREGATE(9,6,CH323:CS323)-_xlfn.AGGREGATE(9,6,BV323:CG323)+12</f>
        <v>265</v>
      </c>
      <c r="BD323" s="126" t="s">
        <v>23</v>
      </c>
      <c r="BE323" s="9" t="s">
        <v>1381</v>
      </c>
      <c r="BF323" s="120" t="s">
        <v>23</v>
      </c>
      <c r="BG323" s="51" t="s">
        <v>1</v>
      </c>
      <c r="BH323" s="51" t="s">
        <v>1</v>
      </c>
      <c r="BI323" s="9"/>
      <c r="BJ323" s="127" t="s">
        <v>1293</v>
      </c>
      <c r="BK323" s="112" t="s">
        <v>1293</v>
      </c>
      <c r="BL323" s="112" t="s">
        <v>1293</v>
      </c>
      <c r="BM323" s="112" t="s">
        <v>1293</v>
      </c>
      <c r="BN323" s="112" t="s">
        <v>1293</v>
      </c>
      <c r="BO323" s="112" t="s">
        <v>1293</v>
      </c>
      <c r="BP323" s="112" t="s">
        <v>1293</v>
      </c>
      <c r="BQ323" s="112" t="s">
        <v>1293</v>
      </c>
      <c r="BR323" s="112" t="s">
        <v>1293</v>
      </c>
      <c r="BS323" s="112" t="s">
        <v>1293</v>
      </c>
      <c r="BT323" s="112" t="s">
        <v>1293</v>
      </c>
      <c r="BU323" s="112" t="s">
        <v>1293</v>
      </c>
      <c r="BV323" s="127">
        <f>E323</f>
        <v>196</v>
      </c>
      <c r="BW323" s="113">
        <f>I323</f>
        <v>229</v>
      </c>
      <c r="BX323" s="114">
        <f>M323</f>
        <v>234</v>
      </c>
      <c r="BY323" s="113" t="str">
        <f>Q323</f>
        <v>-</v>
      </c>
      <c r="BZ323" s="114">
        <f>U323</f>
        <v>285</v>
      </c>
      <c r="CA323" s="113" t="str">
        <f>Y323</f>
        <v>-</v>
      </c>
      <c r="CB323" s="114">
        <f>AC323</f>
        <v>326</v>
      </c>
      <c r="CC323" s="113">
        <f>AG323</f>
        <v>363</v>
      </c>
      <c r="CD323" s="114">
        <f>AK323</f>
        <v>369</v>
      </c>
      <c r="CE323" s="113">
        <f>AO323</f>
        <v>415</v>
      </c>
      <c r="CF323" s="114">
        <f>AS323</f>
        <v>487</v>
      </c>
      <c r="CG323" s="113">
        <f>AW323</f>
        <v>511</v>
      </c>
      <c r="CH323" s="127">
        <f>G323</f>
        <v>228</v>
      </c>
      <c r="CI323" s="113">
        <f>K323</f>
        <v>233</v>
      </c>
      <c r="CJ323" s="114">
        <f>O323</f>
        <v>256</v>
      </c>
      <c r="CK323" s="114" t="str">
        <f>S323</f>
        <v>-</v>
      </c>
      <c r="CL323" s="114">
        <f>W323</f>
        <v>321</v>
      </c>
      <c r="CM323" s="114" t="str">
        <f>AA323</f>
        <v>-</v>
      </c>
      <c r="CN323" s="114">
        <f>AE323</f>
        <v>351</v>
      </c>
      <c r="CO323" s="114">
        <f>AI323</f>
        <v>365</v>
      </c>
      <c r="CP323" s="114">
        <f>AM323</f>
        <v>406</v>
      </c>
      <c r="CQ323" s="114">
        <f>AQ323</f>
        <v>472</v>
      </c>
      <c r="CR323" s="114">
        <f>AU323</f>
        <v>510</v>
      </c>
      <c r="CS323" s="114">
        <f>AY323</f>
        <v>526</v>
      </c>
      <c r="CT323" s="109">
        <f>M323-K323</f>
        <v>1</v>
      </c>
    </row>
    <row r="324" spans="1:98" x14ac:dyDescent="0.2">
      <c r="A324" s="9" t="str">
        <f>CONCATENATE(B324,"_",C324)</f>
        <v>q98sw5_xenla_6D32</v>
      </c>
      <c r="B324" s="9" t="s">
        <v>1510</v>
      </c>
      <c r="C324" s="9" t="s">
        <v>1509</v>
      </c>
      <c r="D324" s="9" t="str">
        <f>IFERROR(MID(VLOOKUP($B324,Seqs!$A:$B,2,0),E324,1),"")</f>
        <v>T</v>
      </c>
      <c r="E324" s="9">
        <v>196</v>
      </c>
      <c r="F324" s="9" t="str">
        <f>IFERROR(MID(VLOOKUP($B324,Seqs!$A:$B,2,0),G324,1),"")</f>
        <v>D</v>
      </c>
      <c r="G324" s="9">
        <v>228</v>
      </c>
      <c r="H324" s="9" t="str">
        <f>IFERROR(MID(VLOOKUP($B324,Seqs!$A:$B,2,0),I324,1),"")</f>
        <v>W</v>
      </c>
      <c r="I324" s="109">
        <v>229</v>
      </c>
      <c r="J324" s="9" t="str">
        <f>IFERROR(MID(VLOOKUP($B324,Seqs!$A:$B,2,0),K324,1),"")</f>
        <v>N</v>
      </c>
      <c r="K324" s="109">
        <v>233</v>
      </c>
      <c r="L324" s="9" t="str">
        <f>IFERROR(MID(VLOOKUP($B324,Seqs!$A:$B,2,0),M324,1),"")</f>
        <v>R</v>
      </c>
      <c r="M324" s="9">
        <v>234</v>
      </c>
      <c r="N324" s="9" t="str">
        <f>IFERROR(MID(VLOOKUP($B324,Seqs!$A:$B,2,0),O324,1),"")</f>
        <v>A</v>
      </c>
      <c r="O324" s="9">
        <v>256</v>
      </c>
      <c r="P324" s="9" t="str">
        <f>IFERROR(MID(VLOOKUP($B324,Seqs!$A:$B,2,0),Q324,1),"")</f>
        <v/>
      </c>
      <c r="Q324" s="9" t="s">
        <v>23</v>
      </c>
      <c r="R324" s="9" t="str">
        <f>IFERROR(MID(VLOOKUP($B324,Seqs!$A:$B,2,0),S324,1),"")</f>
        <v/>
      </c>
      <c r="S324" s="9" t="s">
        <v>23</v>
      </c>
      <c r="T324" s="9" t="str">
        <f>IFERROR(MID(VLOOKUP($B324,Seqs!$A:$B,2,0),U324,1),"")</f>
        <v>L</v>
      </c>
      <c r="U324" s="9">
        <v>285</v>
      </c>
      <c r="V324" s="9" t="str">
        <f>IFERROR(MID(VLOOKUP($B324,Seqs!$A:$B,2,0),W324,1),"")</f>
        <v>K</v>
      </c>
      <c r="W324" s="9">
        <v>317</v>
      </c>
      <c r="X324" s="9" t="str">
        <f>IFERROR(MID(VLOOKUP($B324,Seqs!$A:$B,2,0),Y324,1),"")</f>
        <v/>
      </c>
      <c r="Y324" s="9" t="s">
        <v>23</v>
      </c>
      <c r="Z324" s="9" t="str">
        <f>IFERROR(MID(VLOOKUP($B324,Seqs!$A:$B,2,0),AA324,1),"")</f>
        <v/>
      </c>
      <c r="AA324" s="9" t="s">
        <v>23</v>
      </c>
      <c r="AB324" s="9" t="str">
        <f>IFERROR(MID(VLOOKUP($B324,Seqs!$A:$B,2,0),AC324,1),"")</f>
        <v>K</v>
      </c>
      <c r="AC324" s="9">
        <v>329</v>
      </c>
      <c r="AD324" s="9" t="str">
        <f>IFERROR(MID(VLOOKUP($B324,Seqs!$A:$B,2,0),AE324,1),"")</f>
        <v>V</v>
      </c>
      <c r="AE324" s="9">
        <v>351</v>
      </c>
      <c r="AF324" s="9" t="str">
        <f>IFERROR(MID(VLOOKUP($B324,Seqs!$A:$B,2,0),AG324,1),"")</f>
        <v>C</v>
      </c>
      <c r="AG324" s="9">
        <v>363</v>
      </c>
      <c r="AH324" s="9" t="str">
        <f>IFERROR(MID(VLOOKUP($B324,Seqs!$A:$B,2,0),AI324,1),"")</f>
        <v>V</v>
      </c>
      <c r="AI324" s="9">
        <v>365</v>
      </c>
      <c r="AJ324" s="9" t="str">
        <f>IFERROR(MID(VLOOKUP($B324,Seqs!$A:$B,2,0),AK324,1),"")</f>
        <v>N</v>
      </c>
      <c r="AK324" s="9">
        <v>369</v>
      </c>
      <c r="AL324" s="9" t="str">
        <f>IFERROR(MID(VLOOKUP($B324,Seqs!$A:$B,2,0),AM324,1),"")</f>
        <v>S</v>
      </c>
      <c r="AM324" s="9">
        <v>401</v>
      </c>
      <c r="AN324" s="9" t="str">
        <f>IFERROR(MID(VLOOKUP($B324,Seqs!$A:$B,2,0),AO324,1),"")</f>
        <v>S</v>
      </c>
      <c r="AO324" s="9">
        <v>416</v>
      </c>
      <c r="AP324" s="9" t="str">
        <f>IFERROR(MID(VLOOKUP($B324,Seqs!$A:$B,2,0),AQ324,1),"")</f>
        <v>Q</v>
      </c>
      <c r="AQ324" s="9">
        <v>472</v>
      </c>
      <c r="AR324" s="9" t="str">
        <f>IFERROR(MID(VLOOKUP($B324,Seqs!$A:$B,2,0),AS324,1),"")</f>
        <v>S</v>
      </c>
      <c r="AS324" s="9">
        <v>487</v>
      </c>
      <c r="AT324" s="9" t="str">
        <f>IFERROR(MID(VLOOKUP($B324,Seqs!$A:$B,2,0),AU324,1),"")</f>
        <v>W</v>
      </c>
      <c r="AU324" s="9">
        <v>510</v>
      </c>
      <c r="AV324" s="9" t="str">
        <f>IFERROR(MID(VLOOKUP($B324,Seqs!$A:$B,2,0),AW324,1),"")</f>
        <v>T</v>
      </c>
      <c r="AW324" s="9">
        <v>511</v>
      </c>
      <c r="AX324" s="9" t="str">
        <f>IFERROR(MID(VLOOKUP($B324,Seqs!$A:$B,2,0),AY324,1),"")</f>
        <v>R</v>
      </c>
      <c r="AY324" s="9">
        <v>520</v>
      </c>
      <c r="AZ324" s="124" t="str">
        <f>VLOOKUP(B324,Classification!A:D,2,0)</f>
        <v>F</v>
      </c>
      <c r="BA324" s="98" t="str">
        <f>VLOOKUP(B324,Classification!A:D,4,0)</f>
        <v>Frizzled</v>
      </c>
      <c r="BB324" s="125" t="b">
        <f>AND(E324&lt;G324,OR(G324&lt;I324,I324="-"),OR(I324&lt;K324,I324="-"),OR(K324&lt;M324,K324="-"),M324&lt;O324,OR(O324&lt;Q324,Q324="-"),OR(Q324&lt;S324,Q324="-"),OR(S324&lt;U324,S324="-"),U324&lt;W324,OR(W324&lt;Y324,Y324="-"),OR(Y324&lt;AA324,Y324="-"),OR(AA324&lt;AC324,AA324="-"),AC324&lt;AE324,OR(AE324&lt;AG324,AG324="-"),OR(AG324&lt;AI324,AG324="-"),OR(AI324&lt;AK324,AI324="-"),AK324&lt;AM324,AM324&lt;AO324,AO324&lt;AQ324,AQ324&lt;AS324,AS324&lt;AU324,OR(AU324&lt;AW324,AW324="-"),OR(AW324&lt;AY324,AW324="-"))</f>
        <v>1</v>
      </c>
      <c r="BC324" s="109">
        <f>_xlfn.AGGREGATE(9,6,CH324:CS324)-_xlfn.AGGREGATE(9,6,BV324:CG324)+12</f>
        <v>246</v>
      </c>
      <c r="BD324" s="126" t="s">
        <v>1383</v>
      </c>
      <c r="BE324" s="9" t="s">
        <v>1381</v>
      </c>
      <c r="BF324" s="120">
        <v>3.7509999999999999</v>
      </c>
      <c r="BG324" s="51" t="s">
        <v>1</v>
      </c>
      <c r="BH324" s="51" t="s">
        <v>1</v>
      </c>
      <c r="BI324" s="9"/>
      <c r="BJ324" s="127" t="s">
        <v>1293</v>
      </c>
      <c r="BK324" s="112" t="s">
        <v>1293</v>
      </c>
      <c r="BL324" s="112" t="s">
        <v>1293</v>
      </c>
      <c r="BM324" s="112" t="s">
        <v>1293</v>
      </c>
      <c r="BN324" s="112" t="s">
        <v>1293</v>
      </c>
      <c r="BO324" s="112" t="s">
        <v>1293</v>
      </c>
      <c r="BP324" s="112" t="s">
        <v>1293</v>
      </c>
      <c r="BQ324" s="112" t="s">
        <v>1293</v>
      </c>
      <c r="BR324" s="112" t="s">
        <v>1293</v>
      </c>
      <c r="BS324" s="112" t="s">
        <v>1293</v>
      </c>
      <c r="BT324" s="112" t="s">
        <v>1293</v>
      </c>
      <c r="BU324" s="112" t="s">
        <v>1293</v>
      </c>
      <c r="BV324" s="127">
        <f>E324</f>
        <v>196</v>
      </c>
      <c r="BW324" s="113">
        <f>I324</f>
        <v>229</v>
      </c>
      <c r="BX324" s="114">
        <f>M324</f>
        <v>234</v>
      </c>
      <c r="BY324" s="113" t="str">
        <f>Q324</f>
        <v>-</v>
      </c>
      <c r="BZ324" s="114">
        <f>U324</f>
        <v>285</v>
      </c>
      <c r="CA324" s="113" t="str">
        <f>Y324</f>
        <v>-</v>
      </c>
      <c r="CB324" s="114">
        <f>AC324</f>
        <v>329</v>
      </c>
      <c r="CC324" s="113">
        <f>AG324</f>
        <v>363</v>
      </c>
      <c r="CD324" s="114">
        <f>AK324</f>
        <v>369</v>
      </c>
      <c r="CE324" s="113">
        <f>AO324</f>
        <v>416</v>
      </c>
      <c r="CF324" s="114">
        <f>AS324</f>
        <v>487</v>
      </c>
      <c r="CG324" s="113">
        <f>AW324</f>
        <v>511</v>
      </c>
      <c r="CH324" s="127">
        <f>G324</f>
        <v>228</v>
      </c>
      <c r="CI324" s="113">
        <f>K324</f>
        <v>233</v>
      </c>
      <c r="CJ324" s="114">
        <f>O324</f>
        <v>256</v>
      </c>
      <c r="CK324" s="114" t="str">
        <f>S324</f>
        <v>-</v>
      </c>
      <c r="CL324" s="114">
        <f>W324</f>
        <v>317</v>
      </c>
      <c r="CM324" s="114" t="str">
        <f>AA324</f>
        <v>-</v>
      </c>
      <c r="CN324" s="114">
        <f>AE324</f>
        <v>351</v>
      </c>
      <c r="CO324" s="114">
        <f>AI324</f>
        <v>365</v>
      </c>
      <c r="CP324" s="114">
        <f>AM324</f>
        <v>401</v>
      </c>
      <c r="CQ324" s="114">
        <f>AQ324</f>
        <v>472</v>
      </c>
      <c r="CR324" s="114">
        <f>AU324</f>
        <v>510</v>
      </c>
      <c r="CS324" s="114">
        <f>AY324</f>
        <v>520</v>
      </c>
      <c r="CT324" s="109">
        <f>M324-K324</f>
        <v>1</v>
      </c>
    </row>
    <row r="325" spans="1:98" x14ac:dyDescent="0.2">
      <c r="A325" s="9" t="str">
        <f>CONCATENATE(B325,"_",C325)</f>
        <v>q98sw5_xenla_6D35</v>
      </c>
      <c r="B325" s="9" t="s">
        <v>1510</v>
      </c>
      <c r="C325" s="9" t="s">
        <v>1513</v>
      </c>
      <c r="D325" s="9" t="str">
        <f>IFERROR(MID(VLOOKUP($B325,Seqs!$A:$B,2,0),E325,1),"")</f>
        <v>T</v>
      </c>
      <c r="E325" s="9">
        <v>196</v>
      </c>
      <c r="F325" s="9" t="str">
        <f>IFERROR(MID(VLOOKUP($B325,Seqs!$A:$B,2,0),G325,1),"")</f>
        <v>D</v>
      </c>
      <c r="G325" s="9">
        <v>228</v>
      </c>
      <c r="H325" s="9" t="str">
        <f>IFERROR(MID(VLOOKUP($B325,Seqs!$A:$B,2,0),I325,1),"")</f>
        <v>W</v>
      </c>
      <c r="I325" s="109">
        <v>229</v>
      </c>
      <c r="J325" s="9" t="str">
        <f>IFERROR(MID(VLOOKUP($B325,Seqs!$A:$B,2,0),K325,1),"")</f>
        <v>N</v>
      </c>
      <c r="K325" s="109">
        <v>233</v>
      </c>
      <c r="L325" s="9" t="str">
        <f>IFERROR(MID(VLOOKUP($B325,Seqs!$A:$B,2,0),M325,1),"")</f>
        <v>R</v>
      </c>
      <c r="M325" s="9">
        <v>234</v>
      </c>
      <c r="N325" s="9" t="str">
        <f>IFERROR(MID(VLOOKUP($B325,Seqs!$A:$B,2,0),O325,1),"")</f>
        <v>A</v>
      </c>
      <c r="O325" s="9">
        <v>256</v>
      </c>
      <c r="P325" s="9" t="str">
        <f>IFERROR(MID(VLOOKUP($B325,Seqs!$A:$B,2,0),Q325,1),"")</f>
        <v/>
      </c>
      <c r="Q325" s="9" t="s">
        <v>23</v>
      </c>
      <c r="R325" s="9" t="str">
        <f>IFERROR(MID(VLOOKUP($B325,Seqs!$A:$B,2,0),S325,1),"")</f>
        <v/>
      </c>
      <c r="S325" s="9" t="s">
        <v>23</v>
      </c>
      <c r="T325" s="9" t="str">
        <f>IFERROR(MID(VLOOKUP($B325,Seqs!$A:$B,2,0),U325,1),"")</f>
        <v>L</v>
      </c>
      <c r="U325" s="9">
        <v>285</v>
      </c>
      <c r="V325" s="9" t="str">
        <f>IFERROR(MID(VLOOKUP($B325,Seqs!$A:$B,2,0),W325,1),"")</f>
        <v>K</v>
      </c>
      <c r="W325" s="9">
        <v>317</v>
      </c>
      <c r="X325" s="9" t="str">
        <f>IFERROR(MID(VLOOKUP($B325,Seqs!$A:$B,2,0),Y325,1),"")</f>
        <v/>
      </c>
      <c r="Y325" s="9" t="s">
        <v>23</v>
      </c>
      <c r="Z325" s="9" t="str">
        <f>IFERROR(MID(VLOOKUP($B325,Seqs!$A:$B,2,0),AA325,1),"")</f>
        <v/>
      </c>
      <c r="AA325" s="9" t="s">
        <v>23</v>
      </c>
      <c r="AB325" s="9" t="str">
        <f>IFERROR(MID(VLOOKUP($B325,Seqs!$A:$B,2,0),AC325,1),"")</f>
        <v>K</v>
      </c>
      <c r="AC325" s="9">
        <v>329</v>
      </c>
      <c r="AD325" s="9" t="str">
        <f>IFERROR(MID(VLOOKUP($B325,Seqs!$A:$B,2,0),AE325,1),"")</f>
        <v>V</v>
      </c>
      <c r="AE325" s="9">
        <v>351</v>
      </c>
      <c r="AF325" s="9" t="str">
        <f>IFERROR(MID(VLOOKUP($B325,Seqs!$A:$B,2,0),AG325,1),"")</f>
        <v>C</v>
      </c>
      <c r="AG325" s="9">
        <v>363</v>
      </c>
      <c r="AH325" s="9" t="str">
        <f>IFERROR(MID(VLOOKUP($B325,Seqs!$A:$B,2,0),AI325,1),"")</f>
        <v>V</v>
      </c>
      <c r="AI325" s="9">
        <v>365</v>
      </c>
      <c r="AJ325" s="9" t="str">
        <f>IFERROR(MID(VLOOKUP($B325,Seqs!$A:$B,2,0),AK325,1),"")</f>
        <v>N</v>
      </c>
      <c r="AK325" s="9">
        <v>369</v>
      </c>
      <c r="AL325" s="9" t="str">
        <f>IFERROR(MID(VLOOKUP($B325,Seqs!$A:$B,2,0),AM325,1),"")</f>
        <v>S</v>
      </c>
      <c r="AM325" s="9">
        <v>401</v>
      </c>
      <c r="AN325" s="9" t="str">
        <f>IFERROR(MID(VLOOKUP($B325,Seqs!$A:$B,2,0),AO325,1),"")</f>
        <v>S</v>
      </c>
      <c r="AO325" s="9">
        <v>416</v>
      </c>
      <c r="AP325" s="9" t="str">
        <f>IFERROR(MID(VLOOKUP($B325,Seqs!$A:$B,2,0),AQ325,1),"")</f>
        <v>Q</v>
      </c>
      <c r="AQ325" s="9">
        <v>472</v>
      </c>
      <c r="AR325" s="9" t="str">
        <f>IFERROR(MID(VLOOKUP($B325,Seqs!$A:$B,2,0),AS325,1),"")</f>
        <v>S</v>
      </c>
      <c r="AS325" s="9">
        <v>487</v>
      </c>
      <c r="AT325" s="9" t="str">
        <f>IFERROR(MID(VLOOKUP($B325,Seqs!$A:$B,2,0),AU325,1),"")</f>
        <v>W</v>
      </c>
      <c r="AU325" s="9">
        <v>510</v>
      </c>
      <c r="AV325" s="9" t="str">
        <f>IFERROR(MID(VLOOKUP($B325,Seqs!$A:$B,2,0),AW325,1),"")</f>
        <v>T</v>
      </c>
      <c r="AW325" s="9">
        <v>511</v>
      </c>
      <c r="AX325" s="9" t="str">
        <f>IFERROR(MID(VLOOKUP($B325,Seqs!$A:$B,2,0),AY325,1),"")</f>
        <v>R</v>
      </c>
      <c r="AY325" s="9">
        <v>520</v>
      </c>
      <c r="AZ325" s="124" t="str">
        <f>VLOOKUP(B325,Classification!A:D,2,0)</f>
        <v>F</v>
      </c>
      <c r="BA325" s="98" t="str">
        <f>VLOOKUP(B325,Classification!A:D,4,0)</f>
        <v>Frizzled</v>
      </c>
      <c r="BB325" s="125" t="b">
        <f>AND(E325&lt;G325,OR(G325&lt;I325,I325="-"),OR(I325&lt;K325,I325="-"),OR(K325&lt;M325,K325="-"),M325&lt;O325,OR(O325&lt;Q325,Q325="-"),OR(Q325&lt;S325,Q325="-"),OR(S325&lt;U325,S325="-"),U325&lt;W325,OR(W325&lt;Y325,Y325="-"),OR(Y325&lt;AA325,Y325="-"),OR(AA325&lt;AC325,AA325="-"),AC325&lt;AE325,OR(AE325&lt;AG325,AG325="-"),OR(AG325&lt;AI325,AG325="-"),OR(AI325&lt;AK325,AI325="-"),AK325&lt;AM325,AM325&lt;AO325,AO325&lt;AQ325,AQ325&lt;AS325,AS325&lt;AU325,OR(AU325&lt;AW325,AW325="-"),OR(AW325&lt;AY325,AW325="-"))</f>
        <v>1</v>
      </c>
      <c r="BC325" s="109">
        <f>_xlfn.AGGREGATE(9,6,CH325:CS325)-_xlfn.AGGREGATE(9,6,BV325:CG325)+12</f>
        <v>246</v>
      </c>
      <c r="BD325" s="126" t="s">
        <v>23</v>
      </c>
      <c r="BE325" s="9" t="s">
        <v>1381</v>
      </c>
      <c r="BF325" s="120">
        <v>3.9</v>
      </c>
      <c r="BG325" s="51" t="s">
        <v>1</v>
      </c>
      <c r="BH325" s="51" t="s">
        <v>1</v>
      </c>
      <c r="BI325" s="9"/>
      <c r="BJ325" s="127" t="s">
        <v>1293</v>
      </c>
      <c r="BK325" s="112" t="s">
        <v>1293</v>
      </c>
      <c r="BL325" s="112" t="s">
        <v>1293</v>
      </c>
      <c r="BM325" s="112" t="s">
        <v>1293</v>
      </c>
      <c r="BN325" s="112" t="s">
        <v>1293</v>
      </c>
      <c r="BO325" s="112" t="s">
        <v>1293</v>
      </c>
      <c r="BP325" s="112" t="s">
        <v>1293</v>
      </c>
      <c r="BQ325" s="112" t="s">
        <v>1293</v>
      </c>
      <c r="BR325" s="112" t="s">
        <v>1293</v>
      </c>
      <c r="BS325" s="112" t="s">
        <v>1293</v>
      </c>
      <c r="BT325" s="112" t="s">
        <v>1293</v>
      </c>
      <c r="BU325" s="112" t="s">
        <v>1293</v>
      </c>
      <c r="BV325" s="127">
        <f>E325</f>
        <v>196</v>
      </c>
      <c r="BW325" s="113">
        <f>I325</f>
        <v>229</v>
      </c>
      <c r="BX325" s="114">
        <f>M325</f>
        <v>234</v>
      </c>
      <c r="BY325" s="113" t="str">
        <f>Q325</f>
        <v>-</v>
      </c>
      <c r="BZ325" s="114">
        <f>U325</f>
        <v>285</v>
      </c>
      <c r="CA325" s="113" t="str">
        <f>Y325</f>
        <v>-</v>
      </c>
      <c r="CB325" s="114">
        <f>AC325</f>
        <v>329</v>
      </c>
      <c r="CC325" s="113">
        <f>AG325</f>
        <v>363</v>
      </c>
      <c r="CD325" s="114">
        <f>AK325</f>
        <v>369</v>
      </c>
      <c r="CE325" s="113">
        <f>AO325</f>
        <v>416</v>
      </c>
      <c r="CF325" s="114">
        <f>AS325</f>
        <v>487</v>
      </c>
      <c r="CG325" s="113">
        <f>AW325</f>
        <v>511</v>
      </c>
      <c r="CH325" s="127">
        <f>G325</f>
        <v>228</v>
      </c>
      <c r="CI325" s="113">
        <f>K325</f>
        <v>233</v>
      </c>
      <c r="CJ325" s="114">
        <f>O325</f>
        <v>256</v>
      </c>
      <c r="CK325" s="114" t="str">
        <f>S325</f>
        <v>-</v>
      </c>
      <c r="CL325" s="114">
        <f>W325</f>
        <v>317</v>
      </c>
      <c r="CM325" s="114" t="str">
        <f>AA325</f>
        <v>-</v>
      </c>
      <c r="CN325" s="114">
        <f>AE325</f>
        <v>351</v>
      </c>
      <c r="CO325" s="114">
        <f>AI325</f>
        <v>365</v>
      </c>
      <c r="CP325" s="114">
        <f>AM325</f>
        <v>401</v>
      </c>
      <c r="CQ325" s="114">
        <f>AQ325</f>
        <v>472</v>
      </c>
      <c r="CR325" s="114">
        <f>AU325</f>
        <v>510</v>
      </c>
      <c r="CS325" s="114">
        <f>AY325</f>
        <v>520</v>
      </c>
      <c r="CT325" s="109">
        <f>M325-K325</f>
        <v>1</v>
      </c>
    </row>
    <row r="399" spans="52:86" x14ac:dyDescent="0.2">
      <c r="AZ399" s="77"/>
      <c r="BA399" s="28"/>
      <c r="BB399" s="16"/>
      <c r="BD399" s="2"/>
      <c r="BJ399" s="70"/>
      <c r="BV399" s="70"/>
      <c r="CH399" s="70"/>
    </row>
  </sheetData>
  <sortState ref="A2:AMN255">
    <sortCondition ref="AZ2:AZ255"/>
    <sortCondition ref="B2:B255"/>
    <sortCondition ref="C2:C255"/>
  </sortState>
  <customSheetViews>
    <customSheetView guid="{3E3401AF-8459-8641-BD70-AD04F80E86ED}" scale="110">
      <pane xSplit="3" ySplit="1" topLeftCell="D75" activePane="bottomRight" state="frozenSplit"/>
      <selection pane="bottomRight" activeCell="C96" sqref="C96"/>
      <pageMargins left="0.7" right="0.7" top="0.75" bottom="0.75" header="0.3" footer="0.3"/>
      <pageSetup orientation="portrait" horizontalDpi="300" verticalDpi="300" r:id="rId1"/>
    </customSheetView>
  </customSheetViews>
  <conditionalFormatting sqref="BB118 BB64 BB26:BB30 BB33:BB37">
    <cfRule type="cellIs" dxfId="70" priority="10" operator="equal">
      <formula>0</formula>
    </cfRule>
  </conditionalFormatting>
  <conditionalFormatting sqref="BB247:BB248">
    <cfRule type="cellIs" dxfId="69" priority="11" operator="equal">
      <formula>0</formula>
    </cfRule>
  </conditionalFormatting>
  <conditionalFormatting sqref="BB9">
    <cfRule type="cellIs" dxfId="68" priority="12" operator="equal">
      <formula>0</formula>
    </cfRule>
  </conditionalFormatting>
  <conditionalFormatting sqref="BB272">
    <cfRule type="cellIs" dxfId="67" priority="13" operator="equal">
      <formula>0</formula>
    </cfRule>
  </conditionalFormatting>
  <conditionalFormatting sqref="E272 AW272 AU272 AS272 AQ272 AO272 AM272 AK272 AI272 AG272 AE272 AC272 AA272 Y272 W272 U272 S272 Q272 O272 M272 K272 I272 G272">
    <cfRule type="cellIs" dxfId="66" priority="14" operator="equal">
      <formula>"G"</formula>
    </cfRule>
    <cfRule type="cellIs" dxfId="65" priority="15" operator="equal">
      <formula>"P"</formula>
    </cfRule>
  </conditionalFormatting>
  <conditionalFormatting sqref="BB25">
    <cfRule type="cellIs" dxfId="64" priority="16" operator="equal">
      <formula>0</formula>
    </cfRule>
  </conditionalFormatting>
  <conditionalFormatting sqref="BB8">
    <cfRule type="cellIs" dxfId="63" priority="20" operator="equal">
      <formula>0</formula>
    </cfRule>
  </conditionalFormatting>
  <conditionalFormatting sqref="E8 AW8 AU8 AS8 AQ8 AO8 AM8 AK8 AI8 AG8 AE8 AC8 AA8 Y8 W8 U8 S8 Q8 O8 M8 K8 I8 G8">
    <cfRule type="cellIs" dxfId="62" priority="22" operator="equal">
      <formula>"G"</formula>
    </cfRule>
    <cfRule type="cellIs" dxfId="61" priority="23" operator="equal">
      <formula>"P"</formula>
    </cfRule>
  </conditionalFormatting>
  <conditionalFormatting sqref="BB1:BB30 BB33:BB1048576">
    <cfRule type="cellIs" dxfId="60" priority="8" operator="equal">
      <formula>FALSE</formula>
    </cfRule>
  </conditionalFormatting>
  <conditionalFormatting sqref="BG33:BG44 BG24:BG30 BH24:BH44 BG1:BH23 BG45:BH1048576">
    <cfRule type="cellIs" dxfId="59" priority="7" operator="equal">
      <formula>"?"</formula>
    </cfRule>
  </conditionalFormatting>
  <conditionalFormatting sqref="BB31:BB32">
    <cfRule type="cellIs" dxfId="58" priority="6" operator="equal">
      <formula>FALSE</formula>
    </cfRule>
  </conditionalFormatting>
  <conditionalFormatting sqref="BG31:BG32">
    <cfRule type="cellIs" dxfId="57" priority="5" operator="equal">
      <formula>"?"</formula>
    </cfRule>
  </conditionalFormatting>
  <conditionalFormatting sqref="BE2:BE1048576">
    <cfRule type="notContainsText" dxfId="56" priority="2" operator="notContains" text="In">
      <formula>ISERROR(SEARCH("In",BE2))</formula>
    </cfRule>
    <cfRule type="containsText" dxfId="55" priority="3" operator="containsText" text="Inter">
      <formula>NOT(ISERROR(SEARCH("Inter",BE2)))</formula>
    </cfRule>
    <cfRule type="containsText" dxfId="54" priority="4" operator="containsText" text="Inact">
      <formula>NOT(ISERROR(SEARCH("Inact",BE2)))</formula>
    </cfRule>
  </conditionalFormatting>
  <pageMargins left="0.7" right="0.7" top="0.75" bottom="0.75" header="0.3" footer="0.3"/>
  <pageSetup orientation="portrait" horizontalDpi="300" verticalDpi="300" r:id="rId2"/>
  <ignoredErrors>
    <ignoredError sqref="C180" numberStoredAsText="1"/>
  </ignoredError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" operator="containsText" id="{37300FEC-62E5-C949-9D60-F28988328986}">
            <xm:f>NOT(ISERROR(SEARCH("-",BE2)))</xm:f>
            <xm:f>"-"</xm:f>
            <x14:dxf>
              <font>
                <color theme="1"/>
              </font>
              <fill>
                <patternFill patternType="none">
                  <bgColor auto="1"/>
                </patternFill>
              </fill>
            </x14:dxf>
          </x14:cfRule>
          <xm:sqref>BE2:BE399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156"/>
  <sheetViews>
    <sheetView workbookViewId="0">
      <pane ySplit="1" topLeftCell="A24" activePane="bottomLeft" state="frozenSplit"/>
      <selection pane="bottomLeft" activeCell="A65" sqref="A65"/>
    </sheetView>
  </sheetViews>
  <sheetFormatPr baseColWidth="10" defaultColWidth="10.83203125" defaultRowHeight="16" x14ac:dyDescent="0.2"/>
  <cols>
    <col min="1" max="1" width="16.83203125" style="2" bestFit="1" customWidth="1"/>
    <col min="2" max="2" width="13.33203125" style="2" bestFit="1" customWidth="1"/>
    <col min="3" max="18" width="4.1640625" style="4" bestFit="1" customWidth="1"/>
    <col min="19" max="19" width="4.6640625" style="4" bestFit="1" customWidth="1"/>
    <col min="20" max="20" width="4.1640625" style="4" bestFit="1" customWidth="1"/>
    <col min="21" max="26" width="4.6640625" style="4" bestFit="1" customWidth="1"/>
    <col min="27" max="27" width="2.6640625" style="50" bestFit="1" customWidth="1"/>
    <col min="28" max="28" width="5" style="97" customWidth="1"/>
    <col min="29" max="30" width="5.6640625" style="50" bestFit="1" customWidth="1"/>
    <col min="31" max="33" width="6" style="50" customWidth="1"/>
    <col min="34" max="35" width="4.6640625" style="50" customWidth="1"/>
    <col min="36" max="36" width="9.83203125" style="50" customWidth="1"/>
    <col min="37" max="38" width="5.5" style="50" customWidth="1"/>
    <col min="39" max="39" width="5.33203125" style="4" customWidth="1"/>
    <col min="40" max="40" width="6" style="39" bestFit="1" customWidth="1"/>
    <col min="41" max="41" width="5" style="4" bestFit="1" customWidth="1"/>
    <col min="42" max="43" width="3.6640625" style="4" customWidth="1"/>
    <col min="44" max="45" width="3.1640625" style="4" customWidth="1"/>
    <col min="46" max="47" width="4.1640625" style="4" customWidth="1"/>
    <col min="48" max="48" width="6" style="4" customWidth="1"/>
    <col min="49" max="49" width="4.33203125" style="4" customWidth="1"/>
    <col min="50" max="51" width="3.6640625" style="4" customWidth="1"/>
    <col min="52" max="53" width="3.1640625" style="4" customWidth="1"/>
    <col min="54" max="55" width="4.1640625" style="4" customWidth="1"/>
    <col min="56" max="63" width="3.1640625" style="4" customWidth="1"/>
    <col min="64" max="64" width="3.33203125" style="4" customWidth="1"/>
    <col min="65" max="16384" width="10.83203125" style="4"/>
  </cols>
  <sheetData>
    <row r="1" spans="1:64" x14ac:dyDescent="0.2">
      <c r="A1" s="30" t="s">
        <v>1077</v>
      </c>
      <c r="B1" s="30" t="s">
        <v>31</v>
      </c>
      <c r="C1" s="30" t="s">
        <v>1061</v>
      </c>
      <c r="D1" s="30" t="s">
        <v>1062</v>
      </c>
      <c r="E1" s="30" t="s">
        <v>1078</v>
      </c>
      <c r="F1" s="30" t="s">
        <v>1079</v>
      </c>
      <c r="G1" s="30" t="s">
        <v>1063</v>
      </c>
      <c r="H1" s="30" t="s">
        <v>1064</v>
      </c>
      <c r="I1" s="30" t="s">
        <v>1080</v>
      </c>
      <c r="J1" s="30" t="s">
        <v>1081</v>
      </c>
      <c r="K1" s="30" t="s">
        <v>1065</v>
      </c>
      <c r="L1" s="30" t="s">
        <v>1066</v>
      </c>
      <c r="M1" s="30" t="s">
        <v>1093</v>
      </c>
      <c r="N1" s="30" t="s">
        <v>1094</v>
      </c>
      <c r="O1" s="30" t="s">
        <v>1067</v>
      </c>
      <c r="P1" s="30" t="s">
        <v>1068</v>
      </c>
      <c r="Q1" s="30" t="s">
        <v>1096</v>
      </c>
      <c r="R1" s="30" t="s">
        <v>1097</v>
      </c>
      <c r="S1" s="30" t="s">
        <v>1069</v>
      </c>
      <c r="T1" s="30" t="s">
        <v>1070</v>
      </c>
      <c r="U1" s="30" t="s">
        <v>1071</v>
      </c>
      <c r="V1" s="30" t="s">
        <v>1072</v>
      </c>
      <c r="W1" s="30" t="s">
        <v>1073</v>
      </c>
      <c r="X1" s="30" t="s">
        <v>1074</v>
      </c>
      <c r="Y1" s="30" t="s">
        <v>1075</v>
      </c>
      <c r="Z1" s="30" t="s">
        <v>1076</v>
      </c>
      <c r="AA1" s="30" t="s">
        <v>99</v>
      </c>
      <c r="AB1" s="95" t="s">
        <v>1387</v>
      </c>
      <c r="AC1" s="30" t="s">
        <v>1295</v>
      </c>
      <c r="AD1" s="30" t="s">
        <v>1294</v>
      </c>
      <c r="AE1" s="30" t="s">
        <v>1288</v>
      </c>
      <c r="AF1" s="30" t="s">
        <v>1231</v>
      </c>
      <c r="AG1" s="30" t="s">
        <v>1289</v>
      </c>
      <c r="AH1" s="30" t="s">
        <v>1242</v>
      </c>
      <c r="AI1" s="30" t="s">
        <v>1291</v>
      </c>
      <c r="AJ1" s="30" t="s">
        <v>1281</v>
      </c>
      <c r="AK1" s="30" t="s">
        <v>1290</v>
      </c>
      <c r="AL1" s="30" t="s">
        <v>1296</v>
      </c>
      <c r="AM1" s="30" t="s">
        <v>1240</v>
      </c>
      <c r="AN1" s="38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0"/>
      <c r="BC1" s="30"/>
      <c r="BD1" s="30"/>
      <c r="BE1" s="30"/>
      <c r="BF1" s="30"/>
      <c r="BG1" s="30"/>
      <c r="BH1" s="30"/>
      <c r="BI1" s="30"/>
      <c r="BJ1" s="30"/>
      <c r="BK1" s="30"/>
    </row>
    <row r="2" spans="1:64" s="49" customFormat="1" x14ac:dyDescent="0.2">
      <c r="A2" s="2" t="s">
        <v>1374</v>
      </c>
      <c r="B2" s="2" t="s">
        <v>177</v>
      </c>
      <c r="C2" s="2">
        <f>IFERROR(50+VLOOKUP($A2,'SegEnds_Xtal_Prot#'!$A:$AY,5,FALSE)-VLOOKUP($B2,'SegEnds_NonXtal_Prot#'!$A:$AL,4,FALSE),"-")</f>
        <v>27</v>
      </c>
      <c r="D2" s="2">
        <f>IFERROR(50+VLOOKUP($A2,'SegEnds_Xtal_Prot#'!$A:$AY,7,FALSE)-VLOOKUP($B2,'SegEnds_NonXtal_Prot#'!$A:$AL,4,FALSE),"-")</f>
        <v>60</v>
      </c>
      <c r="E2" s="2">
        <f>IFERROR(50+VLOOKUP($A2,'SegEnds_Xtal_Prot#'!$A:$AY,9,FALSE)-VLOOKUP($B2,'SegEnds_NonXtal_Prot#'!$A:$AL,7,FALSE),"-")</f>
        <v>48</v>
      </c>
      <c r="F2" s="2">
        <f>IFERROR(50+VLOOKUP($A2,'SegEnds_Xtal_Prot#'!$A:$AY,11,FALSE)-VLOOKUP($B2,'SegEnds_NonXtal_Prot#'!$A:$AL,7,FALSE),"-")</f>
        <v>51</v>
      </c>
      <c r="G2" s="2">
        <f>IFERROR(50+VLOOKUP($A2,'SegEnds_Xtal_Prot#'!$A:$AY,13,FALSE)-VLOOKUP($B2,'SegEnds_NonXtal_Prot#'!$A:$AL,10,FALSE),"-")</f>
        <v>37</v>
      </c>
      <c r="H2" s="2">
        <f>IFERROR(50+VLOOKUP($A2,'SegEnds_Xtal_Prot#'!$A:$AY,15,FALSE)-VLOOKUP($B2,'SegEnds_NonXtal_Prot#'!$A:$AL,10,FALSE),"-")</f>
        <v>66</v>
      </c>
      <c r="I2" s="2">
        <f>IFERROR(50+VLOOKUP($A2,'SegEnds_Xtal_Prot#'!$A:$AY,17,FALSE)-VLOOKUP($B2,'SegEnds_NonXtal_Prot#'!$A:$AL,13,FALSE),"-")</f>
        <v>49</v>
      </c>
      <c r="J2" s="2">
        <f>IFERROR(50+VLOOKUP($A2,'SegEnds_Xtal_Prot#'!$A:$AY,19,FALSE)-VLOOKUP($B2,'SegEnds_NonXtal_Prot#'!$A:$AL,13,FALSE),"-")</f>
        <v>52</v>
      </c>
      <c r="K2" s="2">
        <f>IFERROR(50+VLOOKUP($A2,'SegEnds_Xtal_Prot#'!$A:$AY,21,FALSE)-VLOOKUP($B2,'SegEnds_NonXtal_Prot#'!$A:$AL,16,FALSE),"-")</f>
        <v>21</v>
      </c>
      <c r="L2" s="2">
        <f>IFERROR(50+VLOOKUP($A2,'SegEnds_Xtal_Prot#'!$A:$AY,23,FALSE)-VLOOKUP($B2,'SegEnds_NonXtal_Prot#'!$A:$AL,16,FALSE),"-")</f>
        <v>56</v>
      </c>
      <c r="M2" s="2">
        <f>IFERROR(50+VLOOKUP($A2,'SegEnds_Xtal_Prot#'!$A:$AY,25,FALSE)-VLOOKUP($B2,'SegEnds_NonXtal_Prot#'!$A:$AL,19,FALSE),"-")</f>
        <v>50</v>
      </c>
      <c r="N2" s="2">
        <f>IFERROR(50+VLOOKUP($A2,'SegEnds_Xtal_Prot#'!$A:$AY,27,FALSE)-VLOOKUP($B2,'SegEnds_NonXtal_Prot#'!$A:$AL,19,FALSE),"-")</f>
        <v>56</v>
      </c>
      <c r="O2" s="2">
        <f>IFERROR(50+VLOOKUP($A2,'SegEnds_Xtal_Prot#'!$A:$AY,29,FALSE)-VLOOKUP($B2,'SegEnds_NonXtal_Prot#'!$A:$AL,22,FALSE),"-")</f>
        <v>35</v>
      </c>
      <c r="P2" s="2">
        <f>IFERROR(50+VLOOKUP($A2,'SegEnds_Xtal_Prot#'!$A:$AY,31,FALSE)-VLOOKUP($B2,'SegEnds_NonXtal_Prot#'!$A:$AL,22,FALSE),"-")</f>
        <v>64</v>
      </c>
      <c r="Q2" s="2">
        <f>IFERROR(50+VLOOKUP($A2,'SegEnds_Xtal_Prot#'!$A:$AY,33,FALSE)-VLOOKUP($B2,'SegEnds_NonXtal_Prot#'!$A:$AL,25,FALSE),"-")</f>
        <v>50</v>
      </c>
      <c r="R2" s="2">
        <f>IFERROR(50+VLOOKUP($A2,'SegEnds_Xtal_Prot#'!$A:$AY,35,FALSE)-VLOOKUP($B2,'SegEnds_NonXtal_Prot#'!$A:$AL,25,FALSE),"-")</f>
        <v>52</v>
      </c>
      <c r="S2" s="2">
        <f>IFERROR(50+VLOOKUP($A2,'SegEnds_Xtal_Prot#'!$A:$AY,37,FALSE)-VLOOKUP($B2,'SegEnds_NonXtal_Prot#'!$A:$AL,28,FALSE),"-")</f>
        <v>33</v>
      </c>
      <c r="T2" s="2">
        <f>IFERROR(50+VLOOKUP($A2,'SegEnds_Xtal_Prot#'!$A:$AY,39,FALSE)-VLOOKUP($B2,'SegEnds_NonXtal_Prot#'!$A:$AL,28,FALSE),"-")</f>
        <v>68</v>
      </c>
      <c r="U2" s="2">
        <f>IFERROR(50+VLOOKUP($A2,'SegEnds_Xtal_Prot#'!$A:$AY,41,FALSE)-VLOOKUP($B2,'SegEnds_NonXtal_Prot#'!$A:$AL,31,FALSE),"-")</f>
        <v>28</v>
      </c>
      <c r="V2" s="2">
        <f>IFERROR(50+VLOOKUP($A2,'SegEnds_Xtal_Prot#'!$A:$AY,43,FALSE)-VLOOKUP($B2,'SegEnds_NonXtal_Prot#'!$A:$AL,31,FALSE),"-")</f>
        <v>65</v>
      </c>
      <c r="W2" s="2">
        <f>IFERROR(50+VLOOKUP($A2,'SegEnds_Xtal_Prot#'!$A:$AY,45,FALSE)-VLOOKUP($B2,'SegEnds_NonXtal_Prot#'!$A:$AL,34,FALSE),"-")</f>
        <v>24</v>
      </c>
      <c r="X2" s="2">
        <f>IFERROR(50+VLOOKUP($A2,'SegEnds_Xtal_Prot#'!$A:$AY,47,FALSE)-VLOOKUP($B2,'SegEnds_NonXtal_Prot#'!$A:$AL,34,FALSE),"-")</f>
        <v>56</v>
      </c>
      <c r="Y2" s="2">
        <f>IFERROR(50+VLOOKUP($A2,'SegEnds_Xtal_Prot#'!$A:$AY,49,FALSE)-VLOOKUP($B2,'SegEnds_NonXtal_Prot#'!$A:$AL,37,FALSE),"-")</f>
        <v>47</v>
      </c>
      <c r="Z2" s="2">
        <f>IFERROR(50+VLOOKUP($A2,'SegEnds_Xtal_Prot#'!$A:$AY,51,FALSE)-VLOOKUP($B2,'SegEnds_NonXtal_Prot#'!$A:$AL,37,FALSE),"-")</f>
        <v>67</v>
      </c>
      <c r="AA2" s="49" t="str">
        <f>VLOOKUP(B2,Classification!A:D,2,FALSE)</f>
        <v>A</v>
      </c>
      <c r="AB2" s="94" t="str">
        <f>VLOOKUP(B2,Classification!A:D,4,0)</f>
        <v>Chemokine</v>
      </c>
      <c r="AC2" s="49">
        <f>VLOOKUP(B2,'SegEnds_NonXtal_Prot#'!A:AL,6,FALSE)-VLOOKUP(B2,'SegEnds_NonXtal_Prot#'!A:AL,5,FALSE)</f>
        <v>1</v>
      </c>
      <c r="AD2" s="49">
        <f>VLOOKUP(B2,'SegEnds_NonXtal_Prot#'!A:AL,9,FALSE)-VLOOKUP(B2,'SegEnds_NonXtal_Prot#'!A:AL,8,FALSE)</f>
        <v>1</v>
      </c>
      <c r="AE2" s="49">
        <f>VLOOKUP(B2,'SegEnds_NonXtal_Prot#'!A:AL,13,FALSE)-VLOOKUP(B2,'SegEnds_NonXtal_Prot#'!A:AL,10,FALSE)</f>
        <v>18</v>
      </c>
      <c r="AF2" s="49">
        <f>VLOOKUP(B2,'SegEnds_NonXtal_Prot#'!A:AL,12,FALSE)-VLOOKUP(B2,'SegEnds_NonXtal_Prot#'!A:AL,11,FALSE)</f>
        <v>1</v>
      </c>
      <c r="AG2" s="49">
        <f>VLOOKUP(B2,'SegEnds_NonXtal_Prot#'!A:AL,13,FALSE)-VLOOKUP(B2,'SegEnds_NonXtal_Prot#'!A:AL,11,FALSE)</f>
        <v>2</v>
      </c>
      <c r="AH2" s="49">
        <f>VLOOKUP(B2,'SegEnds_NonXtal_Prot#'!A:AL,16,FALSE)-VLOOKUP(B2,'SegEnds_NonXtal_Prot#'!A:AL,10,FALSE)</f>
        <v>50</v>
      </c>
      <c r="AI2" s="49">
        <f>VLOOKUP(B2,'SegEnds_NonXtal_Prot#'!A:AL,16,FALSE)-VLOOKUP(B2,'SegEnds_NonXtal_Prot#'!A:AL,11,FALSE)</f>
        <v>34</v>
      </c>
      <c r="AJ2" s="49">
        <f>VLOOKUP(B2,'SegEnds_NonXtal_Prot#'!A:AL,22,FALSE)-VLOOKUP(B2,'SegEnds_NonXtal_Prot#'!A:AL,19,FALSE)</f>
        <v>22</v>
      </c>
      <c r="AK2" s="49">
        <f>VLOOKUP(B2,'SegEnds_NonXtal_Prot#'!A:AL,15,FALSE)-VLOOKUP(B2,'SegEnds_NonXtal_Prot#'!A:AL,14,FALSE)</f>
        <v>1</v>
      </c>
      <c r="AL2" s="49">
        <f>VLOOKUP(B2,'SegEnds_NonXtal_Prot#'!A:AL,18,FALSE)-VLOOKUP(B2,'SegEnds_NonXtal_Prot#'!A:AL,17,FALSE)</f>
        <v>1</v>
      </c>
      <c r="AM2" s="2">
        <f>VLOOKUP(B2,'SegEnds_NonXtal_Prot#'!A:AL,34,FALSE)-VLOOKUP(B2,'SegEnds_NonXtal_Prot#'!A:AL,31,FALSE)</f>
        <v>45</v>
      </c>
      <c r="AN2" s="37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</row>
    <row r="3" spans="1:64" s="2" customFormat="1" x14ac:dyDescent="0.2">
      <c r="A3" s="2" t="s">
        <v>1386</v>
      </c>
      <c r="B3" s="2" t="s">
        <v>170</v>
      </c>
      <c r="C3" s="2">
        <f>IFERROR(50+VLOOKUP($A3,'SegEnds_Xtal_Prot#'!$A:$AY,5,FALSE)-VLOOKUP($B3,'SegEnds_NonXtal_Prot#'!$A:$AL,4,FALSE),"-")</f>
        <v>27</v>
      </c>
      <c r="D3" s="2">
        <f>IFERROR(50+VLOOKUP($A3,'SegEnds_Xtal_Prot#'!$A:$AY,7,FALSE)-VLOOKUP($B3,'SegEnds_NonXtal_Prot#'!$A:$AL,4,FALSE),"-")</f>
        <v>60</v>
      </c>
      <c r="E3" s="2">
        <f>IFERROR(50+VLOOKUP($A3,'SegEnds_Xtal_Prot#'!$A:$AY,9,FALSE)-VLOOKUP($B3,'SegEnds_NonXtal_Prot#'!$A:$AL,7,FALSE),"-")</f>
        <v>48</v>
      </c>
      <c r="F3" s="2">
        <f>IFERROR(50+VLOOKUP($A3,'SegEnds_Xtal_Prot#'!$A:$AY,11,FALSE)-VLOOKUP($B3,'SegEnds_NonXtal_Prot#'!$A:$AL,7,FALSE),"-")</f>
        <v>51</v>
      </c>
      <c r="G3" s="2">
        <f>IFERROR(50+VLOOKUP($A3,'SegEnds_Xtal_Prot#'!$A:$AY,13,FALSE)-VLOOKUP($B3,'SegEnds_NonXtal_Prot#'!$A:$AL,10,FALSE),"-")</f>
        <v>37</v>
      </c>
      <c r="H3" s="2">
        <f>IFERROR(50+VLOOKUP($A3,'SegEnds_Xtal_Prot#'!$A:$AY,15,FALSE)-VLOOKUP($B3,'SegEnds_NonXtal_Prot#'!$A:$AL,10,FALSE),"-")</f>
        <v>66</v>
      </c>
      <c r="I3" s="2">
        <f>IFERROR(50+VLOOKUP($A3,'SegEnds_Xtal_Prot#'!$A:$AY,17,FALSE)-VLOOKUP($B3,'SegEnds_NonXtal_Prot#'!$A:$AL,13,FALSE),"-")</f>
        <v>49</v>
      </c>
      <c r="J3" s="2">
        <f>IFERROR(50+VLOOKUP($A3,'SegEnds_Xtal_Prot#'!$A:$AY,19,FALSE)-VLOOKUP($B3,'SegEnds_NonXtal_Prot#'!$A:$AL,13,FALSE),"-")</f>
        <v>52</v>
      </c>
      <c r="K3" s="2">
        <f>IFERROR(50+VLOOKUP($A3,'SegEnds_Xtal_Prot#'!$A:$AY,21,FALSE)-VLOOKUP($B3,'SegEnds_NonXtal_Prot#'!$A:$AL,16,FALSE),"-")</f>
        <v>21</v>
      </c>
      <c r="L3" s="2">
        <f>IFERROR(50+VLOOKUP($A3,'SegEnds_Xtal_Prot#'!$A:$AY,23,FALSE)-VLOOKUP($B3,'SegEnds_NonXtal_Prot#'!$A:$AL,16,FALSE),"-")</f>
        <v>56</v>
      </c>
      <c r="M3" s="2">
        <f>IFERROR(50+VLOOKUP($A3,'SegEnds_Xtal_Prot#'!$A:$AY,25,FALSE)-VLOOKUP($B3,'SegEnds_NonXtal_Prot#'!$A:$AL,19,FALSE),"-")</f>
        <v>50</v>
      </c>
      <c r="N3" s="2">
        <f>IFERROR(50+VLOOKUP($A3,'SegEnds_Xtal_Prot#'!$A:$AY,27,FALSE)-VLOOKUP($B3,'SegEnds_NonXtal_Prot#'!$A:$AL,19,FALSE),"-")</f>
        <v>57</v>
      </c>
      <c r="O3" s="2">
        <f>IFERROR(50+VLOOKUP($A3,'SegEnds_Xtal_Prot#'!$A:$AY,29,FALSE)-VLOOKUP($B3,'SegEnds_NonXtal_Prot#'!$A:$AL,22,FALSE),"-")</f>
        <v>38</v>
      </c>
      <c r="P3" s="2">
        <f>IFERROR(50+VLOOKUP($A3,'SegEnds_Xtal_Prot#'!$A:$AY,31,FALSE)-VLOOKUP($B3,'SegEnds_NonXtal_Prot#'!$A:$AL,22,FALSE),"-")</f>
        <v>64</v>
      </c>
      <c r="Q3" s="2">
        <f>IFERROR(50+VLOOKUP($A3,'SegEnds_Xtal_Prot#'!$A:$AY,33,FALSE)-VLOOKUP($B3,'SegEnds_NonXtal_Prot#'!$A:$AL,25,FALSE),"-")</f>
        <v>50</v>
      </c>
      <c r="R3" s="2">
        <f>IFERROR(50+VLOOKUP($A3,'SegEnds_Xtal_Prot#'!$A:$AY,35,FALSE)-VLOOKUP($B3,'SegEnds_NonXtal_Prot#'!$A:$AL,25,FALSE),"-")</f>
        <v>52</v>
      </c>
      <c r="S3" s="2">
        <f>IFERROR(50+VLOOKUP($A3,'SegEnds_Xtal_Prot#'!$A:$AY,37,FALSE)-VLOOKUP($B3,'SegEnds_NonXtal_Prot#'!$A:$AL,28,FALSE),"-")</f>
        <v>31</v>
      </c>
      <c r="T3" s="2">
        <f>IFERROR(50+VLOOKUP($A3,'SegEnds_Xtal_Prot#'!$A:$AY,39,FALSE)-VLOOKUP($B3,'SegEnds_NonXtal_Prot#'!$A:$AL,28,FALSE),"-")</f>
        <v>68</v>
      </c>
      <c r="U3" s="2">
        <f>IFERROR(50+VLOOKUP($A3,'SegEnds_Xtal_Prot#'!$A:$AY,41,FALSE)-VLOOKUP($B3,'SegEnds_NonXtal_Prot#'!$A:$AL,31,FALSE),"-")</f>
        <v>28</v>
      </c>
      <c r="V3" s="2">
        <f>IFERROR(50+VLOOKUP($A3,'SegEnds_Xtal_Prot#'!$A:$AY,43,FALSE)-VLOOKUP($B3,'SegEnds_NonXtal_Prot#'!$A:$AL,31,FALSE),"-")</f>
        <v>65</v>
      </c>
      <c r="W3" s="2">
        <f>IFERROR(50+VLOOKUP($A3,'SegEnds_Xtal_Prot#'!$A:$AY,45,FALSE)-VLOOKUP($B3,'SegEnds_NonXtal_Prot#'!$A:$AL,34,FALSE),"-")</f>
        <v>26</v>
      </c>
      <c r="X3" s="2">
        <f>IFERROR(50+VLOOKUP($A3,'SegEnds_Xtal_Prot#'!$A:$AY,47,FALSE)-VLOOKUP($B3,'SegEnds_NonXtal_Prot#'!$A:$AL,34,FALSE),"-")</f>
        <v>56</v>
      </c>
      <c r="Y3" s="2">
        <f>IFERROR(50+VLOOKUP($A3,'SegEnds_Xtal_Prot#'!$A:$AY,49,FALSE)-VLOOKUP($B3,'SegEnds_NonXtal_Prot#'!$A:$AL,37,FALSE),"-")</f>
        <v>47</v>
      </c>
      <c r="Z3" s="2">
        <f>IFERROR(50+VLOOKUP($A3,'SegEnds_Xtal_Prot#'!$A:$AY,51,FALSE)-VLOOKUP($B3,'SegEnds_NonXtal_Prot#'!$A:$AL,37,FALSE),"-")</f>
        <v>58</v>
      </c>
      <c r="AA3" s="49" t="str">
        <f>VLOOKUP(B3,Classification!A:D,2,FALSE)</f>
        <v>A</v>
      </c>
      <c r="AB3" s="94" t="str">
        <f>VLOOKUP(B3,Classification!A:D,4,0)</f>
        <v>Chemokine</v>
      </c>
      <c r="AC3" s="49">
        <f>VLOOKUP(B3,'SegEnds_NonXtal_Prot#'!A:AL,6,FALSE)-VLOOKUP(B3,'SegEnds_NonXtal_Prot#'!A:AL,5,FALSE)</f>
        <v>1</v>
      </c>
      <c r="AD3" s="49">
        <f>VLOOKUP(B3,'SegEnds_NonXtal_Prot#'!A:AL,9,FALSE)-VLOOKUP(B3,'SegEnds_NonXtal_Prot#'!A:AL,8,FALSE)</f>
        <v>1</v>
      </c>
      <c r="AE3" s="49">
        <f>VLOOKUP(B3,'SegEnds_NonXtal_Prot#'!A:AL,13,FALSE)-VLOOKUP(B3,'SegEnds_NonXtal_Prot#'!A:AL,10,FALSE)</f>
        <v>18</v>
      </c>
      <c r="AF3" s="49">
        <f>VLOOKUP(B3,'SegEnds_NonXtal_Prot#'!A:AL,12,FALSE)-VLOOKUP(B3,'SegEnds_NonXtal_Prot#'!A:AL,11,FALSE)</f>
        <v>1</v>
      </c>
      <c r="AG3" s="49">
        <f>VLOOKUP(B3,'SegEnds_NonXtal_Prot#'!A:AL,13,FALSE)-VLOOKUP(B3,'SegEnds_NonXtal_Prot#'!A:AL,11,FALSE)</f>
        <v>2</v>
      </c>
      <c r="AH3" s="49">
        <f>VLOOKUP(B3,'SegEnds_NonXtal_Prot#'!A:AL,16,FALSE)-VLOOKUP(B3,'SegEnds_NonXtal_Prot#'!A:AL,10,FALSE)</f>
        <v>50</v>
      </c>
      <c r="AI3" s="49">
        <f>VLOOKUP(B3,'SegEnds_NonXtal_Prot#'!A:AL,16,FALSE)-VLOOKUP(B3,'SegEnds_NonXtal_Prot#'!A:AL,11,FALSE)</f>
        <v>34</v>
      </c>
      <c r="AJ3" s="49">
        <f>VLOOKUP(B3,'SegEnds_NonXtal_Prot#'!A:AL,22,FALSE)-VLOOKUP(B3,'SegEnds_NonXtal_Prot#'!A:AL,19,FALSE)</f>
        <v>20</v>
      </c>
      <c r="AK3" s="49">
        <f>VLOOKUP(B3,'SegEnds_NonXtal_Prot#'!A:AL,15,FALSE)-VLOOKUP(B3,'SegEnds_NonXtal_Prot#'!A:AL,14,FALSE)</f>
        <v>1</v>
      </c>
      <c r="AL3" s="49">
        <f>VLOOKUP(B3,'SegEnds_NonXtal_Prot#'!A:AL,18,FALSE)-VLOOKUP(B3,'SegEnds_NonXtal_Prot#'!A:AL,17,FALSE)</f>
        <v>1</v>
      </c>
      <c r="AM3" s="2">
        <f>VLOOKUP(B3,'SegEnds_NonXtal_Prot#'!A:AL,34,FALSE)-VLOOKUP(B3,'SegEnds_NonXtal_Prot#'!A:AL,31,FALSE)</f>
        <v>44</v>
      </c>
      <c r="AN3" s="37"/>
    </row>
    <row r="4" spans="1:64" s="2" customFormat="1" x14ac:dyDescent="0.2">
      <c r="A4" s="2" t="s">
        <v>1477</v>
      </c>
      <c r="B4" s="2" t="s">
        <v>191</v>
      </c>
      <c r="C4" s="2">
        <f>IFERROR(50+VLOOKUP($A4,'SegEnds_Xtal_Prot#'!$A:$AY,5,FALSE)-VLOOKUP($B4,'SegEnds_NonXtal_Prot#'!$A:$AL,4,FALSE),"-")</f>
        <v>29</v>
      </c>
      <c r="D4" s="2">
        <f>IFERROR(50+VLOOKUP($A4,'SegEnds_Xtal_Prot#'!$A:$AY,7,FALSE)-VLOOKUP($B4,'SegEnds_NonXtal_Prot#'!$A:$AL,4,FALSE),"-")</f>
        <v>60</v>
      </c>
      <c r="E4" s="2">
        <f>IFERROR(50+VLOOKUP($A4,'SegEnds_Xtal_Prot#'!$A:$AY,9,FALSE)-VLOOKUP($B4,'SegEnds_NonXtal_Prot#'!$A:$AL,7,FALSE),"-")</f>
        <v>48</v>
      </c>
      <c r="F4" s="2">
        <f>IFERROR(50+VLOOKUP($A4,'SegEnds_Xtal_Prot#'!$A:$AY,11,FALSE)-VLOOKUP($B4,'SegEnds_NonXtal_Prot#'!$A:$AL,7,FALSE),"-")</f>
        <v>51</v>
      </c>
      <c r="G4" s="2">
        <f>IFERROR(50+VLOOKUP($A4,'SegEnds_Xtal_Prot#'!$A:$AY,13,FALSE)-VLOOKUP($B4,'SegEnds_NonXtal_Prot#'!$A:$AL,10,FALSE),"-")</f>
        <v>37</v>
      </c>
      <c r="H4" s="2">
        <f>IFERROR(50+VLOOKUP($A4,'SegEnds_Xtal_Prot#'!$A:$AY,15,FALSE)-VLOOKUP($B4,'SegEnds_NonXtal_Prot#'!$A:$AL,10,FALSE),"-")</f>
        <v>68</v>
      </c>
      <c r="I4" s="2">
        <f>IFERROR(50+VLOOKUP($A4,'SegEnds_Xtal_Prot#'!$A:$AY,17,FALSE)-VLOOKUP($B4,'SegEnds_NonXtal_Prot#'!$A:$AL,13,FALSE),"-")</f>
        <v>49</v>
      </c>
      <c r="J4" s="2">
        <f>IFERROR(50+VLOOKUP($A4,'SegEnds_Xtal_Prot#'!$A:$AY,19,FALSE)-VLOOKUP($B4,'SegEnds_NonXtal_Prot#'!$A:$AL,13,FALSE),"-")</f>
        <v>52</v>
      </c>
      <c r="K4" s="2">
        <f>IFERROR(50+VLOOKUP($A4,'SegEnds_Xtal_Prot#'!$A:$AY,21,FALSE)-VLOOKUP($B4,'SegEnds_NonXtal_Prot#'!$A:$AL,16,FALSE),"-")</f>
        <v>21</v>
      </c>
      <c r="L4" s="2">
        <f>IFERROR(50+VLOOKUP($A4,'SegEnds_Xtal_Prot#'!$A:$AY,23,FALSE)-VLOOKUP($B4,'SegEnds_NonXtal_Prot#'!$A:$AL,16,FALSE),"-")</f>
        <v>56</v>
      </c>
      <c r="M4" s="2">
        <f>IFERROR(50+VLOOKUP($A4,'SegEnds_Xtal_Prot#'!$A:$AY,25,FALSE)-VLOOKUP($B4,'SegEnds_NonXtal_Prot#'!$A:$AL,19,FALSE),"-")</f>
        <v>50</v>
      </c>
      <c r="N4" s="2">
        <f>IFERROR(50+VLOOKUP($A4,'SegEnds_Xtal_Prot#'!$A:$AY,27,FALSE)-VLOOKUP($B4,'SegEnds_NonXtal_Prot#'!$A:$AL,19,FALSE),"-")</f>
        <v>58</v>
      </c>
      <c r="O4" s="2">
        <f>IFERROR(50+VLOOKUP($A4,'SegEnds_Xtal_Prot#'!$A:$AY,29,FALSE)-VLOOKUP($B4,'SegEnds_NonXtal_Prot#'!$A:$AL,22,FALSE),"-")</f>
        <v>38</v>
      </c>
      <c r="P4" s="2">
        <f>IFERROR(50+VLOOKUP($A4,'SegEnds_Xtal_Prot#'!$A:$AY,31,FALSE)-VLOOKUP($B4,'SegEnds_NonXtal_Prot#'!$A:$AL,22,FALSE),"-")</f>
        <v>62</v>
      </c>
      <c r="Q4" s="2">
        <f>IFERROR(50+VLOOKUP($A4,'SegEnds_Xtal_Prot#'!$A:$AY,33,FALSE)-VLOOKUP($B4,'SegEnds_NonXtal_Prot#'!$A:$AL,25,FALSE),"-")</f>
        <v>50</v>
      </c>
      <c r="R4" s="2">
        <f>IFERROR(50+VLOOKUP($A4,'SegEnds_Xtal_Prot#'!$A:$AY,35,FALSE)-VLOOKUP($B4,'SegEnds_NonXtal_Prot#'!$A:$AL,25,FALSE),"-")</f>
        <v>52</v>
      </c>
      <c r="S4" s="2">
        <f>IFERROR(50+VLOOKUP($A4,'SegEnds_Xtal_Prot#'!$A:$AY,37,FALSE)-VLOOKUP($B4,'SegEnds_NonXtal_Prot#'!$A:$AL,28,FALSE),"-")</f>
        <v>35</v>
      </c>
      <c r="T4" s="2">
        <f>IFERROR(50+VLOOKUP($A4,'SegEnds_Xtal_Prot#'!$A:$AY,39,FALSE)-VLOOKUP($B4,'SegEnds_NonXtal_Prot#'!$A:$AL,28,FALSE),"-")</f>
        <v>75</v>
      </c>
      <c r="U4" s="2">
        <f>IFERROR(50+VLOOKUP($A4,'SegEnds_Xtal_Prot#'!$A:$AY,41,FALSE)-VLOOKUP($B4,'SegEnds_NonXtal_Prot#'!$A:$AL,31,FALSE),"-")</f>
        <v>24</v>
      </c>
      <c r="V4" s="2">
        <f>IFERROR(50+VLOOKUP($A4,'SegEnds_Xtal_Prot#'!$A:$AY,43,FALSE)-VLOOKUP($B4,'SegEnds_NonXtal_Prot#'!$A:$AL,31,FALSE),"-")</f>
        <v>61</v>
      </c>
      <c r="W4" s="2">
        <f>IFERROR(50+VLOOKUP($A4,'SegEnds_Xtal_Prot#'!$A:$AY,45,FALSE)-VLOOKUP($B4,'SegEnds_NonXtal_Prot#'!$A:$AL,34,FALSE),"-")</f>
        <v>31</v>
      </c>
      <c r="X4" s="2">
        <f>IFERROR(50+VLOOKUP($A4,'SegEnds_Xtal_Prot#'!$A:$AY,47,FALSE)-VLOOKUP($B4,'SegEnds_NonXtal_Prot#'!$A:$AL,34,FALSE),"-")</f>
        <v>56</v>
      </c>
      <c r="Y4" s="2">
        <f>IFERROR(50+VLOOKUP($A4,'SegEnds_Xtal_Prot#'!$A:$AY,49,FALSE)-VLOOKUP($B4,'SegEnds_NonXtal_Prot#'!$A:$AL,37,FALSE),"-")</f>
        <v>47</v>
      </c>
      <c r="Z4" s="2">
        <f>IFERROR(50+VLOOKUP($A4,'SegEnds_Xtal_Prot#'!$A:$AY,51,FALSE)-VLOOKUP($B4,'SegEnds_NonXtal_Prot#'!$A:$AL,37,FALSE),"-")</f>
        <v>59</v>
      </c>
      <c r="AA4" s="49" t="str">
        <f>VLOOKUP(B4,Classification!A:D,2,FALSE)</f>
        <v>A</v>
      </c>
      <c r="AB4" s="94" t="str">
        <f>VLOOKUP(B4,Classification!A:D,4,0)</f>
        <v>Dopamine</v>
      </c>
      <c r="AC4" s="49">
        <f>VLOOKUP(B4,'SegEnds_NonXtal_Prot#'!A:AL,6,FALSE)-VLOOKUP(B4,'SegEnds_NonXtal_Prot#'!A:AL,5,FALSE)</f>
        <v>1</v>
      </c>
      <c r="AD4" s="49">
        <f>VLOOKUP(B4,'SegEnds_NonXtal_Prot#'!A:AL,9,FALSE)-VLOOKUP(B4,'SegEnds_NonXtal_Prot#'!A:AL,8,FALSE)</f>
        <v>1</v>
      </c>
      <c r="AE4" s="49">
        <f>VLOOKUP(B4,'SegEnds_NonXtal_Prot#'!A:AL,13,FALSE)-VLOOKUP(B4,'SegEnds_NonXtal_Prot#'!A:AL,10,FALSE)</f>
        <v>20</v>
      </c>
      <c r="AF4" s="49">
        <f>VLOOKUP(B4,'SegEnds_NonXtal_Prot#'!A:AL,12,FALSE)-VLOOKUP(B4,'SegEnds_NonXtal_Prot#'!A:AL,11,FALSE)</f>
        <v>1</v>
      </c>
      <c r="AG4" s="49">
        <f>VLOOKUP(B4,'SegEnds_NonXtal_Prot#'!A:AL,13,FALSE)-VLOOKUP(B4,'SegEnds_NonXtal_Prot#'!A:AL,11,FALSE)</f>
        <v>2</v>
      </c>
      <c r="AH4" s="49">
        <f>VLOOKUP(B4,'SegEnds_NonXtal_Prot#'!A:AL,16,FALSE)-VLOOKUP(B4,'SegEnds_NonXtal_Prot#'!A:AL,10,FALSE)</f>
        <v>52</v>
      </c>
      <c r="AI4" s="49">
        <f>VLOOKUP(B4,'SegEnds_NonXtal_Prot#'!A:AL,16,FALSE)-VLOOKUP(B4,'SegEnds_NonXtal_Prot#'!A:AL,11,FALSE)</f>
        <v>34</v>
      </c>
      <c r="AJ4" s="49">
        <f>VLOOKUP(B4,'SegEnds_NonXtal_Prot#'!A:AL,22,FALSE)-VLOOKUP(B4,'SegEnds_NonXtal_Prot#'!A:AL,19,FALSE)</f>
        <v>21</v>
      </c>
      <c r="AK4" s="49">
        <f>VLOOKUP(B4,'SegEnds_NonXtal_Prot#'!A:AL,15,FALSE)-VLOOKUP(B4,'SegEnds_NonXtal_Prot#'!A:AL,14,FALSE)</f>
        <v>1</v>
      </c>
      <c r="AL4" s="49">
        <f>VLOOKUP(B4,'SegEnds_NonXtal_Prot#'!A:AL,18,FALSE)-VLOOKUP(B4,'SegEnds_NonXtal_Prot#'!A:AL,17,FALSE)</f>
        <v>1</v>
      </c>
      <c r="AM4" s="2">
        <f>VLOOKUP(B4,'SegEnds_NonXtal_Prot#'!A:AL,34,FALSE)-VLOOKUP(B4,'SegEnds_NonXtal_Prot#'!A:AL,31,FALSE)</f>
        <v>35</v>
      </c>
      <c r="AN4" s="37"/>
    </row>
    <row r="5" spans="1:64" s="2" customFormat="1" x14ac:dyDescent="0.2">
      <c r="A5" s="2" t="s">
        <v>1257</v>
      </c>
      <c r="B5" s="2" t="s">
        <v>192</v>
      </c>
      <c r="C5" s="2">
        <f>IFERROR(50+VLOOKUP($A5,'SegEnds_Xtal_Prot#'!$A:$AY,5,FALSE)-VLOOKUP($B5,'SegEnds_NonXtal_Prot#'!$A:$AL,4,FALSE),"-")</f>
        <v>29</v>
      </c>
      <c r="D5" s="2">
        <f>IFERROR(50+VLOOKUP($A5,'SegEnds_Xtal_Prot#'!$A:$AY,7,FALSE)-VLOOKUP($B5,'SegEnds_NonXtal_Prot#'!$A:$AL,4,FALSE),"-")</f>
        <v>60</v>
      </c>
      <c r="E5" s="2">
        <f>IFERROR(50+VLOOKUP($A5,'SegEnds_Xtal_Prot#'!$A:$AY,9,FALSE)-VLOOKUP($B5,'SegEnds_NonXtal_Prot#'!$A:$AL,7,FALSE),"-")</f>
        <v>48</v>
      </c>
      <c r="F5" s="2">
        <f>IFERROR(50+VLOOKUP($A5,'SegEnds_Xtal_Prot#'!$A:$AY,11,FALSE)-VLOOKUP($B5,'SegEnds_NonXtal_Prot#'!$A:$AL,7,FALSE),"-")</f>
        <v>51</v>
      </c>
      <c r="G5" s="2">
        <f>IFERROR(50+VLOOKUP($A5,'SegEnds_Xtal_Prot#'!$A:$AY,13,FALSE)-VLOOKUP($B5,'SegEnds_NonXtal_Prot#'!$A:$AL,10,FALSE),"-")</f>
        <v>37</v>
      </c>
      <c r="H5" s="2">
        <f>IFERROR(50+VLOOKUP($A5,'SegEnds_Xtal_Prot#'!$A:$AY,15,FALSE)-VLOOKUP($B5,'SegEnds_NonXtal_Prot#'!$A:$AL,10,FALSE),"-")</f>
        <v>67</v>
      </c>
      <c r="I5" s="2">
        <f>IFERROR(50+VLOOKUP($A5,'SegEnds_Xtal_Prot#'!$A:$AY,17,FALSE)-VLOOKUP($B5,'SegEnds_NonXtal_Prot#'!$A:$AL,13,FALSE),"-")</f>
        <v>49</v>
      </c>
      <c r="J5" s="2">
        <f>IFERROR(50+VLOOKUP($A5,'SegEnds_Xtal_Prot#'!$A:$AY,19,FALSE)-VLOOKUP($B5,'SegEnds_NonXtal_Prot#'!$A:$AL,13,FALSE),"-")</f>
        <v>52</v>
      </c>
      <c r="K5" s="2">
        <f>IFERROR(50+VLOOKUP($A5,'SegEnds_Xtal_Prot#'!$A:$AY,21,FALSE)-VLOOKUP($B5,'SegEnds_NonXtal_Prot#'!$A:$AL,16,FALSE),"-")</f>
        <v>21</v>
      </c>
      <c r="L5" s="2">
        <f>IFERROR(50+VLOOKUP($A5,'SegEnds_Xtal_Prot#'!$A:$AY,23,FALSE)-VLOOKUP($B5,'SegEnds_NonXtal_Prot#'!$A:$AL,16,FALSE),"-")</f>
        <v>56</v>
      </c>
      <c r="M5" s="2">
        <f>IFERROR(50+VLOOKUP($A5,'SegEnds_Xtal_Prot#'!$A:$AY,25,FALSE)-VLOOKUP($B5,'SegEnds_NonXtal_Prot#'!$A:$AL,19,FALSE),"-")</f>
        <v>50</v>
      </c>
      <c r="N5" s="2">
        <f>IFERROR(50+VLOOKUP($A5,'SegEnds_Xtal_Prot#'!$A:$AY,27,FALSE)-VLOOKUP($B5,'SegEnds_NonXtal_Prot#'!$A:$AL,19,FALSE),"-")</f>
        <v>58</v>
      </c>
      <c r="O5" s="2">
        <f>IFERROR(50+VLOOKUP($A5,'SegEnds_Xtal_Prot#'!$A:$AY,29,FALSE)-VLOOKUP($B5,'SegEnds_NonXtal_Prot#'!$A:$AL,22,FALSE),"-")</f>
        <v>38</v>
      </c>
      <c r="P5" s="2">
        <f>IFERROR(50+VLOOKUP($A5,'SegEnds_Xtal_Prot#'!$A:$AY,31,FALSE)-VLOOKUP($B5,'SegEnds_NonXtal_Prot#'!$A:$AL,22,FALSE),"-")</f>
        <v>63</v>
      </c>
      <c r="Q5" s="2">
        <f>IFERROR(50+VLOOKUP($A5,'SegEnds_Xtal_Prot#'!$A:$AY,33,FALSE)-VLOOKUP($B5,'SegEnds_NonXtal_Prot#'!$A:$AL,25,FALSE),"-")</f>
        <v>50</v>
      </c>
      <c r="R5" s="2">
        <f>IFERROR(50+VLOOKUP($A5,'SegEnds_Xtal_Prot#'!$A:$AY,35,FALSE)-VLOOKUP($B5,'SegEnds_NonXtal_Prot#'!$A:$AL,25,FALSE),"-")</f>
        <v>52</v>
      </c>
      <c r="S5" s="2">
        <f>IFERROR(50+VLOOKUP($A5,'SegEnds_Xtal_Prot#'!$A:$AY,37,FALSE)-VLOOKUP($B5,'SegEnds_NonXtal_Prot#'!$A:$AL,28,FALSE),"-")</f>
        <v>35</v>
      </c>
      <c r="T5" s="2">
        <f>IFERROR(50+VLOOKUP($A5,'SegEnds_Xtal_Prot#'!$A:$AY,39,FALSE)-VLOOKUP($B5,'SegEnds_NonXtal_Prot#'!$A:$AL,28,FALSE),"-")</f>
        <v>76</v>
      </c>
      <c r="U5" s="2">
        <f>IFERROR(50+VLOOKUP($A5,'SegEnds_Xtal_Prot#'!$A:$AY,41,FALSE)-VLOOKUP($B5,'SegEnds_NonXtal_Prot#'!$A:$AL,31,FALSE),"-")</f>
        <v>24</v>
      </c>
      <c r="V5" s="2">
        <f>IFERROR(50+VLOOKUP($A5,'SegEnds_Xtal_Prot#'!$A:$AY,43,FALSE)-VLOOKUP($B5,'SegEnds_NonXtal_Prot#'!$A:$AL,31,FALSE),"-")</f>
        <v>60</v>
      </c>
      <c r="W5" s="2">
        <f>IFERROR(50+VLOOKUP($A5,'SegEnds_Xtal_Prot#'!$A:$AY,45,FALSE)-VLOOKUP($B5,'SegEnds_NonXtal_Prot#'!$A:$AL,34,FALSE),"-")</f>
        <v>31</v>
      </c>
      <c r="X5" s="2">
        <f>IFERROR(50+VLOOKUP($A5,'SegEnds_Xtal_Prot#'!$A:$AY,47,FALSE)-VLOOKUP($B5,'SegEnds_NonXtal_Prot#'!$A:$AL,34,FALSE),"-")</f>
        <v>56</v>
      </c>
      <c r="Y5" s="2">
        <f>IFERROR(50+VLOOKUP($A5,'SegEnds_Xtal_Prot#'!$A:$AY,49,FALSE)-VLOOKUP($B5,'SegEnds_NonXtal_Prot#'!$A:$AL,37,FALSE),"-")</f>
        <v>47</v>
      </c>
      <c r="Z5" s="2">
        <f>IFERROR(50+VLOOKUP($A5,'SegEnds_Xtal_Prot#'!$A:$AY,51,FALSE)-VLOOKUP($B5,'SegEnds_NonXtal_Prot#'!$A:$AL,37,FALSE),"-")</f>
        <v>59</v>
      </c>
      <c r="AA5" s="49" t="str">
        <f>VLOOKUP(B5,Classification!A:D,2,FALSE)</f>
        <v>A</v>
      </c>
      <c r="AB5" s="94" t="str">
        <f>VLOOKUP(B5,Classification!A:D,4,0)</f>
        <v>Dopamine</v>
      </c>
      <c r="AC5" s="49">
        <f>VLOOKUP(B5,'SegEnds_NonXtal_Prot#'!A:AL,6,FALSE)-VLOOKUP(B5,'SegEnds_NonXtal_Prot#'!A:AL,5,FALSE)</f>
        <v>1</v>
      </c>
      <c r="AD5" s="49">
        <f>VLOOKUP(B5,'SegEnds_NonXtal_Prot#'!A:AL,9,FALSE)-VLOOKUP(B5,'SegEnds_NonXtal_Prot#'!A:AL,8,FALSE)</f>
        <v>1</v>
      </c>
      <c r="AE5" s="49">
        <f>VLOOKUP(B5,'SegEnds_NonXtal_Prot#'!A:AL,13,FALSE)-VLOOKUP(B5,'SegEnds_NonXtal_Prot#'!A:AL,10,FALSE)</f>
        <v>21</v>
      </c>
      <c r="AF5" s="49">
        <f>VLOOKUP(B5,'SegEnds_NonXtal_Prot#'!A:AL,12,FALSE)-VLOOKUP(B5,'SegEnds_NonXtal_Prot#'!A:AL,11,FALSE)</f>
        <v>3</v>
      </c>
      <c r="AG5" s="49">
        <f>VLOOKUP(B5,'SegEnds_NonXtal_Prot#'!A:AL,13,FALSE)-VLOOKUP(B5,'SegEnds_NonXtal_Prot#'!A:AL,11,FALSE)</f>
        <v>4</v>
      </c>
      <c r="AH5" s="49">
        <f>VLOOKUP(B5,'SegEnds_NonXtal_Prot#'!A:AL,16,FALSE)-VLOOKUP(B5,'SegEnds_NonXtal_Prot#'!A:AL,10,FALSE)</f>
        <v>53</v>
      </c>
      <c r="AI5" s="49">
        <f>VLOOKUP(B5,'SegEnds_NonXtal_Prot#'!A:AL,16,FALSE)-VLOOKUP(B5,'SegEnds_NonXtal_Prot#'!A:AL,11,FALSE)</f>
        <v>36</v>
      </c>
      <c r="AJ5" s="49">
        <f>VLOOKUP(B5,'SegEnds_NonXtal_Prot#'!A:AL,22,FALSE)-VLOOKUP(B5,'SegEnds_NonXtal_Prot#'!A:AL,19,FALSE)</f>
        <v>23</v>
      </c>
      <c r="AK5" s="49">
        <f>VLOOKUP(B5,'SegEnds_NonXtal_Prot#'!A:AL,15,FALSE)-VLOOKUP(B5,'SegEnds_NonXtal_Prot#'!A:AL,14,FALSE)</f>
        <v>1</v>
      </c>
      <c r="AL5" s="49">
        <f>VLOOKUP(B5,'SegEnds_NonXtal_Prot#'!A:AL,18,FALSE)-VLOOKUP(B5,'SegEnds_NonXtal_Prot#'!A:AL,17,FALSE)</f>
        <v>1</v>
      </c>
      <c r="AM5" s="2">
        <f>VLOOKUP(B5,'SegEnds_NonXtal_Prot#'!A:AL,34,FALSE)-VLOOKUP(B5,'SegEnds_NonXtal_Prot#'!A:AL,31,FALSE)</f>
        <v>36</v>
      </c>
      <c r="AN5" s="37"/>
    </row>
    <row r="6" spans="1:64" s="2" customFormat="1" x14ac:dyDescent="0.2">
      <c r="A6" s="2" t="s">
        <v>1457</v>
      </c>
      <c r="B6" s="2" t="s">
        <v>193</v>
      </c>
      <c r="C6" s="2">
        <f>IFERROR(50+VLOOKUP($A6,'SegEnds_Xtal_Prot#'!$A:$AY,5,FALSE)-VLOOKUP($B6,'SegEnds_NonXtal_Prot#'!$A:$AL,4,FALSE),"-")</f>
        <v>29</v>
      </c>
      <c r="D6" s="2">
        <f>IFERROR(50+VLOOKUP($A6,'SegEnds_Xtal_Prot#'!$A:$AY,7,FALSE)-VLOOKUP($B6,'SegEnds_NonXtal_Prot#'!$A:$AL,4,FALSE),"-")</f>
        <v>60</v>
      </c>
      <c r="E6" s="2">
        <f>IFERROR(50+VLOOKUP($A6,'SegEnds_Xtal_Prot#'!$A:$AY,9,FALSE)-VLOOKUP($B6,'SegEnds_NonXtal_Prot#'!$A:$AL,7,FALSE),"-")</f>
        <v>48</v>
      </c>
      <c r="F6" s="2">
        <f>IFERROR(50+VLOOKUP($A6,'SegEnds_Xtal_Prot#'!$A:$AY,11,FALSE)-VLOOKUP($B6,'SegEnds_NonXtal_Prot#'!$A:$AL,7,FALSE),"-")</f>
        <v>51</v>
      </c>
      <c r="G6" s="2">
        <f>IFERROR(50+VLOOKUP($A6,'SegEnds_Xtal_Prot#'!$A:$AY,13,FALSE)-VLOOKUP($B6,'SegEnds_NonXtal_Prot#'!$A:$AL,10,FALSE),"-")</f>
        <v>37</v>
      </c>
      <c r="H6" s="2">
        <f>IFERROR(50+VLOOKUP($A6,'SegEnds_Xtal_Prot#'!$A:$AY,15,FALSE)-VLOOKUP($B6,'SegEnds_NonXtal_Prot#'!$A:$AL,10,FALSE),"-")</f>
        <v>67</v>
      </c>
      <c r="I6" s="2">
        <f>IFERROR(50+VLOOKUP($A6,'SegEnds_Xtal_Prot#'!$A:$AY,17,FALSE)-VLOOKUP($B6,'SegEnds_NonXtal_Prot#'!$A:$AL,13,FALSE),"-")</f>
        <v>49</v>
      </c>
      <c r="J6" s="2">
        <f>IFERROR(50+VLOOKUP($A6,'SegEnds_Xtal_Prot#'!$A:$AY,19,FALSE)-VLOOKUP($B6,'SegEnds_NonXtal_Prot#'!$A:$AL,13,FALSE),"-")</f>
        <v>52</v>
      </c>
      <c r="K6" s="2">
        <f>IFERROR(50+VLOOKUP($A6,'SegEnds_Xtal_Prot#'!$A:$AY,21,FALSE)-VLOOKUP($B6,'SegEnds_NonXtal_Prot#'!$A:$AL,16,FALSE),"-")</f>
        <v>21</v>
      </c>
      <c r="L6" s="2">
        <f>IFERROR(50+VLOOKUP($A6,'SegEnds_Xtal_Prot#'!$A:$AY,23,FALSE)-VLOOKUP($B6,'SegEnds_NonXtal_Prot#'!$A:$AL,16,FALSE),"-")</f>
        <v>56</v>
      </c>
      <c r="M6" s="2">
        <f>IFERROR(50+VLOOKUP($A6,'SegEnds_Xtal_Prot#'!$A:$AY,25,FALSE)-VLOOKUP($B6,'SegEnds_NonXtal_Prot#'!$A:$AL,19,FALSE),"-")</f>
        <v>50</v>
      </c>
      <c r="N6" s="2">
        <f>IFERROR(50+VLOOKUP($A6,'SegEnds_Xtal_Prot#'!$A:$AY,27,FALSE)-VLOOKUP($B6,'SegEnds_NonXtal_Prot#'!$A:$AL,19,FALSE),"-")</f>
        <v>57</v>
      </c>
      <c r="O6" s="2">
        <f>IFERROR(50+VLOOKUP($A6,'SegEnds_Xtal_Prot#'!$A:$AY,29,FALSE)-VLOOKUP($B6,'SegEnds_NonXtal_Prot#'!$A:$AL,22,FALSE),"-")</f>
        <v>38</v>
      </c>
      <c r="P6" s="2">
        <f>IFERROR(50+VLOOKUP($A6,'SegEnds_Xtal_Prot#'!$A:$AY,31,FALSE)-VLOOKUP($B6,'SegEnds_NonXtal_Prot#'!$A:$AL,22,FALSE),"-")</f>
        <v>63</v>
      </c>
      <c r="Q6" s="2">
        <f>IFERROR(50+VLOOKUP($A6,'SegEnds_Xtal_Prot#'!$A:$AY,33,FALSE)-VLOOKUP($B6,'SegEnds_NonXtal_Prot#'!$A:$AL,25,FALSE),"-")</f>
        <v>50</v>
      </c>
      <c r="R6" s="2">
        <f>IFERROR(50+VLOOKUP($A6,'SegEnds_Xtal_Prot#'!$A:$AY,35,FALSE)-VLOOKUP($B6,'SegEnds_NonXtal_Prot#'!$A:$AL,25,FALSE),"-")</f>
        <v>52</v>
      </c>
      <c r="S6" s="2">
        <f>IFERROR(50+VLOOKUP($A6,'SegEnds_Xtal_Prot#'!$A:$AY,37,FALSE)-VLOOKUP($B6,'SegEnds_NonXtal_Prot#'!$A:$AL,28,FALSE),"-")</f>
        <v>35</v>
      </c>
      <c r="T6" s="2">
        <f>IFERROR(50+VLOOKUP($A6,'SegEnds_Xtal_Prot#'!$A:$AY,39,FALSE)-VLOOKUP($B6,'SegEnds_NonXtal_Prot#'!$A:$AL,28,FALSE),"-")</f>
        <v>75</v>
      </c>
      <c r="U6" s="2">
        <f>IFERROR(50+VLOOKUP($A6,'SegEnds_Xtal_Prot#'!$A:$AY,41,FALSE)-VLOOKUP($B6,'SegEnds_NonXtal_Prot#'!$A:$AL,31,FALSE),"-")</f>
        <v>24</v>
      </c>
      <c r="V6" s="2">
        <f>IFERROR(50+VLOOKUP($A6,'SegEnds_Xtal_Prot#'!$A:$AY,43,FALSE)-VLOOKUP($B6,'SegEnds_NonXtal_Prot#'!$A:$AL,31,FALSE),"-")</f>
        <v>61</v>
      </c>
      <c r="W6" s="2">
        <f>IFERROR(50+VLOOKUP($A6,'SegEnds_Xtal_Prot#'!$A:$AY,45,FALSE)-VLOOKUP($B6,'SegEnds_NonXtal_Prot#'!$A:$AL,34,FALSE),"-")</f>
        <v>31</v>
      </c>
      <c r="X6" s="2">
        <f>IFERROR(50+VLOOKUP($A6,'SegEnds_Xtal_Prot#'!$A:$AY,47,FALSE)-VLOOKUP($B6,'SegEnds_NonXtal_Prot#'!$A:$AL,34,FALSE),"-")</f>
        <v>56</v>
      </c>
      <c r="Y6" s="2">
        <f>IFERROR(50+VLOOKUP($A6,'SegEnds_Xtal_Prot#'!$A:$AY,49,FALSE)-VLOOKUP($B6,'SegEnds_NonXtal_Prot#'!$A:$AL,37,FALSE),"-")</f>
        <v>47</v>
      </c>
      <c r="Z6" s="2">
        <f>IFERROR(50+VLOOKUP($A6,'SegEnds_Xtal_Prot#'!$A:$AY,51,FALSE)-VLOOKUP($B6,'SegEnds_NonXtal_Prot#'!$A:$AL,37,FALSE),"-")</f>
        <v>59</v>
      </c>
      <c r="AA6" s="49" t="str">
        <f>VLOOKUP(B6,Classification!A:D,2,FALSE)</f>
        <v>A</v>
      </c>
      <c r="AB6" s="94" t="str">
        <f>VLOOKUP(B6,Classification!A:D,4,0)</f>
        <v>Dopamine</v>
      </c>
      <c r="AC6" s="49">
        <f>VLOOKUP(B6,'SegEnds_NonXtal_Prot#'!A:AL,6,FALSE)-VLOOKUP(B6,'SegEnds_NonXtal_Prot#'!A:AL,5,FALSE)</f>
        <v>1</v>
      </c>
      <c r="AD6" s="49">
        <f>VLOOKUP(B6,'SegEnds_NonXtal_Prot#'!A:AL,9,FALSE)-VLOOKUP(B6,'SegEnds_NonXtal_Prot#'!A:AL,8,FALSE)</f>
        <v>1</v>
      </c>
      <c r="AE6" s="49">
        <f>VLOOKUP(B6,'SegEnds_NonXtal_Prot#'!A:AL,13,FALSE)-VLOOKUP(B6,'SegEnds_NonXtal_Prot#'!A:AL,10,FALSE)</f>
        <v>21</v>
      </c>
      <c r="AF6" s="49">
        <f>VLOOKUP(B6,'SegEnds_NonXtal_Prot#'!A:AL,12,FALSE)-VLOOKUP(B6,'SegEnds_NonXtal_Prot#'!A:AL,11,FALSE)</f>
        <v>3</v>
      </c>
      <c r="AG6" s="49">
        <f>VLOOKUP(B6,'SegEnds_NonXtal_Prot#'!A:AL,13,FALSE)-VLOOKUP(B6,'SegEnds_NonXtal_Prot#'!A:AL,11,FALSE)</f>
        <v>4</v>
      </c>
      <c r="AH6" s="49">
        <f>VLOOKUP(B6,'SegEnds_NonXtal_Prot#'!A:AL,16,FALSE)-VLOOKUP(B6,'SegEnds_NonXtal_Prot#'!A:AL,10,FALSE)</f>
        <v>53</v>
      </c>
      <c r="AI6" s="49">
        <f>VLOOKUP(B6,'SegEnds_NonXtal_Prot#'!A:AL,16,FALSE)-VLOOKUP(B6,'SegEnds_NonXtal_Prot#'!A:AL,11,FALSE)</f>
        <v>36</v>
      </c>
      <c r="AJ6" s="49">
        <f>VLOOKUP(B6,'SegEnds_NonXtal_Prot#'!A:AL,22,FALSE)-VLOOKUP(B6,'SegEnds_NonXtal_Prot#'!A:AL,19,FALSE)</f>
        <v>20</v>
      </c>
      <c r="AK6" s="49">
        <f>VLOOKUP(B6,'SegEnds_NonXtal_Prot#'!A:AL,15,FALSE)-VLOOKUP(B6,'SegEnds_NonXtal_Prot#'!A:AL,14,FALSE)</f>
        <v>1</v>
      </c>
      <c r="AL6" s="49">
        <f>VLOOKUP(B6,'SegEnds_NonXtal_Prot#'!A:AL,18,FALSE)-VLOOKUP(B6,'SegEnds_NonXtal_Prot#'!A:AL,17,FALSE)</f>
        <v>1</v>
      </c>
      <c r="AM6" s="2">
        <f>VLOOKUP(B6,'SegEnds_NonXtal_Prot#'!A:AL,34,FALSE)-VLOOKUP(B6,'SegEnds_NonXtal_Prot#'!A:AL,31,FALSE)</f>
        <v>36</v>
      </c>
      <c r="AN6" s="37"/>
    </row>
    <row r="7" spans="1:64" s="2" customFormat="1" x14ac:dyDescent="0.2">
      <c r="A7" s="2" t="s">
        <v>1244</v>
      </c>
      <c r="B7" s="2" t="s">
        <v>34</v>
      </c>
      <c r="C7" s="2">
        <f>IFERROR(50+VLOOKUP($A7,'SegEnds_Xtal_Prot#'!$A:$AY,5,FALSE)-VLOOKUP($B7,'SegEnds_NonXtal_Prot#'!$A:$AL,4,FALSE),"-")</f>
        <v>28</v>
      </c>
      <c r="D7" s="2">
        <f>IFERROR(50+VLOOKUP($A7,'SegEnds_Xtal_Prot#'!$A:$AY,7,FALSE)-VLOOKUP($B7,'SegEnds_NonXtal_Prot#'!$A:$AL,4,FALSE),"-")</f>
        <v>60</v>
      </c>
      <c r="E7" s="2">
        <f>IFERROR(50+VLOOKUP($A7,'SegEnds_Xtal_Prot#'!$A:$AY,9,FALSE)-VLOOKUP($B7,'SegEnds_NonXtal_Prot#'!$A:$AL,7,FALSE),"-")</f>
        <v>48</v>
      </c>
      <c r="F7" s="2">
        <f>IFERROR(50+VLOOKUP($A7,'SegEnds_Xtal_Prot#'!$A:$AY,11,FALSE)-VLOOKUP($B7,'SegEnds_NonXtal_Prot#'!$A:$AL,7,FALSE),"-")</f>
        <v>51</v>
      </c>
      <c r="G7" s="2">
        <f>IFERROR(50+VLOOKUP($A7,'SegEnds_Xtal_Prot#'!$A:$AY,13,FALSE)-VLOOKUP($B7,'SegEnds_NonXtal_Prot#'!$A:$AL,10,FALSE),"-")</f>
        <v>37</v>
      </c>
      <c r="H7" s="2">
        <f>IFERROR(50+VLOOKUP($A7,'SegEnds_Xtal_Prot#'!$A:$AY,15,FALSE)-VLOOKUP($B7,'SegEnds_NonXtal_Prot#'!$A:$AL,10,FALSE),"-")</f>
        <v>68</v>
      </c>
      <c r="I7" s="2">
        <f>IFERROR(50+VLOOKUP($A7,'SegEnds_Xtal_Prot#'!$A:$AY,17,FALSE)-VLOOKUP($B7,'SegEnds_NonXtal_Prot#'!$A:$AL,13,FALSE),"-")</f>
        <v>49</v>
      </c>
      <c r="J7" s="2">
        <f>IFERROR(50+VLOOKUP($A7,'SegEnds_Xtal_Prot#'!$A:$AY,19,FALSE)-VLOOKUP($B7,'SegEnds_NonXtal_Prot#'!$A:$AL,13,FALSE),"-")</f>
        <v>52</v>
      </c>
      <c r="K7" s="2">
        <f>IFERROR(50+VLOOKUP($A7,'SegEnds_Xtal_Prot#'!$A:$AY,21,FALSE)-VLOOKUP($B7,'SegEnds_NonXtal_Prot#'!$A:$AL,16,FALSE),"-")</f>
        <v>21</v>
      </c>
      <c r="L7" s="2">
        <f>IFERROR(50+VLOOKUP($A7,'SegEnds_Xtal_Prot#'!$A:$AY,23,FALSE)-VLOOKUP($B7,'SegEnds_NonXtal_Prot#'!$A:$AL,16,FALSE),"-")</f>
        <v>56</v>
      </c>
      <c r="M7" s="2">
        <f>IFERROR(50+VLOOKUP($A7,'SegEnds_Xtal_Prot#'!$A:$AY,25,FALSE)-VLOOKUP($B7,'SegEnds_NonXtal_Prot#'!$A:$AL,19,FALSE),"-")</f>
        <v>50</v>
      </c>
      <c r="N7" s="2">
        <f>IFERROR(50+VLOOKUP($A7,'SegEnds_Xtal_Prot#'!$A:$AY,27,FALSE)-VLOOKUP($B7,'SegEnds_NonXtal_Prot#'!$A:$AL,19,FALSE),"-")</f>
        <v>57</v>
      </c>
      <c r="O7" s="2">
        <f>IFERROR(50+VLOOKUP($A7,'SegEnds_Xtal_Prot#'!$A:$AY,29,FALSE)-VLOOKUP($B7,'SegEnds_NonXtal_Prot#'!$A:$AL,22,FALSE),"-")</f>
        <v>38</v>
      </c>
      <c r="P7" s="2">
        <f>IFERROR(50+VLOOKUP($A7,'SegEnds_Xtal_Prot#'!$A:$AY,31,FALSE)-VLOOKUP($B7,'SegEnds_NonXtal_Prot#'!$A:$AL,22,FALSE),"-")</f>
        <v>63</v>
      </c>
      <c r="Q7" s="2">
        <f>IFERROR(50+VLOOKUP($A7,'SegEnds_Xtal_Prot#'!$A:$AY,33,FALSE)-VLOOKUP($B7,'SegEnds_NonXtal_Prot#'!$A:$AL,25,FALSE),"-")</f>
        <v>50</v>
      </c>
      <c r="R7" s="2">
        <f>IFERROR(50+VLOOKUP($A7,'SegEnds_Xtal_Prot#'!$A:$AY,35,FALSE)-VLOOKUP($B7,'SegEnds_NonXtal_Prot#'!$A:$AL,25,FALSE),"-")</f>
        <v>52</v>
      </c>
      <c r="S7" s="2">
        <f>IFERROR(50+VLOOKUP($A7,'SegEnds_Xtal_Prot#'!$A:$AY,37,FALSE)-VLOOKUP($B7,'SegEnds_NonXtal_Prot#'!$A:$AL,28,FALSE),"-")</f>
        <v>35</v>
      </c>
      <c r="T7" s="2">
        <f>IFERROR(50+VLOOKUP($A7,'SegEnds_Xtal_Prot#'!$A:$AY,39,FALSE)-VLOOKUP($B7,'SegEnds_NonXtal_Prot#'!$A:$AL,28,FALSE),"-")</f>
        <v>74</v>
      </c>
      <c r="U7" s="2">
        <f>IFERROR(50+VLOOKUP($A7,'SegEnds_Xtal_Prot#'!$A:$AY,41,FALSE)-VLOOKUP($B7,'SegEnds_NonXtal_Prot#'!$A:$AL,31,FALSE),"-")</f>
        <v>24</v>
      </c>
      <c r="V7" s="2">
        <f>IFERROR(50+VLOOKUP($A7,'SegEnds_Xtal_Prot#'!$A:$AY,43,FALSE)-VLOOKUP($B7,'SegEnds_NonXtal_Prot#'!$A:$AL,31,FALSE),"-")</f>
        <v>60</v>
      </c>
      <c r="W7" s="2">
        <f>IFERROR(50+VLOOKUP($A7,'SegEnds_Xtal_Prot#'!$A:$AY,45,FALSE)-VLOOKUP($B7,'SegEnds_NonXtal_Prot#'!$A:$AL,34,FALSE),"-")</f>
        <v>31</v>
      </c>
      <c r="X7" s="2">
        <f>IFERROR(50+VLOOKUP($A7,'SegEnds_Xtal_Prot#'!$A:$AY,47,FALSE)-VLOOKUP($B7,'SegEnds_NonXtal_Prot#'!$A:$AL,34,FALSE),"-")</f>
        <v>56</v>
      </c>
      <c r="Y7" s="2">
        <f>IFERROR(50+VLOOKUP($A7,'SegEnds_Xtal_Prot#'!$A:$AY,49,FALSE)-VLOOKUP($B7,'SegEnds_NonXtal_Prot#'!$A:$AL,37,FALSE),"-")</f>
        <v>47</v>
      </c>
      <c r="Z7" s="2">
        <f>IFERROR(50+VLOOKUP($A7,'SegEnds_Xtal_Prot#'!$A:$AY,51,FALSE)-VLOOKUP($B7,'SegEnds_NonXtal_Prot#'!$A:$AL,37,FALSE),"-")</f>
        <v>58</v>
      </c>
      <c r="AA7" s="49" t="str">
        <f>VLOOKUP(B7,Classification!A:D,2,FALSE)</f>
        <v>A</v>
      </c>
      <c r="AB7" s="94" t="str">
        <f>VLOOKUP(B7,Classification!A:D,4,0)</f>
        <v>5-Hydroxytryptamine</v>
      </c>
      <c r="AC7" s="49">
        <f>VLOOKUP(B7,'SegEnds_NonXtal_Prot#'!A:AL,6,FALSE)-VLOOKUP(B7,'SegEnds_NonXtal_Prot#'!A:AL,5,FALSE)</f>
        <v>1</v>
      </c>
      <c r="AD7" s="49">
        <f>VLOOKUP(B7,'SegEnds_NonXtal_Prot#'!A:AL,9,FALSE)-VLOOKUP(B7,'SegEnds_NonXtal_Prot#'!A:AL,8,FALSE)</f>
        <v>1</v>
      </c>
      <c r="AE7" s="49">
        <f>VLOOKUP(B7,'SegEnds_NonXtal_Prot#'!A:AL,13,FALSE)-VLOOKUP(B7,'SegEnds_NonXtal_Prot#'!A:AL,10,FALSE)</f>
        <v>20</v>
      </c>
      <c r="AF7" s="49">
        <f>VLOOKUP(B7,'SegEnds_NonXtal_Prot#'!A:AL,12,FALSE)-VLOOKUP(B7,'SegEnds_NonXtal_Prot#'!A:AL,11,FALSE)</f>
        <v>1</v>
      </c>
      <c r="AG7" s="49">
        <f>VLOOKUP(B7,'SegEnds_NonXtal_Prot#'!A:AL,13,FALSE)-VLOOKUP(B7,'SegEnds_NonXtal_Prot#'!A:AL,11,FALSE)</f>
        <v>2</v>
      </c>
      <c r="AH7" s="49">
        <f>VLOOKUP(B7,'SegEnds_NonXtal_Prot#'!A:AL,16,FALSE)-VLOOKUP(B7,'SegEnds_NonXtal_Prot#'!A:AL,10,FALSE)</f>
        <v>52</v>
      </c>
      <c r="AI7" s="49">
        <f>VLOOKUP(B7,'SegEnds_NonXtal_Prot#'!A:AL,16,FALSE)-VLOOKUP(B7,'SegEnds_NonXtal_Prot#'!A:AL,11,FALSE)</f>
        <v>34</v>
      </c>
      <c r="AJ7" s="49">
        <f>VLOOKUP(B7,'SegEnds_NonXtal_Prot#'!A:AL,22,FALSE)-VLOOKUP(B7,'SegEnds_NonXtal_Prot#'!A:AL,19,FALSE)</f>
        <v>20</v>
      </c>
      <c r="AK7" s="49">
        <f>VLOOKUP(B7,'SegEnds_NonXtal_Prot#'!A:AL,15,FALSE)-VLOOKUP(B7,'SegEnds_NonXtal_Prot#'!A:AL,14,FALSE)</f>
        <v>1</v>
      </c>
      <c r="AL7" s="49">
        <f>VLOOKUP(B7,'SegEnds_NonXtal_Prot#'!A:AL,18,FALSE)-VLOOKUP(B7,'SegEnds_NonXtal_Prot#'!A:AL,17,FALSE)</f>
        <v>1</v>
      </c>
      <c r="AM7" s="2">
        <f>VLOOKUP(B7,'SegEnds_NonXtal_Prot#'!A:AL,34,FALSE)-VLOOKUP(B7,'SegEnds_NonXtal_Prot#'!A:AL,31,FALSE)</f>
        <v>37</v>
      </c>
      <c r="AN7" s="37"/>
    </row>
    <row r="8" spans="1:64" s="2" customFormat="1" x14ac:dyDescent="0.2">
      <c r="A8" s="2" t="s">
        <v>1245</v>
      </c>
      <c r="B8" s="2" t="s">
        <v>35</v>
      </c>
      <c r="C8" s="2">
        <f>IFERROR(50+VLOOKUP($A8,'SegEnds_Xtal_Prot#'!$A:$AY,5,FALSE)-VLOOKUP($B8,'SegEnds_NonXtal_Prot#'!$A:$AL,4,FALSE),"-")</f>
        <v>31</v>
      </c>
      <c r="D8" s="2">
        <f>IFERROR(50+VLOOKUP($A8,'SegEnds_Xtal_Prot#'!$A:$AY,7,FALSE)-VLOOKUP($B8,'SegEnds_NonXtal_Prot#'!$A:$AL,4,FALSE),"-")</f>
        <v>60</v>
      </c>
      <c r="E8" s="2">
        <f>IFERROR(50+VLOOKUP($A8,'SegEnds_Xtal_Prot#'!$A:$AY,9,FALSE)-VLOOKUP($B8,'SegEnds_NonXtal_Prot#'!$A:$AL,7,FALSE),"-")</f>
        <v>48</v>
      </c>
      <c r="F8" s="2">
        <f>IFERROR(50+VLOOKUP($A8,'SegEnds_Xtal_Prot#'!$A:$AY,11,FALSE)-VLOOKUP($B8,'SegEnds_NonXtal_Prot#'!$A:$AL,7,FALSE),"-")</f>
        <v>51</v>
      </c>
      <c r="G8" s="2">
        <f>IFERROR(50+VLOOKUP($A8,'SegEnds_Xtal_Prot#'!$A:$AY,13,FALSE)-VLOOKUP($B8,'SegEnds_NonXtal_Prot#'!$A:$AL,10,FALSE),"-")</f>
        <v>37</v>
      </c>
      <c r="H8" s="2">
        <f>IFERROR(50+VLOOKUP($A8,'SegEnds_Xtal_Prot#'!$A:$AY,15,FALSE)-VLOOKUP($B8,'SegEnds_NonXtal_Prot#'!$A:$AL,10,FALSE),"-")</f>
        <v>67</v>
      </c>
      <c r="I8" s="2">
        <f>IFERROR(50+VLOOKUP($A8,'SegEnds_Xtal_Prot#'!$A:$AY,17,FALSE)-VLOOKUP($B8,'SegEnds_NonXtal_Prot#'!$A:$AL,13,FALSE),"-")</f>
        <v>49</v>
      </c>
      <c r="J8" s="2">
        <f>IFERROR(50+VLOOKUP($A8,'SegEnds_Xtal_Prot#'!$A:$AY,19,FALSE)-VLOOKUP($B8,'SegEnds_NonXtal_Prot#'!$A:$AL,13,FALSE),"-")</f>
        <v>52</v>
      </c>
      <c r="K8" s="2">
        <f>IFERROR(50+VLOOKUP($A8,'SegEnds_Xtal_Prot#'!$A:$AY,21,FALSE)-VLOOKUP($B8,'SegEnds_NonXtal_Prot#'!$A:$AL,16,FALSE),"-")</f>
        <v>21</v>
      </c>
      <c r="L8" s="2">
        <f>IFERROR(50+VLOOKUP($A8,'SegEnds_Xtal_Prot#'!$A:$AY,23,FALSE)-VLOOKUP($B8,'SegEnds_NonXtal_Prot#'!$A:$AL,16,FALSE),"-")</f>
        <v>56</v>
      </c>
      <c r="M8" s="2">
        <f>IFERROR(50+VLOOKUP($A8,'SegEnds_Xtal_Prot#'!$A:$AY,25,FALSE)-VLOOKUP($B8,'SegEnds_NonXtal_Prot#'!$A:$AL,19,FALSE),"-")</f>
        <v>50</v>
      </c>
      <c r="N8" s="2">
        <f>IFERROR(50+VLOOKUP($A8,'SegEnds_Xtal_Prot#'!$A:$AY,27,FALSE)-VLOOKUP($B8,'SegEnds_NonXtal_Prot#'!$A:$AL,19,FALSE),"-")</f>
        <v>57</v>
      </c>
      <c r="O8" s="2">
        <f>IFERROR(50+VLOOKUP($A8,'SegEnds_Xtal_Prot#'!$A:$AY,29,FALSE)-VLOOKUP($B8,'SegEnds_NonXtal_Prot#'!$A:$AL,22,FALSE),"-")</f>
        <v>38</v>
      </c>
      <c r="P8" s="2">
        <f>IFERROR(50+VLOOKUP($A8,'SegEnds_Xtal_Prot#'!$A:$AY,31,FALSE)-VLOOKUP($B8,'SegEnds_NonXtal_Prot#'!$A:$AL,22,FALSE),"-")</f>
        <v>64</v>
      </c>
      <c r="Q8" s="2">
        <f>IFERROR(50+VLOOKUP($A8,'SegEnds_Xtal_Prot#'!$A:$AY,33,FALSE)-VLOOKUP($B8,'SegEnds_NonXtal_Prot#'!$A:$AL,25,FALSE),"-")</f>
        <v>50</v>
      </c>
      <c r="R8" s="2">
        <f>IFERROR(50+VLOOKUP($A8,'SegEnds_Xtal_Prot#'!$A:$AY,35,FALSE)-VLOOKUP($B8,'SegEnds_NonXtal_Prot#'!$A:$AL,25,FALSE),"-")</f>
        <v>52</v>
      </c>
      <c r="S8" s="2">
        <f>IFERROR(50+VLOOKUP($A8,'SegEnds_Xtal_Prot#'!$A:$AY,37,FALSE)-VLOOKUP($B8,'SegEnds_NonXtal_Prot#'!$A:$AL,28,FALSE),"-")</f>
        <v>35</v>
      </c>
      <c r="T8" s="2">
        <f>IFERROR(50+VLOOKUP($A8,'SegEnds_Xtal_Prot#'!$A:$AY,39,FALSE)-VLOOKUP($B8,'SegEnds_NonXtal_Prot#'!$A:$AL,28,FALSE),"-")</f>
        <v>76</v>
      </c>
      <c r="U8" s="2">
        <f>IFERROR(50+VLOOKUP($A8,'SegEnds_Xtal_Prot#'!$A:$AY,41,FALSE)-VLOOKUP($B8,'SegEnds_NonXtal_Prot#'!$A:$AL,31,FALSE),"-")</f>
        <v>24</v>
      </c>
      <c r="V8" s="2">
        <f>IFERROR(50+VLOOKUP($A8,'SegEnds_Xtal_Prot#'!$A:$AY,43,FALSE)-VLOOKUP($B8,'SegEnds_NonXtal_Prot#'!$A:$AL,31,FALSE),"-")</f>
        <v>61</v>
      </c>
      <c r="W8" s="2">
        <f>IFERROR(50+VLOOKUP($A8,'SegEnds_Xtal_Prot#'!$A:$AY,45,FALSE)-VLOOKUP($B8,'SegEnds_NonXtal_Prot#'!$A:$AL,34,FALSE),"-")</f>
        <v>27</v>
      </c>
      <c r="X8" s="2">
        <f>IFERROR(50+VLOOKUP($A8,'SegEnds_Xtal_Prot#'!$A:$AY,47,FALSE)-VLOOKUP($B8,'SegEnds_NonXtal_Prot#'!$A:$AL,34,FALSE),"-")</f>
        <v>56</v>
      </c>
      <c r="Y8" s="2">
        <f>IFERROR(50+VLOOKUP($A8,'SegEnds_Xtal_Prot#'!$A:$AY,49,FALSE)-VLOOKUP($B8,'SegEnds_NonXtal_Prot#'!$A:$AL,37,FALSE),"-")</f>
        <v>47</v>
      </c>
      <c r="Z8" s="2">
        <f>IFERROR(50+VLOOKUP($A8,'SegEnds_Xtal_Prot#'!$A:$AY,51,FALSE)-VLOOKUP($B8,'SegEnds_NonXtal_Prot#'!$A:$AL,37,FALSE),"-")</f>
        <v>58</v>
      </c>
      <c r="AA8" s="49" t="str">
        <f>VLOOKUP(B8,Classification!A:D,2,FALSE)</f>
        <v>A</v>
      </c>
      <c r="AB8" s="94" t="str">
        <f>VLOOKUP(B8,Classification!A:D,4,0)</f>
        <v>5-Hydroxytryptamine</v>
      </c>
      <c r="AC8" s="49">
        <f>VLOOKUP(B8,'SegEnds_NonXtal_Prot#'!A:AL,6,FALSE)-VLOOKUP(B8,'SegEnds_NonXtal_Prot#'!A:AL,5,FALSE)</f>
        <v>1</v>
      </c>
      <c r="AD8" s="49">
        <f>VLOOKUP(B8,'SegEnds_NonXtal_Prot#'!A:AL,9,FALSE)-VLOOKUP(B8,'SegEnds_NonXtal_Prot#'!A:AL,8,FALSE)</f>
        <v>1</v>
      </c>
      <c r="AE8" s="49">
        <f>VLOOKUP(B8,'SegEnds_NonXtal_Prot#'!A:AL,13,FALSE)-VLOOKUP(B8,'SegEnds_NonXtal_Prot#'!A:AL,10,FALSE)</f>
        <v>21</v>
      </c>
      <c r="AF8" s="49">
        <f>VLOOKUP(B8,'SegEnds_NonXtal_Prot#'!A:AL,12,FALSE)-VLOOKUP(B8,'SegEnds_NonXtal_Prot#'!A:AL,11,FALSE)</f>
        <v>3</v>
      </c>
      <c r="AG8" s="49">
        <f>VLOOKUP(B8,'SegEnds_NonXtal_Prot#'!A:AL,13,FALSE)-VLOOKUP(B8,'SegEnds_NonXtal_Prot#'!A:AL,11,FALSE)</f>
        <v>4</v>
      </c>
      <c r="AH8" s="49">
        <f>VLOOKUP(B8,'SegEnds_NonXtal_Prot#'!A:AL,16,FALSE)-VLOOKUP(B8,'SegEnds_NonXtal_Prot#'!A:AL,10,FALSE)</f>
        <v>53</v>
      </c>
      <c r="AI8" s="49">
        <f>VLOOKUP(B8,'SegEnds_NonXtal_Prot#'!A:AL,16,FALSE)-VLOOKUP(B8,'SegEnds_NonXtal_Prot#'!A:AL,11,FALSE)</f>
        <v>36</v>
      </c>
      <c r="AJ8" s="49">
        <f>VLOOKUP(B8,'SegEnds_NonXtal_Prot#'!A:AL,22,FALSE)-VLOOKUP(B8,'SegEnds_NonXtal_Prot#'!A:AL,19,FALSE)</f>
        <v>20</v>
      </c>
      <c r="AK8" s="49">
        <f>VLOOKUP(B8,'SegEnds_NonXtal_Prot#'!A:AL,15,FALSE)-VLOOKUP(B8,'SegEnds_NonXtal_Prot#'!A:AL,14,FALSE)</f>
        <v>1</v>
      </c>
      <c r="AL8" s="49">
        <f>VLOOKUP(B8,'SegEnds_NonXtal_Prot#'!A:AL,18,FALSE)-VLOOKUP(B8,'SegEnds_NonXtal_Prot#'!A:AL,17,FALSE)</f>
        <v>1</v>
      </c>
      <c r="AM8" s="2">
        <f>VLOOKUP(B8,'SegEnds_NonXtal_Prot#'!A:AL,34,FALSE)-VLOOKUP(B8,'SegEnds_NonXtal_Prot#'!A:AL,31,FALSE)</f>
        <v>38</v>
      </c>
      <c r="AN8" s="37"/>
    </row>
    <row r="9" spans="1:64" s="2" customFormat="1" x14ac:dyDescent="0.2">
      <c r="A9" s="2" t="s">
        <v>1481</v>
      </c>
      <c r="B9" s="2" t="s">
        <v>133</v>
      </c>
      <c r="C9" s="2">
        <f>IFERROR(50+VLOOKUP($A9,'SegEnds_Xtal_Prot#'!$A:$AY,5,FALSE)-VLOOKUP($B9,'SegEnds_NonXtal_Prot#'!$A:$AL,4,FALSE),"-")</f>
        <v>33</v>
      </c>
      <c r="D9" s="2">
        <f>IFERROR(50+VLOOKUP($A9,'SegEnds_Xtal_Prot#'!$A:$AY,7,FALSE)-VLOOKUP($B9,'SegEnds_NonXtal_Prot#'!$A:$AL,4,FALSE),"-")</f>
        <v>60</v>
      </c>
      <c r="E9" s="2">
        <f>IFERROR(50+VLOOKUP($A9,'SegEnds_Xtal_Prot#'!$A:$AY,9,FALSE)-VLOOKUP($B9,'SegEnds_NonXtal_Prot#'!$A:$AL,7,FALSE),"-")</f>
        <v>48</v>
      </c>
      <c r="F9" s="2">
        <f>IFERROR(50+VLOOKUP($A9,'SegEnds_Xtal_Prot#'!$A:$AY,11,FALSE)-VLOOKUP($B9,'SegEnds_NonXtal_Prot#'!$A:$AL,7,FALSE),"-")</f>
        <v>51</v>
      </c>
      <c r="G9" s="2">
        <f>IFERROR(50+VLOOKUP($A9,'SegEnds_Xtal_Prot#'!$A:$AY,13,FALSE)-VLOOKUP($B9,'SegEnds_NonXtal_Prot#'!$A:$AL,10,FALSE),"-")</f>
        <v>37</v>
      </c>
      <c r="H9" s="2">
        <f>IFERROR(50+VLOOKUP($A9,'SegEnds_Xtal_Prot#'!$A:$AY,15,FALSE)-VLOOKUP($B9,'SegEnds_NonXtal_Prot#'!$A:$AL,10,FALSE),"-")</f>
        <v>68</v>
      </c>
      <c r="I9" s="2">
        <f>IFERROR(50+VLOOKUP($A9,'SegEnds_Xtal_Prot#'!$A:$AY,17,FALSE)-VLOOKUP($B9,'SegEnds_NonXtal_Prot#'!$A:$AL,13,FALSE),"-")</f>
        <v>49</v>
      </c>
      <c r="J9" s="2">
        <f>IFERROR(50+VLOOKUP($A9,'SegEnds_Xtal_Prot#'!$A:$AY,19,FALSE)-VLOOKUP($B9,'SegEnds_NonXtal_Prot#'!$A:$AL,13,FALSE),"-")</f>
        <v>52</v>
      </c>
      <c r="K9" s="2">
        <f>IFERROR(50+VLOOKUP($A9,'SegEnds_Xtal_Prot#'!$A:$AY,21,FALSE)-VLOOKUP($B9,'SegEnds_NonXtal_Prot#'!$A:$AL,16,FALSE),"-")</f>
        <v>21</v>
      </c>
      <c r="L9" s="2">
        <f>IFERROR(50+VLOOKUP($A9,'SegEnds_Xtal_Prot#'!$A:$AY,23,FALSE)-VLOOKUP($B9,'SegEnds_NonXtal_Prot#'!$A:$AL,16,FALSE),"-")</f>
        <v>56</v>
      </c>
      <c r="M9" s="2">
        <f>IFERROR(50+VLOOKUP($A9,'SegEnds_Xtal_Prot#'!$A:$AY,25,FALSE)-VLOOKUP($B9,'SegEnds_NonXtal_Prot#'!$A:$AL,19,FALSE),"-")</f>
        <v>50</v>
      </c>
      <c r="N9" s="2">
        <f>IFERROR(50+VLOOKUP($A9,'SegEnds_Xtal_Prot#'!$A:$AY,27,FALSE)-VLOOKUP($B9,'SegEnds_NonXtal_Prot#'!$A:$AL,19,FALSE),"-")</f>
        <v>57</v>
      </c>
      <c r="O9" s="2">
        <f>IFERROR(50+VLOOKUP($A9,'SegEnds_Xtal_Prot#'!$A:$AY,29,FALSE)-VLOOKUP($B9,'SegEnds_NonXtal_Prot#'!$A:$AL,22,FALSE),"-")</f>
        <v>38</v>
      </c>
      <c r="P9" s="2">
        <f>IFERROR(50+VLOOKUP($A9,'SegEnds_Xtal_Prot#'!$A:$AY,31,FALSE)-VLOOKUP($B9,'SegEnds_NonXtal_Prot#'!$A:$AL,22,FALSE),"-")</f>
        <v>67</v>
      </c>
      <c r="Q9" s="2">
        <f>IFERROR(50+VLOOKUP($A9,'SegEnds_Xtal_Prot#'!$A:$AY,33,FALSE)-VLOOKUP($B9,'SegEnds_NonXtal_Prot#'!$A:$AL,25,FALSE),"-")</f>
        <v>50</v>
      </c>
      <c r="R9" s="2">
        <f>IFERROR(50+VLOOKUP($A9,'SegEnds_Xtal_Prot#'!$A:$AY,35,FALSE)-VLOOKUP($B9,'SegEnds_NonXtal_Prot#'!$A:$AL,25,FALSE),"-")</f>
        <v>52</v>
      </c>
      <c r="S9" s="2">
        <f>IFERROR(50+VLOOKUP($A9,'SegEnds_Xtal_Prot#'!$A:$AY,37,FALSE)-VLOOKUP($B9,'SegEnds_NonXtal_Prot#'!$A:$AL,28,FALSE),"-")</f>
        <v>35</v>
      </c>
      <c r="T9" s="2">
        <f>IFERROR(50+VLOOKUP($A9,'SegEnds_Xtal_Prot#'!$A:$AY,39,FALSE)-VLOOKUP($B9,'SegEnds_NonXtal_Prot#'!$A:$AL,28,FALSE),"-")</f>
        <v>74</v>
      </c>
      <c r="U9" s="2">
        <f>IFERROR(50+VLOOKUP($A9,'SegEnds_Xtal_Prot#'!$A:$AY,41,FALSE)-VLOOKUP($B9,'SegEnds_NonXtal_Prot#'!$A:$AL,31,FALSE),"-")</f>
        <v>24</v>
      </c>
      <c r="V9" s="2">
        <f>IFERROR(50+VLOOKUP($A9,'SegEnds_Xtal_Prot#'!$A:$AY,43,FALSE)-VLOOKUP($B9,'SegEnds_NonXtal_Prot#'!$A:$AL,31,FALSE),"-")</f>
        <v>61</v>
      </c>
      <c r="W9" s="2">
        <f>IFERROR(50+VLOOKUP($A9,'SegEnds_Xtal_Prot#'!$A:$AY,45,FALSE)-VLOOKUP($B9,'SegEnds_NonXtal_Prot#'!$A:$AL,34,FALSE),"-")</f>
        <v>27</v>
      </c>
      <c r="X9" s="2">
        <f>IFERROR(50+VLOOKUP($A9,'SegEnds_Xtal_Prot#'!$A:$AY,47,FALSE)-VLOOKUP($B9,'SegEnds_NonXtal_Prot#'!$A:$AL,34,FALSE),"-")</f>
        <v>56</v>
      </c>
      <c r="Y9" s="2">
        <f>IFERROR(50+VLOOKUP($A9,'SegEnds_Xtal_Prot#'!$A:$AY,49,FALSE)-VLOOKUP($B9,'SegEnds_NonXtal_Prot#'!$A:$AL,37,FALSE),"-")</f>
        <v>47</v>
      </c>
      <c r="Z9" s="2">
        <f>IFERROR(50+VLOOKUP($A9,'SegEnds_Xtal_Prot#'!$A:$AY,51,FALSE)-VLOOKUP($B9,'SegEnds_NonXtal_Prot#'!$A:$AL,37,FALSE),"-")</f>
        <v>60</v>
      </c>
      <c r="AA9" s="49" t="str">
        <f>VLOOKUP(B9,Classification!A:D,2,FALSE)</f>
        <v>A</v>
      </c>
      <c r="AB9" s="94" t="str">
        <f>VLOOKUP(B9,Classification!A:D,4,0)</f>
        <v>5-Hydroxytryptamine</v>
      </c>
      <c r="AC9" s="49">
        <f>VLOOKUP(B9,'SegEnds_NonXtal_Prot#'!A:AL,6,FALSE)-VLOOKUP(B9,'SegEnds_NonXtal_Prot#'!A:AL,5,FALSE)</f>
        <v>1</v>
      </c>
      <c r="AD9" s="49">
        <f>VLOOKUP(B9,'SegEnds_NonXtal_Prot#'!A:AL,9,FALSE)-VLOOKUP(B9,'SegEnds_NonXtal_Prot#'!A:AL,8,FALSE)</f>
        <v>1</v>
      </c>
      <c r="AE9" s="49">
        <f>VLOOKUP(B9,'SegEnds_NonXtal_Prot#'!A:AL,13,FALSE)-VLOOKUP(B9,'SegEnds_NonXtal_Prot#'!A:AL,10,FALSE)</f>
        <v>21</v>
      </c>
      <c r="AF9" s="49">
        <f>VLOOKUP(B9,'SegEnds_NonXtal_Prot#'!A:AL,12,FALSE)-VLOOKUP(B9,'SegEnds_NonXtal_Prot#'!A:AL,11,FALSE)</f>
        <v>2</v>
      </c>
      <c r="AG9" s="49">
        <f>VLOOKUP(B9,'SegEnds_NonXtal_Prot#'!A:AL,13,FALSE)-VLOOKUP(B9,'SegEnds_NonXtal_Prot#'!A:AL,11,FALSE)</f>
        <v>3</v>
      </c>
      <c r="AH9" s="49">
        <f>VLOOKUP(B9,'SegEnds_NonXtal_Prot#'!A:AL,16,FALSE)-VLOOKUP(B9,'SegEnds_NonXtal_Prot#'!A:AL,10,FALSE)</f>
        <v>53</v>
      </c>
      <c r="AI9" s="49">
        <f>VLOOKUP(B9,'SegEnds_NonXtal_Prot#'!A:AL,16,FALSE)-VLOOKUP(B9,'SegEnds_NonXtal_Prot#'!A:AL,11,FALSE)</f>
        <v>35</v>
      </c>
      <c r="AJ9" s="49">
        <f>VLOOKUP(B9,'SegEnds_NonXtal_Prot#'!A:AL,22,FALSE)-VLOOKUP(B9,'SegEnds_NonXtal_Prot#'!A:AL,19,FALSE)</f>
        <v>20</v>
      </c>
      <c r="AK9" s="49">
        <f>VLOOKUP(B9,'SegEnds_NonXtal_Prot#'!A:AL,15,FALSE)-VLOOKUP(B9,'SegEnds_NonXtal_Prot#'!A:AL,14,FALSE)</f>
        <v>1</v>
      </c>
      <c r="AL9" s="49">
        <f>VLOOKUP(B9,'SegEnds_NonXtal_Prot#'!A:AL,18,FALSE)-VLOOKUP(B9,'SegEnds_NonXtal_Prot#'!A:AL,17,FALSE)</f>
        <v>1</v>
      </c>
      <c r="AM9" s="2">
        <f>VLOOKUP(B9,'SegEnds_NonXtal_Prot#'!A:AL,34,FALSE)-VLOOKUP(B9,'SegEnds_NonXtal_Prot#'!A:AL,31,FALSE)</f>
        <v>39</v>
      </c>
      <c r="AN9" s="37"/>
    </row>
    <row r="10" spans="1:64" x14ac:dyDescent="0.2">
      <c r="A10" s="2" t="s">
        <v>1250</v>
      </c>
      <c r="B10" s="2" t="s">
        <v>149</v>
      </c>
      <c r="C10" s="2">
        <f>IFERROR(50+VLOOKUP($A10,'SegEnds_Xtal_Prot#'!$A:$AY,5,FALSE)-VLOOKUP($B10,'SegEnds_NonXtal_Prot#'!$A:$AL,4,FALSE),"-")</f>
        <v>26</v>
      </c>
      <c r="D10" s="2">
        <f>IFERROR(50+VLOOKUP($A10,'SegEnds_Xtal_Prot#'!$A:$AY,7,FALSE)-VLOOKUP($B10,'SegEnds_NonXtal_Prot#'!$A:$AL,4,FALSE),"-")</f>
        <v>60</v>
      </c>
      <c r="E10" s="2">
        <f>IFERROR(50+VLOOKUP($A10,'SegEnds_Xtal_Prot#'!$A:$AY,9,FALSE)-VLOOKUP($B10,'SegEnds_NonXtal_Prot#'!$A:$AL,7,FALSE),"-")</f>
        <v>48</v>
      </c>
      <c r="F10" s="2">
        <f>IFERROR(50+VLOOKUP($A10,'SegEnds_Xtal_Prot#'!$A:$AY,11,FALSE)-VLOOKUP($B10,'SegEnds_NonXtal_Prot#'!$A:$AL,7,FALSE),"-")</f>
        <v>51</v>
      </c>
      <c r="G10" s="2">
        <f>IFERROR(50+VLOOKUP($A10,'SegEnds_Xtal_Prot#'!$A:$AY,13,FALSE)-VLOOKUP($B10,'SegEnds_NonXtal_Prot#'!$A:$AL,10,FALSE),"-")</f>
        <v>37</v>
      </c>
      <c r="H10" s="2">
        <f>IFERROR(50+VLOOKUP($A10,'SegEnds_Xtal_Prot#'!$A:$AY,15,FALSE)-VLOOKUP($B10,'SegEnds_NonXtal_Prot#'!$A:$AL,10,FALSE),"-")</f>
        <v>67</v>
      </c>
      <c r="I10" s="2">
        <f>IFERROR(50+VLOOKUP($A10,'SegEnds_Xtal_Prot#'!$A:$AY,17,FALSE)-VLOOKUP($B10,'SegEnds_NonXtal_Prot#'!$A:$AL,13,FALSE),"-")</f>
        <v>49</v>
      </c>
      <c r="J10" s="2">
        <f>IFERROR(50+VLOOKUP($A10,'SegEnds_Xtal_Prot#'!$A:$AY,19,FALSE)-VLOOKUP($B10,'SegEnds_NonXtal_Prot#'!$A:$AL,13,FALSE),"-")</f>
        <v>52</v>
      </c>
      <c r="K10" s="2">
        <f>IFERROR(50+VLOOKUP($A10,'SegEnds_Xtal_Prot#'!$A:$AY,21,FALSE)-VLOOKUP($B10,'SegEnds_NonXtal_Prot#'!$A:$AL,16,FALSE),"-")</f>
        <v>21</v>
      </c>
      <c r="L10" s="2">
        <f>IFERROR(50+VLOOKUP($A10,'SegEnds_Xtal_Prot#'!$A:$AY,23,FALSE)-VLOOKUP($B10,'SegEnds_NonXtal_Prot#'!$A:$AL,16,FALSE),"-")</f>
        <v>56</v>
      </c>
      <c r="M10" s="2">
        <f>IFERROR(50+VLOOKUP($A10,'SegEnds_Xtal_Prot#'!$A:$AY,25,FALSE)-VLOOKUP($B10,'SegEnds_NonXtal_Prot#'!$A:$AL,19,FALSE),"-")</f>
        <v>50</v>
      </c>
      <c r="N10" s="2">
        <f>IFERROR(50+VLOOKUP($A10,'SegEnds_Xtal_Prot#'!$A:$AY,27,FALSE)-VLOOKUP($B10,'SegEnds_NonXtal_Prot#'!$A:$AL,19,FALSE),"-")</f>
        <v>57</v>
      </c>
      <c r="O10" s="2">
        <f>IFERROR(50+VLOOKUP($A10,'SegEnds_Xtal_Prot#'!$A:$AY,29,FALSE)-VLOOKUP($B10,'SegEnds_NonXtal_Prot#'!$A:$AL,22,FALSE),"-")</f>
        <v>38</v>
      </c>
      <c r="P10" s="2">
        <f>IFERROR(50+VLOOKUP($A10,'SegEnds_Xtal_Prot#'!$A:$AY,31,FALSE)-VLOOKUP($B10,'SegEnds_NonXtal_Prot#'!$A:$AL,22,FALSE),"-")</f>
        <v>69</v>
      </c>
      <c r="Q10" s="2">
        <f>IFERROR(50+VLOOKUP($A10,'SegEnds_Xtal_Prot#'!$A:$AY,33,FALSE)-VLOOKUP($B10,'SegEnds_NonXtal_Prot#'!$A:$AL,25,FALSE),"-")</f>
        <v>50</v>
      </c>
      <c r="R10" s="2">
        <f>IFERROR(50+VLOOKUP($A10,'SegEnds_Xtal_Prot#'!$A:$AY,35,FALSE)-VLOOKUP($B10,'SegEnds_NonXtal_Prot#'!$A:$AL,25,FALSE),"-")</f>
        <v>52</v>
      </c>
      <c r="S10" s="2">
        <f>IFERROR(50+VLOOKUP($A10,'SegEnds_Xtal_Prot#'!$A:$AY,37,FALSE)-VLOOKUP($B10,'SegEnds_NonXtal_Prot#'!$A:$AL,28,FALSE),"-")</f>
        <v>35</v>
      </c>
      <c r="T10" s="2">
        <f>IFERROR(50+VLOOKUP($A10,'SegEnds_Xtal_Prot#'!$A:$AY,39,FALSE)-VLOOKUP($B10,'SegEnds_NonXtal_Prot#'!$A:$AL,28,FALSE),"-")</f>
        <v>75</v>
      </c>
      <c r="U10" s="2">
        <f>IFERROR(50+VLOOKUP($A10,'SegEnds_Xtal_Prot#'!$A:$AY,41,FALSE)-VLOOKUP($B10,'SegEnds_NonXtal_Prot#'!$A:$AL,31,FALSE),"-")</f>
        <v>24</v>
      </c>
      <c r="V10" s="2">
        <f>IFERROR(50+VLOOKUP($A10,'SegEnds_Xtal_Prot#'!$A:$AY,43,FALSE)-VLOOKUP($B10,'SegEnds_NonXtal_Prot#'!$A:$AL,31,FALSE),"-")</f>
        <v>61</v>
      </c>
      <c r="W10" s="2">
        <f>IFERROR(50+VLOOKUP($A10,'SegEnds_Xtal_Prot#'!$A:$AY,45,FALSE)-VLOOKUP($B10,'SegEnds_NonXtal_Prot#'!$A:$AL,34,FALSE),"-")</f>
        <v>31</v>
      </c>
      <c r="X10" s="2">
        <f>IFERROR(50+VLOOKUP($A10,'SegEnds_Xtal_Prot#'!$A:$AY,47,FALSE)-VLOOKUP($B10,'SegEnds_NonXtal_Prot#'!$A:$AL,34,FALSE),"-")</f>
        <v>56</v>
      </c>
      <c r="Y10" s="2">
        <f>IFERROR(50+VLOOKUP($A10,'SegEnds_Xtal_Prot#'!$A:$AY,49,FALSE)-VLOOKUP($B10,'SegEnds_NonXtal_Prot#'!$A:$AL,37,FALSE),"-")</f>
        <v>47</v>
      </c>
      <c r="Z10" s="2">
        <f>IFERROR(50+VLOOKUP($A10,'SegEnds_Xtal_Prot#'!$A:$AY,51,FALSE)-VLOOKUP($B10,'SegEnds_NonXtal_Prot#'!$A:$AL,37,FALSE),"-")</f>
        <v>59</v>
      </c>
      <c r="AA10" s="49" t="str">
        <f>VLOOKUP(B10,Classification!A:D,2,FALSE)</f>
        <v>A</v>
      </c>
      <c r="AB10" s="94" t="str">
        <f>VLOOKUP(B10,Classification!A:D,4,0)</f>
        <v>Acetylcholine(muscarinic)</v>
      </c>
      <c r="AC10" s="49">
        <f>VLOOKUP(B10,'SegEnds_NonXtal_Prot#'!A:AL,6,FALSE)-VLOOKUP(B10,'SegEnds_NonXtal_Prot#'!A:AL,5,FALSE)</f>
        <v>1</v>
      </c>
      <c r="AD10" s="49">
        <f>VLOOKUP(B10,'SegEnds_NonXtal_Prot#'!A:AL,9,FALSE)-VLOOKUP(B10,'SegEnds_NonXtal_Prot#'!A:AL,8,FALSE)</f>
        <v>1</v>
      </c>
      <c r="AE10" s="49">
        <f>VLOOKUP(B10,'SegEnds_NonXtal_Prot#'!A:AL,13,FALSE)-VLOOKUP(B10,'SegEnds_NonXtal_Prot#'!A:AL,10,FALSE)</f>
        <v>20</v>
      </c>
      <c r="AF10" s="49">
        <f>VLOOKUP(B10,'SegEnds_NonXtal_Prot#'!A:AL,12,FALSE)-VLOOKUP(B10,'SegEnds_NonXtal_Prot#'!A:AL,11,FALSE)</f>
        <v>2</v>
      </c>
      <c r="AG10" s="49">
        <f>VLOOKUP(B10,'SegEnds_NonXtal_Prot#'!A:AL,13,FALSE)-VLOOKUP(B10,'SegEnds_NonXtal_Prot#'!A:AL,11,FALSE)</f>
        <v>3</v>
      </c>
      <c r="AH10" s="49">
        <f>VLOOKUP(B10,'SegEnds_NonXtal_Prot#'!A:AL,16,FALSE)-VLOOKUP(B10,'SegEnds_NonXtal_Prot#'!A:AL,10,FALSE)</f>
        <v>52</v>
      </c>
      <c r="AI10" s="49">
        <f>VLOOKUP(B10,'SegEnds_NonXtal_Prot#'!A:AL,16,FALSE)-VLOOKUP(B10,'SegEnds_NonXtal_Prot#'!A:AL,11,FALSE)</f>
        <v>35</v>
      </c>
      <c r="AJ10" s="49">
        <f>VLOOKUP(B10,'SegEnds_NonXtal_Prot#'!A:AL,22,FALSE)-VLOOKUP(B10,'SegEnds_NonXtal_Prot#'!A:AL,19,FALSE)</f>
        <v>20</v>
      </c>
      <c r="AK10" s="49">
        <f>VLOOKUP(B10,'SegEnds_NonXtal_Prot#'!A:AL,15,FALSE)-VLOOKUP(B10,'SegEnds_NonXtal_Prot#'!A:AL,14,FALSE)</f>
        <v>1</v>
      </c>
      <c r="AL10" s="49">
        <f>VLOOKUP(B10,'SegEnds_NonXtal_Prot#'!A:AL,18,FALSE)-VLOOKUP(B10,'SegEnds_NonXtal_Prot#'!A:AL,17,FALSE)</f>
        <v>1</v>
      </c>
      <c r="AM10" s="2">
        <f>VLOOKUP(B10,'SegEnds_NonXtal_Prot#'!A:AL,34,FALSE)-VLOOKUP(B10,'SegEnds_NonXtal_Prot#'!A:AL,31,FALSE)</f>
        <v>35</v>
      </c>
      <c r="AN10" s="37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</row>
    <row r="11" spans="1:64" s="2" customFormat="1" x14ac:dyDescent="0.2">
      <c r="A11" s="2" t="s">
        <v>1247</v>
      </c>
      <c r="B11" s="2" t="s">
        <v>146</v>
      </c>
      <c r="C11" s="2">
        <f>IFERROR(50+VLOOKUP($A11,'SegEnds_Xtal_Prot#'!$A:$AY,5,FALSE)-VLOOKUP($B11,'SegEnds_NonXtal_Prot#'!$A:$AL,4,FALSE),"-")</f>
        <v>29</v>
      </c>
      <c r="D11" s="2">
        <f>IFERROR(50+VLOOKUP($A11,'SegEnds_Xtal_Prot#'!$A:$AY,7,FALSE)-VLOOKUP($B11,'SegEnds_NonXtal_Prot#'!$A:$AL,4,FALSE),"-")</f>
        <v>60</v>
      </c>
      <c r="E11" s="2">
        <f>IFERROR(50+VLOOKUP($A11,'SegEnds_Xtal_Prot#'!$A:$AY,9,FALSE)-VLOOKUP($B11,'SegEnds_NonXtal_Prot#'!$A:$AL,7,FALSE),"-")</f>
        <v>48</v>
      </c>
      <c r="F11" s="2">
        <f>IFERROR(50+VLOOKUP($A11,'SegEnds_Xtal_Prot#'!$A:$AY,11,FALSE)-VLOOKUP($B11,'SegEnds_NonXtal_Prot#'!$A:$AL,7,FALSE),"-")</f>
        <v>51</v>
      </c>
      <c r="G11" s="2">
        <f>IFERROR(50+VLOOKUP($A11,'SegEnds_Xtal_Prot#'!$A:$AY,13,FALSE)-VLOOKUP($B11,'SegEnds_NonXtal_Prot#'!$A:$AL,10,FALSE),"-")</f>
        <v>37</v>
      </c>
      <c r="H11" s="2">
        <f>IFERROR(50+VLOOKUP($A11,'SegEnds_Xtal_Prot#'!$A:$AY,15,FALSE)-VLOOKUP($B11,'SegEnds_NonXtal_Prot#'!$A:$AL,10,FALSE),"-")</f>
        <v>68</v>
      </c>
      <c r="I11" s="2">
        <f>IFERROR(50+VLOOKUP($A11,'SegEnds_Xtal_Prot#'!$A:$AY,17,FALSE)-VLOOKUP($B11,'SegEnds_NonXtal_Prot#'!$A:$AL,13,FALSE),"-")</f>
        <v>49</v>
      </c>
      <c r="J11" s="2">
        <f>IFERROR(50+VLOOKUP($A11,'SegEnds_Xtal_Prot#'!$A:$AY,19,FALSE)-VLOOKUP($B11,'SegEnds_NonXtal_Prot#'!$A:$AL,13,FALSE),"-")</f>
        <v>52</v>
      </c>
      <c r="K11" s="2">
        <f>IFERROR(50+VLOOKUP($A11,'SegEnds_Xtal_Prot#'!$A:$AY,21,FALSE)-VLOOKUP($B11,'SegEnds_NonXtal_Prot#'!$A:$AL,16,FALSE),"-")</f>
        <v>21</v>
      </c>
      <c r="L11" s="2">
        <f>IFERROR(50+VLOOKUP($A11,'SegEnds_Xtal_Prot#'!$A:$AY,23,FALSE)-VLOOKUP($B11,'SegEnds_NonXtal_Prot#'!$A:$AL,16,FALSE),"-")</f>
        <v>56</v>
      </c>
      <c r="M11" s="2">
        <f>IFERROR(50+VLOOKUP($A11,'SegEnds_Xtal_Prot#'!$A:$AY,25,FALSE)-VLOOKUP($B11,'SegEnds_NonXtal_Prot#'!$A:$AL,19,FALSE),"-")</f>
        <v>50</v>
      </c>
      <c r="N11" s="2">
        <f>IFERROR(50+VLOOKUP($A11,'SegEnds_Xtal_Prot#'!$A:$AY,27,FALSE)-VLOOKUP($B11,'SegEnds_NonXtal_Prot#'!$A:$AL,19,FALSE),"-")</f>
        <v>57</v>
      </c>
      <c r="O11" s="2">
        <f>IFERROR(50+VLOOKUP($A11,'SegEnds_Xtal_Prot#'!$A:$AY,29,FALSE)-VLOOKUP($B11,'SegEnds_NonXtal_Prot#'!$A:$AL,22,FALSE),"-")</f>
        <v>38</v>
      </c>
      <c r="P11" s="2">
        <f>IFERROR(50+VLOOKUP($A11,'SegEnds_Xtal_Prot#'!$A:$AY,31,FALSE)-VLOOKUP($B11,'SegEnds_NonXtal_Prot#'!$A:$AL,22,FALSE),"-")</f>
        <v>69</v>
      </c>
      <c r="Q11" s="2">
        <f>IFERROR(50+VLOOKUP($A11,'SegEnds_Xtal_Prot#'!$A:$AY,33,FALSE)-VLOOKUP($B11,'SegEnds_NonXtal_Prot#'!$A:$AL,25,FALSE),"-")</f>
        <v>50</v>
      </c>
      <c r="R11" s="2">
        <f>IFERROR(50+VLOOKUP($A11,'SegEnds_Xtal_Prot#'!$A:$AY,35,FALSE)-VLOOKUP($B11,'SegEnds_NonXtal_Prot#'!$A:$AL,25,FALSE),"-")</f>
        <v>52</v>
      </c>
      <c r="S11" s="2">
        <f>IFERROR(50+VLOOKUP($A11,'SegEnds_Xtal_Prot#'!$A:$AY,37,FALSE)-VLOOKUP($B11,'SegEnds_NonXtal_Prot#'!$A:$AL,28,FALSE),"-")</f>
        <v>35</v>
      </c>
      <c r="T11" s="2">
        <f>IFERROR(50+VLOOKUP($A11,'SegEnds_Xtal_Prot#'!$A:$AY,39,FALSE)-VLOOKUP($B11,'SegEnds_NonXtal_Prot#'!$A:$AL,28,FALSE),"-")</f>
        <v>75</v>
      </c>
      <c r="U11" s="2">
        <f>IFERROR(50+VLOOKUP($A11,'SegEnds_Xtal_Prot#'!$A:$AY,41,FALSE)-VLOOKUP($B11,'SegEnds_NonXtal_Prot#'!$A:$AL,31,FALSE),"-")</f>
        <v>24</v>
      </c>
      <c r="V11" s="2">
        <f>IFERROR(50+VLOOKUP($A11,'SegEnds_Xtal_Prot#'!$A:$AY,43,FALSE)-VLOOKUP($B11,'SegEnds_NonXtal_Prot#'!$A:$AL,31,FALSE),"-")</f>
        <v>61</v>
      </c>
      <c r="W11" s="2">
        <f>IFERROR(50+VLOOKUP($A11,'SegEnds_Xtal_Prot#'!$A:$AY,45,FALSE)-VLOOKUP($B11,'SegEnds_NonXtal_Prot#'!$A:$AL,34,FALSE),"-")</f>
        <v>31</v>
      </c>
      <c r="X11" s="2">
        <f>IFERROR(50+VLOOKUP($A11,'SegEnds_Xtal_Prot#'!$A:$AY,47,FALSE)-VLOOKUP($B11,'SegEnds_NonXtal_Prot#'!$A:$AL,34,FALSE),"-")</f>
        <v>56</v>
      </c>
      <c r="Y11" s="2">
        <f>IFERROR(50+VLOOKUP($A11,'SegEnds_Xtal_Prot#'!$A:$AY,49,FALSE)-VLOOKUP($B11,'SegEnds_NonXtal_Prot#'!$A:$AL,37,FALSE),"-")</f>
        <v>47</v>
      </c>
      <c r="Z11" s="2">
        <f>IFERROR(50+VLOOKUP($A11,'SegEnds_Xtal_Prot#'!$A:$AY,51,FALSE)-VLOOKUP($B11,'SegEnds_NonXtal_Prot#'!$A:$AL,37,FALSE),"-")</f>
        <v>59</v>
      </c>
      <c r="AA11" s="49" t="str">
        <f>VLOOKUP(B11,Classification!A:D,2,FALSE)</f>
        <v>A</v>
      </c>
      <c r="AB11" s="94" t="str">
        <f>VLOOKUP(B11,Classification!A:D,4,0)</f>
        <v>Acetylcholine(muscarinic)</v>
      </c>
      <c r="AC11" s="49">
        <f>VLOOKUP(B11,'SegEnds_NonXtal_Prot#'!A:AL,6,FALSE)-VLOOKUP(B11,'SegEnds_NonXtal_Prot#'!A:AL,5,FALSE)</f>
        <v>1</v>
      </c>
      <c r="AD11" s="49">
        <f>VLOOKUP(B11,'SegEnds_NonXtal_Prot#'!A:AL,9,FALSE)-VLOOKUP(B11,'SegEnds_NonXtal_Prot#'!A:AL,8,FALSE)</f>
        <v>1</v>
      </c>
      <c r="AE11" s="49">
        <f>VLOOKUP(B11,'SegEnds_NonXtal_Prot#'!A:AL,13,FALSE)-VLOOKUP(B11,'SegEnds_NonXtal_Prot#'!A:AL,10,FALSE)</f>
        <v>20</v>
      </c>
      <c r="AF11" s="49">
        <f>VLOOKUP(B11,'SegEnds_NonXtal_Prot#'!A:AL,12,FALSE)-VLOOKUP(B11,'SegEnds_NonXtal_Prot#'!A:AL,11,FALSE)</f>
        <v>1</v>
      </c>
      <c r="AG11" s="49">
        <f>VLOOKUP(B11,'SegEnds_NonXtal_Prot#'!A:AL,13,FALSE)-VLOOKUP(B11,'SegEnds_NonXtal_Prot#'!A:AL,11,FALSE)</f>
        <v>2</v>
      </c>
      <c r="AH11" s="49">
        <f>VLOOKUP(B11,'SegEnds_NonXtal_Prot#'!A:AL,16,FALSE)-VLOOKUP(B11,'SegEnds_NonXtal_Prot#'!A:AL,10,FALSE)</f>
        <v>52</v>
      </c>
      <c r="AI11" s="49">
        <f>VLOOKUP(B11,'SegEnds_NonXtal_Prot#'!A:AL,16,FALSE)-VLOOKUP(B11,'SegEnds_NonXtal_Prot#'!A:AL,11,FALSE)</f>
        <v>34</v>
      </c>
      <c r="AJ11" s="49">
        <f>VLOOKUP(B11,'SegEnds_NonXtal_Prot#'!A:AL,22,FALSE)-VLOOKUP(B11,'SegEnds_NonXtal_Prot#'!A:AL,19,FALSE)</f>
        <v>20</v>
      </c>
      <c r="AK11" s="49">
        <f>VLOOKUP(B11,'SegEnds_NonXtal_Prot#'!A:AL,15,FALSE)-VLOOKUP(B11,'SegEnds_NonXtal_Prot#'!A:AL,14,FALSE)</f>
        <v>1</v>
      </c>
      <c r="AL11" s="49">
        <f>VLOOKUP(B11,'SegEnds_NonXtal_Prot#'!A:AL,18,FALSE)-VLOOKUP(B11,'SegEnds_NonXtal_Prot#'!A:AL,17,FALSE)</f>
        <v>1</v>
      </c>
      <c r="AM11" s="2">
        <f>VLOOKUP(B11,'SegEnds_NonXtal_Prot#'!A:AL,34,FALSE)-VLOOKUP(B11,'SegEnds_NonXtal_Prot#'!A:AL,31,FALSE)</f>
        <v>35</v>
      </c>
      <c r="AN11" s="37"/>
    </row>
    <row r="12" spans="1:64" s="2" customFormat="1" x14ac:dyDescent="0.2">
      <c r="A12" s="2" t="s">
        <v>1249</v>
      </c>
      <c r="B12" s="2" t="s">
        <v>910</v>
      </c>
      <c r="C12" s="2">
        <f>IFERROR(50+VLOOKUP($A12,'SegEnds_Xtal_Prot#'!$A:$AY,5,FALSE)-VLOOKUP($B12,'SegEnds_NonXtal_Prot#'!$A:$AL,4,FALSE),"-")</f>
        <v>29</v>
      </c>
      <c r="D12" s="2">
        <f>IFERROR(50+VLOOKUP($A12,'SegEnds_Xtal_Prot#'!$A:$AY,7,FALSE)-VLOOKUP($B12,'SegEnds_NonXtal_Prot#'!$A:$AL,4,FALSE),"-")</f>
        <v>60</v>
      </c>
      <c r="E12" s="2">
        <f>IFERROR(50+VLOOKUP($A12,'SegEnds_Xtal_Prot#'!$A:$AY,9,FALSE)-VLOOKUP($B12,'SegEnds_NonXtal_Prot#'!$A:$AL,7,FALSE),"-")</f>
        <v>48</v>
      </c>
      <c r="F12" s="2">
        <f>IFERROR(50+VLOOKUP($A12,'SegEnds_Xtal_Prot#'!$A:$AY,11,FALSE)-VLOOKUP($B12,'SegEnds_NonXtal_Prot#'!$A:$AL,7,FALSE),"-")</f>
        <v>51</v>
      </c>
      <c r="G12" s="2">
        <f>IFERROR(50+VLOOKUP($A12,'SegEnds_Xtal_Prot#'!$A:$AY,13,FALSE)-VLOOKUP($B12,'SegEnds_NonXtal_Prot#'!$A:$AL,10,FALSE),"-")</f>
        <v>37</v>
      </c>
      <c r="H12" s="2">
        <f>IFERROR(50+VLOOKUP($A12,'SegEnds_Xtal_Prot#'!$A:$AY,15,FALSE)-VLOOKUP($B12,'SegEnds_NonXtal_Prot#'!$A:$AL,10,FALSE),"-")</f>
        <v>67</v>
      </c>
      <c r="I12" s="2">
        <f>IFERROR(50+VLOOKUP($A12,'SegEnds_Xtal_Prot#'!$A:$AY,17,FALSE)-VLOOKUP($B12,'SegEnds_NonXtal_Prot#'!$A:$AL,13,FALSE),"-")</f>
        <v>49</v>
      </c>
      <c r="J12" s="2">
        <f>IFERROR(50+VLOOKUP($A12,'SegEnds_Xtal_Prot#'!$A:$AY,19,FALSE)-VLOOKUP($B12,'SegEnds_NonXtal_Prot#'!$A:$AL,13,FALSE),"-")</f>
        <v>52</v>
      </c>
      <c r="K12" s="2">
        <f>IFERROR(50+VLOOKUP($A12,'SegEnds_Xtal_Prot#'!$A:$AY,21,FALSE)-VLOOKUP($B12,'SegEnds_NonXtal_Prot#'!$A:$AL,16,FALSE),"-")</f>
        <v>21</v>
      </c>
      <c r="L12" s="2">
        <f>IFERROR(50+VLOOKUP($A12,'SegEnds_Xtal_Prot#'!$A:$AY,23,FALSE)-VLOOKUP($B12,'SegEnds_NonXtal_Prot#'!$A:$AL,16,FALSE),"-")</f>
        <v>56</v>
      </c>
      <c r="M12" s="2">
        <f>IFERROR(50+VLOOKUP($A12,'SegEnds_Xtal_Prot#'!$A:$AY,25,FALSE)-VLOOKUP($B12,'SegEnds_NonXtal_Prot#'!$A:$AL,19,FALSE),"-")</f>
        <v>50</v>
      </c>
      <c r="N12" s="2">
        <f>IFERROR(50+VLOOKUP($A12,'SegEnds_Xtal_Prot#'!$A:$AY,27,FALSE)-VLOOKUP($B12,'SegEnds_NonXtal_Prot#'!$A:$AL,19,FALSE),"-")</f>
        <v>57</v>
      </c>
      <c r="O12" s="2">
        <f>IFERROR(50+VLOOKUP($A12,'SegEnds_Xtal_Prot#'!$A:$AY,29,FALSE)-VLOOKUP($B12,'SegEnds_NonXtal_Prot#'!$A:$AL,22,FALSE),"-")</f>
        <v>38</v>
      </c>
      <c r="P12" s="2">
        <f>IFERROR(50+VLOOKUP($A12,'SegEnds_Xtal_Prot#'!$A:$AY,31,FALSE)-VLOOKUP($B12,'SegEnds_NonXtal_Prot#'!$A:$AL,22,FALSE),"-")</f>
        <v>69</v>
      </c>
      <c r="Q12" s="2">
        <f>IFERROR(50+VLOOKUP($A12,'SegEnds_Xtal_Prot#'!$A:$AY,33,FALSE)-VLOOKUP($B12,'SegEnds_NonXtal_Prot#'!$A:$AL,25,FALSE),"-")</f>
        <v>50</v>
      </c>
      <c r="R12" s="2">
        <f>IFERROR(50+VLOOKUP($A12,'SegEnds_Xtal_Prot#'!$A:$AY,35,FALSE)-VLOOKUP($B12,'SegEnds_NonXtal_Prot#'!$A:$AL,25,FALSE),"-")</f>
        <v>52</v>
      </c>
      <c r="S12" s="2">
        <f>IFERROR(50+VLOOKUP($A12,'SegEnds_Xtal_Prot#'!$A:$AY,37,FALSE)-VLOOKUP($B12,'SegEnds_NonXtal_Prot#'!$A:$AL,28,FALSE),"-")</f>
        <v>35</v>
      </c>
      <c r="T12" s="2">
        <f>IFERROR(50+VLOOKUP($A12,'SegEnds_Xtal_Prot#'!$A:$AY,39,FALSE)-VLOOKUP($B12,'SegEnds_NonXtal_Prot#'!$A:$AL,28,FALSE),"-")</f>
        <v>75</v>
      </c>
      <c r="U12" s="2">
        <f>IFERROR(50+VLOOKUP($A12,'SegEnds_Xtal_Prot#'!$A:$AY,41,FALSE)-VLOOKUP($B12,'SegEnds_NonXtal_Prot#'!$A:$AL,31,FALSE),"-")</f>
        <v>24</v>
      </c>
      <c r="V12" s="2">
        <f>IFERROR(50+VLOOKUP($A12,'SegEnds_Xtal_Prot#'!$A:$AY,43,FALSE)-VLOOKUP($B12,'SegEnds_NonXtal_Prot#'!$A:$AL,31,FALSE),"-")</f>
        <v>61</v>
      </c>
      <c r="W12" s="2">
        <f>IFERROR(50+VLOOKUP($A12,'SegEnds_Xtal_Prot#'!$A:$AY,45,FALSE)-VLOOKUP($B12,'SegEnds_NonXtal_Prot#'!$A:$AL,34,FALSE),"-")</f>
        <v>31</v>
      </c>
      <c r="X12" s="2">
        <f>IFERROR(50+VLOOKUP($A12,'SegEnds_Xtal_Prot#'!$A:$AY,47,FALSE)-VLOOKUP($B12,'SegEnds_NonXtal_Prot#'!$A:$AL,34,FALSE),"-")</f>
        <v>56</v>
      </c>
      <c r="Y12" s="2">
        <f>IFERROR(50+VLOOKUP($A12,'SegEnds_Xtal_Prot#'!$A:$AY,49,FALSE)-VLOOKUP($B12,'SegEnds_NonXtal_Prot#'!$A:$AL,37,FALSE),"-")</f>
        <v>47</v>
      </c>
      <c r="Z12" s="2">
        <f>IFERROR(50+VLOOKUP($A12,'SegEnds_Xtal_Prot#'!$A:$AY,51,FALSE)-VLOOKUP($B12,'SegEnds_NonXtal_Prot#'!$A:$AL,37,FALSE),"-")</f>
        <v>58</v>
      </c>
      <c r="AA12" s="49" t="str">
        <f>VLOOKUP(B12,Classification!A:D,2,FALSE)</f>
        <v>A</v>
      </c>
      <c r="AB12" s="94" t="str">
        <f>VLOOKUP(B12,Classification!A:D,4,0)</f>
        <v>Acetylcholine(muscarinic)</v>
      </c>
      <c r="AC12" s="49">
        <f>VLOOKUP(B12,'SegEnds_NonXtal_Prot#'!A:AL,6,FALSE)-VLOOKUP(B12,'SegEnds_NonXtal_Prot#'!A:AL,5,FALSE)</f>
        <v>1</v>
      </c>
      <c r="AD12" s="49">
        <f>VLOOKUP(B12,'SegEnds_NonXtal_Prot#'!A:AL,9,FALSE)-VLOOKUP(B12,'SegEnds_NonXtal_Prot#'!A:AL,8,FALSE)</f>
        <v>1</v>
      </c>
      <c r="AE12" s="49">
        <f>VLOOKUP(B12,'SegEnds_NonXtal_Prot#'!A:AL,13,FALSE)-VLOOKUP(B12,'SegEnds_NonXtal_Prot#'!A:AL,10,FALSE)</f>
        <v>20</v>
      </c>
      <c r="AF12" s="49">
        <f>VLOOKUP(B12,'SegEnds_NonXtal_Prot#'!A:AL,12,FALSE)-VLOOKUP(B12,'SegEnds_NonXtal_Prot#'!A:AL,11,FALSE)</f>
        <v>2</v>
      </c>
      <c r="AG12" s="49">
        <f>VLOOKUP(B12,'SegEnds_NonXtal_Prot#'!A:AL,13,FALSE)-VLOOKUP(B12,'SegEnds_NonXtal_Prot#'!A:AL,11,FALSE)</f>
        <v>3</v>
      </c>
      <c r="AH12" s="49">
        <f>VLOOKUP(B12,'SegEnds_NonXtal_Prot#'!A:AL,16,FALSE)-VLOOKUP(B12,'SegEnds_NonXtal_Prot#'!A:AL,10,FALSE)</f>
        <v>52</v>
      </c>
      <c r="AI12" s="49">
        <f>VLOOKUP(B12,'SegEnds_NonXtal_Prot#'!A:AL,16,FALSE)-VLOOKUP(B12,'SegEnds_NonXtal_Prot#'!A:AL,11,FALSE)</f>
        <v>35</v>
      </c>
      <c r="AJ12" s="49">
        <f>VLOOKUP(B12,'SegEnds_NonXtal_Prot#'!A:AL,22,FALSE)-VLOOKUP(B12,'SegEnds_NonXtal_Prot#'!A:AL,19,FALSE)</f>
        <v>20</v>
      </c>
      <c r="AK12" s="49">
        <f>VLOOKUP(B12,'SegEnds_NonXtal_Prot#'!A:AL,15,FALSE)-VLOOKUP(B12,'SegEnds_NonXtal_Prot#'!A:AL,14,FALSE)</f>
        <v>1</v>
      </c>
      <c r="AL12" s="49">
        <f>VLOOKUP(B12,'SegEnds_NonXtal_Prot#'!A:AL,18,FALSE)-VLOOKUP(B12,'SegEnds_NonXtal_Prot#'!A:AL,17,FALSE)</f>
        <v>1</v>
      </c>
      <c r="AM12" s="2">
        <f>VLOOKUP(B12,'SegEnds_NonXtal_Prot#'!A:AL,34,FALSE)-VLOOKUP(B12,'SegEnds_NonXtal_Prot#'!A:AL,31,FALSE)</f>
        <v>35</v>
      </c>
      <c r="AN12" s="37"/>
    </row>
    <row r="13" spans="1:64" s="2" customFormat="1" x14ac:dyDescent="0.2">
      <c r="A13" s="2" t="s">
        <v>1248</v>
      </c>
      <c r="B13" s="2" t="s">
        <v>147</v>
      </c>
      <c r="C13" s="2">
        <f>IFERROR(50+VLOOKUP($A13,'SegEnds_Xtal_Prot#'!$A:$AY,5,FALSE)-VLOOKUP($B13,'SegEnds_NonXtal_Prot#'!$A:$AL,4,FALSE),"-")</f>
        <v>28</v>
      </c>
      <c r="D13" s="2">
        <f>IFERROR(50+VLOOKUP($A13,'SegEnds_Xtal_Prot#'!$A:$AY,7,FALSE)-VLOOKUP($B13,'SegEnds_NonXtal_Prot#'!$A:$AL,4,FALSE),"-")</f>
        <v>60</v>
      </c>
      <c r="E13" s="2">
        <f>IFERROR(50+VLOOKUP($A13,'SegEnds_Xtal_Prot#'!$A:$AY,9,FALSE)-VLOOKUP($B13,'SegEnds_NonXtal_Prot#'!$A:$AL,7,FALSE),"-")</f>
        <v>48</v>
      </c>
      <c r="F13" s="2">
        <f>IFERROR(50+VLOOKUP($A13,'SegEnds_Xtal_Prot#'!$A:$AY,11,FALSE)-VLOOKUP($B13,'SegEnds_NonXtal_Prot#'!$A:$AL,7,FALSE),"-")</f>
        <v>51</v>
      </c>
      <c r="G13" s="2">
        <f>IFERROR(50+VLOOKUP($A13,'SegEnds_Xtal_Prot#'!$A:$AY,13,FALSE)-VLOOKUP($B13,'SegEnds_NonXtal_Prot#'!$A:$AL,10,FALSE),"-")</f>
        <v>37</v>
      </c>
      <c r="H13" s="2">
        <f>IFERROR(50+VLOOKUP($A13,'SegEnds_Xtal_Prot#'!$A:$AY,15,FALSE)-VLOOKUP($B13,'SegEnds_NonXtal_Prot#'!$A:$AL,10,FALSE),"-")</f>
        <v>68</v>
      </c>
      <c r="I13" s="2">
        <f>IFERROR(50+VLOOKUP($A13,'SegEnds_Xtal_Prot#'!$A:$AY,17,FALSE)-VLOOKUP($B13,'SegEnds_NonXtal_Prot#'!$A:$AL,13,FALSE),"-")</f>
        <v>49</v>
      </c>
      <c r="J13" s="2">
        <f>IFERROR(50+VLOOKUP($A13,'SegEnds_Xtal_Prot#'!$A:$AY,19,FALSE)-VLOOKUP($B13,'SegEnds_NonXtal_Prot#'!$A:$AL,13,FALSE),"-")</f>
        <v>52</v>
      </c>
      <c r="K13" s="2">
        <f>IFERROR(50+VLOOKUP($A13,'SegEnds_Xtal_Prot#'!$A:$AY,21,FALSE)-VLOOKUP($B13,'SegEnds_NonXtal_Prot#'!$A:$AL,16,FALSE),"-")</f>
        <v>21</v>
      </c>
      <c r="L13" s="2">
        <f>IFERROR(50+VLOOKUP($A13,'SegEnds_Xtal_Prot#'!$A:$AY,23,FALSE)-VLOOKUP($B13,'SegEnds_NonXtal_Prot#'!$A:$AL,16,FALSE),"-")</f>
        <v>56</v>
      </c>
      <c r="M13" s="2">
        <f>IFERROR(50+VLOOKUP($A13,'SegEnds_Xtal_Prot#'!$A:$AY,25,FALSE)-VLOOKUP($B13,'SegEnds_NonXtal_Prot#'!$A:$AL,19,FALSE),"-")</f>
        <v>50</v>
      </c>
      <c r="N13" s="2">
        <f>IFERROR(50+VLOOKUP($A13,'SegEnds_Xtal_Prot#'!$A:$AY,27,FALSE)-VLOOKUP($B13,'SegEnds_NonXtal_Prot#'!$A:$AL,19,FALSE),"-")</f>
        <v>57</v>
      </c>
      <c r="O13" s="2">
        <f>IFERROR(50+VLOOKUP($A13,'SegEnds_Xtal_Prot#'!$A:$AY,29,FALSE)-VLOOKUP($B13,'SegEnds_NonXtal_Prot#'!$A:$AL,22,FALSE),"-")</f>
        <v>38</v>
      </c>
      <c r="P13" s="2">
        <f>IFERROR(50+VLOOKUP($A13,'SegEnds_Xtal_Prot#'!$A:$AY,31,FALSE)-VLOOKUP($B13,'SegEnds_NonXtal_Prot#'!$A:$AL,22,FALSE),"-")</f>
        <v>69</v>
      </c>
      <c r="Q13" s="2">
        <f>IFERROR(50+VLOOKUP($A13,'SegEnds_Xtal_Prot#'!$A:$AY,33,FALSE)-VLOOKUP($B13,'SegEnds_NonXtal_Prot#'!$A:$AL,25,FALSE),"-")</f>
        <v>50</v>
      </c>
      <c r="R13" s="2">
        <f>IFERROR(50+VLOOKUP($A13,'SegEnds_Xtal_Prot#'!$A:$AY,35,FALSE)-VLOOKUP($B13,'SegEnds_NonXtal_Prot#'!$A:$AL,25,FALSE),"-")</f>
        <v>52</v>
      </c>
      <c r="S13" s="2">
        <f>IFERROR(50+VLOOKUP($A13,'SegEnds_Xtal_Prot#'!$A:$AY,37,FALSE)-VLOOKUP($B13,'SegEnds_NonXtal_Prot#'!$A:$AL,28,FALSE),"-")</f>
        <v>35</v>
      </c>
      <c r="T13" s="2">
        <f>IFERROR(50+VLOOKUP($A13,'SegEnds_Xtal_Prot#'!$A:$AY,39,FALSE)-VLOOKUP($B13,'SegEnds_NonXtal_Prot#'!$A:$AL,28,FALSE),"-")</f>
        <v>75</v>
      </c>
      <c r="U13" s="2">
        <f>IFERROR(50+VLOOKUP($A13,'SegEnds_Xtal_Prot#'!$A:$AY,41,FALSE)-VLOOKUP($B13,'SegEnds_NonXtal_Prot#'!$A:$AL,31,FALSE),"-")</f>
        <v>24</v>
      </c>
      <c r="V13" s="2">
        <f>IFERROR(50+VLOOKUP($A13,'SegEnds_Xtal_Prot#'!$A:$AY,43,FALSE)-VLOOKUP($B13,'SegEnds_NonXtal_Prot#'!$A:$AL,31,FALSE),"-")</f>
        <v>61</v>
      </c>
      <c r="W13" s="2">
        <f>IFERROR(50+VLOOKUP($A13,'SegEnds_Xtal_Prot#'!$A:$AY,45,FALSE)-VLOOKUP($B13,'SegEnds_NonXtal_Prot#'!$A:$AL,34,FALSE),"-")</f>
        <v>31</v>
      </c>
      <c r="X13" s="2">
        <f>IFERROR(50+VLOOKUP($A13,'SegEnds_Xtal_Prot#'!$A:$AY,47,FALSE)-VLOOKUP($B13,'SegEnds_NonXtal_Prot#'!$A:$AL,34,FALSE),"-")</f>
        <v>56</v>
      </c>
      <c r="Y13" s="2">
        <f>IFERROR(50+VLOOKUP($A13,'SegEnds_Xtal_Prot#'!$A:$AY,49,FALSE)-VLOOKUP($B13,'SegEnds_NonXtal_Prot#'!$A:$AL,37,FALSE),"-")</f>
        <v>47</v>
      </c>
      <c r="Z13" s="2">
        <f>IFERROR(50+VLOOKUP($A13,'SegEnds_Xtal_Prot#'!$A:$AY,51,FALSE)-VLOOKUP($B13,'SegEnds_NonXtal_Prot#'!$A:$AL,37,FALSE),"-")</f>
        <v>59</v>
      </c>
      <c r="AA13" s="49" t="str">
        <f>VLOOKUP(B13,Classification!A:D,2,FALSE)</f>
        <v>A</v>
      </c>
      <c r="AB13" s="94" t="str">
        <f>VLOOKUP(B13,Classification!A:D,4,0)</f>
        <v>Acetylcholine(muscarinic)</v>
      </c>
      <c r="AC13" s="49">
        <f>VLOOKUP(B13,'SegEnds_NonXtal_Prot#'!A:AL,6,FALSE)-VLOOKUP(B13,'SegEnds_NonXtal_Prot#'!A:AL,5,FALSE)</f>
        <v>1</v>
      </c>
      <c r="AD13" s="49">
        <f>VLOOKUP(B13,'SegEnds_NonXtal_Prot#'!A:AL,9,FALSE)-VLOOKUP(B13,'SegEnds_NonXtal_Prot#'!A:AL,8,FALSE)</f>
        <v>1</v>
      </c>
      <c r="AE13" s="49">
        <f>VLOOKUP(B13,'SegEnds_NonXtal_Prot#'!A:AL,13,FALSE)-VLOOKUP(B13,'SegEnds_NonXtal_Prot#'!A:AL,10,FALSE)</f>
        <v>20</v>
      </c>
      <c r="AF13" s="49">
        <f>VLOOKUP(B13,'SegEnds_NonXtal_Prot#'!A:AL,12,FALSE)-VLOOKUP(B13,'SegEnds_NonXtal_Prot#'!A:AL,11,FALSE)</f>
        <v>1</v>
      </c>
      <c r="AG13" s="49">
        <f>VLOOKUP(B13,'SegEnds_NonXtal_Prot#'!A:AL,13,FALSE)-VLOOKUP(B13,'SegEnds_NonXtal_Prot#'!A:AL,11,FALSE)</f>
        <v>2</v>
      </c>
      <c r="AH13" s="49">
        <f>VLOOKUP(B13,'SegEnds_NonXtal_Prot#'!A:AL,16,FALSE)-VLOOKUP(B13,'SegEnds_NonXtal_Prot#'!A:AL,10,FALSE)</f>
        <v>52</v>
      </c>
      <c r="AI13" s="49">
        <f>VLOOKUP(B13,'SegEnds_NonXtal_Prot#'!A:AL,16,FALSE)-VLOOKUP(B13,'SegEnds_NonXtal_Prot#'!A:AL,11,FALSE)</f>
        <v>34</v>
      </c>
      <c r="AJ13" s="49">
        <f>VLOOKUP(B13,'SegEnds_NonXtal_Prot#'!A:AL,22,FALSE)-VLOOKUP(B13,'SegEnds_NonXtal_Prot#'!A:AL,19,FALSE)</f>
        <v>20</v>
      </c>
      <c r="AK13" s="49">
        <f>VLOOKUP(B13,'SegEnds_NonXtal_Prot#'!A:AL,15,FALSE)-VLOOKUP(B13,'SegEnds_NonXtal_Prot#'!A:AL,14,FALSE)</f>
        <v>1</v>
      </c>
      <c r="AL13" s="49">
        <f>VLOOKUP(B13,'SegEnds_NonXtal_Prot#'!A:AL,18,FALSE)-VLOOKUP(B13,'SegEnds_NonXtal_Prot#'!A:AL,17,FALSE)</f>
        <v>1</v>
      </c>
      <c r="AM13" s="2">
        <f>VLOOKUP(B13,'SegEnds_NonXtal_Prot#'!A:AL,34,FALSE)-VLOOKUP(B13,'SegEnds_NonXtal_Prot#'!A:AL,31,FALSE)</f>
        <v>35</v>
      </c>
      <c r="AN13" s="37"/>
    </row>
    <row r="14" spans="1:64" s="2" customFormat="1" x14ac:dyDescent="0.2">
      <c r="A14" s="2" t="s">
        <v>1397</v>
      </c>
      <c r="B14" s="2" t="s">
        <v>138</v>
      </c>
      <c r="C14" s="2">
        <f>IFERROR(50+VLOOKUP($A14,'SegEnds_Xtal_Prot#'!$A:$AY,5,FALSE)-VLOOKUP($B14,'SegEnds_NonXtal_Prot#'!$A:$AL,4,FALSE),"-")</f>
        <v>29</v>
      </c>
      <c r="D14" s="2">
        <f>IFERROR(50+VLOOKUP($A14,'SegEnds_Xtal_Prot#'!$A:$AY,7,FALSE)-VLOOKUP($B14,'SegEnds_NonXtal_Prot#'!$A:$AL,4,FALSE),"-")</f>
        <v>60</v>
      </c>
      <c r="E14" s="2">
        <f>IFERROR(50+VLOOKUP($A14,'SegEnds_Xtal_Prot#'!$A:$AY,9,FALSE)-VLOOKUP($B14,'SegEnds_NonXtal_Prot#'!$A:$AL,7,FALSE),"-")</f>
        <v>48</v>
      </c>
      <c r="F14" s="2">
        <f>IFERROR(50+VLOOKUP($A14,'SegEnds_Xtal_Prot#'!$A:$AY,11,FALSE)-VLOOKUP($B14,'SegEnds_NonXtal_Prot#'!$A:$AL,7,FALSE),"-")</f>
        <v>51</v>
      </c>
      <c r="G14" s="2">
        <f>IFERROR(50+VLOOKUP($A14,'SegEnds_Xtal_Prot#'!$A:$AY,13,FALSE)-VLOOKUP($B14,'SegEnds_NonXtal_Prot#'!$A:$AL,10,FALSE),"-")</f>
        <v>37</v>
      </c>
      <c r="H14" s="2">
        <f>IFERROR(50+VLOOKUP($A14,'SegEnds_Xtal_Prot#'!$A:$AY,15,FALSE)-VLOOKUP($B14,'SegEnds_NonXtal_Prot#'!$A:$AL,10,FALSE),"-")</f>
        <v>67</v>
      </c>
      <c r="I14" s="2">
        <f>IFERROR(50+VLOOKUP($A14,'SegEnds_Xtal_Prot#'!$A:$AY,17,FALSE)-VLOOKUP($B14,'SegEnds_NonXtal_Prot#'!$A:$AL,13,FALSE),"-")</f>
        <v>50</v>
      </c>
      <c r="J14" s="2">
        <f>IFERROR(50+VLOOKUP($A14,'SegEnds_Xtal_Prot#'!$A:$AY,19,FALSE)-VLOOKUP($B14,'SegEnds_NonXtal_Prot#'!$A:$AL,13,FALSE),"-")</f>
        <v>52</v>
      </c>
      <c r="K14" s="2">
        <f>IFERROR(50+VLOOKUP($A14,'SegEnds_Xtal_Prot#'!$A:$AY,21,FALSE)-VLOOKUP($B14,'SegEnds_NonXtal_Prot#'!$A:$AL,16,FALSE),"-")</f>
        <v>21</v>
      </c>
      <c r="L14" s="2">
        <f>IFERROR(50+VLOOKUP($A14,'SegEnds_Xtal_Prot#'!$A:$AY,23,FALSE)-VLOOKUP($B14,'SegEnds_NonXtal_Prot#'!$A:$AL,16,FALSE),"-")</f>
        <v>56</v>
      </c>
      <c r="M14" s="2">
        <f>IFERROR(50+VLOOKUP($A14,'SegEnds_Xtal_Prot#'!$A:$AY,25,FALSE)-VLOOKUP($B14,'SegEnds_NonXtal_Prot#'!$A:$AL,19,FALSE),"-")</f>
        <v>50</v>
      </c>
      <c r="N14" s="2">
        <f>IFERROR(50+VLOOKUP($A14,'SegEnds_Xtal_Prot#'!$A:$AY,27,FALSE)-VLOOKUP($B14,'SegEnds_NonXtal_Prot#'!$A:$AL,19,FALSE),"-")</f>
        <v>57</v>
      </c>
      <c r="O14" s="2">
        <f>IFERROR(50+VLOOKUP($A14,'SegEnds_Xtal_Prot#'!$A:$AY,29,FALSE)-VLOOKUP($B14,'SegEnds_NonXtal_Prot#'!$A:$AL,22,FALSE),"-")</f>
        <v>38</v>
      </c>
      <c r="P14" s="2">
        <f>IFERROR(50+VLOOKUP($A14,'SegEnds_Xtal_Prot#'!$A:$AY,31,FALSE)-VLOOKUP($B14,'SegEnds_NonXtal_Prot#'!$A:$AL,22,FALSE),"-")</f>
        <v>63</v>
      </c>
      <c r="Q14" s="2">
        <f>IFERROR(50+VLOOKUP($A14,'SegEnds_Xtal_Prot#'!$A:$AY,33,FALSE)-VLOOKUP($B14,'SegEnds_NonXtal_Prot#'!$A:$AL,25,FALSE),"-")</f>
        <v>50</v>
      </c>
      <c r="R14" s="2">
        <f>IFERROR(50+VLOOKUP($A14,'SegEnds_Xtal_Prot#'!$A:$AY,35,FALSE)-VLOOKUP($B14,'SegEnds_NonXtal_Prot#'!$A:$AL,25,FALSE),"-")</f>
        <v>52</v>
      </c>
      <c r="S14" s="2">
        <f>IFERROR(50+VLOOKUP($A14,'SegEnds_Xtal_Prot#'!$A:$AY,37,FALSE)-VLOOKUP($B14,'SegEnds_NonXtal_Prot#'!$A:$AL,28,FALSE),"-")</f>
        <v>34</v>
      </c>
      <c r="T14" s="2">
        <f>IFERROR(50+VLOOKUP($A14,'SegEnds_Xtal_Prot#'!$A:$AY,39,FALSE)-VLOOKUP($B14,'SegEnds_NonXtal_Prot#'!$A:$AL,28,FALSE),"-")</f>
        <v>73</v>
      </c>
      <c r="U14" s="2">
        <f>IFERROR(50+VLOOKUP($A14,'SegEnds_Xtal_Prot#'!$A:$AY,41,FALSE)-VLOOKUP($B14,'SegEnds_NonXtal_Prot#'!$A:$AL,31,FALSE),"-")</f>
        <v>22</v>
      </c>
      <c r="V14" s="2">
        <f>IFERROR(50+VLOOKUP($A14,'SegEnds_Xtal_Prot#'!$A:$AY,43,FALSE)-VLOOKUP($B14,'SegEnds_NonXtal_Prot#'!$A:$AL,31,FALSE),"-")</f>
        <v>61</v>
      </c>
      <c r="W14" s="2">
        <f>IFERROR(50+VLOOKUP($A14,'SegEnds_Xtal_Prot#'!$A:$AY,45,FALSE)-VLOOKUP($B14,'SegEnds_NonXtal_Prot#'!$A:$AL,34,FALSE),"-")</f>
        <v>31</v>
      </c>
      <c r="X14" s="2">
        <f>IFERROR(50+VLOOKUP($A14,'SegEnds_Xtal_Prot#'!$A:$AY,47,FALSE)-VLOOKUP($B14,'SegEnds_NonXtal_Prot#'!$A:$AL,34,FALSE),"-")</f>
        <v>56</v>
      </c>
      <c r="Y14" s="2">
        <f>IFERROR(50+VLOOKUP($A14,'SegEnds_Xtal_Prot#'!$A:$AY,49,FALSE)-VLOOKUP($B14,'SegEnds_NonXtal_Prot#'!$A:$AL,37,FALSE),"-")</f>
        <v>47</v>
      </c>
      <c r="Z14" s="2">
        <f>IFERROR(50+VLOOKUP($A14,'SegEnds_Xtal_Prot#'!$A:$AY,51,FALSE)-VLOOKUP($B14,'SegEnds_NonXtal_Prot#'!$A:$AL,37,FALSE),"-")</f>
        <v>69</v>
      </c>
      <c r="AA14" s="49" t="str">
        <f>VLOOKUP(B14,Classification!A:D,2,FALSE)</f>
        <v>A</v>
      </c>
      <c r="AB14" s="94" t="str">
        <f>VLOOKUP(B14,Classification!A:D,4,0)</f>
        <v>Adenosine</v>
      </c>
      <c r="AC14" s="49">
        <f>VLOOKUP(B14,'SegEnds_NonXtal_Prot#'!A:AL,6,FALSE)-VLOOKUP(B14,'SegEnds_NonXtal_Prot#'!A:AL,5,FALSE)</f>
        <v>1</v>
      </c>
      <c r="AD14" s="49">
        <f>VLOOKUP(B14,'SegEnds_NonXtal_Prot#'!A:AL,9,FALSE)-VLOOKUP(B14,'SegEnds_NonXtal_Prot#'!A:AL,8,FALSE)</f>
        <v>1</v>
      </c>
      <c r="AE14" s="49">
        <f>VLOOKUP(B14,'SegEnds_NonXtal_Prot#'!A:AL,13,FALSE)-VLOOKUP(B14,'SegEnds_NonXtal_Prot#'!A:AL,10,FALSE)</f>
        <v>18</v>
      </c>
      <c r="AF14" s="49">
        <f>VLOOKUP(B14,'SegEnds_NonXtal_Prot#'!A:AL,12,FALSE)-VLOOKUP(B14,'SegEnds_NonXtal_Prot#'!A:AL,11,FALSE)</f>
        <v>1</v>
      </c>
      <c r="AG14" s="49">
        <f>VLOOKUP(B14,'SegEnds_NonXtal_Prot#'!A:AL,13,FALSE)-VLOOKUP(B14,'SegEnds_NonXtal_Prot#'!A:AL,11,FALSE)</f>
        <v>1</v>
      </c>
      <c r="AH14" s="49">
        <f>VLOOKUP(B14,'SegEnds_NonXtal_Prot#'!A:AL,16,FALSE)-VLOOKUP(B14,'SegEnds_NonXtal_Prot#'!A:AL,10,FALSE)</f>
        <v>50</v>
      </c>
      <c r="AI14" s="49">
        <f>VLOOKUP(B14,'SegEnds_NonXtal_Prot#'!A:AL,16,FALSE)-VLOOKUP(B14,'SegEnds_NonXtal_Prot#'!A:AL,11,FALSE)</f>
        <v>33</v>
      </c>
      <c r="AJ14" s="49">
        <f>VLOOKUP(B14,'SegEnds_NonXtal_Prot#'!A:AL,22,FALSE)-VLOOKUP(B14,'SegEnds_NonXtal_Prot#'!A:AL,19,FALSE)</f>
        <v>20</v>
      </c>
      <c r="AK14" s="49">
        <f>VLOOKUP(B14,'SegEnds_NonXtal_Prot#'!A:AL,15,FALSE)-VLOOKUP(B14,'SegEnds_NonXtal_Prot#'!A:AL,14,FALSE)</f>
        <v>1</v>
      </c>
      <c r="AL14" s="49">
        <f>VLOOKUP(B14,'SegEnds_NonXtal_Prot#'!A:AL,18,FALSE)-VLOOKUP(B14,'SegEnds_NonXtal_Prot#'!A:AL,17,FALSE)</f>
        <v>1</v>
      </c>
      <c r="AM14" s="2">
        <f>VLOOKUP(B14,'SegEnds_NonXtal_Prot#'!A:AL,34,FALSE)-VLOOKUP(B14,'SegEnds_NonXtal_Prot#'!A:AL,31,FALSE)</f>
        <v>36</v>
      </c>
      <c r="AN14" s="37"/>
    </row>
    <row r="15" spans="1:64" s="2" customFormat="1" x14ac:dyDescent="0.2">
      <c r="A15" s="2" t="s">
        <v>1246</v>
      </c>
      <c r="B15" s="2" t="s">
        <v>139</v>
      </c>
      <c r="C15" s="2">
        <f>IFERROR(50+VLOOKUP($A15,'SegEnds_Xtal_Prot#'!$A:$AY,5,FALSE)-VLOOKUP($B15,'SegEnds_NonXtal_Prot#'!$A:$AL,4,FALSE),"-")</f>
        <v>27</v>
      </c>
      <c r="D15" s="2">
        <f>IFERROR(50+VLOOKUP($A15,'SegEnds_Xtal_Prot#'!$A:$AY,7,FALSE)-VLOOKUP($B15,'SegEnds_NonXtal_Prot#'!$A:$AL,4,FALSE),"-")</f>
        <v>60</v>
      </c>
      <c r="E15" s="2">
        <f>IFERROR(50+VLOOKUP($A15,'SegEnds_Xtal_Prot#'!$A:$AY,9,FALSE)-VLOOKUP($B15,'SegEnds_NonXtal_Prot#'!$A:$AL,7,FALSE),"-")</f>
        <v>48</v>
      </c>
      <c r="F15" s="2">
        <f>IFERROR(50+VLOOKUP($A15,'SegEnds_Xtal_Prot#'!$A:$AY,11,FALSE)-VLOOKUP($B15,'SegEnds_NonXtal_Prot#'!$A:$AL,7,FALSE),"-")</f>
        <v>51</v>
      </c>
      <c r="G15" s="2">
        <f>IFERROR(50+VLOOKUP($A15,'SegEnds_Xtal_Prot#'!$A:$AY,13,FALSE)-VLOOKUP($B15,'SegEnds_NonXtal_Prot#'!$A:$AL,10,FALSE),"-")</f>
        <v>37</v>
      </c>
      <c r="H15" s="2">
        <f>IFERROR(50+VLOOKUP($A15,'SegEnds_Xtal_Prot#'!$A:$AY,15,FALSE)-VLOOKUP($B15,'SegEnds_NonXtal_Prot#'!$A:$AL,10,FALSE),"-")</f>
        <v>67</v>
      </c>
      <c r="I15" s="2">
        <f>IFERROR(50+VLOOKUP($A15,'SegEnds_Xtal_Prot#'!$A:$AY,17,FALSE)-VLOOKUP($B15,'SegEnds_NonXtal_Prot#'!$A:$AL,13,FALSE),"-")</f>
        <v>50</v>
      </c>
      <c r="J15" s="2">
        <f>IFERROR(50+VLOOKUP($A15,'SegEnds_Xtal_Prot#'!$A:$AY,19,FALSE)-VLOOKUP($B15,'SegEnds_NonXtal_Prot#'!$A:$AL,13,FALSE),"-")</f>
        <v>52</v>
      </c>
      <c r="K15" s="2">
        <f>IFERROR(50+VLOOKUP($A15,'SegEnds_Xtal_Prot#'!$A:$AY,21,FALSE)-VLOOKUP($B15,'SegEnds_NonXtal_Prot#'!$A:$AL,16,FALSE),"-")</f>
        <v>21</v>
      </c>
      <c r="L15" s="2">
        <f>IFERROR(50+VLOOKUP($A15,'SegEnds_Xtal_Prot#'!$A:$AY,23,FALSE)-VLOOKUP($B15,'SegEnds_NonXtal_Prot#'!$A:$AL,16,FALSE),"-")</f>
        <v>56</v>
      </c>
      <c r="M15" s="2">
        <f>IFERROR(50+VLOOKUP($A15,'SegEnds_Xtal_Prot#'!$A:$AY,25,FALSE)-VLOOKUP($B15,'SegEnds_NonXtal_Prot#'!$A:$AL,19,FALSE),"-")</f>
        <v>50</v>
      </c>
      <c r="N15" s="2">
        <f>IFERROR(50+VLOOKUP($A15,'SegEnds_Xtal_Prot#'!$A:$AY,27,FALSE)-VLOOKUP($B15,'SegEnds_NonXtal_Prot#'!$A:$AL,19,FALSE),"-")</f>
        <v>57</v>
      </c>
      <c r="O15" s="2">
        <f>IFERROR(50+VLOOKUP($A15,'SegEnds_Xtal_Prot#'!$A:$AY,29,FALSE)-VLOOKUP($B15,'SegEnds_NonXtal_Prot#'!$A:$AL,22,FALSE),"-")</f>
        <v>38</v>
      </c>
      <c r="P15" s="2">
        <f>IFERROR(50+VLOOKUP($A15,'SegEnds_Xtal_Prot#'!$A:$AY,31,FALSE)-VLOOKUP($B15,'SegEnds_NonXtal_Prot#'!$A:$AL,22,FALSE),"-")</f>
        <v>63</v>
      </c>
      <c r="Q15" s="2">
        <f>IFERROR(50+VLOOKUP($A15,'SegEnds_Xtal_Prot#'!$A:$AY,33,FALSE)-VLOOKUP($B15,'SegEnds_NonXtal_Prot#'!$A:$AL,25,FALSE),"-")</f>
        <v>50</v>
      </c>
      <c r="R15" s="2">
        <f>IFERROR(50+VLOOKUP($A15,'SegEnds_Xtal_Prot#'!$A:$AY,35,FALSE)-VLOOKUP($B15,'SegEnds_NonXtal_Prot#'!$A:$AL,25,FALSE),"-")</f>
        <v>52</v>
      </c>
      <c r="S15" s="2">
        <f>IFERROR(50+VLOOKUP($A15,'SegEnds_Xtal_Prot#'!$A:$AY,37,FALSE)-VLOOKUP($B15,'SegEnds_NonXtal_Prot#'!$A:$AL,28,FALSE),"-")</f>
        <v>34</v>
      </c>
      <c r="T15" s="2">
        <f>IFERROR(50+VLOOKUP($A15,'SegEnds_Xtal_Prot#'!$A:$AY,39,FALSE)-VLOOKUP($B15,'SegEnds_NonXtal_Prot#'!$A:$AL,28,FALSE),"-")</f>
        <v>74</v>
      </c>
      <c r="U15" s="2">
        <f>IFERROR(50+VLOOKUP($A15,'SegEnds_Xtal_Prot#'!$A:$AY,41,FALSE)-VLOOKUP($B15,'SegEnds_NonXtal_Prot#'!$A:$AL,31,FALSE),"-")</f>
        <v>21</v>
      </c>
      <c r="V15" s="2">
        <f>IFERROR(50+VLOOKUP($A15,'SegEnds_Xtal_Prot#'!$A:$AY,43,FALSE)-VLOOKUP($B15,'SegEnds_NonXtal_Prot#'!$A:$AL,31,FALSE),"-")</f>
        <v>61</v>
      </c>
      <c r="W15" s="2">
        <f>IFERROR(50+VLOOKUP($A15,'SegEnds_Xtal_Prot#'!$A:$AY,45,FALSE)-VLOOKUP($B15,'SegEnds_NonXtal_Prot#'!$A:$AL,34,FALSE),"-")</f>
        <v>31</v>
      </c>
      <c r="X15" s="2">
        <f>IFERROR(50+VLOOKUP($A15,'SegEnds_Xtal_Prot#'!$A:$AY,47,FALSE)-VLOOKUP($B15,'SegEnds_NonXtal_Prot#'!$A:$AL,34,FALSE),"-")</f>
        <v>56</v>
      </c>
      <c r="Y15" s="2">
        <f>IFERROR(50+VLOOKUP($A15,'SegEnds_Xtal_Prot#'!$A:$AY,49,FALSE)-VLOOKUP($B15,'SegEnds_NonXtal_Prot#'!$A:$AL,37,FALSE),"-")</f>
        <v>47</v>
      </c>
      <c r="Z15" s="2">
        <f>IFERROR(50+VLOOKUP($A15,'SegEnds_Xtal_Prot#'!$A:$AY,51,FALSE)-VLOOKUP($B15,'SegEnds_NonXtal_Prot#'!$A:$AL,37,FALSE),"-")</f>
        <v>69</v>
      </c>
      <c r="AA15" s="49" t="str">
        <f>VLOOKUP(B15,Classification!A:D,2,FALSE)</f>
        <v>A</v>
      </c>
      <c r="AB15" s="94" t="str">
        <f>VLOOKUP(B15,Classification!A:D,4,0)</f>
        <v>Adenosine</v>
      </c>
      <c r="AC15" s="49">
        <f>VLOOKUP(B15,'SegEnds_NonXtal_Prot#'!A:AL,6,FALSE)-VLOOKUP(B15,'SegEnds_NonXtal_Prot#'!A:AL,5,FALSE)</f>
        <v>1</v>
      </c>
      <c r="AD15" s="49">
        <f>VLOOKUP(B15,'SegEnds_NonXtal_Prot#'!A:AL,9,FALSE)-VLOOKUP(B15,'SegEnds_NonXtal_Prot#'!A:AL,8,FALSE)</f>
        <v>1</v>
      </c>
      <c r="AE15" s="49">
        <f>VLOOKUP(B15,'SegEnds_NonXtal_Prot#'!A:AL,13,FALSE)-VLOOKUP(B15,'SegEnds_NonXtal_Prot#'!A:AL,10,FALSE)</f>
        <v>18</v>
      </c>
      <c r="AF15" s="49">
        <f>VLOOKUP(B15,'SegEnds_NonXtal_Prot#'!A:AL,12,FALSE)-VLOOKUP(B15,'SegEnds_NonXtal_Prot#'!A:AL,11,FALSE)</f>
        <v>1</v>
      </c>
      <c r="AG15" s="49">
        <f>VLOOKUP(B15,'SegEnds_NonXtal_Prot#'!A:AL,13,FALSE)-VLOOKUP(B15,'SegEnds_NonXtal_Prot#'!A:AL,11,FALSE)</f>
        <v>1</v>
      </c>
      <c r="AH15" s="49">
        <f>VLOOKUP(B15,'SegEnds_NonXtal_Prot#'!A:AL,16,FALSE)-VLOOKUP(B15,'SegEnds_NonXtal_Prot#'!A:AL,10,FALSE)</f>
        <v>50</v>
      </c>
      <c r="AI15" s="49">
        <f>VLOOKUP(B15,'SegEnds_NonXtal_Prot#'!A:AL,16,FALSE)-VLOOKUP(B15,'SegEnds_NonXtal_Prot#'!A:AL,11,FALSE)</f>
        <v>33</v>
      </c>
      <c r="AJ15" s="49">
        <f>VLOOKUP(B15,'SegEnds_NonXtal_Prot#'!A:AL,22,FALSE)-VLOOKUP(B15,'SegEnds_NonXtal_Prot#'!A:AL,19,FALSE)</f>
        <v>20</v>
      </c>
      <c r="AK15" s="49">
        <f>VLOOKUP(B15,'SegEnds_NonXtal_Prot#'!A:AL,15,FALSE)-VLOOKUP(B15,'SegEnds_NonXtal_Prot#'!A:AL,14,FALSE)</f>
        <v>1</v>
      </c>
      <c r="AL15" s="49">
        <f>VLOOKUP(B15,'SegEnds_NonXtal_Prot#'!A:AL,18,FALSE)-VLOOKUP(B15,'SegEnds_NonXtal_Prot#'!A:AL,17,FALSE)</f>
        <v>1</v>
      </c>
      <c r="AM15" s="2">
        <f>VLOOKUP(B15,'SegEnds_NonXtal_Prot#'!A:AL,34,FALSE)-VLOOKUP(B15,'SegEnds_NonXtal_Prot#'!A:AL,31,FALSE)</f>
        <v>37</v>
      </c>
      <c r="AN15" s="37"/>
      <c r="AO15" s="2" t="s">
        <v>1283</v>
      </c>
    </row>
    <row r="16" spans="1:64" s="2" customFormat="1" x14ac:dyDescent="0.2">
      <c r="A16" s="2" t="s">
        <v>1252</v>
      </c>
      <c r="B16" s="2" t="s">
        <v>126</v>
      </c>
      <c r="C16" s="2">
        <f>IFERROR(50+VLOOKUP($A16,'SegEnds_Xtal_Prot#'!$A:$AY,5,FALSE)-VLOOKUP($B16,'SegEnds_NonXtal_Prot#'!$A:$AL,4,FALSE),"-")</f>
        <v>25</v>
      </c>
      <c r="D16" s="2">
        <f>IFERROR(50+VLOOKUP($A16,'SegEnds_Xtal_Prot#'!$A:$AY,7,FALSE)-VLOOKUP($B16,'SegEnds_NonXtal_Prot#'!$A:$AL,4,FALSE),"-")</f>
        <v>60</v>
      </c>
      <c r="E16" s="2">
        <f>IFERROR(50+VLOOKUP($A16,'SegEnds_Xtal_Prot#'!$A:$AY,9,FALSE)-VLOOKUP($B16,'SegEnds_NonXtal_Prot#'!$A:$AL,7,FALSE),"-")</f>
        <v>48</v>
      </c>
      <c r="F16" s="2">
        <f>IFERROR(50+VLOOKUP($A16,'SegEnds_Xtal_Prot#'!$A:$AY,11,FALSE)-VLOOKUP($B16,'SegEnds_NonXtal_Prot#'!$A:$AL,7,FALSE),"-")</f>
        <v>51</v>
      </c>
      <c r="G16" s="2">
        <f>IFERROR(50+VLOOKUP($A16,'SegEnds_Xtal_Prot#'!$A:$AY,13,FALSE)-VLOOKUP($B16,'SegEnds_NonXtal_Prot#'!$A:$AL,10,FALSE),"-")</f>
        <v>37</v>
      </c>
      <c r="H16" s="2">
        <f>IFERROR(50+VLOOKUP($A16,'SegEnds_Xtal_Prot#'!$A:$AY,15,FALSE)-VLOOKUP($B16,'SegEnds_NonXtal_Prot#'!$A:$AL,10,FALSE),"-")</f>
        <v>67</v>
      </c>
      <c r="I16" s="2">
        <f>IFERROR(50+VLOOKUP($A16,'SegEnds_Xtal_Prot#'!$A:$AY,17,FALSE)-VLOOKUP($B16,'SegEnds_NonXtal_Prot#'!$A:$AL,13,FALSE),"-")</f>
        <v>49</v>
      </c>
      <c r="J16" s="2">
        <f>IFERROR(50+VLOOKUP($A16,'SegEnds_Xtal_Prot#'!$A:$AY,19,FALSE)-VLOOKUP($B16,'SegEnds_NonXtal_Prot#'!$A:$AL,13,FALSE),"-")</f>
        <v>52</v>
      </c>
      <c r="K16" s="2">
        <f>IFERROR(50+VLOOKUP($A16,'SegEnds_Xtal_Prot#'!$A:$AY,21,FALSE)-VLOOKUP($B16,'SegEnds_NonXtal_Prot#'!$A:$AL,16,FALSE),"-")</f>
        <v>21</v>
      </c>
      <c r="L16" s="2">
        <f>IFERROR(50+VLOOKUP($A16,'SegEnds_Xtal_Prot#'!$A:$AY,23,FALSE)-VLOOKUP($B16,'SegEnds_NonXtal_Prot#'!$A:$AL,16,FALSE),"-")</f>
        <v>56</v>
      </c>
      <c r="M16" s="2">
        <f>IFERROR(50+VLOOKUP($A16,'SegEnds_Xtal_Prot#'!$A:$AY,25,FALSE)-VLOOKUP($B16,'SegEnds_NonXtal_Prot#'!$A:$AL,19,FALSE),"-")</f>
        <v>50</v>
      </c>
      <c r="N16" s="2">
        <f>IFERROR(50+VLOOKUP($A16,'SegEnds_Xtal_Prot#'!$A:$AY,27,FALSE)-VLOOKUP($B16,'SegEnds_NonXtal_Prot#'!$A:$AL,19,FALSE),"-")</f>
        <v>57</v>
      </c>
      <c r="O16" s="2">
        <f>IFERROR(50+VLOOKUP($A16,'SegEnds_Xtal_Prot#'!$A:$AY,29,FALSE)-VLOOKUP($B16,'SegEnds_NonXtal_Prot#'!$A:$AL,22,FALSE),"-")</f>
        <v>38</v>
      </c>
      <c r="P16" s="2">
        <f>IFERROR(50+VLOOKUP($A16,'SegEnds_Xtal_Prot#'!$A:$AY,31,FALSE)-VLOOKUP($B16,'SegEnds_NonXtal_Prot#'!$A:$AL,22,FALSE),"-")</f>
        <v>64</v>
      </c>
      <c r="Q16" s="2">
        <f>IFERROR(50+VLOOKUP($A16,'SegEnds_Xtal_Prot#'!$A:$AY,33,FALSE)-VLOOKUP($B16,'SegEnds_NonXtal_Prot#'!$A:$AL,25,FALSE),"-")</f>
        <v>50</v>
      </c>
      <c r="R16" s="2">
        <f>IFERROR(50+VLOOKUP($A16,'SegEnds_Xtal_Prot#'!$A:$AY,35,FALSE)-VLOOKUP($B16,'SegEnds_NonXtal_Prot#'!$A:$AL,25,FALSE),"-")</f>
        <v>52</v>
      </c>
      <c r="S16" s="2">
        <f>IFERROR(50+VLOOKUP($A16,'SegEnds_Xtal_Prot#'!$A:$AY,37,FALSE)-VLOOKUP($B16,'SegEnds_NonXtal_Prot#'!$A:$AL,28,FALSE),"-")</f>
        <v>35</v>
      </c>
      <c r="T16" s="2">
        <f>IFERROR(50+VLOOKUP($A16,'SegEnds_Xtal_Prot#'!$A:$AY,39,FALSE)-VLOOKUP($B16,'SegEnds_NonXtal_Prot#'!$A:$AL,28,FALSE),"-")</f>
        <v>76</v>
      </c>
      <c r="U16" s="2">
        <f>IFERROR(50+VLOOKUP($A16,'SegEnds_Xtal_Prot#'!$A:$AY,41,FALSE)-VLOOKUP($B16,'SegEnds_NonXtal_Prot#'!$A:$AL,31,FALSE),"-")</f>
        <v>24</v>
      </c>
      <c r="V16" s="2">
        <f>IFERROR(50+VLOOKUP($A16,'SegEnds_Xtal_Prot#'!$A:$AY,43,FALSE)-VLOOKUP($B16,'SegEnds_NonXtal_Prot#'!$A:$AL,31,FALSE),"-")</f>
        <v>61</v>
      </c>
      <c r="W16" s="2">
        <f>IFERROR(50+VLOOKUP($A16,'SegEnds_Xtal_Prot#'!$A:$AY,45,FALSE)-VLOOKUP($B16,'SegEnds_NonXtal_Prot#'!$A:$AL,34,FALSE),"-")</f>
        <v>31</v>
      </c>
      <c r="X16" s="2">
        <f>IFERROR(50+VLOOKUP($A16,'SegEnds_Xtal_Prot#'!$A:$AY,47,FALSE)-VLOOKUP($B16,'SegEnds_NonXtal_Prot#'!$A:$AL,34,FALSE),"-")</f>
        <v>55</v>
      </c>
      <c r="Y16" s="2">
        <f>IFERROR(50+VLOOKUP($A16,'SegEnds_Xtal_Prot#'!$A:$AY,49,FALSE)-VLOOKUP($B16,'SegEnds_NonXtal_Prot#'!$A:$AL,37,FALSE),"-")</f>
        <v>47</v>
      </c>
      <c r="Z16" s="2">
        <f>IFERROR(50+VLOOKUP($A16,'SegEnds_Xtal_Prot#'!$A:$AY,51,FALSE)-VLOOKUP($B16,'SegEnds_NonXtal_Prot#'!$A:$AL,37,FALSE),"-")</f>
        <v>59</v>
      </c>
      <c r="AA16" s="49" t="str">
        <f>VLOOKUP(B16,Classification!A:D,2,FALSE)</f>
        <v>A</v>
      </c>
      <c r="AB16" s="94" t="str">
        <f>VLOOKUP(B16,Classification!A:D,4,0)</f>
        <v>Adrenoceptors</v>
      </c>
      <c r="AC16" s="49">
        <f>VLOOKUP(B16,'SegEnds_NonXtal_Prot#'!A:AL,6,FALSE)-VLOOKUP(B16,'SegEnds_NonXtal_Prot#'!A:AL,5,FALSE)</f>
        <v>1</v>
      </c>
      <c r="AD16" s="49">
        <f>VLOOKUP(B16,'SegEnds_NonXtal_Prot#'!A:AL,9,FALSE)-VLOOKUP(B16,'SegEnds_NonXtal_Prot#'!A:AL,8,FALSE)</f>
        <v>1</v>
      </c>
      <c r="AE16" s="49">
        <f>VLOOKUP(B16,'SegEnds_NonXtal_Prot#'!A:AL,13,FALSE)-VLOOKUP(B16,'SegEnds_NonXtal_Prot#'!A:AL,10,FALSE)</f>
        <v>20</v>
      </c>
      <c r="AF16" s="49">
        <f>VLOOKUP(B16,'SegEnds_NonXtal_Prot#'!A:AL,12,FALSE)-VLOOKUP(B16,'SegEnds_NonXtal_Prot#'!A:AL,11,FALSE)</f>
        <v>2</v>
      </c>
      <c r="AG16" s="49">
        <f>VLOOKUP(B16,'SegEnds_NonXtal_Prot#'!A:AL,13,FALSE)-VLOOKUP(B16,'SegEnds_NonXtal_Prot#'!A:AL,11,FALSE)</f>
        <v>3</v>
      </c>
      <c r="AH16" s="49">
        <f>VLOOKUP(B16,'SegEnds_NonXtal_Prot#'!A:AL,16,FALSE)-VLOOKUP(B16,'SegEnds_NonXtal_Prot#'!A:AL,10,FALSE)</f>
        <v>52</v>
      </c>
      <c r="AI16" s="49">
        <f>VLOOKUP(B16,'SegEnds_NonXtal_Prot#'!A:AL,16,FALSE)-VLOOKUP(B16,'SegEnds_NonXtal_Prot#'!A:AL,11,FALSE)</f>
        <v>35</v>
      </c>
      <c r="AJ16" s="49">
        <f>VLOOKUP(B16,'SegEnds_NonXtal_Prot#'!A:AL,22,FALSE)-VLOOKUP(B16,'SegEnds_NonXtal_Prot#'!A:AL,19,FALSE)</f>
        <v>20</v>
      </c>
      <c r="AK16" s="49">
        <f>VLOOKUP(B16,'SegEnds_NonXtal_Prot#'!A:AL,15,FALSE)-VLOOKUP(B16,'SegEnds_NonXtal_Prot#'!A:AL,14,FALSE)</f>
        <v>1</v>
      </c>
      <c r="AL16" s="49">
        <f>VLOOKUP(B16,'SegEnds_NonXtal_Prot#'!A:AL,18,FALSE)-VLOOKUP(B16,'SegEnds_NonXtal_Prot#'!A:AL,17,FALSE)</f>
        <v>1</v>
      </c>
      <c r="AM16" s="2">
        <f>VLOOKUP(B16,'SegEnds_NonXtal_Prot#'!A:AL,34,FALSE)-VLOOKUP(B16,'SegEnds_NonXtal_Prot#'!A:AL,31,FALSE)</f>
        <v>35</v>
      </c>
      <c r="AN16" s="37"/>
    </row>
    <row r="17" spans="1:64" s="2" customFormat="1" x14ac:dyDescent="0.2">
      <c r="A17" s="2" t="s">
        <v>1251</v>
      </c>
      <c r="B17" s="2" t="s">
        <v>912</v>
      </c>
      <c r="C17" s="2">
        <f>IFERROR(50+VLOOKUP($A17,'SegEnds_Xtal_Prot#'!$A:$AY,5,FALSE)-VLOOKUP($B17,'SegEnds_NonXtal_Prot#'!$A:$AL,4,FALSE),"-")</f>
        <v>24</v>
      </c>
      <c r="D17" s="2">
        <f>IFERROR(50+VLOOKUP($A17,'SegEnds_Xtal_Prot#'!$A:$AY,7,FALSE)-VLOOKUP($B17,'SegEnds_NonXtal_Prot#'!$A:$AL,4,FALSE),"-")</f>
        <v>60</v>
      </c>
      <c r="E17" s="2">
        <f>IFERROR(50+VLOOKUP($A17,'SegEnds_Xtal_Prot#'!$A:$AY,9,FALSE)-VLOOKUP($B17,'SegEnds_NonXtal_Prot#'!$A:$AL,7,FALSE),"-")</f>
        <v>48</v>
      </c>
      <c r="F17" s="2">
        <f>IFERROR(50+VLOOKUP($A17,'SegEnds_Xtal_Prot#'!$A:$AY,11,FALSE)-VLOOKUP($B17,'SegEnds_NonXtal_Prot#'!$A:$AL,7,FALSE),"-")</f>
        <v>51</v>
      </c>
      <c r="G17" s="2">
        <f>IFERROR(50+VLOOKUP($A17,'SegEnds_Xtal_Prot#'!$A:$AY,13,FALSE)-VLOOKUP($B17,'SegEnds_NonXtal_Prot#'!$A:$AL,10,FALSE),"-")</f>
        <v>37</v>
      </c>
      <c r="H17" s="2">
        <f>IFERROR(50+VLOOKUP($A17,'SegEnds_Xtal_Prot#'!$A:$AY,15,FALSE)-VLOOKUP($B17,'SegEnds_NonXtal_Prot#'!$A:$AL,10,FALSE),"-")</f>
        <v>67</v>
      </c>
      <c r="I17" s="2">
        <f>IFERROR(50+VLOOKUP($A17,'SegEnds_Xtal_Prot#'!$A:$AY,17,FALSE)-VLOOKUP($B17,'SegEnds_NonXtal_Prot#'!$A:$AL,13,FALSE),"-")</f>
        <v>49</v>
      </c>
      <c r="J17" s="2">
        <f>IFERROR(50+VLOOKUP($A17,'SegEnds_Xtal_Prot#'!$A:$AY,19,FALSE)-VLOOKUP($B17,'SegEnds_NonXtal_Prot#'!$A:$AL,13,FALSE),"-")</f>
        <v>52</v>
      </c>
      <c r="K17" s="2">
        <f>IFERROR(50+VLOOKUP($A17,'SegEnds_Xtal_Prot#'!$A:$AY,21,FALSE)-VLOOKUP($B17,'SegEnds_NonXtal_Prot#'!$A:$AL,16,FALSE),"-")</f>
        <v>21</v>
      </c>
      <c r="L17" s="2">
        <f>IFERROR(50+VLOOKUP($A17,'SegEnds_Xtal_Prot#'!$A:$AY,23,FALSE)-VLOOKUP($B17,'SegEnds_NonXtal_Prot#'!$A:$AL,16,FALSE),"-")</f>
        <v>56</v>
      </c>
      <c r="M17" s="2">
        <f>IFERROR(50+VLOOKUP($A17,'SegEnds_Xtal_Prot#'!$A:$AY,25,FALSE)-VLOOKUP($B17,'SegEnds_NonXtal_Prot#'!$A:$AL,19,FALSE),"-")</f>
        <v>50</v>
      </c>
      <c r="N17" s="2">
        <f>IFERROR(50+VLOOKUP($A17,'SegEnds_Xtal_Prot#'!$A:$AY,27,FALSE)-VLOOKUP($B17,'SegEnds_NonXtal_Prot#'!$A:$AL,19,FALSE),"-")</f>
        <v>57</v>
      </c>
      <c r="O17" s="2">
        <f>IFERROR(50+VLOOKUP($A17,'SegEnds_Xtal_Prot#'!$A:$AY,29,FALSE)-VLOOKUP($B17,'SegEnds_NonXtal_Prot#'!$A:$AL,22,FALSE),"-")</f>
        <v>38</v>
      </c>
      <c r="P17" s="2">
        <f>IFERROR(50+VLOOKUP($A17,'SegEnds_Xtal_Prot#'!$A:$AY,31,FALSE)-VLOOKUP($B17,'SegEnds_NonXtal_Prot#'!$A:$AL,22,FALSE),"-")</f>
        <v>64</v>
      </c>
      <c r="Q17" s="2">
        <f>IFERROR(50+VLOOKUP($A17,'SegEnds_Xtal_Prot#'!$A:$AY,33,FALSE)-VLOOKUP($B17,'SegEnds_NonXtal_Prot#'!$A:$AL,25,FALSE),"-")</f>
        <v>50</v>
      </c>
      <c r="R17" s="2">
        <f>IFERROR(50+VLOOKUP($A17,'SegEnds_Xtal_Prot#'!$A:$AY,35,FALSE)-VLOOKUP($B17,'SegEnds_NonXtal_Prot#'!$A:$AL,25,FALSE),"-")</f>
        <v>52</v>
      </c>
      <c r="S17" s="2">
        <f>IFERROR(50+VLOOKUP($A17,'SegEnds_Xtal_Prot#'!$A:$AY,37,FALSE)-VLOOKUP($B17,'SegEnds_NonXtal_Prot#'!$A:$AL,28,FALSE),"-")</f>
        <v>35</v>
      </c>
      <c r="T17" s="2">
        <f>IFERROR(50+VLOOKUP($A17,'SegEnds_Xtal_Prot#'!$A:$AY,39,FALSE)-VLOOKUP($B17,'SegEnds_NonXtal_Prot#'!$A:$AL,28,FALSE),"-")</f>
        <v>76</v>
      </c>
      <c r="U17" s="2">
        <f>IFERROR(50+VLOOKUP($A17,'SegEnds_Xtal_Prot#'!$A:$AY,41,FALSE)-VLOOKUP($B17,'SegEnds_NonXtal_Prot#'!$A:$AL,31,FALSE),"-")</f>
        <v>20</v>
      </c>
      <c r="V17" s="2">
        <f>IFERROR(50+VLOOKUP($A17,'SegEnds_Xtal_Prot#'!$A:$AY,43,FALSE)-VLOOKUP($B17,'SegEnds_NonXtal_Prot#'!$A:$AL,31,FALSE),"-")</f>
        <v>61</v>
      </c>
      <c r="W17" s="2">
        <f>IFERROR(50+VLOOKUP($A17,'SegEnds_Xtal_Prot#'!$A:$AY,45,FALSE)-VLOOKUP($B17,'SegEnds_NonXtal_Prot#'!$A:$AL,34,FALSE),"-")</f>
        <v>31</v>
      </c>
      <c r="X17" s="2">
        <f>IFERROR(50+VLOOKUP($A17,'SegEnds_Xtal_Prot#'!$A:$AY,47,FALSE)-VLOOKUP($B17,'SegEnds_NonXtal_Prot#'!$A:$AL,34,FALSE),"-")</f>
        <v>55</v>
      </c>
      <c r="Y17" s="2">
        <f>IFERROR(50+VLOOKUP($A17,'SegEnds_Xtal_Prot#'!$A:$AY,49,FALSE)-VLOOKUP($B17,'SegEnds_NonXtal_Prot#'!$A:$AL,37,FALSE),"-")</f>
        <v>47</v>
      </c>
      <c r="Z17" s="2">
        <f>IFERROR(50+VLOOKUP($A17,'SegEnds_Xtal_Prot#'!$A:$AY,51,FALSE)-VLOOKUP($B17,'SegEnds_NonXtal_Prot#'!$A:$AL,37,FALSE),"-")</f>
        <v>59</v>
      </c>
      <c r="AA17" s="49" t="str">
        <f>VLOOKUP(B17,Classification!A:D,2,FALSE)</f>
        <v>A</v>
      </c>
      <c r="AB17" s="94" t="str">
        <f>VLOOKUP(B17,Classification!A:D,4,0)</f>
        <v>Adrenoceptors</v>
      </c>
      <c r="AC17" s="49">
        <f>VLOOKUP(B17,'SegEnds_NonXtal_Prot#'!A:AL,6,FALSE)-VLOOKUP(B17,'SegEnds_NonXtal_Prot#'!A:AL,5,FALSE)</f>
        <v>1</v>
      </c>
      <c r="AD17" s="49">
        <f>VLOOKUP(B17,'SegEnds_NonXtal_Prot#'!A:AL,9,FALSE)-VLOOKUP(B17,'SegEnds_NonXtal_Prot#'!A:AL,8,FALSE)</f>
        <v>1</v>
      </c>
      <c r="AE17" s="49">
        <f>VLOOKUP(B17,'SegEnds_NonXtal_Prot#'!A:AL,13,FALSE)-VLOOKUP(B17,'SegEnds_NonXtal_Prot#'!A:AL,10,FALSE)</f>
        <v>20</v>
      </c>
      <c r="AF17" s="49">
        <f>VLOOKUP(B17,'SegEnds_NonXtal_Prot#'!A:AL,12,FALSE)-VLOOKUP(B17,'SegEnds_NonXtal_Prot#'!A:AL,11,FALSE)</f>
        <v>2</v>
      </c>
      <c r="AG17" s="49">
        <f>VLOOKUP(B17,'SegEnds_NonXtal_Prot#'!A:AL,13,FALSE)-VLOOKUP(B17,'SegEnds_NonXtal_Prot#'!A:AL,11,FALSE)</f>
        <v>3</v>
      </c>
      <c r="AH17" s="49">
        <f>VLOOKUP(B17,'SegEnds_NonXtal_Prot#'!A:AL,16,FALSE)-VLOOKUP(B17,'SegEnds_NonXtal_Prot#'!A:AL,10,FALSE)</f>
        <v>52</v>
      </c>
      <c r="AI17" s="49">
        <f>VLOOKUP(B17,'SegEnds_NonXtal_Prot#'!A:AL,16,FALSE)-VLOOKUP(B17,'SegEnds_NonXtal_Prot#'!A:AL,11,FALSE)</f>
        <v>35</v>
      </c>
      <c r="AJ17" s="49">
        <f>VLOOKUP(B17,'SegEnds_NonXtal_Prot#'!A:AL,22,FALSE)-VLOOKUP(B17,'SegEnds_NonXtal_Prot#'!A:AL,19,FALSE)</f>
        <v>20</v>
      </c>
      <c r="AK17" s="49">
        <f>VLOOKUP(B17,'SegEnds_NonXtal_Prot#'!A:AL,15,FALSE)-VLOOKUP(B17,'SegEnds_NonXtal_Prot#'!A:AL,14,FALSE)</f>
        <v>1</v>
      </c>
      <c r="AL17" s="49">
        <f>VLOOKUP(B17,'SegEnds_NonXtal_Prot#'!A:AL,18,FALSE)-VLOOKUP(B17,'SegEnds_NonXtal_Prot#'!A:AL,17,FALSE)</f>
        <v>1</v>
      </c>
      <c r="AM17" s="2">
        <f>VLOOKUP(B17,'SegEnds_NonXtal_Prot#'!A:AL,34,FALSE)-VLOOKUP(B17,'SegEnds_NonXtal_Prot#'!A:AL,31,FALSE)</f>
        <v>35</v>
      </c>
      <c r="AN17" s="37"/>
    </row>
    <row r="18" spans="1:64" s="2" customFormat="1" x14ac:dyDescent="0.2">
      <c r="A18" s="2" t="s">
        <v>1253</v>
      </c>
      <c r="B18" s="2" t="s">
        <v>158</v>
      </c>
      <c r="C18" s="2">
        <f>IFERROR(50+VLOOKUP($A18,'SegEnds_Xtal_Prot#'!$A:$AY,5,FALSE)-VLOOKUP($B18,'SegEnds_NonXtal_Prot#'!$A:$AL,4,FALSE),"-")</f>
        <v>30</v>
      </c>
      <c r="D18" s="2">
        <f>IFERROR(50+VLOOKUP($A18,'SegEnds_Xtal_Prot#'!$A:$AY,7,FALSE)-VLOOKUP($B18,'SegEnds_NonXtal_Prot#'!$A:$AL,4,FALSE),"-")</f>
        <v>60</v>
      </c>
      <c r="E18" s="2">
        <f>IFERROR(50+VLOOKUP($A18,'SegEnds_Xtal_Prot#'!$A:$AY,9,FALSE)-VLOOKUP($B18,'SegEnds_NonXtal_Prot#'!$A:$AL,7,FALSE),"-")</f>
        <v>48</v>
      </c>
      <c r="F18" s="2">
        <f>IFERROR(50+VLOOKUP($A18,'SegEnds_Xtal_Prot#'!$A:$AY,11,FALSE)-VLOOKUP($B18,'SegEnds_NonXtal_Prot#'!$A:$AL,7,FALSE),"-")</f>
        <v>51</v>
      </c>
      <c r="G18" s="2">
        <f>IFERROR(50+VLOOKUP($A18,'SegEnds_Xtal_Prot#'!$A:$AY,13,FALSE)-VLOOKUP($B18,'SegEnds_NonXtal_Prot#'!$A:$AL,10,FALSE),"-")</f>
        <v>37</v>
      </c>
      <c r="H18" s="2">
        <f>IFERROR(50+VLOOKUP($A18,'SegEnds_Xtal_Prot#'!$A:$AY,15,FALSE)-VLOOKUP($B18,'SegEnds_NonXtal_Prot#'!$A:$AL,10,FALSE),"-")</f>
        <v>66</v>
      </c>
      <c r="I18" s="2">
        <f>IFERROR(50+VLOOKUP($A18,'SegEnds_Xtal_Prot#'!$A:$AY,17,FALSE)-VLOOKUP($B18,'SegEnds_NonXtal_Prot#'!$A:$AL,13,FALSE),"-")</f>
        <v>49</v>
      </c>
      <c r="J18" s="2">
        <f>IFERROR(50+VLOOKUP($A18,'SegEnds_Xtal_Prot#'!$A:$AY,19,FALSE)-VLOOKUP($B18,'SegEnds_NonXtal_Prot#'!$A:$AL,13,FALSE),"-")</f>
        <v>52</v>
      </c>
      <c r="K18" s="2">
        <f>IFERROR(50+VLOOKUP($A18,'SegEnds_Xtal_Prot#'!$A:$AY,21,FALSE)-VLOOKUP($B18,'SegEnds_NonXtal_Prot#'!$A:$AL,16,FALSE),"-")</f>
        <v>21</v>
      </c>
      <c r="L18" s="2">
        <f>IFERROR(50+VLOOKUP($A18,'SegEnds_Xtal_Prot#'!$A:$AY,23,FALSE)-VLOOKUP($B18,'SegEnds_NonXtal_Prot#'!$A:$AL,16,FALSE),"-")</f>
        <v>56</v>
      </c>
      <c r="M18" s="2">
        <f>IFERROR(50+VLOOKUP($A18,'SegEnds_Xtal_Prot#'!$A:$AY,25,FALSE)-VLOOKUP($B18,'SegEnds_NonXtal_Prot#'!$A:$AL,19,FALSE),"-")</f>
        <v>50</v>
      </c>
      <c r="N18" s="2">
        <f>IFERROR(50+VLOOKUP($A18,'SegEnds_Xtal_Prot#'!$A:$AY,27,FALSE)-VLOOKUP($B18,'SegEnds_NonXtal_Prot#'!$A:$AL,19,FALSE),"-")</f>
        <v>57</v>
      </c>
      <c r="O18" s="2">
        <f>IFERROR(50+VLOOKUP($A18,'SegEnds_Xtal_Prot#'!$A:$AY,29,FALSE)-VLOOKUP($B18,'SegEnds_NonXtal_Prot#'!$A:$AL,22,FALSE),"-")</f>
        <v>38</v>
      </c>
      <c r="P18" s="2">
        <f>IFERROR(50+VLOOKUP($A18,'SegEnds_Xtal_Prot#'!$A:$AY,31,FALSE)-VLOOKUP($B18,'SegEnds_NonXtal_Prot#'!$A:$AL,22,FALSE),"-")</f>
        <v>64</v>
      </c>
      <c r="Q18" s="2">
        <f>IFERROR(50+VLOOKUP($A18,'SegEnds_Xtal_Prot#'!$A:$AY,33,FALSE)-VLOOKUP($B18,'SegEnds_NonXtal_Prot#'!$A:$AL,25,FALSE),"-")</f>
        <v>50</v>
      </c>
      <c r="R18" s="2">
        <f>IFERROR(50+VLOOKUP($A18,'SegEnds_Xtal_Prot#'!$A:$AY,35,FALSE)-VLOOKUP($B18,'SegEnds_NonXtal_Prot#'!$A:$AL,25,FALSE),"-")</f>
        <v>52</v>
      </c>
      <c r="S18" s="2">
        <f>IFERROR(50+VLOOKUP($A18,'SegEnds_Xtal_Prot#'!$A:$AY,37,FALSE)-VLOOKUP($B18,'SegEnds_NonXtal_Prot#'!$A:$AL,28,FALSE),"-")</f>
        <v>34</v>
      </c>
      <c r="T18" s="2">
        <f>IFERROR(50+VLOOKUP($A18,'SegEnds_Xtal_Prot#'!$A:$AY,39,FALSE)-VLOOKUP($B18,'SegEnds_NonXtal_Prot#'!$A:$AL,28,FALSE),"-")</f>
        <v>68</v>
      </c>
      <c r="U18" s="2">
        <f>IFERROR(50+VLOOKUP($A18,'SegEnds_Xtal_Prot#'!$A:$AY,41,FALSE)-VLOOKUP($B18,'SegEnds_NonXtal_Prot#'!$A:$AL,31,FALSE),"-")</f>
        <v>28</v>
      </c>
      <c r="V18" s="2">
        <f>IFERROR(50+VLOOKUP($A18,'SegEnds_Xtal_Prot#'!$A:$AY,43,FALSE)-VLOOKUP($B18,'SegEnds_NonXtal_Prot#'!$A:$AL,31,FALSE),"-")</f>
        <v>64</v>
      </c>
      <c r="W18" s="2">
        <f>IFERROR(50+VLOOKUP($A18,'SegEnds_Xtal_Prot#'!$A:$AY,45,FALSE)-VLOOKUP($B18,'SegEnds_NonXtal_Prot#'!$A:$AL,34,FALSE),"-")</f>
        <v>24</v>
      </c>
      <c r="X18" s="2">
        <f>IFERROR(50+VLOOKUP($A18,'SegEnds_Xtal_Prot#'!$A:$AY,47,FALSE)-VLOOKUP($B18,'SegEnds_NonXtal_Prot#'!$A:$AL,34,FALSE),"-")</f>
        <v>56</v>
      </c>
      <c r="Y18" s="2">
        <f>IFERROR(50+VLOOKUP($A18,'SegEnds_Xtal_Prot#'!$A:$AY,49,FALSE)-VLOOKUP($B18,'SegEnds_NonXtal_Prot#'!$A:$AL,37,FALSE),"-")</f>
        <v>47</v>
      </c>
      <c r="Z18" s="2">
        <f>IFERROR(50+VLOOKUP($A18,'SegEnds_Xtal_Prot#'!$A:$AY,51,FALSE)-VLOOKUP($B18,'SegEnds_NonXtal_Prot#'!$A:$AL,37,FALSE),"-")</f>
        <v>61</v>
      </c>
      <c r="AA18" s="49" t="str">
        <f>VLOOKUP(B18,Classification!A:D,2,FALSE)</f>
        <v>A</v>
      </c>
      <c r="AB18" s="94" t="str">
        <f>VLOOKUP(B18,Classification!A:D,4,0)</f>
        <v>Angiotensin</v>
      </c>
      <c r="AC18" s="49">
        <f>VLOOKUP(B18,'SegEnds_NonXtal_Prot#'!A:AL,6,FALSE)-VLOOKUP(B18,'SegEnds_NonXtal_Prot#'!A:AL,5,FALSE)</f>
        <v>1</v>
      </c>
      <c r="AD18" s="49">
        <f>VLOOKUP(B18,'SegEnds_NonXtal_Prot#'!A:AL,9,FALSE)-VLOOKUP(B18,'SegEnds_NonXtal_Prot#'!A:AL,8,FALSE)</f>
        <v>1</v>
      </c>
      <c r="AE18" s="49">
        <f>VLOOKUP(B18,'SegEnds_NonXtal_Prot#'!A:AL,13,FALSE)-VLOOKUP(B18,'SegEnds_NonXtal_Prot#'!A:AL,10,FALSE)</f>
        <v>20</v>
      </c>
      <c r="AF18" s="49">
        <f>VLOOKUP(B18,'SegEnds_NonXtal_Prot#'!A:AL,12,FALSE)-VLOOKUP(B18,'SegEnds_NonXtal_Prot#'!A:AL,11,FALSE)</f>
        <v>3</v>
      </c>
      <c r="AG18" s="49">
        <f>VLOOKUP(B18,'SegEnds_NonXtal_Prot#'!A:AL,13,FALSE)-VLOOKUP(B18,'SegEnds_NonXtal_Prot#'!A:AL,11,FALSE)</f>
        <v>4</v>
      </c>
      <c r="AH18" s="49">
        <f>VLOOKUP(B18,'SegEnds_NonXtal_Prot#'!A:AL,16,FALSE)-VLOOKUP(B18,'SegEnds_NonXtal_Prot#'!A:AL,10,FALSE)</f>
        <v>52</v>
      </c>
      <c r="AI18" s="49">
        <f>VLOOKUP(B18,'SegEnds_NonXtal_Prot#'!A:AL,16,FALSE)-VLOOKUP(B18,'SegEnds_NonXtal_Prot#'!A:AL,11,FALSE)</f>
        <v>36</v>
      </c>
      <c r="AJ18" s="49">
        <f>VLOOKUP(B18,'SegEnds_NonXtal_Prot#'!A:AL,22,FALSE)-VLOOKUP(B18,'SegEnds_NonXtal_Prot#'!A:AL,19,FALSE)</f>
        <v>20</v>
      </c>
      <c r="AK18" s="49">
        <f>VLOOKUP(B18,'SegEnds_NonXtal_Prot#'!A:AL,15,FALSE)-VLOOKUP(B18,'SegEnds_NonXtal_Prot#'!A:AL,14,FALSE)</f>
        <v>1</v>
      </c>
      <c r="AL18" s="49">
        <f>VLOOKUP(B18,'SegEnds_NonXtal_Prot#'!A:AL,18,FALSE)-VLOOKUP(B18,'SegEnds_NonXtal_Prot#'!A:AL,17,FALSE)</f>
        <v>1</v>
      </c>
      <c r="AM18" s="2">
        <f>VLOOKUP(B18,'SegEnds_NonXtal_Prot#'!A:AL,34,FALSE)-VLOOKUP(B18,'SegEnds_NonXtal_Prot#'!A:AL,31,FALSE)</f>
        <v>44</v>
      </c>
      <c r="AN18" s="37"/>
    </row>
    <row r="19" spans="1:64" s="2" customFormat="1" x14ac:dyDescent="0.2">
      <c r="A19" s="2" t="s">
        <v>1400</v>
      </c>
      <c r="B19" s="2" t="s">
        <v>159</v>
      </c>
      <c r="C19" s="2">
        <f>IFERROR(50+VLOOKUP($A19,'SegEnds_Xtal_Prot#'!$A:$AY,5,FALSE)-VLOOKUP($B19,'SegEnds_NonXtal_Prot#'!$A:$AL,4,FALSE),"-")</f>
        <v>33</v>
      </c>
      <c r="D19" s="2">
        <f>IFERROR(50+VLOOKUP($A19,'SegEnds_Xtal_Prot#'!$A:$AY,7,FALSE)-VLOOKUP($B19,'SegEnds_NonXtal_Prot#'!$A:$AL,4,FALSE),"-")</f>
        <v>60</v>
      </c>
      <c r="E19" s="2" t="str">
        <f>IFERROR(50+VLOOKUP($A19,'SegEnds_Xtal_Prot#'!$A:$AY,9,FALSE)-VLOOKUP($B19,'SegEnds_NonXtal_Prot#'!$A:$AL,7,FALSE),"-")</f>
        <v>-</v>
      </c>
      <c r="F19" s="2" t="str">
        <f>IFERROR(50+VLOOKUP($A19,'SegEnds_Xtal_Prot#'!$A:$AY,11,FALSE)-VLOOKUP($B19,'SegEnds_NonXtal_Prot#'!$A:$AL,7,FALSE),"-")</f>
        <v>-</v>
      </c>
      <c r="G19" s="2">
        <f>IFERROR(50+VLOOKUP($A19,'SegEnds_Xtal_Prot#'!$A:$AY,13,FALSE)-VLOOKUP($B19,'SegEnds_NonXtal_Prot#'!$A:$AL,10,FALSE),"-")</f>
        <v>38</v>
      </c>
      <c r="H19" s="2">
        <f>IFERROR(50+VLOOKUP($A19,'SegEnds_Xtal_Prot#'!$A:$AY,15,FALSE)-VLOOKUP($B19,'SegEnds_NonXtal_Prot#'!$A:$AL,10,FALSE),"-")</f>
        <v>66</v>
      </c>
      <c r="I19" s="2">
        <f>IFERROR(50+VLOOKUP($A19,'SegEnds_Xtal_Prot#'!$A:$AY,17,FALSE)-VLOOKUP($B19,'SegEnds_NonXtal_Prot#'!$A:$AL,13,FALSE),"-")</f>
        <v>47</v>
      </c>
      <c r="J19" s="2">
        <f>IFERROR(50+VLOOKUP($A19,'SegEnds_Xtal_Prot#'!$A:$AY,19,FALSE)-VLOOKUP($B19,'SegEnds_NonXtal_Prot#'!$A:$AL,13,FALSE),"-")</f>
        <v>52</v>
      </c>
      <c r="K19" s="2">
        <f>IFERROR(50+VLOOKUP($A19,'SegEnds_Xtal_Prot#'!$A:$AY,21,FALSE)-VLOOKUP($B19,'SegEnds_NonXtal_Prot#'!$A:$AL,16,FALSE),"-")</f>
        <v>21</v>
      </c>
      <c r="L19" s="2">
        <f>IFERROR(50+VLOOKUP($A19,'SegEnds_Xtal_Prot#'!$A:$AY,23,FALSE)-VLOOKUP($B19,'SegEnds_NonXtal_Prot#'!$A:$AL,16,FALSE),"-")</f>
        <v>56</v>
      </c>
      <c r="M19" s="2">
        <f>IFERROR(50+VLOOKUP($A19,'SegEnds_Xtal_Prot#'!$A:$AY,25,FALSE)-VLOOKUP($B19,'SegEnds_NonXtal_Prot#'!$A:$AL,19,FALSE),"-")</f>
        <v>50</v>
      </c>
      <c r="N19" s="2">
        <f>IFERROR(50+VLOOKUP($A19,'SegEnds_Xtal_Prot#'!$A:$AY,27,FALSE)-VLOOKUP($B19,'SegEnds_NonXtal_Prot#'!$A:$AL,19,FALSE),"-")</f>
        <v>56</v>
      </c>
      <c r="O19" s="2">
        <f>IFERROR(50+VLOOKUP($A19,'SegEnds_Xtal_Prot#'!$A:$AY,29,FALSE)-VLOOKUP($B19,'SegEnds_NonXtal_Prot#'!$A:$AL,22,FALSE),"-")</f>
        <v>38</v>
      </c>
      <c r="P19" s="2">
        <f>IFERROR(50+VLOOKUP($A19,'SegEnds_Xtal_Prot#'!$A:$AY,31,FALSE)-VLOOKUP($B19,'SegEnds_NonXtal_Prot#'!$A:$AL,22,FALSE),"-")</f>
        <v>64</v>
      </c>
      <c r="Q19" s="2">
        <f>IFERROR(50+VLOOKUP($A19,'SegEnds_Xtal_Prot#'!$A:$AY,33,FALSE)-VLOOKUP($B19,'SegEnds_NonXtal_Prot#'!$A:$AL,25,FALSE),"-")</f>
        <v>50</v>
      </c>
      <c r="R19" s="2">
        <f>IFERROR(50+VLOOKUP($A19,'SegEnds_Xtal_Prot#'!$A:$AY,35,FALSE)-VLOOKUP($B19,'SegEnds_NonXtal_Prot#'!$A:$AL,25,FALSE),"-")</f>
        <v>52</v>
      </c>
      <c r="S19" s="2">
        <f>IFERROR(50+VLOOKUP($A19,'SegEnds_Xtal_Prot#'!$A:$AY,37,FALSE)-VLOOKUP($B19,'SegEnds_NonXtal_Prot#'!$A:$AL,28,FALSE),"-")</f>
        <v>30</v>
      </c>
      <c r="T19" s="2">
        <f>IFERROR(50+VLOOKUP($A19,'SegEnds_Xtal_Prot#'!$A:$AY,39,FALSE)-VLOOKUP($B19,'SegEnds_NonXtal_Prot#'!$A:$AL,28,FALSE),"-")</f>
        <v>68</v>
      </c>
      <c r="U19" s="2">
        <f>IFERROR(50+VLOOKUP($A19,'SegEnds_Xtal_Prot#'!$A:$AY,41,FALSE)-VLOOKUP($B19,'SegEnds_NonXtal_Prot#'!$A:$AL,31,FALSE),"-")</f>
        <v>24</v>
      </c>
      <c r="V19" s="2">
        <f>IFERROR(50+VLOOKUP($A19,'SegEnds_Xtal_Prot#'!$A:$AY,43,FALSE)-VLOOKUP($B19,'SegEnds_NonXtal_Prot#'!$A:$AL,31,FALSE),"-")</f>
        <v>64</v>
      </c>
      <c r="W19" s="2">
        <f>IFERROR(50+VLOOKUP($A19,'SegEnds_Xtal_Prot#'!$A:$AY,45,FALSE)-VLOOKUP($B19,'SegEnds_NonXtal_Prot#'!$A:$AL,34,FALSE),"-")</f>
        <v>24</v>
      </c>
      <c r="X19" s="2">
        <f>IFERROR(50+VLOOKUP($A19,'SegEnds_Xtal_Prot#'!$A:$AY,47,FALSE)-VLOOKUP($B19,'SegEnds_NonXtal_Prot#'!$A:$AL,34,FALSE),"-")</f>
        <v>56</v>
      </c>
      <c r="Y19" s="2">
        <f>IFERROR(50+VLOOKUP($A19,'SegEnds_Xtal_Prot#'!$A:$AY,49,FALSE)-VLOOKUP($B19,'SegEnds_NonXtal_Prot#'!$A:$AL,37,FALSE),"-")</f>
        <v>47</v>
      </c>
      <c r="Z19" s="2">
        <f>IFERROR(50+VLOOKUP($A19,'SegEnds_Xtal_Prot#'!$A:$AY,51,FALSE)-VLOOKUP($B19,'SegEnds_NonXtal_Prot#'!$A:$AL,37,FALSE),"-")</f>
        <v>61</v>
      </c>
      <c r="AA19" s="49" t="str">
        <f>VLOOKUP(B19,Classification!A:D,2,FALSE)</f>
        <v>A</v>
      </c>
      <c r="AB19" s="94" t="str">
        <f>VLOOKUP(B19,Classification!A:D,4,0)</f>
        <v>Angiotensin</v>
      </c>
      <c r="AC19" s="49" t="e">
        <f>VLOOKUP(B19,'SegEnds_NonXtal_Prot#'!A:AL,6,FALSE)-VLOOKUP(B19,'SegEnds_NonXtal_Prot#'!A:AL,5,FALSE)</f>
        <v>#VALUE!</v>
      </c>
      <c r="AD19" s="49" t="e">
        <f>VLOOKUP(B19,'SegEnds_NonXtal_Prot#'!A:AL,9,FALSE)-VLOOKUP(B19,'SegEnds_NonXtal_Prot#'!A:AL,8,FALSE)</f>
        <v>#VALUE!</v>
      </c>
      <c r="AE19" s="49">
        <f>VLOOKUP(B19,'SegEnds_NonXtal_Prot#'!A:AL,13,FALSE)-VLOOKUP(B19,'SegEnds_NonXtal_Prot#'!A:AL,10,FALSE)</f>
        <v>20</v>
      </c>
      <c r="AF19" s="49">
        <f>VLOOKUP(B19,'SegEnds_NonXtal_Prot#'!A:AL,12,FALSE)-VLOOKUP(B19,'SegEnds_NonXtal_Prot#'!A:AL,11,FALSE)</f>
        <v>3</v>
      </c>
      <c r="AG19" s="49">
        <f>VLOOKUP(B19,'SegEnds_NonXtal_Prot#'!A:AL,13,FALSE)-VLOOKUP(B19,'SegEnds_NonXtal_Prot#'!A:AL,11,FALSE)</f>
        <v>4</v>
      </c>
      <c r="AH19" s="49">
        <f>VLOOKUP(B19,'SegEnds_NonXtal_Prot#'!A:AL,16,FALSE)-VLOOKUP(B19,'SegEnds_NonXtal_Prot#'!A:AL,10,FALSE)</f>
        <v>52</v>
      </c>
      <c r="AI19" s="49">
        <f>VLOOKUP(B19,'SegEnds_NonXtal_Prot#'!A:AL,16,FALSE)-VLOOKUP(B19,'SegEnds_NonXtal_Prot#'!A:AL,11,FALSE)</f>
        <v>36</v>
      </c>
      <c r="AJ19" s="49">
        <f>VLOOKUP(B19,'SegEnds_NonXtal_Prot#'!A:AL,22,FALSE)-VLOOKUP(B19,'SegEnds_NonXtal_Prot#'!A:AL,19,FALSE)</f>
        <v>19</v>
      </c>
      <c r="AK19" s="49">
        <f>VLOOKUP(B19,'SegEnds_NonXtal_Prot#'!A:AL,15,FALSE)-VLOOKUP(B19,'SegEnds_NonXtal_Prot#'!A:AL,14,FALSE)</f>
        <v>1</v>
      </c>
      <c r="AL19" s="49">
        <f>VLOOKUP(B19,'SegEnds_NonXtal_Prot#'!A:AL,18,FALSE)-VLOOKUP(B19,'SegEnds_NonXtal_Prot#'!A:AL,17,FALSE)</f>
        <v>1</v>
      </c>
      <c r="AM19" s="2">
        <f>VLOOKUP(B19,'SegEnds_NonXtal_Prot#'!A:AL,34,FALSE)-VLOOKUP(B19,'SegEnds_NonXtal_Prot#'!A:AL,31,FALSE)</f>
        <v>44</v>
      </c>
      <c r="AN19" s="37"/>
    </row>
    <row r="20" spans="1:64" s="2" customFormat="1" x14ac:dyDescent="0.2">
      <c r="A20" s="2" t="s">
        <v>1425</v>
      </c>
      <c r="B20" s="2" t="s">
        <v>160</v>
      </c>
      <c r="C20" s="2">
        <f>IFERROR(50+VLOOKUP($A20,'SegEnds_Xtal_Prot#'!$A:$AY,5,FALSE)-VLOOKUP($B20,'SegEnds_NonXtal_Prot#'!$A:$AL,4,FALSE),"-")</f>
        <v>33</v>
      </c>
      <c r="D20" s="2">
        <f>IFERROR(50+VLOOKUP($A20,'SegEnds_Xtal_Prot#'!$A:$AY,7,FALSE)-VLOOKUP($B20,'SegEnds_NonXtal_Prot#'!$A:$AL,4,FALSE),"-")</f>
        <v>60</v>
      </c>
      <c r="E20" s="2">
        <f>IFERROR(50+VLOOKUP($A20,'SegEnds_Xtal_Prot#'!$A:$AY,9,FALSE)-VLOOKUP($B20,'SegEnds_NonXtal_Prot#'!$A:$AL,7,FALSE),"-")</f>
        <v>48</v>
      </c>
      <c r="F20" s="2">
        <f>IFERROR(50+VLOOKUP($A20,'SegEnds_Xtal_Prot#'!$A:$AY,11,FALSE)-VLOOKUP($B20,'SegEnds_NonXtal_Prot#'!$A:$AL,7,FALSE),"-")</f>
        <v>52</v>
      </c>
      <c r="G20" s="2">
        <f>IFERROR(50+VLOOKUP($A20,'SegEnds_Xtal_Prot#'!$A:$AY,13,FALSE)-VLOOKUP($B20,'SegEnds_NonXtal_Prot#'!$A:$AL,10,FALSE),"-")</f>
        <v>37</v>
      </c>
      <c r="H20" s="2">
        <f>IFERROR(50+VLOOKUP($A20,'SegEnds_Xtal_Prot#'!$A:$AY,15,FALSE)-VLOOKUP($B20,'SegEnds_NonXtal_Prot#'!$A:$AL,10,FALSE),"-")</f>
        <v>67</v>
      </c>
      <c r="I20" s="2">
        <f>IFERROR(50+VLOOKUP($A20,'SegEnds_Xtal_Prot#'!$A:$AY,17,FALSE)-VLOOKUP($B20,'SegEnds_NonXtal_Prot#'!$A:$AL,13,FALSE),"-")</f>
        <v>49</v>
      </c>
      <c r="J20" s="2">
        <f>IFERROR(50+VLOOKUP($A20,'SegEnds_Xtal_Prot#'!$A:$AY,19,FALSE)-VLOOKUP($B20,'SegEnds_NonXtal_Prot#'!$A:$AL,13,FALSE),"-")</f>
        <v>52</v>
      </c>
      <c r="K20" s="2">
        <f>IFERROR(50+VLOOKUP($A20,'SegEnds_Xtal_Prot#'!$A:$AY,21,FALSE)-VLOOKUP($B20,'SegEnds_NonXtal_Prot#'!$A:$AL,16,FALSE),"-")</f>
        <v>21</v>
      </c>
      <c r="L20" s="2">
        <f>IFERROR(50+VLOOKUP($A20,'SegEnds_Xtal_Prot#'!$A:$AY,23,FALSE)-VLOOKUP($B20,'SegEnds_NonXtal_Prot#'!$A:$AL,16,FALSE),"-")</f>
        <v>56</v>
      </c>
      <c r="M20" s="2">
        <f>IFERROR(50+VLOOKUP($A20,'SegEnds_Xtal_Prot#'!$A:$AY,25,FALSE)-VLOOKUP($B20,'SegEnds_NonXtal_Prot#'!$A:$AL,19,FALSE),"-")</f>
        <v>50</v>
      </c>
      <c r="N20" s="2">
        <f>IFERROR(50+VLOOKUP($A20,'SegEnds_Xtal_Prot#'!$A:$AY,27,FALSE)-VLOOKUP($B20,'SegEnds_NonXtal_Prot#'!$A:$AL,19,FALSE),"-")</f>
        <v>57</v>
      </c>
      <c r="O20" s="2">
        <f>IFERROR(50+VLOOKUP($A20,'SegEnds_Xtal_Prot#'!$A:$AY,29,FALSE)-VLOOKUP($B20,'SegEnds_NonXtal_Prot#'!$A:$AL,22,FALSE),"-")</f>
        <v>38</v>
      </c>
      <c r="P20" s="2">
        <f>IFERROR(50+VLOOKUP($A20,'SegEnds_Xtal_Prot#'!$A:$AY,31,FALSE)-VLOOKUP($B20,'SegEnds_NonXtal_Prot#'!$A:$AL,22,FALSE),"-")</f>
        <v>64</v>
      </c>
      <c r="Q20" s="2">
        <f>IFERROR(50+VLOOKUP($A20,'SegEnds_Xtal_Prot#'!$A:$AY,33,FALSE)-VLOOKUP($B20,'SegEnds_NonXtal_Prot#'!$A:$AL,25,FALSE),"-")</f>
        <v>50</v>
      </c>
      <c r="R20" s="2">
        <f>IFERROR(50+VLOOKUP($A20,'SegEnds_Xtal_Prot#'!$A:$AY,35,FALSE)-VLOOKUP($B20,'SegEnds_NonXtal_Prot#'!$A:$AL,25,FALSE),"-")</f>
        <v>52</v>
      </c>
      <c r="S20" s="2">
        <f>IFERROR(50+VLOOKUP($A20,'SegEnds_Xtal_Prot#'!$A:$AY,37,FALSE)-VLOOKUP($B20,'SegEnds_NonXtal_Prot#'!$A:$AL,28,FALSE),"-")</f>
        <v>30</v>
      </c>
      <c r="T20" s="2">
        <f>IFERROR(50+VLOOKUP($A20,'SegEnds_Xtal_Prot#'!$A:$AY,39,FALSE)-VLOOKUP($B20,'SegEnds_NonXtal_Prot#'!$A:$AL,28,FALSE),"-")</f>
        <v>72</v>
      </c>
      <c r="U20" s="2">
        <f>IFERROR(50+VLOOKUP($A20,'SegEnds_Xtal_Prot#'!$A:$AY,41,FALSE)-VLOOKUP($B20,'SegEnds_NonXtal_Prot#'!$A:$AL,31,FALSE),"-")</f>
        <v>29</v>
      </c>
      <c r="V20" s="2">
        <f>IFERROR(50+VLOOKUP($A20,'SegEnds_Xtal_Prot#'!$A:$AY,43,FALSE)-VLOOKUP($B20,'SegEnds_NonXtal_Prot#'!$A:$AL,31,FALSE),"-")</f>
        <v>63</v>
      </c>
      <c r="W20" s="2">
        <f>IFERROR(50+VLOOKUP($A20,'SegEnds_Xtal_Prot#'!$A:$AY,45,FALSE)-VLOOKUP($B20,'SegEnds_NonXtal_Prot#'!$A:$AL,34,FALSE),"-")</f>
        <v>24</v>
      </c>
      <c r="X20" s="2">
        <f>IFERROR(50+VLOOKUP($A20,'SegEnds_Xtal_Prot#'!$A:$AY,47,FALSE)-VLOOKUP($B20,'SegEnds_NonXtal_Prot#'!$A:$AL,34,FALSE),"-")</f>
        <v>56</v>
      </c>
      <c r="Y20" s="2">
        <f>IFERROR(50+VLOOKUP($A20,'SegEnds_Xtal_Prot#'!$A:$AY,49,FALSE)-VLOOKUP($B20,'SegEnds_NonXtal_Prot#'!$A:$AL,37,FALSE),"-")</f>
        <v>47</v>
      </c>
      <c r="Z20" s="2">
        <f>IFERROR(50+VLOOKUP($A20,'SegEnds_Xtal_Prot#'!$A:$AY,51,FALSE)-VLOOKUP($B20,'SegEnds_NonXtal_Prot#'!$A:$AL,37,FALSE),"-")</f>
        <v>61</v>
      </c>
      <c r="AA20" s="49" t="str">
        <f>VLOOKUP(B20,Classification!A:D,2,FALSE)</f>
        <v>A</v>
      </c>
      <c r="AB20" s="94" t="str">
        <f>VLOOKUP(B20,Classification!A:D,4,0)</f>
        <v>Apelin</v>
      </c>
      <c r="AC20" s="49">
        <f>VLOOKUP(B20,'SegEnds_NonXtal_Prot#'!A:AL,6,FALSE)-VLOOKUP(B20,'SegEnds_NonXtal_Prot#'!A:AL,5,FALSE)</f>
        <v>1</v>
      </c>
      <c r="AD20" s="49">
        <f>VLOOKUP(B20,'SegEnds_NonXtal_Prot#'!A:AL,9,FALSE)-VLOOKUP(B20,'SegEnds_NonXtal_Prot#'!A:AL,8,FALSE)</f>
        <v>1</v>
      </c>
      <c r="AE20" s="49">
        <f>VLOOKUP(B20,'SegEnds_NonXtal_Prot#'!A:AL,13,FALSE)-VLOOKUP(B20,'SegEnds_NonXtal_Prot#'!A:AL,10,FALSE)</f>
        <v>20</v>
      </c>
      <c r="AF20" s="49">
        <f>VLOOKUP(B20,'SegEnds_NonXtal_Prot#'!A:AL,12,FALSE)-VLOOKUP(B20,'SegEnds_NonXtal_Prot#'!A:AL,11,FALSE)</f>
        <v>2</v>
      </c>
      <c r="AG20" s="49">
        <f>VLOOKUP(B20,'SegEnds_NonXtal_Prot#'!A:AL,13,FALSE)-VLOOKUP(B20,'SegEnds_NonXtal_Prot#'!A:AL,11,FALSE)</f>
        <v>3</v>
      </c>
      <c r="AH20" s="49">
        <f>VLOOKUP(B20,'SegEnds_NonXtal_Prot#'!A:AL,16,FALSE)-VLOOKUP(B20,'SegEnds_NonXtal_Prot#'!A:AL,10,FALSE)</f>
        <v>52</v>
      </c>
      <c r="AI20" s="49">
        <f>VLOOKUP(B20,'SegEnds_NonXtal_Prot#'!A:AL,16,FALSE)-VLOOKUP(B20,'SegEnds_NonXtal_Prot#'!A:AL,11,FALSE)</f>
        <v>35</v>
      </c>
      <c r="AJ20" s="49">
        <f>VLOOKUP(B20,'SegEnds_NonXtal_Prot#'!A:AL,22,FALSE)-VLOOKUP(B20,'SegEnds_NonXtal_Prot#'!A:AL,19,FALSE)</f>
        <v>20</v>
      </c>
      <c r="AK20" s="49">
        <f>VLOOKUP(B20,'SegEnds_NonXtal_Prot#'!A:AL,15,FALSE)-VLOOKUP(B20,'SegEnds_NonXtal_Prot#'!A:AL,14,FALSE)</f>
        <v>1</v>
      </c>
      <c r="AL20" s="49">
        <f>VLOOKUP(B20,'SegEnds_NonXtal_Prot#'!A:AL,18,FALSE)-VLOOKUP(B20,'SegEnds_NonXtal_Prot#'!A:AL,17,FALSE)</f>
        <v>1</v>
      </c>
      <c r="AM20" s="2">
        <f>VLOOKUP(B20,'SegEnds_NonXtal_Prot#'!A:AL,34,FALSE)-VLOOKUP(B20,'SegEnds_NonXtal_Prot#'!A:AL,31,FALSE)</f>
        <v>43</v>
      </c>
      <c r="AN20" s="37"/>
    </row>
    <row r="21" spans="1:64" s="2" customFormat="1" x14ac:dyDescent="0.2">
      <c r="A21" s="2" t="s">
        <v>1369</v>
      </c>
      <c r="B21" s="2" t="s">
        <v>182</v>
      </c>
      <c r="C21" s="2">
        <f>IFERROR(50+VLOOKUP($A21,'SegEnds_Xtal_Prot#'!$A:$AY,5,FALSE)-VLOOKUP($B21,'SegEnds_NonXtal_Prot#'!$A:$AL,4,FALSE),"-")</f>
        <v>28</v>
      </c>
      <c r="D21" s="2">
        <f>IFERROR(50+VLOOKUP($A21,'SegEnds_Xtal_Prot#'!$A:$AY,7,FALSE)-VLOOKUP($B21,'SegEnds_NonXtal_Prot#'!$A:$AL,4,FALSE),"-")</f>
        <v>60</v>
      </c>
      <c r="E21" s="2">
        <f>IFERROR(50+VLOOKUP($A21,'SegEnds_Xtal_Prot#'!$A:$AY,9,FALSE)-VLOOKUP($B21,'SegEnds_NonXtal_Prot#'!$A:$AL,7,FALSE),"-")</f>
        <v>48</v>
      </c>
      <c r="F21" s="2">
        <f>IFERROR(50+VLOOKUP($A21,'SegEnds_Xtal_Prot#'!$A:$AY,11,FALSE)-VLOOKUP($B21,'SegEnds_NonXtal_Prot#'!$A:$AL,7,FALSE),"-")</f>
        <v>51</v>
      </c>
      <c r="G21" s="2">
        <f>IFERROR(50+VLOOKUP($A21,'SegEnds_Xtal_Prot#'!$A:$AY,13,FALSE)-VLOOKUP($B21,'SegEnds_NonXtal_Prot#'!$A:$AL,10,FALSE),"-")</f>
        <v>37</v>
      </c>
      <c r="H21" s="2">
        <f>IFERROR(50+VLOOKUP($A21,'SegEnds_Xtal_Prot#'!$A:$AY,15,FALSE)-VLOOKUP($B21,'SegEnds_NonXtal_Prot#'!$A:$AL,10,FALSE),"-")</f>
        <v>66</v>
      </c>
      <c r="I21" s="2" t="str">
        <f>IFERROR(50+VLOOKUP($A21,'SegEnds_Xtal_Prot#'!$A:$AY,17,FALSE)-VLOOKUP($B21,'SegEnds_NonXtal_Prot#'!$A:$AL,13,FALSE),"-")</f>
        <v>-</v>
      </c>
      <c r="J21" s="2" t="str">
        <f>IFERROR(50+VLOOKUP($A21,'SegEnds_Xtal_Prot#'!$A:$AY,19,FALSE)-VLOOKUP($B21,'SegEnds_NonXtal_Prot#'!$A:$AL,13,FALSE),"-")</f>
        <v>-</v>
      </c>
      <c r="K21" s="2">
        <f>IFERROR(50+VLOOKUP($A21,'SegEnds_Xtal_Prot#'!$A:$AY,21,FALSE)-VLOOKUP($B21,'SegEnds_NonXtal_Prot#'!$A:$AL,16,FALSE),"-")</f>
        <v>21</v>
      </c>
      <c r="L21" s="2">
        <f>IFERROR(50+VLOOKUP($A21,'SegEnds_Xtal_Prot#'!$A:$AY,23,FALSE)-VLOOKUP($B21,'SegEnds_NonXtal_Prot#'!$A:$AL,16,FALSE),"-")</f>
        <v>56</v>
      </c>
      <c r="M21" s="2">
        <f>IFERROR(50+VLOOKUP($A21,'SegEnds_Xtal_Prot#'!$A:$AY,25,FALSE)-VLOOKUP($B21,'SegEnds_NonXtal_Prot#'!$A:$AL,19,FALSE),"-")</f>
        <v>50</v>
      </c>
      <c r="N21" s="2">
        <f>IFERROR(50+VLOOKUP($A21,'SegEnds_Xtal_Prot#'!$A:$AY,27,FALSE)-VLOOKUP($B21,'SegEnds_NonXtal_Prot#'!$A:$AL,19,FALSE),"-")</f>
        <v>57</v>
      </c>
      <c r="O21" s="2">
        <f>IFERROR(50+VLOOKUP($A21,'SegEnds_Xtal_Prot#'!$A:$AY,29,FALSE)-VLOOKUP($B21,'SegEnds_NonXtal_Prot#'!$A:$AL,22,FALSE),"-")</f>
        <v>38</v>
      </c>
      <c r="P21" s="2">
        <f>IFERROR(50+VLOOKUP($A21,'SegEnds_Xtal_Prot#'!$A:$AY,31,FALSE)-VLOOKUP($B21,'SegEnds_NonXtal_Prot#'!$A:$AL,22,FALSE),"-")</f>
        <v>63</v>
      </c>
      <c r="Q21" s="2" t="str">
        <f>IFERROR(50+VLOOKUP($A21,'SegEnds_Xtal_Prot#'!$A:$AY,33,FALSE)-VLOOKUP($B21,'SegEnds_NonXtal_Prot#'!$A:$AL,25,FALSE),"-")</f>
        <v>-</v>
      </c>
      <c r="R21" s="2" t="str">
        <f>IFERROR(50+VLOOKUP($A21,'SegEnds_Xtal_Prot#'!$A:$AY,35,FALSE)-VLOOKUP($B21,'SegEnds_NonXtal_Prot#'!$A:$AL,25,FALSE),"-")</f>
        <v>-</v>
      </c>
      <c r="S21" s="2">
        <f>IFERROR(50+VLOOKUP($A21,'SegEnds_Xtal_Prot#'!$A:$AY,37,FALSE)-VLOOKUP($B21,'SegEnds_NonXtal_Prot#'!$A:$AL,28,FALSE),"-")</f>
        <v>36</v>
      </c>
      <c r="T21" s="2">
        <f>IFERROR(50+VLOOKUP($A21,'SegEnds_Xtal_Prot#'!$A:$AY,39,FALSE)-VLOOKUP($B21,'SegEnds_NonXtal_Prot#'!$A:$AL,28,FALSE),"-")</f>
        <v>76</v>
      </c>
      <c r="U21" s="2">
        <f>IFERROR(50+VLOOKUP($A21,'SegEnds_Xtal_Prot#'!$A:$AY,41,FALSE)-VLOOKUP($B21,'SegEnds_NonXtal_Prot#'!$A:$AL,31,FALSE),"-")</f>
        <v>24</v>
      </c>
      <c r="V21" s="2">
        <f>IFERROR(50+VLOOKUP($A21,'SegEnds_Xtal_Prot#'!$A:$AY,43,FALSE)-VLOOKUP($B21,'SegEnds_NonXtal_Prot#'!$A:$AL,31,FALSE),"-")</f>
        <v>61</v>
      </c>
      <c r="W21" s="2">
        <f>IFERROR(50+VLOOKUP($A21,'SegEnds_Xtal_Prot#'!$A:$AY,45,FALSE)-VLOOKUP($B21,'SegEnds_NonXtal_Prot#'!$A:$AL,34,FALSE),"-")</f>
        <v>28</v>
      </c>
      <c r="X21" s="2">
        <f>IFERROR(50+VLOOKUP($A21,'SegEnds_Xtal_Prot#'!$A:$AY,47,FALSE)-VLOOKUP($B21,'SegEnds_NonXtal_Prot#'!$A:$AL,34,FALSE),"-")</f>
        <v>56</v>
      </c>
      <c r="Y21" s="2">
        <f>IFERROR(50+VLOOKUP($A21,'SegEnds_Xtal_Prot#'!$A:$AY,49,FALSE)-VLOOKUP($B21,'SegEnds_NonXtal_Prot#'!$A:$AL,37,FALSE),"-")</f>
        <v>47</v>
      </c>
      <c r="Z21" s="2">
        <f>IFERROR(50+VLOOKUP($A21,'SegEnds_Xtal_Prot#'!$A:$AY,51,FALSE)-VLOOKUP($B21,'SegEnds_NonXtal_Prot#'!$A:$AL,37,FALSE),"-")</f>
        <v>59</v>
      </c>
      <c r="AA21" s="49" t="str">
        <f>VLOOKUP(B21,Classification!A:D,2,FALSE)</f>
        <v>A</v>
      </c>
      <c r="AB21" s="94" t="str">
        <f>VLOOKUP(B21,Classification!A:D,4,0)</f>
        <v>Cannabinoid</v>
      </c>
      <c r="AC21" s="49">
        <f>VLOOKUP(B21,'SegEnds_NonXtal_Prot#'!A:AL,6,FALSE)-VLOOKUP(B21,'SegEnds_NonXtal_Prot#'!A:AL,5,FALSE)</f>
        <v>1</v>
      </c>
      <c r="AD21" s="49">
        <f>VLOOKUP(B21,'SegEnds_NonXtal_Prot#'!A:AL,9,FALSE)-VLOOKUP(B21,'SegEnds_NonXtal_Prot#'!A:AL,8,FALSE)</f>
        <v>2</v>
      </c>
      <c r="AE21" s="49" t="e">
        <f>VLOOKUP(B21,'SegEnds_NonXtal_Prot#'!A:AL,13,FALSE)-VLOOKUP(B21,'SegEnds_NonXtal_Prot#'!A:AL,10,FALSE)</f>
        <v>#VALUE!</v>
      </c>
      <c r="AF21" s="49" t="e">
        <f>VLOOKUP(B21,'SegEnds_NonXtal_Prot#'!A:AL,12,FALSE)-VLOOKUP(B21,'SegEnds_NonXtal_Prot#'!A:AL,11,FALSE)</f>
        <v>#VALUE!</v>
      </c>
      <c r="AG21" s="49" t="e">
        <f>VLOOKUP(B21,'SegEnds_NonXtal_Prot#'!A:AL,13,FALSE)-VLOOKUP(B21,'SegEnds_NonXtal_Prot#'!A:AL,11,FALSE)</f>
        <v>#VALUE!</v>
      </c>
      <c r="AH21" s="49">
        <f>VLOOKUP(B21,'SegEnds_NonXtal_Prot#'!A:AL,16,FALSE)-VLOOKUP(B21,'SegEnds_NonXtal_Prot#'!A:AL,10,FALSE)</f>
        <v>51</v>
      </c>
      <c r="AI21" s="49">
        <f>VLOOKUP(B21,'SegEnds_NonXtal_Prot#'!A:AL,16,FALSE)-VLOOKUP(B21,'SegEnds_NonXtal_Prot#'!A:AL,11,FALSE)</f>
        <v>35</v>
      </c>
      <c r="AJ21" s="49">
        <f>VLOOKUP(B21,'SegEnds_NonXtal_Prot#'!A:AL,22,FALSE)-VLOOKUP(B21,'SegEnds_NonXtal_Prot#'!A:AL,19,FALSE)</f>
        <v>20</v>
      </c>
      <c r="AK21" s="49" t="e">
        <f>VLOOKUP(B21,'SegEnds_NonXtal_Prot#'!A:AL,15,FALSE)-VLOOKUP(B21,'SegEnds_NonXtal_Prot#'!A:AL,14,FALSE)</f>
        <v>#VALUE!</v>
      </c>
      <c r="AL21" s="49">
        <f>VLOOKUP(B21,'SegEnds_NonXtal_Prot#'!A:AL,18,FALSE)-VLOOKUP(B21,'SegEnds_NonXtal_Prot#'!A:AL,17,FALSE)</f>
        <v>1</v>
      </c>
      <c r="AM21" s="2">
        <f>VLOOKUP(B21,'SegEnds_NonXtal_Prot#'!A:AL,34,FALSE)-VLOOKUP(B21,'SegEnds_NonXtal_Prot#'!A:AL,31,FALSE)</f>
        <v>36</v>
      </c>
      <c r="AN21" s="37"/>
      <c r="BL21" s="49"/>
    </row>
    <row r="22" spans="1:64" s="2" customFormat="1" x14ac:dyDescent="0.2">
      <c r="A22" s="2" t="s">
        <v>1256</v>
      </c>
      <c r="B22" s="2" t="s">
        <v>1172</v>
      </c>
      <c r="C22" s="2">
        <f>IFERROR(50+VLOOKUP($A22,'SegEnds_Xtal_Prot#'!$A:$AY,5,FALSE)-VLOOKUP($B22,'SegEnds_NonXtal_Prot#'!$A:$AL,4,FALSE),"-")</f>
        <v>24</v>
      </c>
      <c r="D22" s="2">
        <f>IFERROR(50+VLOOKUP($A22,'SegEnds_Xtal_Prot#'!$A:$AY,7,FALSE)-VLOOKUP($B22,'SegEnds_NonXtal_Prot#'!$A:$AL,4,FALSE),"-")</f>
        <v>60</v>
      </c>
      <c r="E22" s="2">
        <f>IFERROR(50+VLOOKUP($A22,'SegEnds_Xtal_Prot#'!$A:$AY,9,FALSE)-VLOOKUP($B22,'SegEnds_NonXtal_Prot#'!$A:$AL,7,FALSE),"-")</f>
        <v>48</v>
      </c>
      <c r="F22" s="2">
        <f>IFERROR(50+VLOOKUP($A22,'SegEnds_Xtal_Prot#'!$A:$AY,11,FALSE)-VLOOKUP($B22,'SegEnds_NonXtal_Prot#'!$A:$AL,7,FALSE),"-")</f>
        <v>51</v>
      </c>
      <c r="G22" s="2">
        <f>IFERROR(50+VLOOKUP($A22,'SegEnds_Xtal_Prot#'!$A:$AY,13,FALSE)-VLOOKUP($B22,'SegEnds_NonXtal_Prot#'!$A:$AL,10,FALSE),"-")</f>
        <v>37</v>
      </c>
      <c r="H22" s="2">
        <f>IFERROR(50+VLOOKUP($A22,'SegEnds_Xtal_Prot#'!$A:$AY,15,FALSE)-VLOOKUP($B22,'SegEnds_NonXtal_Prot#'!$A:$AL,10,FALSE),"-")</f>
        <v>66</v>
      </c>
      <c r="I22" s="2">
        <f>IFERROR(50+VLOOKUP($A22,'SegEnds_Xtal_Prot#'!$A:$AY,17,FALSE)-VLOOKUP($B22,'SegEnds_NonXtal_Prot#'!$A:$AL,13,FALSE),"-")</f>
        <v>49</v>
      </c>
      <c r="J22" s="2">
        <f>IFERROR(50+VLOOKUP($A22,'SegEnds_Xtal_Prot#'!$A:$AY,19,FALSE)-VLOOKUP($B22,'SegEnds_NonXtal_Prot#'!$A:$AL,13,FALSE),"-")</f>
        <v>52</v>
      </c>
      <c r="K22" s="2">
        <f>IFERROR(50+VLOOKUP($A22,'SegEnds_Xtal_Prot#'!$A:$AY,21,FALSE)-VLOOKUP($B22,'SegEnds_NonXtal_Prot#'!$A:$AL,16,FALSE),"-")</f>
        <v>21</v>
      </c>
      <c r="L22" s="2">
        <f>IFERROR(50+VLOOKUP($A22,'SegEnds_Xtal_Prot#'!$A:$AY,23,FALSE)-VLOOKUP($B22,'SegEnds_NonXtal_Prot#'!$A:$AL,16,FALSE),"-")</f>
        <v>56</v>
      </c>
      <c r="M22" s="2">
        <f>IFERROR(50+VLOOKUP($A22,'SegEnds_Xtal_Prot#'!$A:$AY,25,FALSE)-VLOOKUP($B22,'SegEnds_NonXtal_Prot#'!$A:$AL,19,FALSE),"-")</f>
        <v>50</v>
      </c>
      <c r="N22" s="2">
        <f>IFERROR(50+VLOOKUP($A22,'SegEnds_Xtal_Prot#'!$A:$AY,27,FALSE)-VLOOKUP($B22,'SegEnds_NonXtal_Prot#'!$A:$AL,19,FALSE),"-")</f>
        <v>57</v>
      </c>
      <c r="O22" s="2">
        <f>IFERROR(50+VLOOKUP($A22,'SegEnds_Xtal_Prot#'!$A:$AY,29,FALSE)-VLOOKUP($B22,'SegEnds_NonXtal_Prot#'!$A:$AL,22,FALSE),"-")</f>
        <v>38</v>
      </c>
      <c r="P22" s="2">
        <f>IFERROR(50+VLOOKUP($A22,'SegEnds_Xtal_Prot#'!$A:$AY,31,FALSE)-VLOOKUP($B22,'SegEnds_NonXtal_Prot#'!$A:$AL,22,FALSE),"-")</f>
        <v>64</v>
      </c>
      <c r="Q22" s="2">
        <f>IFERROR(50+VLOOKUP($A22,'SegEnds_Xtal_Prot#'!$A:$AY,33,FALSE)-VLOOKUP($B22,'SegEnds_NonXtal_Prot#'!$A:$AL,25,FALSE),"-")</f>
        <v>50</v>
      </c>
      <c r="R22" s="2">
        <f>IFERROR(50+VLOOKUP($A22,'SegEnds_Xtal_Prot#'!$A:$AY,35,FALSE)-VLOOKUP($B22,'SegEnds_NonXtal_Prot#'!$A:$AL,25,FALSE),"-")</f>
        <v>52</v>
      </c>
      <c r="S22" s="2">
        <f>IFERROR(50+VLOOKUP($A22,'SegEnds_Xtal_Prot#'!$A:$AY,37,FALSE)-VLOOKUP($B22,'SegEnds_NonXtal_Prot#'!$A:$AL,28,FALSE),"-")</f>
        <v>32</v>
      </c>
      <c r="T22" s="2">
        <f>IFERROR(50+VLOOKUP($A22,'SegEnds_Xtal_Prot#'!$A:$AY,39,FALSE)-VLOOKUP($B22,'SegEnds_NonXtal_Prot#'!$A:$AL,28,FALSE),"-")</f>
        <v>68</v>
      </c>
      <c r="U22" s="2">
        <f>IFERROR(50+VLOOKUP($A22,'SegEnds_Xtal_Prot#'!$A:$AY,41,FALSE)-VLOOKUP($B22,'SegEnds_NonXtal_Prot#'!$A:$AL,31,FALSE),"-")</f>
        <v>30</v>
      </c>
      <c r="V22" s="2">
        <f>IFERROR(50+VLOOKUP($A22,'SegEnds_Xtal_Prot#'!$A:$AY,43,FALSE)-VLOOKUP($B22,'SegEnds_NonXtal_Prot#'!$A:$AL,31,FALSE),"-")</f>
        <v>64</v>
      </c>
      <c r="W22" s="2">
        <f>IFERROR(50+VLOOKUP($A22,'SegEnds_Xtal_Prot#'!$A:$AY,45,FALSE)-VLOOKUP($B22,'SegEnds_NonXtal_Prot#'!$A:$AL,34,FALSE),"-")</f>
        <v>24</v>
      </c>
      <c r="X22" s="2">
        <f>IFERROR(50+VLOOKUP($A22,'SegEnds_Xtal_Prot#'!$A:$AY,47,FALSE)-VLOOKUP($B22,'SegEnds_NonXtal_Prot#'!$A:$AL,34,FALSE),"-")</f>
        <v>56</v>
      </c>
      <c r="Y22" s="2">
        <f>IFERROR(50+VLOOKUP($A22,'SegEnds_Xtal_Prot#'!$A:$AY,49,FALSE)-VLOOKUP($B22,'SegEnds_NonXtal_Prot#'!$A:$AL,37,FALSE),"-")</f>
        <v>47</v>
      </c>
      <c r="Z22" s="2">
        <f>IFERROR(50+VLOOKUP($A22,'SegEnds_Xtal_Prot#'!$A:$AY,51,FALSE)-VLOOKUP($B22,'SegEnds_NonXtal_Prot#'!$A:$AL,37,FALSE),"-")</f>
        <v>59</v>
      </c>
      <c r="AA22" s="49" t="str">
        <f>VLOOKUP(B22,Classification!A:D,2,FALSE)</f>
        <v>A</v>
      </c>
      <c r="AB22" s="94" t="str">
        <f>VLOOKUP(B22,Classification!A:D,4,0)</f>
        <v>Chemokine</v>
      </c>
      <c r="AC22" s="49">
        <f>VLOOKUP(B22,'SegEnds_NonXtal_Prot#'!A:AL,6,FALSE)-VLOOKUP(B22,'SegEnds_NonXtal_Prot#'!A:AL,5,FALSE)</f>
        <v>1</v>
      </c>
      <c r="AD22" s="49">
        <f>VLOOKUP(B22,'SegEnds_NonXtal_Prot#'!A:AL,9,FALSE)-VLOOKUP(B22,'SegEnds_NonXtal_Prot#'!A:AL,8,FALSE)</f>
        <v>1</v>
      </c>
      <c r="AE22" s="49">
        <f>VLOOKUP(B22,'SegEnds_NonXtal_Prot#'!A:AL,13,FALSE)-VLOOKUP(B22,'SegEnds_NonXtal_Prot#'!A:AL,10,FALSE)</f>
        <v>18</v>
      </c>
      <c r="AF22" s="49">
        <f>VLOOKUP(B22,'SegEnds_NonXtal_Prot#'!A:AL,12,FALSE)-VLOOKUP(B22,'SegEnds_NonXtal_Prot#'!A:AL,11,FALSE)</f>
        <v>1</v>
      </c>
      <c r="AG22" s="49">
        <f>VLOOKUP(B22,'SegEnds_NonXtal_Prot#'!A:AL,13,FALSE)-VLOOKUP(B22,'SegEnds_NonXtal_Prot#'!A:AL,11,FALSE)</f>
        <v>2</v>
      </c>
      <c r="AH22" s="49">
        <f>VLOOKUP(B22,'SegEnds_NonXtal_Prot#'!A:AL,16,FALSE)-VLOOKUP(B22,'SegEnds_NonXtal_Prot#'!A:AL,10,FALSE)</f>
        <v>50</v>
      </c>
      <c r="AI22" s="49">
        <f>VLOOKUP(B22,'SegEnds_NonXtal_Prot#'!A:AL,16,FALSE)-VLOOKUP(B22,'SegEnds_NonXtal_Prot#'!A:AL,11,FALSE)</f>
        <v>34</v>
      </c>
      <c r="AJ22" s="49">
        <f>VLOOKUP(B22,'SegEnds_NonXtal_Prot#'!A:AL,22,FALSE)-VLOOKUP(B22,'SegEnds_NonXtal_Prot#'!A:AL,19,FALSE)</f>
        <v>20</v>
      </c>
      <c r="AK22" s="49">
        <f>VLOOKUP(B22,'SegEnds_NonXtal_Prot#'!A:AL,15,FALSE)-VLOOKUP(B22,'SegEnds_NonXtal_Prot#'!A:AL,14,FALSE)</f>
        <v>1</v>
      </c>
      <c r="AL22" s="49">
        <f>VLOOKUP(B22,'SegEnds_NonXtal_Prot#'!A:AL,18,FALSE)-VLOOKUP(B22,'SegEnds_NonXtal_Prot#'!A:AL,17,FALSE)</f>
        <v>1</v>
      </c>
      <c r="AM22" s="2">
        <f>VLOOKUP(B22,'SegEnds_NonXtal_Prot#'!A:AL,34,FALSE)-VLOOKUP(B22,'SegEnds_NonXtal_Prot#'!A:AL,31,FALSE)</f>
        <v>45</v>
      </c>
      <c r="AN22" s="37"/>
    </row>
    <row r="23" spans="1:64" s="2" customFormat="1" x14ac:dyDescent="0.2">
      <c r="A23" s="2" t="s">
        <v>1280</v>
      </c>
      <c r="B23" s="2" t="s">
        <v>924</v>
      </c>
      <c r="C23" s="2">
        <f>IFERROR(50+VLOOKUP($A23,'SegEnds_Xtal_Prot#'!$A:$AY,5,FALSE)-VLOOKUP($B23,'SegEnds_NonXtal_Prot#'!$A:$AL,4,FALSE),"-")</f>
        <v>24</v>
      </c>
      <c r="D23" s="2">
        <f>IFERROR(50+VLOOKUP($A23,'SegEnds_Xtal_Prot#'!$A:$AY,7,FALSE)-VLOOKUP($B23,'SegEnds_NonXtal_Prot#'!$A:$AL,4,FALSE),"-")</f>
        <v>60</v>
      </c>
      <c r="E23" s="2">
        <f>IFERROR(50+VLOOKUP($A23,'SegEnds_Xtal_Prot#'!$A:$AY,9,FALSE)-VLOOKUP($B23,'SegEnds_NonXtal_Prot#'!$A:$AL,7,FALSE),"-")</f>
        <v>48</v>
      </c>
      <c r="F23" s="2">
        <f>IFERROR(50+VLOOKUP($A23,'SegEnds_Xtal_Prot#'!$A:$AY,11,FALSE)-VLOOKUP($B23,'SegEnds_NonXtal_Prot#'!$A:$AL,7,FALSE),"-")</f>
        <v>51</v>
      </c>
      <c r="G23" s="2">
        <f>IFERROR(50+VLOOKUP($A23,'SegEnds_Xtal_Prot#'!$A:$AY,13,FALSE)-VLOOKUP($B23,'SegEnds_NonXtal_Prot#'!$A:$AL,10,FALSE),"-")</f>
        <v>37</v>
      </c>
      <c r="H23" s="2">
        <f>IFERROR(50+VLOOKUP($A23,'SegEnds_Xtal_Prot#'!$A:$AY,15,FALSE)-VLOOKUP($B23,'SegEnds_NonXtal_Prot#'!$A:$AL,10,FALSE),"-")</f>
        <v>66</v>
      </c>
      <c r="I23" s="2" t="str">
        <f>IFERROR(50+VLOOKUP($A23,'SegEnds_Xtal_Prot#'!$A:$AY,17,FALSE)-VLOOKUP($B23,'SegEnds_NonXtal_Prot#'!$A:$AL,13,FALSE),"-")</f>
        <v>-</v>
      </c>
      <c r="J23" s="2" t="str">
        <f>IFERROR(50+VLOOKUP($A23,'SegEnds_Xtal_Prot#'!$A:$AY,19,FALSE)-VLOOKUP($B23,'SegEnds_NonXtal_Prot#'!$A:$AL,13,FALSE),"-")</f>
        <v>-</v>
      </c>
      <c r="K23" s="2">
        <f>IFERROR(50+VLOOKUP($A23,'SegEnds_Xtal_Prot#'!$A:$AY,21,FALSE)-VLOOKUP($B23,'SegEnds_NonXtal_Prot#'!$A:$AL,16,FALSE),"-")</f>
        <v>21</v>
      </c>
      <c r="L23" s="2">
        <f>IFERROR(50+VLOOKUP($A23,'SegEnds_Xtal_Prot#'!$A:$AY,23,FALSE)-VLOOKUP($B23,'SegEnds_NonXtal_Prot#'!$A:$AL,16,FALSE),"-")</f>
        <v>55</v>
      </c>
      <c r="M23" s="2" t="str">
        <f>IFERROR(50+VLOOKUP($A23,'SegEnds_Xtal_Prot#'!$A:$AY,25,FALSE)-VLOOKUP($B23,'SegEnds_NonXtal_Prot#'!$A:$AL,19,FALSE),"-")</f>
        <v>-</v>
      </c>
      <c r="N23" s="2" t="str">
        <f>IFERROR(50+VLOOKUP($A23,'SegEnds_Xtal_Prot#'!$A:$AY,27,FALSE)-VLOOKUP($B23,'SegEnds_NonXtal_Prot#'!$A:$AL,19,FALSE),"-")</f>
        <v>-</v>
      </c>
      <c r="O23" s="2">
        <f>IFERROR(50+VLOOKUP($A23,'SegEnds_Xtal_Prot#'!$A:$AY,29,FALSE)-VLOOKUP($B23,'SegEnds_NonXtal_Prot#'!$A:$AL,22,FALSE),"-")</f>
        <v>38</v>
      </c>
      <c r="P23" s="2">
        <f>IFERROR(50+VLOOKUP($A23,'SegEnds_Xtal_Prot#'!$A:$AY,31,FALSE)-VLOOKUP($B23,'SegEnds_NonXtal_Prot#'!$A:$AL,22,FALSE),"-")</f>
        <v>62</v>
      </c>
      <c r="Q23" s="2">
        <f>IFERROR(50+VLOOKUP($A23,'SegEnds_Xtal_Prot#'!$A:$AY,33,FALSE)-VLOOKUP($B23,'SegEnds_NonXtal_Prot#'!$A:$AL,25,FALSE),"-")</f>
        <v>50</v>
      </c>
      <c r="R23" s="2">
        <f>IFERROR(50+VLOOKUP($A23,'SegEnds_Xtal_Prot#'!$A:$AY,35,FALSE)-VLOOKUP($B23,'SegEnds_NonXtal_Prot#'!$A:$AL,25,FALSE),"-")</f>
        <v>52</v>
      </c>
      <c r="S23" s="2">
        <f>IFERROR(50+VLOOKUP($A23,'SegEnds_Xtal_Prot#'!$A:$AY,37,FALSE)-VLOOKUP($B23,'SegEnds_NonXtal_Prot#'!$A:$AL,28,FALSE),"-")</f>
        <v>33</v>
      </c>
      <c r="T23" s="2">
        <f>IFERROR(50+VLOOKUP($A23,'SegEnds_Xtal_Prot#'!$A:$AY,39,FALSE)-VLOOKUP($B23,'SegEnds_NonXtal_Prot#'!$A:$AL,28,FALSE),"-")</f>
        <v>68</v>
      </c>
      <c r="U23" s="2">
        <f>IFERROR(50+VLOOKUP($A23,'SegEnds_Xtal_Prot#'!$A:$AY,41,FALSE)-VLOOKUP($B23,'SegEnds_NonXtal_Prot#'!$A:$AL,31,FALSE),"-")</f>
        <v>29</v>
      </c>
      <c r="V23" s="2">
        <f>IFERROR(50+VLOOKUP($A23,'SegEnds_Xtal_Prot#'!$A:$AY,43,FALSE)-VLOOKUP($B23,'SegEnds_NonXtal_Prot#'!$A:$AL,31,FALSE),"-")</f>
        <v>64</v>
      </c>
      <c r="W23" s="2">
        <f>IFERROR(50+VLOOKUP($A23,'SegEnds_Xtal_Prot#'!$A:$AY,45,FALSE)-VLOOKUP($B23,'SegEnds_NonXtal_Prot#'!$A:$AL,34,FALSE),"-")</f>
        <v>24</v>
      </c>
      <c r="X23" s="2">
        <f>IFERROR(50+VLOOKUP($A23,'SegEnds_Xtal_Prot#'!$A:$AY,47,FALSE)-VLOOKUP($B23,'SegEnds_NonXtal_Prot#'!$A:$AL,34,FALSE),"-")</f>
        <v>56</v>
      </c>
      <c r="Y23" s="2">
        <f>IFERROR(50+VLOOKUP($A23,'SegEnds_Xtal_Prot#'!$A:$AY,49,FALSE)-VLOOKUP($B23,'SegEnds_NonXtal_Prot#'!$A:$AL,37,FALSE),"-")</f>
        <v>47</v>
      </c>
      <c r="Z23" s="2">
        <f>IFERROR(50+VLOOKUP($A23,'SegEnds_Xtal_Prot#'!$A:$AY,51,FALSE)-VLOOKUP($B23,'SegEnds_NonXtal_Prot#'!$A:$AL,37,FALSE),"-")</f>
        <v>62</v>
      </c>
      <c r="AA23" s="49" t="str">
        <f>VLOOKUP(B23,Classification!A:D,2,FALSE)</f>
        <v>A</v>
      </c>
      <c r="AB23" s="94" t="str">
        <f>VLOOKUP(B23,Classification!A:D,4,0)</f>
        <v>Chemokine</v>
      </c>
      <c r="AC23" s="49">
        <f>VLOOKUP(B23,'SegEnds_NonXtal_Prot#'!A:AL,6,FALSE)-VLOOKUP(B23,'SegEnds_NonXtal_Prot#'!A:AL,5,FALSE)</f>
        <v>1</v>
      </c>
      <c r="AD23" s="49">
        <f>VLOOKUP(B23,'SegEnds_NonXtal_Prot#'!A:AL,9,FALSE)-VLOOKUP(B23,'SegEnds_NonXtal_Prot#'!A:AL,8,FALSE)</f>
        <v>1</v>
      </c>
      <c r="AE23" s="49" t="e">
        <f>VLOOKUP(B23,'SegEnds_NonXtal_Prot#'!A:AL,13,FALSE)-VLOOKUP(B23,'SegEnds_NonXtal_Prot#'!A:AL,10,FALSE)</f>
        <v>#VALUE!</v>
      </c>
      <c r="AF23" s="49" t="e">
        <f>VLOOKUP(B23,'SegEnds_NonXtal_Prot#'!A:AL,12,FALSE)-VLOOKUP(B23,'SegEnds_NonXtal_Prot#'!A:AL,11,FALSE)</f>
        <v>#VALUE!</v>
      </c>
      <c r="AG23" s="49" t="e">
        <f>VLOOKUP(B23,'SegEnds_NonXtal_Prot#'!A:AL,13,FALSE)-VLOOKUP(B23,'SegEnds_NonXtal_Prot#'!A:AL,11,FALSE)</f>
        <v>#VALUE!</v>
      </c>
      <c r="AH23" s="49">
        <f>VLOOKUP(B23,'SegEnds_NonXtal_Prot#'!A:AL,16,FALSE)-VLOOKUP(B23,'SegEnds_NonXtal_Prot#'!A:AL,10,FALSE)</f>
        <v>50</v>
      </c>
      <c r="AI23" s="49">
        <f>VLOOKUP(B23,'SegEnds_NonXtal_Prot#'!A:AL,16,FALSE)-VLOOKUP(B23,'SegEnds_NonXtal_Prot#'!A:AL,11,FALSE)</f>
        <v>34</v>
      </c>
      <c r="AJ23" s="49" t="e">
        <f>VLOOKUP(B23,'SegEnds_NonXtal_Prot#'!A:AL,22,FALSE)-VLOOKUP(B23,'SegEnds_NonXtal_Prot#'!A:AL,19,FALSE)</f>
        <v>#VALUE!</v>
      </c>
      <c r="AK23" s="49" t="e">
        <f>VLOOKUP(B23,'SegEnds_NonXtal_Prot#'!A:AL,15,FALSE)-VLOOKUP(B23,'SegEnds_NonXtal_Prot#'!A:AL,14,FALSE)</f>
        <v>#VALUE!</v>
      </c>
      <c r="AL23" s="49" t="e">
        <f>VLOOKUP(B23,'SegEnds_NonXtal_Prot#'!A:AL,18,FALSE)-VLOOKUP(B23,'SegEnds_NonXtal_Prot#'!A:AL,17,FALSE)</f>
        <v>#VALUE!</v>
      </c>
      <c r="AM23" s="2">
        <f>VLOOKUP(B23,'SegEnds_NonXtal_Prot#'!A:AL,34,FALSE)-VLOOKUP(B23,'SegEnds_NonXtal_Prot#'!A:AL,31,FALSE)</f>
        <v>45</v>
      </c>
      <c r="AN23" s="37"/>
    </row>
    <row r="24" spans="1:64" s="2" customFormat="1" x14ac:dyDescent="0.2">
      <c r="A24" s="2" t="s">
        <v>1254</v>
      </c>
      <c r="B24" s="2" t="s">
        <v>173</v>
      </c>
      <c r="C24" s="2">
        <f>IFERROR(50+VLOOKUP($A24,'SegEnds_Xtal_Prot#'!$A:$AY,5,FALSE)-VLOOKUP($B24,'SegEnds_NonXtal_Prot#'!$A:$AL,4,FALSE),"-")</f>
        <v>24</v>
      </c>
      <c r="D24" s="2">
        <f>IFERROR(50+VLOOKUP($A24,'SegEnds_Xtal_Prot#'!$A:$AY,7,FALSE)-VLOOKUP($B24,'SegEnds_NonXtal_Prot#'!$A:$AL,4,FALSE),"-")</f>
        <v>60</v>
      </c>
      <c r="E24" s="2">
        <f>IFERROR(50+VLOOKUP($A24,'SegEnds_Xtal_Prot#'!$A:$AY,9,FALSE)-VLOOKUP($B24,'SegEnds_NonXtal_Prot#'!$A:$AL,7,FALSE),"-")</f>
        <v>48</v>
      </c>
      <c r="F24" s="2">
        <f>IFERROR(50+VLOOKUP($A24,'SegEnds_Xtal_Prot#'!$A:$AY,11,FALSE)-VLOOKUP($B24,'SegEnds_NonXtal_Prot#'!$A:$AL,7,FALSE),"-")</f>
        <v>51</v>
      </c>
      <c r="G24" s="2">
        <f>IFERROR(50+VLOOKUP($A24,'SegEnds_Xtal_Prot#'!$A:$AY,13,FALSE)-VLOOKUP($B24,'SegEnds_NonXtal_Prot#'!$A:$AL,10,FALSE),"-")</f>
        <v>37</v>
      </c>
      <c r="H24" s="2">
        <f>IFERROR(50+VLOOKUP($A24,'SegEnds_Xtal_Prot#'!$A:$AY,15,FALSE)-VLOOKUP($B24,'SegEnds_NonXtal_Prot#'!$A:$AL,10,FALSE),"-")</f>
        <v>66</v>
      </c>
      <c r="I24" s="2">
        <f>IFERROR(50+VLOOKUP($A24,'SegEnds_Xtal_Prot#'!$A:$AY,17,FALSE)-VLOOKUP($B24,'SegEnds_NonXtal_Prot#'!$A:$AL,13,FALSE),"-")</f>
        <v>49</v>
      </c>
      <c r="J24" s="2">
        <f>IFERROR(50+VLOOKUP($A24,'SegEnds_Xtal_Prot#'!$A:$AY,19,FALSE)-VLOOKUP($B24,'SegEnds_NonXtal_Prot#'!$A:$AL,13,FALSE),"-")</f>
        <v>52</v>
      </c>
      <c r="K24" s="2">
        <f>IFERROR(50+VLOOKUP($A24,'SegEnds_Xtal_Prot#'!$A:$AY,21,FALSE)-VLOOKUP($B24,'SegEnds_NonXtal_Prot#'!$A:$AL,16,FALSE),"-")</f>
        <v>21</v>
      </c>
      <c r="L24" s="2">
        <f>IFERROR(50+VLOOKUP($A24,'SegEnds_Xtal_Prot#'!$A:$AY,23,FALSE)-VLOOKUP($B24,'SegEnds_NonXtal_Prot#'!$A:$AL,16,FALSE),"-")</f>
        <v>56</v>
      </c>
      <c r="M24" s="2">
        <f>IFERROR(50+VLOOKUP($A24,'SegEnds_Xtal_Prot#'!$A:$AY,25,FALSE)-VLOOKUP($B24,'SegEnds_NonXtal_Prot#'!$A:$AL,19,FALSE),"-")</f>
        <v>50</v>
      </c>
      <c r="N24" s="2">
        <f>IFERROR(50+VLOOKUP($A24,'SegEnds_Xtal_Prot#'!$A:$AY,27,FALSE)-VLOOKUP($B24,'SegEnds_NonXtal_Prot#'!$A:$AL,19,FALSE),"-")</f>
        <v>57</v>
      </c>
      <c r="O24" s="2">
        <f>IFERROR(50+VLOOKUP($A24,'SegEnds_Xtal_Prot#'!$A:$AY,29,FALSE)-VLOOKUP($B24,'SegEnds_NonXtal_Prot#'!$A:$AL,22,FALSE),"-")</f>
        <v>38</v>
      </c>
      <c r="P24" s="2">
        <f>IFERROR(50+VLOOKUP($A24,'SegEnds_Xtal_Prot#'!$A:$AY,31,FALSE)-VLOOKUP($B24,'SegEnds_NonXtal_Prot#'!$A:$AL,22,FALSE),"-")</f>
        <v>64</v>
      </c>
      <c r="Q24" s="2">
        <f>IFERROR(50+VLOOKUP($A24,'SegEnds_Xtal_Prot#'!$A:$AY,33,FALSE)-VLOOKUP($B24,'SegEnds_NonXtal_Prot#'!$A:$AL,25,FALSE),"-")</f>
        <v>50</v>
      </c>
      <c r="R24" s="2">
        <f>IFERROR(50+VLOOKUP($A24,'SegEnds_Xtal_Prot#'!$A:$AY,35,FALSE)-VLOOKUP($B24,'SegEnds_NonXtal_Prot#'!$A:$AL,25,FALSE),"-")</f>
        <v>52</v>
      </c>
      <c r="S24" s="2">
        <f>IFERROR(50+VLOOKUP($A24,'SegEnds_Xtal_Prot#'!$A:$AY,37,FALSE)-VLOOKUP($B24,'SegEnds_NonXtal_Prot#'!$A:$AL,28,FALSE),"-")</f>
        <v>30</v>
      </c>
      <c r="T24" s="2">
        <f>IFERROR(50+VLOOKUP($A24,'SegEnds_Xtal_Prot#'!$A:$AY,39,FALSE)-VLOOKUP($B24,'SegEnds_NonXtal_Prot#'!$A:$AL,28,FALSE),"-")</f>
        <v>68</v>
      </c>
      <c r="U24" s="2">
        <f>IFERROR(50+VLOOKUP($A24,'SegEnds_Xtal_Prot#'!$A:$AY,41,FALSE)-VLOOKUP($B24,'SegEnds_NonXtal_Prot#'!$A:$AL,31,FALSE),"-")</f>
        <v>28</v>
      </c>
      <c r="V24" s="2">
        <f>IFERROR(50+VLOOKUP($A24,'SegEnds_Xtal_Prot#'!$A:$AY,43,FALSE)-VLOOKUP($B24,'SegEnds_NonXtal_Prot#'!$A:$AL,31,FALSE),"-")</f>
        <v>65</v>
      </c>
      <c r="W24" s="2">
        <f>IFERROR(50+VLOOKUP($A24,'SegEnds_Xtal_Prot#'!$A:$AY,45,FALSE)-VLOOKUP($B24,'SegEnds_NonXtal_Prot#'!$A:$AL,34,FALSE),"-")</f>
        <v>24</v>
      </c>
      <c r="X24" s="2">
        <f>IFERROR(50+VLOOKUP($A24,'SegEnds_Xtal_Prot#'!$A:$AY,47,FALSE)-VLOOKUP($B24,'SegEnds_NonXtal_Prot#'!$A:$AL,34,FALSE),"-")</f>
        <v>56</v>
      </c>
      <c r="Y24" s="2">
        <f>IFERROR(50+VLOOKUP($A24,'SegEnds_Xtal_Prot#'!$A:$AY,49,FALSE)-VLOOKUP($B24,'SegEnds_NonXtal_Prot#'!$A:$AL,37,FALSE),"-")</f>
        <v>47</v>
      </c>
      <c r="Z24" s="2">
        <f>IFERROR(50+VLOOKUP($A24,'SegEnds_Xtal_Prot#'!$A:$AY,51,FALSE)-VLOOKUP($B24,'SegEnds_NonXtal_Prot#'!$A:$AL,37,FALSE),"-")</f>
        <v>59</v>
      </c>
      <c r="AA24" s="49" t="str">
        <f>VLOOKUP(B24,Classification!A:D,2,FALSE)</f>
        <v>A</v>
      </c>
      <c r="AB24" s="94" t="str">
        <f>VLOOKUP(B24,Classification!A:D,4,0)</f>
        <v>Chemokine</v>
      </c>
      <c r="AC24" s="49">
        <f>VLOOKUP(B24,'SegEnds_NonXtal_Prot#'!A:AL,6,FALSE)-VLOOKUP(B24,'SegEnds_NonXtal_Prot#'!A:AL,5,FALSE)</f>
        <v>1</v>
      </c>
      <c r="AD24" s="49">
        <f>VLOOKUP(B24,'SegEnds_NonXtal_Prot#'!A:AL,9,FALSE)-VLOOKUP(B24,'SegEnds_NonXtal_Prot#'!A:AL,8,FALSE)</f>
        <v>1</v>
      </c>
      <c r="AE24" s="49">
        <f>VLOOKUP(B24,'SegEnds_NonXtal_Prot#'!A:AL,13,FALSE)-VLOOKUP(B24,'SegEnds_NonXtal_Prot#'!A:AL,10,FALSE)</f>
        <v>18</v>
      </c>
      <c r="AF24" s="49">
        <f>VLOOKUP(B24,'SegEnds_NonXtal_Prot#'!A:AL,12,FALSE)-VLOOKUP(B24,'SegEnds_NonXtal_Prot#'!A:AL,11,FALSE)</f>
        <v>1</v>
      </c>
      <c r="AG24" s="49">
        <f>VLOOKUP(B24,'SegEnds_NonXtal_Prot#'!A:AL,13,FALSE)-VLOOKUP(B24,'SegEnds_NonXtal_Prot#'!A:AL,11,FALSE)</f>
        <v>2</v>
      </c>
      <c r="AH24" s="49">
        <f>VLOOKUP(B24,'SegEnds_NonXtal_Prot#'!A:AL,16,FALSE)-VLOOKUP(B24,'SegEnds_NonXtal_Prot#'!A:AL,10,FALSE)</f>
        <v>50</v>
      </c>
      <c r="AI24" s="49">
        <f>VLOOKUP(B24,'SegEnds_NonXtal_Prot#'!A:AL,15,FALSE)-VLOOKUP(B24,'SegEnds_NonXtal_Prot#'!A:AL,11,FALSE)</f>
        <v>5</v>
      </c>
      <c r="AJ24" s="49">
        <f>VLOOKUP(B24,'SegEnds_NonXtal_Prot#'!A:AL,22,FALSE)-VLOOKUP(B24,'SegEnds_NonXtal_Prot#'!A:AL,19,FALSE)</f>
        <v>20</v>
      </c>
      <c r="AK24" s="49">
        <f>VLOOKUP(B24,'SegEnds_NonXtal_Prot#'!A:AL,15,FALSE)-VLOOKUP(B24,'SegEnds_NonXtal_Prot#'!A:AL,14,FALSE)</f>
        <v>1</v>
      </c>
      <c r="AL24" s="49">
        <f>VLOOKUP(B24,'SegEnds_NonXtal_Prot#'!A:AL,18,FALSE)-VLOOKUP(B24,'SegEnds_NonXtal_Prot#'!A:AL,17,FALSE)</f>
        <v>1</v>
      </c>
      <c r="AM24" s="2">
        <f>VLOOKUP(B24,'SegEnds_NonXtal_Prot#'!A:AL,34,FALSE)-VLOOKUP(B24,'SegEnds_NonXtal_Prot#'!A:AL,31,FALSE)</f>
        <v>44</v>
      </c>
      <c r="AN24" s="37"/>
    </row>
    <row r="25" spans="1:64" s="2" customFormat="1" x14ac:dyDescent="0.2">
      <c r="A25" s="2" t="s">
        <v>1335</v>
      </c>
      <c r="B25" s="2" t="s">
        <v>196</v>
      </c>
      <c r="C25" s="2">
        <f>IFERROR(50+VLOOKUP($A25,'SegEnds_Xtal_Prot#'!$A:$AY,5,FALSE)-VLOOKUP($B25,'SegEnds_NonXtal_Prot#'!$A:$AL,4,FALSE),"-")</f>
        <v>22</v>
      </c>
      <c r="D25" s="2">
        <f>IFERROR(50+VLOOKUP($A25,'SegEnds_Xtal_Prot#'!$A:$AY,7,FALSE)-VLOOKUP($B25,'SegEnds_NonXtal_Prot#'!$A:$AL,4,FALSE),"-")</f>
        <v>60</v>
      </c>
      <c r="E25" s="2">
        <f>IFERROR(50+VLOOKUP($A25,'SegEnds_Xtal_Prot#'!$A:$AY,9,FALSE)-VLOOKUP($B25,'SegEnds_NonXtal_Prot#'!$A:$AL,7,FALSE),"-")</f>
        <v>48</v>
      </c>
      <c r="F25" s="2">
        <f>IFERROR(50+VLOOKUP($A25,'SegEnds_Xtal_Prot#'!$A:$AY,11,FALSE)-VLOOKUP($B25,'SegEnds_NonXtal_Prot#'!$A:$AL,7,FALSE),"-")</f>
        <v>52</v>
      </c>
      <c r="G25" s="2">
        <f>IFERROR(50+VLOOKUP($A25,'SegEnds_Xtal_Prot#'!$A:$AY,13,FALSE)-VLOOKUP($B25,'SegEnds_NonXtal_Prot#'!$A:$AL,10,FALSE),"-")</f>
        <v>38</v>
      </c>
      <c r="H25" s="2">
        <f>IFERROR(50+VLOOKUP($A25,'SegEnds_Xtal_Prot#'!$A:$AY,15,FALSE)-VLOOKUP($B25,'SegEnds_NonXtal_Prot#'!$A:$AL,10,FALSE),"-")</f>
        <v>67</v>
      </c>
      <c r="I25" s="2">
        <f>IFERROR(50+VLOOKUP($A25,'SegEnds_Xtal_Prot#'!$A:$AY,17,FALSE)-VLOOKUP($B25,'SegEnds_NonXtal_Prot#'!$A:$AL,13,FALSE),"-")</f>
        <v>49</v>
      </c>
      <c r="J25" s="2">
        <f>IFERROR(50+VLOOKUP($A25,'SegEnds_Xtal_Prot#'!$A:$AY,19,FALSE)-VLOOKUP($B25,'SegEnds_NonXtal_Prot#'!$A:$AL,13,FALSE),"-")</f>
        <v>52</v>
      </c>
      <c r="K25" s="2">
        <f>IFERROR(50+VLOOKUP($A25,'SegEnds_Xtal_Prot#'!$A:$AY,21,FALSE)-VLOOKUP($B25,'SegEnds_NonXtal_Prot#'!$A:$AL,16,FALSE),"-")</f>
        <v>21</v>
      </c>
      <c r="L25" s="2">
        <f>IFERROR(50+VLOOKUP($A25,'SegEnds_Xtal_Prot#'!$A:$AY,23,FALSE)-VLOOKUP($B25,'SegEnds_NonXtal_Prot#'!$A:$AL,16,FALSE),"-")</f>
        <v>56</v>
      </c>
      <c r="M25" s="2">
        <f>IFERROR(50+VLOOKUP($A25,'SegEnds_Xtal_Prot#'!$A:$AY,25,FALSE)-VLOOKUP($B25,'SegEnds_NonXtal_Prot#'!$A:$AL,19,FALSE),"-")</f>
        <v>50</v>
      </c>
      <c r="N25" s="2">
        <f>IFERROR(50+VLOOKUP($A25,'SegEnds_Xtal_Prot#'!$A:$AY,27,FALSE)-VLOOKUP($B25,'SegEnds_NonXtal_Prot#'!$A:$AL,19,FALSE),"-")</f>
        <v>57</v>
      </c>
      <c r="O25" s="2">
        <f>IFERROR(50+VLOOKUP($A25,'SegEnds_Xtal_Prot#'!$A:$AY,29,FALSE)-VLOOKUP($B25,'SegEnds_NonXtal_Prot#'!$A:$AL,22,FALSE),"-")</f>
        <v>38</v>
      </c>
      <c r="P25" s="2">
        <f>IFERROR(50+VLOOKUP($A25,'SegEnds_Xtal_Prot#'!$A:$AY,31,FALSE)-VLOOKUP($B25,'SegEnds_NonXtal_Prot#'!$A:$AL,22,FALSE),"-")</f>
        <v>64</v>
      </c>
      <c r="Q25" s="2">
        <f>IFERROR(50+VLOOKUP($A25,'SegEnds_Xtal_Prot#'!$A:$AY,33,FALSE)-VLOOKUP($B25,'SegEnds_NonXtal_Prot#'!$A:$AL,25,FALSE),"-")</f>
        <v>50</v>
      </c>
      <c r="R25" s="2">
        <f>IFERROR(50+VLOOKUP($A25,'SegEnds_Xtal_Prot#'!$A:$AY,35,FALSE)-VLOOKUP($B25,'SegEnds_NonXtal_Prot#'!$A:$AL,25,FALSE),"-")</f>
        <v>52</v>
      </c>
      <c r="S25" s="2">
        <f>IFERROR(50+VLOOKUP($A25,'SegEnds_Xtal_Prot#'!$A:$AY,37,FALSE)-VLOOKUP($B25,'SegEnds_NonXtal_Prot#'!$A:$AL,28,FALSE),"-")</f>
        <v>28</v>
      </c>
      <c r="T25" s="2">
        <f>IFERROR(50+VLOOKUP($A25,'SegEnds_Xtal_Prot#'!$A:$AY,39,FALSE)-VLOOKUP($B25,'SegEnds_NonXtal_Prot#'!$A:$AL,28,FALSE),"-")</f>
        <v>72</v>
      </c>
      <c r="U25" s="2">
        <f>IFERROR(50+VLOOKUP($A25,'SegEnds_Xtal_Prot#'!$A:$AY,41,FALSE)-VLOOKUP($B25,'SegEnds_NonXtal_Prot#'!$A:$AL,31,FALSE),"-")</f>
        <v>24</v>
      </c>
      <c r="V25" s="2">
        <f>IFERROR(50+VLOOKUP($A25,'SegEnds_Xtal_Prot#'!$A:$AY,43,FALSE)-VLOOKUP($B25,'SegEnds_NonXtal_Prot#'!$A:$AL,31,FALSE),"-")</f>
        <v>62</v>
      </c>
      <c r="W25" s="2">
        <f>IFERROR(50+VLOOKUP($A25,'SegEnds_Xtal_Prot#'!$A:$AY,45,FALSE)-VLOOKUP($B25,'SegEnds_NonXtal_Prot#'!$A:$AL,34,FALSE),"-")</f>
        <v>24</v>
      </c>
      <c r="X25" s="2">
        <f>IFERROR(50+VLOOKUP($A25,'SegEnds_Xtal_Prot#'!$A:$AY,47,FALSE)-VLOOKUP($B25,'SegEnds_NonXtal_Prot#'!$A:$AL,34,FALSE),"-")</f>
        <v>56</v>
      </c>
      <c r="Y25" s="2">
        <f>IFERROR(50+VLOOKUP($A25,'SegEnds_Xtal_Prot#'!$A:$AY,49,FALSE)-VLOOKUP($B25,'SegEnds_NonXtal_Prot#'!$A:$AL,37,FALSE),"-")</f>
        <v>47</v>
      </c>
      <c r="Z25" s="2">
        <f>IFERROR(50+VLOOKUP($A25,'SegEnds_Xtal_Prot#'!$A:$AY,51,FALSE)-VLOOKUP($B25,'SegEnds_NonXtal_Prot#'!$A:$AL,37,FALSE),"-")</f>
        <v>60</v>
      </c>
      <c r="AA25" s="49" t="str">
        <f>VLOOKUP(B25,Classification!A:D,2,FALSE)</f>
        <v>A</v>
      </c>
      <c r="AB25" s="94" t="str">
        <f>VLOOKUP(B25,Classification!A:D,4,0)</f>
        <v>Endothelin</v>
      </c>
      <c r="AC25" s="49">
        <f>VLOOKUP(B25,'SegEnds_NonXtal_Prot#'!A:AL,6,FALSE)-VLOOKUP(B25,'SegEnds_NonXtal_Prot#'!A:AL,5,FALSE)</f>
        <v>1</v>
      </c>
      <c r="AD25" s="49">
        <f>VLOOKUP(B25,'SegEnds_NonXtal_Prot#'!A:AL,9,FALSE)-VLOOKUP(B25,'SegEnds_NonXtal_Prot#'!A:AL,8,FALSE)</f>
        <v>1</v>
      </c>
      <c r="AE25" s="49">
        <f>VLOOKUP(B25,'SegEnds_NonXtal_Prot#'!A:AL,13,FALSE)-VLOOKUP(B25,'SegEnds_NonXtal_Prot#'!A:AL,10,FALSE)</f>
        <v>20</v>
      </c>
      <c r="AF25" s="49">
        <f>VLOOKUP(B25,'SegEnds_NonXtal_Prot#'!A:AL,12,FALSE)-VLOOKUP(B25,'SegEnds_NonXtal_Prot#'!A:AL,11,FALSE)</f>
        <v>2</v>
      </c>
      <c r="AG25" s="49">
        <f>VLOOKUP(B25,'SegEnds_NonXtal_Prot#'!A:AL,13,FALSE)-VLOOKUP(B25,'SegEnds_NonXtal_Prot#'!A:AL,11,FALSE)</f>
        <v>3</v>
      </c>
      <c r="AH25" s="49">
        <f>VLOOKUP(B25,'SegEnds_NonXtal_Prot#'!A:AL,16,FALSE)-VLOOKUP(B25,'SegEnds_NonXtal_Prot#'!A:AL,10,FALSE)</f>
        <v>52</v>
      </c>
      <c r="AI25" s="49">
        <f>VLOOKUP(B25,'SegEnds_NonXtal_Prot#'!A:AL,16,FALSE)-VLOOKUP(B25,'SegEnds_NonXtal_Prot#'!A:AL,11,FALSE)</f>
        <v>35</v>
      </c>
      <c r="AJ25" s="49">
        <f>VLOOKUP(B25,'SegEnds_NonXtal_Prot#'!A:AL,22,FALSE)-VLOOKUP(B25,'SegEnds_NonXtal_Prot#'!A:AL,19,FALSE)</f>
        <v>20</v>
      </c>
      <c r="AK25" s="49">
        <f>VLOOKUP(B25,'SegEnds_NonXtal_Prot#'!A:AL,15,FALSE)-VLOOKUP(B25,'SegEnds_NonXtal_Prot#'!A:AL,14,FALSE)</f>
        <v>1</v>
      </c>
      <c r="AL25" s="49">
        <f>VLOOKUP(B25,'SegEnds_NonXtal_Prot#'!A:AL,18,FALSE)-VLOOKUP(B25,'SegEnds_NonXtal_Prot#'!A:AL,17,FALSE)</f>
        <v>1</v>
      </c>
      <c r="AM25" s="2">
        <f>VLOOKUP(B25,'SegEnds_NonXtal_Prot#'!A:AL,34,FALSE)-VLOOKUP(B25,'SegEnds_NonXtal_Prot#'!A:AL,31,FALSE)</f>
        <v>45</v>
      </c>
      <c r="AN25" s="37"/>
    </row>
    <row r="26" spans="1:64" s="2" customFormat="1" x14ac:dyDescent="0.2">
      <c r="A26" s="2" t="s">
        <v>1258</v>
      </c>
      <c r="B26" s="2" t="s">
        <v>1173</v>
      </c>
      <c r="C26" s="2">
        <f>IFERROR(50+VLOOKUP($A26,'SegEnds_Xtal_Prot#'!$A:$AY,5,FALSE)-VLOOKUP($B26,'SegEnds_NonXtal_Prot#'!$A:$AL,4,FALSE),"-")</f>
        <v>31</v>
      </c>
      <c r="D26" s="2">
        <f>IFERROR(50+VLOOKUP($A26,'SegEnds_Xtal_Prot#'!$A:$AY,7,FALSE)-VLOOKUP($B26,'SegEnds_NonXtal_Prot#'!$A:$AL,4,FALSE),"-")</f>
        <v>64</v>
      </c>
      <c r="E26" s="2" t="str">
        <f>IFERROR(50+VLOOKUP($A26,'SegEnds_Xtal_Prot#'!$A:$AY,9,FALSE)-VLOOKUP($B26,'SegEnds_NonXtal_Prot#'!$A:$AL,7,FALSE),"-")</f>
        <v>-</v>
      </c>
      <c r="F26" s="2" t="str">
        <f>IFERROR(50+VLOOKUP($A26,'SegEnds_Xtal_Prot#'!$A:$AY,11,FALSE)-VLOOKUP($B26,'SegEnds_NonXtal_Prot#'!$A:$AL,7,FALSE),"-")</f>
        <v>-</v>
      </c>
      <c r="G26" s="2">
        <f>IFERROR(50+VLOOKUP($A26,'SegEnds_Xtal_Prot#'!$A:$AY,13,FALSE)-VLOOKUP($B26,'SegEnds_NonXtal_Prot#'!$A:$AL,10,FALSE),"-")</f>
        <v>37</v>
      </c>
      <c r="H26" s="2">
        <f>IFERROR(50+VLOOKUP($A26,'SegEnds_Xtal_Prot#'!$A:$AY,15,FALSE)-VLOOKUP($B26,'SegEnds_NonXtal_Prot#'!$A:$AL,10,FALSE),"-")</f>
        <v>67</v>
      </c>
      <c r="I26" s="2">
        <f>IFERROR(50+VLOOKUP($A26,'SegEnds_Xtal_Prot#'!$A:$AY,17,FALSE)-VLOOKUP($B26,'SegEnds_NonXtal_Prot#'!$A:$AL,13,FALSE),"-")</f>
        <v>49</v>
      </c>
      <c r="J26" s="2">
        <f>IFERROR(50+VLOOKUP($A26,'SegEnds_Xtal_Prot#'!$A:$AY,19,FALSE)-VLOOKUP($B26,'SegEnds_NonXtal_Prot#'!$A:$AL,13,FALSE),"-")</f>
        <v>52</v>
      </c>
      <c r="K26" s="2">
        <f>IFERROR(50+VLOOKUP($A26,'SegEnds_Xtal_Prot#'!$A:$AY,21,FALSE)-VLOOKUP($B26,'SegEnds_NonXtal_Prot#'!$A:$AL,16,FALSE),"-")</f>
        <v>21</v>
      </c>
      <c r="L26" s="2">
        <f>IFERROR(50+VLOOKUP($A26,'SegEnds_Xtal_Prot#'!$A:$AY,23,FALSE)-VLOOKUP($B26,'SegEnds_NonXtal_Prot#'!$A:$AL,16,FALSE),"-")</f>
        <v>56</v>
      </c>
      <c r="M26" s="2">
        <f>IFERROR(50+VLOOKUP($A26,'SegEnds_Xtal_Prot#'!$A:$AY,25,FALSE)-VLOOKUP($B26,'SegEnds_NonXtal_Prot#'!$A:$AL,19,FALSE),"-")</f>
        <v>50</v>
      </c>
      <c r="N26" s="2">
        <f>IFERROR(50+VLOOKUP($A26,'SegEnds_Xtal_Prot#'!$A:$AY,27,FALSE)-VLOOKUP($B26,'SegEnds_NonXtal_Prot#'!$A:$AL,19,FALSE),"-")</f>
        <v>57</v>
      </c>
      <c r="O26" s="2">
        <f>IFERROR(50+VLOOKUP($A26,'SegEnds_Xtal_Prot#'!$A:$AY,29,FALSE)-VLOOKUP($B26,'SegEnds_NonXtal_Prot#'!$A:$AL,22,FALSE),"-")</f>
        <v>38</v>
      </c>
      <c r="P26" s="2">
        <f>IFERROR(50+VLOOKUP($A26,'SegEnds_Xtal_Prot#'!$A:$AY,31,FALSE)-VLOOKUP($B26,'SegEnds_NonXtal_Prot#'!$A:$AL,22,FALSE),"-")</f>
        <v>65</v>
      </c>
      <c r="Q26" s="2">
        <f>IFERROR(50+VLOOKUP($A26,'SegEnds_Xtal_Prot#'!$A:$AY,33,FALSE)-VLOOKUP($B26,'SegEnds_NonXtal_Prot#'!$A:$AL,25,FALSE),"-")</f>
        <v>50</v>
      </c>
      <c r="R26" s="2">
        <f>IFERROR(50+VLOOKUP($A26,'SegEnds_Xtal_Prot#'!$A:$AY,35,FALSE)-VLOOKUP($B26,'SegEnds_NonXtal_Prot#'!$A:$AL,25,FALSE),"-")</f>
        <v>52</v>
      </c>
      <c r="S26" s="2">
        <f>IFERROR(50+VLOOKUP($A26,'SegEnds_Xtal_Prot#'!$A:$AY,37,FALSE)-VLOOKUP($B26,'SegEnds_NonXtal_Prot#'!$A:$AL,28,FALSE),"-")</f>
        <v>31</v>
      </c>
      <c r="T26" s="2">
        <f>IFERROR(50+VLOOKUP($A26,'SegEnds_Xtal_Prot#'!$A:$AY,39,FALSE)-VLOOKUP($B26,'SegEnds_NonXtal_Prot#'!$A:$AL,28,FALSE),"-")</f>
        <v>67</v>
      </c>
      <c r="U26" s="2">
        <f>IFERROR(50+VLOOKUP($A26,'SegEnds_Xtal_Prot#'!$A:$AY,41,FALSE)-VLOOKUP($B26,'SegEnds_NonXtal_Prot#'!$A:$AL,31,FALSE),"-")</f>
        <v>28</v>
      </c>
      <c r="V26" s="2">
        <f>IFERROR(50+VLOOKUP($A26,'SegEnds_Xtal_Prot#'!$A:$AY,43,FALSE)-VLOOKUP($B26,'SegEnds_NonXtal_Prot#'!$A:$AL,31,FALSE),"-")</f>
        <v>61</v>
      </c>
      <c r="W26" s="2">
        <f>IFERROR(50+VLOOKUP($A26,'SegEnds_Xtal_Prot#'!$A:$AY,45,FALSE)-VLOOKUP($B26,'SegEnds_NonXtal_Prot#'!$A:$AL,34,FALSE),"-")</f>
        <v>32</v>
      </c>
      <c r="X26" s="2">
        <f>IFERROR(50+VLOOKUP($A26,'SegEnds_Xtal_Prot#'!$A:$AY,47,FALSE)-VLOOKUP($B26,'SegEnds_NonXtal_Prot#'!$A:$AL,34,FALSE),"-")</f>
        <v>56</v>
      </c>
      <c r="Y26" s="2">
        <f>IFERROR(50+VLOOKUP($A26,'SegEnds_Xtal_Prot#'!$A:$AY,49,FALSE)-VLOOKUP($B26,'SegEnds_NonXtal_Prot#'!$A:$AL,37,FALSE),"-")</f>
        <v>47</v>
      </c>
      <c r="Z26" s="2">
        <f>IFERROR(50+VLOOKUP($A26,'SegEnds_Xtal_Prot#'!$A:$AY,51,FALSE)-VLOOKUP($B26,'SegEnds_NonXtal_Prot#'!$A:$AL,37,FALSE),"-")</f>
        <v>61</v>
      </c>
      <c r="AA26" s="49" t="str">
        <f>VLOOKUP(B26,Classification!A:D,2,FALSE)</f>
        <v>A</v>
      </c>
      <c r="AB26" s="94" t="str">
        <f>VLOOKUP(B26,Classification!A:D,4,0)</f>
        <v>Freefattyacid</v>
      </c>
      <c r="AC26" s="49" t="e">
        <f>VLOOKUP(B26,'SegEnds_NonXtal_Prot#'!A:AL,6,FALSE)-VLOOKUP(B26,'SegEnds_NonXtal_Prot#'!A:AL,5,FALSE)</f>
        <v>#VALUE!</v>
      </c>
      <c r="AD26" s="49" t="e">
        <f>VLOOKUP(B26,'SegEnds_NonXtal_Prot#'!A:AL,9,FALSE)-VLOOKUP(B26,'SegEnds_NonXtal_Prot#'!A:AL,8,FALSE)</f>
        <v>#VALUE!</v>
      </c>
      <c r="AE26" s="49">
        <f>VLOOKUP(B26,'SegEnds_NonXtal_Prot#'!A:AL,13,FALSE)-VLOOKUP(B26,'SegEnds_NonXtal_Prot#'!A:AL,10,FALSE)</f>
        <v>20</v>
      </c>
      <c r="AF26" s="49">
        <f>VLOOKUP(B26,'SegEnds_NonXtal_Prot#'!A:AL,12,FALSE)-VLOOKUP(B26,'SegEnds_NonXtal_Prot#'!A:AL,11,FALSE)</f>
        <v>2</v>
      </c>
      <c r="AG26" s="49">
        <f>VLOOKUP(B26,'SegEnds_NonXtal_Prot#'!A:AL,13,FALSE)-VLOOKUP(B26,'SegEnds_NonXtal_Prot#'!A:AL,11,FALSE)</f>
        <v>3</v>
      </c>
      <c r="AH26" s="49">
        <f>VLOOKUP(B26,'SegEnds_NonXtal_Prot#'!A:AL,16,FALSE)-VLOOKUP(B26,'SegEnds_NonXtal_Prot#'!A:AL,10,FALSE)</f>
        <v>52</v>
      </c>
      <c r="AI26" s="49">
        <f>VLOOKUP(B26,'SegEnds_NonXtal_Prot#'!A:AL,16,FALSE)-VLOOKUP(B26,'SegEnds_NonXtal_Prot#'!A:AL,11,FALSE)</f>
        <v>35</v>
      </c>
      <c r="AJ26" s="49">
        <f>VLOOKUP(B26,'SegEnds_NonXtal_Prot#'!A:AL,22,FALSE)-VLOOKUP(B26,'SegEnds_NonXtal_Prot#'!A:AL,19,FALSE)</f>
        <v>20</v>
      </c>
      <c r="AK26" s="49">
        <f>VLOOKUP(B26,'SegEnds_NonXtal_Prot#'!A:AL,15,FALSE)-VLOOKUP(B26,'SegEnds_NonXtal_Prot#'!A:AL,14,FALSE)</f>
        <v>1</v>
      </c>
      <c r="AL26" s="49">
        <f>VLOOKUP(B26,'SegEnds_NonXtal_Prot#'!A:AL,18,FALSE)-VLOOKUP(B26,'SegEnds_NonXtal_Prot#'!A:AL,17,FALSE)</f>
        <v>1</v>
      </c>
      <c r="AM26" s="2">
        <f>VLOOKUP(B26,'SegEnds_NonXtal_Prot#'!A:AL,34,FALSE)-VLOOKUP(B26,'SegEnds_NonXtal_Prot#'!A:AL,31,FALSE)</f>
        <v>34</v>
      </c>
      <c r="AN26" s="37"/>
    </row>
    <row r="27" spans="1:64" s="2" customFormat="1" x14ac:dyDescent="0.2">
      <c r="A27" s="2" t="s">
        <v>1262</v>
      </c>
      <c r="B27" s="2" t="s">
        <v>278</v>
      </c>
      <c r="C27" s="2">
        <f>IFERROR(50+VLOOKUP($A27,'SegEnds_Xtal_Prot#'!$A:$AY,5,FALSE)-VLOOKUP($B27,'SegEnds_NonXtal_Prot#'!$A:$AL,4,FALSE),"-")</f>
        <v>34</v>
      </c>
      <c r="D27" s="2">
        <f>IFERROR(50+VLOOKUP($A27,'SegEnds_Xtal_Prot#'!$A:$AY,7,FALSE)-VLOOKUP($B27,'SegEnds_NonXtal_Prot#'!$A:$AL,4,FALSE),"-")</f>
        <v>60</v>
      </c>
      <c r="E27" s="2">
        <f>IFERROR(50+VLOOKUP($A27,'SegEnds_Xtal_Prot#'!$A:$AY,9,FALSE)-VLOOKUP($B27,'SegEnds_NonXtal_Prot#'!$A:$AL,7,FALSE),"-")</f>
        <v>48</v>
      </c>
      <c r="F27" s="2">
        <f>IFERROR(50+VLOOKUP($A27,'SegEnds_Xtal_Prot#'!$A:$AY,11,FALSE)-VLOOKUP($B27,'SegEnds_NonXtal_Prot#'!$A:$AL,7,FALSE),"-")</f>
        <v>51</v>
      </c>
      <c r="G27" s="2">
        <f>IFERROR(50+VLOOKUP($A27,'SegEnds_Xtal_Prot#'!$A:$AY,13,FALSE)-VLOOKUP($B27,'SegEnds_NonXtal_Prot#'!$A:$AL,10,FALSE),"-")</f>
        <v>37</v>
      </c>
      <c r="H27" s="2">
        <f>IFERROR(50+VLOOKUP($A27,'SegEnds_Xtal_Prot#'!$A:$AY,15,FALSE)-VLOOKUP($B27,'SegEnds_NonXtal_Prot#'!$A:$AL,10,FALSE),"-")</f>
        <v>67</v>
      </c>
      <c r="I27" s="2">
        <f>IFERROR(50+VLOOKUP($A27,'SegEnds_Xtal_Prot#'!$A:$AY,17,FALSE)-VLOOKUP($B27,'SegEnds_NonXtal_Prot#'!$A:$AL,13,FALSE),"-")</f>
        <v>49</v>
      </c>
      <c r="J27" s="2">
        <f>IFERROR(50+VLOOKUP($A27,'SegEnds_Xtal_Prot#'!$A:$AY,19,FALSE)-VLOOKUP($B27,'SegEnds_NonXtal_Prot#'!$A:$AL,13,FALSE),"-")</f>
        <v>52</v>
      </c>
      <c r="K27" s="2">
        <f>IFERROR(50+VLOOKUP($A27,'SegEnds_Xtal_Prot#'!$A:$AY,21,FALSE)-VLOOKUP($B27,'SegEnds_NonXtal_Prot#'!$A:$AL,16,FALSE),"-")</f>
        <v>21</v>
      </c>
      <c r="L27" s="2">
        <f>IFERROR(50+VLOOKUP($A27,'SegEnds_Xtal_Prot#'!$A:$AY,23,FALSE)-VLOOKUP($B27,'SegEnds_NonXtal_Prot#'!$A:$AL,16,FALSE),"-")</f>
        <v>56</v>
      </c>
      <c r="M27" s="2">
        <f>IFERROR(50+VLOOKUP($A27,'SegEnds_Xtal_Prot#'!$A:$AY,25,FALSE)-VLOOKUP($B27,'SegEnds_NonXtal_Prot#'!$A:$AL,19,FALSE),"-")</f>
        <v>50</v>
      </c>
      <c r="N27" s="2">
        <f>IFERROR(50+VLOOKUP($A27,'SegEnds_Xtal_Prot#'!$A:$AY,27,FALSE)-VLOOKUP($B27,'SegEnds_NonXtal_Prot#'!$A:$AL,19,FALSE),"-")</f>
        <v>57</v>
      </c>
      <c r="O27" s="2">
        <f>IFERROR(50+VLOOKUP($A27,'SegEnds_Xtal_Prot#'!$A:$AY,29,FALSE)-VLOOKUP($B27,'SegEnds_NonXtal_Prot#'!$A:$AL,22,FALSE),"-")</f>
        <v>38</v>
      </c>
      <c r="P27" s="2">
        <f>IFERROR(50+VLOOKUP($A27,'SegEnds_Xtal_Prot#'!$A:$AY,31,FALSE)-VLOOKUP($B27,'SegEnds_NonXtal_Prot#'!$A:$AL,22,FALSE),"-")</f>
        <v>62</v>
      </c>
      <c r="Q27" s="2">
        <f>IFERROR(50+VLOOKUP($A27,'SegEnds_Xtal_Prot#'!$A:$AY,33,FALSE)-VLOOKUP($B27,'SegEnds_NonXtal_Prot#'!$A:$AL,25,FALSE),"-")</f>
        <v>50</v>
      </c>
      <c r="R27" s="2">
        <f>IFERROR(50+VLOOKUP($A27,'SegEnds_Xtal_Prot#'!$A:$AY,35,FALSE)-VLOOKUP($B27,'SegEnds_NonXtal_Prot#'!$A:$AL,25,FALSE),"-")</f>
        <v>52</v>
      </c>
      <c r="S27" s="2">
        <f>IFERROR(50+VLOOKUP($A27,'SegEnds_Xtal_Prot#'!$A:$AY,37,FALSE)-VLOOKUP($B27,'SegEnds_NonXtal_Prot#'!$A:$AL,28,FALSE),"-")</f>
        <v>35</v>
      </c>
      <c r="T27" s="2">
        <f>IFERROR(50+VLOOKUP($A27,'SegEnds_Xtal_Prot#'!$A:$AY,39,FALSE)-VLOOKUP($B27,'SegEnds_NonXtal_Prot#'!$A:$AL,28,FALSE),"-")</f>
        <v>76</v>
      </c>
      <c r="U27" s="2">
        <f>IFERROR(50+VLOOKUP($A27,'SegEnds_Xtal_Prot#'!$A:$AY,41,FALSE)-VLOOKUP($B27,'SegEnds_NonXtal_Prot#'!$A:$AL,31,FALSE),"-")</f>
        <v>24</v>
      </c>
      <c r="V27" s="2">
        <f>IFERROR(50+VLOOKUP($A27,'SegEnds_Xtal_Prot#'!$A:$AY,43,FALSE)-VLOOKUP($B27,'SegEnds_NonXtal_Prot#'!$A:$AL,31,FALSE),"-")</f>
        <v>61</v>
      </c>
      <c r="W27" s="2">
        <f>IFERROR(50+VLOOKUP($A27,'SegEnds_Xtal_Prot#'!$A:$AY,45,FALSE)-VLOOKUP($B27,'SegEnds_NonXtal_Prot#'!$A:$AL,34,FALSE),"-")</f>
        <v>31</v>
      </c>
      <c r="X27" s="2">
        <f>IFERROR(50+VLOOKUP($A27,'SegEnds_Xtal_Prot#'!$A:$AY,47,FALSE)-VLOOKUP($B27,'SegEnds_NonXtal_Prot#'!$A:$AL,34,FALSE),"-")</f>
        <v>56</v>
      </c>
      <c r="Y27" s="2">
        <f>IFERROR(50+VLOOKUP($A27,'SegEnds_Xtal_Prot#'!$A:$AY,49,FALSE)-VLOOKUP($B27,'SegEnds_NonXtal_Prot#'!$A:$AL,37,FALSE),"-")</f>
        <v>47</v>
      </c>
      <c r="Z27" s="2">
        <f>IFERROR(50+VLOOKUP($A27,'SegEnds_Xtal_Prot#'!$A:$AY,51,FALSE)-VLOOKUP($B27,'SegEnds_NonXtal_Prot#'!$A:$AL,37,FALSE),"-")</f>
        <v>59</v>
      </c>
      <c r="AA27" s="49" t="str">
        <f>VLOOKUP(B27,Classification!A:D,2,FALSE)</f>
        <v>A</v>
      </c>
      <c r="AB27" s="94" t="str">
        <f>VLOOKUP(B27,Classification!A:D,4,0)</f>
        <v>Histamine</v>
      </c>
      <c r="AC27" s="49">
        <f>VLOOKUP(B27,'SegEnds_NonXtal_Prot#'!A:AL,6,FALSE)-VLOOKUP(B27,'SegEnds_NonXtal_Prot#'!A:AL,5,FALSE)</f>
        <v>1</v>
      </c>
      <c r="AD27" s="49">
        <f>VLOOKUP(B27,'SegEnds_NonXtal_Prot#'!A:AL,9,FALSE)-VLOOKUP(B27,'SegEnds_NonXtal_Prot#'!A:AL,8,FALSE)</f>
        <v>1</v>
      </c>
      <c r="AE27" s="49">
        <f>VLOOKUP(B27,'SegEnds_NonXtal_Prot#'!A:AL,13,FALSE)-VLOOKUP(B27,'SegEnds_NonXtal_Prot#'!A:AL,10,FALSE)</f>
        <v>20</v>
      </c>
      <c r="AF27" s="49">
        <f>VLOOKUP(B27,'SegEnds_NonXtal_Prot#'!A:AL,12,FALSE)-VLOOKUP(B27,'SegEnds_NonXtal_Prot#'!A:AL,11,FALSE)</f>
        <v>2</v>
      </c>
      <c r="AG27" s="49">
        <f>VLOOKUP(B27,'SegEnds_NonXtal_Prot#'!A:AL,13,FALSE)-VLOOKUP(B27,'SegEnds_NonXtal_Prot#'!A:AL,11,FALSE)</f>
        <v>3</v>
      </c>
      <c r="AH27" s="49">
        <f>VLOOKUP(B27,'SegEnds_NonXtal_Prot#'!A:AL,16,FALSE)-VLOOKUP(B27,'SegEnds_NonXtal_Prot#'!A:AL,10,FALSE)</f>
        <v>52</v>
      </c>
      <c r="AI27" s="49">
        <f>VLOOKUP(B27,'SegEnds_NonXtal_Prot#'!A:AL,16,FALSE)-VLOOKUP(B27,'SegEnds_NonXtal_Prot#'!A:AL,11,FALSE)</f>
        <v>35</v>
      </c>
      <c r="AJ27" s="49">
        <f>VLOOKUP(B27,'SegEnds_NonXtal_Prot#'!A:AL,22,FALSE)-VLOOKUP(B27,'SegEnds_NonXtal_Prot#'!A:AL,19,FALSE)</f>
        <v>20</v>
      </c>
      <c r="AK27" s="49">
        <f>VLOOKUP(B27,'SegEnds_NonXtal_Prot#'!A:AL,15,FALSE)-VLOOKUP(B27,'SegEnds_NonXtal_Prot#'!A:AL,14,FALSE)</f>
        <v>1</v>
      </c>
      <c r="AL27" s="49">
        <f>VLOOKUP(B27,'SegEnds_NonXtal_Prot#'!A:AL,18,FALSE)-VLOOKUP(B27,'SegEnds_NonXtal_Prot#'!A:AL,17,FALSE)</f>
        <v>1</v>
      </c>
      <c r="AM27" s="2">
        <f>VLOOKUP(B27,'SegEnds_NonXtal_Prot#'!A:AL,34,FALSE)-VLOOKUP(B27,'SegEnds_NonXtal_Prot#'!A:AL,31,FALSE)</f>
        <v>35</v>
      </c>
      <c r="AN27" s="37"/>
    </row>
    <row r="28" spans="1:64" s="2" customFormat="1" x14ac:dyDescent="0.2">
      <c r="A28" s="2" t="s">
        <v>1263</v>
      </c>
      <c r="B28" s="2" t="s">
        <v>103</v>
      </c>
      <c r="C28" s="2">
        <f>IFERROR(50+VLOOKUP($A28,'SegEnds_Xtal_Prot#'!$A:$AY,5,FALSE)-VLOOKUP($B28,'SegEnds_NonXtal_Prot#'!$A:$AL,4,FALSE),"-")</f>
        <v>30</v>
      </c>
      <c r="D28" s="2">
        <f>IFERROR(50+VLOOKUP($A28,'SegEnds_Xtal_Prot#'!$A:$AY,7,FALSE)-VLOOKUP($B28,'SegEnds_NonXtal_Prot#'!$A:$AL,4,FALSE),"-")</f>
        <v>60</v>
      </c>
      <c r="E28" s="2">
        <f>IFERROR(50+VLOOKUP($A28,'SegEnds_Xtal_Prot#'!$A:$AY,9,FALSE)-VLOOKUP($B28,'SegEnds_NonXtal_Prot#'!$A:$AL,7,FALSE),"-")</f>
        <v>48</v>
      </c>
      <c r="F28" s="2">
        <f>IFERROR(50+VLOOKUP($A28,'SegEnds_Xtal_Prot#'!$A:$AY,11,FALSE)-VLOOKUP($B28,'SegEnds_NonXtal_Prot#'!$A:$AL,7,FALSE),"-")</f>
        <v>51</v>
      </c>
      <c r="G28" s="2">
        <f>IFERROR(50+VLOOKUP($A28,'SegEnds_Xtal_Prot#'!$A:$AY,13,FALSE)-VLOOKUP($B28,'SegEnds_NonXtal_Prot#'!$A:$AL,10,FALSE),"-")</f>
        <v>37</v>
      </c>
      <c r="H28" s="2">
        <f>IFERROR(50+VLOOKUP($A28,'SegEnds_Xtal_Prot#'!$A:$AY,15,FALSE)-VLOOKUP($B28,'SegEnds_NonXtal_Prot#'!$A:$AL,10,FALSE),"-")</f>
        <v>63</v>
      </c>
      <c r="I28" s="2">
        <f>IFERROR(50+VLOOKUP($A28,'SegEnds_Xtal_Prot#'!$A:$AY,17,FALSE)-VLOOKUP($B28,'SegEnds_NonXtal_Prot#'!$A:$AL,13,FALSE),"-")</f>
        <v>47</v>
      </c>
      <c r="J28" s="2">
        <f>IFERROR(50+VLOOKUP($A28,'SegEnds_Xtal_Prot#'!$A:$AY,19,FALSE)-VLOOKUP($B28,'SegEnds_NonXtal_Prot#'!$A:$AL,13,FALSE),"-")</f>
        <v>53</v>
      </c>
      <c r="K28" s="2">
        <f>IFERROR(50+VLOOKUP($A28,'SegEnds_Xtal_Prot#'!$A:$AY,21,FALSE)-VLOOKUP($B28,'SegEnds_NonXtal_Prot#'!$A:$AL,16,FALSE),"-")</f>
        <v>21</v>
      </c>
      <c r="L28" s="2">
        <f>IFERROR(50+VLOOKUP($A28,'SegEnds_Xtal_Prot#'!$A:$AY,23,FALSE)-VLOOKUP($B28,'SegEnds_NonXtal_Prot#'!$A:$AL,16,FALSE),"-")</f>
        <v>56</v>
      </c>
      <c r="M28" s="2">
        <f>IFERROR(50+VLOOKUP($A28,'SegEnds_Xtal_Prot#'!$A:$AY,25,FALSE)-VLOOKUP($B28,'SegEnds_NonXtal_Prot#'!$A:$AL,19,FALSE),"-")</f>
        <v>50</v>
      </c>
      <c r="N28" s="2">
        <f>IFERROR(50+VLOOKUP($A28,'SegEnds_Xtal_Prot#'!$A:$AY,27,FALSE)-VLOOKUP($B28,'SegEnds_NonXtal_Prot#'!$A:$AL,19,FALSE),"-")</f>
        <v>56</v>
      </c>
      <c r="O28" s="2">
        <f>IFERROR(50+VLOOKUP($A28,'SegEnds_Xtal_Prot#'!$A:$AY,29,FALSE)-VLOOKUP($B28,'SegEnds_NonXtal_Prot#'!$A:$AL,22,FALSE),"-")</f>
        <v>38</v>
      </c>
      <c r="P28" s="2">
        <f>IFERROR(50+VLOOKUP($A28,'SegEnds_Xtal_Prot#'!$A:$AY,31,FALSE)-VLOOKUP($B28,'SegEnds_NonXtal_Prot#'!$A:$AL,22,FALSE),"-")</f>
        <v>63</v>
      </c>
      <c r="Q28" s="2" t="str">
        <f>IFERROR(50+VLOOKUP($A28,'SegEnds_Xtal_Prot#'!$A:$AY,33,FALSE)-VLOOKUP($B28,'SegEnds_NonXtal_Prot#'!$A:$AL,25,FALSE),"-")</f>
        <v>-</v>
      </c>
      <c r="R28" s="2" t="str">
        <f>IFERROR(50+VLOOKUP($A28,'SegEnds_Xtal_Prot#'!$A:$AY,35,FALSE)-VLOOKUP($B28,'SegEnds_NonXtal_Prot#'!$A:$AL,25,FALSE),"-")</f>
        <v>-</v>
      </c>
      <c r="S28" s="2">
        <f>IFERROR(50+VLOOKUP($A28,'SegEnds_Xtal_Prot#'!$A:$AY,37,FALSE)-VLOOKUP($B28,'SegEnds_NonXtal_Prot#'!$A:$AL,28,FALSE),"-")</f>
        <v>36</v>
      </c>
      <c r="T28" s="2">
        <f>IFERROR(50+VLOOKUP($A28,'SegEnds_Xtal_Prot#'!$A:$AY,39,FALSE)-VLOOKUP($B28,'SegEnds_NonXtal_Prot#'!$A:$AL,28,FALSE),"-")</f>
        <v>73</v>
      </c>
      <c r="U28" s="2">
        <f>IFERROR(50+VLOOKUP($A28,'SegEnds_Xtal_Prot#'!$A:$AY,41,FALSE)-VLOOKUP($B28,'SegEnds_NonXtal_Prot#'!$A:$AL,31,FALSE),"-")</f>
        <v>22</v>
      </c>
      <c r="V28" s="2">
        <f>IFERROR(50+VLOOKUP($A28,'SegEnds_Xtal_Prot#'!$A:$AY,43,FALSE)-VLOOKUP($B28,'SegEnds_NonXtal_Prot#'!$A:$AL,31,FALSE),"-")</f>
        <v>61</v>
      </c>
      <c r="W28" s="2">
        <f>IFERROR(50+VLOOKUP($A28,'SegEnds_Xtal_Prot#'!$A:$AY,45,FALSE)-VLOOKUP($B28,'SegEnds_NonXtal_Prot#'!$A:$AL,34,FALSE),"-")</f>
        <v>30</v>
      </c>
      <c r="X28" s="2">
        <f>IFERROR(50+VLOOKUP($A28,'SegEnds_Xtal_Prot#'!$A:$AY,47,FALSE)-VLOOKUP($B28,'SegEnds_NonXtal_Prot#'!$A:$AL,34,FALSE),"-")</f>
        <v>56</v>
      </c>
      <c r="Y28" s="2">
        <f>IFERROR(50+VLOOKUP($A28,'SegEnds_Xtal_Prot#'!$A:$AY,49,FALSE)-VLOOKUP($B28,'SegEnds_NonXtal_Prot#'!$A:$AL,37,FALSE),"-")</f>
        <v>47</v>
      </c>
      <c r="Z28" s="2">
        <f>IFERROR(50+VLOOKUP($A28,'SegEnds_Xtal_Prot#'!$A:$AY,51,FALSE)-VLOOKUP($B28,'SegEnds_NonXtal_Prot#'!$A:$AL,37,FALSE),"-")</f>
        <v>59</v>
      </c>
      <c r="AA28" s="49" t="str">
        <f>VLOOKUP(B28,Classification!A:D,2,FALSE)</f>
        <v>A</v>
      </c>
      <c r="AB28" s="94" t="str">
        <f>VLOOKUP(B28,Classification!A:D,4,0)</f>
        <v>Lysophospholipid(LPA)</v>
      </c>
      <c r="AC28" s="49">
        <f>VLOOKUP(B28,'SegEnds_NonXtal_Prot#'!A:AL,6,FALSE)-VLOOKUP(B28,'SegEnds_NonXtal_Prot#'!A:AL,5,FALSE)</f>
        <v>1</v>
      </c>
      <c r="AD28" s="49">
        <f>VLOOKUP(B28,'SegEnds_NonXtal_Prot#'!A:AL,9,FALSE)-VLOOKUP(B28,'SegEnds_NonXtal_Prot#'!A:AL,8,FALSE)</f>
        <v>1</v>
      </c>
      <c r="AE28" s="49">
        <f>VLOOKUP(B28,'SegEnds_NonXtal_Prot#'!A:AL,13,FALSE)-VLOOKUP(B28,'SegEnds_NonXtal_Prot#'!A:AL,10,FALSE)</f>
        <v>18</v>
      </c>
      <c r="AF28" s="49">
        <f>VLOOKUP(B28,'SegEnds_NonXtal_Prot#'!A:AL,12,FALSE)-VLOOKUP(B28,'SegEnds_NonXtal_Prot#'!A:AL,11,FALSE)</f>
        <v>2</v>
      </c>
      <c r="AG28" s="49">
        <f>VLOOKUP(B28,'SegEnds_NonXtal_Prot#'!A:AL,13,FALSE)-VLOOKUP(B28,'SegEnds_NonXtal_Prot#'!A:AL,11,FALSE)</f>
        <v>5</v>
      </c>
      <c r="AH28" s="49">
        <f>VLOOKUP(B28,'SegEnds_NonXtal_Prot#'!A:AL,16,FALSE)-VLOOKUP(B28,'SegEnds_NonXtal_Prot#'!A:AL,10,FALSE)</f>
        <v>51</v>
      </c>
      <c r="AI28" s="49">
        <f>VLOOKUP(B28,'SegEnds_NonXtal_Prot#'!A:AL,16,FALSE)-VLOOKUP(B28,'SegEnds_NonXtal_Prot#'!A:AL,11,FALSE)</f>
        <v>38</v>
      </c>
      <c r="AJ28" s="49">
        <f>VLOOKUP(B28,'SegEnds_NonXtal_Prot#'!A:AL,22,FALSE)-VLOOKUP(B28,'SegEnds_NonXtal_Prot#'!A:AL,19,FALSE)</f>
        <v>19</v>
      </c>
      <c r="AK28" s="49">
        <f>VLOOKUP(B28,'SegEnds_NonXtal_Prot#'!A:AL,15,FALSE)-VLOOKUP(B28,'SegEnds_NonXtal_Prot#'!A:AL,14,FALSE)</f>
        <v>1</v>
      </c>
      <c r="AL28" s="49">
        <f>VLOOKUP(B28,'SegEnds_NonXtal_Prot#'!A:AL,18,FALSE)-VLOOKUP(B28,'SegEnds_NonXtal_Prot#'!A:AL,17,FALSE)</f>
        <v>1</v>
      </c>
      <c r="AM28" s="2">
        <f>VLOOKUP(B28,'SegEnds_NonXtal_Prot#'!A:AL,34,FALSE)-VLOOKUP(B28,'SegEnds_NonXtal_Prot#'!A:AL,31,FALSE)</f>
        <v>35</v>
      </c>
      <c r="AN28" s="37"/>
    </row>
    <row r="29" spans="1:64" s="2" customFormat="1" x14ac:dyDescent="0.2">
      <c r="A29" s="2" t="s">
        <v>1278</v>
      </c>
      <c r="B29" s="2" t="s">
        <v>104</v>
      </c>
      <c r="C29" s="2">
        <f>IFERROR(50+VLOOKUP($A29,'SegEnds_Xtal_Prot#'!$A:$AY,5,FALSE)-VLOOKUP($B29,'SegEnds_NonXtal_Prot#'!$A:$AL,4,FALSE),"-")</f>
        <v>29</v>
      </c>
      <c r="D29" s="2">
        <f>IFERROR(50+VLOOKUP($A29,'SegEnds_Xtal_Prot#'!$A:$AY,7,FALSE)-VLOOKUP($B29,'SegEnds_NonXtal_Prot#'!$A:$AL,4,FALSE),"-")</f>
        <v>60</v>
      </c>
      <c r="E29" s="2">
        <f>IFERROR(50+VLOOKUP($A29,'SegEnds_Xtal_Prot#'!$A:$AY,9,FALSE)-VLOOKUP($B29,'SegEnds_NonXtal_Prot#'!$A:$AL,7,FALSE),"-")</f>
        <v>48</v>
      </c>
      <c r="F29" s="2">
        <f>IFERROR(50+VLOOKUP($A29,'SegEnds_Xtal_Prot#'!$A:$AY,11,FALSE)-VLOOKUP($B29,'SegEnds_NonXtal_Prot#'!$A:$AL,7,FALSE),"-")</f>
        <v>51</v>
      </c>
      <c r="G29" s="2">
        <f>IFERROR(50+VLOOKUP($A29,'SegEnds_Xtal_Prot#'!$A:$AY,13,FALSE)-VLOOKUP($B29,'SegEnds_NonXtal_Prot#'!$A:$AL,10,FALSE),"-")</f>
        <v>37</v>
      </c>
      <c r="H29" s="2">
        <f>IFERROR(50+VLOOKUP($A29,'SegEnds_Xtal_Prot#'!$A:$AY,15,FALSE)-VLOOKUP($B29,'SegEnds_NonXtal_Prot#'!$A:$AL,10,FALSE),"-")</f>
        <v>63</v>
      </c>
      <c r="I29" s="2">
        <f>IFERROR(50+VLOOKUP($A29,'SegEnds_Xtal_Prot#'!$A:$AY,17,FALSE)-VLOOKUP($B29,'SegEnds_NonXtal_Prot#'!$A:$AL,13,FALSE),"-")</f>
        <v>47</v>
      </c>
      <c r="J29" s="2">
        <f>IFERROR(50+VLOOKUP($A29,'SegEnds_Xtal_Prot#'!$A:$AY,19,FALSE)-VLOOKUP($B29,'SegEnds_NonXtal_Prot#'!$A:$AL,13,FALSE),"-")</f>
        <v>53</v>
      </c>
      <c r="K29" s="2">
        <f>IFERROR(50+VLOOKUP($A29,'SegEnds_Xtal_Prot#'!$A:$AY,21,FALSE)-VLOOKUP($B29,'SegEnds_NonXtal_Prot#'!$A:$AL,16,FALSE),"-")</f>
        <v>21</v>
      </c>
      <c r="L29" s="2">
        <f>IFERROR(50+VLOOKUP($A29,'SegEnds_Xtal_Prot#'!$A:$AY,23,FALSE)-VLOOKUP($B29,'SegEnds_NonXtal_Prot#'!$A:$AL,16,FALSE),"-")</f>
        <v>56</v>
      </c>
      <c r="M29" s="2">
        <f>IFERROR(50+VLOOKUP($A29,'SegEnds_Xtal_Prot#'!$A:$AY,25,FALSE)-VLOOKUP($B29,'SegEnds_NonXtal_Prot#'!$A:$AL,19,FALSE),"-")</f>
        <v>50</v>
      </c>
      <c r="N29" s="2">
        <f>IFERROR(50+VLOOKUP($A29,'SegEnds_Xtal_Prot#'!$A:$AY,27,FALSE)-VLOOKUP($B29,'SegEnds_NonXtal_Prot#'!$A:$AL,19,FALSE),"-")</f>
        <v>56</v>
      </c>
      <c r="O29" s="2">
        <f>IFERROR(50+VLOOKUP($A29,'SegEnds_Xtal_Prot#'!$A:$AY,29,FALSE)-VLOOKUP($B29,'SegEnds_NonXtal_Prot#'!$A:$AL,22,FALSE),"-")</f>
        <v>38</v>
      </c>
      <c r="P29" s="2">
        <f>IFERROR(50+VLOOKUP($A29,'SegEnds_Xtal_Prot#'!$A:$AY,31,FALSE)-VLOOKUP($B29,'SegEnds_NonXtal_Prot#'!$A:$AL,22,FALSE),"-")</f>
        <v>63</v>
      </c>
      <c r="Q29" s="2" t="str">
        <f>IFERROR(50+VLOOKUP($A29,'SegEnds_Xtal_Prot#'!$A:$AY,33,FALSE)-VLOOKUP($B29,'SegEnds_NonXtal_Prot#'!$A:$AL,25,FALSE),"-")</f>
        <v>-</v>
      </c>
      <c r="R29" s="2" t="str">
        <f>IFERROR(50+VLOOKUP($A29,'SegEnds_Xtal_Prot#'!$A:$AY,35,FALSE)-VLOOKUP($B29,'SegEnds_NonXtal_Prot#'!$A:$AL,25,FALSE),"-")</f>
        <v>-</v>
      </c>
      <c r="S29" s="2">
        <f>IFERROR(50+VLOOKUP($A29,'SegEnds_Xtal_Prot#'!$A:$AY,37,FALSE)-VLOOKUP($B29,'SegEnds_NonXtal_Prot#'!$A:$AL,28,FALSE),"-")</f>
        <v>36</v>
      </c>
      <c r="T29" s="2">
        <f>IFERROR(50+VLOOKUP($A29,'SegEnds_Xtal_Prot#'!$A:$AY,39,FALSE)-VLOOKUP($B29,'SegEnds_NonXtal_Prot#'!$A:$AL,28,FALSE),"-")</f>
        <v>73</v>
      </c>
      <c r="U29" s="2">
        <f>IFERROR(50+VLOOKUP($A29,'SegEnds_Xtal_Prot#'!$A:$AY,41,FALSE)-VLOOKUP($B29,'SegEnds_NonXtal_Prot#'!$A:$AL,31,FALSE),"-")</f>
        <v>24</v>
      </c>
      <c r="V29" s="2">
        <f>IFERROR(50+VLOOKUP($A29,'SegEnds_Xtal_Prot#'!$A:$AY,43,FALSE)-VLOOKUP($B29,'SegEnds_NonXtal_Prot#'!$A:$AL,31,FALSE),"-")</f>
        <v>61</v>
      </c>
      <c r="W29" s="2">
        <f>IFERROR(50+VLOOKUP($A29,'SegEnds_Xtal_Prot#'!$A:$AY,45,FALSE)-VLOOKUP($B29,'SegEnds_NonXtal_Prot#'!$A:$AL,34,FALSE),"-")</f>
        <v>30</v>
      </c>
      <c r="X29" s="2">
        <f>IFERROR(50+VLOOKUP($A29,'SegEnds_Xtal_Prot#'!$A:$AY,47,FALSE)-VLOOKUP($B29,'SegEnds_NonXtal_Prot#'!$A:$AL,34,FALSE),"-")</f>
        <v>56</v>
      </c>
      <c r="Y29" s="2">
        <f>IFERROR(50+VLOOKUP($A29,'SegEnds_Xtal_Prot#'!$A:$AY,49,FALSE)-VLOOKUP($B29,'SegEnds_NonXtal_Prot#'!$A:$AL,37,FALSE),"-")</f>
        <v>47</v>
      </c>
      <c r="Z29" s="2">
        <f>IFERROR(50+VLOOKUP($A29,'SegEnds_Xtal_Prot#'!$A:$AY,51,FALSE)-VLOOKUP($B29,'SegEnds_NonXtal_Prot#'!$A:$AL,37,FALSE),"-")</f>
        <v>59</v>
      </c>
      <c r="AA29" s="49" t="str">
        <f>VLOOKUP(B29,Classification!A:D,2,FALSE)</f>
        <v>A</v>
      </c>
      <c r="AB29" s="94" t="str">
        <f>VLOOKUP(B29,Classification!A:D,4,0)</f>
        <v>Lysophospholipid(S1P)</v>
      </c>
      <c r="AC29" s="49">
        <f>VLOOKUP(B29,'SegEnds_NonXtal_Prot#'!A:AL,6,FALSE)-VLOOKUP(B29,'SegEnds_NonXtal_Prot#'!A:AL,5,FALSE)</f>
        <v>1</v>
      </c>
      <c r="AD29" s="49">
        <f>VLOOKUP(B29,'SegEnds_NonXtal_Prot#'!A:AL,9,FALSE)-VLOOKUP(B29,'SegEnds_NonXtal_Prot#'!A:AL,8,FALSE)</f>
        <v>1</v>
      </c>
      <c r="AE29" s="49">
        <f>VLOOKUP(B29,'SegEnds_NonXtal_Prot#'!A:AL,13,FALSE)-VLOOKUP(B29,'SegEnds_NonXtal_Prot#'!A:AL,10,FALSE)</f>
        <v>18</v>
      </c>
      <c r="AF29" s="49">
        <f>VLOOKUP(B29,'SegEnds_NonXtal_Prot#'!A:AL,12,FALSE)-VLOOKUP(B29,'SegEnds_NonXtal_Prot#'!A:AL,11,FALSE)</f>
        <v>2</v>
      </c>
      <c r="AG29" s="49">
        <f>VLOOKUP(B29,'SegEnds_NonXtal_Prot#'!A:AL,13,FALSE)-VLOOKUP(B29,'SegEnds_NonXtal_Prot#'!A:AL,11,FALSE)</f>
        <v>5</v>
      </c>
      <c r="AH29" s="49">
        <f>VLOOKUP(B29,'SegEnds_NonXtal_Prot#'!A:AL,16,FALSE)-VLOOKUP(B29,'SegEnds_NonXtal_Prot#'!A:AL,10,FALSE)</f>
        <v>51</v>
      </c>
      <c r="AI29" s="49">
        <f>VLOOKUP(B29,'SegEnds_NonXtal_Prot#'!A:AL,16,FALSE)-VLOOKUP(B29,'SegEnds_NonXtal_Prot#'!A:AL,11,FALSE)</f>
        <v>38</v>
      </c>
      <c r="AJ29" s="49">
        <f>VLOOKUP(B29,'SegEnds_NonXtal_Prot#'!A:AL,22,FALSE)-VLOOKUP(B29,'SegEnds_NonXtal_Prot#'!A:AL,19,FALSE)</f>
        <v>19</v>
      </c>
      <c r="AK29" s="49">
        <f>VLOOKUP(B29,'SegEnds_NonXtal_Prot#'!A:AL,15,FALSE)-VLOOKUP(B29,'SegEnds_NonXtal_Prot#'!A:AL,14,FALSE)</f>
        <v>1</v>
      </c>
      <c r="AL29" s="49">
        <f>VLOOKUP(B29,'SegEnds_NonXtal_Prot#'!A:AL,18,FALSE)-VLOOKUP(B29,'SegEnds_NonXtal_Prot#'!A:AL,17,FALSE)</f>
        <v>1</v>
      </c>
      <c r="AM29" s="2">
        <f>VLOOKUP(B29,'SegEnds_NonXtal_Prot#'!A:AL,34,FALSE)-VLOOKUP(B29,'SegEnds_NonXtal_Prot#'!A:AL,31,FALSE)</f>
        <v>37</v>
      </c>
      <c r="AN29" s="37"/>
    </row>
    <row r="30" spans="1:64" s="2" customFormat="1" x14ac:dyDescent="0.2">
      <c r="A30" s="2" t="s">
        <v>1264</v>
      </c>
      <c r="B30" s="2" t="s">
        <v>914</v>
      </c>
      <c r="C30" s="2">
        <f>IFERROR(50+VLOOKUP($A30,'SegEnds_Xtal_Prot#'!$A:$AY,5,FALSE)-VLOOKUP($B30,'SegEnds_NonXtal_Prot#'!$A:$AL,4,FALSE),"-")</f>
        <v>29</v>
      </c>
      <c r="D30" s="2">
        <f>IFERROR(50+VLOOKUP($A30,'SegEnds_Xtal_Prot#'!$A:$AY,7,FALSE)-VLOOKUP($B30,'SegEnds_NonXtal_Prot#'!$A:$AL,4,FALSE),"-")</f>
        <v>60</v>
      </c>
      <c r="E30" s="2">
        <f>IFERROR(50+VLOOKUP($A30,'SegEnds_Xtal_Prot#'!$A:$AY,9,FALSE)-VLOOKUP($B30,'SegEnds_NonXtal_Prot#'!$A:$AL,7,FALSE),"-")</f>
        <v>48</v>
      </c>
      <c r="F30" s="2">
        <f>IFERROR(50+VLOOKUP($A30,'SegEnds_Xtal_Prot#'!$A:$AY,11,FALSE)-VLOOKUP($B30,'SegEnds_NonXtal_Prot#'!$A:$AL,7,FALSE),"-")</f>
        <v>51</v>
      </c>
      <c r="G30" s="2">
        <f>IFERROR(50+VLOOKUP($A30,'SegEnds_Xtal_Prot#'!$A:$AY,13,FALSE)-VLOOKUP($B30,'SegEnds_NonXtal_Prot#'!$A:$AL,10,FALSE),"-")</f>
        <v>34</v>
      </c>
      <c r="H30" s="2">
        <f>IFERROR(50+VLOOKUP($A30,'SegEnds_Xtal_Prot#'!$A:$AY,15,FALSE)-VLOOKUP($B30,'SegEnds_NonXtal_Prot#'!$A:$AL,10,FALSE),"-")</f>
        <v>68</v>
      </c>
      <c r="I30" s="2">
        <f>IFERROR(50+VLOOKUP($A30,'SegEnds_Xtal_Prot#'!$A:$AY,17,FALSE)-VLOOKUP($B30,'SegEnds_NonXtal_Prot#'!$A:$AL,13,FALSE),"-")</f>
        <v>49</v>
      </c>
      <c r="J30" s="2">
        <f>IFERROR(50+VLOOKUP($A30,'SegEnds_Xtal_Prot#'!$A:$AY,19,FALSE)-VLOOKUP($B30,'SegEnds_NonXtal_Prot#'!$A:$AL,13,FALSE),"-")</f>
        <v>52</v>
      </c>
      <c r="K30" s="2">
        <f>IFERROR(50+VLOOKUP($A30,'SegEnds_Xtal_Prot#'!$A:$AY,21,FALSE)-VLOOKUP($B30,'SegEnds_NonXtal_Prot#'!$A:$AL,16,FALSE),"-")</f>
        <v>21</v>
      </c>
      <c r="L30" s="2">
        <f>IFERROR(50+VLOOKUP($A30,'SegEnds_Xtal_Prot#'!$A:$AY,23,FALSE)-VLOOKUP($B30,'SegEnds_NonXtal_Prot#'!$A:$AL,16,FALSE),"-")</f>
        <v>56</v>
      </c>
      <c r="M30" s="2">
        <f>IFERROR(50+VLOOKUP($A30,'SegEnds_Xtal_Prot#'!$A:$AY,25,FALSE)-VLOOKUP($B30,'SegEnds_NonXtal_Prot#'!$A:$AL,19,FALSE),"-")</f>
        <v>50</v>
      </c>
      <c r="N30" s="2">
        <f>IFERROR(50+VLOOKUP($A30,'SegEnds_Xtal_Prot#'!$A:$AY,27,FALSE)-VLOOKUP($B30,'SegEnds_NonXtal_Prot#'!$A:$AL,19,FALSE),"-")</f>
        <v>57</v>
      </c>
      <c r="O30" s="2">
        <f>IFERROR(50+VLOOKUP($A30,'SegEnds_Xtal_Prot#'!$A:$AY,29,FALSE)-VLOOKUP($B30,'SegEnds_NonXtal_Prot#'!$A:$AL,22,FALSE),"-")</f>
        <v>38</v>
      </c>
      <c r="P30" s="2">
        <f>IFERROR(50+VLOOKUP($A30,'SegEnds_Xtal_Prot#'!$A:$AY,31,FALSE)-VLOOKUP($B30,'SegEnds_NonXtal_Prot#'!$A:$AL,22,FALSE),"-")</f>
        <v>64</v>
      </c>
      <c r="Q30" s="2">
        <f>IFERROR(50+VLOOKUP($A30,'SegEnds_Xtal_Prot#'!$A:$AY,33,FALSE)-VLOOKUP($B30,'SegEnds_NonXtal_Prot#'!$A:$AL,25,FALSE),"-")</f>
        <v>50</v>
      </c>
      <c r="R30" s="2">
        <f>IFERROR(50+VLOOKUP($A30,'SegEnds_Xtal_Prot#'!$A:$AY,35,FALSE)-VLOOKUP($B30,'SegEnds_NonXtal_Prot#'!$A:$AL,25,FALSE),"-")</f>
        <v>52</v>
      </c>
      <c r="S30" s="2">
        <f>IFERROR(50+VLOOKUP($A30,'SegEnds_Xtal_Prot#'!$A:$AY,37,FALSE)-VLOOKUP($B30,'SegEnds_NonXtal_Prot#'!$A:$AL,28,FALSE),"-")</f>
        <v>32</v>
      </c>
      <c r="T30" s="2">
        <f>IFERROR(50+VLOOKUP($A30,'SegEnds_Xtal_Prot#'!$A:$AY,39,FALSE)-VLOOKUP($B30,'SegEnds_NonXtal_Prot#'!$A:$AL,28,FALSE),"-")</f>
        <v>76</v>
      </c>
      <c r="U30" s="2">
        <f>IFERROR(50+VLOOKUP($A30,'SegEnds_Xtal_Prot#'!$A:$AY,41,FALSE)-VLOOKUP($B30,'SegEnds_NonXtal_Prot#'!$A:$AL,31,FALSE),"-")</f>
        <v>24</v>
      </c>
      <c r="V30" s="2">
        <f>IFERROR(50+VLOOKUP($A30,'SegEnds_Xtal_Prot#'!$A:$AY,43,FALSE)-VLOOKUP($B30,'SegEnds_NonXtal_Prot#'!$A:$AL,31,FALSE),"-")</f>
        <v>61</v>
      </c>
      <c r="W30" s="2">
        <f>IFERROR(50+VLOOKUP($A30,'SegEnds_Xtal_Prot#'!$A:$AY,45,FALSE)-VLOOKUP($B30,'SegEnds_NonXtal_Prot#'!$A:$AL,34,FALSE),"-")</f>
        <v>24</v>
      </c>
      <c r="X30" s="2">
        <f>IFERROR(50+VLOOKUP($A30,'SegEnds_Xtal_Prot#'!$A:$AY,47,FALSE)-VLOOKUP($B30,'SegEnds_NonXtal_Prot#'!$A:$AL,34,FALSE),"-")</f>
        <v>56</v>
      </c>
      <c r="Y30" s="2">
        <f>IFERROR(50+VLOOKUP($A30,'SegEnds_Xtal_Prot#'!$A:$AY,49,FALSE)-VLOOKUP($B30,'SegEnds_NonXtal_Prot#'!$A:$AL,37,FALSE),"-")</f>
        <v>47</v>
      </c>
      <c r="Z30" s="2">
        <f>IFERROR(50+VLOOKUP($A30,'SegEnds_Xtal_Prot#'!$A:$AY,51,FALSE)-VLOOKUP($B30,'SegEnds_NonXtal_Prot#'!$A:$AL,37,FALSE),"-")</f>
        <v>58</v>
      </c>
      <c r="AA30" s="49" t="str">
        <f>VLOOKUP(B30,Classification!A:D,2,FALSE)</f>
        <v>A</v>
      </c>
      <c r="AB30" s="94" t="str">
        <f>VLOOKUP(B30,Classification!A:D,4,0)</f>
        <v>Neurotensin</v>
      </c>
      <c r="AC30" s="49">
        <f>VLOOKUP(B30,'SegEnds_NonXtal_Prot#'!A:AL,6,FALSE)-VLOOKUP(B30,'SegEnds_NonXtal_Prot#'!A:AL,5,FALSE)</f>
        <v>1</v>
      </c>
      <c r="AD30" s="49">
        <f>VLOOKUP(B30,'SegEnds_NonXtal_Prot#'!A:AL,9,FALSE)-VLOOKUP(B30,'SegEnds_NonXtal_Prot#'!A:AL,8,FALSE)</f>
        <v>1</v>
      </c>
      <c r="AE30" s="49">
        <f>VLOOKUP(B30,'SegEnds_NonXtal_Prot#'!A:AL,13,FALSE)-VLOOKUP(B30,'SegEnds_NonXtal_Prot#'!A:AL,10,FALSE)</f>
        <v>22</v>
      </c>
      <c r="AF30" s="49">
        <f>VLOOKUP(B30,'SegEnds_NonXtal_Prot#'!A:AL,12,FALSE)-VLOOKUP(B30,'SegEnds_NonXtal_Prot#'!A:AL,11,FALSE)</f>
        <v>3</v>
      </c>
      <c r="AG30" s="49">
        <f>VLOOKUP(B30,'SegEnds_NonXtal_Prot#'!A:AL,13,FALSE)-VLOOKUP(B30,'SegEnds_NonXtal_Prot#'!A:AL,11,FALSE)</f>
        <v>4</v>
      </c>
      <c r="AH30" s="49">
        <f>VLOOKUP(B30,'SegEnds_NonXtal_Prot#'!A:AL,16,FALSE)-VLOOKUP(B30,'SegEnds_NonXtal_Prot#'!A:AL,10,FALSE)</f>
        <v>54</v>
      </c>
      <c r="AI30" s="49">
        <f>VLOOKUP(B30,'SegEnds_NonXtal_Prot#'!A:AL,16,FALSE)-VLOOKUP(B30,'SegEnds_NonXtal_Prot#'!A:AL,11,FALSE)</f>
        <v>36</v>
      </c>
      <c r="AJ30" s="49">
        <f>VLOOKUP(B30,'SegEnds_NonXtal_Prot#'!A:AL,22,FALSE)-VLOOKUP(B30,'SegEnds_NonXtal_Prot#'!A:AL,19,FALSE)</f>
        <v>20</v>
      </c>
      <c r="AK30" s="49">
        <f>VLOOKUP(B30,'SegEnds_NonXtal_Prot#'!A:AL,15,FALSE)-VLOOKUP(B30,'SegEnds_NonXtal_Prot#'!A:AL,14,FALSE)</f>
        <v>1</v>
      </c>
      <c r="AL30" s="49">
        <f>VLOOKUP(B30,'SegEnds_NonXtal_Prot#'!A:AL,18,FALSE)-VLOOKUP(B30,'SegEnds_NonXtal_Prot#'!A:AL,17,FALSE)</f>
        <v>1</v>
      </c>
      <c r="AM30" s="2">
        <f>VLOOKUP(B30,'SegEnds_NonXtal_Prot#'!A:AL,34,FALSE)-VLOOKUP(B30,'SegEnds_NonXtal_Prot#'!A:AL,31,FALSE)</f>
        <v>43</v>
      </c>
      <c r="AN30" s="37"/>
    </row>
    <row r="31" spans="1:64" s="2" customFormat="1" x14ac:dyDescent="0.2">
      <c r="A31" s="2" t="s">
        <v>1266</v>
      </c>
      <c r="B31" s="2" t="s">
        <v>916</v>
      </c>
      <c r="C31" s="2">
        <f>IFERROR(50+VLOOKUP($A31,'SegEnds_Xtal_Prot#'!$A:$AY,5,FALSE)-VLOOKUP($B31,'SegEnds_NonXtal_Prot#'!$A:$AL,4,FALSE),"-")</f>
        <v>24</v>
      </c>
      <c r="D31" s="2">
        <f>IFERROR(50+VLOOKUP($A31,'SegEnds_Xtal_Prot#'!$A:$AY,7,FALSE)-VLOOKUP($B31,'SegEnds_NonXtal_Prot#'!$A:$AL,4,FALSE),"-")</f>
        <v>60</v>
      </c>
      <c r="E31" s="2">
        <f>IFERROR(50+VLOOKUP($A31,'SegEnds_Xtal_Prot#'!$A:$AY,9,FALSE)-VLOOKUP($B31,'SegEnds_NonXtal_Prot#'!$A:$AL,7,FALSE),"-")</f>
        <v>48</v>
      </c>
      <c r="F31" s="2">
        <f>IFERROR(50+VLOOKUP($A31,'SegEnds_Xtal_Prot#'!$A:$AY,11,FALSE)-VLOOKUP($B31,'SegEnds_NonXtal_Prot#'!$A:$AL,7,FALSE),"-")</f>
        <v>51</v>
      </c>
      <c r="G31" s="2">
        <f>IFERROR(50+VLOOKUP($A31,'SegEnds_Xtal_Prot#'!$A:$AY,13,FALSE)-VLOOKUP($B31,'SegEnds_NonXtal_Prot#'!$A:$AL,10,FALSE),"-")</f>
        <v>37</v>
      </c>
      <c r="H31" s="2">
        <f>IFERROR(50+VLOOKUP($A31,'SegEnds_Xtal_Prot#'!$A:$AY,15,FALSE)-VLOOKUP($B31,'SegEnds_NonXtal_Prot#'!$A:$AL,10,FALSE),"-")</f>
        <v>66</v>
      </c>
      <c r="I31" s="2">
        <f>IFERROR(50+VLOOKUP($A31,'SegEnds_Xtal_Prot#'!$A:$AY,17,FALSE)-VLOOKUP($B31,'SegEnds_NonXtal_Prot#'!$A:$AL,13,FALSE),"-")</f>
        <v>49</v>
      </c>
      <c r="J31" s="2">
        <f>IFERROR(50+VLOOKUP($A31,'SegEnds_Xtal_Prot#'!$A:$AY,19,FALSE)-VLOOKUP($B31,'SegEnds_NonXtal_Prot#'!$A:$AL,13,FALSE),"-")</f>
        <v>52</v>
      </c>
      <c r="K31" s="2">
        <f>IFERROR(50+VLOOKUP($A31,'SegEnds_Xtal_Prot#'!$A:$AY,21,FALSE)-VLOOKUP($B31,'SegEnds_NonXtal_Prot#'!$A:$AL,16,FALSE),"-")</f>
        <v>21</v>
      </c>
      <c r="L31" s="2">
        <f>IFERROR(50+VLOOKUP($A31,'SegEnds_Xtal_Prot#'!$A:$AY,23,FALSE)-VLOOKUP($B31,'SegEnds_NonXtal_Prot#'!$A:$AL,16,FALSE),"-")</f>
        <v>56</v>
      </c>
      <c r="M31" s="2">
        <f>IFERROR(50+VLOOKUP($A31,'SegEnds_Xtal_Prot#'!$A:$AY,25,FALSE)-VLOOKUP($B31,'SegEnds_NonXtal_Prot#'!$A:$AL,19,FALSE),"-")</f>
        <v>50</v>
      </c>
      <c r="N31" s="2">
        <f>IFERROR(50+VLOOKUP($A31,'SegEnds_Xtal_Prot#'!$A:$AY,27,FALSE)-VLOOKUP($B31,'SegEnds_NonXtal_Prot#'!$A:$AL,19,FALSE),"-")</f>
        <v>57</v>
      </c>
      <c r="O31" s="2">
        <f>IFERROR(50+VLOOKUP($A31,'SegEnds_Xtal_Prot#'!$A:$AY,29,FALSE)-VLOOKUP($B31,'SegEnds_NonXtal_Prot#'!$A:$AL,22,FALSE),"-")</f>
        <v>38</v>
      </c>
      <c r="P31" s="2">
        <f>IFERROR(50+VLOOKUP($A31,'SegEnds_Xtal_Prot#'!$A:$AY,31,FALSE)-VLOOKUP($B31,'SegEnds_NonXtal_Prot#'!$A:$AL,22,FALSE),"-")</f>
        <v>64</v>
      </c>
      <c r="Q31" s="2">
        <f>IFERROR(50+VLOOKUP($A31,'SegEnds_Xtal_Prot#'!$A:$AY,33,FALSE)-VLOOKUP($B31,'SegEnds_NonXtal_Prot#'!$A:$AL,25,FALSE),"-")</f>
        <v>50</v>
      </c>
      <c r="R31" s="2">
        <f>IFERROR(50+VLOOKUP($A31,'SegEnds_Xtal_Prot#'!$A:$AY,35,FALSE)-VLOOKUP($B31,'SegEnds_NonXtal_Prot#'!$A:$AL,25,FALSE),"-")</f>
        <v>52</v>
      </c>
      <c r="S31" s="2">
        <f>IFERROR(50+VLOOKUP($A31,'SegEnds_Xtal_Prot#'!$A:$AY,37,FALSE)-VLOOKUP($B31,'SegEnds_NonXtal_Prot#'!$A:$AL,28,FALSE),"-")</f>
        <v>31</v>
      </c>
      <c r="T31" s="2">
        <f>IFERROR(50+VLOOKUP($A31,'SegEnds_Xtal_Prot#'!$A:$AY,39,FALSE)-VLOOKUP($B31,'SegEnds_NonXtal_Prot#'!$A:$AL,28,FALSE),"-")</f>
        <v>68</v>
      </c>
      <c r="U31" s="2">
        <f>IFERROR(50+VLOOKUP($A31,'SegEnds_Xtal_Prot#'!$A:$AY,41,FALSE)-VLOOKUP($B31,'SegEnds_NonXtal_Prot#'!$A:$AL,31,FALSE),"-")</f>
        <v>23</v>
      </c>
      <c r="V31" s="2">
        <f>IFERROR(50+VLOOKUP($A31,'SegEnds_Xtal_Prot#'!$A:$AY,43,FALSE)-VLOOKUP($B31,'SegEnds_NonXtal_Prot#'!$A:$AL,31,FALSE),"-")</f>
        <v>61</v>
      </c>
      <c r="W31" s="2">
        <f>IFERROR(50+VLOOKUP($A31,'SegEnds_Xtal_Prot#'!$A:$AY,45,FALSE)-VLOOKUP($B31,'SegEnds_NonXtal_Prot#'!$A:$AL,34,FALSE),"-")</f>
        <v>28</v>
      </c>
      <c r="X31" s="2">
        <f>IFERROR(50+VLOOKUP($A31,'SegEnds_Xtal_Prot#'!$A:$AY,47,FALSE)-VLOOKUP($B31,'SegEnds_NonXtal_Prot#'!$A:$AL,34,FALSE),"-")</f>
        <v>56</v>
      </c>
      <c r="Y31" s="2">
        <f>IFERROR(50+VLOOKUP($A31,'SegEnds_Xtal_Prot#'!$A:$AY,49,FALSE)-VLOOKUP($B31,'SegEnds_NonXtal_Prot#'!$A:$AL,37,FALSE),"-")</f>
        <v>47</v>
      </c>
      <c r="Z31" s="2">
        <f>IFERROR(50+VLOOKUP($A31,'SegEnds_Xtal_Prot#'!$A:$AY,51,FALSE)-VLOOKUP($B31,'SegEnds_NonXtal_Prot#'!$A:$AL,37,FALSE),"-")</f>
        <v>60</v>
      </c>
      <c r="AA31" s="49" t="str">
        <f>VLOOKUP(B31,Classification!A:D,2,FALSE)</f>
        <v>A</v>
      </c>
      <c r="AB31" s="94" t="str">
        <f>VLOOKUP(B31,Classification!A:D,4,0)</f>
        <v>Opioid</v>
      </c>
      <c r="AC31" s="49">
        <f>VLOOKUP(B31,'SegEnds_NonXtal_Prot#'!A:AL,6,FALSE)-VLOOKUP(B31,'SegEnds_NonXtal_Prot#'!A:AL,5,FALSE)</f>
        <v>1</v>
      </c>
      <c r="AD31" s="49">
        <f>VLOOKUP(B31,'SegEnds_NonXtal_Prot#'!A:AL,9,FALSE)-VLOOKUP(B31,'SegEnds_NonXtal_Prot#'!A:AL,8,FALSE)</f>
        <v>1</v>
      </c>
      <c r="AE31" s="49">
        <f>VLOOKUP(B31,'SegEnds_NonXtal_Prot#'!A:AL,13,FALSE)-VLOOKUP(B31,'SegEnds_NonXtal_Prot#'!A:AL,10,FALSE)</f>
        <v>19</v>
      </c>
      <c r="AF31" s="49">
        <f>VLOOKUP(B31,'SegEnds_NonXtal_Prot#'!A:AL,12,FALSE)-VLOOKUP(B31,'SegEnds_NonXtal_Prot#'!A:AL,11,FALSE)</f>
        <v>2</v>
      </c>
      <c r="AG31" s="49">
        <f>VLOOKUP(B31,'SegEnds_NonXtal_Prot#'!A:AL,13,FALSE)-VLOOKUP(B31,'SegEnds_NonXtal_Prot#'!A:AL,11,FALSE)</f>
        <v>3</v>
      </c>
      <c r="AH31" s="49">
        <f>VLOOKUP(B31,'SegEnds_NonXtal_Prot#'!A:AL,16,FALSE)-VLOOKUP(B31,'SegEnds_NonXtal_Prot#'!A:AL,10,FALSE)</f>
        <v>51</v>
      </c>
      <c r="AI31" s="49">
        <f>VLOOKUP(B31,'SegEnds_NonXtal_Prot#'!A:AL,16,FALSE)-VLOOKUP(B31,'SegEnds_NonXtal_Prot#'!A:AL,11,FALSE)</f>
        <v>35</v>
      </c>
      <c r="AJ31" s="49">
        <f>VLOOKUP(B31,'SegEnds_NonXtal_Prot#'!A:AL,22,FALSE)-VLOOKUP(B31,'SegEnds_NonXtal_Prot#'!A:AL,19,FALSE)</f>
        <v>20</v>
      </c>
      <c r="AK31" s="49">
        <f>VLOOKUP(B31,'SegEnds_NonXtal_Prot#'!A:AL,15,FALSE)-VLOOKUP(B31,'SegEnds_NonXtal_Prot#'!A:AL,14,FALSE)</f>
        <v>1</v>
      </c>
      <c r="AL31" s="49">
        <f>VLOOKUP(B31,'SegEnds_NonXtal_Prot#'!A:AL,18,FALSE)-VLOOKUP(B31,'SegEnds_NonXtal_Prot#'!A:AL,17,FALSE)</f>
        <v>1</v>
      </c>
      <c r="AM31" s="2">
        <f>VLOOKUP(B31,'SegEnds_NonXtal_Prot#'!A:AL,34,FALSE)-VLOOKUP(B31,'SegEnds_NonXtal_Prot#'!A:AL,31,FALSE)</f>
        <v>39</v>
      </c>
      <c r="AN31" s="37"/>
    </row>
    <row r="32" spans="1:64" s="2" customFormat="1" x14ac:dyDescent="0.2">
      <c r="A32" s="2" t="s">
        <v>1267</v>
      </c>
      <c r="B32" s="2" t="s">
        <v>336</v>
      </c>
      <c r="C32" s="2">
        <f>IFERROR(50+VLOOKUP($A32,'SegEnds_Xtal_Prot#'!$A:$AY,5,FALSE)-VLOOKUP($B32,'SegEnds_NonXtal_Prot#'!$A:$AL,4,FALSE),"-")</f>
        <v>30</v>
      </c>
      <c r="D32" s="2">
        <f>IFERROR(50+VLOOKUP($A32,'SegEnds_Xtal_Prot#'!$A:$AY,7,FALSE)-VLOOKUP($B32,'SegEnds_NonXtal_Prot#'!$A:$AL,4,FALSE),"-")</f>
        <v>60</v>
      </c>
      <c r="E32" s="2">
        <f>IFERROR(50+VLOOKUP($A32,'SegEnds_Xtal_Prot#'!$A:$AY,9,FALSE)-VLOOKUP($B32,'SegEnds_NonXtal_Prot#'!$A:$AL,7,FALSE),"-")</f>
        <v>48</v>
      </c>
      <c r="F32" s="2">
        <f>IFERROR(50+VLOOKUP($A32,'SegEnds_Xtal_Prot#'!$A:$AY,11,FALSE)-VLOOKUP($B32,'SegEnds_NonXtal_Prot#'!$A:$AL,7,FALSE),"-")</f>
        <v>51</v>
      </c>
      <c r="G32" s="2">
        <f>IFERROR(50+VLOOKUP($A32,'SegEnds_Xtal_Prot#'!$A:$AY,13,FALSE)-VLOOKUP($B32,'SegEnds_NonXtal_Prot#'!$A:$AL,10,FALSE),"-")</f>
        <v>37</v>
      </c>
      <c r="H32" s="2">
        <f>IFERROR(50+VLOOKUP($A32,'SegEnds_Xtal_Prot#'!$A:$AY,15,FALSE)-VLOOKUP($B32,'SegEnds_NonXtal_Prot#'!$A:$AL,10,FALSE),"-")</f>
        <v>67</v>
      </c>
      <c r="I32" s="2">
        <f>IFERROR(50+VLOOKUP($A32,'SegEnds_Xtal_Prot#'!$A:$AY,17,FALSE)-VLOOKUP($B32,'SegEnds_NonXtal_Prot#'!$A:$AL,13,FALSE),"-")</f>
        <v>49</v>
      </c>
      <c r="J32" s="2">
        <f>IFERROR(50+VLOOKUP($A32,'SegEnds_Xtal_Prot#'!$A:$AY,19,FALSE)-VLOOKUP($B32,'SegEnds_NonXtal_Prot#'!$A:$AL,13,FALSE),"-")</f>
        <v>52</v>
      </c>
      <c r="K32" s="2">
        <f>IFERROR(50+VLOOKUP($A32,'SegEnds_Xtal_Prot#'!$A:$AY,21,FALSE)-VLOOKUP($B32,'SegEnds_NonXtal_Prot#'!$A:$AL,16,FALSE),"-")</f>
        <v>21</v>
      </c>
      <c r="L32" s="2">
        <f>IFERROR(50+VLOOKUP($A32,'SegEnds_Xtal_Prot#'!$A:$AY,23,FALSE)-VLOOKUP($B32,'SegEnds_NonXtal_Prot#'!$A:$AL,16,FALSE),"-")</f>
        <v>56</v>
      </c>
      <c r="M32" s="2">
        <f>IFERROR(50+VLOOKUP($A32,'SegEnds_Xtal_Prot#'!$A:$AY,25,FALSE)-VLOOKUP($B32,'SegEnds_NonXtal_Prot#'!$A:$AL,19,FALSE),"-")</f>
        <v>50</v>
      </c>
      <c r="N32" s="2">
        <f>IFERROR(50+VLOOKUP($A32,'SegEnds_Xtal_Prot#'!$A:$AY,27,FALSE)-VLOOKUP($B32,'SegEnds_NonXtal_Prot#'!$A:$AL,19,FALSE),"-")</f>
        <v>57</v>
      </c>
      <c r="O32" s="2">
        <f>IFERROR(50+VLOOKUP($A32,'SegEnds_Xtal_Prot#'!$A:$AY,29,FALSE)-VLOOKUP($B32,'SegEnds_NonXtal_Prot#'!$A:$AL,22,FALSE),"-")</f>
        <v>38</v>
      </c>
      <c r="P32" s="2">
        <f>IFERROR(50+VLOOKUP($A32,'SegEnds_Xtal_Prot#'!$A:$AY,31,FALSE)-VLOOKUP($B32,'SegEnds_NonXtal_Prot#'!$A:$AL,22,FALSE),"-")</f>
        <v>64</v>
      </c>
      <c r="Q32" s="2">
        <f>IFERROR(50+VLOOKUP($A32,'SegEnds_Xtal_Prot#'!$A:$AY,33,FALSE)-VLOOKUP($B32,'SegEnds_NonXtal_Prot#'!$A:$AL,25,FALSE),"-")</f>
        <v>50</v>
      </c>
      <c r="R32" s="2">
        <f>IFERROR(50+VLOOKUP($A32,'SegEnds_Xtal_Prot#'!$A:$AY,35,FALSE)-VLOOKUP($B32,'SegEnds_NonXtal_Prot#'!$A:$AL,25,FALSE),"-")</f>
        <v>52</v>
      </c>
      <c r="S32" s="2">
        <f>IFERROR(50+VLOOKUP($A32,'SegEnds_Xtal_Prot#'!$A:$AY,37,FALSE)-VLOOKUP($B32,'SegEnds_NonXtal_Prot#'!$A:$AL,28,FALSE),"-")</f>
        <v>30</v>
      </c>
      <c r="T32" s="2">
        <f>IFERROR(50+VLOOKUP($A32,'SegEnds_Xtal_Prot#'!$A:$AY,39,FALSE)-VLOOKUP($B32,'SegEnds_NonXtal_Prot#'!$A:$AL,28,FALSE),"-")</f>
        <v>68</v>
      </c>
      <c r="U32" s="2">
        <f>IFERROR(50+VLOOKUP($A32,'SegEnds_Xtal_Prot#'!$A:$AY,41,FALSE)-VLOOKUP($B32,'SegEnds_NonXtal_Prot#'!$A:$AL,31,FALSE),"-")</f>
        <v>23</v>
      </c>
      <c r="V32" s="2">
        <f>IFERROR(50+VLOOKUP($A32,'SegEnds_Xtal_Prot#'!$A:$AY,43,FALSE)-VLOOKUP($B32,'SegEnds_NonXtal_Prot#'!$A:$AL,31,FALSE),"-")</f>
        <v>61</v>
      </c>
      <c r="W32" s="2">
        <f>IFERROR(50+VLOOKUP($A32,'SegEnds_Xtal_Prot#'!$A:$AY,45,FALSE)-VLOOKUP($B32,'SegEnds_NonXtal_Prot#'!$A:$AL,34,FALSE),"-")</f>
        <v>28</v>
      </c>
      <c r="X32" s="2">
        <f>IFERROR(50+VLOOKUP($A32,'SegEnds_Xtal_Prot#'!$A:$AY,47,FALSE)-VLOOKUP($B32,'SegEnds_NonXtal_Prot#'!$A:$AL,34,FALSE),"-")</f>
        <v>56</v>
      </c>
      <c r="Y32" s="2">
        <f>IFERROR(50+VLOOKUP($A32,'SegEnds_Xtal_Prot#'!$A:$AY,49,FALSE)-VLOOKUP($B32,'SegEnds_NonXtal_Prot#'!$A:$AL,37,FALSE),"-")</f>
        <v>47</v>
      </c>
      <c r="Z32" s="2">
        <f>IFERROR(50+VLOOKUP($A32,'SegEnds_Xtal_Prot#'!$A:$AY,51,FALSE)-VLOOKUP($B32,'SegEnds_NonXtal_Prot#'!$A:$AL,37,FALSE),"-")</f>
        <v>59</v>
      </c>
      <c r="AA32" s="49" t="str">
        <f>VLOOKUP(B32,Classification!A:D,2,FALSE)</f>
        <v>A</v>
      </c>
      <c r="AB32" s="94" t="str">
        <f>VLOOKUP(B32,Classification!A:D,4,0)</f>
        <v>Opioid</v>
      </c>
      <c r="AC32" s="49">
        <f>VLOOKUP(B32,'SegEnds_NonXtal_Prot#'!A:AL,6,FALSE)-VLOOKUP(B32,'SegEnds_NonXtal_Prot#'!A:AL,5,FALSE)</f>
        <v>1</v>
      </c>
      <c r="AD32" s="49">
        <f>VLOOKUP(B32,'SegEnds_NonXtal_Prot#'!A:AL,9,FALSE)-VLOOKUP(B32,'SegEnds_NonXtal_Prot#'!A:AL,8,FALSE)</f>
        <v>1</v>
      </c>
      <c r="AE32" s="49">
        <f>VLOOKUP(B32,'SegEnds_NonXtal_Prot#'!A:AL,13,FALSE)-VLOOKUP(B32,'SegEnds_NonXtal_Prot#'!A:AL,10,FALSE)</f>
        <v>19</v>
      </c>
      <c r="AF32" s="49">
        <f>VLOOKUP(B32,'SegEnds_NonXtal_Prot#'!A:AL,12,FALSE)-VLOOKUP(B32,'SegEnds_NonXtal_Prot#'!A:AL,11,FALSE)</f>
        <v>2</v>
      </c>
      <c r="AG32" s="49">
        <f>VLOOKUP(B32,'SegEnds_NonXtal_Prot#'!A:AL,13,FALSE)-VLOOKUP(B32,'SegEnds_NonXtal_Prot#'!A:AL,11,FALSE)</f>
        <v>3</v>
      </c>
      <c r="AH32" s="49">
        <f>VLOOKUP(B32,'SegEnds_NonXtal_Prot#'!A:AL,16,FALSE)-VLOOKUP(B32,'SegEnds_NonXtal_Prot#'!A:AL,10,FALSE)</f>
        <v>51</v>
      </c>
      <c r="AI32" s="49">
        <f>VLOOKUP(B32,'SegEnds_NonXtal_Prot#'!A:AL,16,FALSE)-VLOOKUP(B32,'SegEnds_NonXtal_Prot#'!A:AL,11,FALSE)</f>
        <v>35</v>
      </c>
      <c r="AJ32" s="49">
        <f>VLOOKUP(B32,'SegEnds_NonXtal_Prot#'!A:AL,22,FALSE)-VLOOKUP(B32,'SegEnds_NonXtal_Prot#'!A:AL,19,FALSE)</f>
        <v>20</v>
      </c>
      <c r="AK32" s="49">
        <f>VLOOKUP(B32,'SegEnds_NonXtal_Prot#'!A:AL,15,FALSE)-VLOOKUP(B32,'SegEnds_NonXtal_Prot#'!A:AL,14,FALSE)</f>
        <v>1</v>
      </c>
      <c r="AL32" s="49">
        <f>VLOOKUP(B32,'SegEnds_NonXtal_Prot#'!A:AL,18,FALSE)-VLOOKUP(B32,'SegEnds_NonXtal_Prot#'!A:AL,17,FALSE)</f>
        <v>1</v>
      </c>
      <c r="AM32" s="2">
        <f>VLOOKUP(B32,'SegEnds_NonXtal_Prot#'!A:AL,34,FALSE)-VLOOKUP(B32,'SegEnds_NonXtal_Prot#'!A:AL,31,FALSE)</f>
        <v>38</v>
      </c>
      <c r="AN32" s="37"/>
    </row>
    <row r="33" spans="1:64" s="2" customFormat="1" x14ac:dyDescent="0.2">
      <c r="A33" s="2" t="s">
        <v>1269</v>
      </c>
      <c r="B33" s="2" t="s">
        <v>1174</v>
      </c>
      <c r="C33" s="2">
        <f>IFERROR(50+VLOOKUP($A33,'SegEnds_Xtal_Prot#'!$A:$AY,5,FALSE)-VLOOKUP($B33,'SegEnds_NonXtal_Prot#'!$A:$AL,4,FALSE),"-")</f>
        <v>29</v>
      </c>
      <c r="D33" s="2">
        <f>IFERROR(50+VLOOKUP($A33,'SegEnds_Xtal_Prot#'!$A:$AY,7,FALSE)-VLOOKUP($B33,'SegEnds_NonXtal_Prot#'!$A:$AL,4,FALSE),"-")</f>
        <v>60</v>
      </c>
      <c r="E33" s="2">
        <f>IFERROR(50+VLOOKUP($A33,'SegEnds_Xtal_Prot#'!$A:$AY,9,FALSE)-VLOOKUP($B33,'SegEnds_NonXtal_Prot#'!$A:$AL,7,FALSE),"-")</f>
        <v>48</v>
      </c>
      <c r="F33" s="2">
        <f>IFERROR(50+VLOOKUP($A33,'SegEnds_Xtal_Prot#'!$A:$AY,11,FALSE)-VLOOKUP($B33,'SegEnds_NonXtal_Prot#'!$A:$AL,7,FALSE),"-")</f>
        <v>51</v>
      </c>
      <c r="G33" s="2">
        <f>IFERROR(50+VLOOKUP($A33,'SegEnds_Xtal_Prot#'!$A:$AY,13,FALSE)-VLOOKUP($B33,'SegEnds_NonXtal_Prot#'!$A:$AL,10,FALSE),"-")</f>
        <v>37</v>
      </c>
      <c r="H33" s="2">
        <f>IFERROR(50+VLOOKUP($A33,'SegEnds_Xtal_Prot#'!$A:$AY,15,FALSE)-VLOOKUP($B33,'SegEnds_NonXtal_Prot#'!$A:$AL,10,FALSE),"-")</f>
        <v>66</v>
      </c>
      <c r="I33" s="2">
        <f>IFERROR(50+VLOOKUP($A33,'SegEnds_Xtal_Prot#'!$A:$AY,17,FALSE)-VLOOKUP($B33,'SegEnds_NonXtal_Prot#'!$A:$AL,13,FALSE),"-")</f>
        <v>49</v>
      </c>
      <c r="J33" s="2">
        <f>IFERROR(50+VLOOKUP($A33,'SegEnds_Xtal_Prot#'!$A:$AY,19,FALSE)-VLOOKUP($B33,'SegEnds_NonXtal_Prot#'!$A:$AL,13,FALSE),"-")</f>
        <v>52</v>
      </c>
      <c r="K33" s="2">
        <f>IFERROR(50+VLOOKUP($A33,'SegEnds_Xtal_Prot#'!$A:$AY,21,FALSE)-VLOOKUP($B33,'SegEnds_NonXtal_Prot#'!$A:$AL,16,FALSE),"-")</f>
        <v>21</v>
      </c>
      <c r="L33" s="2">
        <f>IFERROR(50+VLOOKUP($A33,'SegEnds_Xtal_Prot#'!$A:$AY,23,FALSE)-VLOOKUP($B33,'SegEnds_NonXtal_Prot#'!$A:$AL,16,FALSE),"-")</f>
        <v>56</v>
      </c>
      <c r="M33" s="2">
        <f>IFERROR(50+VLOOKUP($A33,'SegEnds_Xtal_Prot#'!$A:$AY,25,FALSE)-VLOOKUP($B33,'SegEnds_NonXtal_Prot#'!$A:$AL,19,FALSE),"-")</f>
        <v>50</v>
      </c>
      <c r="N33" s="2">
        <f>IFERROR(50+VLOOKUP($A33,'SegEnds_Xtal_Prot#'!$A:$AY,27,FALSE)-VLOOKUP($B33,'SegEnds_NonXtal_Prot#'!$A:$AL,19,FALSE),"-")</f>
        <v>57</v>
      </c>
      <c r="O33" s="2">
        <f>IFERROR(50+VLOOKUP($A33,'SegEnds_Xtal_Prot#'!$A:$AY,29,FALSE)-VLOOKUP($B33,'SegEnds_NonXtal_Prot#'!$A:$AL,22,FALSE),"-")</f>
        <v>38</v>
      </c>
      <c r="P33" s="2">
        <f>IFERROR(50+VLOOKUP($A33,'SegEnds_Xtal_Prot#'!$A:$AY,31,FALSE)-VLOOKUP($B33,'SegEnds_NonXtal_Prot#'!$A:$AL,22,FALSE),"-")</f>
        <v>64</v>
      </c>
      <c r="Q33" s="2">
        <f>IFERROR(50+VLOOKUP($A33,'SegEnds_Xtal_Prot#'!$A:$AY,33,FALSE)-VLOOKUP($B33,'SegEnds_NonXtal_Prot#'!$A:$AL,25,FALSE),"-")</f>
        <v>50</v>
      </c>
      <c r="R33" s="2">
        <f>IFERROR(50+VLOOKUP($A33,'SegEnds_Xtal_Prot#'!$A:$AY,35,FALSE)-VLOOKUP($B33,'SegEnds_NonXtal_Prot#'!$A:$AL,25,FALSE),"-")</f>
        <v>52</v>
      </c>
      <c r="S33" s="2">
        <f>IFERROR(50+VLOOKUP($A33,'SegEnds_Xtal_Prot#'!$A:$AY,37,FALSE)-VLOOKUP($B33,'SegEnds_NonXtal_Prot#'!$A:$AL,28,FALSE),"-")</f>
        <v>31</v>
      </c>
      <c r="T33" s="2">
        <f>IFERROR(50+VLOOKUP($A33,'SegEnds_Xtal_Prot#'!$A:$AY,39,FALSE)-VLOOKUP($B33,'SegEnds_NonXtal_Prot#'!$A:$AL,28,FALSE),"-")</f>
        <v>68</v>
      </c>
      <c r="U33" s="2">
        <f>IFERROR(50+VLOOKUP($A33,'SegEnds_Xtal_Prot#'!$A:$AY,41,FALSE)-VLOOKUP($B33,'SegEnds_NonXtal_Prot#'!$A:$AL,31,FALSE),"-")</f>
        <v>23</v>
      </c>
      <c r="V33" s="2">
        <f>IFERROR(50+VLOOKUP($A33,'SegEnds_Xtal_Prot#'!$A:$AY,43,FALSE)-VLOOKUP($B33,'SegEnds_NonXtal_Prot#'!$A:$AL,31,FALSE),"-")</f>
        <v>61</v>
      </c>
      <c r="W33" s="2">
        <f>IFERROR(50+VLOOKUP($A33,'SegEnds_Xtal_Prot#'!$A:$AY,45,FALSE)-VLOOKUP($B33,'SegEnds_NonXtal_Prot#'!$A:$AL,34,FALSE),"-")</f>
        <v>28</v>
      </c>
      <c r="X33" s="2">
        <f>IFERROR(50+VLOOKUP($A33,'SegEnds_Xtal_Prot#'!$A:$AY,47,FALSE)-VLOOKUP($B33,'SegEnds_NonXtal_Prot#'!$A:$AL,34,FALSE),"-")</f>
        <v>56</v>
      </c>
      <c r="Y33" s="2">
        <f>IFERROR(50+VLOOKUP($A33,'SegEnds_Xtal_Prot#'!$A:$AY,49,FALSE)-VLOOKUP($B33,'SegEnds_NonXtal_Prot#'!$A:$AL,37,FALSE),"-")</f>
        <v>47</v>
      </c>
      <c r="Z33" s="2">
        <f>IFERROR(50+VLOOKUP($A33,'SegEnds_Xtal_Prot#'!$A:$AY,51,FALSE)-VLOOKUP($B33,'SegEnds_NonXtal_Prot#'!$A:$AL,37,FALSE),"-")</f>
        <v>59</v>
      </c>
      <c r="AA33" s="49" t="str">
        <f>VLOOKUP(B33,Classification!A:D,2,FALSE)</f>
        <v>A</v>
      </c>
      <c r="AB33" s="94" t="str">
        <f>VLOOKUP(B33,Classification!A:D,4,0)</f>
        <v>Opioid</v>
      </c>
      <c r="AC33" s="49">
        <f>VLOOKUP(B33,'SegEnds_NonXtal_Prot#'!A:AL,6,FALSE)-VLOOKUP(B33,'SegEnds_NonXtal_Prot#'!A:AL,5,FALSE)</f>
        <v>1</v>
      </c>
      <c r="AD33" s="49">
        <f>VLOOKUP(B33,'SegEnds_NonXtal_Prot#'!A:AL,9,FALSE)-VLOOKUP(B33,'SegEnds_NonXtal_Prot#'!A:AL,8,FALSE)</f>
        <v>1</v>
      </c>
      <c r="AE33" s="49">
        <f>VLOOKUP(B33,'SegEnds_NonXtal_Prot#'!A:AL,13,FALSE)-VLOOKUP(B33,'SegEnds_NonXtal_Prot#'!A:AL,10,FALSE)</f>
        <v>19</v>
      </c>
      <c r="AF33" s="49">
        <f>VLOOKUP(B33,'SegEnds_NonXtal_Prot#'!A:AL,12,FALSE)-VLOOKUP(B33,'SegEnds_NonXtal_Prot#'!A:AL,11,FALSE)</f>
        <v>2</v>
      </c>
      <c r="AG33" s="49">
        <f>VLOOKUP(B33,'SegEnds_NonXtal_Prot#'!A:AL,13,FALSE)-VLOOKUP(B33,'SegEnds_NonXtal_Prot#'!A:AL,11,FALSE)</f>
        <v>3</v>
      </c>
      <c r="AH33" s="49">
        <f>VLOOKUP(B33,'SegEnds_NonXtal_Prot#'!A:AL,16,FALSE)-VLOOKUP(B33,'SegEnds_NonXtal_Prot#'!A:AL,10,FALSE)</f>
        <v>51</v>
      </c>
      <c r="AI33" s="49">
        <f>VLOOKUP(B33,'SegEnds_NonXtal_Prot#'!A:AL,16,FALSE)-VLOOKUP(B33,'SegEnds_NonXtal_Prot#'!A:AL,11,FALSE)</f>
        <v>35</v>
      </c>
      <c r="AJ33" s="49">
        <f>VLOOKUP(B33,'SegEnds_NonXtal_Prot#'!A:AL,22,FALSE)-VLOOKUP(B33,'SegEnds_NonXtal_Prot#'!A:AL,19,FALSE)</f>
        <v>20</v>
      </c>
      <c r="AK33" s="49">
        <f>VLOOKUP(B33,'SegEnds_NonXtal_Prot#'!A:AL,15,FALSE)-VLOOKUP(B33,'SegEnds_NonXtal_Prot#'!A:AL,14,FALSE)</f>
        <v>1</v>
      </c>
      <c r="AL33" s="49">
        <f>VLOOKUP(B33,'SegEnds_NonXtal_Prot#'!A:AL,18,FALSE)-VLOOKUP(B33,'SegEnds_NonXtal_Prot#'!A:AL,17,FALSE)</f>
        <v>1</v>
      </c>
      <c r="AM33" s="2">
        <f>VLOOKUP(B33,'SegEnds_NonXtal_Prot#'!A:AL,34,FALSE)-VLOOKUP(B33,'SegEnds_NonXtal_Prot#'!A:AL,31,FALSE)</f>
        <v>38</v>
      </c>
      <c r="AN33" s="37"/>
    </row>
    <row r="34" spans="1:64" s="2" customFormat="1" x14ac:dyDescent="0.2">
      <c r="A34" s="2" t="s">
        <v>1268</v>
      </c>
      <c r="B34" s="2" t="s">
        <v>918</v>
      </c>
      <c r="C34" s="2">
        <f>IFERROR(50+VLOOKUP($A34,'SegEnds_Xtal_Prot#'!$A:$AY,5,FALSE)-VLOOKUP($B34,'SegEnds_NonXtal_Prot#'!$A:$AL,4,FALSE),"-")</f>
        <v>29</v>
      </c>
      <c r="D34" s="2">
        <f>IFERROR(50+VLOOKUP($A34,'SegEnds_Xtal_Prot#'!$A:$AY,7,FALSE)-VLOOKUP($B34,'SegEnds_NonXtal_Prot#'!$A:$AL,4,FALSE),"-")</f>
        <v>60</v>
      </c>
      <c r="E34" s="2">
        <f>IFERROR(50+VLOOKUP($A34,'SegEnds_Xtal_Prot#'!$A:$AY,9,FALSE)-VLOOKUP($B34,'SegEnds_NonXtal_Prot#'!$A:$AL,7,FALSE),"-")</f>
        <v>48</v>
      </c>
      <c r="F34" s="2">
        <f>IFERROR(50+VLOOKUP($A34,'SegEnds_Xtal_Prot#'!$A:$AY,11,FALSE)-VLOOKUP($B34,'SegEnds_NonXtal_Prot#'!$A:$AL,7,FALSE),"-")</f>
        <v>51</v>
      </c>
      <c r="G34" s="2">
        <f>IFERROR(50+VLOOKUP($A34,'SegEnds_Xtal_Prot#'!$A:$AY,13,FALSE)-VLOOKUP($B34,'SegEnds_NonXtal_Prot#'!$A:$AL,10,FALSE),"-")</f>
        <v>37</v>
      </c>
      <c r="H34" s="2">
        <f>IFERROR(50+VLOOKUP($A34,'SegEnds_Xtal_Prot#'!$A:$AY,15,FALSE)-VLOOKUP($B34,'SegEnds_NonXtal_Prot#'!$A:$AL,10,FALSE),"-")</f>
        <v>66</v>
      </c>
      <c r="I34" s="2">
        <f>IFERROR(50+VLOOKUP($A34,'SegEnds_Xtal_Prot#'!$A:$AY,17,FALSE)-VLOOKUP($B34,'SegEnds_NonXtal_Prot#'!$A:$AL,13,FALSE),"-")</f>
        <v>49</v>
      </c>
      <c r="J34" s="2">
        <f>IFERROR(50+VLOOKUP($A34,'SegEnds_Xtal_Prot#'!$A:$AY,19,FALSE)-VLOOKUP($B34,'SegEnds_NonXtal_Prot#'!$A:$AL,13,FALSE),"-")</f>
        <v>52</v>
      </c>
      <c r="K34" s="2">
        <f>IFERROR(50+VLOOKUP($A34,'SegEnds_Xtal_Prot#'!$A:$AY,21,FALSE)-VLOOKUP($B34,'SegEnds_NonXtal_Prot#'!$A:$AL,16,FALSE),"-")</f>
        <v>21</v>
      </c>
      <c r="L34" s="2">
        <f>IFERROR(50+VLOOKUP($A34,'SegEnds_Xtal_Prot#'!$A:$AY,23,FALSE)-VLOOKUP($B34,'SegEnds_NonXtal_Prot#'!$A:$AL,16,FALSE),"-")</f>
        <v>56</v>
      </c>
      <c r="M34" s="2">
        <f>IFERROR(50+VLOOKUP($A34,'SegEnds_Xtal_Prot#'!$A:$AY,25,FALSE)-VLOOKUP($B34,'SegEnds_NonXtal_Prot#'!$A:$AL,19,FALSE),"-")</f>
        <v>50</v>
      </c>
      <c r="N34" s="2">
        <f>IFERROR(50+VLOOKUP($A34,'SegEnds_Xtal_Prot#'!$A:$AY,27,FALSE)-VLOOKUP($B34,'SegEnds_NonXtal_Prot#'!$A:$AL,19,FALSE),"-")</f>
        <v>57</v>
      </c>
      <c r="O34" s="2">
        <f>IFERROR(50+VLOOKUP($A34,'SegEnds_Xtal_Prot#'!$A:$AY,29,FALSE)-VLOOKUP($B34,'SegEnds_NonXtal_Prot#'!$A:$AL,22,FALSE),"-")</f>
        <v>38</v>
      </c>
      <c r="P34" s="2">
        <f>IFERROR(50+VLOOKUP($A34,'SegEnds_Xtal_Prot#'!$A:$AY,31,FALSE)-VLOOKUP($B34,'SegEnds_NonXtal_Prot#'!$A:$AL,22,FALSE),"-")</f>
        <v>64</v>
      </c>
      <c r="Q34" s="2">
        <f>IFERROR(50+VLOOKUP($A34,'SegEnds_Xtal_Prot#'!$A:$AY,33,FALSE)-VLOOKUP($B34,'SegEnds_NonXtal_Prot#'!$A:$AL,25,FALSE),"-")</f>
        <v>50</v>
      </c>
      <c r="R34" s="2">
        <f>IFERROR(50+VLOOKUP($A34,'SegEnds_Xtal_Prot#'!$A:$AY,35,FALSE)-VLOOKUP($B34,'SegEnds_NonXtal_Prot#'!$A:$AL,25,FALSE),"-")</f>
        <v>52</v>
      </c>
      <c r="S34" s="2">
        <f>IFERROR(50+VLOOKUP($A34,'SegEnds_Xtal_Prot#'!$A:$AY,37,FALSE)-VLOOKUP($B34,'SegEnds_NonXtal_Prot#'!$A:$AL,28,FALSE),"-")</f>
        <v>31</v>
      </c>
      <c r="T34" s="2">
        <f>IFERROR(50+VLOOKUP($A34,'SegEnds_Xtal_Prot#'!$A:$AY,39,FALSE)-VLOOKUP($B34,'SegEnds_NonXtal_Prot#'!$A:$AL,28,FALSE),"-")</f>
        <v>68</v>
      </c>
      <c r="U34" s="2">
        <f>IFERROR(50+VLOOKUP($A34,'SegEnds_Xtal_Prot#'!$A:$AY,41,FALSE)-VLOOKUP($B34,'SegEnds_NonXtal_Prot#'!$A:$AL,31,FALSE),"-")</f>
        <v>23</v>
      </c>
      <c r="V34" s="2">
        <f>IFERROR(50+VLOOKUP($A34,'SegEnds_Xtal_Prot#'!$A:$AY,43,FALSE)-VLOOKUP($B34,'SegEnds_NonXtal_Prot#'!$A:$AL,31,FALSE),"-")</f>
        <v>61</v>
      </c>
      <c r="W34" s="2">
        <f>IFERROR(50+VLOOKUP($A34,'SegEnds_Xtal_Prot#'!$A:$AY,45,FALSE)-VLOOKUP($B34,'SegEnds_NonXtal_Prot#'!$A:$AL,34,FALSE),"-")</f>
        <v>28</v>
      </c>
      <c r="X34" s="2">
        <f>IFERROR(50+VLOOKUP($A34,'SegEnds_Xtal_Prot#'!$A:$AY,47,FALSE)-VLOOKUP($B34,'SegEnds_NonXtal_Prot#'!$A:$AL,34,FALSE),"-")</f>
        <v>56</v>
      </c>
      <c r="Y34" s="2">
        <f>IFERROR(50+VLOOKUP($A34,'SegEnds_Xtal_Prot#'!$A:$AY,49,FALSE)-VLOOKUP($B34,'SegEnds_NonXtal_Prot#'!$A:$AL,37,FALSE),"-")</f>
        <v>47</v>
      </c>
      <c r="Z34" s="2">
        <f>IFERROR(50+VLOOKUP($A34,'SegEnds_Xtal_Prot#'!$A:$AY,51,FALSE)-VLOOKUP($B34,'SegEnds_NonXtal_Prot#'!$A:$AL,37,FALSE),"-")</f>
        <v>59</v>
      </c>
      <c r="AA34" s="49" t="str">
        <f>VLOOKUP(B34,Classification!A:D,2,FALSE)</f>
        <v>A</v>
      </c>
      <c r="AB34" s="94" t="str">
        <f>VLOOKUP(B34,Classification!A:D,4,0)</f>
        <v>Opioid</v>
      </c>
      <c r="AC34" s="49">
        <f>VLOOKUP(B34,'SegEnds_NonXtal_Prot#'!A:AL,6,FALSE)-VLOOKUP(B34,'SegEnds_NonXtal_Prot#'!A:AL,5,FALSE)</f>
        <v>1</v>
      </c>
      <c r="AD34" s="49">
        <f>VLOOKUP(B34,'SegEnds_NonXtal_Prot#'!A:AL,9,FALSE)-VLOOKUP(B34,'SegEnds_NonXtal_Prot#'!A:AL,8,FALSE)</f>
        <v>1</v>
      </c>
      <c r="AE34" s="49">
        <f>VLOOKUP(B34,'SegEnds_NonXtal_Prot#'!A:AL,13,FALSE)-VLOOKUP(B34,'SegEnds_NonXtal_Prot#'!A:AL,10,FALSE)</f>
        <v>19</v>
      </c>
      <c r="AF34" s="49">
        <f>VLOOKUP(B34,'SegEnds_NonXtal_Prot#'!A:AL,12,FALSE)-VLOOKUP(B34,'SegEnds_NonXtal_Prot#'!A:AL,11,FALSE)</f>
        <v>2</v>
      </c>
      <c r="AG34" s="49">
        <f>VLOOKUP(B34,'SegEnds_NonXtal_Prot#'!A:AL,13,FALSE)-VLOOKUP(B34,'SegEnds_NonXtal_Prot#'!A:AL,11,FALSE)</f>
        <v>3</v>
      </c>
      <c r="AH34" s="49">
        <f>VLOOKUP(B34,'SegEnds_NonXtal_Prot#'!A:AL,16,FALSE)-VLOOKUP(B34,'SegEnds_NonXtal_Prot#'!A:AL,10,FALSE)</f>
        <v>51</v>
      </c>
      <c r="AI34" s="49">
        <f>VLOOKUP(B34,'SegEnds_NonXtal_Prot#'!A:AL,16,FALSE)-VLOOKUP(B34,'SegEnds_NonXtal_Prot#'!A:AL,11,FALSE)</f>
        <v>35</v>
      </c>
      <c r="AJ34" s="49">
        <f>VLOOKUP(B34,'SegEnds_NonXtal_Prot#'!A:AL,22,FALSE)-VLOOKUP(B34,'SegEnds_NonXtal_Prot#'!A:AL,19,FALSE)</f>
        <v>20</v>
      </c>
      <c r="AK34" s="49">
        <f>VLOOKUP(B34,'SegEnds_NonXtal_Prot#'!A:AL,15,FALSE)-VLOOKUP(B34,'SegEnds_NonXtal_Prot#'!A:AL,14,FALSE)</f>
        <v>1</v>
      </c>
      <c r="AL34" s="49">
        <f>VLOOKUP(B34,'SegEnds_NonXtal_Prot#'!A:AL,18,FALSE)-VLOOKUP(B34,'SegEnds_NonXtal_Prot#'!A:AL,17,FALSE)</f>
        <v>1</v>
      </c>
      <c r="AM34" s="2">
        <f>VLOOKUP(B34,'SegEnds_NonXtal_Prot#'!A:AL,34,FALSE)-VLOOKUP(B34,'SegEnds_NonXtal_Prot#'!A:AL,31,FALSE)</f>
        <v>38</v>
      </c>
      <c r="AN34" s="37"/>
    </row>
    <row r="35" spans="1:64" s="2" customFormat="1" x14ac:dyDescent="0.2">
      <c r="A35" s="2" t="s">
        <v>1265</v>
      </c>
      <c r="B35" s="2" t="s">
        <v>335</v>
      </c>
      <c r="C35" s="2">
        <f>IFERROR(50+VLOOKUP($A35,'SegEnds_Xtal_Prot#'!$A:$AY,5,FALSE)-VLOOKUP($B35,'SegEnds_NonXtal_Prot#'!$A:$AL,4,FALSE),"-")</f>
        <v>22</v>
      </c>
      <c r="D35" s="2">
        <f>IFERROR(50+VLOOKUP($A35,'SegEnds_Xtal_Prot#'!$A:$AY,7,FALSE)-VLOOKUP($B35,'SegEnds_NonXtal_Prot#'!$A:$AL,4,FALSE),"-")</f>
        <v>60</v>
      </c>
      <c r="E35" s="2">
        <f>IFERROR(50+VLOOKUP($A35,'SegEnds_Xtal_Prot#'!$A:$AY,9,FALSE)-VLOOKUP($B35,'SegEnds_NonXtal_Prot#'!$A:$AL,7,FALSE),"-")</f>
        <v>48</v>
      </c>
      <c r="F35" s="2">
        <f>IFERROR(50+VLOOKUP($A35,'SegEnds_Xtal_Prot#'!$A:$AY,11,FALSE)-VLOOKUP($B35,'SegEnds_NonXtal_Prot#'!$A:$AL,7,FALSE),"-")</f>
        <v>51</v>
      </c>
      <c r="G35" s="2">
        <f>IFERROR(50+VLOOKUP($A35,'SegEnds_Xtal_Prot#'!$A:$AY,13,FALSE)-VLOOKUP($B35,'SegEnds_NonXtal_Prot#'!$A:$AL,10,FALSE),"-")</f>
        <v>37</v>
      </c>
      <c r="H35" s="2">
        <f>IFERROR(50+VLOOKUP($A35,'SegEnds_Xtal_Prot#'!$A:$AY,15,FALSE)-VLOOKUP($B35,'SegEnds_NonXtal_Prot#'!$A:$AL,10,FALSE),"-")</f>
        <v>66</v>
      </c>
      <c r="I35" s="2">
        <f>IFERROR(50+VLOOKUP($A35,'SegEnds_Xtal_Prot#'!$A:$AY,17,FALSE)-VLOOKUP($B35,'SegEnds_NonXtal_Prot#'!$A:$AL,13,FALSE),"-")</f>
        <v>49</v>
      </c>
      <c r="J35" s="2">
        <f>IFERROR(50+VLOOKUP($A35,'SegEnds_Xtal_Prot#'!$A:$AY,19,FALSE)-VLOOKUP($B35,'SegEnds_NonXtal_Prot#'!$A:$AL,13,FALSE),"-")</f>
        <v>52</v>
      </c>
      <c r="K35" s="2">
        <f>IFERROR(50+VLOOKUP($A35,'SegEnds_Xtal_Prot#'!$A:$AY,21,FALSE)-VLOOKUP($B35,'SegEnds_NonXtal_Prot#'!$A:$AL,16,FALSE),"-")</f>
        <v>21</v>
      </c>
      <c r="L35" s="2">
        <f>IFERROR(50+VLOOKUP($A35,'SegEnds_Xtal_Prot#'!$A:$AY,23,FALSE)-VLOOKUP($B35,'SegEnds_NonXtal_Prot#'!$A:$AL,16,FALSE),"-")</f>
        <v>56</v>
      </c>
      <c r="M35" s="2">
        <f>IFERROR(50+VLOOKUP($A35,'SegEnds_Xtal_Prot#'!$A:$AY,25,FALSE)-VLOOKUP($B35,'SegEnds_NonXtal_Prot#'!$A:$AL,19,FALSE),"-")</f>
        <v>50</v>
      </c>
      <c r="N35" s="2">
        <f>IFERROR(50+VLOOKUP($A35,'SegEnds_Xtal_Prot#'!$A:$AY,27,FALSE)-VLOOKUP($B35,'SegEnds_NonXtal_Prot#'!$A:$AL,19,FALSE),"-")</f>
        <v>57</v>
      </c>
      <c r="O35" s="2">
        <f>IFERROR(50+VLOOKUP($A35,'SegEnds_Xtal_Prot#'!$A:$AY,29,FALSE)-VLOOKUP($B35,'SegEnds_NonXtal_Prot#'!$A:$AL,22,FALSE),"-")</f>
        <v>38</v>
      </c>
      <c r="P35" s="2">
        <f>IFERROR(50+VLOOKUP($A35,'SegEnds_Xtal_Prot#'!$A:$AY,31,FALSE)-VLOOKUP($B35,'SegEnds_NonXtal_Prot#'!$A:$AL,22,FALSE),"-")</f>
        <v>64</v>
      </c>
      <c r="Q35" s="2">
        <f>IFERROR(50+VLOOKUP($A35,'SegEnds_Xtal_Prot#'!$A:$AY,33,FALSE)-VLOOKUP($B35,'SegEnds_NonXtal_Prot#'!$A:$AL,25,FALSE),"-")</f>
        <v>50</v>
      </c>
      <c r="R35" s="2">
        <f>IFERROR(50+VLOOKUP($A35,'SegEnds_Xtal_Prot#'!$A:$AY,35,FALSE)-VLOOKUP($B35,'SegEnds_NonXtal_Prot#'!$A:$AL,25,FALSE),"-")</f>
        <v>52</v>
      </c>
      <c r="S35" s="2">
        <f>IFERROR(50+VLOOKUP($A35,'SegEnds_Xtal_Prot#'!$A:$AY,37,FALSE)-VLOOKUP($B35,'SegEnds_NonXtal_Prot#'!$A:$AL,28,FALSE),"-")</f>
        <v>31</v>
      </c>
      <c r="T35" s="2">
        <f>IFERROR(50+VLOOKUP($A35,'SegEnds_Xtal_Prot#'!$A:$AY,39,FALSE)-VLOOKUP($B35,'SegEnds_NonXtal_Prot#'!$A:$AL,28,FALSE),"-")</f>
        <v>68</v>
      </c>
      <c r="U35" s="2">
        <f>IFERROR(50+VLOOKUP($A35,'SegEnds_Xtal_Prot#'!$A:$AY,41,FALSE)-VLOOKUP($B35,'SegEnds_NonXtal_Prot#'!$A:$AL,31,FALSE),"-")</f>
        <v>23</v>
      </c>
      <c r="V35" s="2">
        <f>IFERROR(50+VLOOKUP($A35,'SegEnds_Xtal_Prot#'!$A:$AY,43,FALSE)-VLOOKUP($B35,'SegEnds_NonXtal_Prot#'!$A:$AL,31,FALSE),"-")</f>
        <v>61</v>
      </c>
      <c r="W35" s="2">
        <f>IFERROR(50+VLOOKUP($A35,'SegEnds_Xtal_Prot#'!$A:$AY,45,FALSE)-VLOOKUP($B35,'SegEnds_NonXtal_Prot#'!$A:$AL,34,FALSE),"-")</f>
        <v>28</v>
      </c>
      <c r="X35" s="2">
        <f>IFERROR(50+VLOOKUP($A35,'SegEnds_Xtal_Prot#'!$A:$AY,47,FALSE)-VLOOKUP($B35,'SegEnds_NonXtal_Prot#'!$A:$AL,34,FALSE),"-")</f>
        <v>56</v>
      </c>
      <c r="Y35" s="2">
        <f>IFERROR(50+VLOOKUP($A35,'SegEnds_Xtal_Prot#'!$A:$AY,49,FALSE)-VLOOKUP($B35,'SegEnds_NonXtal_Prot#'!$A:$AL,37,FALSE),"-")</f>
        <v>47</v>
      </c>
      <c r="Z35" s="2">
        <f>IFERROR(50+VLOOKUP($A35,'SegEnds_Xtal_Prot#'!$A:$AY,51,FALSE)-VLOOKUP($B35,'SegEnds_NonXtal_Prot#'!$A:$AL,37,FALSE),"-")</f>
        <v>60</v>
      </c>
      <c r="AA35" s="49" t="str">
        <f>VLOOKUP(B35,Classification!A:D,2,FALSE)</f>
        <v>A</v>
      </c>
      <c r="AB35" s="94" t="str">
        <f>VLOOKUP(B35,Classification!A:D,4,0)</f>
        <v>Opioid</v>
      </c>
      <c r="AC35" s="49">
        <f>VLOOKUP(B35,'SegEnds_NonXtal_Prot#'!A:AL,6,FALSE)-VLOOKUP(B35,'SegEnds_NonXtal_Prot#'!A:AL,5,FALSE)</f>
        <v>1</v>
      </c>
      <c r="AD35" s="49">
        <f>VLOOKUP(B35,'SegEnds_NonXtal_Prot#'!A:AL,9,FALSE)-VLOOKUP(B35,'SegEnds_NonXtal_Prot#'!A:AL,8,FALSE)</f>
        <v>1</v>
      </c>
      <c r="AE35" s="49">
        <f>VLOOKUP(B35,'SegEnds_NonXtal_Prot#'!A:AL,13,FALSE)-VLOOKUP(B35,'SegEnds_NonXtal_Prot#'!A:AL,10,FALSE)</f>
        <v>19</v>
      </c>
      <c r="AF35" s="49">
        <f>VLOOKUP(B35,'SegEnds_NonXtal_Prot#'!A:AL,12,FALSE)-VLOOKUP(B35,'SegEnds_NonXtal_Prot#'!A:AL,11,FALSE)</f>
        <v>2</v>
      </c>
      <c r="AG35" s="49">
        <f>VLOOKUP(B35,'SegEnds_NonXtal_Prot#'!A:AL,13,FALSE)-VLOOKUP(B35,'SegEnds_NonXtal_Prot#'!A:AL,11,FALSE)</f>
        <v>3</v>
      </c>
      <c r="AH35" s="49">
        <f>VLOOKUP(B35,'SegEnds_NonXtal_Prot#'!A:AL,16,FALSE)-VLOOKUP(B35,'SegEnds_NonXtal_Prot#'!A:AL,10,FALSE)</f>
        <v>51</v>
      </c>
      <c r="AI35" s="49">
        <f>VLOOKUP(B35,'SegEnds_NonXtal_Prot#'!A:AL,16,FALSE)-VLOOKUP(B35,'SegEnds_NonXtal_Prot#'!A:AL,11,FALSE)</f>
        <v>35</v>
      </c>
      <c r="AJ35" s="49">
        <f>VLOOKUP(B35,'SegEnds_NonXtal_Prot#'!A:AL,22,FALSE)-VLOOKUP(B35,'SegEnds_NonXtal_Prot#'!A:AL,19,FALSE)</f>
        <v>20</v>
      </c>
      <c r="AK35" s="49">
        <f>VLOOKUP(B35,'SegEnds_NonXtal_Prot#'!A:AL,15,FALSE)-VLOOKUP(B35,'SegEnds_NonXtal_Prot#'!A:AL,14,FALSE)</f>
        <v>1</v>
      </c>
      <c r="AL35" s="49">
        <f>VLOOKUP(B35,'SegEnds_NonXtal_Prot#'!A:AL,18,FALSE)-VLOOKUP(B35,'SegEnds_NonXtal_Prot#'!A:AL,17,FALSE)</f>
        <v>1</v>
      </c>
      <c r="AM35" s="2">
        <f>VLOOKUP(B35,'SegEnds_NonXtal_Prot#'!A:AL,34,FALSE)-VLOOKUP(B35,'SegEnds_NonXtal_Prot#'!A:AL,31,FALSE)</f>
        <v>39</v>
      </c>
      <c r="AN35" s="37"/>
    </row>
    <row r="36" spans="1:64" s="2" customFormat="1" x14ac:dyDescent="0.2">
      <c r="A36" s="2" t="s">
        <v>1270</v>
      </c>
      <c r="B36" s="2" t="s">
        <v>920</v>
      </c>
      <c r="C36" s="2">
        <f>IFERROR(50+VLOOKUP($A36,'SegEnds_Xtal_Prot#'!$A:$AY,5,FALSE)-VLOOKUP($B36,'SegEnds_NonXtal_Prot#'!$A:$AL,4,FALSE),"-")</f>
        <v>28</v>
      </c>
      <c r="D36" s="2">
        <f>IFERROR(50+VLOOKUP($A36,'SegEnds_Xtal_Prot#'!$A:$AY,7,FALSE)-VLOOKUP($B36,'SegEnds_NonXtal_Prot#'!$A:$AL,4,FALSE),"-")</f>
        <v>60</v>
      </c>
      <c r="E36" s="2">
        <f>IFERROR(50+VLOOKUP($A36,'SegEnds_Xtal_Prot#'!$A:$AY,9,FALSE)-VLOOKUP($B36,'SegEnds_NonXtal_Prot#'!$A:$AL,7,FALSE),"-")</f>
        <v>48</v>
      </c>
      <c r="F36" s="2">
        <f>IFERROR(50+VLOOKUP($A36,'SegEnds_Xtal_Prot#'!$A:$AY,11,FALSE)-VLOOKUP($B36,'SegEnds_NonXtal_Prot#'!$A:$AL,7,FALSE),"-")</f>
        <v>51</v>
      </c>
      <c r="G36" s="2">
        <f>IFERROR(50+VLOOKUP($A36,'SegEnds_Xtal_Prot#'!$A:$AY,13,FALSE)-VLOOKUP($B36,'SegEnds_NonXtal_Prot#'!$A:$AL,10,FALSE),"-")</f>
        <v>37</v>
      </c>
      <c r="H36" s="2">
        <f>IFERROR(50+VLOOKUP($A36,'SegEnds_Xtal_Prot#'!$A:$AY,15,FALSE)-VLOOKUP($B36,'SegEnds_NonXtal_Prot#'!$A:$AL,10,FALSE),"-")</f>
        <v>67</v>
      </c>
      <c r="I36" s="2">
        <f>IFERROR(50+VLOOKUP($A36,'SegEnds_Xtal_Prot#'!$A:$AY,17,FALSE)-VLOOKUP($B36,'SegEnds_NonXtal_Prot#'!$A:$AL,13,FALSE),"-")</f>
        <v>49</v>
      </c>
      <c r="J36" s="2">
        <f>IFERROR(50+VLOOKUP($A36,'SegEnds_Xtal_Prot#'!$A:$AY,19,FALSE)-VLOOKUP($B36,'SegEnds_NonXtal_Prot#'!$A:$AL,13,FALSE),"-")</f>
        <v>52</v>
      </c>
      <c r="K36" s="2">
        <f>IFERROR(50+VLOOKUP($A36,'SegEnds_Xtal_Prot#'!$A:$AY,21,FALSE)-VLOOKUP($B36,'SegEnds_NonXtal_Prot#'!$A:$AL,16,FALSE),"-")</f>
        <v>21</v>
      </c>
      <c r="L36" s="2">
        <f>IFERROR(50+VLOOKUP($A36,'SegEnds_Xtal_Prot#'!$A:$AY,23,FALSE)-VLOOKUP($B36,'SegEnds_NonXtal_Prot#'!$A:$AL,16,FALSE),"-")</f>
        <v>56</v>
      </c>
      <c r="M36" s="2">
        <f>IFERROR(50+VLOOKUP($A36,'SegEnds_Xtal_Prot#'!$A:$AY,25,FALSE)-VLOOKUP($B36,'SegEnds_NonXtal_Prot#'!$A:$AL,19,FALSE),"-")</f>
        <v>50</v>
      </c>
      <c r="N36" s="2">
        <f>IFERROR(50+VLOOKUP($A36,'SegEnds_Xtal_Prot#'!$A:$AY,27,FALSE)-VLOOKUP($B36,'SegEnds_NonXtal_Prot#'!$A:$AL,19,FALSE),"-")</f>
        <v>56</v>
      </c>
      <c r="O36" s="2">
        <f>IFERROR(50+VLOOKUP($A36,'SegEnds_Xtal_Prot#'!$A:$AY,29,FALSE)-VLOOKUP($B36,'SegEnds_NonXtal_Prot#'!$A:$AL,22,FALSE),"-")</f>
        <v>38</v>
      </c>
      <c r="P36" s="2">
        <f>IFERROR(50+VLOOKUP($A36,'SegEnds_Xtal_Prot#'!$A:$AY,31,FALSE)-VLOOKUP($B36,'SegEnds_NonXtal_Prot#'!$A:$AL,22,FALSE),"-")</f>
        <v>62</v>
      </c>
      <c r="Q36" s="2">
        <f>IFERROR(50+VLOOKUP($A36,'SegEnds_Xtal_Prot#'!$A:$AY,33,FALSE)-VLOOKUP($B36,'SegEnds_NonXtal_Prot#'!$A:$AL,25,FALSE),"-")</f>
        <v>50</v>
      </c>
      <c r="R36" s="2">
        <f>IFERROR(50+VLOOKUP($A36,'SegEnds_Xtal_Prot#'!$A:$AY,35,FALSE)-VLOOKUP($B36,'SegEnds_NonXtal_Prot#'!$A:$AL,25,FALSE),"-")</f>
        <v>52</v>
      </c>
      <c r="S36" s="2">
        <f>IFERROR(50+VLOOKUP($A36,'SegEnds_Xtal_Prot#'!$A:$AY,37,FALSE)-VLOOKUP($B36,'SegEnds_NonXtal_Prot#'!$A:$AL,28,FALSE),"-")</f>
        <v>34</v>
      </c>
      <c r="T36" s="2">
        <f>IFERROR(50+VLOOKUP($A36,'SegEnds_Xtal_Prot#'!$A:$AY,39,FALSE)-VLOOKUP($B36,'SegEnds_NonXtal_Prot#'!$A:$AL,28,FALSE),"-")</f>
        <v>72</v>
      </c>
      <c r="U36" s="2">
        <f>IFERROR(50+VLOOKUP($A36,'SegEnds_Xtal_Prot#'!$A:$AY,41,FALSE)-VLOOKUP($B36,'SegEnds_NonXtal_Prot#'!$A:$AL,31,FALSE),"-")</f>
        <v>24</v>
      </c>
      <c r="V36" s="2">
        <f>IFERROR(50+VLOOKUP($A36,'SegEnds_Xtal_Prot#'!$A:$AY,43,FALSE)-VLOOKUP($B36,'SegEnds_NonXtal_Prot#'!$A:$AL,31,FALSE),"-")</f>
        <v>61</v>
      </c>
      <c r="W36" s="2">
        <f>IFERROR(50+VLOOKUP($A36,'SegEnds_Xtal_Prot#'!$A:$AY,45,FALSE)-VLOOKUP($B36,'SegEnds_NonXtal_Prot#'!$A:$AL,34,FALSE),"-")</f>
        <v>31</v>
      </c>
      <c r="X36" s="2">
        <f>IFERROR(50+VLOOKUP($A36,'SegEnds_Xtal_Prot#'!$A:$AY,47,FALSE)-VLOOKUP($B36,'SegEnds_NonXtal_Prot#'!$A:$AL,34,FALSE),"-")</f>
        <v>56</v>
      </c>
      <c r="Y36" s="2">
        <f>IFERROR(50+VLOOKUP($A36,'SegEnds_Xtal_Prot#'!$A:$AY,49,FALSE)-VLOOKUP($B36,'SegEnds_NonXtal_Prot#'!$A:$AL,37,FALSE),"-")</f>
        <v>47</v>
      </c>
      <c r="Z36" s="2">
        <f>IFERROR(50+VLOOKUP($A36,'SegEnds_Xtal_Prot#'!$A:$AY,51,FALSE)-VLOOKUP($B36,'SegEnds_NonXtal_Prot#'!$A:$AL,37,FALSE),"-")</f>
        <v>59</v>
      </c>
      <c r="AA36" s="49" t="str">
        <f>VLOOKUP(B36,Classification!A:D,2,FALSE)</f>
        <v>A</v>
      </c>
      <c r="AB36" s="94" t="str">
        <f>VLOOKUP(B36,Classification!A:D,4,0)</f>
        <v>Opsins</v>
      </c>
      <c r="AC36" s="49">
        <f>VLOOKUP(B36,'SegEnds_NonXtal_Prot#'!A:AL,6,FALSE)-VLOOKUP(B36,'SegEnds_NonXtal_Prot#'!A:AL,5,FALSE)</f>
        <v>1</v>
      </c>
      <c r="AD36" s="49">
        <f>VLOOKUP(B36,'SegEnds_NonXtal_Prot#'!A:AL,9,FALSE)-VLOOKUP(B36,'SegEnds_NonXtal_Prot#'!A:AL,8,FALSE)</f>
        <v>1</v>
      </c>
      <c r="AE36" s="49">
        <f>VLOOKUP(B36,'SegEnds_NonXtal_Prot#'!A:AL,13,FALSE)-VLOOKUP(B36,'SegEnds_NonXtal_Prot#'!A:AL,10,FALSE)</f>
        <v>20</v>
      </c>
      <c r="AF36" s="49">
        <f>VLOOKUP(B36,'SegEnds_NonXtal_Prot#'!A:AL,12,FALSE)-VLOOKUP(B36,'SegEnds_NonXtal_Prot#'!A:AL,11,FALSE)</f>
        <v>2</v>
      </c>
      <c r="AG36" s="49">
        <f>VLOOKUP(B36,'SegEnds_NonXtal_Prot#'!A:AL,13,FALSE)-VLOOKUP(B36,'SegEnds_NonXtal_Prot#'!A:AL,11,FALSE)</f>
        <v>3</v>
      </c>
      <c r="AH36" s="49">
        <f>VLOOKUP(B36,'SegEnds_NonXtal_Prot#'!A:AL,16,FALSE)-VLOOKUP(B36,'SegEnds_NonXtal_Prot#'!A:AL,10,FALSE)</f>
        <v>52</v>
      </c>
      <c r="AI36" s="49">
        <f>VLOOKUP(B36,'SegEnds_NonXtal_Prot#'!A:AL,16,FALSE)-VLOOKUP(B36,'SegEnds_NonXtal_Prot#'!A:AL,11,FALSE)</f>
        <v>35</v>
      </c>
      <c r="AJ36" s="49">
        <f>VLOOKUP(B36,'SegEnds_NonXtal_Prot#'!A:AL,22,FALSE)-VLOOKUP(B36,'SegEnds_NonXtal_Prot#'!A:AL,19,FALSE)</f>
        <v>19</v>
      </c>
      <c r="AK36" s="49">
        <f>VLOOKUP(B36,'SegEnds_NonXtal_Prot#'!A:AL,15,FALSE)-VLOOKUP(B36,'SegEnds_NonXtal_Prot#'!A:AL,14,FALSE)</f>
        <v>1</v>
      </c>
      <c r="AL36" s="49">
        <f>VLOOKUP(B36,'SegEnds_NonXtal_Prot#'!A:AL,18,FALSE)-VLOOKUP(B36,'SegEnds_NonXtal_Prot#'!A:AL,17,FALSE)</f>
        <v>1</v>
      </c>
      <c r="AM36" s="2">
        <f>VLOOKUP(B36,'SegEnds_NonXtal_Prot#'!A:AL,34,FALSE)-VLOOKUP(B36,'SegEnds_NonXtal_Prot#'!A:AL,31,FALSE)</f>
        <v>36</v>
      </c>
      <c r="AN36" s="37"/>
      <c r="AO36" s="2" t="s">
        <v>1284</v>
      </c>
      <c r="AP36" s="2" t="s">
        <v>1286</v>
      </c>
    </row>
    <row r="37" spans="1:64" s="2" customFormat="1" x14ac:dyDescent="0.2">
      <c r="A37" s="2" t="s">
        <v>1272</v>
      </c>
      <c r="B37" s="2" t="s">
        <v>922</v>
      </c>
      <c r="C37" s="2">
        <f>IFERROR(50+VLOOKUP($A37,'SegEnds_Xtal_Prot#'!$A:$AY,5,FALSE)-VLOOKUP($B37,'SegEnds_NonXtal_Prot#'!$A:$AL,4,FALSE),"-")</f>
        <v>29</v>
      </c>
      <c r="D37" s="2">
        <f>IFERROR(50+VLOOKUP($A37,'SegEnds_Xtal_Prot#'!$A:$AY,7,FALSE)-VLOOKUP($B37,'SegEnds_NonXtal_Prot#'!$A:$AL,4,FALSE),"-")</f>
        <v>60</v>
      </c>
      <c r="E37" s="2">
        <f>IFERROR(50+VLOOKUP($A37,'SegEnds_Xtal_Prot#'!$A:$AY,9,FALSE)-VLOOKUP($B37,'SegEnds_NonXtal_Prot#'!$A:$AL,7,FALSE),"-")</f>
        <v>48</v>
      </c>
      <c r="F37" s="2">
        <f>IFERROR(50+VLOOKUP($A37,'SegEnds_Xtal_Prot#'!$A:$AY,11,FALSE)-VLOOKUP($B37,'SegEnds_NonXtal_Prot#'!$A:$AL,7,FALSE),"-")</f>
        <v>51</v>
      </c>
      <c r="G37" s="2">
        <f>IFERROR(50+VLOOKUP($A37,'SegEnds_Xtal_Prot#'!$A:$AY,13,FALSE)-VLOOKUP($B37,'SegEnds_NonXtal_Prot#'!$A:$AL,10,FALSE),"-")</f>
        <v>37</v>
      </c>
      <c r="H37" s="2">
        <f>IFERROR(50+VLOOKUP($A37,'SegEnds_Xtal_Prot#'!$A:$AY,15,FALSE)-VLOOKUP($B37,'SegEnds_NonXtal_Prot#'!$A:$AL,10,FALSE),"-")</f>
        <v>69</v>
      </c>
      <c r="I37" s="2">
        <f>IFERROR(50+VLOOKUP($A37,'SegEnds_Xtal_Prot#'!$A:$AY,17,FALSE)-VLOOKUP($B37,'SegEnds_NonXtal_Prot#'!$A:$AL,13,FALSE),"-")</f>
        <v>49</v>
      </c>
      <c r="J37" s="2">
        <f>IFERROR(50+VLOOKUP($A37,'SegEnds_Xtal_Prot#'!$A:$AY,19,FALSE)-VLOOKUP($B37,'SegEnds_NonXtal_Prot#'!$A:$AL,13,FALSE),"-")</f>
        <v>52</v>
      </c>
      <c r="K37" s="2">
        <f>IFERROR(50+VLOOKUP($A37,'SegEnds_Xtal_Prot#'!$A:$AY,21,FALSE)-VLOOKUP($B37,'SegEnds_NonXtal_Prot#'!$A:$AL,16,FALSE),"-")</f>
        <v>21</v>
      </c>
      <c r="L37" s="2">
        <f>IFERROR(50+VLOOKUP($A37,'SegEnds_Xtal_Prot#'!$A:$AY,23,FALSE)-VLOOKUP($B37,'SegEnds_NonXtal_Prot#'!$A:$AL,16,FALSE),"-")</f>
        <v>56</v>
      </c>
      <c r="M37" s="2">
        <f>IFERROR(50+VLOOKUP($A37,'SegEnds_Xtal_Prot#'!$A:$AY,25,FALSE)-VLOOKUP($B37,'SegEnds_NonXtal_Prot#'!$A:$AL,19,FALSE),"-")</f>
        <v>50</v>
      </c>
      <c r="N37" s="2">
        <f>IFERROR(50+VLOOKUP($A37,'SegEnds_Xtal_Prot#'!$A:$AY,27,FALSE)-VLOOKUP($B37,'SegEnds_NonXtal_Prot#'!$A:$AL,19,FALSE),"-")</f>
        <v>57</v>
      </c>
      <c r="O37" s="2">
        <f>IFERROR(50+VLOOKUP($A37,'SegEnds_Xtal_Prot#'!$A:$AY,29,FALSE)-VLOOKUP($B37,'SegEnds_NonXtal_Prot#'!$A:$AL,22,FALSE),"-")</f>
        <v>38</v>
      </c>
      <c r="P37" s="2">
        <f>IFERROR(50+VLOOKUP($A37,'SegEnds_Xtal_Prot#'!$A:$AY,31,FALSE)-VLOOKUP($B37,'SegEnds_NonXtal_Prot#'!$A:$AL,22,FALSE),"-")</f>
        <v>62</v>
      </c>
      <c r="Q37" s="2">
        <f>IFERROR(50+VLOOKUP($A37,'SegEnds_Xtal_Prot#'!$A:$AY,33,FALSE)-VLOOKUP($B37,'SegEnds_NonXtal_Prot#'!$A:$AL,25,FALSE),"-")</f>
        <v>50</v>
      </c>
      <c r="R37" s="2">
        <f>IFERROR(50+VLOOKUP($A37,'SegEnds_Xtal_Prot#'!$A:$AY,35,FALSE)-VLOOKUP($B37,'SegEnds_NonXtal_Prot#'!$A:$AL,25,FALSE),"-")</f>
        <v>52</v>
      </c>
      <c r="S37" s="2">
        <f>IFERROR(50+VLOOKUP($A37,'SegEnds_Xtal_Prot#'!$A:$AY,37,FALSE)-VLOOKUP($B37,'SegEnds_NonXtal_Prot#'!$A:$AL,28,FALSE),"-")</f>
        <v>32</v>
      </c>
      <c r="T37" s="2">
        <f>IFERROR(50+VLOOKUP($A37,'SegEnds_Xtal_Prot#'!$A:$AY,39,FALSE)-VLOOKUP($B37,'SegEnds_NonXtal_Prot#'!$A:$AL,28,FALSE),"-")</f>
        <v>77</v>
      </c>
      <c r="U37" s="2">
        <f>IFERROR(50+VLOOKUP($A37,'SegEnds_Xtal_Prot#'!$A:$AY,41,FALSE)-VLOOKUP($B37,'SegEnds_NonXtal_Prot#'!$A:$AL,31,FALSE),"-")</f>
        <v>18</v>
      </c>
      <c r="V37" s="2">
        <f>IFERROR(50+VLOOKUP($A37,'SegEnds_Xtal_Prot#'!$A:$AY,43,FALSE)-VLOOKUP($B37,'SegEnds_NonXtal_Prot#'!$A:$AL,31,FALSE),"-")</f>
        <v>61</v>
      </c>
      <c r="W37" s="2">
        <f>IFERROR(50+VLOOKUP($A37,'SegEnds_Xtal_Prot#'!$A:$AY,45,FALSE)-VLOOKUP($B37,'SegEnds_NonXtal_Prot#'!$A:$AL,34,FALSE),"-")</f>
        <v>31</v>
      </c>
      <c r="X37" s="2">
        <f>IFERROR(50+VLOOKUP($A37,'SegEnds_Xtal_Prot#'!$A:$AY,47,FALSE)-VLOOKUP($B37,'SegEnds_NonXtal_Prot#'!$A:$AL,34,FALSE),"-")</f>
        <v>56</v>
      </c>
      <c r="Y37" s="2">
        <f>IFERROR(50+VLOOKUP($A37,'SegEnds_Xtal_Prot#'!$A:$AY,49,FALSE)-VLOOKUP($B37,'SegEnds_NonXtal_Prot#'!$A:$AL,37,FALSE),"-")</f>
        <v>47</v>
      </c>
      <c r="Z37" s="2">
        <f>IFERROR(50+VLOOKUP($A37,'SegEnds_Xtal_Prot#'!$A:$AY,51,FALSE)-VLOOKUP($B37,'SegEnds_NonXtal_Prot#'!$A:$AL,37,FALSE),"-")</f>
        <v>58</v>
      </c>
      <c r="AA37" s="49" t="str">
        <f>VLOOKUP(B37,Classification!A:D,2,FALSE)</f>
        <v>A</v>
      </c>
      <c r="AB37" s="94" t="str">
        <f>VLOOKUP(B37,Classification!A:D,4,0)</f>
        <v>Opsins</v>
      </c>
      <c r="AC37" s="49">
        <f>VLOOKUP(B37,'SegEnds_NonXtal_Prot#'!A:AL,6,FALSE)-VLOOKUP(B37,'SegEnds_NonXtal_Prot#'!A:AL,5,FALSE)</f>
        <v>1</v>
      </c>
      <c r="AD37" s="49">
        <f>VLOOKUP(B37,'SegEnds_NonXtal_Prot#'!A:AL,9,FALSE)-VLOOKUP(B37,'SegEnds_NonXtal_Prot#'!A:AL,8,FALSE)</f>
        <v>1</v>
      </c>
      <c r="AE37" s="49">
        <f>VLOOKUP(B37,'SegEnds_NonXtal_Prot#'!A:AL,13,FALSE)-VLOOKUP(B37,'SegEnds_NonXtal_Prot#'!A:AL,10,FALSE)</f>
        <v>21</v>
      </c>
      <c r="AF37" s="49">
        <f>VLOOKUP(B37,'SegEnds_NonXtal_Prot#'!A:AL,12,FALSE)-VLOOKUP(B37,'SegEnds_NonXtal_Prot#'!A:AL,11,FALSE)</f>
        <v>1</v>
      </c>
      <c r="AG37" s="49">
        <f>VLOOKUP(B37,'SegEnds_NonXtal_Prot#'!A:AL,13,FALSE)-VLOOKUP(B37,'SegEnds_NonXtal_Prot#'!A:AL,11,FALSE)</f>
        <v>2</v>
      </c>
      <c r="AH37" s="49">
        <f>VLOOKUP(B37,'SegEnds_NonXtal_Prot#'!A:AL,16,FALSE)-VLOOKUP(B37,'SegEnds_NonXtal_Prot#'!A:AL,10,FALSE)</f>
        <v>53</v>
      </c>
      <c r="AI37" s="49">
        <f>VLOOKUP(B37,'SegEnds_NonXtal_Prot#'!A:AL,16,FALSE)-VLOOKUP(B37,'SegEnds_NonXtal_Prot#'!A:AL,11,FALSE)</f>
        <v>34</v>
      </c>
      <c r="AJ37" s="49">
        <f>VLOOKUP(B37,'SegEnds_NonXtal_Prot#'!A:AL,22,FALSE)-VLOOKUP(B37,'SegEnds_NonXtal_Prot#'!A:AL,19,FALSE)</f>
        <v>20</v>
      </c>
      <c r="AK37" s="49">
        <f>VLOOKUP(B37,'SegEnds_NonXtal_Prot#'!A:AL,15,FALSE)-VLOOKUP(B37,'SegEnds_NonXtal_Prot#'!A:AL,14,FALSE)</f>
        <v>1</v>
      </c>
      <c r="AL37" s="49">
        <f>VLOOKUP(B37,'SegEnds_NonXtal_Prot#'!A:AL,18,FALSE)-VLOOKUP(B37,'SegEnds_NonXtal_Prot#'!A:AL,17,FALSE)</f>
        <v>1</v>
      </c>
      <c r="AM37" s="2">
        <f>VLOOKUP(B37,'SegEnds_NonXtal_Prot#'!A:AL,34,FALSE)-VLOOKUP(B37,'SegEnds_NonXtal_Prot#'!A:AL,31,FALSE)</f>
        <v>36</v>
      </c>
      <c r="AN37" s="37"/>
    </row>
    <row r="38" spans="1:64" s="2" customFormat="1" x14ac:dyDescent="0.2">
      <c r="A38" s="2" t="s">
        <v>1271</v>
      </c>
      <c r="B38" s="2" t="s">
        <v>339</v>
      </c>
      <c r="C38" s="2">
        <f>IFERROR(50+VLOOKUP($A38,'SegEnds_Xtal_Prot#'!$A:$AY,5,FALSE)-VLOOKUP($B38,'SegEnds_NonXtal_Prot#'!$A:$AL,4,FALSE),"-")</f>
        <v>29</v>
      </c>
      <c r="D38" s="2">
        <f>IFERROR(50+VLOOKUP($A38,'SegEnds_Xtal_Prot#'!$A:$AY,7,FALSE)-VLOOKUP($B38,'SegEnds_NonXtal_Prot#'!$A:$AL,4,FALSE),"-")</f>
        <v>60</v>
      </c>
      <c r="E38" s="2">
        <f>IFERROR(50+VLOOKUP($A38,'SegEnds_Xtal_Prot#'!$A:$AY,9,FALSE)-VLOOKUP($B38,'SegEnds_NonXtal_Prot#'!$A:$AL,7,FALSE),"-")</f>
        <v>48</v>
      </c>
      <c r="F38" s="2">
        <f>IFERROR(50+VLOOKUP($A38,'SegEnds_Xtal_Prot#'!$A:$AY,11,FALSE)-VLOOKUP($B38,'SegEnds_NonXtal_Prot#'!$A:$AL,7,FALSE),"-")</f>
        <v>51</v>
      </c>
      <c r="G38" s="2">
        <f>IFERROR(50+VLOOKUP($A38,'SegEnds_Xtal_Prot#'!$A:$AY,13,FALSE)-VLOOKUP($B38,'SegEnds_NonXtal_Prot#'!$A:$AL,10,FALSE),"-")</f>
        <v>37</v>
      </c>
      <c r="H38" s="2">
        <f>IFERROR(50+VLOOKUP($A38,'SegEnds_Xtal_Prot#'!$A:$AY,15,FALSE)-VLOOKUP($B38,'SegEnds_NonXtal_Prot#'!$A:$AL,10,FALSE),"-")</f>
        <v>67</v>
      </c>
      <c r="I38" s="2">
        <f>IFERROR(50+VLOOKUP($A38,'SegEnds_Xtal_Prot#'!$A:$AY,17,FALSE)-VLOOKUP($B38,'SegEnds_NonXtal_Prot#'!$A:$AL,13,FALSE),"-")</f>
        <v>49</v>
      </c>
      <c r="J38" s="2">
        <f>IFERROR(50+VLOOKUP($A38,'SegEnds_Xtal_Prot#'!$A:$AY,19,FALSE)-VLOOKUP($B38,'SegEnds_NonXtal_Prot#'!$A:$AL,13,FALSE),"-")</f>
        <v>52</v>
      </c>
      <c r="K38" s="2">
        <f>IFERROR(50+VLOOKUP($A38,'SegEnds_Xtal_Prot#'!$A:$AY,21,FALSE)-VLOOKUP($B38,'SegEnds_NonXtal_Prot#'!$A:$AL,16,FALSE),"-")</f>
        <v>21</v>
      </c>
      <c r="L38" s="2">
        <f>IFERROR(50+VLOOKUP($A38,'SegEnds_Xtal_Prot#'!$A:$AY,23,FALSE)-VLOOKUP($B38,'SegEnds_NonXtal_Prot#'!$A:$AL,16,FALSE),"-")</f>
        <v>56</v>
      </c>
      <c r="M38" s="2">
        <f>IFERROR(50+VLOOKUP($A38,'SegEnds_Xtal_Prot#'!$A:$AY,25,FALSE)-VLOOKUP($B38,'SegEnds_NonXtal_Prot#'!$A:$AL,19,FALSE),"-")</f>
        <v>50</v>
      </c>
      <c r="N38" s="2">
        <f>IFERROR(50+VLOOKUP($A38,'SegEnds_Xtal_Prot#'!$A:$AY,27,FALSE)-VLOOKUP($B38,'SegEnds_NonXtal_Prot#'!$A:$AL,19,FALSE),"-")</f>
        <v>56</v>
      </c>
      <c r="O38" s="2">
        <f>IFERROR(50+VLOOKUP($A38,'SegEnds_Xtal_Prot#'!$A:$AY,29,FALSE)-VLOOKUP($B38,'SegEnds_NonXtal_Prot#'!$A:$AL,22,FALSE),"-")</f>
        <v>38</v>
      </c>
      <c r="P38" s="2">
        <f>IFERROR(50+VLOOKUP($A38,'SegEnds_Xtal_Prot#'!$A:$AY,31,FALSE)-VLOOKUP($B38,'SegEnds_NonXtal_Prot#'!$A:$AL,22,FALSE),"-")</f>
        <v>62</v>
      </c>
      <c r="Q38" s="2">
        <f>IFERROR(50+VLOOKUP($A38,'SegEnds_Xtal_Prot#'!$A:$AY,33,FALSE)-VLOOKUP($B38,'SegEnds_NonXtal_Prot#'!$A:$AL,25,FALSE),"-")</f>
        <v>50</v>
      </c>
      <c r="R38" s="2">
        <f>IFERROR(50+VLOOKUP($A38,'SegEnds_Xtal_Prot#'!$A:$AY,35,FALSE)-VLOOKUP($B38,'SegEnds_NonXtal_Prot#'!$A:$AL,25,FALSE),"-")</f>
        <v>52</v>
      </c>
      <c r="S38" s="2">
        <f>IFERROR(50+VLOOKUP($A38,'SegEnds_Xtal_Prot#'!$A:$AY,37,FALSE)-VLOOKUP($B38,'SegEnds_NonXtal_Prot#'!$A:$AL,28,FALSE),"-")</f>
        <v>34</v>
      </c>
      <c r="T38" s="2">
        <f>IFERROR(50+VLOOKUP($A38,'SegEnds_Xtal_Prot#'!$A:$AY,39,FALSE)-VLOOKUP($B38,'SegEnds_NonXtal_Prot#'!$A:$AL,28,FALSE),"-")</f>
        <v>72</v>
      </c>
      <c r="U38" s="2">
        <f>IFERROR(50+VLOOKUP($A38,'SegEnds_Xtal_Prot#'!$A:$AY,41,FALSE)-VLOOKUP($B38,'SegEnds_NonXtal_Prot#'!$A:$AL,31,FALSE),"-")</f>
        <v>24</v>
      </c>
      <c r="V38" s="2">
        <f>IFERROR(50+VLOOKUP($A38,'SegEnds_Xtal_Prot#'!$A:$AY,43,FALSE)-VLOOKUP($B38,'SegEnds_NonXtal_Prot#'!$A:$AL,31,FALSE),"-")</f>
        <v>61</v>
      </c>
      <c r="W38" s="2">
        <f>IFERROR(50+VLOOKUP($A38,'SegEnds_Xtal_Prot#'!$A:$AY,45,FALSE)-VLOOKUP($B38,'SegEnds_NonXtal_Prot#'!$A:$AL,34,FALSE),"-")</f>
        <v>31</v>
      </c>
      <c r="X38" s="2">
        <f>IFERROR(50+VLOOKUP($A38,'SegEnds_Xtal_Prot#'!$A:$AY,47,FALSE)-VLOOKUP($B38,'SegEnds_NonXtal_Prot#'!$A:$AL,34,FALSE),"-")</f>
        <v>56</v>
      </c>
      <c r="Y38" s="2">
        <f>IFERROR(50+VLOOKUP($A38,'SegEnds_Xtal_Prot#'!$A:$AY,49,FALSE)-VLOOKUP($B38,'SegEnds_NonXtal_Prot#'!$A:$AL,37,FALSE),"-")</f>
        <v>47</v>
      </c>
      <c r="Z38" s="2">
        <f>IFERROR(50+VLOOKUP($A38,'SegEnds_Xtal_Prot#'!$A:$AY,51,FALSE)-VLOOKUP($B38,'SegEnds_NonXtal_Prot#'!$A:$AL,37,FALSE),"-")</f>
        <v>59</v>
      </c>
      <c r="AA38" s="49" t="str">
        <f>VLOOKUP(B38,Classification!A:D,2,FALSE)</f>
        <v>A</v>
      </c>
      <c r="AB38" s="94" t="str">
        <f>VLOOKUP(B38,Classification!A:D,4,0)</f>
        <v>Opsins</v>
      </c>
      <c r="AC38" s="49">
        <f>VLOOKUP(B38,'SegEnds_NonXtal_Prot#'!A:AL,6,FALSE)-VLOOKUP(B38,'SegEnds_NonXtal_Prot#'!A:AL,5,FALSE)</f>
        <v>1</v>
      </c>
      <c r="AD38" s="49">
        <f>VLOOKUP(B38,'SegEnds_NonXtal_Prot#'!A:AL,9,FALSE)-VLOOKUP(B38,'SegEnds_NonXtal_Prot#'!A:AL,8,FALSE)</f>
        <v>1</v>
      </c>
      <c r="AE38" s="49">
        <f>VLOOKUP(B38,'SegEnds_NonXtal_Prot#'!A:AL,13,FALSE)-VLOOKUP(B38,'SegEnds_NonXtal_Prot#'!A:AL,10,FALSE)</f>
        <v>20</v>
      </c>
      <c r="AF38" s="49">
        <f>VLOOKUP(B38,'SegEnds_NonXtal_Prot#'!A:AL,12,FALSE)-VLOOKUP(B38,'SegEnds_NonXtal_Prot#'!A:AL,11,FALSE)</f>
        <v>2</v>
      </c>
      <c r="AG38" s="49">
        <f>VLOOKUP(B38,'SegEnds_NonXtal_Prot#'!A:AL,13,FALSE)-VLOOKUP(B38,'SegEnds_NonXtal_Prot#'!A:AL,11,FALSE)</f>
        <v>3</v>
      </c>
      <c r="AH38" s="49">
        <f>VLOOKUP(B38,'SegEnds_NonXtal_Prot#'!A:AL,16,FALSE)-VLOOKUP(B38,'SegEnds_NonXtal_Prot#'!A:AL,10,FALSE)</f>
        <v>52</v>
      </c>
      <c r="AI38" s="49">
        <f>VLOOKUP(B38,'SegEnds_NonXtal_Prot#'!A:AL,16,FALSE)-VLOOKUP(B38,'SegEnds_NonXtal_Prot#'!A:AL,11,FALSE)</f>
        <v>35</v>
      </c>
      <c r="AJ38" s="49">
        <f>VLOOKUP(B38,'SegEnds_NonXtal_Prot#'!A:AL,22,FALSE)-VLOOKUP(B38,'SegEnds_NonXtal_Prot#'!A:AL,19,FALSE)</f>
        <v>19</v>
      </c>
      <c r="AK38" s="49">
        <f>VLOOKUP(B38,'SegEnds_NonXtal_Prot#'!A:AL,15,FALSE)-VLOOKUP(B38,'SegEnds_NonXtal_Prot#'!A:AL,14,FALSE)</f>
        <v>1</v>
      </c>
      <c r="AL38" s="49">
        <f>VLOOKUP(B38,'SegEnds_NonXtal_Prot#'!A:AL,18,FALSE)-VLOOKUP(B38,'SegEnds_NonXtal_Prot#'!A:AL,17,FALSE)</f>
        <v>1</v>
      </c>
      <c r="AM38" s="2">
        <f>VLOOKUP(B38,'SegEnds_NonXtal_Prot#'!A:AL,34,FALSE)-VLOOKUP(B38,'SegEnds_NonXtal_Prot#'!A:AL,31,FALSE)</f>
        <v>36</v>
      </c>
      <c r="AN38" s="37"/>
    </row>
    <row r="39" spans="1:64" s="2" customFormat="1" x14ac:dyDescent="0.2">
      <c r="A39" s="2" t="s">
        <v>1274</v>
      </c>
      <c r="B39" s="2" t="s">
        <v>1176</v>
      </c>
      <c r="C39" s="2">
        <f>IFERROR(50+VLOOKUP($A39,'SegEnds_Xtal_Prot#'!$A:$AY,5,FALSE)-VLOOKUP($B39,'SegEnds_NonXtal_Prot#'!$A:$AL,4,FALSE),"-")</f>
        <v>31</v>
      </c>
      <c r="D39" s="2">
        <f>IFERROR(50+VLOOKUP($A39,'SegEnds_Xtal_Prot#'!$A:$AY,7,FALSE)-VLOOKUP($B39,'SegEnds_NonXtal_Prot#'!$A:$AL,4,FALSE),"-")</f>
        <v>60</v>
      </c>
      <c r="E39" s="2">
        <f>IFERROR(50+VLOOKUP($A39,'SegEnds_Xtal_Prot#'!$A:$AY,9,FALSE)-VLOOKUP($B39,'SegEnds_NonXtal_Prot#'!$A:$AL,7,FALSE),"-")</f>
        <v>48</v>
      </c>
      <c r="F39" s="2">
        <f>IFERROR(50+VLOOKUP($A39,'SegEnds_Xtal_Prot#'!$A:$AY,11,FALSE)-VLOOKUP($B39,'SegEnds_NonXtal_Prot#'!$A:$AL,7,FALSE),"-")</f>
        <v>51</v>
      </c>
      <c r="G39" s="2">
        <f>IFERROR(50+VLOOKUP($A39,'SegEnds_Xtal_Prot#'!$A:$AY,13,FALSE)-VLOOKUP($B39,'SegEnds_NonXtal_Prot#'!$A:$AL,10,FALSE),"-")</f>
        <v>37</v>
      </c>
      <c r="H39" s="2">
        <f>IFERROR(50+VLOOKUP($A39,'SegEnds_Xtal_Prot#'!$A:$AY,15,FALSE)-VLOOKUP($B39,'SegEnds_NonXtal_Prot#'!$A:$AL,10,FALSE),"-")</f>
        <v>68</v>
      </c>
      <c r="I39" s="2">
        <f>IFERROR(50+VLOOKUP($A39,'SegEnds_Xtal_Prot#'!$A:$AY,17,FALSE)-VLOOKUP($B39,'SegEnds_NonXtal_Prot#'!$A:$AL,13,FALSE),"-")</f>
        <v>49</v>
      </c>
      <c r="J39" s="2">
        <f>IFERROR(50+VLOOKUP($A39,'SegEnds_Xtal_Prot#'!$A:$AY,19,FALSE)-VLOOKUP($B39,'SegEnds_NonXtal_Prot#'!$A:$AL,13,FALSE),"-")</f>
        <v>52</v>
      </c>
      <c r="K39" s="2">
        <f>IFERROR(50+VLOOKUP($A39,'SegEnds_Xtal_Prot#'!$A:$AY,21,FALSE)-VLOOKUP($B39,'SegEnds_NonXtal_Prot#'!$A:$AL,16,FALSE),"-")</f>
        <v>21</v>
      </c>
      <c r="L39" s="2">
        <f>IFERROR(50+VLOOKUP($A39,'SegEnds_Xtal_Prot#'!$A:$AY,23,FALSE)-VLOOKUP($B39,'SegEnds_NonXtal_Prot#'!$A:$AL,16,FALSE),"-")</f>
        <v>56</v>
      </c>
      <c r="M39" s="2">
        <f>IFERROR(50+VLOOKUP($A39,'SegEnds_Xtal_Prot#'!$A:$AY,25,FALSE)-VLOOKUP($B39,'SegEnds_NonXtal_Prot#'!$A:$AL,19,FALSE),"-")</f>
        <v>50</v>
      </c>
      <c r="N39" s="2">
        <f>IFERROR(50+VLOOKUP($A39,'SegEnds_Xtal_Prot#'!$A:$AY,27,FALSE)-VLOOKUP($B39,'SegEnds_NonXtal_Prot#'!$A:$AL,19,FALSE),"-")</f>
        <v>53</v>
      </c>
      <c r="O39" s="2">
        <f>IFERROR(50+VLOOKUP($A39,'SegEnds_Xtal_Prot#'!$A:$AY,29,FALSE)-VLOOKUP($B39,'SegEnds_NonXtal_Prot#'!$A:$AL,22,FALSE),"-")</f>
        <v>38</v>
      </c>
      <c r="P39" s="2">
        <f>IFERROR(50+VLOOKUP($A39,'SegEnds_Xtal_Prot#'!$A:$AY,31,FALSE)-VLOOKUP($B39,'SegEnds_NonXtal_Prot#'!$A:$AL,22,FALSE),"-")</f>
        <v>64</v>
      </c>
      <c r="Q39" s="2">
        <f>IFERROR(50+VLOOKUP($A39,'SegEnds_Xtal_Prot#'!$A:$AY,33,FALSE)-VLOOKUP($B39,'SegEnds_NonXtal_Prot#'!$A:$AL,25,FALSE),"-")</f>
        <v>50</v>
      </c>
      <c r="R39" s="2">
        <f>IFERROR(50+VLOOKUP($A39,'SegEnds_Xtal_Prot#'!$A:$AY,35,FALSE)-VLOOKUP($B39,'SegEnds_NonXtal_Prot#'!$A:$AL,25,FALSE),"-")</f>
        <v>52</v>
      </c>
      <c r="S39" s="2">
        <f>IFERROR(50+VLOOKUP($A39,'SegEnds_Xtal_Prot#'!$A:$AY,37,FALSE)-VLOOKUP($B39,'SegEnds_NonXtal_Prot#'!$A:$AL,28,FALSE),"-")</f>
        <v>33</v>
      </c>
      <c r="T39" s="2">
        <f>IFERROR(50+VLOOKUP($A39,'SegEnds_Xtal_Prot#'!$A:$AY,39,FALSE)-VLOOKUP($B39,'SegEnds_NonXtal_Prot#'!$A:$AL,28,FALSE),"-")</f>
        <v>71</v>
      </c>
      <c r="U39" s="2">
        <f>IFERROR(50+VLOOKUP($A39,'SegEnds_Xtal_Prot#'!$A:$AY,41,FALSE)-VLOOKUP($B39,'SegEnds_NonXtal_Prot#'!$A:$AL,31,FALSE),"-")</f>
        <v>20</v>
      </c>
      <c r="V39" s="2">
        <f>IFERROR(50+VLOOKUP($A39,'SegEnds_Xtal_Prot#'!$A:$AY,43,FALSE)-VLOOKUP($B39,'SegEnds_NonXtal_Prot#'!$A:$AL,31,FALSE),"-")</f>
        <v>61</v>
      </c>
      <c r="W39" s="2">
        <f>IFERROR(50+VLOOKUP($A39,'SegEnds_Xtal_Prot#'!$A:$AY,45,FALSE)-VLOOKUP($B39,'SegEnds_NonXtal_Prot#'!$A:$AL,34,FALSE),"-")</f>
        <v>27</v>
      </c>
      <c r="X39" s="2">
        <f>IFERROR(50+VLOOKUP($A39,'SegEnds_Xtal_Prot#'!$A:$AY,47,FALSE)-VLOOKUP($B39,'SegEnds_NonXtal_Prot#'!$A:$AL,34,FALSE),"-")</f>
        <v>56</v>
      </c>
      <c r="Y39" s="2">
        <f>IFERROR(50+VLOOKUP($A39,'SegEnds_Xtal_Prot#'!$A:$AY,49,FALSE)-VLOOKUP($B39,'SegEnds_NonXtal_Prot#'!$A:$AL,37,FALSE),"-")</f>
        <v>47</v>
      </c>
      <c r="Z39" s="2">
        <f>IFERROR(50+VLOOKUP($A39,'SegEnds_Xtal_Prot#'!$A:$AY,51,FALSE)-VLOOKUP($B39,'SegEnds_NonXtal_Prot#'!$A:$AL,37,FALSE),"-")</f>
        <v>58</v>
      </c>
      <c r="AA39" s="49" t="str">
        <f>VLOOKUP(B39,Classification!A:D,2,FALSE)</f>
        <v>A</v>
      </c>
      <c r="AB39" s="94" t="str">
        <f>VLOOKUP(B39,Classification!A:D,4,0)</f>
        <v>Orexin</v>
      </c>
      <c r="AC39" s="49">
        <f>VLOOKUP(B39,'SegEnds_NonXtal_Prot#'!A:AL,6,FALSE)-VLOOKUP(B39,'SegEnds_NonXtal_Prot#'!A:AL,5,FALSE)</f>
        <v>1</v>
      </c>
      <c r="AD39" s="49">
        <f>VLOOKUP(B39,'SegEnds_NonXtal_Prot#'!A:AL,9,FALSE)-VLOOKUP(B39,'SegEnds_NonXtal_Prot#'!A:AL,8,FALSE)</f>
        <v>1</v>
      </c>
      <c r="AE39" s="49">
        <f>VLOOKUP(B39,'SegEnds_NonXtal_Prot#'!A:AL,13,FALSE)-VLOOKUP(B39,'SegEnds_NonXtal_Prot#'!A:AL,10,FALSE)</f>
        <v>20</v>
      </c>
      <c r="AF39" s="49">
        <f>VLOOKUP(B39,'SegEnds_NonXtal_Prot#'!A:AL,12,FALSE)-VLOOKUP(B39,'SegEnds_NonXtal_Prot#'!A:AL,11,FALSE)</f>
        <v>1</v>
      </c>
      <c r="AG39" s="49">
        <f>VLOOKUP(B39,'SegEnds_NonXtal_Prot#'!A:AL,13,FALSE)-VLOOKUP(B39,'SegEnds_NonXtal_Prot#'!A:AL,11,FALSE)</f>
        <v>2</v>
      </c>
      <c r="AH39" s="49">
        <f>VLOOKUP(B39,'SegEnds_NonXtal_Prot#'!A:AL,16,FALSE)-VLOOKUP(B39,'SegEnds_NonXtal_Prot#'!A:AL,10,FALSE)</f>
        <v>52</v>
      </c>
      <c r="AI39" s="49">
        <f>VLOOKUP(B39,'SegEnds_NonXtal_Prot#'!A:AL,16,FALSE)-VLOOKUP(B39,'SegEnds_NonXtal_Prot#'!A:AL,11,FALSE)</f>
        <v>34</v>
      </c>
      <c r="AJ39" s="49">
        <f>VLOOKUP(B39,'SegEnds_NonXtal_Prot#'!A:AL,22,FALSE)-VLOOKUP(B39,'SegEnds_NonXtal_Prot#'!A:AL,19,FALSE)</f>
        <v>18</v>
      </c>
      <c r="AK39" s="49">
        <f>VLOOKUP(B39,'SegEnds_NonXtal_Prot#'!A:AL,15,FALSE)-VLOOKUP(B39,'SegEnds_NonXtal_Prot#'!A:AL,14,FALSE)</f>
        <v>1</v>
      </c>
      <c r="AL39" s="49">
        <f>VLOOKUP(B39,'SegEnds_NonXtal_Prot#'!A:AL,18,FALSE)-VLOOKUP(B39,'SegEnds_NonXtal_Prot#'!A:AL,17,FALSE)</f>
        <v>1</v>
      </c>
      <c r="AM39" s="2">
        <f>VLOOKUP(B39,'SegEnds_NonXtal_Prot#'!A:AL,34,FALSE)-VLOOKUP(B39,'SegEnds_NonXtal_Prot#'!A:AL,31,FALSE)</f>
        <v>42</v>
      </c>
      <c r="AN39" s="37"/>
    </row>
    <row r="40" spans="1:64" s="2" customFormat="1" x14ac:dyDescent="0.2">
      <c r="A40" s="2" t="s">
        <v>1273</v>
      </c>
      <c r="B40" s="2" t="s">
        <v>1175</v>
      </c>
      <c r="C40" s="2">
        <f>IFERROR(50+VLOOKUP($A40,'SegEnds_Xtal_Prot#'!$A:$AY,5,FALSE)-VLOOKUP($B40,'SegEnds_NonXtal_Prot#'!$A:$AL,4,FALSE),"-")</f>
        <v>32</v>
      </c>
      <c r="D40" s="2">
        <f>IFERROR(50+VLOOKUP($A40,'SegEnds_Xtal_Prot#'!$A:$AY,7,FALSE)-VLOOKUP($B40,'SegEnds_NonXtal_Prot#'!$A:$AL,4,FALSE),"-")</f>
        <v>60</v>
      </c>
      <c r="E40" s="2">
        <f>IFERROR(50+VLOOKUP($A40,'SegEnds_Xtal_Prot#'!$A:$AY,9,FALSE)-VLOOKUP($B40,'SegEnds_NonXtal_Prot#'!$A:$AL,7,FALSE),"-")</f>
        <v>48</v>
      </c>
      <c r="F40" s="2">
        <f>IFERROR(50+VLOOKUP($A40,'SegEnds_Xtal_Prot#'!$A:$AY,11,FALSE)-VLOOKUP($B40,'SegEnds_NonXtal_Prot#'!$A:$AL,7,FALSE),"-")</f>
        <v>51</v>
      </c>
      <c r="G40" s="2">
        <f>IFERROR(50+VLOOKUP($A40,'SegEnds_Xtal_Prot#'!$A:$AY,13,FALSE)-VLOOKUP($B40,'SegEnds_NonXtal_Prot#'!$A:$AL,10,FALSE),"-")</f>
        <v>37</v>
      </c>
      <c r="H40" s="2">
        <f>IFERROR(50+VLOOKUP($A40,'SegEnds_Xtal_Prot#'!$A:$AY,15,FALSE)-VLOOKUP($B40,'SegEnds_NonXtal_Prot#'!$A:$AL,10,FALSE),"-")</f>
        <v>67</v>
      </c>
      <c r="I40" s="2">
        <f>IFERROR(50+VLOOKUP($A40,'SegEnds_Xtal_Prot#'!$A:$AY,17,FALSE)-VLOOKUP($B40,'SegEnds_NonXtal_Prot#'!$A:$AL,13,FALSE),"-")</f>
        <v>49</v>
      </c>
      <c r="J40" s="2">
        <f>IFERROR(50+VLOOKUP($A40,'SegEnds_Xtal_Prot#'!$A:$AY,19,FALSE)-VLOOKUP($B40,'SegEnds_NonXtal_Prot#'!$A:$AL,13,FALSE),"-")</f>
        <v>52</v>
      </c>
      <c r="K40" s="2">
        <f>IFERROR(50+VLOOKUP($A40,'SegEnds_Xtal_Prot#'!$A:$AY,21,FALSE)-VLOOKUP($B40,'SegEnds_NonXtal_Prot#'!$A:$AL,16,FALSE),"-")</f>
        <v>21</v>
      </c>
      <c r="L40" s="2">
        <f>IFERROR(50+VLOOKUP($A40,'SegEnds_Xtal_Prot#'!$A:$AY,23,FALSE)-VLOOKUP($B40,'SegEnds_NonXtal_Prot#'!$A:$AL,16,FALSE),"-")</f>
        <v>56</v>
      </c>
      <c r="M40" s="2">
        <f>IFERROR(50+VLOOKUP($A40,'SegEnds_Xtal_Prot#'!$A:$AY,25,FALSE)-VLOOKUP($B40,'SegEnds_NonXtal_Prot#'!$A:$AL,19,FALSE),"-")</f>
        <v>50</v>
      </c>
      <c r="N40" s="2">
        <f>IFERROR(50+VLOOKUP($A40,'SegEnds_Xtal_Prot#'!$A:$AY,27,FALSE)-VLOOKUP($B40,'SegEnds_NonXtal_Prot#'!$A:$AL,19,FALSE),"-")</f>
        <v>53</v>
      </c>
      <c r="O40" s="2">
        <f>IFERROR(50+VLOOKUP($A40,'SegEnds_Xtal_Prot#'!$A:$AY,29,FALSE)-VLOOKUP($B40,'SegEnds_NonXtal_Prot#'!$A:$AL,22,FALSE),"-")</f>
        <v>38</v>
      </c>
      <c r="P40" s="2">
        <f>IFERROR(50+VLOOKUP($A40,'SegEnds_Xtal_Prot#'!$A:$AY,31,FALSE)-VLOOKUP($B40,'SegEnds_NonXtal_Prot#'!$A:$AL,22,FALSE),"-")</f>
        <v>64</v>
      </c>
      <c r="Q40" s="2">
        <f>IFERROR(50+VLOOKUP($A40,'SegEnds_Xtal_Prot#'!$A:$AY,33,FALSE)-VLOOKUP($B40,'SegEnds_NonXtal_Prot#'!$A:$AL,25,FALSE),"-")</f>
        <v>50</v>
      </c>
      <c r="R40" s="2">
        <f>IFERROR(50+VLOOKUP($A40,'SegEnds_Xtal_Prot#'!$A:$AY,35,FALSE)-VLOOKUP($B40,'SegEnds_NonXtal_Prot#'!$A:$AL,25,FALSE),"-")</f>
        <v>52</v>
      </c>
      <c r="S40" s="2">
        <f>IFERROR(50+VLOOKUP($A40,'SegEnds_Xtal_Prot#'!$A:$AY,37,FALSE)-VLOOKUP($B40,'SegEnds_NonXtal_Prot#'!$A:$AL,28,FALSE),"-")</f>
        <v>32</v>
      </c>
      <c r="T40" s="2">
        <f>IFERROR(50+VLOOKUP($A40,'SegEnds_Xtal_Prot#'!$A:$AY,39,FALSE)-VLOOKUP($B40,'SegEnds_NonXtal_Prot#'!$A:$AL,28,FALSE),"-")</f>
        <v>71</v>
      </c>
      <c r="U40" s="2">
        <f>IFERROR(50+VLOOKUP($A40,'SegEnds_Xtal_Prot#'!$A:$AY,41,FALSE)-VLOOKUP($B40,'SegEnds_NonXtal_Prot#'!$A:$AL,31,FALSE),"-")</f>
        <v>20</v>
      </c>
      <c r="V40" s="2">
        <f>IFERROR(50+VLOOKUP($A40,'SegEnds_Xtal_Prot#'!$A:$AY,43,FALSE)-VLOOKUP($B40,'SegEnds_NonXtal_Prot#'!$A:$AL,31,FALSE),"-")</f>
        <v>61</v>
      </c>
      <c r="W40" s="2">
        <f>IFERROR(50+VLOOKUP($A40,'SegEnds_Xtal_Prot#'!$A:$AY,45,FALSE)-VLOOKUP($B40,'SegEnds_NonXtal_Prot#'!$A:$AL,34,FALSE),"-")</f>
        <v>28</v>
      </c>
      <c r="X40" s="2">
        <f>IFERROR(50+VLOOKUP($A40,'SegEnds_Xtal_Prot#'!$A:$AY,47,FALSE)-VLOOKUP($B40,'SegEnds_NonXtal_Prot#'!$A:$AL,34,FALSE),"-")</f>
        <v>56</v>
      </c>
      <c r="Y40" s="2">
        <f>IFERROR(50+VLOOKUP($A40,'SegEnds_Xtal_Prot#'!$A:$AY,49,FALSE)-VLOOKUP($B40,'SegEnds_NonXtal_Prot#'!$A:$AL,37,FALSE),"-")</f>
        <v>47</v>
      </c>
      <c r="Z40" s="2">
        <f>IFERROR(50+VLOOKUP($A40,'SegEnds_Xtal_Prot#'!$A:$AY,51,FALSE)-VLOOKUP($B40,'SegEnds_NonXtal_Prot#'!$A:$AL,37,FALSE),"-")</f>
        <v>58</v>
      </c>
      <c r="AA40" s="49" t="str">
        <f>VLOOKUP(B40,Classification!A:D,2,FALSE)</f>
        <v>A</v>
      </c>
      <c r="AB40" s="94" t="str">
        <f>VLOOKUP(B40,Classification!A:D,4,0)</f>
        <v>Orexin</v>
      </c>
      <c r="AC40" s="49">
        <f>VLOOKUP(B40,'SegEnds_NonXtal_Prot#'!A:AL,6,FALSE)-VLOOKUP(B40,'SegEnds_NonXtal_Prot#'!A:AL,5,FALSE)</f>
        <v>1</v>
      </c>
      <c r="AD40" s="49">
        <f>VLOOKUP(B40,'SegEnds_NonXtal_Prot#'!A:AL,9,FALSE)-VLOOKUP(B40,'SegEnds_NonXtal_Prot#'!A:AL,8,FALSE)</f>
        <v>1</v>
      </c>
      <c r="AE40" s="49">
        <f>VLOOKUP(B40,'SegEnds_NonXtal_Prot#'!A:AL,13,FALSE)-VLOOKUP(B40,'SegEnds_NonXtal_Prot#'!A:AL,10,FALSE)</f>
        <v>20</v>
      </c>
      <c r="AF40" s="49">
        <f>VLOOKUP(B40,'SegEnds_NonXtal_Prot#'!A:AL,12,FALSE)-VLOOKUP(B40,'SegEnds_NonXtal_Prot#'!A:AL,11,FALSE)</f>
        <v>2</v>
      </c>
      <c r="AG40" s="49">
        <f>VLOOKUP(B40,'SegEnds_NonXtal_Prot#'!A:AL,13,FALSE)-VLOOKUP(B40,'SegEnds_NonXtal_Prot#'!A:AL,11,FALSE)</f>
        <v>3</v>
      </c>
      <c r="AH40" s="49">
        <f>VLOOKUP(B40,'SegEnds_NonXtal_Prot#'!A:AL,16,FALSE)-VLOOKUP(B40,'SegEnds_NonXtal_Prot#'!A:AL,10,FALSE)</f>
        <v>52</v>
      </c>
      <c r="AI40" s="49">
        <f>VLOOKUP(B40,'SegEnds_NonXtal_Prot#'!A:AL,16,FALSE)-VLOOKUP(B40,'SegEnds_NonXtal_Prot#'!A:AL,11,FALSE)</f>
        <v>35</v>
      </c>
      <c r="AJ40" s="49">
        <f>VLOOKUP(B40,'SegEnds_NonXtal_Prot#'!A:AL,22,FALSE)-VLOOKUP(B40,'SegEnds_NonXtal_Prot#'!A:AL,19,FALSE)</f>
        <v>18</v>
      </c>
      <c r="AK40" s="49">
        <f>VLOOKUP(B40,'SegEnds_NonXtal_Prot#'!A:AL,15,FALSE)-VLOOKUP(B40,'SegEnds_NonXtal_Prot#'!A:AL,14,FALSE)</f>
        <v>1</v>
      </c>
      <c r="AL40" s="49">
        <f>VLOOKUP(B40,'SegEnds_NonXtal_Prot#'!A:AL,18,FALSE)-VLOOKUP(B40,'SegEnds_NonXtal_Prot#'!A:AL,17,FALSE)</f>
        <v>1</v>
      </c>
      <c r="AM40" s="2">
        <f>VLOOKUP(B40,'SegEnds_NonXtal_Prot#'!A:AL,34,FALSE)-VLOOKUP(B40,'SegEnds_NonXtal_Prot#'!A:AL,31,FALSE)</f>
        <v>42</v>
      </c>
      <c r="AN40" s="37"/>
    </row>
    <row r="41" spans="1:64" s="2" customFormat="1" x14ac:dyDescent="0.2">
      <c r="A41" s="2" t="s">
        <v>1275</v>
      </c>
      <c r="B41" s="2" t="s">
        <v>345</v>
      </c>
      <c r="C41" s="2">
        <f>IFERROR(50+VLOOKUP($A41,'SegEnds_Xtal_Prot#'!$A:$AY,5,FALSE)-VLOOKUP($B41,'SegEnds_NonXtal_Prot#'!$A:$AL,4,FALSE),"-")</f>
        <v>30</v>
      </c>
      <c r="D41" s="2">
        <f>IFERROR(50+VLOOKUP($A41,'SegEnds_Xtal_Prot#'!$A:$AY,7,FALSE)-VLOOKUP($B41,'SegEnds_NonXtal_Prot#'!$A:$AL,4,FALSE),"-")</f>
        <v>60</v>
      </c>
      <c r="E41" s="2" t="str">
        <f>IFERROR(50+VLOOKUP($A41,'SegEnds_Xtal_Prot#'!$A:$AY,9,FALSE)-VLOOKUP($B41,'SegEnds_NonXtal_Prot#'!$A:$AL,7,FALSE),"-")</f>
        <v>-</v>
      </c>
      <c r="F41" s="2" t="str">
        <f>IFERROR(50+VLOOKUP($A41,'SegEnds_Xtal_Prot#'!$A:$AY,11,FALSE)-VLOOKUP($B41,'SegEnds_NonXtal_Prot#'!$A:$AL,7,FALSE),"-")</f>
        <v>-</v>
      </c>
      <c r="G41" s="2">
        <f>IFERROR(50+VLOOKUP($A41,'SegEnds_Xtal_Prot#'!$A:$AY,13,FALSE)-VLOOKUP($B41,'SegEnds_NonXtal_Prot#'!$A:$AL,10,FALSE),"-")</f>
        <v>37</v>
      </c>
      <c r="H41" s="2">
        <f>IFERROR(50+VLOOKUP($A41,'SegEnds_Xtal_Prot#'!$A:$AY,15,FALSE)-VLOOKUP($B41,'SegEnds_NonXtal_Prot#'!$A:$AL,10,FALSE),"-")</f>
        <v>66</v>
      </c>
      <c r="I41" s="2">
        <f>IFERROR(50+VLOOKUP($A41,'SegEnds_Xtal_Prot#'!$A:$AY,17,FALSE)-VLOOKUP($B41,'SegEnds_NonXtal_Prot#'!$A:$AL,13,FALSE),"-")</f>
        <v>49</v>
      </c>
      <c r="J41" s="2">
        <f>IFERROR(50+VLOOKUP($A41,'SegEnds_Xtal_Prot#'!$A:$AY,19,FALSE)-VLOOKUP($B41,'SegEnds_NonXtal_Prot#'!$A:$AL,13,FALSE),"-")</f>
        <v>52</v>
      </c>
      <c r="K41" s="2">
        <f>IFERROR(50+VLOOKUP($A41,'SegEnds_Xtal_Prot#'!$A:$AY,21,FALSE)-VLOOKUP($B41,'SegEnds_NonXtal_Prot#'!$A:$AL,16,FALSE),"-")</f>
        <v>21</v>
      </c>
      <c r="L41" s="2">
        <f>IFERROR(50+VLOOKUP($A41,'SegEnds_Xtal_Prot#'!$A:$AY,23,FALSE)-VLOOKUP($B41,'SegEnds_NonXtal_Prot#'!$A:$AL,16,FALSE),"-")</f>
        <v>56</v>
      </c>
      <c r="M41" s="2">
        <f>IFERROR(50+VLOOKUP($A41,'SegEnds_Xtal_Prot#'!$A:$AY,25,FALSE)-VLOOKUP($B41,'SegEnds_NonXtal_Prot#'!$A:$AL,19,FALSE),"-")</f>
        <v>50</v>
      </c>
      <c r="N41" s="2">
        <f>IFERROR(50+VLOOKUP($A41,'SegEnds_Xtal_Prot#'!$A:$AY,27,FALSE)-VLOOKUP($B41,'SegEnds_NonXtal_Prot#'!$A:$AL,19,FALSE),"-")</f>
        <v>57</v>
      </c>
      <c r="O41" s="2">
        <f>IFERROR(50+VLOOKUP($A41,'SegEnds_Xtal_Prot#'!$A:$AY,29,FALSE)-VLOOKUP($B41,'SegEnds_NonXtal_Prot#'!$A:$AL,22,FALSE),"-")</f>
        <v>38</v>
      </c>
      <c r="P41" s="2">
        <f>IFERROR(50+VLOOKUP($A41,'SegEnds_Xtal_Prot#'!$A:$AY,31,FALSE)-VLOOKUP($B41,'SegEnds_NonXtal_Prot#'!$A:$AL,22,FALSE),"-")</f>
        <v>64</v>
      </c>
      <c r="Q41" s="2">
        <f>IFERROR(50+VLOOKUP($A41,'SegEnds_Xtal_Prot#'!$A:$AY,33,FALSE)-VLOOKUP($B41,'SegEnds_NonXtal_Prot#'!$A:$AL,25,FALSE),"-")</f>
        <v>50</v>
      </c>
      <c r="R41" s="2">
        <f>IFERROR(50+VLOOKUP($A41,'SegEnds_Xtal_Prot#'!$A:$AY,35,FALSE)-VLOOKUP($B41,'SegEnds_NonXtal_Prot#'!$A:$AL,25,FALSE),"-")</f>
        <v>52</v>
      </c>
      <c r="S41" s="2">
        <f>IFERROR(50+VLOOKUP($A41,'SegEnds_Xtal_Prot#'!$A:$AY,37,FALSE)-VLOOKUP($B41,'SegEnds_NonXtal_Prot#'!$A:$AL,28,FALSE),"-")</f>
        <v>32</v>
      </c>
      <c r="T41" s="2">
        <f>IFERROR(50+VLOOKUP($A41,'SegEnds_Xtal_Prot#'!$A:$AY,39,FALSE)-VLOOKUP($B41,'SegEnds_NonXtal_Prot#'!$A:$AL,28,FALSE),"-")</f>
        <v>68</v>
      </c>
      <c r="U41" s="2">
        <f>IFERROR(50+VLOOKUP($A41,'SegEnds_Xtal_Prot#'!$A:$AY,41,FALSE)-VLOOKUP($B41,'SegEnds_NonXtal_Prot#'!$A:$AL,31,FALSE),"-")</f>
        <v>28</v>
      </c>
      <c r="V41" s="2">
        <f>IFERROR(50+VLOOKUP($A41,'SegEnds_Xtal_Prot#'!$A:$AY,43,FALSE)-VLOOKUP($B41,'SegEnds_NonXtal_Prot#'!$A:$AL,31,FALSE),"-")</f>
        <v>64</v>
      </c>
      <c r="W41" s="2">
        <f>IFERROR(50+VLOOKUP($A41,'SegEnds_Xtal_Prot#'!$A:$AY,45,FALSE)-VLOOKUP($B41,'SegEnds_NonXtal_Prot#'!$A:$AL,34,FALSE),"-")</f>
        <v>24</v>
      </c>
      <c r="X41" s="2">
        <f>IFERROR(50+VLOOKUP($A41,'SegEnds_Xtal_Prot#'!$A:$AY,47,FALSE)-VLOOKUP($B41,'SegEnds_NonXtal_Prot#'!$A:$AL,34,FALSE),"-")</f>
        <v>56</v>
      </c>
      <c r="Y41" s="2">
        <f>IFERROR(50+VLOOKUP($A41,'SegEnds_Xtal_Prot#'!$A:$AY,49,FALSE)-VLOOKUP($B41,'SegEnds_NonXtal_Prot#'!$A:$AL,37,FALSE),"-")</f>
        <v>47</v>
      </c>
      <c r="Z41" s="2">
        <f>IFERROR(50+VLOOKUP($A41,'SegEnds_Xtal_Prot#'!$A:$AY,51,FALSE)-VLOOKUP($B41,'SegEnds_NonXtal_Prot#'!$A:$AL,37,FALSE),"-")</f>
        <v>59</v>
      </c>
      <c r="AA41" s="49" t="str">
        <f>VLOOKUP(B41,Classification!A:D,2,FALSE)</f>
        <v>A</v>
      </c>
      <c r="AB41" s="94" t="str">
        <f>VLOOKUP(B41,Classification!A:D,4,0)</f>
        <v>P2Y</v>
      </c>
      <c r="AC41" s="49" t="e">
        <f>VLOOKUP(B41,'SegEnds_NonXtal_Prot#'!A:AL,6,FALSE)-VLOOKUP(B41,'SegEnds_NonXtal_Prot#'!A:AL,5,FALSE)</f>
        <v>#VALUE!</v>
      </c>
      <c r="AD41" s="49" t="e">
        <f>VLOOKUP(B41,'SegEnds_NonXtal_Prot#'!A:AL,9,FALSE)-VLOOKUP(B41,'SegEnds_NonXtal_Prot#'!A:AL,8,FALSE)</f>
        <v>#VALUE!</v>
      </c>
      <c r="AE41" s="49">
        <f>VLOOKUP(B41,'SegEnds_NonXtal_Prot#'!A:AL,13,FALSE)-VLOOKUP(B41,'SegEnds_NonXtal_Prot#'!A:AL,10,FALSE)</f>
        <v>20</v>
      </c>
      <c r="AF41" s="49">
        <f>VLOOKUP(B41,'SegEnds_NonXtal_Prot#'!A:AL,12,FALSE)-VLOOKUP(B41,'SegEnds_NonXtal_Prot#'!A:AL,11,FALSE)</f>
        <v>3</v>
      </c>
      <c r="AG41" s="49">
        <f>VLOOKUP(B41,'SegEnds_NonXtal_Prot#'!A:AL,13,FALSE)-VLOOKUP(B41,'SegEnds_NonXtal_Prot#'!A:AL,11,FALSE)</f>
        <v>4</v>
      </c>
      <c r="AH41" s="49">
        <f>VLOOKUP(B41,'SegEnds_NonXtal_Prot#'!A:AL,16,FALSE)-VLOOKUP(B41,'SegEnds_NonXtal_Prot#'!A:AL,10,FALSE)</f>
        <v>52</v>
      </c>
      <c r="AI41" s="49">
        <f>VLOOKUP(B41,'SegEnds_NonXtal_Prot#'!A:AL,16,FALSE)-VLOOKUP(B41,'SegEnds_NonXtal_Prot#'!A:AL,11,FALSE)</f>
        <v>36</v>
      </c>
      <c r="AJ41" s="49">
        <f>VLOOKUP(B41,'SegEnds_NonXtal_Prot#'!A:AL,22,FALSE)-VLOOKUP(B41,'SegEnds_NonXtal_Prot#'!A:AL,19,FALSE)</f>
        <v>20</v>
      </c>
      <c r="AK41" s="49">
        <f>VLOOKUP(B41,'SegEnds_NonXtal_Prot#'!A:AL,15,FALSE)-VLOOKUP(B41,'SegEnds_NonXtal_Prot#'!A:AL,14,FALSE)</f>
        <v>1</v>
      </c>
      <c r="AL41" s="49">
        <f>VLOOKUP(B41,'SegEnds_NonXtal_Prot#'!A:AL,18,FALSE)-VLOOKUP(B41,'SegEnds_NonXtal_Prot#'!A:AL,17,FALSE)</f>
        <v>1</v>
      </c>
      <c r="AM41" s="2">
        <f>VLOOKUP(B41,'SegEnds_NonXtal_Prot#'!A:AL,34,FALSE)-VLOOKUP(B41,'SegEnds_NonXtal_Prot#'!A:AL,31,FALSE)</f>
        <v>46</v>
      </c>
      <c r="AN41" s="37"/>
    </row>
    <row r="42" spans="1:64" s="2" customFormat="1" x14ac:dyDescent="0.2">
      <c r="A42" s="2" t="s">
        <v>1276</v>
      </c>
      <c r="B42" s="2" t="s">
        <v>352</v>
      </c>
      <c r="C42" s="2">
        <f>IFERROR(50+VLOOKUP($A42,'SegEnds_Xtal_Prot#'!$A:$AY,5,FALSE)-VLOOKUP($B42,'SegEnds_NonXtal_Prot#'!$A:$AL,4,FALSE),"-")</f>
        <v>28</v>
      </c>
      <c r="D42" s="2">
        <f>IFERROR(50+VLOOKUP($A42,'SegEnds_Xtal_Prot#'!$A:$AY,7,FALSE)-VLOOKUP($B42,'SegEnds_NonXtal_Prot#'!$A:$AL,4,FALSE),"-")</f>
        <v>60</v>
      </c>
      <c r="E42" s="2" t="str">
        <f>IFERROR(50+VLOOKUP($A42,'SegEnds_Xtal_Prot#'!$A:$AY,9,FALSE)-VLOOKUP($B42,'SegEnds_NonXtal_Prot#'!$A:$AL,7,FALSE),"-")</f>
        <v>-</v>
      </c>
      <c r="F42" s="2" t="str">
        <f>IFERROR(50+VLOOKUP($A42,'SegEnds_Xtal_Prot#'!$A:$AY,11,FALSE)-VLOOKUP($B42,'SegEnds_NonXtal_Prot#'!$A:$AL,7,FALSE),"-")</f>
        <v>-</v>
      </c>
      <c r="G42" s="2">
        <f>IFERROR(50+VLOOKUP($A42,'SegEnds_Xtal_Prot#'!$A:$AY,13,FALSE)-VLOOKUP($B42,'SegEnds_NonXtal_Prot#'!$A:$AL,10,FALSE),"-")</f>
        <v>37</v>
      </c>
      <c r="H42" s="2">
        <f>IFERROR(50+VLOOKUP($A42,'SegEnds_Xtal_Prot#'!$A:$AY,15,FALSE)-VLOOKUP($B42,'SegEnds_NonXtal_Prot#'!$A:$AL,10,FALSE),"-")</f>
        <v>66</v>
      </c>
      <c r="I42" s="2" t="str">
        <f>IFERROR(50+VLOOKUP($A42,'SegEnds_Xtal_Prot#'!$A:$AY,17,FALSE)-VLOOKUP($B42,'SegEnds_NonXtal_Prot#'!$A:$AL,13,FALSE),"-")</f>
        <v>-</v>
      </c>
      <c r="J42" s="2" t="str">
        <f>IFERROR(50+VLOOKUP($A42,'SegEnds_Xtal_Prot#'!$A:$AY,19,FALSE)-VLOOKUP($B42,'SegEnds_NonXtal_Prot#'!$A:$AL,13,FALSE),"-")</f>
        <v>-</v>
      </c>
      <c r="K42" s="2">
        <f>IFERROR(50+VLOOKUP($A42,'SegEnds_Xtal_Prot#'!$A:$AY,21,FALSE)-VLOOKUP($B42,'SegEnds_NonXtal_Prot#'!$A:$AL,16,FALSE),"-")</f>
        <v>18</v>
      </c>
      <c r="L42" s="2">
        <f>IFERROR(50+VLOOKUP($A42,'SegEnds_Xtal_Prot#'!$A:$AY,23,FALSE)-VLOOKUP($B42,'SegEnds_NonXtal_Prot#'!$A:$AL,16,FALSE),"-")</f>
        <v>56</v>
      </c>
      <c r="M42" s="2">
        <f>IFERROR(50+VLOOKUP($A42,'SegEnds_Xtal_Prot#'!$A:$AY,25,FALSE)-VLOOKUP($B42,'SegEnds_NonXtal_Prot#'!$A:$AL,19,FALSE),"-")</f>
        <v>50</v>
      </c>
      <c r="N42" s="2">
        <f>IFERROR(50+VLOOKUP($A42,'SegEnds_Xtal_Prot#'!$A:$AY,27,FALSE)-VLOOKUP($B42,'SegEnds_NonXtal_Prot#'!$A:$AL,19,FALSE),"-")</f>
        <v>57</v>
      </c>
      <c r="O42" s="2">
        <f>IFERROR(50+VLOOKUP($A42,'SegEnds_Xtal_Prot#'!$A:$AY,29,FALSE)-VLOOKUP($B42,'SegEnds_NonXtal_Prot#'!$A:$AL,22,FALSE),"-")</f>
        <v>38</v>
      </c>
      <c r="P42" s="2">
        <f>IFERROR(50+VLOOKUP($A42,'SegEnds_Xtal_Prot#'!$A:$AY,31,FALSE)-VLOOKUP($B42,'SegEnds_NonXtal_Prot#'!$A:$AL,22,FALSE),"-")</f>
        <v>64</v>
      </c>
      <c r="Q42" s="2">
        <f>IFERROR(50+VLOOKUP($A42,'SegEnds_Xtal_Prot#'!$A:$AY,33,FALSE)-VLOOKUP($B42,'SegEnds_NonXtal_Prot#'!$A:$AL,25,FALSE),"-")</f>
        <v>50</v>
      </c>
      <c r="R42" s="2">
        <f>IFERROR(50+VLOOKUP($A42,'SegEnds_Xtal_Prot#'!$A:$AY,35,FALSE)-VLOOKUP($B42,'SegEnds_NonXtal_Prot#'!$A:$AL,25,FALSE),"-")</f>
        <v>52</v>
      </c>
      <c r="S42" s="2">
        <f>IFERROR(50+VLOOKUP($A42,'SegEnds_Xtal_Prot#'!$A:$AY,37,FALSE)-VLOOKUP($B42,'SegEnds_NonXtal_Prot#'!$A:$AL,28,FALSE),"-")</f>
        <v>30</v>
      </c>
      <c r="T42" s="2">
        <f>IFERROR(50+VLOOKUP($A42,'SegEnds_Xtal_Prot#'!$A:$AY,39,FALSE)-VLOOKUP($B42,'SegEnds_NonXtal_Prot#'!$A:$AL,28,FALSE),"-")</f>
        <v>72</v>
      </c>
      <c r="U42" s="2">
        <f>IFERROR(50+VLOOKUP($A42,'SegEnds_Xtal_Prot#'!$A:$AY,41,FALSE)-VLOOKUP($B42,'SegEnds_NonXtal_Prot#'!$A:$AL,31,FALSE),"-")</f>
        <v>29</v>
      </c>
      <c r="V42" s="2">
        <f>IFERROR(50+VLOOKUP($A42,'SegEnds_Xtal_Prot#'!$A:$AY,43,FALSE)-VLOOKUP($B42,'SegEnds_NonXtal_Prot#'!$A:$AL,31,FALSE),"-")</f>
        <v>64</v>
      </c>
      <c r="W42" s="2">
        <f>IFERROR(50+VLOOKUP($A42,'SegEnds_Xtal_Prot#'!$A:$AY,45,FALSE)-VLOOKUP($B42,'SegEnds_NonXtal_Prot#'!$A:$AL,34,FALSE),"-")</f>
        <v>24</v>
      </c>
      <c r="X42" s="2">
        <f>IFERROR(50+VLOOKUP($A42,'SegEnds_Xtal_Prot#'!$A:$AY,47,FALSE)-VLOOKUP($B42,'SegEnds_NonXtal_Prot#'!$A:$AL,34,FALSE),"-")</f>
        <v>56</v>
      </c>
      <c r="Y42" s="2">
        <f>IFERROR(50+VLOOKUP($A42,'SegEnds_Xtal_Prot#'!$A:$AY,49,FALSE)-VLOOKUP($B42,'SegEnds_NonXtal_Prot#'!$A:$AL,37,FALSE),"-")</f>
        <v>47</v>
      </c>
      <c r="Z42" s="2">
        <f>IFERROR(50+VLOOKUP($A42,'SegEnds_Xtal_Prot#'!$A:$AY,51,FALSE)-VLOOKUP($B42,'SegEnds_NonXtal_Prot#'!$A:$AL,37,FALSE),"-")</f>
        <v>57</v>
      </c>
      <c r="AA42" s="49" t="str">
        <f>VLOOKUP(B42,Classification!A:D,2,FALSE)</f>
        <v>A</v>
      </c>
      <c r="AB42" s="94" t="str">
        <f>VLOOKUP(B42,Classification!A:D,4,0)</f>
        <v>P2Y</v>
      </c>
      <c r="AC42" s="49" t="e">
        <f>VLOOKUP(B42,'SegEnds_NonXtal_Prot#'!A:AL,6,FALSE)-VLOOKUP(B42,'SegEnds_NonXtal_Prot#'!A:AL,5,FALSE)</f>
        <v>#VALUE!</v>
      </c>
      <c r="AD42" s="49" t="e">
        <f>VLOOKUP(B42,'SegEnds_NonXtal_Prot#'!A:AL,9,FALSE)-VLOOKUP(B42,'SegEnds_NonXtal_Prot#'!A:AL,8,FALSE)</f>
        <v>#VALUE!</v>
      </c>
      <c r="AE42" s="49" t="e">
        <f>VLOOKUP(B42,'SegEnds_NonXtal_Prot#'!A:AL,13,FALSE)-VLOOKUP(B42,'SegEnds_NonXtal_Prot#'!A:AL,10,FALSE)</f>
        <v>#VALUE!</v>
      </c>
      <c r="AF42" s="49" t="e">
        <f>VLOOKUP(B42,'SegEnds_NonXtal_Prot#'!A:AL,12,FALSE)-VLOOKUP(B42,'SegEnds_NonXtal_Prot#'!A:AL,11,FALSE)</f>
        <v>#VALUE!</v>
      </c>
      <c r="AG42" s="49" t="e">
        <f>VLOOKUP(B42,'SegEnds_NonXtal_Prot#'!A:AL,13,FALSE)-VLOOKUP(B42,'SegEnds_NonXtal_Prot#'!A:AL,11,FALSE)</f>
        <v>#VALUE!</v>
      </c>
      <c r="AH42" s="49">
        <f>VLOOKUP(B42,'SegEnds_NonXtal_Prot#'!A:AL,16,FALSE)-VLOOKUP(B42,'SegEnds_NonXtal_Prot#'!A:AL,10,FALSE)</f>
        <v>52</v>
      </c>
      <c r="AI42" s="49">
        <f>VLOOKUP(B42,'SegEnds_NonXtal_Prot#'!A:AL,16,FALSE)-VLOOKUP(B42,'SegEnds_NonXtal_Prot#'!A:AL,11,FALSE)</f>
        <v>36</v>
      </c>
      <c r="AJ42" s="49">
        <f>VLOOKUP(B42,'SegEnds_NonXtal_Prot#'!A:AL,22,FALSE)-VLOOKUP(B42,'SegEnds_NonXtal_Prot#'!A:AL,19,FALSE)</f>
        <v>20</v>
      </c>
      <c r="AK42" s="49" t="e">
        <f>VLOOKUP(B42,'SegEnds_NonXtal_Prot#'!A:AL,15,FALSE)-VLOOKUP(B42,'SegEnds_NonXtal_Prot#'!A:AL,14,FALSE)</f>
        <v>#VALUE!</v>
      </c>
      <c r="AL42" s="49">
        <f>VLOOKUP(B42,'SegEnds_NonXtal_Prot#'!A:AL,18,FALSE)-VLOOKUP(B42,'SegEnds_NonXtal_Prot#'!A:AL,17,FALSE)</f>
        <v>1</v>
      </c>
      <c r="AM42" s="2">
        <f>VLOOKUP(B42,'SegEnds_NonXtal_Prot#'!A:AL,34,FALSE)-VLOOKUP(B42,'SegEnds_NonXtal_Prot#'!A:AL,31,FALSE)</f>
        <v>44</v>
      </c>
      <c r="AN42" s="37"/>
    </row>
    <row r="43" spans="1:64" s="2" customFormat="1" x14ac:dyDescent="0.2">
      <c r="A43" s="2" t="s">
        <v>1277</v>
      </c>
      <c r="B43" s="2" t="s">
        <v>355</v>
      </c>
      <c r="C43" s="2">
        <f>IFERROR(50+VLOOKUP($A43,'SegEnds_Xtal_Prot#'!$A:$AY,5,FALSE)-VLOOKUP($B43,'SegEnds_NonXtal_Prot#'!$A:$AL,4,FALSE),"-")</f>
        <v>29</v>
      </c>
      <c r="D43" s="2">
        <f>IFERROR(50+VLOOKUP($A43,'SegEnds_Xtal_Prot#'!$A:$AY,7,FALSE)-VLOOKUP($B43,'SegEnds_NonXtal_Prot#'!$A:$AL,4,FALSE),"-")</f>
        <v>60</v>
      </c>
      <c r="E43" s="2">
        <f>IFERROR(50+VLOOKUP($A43,'SegEnds_Xtal_Prot#'!$A:$AY,9,FALSE)-VLOOKUP($B43,'SegEnds_NonXtal_Prot#'!$A:$AL,7,FALSE),"-")</f>
        <v>48</v>
      </c>
      <c r="F43" s="2">
        <f>IFERROR(50+VLOOKUP($A43,'SegEnds_Xtal_Prot#'!$A:$AY,11,FALSE)-VLOOKUP($B43,'SegEnds_NonXtal_Prot#'!$A:$AL,7,FALSE),"-")</f>
        <v>51</v>
      </c>
      <c r="G43" s="2">
        <f>IFERROR(50+VLOOKUP($A43,'SegEnds_Xtal_Prot#'!$A:$AY,13,FALSE)-VLOOKUP($B43,'SegEnds_NonXtal_Prot#'!$A:$AL,10,FALSE),"-")</f>
        <v>37</v>
      </c>
      <c r="H43" s="2">
        <f>IFERROR(50+VLOOKUP($A43,'SegEnds_Xtal_Prot#'!$A:$AY,15,FALSE)-VLOOKUP($B43,'SegEnds_NonXtal_Prot#'!$A:$AL,10,FALSE),"-")</f>
        <v>66</v>
      </c>
      <c r="I43" s="2">
        <f>IFERROR(50+VLOOKUP($A43,'SegEnds_Xtal_Prot#'!$A:$AY,17,FALSE)-VLOOKUP($B43,'SegEnds_NonXtal_Prot#'!$A:$AL,13,FALSE),"-")</f>
        <v>49</v>
      </c>
      <c r="J43" s="2">
        <f>IFERROR(50+VLOOKUP($A43,'SegEnds_Xtal_Prot#'!$A:$AY,19,FALSE)-VLOOKUP($B43,'SegEnds_NonXtal_Prot#'!$A:$AL,13,FALSE),"-")</f>
        <v>52</v>
      </c>
      <c r="K43" s="2">
        <f>IFERROR(50+VLOOKUP($A43,'SegEnds_Xtal_Prot#'!$A:$AY,21,FALSE)-VLOOKUP($B43,'SegEnds_NonXtal_Prot#'!$A:$AL,16,FALSE),"-")</f>
        <v>21</v>
      </c>
      <c r="L43" s="2">
        <f>IFERROR(50+VLOOKUP($A43,'SegEnds_Xtal_Prot#'!$A:$AY,23,FALSE)-VLOOKUP($B43,'SegEnds_NonXtal_Prot#'!$A:$AL,16,FALSE),"-")</f>
        <v>56</v>
      </c>
      <c r="M43" s="2">
        <f>IFERROR(50+VLOOKUP($A43,'SegEnds_Xtal_Prot#'!$A:$AY,25,FALSE)-VLOOKUP($B43,'SegEnds_NonXtal_Prot#'!$A:$AL,19,FALSE),"-")</f>
        <v>50</v>
      </c>
      <c r="N43" s="2">
        <f>IFERROR(50+VLOOKUP($A43,'SegEnds_Xtal_Prot#'!$A:$AY,27,FALSE)-VLOOKUP($B43,'SegEnds_NonXtal_Prot#'!$A:$AL,19,FALSE),"-")</f>
        <v>57</v>
      </c>
      <c r="O43" s="2">
        <f>IFERROR(50+VLOOKUP($A43,'SegEnds_Xtal_Prot#'!$A:$AY,29,FALSE)-VLOOKUP($B43,'SegEnds_NonXtal_Prot#'!$A:$AL,22,FALSE),"-")</f>
        <v>38</v>
      </c>
      <c r="P43" s="2">
        <f>IFERROR(50+VLOOKUP($A43,'SegEnds_Xtal_Prot#'!$A:$AY,31,FALSE)-VLOOKUP($B43,'SegEnds_NonXtal_Prot#'!$A:$AL,22,FALSE),"-")</f>
        <v>63</v>
      </c>
      <c r="Q43" s="2">
        <f>IFERROR(50+VLOOKUP($A43,'SegEnds_Xtal_Prot#'!$A:$AY,33,FALSE)-VLOOKUP($B43,'SegEnds_NonXtal_Prot#'!$A:$AL,25,FALSE),"-")</f>
        <v>50</v>
      </c>
      <c r="R43" s="2">
        <f>IFERROR(50+VLOOKUP($A43,'SegEnds_Xtal_Prot#'!$A:$AY,35,FALSE)-VLOOKUP($B43,'SegEnds_NonXtal_Prot#'!$A:$AL,25,FALSE),"-")</f>
        <v>52</v>
      </c>
      <c r="S43" s="2">
        <f>IFERROR(50+VLOOKUP($A43,'SegEnds_Xtal_Prot#'!$A:$AY,37,FALSE)-VLOOKUP($B43,'SegEnds_NonXtal_Prot#'!$A:$AL,28,FALSE),"-")</f>
        <v>32</v>
      </c>
      <c r="T43" s="2">
        <f>IFERROR(50+VLOOKUP($A43,'SegEnds_Xtal_Prot#'!$A:$AY,39,FALSE)-VLOOKUP($B43,'SegEnds_NonXtal_Prot#'!$A:$AL,28,FALSE),"-")</f>
        <v>67</v>
      </c>
      <c r="U43" s="2">
        <f>IFERROR(50+VLOOKUP($A43,'SegEnds_Xtal_Prot#'!$A:$AY,41,FALSE)-VLOOKUP($B43,'SegEnds_NonXtal_Prot#'!$A:$AL,31,FALSE),"-")</f>
        <v>26</v>
      </c>
      <c r="V43" s="2">
        <f>IFERROR(50+VLOOKUP($A43,'SegEnds_Xtal_Prot#'!$A:$AY,43,FALSE)-VLOOKUP($B43,'SegEnds_NonXtal_Prot#'!$A:$AL,31,FALSE),"-")</f>
        <v>62</v>
      </c>
      <c r="W43" s="2">
        <f>IFERROR(50+VLOOKUP($A43,'SegEnds_Xtal_Prot#'!$A:$AY,45,FALSE)-VLOOKUP($B43,'SegEnds_NonXtal_Prot#'!$A:$AL,34,FALSE),"-")</f>
        <v>28</v>
      </c>
      <c r="X43" s="2">
        <f>IFERROR(50+VLOOKUP($A43,'SegEnds_Xtal_Prot#'!$A:$AY,47,FALSE)-VLOOKUP($B43,'SegEnds_NonXtal_Prot#'!$A:$AL,34,FALSE),"-")</f>
        <v>56</v>
      </c>
      <c r="Y43" s="2">
        <f>IFERROR(50+VLOOKUP($A43,'SegEnds_Xtal_Prot#'!$A:$AY,49,FALSE)-VLOOKUP($B43,'SegEnds_NonXtal_Prot#'!$A:$AL,37,FALSE),"-")</f>
        <v>47</v>
      </c>
      <c r="Z43" s="2">
        <f>IFERROR(50+VLOOKUP($A43,'SegEnds_Xtal_Prot#'!$A:$AY,51,FALSE)-VLOOKUP($B43,'SegEnds_NonXtal_Prot#'!$A:$AL,37,FALSE),"-")</f>
        <v>61</v>
      </c>
      <c r="AA43" s="49" t="str">
        <f>VLOOKUP(B43,Classification!A:D,2,FALSE)</f>
        <v>A</v>
      </c>
      <c r="AB43" s="94" t="str">
        <f>VLOOKUP(B43,Classification!A:D,4,0)</f>
        <v>Proteinase-activated</v>
      </c>
      <c r="AC43" s="49">
        <f>VLOOKUP(B43,'SegEnds_NonXtal_Prot#'!A:AL,6,FALSE)-VLOOKUP(B43,'SegEnds_NonXtal_Prot#'!A:AL,5,FALSE)</f>
        <v>1</v>
      </c>
      <c r="AD43" s="49">
        <f>VLOOKUP(B43,'SegEnds_NonXtal_Prot#'!A:AL,9,FALSE)-VLOOKUP(B43,'SegEnds_NonXtal_Prot#'!A:AL,8,FALSE)</f>
        <v>1</v>
      </c>
      <c r="AE43" s="49">
        <f>VLOOKUP(B43,'SegEnds_NonXtal_Prot#'!A:AL,13,FALSE)-VLOOKUP(B43,'SegEnds_NonXtal_Prot#'!A:AL,10,FALSE)</f>
        <v>20</v>
      </c>
      <c r="AF43" s="49">
        <f>VLOOKUP(B43,'SegEnds_NonXtal_Prot#'!A:AL,12,FALSE)-VLOOKUP(B43,'SegEnds_NonXtal_Prot#'!A:AL,11,FALSE)</f>
        <v>3</v>
      </c>
      <c r="AG43" s="49">
        <f>VLOOKUP(B43,'SegEnds_NonXtal_Prot#'!A:AL,13,FALSE)-VLOOKUP(B43,'SegEnds_NonXtal_Prot#'!A:AL,11,FALSE)</f>
        <v>4</v>
      </c>
      <c r="AH43" s="49">
        <f>VLOOKUP(B43,'SegEnds_NonXtal_Prot#'!A:AL,16,FALSE)-VLOOKUP(B43,'SegEnds_NonXtal_Prot#'!A:AL,10,FALSE)</f>
        <v>52</v>
      </c>
      <c r="AI43" s="49">
        <f>VLOOKUP(B43,'SegEnds_NonXtal_Prot#'!A:AL,16,FALSE)-VLOOKUP(B43,'SegEnds_NonXtal_Prot#'!A:AL,11,FALSE)</f>
        <v>36</v>
      </c>
      <c r="AJ43" s="49">
        <f>VLOOKUP(B43,'SegEnds_NonXtal_Prot#'!A:AL,22,FALSE)-VLOOKUP(B43,'SegEnds_NonXtal_Prot#'!A:AL,19,FALSE)</f>
        <v>20</v>
      </c>
      <c r="AK43" s="49">
        <f>VLOOKUP(B43,'SegEnds_NonXtal_Prot#'!A:AL,15,FALSE)-VLOOKUP(B43,'SegEnds_NonXtal_Prot#'!A:AL,14,FALSE)</f>
        <v>1</v>
      </c>
      <c r="AL43" s="49">
        <f>VLOOKUP(B43,'SegEnds_NonXtal_Prot#'!A:AL,18,FALSE)-VLOOKUP(B43,'SegEnds_NonXtal_Prot#'!A:AL,17,FALSE)</f>
        <v>1</v>
      </c>
      <c r="AM43" s="2">
        <f>VLOOKUP(B43,'SegEnds_NonXtal_Prot#'!A:AL,34,FALSE)-VLOOKUP(B43,'SegEnds_NonXtal_Prot#'!A:AL,31,FALSE)</f>
        <v>40</v>
      </c>
      <c r="AN43" s="37"/>
    </row>
    <row r="44" spans="1:64" s="2" customFormat="1" x14ac:dyDescent="0.2">
      <c r="A44" s="2" t="s">
        <v>1405</v>
      </c>
      <c r="B44" s="2" t="s">
        <v>356</v>
      </c>
      <c r="C44" s="2">
        <f>IFERROR(50+VLOOKUP($A44,'SegEnds_Xtal_Prot#'!$A:$AY,5,FALSE)-VLOOKUP($B44,'SegEnds_NonXtal_Prot#'!$A:$AL,4,FALSE),"-")</f>
        <v>28</v>
      </c>
      <c r="D44" s="2">
        <f>IFERROR(50+VLOOKUP($A44,'SegEnds_Xtal_Prot#'!$A:$AY,7,FALSE)-VLOOKUP($B44,'SegEnds_NonXtal_Prot#'!$A:$AL,4,FALSE),"-")</f>
        <v>60</v>
      </c>
      <c r="E44" s="2" t="str">
        <f>IFERROR(50+VLOOKUP($A44,'SegEnds_Xtal_Prot#'!$A:$AY,9,FALSE)-VLOOKUP($B44,'SegEnds_NonXtal_Prot#'!$A:$AL,7,FALSE),"-")</f>
        <v>-</v>
      </c>
      <c r="F44" s="2" t="str">
        <f>IFERROR(50+VLOOKUP($A44,'SegEnds_Xtal_Prot#'!$A:$AY,11,FALSE)-VLOOKUP($B44,'SegEnds_NonXtal_Prot#'!$A:$AL,7,FALSE),"-")</f>
        <v>-</v>
      </c>
      <c r="G44" s="2">
        <f>IFERROR(50+VLOOKUP($A44,'SegEnds_Xtal_Prot#'!$A:$AY,13,FALSE)-VLOOKUP($B44,'SegEnds_NonXtal_Prot#'!$A:$AL,10,FALSE),"-")</f>
        <v>37</v>
      </c>
      <c r="H44" s="2">
        <f>IFERROR(50+VLOOKUP($A44,'SegEnds_Xtal_Prot#'!$A:$AY,15,FALSE)-VLOOKUP($B44,'SegEnds_NonXtal_Prot#'!$A:$AL,10,FALSE),"-")</f>
        <v>66</v>
      </c>
      <c r="I44" s="2">
        <f>IFERROR(50+VLOOKUP($A44,'SegEnds_Xtal_Prot#'!$A:$AY,17,FALSE)-VLOOKUP($B44,'SegEnds_NonXtal_Prot#'!$A:$AL,13,FALSE),"-")</f>
        <v>47</v>
      </c>
      <c r="J44" s="2">
        <f>IFERROR(50+VLOOKUP($A44,'SegEnds_Xtal_Prot#'!$A:$AY,19,FALSE)-VLOOKUP($B44,'SegEnds_NonXtal_Prot#'!$A:$AL,13,FALSE),"-")</f>
        <v>52</v>
      </c>
      <c r="K44" s="2">
        <f>IFERROR(50+VLOOKUP($A44,'SegEnds_Xtal_Prot#'!$A:$AY,21,FALSE)-VLOOKUP($B44,'SegEnds_NonXtal_Prot#'!$A:$AL,16,FALSE),"-")</f>
        <v>21</v>
      </c>
      <c r="L44" s="2">
        <f>IFERROR(50+VLOOKUP($A44,'SegEnds_Xtal_Prot#'!$A:$AY,23,FALSE)-VLOOKUP($B44,'SegEnds_NonXtal_Prot#'!$A:$AL,16,FALSE),"-")</f>
        <v>56</v>
      </c>
      <c r="M44" s="2">
        <f>IFERROR(50+VLOOKUP($A44,'SegEnds_Xtal_Prot#'!$A:$AY,25,FALSE)-VLOOKUP($B44,'SegEnds_NonXtal_Prot#'!$A:$AL,19,FALSE),"-")</f>
        <v>50</v>
      </c>
      <c r="N44" s="2">
        <f>IFERROR(50+VLOOKUP($A44,'SegEnds_Xtal_Prot#'!$A:$AY,27,FALSE)-VLOOKUP($B44,'SegEnds_NonXtal_Prot#'!$A:$AL,19,FALSE),"-")</f>
        <v>56</v>
      </c>
      <c r="O44" s="2">
        <f>IFERROR(50+VLOOKUP($A44,'SegEnds_Xtal_Prot#'!$A:$AY,29,FALSE)-VLOOKUP($B44,'SegEnds_NonXtal_Prot#'!$A:$AL,22,FALSE),"-")</f>
        <v>38</v>
      </c>
      <c r="P44" s="2">
        <f>IFERROR(50+VLOOKUP($A44,'SegEnds_Xtal_Prot#'!$A:$AY,31,FALSE)-VLOOKUP($B44,'SegEnds_NonXtal_Prot#'!$A:$AL,22,FALSE),"-")</f>
        <v>62</v>
      </c>
      <c r="Q44" s="2">
        <f>IFERROR(50+VLOOKUP($A44,'SegEnds_Xtal_Prot#'!$A:$AY,33,FALSE)-VLOOKUP($B44,'SegEnds_NonXtal_Prot#'!$A:$AL,25,FALSE),"-")</f>
        <v>50</v>
      </c>
      <c r="R44" s="2">
        <f>IFERROR(50+VLOOKUP($A44,'SegEnds_Xtal_Prot#'!$A:$AY,35,FALSE)-VLOOKUP($B44,'SegEnds_NonXtal_Prot#'!$A:$AL,25,FALSE),"-")</f>
        <v>52</v>
      </c>
      <c r="S44" s="2">
        <f>IFERROR(50+VLOOKUP($A44,'SegEnds_Xtal_Prot#'!$A:$AY,37,FALSE)-VLOOKUP($B44,'SegEnds_NonXtal_Prot#'!$A:$AL,28,FALSE),"-")</f>
        <v>31</v>
      </c>
      <c r="T44" s="2">
        <f>IFERROR(50+VLOOKUP($A44,'SegEnds_Xtal_Prot#'!$A:$AY,39,FALSE)-VLOOKUP($B44,'SegEnds_NonXtal_Prot#'!$A:$AL,28,FALSE),"-")</f>
        <v>68</v>
      </c>
      <c r="U44" s="2">
        <f>IFERROR(50+VLOOKUP($A44,'SegEnds_Xtal_Prot#'!$A:$AY,41,FALSE)-VLOOKUP($B44,'SegEnds_NonXtal_Prot#'!$A:$AL,31,FALSE),"-")</f>
        <v>26</v>
      </c>
      <c r="V44" s="2">
        <f>IFERROR(50+VLOOKUP($A44,'SegEnds_Xtal_Prot#'!$A:$AY,43,FALSE)-VLOOKUP($B44,'SegEnds_NonXtal_Prot#'!$A:$AL,31,FALSE),"-")</f>
        <v>65</v>
      </c>
      <c r="W44" s="2">
        <f>IFERROR(50+VLOOKUP($A44,'SegEnds_Xtal_Prot#'!$A:$AY,45,FALSE)-VLOOKUP($B44,'SegEnds_NonXtal_Prot#'!$A:$AL,34,FALSE),"-")</f>
        <v>31</v>
      </c>
      <c r="X44" s="2">
        <f>IFERROR(50+VLOOKUP($A44,'SegEnds_Xtal_Prot#'!$A:$AY,47,FALSE)-VLOOKUP($B44,'SegEnds_NonXtal_Prot#'!$A:$AL,34,FALSE),"-")</f>
        <v>56</v>
      </c>
      <c r="Y44" s="2">
        <f>IFERROR(50+VLOOKUP($A44,'SegEnds_Xtal_Prot#'!$A:$AY,49,FALSE)-VLOOKUP($B44,'SegEnds_NonXtal_Prot#'!$A:$AL,37,FALSE),"-")</f>
        <v>47</v>
      </c>
      <c r="Z44" s="2">
        <f>IFERROR(50+VLOOKUP($A44,'SegEnds_Xtal_Prot#'!$A:$AY,51,FALSE)-VLOOKUP($B44,'SegEnds_NonXtal_Prot#'!$A:$AL,37,FALSE),"-")</f>
        <v>61</v>
      </c>
      <c r="AA44" s="49" t="str">
        <f>VLOOKUP(B44,Classification!A:D,2,FALSE)</f>
        <v>A</v>
      </c>
      <c r="AB44" s="94" t="str">
        <f>VLOOKUP(B44,Classification!A:D,4,0)</f>
        <v>Proteinase-activated</v>
      </c>
      <c r="AC44" s="49" t="e">
        <f>VLOOKUP(B44,'SegEnds_NonXtal_Prot#'!A:AL,6,FALSE)-VLOOKUP(B44,'SegEnds_NonXtal_Prot#'!A:AL,5,FALSE)</f>
        <v>#VALUE!</v>
      </c>
      <c r="AD44" s="49" t="e">
        <f>VLOOKUP(B44,'SegEnds_NonXtal_Prot#'!A:AL,9,FALSE)-VLOOKUP(B44,'SegEnds_NonXtal_Prot#'!A:AL,8,FALSE)</f>
        <v>#VALUE!</v>
      </c>
      <c r="AE44" s="49">
        <f>VLOOKUP(B44,'SegEnds_NonXtal_Prot#'!A:AL,13,FALSE)-VLOOKUP(B44,'SegEnds_NonXtal_Prot#'!A:AL,10,FALSE)</f>
        <v>20</v>
      </c>
      <c r="AF44" s="49">
        <f>VLOOKUP(B44,'SegEnds_NonXtal_Prot#'!A:AL,12,FALSE)-VLOOKUP(B44,'SegEnds_NonXtal_Prot#'!A:AL,11,FALSE)</f>
        <v>3</v>
      </c>
      <c r="AG44" s="49">
        <f>VLOOKUP(B44,'SegEnds_NonXtal_Prot#'!A:AL,13,FALSE)-VLOOKUP(B44,'SegEnds_NonXtal_Prot#'!A:AL,11,FALSE)</f>
        <v>4</v>
      </c>
      <c r="AH44" s="49">
        <f>VLOOKUP(B44,'SegEnds_NonXtal_Prot#'!A:AL,16,FALSE)-VLOOKUP(B44,'SegEnds_NonXtal_Prot#'!A:AL,10,FALSE)</f>
        <v>52</v>
      </c>
      <c r="AI44" s="49">
        <f>VLOOKUP(B44,'SegEnds_NonXtal_Prot#'!A:AL,16,FALSE)-VLOOKUP(B44,'SegEnds_NonXtal_Prot#'!A:AL,11,FALSE)</f>
        <v>36</v>
      </c>
      <c r="AJ44" s="49">
        <f>VLOOKUP(B44,'SegEnds_NonXtal_Prot#'!A:AL,22,FALSE)-VLOOKUP(B44,'SegEnds_NonXtal_Prot#'!A:AL,19,FALSE)</f>
        <v>19</v>
      </c>
      <c r="AK44" s="49">
        <f>VLOOKUP(B44,'SegEnds_NonXtal_Prot#'!A:AL,15,FALSE)-VLOOKUP(B44,'SegEnds_NonXtal_Prot#'!A:AL,14,FALSE)</f>
        <v>1</v>
      </c>
      <c r="AL44" s="49">
        <f>VLOOKUP(B44,'SegEnds_NonXtal_Prot#'!A:AL,18,FALSE)-VLOOKUP(B44,'SegEnds_NonXtal_Prot#'!A:AL,17,FALSE)</f>
        <v>1</v>
      </c>
      <c r="AM44" s="2">
        <f>VLOOKUP(B44,'SegEnds_NonXtal_Prot#'!A:AL,34,FALSE)-VLOOKUP(B44,'SegEnds_NonXtal_Prot#'!A:AL,31,FALSE)</f>
        <v>39</v>
      </c>
      <c r="AN44" s="37"/>
    </row>
    <row r="45" spans="1:64" s="2" customFormat="1" x14ac:dyDescent="0.2">
      <c r="A45" s="2" t="s">
        <v>1411</v>
      </c>
      <c r="B45" s="2" t="s">
        <v>401</v>
      </c>
      <c r="C45" s="2">
        <f>IFERROR(50+VLOOKUP($A45,'SegEnds_Xtal_Prot#'!$A:$AY,5,FALSE)-VLOOKUP($B45,'SegEnds_NonXtal_Prot#'!$A:$AL,4,FALSE),"-")</f>
        <v>19</v>
      </c>
      <c r="D45" s="2">
        <f>IFERROR(50+VLOOKUP($A45,'SegEnds_Xtal_Prot#'!$A:$AY,7,FALSE)-VLOOKUP($B45,'SegEnds_NonXtal_Prot#'!$A:$AL,4,FALSE),"-")</f>
        <v>60</v>
      </c>
      <c r="E45" s="2">
        <f>IFERROR(50+VLOOKUP($A45,'SegEnds_Xtal_Prot#'!$A:$AY,9,FALSE)-VLOOKUP($B45,'SegEnds_NonXtal_Prot#'!$A:$AL,7,FALSE),"-")</f>
        <v>48</v>
      </c>
      <c r="F45" s="2">
        <f>IFERROR(50+VLOOKUP($A45,'SegEnds_Xtal_Prot#'!$A:$AY,11,FALSE)-VLOOKUP($B45,'SegEnds_NonXtal_Prot#'!$A:$AL,7,FALSE),"-")</f>
        <v>51</v>
      </c>
      <c r="G45" s="2">
        <f>IFERROR(50+VLOOKUP($A45,'SegEnds_Xtal_Prot#'!$A:$AY,13,FALSE)-VLOOKUP($B45,'SegEnds_NonXtal_Prot#'!$A:$AL,10,FALSE),"-")</f>
        <v>37</v>
      </c>
      <c r="H45" s="2">
        <f>IFERROR(50+VLOOKUP($A45,'SegEnds_Xtal_Prot#'!$A:$AY,15,FALSE)-VLOOKUP($B45,'SegEnds_NonXtal_Prot#'!$A:$AL,10,FALSE),"-")</f>
        <v>64</v>
      </c>
      <c r="I45" s="2" t="str">
        <f>IFERROR(50+VLOOKUP($A45,'SegEnds_Xtal_Prot#'!$A:$AY,17,FALSE)-VLOOKUP($B45,'SegEnds_NonXtal_Prot#'!$A:$AL,13,FALSE),"-")</f>
        <v>-</v>
      </c>
      <c r="J45" s="2" t="str">
        <f>IFERROR(50+VLOOKUP($A45,'SegEnds_Xtal_Prot#'!$A:$AY,19,FALSE)-VLOOKUP($B45,'SegEnds_NonXtal_Prot#'!$A:$AL,13,FALSE),"-")</f>
        <v>-</v>
      </c>
      <c r="K45" s="2">
        <f>IFERROR(50+VLOOKUP($A45,'SegEnds_Xtal_Prot#'!$A:$AY,21,FALSE)-VLOOKUP($B45,'SegEnds_NonXtal_Prot#'!$A:$AL,16,FALSE),"-")</f>
        <v>23</v>
      </c>
      <c r="L45" s="2">
        <f>IFERROR(50+VLOOKUP($A45,'SegEnds_Xtal_Prot#'!$A:$AY,23,FALSE)-VLOOKUP($B45,'SegEnds_NonXtal_Prot#'!$A:$AL,16,FALSE),"-")</f>
        <v>56</v>
      </c>
      <c r="M45" s="2" t="str">
        <f>IFERROR(50+VLOOKUP($A45,'SegEnds_Xtal_Prot#'!$A:$AY,25,FALSE)-VLOOKUP($B45,'SegEnds_NonXtal_Prot#'!$A:$AL,19,FALSE),"-")</f>
        <v>-</v>
      </c>
      <c r="N45" s="2" t="str">
        <f>IFERROR(50+VLOOKUP($A45,'SegEnds_Xtal_Prot#'!$A:$AY,27,FALSE)-VLOOKUP($B45,'SegEnds_NonXtal_Prot#'!$A:$AL,19,FALSE),"-")</f>
        <v>-</v>
      </c>
      <c r="O45" s="2">
        <f>IFERROR(50+VLOOKUP($A45,'SegEnds_Xtal_Prot#'!$A:$AY,29,FALSE)-VLOOKUP($B45,'SegEnds_NonXtal_Prot#'!$A:$AL,22,FALSE),"-")</f>
        <v>41</v>
      </c>
      <c r="P45" s="2">
        <f>IFERROR(50+VLOOKUP($A45,'SegEnds_Xtal_Prot#'!$A:$AY,31,FALSE)-VLOOKUP($B45,'SegEnds_NonXtal_Prot#'!$A:$AL,22,FALSE),"-")</f>
        <v>68</v>
      </c>
      <c r="Q45" s="2">
        <f>IFERROR(50+VLOOKUP($A45,'SegEnds_Xtal_Prot#'!$A:$AY,33,FALSE)-VLOOKUP($B45,'SegEnds_NonXtal_Prot#'!$A:$AL,25,FALSE),"-")</f>
        <v>50</v>
      </c>
      <c r="R45" s="2">
        <f>IFERROR(50+VLOOKUP($A45,'SegEnds_Xtal_Prot#'!$A:$AY,35,FALSE)-VLOOKUP($B45,'SegEnds_NonXtal_Prot#'!$A:$AL,25,FALSE),"-")</f>
        <v>52</v>
      </c>
      <c r="S45" s="2">
        <f>IFERROR(50+VLOOKUP($A45,'SegEnds_Xtal_Prot#'!$A:$AY,37,FALSE)-VLOOKUP($B45,'SegEnds_NonXtal_Prot#'!$A:$AL,28,FALSE),"-")</f>
        <v>40</v>
      </c>
      <c r="T45" s="2">
        <f>IFERROR(50+VLOOKUP($A45,'SegEnds_Xtal_Prot#'!$A:$AY,39,FALSE)-VLOOKUP($B45,'SegEnds_NonXtal_Prot#'!$A:$AL,28,FALSE),"-")</f>
        <v>70</v>
      </c>
      <c r="U45" s="2">
        <f>IFERROR(50+VLOOKUP($A45,'SegEnds_Xtal_Prot#'!$A:$AY,41,FALSE)-VLOOKUP($B45,'SegEnds_NonXtal_Prot#'!$A:$AL,31,FALSE),"-")</f>
        <v>30</v>
      </c>
      <c r="V45" s="2">
        <f>IFERROR(50+VLOOKUP($A45,'SegEnds_Xtal_Prot#'!$A:$AY,43,FALSE)-VLOOKUP($B45,'SegEnds_NonXtal_Prot#'!$A:$AL,31,FALSE),"-")</f>
        <v>53</v>
      </c>
      <c r="W45" s="2">
        <f>IFERROR(50+VLOOKUP($A45,'SegEnds_Xtal_Prot#'!$A:$AY,45,FALSE)-VLOOKUP($B45,'SegEnds_NonXtal_Prot#'!$A:$AL,34,FALSE),"-")</f>
        <v>28</v>
      </c>
      <c r="X45" s="2">
        <f>IFERROR(50+VLOOKUP($A45,'SegEnds_Xtal_Prot#'!$A:$AY,47,FALSE)-VLOOKUP($B45,'SegEnds_NonXtal_Prot#'!$A:$AL,34,FALSE),"-")</f>
        <v>56</v>
      </c>
      <c r="Y45" s="2">
        <f>IFERROR(50+VLOOKUP($A45,'SegEnds_Xtal_Prot#'!$A:$AY,49,FALSE)-VLOOKUP($B45,'SegEnds_NonXtal_Prot#'!$A:$AL,37,FALSE),"-")</f>
        <v>47</v>
      </c>
      <c r="Z45" s="2">
        <f>IFERROR(50+VLOOKUP($A45,'SegEnds_Xtal_Prot#'!$A:$AY,51,FALSE)-VLOOKUP($B45,'SegEnds_NonXtal_Prot#'!$A:$AL,37,FALSE),"-")</f>
        <v>72</v>
      </c>
      <c r="AA45" s="49" t="str">
        <f>VLOOKUP(B45,Classification!A:D,2,FALSE)</f>
        <v>B1</v>
      </c>
      <c r="AB45" s="94" t="str">
        <f>VLOOKUP(B45,Classification!A:D,4,0)</f>
        <v>Calcitonin</v>
      </c>
      <c r="AC45" s="49">
        <f>VLOOKUP(B45,'SegEnds_NonXtal_Prot#'!A:AL,6,FALSE)-VLOOKUP(B45,'SegEnds_NonXtal_Prot#'!A:AL,5,FALSE)</f>
        <v>1</v>
      </c>
      <c r="AD45" s="49">
        <f>VLOOKUP(B45,'SegEnds_NonXtal_Prot#'!A:AL,9,FALSE)-VLOOKUP(B45,'SegEnds_NonXtal_Prot#'!A:AL,8,FALSE)</f>
        <v>1</v>
      </c>
      <c r="AE45" s="49" t="e">
        <f>VLOOKUP(B45,'SegEnds_NonXtal_Prot#'!A:AL,13,FALSE)-VLOOKUP(B45,'SegEnds_NonXtal_Prot#'!A:AL,10,FALSE)</f>
        <v>#VALUE!</v>
      </c>
      <c r="AF45" s="49" t="e">
        <f>VLOOKUP(B45,'SegEnds_NonXtal_Prot#'!A:AL,12,FALSE)-VLOOKUP(B45,'SegEnds_NonXtal_Prot#'!A:AL,11,FALSE)</f>
        <v>#VALUE!</v>
      </c>
      <c r="AG45" s="49" t="e">
        <f>VLOOKUP(B45,'SegEnds_NonXtal_Prot#'!A:AL,13,FALSE)-VLOOKUP(B45,'SegEnds_NonXtal_Prot#'!A:AL,11,FALSE)</f>
        <v>#VALUE!</v>
      </c>
      <c r="AH45" s="49">
        <f>VLOOKUP(B45,'SegEnds_NonXtal_Prot#'!A:AL,16,FALSE)-VLOOKUP(B45,'SegEnds_NonXtal_Prot#'!A:AL,10,FALSE)</f>
        <v>53</v>
      </c>
      <c r="AI45" s="49">
        <f>VLOOKUP(B45,'SegEnds_NonXtal_Prot#'!A:AL,16,FALSE)-VLOOKUP(B45,'SegEnds_NonXtal_Prot#'!A:AL,11,FALSE)</f>
        <v>39</v>
      </c>
      <c r="AJ45" s="49" t="e">
        <f>VLOOKUP(B45,'SegEnds_NonXtal_Prot#'!A:AL,22,FALSE)-VLOOKUP(B45,'SegEnds_NonXtal_Prot#'!A:AL,19,FALSE)</f>
        <v>#VALUE!</v>
      </c>
      <c r="AK45" s="49" t="e">
        <f>VLOOKUP(B45,'SegEnds_NonXtal_Prot#'!A:AL,15,FALSE)-VLOOKUP(B45,'SegEnds_NonXtal_Prot#'!A:AL,14,FALSE)</f>
        <v>#VALUE!</v>
      </c>
      <c r="AL45" s="49" t="e">
        <f>VLOOKUP(B45,'SegEnds_NonXtal_Prot#'!A:AL,18,FALSE)-VLOOKUP(B45,'SegEnds_NonXtal_Prot#'!A:AL,17,FALSE)</f>
        <v>#VALUE!</v>
      </c>
      <c r="AM45" s="2">
        <f>VLOOKUP(B45,'SegEnds_NonXtal_Prot#'!A:AL,34,FALSE)-VLOOKUP(B45,'SegEnds_NonXtal_Prot#'!A:AL,31,FALSE)</f>
        <v>30</v>
      </c>
      <c r="AN45" s="37"/>
    </row>
    <row r="46" spans="1:64" s="2" customFormat="1" x14ac:dyDescent="0.2">
      <c r="A46" s="2" t="s">
        <v>1255</v>
      </c>
      <c r="B46" s="2" t="s">
        <v>38</v>
      </c>
      <c r="C46" s="2">
        <f>IFERROR(50+VLOOKUP($A46,'SegEnds_Xtal_Prot#'!$A:$AY,5,FALSE)-VLOOKUP($B46,'SegEnds_NonXtal_Prot#'!$A:$AL,4,FALSE),"-")</f>
        <v>19</v>
      </c>
      <c r="D46" s="2">
        <f>IFERROR(50+VLOOKUP($A46,'SegEnds_Xtal_Prot#'!$A:$AY,7,FALSE)-VLOOKUP($B46,'SegEnds_NonXtal_Prot#'!$A:$AL,4,FALSE),"-")</f>
        <v>60</v>
      </c>
      <c r="E46" s="2">
        <f>IFERROR(50+VLOOKUP($A46,'SegEnds_Xtal_Prot#'!$A:$AY,9,FALSE)-VLOOKUP($B46,'SegEnds_NonXtal_Prot#'!$A:$AL,7,FALSE),"-")</f>
        <v>48</v>
      </c>
      <c r="F46" s="2">
        <f>IFERROR(50+VLOOKUP($A46,'SegEnds_Xtal_Prot#'!$A:$AY,11,FALSE)-VLOOKUP($B46,'SegEnds_NonXtal_Prot#'!$A:$AL,7,FALSE),"-")</f>
        <v>51</v>
      </c>
      <c r="G46" s="2">
        <f>IFERROR(50+VLOOKUP($A46,'SegEnds_Xtal_Prot#'!$A:$AY,13,FALSE)-VLOOKUP($B46,'SegEnds_NonXtal_Prot#'!$A:$AL,10,FALSE),"-")</f>
        <v>37</v>
      </c>
      <c r="H46" s="2">
        <f>IFERROR(50+VLOOKUP($A46,'SegEnds_Xtal_Prot#'!$A:$AY,15,FALSE)-VLOOKUP($B46,'SegEnds_NonXtal_Prot#'!$A:$AL,10,FALSE),"-")</f>
        <v>63</v>
      </c>
      <c r="I46" s="2" t="str">
        <f>IFERROR(50+VLOOKUP($A46,'SegEnds_Xtal_Prot#'!$A:$AY,17,FALSE)-VLOOKUP($B46,'SegEnds_NonXtal_Prot#'!$A:$AL,13,FALSE),"-")</f>
        <v>-</v>
      </c>
      <c r="J46" s="2" t="str">
        <f>IFERROR(50+VLOOKUP($A46,'SegEnds_Xtal_Prot#'!$A:$AY,19,FALSE)-VLOOKUP($B46,'SegEnds_NonXtal_Prot#'!$A:$AL,13,FALSE),"-")</f>
        <v>-</v>
      </c>
      <c r="K46" s="2">
        <f>IFERROR(50+VLOOKUP($A46,'SegEnds_Xtal_Prot#'!$A:$AY,21,FALSE)-VLOOKUP($B46,'SegEnds_NonXtal_Prot#'!$A:$AL,16,FALSE),"-")</f>
        <v>22</v>
      </c>
      <c r="L46" s="2">
        <f>IFERROR(50+VLOOKUP($A46,'SegEnds_Xtal_Prot#'!$A:$AY,23,FALSE)-VLOOKUP($B46,'SegEnds_NonXtal_Prot#'!$A:$AL,16,FALSE),"-")</f>
        <v>56</v>
      </c>
      <c r="M46" s="2" t="str">
        <f>IFERROR(50+VLOOKUP($A46,'SegEnds_Xtal_Prot#'!$A:$AY,25,FALSE)-VLOOKUP($B46,'SegEnds_NonXtal_Prot#'!$A:$AL,19,FALSE),"-")</f>
        <v>-</v>
      </c>
      <c r="N46" s="2" t="str">
        <f>IFERROR(50+VLOOKUP($A46,'SegEnds_Xtal_Prot#'!$A:$AY,27,FALSE)-VLOOKUP($B46,'SegEnds_NonXtal_Prot#'!$A:$AL,19,FALSE),"-")</f>
        <v>-</v>
      </c>
      <c r="O46" s="2">
        <f>IFERROR(50+VLOOKUP($A46,'SegEnds_Xtal_Prot#'!$A:$AY,29,FALSE)-VLOOKUP($B46,'SegEnds_NonXtal_Prot#'!$A:$AL,22,FALSE),"-")</f>
        <v>40</v>
      </c>
      <c r="P46" s="2">
        <f>IFERROR(50+VLOOKUP($A46,'SegEnds_Xtal_Prot#'!$A:$AY,31,FALSE)-VLOOKUP($B46,'SegEnds_NonXtal_Prot#'!$A:$AL,22,FALSE),"-")</f>
        <v>68</v>
      </c>
      <c r="Q46" s="2">
        <f>IFERROR(50+VLOOKUP($A46,'SegEnds_Xtal_Prot#'!$A:$AY,33,FALSE)-VLOOKUP($B46,'SegEnds_NonXtal_Prot#'!$A:$AL,25,FALSE),"-")</f>
        <v>50</v>
      </c>
      <c r="R46" s="2">
        <f>IFERROR(50+VLOOKUP($A46,'SegEnds_Xtal_Prot#'!$A:$AY,35,FALSE)-VLOOKUP($B46,'SegEnds_NonXtal_Prot#'!$A:$AL,25,FALSE),"-")</f>
        <v>52</v>
      </c>
      <c r="S46" s="2">
        <f>IFERROR(50+VLOOKUP($A46,'SegEnds_Xtal_Prot#'!$A:$AY,37,FALSE)-VLOOKUP($B46,'SegEnds_NonXtal_Prot#'!$A:$AL,28,FALSE),"-")</f>
        <v>39</v>
      </c>
      <c r="T46" s="2">
        <f>IFERROR(50+VLOOKUP($A46,'SegEnds_Xtal_Prot#'!$A:$AY,39,FALSE)-VLOOKUP($B46,'SegEnds_NonXtal_Prot#'!$A:$AL,28,FALSE),"-")</f>
        <v>69</v>
      </c>
      <c r="U46" s="2">
        <f>IFERROR(50+VLOOKUP($A46,'SegEnds_Xtal_Prot#'!$A:$AY,41,FALSE)-VLOOKUP($B46,'SegEnds_NonXtal_Prot#'!$A:$AL,31,FALSE),"-")</f>
        <v>25</v>
      </c>
      <c r="V46" s="2">
        <f>IFERROR(50+VLOOKUP($A46,'SegEnds_Xtal_Prot#'!$A:$AY,43,FALSE)-VLOOKUP($B46,'SegEnds_NonXtal_Prot#'!$A:$AL,31,FALSE),"-")</f>
        <v>53</v>
      </c>
      <c r="W46" s="2">
        <f>IFERROR(50+VLOOKUP($A46,'SegEnds_Xtal_Prot#'!$A:$AY,45,FALSE)-VLOOKUP($B46,'SegEnds_NonXtal_Prot#'!$A:$AL,34,FALSE),"-")</f>
        <v>29</v>
      </c>
      <c r="X46" s="2">
        <f>IFERROR(50+VLOOKUP($A46,'SegEnds_Xtal_Prot#'!$A:$AY,47,FALSE)-VLOOKUP($B46,'SegEnds_NonXtal_Prot#'!$A:$AL,34,FALSE),"-")</f>
        <v>56</v>
      </c>
      <c r="Y46" s="2">
        <f>IFERROR(50+VLOOKUP($A46,'SegEnds_Xtal_Prot#'!$A:$AY,49,FALSE)-VLOOKUP($B46,'SegEnds_NonXtal_Prot#'!$A:$AL,37,FALSE),"-")</f>
        <v>47</v>
      </c>
      <c r="Z46" s="2">
        <f>IFERROR(50+VLOOKUP($A46,'SegEnds_Xtal_Prot#'!$A:$AY,51,FALSE)-VLOOKUP($B46,'SegEnds_NonXtal_Prot#'!$A:$AL,37,FALSE),"-")</f>
        <v>72</v>
      </c>
      <c r="AA46" s="49" t="str">
        <f>VLOOKUP(B46,Classification!A:D,2,FALSE)</f>
        <v>B1</v>
      </c>
      <c r="AB46" s="94" t="str">
        <f>VLOOKUP(B46,Classification!A:D,4,0)</f>
        <v>Corticotropin-releasingfact</v>
      </c>
      <c r="AC46" s="49">
        <f>VLOOKUP(B46,'SegEnds_NonXtal_Prot#'!A:AL,6,FALSE)-VLOOKUP(B46,'SegEnds_NonXtal_Prot#'!A:AL,5,FALSE)</f>
        <v>1</v>
      </c>
      <c r="AD46" s="49">
        <f>VLOOKUP(B46,'SegEnds_NonXtal_Prot#'!A:AL,9,FALSE)-VLOOKUP(B46,'SegEnds_NonXtal_Prot#'!A:AL,8,FALSE)</f>
        <v>1</v>
      </c>
      <c r="AE46" s="49" t="e">
        <f>VLOOKUP(B46,'SegEnds_NonXtal_Prot#'!A:AL,13,FALSE)-VLOOKUP(B46,'SegEnds_NonXtal_Prot#'!A:AL,10,FALSE)</f>
        <v>#VALUE!</v>
      </c>
      <c r="AF46" s="49" t="e">
        <f>VLOOKUP(B46,'SegEnds_NonXtal_Prot#'!A:AL,12,FALSE)-VLOOKUP(B46,'SegEnds_NonXtal_Prot#'!A:AL,11,FALSE)</f>
        <v>#VALUE!</v>
      </c>
      <c r="AG46" s="49" t="e">
        <f>VLOOKUP(B46,'SegEnds_NonXtal_Prot#'!A:AL,13,FALSE)-VLOOKUP(B46,'SegEnds_NonXtal_Prot#'!A:AL,11,FALSE)</f>
        <v>#VALUE!</v>
      </c>
      <c r="AH46" s="49">
        <f>VLOOKUP(B46,'SegEnds_NonXtal_Prot#'!A:AL,16,FALSE)-VLOOKUP(B46,'SegEnds_NonXtal_Prot#'!A:AL,10,FALSE)</f>
        <v>51</v>
      </c>
      <c r="AI46" s="49">
        <f>VLOOKUP(B46,'SegEnds_NonXtal_Prot#'!A:AL,16,FALSE)-VLOOKUP(B46,'SegEnds_NonXtal_Prot#'!A:AL,11,FALSE)</f>
        <v>38</v>
      </c>
      <c r="AJ46" s="49" t="e">
        <f>VLOOKUP(B46,'SegEnds_NonXtal_Prot#'!A:AL,22,FALSE)-VLOOKUP(B46,'SegEnds_NonXtal_Prot#'!A:AL,19,FALSE)</f>
        <v>#VALUE!</v>
      </c>
      <c r="AK46" s="49" t="e">
        <f>VLOOKUP(B46,'SegEnds_NonXtal_Prot#'!A:AL,15,FALSE)-VLOOKUP(B46,'SegEnds_NonXtal_Prot#'!A:AL,14,FALSE)</f>
        <v>#VALUE!</v>
      </c>
      <c r="AL46" s="49" t="e">
        <f>VLOOKUP(B46,'SegEnds_NonXtal_Prot#'!A:AL,18,FALSE)-VLOOKUP(B46,'SegEnds_NonXtal_Prot#'!A:AL,17,FALSE)</f>
        <v>#VALUE!</v>
      </c>
      <c r="AM46" s="2">
        <f>VLOOKUP(B46,'SegEnds_NonXtal_Prot#'!A:AL,34,FALSE)-VLOOKUP(B46,'SegEnds_NonXtal_Prot#'!A:AL,31,FALSE)</f>
        <v>31</v>
      </c>
      <c r="AN46" s="39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</row>
    <row r="47" spans="1:64" s="2" customFormat="1" x14ac:dyDescent="0.2">
      <c r="A47" s="2" t="s">
        <v>1259</v>
      </c>
      <c r="B47" s="2" t="s">
        <v>32</v>
      </c>
      <c r="C47" s="2">
        <f>IFERROR(50+VLOOKUP($A47,'SegEnds_Xtal_Prot#'!$A:$AY,5,FALSE)-VLOOKUP($B47,'SegEnds_NonXtal_Prot#'!$A:$AL,4,FALSE),"-")</f>
        <v>25</v>
      </c>
      <c r="D47" s="2">
        <f>IFERROR(50+VLOOKUP($A47,'SegEnds_Xtal_Prot#'!$A:$AY,7,FALSE)-VLOOKUP($B47,'SegEnds_NonXtal_Prot#'!$A:$AL,4,FALSE),"-")</f>
        <v>60</v>
      </c>
      <c r="E47" s="2">
        <f>IFERROR(50+VLOOKUP($A47,'SegEnds_Xtal_Prot#'!$A:$AY,9,FALSE)-VLOOKUP($B47,'SegEnds_NonXtal_Prot#'!$A:$AL,7,FALSE),"-")</f>
        <v>48</v>
      </c>
      <c r="F47" s="2">
        <f>IFERROR(50+VLOOKUP($A47,'SegEnds_Xtal_Prot#'!$A:$AY,11,FALSE)-VLOOKUP($B47,'SegEnds_NonXtal_Prot#'!$A:$AL,7,FALSE),"-")</f>
        <v>51</v>
      </c>
      <c r="G47" s="2">
        <f>IFERROR(50+VLOOKUP($A47,'SegEnds_Xtal_Prot#'!$A:$AY,13,FALSE)-VLOOKUP($B47,'SegEnds_NonXtal_Prot#'!$A:$AL,10,FALSE),"-")</f>
        <v>37</v>
      </c>
      <c r="H47" s="2">
        <f>IFERROR(50+VLOOKUP($A47,'SegEnds_Xtal_Prot#'!$A:$AY,15,FALSE)-VLOOKUP($B47,'SegEnds_NonXtal_Prot#'!$A:$AL,10,FALSE),"-")</f>
        <v>69</v>
      </c>
      <c r="I47" s="2" t="str">
        <f>IFERROR(50+VLOOKUP($A47,'SegEnds_Xtal_Prot#'!$A:$AY,17,FALSE)-VLOOKUP($B47,'SegEnds_NonXtal_Prot#'!$A:$AL,13,FALSE),"-")</f>
        <v>-</v>
      </c>
      <c r="J47" s="2" t="str">
        <f>IFERROR(50+VLOOKUP($A47,'SegEnds_Xtal_Prot#'!$A:$AY,19,FALSE)-VLOOKUP($B47,'SegEnds_NonXtal_Prot#'!$A:$AL,13,FALSE),"-")</f>
        <v>-</v>
      </c>
      <c r="K47" s="2">
        <f>IFERROR(50+VLOOKUP($A47,'SegEnds_Xtal_Prot#'!$A:$AY,21,FALSE)-VLOOKUP($B47,'SegEnds_NonXtal_Prot#'!$A:$AL,16,FALSE),"-")</f>
        <v>21</v>
      </c>
      <c r="L47" s="2">
        <f>IFERROR(50+VLOOKUP($A47,'SegEnds_Xtal_Prot#'!$A:$AY,23,FALSE)-VLOOKUP($B47,'SegEnds_NonXtal_Prot#'!$A:$AL,16,FALSE),"-")</f>
        <v>56</v>
      </c>
      <c r="M47" s="2" t="str">
        <f>IFERROR(50+VLOOKUP($A47,'SegEnds_Xtal_Prot#'!$A:$AY,25,FALSE)-VLOOKUP($B47,'SegEnds_NonXtal_Prot#'!$A:$AL,19,FALSE),"-")</f>
        <v>-</v>
      </c>
      <c r="N47" s="2" t="str">
        <f>IFERROR(50+VLOOKUP($A47,'SegEnds_Xtal_Prot#'!$A:$AY,27,FALSE)-VLOOKUP($B47,'SegEnds_NonXtal_Prot#'!$A:$AL,19,FALSE),"-")</f>
        <v>-</v>
      </c>
      <c r="O47" s="2">
        <f>IFERROR(50+VLOOKUP($A47,'SegEnds_Xtal_Prot#'!$A:$AY,29,FALSE)-VLOOKUP($B47,'SegEnds_NonXtal_Prot#'!$A:$AL,22,FALSE),"-")</f>
        <v>40</v>
      </c>
      <c r="P47" s="2">
        <f>IFERROR(50+VLOOKUP($A47,'SegEnds_Xtal_Prot#'!$A:$AY,31,FALSE)-VLOOKUP($B47,'SegEnds_NonXtal_Prot#'!$A:$AL,22,FALSE),"-")</f>
        <v>68</v>
      </c>
      <c r="Q47" s="2">
        <f>IFERROR(50+VLOOKUP($A47,'SegEnds_Xtal_Prot#'!$A:$AY,33,FALSE)-VLOOKUP($B47,'SegEnds_NonXtal_Prot#'!$A:$AL,25,FALSE),"-")</f>
        <v>50</v>
      </c>
      <c r="R47" s="2">
        <f>IFERROR(50+VLOOKUP($A47,'SegEnds_Xtal_Prot#'!$A:$AY,35,FALSE)-VLOOKUP($B47,'SegEnds_NonXtal_Prot#'!$A:$AL,25,FALSE),"-")</f>
        <v>52</v>
      </c>
      <c r="S47" s="2">
        <f>IFERROR(50+VLOOKUP($A47,'SegEnds_Xtal_Prot#'!$A:$AY,37,FALSE)-VLOOKUP($B47,'SegEnds_NonXtal_Prot#'!$A:$AL,28,FALSE),"-")</f>
        <v>36</v>
      </c>
      <c r="T47" s="2">
        <f>IFERROR(50+VLOOKUP($A47,'SegEnds_Xtal_Prot#'!$A:$AY,39,FALSE)-VLOOKUP($B47,'SegEnds_NonXtal_Prot#'!$A:$AL,28,FALSE),"-")</f>
        <v>71</v>
      </c>
      <c r="U47" s="2">
        <f>IFERROR(50+VLOOKUP($A47,'SegEnds_Xtal_Prot#'!$A:$AY,41,FALSE)-VLOOKUP($B47,'SegEnds_NonXtal_Prot#'!$A:$AL,31,FALSE),"-")</f>
        <v>28</v>
      </c>
      <c r="V47" s="2">
        <f>IFERROR(50+VLOOKUP($A47,'SegEnds_Xtal_Prot#'!$A:$AY,43,FALSE)-VLOOKUP($B47,'SegEnds_NonXtal_Prot#'!$A:$AL,31,FALSE),"-")</f>
        <v>53</v>
      </c>
      <c r="W47" s="2">
        <f>IFERROR(50+VLOOKUP($A47,'SegEnds_Xtal_Prot#'!$A:$AY,45,FALSE)-VLOOKUP($B47,'SegEnds_NonXtal_Prot#'!$A:$AL,34,FALSE),"-")</f>
        <v>27</v>
      </c>
      <c r="X47" s="2">
        <f>IFERROR(50+VLOOKUP($A47,'SegEnds_Xtal_Prot#'!$A:$AY,47,FALSE)-VLOOKUP($B47,'SegEnds_NonXtal_Prot#'!$A:$AL,34,FALSE),"-")</f>
        <v>56</v>
      </c>
      <c r="Y47" s="2">
        <f>IFERROR(50+VLOOKUP($A47,'SegEnds_Xtal_Prot#'!$A:$AY,49,FALSE)-VLOOKUP($B47,'SegEnds_NonXtal_Prot#'!$A:$AL,37,FALSE),"-")</f>
        <v>47</v>
      </c>
      <c r="Z47" s="2">
        <f>IFERROR(50+VLOOKUP($A47,'SegEnds_Xtal_Prot#'!$A:$AY,51,FALSE)-VLOOKUP($B47,'SegEnds_NonXtal_Prot#'!$A:$AL,37,FALSE),"-")</f>
        <v>72</v>
      </c>
      <c r="AA47" s="49" t="str">
        <f>VLOOKUP(B47,Classification!A:D,2,FALSE)</f>
        <v>B1</v>
      </c>
      <c r="AB47" s="94" t="str">
        <f>VLOOKUP(B47,Classification!A:D,4,0)</f>
        <v>Glucagonreceptorfamily</v>
      </c>
      <c r="AC47" s="49">
        <f>VLOOKUP(B47,'SegEnds_NonXtal_Prot#'!A:AL,6,FALSE)-VLOOKUP(B47,'SegEnds_NonXtal_Prot#'!A:AL,5,FALSE)</f>
        <v>1</v>
      </c>
      <c r="AD47" s="49">
        <f>VLOOKUP(B47,'SegEnds_NonXtal_Prot#'!A:AL,9,FALSE)-VLOOKUP(B47,'SegEnds_NonXtal_Prot#'!A:AL,8,FALSE)</f>
        <v>1</v>
      </c>
      <c r="AE47" s="49" t="e">
        <f>VLOOKUP(B47,'SegEnds_NonXtal_Prot#'!A:AL,13,FALSE)-VLOOKUP(B47,'SegEnds_NonXtal_Prot#'!A:AL,10,FALSE)</f>
        <v>#VALUE!</v>
      </c>
      <c r="AF47" s="49" t="e">
        <f>VLOOKUP(B47,'SegEnds_NonXtal_Prot#'!A:AL,12,FALSE)-VLOOKUP(B47,'SegEnds_NonXtal_Prot#'!A:AL,11,FALSE)</f>
        <v>#VALUE!</v>
      </c>
      <c r="AG47" s="49" t="e">
        <f>VLOOKUP(B47,'SegEnds_NonXtal_Prot#'!A:AL,13,FALSE)-VLOOKUP(B47,'SegEnds_NonXtal_Prot#'!A:AL,11,FALSE)</f>
        <v>#VALUE!</v>
      </c>
      <c r="AH47" s="49">
        <f>VLOOKUP(B47,'SegEnds_NonXtal_Prot#'!A:AL,16,FALSE)-VLOOKUP(B47,'SegEnds_NonXtal_Prot#'!A:AL,10,FALSE)</f>
        <v>65</v>
      </c>
      <c r="AI47" s="49">
        <f>VLOOKUP(B47,'SegEnds_NonXtal_Prot#'!A:AL,16,FALSE)-VLOOKUP(B47,'SegEnds_NonXtal_Prot#'!A:AL,11,FALSE)</f>
        <v>46</v>
      </c>
      <c r="AJ47" s="49" t="e">
        <f>VLOOKUP(B47,'SegEnds_NonXtal_Prot#'!A:AL,22,FALSE)-VLOOKUP(B47,'SegEnds_NonXtal_Prot#'!A:AL,19,FALSE)</f>
        <v>#VALUE!</v>
      </c>
      <c r="AK47" s="49" t="e">
        <f>VLOOKUP(B47,'SegEnds_NonXtal_Prot#'!A:AL,15,FALSE)-VLOOKUP(B47,'SegEnds_NonXtal_Prot#'!A:AL,14,FALSE)</f>
        <v>#VALUE!</v>
      </c>
      <c r="AL47" s="49" t="e">
        <f>VLOOKUP(B47,'SegEnds_NonXtal_Prot#'!A:AL,18,FALSE)-VLOOKUP(B47,'SegEnds_NonXtal_Prot#'!A:AL,17,FALSE)</f>
        <v>#VALUE!</v>
      </c>
      <c r="AM47" s="2">
        <f>VLOOKUP(B47,'SegEnds_NonXtal_Prot#'!A:AL,34,FALSE)-VLOOKUP(B47,'SegEnds_NonXtal_Prot#'!A:AL,31,FALSE)</f>
        <v>33</v>
      </c>
      <c r="AN47" s="37"/>
    </row>
    <row r="48" spans="1:64" s="2" customFormat="1" x14ac:dyDescent="0.2">
      <c r="A48" s="2" t="s">
        <v>1417</v>
      </c>
      <c r="B48" s="2" t="s">
        <v>406</v>
      </c>
      <c r="C48" s="2">
        <f>IFERROR(50+VLOOKUP($A48,'SegEnds_Xtal_Prot#'!$A:$AY,5,FALSE)-VLOOKUP($B48,'SegEnds_NonXtal_Prot#'!$A:$AL,4,FALSE),"-")</f>
        <v>29</v>
      </c>
      <c r="D48" s="2">
        <f>IFERROR(50+VLOOKUP($A48,'SegEnds_Xtal_Prot#'!$A:$AY,7,FALSE)-VLOOKUP($B48,'SegEnds_NonXtal_Prot#'!$A:$AL,4,FALSE),"-")</f>
        <v>60</v>
      </c>
      <c r="E48" s="2">
        <f>IFERROR(50+VLOOKUP($A48,'SegEnds_Xtal_Prot#'!$A:$AY,9,FALSE)-VLOOKUP($B48,'SegEnds_NonXtal_Prot#'!$A:$AL,7,FALSE),"-")</f>
        <v>48</v>
      </c>
      <c r="F48" s="2">
        <f>IFERROR(50+VLOOKUP($A48,'SegEnds_Xtal_Prot#'!$A:$AY,11,FALSE)-VLOOKUP($B48,'SegEnds_NonXtal_Prot#'!$A:$AL,7,FALSE),"-")</f>
        <v>51</v>
      </c>
      <c r="G48" s="2">
        <f>IFERROR(50+VLOOKUP($A48,'SegEnds_Xtal_Prot#'!$A:$AY,13,FALSE)-VLOOKUP($B48,'SegEnds_NonXtal_Prot#'!$A:$AL,10,FALSE),"-")</f>
        <v>37</v>
      </c>
      <c r="H48" s="2">
        <f>IFERROR(50+VLOOKUP($A48,'SegEnds_Xtal_Prot#'!$A:$AY,15,FALSE)-VLOOKUP($B48,'SegEnds_NonXtal_Prot#'!$A:$AL,10,FALSE),"-")</f>
        <v>69</v>
      </c>
      <c r="I48" s="2" t="str">
        <f>IFERROR(50+VLOOKUP($A48,'SegEnds_Xtal_Prot#'!$A:$AY,17,FALSE)-VLOOKUP($B48,'SegEnds_NonXtal_Prot#'!$A:$AL,13,FALSE),"-")</f>
        <v>-</v>
      </c>
      <c r="J48" s="2" t="str">
        <f>IFERROR(50+VLOOKUP($A48,'SegEnds_Xtal_Prot#'!$A:$AY,19,FALSE)-VLOOKUP($B48,'SegEnds_NonXtal_Prot#'!$A:$AL,13,FALSE),"-")</f>
        <v>-</v>
      </c>
      <c r="K48" s="2">
        <f>IFERROR(50+VLOOKUP($A48,'SegEnds_Xtal_Prot#'!$A:$AY,21,FALSE)-VLOOKUP($B48,'SegEnds_NonXtal_Prot#'!$A:$AL,16,FALSE),"-")</f>
        <v>23</v>
      </c>
      <c r="L48" s="2">
        <f>IFERROR(50+VLOOKUP($A48,'SegEnds_Xtal_Prot#'!$A:$AY,23,FALSE)-VLOOKUP($B48,'SegEnds_NonXtal_Prot#'!$A:$AL,16,FALSE),"-")</f>
        <v>56</v>
      </c>
      <c r="M48" s="2" t="str">
        <f>IFERROR(50+VLOOKUP($A48,'SegEnds_Xtal_Prot#'!$A:$AY,25,FALSE)-VLOOKUP($B48,'SegEnds_NonXtal_Prot#'!$A:$AL,19,FALSE),"-")</f>
        <v>-</v>
      </c>
      <c r="N48" s="2" t="str">
        <f>IFERROR(50+VLOOKUP($A48,'SegEnds_Xtal_Prot#'!$A:$AY,27,FALSE)-VLOOKUP($B48,'SegEnds_NonXtal_Prot#'!$A:$AL,19,FALSE),"-")</f>
        <v>-</v>
      </c>
      <c r="O48" s="2">
        <f>IFERROR(50+VLOOKUP($A48,'SegEnds_Xtal_Prot#'!$A:$AY,29,FALSE)-VLOOKUP($B48,'SegEnds_NonXtal_Prot#'!$A:$AL,22,FALSE),"-")</f>
        <v>38</v>
      </c>
      <c r="P48" s="2">
        <f>IFERROR(50+VLOOKUP($A48,'SegEnds_Xtal_Prot#'!$A:$AY,31,FALSE)-VLOOKUP($B48,'SegEnds_NonXtal_Prot#'!$A:$AL,22,FALSE),"-")</f>
        <v>68</v>
      </c>
      <c r="Q48" s="2">
        <f>IFERROR(50+VLOOKUP($A48,'SegEnds_Xtal_Prot#'!$A:$AY,33,FALSE)-VLOOKUP($B48,'SegEnds_NonXtal_Prot#'!$A:$AL,25,FALSE),"-")</f>
        <v>50</v>
      </c>
      <c r="R48" s="2">
        <f>IFERROR(50+VLOOKUP($A48,'SegEnds_Xtal_Prot#'!$A:$AY,35,FALSE)-VLOOKUP($B48,'SegEnds_NonXtal_Prot#'!$A:$AL,25,FALSE),"-")</f>
        <v>52</v>
      </c>
      <c r="S48" s="2">
        <f>IFERROR(50+VLOOKUP($A48,'SegEnds_Xtal_Prot#'!$A:$AY,37,FALSE)-VLOOKUP($B48,'SegEnds_NonXtal_Prot#'!$A:$AL,28,FALSE),"-")</f>
        <v>36</v>
      </c>
      <c r="T48" s="2">
        <f>IFERROR(50+VLOOKUP($A48,'SegEnds_Xtal_Prot#'!$A:$AY,39,FALSE)-VLOOKUP($B48,'SegEnds_NonXtal_Prot#'!$A:$AL,28,FALSE),"-")</f>
        <v>71</v>
      </c>
      <c r="U48" s="2">
        <f>IFERROR(50+VLOOKUP($A48,'SegEnds_Xtal_Prot#'!$A:$AY,41,FALSE)-VLOOKUP($B48,'SegEnds_NonXtal_Prot#'!$A:$AL,31,FALSE),"-")</f>
        <v>28</v>
      </c>
      <c r="V48" s="2">
        <f>IFERROR(50+VLOOKUP($A48,'SegEnds_Xtal_Prot#'!$A:$AY,43,FALSE)-VLOOKUP($B48,'SegEnds_NonXtal_Prot#'!$A:$AL,31,FALSE),"-")</f>
        <v>53</v>
      </c>
      <c r="W48" s="2">
        <f>IFERROR(50+VLOOKUP($A48,'SegEnds_Xtal_Prot#'!$A:$AY,45,FALSE)-VLOOKUP($B48,'SegEnds_NonXtal_Prot#'!$A:$AL,34,FALSE),"-")</f>
        <v>28</v>
      </c>
      <c r="X48" s="2">
        <f>IFERROR(50+VLOOKUP($A48,'SegEnds_Xtal_Prot#'!$A:$AY,47,FALSE)-VLOOKUP($B48,'SegEnds_NonXtal_Prot#'!$A:$AL,34,FALSE),"-")</f>
        <v>56</v>
      </c>
      <c r="Y48" s="2">
        <f>IFERROR(50+VLOOKUP($A48,'SegEnds_Xtal_Prot#'!$A:$AY,49,FALSE)-VLOOKUP($B48,'SegEnds_NonXtal_Prot#'!$A:$AL,37,FALSE),"-")</f>
        <v>47</v>
      </c>
      <c r="Z48" s="2">
        <f>IFERROR(50+VLOOKUP($A48,'SegEnds_Xtal_Prot#'!$A:$AY,51,FALSE)-VLOOKUP($B48,'SegEnds_NonXtal_Prot#'!$A:$AL,37,FALSE),"-")</f>
        <v>72</v>
      </c>
      <c r="AA48" s="49" t="str">
        <f>VLOOKUP(B48,Classification!A:D,2,FALSE)</f>
        <v>B1</v>
      </c>
      <c r="AB48" s="94" t="str">
        <f>VLOOKUP(B48,Classification!A:D,4,0)</f>
        <v>Glucagonreceptorfamily</v>
      </c>
      <c r="AC48" s="49">
        <f>VLOOKUP(B48,'SegEnds_NonXtal_Prot#'!A:AL,6,FALSE)-VLOOKUP(B48,'SegEnds_NonXtal_Prot#'!A:AL,5,FALSE)</f>
        <v>1</v>
      </c>
      <c r="AD48" s="49">
        <f>VLOOKUP(B48,'SegEnds_NonXtal_Prot#'!A:AL,9,FALSE)-VLOOKUP(B48,'SegEnds_NonXtal_Prot#'!A:AL,8,FALSE)</f>
        <v>1</v>
      </c>
      <c r="AE48" s="49" t="e">
        <f>VLOOKUP(B48,'SegEnds_NonXtal_Prot#'!A:AL,13,FALSE)-VLOOKUP(B48,'SegEnds_NonXtal_Prot#'!A:AL,10,FALSE)</f>
        <v>#VALUE!</v>
      </c>
      <c r="AF48" s="49" t="e">
        <f>VLOOKUP(B48,'SegEnds_NonXtal_Prot#'!A:AL,12,FALSE)-VLOOKUP(B48,'SegEnds_NonXtal_Prot#'!A:AL,11,FALSE)</f>
        <v>#VALUE!</v>
      </c>
      <c r="AG48" s="49" t="e">
        <f>VLOOKUP(B48,'SegEnds_NonXtal_Prot#'!A:AL,13,FALSE)-VLOOKUP(B48,'SegEnds_NonXtal_Prot#'!A:AL,11,FALSE)</f>
        <v>#VALUE!</v>
      </c>
      <c r="AH48" s="49">
        <f>VLOOKUP(B48,'SegEnds_NonXtal_Prot#'!A:AL,16,FALSE)-VLOOKUP(B48,'SegEnds_NonXtal_Prot#'!A:AL,10,FALSE)</f>
        <v>64</v>
      </c>
      <c r="AI48" s="49">
        <f>VLOOKUP(B48,'SegEnds_NonXtal_Prot#'!A:AL,16,FALSE)-VLOOKUP(B48,'SegEnds_NonXtal_Prot#'!A:AL,11,FALSE)</f>
        <v>50</v>
      </c>
      <c r="AJ48" s="49" t="e">
        <f>VLOOKUP(B48,'SegEnds_NonXtal_Prot#'!A:AL,22,FALSE)-VLOOKUP(B48,'SegEnds_NonXtal_Prot#'!A:AL,19,FALSE)</f>
        <v>#VALUE!</v>
      </c>
      <c r="AK48" s="49" t="e">
        <f>VLOOKUP(B48,'SegEnds_NonXtal_Prot#'!A:AL,15,FALSE)-VLOOKUP(B48,'SegEnds_NonXtal_Prot#'!A:AL,14,FALSE)</f>
        <v>#VALUE!</v>
      </c>
      <c r="AL48" s="49" t="e">
        <f>VLOOKUP(B48,'SegEnds_NonXtal_Prot#'!A:AL,18,FALSE)-VLOOKUP(B48,'SegEnds_NonXtal_Prot#'!A:AL,17,FALSE)</f>
        <v>#VALUE!</v>
      </c>
      <c r="AM48" s="2">
        <f>VLOOKUP(B48,'SegEnds_NonXtal_Prot#'!A:AL,34,FALSE)-VLOOKUP(B48,'SegEnds_NonXtal_Prot#'!A:AL,31,FALSE)</f>
        <v>33</v>
      </c>
      <c r="AN48" s="37"/>
    </row>
    <row r="49" spans="1:40" s="2" customFormat="1" x14ac:dyDescent="0.2">
      <c r="A49" s="2" t="s">
        <v>1431</v>
      </c>
      <c r="B49" s="2" t="s">
        <v>1430</v>
      </c>
      <c r="C49" s="2">
        <f>IFERROR(50+VLOOKUP($A49,'SegEnds_Xtal_Prot#'!$A:$AY,5,FALSE)-VLOOKUP($B49,'SegEnds_NonXtal_Prot#'!$A:$AL,4,FALSE),"-")</f>
        <v>28</v>
      </c>
      <c r="D49" s="2">
        <f>IFERROR(50+VLOOKUP($A49,'SegEnds_Xtal_Prot#'!$A:$AY,7,FALSE)-VLOOKUP($B49,'SegEnds_NonXtal_Prot#'!$A:$AL,4,FALSE),"-")</f>
        <v>60</v>
      </c>
      <c r="E49" s="2">
        <f>IFERROR(50+VLOOKUP($A49,'SegEnds_Xtal_Prot#'!$A:$AY,9,FALSE)-VLOOKUP($B49,'SegEnds_NonXtal_Prot#'!$A:$AL,7,FALSE),"-")</f>
        <v>48</v>
      </c>
      <c r="F49" s="2">
        <f>IFERROR(50+VLOOKUP($A49,'SegEnds_Xtal_Prot#'!$A:$AY,11,FALSE)-VLOOKUP($B49,'SegEnds_NonXtal_Prot#'!$A:$AL,7,FALSE),"-")</f>
        <v>51</v>
      </c>
      <c r="G49" s="2">
        <f>IFERROR(50+VLOOKUP($A49,'SegEnds_Xtal_Prot#'!$A:$AY,13,FALSE)-VLOOKUP($B49,'SegEnds_NonXtal_Prot#'!$A:$AL,10,FALSE),"-")</f>
        <v>37</v>
      </c>
      <c r="H49" s="2">
        <f>IFERROR(50+VLOOKUP($A49,'SegEnds_Xtal_Prot#'!$A:$AY,15,FALSE)-VLOOKUP($B49,'SegEnds_NonXtal_Prot#'!$A:$AL,10,FALSE),"-")</f>
        <v>74</v>
      </c>
      <c r="I49" s="2" t="str">
        <f>IFERROR(50+VLOOKUP($A49,'SegEnds_Xtal_Prot#'!$A:$AY,17,FALSE)-VLOOKUP($B49,'SegEnds_NonXtal_Prot#'!$A:$AL,13,FALSE),"-")</f>
        <v>-</v>
      </c>
      <c r="J49" s="2" t="str">
        <f>IFERROR(50+VLOOKUP($A49,'SegEnds_Xtal_Prot#'!$A:$AY,19,FALSE)-VLOOKUP($B49,'SegEnds_NonXtal_Prot#'!$A:$AL,13,FALSE),"-")</f>
        <v>-</v>
      </c>
      <c r="K49" s="2">
        <f>IFERROR(50+VLOOKUP($A49,'SegEnds_Xtal_Prot#'!$A:$AY,21,FALSE)-VLOOKUP($B49,'SegEnds_NonXtal_Prot#'!$A:$AL,16,FALSE),"-")</f>
        <v>23</v>
      </c>
      <c r="L49" s="2">
        <f>IFERROR(50+VLOOKUP($A49,'SegEnds_Xtal_Prot#'!$A:$AY,23,FALSE)-VLOOKUP($B49,'SegEnds_NonXtal_Prot#'!$A:$AL,16,FALSE),"-")</f>
        <v>56</v>
      </c>
      <c r="M49" s="2" t="str">
        <f>IFERROR(50+VLOOKUP($A49,'SegEnds_Xtal_Prot#'!$A:$AY,25,FALSE)-VLOOKUP($B49,'SegEnds_NonXtal_Prot#'!$A:$AL,19,FALSE),"-")</f>
        <v>-</v>
      </c>
      <c r="N49" s="2" t="str">
        <f>IFERROR(50+VLOOKUP($A49,'SegEnds_Xtal_Prot#'!$A:$AY,27,FALSE)-VLOOKUP($B49,'SegEnds_NonXtal_Prot#'!$A:$AL,19,FALSE),"-")</f>
        <v>-</v>
      </c>
      <c r="O49" s="2">
        <f>IFERROR(50+VLOOKUP($A49,'SegEnds_Xtal_Prot#'!$A:$AY,29,FALSE)-VLOOKUP($B49,'SegEnds_NonXtal_Prot#'!$A:$AL,22,FALSE),"-")</f>
        <v>37</v>
      </c>
      <c r="P49" s="2">
        <f>IFERROR(50+VLOOKUP($A49,'SegEnds_Xtal_Prot#'!$A:$AY,31,FALSE)-VLOOKUP($B49,'SegEnds_NonXtal_Prot#'!$A:$AL,22,FALSE),"-")</f>
        <v>68</v>
      </c>
      <c r="Q49" s="2">
        <f>IFERROR(50+VLOOKUP($A49,'SegEnds_Xtal_Prot#'!$A:$AY,33,FALSE)-VLOOKUP($B49,'SegEnds_NonXtal_Prot#'!$A:$AL,25,FALSE),"-")</f>
        <v>50</v>
      </c>
      <c r="R49" s="2">
        <f>IFERROR(50+VLOOKUP($A49,'SegEnds_Xtal_Prot#'!$A:$AY,35,FALSE)-VLOOKUP($B49,'SegEnds_NonXtal_Prot#'!$A:$AL,25,FALSE),"-")</f>
        <v>52</v>
      </c>
      <c r="S49" s="2">
        <f>IFERROR(50+VLOOKUP($A49,'SegEnds_Xtal_Prot#'!$A:$AY,37,FALSE)-VLOOKUP($B49,'SegEnds_NonXtal_Prot#'!$A:$AL,28,FALSE),"-")</f>
        <v>39</v>
      </c>
      <c r="T49" s="2">
        <f>IFERROR(50+VLOOKUP($A49,'SegEnds_Xtal_Prot#'!$A:$AY,39,FALSE)-VLOOKUP($B49,'SegEnds_NonXtal_Prot#'!$A:$AL,28,FALSE),"-")</f>
        <v>71</v>
      </c>
      <c r="U49" s="2">
        <f>IFERROR(50+VLOOKUP($A49,'SegEnds_Xtal_Prot#'!$A:$AY,41,FALSE)-VLOOKUP($B49,'SegEnds_NonXtal_Prot#'!$A:$AL,31,FALSE),"-")</f>
        <v>30</v>
      </c>
      <c r="V49" s="2">
        <f>IFERROR(50+VLOOKUP($A49,'SegEnds_Xtal_Prot#'!$A:$AY,43,FALSE)-VLOOKUP($B49,'SegEnds_NonXtal_Prot#'!$A:$AL,31,FALSE),"-")</f>
        <v>53</v>
      </c>
      <c r="W49" s="2">
        <f>IFERROR(50+VLOOKUP($A49,'SegEnds_Xtal_Prot#'!$A:$AY,45,FALSE)-VLOOKUP($B49,'SegEnds_NonXtal_Prot#'!$A:$AL,34,FALSE),"-")</f>
        <v>30</v>
      </c>
      <c r="X49" s="2">
        <f>IFERROR(50+VLOOKUP($A49,'SegEnds_Xtal_Prot#'!$A:$AY,47,FALSE)-VLOOKUP($B49,'SegEnds_NonXtal_Prot#'!$A:$AL,34,FALSE),"-")</f>
        <v>56</v>
      </c>
      <c r="Y49" s="2">
        <f>IFERROR(50+VLOOKUP($A49,'SegEnds_Xtal_Prot#'!$A:$AY,49,FALSE)-VLOOKUP($B49,'SegEnds_NonXtal_Prot#'!$A:$AL,37,FALSE),"-")</f>
        <v>47</v>
      </c>
      <c r="Z49" s="2">
        <f>IFERROR(50+VLOOKUP($A49,'SegEnds_Xtal_Prot#'!$A:$AY,51,FALSE)-VLOOKUP($B49,'SegEnds_NonXtal_Prot#'!$A:$AL,37,FALSE),"-")</f>
        <v>72</v>
      </c>
      <c r="AA49" s="49" t="str">
        <f>VLOOKUP(B49,Classification!A:D,2,FALSE)</f>
        <v>B1</v>
      </c>
      <c r="AB49" s="94" t="str">
        <f>VLOOKUP(B49,Classification!A:D,4,0)</f>
        <v>Glucagonreceptorfamily</v>
      </c>
      <c r="AC49" s="49">
        <f>VLOOKUP(B49,'SegEnds_NonXtal_Prot#'!A:AL,6,FALSE)-VLOOKUP(B49,'SegEnds_NonXtal_Prot#'!A:AL,5,FALSE)</f>
        <v>1</v>
      </c>
      <c r="AD49" s="49">
        <f>VLOOKUP(B49,'SegEnds_NonXtal_Prot#'!A:AL,9,FALSE)-VLOOKUP(B49,'SegEnds_NonXtal_Prot#'!A:AL,8,FALSE)</f>
        <v>1</v>
      </c>
      <c r="AE49" s="49" t="e">
        <f>VLOOKUP(B49,'SegEnds_NonXtal_Prot#'!A:AL,13,FALSE)-VLOOKUP(B49,'SegEnds_NonXtal_Prot#'!A:AL,10,FALSE)</f>
        <v>#VALUE!</v>
      </c>
      <c r="AF49" s="49" t="e">
        <f>VLOOKUP(B49,'SegEnds_NonXtal_Prot#'!A:AL,12,FALSE)-VLOOKUP(B49,'SegEnds_NonXtal_Prot#'!A:AL,11,FALSE)</f>
        <v>#VALUE!</v>
      </c>
      <c r="AG49" s="49" t="e">
        <f>VLOOKUP(B49,'SegEnds_NonXtal_Prot#'!A:AL,13,FALSE)-VLOOKUP(B49,'SegEnds_NonXtal_Prot#'!A:AL,11,FALSE)</f>
        <v>#VALUE!</v>
      </c>
      <c r="AH49" s="49">
        <f>VLOOKUP(B49,'SegEnds_NonXtal_Prot#'!A:AL,16,FALSE)-VLOOKUP(B49,'SegEnds_NonXtal_Prot#'!A:AL,10,FALSE)</f>
        <v>64</v>
      </c>
      <c r="AI49" s="49">
        <f>VLOOKUP(B49,'SegEnds_NonXtal_Prot#'!A:AL,16,FALSE)-VLOOKUP(B49,'SegEnds_NonXtal_Prot#'!A:AL,11,FALSE)</f>
        <v>40</v>
      </c>
      <c r="AJ49" s="49" t="e">
        <f>VLOOKUP(B49,'SegEnds_NonXtal_Prot#'!A:AL,22,FALSE)-VLOOKUP(B49,'SegEnds_NonXtal_Prot#'!A:AL,19,FALSE)</f>
        <v>#VALUE!</v>
      </c>
      <c r="AK49" s="49" t="e">
        <f>VLOOKUP(B49,'SegEnds_NonXtal_Prot#'!A:AL,15,FALSE)-VLOOKUP(B49,'SegEnds_NonXtal_Prot#'!A:AL,14,FALSE)</f>
        <v>#VALUE!</v>
      </c>
      <c r="AL49" s="49" t="e">
        <f>VLOOKUP(B49,'SegEnds_NonXtal_Prot#'!A:AL,18,FALSE)-VLOOKUP(B49,'SegEnds_NonXtal_Prot#'!A:AL,17,FALSE)</f>
        <v>#VALUE!</v>
      </c>
      <c r="AM49" s="2">
        <f>VLOOKUP(B49,'SegEnds_NonXtal_Prot#'!A:AL,34,FALSE)-VLOOKUP(B49,'SegEnds_NonXtal_Prot#'!A:AL,31,FALSE)</f>
        <v>33</v>
      </c>
      <c r="AN49" s="37"/>
    </row>
    <row r="50" spans="1:40" s="2" customFormat="1" x14ac:dyDescent="0.2">
      <c r="A50" s="2" t="s">
        <v>1261</v>
      </c>
      <c r="B50" s="2" t="s">
        <v>41</v>
      </c>
      <c r="C50" s="2">
        <f>IFERROR(50+VLOOKUP($A50,'SegEnds_Xtal_Prot#'!$A:$AY,5,FALSE)-VLOOKUP($B50,'SegEnds_NonXtal_Prot#'!$A:$AL,4,FALSE),"-")</f>
        <v>34</v>
      </c>
      <c r="D50" s="2">
        <f>IFERROR(50+VLOOKUP($A50,'SegEnds_Xtal_Prot#'!$A:$AY,7,FALSE)-VLOOKUP($B50,'SegEnds_NonXtal_Prot#'!$A:$AL,4,FALSE),"-")</f>
        <v>60</v>
      </c>
      <c r="E50" s="2">
        <f>IFERROR(50+VLOOKUP($A50,'SegEnds_Xtal_Prot#'!$A:$AY,9,FALSE)-VLOOKUP($B50,'SegEnds_NonXtal_Prot#'!$A:$AL,7,FALSE),"-")</f>
        <v>47</v>
      </c>
      <c r="F50" s="2">
        <f>IFERROR(50+VLOOKUP($A50,'SegEnds_Xtal_Prot#'!$A:$AY,11,FALSE)-VLOOKUP($B50,'SegEnds_NonXtal_Prot#'!$A:$AL,7,FALSE),"-")</f>
        <v>53</v>
      </c>
      <c r="G50" s="2">
        <f>IFERROR(50+VLOOKUP($A50,'SegEnds_Xtal_Prot#'!$A:$AY,13,FALSE)-VLOOKUP($B50,'SegEnds_NonXtal_Prot#'!$A:$AL,10,FALSE),"-")</f>
        <v>39</v>
      </c>
      <c r="H50" s="2">
        <f>IFERROR(50+VLOOKUP($A50,'SegEnds_Xtal_Prot#'!$A:$AY,15,FALSE)-VLOOKUP($B50,'SegEnds_NonXtal_Prot#'!$A:$AL,10,FALSE),"-")</f>
        <v>61</v>
      </c>
      <c r="I50" s="2" t="str">
        <f>IFERROR(50+VLOOKUP($A50,'SegEnds_Xtal_Prot#'!$A:$AY,17,FALSE)-VLOOKUP($B50,'SegEnds_NonXtal_Prot#'!$A:$AL,13,FALSE),"-")</f>
        <v>-</v>
      </c>
      <c r="J50" s="2" t="str">
        <f>IFERROR(50+VLOOKUP($A50,'SegEnds_Xtal_Prot#'!$A:$AY,19,FALSE)-VLOOKUP($B50,'SegEnds_NonXtal_Prot#'!$A:$AL,13,FALSE),"-")</f>
        <v>-</v>
      </c>
      <c r="K50" s="2">
        <f>IFERROR(50+VLOOKUP($A50,'SegEnds_Xtal_Prot#'!$A:$AY,21,FALSE)-VLOOKUP($B50,'SegEnds_NonXtal_Prot#'!$A:$AL,16,FALSE),"-")</f>
        <v>22</v>
      </c>
      <c r="L50" s="2">
        <f>IFERROR(50+VLOOKUP($A50,'SegEnds_Xtal_Prot#'!$A:$AY,23,FALSE)-VLOOKUP($B50,'SegEnds_NonXtal_Prot#'!$A:$AL,16,FALSE),"-")</f>
        <v>54</v>
      </c>
      <c r="M50" s="2" t="str">
        <f>IFERROR(50+VLOOKUP($A50,'SegEnds_Xtal_Prot#'!$A:$AY,25,FALSE)-VLOOKUP($B50,'SegEnds_NonXtal_Prot#'!$A:$AL,19,FALSE),"-")</f>
        <v>-</v>
      </c>
      <c r="N50" s="2" t="str">
        <f>IFERROR(50+VLOOKUP($A50,'SegEnds_Xtal_Prot#'!$A:$AY,27,FALSE)-VLOOKUP($B50,'SegEnds_NonXtal_Prot#'!$A:$AL,19,FALSE),"-")</f>
        <v>-</v>
      </c>
      <c r="O50" s="2">
        <f>IFERROR(50+VLOOKUP($A50,'SegEnds_Xtal_Prot#'!$A:$AY,29,FALSE)-VLOOKUP($B50,'SegEnds_NonXtal_Prot#'!$A:$AL,22,FALSE),"-")</f>
        <v>38</v>
      </c>
      <c r="P50" s="2">
        <f>IFERROR(50+VLOOKUP($A50,'SegEnds_Xtal_Prot#'!$A:$AY,31,FALSE)-VLOOKUP($B50,'SegEnds_NonXtal_Prot#'!$A:$AL,22,FALSE),"-")</f>
        <v>64</v>
      </c>
      <c r="Q50" s="2">
        <f>IFERROR(50+VLOOKUP($A50,'SegEnds_Xtal_Prot#'!$A:$AY,33,FALSE)-VLOOKUP($B50,'SegEnds_NonXtal_Prot#'!$A:$AL,25,FALSE),"-")</f>
        <v>50</v>
      </c>
      <c r="R50" s="2">
        <f>IFERROR(50+VLOOKUP($A50,'SegEnds_Xtal_Prot#'!$A:$AY,35,FALSE)-VLOOKUP($B50,'SegEnds_NonXtal_Prot#'!$A:$AL,25,FALSE),"-")</f>
        <v>52</v>
      </c>
      <c r="S50" s="2">
        <f>IFERROR(50+VLOOKUP($A50,'SegEnds_Xtal_Prot#'!$A:$AY,37,FALSE)-VLOOKUP($B50,'SegEnds_NonXtal_Prot#'!$A:$AL,28,FALSE),"-")</f>
        <v>36</v>
      </c>
      <c r="T50" s="2">
        <f>IFERROR(50+VLOOKUP($A50,'SegEnds_Xtal_Prot#'!$A:$AY,39,FALSE)-VLOOKUP($B50,'SegEnds_NonXtal_Prot#'!$A:$AL,28,FALSE),"-")</f>
        <v>61</v>
      </c>
      <c r="U50" s="2">
        <f>IFERROR(50+VLOOKUP($A50,'SegEnds_Xtal_Prot#'!$A:$AY,41,FALSE)-VLOOKUP($B50,'SegEnds_NonXtal_Prot#'!$A:$AL,31,FALSE),"-")</f>
        <v>33</v>
      </c>
      <c r="V50" s="2">
        <f>IFERROR(50+VLOOKUP($A50,'SegEnds_Xtal_Prot#'!$A:$AY,43,FALSE)-VLOOKUP($B50,'SegEnds_NonXtal_Prot#'!$A:$AL,31,FALSE),"-")</f>
        <v>57</v>
      </c>
      <c r="W50" s="2">
        <f>IFERROR(50+VLOOKUP($A50,'SegEnds_Xtal_Prot#'!$A:$AY,45,FALSE)-VLOOKUP($B50,'SegEnds_NonXtal_Prot#'!$A:$AL,34,FALSE),"-")</f>
        <v>33</v>
      </c>
      <c r="X50" s="2">
        <f>IFERROR(50+VLOOKUP($A50,'SegEnds_Xtal_Prot#'!$A:$AY,47,FALSE)-VLOOKUP($B50,'SegEnds_NonXtal_Prot#'!$A:$AL,34,FALSE),"-")</f>
        <v>64</v>
      </c>
      <c r="Y50" s="2">
        <f>IFERROR(50+VLOOKUP($A50,'SegEnds_Xtal_Prot#'!$A:$AY,49,FALSE)-VLOOKUP($B50,'SegEnds_NonXtal_Prot#'!$A:$AL,37,FALSE),"-")</f>
        <v>46</v>
      </c>
      <c r="Z50" s="2">
        <f>IFERROR(50+VLOOKUP($A50,'SegEnds_Xtal_Prot#'!$A:$AY,51,FALSE)-VLOOKUP($B50,'SegEnds_NonXtal_Prot#'!$A:$AL,37,FALSE),"-")</f>
        <v>57</v>
      </c>
      <c r="AA50" s="49" t="str">
        <f>VLOOKUP(B50,Classification!A:D,2,FALSE)</f>
        <v>C</v>
      </c>
      <c r="AB50" s="94" t="str">
        <f>VLOOKUP(B50,Classification!A:D,4,0)</f>
        <v>Metabotropicglutamate</v>
      </c>
      <c r="AC50" s="49">
        <f>VLOOKUP(B50,'SegEnds_NonXtal_Prot#'!A:AL,6,FALSE)-VLOOKUP(B50,'SegEnds_NonXtal_Prot#'!A:AL,5,FALSE)</f>
        <v>3</v>
      </c>
      <c r="AD50" s="49">
        <f>VLOOKUP(B50,'SegEnds_NonXtal_Prot#'!A:AL,9,FALSE)-VLOOKUP(B50,'SegEnds_NonXtal_Prot#'!A:AL,8,FALSE)</f>
        <v>1</v>
      </c>
      <c r="AE50" s="49" t="e">
        <f>VLOOKUP(B50,'SegEnds_NonXtal_Prot#'!A:AL,13,FALSE)-VLOOKUP(B50,'SegEnds_NonXtal_Prot#'!A:AL,10,FALSE)</f>
        <v>#VALUE!</v>
      </c>
      <c r="AF50" s="49" t="e">
        <f>VLOOKUP(B50,'SegEnds_NonXtal_Prot#'!A:AL,12,FALSE)-VLOOKUP(B50,'SegEnds_NonXtal_Prot#'!A:AL,11,FALSE)</f>
        <v>#VALUE!</v>
      </c>
      <c r="AG50" s="49" t="e">
        <f>VLOOKUP(B50,'SegEnds_NonXtal_Prot#'!A:AL,13,FALSE)-VLOOKUP(B50,'SegEnds_NonXtal_Prot#'!A:AL,11,FALSE)</f>
        <v>#VALUE!</v>
      </c>
      <c r="AH50" s="49">
        <f>VLOOKUP(B50,'SegEnds_NonXtal_Prot#'!A:AL,16,FALSE)-VLOOKUP(B50,'SegEnds_NonXtal_Prot#'!A:AL,10,FALSE)</f>
        <v>44</v>
      </c>
      <c r="AI50" s="49">
        <f>VLOOKUP(B50,'SegEnds_NonXtal_Prot#'!A:AL,16,FALSE)-VLOOKUP(B50,'SegEnds_NonXtal_Prot#'!A:AL,11,FALSE)</f>
        <v>33</v>
      </c>
      <c r="AJ50" s="49" t="e">
        <f>VLOOKUP(B50,'SegEnds_NonXtal_Prot#'!A:AL,22,FALSE)-VLOOKUP(B50,'SegEnds_NonXtal_Prot#'!A:AL,19,FALSE)</f>
        <v>#VALUE!</v>
      </c>
      <c r="AK50" s="49" t="e">
        <f>VLOOKUP(B50,'SegEnds_NonXtal_Prot#'!A:AL,15,FALSE)-VLOOKUP(B50,'SegEnds_NonXtal_Prot#'!A:AL,14,FALSE)</f>
        <v>#VALUE!</v>
      </c>
      <c r="AL50" s="49" t="e">
        <f>VLOOKUP(B50,'SegEnds_NonXtal_Prot#'!A:AL,18,FALSE)-VLOOKUP(B50,'SegEnds_NonXtal_Prot#'!A:AL,17,FALSE)</f>
        <v>#VALUE!</v>
      </c>
      <c r="AM50" s="2">
        <f>VLOOKUP(B50,'SegEnds_NonXtal_Prot#'!A:AL,34,FALSE)-VLOOKUP(B50,'SegEnds_NonXtal_Prot#'!A:AL,31,FALSE)</f>
        <v>27</v>
      </c>
      <c r="AN50" s="37"/>
    </row>
    <row r="51" spans="1:40" s="2" customFormat="1" x14ac:dyDescent="0.2">
      <c r="A51" s="2" t="s">
        <v>1260</v>
      </c>
      <c r="B51" s="2" t="s">
        <v>40</v>
      </c>
      <c r="C51" s="2">
        <f>IFERROR(50+VLOOKUP($A51,'SegEnds_Xtal_Prot#'!$A:$AY,5,FALSE)-VLOOKUP($B51,'SegEnds_NonXtal_Prot#'!$A:$AL,4,FALSE),"-")</f>
        <v>34</v>
      </c>
      <c r="D51" s="2">
        <f>IFERROR(50+VLOOKUP($A51,'SegEnds_Xtal_Prot#'!$A:$AY,7,FALSE)-VLOOKUP($B51,'SegEnds_NonXtal_Prot#'!$A:$AL,4,FALSE),"-")</f>
        <v>60</v>
      </c>
      <c r="E51" s="2">
        <f>IFERROR(50+VLOOKUP($A51,'SegEnds_Xtal_Prot#'!$A:$AY,9,FALSE)-VLOOKUP($B51,'SegEnds_NonXtal_Prot#'!$A:$AL,7,FALSE),"-")</f>
        <v>47</v>
      </c>
      <c r="F51" s="2">
        <f>IFERROR(50+VLOOKUP($A51,'SegEnds_Xtal_Prot#'!$A:$AY,11,FALSE)-VLOOKUP($B51,'SegEnds_NonXtal_Prot#'!$A:$AL,7,FALSE),"-")</f>
        <v>53</v>
      </c>
      <c r="G51" s="2">
        <f>IFERROR(50+VLOOKUP($A51,'SegEnds_Xtal_Prot#'!$A:$AY,13,FALSE)-VLOOKUP($B51,'SegEnds_NonXtal_Prot#'!$A:$AL,10,FALSE),"-")</f>
        <v>39</v>
      </c>
      <c r="H51" s="2">
        <f>IFERROR(50+VLOOKUP($A51,'SegEnds_Xtal_Prot#'!$A:$AY,15,FALSE)-VLOOKUP($B51,'SegEnds_NonXtal_Prot#'!$A:$AL,10,FALSE),"-")</f>
        <v>61</v>
      </c>
      <c r="I51" s="2" t="str">
        <f>IFERROR(50+VLOOKUP($A51,'SegEnds_Xtal_Prot#'!$A:$AY,17,FALSE)-VLOOKUP($B51,'SegEnds_NonXtal_Prot#'!$A:$AL,13,FALSE),"-")</f>
        <v>-</v>
      </c>
      <c r="J51" s="2" t="str">
        <f>IFERROR(50+VLOOKUP($A51,'SegEnds_Xtal_Prot#'!$A:$AY,19,FALSE)-VLOOKUP($B51,'SegEnds_NonXtal_Prot#'!$A:$AL,13,FALSE),"-")</f>
        <v>-</v>
      </c>
      <c r="K51" s="2">
        <f>IFERROR(50+VLOOKUP($A51,'SegEnds_Xtal_Prot#'!$A:$AY,21,FALSE)-VLOOKUP($B51,'SegEnds_NonXtal_Prot#'!$A:$AL,16,FALSE),"-")</f>
        <v>22</v>
      </c>
      <c r="L51" s="2">
        <f>IFERROR(50+VLOOKUP($A51,'SegEnds_Xtal_Prot#'!$A:$AY,23,FALSE)-VLOOKUP($B51,'SegEnds_NonXtal_Prot#'!$A:$AL,16,FALSE),"-")</f>
        <v>54</v>
      </c>
      <c r="M51" s="2" t="str">
        <f>IFERROR(50+VLOOKUP($A51,'SegEnds_Xtal_Prot#'!$A:$AY,25,FALSE)-VLOOKUP($B51,'SegEnds_NonXtal_Prot#'!$A:$AL,19,FALSE),"-")</f>
        <v>-</v>
      </c>
      <c r="N51" s="2" t="str">
        <f>IFERROR(50+VLOOKUP($A51,'SegEnds_Xtal_Prot#'!$A:$AY,27,FALSE)-VLOOKUP($B51,'SegEnds_NonXtal_Prot#'!$A:$AL,19,FALSE),"-")</f>
        <v>-</v>
      </c>
      <c r="O51" s="2">
        <f>IFERROR(50+VLOOKUP($A51,'SegEnds_Xtal_Prot#'!$A:$AY,29,FALSE)-VLOOKUP($B51,'SegEnds_NonXtal_Prot#'!$A:$AL,22,FALSE),"-")</f>
        <v>38</v>
      </c>
      <c r="P51" s="2">
        <f>IFERROR(50+VLOOKUP($A51,'SegEnds_Xtal_Prot#'!$A:$AY,31,FALSE)-VLOOKUP($B51,'SegEnds_NonXtal_Prot#'!$A:$AL,22,FALSE),"-")</f>
        <v>64</v>
      </c>
      <c r="Q51" s="2">
        <f>IFERROR(50+VLOOKUP($A51,'SegEnds_Xtal_Prot#'!$A:$AY,33,FALSE)-VLOOKUP($B51,'SegEnds_NonXtal_Prot#'!$A:$AL,25,FALSE),"-")</f>
        <v>50</v>
      </c>
      <c r="R51" s="2">
        <f>IFERROR(50+VLOOKUP($A51,'SegEnds_Xtal_Prot#'!$A:$AY,35,FALSE)-VLOOKUP($B51,'SegEnds_NonXtal_Prot#'!$A:$AL,25,FALSE),"-")</f>
        <v>52</v>
      </c>
      <c r="S51" s="2">
        <f>IFERROR(50+VLOOKUP($A51,'SegEnds_Xtal_Prot#'!$A:$AY,37,FALSE)-VLOOKUP($B51,'SegEnds_NonXtal_Prot#'!$A:$AL,28,FALSE),"-")</f>
        <v>36</v>
      </c>
      <c r="T51" s="2">
        <f>IFERROR(50+VLOOKUP($A51,'SegEnds_Xtal_Prot#'!$A:$AY,39,FALSE)-VLOOKUP($B51,'SegEnds_NonXtal_Prot#'!$A:$AL,28,FALSE),"-")</f>
        <v>61</v>
      </c>
      <c r="U51" s="2">
        <f>IFERROR(50+VLOOKUP($A51,'SegEnds_Xtal_Prot#'!$A:$AY,41,FALSE)-VLOOKUP($B51,'SegEnds_NonXtal_Prot#'!$A:$AL,31,FALSE),"-")</f>
        <v>33</v>
      </c>
      <c r="V51" s="2">
        <f>IFERROR(50+VLOOKUP($A51,'SegEnds_Xtal_Prot#'!$A:$AY,43,FALSE)-VLOOKUP($B51,'SegEnds_NonXtal_Prot#'!$A:$AL,31,FALSE),"-")</f>
        <v>57</v>
      </c>
      <c r="W51" s="2">
        <f>IFERROR(50+VLOOKUP($A51,'SegEnds_Xtal_Prot#'!$A:$AY,45,FALSE)-VLOOKUP($B51,'SegEnds_NonXtal_Prot#'!$A:$AL,34,FALSE),"-")</f>
        <v>33</v>
      </c>
      <c r="X51" s="2">
        <f>IFERROR(50+VLOOKUP($A51,'SegEnds_Xtal_Prot#'!$A:$AY,47,FALSE)-VLOOKUP($B51,'SegEnds_NonXtal_Prot#'!$A:$AL,34,FALSE),"-")</f>
        <v>64</v>
      </c>
      <c r="Y51" s="2">
        <f>IFERROR(50+VLOOKUP($A51,'SegEnds_Xtal_Prot#'!$A:$AY,49,FALSE)-VLOOKUP($B51,'SegEnds_NonXtal_Prot#'!$A:$AL,37,FALSE),"-")</f>
        <v>46</v>
      </c>
      <c r="Z51" s="2">
        <f>IFERROR(50+VLOOKUP($A51,'SegEnds_Xtal_Prot#'!$A:$AY,51,FALSE)-VLOOKUP($B51,'SegEnds_NonXtal_Prot#'!$A:$AL,37,FALSE),"-")</f>
        <v>57</v>
      </c>
      <c r="AA51" s="49" t="str">
        <f>VLOOKUP(B51,Classification!A:D,2,FALSE)</f>
        <v>C</v>
      </c>
      <c r="AB51" s="94" t="str">
        <f>VLOOKUP(B51,Classification!A:D,4,0)</f>
        <v>Metabotropicglutamate</v>
      </c>
      <c r="AC51" s="49">
        <f>VLOOKUP(B51,'SegEnds_NonXtal_Prot#'!A:AL,6,FALSE)-VLOOKUP(B51,'SegEnds_NonXtal_Prot#'!A:AL,5,FALSE)</f>
        <v>3</v>
      </c>
      <c r="AD51" s="49">
        <f>VLOOKUP(B51,'SegEnds_NonXtal_Prot#'!A:AL,9,FALSE)-VLOOKUP(B51,'SegEnds_NonXtal_Prot#'!A:AL,8,FALSE)</f>
        <v>1</v>
      </c>
      <c r="AE51" s="49" t="e">
        <f>VLOOKUP(B51,'SegEnds_NonXtal_Prot#'!A:AL,13,FALSE)-VLOOKUP(B51,'SegEnds_NonXtal_Prot#'!A:AL,10,FALSE)</f>
        <v>#VALUE!</v>
      </c>
      <c r="AF51" s="49" t="e">
        <f>VLOOKUP(B51,'SegEnds_NonXtal_Prot#'!A:AL,12,FALSE)-VLOOKUP(B51,'SegEnds_NonXtal_Prot#'!A:AL,11,FALSE)</f>
        <v>#VALUE!</v>
      </c>
      <c r="AG51" s="49" t="e">
        <f>VLOOKUP(B51,'SegEnds_NonXtal_Prot#'!A:AL,13,FALSE)-VLOOKUP(B51,'SegEnds_NonXtal_Prot#'!A:AL,11,FALSE)</f>
        <v>#VALUE!</v>
      </c>
      <c r="AH51" s="49">
        <f>VLOOKUP(B51,'SegEnds_NonXtal_Prot#'!A:AL,16,FALSE)-VLOOKUP(B51,'SegEnds_NonXtal_Prot#'!A:AL,10,FALSE)</f>
        <v>44</v>
      </c>
      <c r="AI51" s="49">
        <f>VLOOKUP(B51,'SegEnds_NonXtal_Prot#'!A:AL,16,FALSE)-VLOOKUP(B51,'SegEnds_NonXtal_Prot#'!A:AL,11,FALSE)</f>
        <v>33</v>
      </c>
      <c r="AJ51" s="49" t="e">
        <f>VLOOKUP(B51,'SegEnds_NonXtal_Prot#'!A:AL,22,FALSE)-VLOOKUP(B51,'SegEnds_NonXtal_Prot#'!A:AL,19,FALSE)</f>
        <v>#VALUE!</v>
      </c>
      <c r="AK51" s="49" t="e">
        <f>VLOOKUP(B51,'SegEnds_NonXtal_Prot#'!A:AL,15,FALSE)-VLOOKUP(B51,'SegEnds_NonXtal_Prot#'!A:AL,14,FALSE)</f>
        <v>#VALUE!</v>
      </c>
      <c r="AL51" s="49" t="e">
        <f>VLOOKUP(B51,'SegEnds_NonXtal_Prot#'!A:AL,18,FALSE)-VLOOKUP(B51,'SegEnds_NonXtal_Prot#'!A:AL,17,FALSE)</f>
        <v>#VALUE!</v>
      </c>
      <c r="AM51" s="2">
        <f>VLOOKUP(B51,'SegEnds_NonXtal_Prot#'!A:AL,34,FALSE)-VLOOKUP(B51,'SegEnds_NonXtal_Prot#'!A:AL,31,FALSE)</f>
        <v>27</v>
      </c>
      <c r="AN51" s="37"/>
    </row>
    <row r="52" spans="1:40" x14ac:dyDescent="0.2">
      <c r="A52" s="2" t="s">
        <v>1279</v>
      </c>
      <c r="B52" s="2" t="s">
        <v>33</v>
      </c>
      <c r="C52" s="2">
        <f>IFERROR(50+VLOOKUP($A52,'SegEnds_Xtal_Prot#'!$A:$AY,5,FALSE)-VLOOKUP($B52,'SegEnds_NonXtal_Prot#'!$A:$AL,4,FALSE),"-")</f>
        <v>28</v>
      </c>
      <c r="D52" s="2">
        <f>IFERROR(50+VLOOKUP($A52,'SegEnds_Xtal_Prot#'!$A:$AY,7,FALSE)-VLOOKUP($B52,'SegEnds_NonXtal_Prot#'!$A:$AL,4,FALSE),"-")</f>
        <v>60</v>
      </c>
      <c r="E52" s="2">
        <f>IFERROR(50+VLOOKUP($A52,'SegEnds_Xtal_Prot#'!$A:$AY,9,FALSE)-VLOOKUP($B52,'SegEnds_NonXtal_Prot#'!$A:$AL,7,FALSE),"-")</f>
        <v>47</v>
      </c>
      <c r="F52" s="2">
        <f>IFERROR(50+VLOOKUP($A52,'SegEnds_Xtal_Prot#'!$A:$AY,11,FALSE)-VLOOKUP($B52,'SegEnds_NonXtal_Prot#'!$A:$AL,7,FALSE),"-")</f>
        <v>51</v>
      </c>
      <c r="G52" s="2">
        <f>IFERROR(50+VLOOKUP($A52,'SegEnds_Xtal_Prot#'!$A:$AY,13,FALSE)-VLOOKUP($B52,'SegEnds_NonXtal_Prot#'!$A:$AL,10,FALSE),"-")</f>
        <v>39</v>
      </c>
      <c r="H52" s="2">
        <f>IFERROR(50+VLOOKUP($A52,'SegEnds_Xtal_Prot#'!$A:$AY,15,FALSE)-VLOOKUP($B52,'SegEnds_NonXtal_Prot#'!$A:$AL,10,FALSE),"-")</f>
        <v>63</v>
      </c>
      <c r="I52" s="2" t="str">
        <f>IFERROR(50+VLOOKUP($A52,'SegEnds_Xtal_Prot#'!$A:$AY,17,FALSE)-VLOOKUP($B52,'SegEnds_NonXtal_Prot#'!$A:$AL,13,FALSE),"-")</f>
        <v>-</v>
      </c>
      <c r="J52" s="2" t="str">
        <f>IFERROR(50+VLOOKUP($A52,'SegEnds_Xtal_Prot#'!$A:$AY,19,FALSE)-VLOOKUP($B52,'SegEnds_NonXtal_Prot#'!$A:$AL,13,FALSE),"-")</f>
        <v>-</v>
      </c>
      <c r="K52" s="2">
        <f>IFERROR(50+VLOOKUP($A52,'SegEnds_Xtal_Prot#'!$A:$AY,21,FALSE)-VLOOKUP($B52,'SegEnds_NonXtal_Prot#'!$A:$AL,16,FALSE),"-")</f>
        <v>23</v>
      </c>
      <c r="L52" s="2">
        <f>IFERROR(50+VLOOKUP($A52,'SegEnds_Xtal_Prot#'!$A:$AY,23,FALSE)-VLOOKUP($B52,'SegEnds_NonXtal_Prot#'!$A:$AL,16,FALSE),"-")</f>
        <v>59</v>
      </c>
      <c r="M52" s="2" t="str">
        <f>IFERROR(50+VLOOKUP($A52,'SegEnds_Xtal_Prot#'!$A:$AY,25,FALSE)-VLOOKUP($B52,'SegEnds_NonXtal_Prot#'!$A:$AL,19,FALSE),"-")</f>
        <v>-</v>
      </c>
      <c r="N52" s="2" t="str">
        <f>IFERROR(50+VLOOKUP($A52,'SegEnds_Xtal_Prot#'!$A:$AY,27,FALSE)-VLOOKUP($B52,'SegEnds_NonXtal_Prot#'!$A:$AL,19,FALSE),"-")</f>
        <v>-</v>
      </c>
      <c r="O52" s="2">
        <f>IFERROR(50+VLOOKUP($A52,'SegEnds_Xtal_Prot#'!$A:$AY,29,FALSE)-VLOOKUP($B52,'SegEnds_NonXtal_Prot#'!$A:$AL,22,FALSE),"-")</f>
        <v>38</v>
      </c>
      <c r="P52" s="2">
        <f>IFERROR(50+VLOOKUP($A52,'SegEnds_Xtal_Prot#'!$A:$AY,31,FALSE)-VLOOKUP($B52,'SegEnds_NonXtal_Prot#'!$A:$AL,22,FALSE),"-")</f>
        <v>63</v>
      </c>
      <c r="Q52" s="2">
        <f>IFERROR(50+VLOOKUP($A52,'SegEnds_Xtal_Prot#'!$A:$AY,33,FALSE)-VLOOKUP($B52,'SegEnds_NonXtal_Prot#'!$A:$AL,25,FALSE),"-")</f>
        <v>50</v>
      </c>
      <c r="R52" s="2">
        <f>IFERROR(50+VLOOKUP($A52,'SegEnds_Xtal_Prot#'!$A:$AY,35,FALSE)-VLOOKUP($B52,'SegEnds_NonXtal_Prot#'!$A:$AL,25,FALSE),"-")</f>
        <v>52</v>
      </c>
      <c r="S52" s="2">
        <f>IFERROR(50+VLOOKUP($A52,'SegEnds_Xtal_Prot#'!$A:$AY,37,FALSE)-VLOOKUP($B52,'SegEnds_NonXtal_Prot#'!$A:$AL,28,FALSE),"-")</f>
        <v>35</v>
      </c>
      <c r="T52" s="2">
        <f>IFERROR(50+VLOOKUP($A52,'SegEnds_Xtal_Prot#'!$A:$AY,39,FALSE)-VLOOKUP($B52,'SegEnds_NonXtal_Prot#'!$A:$AL,28,FALSE),"-")</f>
        <v>72</v>
      </c>
      <c r="U52" s="2">
        <f>IFERROR(50+VLOOKUP($A52,'SegEnds_Xtal_Prot#'!$A:$AY,41,FALSE)-VLOOKUP($B52,'SegEnds_NonXtal_Prot#'!$A:$AL,31,FALSE),"-")</f>
        <v>24</v>
      </c>
      <c r="V52" s="2">
        <f>IFERROR(50+VLOOKUP($A52,'SegEnds_Xtal_Prot#'!$A:$AY,43,FALSE)-VLOOKUP($B52,'SegEnds_NonXtal_Prot#'!$A:$AL,31,FALSE),"-")</f>
        <v>78</v>
      </c>
      <c r="W52" s="2">
        <f>IFERROR(50+VLOOKUP($A52,'SegEnds_Xtal_Prot#'!$A:$AY,45,FALSE)-VLOOKUP($B52,'SegEnds_NonXtal_Prot#'!$A:$AL,34,FALSE),"-")</f>
        <v>34</v>
      </c>
      <c r="X52" s="2">
        <f>IFERROR(50+VLOOKUP($A52,'SegEnds_Xtal_Prot#'!$A:$AY,47,FALSE)-VLOOKUP($B52,'SegEnds_NonXtal_Prot#'!$A:$AL,34,FALSE),"-")</f>
        <v>57</v>
      </c>
      <c r="Y52" s="2">
        <f>IFERROR(50+VLOOKUP($A52,'SegEnds_Xtal_Prot#'!$A:$AY,49,FALSE)-VLOOKUP($B52,'SegEnds_NonXtal_Prot#'!$A:$AL,37,FALSE),"-")</f>
        <v>47</v>
      </c>
      <c r="Z52" s="2">
        <f>IFERROR(50+VLOOKUP($A52,'SegEnds_Xtal_Prot#'!$A:$AY,51,FALSE)-VLOOKUP($B52,'SegEnds_NonXtal_Prot#'!$A:$AL,37,FALSE),"-")</f>
        <v>62</v>
      </c>
      <c r="AA52" s="49" t="str">
        <f>VLOOKUP(B52,Classification!A:D,2,FALSE)</f>
        <v>F</v>
      </c>
      <c r="AB52" s="94" t="str">
        <f>VLOOKUP(B52,Classification!A:D,4,0)</f>
        <v>Frizzled</v>
      </c>
      <c r="AC52" s="49">
        <f>VLOOKUP(B52,'SegEnds_NonXtal_Prot#'!A:AL,6,FALSE)-VLOOKUP(B52,'SegEnds_NonXtal_Prot#'!A:AL,5,FALSE)</f>
        <v>1</v>
      </c>
      <c r="AD52" s="49">
        <f>VLOOKUP(B52,'SegEnds_NonXtal_Prot#'!A:AL,9,FALSE)-VLOOKUP(B52,'SegEnds_NonXtal_Prot#'!A:AL,8,FALSE)</f>
        <v>1</v>
      </c>
      <c r="AE52" s="49" t="e">
        <f>VLOOKUP(B52,'SegEnds_NonXtal_Prot#'!A:AL,13,FALSE)-VLOOKUP(B52,'SegEnds_NonXtal_Prot#'!A:AL,10,FALSE)</f>
        <v>#VALUE!</v>
      </c>
      <c r="AF52" s="49" t="e">
        <f>VLOOKUP(B52,'SegEnds_NonXtal_Prot#'!A:AL,12,FALSE)-VLOOKUP(B52,'SegEnds_NonXtal_Prot#'!A:AL,11,FALSE)</f>
        <v>#VALUE!</v>
      </c>
      <c r="AG52" s="49" t="e">
        <f>VLOOKUP(B52,'SegEnds_NonXtal_Prot#'!A:AL,13,FALSE)-VLOOKUP(B52,'SegEnds_NonXtal_Prot#'!A:AL,11,FALSE)</f>
        <v>#VALUE!</v>
      </c>
      <c r="AH52" s="49">
        <f>VLOOKUP(B52,'SegEnds_NonXtal_Prot#'!A:AL,16,FALSE)-VLOOKUP(B52,'SegEnds_NonXtal_Prot#'!A:AL,10,FALSE)</f>
        <v>67</v>
      </c>
      <c r="AI52" s="49">
        <f>VLOOKUP(B52,'SegEnds_NonXtal_Prot#'!A:AL,16,FALSE)-VLOOKUP(B52,'SegEnds_NonXtal_Prot#'!A:AL,11,FALSE)</f>
        <v>54</v>
      </c>
      <c r="AJ52" s="49" t="e">
        <f>VLOOKUP(B52,'SegEnds_NonXtal_Prot#'!A:AL,22,FALSE)-VLOOKUP(B52,'SegEnds_NonXtal_Prot#'!A:AL,19,FALSE)</f>
        <v>#VALUE!</v>
      </c>
      <c r="AK52" s="49" t="e">
        <f>VLOOKUP(B52,'SegEnds_NonXtal_Prot#'!A:AL,15,FALSE)-VLOOKUP(B52,'SegEnds_NonXtal_Prot#'!A:AL,14,FALSE)</f>
        <v>#VALUE!</v>
      </c>
      <c r="AL52" s="49" t="e">
        <f>VLOOKUP(B52,'SegEnds_NonXtal_Prot#'!A:AL,18,FALSE)-VLOOKUP(B52,'SegEnds_NonXtal_Prot#'!A:AL,17,FALSE)</f>
        <v>#VALUE!</v>
      </c>
      <c r="AM52" s="2">
        <f>VLOOKUP(B52,'SegEnds_NonXtal_Prot#'!A:AL,34,FALSE)-VLOOKUP(B52,'SegEnds_NonXtal_Prot#'!A:AL,31,FALSE)</f>
        <v>62</v>
      </c>
    </row>
    <row r="53" spans="1:40" x14ac:dyDescent="0.2">
      <c r="A53" s="123" t="s">
        <v>1511</v>
      </c>
      <c r="B53" s="123" t="s">
        <v>1510</v>
      </c>
      <c r="C53" s="2">
        <f>IFERROR(50+VLOOKUP($A53,'SegEnds_Xtal_Prot#'!$A:$AY,5,FALSE)-VLOOKUP($B53,'SegEnds_NonXtal_Prot#'!$A:$AL,4,FALSE),"-")</f>
        <v>28</v>
      </c>
      <c r="D53" s="2">
        <f>IFERROR(50+VLOOKUP($A53,'SegEnds_Xtal_Prot#'!$A:$AY,7,FALSE)-VLOOKUP($B53,'SegEnds_NonXtal_Prot#'!$A:$AL,4,FALSE),"-")</f>
        <v>60</v>
      </c>
      <c r="E53" s="2">
        <f>IFERROR(50+VLOOKUP($A53,'SegEnds_Xtal_Prot#'!$A:$AY,9,FALSE)-VLOOKUP($B53,'SegEnds_NonXtal_Prot#'!$A:$AL,7,FALSE),"-")</f>
        <v>47</v>
      </c>
      <c r="F53" s="2">
        <f>IFERROR(50+VLOOKUP($A53,'SegEnds_Xtal_Prot#'!$A:$AY,11,FALSE)-VLOOKUP($B53,'SegEnds_NonXtal_Prot#'!$A:$AL,7,FALSE),"-")</f>
        <v>51</v>
      </c>
      <c r="G53" s="2">
        <f>IFERROR(50+VLOOKUP($A53,'SegEnds_Xtal_Prot#'!$A:$AY,13,FALSE)-VLOOKUP($B53,'SegEnds_NonXtal_Prot#'!$A:$AL,10,FALSE),"-")</f>
        <v>39</v>
      </c>
      <c r="H53" s="2">
        <f>IFERROR(50+VLOOKUP($A53,'SegEnds_Xtal_Prot#'!$A:$AY,15,FALSE)-VLOOKUP($B53,'SegEnds_NonXtal_Prot#'!$A:$AL,10,FALSE),"-")</f>
        <v>61</v>
      </c>
      <c r="I53" s="2" t="str">
        <f>IFERROR(50+VLOOKUP($A53,'SegEnds_Xtal_Prot#'!$A:$AY,17,FALSE)-VLOOKUP($B53,'SegEnds_NonXtal_Prot#'!$A:$AL,13,FALSE),"-")</f>
        <v>-</v>
      </c>
      <c r="J53" s="2" t="str">
        <f>IFERROR(50+VLOOKUP($A53,'SegEnds_Xtal_Prot#'!$A:$AY,19,FALSE)-VLOOKUP($B53,'SegEnds_NonXtal_Prot#'!$A:$AL,13,FALSE),"-")</f>
        <v>-</v>
      </c>
      <c r="K53" s="2">
        <f>IFERROR(50+VLOOKUP($A53,'SegEnds_Xtal_Prot#'!$A:$AY,21,FALSE)-VLOOKUP($B53,'SegEnds_NonXtal_Prot#'!$A:$AL,16,FALSE),"-")</f>
        <v>23</v>
      </c>
      <c r="L53" s="2">
        <f>IFERROR(50+VLOOKUP($A53,'SegEnds_Xtal_Prot#'!$A:$AY,23,FALSE)-VLOOKUP($B53,'SegEnds_NonXtal_Prot#'!$A:$AL,16,FALSE),"-")</f>
        <v>59</v>
      </c>
      <c r="M53" s="2" t="str">
        <f>IFERROR(50+VLOOKUP($A53,'SegEnds_Xtal_Prot#'!$A:$AY,25,FALSE)-VLOOKUP($B53,'SegEnds_NonXtal_Prot#'!$A:$AL,19,FALSE),"-")</f>
        <v>-</v>
      </c>
      <c r="N53" s="2" t="str">
        <f>IFERROR(50+VLOOKUP($A53,'SegEnds_Xtal_Prot#'!$A:$AY,27,FALSE)-VLOOKUP($B53,'SegEnds_NonXtal_Prot#'!$A:$AL,19,FALSE),"-")</f>
        <v>-</v>
      </c>
      <c r="O53" s="2">
        <f>IFERROR(50+VLOOKUP($A53,'SegEnds_Xtal_Prot#'!$A:$AY,29,FALSE)-VLOOKUP($B53,'SegEnds_NonXtal_Prot#'!$A:$AL,22,FALSE),"-")</f>
        <v>38</v>
      </c>
      <c r="P53" s="2">
        <f>IFERROR(50+VLOOKUP($A53,'SegEnds_Xtal_Prot#'!$A:$AY,31,FALSE)-VLOOKUP($B53,'SegEnds_NonXtal_Prot#'!$A:$AL,22,FALSE),"-")</f>
        <v>63</v>
      </c>
      <c r="Q53" s="2">
        <f>IFERROR(50+VLOOKUP($A53,'SegEnds_Xtal_Prot#'!$A:$AY,33,FALSE)-VLOOKUP($B53,'SegEnds_NonXtal_Prot#'!$A:$AL,25,FALSE),"-")</f>
        <v>50</v>
      </c>
      <c r="R53" s="2">
        <f>IFERROR(50+VLOOKUP($A53,'SegEnds_Xtal_Prot#'!$A:$AY,35,FALSE)-VLOOKUP($B53,'SegEnds_NonXtal_Prot#'!$A:$AL,25,FALSE),"-")</f>
        <v>52</v>
      </c>
      <c r="S53" s="2">
        <f>IFERROR(50+VLOOKUP($A53,'SegEnds_Xtal_Prot#'!$A:$AY,37,FALSE)-VLOOKUP($B53,'SegEnds_NonXtal_Prot#'!$A:$AL,28,FALSE),"-")</f>
        <v>35</v>
      </c>
      <c r="T53" s="2">
        <f>IFERROR(50+VLOOKUP($A53,'SegEnds_Xtal_Prot#'!$A:$AY,39,FALSE)-VLOOKUP($B53,'SegEnds_NonXtal_Prot#'!$A:$AL,28,FALSE),"-")</f>
        <v>72</v>
      </c>
      <c r="U53" s="2">
        <f>IFERROR(50+VLOOKUP($A53,'SegEnds_Xtal_Prot#'!$A:$AY,41,FALSE)-VLOOKUP($B53,'SegEnds_NonXtal_Prot#'!$A:$AL,31,FALSE),"-")</f>
        <v>24</v>
      </c>
      <c r="V53" s="2">
        <f>IFERROR(50+VLOOKUP($A53,'SegEnds_Xtal_Prot#'!$A:$AY,43,FALSE)-VLOOKUP($B53,'SegEnds_NonXtal_Prot#'!$A:$AL,31,FALSE),"-")</f>
        <v>81</v>
      </c>
      <c r="W53" s="2">
        <f>IFERROR(50+VLOOKUP($A53,'SegEnds_Xtal_Prot#'!$A:$AY,45,FALSE)-VLOOKUP($B53,'SegEnds_NonXtal_Prot#'!$A:$AL,34,FALSE),"-")</f>
        <v>34</v>
      </c>
      <c r="X53" s="2">
        <f>IFERROR(50+VLOOKUP($A53,'SegEnds_Xtal_Prot#'!$A:$AY,47,FALSE)-VLOOKUP($B53,'SegEnds_NonXtal_Prot#'!$A:$AL,34,FALSE),"-")</f>
        <v>57</v>
      </c>
      <c r="Y53" s="2">
        <f>IFERROR(50+VLOOKUP($A53,'SegEnds_Xtal_Prot#'!$A:$AY,49,FALSE)-VLOOKUP($B53,'SegEnds_NonXtal_Prot#'!$A:$AL,37,FALSE),"-")</f>
        <v>47</v>
      </c>
      <c r="Z53" s="2">
        <f>IFERROR(50+VLOOKUP($A53,'SegEnds_Xtal_Prot#'!$A:$AY,51,FALSE)-VLOOKUP($B53,'SegEnds_NonXtal_Prot#'!$A:$AL,37,FALSE),"-")</f>
        <v>62</v>
      </c>
      <c r="AA53" s="49" t="str">
        <f>VLOOKUP(B53,Classification!A:D,2,FALSE)</f>
        <v>F</v>
      </c>
      <c r="AB53" s="94" t="str">
        <f>VLOOKUP(B53,Classification!A:D,4,0)</f>
        <v>Frizzled</v>
      </c>
      <c r="AC53" s="49">
        <f>VLOOKUP(B53,'SegEnds_NonXtal_Prot#'!A:AL,6,FALSE)-VLOOKUP(B53,'SegEnds_NonXtal_Prot#'!A:AL,5,FALSE)</f>
        <v>1</v>
      </c>
      <c r="AD53" s="49">
        <f>VLOOKUP(B53,'SegEnds_NonXtal_Prot#'!A:AL,9,FALSE)-VLOOKUP(B53,'SegEnds_NonXtal_Prot#'!A:AL,8,FALSE)</f>
        <v>1</v>
      </c>
      <c r="AE53" s="49" t="e">
        <f>VLOOKUP(B53,'SegEnds_NonXtal_Prot#'!A:AL,13,FALSE)-VLOOKUP(B53,'SegEnds_NonXtal_Prot#'!A:AL,10,FALSE)</f>
        <v>#VALUE!</v>
      </c>
      <c r="AF53" s="49" t="e">
        <f>VLOOKUP(B53,'SegEnds_NonXtal_Prot#'!A:AL,12,FALSE)-VLOOKUP(B53,'SegEnds_NonXtal_Prot#'!A:AL,11,FALSE)</f>
        <v>#VALUE!</v>
      </c>
      <c r="AG53" s="49" t="e">
        <f>VLOOKUP(B53,'SegEnds_NonXtal_Prot#'!A:AL,13,FALSE)-VLOOKUP(B53,'SegEnds_NonXtal_Prot#'!A:AL,11,FALSE)</f>
        <v>#VALUE!</v>
      </c>
      <c r="AH53" s="49">
        <f>VLOOKUP(B53,'SegEnds_NonXtal_Prot#'!A:AL,16,FALSE)-VLOOKUP(B53,'SegEnds_NonXtal_Prot#'!A:AL,10,FALSE)</f>
        <v>67</v>
      </c>
      <c r="AI53" s="49">
        <f>VLOOKUP(B53,'SegEnds_NonXtal_Prot#'!A:AL,16,FALSE)-VLOOKUP(B53,'SegEnds_NonXtal_Prot#'!A:AL,11,FALSE)</f>
        <v>56</v>
      </c>
      <c r="AJ53" s="49" t="e">
        <f>VLOOKUP(B53,'SegEnds_NonXtal_Prot#'!A:AL,22,FALSE)-VLOOKUP(B53,'SegEnds_NonXtal_Prot#'!A:AL,19,FALSE)</f>
        <v>#VALUE!</v>
      </c>
      <c r="AK53" s="49" t="e">
        <f>VLOOKUP(B53,'SegEnds_NonXtal_Prot#'!A:AL,15,FALSE)-VLOOKUP(B53,'SegEnds_NonXtal_Prot#'!A:AL,14,FALSE)</f>
        <v>#VALUE!</v>
      </c>
      <c r="AL53" s="49" t="e">
        <f>VLOOKUP(B53,'SegEnds_NonXtal_Prot#'!A:AL,18,FALSE)-VLOOKUP(B53,'SegEnds_NonXtal_Prot#'!A:AL,17,FALSE)</f>
        <v>#VALUE!</v>
      </c>
      <c r="AM53" s="2">
        <f>VLOOKUP(B53,'SegEnds_NonXtal_Prot#'!A:AL,34,FALSE)-VLOOKUP(B53,'SegEnds_NonXtal_Prot#'!A:AL,31,FALSE)</f>
        <v>62</v>
      </c>
    </row>
    <row r="54" spans="1:40" x14ac:dyDescent="0.2">
      <c r="A54" s="2" t="s">
        <v>1454</v>
      </c>
      <c r="B54" s="2" t="s">
        <v>1451</v>
      </c>
      <c r="C54" s="2">
        <f>IFERROR(50+VLOOKUP($A54,'SegEnds_Xtal_Prot#'!$A:$AY,5,FALSE)-VLOOKUP($B54,'SegEnds_NonXtal_Prot#'!$A:$AL,4,FALSE),"-")</f>
        <v>31</v>
      </c>
      <c r="D54" s="2">
        <f>IFERROR(50+VLOOKUP($A54,'SegEnds_Xtal_Prot#'!$A:$AY,7,FALSE)-VLOOKUP($B54,'SegEnds_NonXtal_Prot#'!$A:$AL,4,FALSE),"-")</f>
        <v>60</v>
      </c>
      <c r="E54" s="2">
        <f>IFERROR(50+VLOOKUP($A54,'SegEnds_Xtal_Prot#'!$A:$AY,9,FALSE)-VLOOKUP($B54,'SegEnds_NonXtal_Prot#'!$A:$AL,7,FALSE),"-")</f>
        <v>48</v>
      </c>
      <c r="F54" s="2">
        <f>IFERROR(50+VLOOKUP($A54,'SegEnds_Xtal_Prot#'!$A:$AY,11,FALSE)-VLOOKUP($B54,'SegEnds_NonXtal_Prot#'!$A:$AL,7,FALSE),"-")</f>
        <v>51</v>
      </c>
      <c r="G54" s="2">
        <f>IFERROR(50+VLOOKUP($A54,'SegEnds_Xtal_Prot#'!$A:$AY,13,FALSE)-VLOOKUP($B54,'SegEnds_NonXtal_Prot#'!$A:$AL,10,FALSE),"-")</f>
        <v>37</v>
      </c>
      <c r="H54" s="2">
        <f>IFERROR(50+VLOOKUP($A54,'SegEnds_Xtal_Prot#'!$A:$AY,15,FALSE)-VLOOKUP($B54,'SegEnds_NonXtal_Prot#'!$A:$AL,10,FALSE),"-")</f>
        <v>66</v>
      </c>
      <c r="I54" s="2">
        <f>IFERROR(50+VLOOKUP($A54,'SegEnds_Xtal_Prot#'!$A:$AY,17,FALSE)-VLOOKUP($B54,'SegEnds_NonXtal_Prot#'!$A:$AL,13,FALSE),"-")</f>
        <v>49</v>
      </c>
      <c r="J54" s="2">
        <f>IFERROR(50+VLOOKUP($A54,'SegEnds_Xtal_Prot#'!$A:$AY,19,FALSE)-VLOOKUP($B54,'SegEnds_NonXtal_Prot#'!$A:$AL,13,FALSE),"-")</f>
        <v>52</v>
      </c>
      <c r="K54" s="2">
        <f>IFERROR(50+VLOOKUP($A54,'SegEnds_Xtal_Prot#'!$A:$AY,21,FALSE)-VLOOKUP($B54,'SegEnds_NonXtal_Prot#'!$A:$AL,16,FALSE),"-")</f>
        <v>21</v>
      </c>
      <c r="L54" s="2">
        <f>IFERROR(50+VLOOKUP($A54,'SegEnds_Xtal_Prot#'!$A:$AY,23,FALSE)-VLOOKUP($B54,'SegEnds_NonXtal_Prot#'!$A:$AL,16,FALSE),"-")</f>
        <v>56</v>
      </c>
      <c r="M54" s="2">
        <f>IFERROR(50+VLOOKUP($A54,'SegEnds_Xtal_Prot#'!$A:$AY,25,FALSE)-VLOOKUP($B54,'SegEnds_NonXtal_Prot#'!$A:$AL,19,FALSE),"-")</f>
        <v>50</v>
      </c>
      <c r="N54" s="2">
        <f>IFERROR(50+VLOOKUP($A54,'SegEnds_Xtal_Prot#'!$A:$AY,27,FALSE)-VLOOKUP($B54,'SegEnds_NonXtal_Prot#'!$A:$AL,19,FALSE),"-")</f>
        <v>57</v>
      </c>
      <c r="O54" s="2">
        <f>IFERROR(50+VLOOKUP($A54,'SegEnds_Xtal_Prot#'!$A:$AY,29,FALSE)-VLOOKUP($B54,'SegEnds_NonXtal_Prot#'!$A:$AL,22,FALSE),"-")</f>
        <v>38</v>
      </c>
      <c r="P54" s="2">
        <f>IFERROR(50+VLOOKUP($A54,'SegEnds_Xtal_Prot#'!$A:$AY,31,FALSE)-VLOOKUP($B54,'SegEnds_NonXtal_Prot#'!$A:$AL,22,FALSE),"-")</f>
        <v>65</v>
      </c>
      <c r="Q54" s="2">
        <f>IFERROR(50+VLOOKUP($A54,'SegEnds_Xtal_Prot#'!$A:$AY,33,FALSE)-VLOOKUP($B54,'SegEnds_NonXtal_Prot#'!$A:$AL,25,FALSE),"-")</f>
        <v>50</v>
      </c>
      <c r="R54" s="2">
        <f>IFERROR(50+VLOOKUP($A54,'SegEnds_Xtal_Prot#'!$A:$AY,35,FALSE)-VLOOKUP($B54,'SegEnds_NonXtal_Prot#'!$A:$AL,25,FALSE),"-")</f>
        <v>52</v>
      </c>
      <c r="S54" s="2">
        <f>IFERROR(50+VLOOKUP($A54,'SegEnds_Xtal_Prot#'!$A:$AY,37,FALSE)-VLOOKUP($B54,'SegEnds_NonXtal_Prot#'!$A:$AL,28,FALSE),"-")</f>
        <v>31</v>
      </c>
      <c r="T54" s="2">
        <f>IFERROR(50+VLOOKUP($A54,'SegEnds_Xtal_Prot#'!$A:$AY,39,FALSE)-VLOOKUP($B54,'SegEnds_NonXtal_Prot#'!$A:$AL,28,FALSE),"-")</f>
        <v>68</v>
      </c>
      <c r="U54" s="2">
        <f>IFERROR(50+VLOOKUP($A54,'SegEnds_Xtal_Prot#'!$A:$AY,41,FALSE)-VLOOKUP($B54,'SegEnds_NonXtal_Prot#'!$A:$AL,31,FALSE),"-")</f>
        <v>24</v>
      </c>
      <c r="V54" s="2">
        <f>IFERROR(50+VLOOKUP($A54,'SegEnds_Xtal_Prot#'!$A:$AY,43,FALSE)-VLOOKUP($B54,'SegEnds_NonXtal_Prot#'!$A:$AL,31,FALSE),"-")</f>
        <v>64</v>
      </c>
      <c r="W54" s="2">
        <f>IFERROR(50+VLOOKUP($A54,'SegEnds_Xtal_Prot#'!$A:$AY,45,FALSE)-VLOOKUP($B54,'SegEnds_NonXtal_Prot#'!$A:$AL,34,FALSE),"-")</f>
        <v>24</v>
      </c>
      <c r="X54" s="2">
        <f>IFERROR(50+VLOOKUP($A54,'SegEnds_Xtal_Prot#'!$A:$AY,47,FALSE)-VLOOKUP($B54,'SegEnds_NonXtal_Prot#'!$A:$AL,34,FALSE),"-")</f>
        <v>56</v>
      </c>
      <c r="Y54" s="2">
        <f>IFERROR(50+VLOOKUP($A54,'SegEnds_Xtal_Prot#'!$A:$AY,49,FALSE)-VLOOKUP($B54,'SegEnds_NonXtal_Prot#'!$A:$AL,37,FALSE),"-")</f>
        <v>47</v>
      </c>
      <c r="Z54" s="2">
        <f>IFERROR(50+VLOOKUP($A54,'SegEnds_Xtal_Prot#'!$A:$AY,51,FALSE)-VLOOKUP($B54,'SegEnds_NonXtal_Prot#'!$A:$AL,37,FALSE),"-")</f>
        <v>61</v>
      </c>
      <c r="AA54" s="49" t="str">
        <f>VLOOKUP(B54,Classification!A:D,2,FALSE)</f>
        <v>A</v>
      </c>
      <c r="AB54" s="94" t="str">
        <f>VLOOKUP(B54,Classification!A:D,4,0)</f>
        <v>Lysophospholipid(LPA)</v>
      </c>
      <c r="AC54" s="49">
        <f>VLOOKUP(B54,'SegEnds_NonXtal_Prot#'!A:AL,6,FALSE)-VLOOKUP(B54,'SegEnds_NonXtal_Prot#'!A:AL,5,FALSE)</f>
        <v>1</v>
      </c>
      <c r="AD54" s="49">
        <f>VLOOKUP(B54,'SegEnds_NonXtal_Prot#'!A:AL,9,FALSE)-VLOOKUP(B54,'SegEnds_NonXtal_Prot#'!A:AL,8,FALSE)</f>
        <v>1</v>
      </c>
      <c r="AE54" s="49">
        <f>VLOOKUP(B54,'SegEnds_NonXtal_Prot#'!A:AL,13,FALSE)-VLOOKUP(B54,'SegEnds_NonXtal_Prot#'!A:AL,10,FALSE)</f>
        <v>19</v>
      </c>
      <c r="AF54" s="49">
        <f>VLOOKUP(B54,'SegEnds_NonXtal_Prot#'!A:AL,12,FALSE)-VLOOKUP(B54,'SegEnds_NonXtal_Prot#'!A:AL,11,FALSE)</f>
        <v>2</v>
      </c>
      <c r="AG54" s="49">
        <f>VLOOKUP(B54,'SegEnds_NonXtal_Prot#'!A:AL,13,FALSE)-VLOOKUP(B54,'SegEnds_NonXtal_Prot#'!A:AL,11,FALSE)</f>
        <v>3</v>
      </c>
      <c r="AH54" s="49">
        <f>VLOOKUP(B54,'SegEnds_NonXtal_Prot#'!A:AL,16,FALSE)-VLOOKUP(B54,'SegEnds_NonXtal_Prot#'!A:AL,10,FALSE)</f>
        <v>51</v>
      </c>
      <c r="AI54" s="49">
        <f>VLOOKUP(B54,'SegEnds_NonXtal_Prot#'!A:AL,16,FALSE)-VLOOKUP(B54,'SegEnds_NonXtal_Prot#'!A:AL,11,FALSE)</f>
        <v>35</v>
      </c>
      <c r="AJ54" s="49">
        <f>VLOOKUP(B54,'SegEnds_NonXtal_Prot#'!A:AL,22,FALSE)-VLOOKUP(B54,'SegEnds_NonXtal_Prot#'!A:AL,19,FALSE)</f>
        <v>20</v>
      </c>
      <c r="AK54" s="49">
        <f>VLOOKUP(B54,'SegEnds_NonXtal_Prot#'!A:AL,15,FALSE)-VLOOKUP(B54,'SegEnds_NonXtal_Prot#'!A:AL,14,FALSE)</f>
        <v>1</v>
      </c>
      <c r="AL54" s="49">
        <f>VLOOKUP(B54,'SegEnds_NonXtal_Prot#'!A:AL,18,FALSE)-VLOOKUP(B54,'SegEnds_NonXtal_Prot#'!A:AL,17,FALSE)</f>
        <v>1</v>
      </c>
      <c r="AM54" s="2">
        <f>VLOOKUP(B54,'SegEnds_NonXtal_Prot#'!A:AL,34,FALSE)-VLOOKUP(B54,'SegEnds_NonXtal_Prot#'!A:AL,31,FALSE)</f>
        <v>44</v>
      </c>
    </row>
    <row r="55" spans="1:40" x14ac:dyDescent="0.2">
      <c r="A55" s="2" t="s">
        <v>1466</v>
      </c>
      <c r="B55" s="2" t="s">
        <v>1463</v>
      </c>
      <c r="C55" s="2">
        <f>IFERROR(50+VLOOKUP($A55,'SegEnds_Xtal_Prot#'!$A:$AY,5,FALSE)-VLOOKUP($B55,'SegEnds_NonXtal_Prot#'!$A:$AL,4,FALSE),"-")</f>
        <v>29</v>
      </c>
      <c r="D55" s="2">
        <f>IFERROR(50+VLOOKUP($A55,'SegEnds_Xtal_Prot#'!$A:$AY,7,FALSE)-VLOOKUP($B55,'SegEnds_NonXtal_Prot#'!$A:$AL,4,FALSE),"-")</f>
        <v>60</v>
      </c>
      <c r="E55" s="2">
        <f>IFERROR(50+VLOOKUP($A55,'SegEnds_Xtal_Prot#'!$A:$AY,9,FALSE)-VLOOKUP($B55,'SegEnds_NonXtal_Prot#'!$A:$AL,7,FALSE),"-")</f>
        <v>48</v>
      </c>
      <c r="F55" s="2">
        <f>IFERROR(50+VLOOKUP($A55,'SegEnds_Xtal_Prot#'!$A:$AY,11,FALSE)-VLOOKUP($B55,'SegEnds_NonXtal_Prot#'!$A:$AL,7,FALSE),"-")</f>
        <v>51</v>
      </c>
      <c r="G55" s="2">
        <f>IFERROR(50+VLOOKUP($A55,'SegEnds_Xtal_Prot#'!$A:$AY,13,FALSE)-VLOOKUP($B55,'SegEnds_NonXtal_Prot#'!$A:$AL,10,FALSE),"-")</f>
        <v>37</v>
      </c>
      <c r="H55" s="2">
        <f>IFERROR(50+VLOOKUP($A55,'SegEnds_Xtal_Prot#'!$A:$AY,15,FALSE)-VLOOKUP($B55,'SegEnds_NonXtal_Prot#'!$A:$AL,10,FALSE),"-")</f>
        <v>67</v>
      </c>
      <c r="I55" s="2">
        <f>IFERROR(50+VLOOKUP($A55,'SegEnds_Xtal_Prot#'!$A:$AY,17,FALSE)-VLOOKUP($B55,'SegEnds_NonXtal_Prot#'!$A:$AL,13,FALSE),"-")</f>
        <v>49</v>
      </c>
      <c r="J55" s="2">
        <f>IFERROR(50+VLOOKUP($A55,'SegEnds_Xtal_Prot#'!$A:$AY,19,FALSE)-VLOOKUP($B55,'SegEnds_NonXtal_Prot#'!$A:$AL,13,FALSE),"-")</f>
        <v>52</v>
      </c>
      <c r="K55" s="2">
        <f>IFERROR(50+VLOOKUP($A55,'SegEnds_Xtal_Prot#'!$A:$AY,21,FALSE)-VLOOKUP($B55,'SegEnds_NonXtal_Prot#'!$A:$AL,16,FALSE),"-")</f>
        <v>21</v>
      </c>
      <c r="L55" s="2">
        <f>IFERROR(50+VLOOKUP($A55,'SegEnds_Xtal_Prot#'!$A:$AY,23,FALSE)-VLOOKUP($B55,'SegEnds_NonXtal_Prot#'!$A:$AL,16,FALSE),"-")</f>
        <v>56</v>
      </c>
      <c r="M55" s="2">
        <f>IFERROR(50+VLOOKUP($A55,'SegEnds_Xtal_Prot#'!$A:$AY,25,FALSE)-VLOOKUP($B55,'SegEnds_NonXtal_Prot#'!$A:$AL,19,FALSE),"-")</f>
        <v>50</v>
      </c>
      <c r="N55" s="2">
        <f>IFERROR(50+VLOOKUP($A55,'SegEnds_Xtal_Prot#'!$A:$AY,27,FALSE)-VLOOKUP($B55,'SegEnds_NonXtal_Prot#'!$A:$AL,19,FALSE),"-")</f>
        <v>57</v>
      </c>
      <c r="O55" s="2">
        <f>IFERROR(50+VLOOKUP($A55,'SegEnds_Xtal_Prot#'!$A:$AY,29,FALSE)-VLOOKUP($B55,'SegEnds_NonXtal_Prot#'!$A:$AL,22,FALSE),"-")</f>
        <v>38</v>
      </c>
      <c r="P55" s="2">
        <f>IFERROR(50+VLOOKUP($A55,'SegEnds_Xtal_Prot#'!$A:$AY,31,FALSE)-VLOOKUP($B55,'SegEnds_NonXtal_Prot#'!$A:$AL,22,FALSE),"-")</f>
        <v>64</v>
      </c>
      <c r="Q55" s="2">
        <f>IFERROR(50+VLOOKUP($A55,'SegEnds_Xtal_Prot#'!$A:$AY,33,FALSE)-VLOOKUP($B55,'SegEnds_NonXtal_Prot#'!$A:$AL,25,FALSE),"-")</f>
        <v>50</v>
      </c>
      <c r="R55" s="2">
        <f>IFERROR(50+VLOOKUP($A55,'SegEnds_Xtal_Prot#'!$A:$AY,35,FALSE)-VLOOKUP($B55,'SegEnds_NonXtal_Prot#'!$A:$AL,25,FALSE),"-")</f>
        <v>52</v>
      </c>
      <c r="S55" s="2">
        <f>IFERROR(50+VLOOKUP($A55,'SegEnds_Xtal_Prot#'!$A:$AY,37,FALSE)-VLOOKUP($B55,'SegEnds_NonXtal_Prot#'!$A:$AL,28,FALSE),"-")</f>
        <v>31</v>
      </c>
      <c r="T55" s="2">
        <f>IFERROR(50+VLOOKUP($A55,'SegEnds_Xtal_Prot#'!$A:$AY,39,FALSE)-VLOOKUP($B55,'SegEnds_NonXtal_Prot#'!$A:$AL,28,FALSE),"-")</f>
        <v>68</v>
      </c>
      <c r="U55" s="2">
        <f>IFERROR(50+VLOOKUP($A55,'SegEnds_Xtal_Prot#'!$A:$AY,41,FALSE)-VLOOKUP($B55,'SegEnds_NonXtal_Prot#'!$A:$AL,31,FALSE),"-")</f>
        <v>30</v>
      </c>
      <c r="V55" s="2">
        <f>IFERROR(50+VLOOKUP($A55,'SegEnds_Xtal_Prot#'!$A:$AY,43,FALSE)-VLOOKUP($B55,'SegEnds_NonXtal_Prot#'!$A:$AL,31,FALSE),"-")</f>
        <v>64</v>
      </c>
      <c r="W55" s="2">
        <f>IFERROR(50+VLOOKUP($A55,'SegEnds_Xtal_Prot#'!$A:$AY,45,FALSE)-VLOOKUP($B55,'SegEnds_NonXtal_Prot#'!$A:$AL,34,FALSE),"-")</f>
        <v>24</v>
      </c>
      <c r="X55" s="2">
        <f>IFERROR(50+VLOOKUP($A55,'SegEnds_Xtal_Prot#'!$A:$AY,47,FALSE)-VLOOKUP($B55,'SegEnds_NonXtal_Prot#'!$A:$AL,34,FALSE),"-")</f>
        <v>56</v>
      </c>
      <c r="Y55" s="2">
        <f>IFERROR(50+VLOOKUP($A55,'SegEnds_Xtal_Prot#'!$A:$AY,49,FALSE)-VLOOKUP($B55,'SegEnds_NonXtal_Prot#'!$A:$AL,37,FALSE),"-")</f>
        <v>47</v>
      </c>
      <c r="Z55" s="2">
        <f>IFERROR(50+VLOOKUP($A55,'SegEnds_Xtal_Prot#'!$A:$AY,51,FALSE)-VLOOKUP($B55,'SegEnds_NonXtal_Prot#'!$A:$AL,37,FALSE),"-")</f>
        <v>61</v>
      </c>
      <c r="AA55" s="49" t="str">
        <f>VLOOKUP(B55,Classification!A:D,2,FALSE)</f>
        <v>A</v>
      </c>
      <c r="AB55" s="94" t="str">
        <f>VLOOKUP(B55,Classification!A:D,4,0)</f>
        <v>Leukotriene</v>
      </c>
      <c r="AC55" s="49">
        <f>VLOOKUP(B55,'SegEnds_NonXtal_Prot#'!A:AL,6,FALSE)-VLOOKUP(B55,'SegEnds_NonXtal_Prot#'!A:AL,5,FALSE)</f>
        <v>1</v>
      </c>
      <c r="AD55" s="49">
        <f>VLOOKUP(B55,'SegEnds_NonXtal_Prot#'!A:AL,9,FALSE)-VLOOKUP(B55,'SegEnds_NonXtal_Prot#'!A:AL,8,FALSE)</f>
        <v>1</v>
      </c>
      <c r="AE55" s="49">
        <f>VLOOKUP(B55,'SegEnds_NonXtal_Prot#'!A:AL,13,FALSE)-VLOOKUP(B55,'SegEnds_NonXtal_Prot#'!A:AL,10,FALSE)</f>
        <v>19</v>
      </c>
      <c r="AF55" s="49">
        <f>VLOOKUP(B55,'SegEnds_NonXtal_Prot#'!A:AL,12,FALSE)-VLOOKUP(B55,'SegEnds_NonXtal_Prot#'!A:AL,11,FALSE)</f>
        <v>1</v>
      </c>
      <c r="AG55" s="49">
        <f>VLOOKUP(B55,'SegEnds_NonXtal_Prot#'!A:AL,13,FALSE)-VLOOKUP(B55,'SegEnds_NonXtal_Prot#'!A:AL,11,FALSE)</f>
        <v>2</v>
      </c>
      <c r="AH55" s="49">
        <f>VLOOKUP(B55,'SegEnds_NonXtal_Prot#'!A:AL,16,FALSE)-VLOOKUP(B55,'SegEnds_NonXtal_Prot#'!A:AL,10,FALSE)</f>
        <v>51</v>
      </c>
      <c r="AI55" s="49">
        <f>VLOOKUP(B55,'SegEnds_NonXtal_Prot#'!A:AL,16,FALSE)-VLOOKUP(B55,'SegEnds_NonXtal_Prot#'!A:AL,11,FALSE)</f>
        <v>34</v>
      </c>
      <c r="AJ55" s="49">
        <f>VLOOKUP(B55,'SegEnds_NonXtal_Prot#'!A:AL,22,FALSE)-VLOOKUP(B55,'SegEnds_NonXtal_Prot#'!A:AL,19,FALSE)</f>
        <v>20</v>
      </c>
      <c r="AK55" s="49">
        <f>VLOOKUP(B55,'SegEnds_NonXtal_Prot#'!A:AL,15,FALSE)-VLOOKUP(B55,'SegEnds_NonXtal_Prot#'!A:AL,14,FALSE)</f>
        <v>1</v>
      </c>
      <c r="AL55" s="49">
        <f>VLOOKUP(B55,'SegEnds_NonXtal_Prot#'!A:AL,18,FALSE)-VLOOKUP(B55,'SegEnds_NonXtal_Prot#'!A:AL,17,FALSE)</f>
        <v>1</v>
      </c>
      <c r="AM55" s="2">
        <f>VLOOKUP(B55,'SegEnds_NonXtal_Prot#'!A:AL,34,FALSE)-VLOOKUP(B55,'SegEnds_NonXtal_Prot#'!A:AL,31,FALSE)</f>
        <v>43</v>
      </c>
    </row>
    <row r="56" spans="1:40" x14ac:dyDescent="0.2">
      <c r="A56" s="2" t="s">
        <v>1493</v>
      </c>
      <c r="B56" s="2" t="s">
        <v>165</v>
      </c>
      <c r="C56" s="2">
        <f>IFERROR(50+VLOOKUP($A56,'SegEnds_Xtal_Prot#'!$A:$AY,5,FALSE)-VLOOKUP($B56,'SegEnds_NonXtal_Prot#'!$A:$AL,4,FALSE),"-")</f>
        <v>29</v>
      </c>
      <c r="D56" s="2">
        <f>IFERROR(50+VLOOKUP($A56,'SegEnds_Xtal_Prot#'!$A:$AY,7,FALSE)-VLOOKUP($B56,'SegEnds_NonXtal_Prot#'!$A:$AL,4,FALSE),"-")</f>
        <v>60</v>
      </c>
      <c r="E56" s="2" t="str">
        <f>IFERROR(50+VLOOKUP($A56,'SegEnds_Xtal_Prot#'!$A:$AY,9,FALSE)-VLOOKUP($B56,'SegEnds_NonXtal_Prot#'!$A:$AL,7,FALSE),"-")</f>
        <v>-</v>
      </c>
      <c r="F56" s="2" t="str">
        <f>IFERROR(50+VLOOKUP($A56,'SegEnds_Xtal_Prot#'!$A:$AY,11,FALSE)-VLOOKUP($B56,'SegEnds_NonXtal_Prot#'!$A:$AL,7,FALSE),"-")</f>
        <v>-</v>
      </c>
      <c r="G56" s="2">
        <f>IFERROR(50+VLOOKUP($A56,'SegEnds_Xtal_Prot#'!$A:$AY,13,FALSE)-VLOOKUP($B56,'SegEnds_NonXtal_Prot#'!$A:$AL,10,FALSE),"-")</f>
        <v>37</v>
      </c>
      <c r="H56" s="2">
        <f>IFERROR(50+VLOOKUP($A56,'SegEnds_Xtal_Prot#'!$A:$AY,15,FALSE)-VLOOKUP($B56,'SegEnds_NonXtal_Prot#'!$A:$AL,10,FALSE),"-")</f>
        <v>67</v>
      </c>
      <c r="I56" s="2">
        <f>IFERROR(50+VLOOKUP($A56,'SegEnds_Xtal_Prot#'!$A:$AY,17,FALSE)-VLOOKUP($B56,'SegEnds_NonXtal_Prot#'!$A:$AL,13,FALSE),"-")</f>
        <v>49</v>
      </c>
      <c r="J56" s="2">
        <f>IFERROR(50+VLOOKUP($A56,'SegEnds_Xtal_Prot#'!$A:$AY,19,FALSE)-VLOOKUP($B56,'SegEnds_NonXtal_Prot#'!$A:$AL,13,FALSE),"-")</f>
        <v>52</v>
      </c>
      <c r="K56" s="2">
        <f>IFERROR(50+VLOOKUP($A56,'SegEnds_Xtal_Prot#'!$A:$AY,21,FALSE)-VLOOKUP($B56,'SegEnds_NonXtal_Prot#'!$A:$AL,16,FALSE),"-")</f>
        <v>21</v>
      </c>
      <c r="L56" s="2">
        <f>IFERROR(50+VLOOKUP($A56,'SegEnds_Xtal_Prot#'!$A:$AY,23,FALSE)-VLOOKUP($B56,'SegEnds_NonXtal_Prot#'!$A:$AL,16,FALSE),"-")</f>
        <v>56</v>
      </c>
      <c r="M56" s="2">
        <f>IFERROR(50+VLOOKUP($A56,'SegEnds_Xtal_Prot#'!$A:$AY,25,FALSE)-VLOOKUP($B56,'SegEnds_NonXtal_Prot#'!$A:$AL,19,FALSE),"-")</f>
        <v>50</v>
      </c>
      <c r="N56" s="2">
        <f>IFERROR(50+VLOOKUP($A56,'SegEnds_Xtal_Prot#'!$A:$AY,27,FALSE)-VLOOKUP($B56,'SegEnds_NonXtal_Prot#'!$A:$AL,19,FALSE),"-")</f>
        <v>57</v>
      </c>
      <c r="O56" s="2">
        <f>IFERROR(50+VLOOKUP($A56,'SegEnds_Xtal_Prot#'!$A:$AY,29,FALSE)-VLOOKUP($B56,'SegEnds_NonXtal_Prot#'!$A:$AL,22,FALSE),"-")</f>
        <v>38</v>
      </c>
      <c r="P56" s="2">
        <f>IFERROR(50+VLOOKUP($A56,'SegEnds_Xtal_Prot#'!$A:$AY,31,FALSE)-VLOOKUP($B56,'SegEnds_NonXtal_Prot#'!$A:$AL,22,FALSE),"-")</f>
        <v>64</v>
      </c>
      <c r="Q56" s="2">
        <f>IFERROR(50+VLOOKUP($A56,'SegEnds_Xtal_Prot#'!$A:$AY,33,FALSE)-VLOOKUP($B56,'SegEnds_NonXtal_Prot#'!$A:$AL,25,FALSE),"-")</f>
        <v>50</v>
      </c>
      <c r="R56" s="2">
        <f>IFERROR(50+VLOOKUP($A56,'SegEnds_Xtal_Prot#'!$A:$AY,35,FALSE)-VLOOKUP($B56,'SegEnds_NonXtal_Prot#'!$A:$AL,25,FALSE),"-")</f>
        <v>52</v>
      </c>
      <c r="S56" s="2">
        <f>IFERROR(50+VLOOKUP($A56,'SegEnds_Xtal_Prot#'!$A:$AY,37,FALSE)-VLOOKUP($B56,'SegEnds_NonXtal_Prot#'!$A:$AL,28,FALSE),"-")</f>
        <v>31</v>
      </c>
      <c r="T56" s="2">
        <f>IFERROR(50+VLOOKUP($A56,'SegEnds_Xtal_Prot#'!$A:$AY,39,FALSE)-VLOOKUP($B56,'SegEnds_NonXtal_Prot#'!$A:$AL,28,FALSE),"-")</f>
        <v>68</v>
      </c>
      <c r="U56" s="2">
        <f>IFERROR(50+VLOOKUP($A56,'SegEnds_Xtal_Prot#'!$A:$AY,41,FALSE)-VLOOKUP($B56,'SegEnds_NonXtal_Prot#'!$A:$AL,31,FALSE),"-")</f>
        <v>31</v>
      </c>
      <c r="V56" s="2">
        <f>IFERROR(50+VLOOKUP($A56,'SegEnds_Xtal_Prot#'!$A:$AY,43,FALSE)-VLOOKUP($B56,'SegEnds_NonXtal_Prot#'!$A:$AL,31,FALSE),"-")</f>
        <v>61</v>
      </c>
      <c r="W56" s="2">
        <f>IFERROR(50+VLOOKUP($A56,'SegEnds_Xtal_Prot#'!$A:$AY,45,FALSE)-VLOOKUP($B56,'SegEnds_NonXtal_Prot#'!$A:$AL,34,FALSE),"-")</f>
        <v>25</v>
      </c>
      <c r="X56" s="2">
        <f>IFERROR(50+VLOOKUP($A56,'SegEnds_Xtal_Prot#'!$A:$AY,47,FALSE)-VLOOKUP($B56,'SegEnds_NonXtal_Prot#'!$A:$AL,34,FALSE),"-")</f>
        <v>56</v>
      </c>
      <c r="Y56" s="2">
        <f>IFERROR(50+VLOOKUP($A56,'SegEnds_Xtal_Prot#'!$A:$AY,49,FALSE)-VLOOKUP($B56,'SegEnds_NonXtal_Prot#'!$A:$AL,37,FALSE),"-")</f>
        <v>47</v>
      </c>
      <c r="Z56" s="2">
        <f>IFERROR(50+VLOOKUP($A56,'SegEnds_Xtal_Prot#'!$A:$AY,51,FALSE)-VLOOKUP($B56,'SegEnds_NonXtal_Prot#'!$A:$AL,37,FALSE),"-")</f>
        <v>56</v>
      </c>
      <c r="AA56" s="49" t="str">
        <f>VLOOKUP(B56,Classification!A:D,2,FALSE)</f>
        <v>A</v>
      </c>
      <c r="AB56" s="94" t="str">
        <f>VLOOKUP(B56,Classification!A:D,4,0)</f>
        <v>Complementpeptide</v>
      </c>
      <c r="AC56" s="49" t="e">
        <f>VLOOKUP(B56,'SegEnds_NonXtal_Prot#'!A:AL,6,FALSE)-VLOOKUP(B56,'SegEnds_NonXtal_Prot#'!A:AL,5,FALSE)</f>
        <v>#VALUE!</v>
      </c>
      <c r="AD56" s="49" t="e">
        <f>VLOOKUP(B56,'SegEnds_NonXtal_Prot#'!A:AL,9,FALSE)-VLOOKUP(B56,'SegEnds_NonXtal_Prot#'!A:AL,8,FALSE)</f>
        <v>#VALUE!</v>
      </c>
      <c r="AE56" s="49">
        <f>VLOOKUP(B56,'SegEnds_NonXtal_Prot#'!A:AL,13,FALSE)-VLOOKUP(B56,'SegEnds_NonXtal_Prot#'!A:AL,10,FALSE)</f>
        <v>20</v>
      </c>
      <c r="AF56" s="49">
        <f>VLOOKUP(B56,'SegEnds_NonXtal_Prot#'!A:AL,12,FALSE)-VLOOKUP(B56,'SegEnds_NonXtal_Prot#'!A:AL,11,FALSE)</f>
        <v>2</v>
      </c>
      <c r="AG56" s="49">
        <f>VLOOKUP(B56,'SegEnds_NonXtal_Prot#'!A:AL,13,FALSE)-VLOOKUP(B56,'SegEnds_NonXtal_Prot#'!A:AL,11,FALSE)</f>
        <v>3</v>
      </c>
      <c r="AH56" s="49">
        <f>VLOOKUP(B56,'SegEnds_NonXtal_Prot#'!A:AL,16,FALSE)-VLOOKUP(B56,'SegEnds_NonXtal_Prot#'!A:AL,10,FALSE)</f>
        <v>52</v>
      </c>
      <c r="AI56" s="49">
        <f>VLOOKUP(B56,'SegEnds_NonXtal_Prot#'!A:AL,16,FALSE)-VLOOKUP(B56,'SegEnds_NonXtal_Prot#'!A:AL,11,FALSE)</f>
        <v>35</v>
      </c>
      <c r="AJ56" s="49">
        <f>VLOOKUP(B56,'SegEnds_NonXtal_Prot#'!A:AL,22,FALSE)-VLOOKUP(B56,'SegEnds_NonXtal_Prot#'!A:AL,19,FALSE)</f>
        <v>20</v>
      </c>
      <c r="AK56" s="49">
        <f>VLOOKUP(B56,'SegEnds_NonXtal_Prot#'!A:AL,15,FALSE)-VLOOKUP(B56,'SegEnds_NonXtal_Prot#'!A:AL,14,FALSE)</f>
        <v>1</v>
      </c>
      <c r="AL56" s="49">
        <f>VLOOKUP(B56,'SegEnds_NonXtal_Prot#'!A:AL,18,FALSE)-VLOOKUP(B56,'SegEnds_NonXtal_Prot#'!A:AL,17,FALSE)</f>
        <v>1</v>
      </c>
      <c r="AM56" s="2">
        <f>VLOOKUP(B56,'SegEnds_NonXtal_Prot#'!A:AL,34,FALSE)-VLOOKUP(B56,'SegEnds_NonXtal_Prot#'!A:AL,31,FALSE)</f>
        <v>40</v>
      </c>
    </row>
    <row r="57" spans="1:40" x14ac:dyDescent="0.2">
      <c r="A57" s="2" t="s">
        <v>1505</v>
      </c>
      <c r="B57" s="2" t="s">
        <v>325</v>
      </c>
      <c r="C57" s="2">
        <f>IFERROR(50+VLOOKUP($A57,'SegEnds_Xtal_Prot#'!$A:$AY,5,FALSE)-VLOOKUP($B57,'SegEnds_NonXtal_Prot#'!$A:$AL,4,FALSE),"-")</f>
        <v>28</v>
      </c>
      <c r="D57" s="2">
        <f>IFERROR(50+VLOOKUP($A57,'SegEnds_Xtal_Prot#'!$A:$AY,7,FALSE)-VLOOKUP($B57,'SegEnds_NonXtal_Prot#'!$A:$AL,4,FALSE),"-")</f>
        <v>60</v>
      </c>
      <c r="E57" s="2">
        <f>IFERROR(50+VLOOKUP($A57,'SegEnds_Xtal_Prot#'!$A:$AY,9,FALSE)-VLOOKUP($B57,'SegEnds_NonXtal_Prot#'!$A:$AL,7,FALSE),"-")</f>
        <v>48</v>
      </c>
      <c r="F57" s="2">
        <f>IFERROR(50+VLOOKUP($A57,'SegEnds_Xtal_Prot#'!$A:$AY,11,FALSE)-VLOOKUP($B57,'SegEnds_NonXtal_Prot#'!$A:$AL,7,FALSE),"-")</f>
        <v>51</v>
      </c>
      <c r="G57" s="2">
        <f>IFERROR(50+VLOOKUP($A57,'SegEnds_Xtal_Prot#'!$A:$AY,13,FALSE)-VLOOKUP($B57,'SegEnds_NonXtal_Prot#'!$A:$AL,10,FALSE),"-")</f>
        <v>37</v>
      </c>
      <c r="H57" s="2">
        <f>IFERROR(50+VLOOKUP($A57,'SegEnds_Xtal_Prot#'!$A:$AY,15,FALSE)-VLOOKUP($B57,'SegEnds_NonXtal_Prot#'!$A:$AL,10,FALSE),"-")</f>
        <v>68</v>
      </c>
      <c r="I57" s="2">
        <f>IFERROR(50+VLOOKUP($A57,'SegEnds_Xtal_Prot#'!$A:$AY,17,FALSE)-VLOOKUP($B57,'SegEnds_NonXtal_Prot#'!$A:$AL,13,FALSE),"-")</f>
        <v>49</v>
      </c>
      <c r="J57" s="2">
        <f>IFERROR(50+VLOOKUP($A57,'SegEnds_Xtal_Prot#'!$A:$AY,19,FALSE)-VLOOKUP($B57,'SegEnds_NonXtal_Prot#'!$A:$AL,13,FALSE),"-")</f>
        <v>52</v>
      </c>
      <c r="K57" s="2">
        <f>IFERROR(50+VLOOKUP($A57,'SegEnds_Xtal_Prot#'!$A:$AY,21,FALSE)-VLOOKUP($B57,'SegEnds_NonXtal_Prot#'!$A:$AL,16,FALSE),"-")</f>
        <v>21</v>
      </c>
      <c r="L57" s="2">
        <f>IFERROR(50+VLOOKUP($A57,'SegEnds_Xtal_Prot#'!$A:$AY,23,FALSE)-VLOOKUP($B57,'SegEnds_NonXtal_Prot#'!$A:$AL,16,FALSE),"-")</f>
        <v>56</v>
      </c>
      <c r="M57" s="2" t="str">
        <f>IFERROR(50+VLOOKUP($A57,'SegEnds_Xtal_Prot#'!$A:$AY,25,FALSE)-VLOOKUP($B57,'SegEnds_NonXtal_Prot#'!$A:$AL,19,FALSE),"-")</f>
        <v>-</v>
      </c>
      <c r="N57" s="2" t="str">
        <f>IFERROR(50+VLOOKUP($A57,'SegEnds_Xtal_Prot#'!$A:$AY,27,FALSE)-VLOOKUP($B57,'SegEnds_NonXtal_Prot#'!$A:$AL,19,FALSE),"-")</f>
        <v>-</v>
      </c>
      <c r="O57" s="2">
        <f>IFERROR(50+VLOOKUP($A57,'SegEnds_Xtal_Prot#'!$A:$AY,29,FALSE)-VLOOKUP($B57,'SegEnds_NonXtal_Prot#'!$A:$AL,22,FALSE),"-")</f>
        <v>38</v>
      </c>
      <c r="P57" s="2">
        <f>IFERROR(50+VLOOKUP($A57,'SegEnds_Xtal_Prot#'!$A:$AY,31,FALSE)-VLOOKUP($B57,'SegEnds_NonXtal_Prot#'!$A:$AL,22,FALSE),"-")</f>
        <v>64</v>
      </c>
      <c r="Q57" s="2">
        <f>IFERROR(50+VLOOKUP($A57,'SegEnds_Xtal_Prot#'!$A:$AY,33,FALSE)-VLOOKUP($B57,'SegEnds_NonXtal_Prot#'!$A:$AL,25,FALSE),"-")</f>
        <v>50</v>
      </c>
      <c r="R57" s="2">
        <f>IFERROR(50+VLOOKUP($A57,'SegEnds_Xtal_Prot#'!$A:$AY,35,FALSE)-VLOOKUP($B57,'SegEnds_NonXtal_Prot#'!$A:$AL,25,FALSE),"-")</f>
        <v>52</v>
      </c>
      <c r="S57" s="2">
        <f>IFERROR(50+VLOOKUP($A57,'SegEnds_Xtal_Prot#'!$A:$AY,37,FALSE)-VLOOKUP($B57,'SegEnds_NonXtal_Prot#'!$A:$AL,28,FALSE),"-")</f>
        <v>31</v>
      </c>
      <c r="T57" s="2">
        <f>IFERROR(50+VLOOKUP($A57,'SegEnds_Xtal_Prot#'!$A:$AY,39,FALSE)-VLOOKUP($B57,'SegEnds_NonXtal_Prot#'!$A:$AL,28,FALSE),"-")</f>
        <v>72</v>
      </c>
      <c r="U57" s="2">
        <f>IFERROR(50+VLOOKUP($A57,'SegEnds_Xtal_Prot#'!$A:$AY,41,FALSE)-VLOOKUP($B57,'SegEnds_NonXtal_Prot#'!$A:$AL,31,FALSE),"-")</f>
        <v>22</v>
      </c>
      <c r="V57" s="2">
        <f>IFERROR(50+VLOOKUP($A57,'SegEnds_Xtal_Prot#'!$A:$AY,43,FALSE)-VLOOKUP($B57,'SegEnds_NonXtal_Prot#'!$A:$AL,31,FALSE),"-")</f>
        <v>61</v>
      </c>
      <c r="W57" s="2">
        <f>IFERROR(50+VLOOKUP($A57,'SegEnds_Xtal_Prot#'!$A:$AY,45,FALSE)-VLOOKUP($B57,'SegEnds_NonXtal_Prot#'!$A:$AL,34,FALSE),"-")</f>
        <v>28</v>
      </c>
      <c r="X57" s="2">
        <f>IFERROR(50+VLOOKUP($A57,'SegEnds_Xtal_Prot#'!$A:$AY,47,FALSE)-VLOOKUP($B57,'SegEnds_NonXtal_Prot#'!$A:$AL,34,FALSE),"-")</f>
        <v>56</v>
      </c>
      <c r="Y57" s="2">
        <f>IFERROR(50+VLOOKUP($A57,'SegEnds_Xtal_Prot#'!$A:$AY,49,FALSE)-VLOOKUP($B57,'SegEnds_NonXtal_Prot#'!$A:$AL,37,FALSE),"-")</f>
        <v>47</v>
      </c>
      <c r="Z57" s="2">
        <f>IFERROR(50+VLOOKUP($A57,'SegEnds_Xtal_Prot#'!$A:$AY,51,FALSE)-VLOOKUP($B57,'SegEnds_NonXtal_Prot#'!$A:$AL,37,FALSE),"-")</f>
        <v>58</v>
      </c>
      <c r="AA57" s="49" t="str">
        <f>VLOOKUP(B57,Classification!A:D,2,FALSE)</f>
        <v>A</v>
      </c>
      <c r="AB57" s="94" t="str">
        <f>VLOOKUP(B57,Classification!A:D,4,0)</f>
        <v>NeuropeptideY</v>
      </c>
      <c r="AC57" s="49">
        <f>VLOOKUP(B57,'SegEnds_NonXtal_Prot#'!A:AL,6,FALSE)-VLOOKUP(B57,'SegEnds_NonXtal_Prot#'!A:AL,5,FALSE)</f>
        <v>1</v>
      </c>
      <c r="AD57" s="49">
        <f>VLOOKUP(B57,'SegEnds_NonXtal_Prot#'!A:AL,9,FALSE)-VLOOKUP(B57,'SegEnds_NonXtal_Prot#'!A:AL,8,FALSE)</f>
        <v>1</v>
      </c>
      <c r="AE57" s="49">
        <f>VLOOKUP(B57,'SegEnds_NonXtal_Prot#'!A:AL,13,FALSE)-VLOOKUP(B57,'SegEnds_NonXtal_Prot#'!A:AL,10,FALSE)</f>
        <v>20</v>
      </c>
      <c r="AF57" s="49">
        <f>VLOOKUP(B57,'SegEnds_NonXtal_Prot#'!A:AL,12,FALSE)-VLOOKUP(B57,'SegEnds_NonXtal_Prot#'!A:AL,11,FALSE)</f>
        <v>1</v>
      </c>
      <c r="AG57" s="49">
        <f>VLOOKUP(B57,'SegEnds_NonXtal_Prot#'!A:AL,13,FALSE)-VLOOKUP(B57,'SegEnds_NonXtal_Prot#'!A:AL,11,FALSE)</f>
        <v>2</v>
      </c>
      <c r="AH57" s="49">
        <f>VLOOKUP(B57,'SegEnds_NonXtal_Prot#'!A:AL,16,FALSE)-VLOOKUP(B57,'SegEnds_NonXtal_Prot#'!A:AL,10,FALSE)</f>
        <v>52</v>
      </c>
      <c r="AI57" s="49">
        <f>VLOOKUP(B57,'SegEnds_NonXtal_Prot#'!A:AL,16,FALSE)-VLOOKUP(B57,'SegEnds_NonXtal_Prot#'!A:AL,11,FALSE)</f>
        <v>34</v>
      </c>
      <c r="AJ57" s="49" t="e">
        <f>VLOOKUP(B57,'SegEnds_NonXtal_Prot#'!A:AL,22,FALSE)-VLOOKUP(B57,'SegEnds_NonXtal_Prot#'!A:AL,19,FALSE)</f>
        <v>#VALUE!</v>
      </c>
      <c r="AK57" s="49">
        <f>VLOOKUP(B57,'SegEnds_NonXtal_Prot#'!A:AL,15,FALSE)-VLOOKUP(B57,'SegEnds_NonXtal_Prot#'!A:AL,14,FALSE)</f>
        <v>1</v>
      </c>
      <c r="AL57" s="49" t="e">
        <f>VLOOKUP(B57,'SegEnds_NonXtal_Prot#'!A:AL,18,FALSE)-VLOOKUP(B57,'SegEnds_NonXtal_Prot#'!A:AL,17,FALSE)</f>
        <v>#VALUE!</v>
      </c>
      <c r="AM57" s="2">
        <f>VLOOKUP(B57,'SegEnds_NonXtal_Prot#'!A:AL,34,FALSE)-VLOOKUP(B57,'SegEnds_NonXtal_Prot#'!A:AL,31,FALSE)</f>
        <v>39</v>
      </c>
    </row>
    <row r="58" spans="1:40" x14ac:dyDescent="0.2">
      <c r="A58" s="2" t="s">
        <v>1522</v>
      </c>
      <c r="B58" s="2" t="s">
        <v>371</v>
      </c>
      <c r="C58" s="2">
        <f>IFERROR(50+VLOOKUP($A58,'SegEnds_Xtal_Prot#'!$A:$AY,5,FALSE)-VLOOKUP($B58,'SegEnds_NonXtal_Prot#'!$A:$AL,4,FALSE),"-")</f>
        <v>27</v>
      </c>
      <c r="D58" s="2">
        <f>IFERROR(50+VLOOKUP($A58,'SegEnds_Xtal_Prot#'!$A:$AY,7,FALSE)-VLOOKUP($B58,'SegEnds_NonXtal_Prot#'!$A:$AL,4,FALSE),"-")</f>
        <v>61</v>
      </c>
      <c r="E58" s="2" t="str">
        <f>IFERROR(50+VLOOKUP($A58,'SegEnds_Xtal_Prot#'!$A:$AY,9,FALSE)-VLOOKUP($B58,'SegEnds_NonXtal_Prot#'!$A:$AL,7,FALSE),"-")</f>
        <v>-</v>
      </c>
      <c r="F58" s="2" t="str">
        <f>IFERROR(50+VLOOKUP($A58,'SegEnds_Xtal_Prot#'!$A:$AY,11,FALSE)-VLOOKUP($B58,'SegEnds_NonXtal_Prot#'!$A:$AL,7,FALSE),"-")</f>
        <v>-</v>
      </c>
      <c r="G58" s="2">
        <f>IFERROR(50+VLOOKUP($A58,'SegEnds_Xtal_Prot#'!$A:$AY,13,FALSE)-VLOOKUP($B58,'SegEnds_NonXtal_Prot#'!$A:$AL,10,FALSE),"-")</f>
        <v>36</v>
      </c>
      <c r="H58" s="2">
        <f>IFERROR(50+VLOOKUP($A58,'SegEnds_Xtal_Prot#'!$A:$AY,15,FALSE)-VLOOKUP($B58,'SegEnds_NonXtal_Prot#'!$A:$AL,10,FALSE),"-")</f>
        <v>67</v>
      </c>
      <c r="I58" s="2">
        <f>IFERROR(50+VLOOKUP($A58,'SegEnds_Xtal_Prot#'!$A:$AY,17,FALSE)-VLOOKUP($B58,'SegEnds_NonXtal_Prot#'!$A:$AL,13,FALSE),"-")</f>
        <v>49</v>
      </c>
      <c r="J58" s="2">
        <f>IFERROR(50+VLOOKUP($A58,'SegEnds_Xtal_Prot#'!$A:$AY,19,FALSE)-VLOOKUP($B58,'SegEnds_NonXtal_Prot#'!$A:$AL,13,FALSE),"-")</f>
        <v>52</v>
      </c>
      <c r="K58" s="2">
        <f>IFERROR(50+VLOOKUP($A58,'SegEnds_Xtal_Prot#'!$A:$AY,21,FALSE)-VLOOKUP($B58,'SegEnds_NonXtal_Prot#'!$A:$AL,16,FALSE),"-")</f>
        <v>21</v>
      </c>
      <c r="L58" s="2">
        <f>IFERROR(50+VLOOKUP($A58,'SegEnds_Xtal_Prot#'!$A:$AY,23,FALSE)-VLOOKUP($B58,'SegEnds_NonXtal_Prot#'!$A:$AL,16,FALSE),"-")</f>
        <v>56</v>
      </c>
      <c r="M58" s="2">
        <f>IFERROR(50+VLOOKUP($A58,'SegEnds_Xtal_Prot#'!$A:$AY,25,FALSE)-VLOOKUP($B58,'SegEnds_NonXtal_Prot#'!$A:$AL,19,FALSE),"-")</f>
        <v>50</v>
      </c>
      <c r="N58" s="2">
        <f>IFERROR(50+VLOOKUP($A58,'SegEnds_Xtal_Prot#'!$A:$AY,27,FALSE)-VLOOKUP($B58,'SegEnds_NonXtal_Prot#'!$A:$AL,19,FALSE),"-")</f>
        <v>57</v>
      </c>
      <c r="O58" s="2">
        <f>IFERROR(50+VLOOKUP($A58,'SegEnds_Xtal_Prot#'!$A:$AY,29,FALSE)-VLOOKUP($B58,'SegEnds_NonXtal_Prot#'!$A:$AL,22,FALSE),"-")</f>
        <v>38</v>
      </c>
      <c r="P58" s="2">
        <f>IFERROR(50+VLOOKUP($A58,'SegEnds_Xtal_Prot#'!$A:$AY,31,FALSE)-VLOOKUP($B58,'SegEnds_NonXtal_Prot#'!$A:$AL,22,FALSE),"-")</f>
        <v>63</v>
      </c>
      <c r="Q58" s="2">
        <f>IFERROR(50+VLOOKUP($A58,'SegEnds_Xtal_Prot#'!$A:$AY,33,FALSE)-VLOOKUP($B58,'SegEnds_NonXtal_Prot#'!$A:$AL,25,FALSE),"-")</f>
        <v>50</v>
      </c>
      <c r="R58" s="2">
        <f>IFERROR(50+VLOOKUP($A58,'SegEnds_Xtal_Prot#'!$A:$AY,35,FALSE)-VLOOKUP($B58,'SegEnds_NonXtal_Prot#'!$A:$AL,25,FALSE),"-")</f>
        <v>52</v>
      </c>
      <c r="S58" s="2">
        <f>IFERROR(50+VLOOKUP($A58,'SegEnds_Xtal_Prot#'!$A:$AY,37,FALSE)-VLOOKUP($B58,'SegEnds_NonXtal_Prot#'!$A:$AL,28,FALSE),"-")</f>
        <v>33</v>
      </c>
      <c r="T58" s="2">
        <f>IFERROR(50+VLOOKUP($A58,'SegEnds_Xtal_Prot#'!$A:$AY,39,FALSE)-VLOOKUP($B58,'SegEnds_NonXtal_Prot#'!$A:$AL,28,FALSE),"-")</f>
        <v>68</v>
      </c>
      <c r="U58" s="2">
        <f>IFERROR(50+VLOOKUP($A58,'SegEnds_Xtal_Prot#'!$A:$AY,41,FALSE)-VLOOKUP($B58,'SegEnds_NonXtal_Prot#'!$A:$AL,31,FALSE),"-")</f>
        <v>24</v>
      </c>
      <c r="V58" s="2">
        <f>IFERROR(50+VLOOKUP($A58,'SegEnds_Xtal_Prot#'!$A:$AY,43,FALSE)-VLOOKUP($B58,'SegEnds_NonXtal_Prot#'!$A:$AL,31,FALSE),"-")</f>
        <v>64</v>
      </c>
      <c r="W58" s="2">
        <f>IFERROR(50+VLOOKUP($A58,'SegEnds_Xtal_Prot#'!$A:$AY,45,FALSE)-VLOOKUP($B58,'SegEnds_NonXtal_Prot#'!$A:$AL,34,FALSE),"-")</f>
        <v>24</v>
      </c>
      <c r="X58" s="2">
        <f>IFERROR(50+VLOOKUP($A58,'SegEnds_Xtal_Prot#'!$A:$AY,47,FALSE)-VLOOKUP($B58,'SegEnds_NonXtal_Prot#'!$A:$AL,34,FALSE),"-")</f>
        <v>59</v>
      </c>
      <c r="Y58" s="2">
        <f>IFERROR(50+VLOOKUP($A58,'SegEnds_Xtal_Prot#'!$A:$AY,49,FALSE)-VLOOKUP($B58,'SegEnds_NonXtal_Prot#'!$A:$AL,37,FALSE),"-")</f>
        <v>50</v>
      </c>
      <c r="Z58" s="2">
        <f>IFERROR(50+VLOOKUP($A58,'SegEnds_Xtal_Prot#'!$A:$AY,51,FALSE)-VLOOKUP($B58,'SegEnds_NonXtal_Prot#'!$A:$AL,37,FALSE),"-")</f>
        <v>63</v>
      </c>
      <c r="AA58" s="49" t="str">
        <f>VLOOKUP(B58,Classification!A:D,2,FALSE)</f>
        <v>A</v>
      </c>
      <c r="AB58" s="94" t="str">
        <f>VLOOKUP(B58,Classification!A:D,4,0)</f>
        <v>Platelet-activatingfactor</v>
      </c>
      <c r="AC58" s="49" t="e">
        <f>VLOOKUP(B58,'SegEnds_NonXtal_Prot#'!A:AL,6,FALSE)-VLOOKUP(B58,'SegEnds_NonXtal_Prot#'!A:AL,5,FALSE)</f>
        <v>#VALUE!</v>
      </c>
      <c r="AD58" s="49" t="e">
        <f>VLOOKUP(B58,'SegEnds_NonXtal_Prot#'!A:AL,9,FALSE)-VLOOKUP(B58,'SegEnds_NonXtal_Prot#'!A:AL,8,FALSE)</f>
        <v>#VALUE!</v>
      </c>
      <c r="AE58" s="49">
        <f>VLOOKUP(B58,'SegEnds_NonXtal_Prot#'!A:AL,13,FALSE)-VLOOKUP(B58,'SegEnds_NonXtal_Prot#'!A:AL,10,FALSE)</f>
        <v>20</v>
      </c>
      <c r="AF58" s="49">
        <f>VLOOKUP(B58,'SegEnds_NonXtal_Prot#'!A:AL,12,FALSE)-VLOOKUP(B58,'SegEnds_NonXtal_Prot#'!A:AL,11,FALSE)</f>
        <v>2</v>
      </c>
      <c r="AG58" s="49">
        <f>VLOOKUP(B58,'SegEnds_NonXtal_Prot#'!A:AL,13,FALSE)-VLOOKUP(B58,'SegEnds_NonXtal_Prot#'!A:AL,11,FALSE)</f>
        <v>3</v>
      </c>
      <c r="AH58" s="49">
        <f>VLOOKUP(B58,'SegEnds_NonXtal_Prot#'!A:AL,16,FALSE)-VLOOKUP(B58,'SegEnds_NonXtal_Prot#'!A:AL,10,FALSE)</f>
        <v>52</v>
      </c>
      <c r="AI58" s="49">
        <f>VLOOKUP(B58,'SegEnds_NonXtal_Prot#'!A:AL,16,FALSE)-VLOOKUP(B58,'SegEnds_NonXtal_Prot#'!A:AL,11,FALSE)</f>
        <v>35</v>
      </c>
      <c r="AJ58" s="49">
        <f>VLOOKUP(B58,'SegEnds_NonXtal_Prot#'!A:AL,22,FALSE)-VLOOKUP(B58,'SegEnds_NonXtal_Prot#'!A:AL,19,FALSE)</f>
        <v>20</v>
      </c>
      <c r="AK58" s="49">
        <f>VLOOKUP(B58,'SegEnds_NonXtal_Prot#'!A:AL,15,FALSE)-VLOOKUP(B58,'SegEnds_NonXtal_Prot#'!A:AL,14,FALSE)</f>
        <v>1</v>
      </c>
      <c r="AL58" s="49">
        <f>VLOOKUP(B58,'SegEnds_NonXtal_Prot#'!A:AL,18,FALSE)-VLOOKUP(B58,'SegEnds_NonXtal_Prot#'!A:AL,17,FALSE)</f>
        <v>1</v>
      </c>
      <c r="AM58" s="2">
        <f>VLOOKUP(B58,'SegEnds_NonXtal_Prot#'!A:AL,34,FALSE)-VLOOKUP(B58,'SegEnds_NonXtal_Prot#'!A:AL,31,FALSE)</f>
        <v>43</v>
      </c>
    </row>
    <row r="59" spans="1:40" x14ac:dyDescent="0.2">
      <c r="A59" s="2" t="s">
        <v>1528</v>
      </c>
      <c r="B59" s="2" t="s">
        <v>1524</v>
      </c>
      <c r="C59" s="2">
        <f>IFERROR(50+VLOOKUP($A59,'SegEnds_Xtal_Prot#'!$A:$AY,5,FALSE)-VLOOKUP($B59,'SegEnds_NonXtal_Prot#'!$A:$AL,4,FALSE),"-")</f>
        <v>24</v>
      </c>
      <c r="D59" s="2">
        <f>IFERROR(50+VLOOKUP($A59,'SegEnds_Xtal_Prot#'!$A:$AY,7,FALSE)-VLOOKUP($B59,'SegEnds_NonXtal_Prot#'!$A:$AL,4,FALSE),"-")</f>
        <v>60</v>
      </c>
      <c r="E59" s="2">
        <f>IFERROR(50+VLOOKUP($A59,'SegEnds_Xtal_Prot#'!$A:$AY,9,FALSE)-VLOOKUP($B59,'SegEnds_NonXtal_Prot#'!$A:$AL,7,FALSE),"-")</f>
        <v>48</v>
      </c>
      <c r="F59" s="2">
        <f>IFERROR(50+VLOOKUP($A59,'SegEnds_Xtal_Prot#'!$A:$AY,11,FALSE)-VLOOKUP($B59,'SegEnds_NonXtal_Prot#'!$A:$AL,7,FALSE),"-")</f>
        <v>51</v>
      </c>
      <c r="G59" s="2">
        <f>IFERROR(50+VLOOKUP($A59,'SegEnds_Xtal_Prot#'!$A:$AY,13,FALSE)-VLOOKUP($B59,'SegEnds_NonXtal_Prot#'!$A:$AL,10,FALSE),"-")</f>
        <v>37</v>
      </c>
      <c r="H59" s="2">
        <f>IFERROR(50+VLOOKUP($A59,'SegEnds_Xtal_Prot#'!$A:$AY,15,FALSE)-VLOOKUP($B59,'SegEnds_NonXtal_Prot#'!$A:$AL,10,FALSE),"-")</f>
        <v>66</v>
      </c>
      <c r="I59" s="2" t="str">
        <f>IFERROR(50+VLOOKUP($A59,'SegEnds_Xtal_Prot#'!$A:$AY,17,FALSE)-VLOOKUP($B59,'SegEnds_NonXtal_Prot#'!$A:$AL,13,FALSE),"-")</f>
        <v>-</v>
      </c>
      <c r="J59" s="2" t="str">
        <f>IFERROR(50+VLOOKUP($A59,'SegEnds_Xtal_Prot#'!$A:$AY,19,FALSE)-VLOOKUP($B59,'SegEnds_NonXtal_Prot#'!$A:$AL,13,FALSE),"-")</f>
        <v>-</v>
      </c>
      <c r="K59" s="2">
        <f>IFERROR(50+VLOOKUP($A59,'SegEnds_Xtal_Prot#'!$A:$AY,21,FALSE)-VLOOKUP($B59,'SegEnds_NonXtal_Prot#'!$A:$AL,16,FALSE),"-")</f>
        <v>21</v>
      </c>
      <c r="L59" s="2">
        <f>IFERROR(50+VLOOKUP($A59,'SegEnds_Xtal_Prot#'!$A:$AY,23,FALSE)-VLOOKUP($B59,'SegEnds_NonXtal_Prot#'!$A:$AL,16,FALSE),"-")</f>
        <v>55</v>
      </c>
      <c r="M59" s="2" t="str">
        <f>IFERROR(50+VLOOKUP($A59,'SegEnds_Xtal_Prot#'!$A:$AY,25,FALSE)-VLOOKUP($B59,'SegEnds_NonXtal_Prot#'!$A:$AL,19,FALSE),"-")</f>
        <v>-</v>
      </c>
      <c r="N59" s="2" t="str">
        <f>IFERROR(50+VLOOKUP($A59,'SegEnds_Xtal_Prot#'!$A:$AY,27,FALSE)-VLOOKUP($B59,'SegEnds_NonXtal_Prot#'!$A:$AL,19,FALSE),"-")</f>
        <v>-</v>
      </c>
      <c r="O59" s="2">
        <f>IFERROR(50+VLOOKUP($A59,'SegEnds_Xtal_Prot#'!$A:$AY,29,FALSE)-VLOOKUP($B59,'SegEnds_NonXtal_Prot#'!$A:$AL,22,FALSE),"-")</f>
        <v>38</v>
      </c>
      <c r="P59" s="2">
        <f>IFERROR(50+VLOOKUP($A59,'SegEnds_Xtal_Prot#'!$A:$AY,31,FALSE)-VLOOKUP($B59,'SegEnds_NonXtal_Prot#'!$A:$AL,22,FALSE),"-")</f>
        <v>62</v>
      </c>
      <c r="Q59" s="2">
        <f>IFERROR(50+VLOOKUP($A59,'SegEnds_Xtal_Prot#'!$A:$AY,33,FALSE)-VLOOKUP($B59,'SegEnds_NonXtal_Prot#'!$A:$AL,25,FALSE),"-")</f>
        <v>50</v>
      </c>
      <c r="R59" s="2">
        <f>IFERROR(50+VLOOKUP($A59,'SegEnds_Xtal_Prot#'!$A:$AY,35,FALSE)-VLOOKUP($B59,'SegEnds_NonXtal_Prot#'!$A:$AL,25,FALSE),"-")</f>
        <v>52</v>
      </c>
      <c r="S59" s="2">
        <f>IFERROR(50+VLOOKUP($A59,'SegEnds_Xtal_Prot#'!$A:$AY,37,FALSE)-VLOOKUP($B59,'SegEnds_NonXtal_Prot#'!$A:$AL,28,FALSE),"-")</f>
        <v>33</v>
      </c>
      <c r="T59" s="2">
        <f>IFERROR(50+VLOOKUP($A59,'SegEnds_Xtal_Prot#'!$A:$AY,39,FALSE)-VLOOKUP($B59,'SegEnds_NonXtal_Prot#'!$A:$AL,28,FALSE),"-")</f>
        <v>68</v>
      </c>
      <c r="U59" s="2">
        <f>IFERROR(50+VLOOKUP($A59,'SegEnds_Xtal_Prot#'!$A:$AY,41,FALSE)-VLOOKUP($B59,'SegEnds_NonXtal_Prot#'!$A:$AL,31,FALSE),"-")</f>
        <v>29</v>
      </c>
      <c r="V59" s="2">
        <f>IFERROR(50+VLOOKUP($A59,'SegEnds_Xtal_Prot#'!$A:$AY,43,FALSE)-VLOOKUP($B59,'SegEnds_NonXtal_Prot#'!$A:$AL,31,FALSE),"-")</f>
        <v>64</v>
      </c>
      <c r="W59" s="2">
        <f>IFERROR(50+VLOOKUP($A59,'SegEnds_Xtal_Prot#'!$A:$AY,45,FALSE)-VLOOKUP($B59,'SegEnds_NonXtal_Prot#'!$A:$AL,34,FALSE),"-")</f>
        <v>24</v>
      </c>
      <c r="X59" s="2">
        <f>IFERROR(50+VLOOKUP($A59,'SegEnds_Xtal_Prot#'!$A:$AY,47,FALSE)-VLOOKUP($B59,'SegEnds_NonXtal_Prot#'!$A:$AL,34,FALSE),"-")</f>
        <v>56</v>
      </c>
      <c r="Y59" s="2">
        <f>IFERROR(50+VLOOKUP($A59,'SegEnds_Xtal_Prot#'!$A:$AY,49,FALSE)-VLOOKUP($B59,'SegEnds_NonXtal_Prot#'!$A:$AL,37,FALSE),"-")</f>
        <v>47</v>
      </c>
      <c r="Z59" s="2">
        <f>IFERROR(50+VLOOKUP($A59,'SegEnds_Xtal_Prot#'!$A:$AY,51,FALSE)-VLOOKUP($B59,'SegEnds_NonXtal_Prot#'!$A:$AL,37,FALSE),"-")</f>
        <v>62</v>
      </c>
      <c r="AA59" s="49" t="str">
        <f>VLOOKUP(B59,Classification!A:D,2,FALSE)</f>
        <v>A</v>
      </c>
      <c r="AB59" s="94" t="str">
        <f>VLOOKUP(B59,Classification!A:D,4,0)</f>
        <v>Chemokine</v>
      </c>
      <c r="AC59" s="49">
        <f>VLOOKUP(B59,'SegEnds_NonXtal_Prot#'!A:AL,6,FALSE)-VLOOKUP(B59,'SegEnds_NonXtal_Prot#'!A:AL,5,FALSE)</f>
        <v>1</v>
      </c>
      <c r="AD59" s="49">
        <f>VLOOKUP(B59,'SegEnds_NonXtal_Prot#'!A:AL,9,FALSE)-VLOOKUP(B59,'SegEnds_NonXtal_Prot#'!A:AL,8,FALSE)</f>
        <v>1</v>
      </c>
      <c r="AE59" s="49" t="e">
        <f>VLOOKUP(B59,'SegEnds_NonXtal_Prot#'!A:AL,13,FALSE)-VLOOKUP(B59,'SegEnds_NonXtal_Prot#'!A:AL,10,FALSE)</f>
        <v>#VALUE!</v>
      </c>
      <c r="AF59" s="49" t="e">
        <f>VLOOKUP(B59,'SegEnds_NonXtal_Prot#'!A:AL,12,FALSE)-VLOOKUP(B59,'SegEnds_NonXtal_Prot#'!A:AL,11,FALSE)</f>
        <v>#VALUE!</v>
      </c>
      <c r="AG59" s="49" t="e">
        <f>VLOOKUP(B59,'SegEnds_NonXtal_Prot#'!A:AL,13,FALSE)-VLOOKUP(B59,'SegEnds_NonXtal_Prot#'!A:AL,11,FALSE)</f>
        <v>#VALUE!</v>
      </c>
      <c r="AH59" s="49">
        <f>VLOOKUP(B59,'SegEnds_NonXtal_Prot#'!A:AL,16,FALSE)-VLOOKUP(B59,'SegEnds_NonXtal_Prot#'!A:AL,10,FALSE)</f>
        <v>50</v>
      </c>
      <c r="AI59" s="49">
        <f>VLOOKUP(B59,'SegEnds_NonXtal_Prot#'!A:AL,16,FALSE)-VLOOKUP(B59,'SegEnds_NonXtal_Prot#'!A:AL,11,FALSE)</f>
        <v>34</v>
      </c>
      <c r="AJ59" s="49" t="e">
        <f>VLOOKUP(B59,'SegEnds_NonXtal_Prot#'!A:AL,22,FALSE)-VLOOKUP(B59,'SegEnds_NonXtal_Prot#'!A:AL,19,FALSE)</f>
        <v>#VALUE!</v>
      </c>
      <c r="AK59" s="49" t="e">
        <f>VLOOKUP(B59,'SegEnds_NonXtal_Prot#'!A:AL,15,FALSE)-VLOOKUP(B59,'SegEnds_NonXtal_Prot#'!A:AL,14,FALSE)</f>
        <v>#VALUE!</v>
      </c>
      <c r="AL59" s="49" t="e">
        <f>VLOOKUP(B59,'SegEnds_NonXtal_Prot#'!A:AL,18,FALSE)-VLOOKUP(B59,'SegEnds_NonXtal_Prot#'!A:AL,17,FALSE)</f>
        <v>#VALUE!</v>
      </c>
      <c r="AM59" s="2">
        <f>VLOOKUP(B59,'SegEnds_NonXtal_Prot#'!A:AL,34,FALSE)-VLOOKUP(B59,'SegEnds_NonXtal_Prot#'!A:AL,31,FALSE)</f>
        <v>45</v>
      </c>
    </row>
    <row r="60" spans="1:40" x14ac:dyDescent="0.2">
      <c r="A60" s="2" t="s">
        <v>1535</v>
      </c>
      <c r="B60" s="2" t="s">
        <v>402</v>
      </c>
      <c r="C60" s="2">
        <f>IFERROR(50+VLOOKUP($A60,'SegEnds_Xtal_Prot#'!$A:$AY,5,FALSE)-VLOOKUP($B60,'SegEnds_NonXtal_Prot#'!$A:$AL,4,FALSE),"-")</f>
        <v>24</v>
      </c>
      <c r="D60" s="2">
        <f>IFERROR(50+VLOOKUP($A60,'SegEnds_Xtal_Prot#'!$A:$AY,7,FALSE)-VLOOKUP($B60,'SegEnds_NonXtal_Prot#'!$A:$AL,4,FALSE),"-")</f>
        <v>60</v>
      </c>
      <c r="E60" s="2">
        <f>IFERROR(50+VLOOKUP($A60,'SegEnds_Xtal_Prot#'!$A:$AY,9,FALSE)-VLOOKUP($B60,'SegEnds_NonXtal_Prot#'!$A:$AL,7,FALSE),"-")</f>
        <v>48</v>
      </c>
      <c r="F60" s="2">
        <f>IFERROR(50+VLOOKUP($A60,'SegEnds_Xtal_Prot#'!$A:$AY,11,FALSE)-VLOOKUP($B60,'SegEnds_NonXtal_Prot#'!$A:$AL,7,FALSE),"-")</f>
        <v>51</v>
      </c>
      <c r="G60" s="2">
        <f>IFERROR(50+VLOOKUP($A60,'SegEnds_Xtal_Prot#'!$A:$AY,13,FALSE)-VLOOKUP($B60,'SegEnds_NonXtal_Prot#'!$A:$AL,10,FALSE),"-")</f>
        <v>37</v>
      </c>
      <c r="H60" s="2">
        <f>IFERROR(50+VLOOKUP($A60,'SegEnds_Xtal_Prot#'!$A:$AY,15,FALSE)-VLOOKUP($B60,'SegEnds_NonXtal_Prot#'!$A:$AL,10,FALSE),"-")</f>
        <v>64</v>
      </c>
      <c r="I60" s="2" t="str">
        <f>IFERROR(50+VLOOKUP($A60,'SegEnds_Xtal_Prot#'!$A:$AY,17,FALSE)-VLOOKUP($B60,'SegEnds_NonXtal_Prot#'!$A:$AL,13,FALSE),"-")</f>
        <v>-</v>
      </c>
      <c r="J60" s="2" t="str">
        <f>IFERROR(50+VLOOKUP($A60,'SegEnds_Xtal_Prot#'!$A:$AY,19,FALSE)-VLOOKUP($B60,'SegEnds_NonXtal_Prot#'!$A:$AL,13,FALSE),"-")</f>
        <v>-</v>
      </c>
      <c r="K60" s="2">
        <f>IFERROR(50+VLOOKUP($A60,'SegEnds_Xtal_Prot#'!$A:$AY,21,FALSE)-VLOOKUP($B60,'SegEnds_NonXtal_Prot#'!$A:$AL,16,FALSE),"-")</f>
        <v>23</v>
      </c>
      <c r="L60" s="2">
        <f>IFERROR(50+VLOOKUP($A60,'SegEnds_Xtal_Prot#'!$A:$AY,23,FALSE)-VLOOKUP($B60,'SegEnds_NonXtal_Prot#'!$A:$AL,16,FALSE),"-")</f>
        <v>56</v>
      </c>
      <c r="M60" s="2" t="str">
        <f>IFERROR(50+VLOOKUP($A60,'SegEnds_Xtal_Prot#'!$A:$AY,25,FALSE)-VLOOKUP($B60,'SegEnds_NonXtal_Prot#'!$A:$AL,19,FALSE),"-")</f>
        <v>-</v>
      </c>
      <c r="N60" s="2" t="str">
        <f>IFERROR(50+VLOOKUP($A60,'SegEnds_Xtal_Prot#'!$A:$AY,27,FALSE)-VLOOKUP($B60,'SegEnds_NonXtal_Prot#'!$A:$AL,19,FALSE),"-")</f>
        <v>-</v>
      </c>
      <c r="O60" s="2">
        <f>IFERROR(50+VLOOKUP($A60,'SegEnds_Xtal_Prot#'!$A:$AY,29,FALSE)-VLOOKUP($B60,'SegEnds_NonXtal_Prot#'!$A:$AL,22,FALSE),"-")</f>
        <v>41</v>
      </c>
      <c r="P60" s="2">
        <f>IFERROR(50+VLOOKUP($A60,'SegEnds_Xtal_Prot#'!$A:$AY,31,FALSE)-VLOOKUP($B60,'SegEnds_NonXtal_Prot#'!$A:$AL,22,FALSE),"-")</f>
        <v>67</v>
      </c>
      <c r="Q60" s="2">
        <f>IFERROR(50+VLOOKUP($A60,'SegEnds_Xtal_Prot#'!$A:$AY,33,FALSE)-VLOOKUP($B60,'SegEnds_NonXtal_Prot#'!$A:$AL,25,FALSE),"-")</f>
        <v>50</v>
      </c>
      <c r="R60" s="2">
        <f>IFERROR(50+VLOOKUP($A60,'SegEnds_Xtal_Prot#'!$A:$AY,35,FALSE)-VLOOKUP($B60,'SegEnds_NonXtal_Prot#'!$A:$AL,25,FALSE),"-")</f>
        <v>52</v>
      </c>
      <c r="S60" s="2">
        <f>IFERROR(50+VLOOKUP($A60,'SegEnds_Xtal_Prot#'!$A:$AY,37,FALSE)-VLOOKUP($B60,'SegEnds_NonXtal_Prot#'!$A:$AL,28,FALSE),"-")</f>
        <v>39</v>
      </c>
      <c r="T60" s="2">
        <f>IFERROR(50+VLOOKUP($A60,'SegEnds_Xtal_Prot#'!$A:$AY,39,FALSE)-VLOOKUP($B60,'SegEnds_NonXtal_Prot#'!$A:$AL,28,FALSE),"-")</f>
        <v>70</v>
      </c>
      <c r="U60" s="2">
        <f>IFERROR(50+VLOOKUP($A60,'SegEnds_Xtal_Prot#'!$A:$AY,41,FALSE)-VLOOKUP($B60,'SegEnds_NonXtal_Prot#'!$A:$AL,31,FALSE),"-")</f>
        <v>30</v>
      </c>
      <c r="V60" s="2">
        <f>IFERROR(50+VLOOKUP($A60,'SegEnds_Xtal_Prot#'!$A:$AY,43,FALSE)-VLOOKUP($B60,'SegEnds_NonXtal_Prot#'!$A:$AL,31,FALSE),"-")</f>
        <v>53</v>
      </c>
      <c r="W60" s="2">
        <f>IFERROR(50+VLOOKUP($A60,'SegEnds_Xtal_Prot#'!$A:$AY,45,FALSE)-VLOOKUP($B60,'SegEnds_NonXtal_Prot#'!$A:$AL,34,FALSE),"-")</f>
        <v>28</v>
      </c>
      <c r="X60" s="2">
        <f>IFERROR(50+VLOOKUP($A60,'SegEnds_Xtal_Prot#'!$A:$AY,47,FALSE)-VLOOKUP($B60,'SegEnds_NonXtal_Prot#'!$A:$AL,34,FALSE),"-")</f>
        <v>56</v>
      </c>
      <c r="Y60" s="2">
        <f>IFERROR(50+VLOOKUP($A60,'SegEnds_Xtal_Prot#'!$A:$AY,49,FALSE)-VLOOKUP($B60,'SegEnds_NonXtal_Prot#'!$A:$AL,37,FALSE),"-")</f>
        <v>47</v>
      </c>
      <c r="Z60" s="2">
        <f>IFERROR(50+VLOOKUP($A60,'SegEnds_Xtal_Prot#'!$A:$AY,51,FALSE)-VLOOKUP($B60,'SegEnds_NonXtal_Prot#'!$A:$AL,37,FALSE),"-")</f>
        <v>72</v>
      </c>
      <c r="AA60" s="49" t="str">
        <f>VLOOKUP(B60,Classification!A:D,2,FALSE)</f>
        <v>B1</v>
      </c>
      <c r="AB60" s="94" t="str">
        <f>VLOOKUP(B60,Classification!A:D,4,0)</f>
        <v>Calcitonin</v>
      </c>
      <c r="AC60" s="49">
        <f>VLOOKUP(B60,'SegEnds_NonXtal_Prot#'!A:AL,6,FALSE)-VLOOKUP(B60,'SegEnds_NonXtal_Prot#'!A:AL,5,FALSE)</f>
        <v>1</v>
      </c>
      <c r="AD60" s="49">
        <f>VLOOKUP(B60,'SegEnds_NonXtal_Prot#'!A:AL,9,FALSE)-VLOOKUP(B60,'SegEnds_NonXtal_Prot#'!A:AL,8,FALSE)</f>
        <v>1</v>
      </c>
      <c r="AE60" s="49" t="e">
        <f>VLOOKUP(B60,'SegEnds_NonXtal_Prot#'!A:AL,13,FALSE)-VLOOKUP(B60,'SegEnds_NonXtal_Prot#'!A:AL,10,FALSE)</f>
        <v>#VALUE!</v>
      </c>
      <c r="AF60" s="49" t="e">
        <f>VLOOKUP(B60,'SegEnds_NonXtal_Prot#'!A:AL,12,FALSE)-VLOOKUP(B60,'SegEnds_NonXtal_Prot#'!A:AL,11,FALSE)</f>
        <v>#VALUE!</v>
      </c>
      <c r="AG60" s="49" t="e">
        <f>VLOOKUP(B60,'SegEnds_NonXtal_Prot#'!A:AL,13,FALSE)-VLOOKUP(B60,'SegEnds_NonXtal_Prot#'!A:AL,11,FALSE)</f>
        <v>#VALUE!</v>
      </c>
      <c r="AH60" s="49">
        <f>VLOOKUP(B60,'SegEnds_NonXtal_Prot#'!A:AL,16,FALSE)-VLOOKUP(B60,'SegEnds_NonXtal_Prot#'!A:AL,10,FALSE)</f>
        <v>53</v>
      </c>
      <c r="AI60" s="49">
        <f>VLOOKUP(B60,'SegEnds_NonXtal_Prot#'!A:AL,16,FALSE)-VLOOKUP(B60,'SegEnds_NonXtal_Prot#'!A:AL,11,FALSE)</f>
        <v>39</v>
      </c>
      <c r="AJ60" s="49" t="e">
        <f>VLOOKUP(B60,'SegEnds_NonXtal_Prot#'!A:AL,22,FALSE)-VLOOKUP(B60,'SegEnds_NonXtal_Prot#'!A:AL,19,FALSE)</f>
        <v>#VALUE!</v>
      </c>
      <c r="AK60" s="49" t="e">
        <f>VLOOKUP(B60,'SegEnds_NonXtal_Prot#'!A:AL,15,FALSE)-VLOOKUP(B60,'SegEnds_NonXtal_Prot#'!A:AL,14,FALSE)</f>
        <v>#VALUE!</v>
      </c>
      <c r="AL60" s="49" t="e">
        <f>VLOOKUP(B60,'SegEnds_NonXtal_Prot#'!A:AL,18,FALSE)-VLOOKUP(B60,'SegEnds_NonXtal_Prot#'!A:AL,17,FALSE)</f>
        <v>#VALUE!</v>
      </c>
      <c r="AM60" s="2">
        <f>VLOOKUP(B60,'SegEnds_NonXtal_Prot#'!A:AL,34,FALSE)-VLOOKUP(B60,'SegEnds_NonXtal_Prot#'!A:AL,31,FALSE)</f>
        <v>30</v>
      </c>
    </row>
    <row r="61" spans="1:40" x14ac:dyDescent="0.2">
      <c r="A61" s="2" t="s">
        <v>1537</v>
      </c>
      <c r="B61" s="2" t="s">
        <v>360</v>
      </c>
      <c r="C61" s="2">
        <f>IFERROR(50+VLOOKUP($A61,'SegEnds_Xtal_Prot#'!$A:$AY,5,FALSE)-VLOOKUP($B61,'SegEnds_NonXtal_Prot#'!$A:$AL,4,FALSE),"-")</f>
        <v>32</v>
      </c>
      <c r="D61" s="2">
        <f>IFERROR(50+VLOOKUP($A61,'SegEnds_Xtal_Prot#'!$A:$AY,7,FALSE)-VLOOKUP($B61,'SegEnds_NonXtal_Prot#'!$A:$AL,4,FALSE),"-")</f>
        <v>60</v>
      </c>
      <c r="E61" s="2" t="str">
        <f>IFERROR(50+VLOOKUP($A61,'SegEnds_Xtal_Prot#'!$A:$AY,9,FALSE)-VLOOKUP($B61,'SegEnds_NonXtal_Prot#'!$A:$AL,7,FALSE),"-")</f>
        <v>-</v>
      </c>
      <c r="F61" s="2" t="str">
        <f>IFERROR(50+VLOOKUP($A61,'SegEnds_Xtal_Prot#'!$A:$AY,11,FALSE)-VLOOKUP($B61,'SegEnds_NonXtal_Prot#'!$A:$AL,7,FALSE),"-")</f>
        <v>-</v>
      </c>
      <c r="G61" s="2">
        <f>IFERROR(50+VLOOKUP($A61,'SegEnds_Xtal_Prot#'!$A:$AY,13,FALSE)-VLOOKUP($B61,'SegEnds_NonXtal_Prot#'!$A:$AL,10,FALSE),"-")</f>
        <v>37</v>
      </c>
      <c r="H61" s="2">
        <f>IFERROR(50+VLOOKUP($A61,'SegEnds_Xtal_Prot#'!$A:$AY,15,FALSE)-VLOOKUP($B61,'SegEnds_NonXtal_Prot#'!$A:$AL,10,FALSE),"-")</f>
        <v>67</v>
      </c>
      <c r="I61" s="2">
        <f>IFERROR(50+VLOOKUP($A61,'SegEnds_Xtal_Prot#'!$A:$AY,17,FALSE)-VLOOKUP($B61,'SegEnds_NonXtal_Prot#'!$A:$AL,13,FALSE),"-")</f>
        <v>49</v>
      </c>
      <c r="J61" s="2">
        <f>IFERROR(50+VLOOKUP($A61,'SegEnds_Xtal_Prot#'!$A:$AY,19,FALSE)-VLOOKUP($B61,'SegEnds_NonXtal_Prot#'!$A:$AL,13,FALSE),"-")</f>
        <v>52</v>
      </c>
      <c r="K61" s="2">
        <f>IFERROR(50+VLOOKUP($A61,'SegEnds_Xtal_Prot#'!$A:$AY,21,FALSE)-VLOOKUP($B61,'SegEnds_NonXtal_Prot#'!$A:$AL,16,FALSE),"-")</f>
        <v>21</v>
      </c>
      <c r="L61" s="2">
        <f>IFERROR(50+VLOOKUP($A61,'SegEnds_Xtal_Prot#'!$A:$AY,23,FALSE)-VLOOKUP($B61,'SegEnds_NonXtal_Prot#'!$A:$AL,16,FALSE),"-")</f>
        <v>56</v>
      </c>
      <c r="M61" s="2">
        <f>IFERROR(50+VLOOKUP($A61,'SegEnds_Xtal_Prot#'!$A:$AY,25,FALSE)-VLOOKUP($B61,'SegEnds_NonXtal_Prot#'!$A:$AL,19,FALSE),"-")</f>
        <v>50</v>
      </c>
      <c r="N61" s="2">
        <f>IFERROR(50+VLOOKUP($A61,'SegEnds_Xtal_Prot#'!$A:$AY,27,FALSE)-VLOOKUP($B61,'SegEnds_NonXtal_Prot#'!$A:$AL,19,FALSE),"-")</f>
        <v>57</v>
      </c>
      <c r="O61" s="2">
        <f>IFERROR(50+VLOOKUP($A61,'SegEnds_Xtal_Prot#'!$A:$AY,29,FALSE)-VLOOKUP($B61,'SegEnds_NonXtal_Prot#'!$A:$AL,22,FALSE),"-")</f>
        <v>38</v>
      </c>
      <c r="P61" s="2">
        <f>IFERROR(50+VLOOKUP($A61,'SegEnds_Xtal_Prot#'!$A:$AY,31,FALSE)-VLOOKUP($B61,'SegEnds_NonXtal_Prot#'!$A:$AL,22,FALSE),"-")</f>
        <v>64</v>
      </c>
      <c r="Q61" s="2">
        <f>IFERROR(50+VLOOKUP($A61,'SegEnds_Xtal_Prot#'!$A:$AY,33,FALSE)-VLOOKUP($B61,'SegEnds_NonXtal_Prot#'!$A:$AL,25,FALSE),"-")</f>
        <v>50</v>
      </c>
      <c r="R61" s="2">
        <f>IFERROR(50+VLOOKUP($A61,'SegEnds_Xtal_Prot#'!$A:$AY,35,FALSE)-VLOOKUP($B61,'SegEnds_NonXtal_Prot#'!$A:$AL,25,FALSE),"-")</f>
        <v>52</v>
      </c>
      <c r="S61" s="2">
        <f>IFERROR(50+VLOOKUP($A61,'SegEnds_Xtal_Prot#'!$A:$AY,37,FALSE)-VLOOKUP($B61,'SegEnds_NonXtal_Prot#'!$A:$AL,28,FALSE),"-")</f>
        <v>26</v>
      </c>
      <c r="T61" s="2">
        <f>IFERROR(50+VLOOKUP($A61,'SegEnds_Xtal_Prot#'!$A:$AY,39,FALSE)-VLOOKUP($B61,'SegEnds_NonXtal_Prot#'!$A:$AL,28,FALSE),"-")</f>
        <v>68</v>
      </c>
      <c r="U61" s="2">
        <f>IFERROR(50+VLOOKUP($A61,'SegEnds_Xtal_Prot#'!$A:$AY,41,FALSE)-VLOOKUP($B61,'SegEnds_NonXtal_Prot#'!$A:$AL,31,FALSE),"-")</f>
        <v>30</v>
      </c>
      <c r="V61" s="2">
        <f>IFERROR(50+VLOOKUP($A61,'SegEnds_Xtal_Prot#'!$A:$AY,43,FALSE)-VLOOKUP($B61,'SegEnds_NonXtal_Prot#'!$A:$AL,31,FALSE),"-")</f>
        <v>61</v>
      </c>
      <c r="W61" s="2">
        <f>IFERROR(50+VLOOKUP($A61,'SegEnds_Xtal_Prot#'!$A:$AY,45,FALSE)-VLOOKUP($B61,'SegEnds_NonXtal_Prot#'!$A:$AL,34,FALSE),"-")</f>
        <v>27</v>
      </c>
      <c r="X61" s="2">
        <f>IFERROR(50+VLOOKUP($A61,'SegEnds_Xtal_Prot#'!$A:$AY,47,FALSE)-VLOOKUP($B61,'SegEnds_NonXtal_Prot#'!$A:$AL,34,FALSE),"-")</f>
        <v>56</v>
      </c>
      <c r="Y61" s="2">
        <f>IFERROR(50+VLOOKUP($A61,'SegEnds_Xtal_Prot#'!$A:$AY,49,FALSE)-VLOOKUP($B61,'SegEnds_NonXtal_Prot#'!$A:$AL,37,FALSE),"-")</f>
        <v>47</v>
      </c>
      <c r="Z61" s="2">
        <f>IFERROR(50+VLOOKUP($A61,'SegEnds_Xtal_Prot#'!$A:$AY,51,FALSE)-VLOOKUP($B61,'SegEnds_NonXtal_Prot#'!$A:$AL,37,FALSE),"-")</f>
        <v>64</v>
      </c>
      <c r="AA61" s="49" t="str">
        <f>VLOOKUP(B61,Classification!A:D,2,FALSE)</f>
        <v>A</v>
      </c>
      <c r="AB61" s="94" t="str">
        <f>VLOOKUP(B61,Classification!A:D,4,0)</f>
        <v>Prostanoid</v>
      </c>
      <c r="AC61" s="49" t="e">
        <f>VLOOKUP(B61,'SegEnds_NonXtal_Prot#'!A:AL,6,FALSE)-VLOOKUP(B61,'SegEnds_NonXtal_Prot#'!A:AL,5,FALSE)</f>
        <v>#VALUE!</v>
      </c>
      <c r="AD61" s="49" t="e">
        <f>VLOOKUP(B61,'SegEnds_NonXtal_Prot#'!A:AL,9,FALSE)-VLOOKUP(B61,'SegEnds_NonXtal_Prot#'!A:AL,8,FALSE)</f>
        <v>#VALUE!</v>
      </c>
      <c r="AE61" s="49">
        <f>VLOOKUP(B61,'SegEnds_NonXtal_Prot#'!A:AL,13,FALSE)-VLOOKUP(B61,'SegEnds_NonXtal_Prot#'!A:AL,10,FALSE)</f>
        <v>20</v>
      </c>
      <c r="AF61" s="49">
        <f>VLOOKUP(B61,'SegEnds_NonXtal_Prot#'!A:AL,12,FALSE)-VLOOKUP(B61,'SegEnds_NonXtal_Prot#'!A:AL,11,FALSE)</f>
        <v>2</v>
      </c>
      <c r="AG61" s="49">
        <f>VLOOKUP(B61,'SegEnds_NonXtal_Prot#'!A:AL,13,FALSE)-VLOOKUP(B61,'SegEnds_NonXtal_Prot#'!A:AL,11,FALSE)</f>
        <v>3</v>
      </c>
      <c r="AH61" s="49">
        <f>VLOOKUP(B61,'SegEnds_NonXtal_Prot#'!A:AL,16,FALSE)-VLOOKUP(B61,'SegEnds_NonXtal_Prot#'!A:AL,10,FALSE)</f>
        <v>52</v>
      </c>
      <c r="AI61" s="49">
        <f>VLOOKUP(B61,'SegEnds_NonXtal_Prot#'!A:AL,16,FALSE)-VLOOKUP(B61,'SegEnds_NonXtal_Prot#'!A:AL,11,FALSE)</f>
        <v>35</v>
      </c>
      <c r="AJ61" s="49">
        <f>VLOOKUP(B61,'SegEnds_NonXtal_Prot#'!A:AL,22,FALSE)-VLOOKUP(B61,'SegEnds_NonXtal_Prot#'!A:AL,19,FALSE)</f>
        <v>20</v>
      </c>
      <c r="AK61" s="49">
        <f>VLOOKUP(B61,'SegEnds_NonXtal_Prot#'!A:AL,15,FALSE)-VLOOKUP(B61,'SegEnds_NonXtal_Prot#'!A:AL,14,FALSE)</f>
        <v>1</v>
      </c>
      <c r="AL61" s="49">
        <f>VLOOKUP(B61,'SegEnds_NonXtal_Prot#'!A:AL,18,FALSE)-VLOOKUP(B61,'SegEnds_NonXtal_Prot#'!A:AL,17,FALSE)</f>
        <v>1</v>
      </c>
      <c r="AM61" s="2">
        <f>VLOOKUP(B61,'SegEnds_NonXtal_Prot#'!A:AL,34,FALSE)-VLOOKUP(B61,'SegEnds_NonXtal_Prot#'!A:AL,31,FALSE)</f>
        <v>40</v>
      </c>
    </row>
    <row r="62" spans="1:40" x14ac:dyDescent="0.2">
      <c r="A62" s="2" t="s">
        <v>1549</v>
      </c>
      <c r="B62" s="2" t="s">
        <v>409</v>
      </c>
      <c r="C62" s="2">
        <f>IFERROR(50+VLOOKUP($A62,'SegEnds_Xtal_Prot#'!$A:$AY,5,FALSE)-VLOOKUP($B62,'SegEnds_NonXtal_Prot#'!$A:$AL,4,FALSE),"-")</f>
        <v>27</v>
      </c>
      <c r="D62" s="2">
        <f>IFERROR(50+VLOOKUP($A62,'SegEnds_Xtal_Prot#'!$A:$AY,7,FALSE)-VLOOKUP($B62,'SegEnds_NonXtal_Prot#'!$A:$AL,4,FALSE),"-")</f>
        <v>60</v>
      </c>
      <c r="E62" s="2">
        <f>IFERROR(50+VLOOKUP($A62,'SegEnds_Xtal_Prot#'!$A:$AY,9,FALSE)-VLOOKUP($B62,'SegEnds_NonXtal_Prot#'!$A:$AL,7,FALSE),"-")</f>
        <v>48</v>
      </c>
      <c r="F62" s="2">
        <f>IFERROR(50+VLOOKUP($A62,'SegEnds_Xtal_Prot#'!$A:$AY,11,FALSE)-VLOOKUP($B62,'SegEnds_NonXtal_Prot#'!$A:$AL,7,FALSE),"-")</f>
        <v>51</v>
      </c>
      <c r="G62" s="2">
        <f>IFERROR(50+VLOOKUP($A62,'SegEnds_Xtal_Prot#'!$A:$AY,13,FALSE)-VLOOKUP($B62,'SegEnds_NonXtal_Prot#'!$A:$AL,10,FALSE),"-")</f>
        <v>37</v>
      </c>
      <c r="H62" s="2">
        <f>IFERROR(50+VLOOKUP($A62,'SegEnds_Xtal_Prot#'!$A:$AY,15,FALSE)-VLOOKUP($B62,'SegEnds_NonXtal_Prot#'!$A:$AL,10,FALSE),"-")</f>
        <v>69</v>
      </c>
      <c r="I62" s="2" t="str">
        <f>IFERROR(50+VLOOKUP($A62,'SegEnds_Xtal_Prot#'!$A:$AY,17,FALSE)-VLOOKUP($B62,'SegEnds_NonXtal_Prot#'!$A:$AL,13,FALSE),"-")</f>
        <v>-</v>
      </c>
      <c r="J62" s="2" t="str">
        <f>IFERROR(50+VLOOKUP($A62,'SegEnds_Xtal_Prot#'!$A:$AY,19,FALSE)-VLOOKUP($B62,'SegEnds_NonXtal_Prot#'!$A:$AL,13,FALSE),"-")</f>
        <v>-</v>
      </c>
      <c r="K62" s="2">
        <f>IFERROR(50+VLOOKUP($A62,'SegEnds_Xtal_Prot#'!$A:$AY,21,FALSE)-VLOOKUP($B62,'SegEnds_NonXtal_Prot#'!$A:$AL,16,FALSE),"-")</f>
        <v>21</v>
      </c>
      <c r="L62" s="2">
        <f>IFERROR(50+VLOOKUP($A62,'SegEnds_Xtal_Prot#'!$A:$AY,23,FALSE)-VLOOKUP($B62,'SegEnds_NonXtal_Prot#'!$A:$AL,16,FALSE),"-")</f>
        <v>56</v>
      </c>
      <c r="M62" s="2" t="str">
        <f>IFERROR(50+VLOOKUP($A62,'SegEnds_Xtal_Prot#'!$A:$AY,25,FALSE)-VLOOKUP($B62,'SegEnds_NonXtal_Prot#'!$A:$AL,19,FALSE),"-")</f>
        <v>-</v>
      </c>
      <c r="N62" s="2" t="str">
        <f>IFERROR(50+VLOOKUP($A62,'SegEnds_Xtal_Prot#'!$A:$AY,27,FALSE)-VLOOKUP($B62,'SegEnds_NonXtal_Prot#'!$A:$AL,19,FALSE),"-")</f>
        <v>-</v>
      </c>
      <c r="O62" s="2">
        <f>IFERROR(50+VLOOKUP($A62,'SegEnds_Xtal_Prot#'!$A:$AY,29,FALSE)-VLOOKUP($B62,'SegEnds_NonXtal_Prot#'!$A:$AL,22,FALSE),"-")</f>
        <v>37</v>
      </c>
      <c r="P62" s="2">
        <f>IFERROR(50+VLOOKUP($A62,'SegEnds_Xtal_Prot#'!$A:$AY,31,FALSE)-VLOOKUP($B62,'SegEnds_NonXtal_Prot#'!$A:$AL,22,FALSE),"-")</f>
        <v>68</v>
      </c>
      <c r="Q62" s="2">
        <f>IFERROR(50+VLOOKUP($A62,'SegEnds_Xtal_Prot#'!$A:$AY,33,FALSE)-VLOOKUP($B62,'SegEnds_NonXtal_Prot#'!$A:$AL,25,FALSE),"-")</f>
        <v>50</v>
      </c>
      <c r="R62" s="2">
        <f>IFERROR(50+VLOOKUP($A62,'SegEnds_Xtal_Prot#'!$A:$AY,35,FALSE)-VLOOKUP($B62,'SegEnds_NonXtal_Prot#'!$A:$AL,25,FALSE),"-")</f>
        <v>52</v>
      </c>
      <c r="S62" s="2">
        <f>IFERROR(50+VLOOKUP($A62,'SegEnds_Xtal_Prot#'!$A:$AY,37,FALSE)-VLOOKUP($B62,'SegEnds_NonXtal_Prot#'!$A:$AL,28,FALSE),"-")</f>
        <v>38</v>
      </c>
      <c r="T62" s="2">
        <f>IFERROR(50+VLOOKUP($A62,'SegEnds_Xtal_Prot#'!$A:$AY,39,FALSE)-VLOOKUP($B62,'SegEnds_NonXtal_Prot#'!$A:$AL,28,FALSE),"-")</f>
        <v>69</v>
      </c>
      <c r="U62" s="2">
        <f>IFERROR(50+VLOOKUP($A62,'SegEnds_Xtal_Prot#'!$A:$AY,41,FALSE)-VLOOKUP($B62,'SegEnds_NonXtal_Prot#'!$A:$AL,31,FALSE),"-")</f>
        <v>25</v>
      </c>
      <c r="V62" s="2">
        <f>IFERROR(50+VLOOKUP($A62,'SegEnds_Xtal_Prot#'!$A:$AY,43,FALSE)-VLOOKUP($B62,'SegEnds_NonXtal_Prot#'!$A:$AL,31,FALSE),"-")</f>
        <v>54</v>
      </c>
      <c r="W62" s="2">
        <f>IFERROR(50+VLOOKUP($A62,'SegEnds_Xtal_Prot#'!$A:$AY,45,FALSE)-VLOOKUP($B62,'SegEnds_NonXtal_Prot#'!$A:$AL,34,FALSE),"-")</f>
        <v>28</v>
      </c>
      <c r="X62" s="2">
        <f>IFERROR(50+VLOOKUP($A62,'SegEnds_Xtal_Prot#'!$A:$AY,47,FALSE)-VLOOKUP($B62,'SegEnds_NonXtal_Prot#'!$A:$AL,34,FALSE),"-")</f>
        <v>56</v>
      </c>
      <c r="Y62" s="2">
        <f>IFERROR(50+VLOOKUP($A62,'SegEnds_Xtal_Prot#'!$A:$AY,49,FALSE)-VLOOKUP($B62,'SegEnds_NonXtal_Prot#'!$A:$AL,37,FALSE),"-")</f>
        <v>47</v>
      </c>
      <c r="Z62" s="2">
        <f>IFERROR(50+VLOOKUP($A62,'SegEnds_Xtal_Prot#'!$A:$AY,51,FALSE)-VLOOKUP($B62,'SegEnds_NonXtal_Prot#'!$A:$AL,37,FALSE),"-")</f>
        <v>72</v>
      </c>
      <c r="AA62" s="49" t="str">
        <f>VLOOKUP(B62,Classification!A:D,2,FALSE)</f>
        <v>B1</v>
      </c>
      <c r="AB62" s="94" t="str">
        <f>VLOOKUP(B62,Classification!A:D,4,0)</f>
        <v>Parathyroidhormone</v>
      </c>
      <c r="AC62" s="49">
        <f>VLOOKUP(B62,'SegEnds_NonXtal_Prot#'!A:AL,6,FALSE)-VLOOKUP(B62,'SegEnds_NonXtal_Prot#'!A:AL,5,FALSE)</f>
        <v>1</v>
      </c>
      <c r="AD62" s="49">
        <f>VLOOKUP(B62,'SegEnds_NonXtal_Prot#'!A:AL,9,FALSE)-VLOOKUP(B62,'SegEnds_NonXtal_Prot#'!A:AL,8,FALSE)</f>
        <v>1</v>
      </c>
      <c r="AE62" s="49" t="e">
        <f>VLOOKUP(B62,'SegEnds_NonXtal_Prot#'!A:AL,13,FALSE)-VLOOKUP(B62,'SegEnds_NonXtal_Prot#'!A:AL,10,FALSE)</f>
        <v>#VALUE!</v>
      </c>
      <c r="AF62" s="49" t="e">
        <f>VLOOKUP(B62,'SegEnds_NonXtal_Prot#'!A:AL,12,FALSE)-VLOOKUP(B62,'SegEnds_NonXtal_Prot#'!A:AL,11,FALSE)</f>
        <v>#VALUE!</v>
      </c>
      <c r="AG62" s="49" t="e">
        <f>VLOOKUP(B62,'SegEnds_NonXtal_Prot#'!A:AL,13,FALSE)-VLOOKUP(B62,'SegEnds_NonXtal_Prot#'!A:AL,11,FALSE)</f>
        <v>#VALUE!</v>
      </c>
      <c r="AH62" s="49">
        <f>VLOOKUP(B62,'SegEnds_NonXtal_Prot#'!A:AL,16,FALSE)-VLOOKUP(B62,'SegEnds_NonXtal_Prot#'!A:AL,10,FALSE)</f>
        <v>76</v>
      </c>
      <c r="AI62" s="49">
        <f>VLOOKUP(B62,'SegEnds_NonXtal_Prot#'!A:AL,16,FALSE)-VLOOKUP(B62,'SegEnds_NonXtal_Prot#'!A:AL,11,FALSE)</f>
        <v>57</v>
      </c>
      <c r="AJ62" s="49" t="e">
        <f>VLOOKUP(B62,'SegEnds_NonXtal_Prot#'!A:AL,22,FALSE)-VLOOKUP(B62,'SegEnds_NonXtal_Prot#'!A:AL,19,FALSE)</f>
        <v>#VALUE!</v>
      </c>
      <c r="AK62" s="49" t="e">
        <f>VLOOKUP(B62,'SegEnds_NonXtal_Prot#'!A:AL,15,FALSE)-VLOOKUP(B62,'SegEnds_NonXtal_Prot#'!A:AL,14,FALSE)</f>
        <v>#VALUE!</v>
      </c>
      <c r="AL62" s="49" t="e">
        <f>VLOOKUP(B62,'SegEnds_NonXtal_Prot#'!A:AL,18,FALSE)-VLOOKUP(B62,'SegEnds_NonXtal_Prot#'!A:AL,17,FALSE)</f>
        <v>#VALUE!</v>
      </c>
      <c r="AM62" s="2">
        <f>VLOOKUP(B62,'SegEnds_NonXtal_Prot#'!A:AL,34,FALSE)-VLOOKUP(B62,'SegEnds_NonXtal_Prot#'!A:AL,31,FALSE)</f>
        <v>33</v>
      </c>
    </row>
    <row r="63" spans="1:40" x14ac:dyDescent="0.2">
      <c r="A63" s="2" t="s">
        <v>1558</v>
      </c>
      <c r="B63" s="2" t="s">
        <v>314</v>
      </c>
      <c r="C63" s="2">
        <f>IFERROR(50+VLOOKUP($A63,'SegEnds_Xtal_Prot#'!$A:$AY,5,FALSE)-VLOOKUP($B63,'SegEnds_NonXtal_Prot#'!$A:$AL,4,FALSE),"-")</f>
        <v>31</v>
      </c>
      <c r="D63" s="2">
        <f>IFERROR(50+VLOOKUP($A63,'SegEnds_Xtal_Prot#'!$A:$AY,7,FALSE)-VLOOKUP($B63,'SegEnds_NonXtal_Prot#'!$A:$AL,4,FALSE),"-")</f>
        <v>60</v>
      </c>
      <c r="E63" s="2">
        <f>IFERROR(50+VLOOKUP($A63,'SegEnds_Xtal_Prot#'!$A:$AY,9,FALSE)-VLOOKUP($B63,'SegEnds_NonXtal_Prot#'!$A:$AL,7,FALSE),"-")</f>
        <v>48</v>
      </c>
      <c r="F63" s="2">
        <f>IFERROR(50+VLOOKUP($A63,'SegEnds_Xtal_Prot#'!$A:$AY,11,FALSE)-VLOOKUP($B63,'SegEnds_NonXtal_Prot#'!$A:$AL,7,FALSE),"-")</f>
        <v>51</v>
      </c>
      <c r="G63" s="2">
        <f>IFERROR(50+VLOOKUP($A63,'SegEnds_Xtal_Prot#'!$A:$AY,13,FALSE)-VLOOKUP($B63,'SegEnds_NonXtal_Prot#'!$A:$AL,10,FALSE),"-")</f>
        <v>37</v>
      </c>
      <c r="H63" s="2">
        <f>IFERROR(50+VLOOKUP($A63,'SegEnds_Xtal_Prot#'!$A:$AY,15,FALSE)-VLOOKUP($B63,'SegEnds_NonXtal_Prot#'!$A:$AL,10,FALSE),"-")</f>
        <v>66</v>
      </c>
      <c r="I63" s="2">
        <f>IFERROR(50+VLOOKUP($A63,'SegEnds_Xtal_Prot#'!$A:$AY,17,FALSE)-VLOOKUP($B63,'SegEnds_NonXtal_Prot#'!$A:$AL,13,FALSE),"-")</f>
        <v>49</v>
      </c>
      <c r="J63" s="2">
        <f>IFERROR(50+VLOOKUP($A63,'SegEnds_Xtal_Prot#'!$A:$AY,19,FALSE)-VLOOKUP($B63,'SegEnds_NonXtal_Prot#'!$A:$AL,13,FALSE),"-")</f>
        <v>52</v>
      </c>
      <c r="K63" s="2">
        <f>IFERROR(50+VLOOKUP($A63,'SegEnds_Xtal_Prot#'!$A:$AY,21,FALSE)-VLOOKUP($B63,'SegEnds_NonXtal_Prot#'!$A:$AL,16,FALSE),"-")</f>
        <v>21</v>
      </c>
      <c r="L63" s="2">
        <f>IFERROR(50+VLOOKUP($A63,'SegEnds_Xtal_Prot#'!$A:$AY,23,FALSE)-VLOOKUP($B63,'SegEnds_NonXtal_Prot#'!$A:$AL,16,FALSE),"-")</f>
        <v>56</v>
      </c>
      <c r="M63" s="2" t="str">
        <f>IFERROR(50+VLOOKUP($A63,'SegEnds_Xtal_Prot#'!$A:$AY,25,FALSE)-VLOOKUP($B63,'SegEnds_NonXtal_Prot#'!$A:$AL,19,FALSE),"-")</f>
        <v>-</v>
      </c>
      <c r="N63" s="2" t="str">
        <f>IFERROR(50+VLOOKUP($A63,'SegEnds_Xtal_Prot#'!$A:$AY,27,FALSE)-VLOOKUP($B63,'SegEnds_NonXtal_Prot#'!$A:$AL,19,FALSE),"-")</f>
        <v>-</v>
      </c>
      <c r="O63" s="2">
        <f>IFERROR(50+VLOOKUP($A63,'SegEnds_Xtal_Prot#'!$A:$AY,29,FALSE)-VLOOKUP($B63,'SegEnds_NonXtal_Prot#'!$A:$AL,22,FALSE),"-")</f>
        <v>38</v>
      </c>
      <c r="P63" s="2">
        <f>IFERROR(50+VLOOKUP($A63,'SegEnds_Xtal_Prot#'!$A:$AY,31,FALSE)-VLOOKUP($B63,'SegEnds_NonXtal_Prot#'!$A:$AL,22,FALSE),"-")</f>
        <v>64</v>
      </c>
      <c r="Q63" s="2">
        <f>IFERROR(50+VLOOKUP($A63,'SegEnds_Xtal_Prot#'!$A:$AY,33,FALSE)-VLOOKUP($B63,'SegEnds_NonXtal_Prot#'!$A:$AL,25,FALSE),"-")</f>
        <v>50</v>
      </c>
      <c r="R63" s="2">
        <f>IFERROR(50+VLOOKUP($A63,'SegEnds_Xtal_Prot#'!$A:$AY,35,FALSE)-VLOOKUP($B63,'SegEnds_NonXtal_Prot#'!$A:$AL,25,FALSE),"-")</f>
        <v>52</v>
      </c>
      <c r="S63" s="2">
        <f>IFERROR(50+VLOOKUP($A63,'SegEnds_Xtal_Prot#'!$A:$AY,37,FALSE)-VLOOKUP($B63,'SegEnds_NonXtal_Prot#'!$A:$AL,28,FALSE),"-")</f>
        <v>30</v>
      </c>
      <c r="T63" s="2">
        <f>IFERROR(50+VLOOKUP($A63,'SegEnds_Xtal_Prot#'!$A:$AY,39,FALSE)-VLOOKUP($B63,'SegEnds_NonXtal_Prot#'!$A:$AL,28,FALSE),"-")</f>
        <v>73</v>
      </c>
      <c r="U63" s="2">
        <f>IFERROR(50+VLOOKUP($A63,'SegEnds_Xtal_Prot#'!$A:$AY,41,FALSE)-VLOOKUP($B63,'SegEnds_NonXtal_Prot#'!$A:$AL,31,FALSE),"-")</f>
        <v>22</v>
      </c>
      <c r="V63" s="2">
        <f>IFERROR(50+VLOOKUP($A63,'SegEnds_Xtal_Prot#'!$A:$AY,43,FALSE)-VLOOKUP($B63,'SegEnds_NonXtal_Prot#'!$A:$AL,31,FALSE),"-")</f>
        <v>61</v>
      </c>
      <c r="W63" s="2">
        <f>IFERROR(50+VLOOKUP($A63,'SegEnds_Xtal_Prot#'!$A:$AY,45,FALSE)-VLOOKUP($B63,'SegEnds_NonXtal_Prot#'!$A:$AL,34,FALSE),"-")</f>
        <v>28</v>
      </c>
      <c r="X63" s="2">
        <f>IFERROR(50+VLOOKUP($A63,'SegEnds_Xtal_Prot#'!$A:$AY,47,FALSE)-VLOOKUP($B63,'SegEnds_NonXtal_Prot#'!$A:$AL,34,FALSE),"-")</f>
        <v>56</v>
      </c>
      <c r="Y63" s="2">
        <f>IFERROR(50+VLOOKUP($A63,'SegEnds_Xtal_Prot#'!$A:$AY,49,FALSE)-VLOOKUP($B63,'SegEnds_NonXtal_Prot#'!$A:$AL,37,FALSE),"-")</f>
        <v>47</v>
      </c>
      <c r="Z63" s="2">
        <f>IFERROR(50+VLOOKUP($A63,'SegEnds_Xtal_Prot#'!$A:$AY,51,FALSE)-VLOOKUP($B63,'SegEnds_NonXtal_Prot#'!$A:$AL,37,FALSE),"-")</f>
        <v>58</v>
      </c>
      <c r="AA63" s="49" t="str">
        <f>VLOOKUP(B63,Classification!A:D,2,FALSE)</f>
        <v>A</v>
      </c>
      <c r="AB63" s="94" t="str">
        <f>VLOOKUP(B63,Classification!A:D,4,0)</f>
        <v>Tachykinin</v>
      </c>
      <c r="AC63" s="49">
        <f>VLOOKUP(B63,'SegEnds_NonXtal_Prot#'!A:AL,6,FALSE)-VLOOKUP(B63,'SegEnds_NonXtal_Prot#'!A:AL,5,FALSE)</f>
        <v>1</v>
      </c>
      <c r="AD63" s="49">
        <f>VLOOKUP(B63,'SegEnds_NonXtal_Prot#'!A:AL,9,FALSE)-VLOOKUP(B63,'SegEnds_NonXtal_Prot#'!A:AL,8,FALSE)</f>
        <v>1</v>
      </c>
      <c r="AE63" s="49">
        <f>VLOOKUP(B63,'SegEnds_NonXtal_Prot#'!A:AL,13,FALSE)-VLOOKUP(B63,'SegEnds_NonXtal_Prot#'!A:AL,10,FALSE)</f>
        <v>20</v>
      </c>
      <c r="AF63" s="49">
        <f>VLOOKUP(B63,'SegEnds_NonXtal_Prot#'!A:AL,12,FALSE)-VLOOKUP(B63,'SegEnds_NonXtal_Prot#'!A:AL,11,FALSE)</f>
        <v>3</v>
      </c>
      <c r="AG63" s="49">
        <f>VLOOKUP(B63,'SegEnds_NonXtal_Prot#'!A:AL,13,FALSE)-VLOOKUP(B63,'SegEnds_NonXtal_Prot#'!A:AL,11,FALSE)</f>
        <v>4</v>
      </c>
      <c r="AH63" s="49">
        <f>VLOOKUP(B63,'SegEnds_NonXtal_Prot#'!A:AL,16,FALSE)-VLOOKUP(B63,'SegEnds_NonXtal_Prot#'!A:AL,10,FALSE)</f>
        <v>52</v>
      </c>
      <c r="AI63" s="49">
        <f>VLOOKUP(B63,'SegEnds_NonXtal_Prot#'!A:AL,16,FALSE)-VLOOKUP(B63,'SegEnds_NonXtal_Prot#'!A:AL,11,FALSE)</f>
        <v>36</v>
      </c>
      <c r="AJ63" s="49" t="e">
        <f>VLOOKUP(B63,'SegEnds_NonXtal_Prot#'!A:AL,22,FALSE)-VLOOKUP(B63,'SegEnds_NonXtal_Prot#'!A:AL,19,FALSE)</f>
        <v>#VALUE!</v>
      </c>
      <c r="AK63" s="49">
        <f>VLOOKUP(B63,'SegEnds_NonXtal_Prot#'!A:AL,15,FALSE)-VLOOKUP(B63,'SegEnds_NonXtal_Prot#'!A:AL,14,FALSE)</f>
        <v>1</v>
      </c>
      <c r="AL63" s="49" t="e">
        <f>VLOOKUP(B63,'SegEnds_NonXtal_Prot#'!A:AL,18,FALSE)-VLOOKUP(B63,'SegEnds_NonXtal_Prot#'!A:AL,17,FALSE)</f>
        <v>#VALUE!</v>
      </c>
      <c r="AM63" s="2">
        <f>VLOOKUP(B63,'SegEnds_NonXtal_Prot#'!A:AL,34,FALSE)-VLOOKUP(B63,'SegEnds_NonXtal_Prot#'!A:AL,31,FALSE)</f>
        <v>39</v>
      </c>
    </row>
    <row r="64" spans="1:40" x14ac:dyDescent="0.2">
      <c r="A64" s="2" t="s">
        <v>1566</v>
      </c>
      <c r="B64" s="2" t="s">
        <v>363</v>
      </c>
      <c r="C64" s="2">
        <f>IFERROR(50+VLOOKUP($A64,'SegEnds_Xtal_Prot#'!$A:$AY,5,FALSE)-VLOOKUP($B64,'SegEnds_NonXtal_Prot#'!$A:$AL,4,FALSE),"-")</f>
        <v>36</v>
      </c>
      <c r="D64" s="2">
        <f>IFERROR(50+VLOOKUP($A64,'SegEnds_Xtal_Prot#'!$A:$AY,7,FALSE)-VLOOKUP($B64,'SegEnds_NonXtal_Prot#'!$A:$AL,4,FALSE),"-")</f>
        <v>62</v>
      </c>
      <c r="E64" s="2" t="str">
        <f>IFERROR(50+VLOOKUP($A64,'SegEnds_Xtal_Prot#'!$A:$AY,9,FALSE)-VLOOKUP($B64,'SegEnds_NonXtal_Prot#'!$A:$AL,7,FALSE),"-")</f>
        <v>-</v>
      </c>
      <c r="F64" s="2" t="str">
        <f>IFERROR(50+VLOOKUP($A64,'SegEnds_Xtal_Prot#'!$A:$AY,11,FALSE)-VLOOKUP($B64,'SegEnds_NonXtal_Prot#'!$A:$AL,7,FALSE),"-")</f>
        <v>-</v>
      </c>
      <c r="G64" s="2">
        <f>IFERROR(50+VLOOKUP($A64,'SegEnds_Xtal_Prot#'!$A:$AY,13,FALSE)-VLOOKUP($B64,'SegEnds_NonXtal_Prot#'!$A:$AL,10,FALSE),"-")</f>
        <v>36</v>
      </c>
      <c r="H64" s="2">
        <f>IFERROR(50+VLOOKUP($A64,'SegEnds_Xtal_Prot#'!$A:$AY,15,FALSE)-VLOOKUP($B64,'SegEnds_NonXtal_Prot#'!$A:$AL,10,FALSE),"-")</f>
        <v>68</v>
      </c>
      <c r="I64" s="2">
        <f>IFERROR(50+VLOOKUP($A64,'SegEnds_Xtal_Prot#'!$A:$AY,17,FALSE)-VLOOKUP($B64,'SegEnds_NonXtal_Prot#'!$A:$AL,13,FALSE),"-")</f>
        <v>48</v>
      </c>
      <c r="J64" s="2">
        <f>IFERROR(50+VLOOKUP($A64,'SegEnds_Xtal_Prot#'!$A:$AY,19,FALSE)-VLOOKUP($B64,'SegEnds_NonXtal_Prot#'!$A:$AL,13,FALSE),"-")</f>
        <v>56</v>
      </c>
      <c r="K64" s="2">
        <f>IFERROR(50+VLOOKUP($A64,'SegEnds_Xtal_Prot#'!$A:$AY,21,FALSE)-VLOOKUP($B64,'SegEnds_NonXtal_Prot#'!$A:$AL,16,FALSE),"-")</f>
        <v>22</v>
      </c>
      <c r="L64" s="2">
        <f>IFERROR(50+VLOOKUP($A64,'SegEnds_Xtal_Prot#'!$A:$AY,23,FALSE)-VLOOKUP($B64,'SegEnds_NonXtal_Prot#'!$A:$AL,16,FALSE),"-")</f>
        <v>56</v>
      </c>
      <c r="M64" s="2">
        <f>IFERROR(50+VLOOKUP($A64,'SegEnds_Xtal_Prot#'!$A:$AY,25,FALSE)-VLOOKUP($B64,'SegEnds_NonXtal_Prot#'!$A:$AL,19,FALSE),"-")</f>
        <v>50</v>
      </c>
      <c r="N64" s="2">
        <f>IFERROR(50+VLOOKUP($A64,'SegEnds_Xtal_Prot#'!$A:$AY,27,FALSE)-VLOOKUP($B64,'SegEnds_NonXtal_Prot#'!$A:$AL,19,FALSE),"-")</f>
        <v>57</v>
      </c>
      <c r="O64" s="2">
        <f>IFERROR(50+VLOOKUP($A64,'SegEnds_Xtal_Prot#'!$A:$AY,29,FALSE)-VLOOKUP($B64,'SegEnds_NonXtal_Prot#'!$A:$AL,22,FALSE),"-")</f>
        <v>38</v>
      </c>
      <c r="P64" s="2">
        <f>IFERROR(50+VLOOKUP($A64,'SegEnds_Xtal_Prot#'!$A:$AY,31,FALSE)-VLOOKUP($B64,'SegEnds_NonXtal_Prot#'!$A:$AL,22,FALSE),"-")</f>
        <v>63</v>
      </c>
      <c r="Q64" s="2">
        <f>IFERROR(50+VLOOKUP($A64,'SegEnds_Xtal_Prot#'!$A:$AY,33,FALSE)-VLOOKUP($B64,'SegEnds_NonXtal_Prot#'!$A:$AL,25,FALSE),"-")</f>
        <v>50</v>
      </c>
      <c r="R64" s="2">
        <f>IFERROR(50+VLOOKUP($A64,'SegEnds_Xtal_Prot#'!$A:$AY,35,FALSE)-VLOOKUP($B64,'SegEnds_NonXtal_Prot#'!$A:$AL,25,FALSE),"-")</f>
        <v>52</v>
      </c>
      <c r="S64" s="2">
        <f>IFERROR(50+VLOOKUP($A64,'SegEnds_Xtal_Prot#'!$A:$AY,37,FALSE)-VLOOKUP($B64,'SegEnds_NonXtal_Prot#'!$A:$AL,28,FALSE),"-")</f>
        <v>32</v>
      </c>
      <c r="T64" s="2">
        <f>IFERROR(50+VLOOKUP($A64,'SegEnds_Xtal_Prot#'!$A:$AY,39,FALSE)-VLOOKUP($B64,'SegEnds_NonXtal_Prot#'!$A:$AL,28,FALSE),"-")</f>
        <v>72</v>
      </c>
      <c r="U64" s="2">
        <f>IFERROR(50+VLOOKUP($A64,'SegEnds_Xtal_Prot#'!$A:$AY,41,FALSE)-VLOOKUP($B64,'SegEnds_NonXtal_Prot#'!$A:$AL,31,FALSE),"-")</f>
        <v>24</v>
      </c>
      <c r="V64" s="2">
        <f>IFERROR(50+VLOOKUP($A64,'SegEnds_Xtal_Prot#'!$A:$AY,43,FALSE)-VLOOKUP($B64,'SegEnds_NonXtal_Prot#'!$A:$AL,31,FALSE),"-")</f>
        <v>64</v>
      </c>
      <c r="W64" s="2">
        <f>IFERROR(50+VLOOKUP($A64,'SegEnds_Xtal_Prot#'!$A:$AY,45,FALSE)-VLOOKUP($B64,'SegEnds_NonXtal_Prot#'!$A:$AL,34,FALSE),"-")</f>
        <v>24</v>
      </c>
      <c r="X64" s="2">
        <f>IFERROR(50+VLOOKUP($A64,'SegEnds_Xtal_Prot#'!$A:$AY,47,FALSE)-VLOOKUP($B64,'SegEnds_NonXtal_Prot#'!$A:$AL,34,FALSE),"-")</f>
        <v>53</v>
      </c>
      <c r="Y64" s="2">
        <f>IFERROR(50+VLOOKUP($A64,'SegEnds_Xtal_Prot#'!$A:$AY,49,FALSE)-VLOOKUP($B64,'SegEnds_NonXtal_Prot#'!$A:$AL,37,FALSE),"-")</f>
        <v>44</v>
      </c>
      <c r="Z64" s="2">
        <f>IFERROR(50+VLOOKUP($A64,'SegEnds_Xtal_Prot#'!$A:$AY,51,FALSE)-VLOOKUP($B64,'SegEnds_NonXtal_Prot#'!$A:$AL,37,FALSE),"-")</f>
        <v>66</v>
      </c>
      <c r="AA64" s="49" t="str">
        <f>VLOOKUP(B64,Classification!A:D,2,FALSE)</f>
        <v>A</v>
      </c>
      <c r="AB64" s="94" t="str">
        <f>VLOOKUP(B64,Classification!A:D,4,0)</f>
        <v>Prostanoid</v>
      </c>
      <c r="AC64" s="49" t="e">
        <f>VLOOKUP(B64,'SegEnds_NonXtal_Prot#'!A:AL,6,FALSE)-VLOOKUP(B64,'SegEnds_NonXtal_Prot#'!A:AL,5,FALSE)</f>
        <v>#VALUE!</v>
      </c>
      <c r="AD64" s="49" t="e">
        <f>VLOOKUP(B64,'SegEnds_NonXtal_Prot#'!A:AL,9,FALSE)-VLOOKUP(B64,'SegEnds_NonXtal_Prot#'!A:AL,8,FALSE)</f>
        <v>#VALUE!</v>
      </c>
      <c r="AE64" s="49">
        <f>VLOOKUP(B64,'SegEnds_NonXtal_Prot#'!A:AL,13,FALSE)-VLOOKUP(B64,'SegEnds_NonXtal_Prot#'!A:AL,10,FALSE)</f>
        <v>21</v>
      </c>
      <c r="AF64" s="49">
        <f>VLOOKUP(B64,'SegEnds_NonXtal_Prot#'!A:AL,12,FALSE)-VLOOKUP(B64,'SegEnds_NonXtal_Prot#'!A:AL,11,FALSE)</f>
        <v>2</v>
      </c>
      <c r="AG64" s="49">
        <f>VLOOKUP(B64,'SegEnds_NonXtal_Prot#'!A:AL,13,FALSE)-VLOOKUP(B64,'SegEnds_NonXtal_Prot#'!A:AL,11,FALSE)</f>
        <v>3</v>
      </c>
      <c r="AH64" s="49">
        <f>VLOOKUP(B64,'SegEnds_NonXtal_Prot#'!A:AL,16,FALSE)-VLOOKUP(B64,'SegEnds_NonXtal_Prot#'!A:AL,10,FALSE)</f>
        <v>56</v>
      </c>
      <c r="AI64" s="49">
        <f>VLOOKUP(B64,'SegEnds_NonXtal_Prot#'!A:AL,16,FALSE)-VLOOKUP(B64,'SegEnds_NonXtal_Prot#'!A:AL,11,FALSE)</f>
        <v>38</v>
      </c>
      <c r="AJ64" s="49">
        <f>VLOOKUP(B64,'SegEnds_NonXtal_Prot#'!A:AL,22,FALSE)-VLOOKUP(B64,'SegEnds_NonXtal_Prot#'!A:AL,19,FALSE)</f>
        <v>20</v>
      </c>
      <c r="AK64" s="49">
        <f>VLOOKUP(B64,'SegEnds_NonXtal_Prot#'!A:AL,15,FALSE)-VLOOKUP(B64,'SegEnds_NonXtal_Prot#'!A:AL,14,FALSE)</f>
        <v>1</v>
      </c>
      <c r="AL64" s="49">
        <f>VLOOKUP(B64,'SegEnds_NonXtal_Prot#'!A:AL,18,FALSE)-VLOOKUP(B64,'SegEnds_NonXtal_Prot#'!A:AL,17,FALSE)</f>
        <v>1</v>
      </c>
      <c r="AM64" s="2">
        <f>VLOOKUP(B64,'SegEnds_NonXtal_Prot#'!A:AL,34,FALSE)-VLOOKUP(B64,'SegEnds_NonXtal_Prot#'!A:AL,31,FALSE)</f>
        <v>46</v>
      </c>
    </row>
    <row r="65" spans="1:64" x14ac:dyDescent="0.2">
      <c r="A65" s="2" t="s">
        <v>1560</v>
      </c>
      <c r="B65" s="2" t="s">
        <v>364</v>
      </c>
      <c r="C65" s="2">
        <f>IFERROR(50+VLOOKUP($A65,'SegEnds_Xtal_Prot#'!$A:$AY,5,FALSE)-VLOOKUP($B65,'SegEnds_NonXtal_Prot#'!$A:$AL,4,FALSE),"-")</f>
        <v>33</v>
      </c>
      <c r="D65" s="2">
        <f>IFERROR(50+VLOOKUP($A65,'SegEnds_Xtal_Prot#'!$A:$AY,7,FALSE)-VLOOKUP($B65,'SegEnds_NonXtal_Prot#'!$A:$AL,4,FALSE),"-")</f>
        <v>58</v>
      </c>
      <c r="E65" s="2" t="str">
        <f>IFERROR(50+VLOOKUP($A65,'SegEnds_Xtal_Prot#'!$A:$AY,9,FALSE)-VLOOKUP($B65,'SegEnds_NonXtal_Prot#'!$A:$AL,7,FALSE),"-")</f>
        <v>-</v>
      </c>
      <c r="F65" s="2" t="str">
        <f>IFERROR(50+VLOOKUP($A65,'SegEnds_Xtal_Prot#'!$A:$AY,11,FALSE)-VLOOKUP($B65,'SegEnds_NonXtal_Prot#'!$A:$AL,7,FALSE),"-")</f>
        <v>-</v>
      </c>
      <c r="G65" s="2">
        <f>IFERROR(50+VLOOKUP($A65,'SegEnds_Xtal_Prot#'!$A:$AY,13,FALSE)-VLOOKUP($B65,'SegEnds_NonXtal_Prot#'!$A:$AL,10,FALSE),"-")</f>
        <v>36</v>
      </c>
      <c r="H65" s="2">
        <f>IFERROR(50+VLOOKUP($A65,'SegEnds_Xtal_Prot#'!$A:$AY,15,FALSE)-VLOOKUP($B65,'SegEnds_NonXtal_Prot#'!$A:$AL,10,FALSE),"-")</f>
        <v>67</v>
      </c>
      <c r="I65" s="2" t="str">
        <f>IFERROR(50+VLOOKUP($A65,'SegEnds_Xtal_Prot#'!$A:$AY,17,FALSE)-VLOOKUP($B65,'SegEnds_NonXtal_Prot#'!$A:$AL,13,FALSE),"-")</f>
        <v>-</v>
      </c>
      <c r="J65" s="2" t="str">
        <f>IFERROR(50+VLOOKUP($A65,'SegEnds_Xtal_Prot#'!$A:$AY,19,FALSE)-VLOOKUP($B65,'SegEnds_NonXtal_Prot#'!$A:$AL,13,FALSE),"-")</f>
        <v>-</v>
      </c>
      <c r="K65" s="2">
        <f>IFERROR(50+VLOOKUP($A65,'SegEnds_Xtal_Prot#'!$A:$AY,21,FALSE)-VLOOKUP($B65,'SegEnds_NonXtal_Prot#'!$A:$AL,16,FALSE),"-")</f>
        <v>21</v>
      </c>
      <c r="L65" s="2">
        <f>IFERROR(50+VLOOKUP($A65,'SegEnds_Xtal_Prot#'!$A:$AY,23,FALSE)-VLOOKUP($B65,'SegEnds_NonXtal_Prot#'!$A:$AL,16,FALSE),"-")</f>
        <v>56</v>
      </c>
      <c r="M65" s="2">
        <f>IFERROR(50+VLOOKUP($A65,'SegEnds_Xtal_Prot#'!$A:$AY,25,FALSE)-VLOOKUP($B65,'SegEnds_NonXtal_Prot#'!$A:$AL,19,FALSE),"-")</f>
        <v>50</v>
      </c>
      <c r="N65" s="2">
        <f>IFERROR(50+VLOOKUP($A65,'SegEnds_Xtal_Prot#'!$A:$AY,27,FALSE)-VLOOKUP($B65,'SegEnds_NonXtal_Prot#'!$A:$AL,19,FALSE),"-")</f>
        <v>57</v>
      </c>
      <c r="O65" s="2">
        <f>IFERROR(50+VLOOKUP($A65,'SegEnds_Xtal_Prot#'!$A:$AY,29,FALSE)-VLOOKUP($B65,'SegEnds_NonXtal_Prot#'!$A:$AL,22,FALSE),"-")</f>
        <v>38</v>
      </c>
      <c r="P65" s="2">
        <f>IFERROR(50+VLOOKUP($A65,'SegEnds_Xtal_Prot#'!$A:$AY,31,FALSE)-VLOOKUP($B65,'SegEnds_NonXtal_Prot#'!$A:$AL,22,FALSE),"-")</f>
        <v>63</v>
      </c>
      <c r="Q65" s="2">
        <f>IFERROR(50+VLOOKUP($A65,'SegEnds_Xtal_Prot#'!$A:$AY,33,FALSE)-VLOOKUP($B65,'SegEnds_NonXtal_Prot#'!$A:$AL,25,FALSE),"-")</f>
        <v>50</v>
      </c>
      <c r="R65" s="2">
        <f>IFERROR(50+VLOOKUP($A65,'SegEnds_Xtal_Prot#'!$A:$AY,35,FALSE)-VLOOKUP($B65,'SegEnds_NonXtal_Prot#'!$A:$AL,25,FALSE),"-")</f>
        <v>52</v>
      </c>
      <c r="S65" s="2">
        <f>IFERROR(50+VLOOKUP($A65,'SegEnds_Xtal_Prot#'!$A:$AY,37,FALSE)-VLOOKUP($B65,'SegEnds_NonXtal_Prot#'!$A:$AL,28,FALSE),"-")</f>
        <v>31</v>
      </c>
      <c r="T65" s="2">
        <f>IFERROR(50+VLOOKUP($A65,'SegEnds_Xtal_Prot#'!$A:$AY,39,FALSE)-VLOOKUP($B65,'SegEnds_NonXtal_Prot#'!$A:$AL,28,FALSE),"-")</f>
        <v>76</v>
      </c>
      <c r="U65" s="2">
        <f>IFERROR(50+VLOOKUP($A65,'SegEnds_Xtal_Prot#'!$A:$AY,41,FALSE)-VLOOKUP($B65,'SegEnds_NonXtal_Prot#'!$A:$AL,31,FALSE),"-")</f>
        <v>24</v>
      </c>
      <c r="V65" s="2">
        <f>IFERROR(50+VLOOKUP($A65,'SegEnds_Xtal_Prot#'!$A:$AY,43,FALSE)-VLOOKUP($B65,'SegEnds_NonXtal_Prot#'!$A:$AL,31,FALSE),"-")</f>
        <v>61</v>
      </c>
      <c r="W65" s="2">
        <f>IFERROR(50+VLOOKUP($A65,'SegEnds_Xtal_Prot#'!$A:$AY,45,FALSE)-VLOOKUP($B65,'SegEnds_NonXtal_Prot#'!$A:$AL,34,FALSE),"-")</f>
        <v>33</v>
      </c>
      <c r="X65" s="2">
        <f>IFERROR(50+VLOOKUP($A65,'SegEnds_Xtal_Prot#'!$A:$AY,47,FALSE)-VLOOKUP($B65,'SegEnds_NonXtal_Prot#'!$A:$AL,34,FALSE),"-")</f>
        <v>56</v>
      </c>
      <c r="Y65" s="2">
        <f>IFERROR(50+VLOOKUP($A65,'SegEnds_Xtal_Prot#'!$A:$AY,49,FALSE)-VLOOKUP($B65,'SegEnds_NonXtal_Prot#'!$A:$AL,37,FALSE),"-")</f>
        <v>47</v>
      </c>
      <c r="Z65" s="2">
        <f>IFERROR(50+VLOOKUP($A65,'SegEnds_Xtal_Prot#'!$A:$AY,51,FALSE)-VLOOKUP($B65,'SegEnds_NonXtal_Prot#'!$A:$AL,37,FALSE),"-")</f>
        <v>60</v>
      </c>
      <c r="AA65" s="49" t="str">
        <f>VLOOKUP(B65,Classification!A:D,2,FALSE)</f>
        <v>A</v>
      </c>
      <c r="AB65" s="94" t="str">
        <f>VLOOKUP(B65,Classification!A:D,4,0)</f>
        <v>Prostanoid</v>
      </c>
      <c r="AC65" s="49" t="e">
        <f>VLOOKUP(B65,'SegEnds_NonXtal_Prot#'!A:AL,6,FALSE)-VLOOKUP(B65,'SegEnds_NonXtal_Prot#'!A:AL,5,FALSE)</f>
        <v>#VALUE!</v>
      </c>
      <c r="AD65" s="49" t="e">
        <f>VLOOKUP(B65,'SegEnds_NonXtal_Prot#'!A:AL,9,FALSE)-VLOOKUP(B65,'SegEnds_NonXtal_Prot#'!A:AL,8,FALSE)</f>
        <v>#VALUE!</v>
      </c>
      <c r="AE65" s="49" t="e">
        <f>VLOOKUP(B65,'SegEnds_NonXtal_Prot#'!A:AL,13,FALSE)-VLOOKUP(B65,'SegEnds_NonXtal_Prot#'!A:AL,10,FALSE)</f>
        <v>#VALUE!</v>
      </c>
      <c r="AF65" s="49" t="e">
        <f>VLOOKUP(B65,'SegEnds_NonXtal_Prot#'!A:AL,12,FALSE)-VLOOKUP(B65,'SegEnds_NonXtal_Prot#'!A:AL,11,FALSE)</f>
        <v>#VALUE!</v>
      </c>
      <c r="AG65" s="49" t="e">
        <f>VLOOKUP(B65,'SegEnds_NonXtal_Prot#'!A:AL,13,FALSE)-VLOOKUP(B65,'SegEnds_NonXtal_Prot#'!A:AL,11,FALSE)</f>
        <v>#VALUE!</v>
      </c>
      <c r="AH65" s="49">
        <f>VLOOKUP(B65,'SegEnds_NonXtal_Prot#'!A:AL,16,FALSE)-VLOOKUP(B65,'SegEnds_NonXtal_Prot#'!A:AL,10,FALSE)</f>
        <v>52</v>
      </c>
      <c r="AI65" s="49">
        <f>VLOOKUP(B65,'SegEnds_NonXtal_Prot#'!A:AL,16,FALSE)-VLOOKUP(B65,'SegEnds_NonXtal_Prot#'!A:AL,11,FALSE)</f>
        <v>35</v>
      </c>
      <c r="AJ65" s="49">
        <f>VLOOKUP(B65,'SegEnds_NonXtal_Prot#'!A:AL,22,FALSE)-VLOOKUP(B65,'SegEnds_NonXtal_Prot#'!A:AL,19,FALSE)</f>
        <v>20</v>
      </c>
      <c r="AK65" s="49" t="e">
        <f>VLOOKUP(B65,'SegEnds_NonXtal_Prot#'!A:AL,15,FALSE)-VLOOKUP(B65,'SegEnds_NonXtal_Prot#'!A:AL,14,FALSE)</f>
        <v>#VALUE!</v>
      </c>
      <c r="AL65" s="49">
        <f>VLOOKUP(B65,'SegEnds_NonXtal_Prot#'!A:AL,18,FALSE)-VLOOKUP(B65,'SegEnds_NonXtal_Prot#'!A:AL,17,FALSE)</f>
        <v>1</v>
      </c>
      <c r="AM65" s="2">
        <f>VLOOKUP(B65,'SegEnds_NonXtal_Prot#'!A:AL,34,FALSE)-VLOOKUP(B65,'SegEnds_NonXtal_Prot#'!A:AL,31,FALSE)</f>
        <v>39</v>
      </c>
    </row>
    <row r="66" spans="1:64" x14ac:dyDescent="0.2">
      <c r="A66" s="4"/>
      <c r="B66" s="4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49"/>
      <c r="AB66" s="96"/>
      <c r="AC66" s="49"/>
      <c r="AD66" s="49"/>
      <c r="AE66" s="49"/>
      <c r="AF66" s="49"/>
      <c r="AG66" s="49"/>
      <c r="AH66" s="49"/>
      <c r="AI66" s="49"/>
      <c r="AJ66" s="49"/>
      <c r="AK66" s="49"/>
      <c r="AL66" s="49"/>
      <c r="AM66" s="2"/>
      <c r="AN66" s="38"/>
      <c r="AO66" s="30" t="s">
        <v>1061</v>
      </c>
      <c r="AP66" s="30" t="s">
        <v>1062</v>
      </c>
      <c r="AQ66" s="30" t="s">
        <v>1078</v>
      </c>
      <c r="AR66" s="30" t="s">
        <v>1079</v>
      </c>
      <c r="AS66" s="30" t="s">
        <v>1063</v>
      </c>
      <c r="AT66" s="30" t="s">
        <v>1064</v>
      </c>
      <c r="AU66" s="30" t="s">
        <v>1080</v>
      </c>
      <c r="AV66" s="30" t="s">
        <v>1081</v>
      </c>
      <c r="AW66" s="30" t="s">
        <v>1065</v>
      </c>
      <c r="AX66" s="30" t="s">
        <v>1066</v>
      </c>
      <c r="AY66" s="30" t="s">
        <v>1093</v>
      </c>
      <c r="AZ66" s="30" t="s">
        <v>1094</v>
      </c>
      <c r="BA66" s="30" t="s">
        <v>1067</v>
      </c>
      <c r="BB66" s="30" t="s">
        <v>1068</v>
      </c>
      <c r="BC66" s="30" t="s">
        <v>1096</v>
      </c>
      <c r="BD66" s="30" t="s">
        <v>1097</v>
      </c>
      <c r="BE66" s="30" t="s">
        <v>1069</v>
      </c>
      <c r="BF66" s="30" t="s">
        <v>1070</v>
      </c>
      <c r="BG66" s="30" t="s">
        <v>1071</v>
      </c>
      <c r="BH66" s="30" t="s">
        <v>1072</v>
      </c>
      <c r="BI66" s="30" t="s">
        <v>1073</v>
      </c>
      <c r="BJ66" s="30" t="s">
        <v>1074</v>
      </c>
      <c r="BK66" s="30" t="s">
        <v>1075</v>
      </c>
      <c r="BL66" s="30" t="s">
        <v>1076</v>
      </c>
    </row>
    <row r="67" spans="1:64" x14ac:dyDescent="0.2"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N67" s="38" t="s">
        <v>1</v>
      </c>
      <c r="AO67" s="4">
        <f t="shared" ref="AO67:BL67" si="0">MAX(C2:C42)</f>
        <v>34</v>
      </c>
      <c r="AP67" s="4">
        <f t="shared" si="0"/>
        <v>64</v>
      </c>
      <c r="AQ67" s="4">
        <f t="shared" si="0"/>
        <v>48</v>
      </c>
      <c r="AR67" s="4">
        <f t="shared" si="0"/>
        <v>52</v>
      </c>
      <c r="AS67" s="4">
        <f t="shared" si="0"/>
        <v>38</v>
      </c>
      <c r="AT67" s="4">
        <f t="shared" si="0"/>
        <v>69</v>
      </c>
      <c r="AU67" s="4">
        <f t="shared" si="0"/>
        <v>50</v>
      </c>
      <c r="AV67" s="4">
        <f t="shared" si="0"/>
        <v>53</v>
      </c>
      <c r="AW67" s="4">
        <f t="shared" si="0"/>
        <v>21</v>
      </c>
      <c r="AX67" s="4">
        <f t="shared" si="0"/>
        <v>56</v>
      </c>
      <c r="AY67" s="4">
        <f t="shared" si="0"/>
        <v>50</v>
      </c>
      <c r="AZ67" s="4">
        <f t="shared" si="0"/>
        <v>58</v>
      </c>
      <c r="BA67" s="4">
        <f t="shared" si="0"/>
        <v>38</v>
      </c>
      <c r="BB67" s="4">
        <f t="shared" si="0"/>
        <v>69</v>
      </c>
      <c r="BC67" s="4">
        <f t="shared" si="0"/>
        <v>50</v>
      </c>
      <c r="BD67" s="4">
        <f t="shared" si="0"/>
        <v>52</v>
      </c>
      <c r="BE67" s="4">
        <f t="shared" si="0"/>
        <v>36</v>
      </c>
      <c r="BF67" s="4">
        <f t="shared" si="0"/>
        <v>77</v>
      </c>
      <c r="BG67" s="4">
        <f t="shared" si="0"/>
        <v>30</v>
      </c>
      <c r="BH67" s="4">
        <f t="shared" si="0"/>
        <v>65</v>
      </c>
      <c r="BI67" s="4">
        <f t="shared" si="0"/>
        <v>32</v>
      </c>
      <c r="BJ67" s="4">
        <f t="shared" si="0"/>
        <v>56</v>
      </c>
      <c r="BK67" s="4">
        <f t="shared" si="0"/>
        <v>47</v>
      </c>
      <c r="BL67" s="4">
        <f t="shared" si="0"/>
        <v>69</v>
      </c>
    </row>
    <row r="68" spans="1:64" x14ac:dyDescent="0.2"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O68" s="4">
        <f t="shared" ref="AO68:BL68" si="1">MIN(C2:C42)</f>
        <v>22</v>
      </c>
      <c r="AP68" s="4">
        <f t="shared" si="1"/>
        <v>60</v>
      </c>
      <c r="AQ68" s="4">
        <f t="shared" si="1"/>
        <v>48</v>
      </c>
      <c r="AR68" s="4">
        <f t="shared" si="1"/>
        <v>51</v>
      </c>
      <c r="AS68" s="4">
        <f t="shared" si="1"/>
        <v>34</v>
      </c>
      <c r="AT68" s="4">
        <f t="shared" si="1"/>
        <v>63</v>
      </c>
      <c r="AU68" s="4">
        <f t="shared" si="1"/>
        <v>47</v>
      </c>
      <c r="AV68" s="4">
        <f t="shared" si="1"/>
        <v>52</v>
      </c>
      <c r="AW68" s="4">
        <f t="shared" si="1"/>
        <v>18</v>
      </c>
      <c r="AX68" s="4">
        <f t="shared" si="1"/>
        <v>55</v>
      </c>
      <c r="AY68" s="4">
        <f t="shared" si="1"/>
        <v>50</v>
      </c>
      <c r="AZ68" s="4">
        <f t="shared" si="1"/>
        <v>53</v>
      </c>
      <c r="BA68" s="4">
        <f t="shared" si="1"/>
        <v>35</v>
      </c>
      <c r="BB68" s="4">
        <f t="shared" si="1"/>
        <v>62</v>
      </c>
      <c r="BC68" s="4">
        <f t="shared" si="1"/>
        <v>50</v>
      </c>
      <c r="BD68" s="4">
        <f t="shared" si="1"/>
        <v>52</v>
      </c>
      <c r="BE68" s="4">
        <f t="shared" si="1"/>
        <v>28</v>
      </c>
      <c r="BF68" s="4">
        <f t="shared" si="1"/>
        <v>67</v>
      </c>
      <c r="BG68" s="4">
        <f t="shared" si="1"/>
        <v>18</v>
      </c>
      <c r="BH68" s="4">
        <f t="shared" si="1"/>
        <v>60</v>
      </c>
      <c r="BI68" s="4">
        <f t="shared" si="1"/>
        <v>24</v>
      </c>
      <c r="BJ68" s="4">
        <f t="shared" si="1"/>
        <v>55</v>
      </c>
      <c r="BK68" s="4">
        <f t="shared" si="1"/>
        <v>47</v>
      </c>
      <c r="BL68" s="4">
        <f t="shared" si="1"/>
        <v>57</v>
      </c>
    </row>
    <row r="69" spans="1:64" x14ac:dyDescent="0.2"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O69" s="4">
        <f t="shared" ref="AO69:BL69" si="2">AO67-AO68</f>
        <v>12</v>
      </c>
      <c r="AP69" s="4">
        <f t="shared" si="2"/>
        <v>4</v>
      </c>
      <c r="AQ69" s="4">
        <f t="shared" si="2"/>
        <v>0</v>
      </c>
      <c r="AR69" s="4">
        <f t="shared" si="2"/>
        <v>1</v>
      </c>
      <c r="AS69" s="4">
        <f t="shared" si="2"/>
        <v>4</v>
      </c>
      <c r="AT69" s="4">
        <f t="shared" si="2"/>
        <v>6</v>
      </c>
      <c r="AU69" s="4">
        <f t="shared" si="2"/>
        <v>3</v>
      </c>
      <c r="AV69" s="4">
        <f t="shared" si="2"/>
        <v>1</v>
      </c>
      <c r="AW69" s="4">
        <f t="shared" si="2"/>
        <v>3</v>
      </c>
      <c r="AX69" s="4">
        <f t="shared" si="2"/>
        <v>1</v>
      </c>
      <c r="AY69" s="4">
        <f t="shared" si="2"/>
        <v>0</v>
      </c>
      <c r="AZ69" s="4">
        <f t="shared" si="2"/>
        <v>5</v>
      </c>
      <c r="BA69" s="4">
        <f t="shared" si="2"/>
        <v>3</v>
      </c>
      <c r="BB69" s="4">
        <f t="shared" si="2"/>
        <v>7</v>
      </c>
      <c r="BC69" s="4">
        <f t="shared" si="2"/>
        <v>0</v>
      </c>
      <c r="BD69" s="4">
        <f t="shared" si="2"/>
        <v>0</v>
      </c>
      <c r="BE69" s="4">
        <f t="shared" si="2"/>
        <v>8</v>
      </c>
      <c r="BF69" s="4">
        <f t="shared" si="2"/>
        <v>10</v>
      </c>
      <c r="BG69" s="4">
        <f t="shared" si="2"/>
        <v>12</v>
      </c>
      <c r="BH69" s="4">
        <f t="shared" si="2"/>
        <v>5</v>
      </c>
      <c r="BI69" s="4">
        <f t="shared" si="2"/>
        <v>8</v>
      </c>
      <c r="BJ69" s="4">
        <f t="shared" si="2"/>
        <v>1</v>
      </c>
      <c r="BK69" s="4">
        <f t="shared" si="2"/>
        <v>0</v>
      </c>
      <c r="BL69" s="4">
        <f t="shared" si="2"/>
        <v>12</v>
      </c>
    </row>
    <row r="70" spans="1:64" x14ac:dyDescent="0.2"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N70" s="38" t="s">
        <v>1287</v>
      </c>
      <c r="AO70" s="4">
        <f t="shared" ref="AO70:BL70" si="3">MAX(C43:C46)</f>
        <v>29</v>
      </c>
      <c r="AP70" s="4">
        <f t="shared" si="3"/>
        <v>60</v>
      </c>
      <c r="AQ70" s="4">
        <f t="shared" si="3"/>
        <v>48</v>
      </c>
      <c r="AR70" s="4">
        <f t="shared" si="3"/>
        <v>51</v>
      </c>
      <c r="AS70" s="4">
        <f t="shared" si="3"/>
        <v>37</v>
      </c>
      <c r="AT70" s="4">
        <f t="shared" si="3"/>
        <v>66</v>
      </c>
      <c r="AU70" s="4">
        <f t="shared" si="3"/>
        <v>49</v>
      </c>
      <c r="AV70" s="4">
        <f t="shared" si="3"/>
        <v>52</v>
      </c>
      <c r="AW70" s="4">
        <f t="shared" si="3"/>
        <v>23</v>
      </c>
      <c r="AX70" s="4">
        <f t="shared" si="3"/>
        <v>56</v>
      </c>
      <c r="AY70" s="4">
        <f t="shared" si="3"/>
        <v>50</v>
      </c>
      <c r="AZ70" s="4">
        <f t="shared" si="3"/>
        <v>57</v>
      </c>
      <c r="BA70" s="4">
        <f t="shared" si="3"/>
        <v>41</v>
      </c>
      <c r="BB70" s="4">
        <f t="shared" si="3"/>
        <v>68</v>
      </c>
      <c r="BC70" s="4">
        <f t="shared" si="3"/>
        <v>50</v>
      </c>
      <c r="BD70" s="4">
        <f t="shared" si="3"/>
        <v>52</v>
      </c>
      <c r="BE70" s="4">
        <f t="shared" si="3"/>
        <v>40</v>
      </c>
      <c r="BF70" s="4">
        <f t="shared" si="3"/>
        <v>70</v>
      </c>
      <c r="BG70" s="4">
        <f t="shared" si="3"/>
        <v>30</v>
      </c>
      <c r="BH70" s="4">
        <f t="shared" si="3"/>
        <v>65</v>
      </c>
      <c r="BI70" s="4">
        <f t="shared" si="3"/>
        <v>31</v>
      </c>
      <c r="BJ70" s="4">
        <f t="shared" si="3"/>
        <v>56</v>
      </c>
      <c r="BK70" s="4">
        <f t="shared" si="3"/>
        <v>47</v>
      </c>
      <c r="BL70" s="4">
        <f t="shared" si="3"/>
        <v>72</v>
      </c>
    </row>
    <row r="71" spans="1:64" x14ac:dyDescent="0.2"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O71" s="4">
        <f t="shared" ref="AO71:BL71" si="4">MIN(C43:C46)</f>
        <v>19</v>
      </c>
      <c r="AP71" s="4">
        <f t="shared" si="4"/>
        <v>60</v>
      </c>
      <c r="AQ71" s="4">
        <f t="shared" si="4"/>
        <v>48</v>
      </c>
      <c r="AR71" s="4">
        <f t="shared" si="4"/>
        <v>51</v>
      </c>
      <c r="AS71" s="4">
        <f t="shared" si="4"/>
        <v>37</v>
      </c>
      <c r="AT71" s="4">
        <f t="shared" si="4"/>
        <v>63</v>
      </c>
      <c r="AU71" s="4">
        <f t="shared" si="4"/>
        <v>47</v>
      </c>
      <c r="AV71" s="4">
        <f t="shared" si="4"/>
        <v>52</v>
      </c>
      <c r="AW71" s="4">
        <f t="shared" si="4"/>
        <v>21</v>
      </c>
      <c r="AX71" s="4">
        <f t="shared" si="4"/>
        <v>56</v>
      </c>
      <c r="AY71" s="4">
        <f t="shared" si="4"/>
        <v>50</v>
      </c>
      <c r="AZ71" s="4">
        <f t="shared" si="4"/>
        <v>56</v>
      </c>
      <c r="BA71" s="4">
        <f t="shared" si="4"/>
        <v>38</v>
      </c>
      <c r="BB71" s="4">
        <f t="shared" si="4"/>
        <v>62</v>
      </c>
      <c r="BC71" s="4">
        <f t="shared" si="4"/>
        <v>50</v>
      </c>
      <c r="BD71" s="4">
        <f t="shared" si="4"/>
        <v>52</v>
      </c>
      <c r="BE71" s="4">
        <f t="shared" si="4"/>
        <v>31</v>
      </c>
      <c r="BF71" s="4">
        <f t="shared" si="4"/>
        <v>67</v>
      </c>
      <c r="BG71" s="4">
        <f t="shared" si="4"/>
        <v>25</v>
      </c>
      <c r="BH71" s="4">
        <f t="shared" si="4"/>
        <v>53</v>
      </c>
      <c r="BI71" s="4">
        <f t="shared" si="4"/>
        <v>28</v>
      </c>
      <c r="BJ71" s="4">
        <f t="shared" si="4"/>
        <v>56</v>
      </c>
      <c r="BK71" s="4">
        <f t="shared" si="4"/>
        <v>47</v>
      </c>
      <c r="BL71" s="4">
        <f t="shared" si="4"/>
        <v>61</v>
      </c>
    </row>
    <row r="72" spans="1:64" x14ac:dyDescent="0.2"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O72" s="4">
        <f t="shared" ref="AO72:BL72" si="5">AO70-AO71</f>
        <v>10</v>
      </c>
      <c r="AP72" s="4">
        <f t="shared" si="5"/>
        <v>0</v>
      </c>
      <c r="AQ72" s="4">
        <f t="shared" si="5"/>
        <v>0</v>
      </c>
      <c r="AR72" s="4">
        <f t="shared" si="5"/>
        <v>0</v>
      </c>
      <c r="AS72" s="4">
        <f t="shared" si="5"/>
        <v>0</v>
      </c>
      <c r="AT72" s="4">
        <f t="shared" si="5"/>
        <v>3</v>
      </c>
      <c r="AU72" s="4">
        <f t="shared" si="5"/>
        <v>2</v>
      </c>
      <c r="AV72" s="4">
        <f t="shared" si="5"/>
        <v>0</v>
      </c>
      <c r="AW72" s="4">
        <f t="shared" si="5"/>
        <v>2</v>
      </c>
      <c r="AX72" s="4">
        <f t="shared" si="5"/>
        <v>0</v>
      </c>
      <c r="AY72" s="4">
        <f t="shared" si="5"/>
        <v>0</v>
      </c>
      <c r="AZ72" s="4">
        <f t="shared" si="5"/>
        <v>1</v>
      </c>
      <c r="BA72" s="4">
        <f t="shared" si="5"/>
        <v>3</v>
      </c>
      <c r="BB72" s="4">
        <f t="shared" si="5"/>
        <v>6</v>
      </c>
      <c r="BC72" s="4">
        <f t="shared" si="5"/>
        <v>0</v>
      </c>
      <c r="BD72" s="4">
        <f t="shared" si="5"/>
        <v>0</v>
      </c>
      <c r="BE72" s="4">
        <f t="shared" si="5"/>
        <v>9</v>
      </c>
      <c r="BF72" s="4">
        <f t="shared" si="5"/>
        <v>3</v>
      </c>
      <c r="BG72" s="4">
        <f t="shared" si="5"/>
        <v>5</v>
      </c>
      <c r="BH72" s="4">
        <f t="shared" si="5"/>
        <v>12</v>
      </c>
      <c r="BI72" s="4">
        <f t="shared" si="5"/>
        <v>3</v>
      </c>
      <c r="BJ72" s="4">
        <f t="shared" si="5"/>
        <v>0</v>
      </c>
      <c r="BK72" s="4">
        <f t="shared" si="5"/>
        <v>0</v>
      </c>
      <c r="BL72" s="4">
        <f t="shared" si="5"/>
        <v>11</v>
      </c>
    </row>
    <row r="73" spans="1:64" x14ac:dyDescent="0.2"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N73" s="38" t="s">
        <v>27</v>
      </c>
      <c r="AO73" s="4">
        <f t="shared" ref="AO73:BL73" si="6">MAX(C47:C50)</f>
        <v>34</v>
      </c>
      <c r="AP73" s="4">
        <f t="shared" si="6"/>
        <v>60</v>
      </c>
      <c r="AQ73" s="4">
        <f t="shared" si="6"/>
        <v>48</v>
      </c>
      <c r="AR73" s="4">
        <f t="shared" si="6"/>
        <v>53</v>
      </c>
      <c r="AS73" s="4">
        <f t="shared" si="6"/>
        <v>39</v>
      </c>
      <c r="AT73" s="4">
        <f t="shared" si="6"/>
        <v>74</v>
      </c>
      <c r="AU73" s="4">
        <f t="shared" si="6"/>
        <v>0</v>
      </c>
      <c r="AV73" s="4">
        <f t="shared" si="6"/>
        <v>0</v>
      </c>
      <c r="AW73" s="4">
        <f t="shared" si="6"/>
        <v>23</v>
      </c>
      <c r="AX73" s="4">
        <f t="shared" si="6"/>
        <v>56</v>
      </c>
      <c r="AY73" s="4">
        <f t="shared" si="6"/>
        <v>0</v>
      </c>
      <c r="AZ73" s="4">
        <f t="shared" si="6"/>
        <v>0</v>
      </c>
      <c r="BA73" s="4">
        <f t="shared" si="6"/>
        <v>40</v>
      </c>
      <c r="BB73" s="4">
        <f t="shared" si="6"/>
        <v>68</v>
      </c>
      <c r="BC73" s="4">
        <f t="shared" si="6"/>
        <v>50</v>
      </c>
      <c r="BD73" s="4">
        <f t="shared" si="6"/>
        <v>52</v>
      </c>
      <c r="BE73" s="4">
        <f t="shared" si="6"/>
        <v>39</v>
      </c>
      <c r="BF73" s="4">
        <f t="shared" si="6"/>
        <v>71</v>
      </c>
      <c r="BG73" s="4">
        <f t="shared" si="6"/>
        <v>33</v>
      </c>
      <c r="BH73" s="4">
        <f t="shared" si="6"/>
        <v>57</v>
      </c>
      <c r="BI73" s="4">
        <f t="shared" si="6"/>
        <v>33</v>
      </c>
      <c r="BJ73" s="4">
        <f t="shared" si="6"/>
        <v>64</v>
      </c>
      <c r="BK73" s="4">
        <f t="shared" si="6"/>
        <v>47</v>
      </c>
      <c r="BL73" s="4">
        <f t="shared" si="6"/>
        <v>72</v>
      </c>
    </row>
    <row r="74" spans="1:64" x14ac:dyDescent="0.2"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O74" s="4">
        <f t="shared" ref="AO74:BL74" si="7">MIN(C47:C50)</f>
        <v>25</v>
      </c>
      <c r="AP74" s="4">
        <f t="shared" si="7"/>
        <v>60</v>
      </c>
      <c r="AQ74" s="4">
        <f t="shared" si="7"/>
        <v>47</v>
      </c>
      <c r="AR74" s="4">
        <f t="shared" si="7"/>
        <v>51</v>
      </c>
      <c r="AS74" s="4">
        <f t="shared" si="7"/>
        <v>37</v>
      </c>
      <c r="AT74" s="4">
        <f t="shared" si="7"/>
        <v>61</v>
      </c>
      <c r="AU74" s="4">
        <f t="shared" si="7"/>
        <v>0</v>
      </c>
      <c r="AV74" s="4">
        <f t="shared" si="7"/>
        <v>0</v>
      </c>
      <c r="AW74" s="4">
        <f t="shared" si="7"/>
        <v>21</v>
      </c>
      <c r="AX74" s="4">
        <f t="shared" si="7"/>
        <v>54</v>
      </c>
      <c r="AY74" s="4">
        <f t="shared" si="7"/>
        <v>0</v>
      </c>
      <c r="AZ74" s="4">
        <f t="shared" si="7"/>
        <v>0</v>
      </c>
      <c r="BA74" s="4">
        <f t="shared" si="7"/>
        <v>37</v>
      </c>
      <c r="BB74" s="4">
        <f t="shared" si="7"/>
        <v>64</v>
      </c>
      <c r="BC74" s="4">
        <f t="shared" si="7"/>
        <v>50</v>
      </c>
      <c r="BD74" s="4">
        <f t="shared" si="7"/>
        <v>52</v>
      </c>
      <c r="BE74" s="4">
        <f t="shared" si="7"/>
        <v>36</v>
      </c>
      <c r="BF74" s="4">
        <f t="shared" si="7"/>
        <v>61</v>
      </c>
      <c r="BG74" s="4">
        <f t="shared" si="7"/>
        <v>28</v>
      </c>
      <c r="BH74" s="4">
        <f t="shared" si="7"/>
        <v>53</v>
      </c>
      <c r="BI74" s="4">
        <f t="shared" si="7"/>
        <v>27</v>
      </c>
      <c r="BJ74" s="4">
        <f t="shared" si="7"/>
        <v>56</v>
      </c>
      <c r="BK74" s="4">
        <f t="shared" si="7"/>
        <v>46</v>
      </c>
      <c r="BL74" s="4">
        <f t="shared" si="7"/>
        <v>57</v>
      </c>
    </row>
    <row r="75" spans="1:64" x14ac:dyDescent="0.2"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O75" s="4">
        <f t="shared" ref="AO75:BL75" si="8">AO73-AO74</f>
        <v>9</v>
      </c>
      <c r="AP75" s="4">
        <f t="shared" si="8"/>
        <v>0</v>
      </c>
      <c r="AQ75" s="4">
        <f t="shared" si="8"/>
        <v>1</v>
      </c>
      <c r="AR75" s="4">
        <f t="shared" si="8"/>
        <v>2</v>
      </c>
      <c r="AS75" s="4">
        <f t="shared" si="8"/>
        <v>2</v>
      </c>
      <c r="AT75" s="4">
        <f t="shared" si="8"/>
        <v>13</v>
      </c>
      <c r="AU75" s="4">
        <f t="shared" si="8"/>
        <v>0</v>
      </c>
      <c r="AV75" s="4">
        <f t="shared" si="8"/>
        <v>0</v>
      </c>
      <c r="AW75" s="4">
        <f t="shared" si="8"/>
        <v>2</v>
      </c>
      <c r="AX75" s="4">
        <f t="shared" si="8"/>
        <v>2</v>
      </c>
      <c r="AY75" s="4">
        <f t="shared" si="8"/>
        <v>0</v>
      </c>
      <c r="AZ75" s="4">
        <f t="shared" si="8"/>
        <v>0</v>
      </c>
      <c r="BA75" s="4">
        <f t="shared" si="8"/>
        <v>3</v>
      </c>
      <c r="BB75" s="4">
        <f t="shared" si="8"/>
        <v>4</v>
      </c>
      <c r="BC75" s="4">
        <f t="shared" si="8"/>
        <v>0</v>
      </c>
      <c r="BD75" s="4">
        <f t="shared" si="8"/>
        <v>0</v>
      </c>
      <c r="BE75" s="4">
        <f t="shared" si="8"/>
        <v>3</v>
      </c>
      <c r="BF75" s="4">
        <f t="shared" si="8"/>
        <v>10</v>
      </c>
      <c r="BG75" s="4">
        <f t="shared" si="8"/>
        <v>5</v>
      </c>
      <c r="BH75" s="4">
        <f t="shared" si="8"/>
        <v>4</v>
      </c>
      <c r="BI75" s="4">
        <f t="shared" si="8"/>
        <v>6</v>
      </c>
      <c r="BJ75" s="4">
        <f t="shared" si="8"/>
        <v>8</v>
      </c>
      <c r="BK75" s="4">
        <f t="shared" si="8"/>
        <v>1</v>
      </c>
      <c r="BL75" s="4">
        <f t="shared" si="8"/>
        <v>15</v>
      </c>
    </row>
    <row r="76" spans="1:64" x14ac:dyDescent="0.2"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N76" s="38" t="s">
        <v>28</v>
      </c>
      <c r="AO76" s="4">
        <f t="shared" ref="AO76:BL76" si="9">MAX(C51)</f>
        <v>34</v>
      </c>
      <c r="AP76" s="4">
        <f t="shared" si="9"/>
        <v>60</v>
      </c>
      <c r="AQ76" s="4">
        <f t="shared" si="9"/>
        <v>47</v>
      </c>
      <c r="AR76" s="4">
        <f t="shared" si="9"/>
        <v>53</v>
      </c>
      <c r="AS76" s="4">
        <f t="shared" si="9"/>
        <v>39</v>
      </c>
      <c r="AT76" s="4">
        <f t="shared" si="9"/>
        <v>61</v>
      </c>
      <c r="AU76" s="4">
        <f t="shared" si="9"/>
        <v>0</v>
      </c>
      <c r="AV76" s="4">
        <f t="shared" si="9"/>
        <v>0</v>
      </c>
      <c r="AW76" s="4">
        <f t="shared" si="9"/>
        <v>22</v>
      </c>
      <c r="AX76" s="4">
        <f t="shared" si="9"/>
        <v>54</v>
      </c>
      <c r="AY76" s="4">
        <f t="shared" si="9"/>
        <v>0</v>
      </c>
      <c r="AZ76" s="4">
        <f t="shared" si="9"/>
        <v>0</v>
      </c>
      <c r="BA76" s="4">
        <f t="shared" si="9"/>
        <v>38</v>
      </c>
      <c r="BB76" s="4">
        <f t="shared" si="9"/>
        <v>64</v>
      </c>
      <c r="BC76" s="4">
        <f t="shared" si="9"/>
        <v>50</v>
      </c>
      <c r="BD76" s="4">
        <f t="shared" si="9"/>
        <v>52</v>
      </c>
      <c r="BE76" s="4">
        <f t="shared" si="9"/>
        <v>36</v>
      </c>
      <c r="BF76" s="4">
        <f t="shared" si="9"/>
        <v>61</v>
      </c>
      <c r="BG76" s="4">
        <f t="shared" si="9"/>
        <v>33</v>
      </c>
      <c r="BH76" s="4">
        <f t="shared" si="9"/>
        <v>57</v>
      </c>
      <c r="BI76" s="4">
        <f t="shared" si="9"/>
        <v>33</v>
      </c>
      <c r="BJ76" s="4">
        <f t="shared" si="9"/>
        <v>64</v>
      </c>
      <c r="BK76" s="4">
        <f t="shared" si="9"/>
        <v>46</v>
      </c>
      <c r="BL76" s="4">
        <f t="shared" si="9"/>
        <v>57</v>
      </c>
    </row>
    <row r="77" spans="1:64" x14ac:dyDescent="0.2"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O77" s="4">
        <f t="shared" ref="AO77:BL77" si="10">MIN(C51)</f>
        <v>34</v>
      </c>
      <c r="AP77" s="4">
        <f t="shared" si="10"/>
        <v>60</v>
      </c>
      <c r="AQ77" s="4">
        <f t="shared" si="10"/>
        <v>47</v>
      </c>
      <c r="AR77" s="4">
        <f t="shared" si="10"/>
        <v>53</v>
      </c>
      <c r="AS77" s="4">
        <f t="shared" si="10"/>
        <v>39</v>
      </c>
      <c r="AT77" s="4">
        <f t="shared" si="10"/>
        <v>61</v>
      </c>
      <c r="AU77" s="4">
        <f t="shared" si="10"/>
        <v>0</v>
      </c>
      <c r="AV77" s="4">
        <f t="shared" si="10"/>
        <v>0</v>
      </c>
      <c r="AW77" s="4">
        <f t="shared" si="10"/>
        <v>22</v>
      </c>
      <c r="AX77" s="4">
        <f t="shared" si="10"/>
        <v>54</v>
      </c>
      <c r="AY77" s="4">
        <f t="shared" si="10"/>
        <v>0</v>
      </c>
      <c r="AZ77" s="4">
        <f t="shared" si="10"/>
        <v>0</v>
      </c>
      <c r="BA77" s="4">
        <f t="shared" si="10"/>
        <v>38</v>
      </c>
      <c r="BB77" s="4">
        <f t="shared" si="10"/>
        <v>64</v>
      </c>
      <c r="BC77" s="4">
        <f t="shared" si="10"/>
        <v>50</v>
      </c>
      <c r="BD77" s="4">
        <f t="shared" si="10"/>
        <v>52</v>
      </c>
      <c r="BE77" s="4">
        <f t="shared" si="10"/>
        <v>36</v>
      </c>
      <c r="BF77" s="4">
        <f t="shared" si="10"/>
        <v>61</v>
      </c>
      <c r="BG77" s="4">
        <f t="shared" si="10"/>
        <v>33</v>
      </c>
      <c r="BH77" s="4">
        <f t="shared" si="10"/>
        <v>57</v>
      </c>
      <c r="BI77" s="4">
        <f t="shared" si="10"/>
        <v>33</v>
      </c>
      <c r="BJ77" s="4">
        <f t="shared" si="10"/>
        <v>64</v>
      </c>
      <c r="BK77" s="4">
        <f t="shared" si="10"/>
        <v>46</v>
      </c>
      <c r="BL77" s="4">
        <f t="shared" si="10"/>
        <v>57</v>
      </c>
    </row>
    <row r="78" spans="1:64" x14ac:dyDescent="0.2"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O78" s="4">
        <f t="shared" ref="AO78:BL78" si="11">AO76-AO77</f>
        <v>0</v>
      </c>
      <c r="AP78" s="4">
        <f t="shared" si="11"/>
        <v>0</v>
      </c>
      <c r="AQ78" s="4">
        <f t="shared" si="11"/>
        <v>0</v>
      </c>
      <c r="AR78" s="4">
        <f t="shared" si="11"/>
        <v>0</v>
      </c>
      <c r="AS78" s="4">
        <f t="shared" si="11"/>
        <v>0</v>
      </c>
      <c r="AT78" s="4">
        <f t="shared" si="11"/>
        <v>0</v>
      </c>
      <c r="AU78" s="4">
        <f t="shared" si="11"/>
        <v>0</v>
      </c>
      <c r="AV78" s="4">
        <f t="shared" si="11"/>
        <v>0</v>
      </c>
      <c r="AW78" s="4">
        <f t="shared" si="11"/>
        <v>0</v>
      </c>
      <c r="AX78" s="4">
        <f t="shared" si="11"/>
        <v>0</v>
      </c>
      <c r="AY78" s="4">
        <f t="shared" si="11"/>
        <v>0</v>
      </c>
      <c r="AZ78" s="4">
        <f t="shared" si="11"/>
        <v>0</v>
      </c>
      <c r="BA78" s="4">
        <f t="shared" si="11"/>
        <v>0</v>
      </c>
      <c r="BB78" s="4">
        <f t="shared" si="11"/>
        <v>0</v>
      </c>
      <c r="BC78" s="4">
        <f t="shared" si="11"/>
        <v>0</v>
      </c>
      <c r="BD78" s="4">
        <f t="shared" si="11"/>
        <v>0</v>
      </c>
      <c r="BE78" s="4">
        <f t="shared" si="11"/>
        <v>0</v>
      </c>
      <c r="BF78" s="4">
        <f t="shared" si="11"/>
        <v>0</v>
      </c>
      <c r="BG78" s="4">
        <f t="shared" si="11"/>
        <v>0</v>
      </c>
      <c r="BH78" s="4">
        <f t="shared" si="11"/>
        <v>0</v>
      </c>
      <c r="BI78" s="4">
        <f t="shared" si="11"/>
        <v>0</v>
      </c>
      <c r="BJ78" s="4">
        <f t="shared" si="11"/>
        <v>0</v>
      </c>
      <c r="BK78" s="4">
        <f t="shared" si="11"/>
        <v>0</v>
      </c>
      <c r="BL78" s="4">
        <f t="shared" si="11"/>
        <v>0</v>
      </c>
    </row>
    <row r="79" spans="1:64" x14ac:dyDescent="0.2"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O79" s="4">
        <f t="shared" ref="AO79:BL79" si="12">AO69+AO72+AO75+AO78</f>
        <v>31</v>
      </c>
      <c r="AP79" s="4">
        <f t="shared" si="12"/>
        <v>4</v>
      </c>
      <c r="AQ79" s="4">
        <f t="shared" si="12"/>
        <v>1</v>
      </c>
      <c r="AR79" s="4">
        <f t="shared" si="12"/>
        <v>3</v>
      </c>
      <c r="AS79" s="4">
        <f t="shared" si="12"/>
        <v>6</v>
      </c>
      <c r="AT79" s="4">
        <f t="shared" si="12"/>
        <v>22</v>
      </c>
      <c r="AU79" s="4">
        <f t="shared" si="12"/>
        <v>5</v>
      </c>
      <c r="AV79" s="4">
        <f t="shared" si="12"/>
        <v>1</v>
      </c>
      <c r="AW79" s="4">
        <f t="shared" si="12"/>
        <v>7</v>
      </c>
      <c r="AX79" s="4">
        <f t="shared" si="12"/>
        <v>3</v>
      </c>
      <c r="AY79" s="4">
        <f t="shared" si="12"/>
        <v>0</v>
      </c>
      <c r="AZ79" s="4">
        <f t="shared" si="12"/>
        <v>6</v>
      </c>
      <c r="BA79" s="4">
        <f t="shared" si="12"/>
        <v>9</v>
      </c>
      <c r="BB79" s="4">
        <f t="shared" si="12"/>
        <v>17</v>
      </c>
      <c r="BC79" s="4">
        <f t="shared" si="12"/>
        <v>0</v>
      </c>
      <c r="BD79" s="4">
        <f t="shared" si="12"/>
        <v>0</v>
      </c>
      <c r="BE79" s="4">
        <f t="shared" si="12"/>
        <v>20</v>
      </c>
      <c r="BF79" s="4">
        <f t="shared" si="12"/>
        <v>23</v>
      </c>
      <c r="BG79" s="4">
        <f t="shared" si="12"/>
        <v>22</v>
      </c>
      <c r="BH79" s="4">
        <f t="shared" si="12"/>
        <v>21</v>
      </c>
      <c r="BI79" s="4">
        <f t="shared" si="12"/>
        <v>17</v>
      </c>
      <c r="BJ79" s="4">
        <f t="shared" si="12"/>
        <v>9</v>
      </c>
      <c r="BK79" s="4">
        <f t="shared" si="12"/>
        <v>1</v>
      </c>
      <c r="BL79" s="4">
        <f t="shared" si="12"/>
        <v>38</v>
      </c>
    </row>
    <row r="80" spans="1:64" x14ac:dyDescent="0.2"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3:26" x14ac:dyDescent="0.2"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3:26" x14ac:dyDescent="0.2"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3:26" x14ac:dyDescent="0.2"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3:26" x14ac:dyDescent="0.2"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3:26" x14ac:dyDescent="0.2"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3:26" x14ac:dyDescent="0.2"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3:26" x14ac:dyDescent="0.2"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3:26" x14ac:dyDescent="0.2"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3:26" x14ac:dyDescent="0.2"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3:26" x14ac:dyDescent="0.2"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3:26" x14ac:dyDescent="0.2"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3:26" x14ac:dyDescent="0.2"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3:26" x14ac:dyDescent="0.2"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3:26" x14ac:dyDescent="0.2"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3:26" x14ac:dyDescent="0.2"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3:26" x14ac:dyDescent="0.2"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3:26" x14ac:dyDescent="0.2"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3:26" x14ac:dyDescent="0.2"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3:26" x14ac:dyDescent="0.2"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3:26" x14ac:dyDescent="0.2"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3:26" x14ac:dyDescent="0.2"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3:26" x14ac:dyDescent="0.2"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3:26" x14ac:dyDescent="0.2"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3:26" x14ac:dyDescent="0.2"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3:26" x14ac:dyDescent="0.2"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3:26" x14ac:dyDescent="0.2"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3:26" x14ac:dyDescent="0.2"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3:26" x14ac:dyDescent="0.2"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3:26" x14ac:dyDescent="0.2"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3:26" x14ac:dyDescent="0.2"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3:26" x14ac:dyDescent="0.2"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3:26" x14ac:dyDescent="0.2"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3:26" x14ac:dyDescent="0.2"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3:26" x14ac:dyDescent="0.2"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3:26" x14ac:dyDescent="0.2"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3:26" x14ac:dyDescent="0.2"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3:26" x14ac:dyDescent="0.2"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3:26" x14ac:dyDescent="0.2"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3:26" x14ac:dyDescent="0.2"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3:26" x14ac:dyDescent="0.2"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3:26" x14ac:dyDescent="0.2"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3:26" x14ac:dyDescent="0.2"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3:26" x14ac:dyDescent="0.2"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3:26" x14ac:dyDescent="0.2"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3:26" x14ac:dyDescent="0.2"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3:26" x14ac:dyDescent="0.2"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3:26" x14ac:dyDescent="0.2"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3:26" x14ac:dyDescent="0.2"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3:26" x14ac:dyDescent="0.2"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3:26" x14ac:dyDescent="0.2"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3:26" x14ac:dyDescent="0.2"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3:26" x14ac:dyDescent="0.2"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3:26" x14ac:dyDescent="0.2"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3:26" x14ac:dyDescent="0.2"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3:26" x14ac:dyDescent="0.2"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3:26" x14ac:dyDescent="0.2"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3:26" x14ac:dyDescent="0.2"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3:26" x14ac:dyDescent="0.2"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3:26" x14ac:dyDescent="0.2"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3:26" x14ac:dyDescent="0.2"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3:26" x14ac:dyDescent="0.2"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3:26" x14ac:dyDescent="0.2"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3:26" x14ac:dyDescent="0.2"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3:26" x14ac:dyDescent="0.2"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3:26" x14ac:dyDescent="0.2"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3:26" x14ac:dyDescent="0.2"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3:26" x14ac:dyDescent="0.2"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3:26" x14ac:dyDescent="0.2"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3:26" x14ac:dyDescent="0.2"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3:26" x14ac:dyDescent="0.2"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3:26" x14ac:dyDescent="0.2"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3:26" x14ac:dyDescent="0.2"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3:26" x14ac:dyDescent="0.2"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3:26" x14ac:dyDescent="0.2"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3:26" x14ac:dyDescent="0.2"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3:26" x14ac:dyDescent="0.2"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</sheetData>
  <sortState ref="A2:BL136">
    <sortCondition ref="AA2:AA136"/>
    <sortCondition ref="O2:O136"/>
  </sortState>
  <customSheetViews>
    <customSheetView guid="{3E3401AF-8459-8641-BD70-AD04F80E86ED}">
      <pane ySplit="1" topLeftCell="A2" activePane="bottomLeft" state="frozenSplit"/>
      <selection pane="bottomLeft" activeCell="B1" sqref="B1:B1048576"/>
      <pageMargins left="0.7" right="0.7" top="0.75" bottom="0.75" header="0.3" footer="0.3"/>
      <pageSetup paperSize="9" orientation="portrait" horizontalDpi="0" verticalDpi="0"/>
    </customSheetView>
  </customSheetViews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1"/>
  <sheetViews>
    <sheetView zoomScale="113" zoomScaleNormal="113" zoomScalePageLayoutView="113" workbookViewId="0">
      <pane ySplit="1" topLeftCell="A2" activePane="bottomLeft" state="frozenSplit"/>
      <selection pane="bottomLeft" activeCell="A10" sqref="A10:XFD10"/>
    </sheetView>
  </sheetViews>
  <sheetFormatPr baseColWidth="10" defaultColWidth="11.1640625" defaultRowHeight="16" x14ac:dyDescent="0.2"/>
  <cols>
    <col min="1" max="1" width="17.1640625" style="1" customWidth="1"/>
    <col min="2" max="2" width="7.6640625" style="1" customWidth="1"/>
    <col min="3" max="4" width="12.5" customWidth="1"/>
    <col min="5" max="5" width="4.5" customWidth="1"/>
    <col min="6" max="6" width="4.1640625" bestFit="1" customWidth="1"/>
    <col min="7" max="10" width="4" customWidth="1"/>
    <col min="11" max="12" width="6.1640625" customWidth="1"/>
    <col min="13" max="13" width="10" customWidth="1"/>
    <col min="15" max="16384" width="11.1640625" style="1"/>
  </cols>
  <sheetData>
    <row r="1" spans="1:18" s="24" customFormat="1" x14ac:dyDescent="0.2">
      <c r="A1" s="8" t="s">
        <v>1077</v>
      </c>
      <c r="B1" s="8" t="s">
        <v>0</v>
      </c>
      <c r="C1" s="8" t="s">
        <v>1206</v>
      </c>
      <c r="D1" s="8" t="s">
        <v>31</v>
      </c>
      <c r="E1" s="8" t="s">
        <v>1299</v>
      </c>
      <c r="F1" s="8" t="s">
        <v>1243</v>
      </c>
      <c r="G1" s="8" t="s">
        <v>1070</v>
      </c>
      <c r="H1" s="8" t="s">
        <v>1071</v>
      </c>
      <c r="I1" s="8"/>
      <c r="J1" s="8"/>
      <c r="K1" s="8" t="s">
        <v>1297</v>
      </c>
      <c r="L1" s="8" t="s">
        <v>1336</v>
      </c>
      <c r="M1" s="8" t="s">
        <v>1302</v>
      </c>
      <c r="N1" s="8" t="s">
        <v>1303</v>
      </c>
    </row>
    <row r="2" spans="1:18" s="24" customFormat="1" x14ac:dyDescent="0.2">
      <c r="A2" s="15" t="s">
        <v>1309</v>
      </c>
      <c r="B2" s="8" t="s">
        <v>23</v>
      </c>
      <c r="C2" s="8" t="s">
        <v>23</v>
      </c>
      <c r="D2" s="15" t="s">
        <v>1310</v>
      </c>
      <c r="E2" s="8" t="s">
        <v>23</v>
      </c>
      <c r="F2" s="8">
        <v>36</v>
      </c>
      <c r="G2" s="8">
        <v>64</v>
      </c>
      <c r="H2" s="8">
        <v>34</v>
      </c>
      <c r="I2" s="8"/>
      <c r="J2" s="8"/>
      <c r="K2" s="8"/>
      <c r="L2" s="8"/>
      <c r="M2" s="8"/>
      <c r="N2" s="8"/>
    </row>
    <row r="3" spans="1:18" s="24" customFormat="1" x14ac:dyDescent="0.2">
      <c r="A3" s="15" t="s">
        <v>1395</v>
      </c>
      <c r="B3" s="8" t="s">
        <v>23</v>
      </c>
      <c r="C3" s="8" t="s">
        <v>23</v>
      </c>
      <c r="D3" s="15" t="s">
        <v>1310</v>
      </c>
      <c r="E3" s="8" t="s">
        <v>23</v>
      </c>
      <c r="F3" s="8">
        <v>39</v>
      </c>
      <c r="G3" s="8">
        <v>66</v>
      </c>
      <c r="H3" s="8">
        <v>30</v>
      </c>
      <c r="I3" s="8"/>
      <c r="J3" s="8"/>
      <c r="K3" s="8"/>
      <c r="L3" s="8"/>
      <c r="M3" s="8"/>
      <c r="N3" s="8"/>
    </row>
    <row r="4" spans="1:18" s="24" customFormat="1" x14ac:dyDescent="0.2">
      <c r="A4" s="15" t="s">
        <v>1395</v>
      </c>
      <c r="B4" s="8" t="s">
        <v>23</v>
      </c>
      <c r="C4" s="8" t="s">
        <v>23</v>
      </c>
      <c r="D4" s="15" t="s">
        <v>1310</v>
      </c>
      <c r="E4" s="8" t="s">
        <v>23</v>
      </c>
      <c r="F4" s="8">
        <v>41</v>
      </c>
      <c r="G4" s="8">
        <v>67</v>
      </c>
      <c r="H4" s="8">
        <v>30</v>
      </c>
      <c r="I4" s="8"/>
      <c r="J4" s="8"/>
      <c r="K4" s="8"/>
      <c r="L4" s="8"/>
      <c r="M4" s="8"/>
      <c r="N4" s="8"/>
    </row>
    <row r="5" spans="1:18" s="24" customFormat="1" x14ac:dyDescent="0.2">
      <c r="A5" s="15" t="s">
        <v>1395</v>
      </c>
      <c r="B5" s="8" t="s">
        <v>23</v>
      </c>
      <c r="C5" s="8" t="s">
        <v>23</v>
      </c>
      <c r="D5" s="15" t="s">
        <v>1310</v>
      </c>
      <c r="E5" s="8" t="s">
        <v>23</v>
      </c>
      <c r="F5" s="8">
        <v>42</v>
      </c>
      <c r="G5" s="8">
        <v>68</v>
      </c>
      <c r="H5" s="8">
        <v>30</v>
      </c>
      <c r="I5" s="8"/>
      <c r="J5" s="8"/>
      <c r="K5" s="8"/>
      <c r="L5" s="8"/>
      <c r="M5" s="8"/>
      <c r="N5" s="8"/>
    </row>
    <row r="6" spans="1:18" s="24" customFormat="1" x14ac:dyDescent="0.2">
      <c r="A6" s="3" t="str">
        <f>D6&amp;"__wt"</f>
        <v>cxcr4_human__wt</v>
      </c>
      <c r="B6" s="3" t="str">
        <f>VLOOKUP(D6,Classification!A:D,3,FALSE)</f>
        <v>Protein</v>
      </c>
      <c r="C6" s="3" t="str">
        <f>VLOOKUP(D6,Classification!A:D,4,FALSE)</f>
        <v>Chemokine</v>
      </c>
      <c r="D6" s="3" t="s">
        <v>1172</v>
      </c>
      <c r="E6" s="3">
        <f>VLOOKUP($D6,'SegEnds_NonXtal_Prot#'!$A:$AZ,30,FALSE)-VLOOKUP($D6,'SegEnds_NonXtal_Prot#'!$A:$AZ,29,FALSE)</f>
        <v>5</v>
      </c>
      <c r="F6" s="1">
        <f>VLOOKUP($D6,'SegEnds_NonXtal_Prot#'!$A:$AZ,31,FALSE)-VLOOKUP($D6,'SegEnds_NonXtal_Prot#'!$A:$AZ,28,FALSE)</f>
        <v>43</v>
      </c>
      <c r="G6" s="3">
        <f>50+VLOOKUP($A6,'SegEnds_Xtal_Prot#'!$A:$AY,39,FALSE)-VLOOKUP($D6,'SegEnds_NonXtal_Prot#'!$A:$AZ,28,FALSE)</f>
        <v>68</v>
      </c>
      <c r="H6" s="3">
        <f>50+VLOOKUP($A6,'SegEnds_Xtal_Prot#'!$A:$AY,41,FALSE)-VLOOKUP($D6,'SegEnds_NonXtal_Prot#'!$A:$AZ,31,FALSE)</f>
        <v>30</v>
      </c>
      <c r="I6" s="8"/>
      <c r="J6" s="8"/>
      <c r="K6" s="8"/>
      <c r="L6" s="8"/>
      <c r="M6" s="8"/>
      <c r="N6" s="8"/>
    </row>
    <row r="7" spans="1:18" s="24" customFormat="1" ht="17" thickBot="1" x14ac:dyDescent="0.25">
      <c r="A7" s="3" t="str">
        <f>D7&amp;"__wt"</f>
        <v>c5ar1_human__wt</v>
      </c>
      <c r="B7" s="3" t="str">
        <f>VLOOKUP(D7,Classification!A:D,3,FALSE)</f>
        <v>Peptide</v>
      </c>
      <c r="C7" s="3" t="str">
        <f>VLOOKUP(D7,Classification!A:D,4,FALSE)</f>
        <v>Complementpeptide</v>
      </c>
      <c r="D7" s="3" t="s">
        <v>165</v>
      </c>
      <c r="E7" s="3">
        <f>VLOOKUP($D7,'SegEnds_NonXtal_Prot#'!$A:$AZ,30,FALSE)-VLOOKUP($D7,'SegEnds_NonXtal_Prot#'!$A:$AZ,29,FALSE)</f>
        <v>6</v>
      </c>
      <c r="F7" s="1">
        <f>VLOOKUP($D7,'SegEnds_NonXtal_Prot#'!$A:$AZ,31,FALSE)-VLOOKUP($D7,'SegEnds_NonXtal_Prot#'!$A:$AZ,28,FALSE)</f>
        <v>43</v>
      </c>
      <c r="G7" s="3">
        <f>50+VLOOKUP($A7,'SegEnds_Xtal_Prot#'!$A:$AY,39,FALSE)-VLOOKUP($D7,'SegEnds_NonXtal_Prot#'!$A:$AZ,28,FALSE)</f>
        <v>68</v>
      </c>
      <c r="H7" s="3">
        <f>50+VLOOKUP($A7,'SegEnds_Xtal_Prot#'!$A:$AY,41,FALSE)-VLOOKUP($D7,'SegEnds_NonXtal_Prot#'!$A:$AZ,31,FALSE)</f>
        <v>31</v>
      </c>
      <c r="I7" s="8"/>
      <c r="J7" s="8"/>
      <c r="K7" s="8"/>
      <c r="L7" s="8"/>
      <c r="M7" s="8"/>
      <c r="N7" s="8"/>
    </row>
    <row r="8" spans="1:18" ht="17" thickBot="1" x14ac:dyDescent="0.25">
      <c r="A8" s="3" t="str">
        <f t="shared" ref="A8:A23" si="0">D8&amp;"__wt"</f>
        <v>ccr9_human__wt</v>
      </c>
      <c r="B8" s="3" t="str">
        <f>VLOOKUP(D8,Classification!A:D,3,FALSE)</f>
        <v>Protein</v>
      </c>
      <c r="C8" s="3" t="str">
        <f>VLOOKUP(D8,Classification!A:D,4,FALSE)</f>
        <v>Chemokine</v>
      </c>
      <c r="D8" s="3" t="s">
        <v>177</v>
      </c>
      <c r="E8" s="3">
        <f>VLOOKUP($D8,'SegEnds_NonXtal_Prot#'!$A:$AZ,30,FALSE)-VLOOKUP($D8,'SegEnds_NonXtal_Prot#'!$A:$AZ,29,FALSE)</f>
        <v>5</v>
      </c>
      <c r="F8" s="80">
        <f>VLOOKUP($D8,'SegEnds_NonXtal_Prot#'!$A:$AZ,31,FALSE)-VLOOKUP($D8,'SegEnds_NonXtal_Prot#'!$A:$AZ,28,FALSE)</f>
        <v>43</v>
      </c>
      <c r="G8" s="81">
        <f>50+VLOOKUP($A8,'SegEnds_Xtal_Prot#'!$A:$AY,39,FALSE)-VLOOKUP($D8,'SegEnds_NonXtal_Prot#'!$A:$AZ,28,FALSE)</f>
        <v>68</v>
      </c>
      <c r="H8" s="82">
        <f>50+VLOOKUP($A8,'SegEnds_Xtal_Prot#'!$A:$AY,41,FALSE)-VLOOKUP($D8,'SegEnds_NonXtal_Prot#'!$A:$AZ,31,FALSE)</f>
        <v>28</v>
      </c>
      <c r="I8" s="3"/>
      <c r="J8" s="3"/>
      <c r="K8" s="1"/>
      <c r="L8" s="1"/>
      <c r="M8" s="1"/>
      <c r="N8" s="1"/>
      <c r="Q8" s="8"/>
      <c r="R8" s="8"/>
    </row>
    <row r="9" spans="1:18" ht="17" thickBot="1" x14ac:dyDescent="0.25">
      <c r="A9" s="3" t="str">
        <f t="shared" si="0"/>
        <v>us28_hcmva__wt</v>
      </c>
      <c r="B9" s="3" t="str">
        <f>VLOOKUP(D9,Classification!A:D,3,FALSE)</f>
        <v>Peptide</v>
      </c>
      <c r="C9" s="3" t="str">
        <f>VLOOKUP(D9,Classification!A:D,4,FALSE)</f>
        <v>Chemokine</v>
      </c>
      <c r="D9" s="3" t="s">
        <v>924</v>
      </c>
      <c r="E9" s="3">
        <f>VLOOKUP($D9,'SegEnds_NonXtal_Prot#'!$A:$AZ,30,FALSE)-VLOOKUP($D9,'SegEnds_NonXtal_Prot#'!$A:$AZ,29,FALSE)</f>
        <v>4</v>
      </c>
      <c r="F9" s="1">
        <f>VLOOKUP($D9,'SegEnds_NonXtal_Prot#'!$A:$AZ,31,FALSE)-VLOOKUP($D9,'SegEnds_NonXtal_Prot#'!$A:$AZ,28,FALSE)</f>
        <v>43</v>
      </c>
      <c r="G9" s="3">
        <f>50+VLOOKUP($A9,'SegEnds_Xtal_Prot#'!$A:$AY,39,FALSE)-VLOOKUP($D9,'SegEnds_NonXtal_Prot#'!$A:$AZ,28,FALSE)</f>
        <v>68</v>
      </c>
      <c r="H9" s="3">
        <f>50+VLOOKUP($A9,'SegEnds_Xtal_Prot#'!$A:$AY,41,FALSE)-VLOOKUP($D9,'SegEnds_NonXtal_Prot#'!$A:$AZ,31,FALSE)</f>
        <v>29</v>
      </c>
      <c r="I9" s="3">
        <f>G9</f>
        <v>68</v>
      </c>
      <c r="J9" s="3">
        <f>H9</f>
        <v>29</v>
      </c>
      <c r="K9" s="1" t="s">
        <v>1297</v>
      </c>
      <c r="L9" s="1"/>
      <c r="M9" s="1"/>
      <c r="N9" s="1"/>
    </row>
    <row r="10" spans="1:18" ht="17" thickBot="1" x14ac:dyDescent="0.25">
      <c r="A10" s="3" t="str">
        <f>D10&amp;"__wt"</f>
        <v>ccr5_human__wt</v>
      </c>
      <c r="B10" s="3" t="str">
        <f>VLOOKUP(D10,Classification!A:D,3,FALSE)</f>
        <v>Protein</v>
      </c>
      <c r="C10" s="3" t="str">
        <f>VLOOKUP(D10,Classification!A:D,4,FALSE)</f>
        <v>Chemokine</v>
      </c>
      <c r="D10" s="3" t="s">
        <v>173</v>
      </c>
      <c r="E10" s="3">
        <f>VLOOKUP($D10,'SegEnds_NonXtal_Prot#'!$A:$AZ,30,FALSE)-VLOOKUP($D10,'SegEnds_NonXtal_Prot#'!$A:$AZ,29,FALSE)</f>
        <v>4</v>
      </c>
      <c r="F10" s="80">
        <f>VLOOKUP($D10,'SegEnds_NonXtal_Prot#'!$A:$AZ,31,FALSE)-VLOOKUP($D10,'SegEnds_NonXtal_Prot#'!$A:$AZ,28,FALSE)</f>
        <v>44</v>
      </c>
      <c r="G10" s="81">
        <f>50+VLOOKUP($A10,'SegEnds_Xtal_Prot#'!$A:$AY,39,FALSE)-VLOOKUP($D10,'SegEnds_NonXtal_Prot#'!$A:$AZ,28,FALSE)</f>
        <v>68</v>
      </c>
      <c r="H10" s="82">
        <f>50+VLOOKUP($A10,'SegEnds_Xtal_Prot#'!$A:$AY,41,FALSE)-VLOOKUP($D10,'SegEnds_NonXtal_Prot#'!$A:$AZ,31,FALSE)</f>
        <v>28</v>
      </c>
      <c r="I10" s="3"/>
      <c r="J10" s="3"/>
      <c r="K10" s="1"/>
      <c r="L10" s="1"/>
      <c r="M10" s="1"/>
      <c r="N10" s="1"/>
    </row>
    <row r="11" spans="1:18" x14ac:dyDescent="0.2">
      <c r="A11" s="3" t="str">
        <f t="shared" si="0"/>
        <v>ffar1_human__wt</v>
      </c>
      <c r="B11" s="3" t="str">
        <f>VLOOKUP(D11,Classification!A:D,3,FALSE)</f>
        <v>Lipid</v>
      </c>
      <c r="C11" s="3" t="str">
        <f>VLOOKUP(D11,Classification!A:D,4,FALSE)</f>
        <v>Freefattyacid</v>
      </c>
      <c r="D11" s="3" t="s">
        <v>1173</v>
      </c>
      <c r="E11" s="3">
        <f>VLOOKUP($D11,'SegEnds_NonXtal_Prot#'!$A:$AZ,30,FALSE)-VLOOKUP($D11,'SegEnds_NonXtal_Prot#'!$A:$AZ,29,FALSE)</f>
        <v>6</v>
      </c>
      <c r="F11" s="1">
        <f>VLOOKUP($D11,'SegEnds_NonXtal_Prot#'!$A:$AZ,31,FALSE)-VLOOKUP($D11,'SegEnds_NonXtal_Prot#'!$A:$AZ,28,FALSE)</f>
        <v>45</v>
      </c>
      <c r="G11" s="3">
        <f>50+VLOOKUP($A11,'SegEnds_Xtal_Prot#'!$A:$AY,39,FALSE)-VLOOKUP($D11,'SegEnds_NonXtal_Prot#'!$A:$AZ,28,FALSE)</f>
        <v>67</v>
      </c>
      <c r="H11" s="3">
        <f>50+VLOOKUP($A11,'SegEnds_Xtal_Prot#'!$A:$AY,41,FALSE)-VLOOKUP($D11,'SegEnds_NonXtal_Prot#'!$A:$AZ,31,FALSE)</f>
        <v>28</v>
      </c>
      <c r="I11" s="3"/>
      <c r="J11" s="3"/>
      <c r="K11" s="1"/>
      <c r="L11" s="1"/>
      <c r="M11" s="1"/>
      <c r="N11" s="1"/>
    </row>
    <row r="12" spans="1:18" x14ac:dyDescent="0.2">
      <c r="A12" s="3" t="str">
        <f t="shared" si="0"/>
        <v>par1_human__wt</v>
      </c>
      <c r="B12" s="3" t="str">
        <f>VLOOKUP(D12,Classification!A:D,3,FALSE)</f>
        <v>Peptide</v>
      </c>
      <c r="C12" s="3" t="str">
        <f>VLOOKUP(D12,Classification!A:D,4,FALSE)</f>
        <v>Proteinase-activated</v>
      </c>
      <c r="D12" s="3" t="s">
        <v>355</v>
      </c>
      <c r="E12" s="3">
        <f>VLOOKUP($D12,'SegEnds_NonXtal_Prot#'!$A:$AZ,30,FALSE)-VLOOKUP($D12,'SegEnds_NonXtal_Prot#'!$A:$AZ,29,FALSE)</f>
        <v>5</v>
      </c>
      <c r="F12" s="1">
        <f>VLOOKUP($D12,'SegEnds_NonXtal_Prot#'!$A:$AZ,31,FALSE)-VLOOKUP($D12,'SegEnds_NonXtal_Prot#'!$A:$AZ,28,FALSE)</f>
        <v>46</v>
      </c>
      <c r="G12" s="3">
        <f>50+VLOOKUP($A12,'SegEnds_Xtal_Prot#'!$A:$AY,39,FALSE)-VLOOKUP($D12,'SegEnds_NonXtal_Prot#'!$A:$AZ,28,FALSE)</f>
        <v>67</v>
      </c>
      <c r="H12" s="3">
        <f>50+VLOOKUP($A12,'SegEnds_Xtal_Prot#'!$A:$AY,41,FALSE)-VLOOKUP($D12,'SegEnds_NonXtal_Prot#'!$A:$AZ,31,FALSE)</f>
        <v>26</v>
      </c>
      <c r="I12" s="3"/>
      <c r="J12" s="3"/>
      <c r="K12" s="1"/>
      <c r="L12" s="1"/>
      <c r="M12" s="1"/>
      <c r="N12" s="1"/>
    </row>
    <row r="13" spans="1:18" x14ac:dyDescent="0.2">
      <c r="A13" s="3" t="str">
        <f t="shared" si="0"/>
        <v>p2ry1_human__wt</v>
      </c>
      <c r="B13" s="3" t="str">
        <f>VLOOKUP(D13,Classification!A:D,3,FALSE)</f>
        <v>Nucleotide</v>
      </c>
      <c r="C13" s="3" t="str">
        <f>VLOOKUP(D13,Classification!A:D,4,FALSE)</f>
        <v>P2Y</v>
      </c>
      <c r="D13" s="3" t="s">
        <v>345</v>
      </c>
      <c r="E13" s="3">
        <f>VLOOKUP($D13,'SegEnds_NonXtal_Prot#'!$A:$AZ,30,FALSE)-VLOOKUP($D13,'SegEnds_NonXtal_Prot#'!$A:$AZ,29,FALSE)</f>
        <v>6</v>
      </c>
      <c r="F13" s="1">
        <f>VLOOKUP($D13,'SegEnds_NonXtal_Prot#'!$A:$AZ,31,FALSE)-VLOOKUP($D13,'SegEnds_NonXtal_Prot#'!$A:$AZ,28,FALSE)</f>
        <v>46</v>
      </c>
      <c r="G13" s="3">
        <f>50+VLOOKUP($A13,'SegEnds_Xtal_Prot#'!$A:$AY,39,FALSE)-VLOOKUP($D13,'SegEnds_NonXtal_Prot#'!$A:$AZ,28,FALSE)</f>
        <v>68</v>
      </c>
      <c r="H13" s="3">
        <f>50+VLOOKUP($A13,'SegEnds_Xtal_Prot#'!$A:$AY,41,FALSE)-VLOOKUP($D13,'SegEnds_NonXtal_Prot#'!$A:$AZ,31,FALSE)</f>
        <v>28</v>
      </c>
      <c r="I13" s="3"/>
      <c r="J13" s="3"/>
      <c r="K13" s="1"/>
      <c r="L13" s="1"/>
      <c r="M13" s="1"/>
      <c r="N13" s="1"/>
    </row>
    <row r="14" spans="1:18" x14ac:dyDescent="0.2">
      <c r="A14" s="9" t="str">
        <f>D14&amp;"__wt"</f>
        <v>agtr2_human__wt</v>
      </c>
      <c r="B14" s="3" t="str">
        <f>VLOOKUP(D14,Classification!A:D,3,FALSE)</f>
        <v>Peptide</v>
      </c>
      <c r="C14" s="3" t="str">
        <f>VLOOKUP(D14,Classification!A:D,4,FALSE)</f>
        <v>Angiotensin</v>
      </c>
      <c r="D14" s="3" t="s">
        <v>159</v>
      </c>
      <c r="E14" s="3">
        <f>VLOOKUP($D14,'SegEnds_NonXtal_Prot#'!$A:$AZ,30,FALSE)-VLOOKUP($D14,'SegEnds_NonXtal_Prot#'!$A:$AZ,29,FALSE)</f>
        <v>4</v>
      </c>
      <c r="F14" s="1">
        <f>VLOOKUP($D14,'SegEnds_NonXtal_Prot#'!$A:$AZ,31,FALSE)-VLOOKUP($D14,'SegEnds_NonXtal_Prot#'!$A:$AZ,28,FALSE)</f>
        <v>48</v>
      </c>
      <c r="G14" s="3">
        <f>50+VLOOKUP($A14,'SegEnds_Xtal_Prot#'!$A:$AY,39,FALSE)-VLOOKUP($D14,'SegEnds_NonXtal_Prot#'!$A:$AZ,28,FALSE)</f>
        <v>68</v>
      </c>
      <c r="H14" s="3">
        <f>50+VLOOKUP($A14,'SegEnds_Xtal_Prot#'!$A:$AY,41,FALSE)-VLOOKUP($D14,'SegEnds_NonXtal_Prot#'!$A:$AZ,31,FALSE)</f>
        <v>24</v>
      </c>
      <c r="I14" s="3"/>
      <c r="J14" s="3"/>
      <c r="K14" s="1"/>
      <c r="L14" s="1"/>
      <c r="M14" s="1"/>
      <c r="N14" s="1"/>
    </row>
    <row r="15" spans="1:18" x14ac:dyDescent="0.2">
      <c r="A15" s="3" t="str">
        <f t="shared" si="0"/>
        <v>agtr1_human__wt</v>
      </c>
      <c r="B15" s="3" t="str">
        <f>VLOOKUP(D15,Classification!A:D,3,FALSE)</f>
        <v>Peptide</v>
      </c>
      <c r="C15" s="3" t="str">
        <f>VLOOKUP(D15,Classification!A:D,4,FALSE)</f>
        <v>Angiotensin</v>
      </c>
      <c r="D15" s="3" t="s">
        <v>158</v>
      </c>
      <c r="E15" s="3">
        <f>VLOOKUP($D15,'SegEnds_NonXtal_Prot#'!$A:$AZ,30,FALSE)-VLOOKUP($D15,'SegEnds_NonXtal_Prot#'!$A:$AZ,29,FALSE)</f>
        <v>4</v>
      </c>
      <c r="F15" s="1">
        <f>VLOOKUP($D15,'SegEnds_NonXtal_Prot#'!$A:$AZ,31,FALSE)-VLOOKUP($D15,'SegEnds_NonXtal_Prot#'!$A:$AZ,28,FALSE)</f>
        <v>48</v>
      </c>
      <c r="G15" s="3">
        <f>50+VLOOKUP($A15,'SegEnds_Xtal_Prot#'!$A:$AY,39,FALSE)-VLOOKUP($D15,'SegEnds_NonXtal_Prot#'!$A:$AZ,28,FALSE)</f>
        <v>68</v>
      </c>
      <c r="H15" s="3">
        <f>50+VLOOKUP($A15,'SegEnds_Xtal_Prot#'!$A:$AY,41,FALSE)-VLOOKUP($D15,'SegEnds_NonXtal_Prot#'!$A:$AZ,31,FALSE)</f>
        <v>28</v>
      </c>
      <c r="I15" s="3"/>
      <c r="J15" s="3"/>
      <c r="K15" s="1"/>
      <c r="L15" s="1"/>
      <c r="M15" s="1"/>
      <c r="N15" s="1"/>
    </row>
    <row r="16" spans="1:18" x14ac:dyDescent="0.2">
      <c r="A16" s="3" t="str">
        <f t="shared" si="0"/>
        <v>p2y12_human__wt</v>
      </c>
      <c r="B16" s="3" t="str">
        <f>VLOOKUP(D16,Classification!A:D,3,FALSE)</f>
        <v>Nucleotide</v>
      </c>
      <c r="C16" s="3" t="str">
        <f>VLOOKUP(D16,Classification!A:D,4,FALSE)</f>
        <v>P2Y</v>
      </c>
      <c r="D16" s="9" t="s">
        <v>352</v>
      </c>
      <c r="E16" s="3">
        <f>VLOOKUP($D16,'SegEnds_NonXtal_Prot#'!$A:$AZ,30,FALSE)-VLOOKUP($D16,'SegEnds_NonXtal_Prot#'!$A:$AZ,29,FALSE)</f>
        <v>7</v>
      </c>
      <c r="F16" s="1">
        <f>VLOOKUP($D16,'SegEnds_NonXtal_Prot#'!$A:$AZ,31,FALSE)-VLOOKUP($D16,'SegEnds_NonXtal_Prot#'!$A:$AZ,28,FALSE)</f>
        <v>50</v>
      </c>
      <c r="G16" s="3">
        <f>50+VLOOKUP($A16,'SegEnds_Xtal_Prot#'!$A:$AY,39,FALSE)-VLOOKUP($D16,'SegEnds_NonXtal_Prot#'!$A:$AZ,28,FALSE)</f>
        <v>72</v>
      </c>
      <c r="H16" s="3">
        <f>50+VLOOKUP($A16,'SegEnds_Xtal_Prot#'!$A:$AY,41,FALSE)-VLOOKUP($D16,'SegEnds_NonXtal_Prot#'!$A:$AZ,31,FALSE)</f>
        <v>29</v>
      </c>
      <c r="I16" s="3"/>
      <c r="J16" s="3"/>
      <c r="K16" s="1"/>
      <c r="L16" s="1"/>
      <c r="M16" s="1" t="s">
        <v>1308</v>
      </c>
      <c r="N16" s="1"/>
    </row>
    <row r="17" spans="1:14" x14ac:dyDescent="0.2">
      <c r="A17" s="3" t="str">
        <f t="shared" si="0"/>
        <v>oprd_human__wt</v>
      </c>
      <c r="B17" s="3" t="str">
        <f>VLOOKUP(D17,Classification!A:D,3,FALSE)</f>
        <v>Peptide</v>
      </c>
      <c r="C17" s="3" t="str">
        <f>VLOOKUP(D17,Classification!A:D,4,FALSE)</f>
        <v>Opioid</v>
      </c>
      <c r="D17" s="3" t="s">
        <v>335</v>
      </c>
      <c r="E17" s="3">
        <f>VLOOKUP($D17,'SegEnds_NonXtal_Prot#'!$A:$AZ,30,FALSE)-VLOOKUP($D17,'SegEnds_NonXtal_Prot#'!$A:$AZ,29,FALSE)</f>
        <v>6</v>
      </c>
      <c r="F17" s="1">
        <f>VLOOKUP($D17,'SegEnds_NonXtal_Prot#'!$A:$AZ,31,FALSE)-VLOOKUP($D17,'SegEnds_NonXtal_Prot#'!$A:$AZ,28,FALSE)</f>
        <v>51</v>
      </c>
      <c r="G17" s="3">
        <f>50+VLOOKUP($A17,'SegEnds_Xtal_Prot#'!$A:$AY,39,FALSE)-VLOOKUP($D17,'SegEnds_NonXtal_Prot#'!$A:$AZ,28,FALSE)</f>
        <v>68</v>
      </c>
      <c r="H17" s="3">
        <f>50+VLOOKUP($A17,'SegEnds_Xtal_Prot#'!$A:$AY,41,FALSE)-VLOOKUP($D17,'SegEnds_NonXtal_Prot#'!$A:$AZ,31,FALSE)</f>
        <v>23</v>
      </c>
      <c r="I17" s="3"/>
      <c r="J17" s="3"/>
      <c r="K17" s="1"/>
      <c r="L17" s="1"/>
      <c r="M17" s="1"/>
      <c r="N17" s="1"/>
    </row>
    <row r="18" spans="1:14" x14ac:dyDescent="0.2">
      <c r="A18" s="3" t="str">
        <f t="shared" si="0"/>
        <v>oprd_mouse__wt</v>
      </c>
      <c r="B18" s="3" t="str">
        <f>VLOOKUP(D18,Classification!A:D,3,FALSE)</f>
        <v>Peptide</v>
      </c>
      <c r="C18" s="3" t="str">
        <f>VLOOKUP(D18,Classification!A:D,4,FALSE)</f>
        <v>Opioid</v>
      </c>
      <c r="D18" s="3" t="s">
        <v>916</v>
      </c>
      <c r="E18" s="3">
        <f>VLOOKUP($D18,'SegEnds_NonXtal_Prot#'!$A:$AZ,30,FALSE)-VLOOKUP($D18,'SegEnds_NonXtal_Prot#'!$A:$AZ,29,FALSE)</f>
        <v>6</v>
      </c>
      <c r="F18" s="1">
        <f>VLOOKUP($D18,'SegEnds_NonXtal_Prot#'!$A:$AZ,31,FALSE)-VLOOKUP($D18,'SegEnds_NonXtal_Prot#'!$A:$AZ,28,FALSE)</f>
        <v>51</v>
      </c>
      <c r="G18" s="3">
        <f>50+VLOOKUP($A18,'SegEnds_Xtal_Prot#'!$A:$AY,39,FALSE)-VLOOKUP($D18,'SegEnds_NonXtal_Prot#'!$A:$AZ,28,FALSE)</f>
        <v>68</v>
      </c>
      <c r="H18" s="3">
        <f>50+VLOOKUP($A18,'SegEnds_Xtal_Prot#'!$A:$AY,41,FALSE)-VLOOKUP($D18,'SegEnds_NonXtal_Prot#'!$A:$AZ,31,FALSE)</f>
        <v>23</v>
      </c>
      <c r="I18" s="3"/>
      <c r="J18" s="3"/>
      <c r="K18" s="1"/>
      <c r="L18" s="1"/>
      <c r="M18" s="1"/>
      <c r="N18" s="1"/>
    </row>
    <row r="19" spans="1:14" x14ac:dyDescent="0.2">
      <c r="A19" s="3" t="str">
        <f t="shared" si="0"/>
        <v>oprk_human__wt</v>
      </c>
      <c r="B19" s="3" t="str">
        <f>VLOOKUP(D19,Classification!A:D,3,FALSE)</f>
        <v>Peptide</v>
      </c>
      <c r="C19" s="3" t="str">
        <f>VLOOKUP(D19,Classification!A:D,4,FALSE)</f>
        <v>Opioid</v>
      </c>
      <c r="D19" s="3" t="s">
        <v>336</v>
      </c>
      <c r="E19" s="3">
        <f>VLOOKUP($D19,'SegEnds_NonXtal_Prot#'!$A:$AZ,30,FALSE)-VLOOKUP($D19,'SegEnds_NonXtal_Prot#'!$A:$AZ,29,FALSE)</f>
        <v>6</v>
      </c>
      <c r="F19" s="1">
        <f>VLOOKUP($D19,'SegEnds_NonXtal_Prot#'!$A:$AZ,31,FALSE)-VLOOKUP($D19,'SegEnds_NonXtal_Prot#'!$A:$AZ,28,FALSE)</f>
        <v>51</v>
      </c>
      <c r="G19" s="3">
        <f>50+VLOOKUP($A19,'SegEnds_Xtal_Prot#'!$A:$AY,39,FALSE)-VLOOKUP($D19,'SegEnds_NonXtal_Prot#'!$A:$AZ,28,FALSE)</f>
        <v>68</v>
      </c>
      <c r="H19" s="3">
        <f>50+VLOOKUP($A19,'SegEnds_Xtal_Prot#'!$A:$AY,41,FALSE)-VLOOKUP($D19,'SegEnds_NonXtal_Prot#'!$A:$AZ,31,FALSE)</f>
        <v>23</v>
      </c>
      <c r="I19" s="3"/>
      <c r="J19" s="3"/>
      <c r="K19" s="1"/>
      <c r="L19" s="1"/>
      <c r="M19" s="1"/>
      <c r="N19" s="1"/>
    </row>
    <row r="20" spans="1:14" x14ac:dyDescent="0.2">
      <c r="A20" s="3" t="str">
        <f t="shared" si="0"/>
        <v>oprm_mouse__wt</v>
      </c>
      <c r="B20" s="3" t="str">
        <f>VLOOKUP(D20,Classification!A:D,3,FALSE)</f>
        <v>Peptide</v>
      </c>
      <c r="C20" s="3" t="str">
        <f>VLOOKUP(D20,Classification!A:D,4,FALSE)</f>
        <v>Opioid</v>
      </c>
      <c r="D20" s="3" t="s">
        <v>918</v>
      </c>
      <c r="E20" s="3">
        <f>VLOOKUP($D20,'SegEnds_NonXtal_Prot#'!$A:$AZ,30,FALSE)-VLOOKUP($D20,'SegEnds_NonXtal_Prot#'!$A:$AZ,29,FALSE)</f>
        <v>6</v>
      </c>
      <c r="F20" s="1">
        <f>VLOOKUP($D20,'SegEnds_NonXtal_Prot#'!$A:$AZ,31,FALSE)-VLOOKUP($D20,'SegEnds_NonXtal_Prot#'!$A:$AZ,28,FALSE)</f>
        <v>51</v>
      </c>
      <c r="G20" s="3">
        <f>50+VLOOKUP($A20,'SegEnds_Xtal_Prot#'!$A:$AY,39,FALSE)-VLOOKUP($D20,'SegEnds_NonXtal_Prot#'!$A:$AZ,28,FALSE)</f>
        <v>68</v>
      </c>
      <c r="H20" s="3">
        <f>50+VLOOKUP($A20,'SegEnds_Xtal_Prot#'!$A:$AY,41,FALSE)-VLOOKUP($D20,'SegEnds_NonXtal_Prot#'!$A:$AZ,31,FALSE)</f>
        <v>23</v>
      </c>
      <c r="I20" s="3">
        <f>G20</f>
        <v>68</v>
      </c>
      <c r="J20" s="3">
        <f>H20</f>
        <v>23</v>
      </c>
      <c r="K20" s="1" t="s">
        <v>1297</v>
      </c>
      <c r="L20" s="1"/>
      <c r="M20" s="1"/>
      <c r="N20" s="1"/>
    </row>
    <row r="21" spans="1:14" x14ac:dyDescent="0.2">
      <c r="A21" s="3" t="str">
        <f t="shared" si="0"/>
        <v>oprx_human__wt</v>
      </c>
      <c r="B21" s="3" t="str">
        <f>VLOOKUP(D21,Classification!A:D,3,FALSE)</f>
        <v>Peptide</v>
      </c>
      <c r="C21" s="3" t="str">
        <f>VLOOKUP(D21,Classification!A:D,4,FALSE)</f>
        <v>Opioid</v>
      </c>
      <c r="D21" s="3" t="s">
        <v>1174</v>
      </c>
      <c r="E21" s="3">
        <f>VLOOKUP($D21,'SegEnds_NonXtal_Prot#'!$A:$AZ,30,FALSE)-VLOOKUP($D21,'SegEnds_NonXtal_Prot#'!$A:$AZ,29,FALSE)</f>
        <v>6</v>
      </c>
      <c r="F21" s="1">
        <f>VLOOKUP($D21,'SegEnds_NonXtal_Prot#'!$A:$AZ,31,FALSE)-VLOOKUP($D21,'SegEnds_NonXtal_Prot#'!$A:$AZ,28,FALSE)</f>
        <v>51</v>
      </c>
      <c r="G21" s="3">
        <f>50+VLOOKUP($A21,'SegEnds_Xtal_Prot#'!$A:$AY,39,FALSE)-VLOOKUP($D21,'SegEnds_NonXtal_Prot#'!$A:$AZ,28,FALSE)</f>
        <v>68</v>
      </c>
      <c r="H21" s="3">
        <f>50+VLOOKUP($A21,'SegEnds_Xtal_Prot#'!$A:$AY,41,FALSE)-VLOOKUP($D21,'SegEnds_NonXtal_Prot#'!$A:$AZ,31,FALSE)</f>
        <v>23</v>
      </c>
      <c r="I21" s="3"/>
      <c r="J21" s="3"/>
      <c r="K21" s="1"/>
      <c r="L21" s="1"/>
      <c r="M21" s="1"/>
      <c r="N21" s="1"/>
    </row>
    <row r="22" spans="1:14" x14ac:dyDescent="0.2">
      <c r="A22" s="3" t="str">
        <f t="shared" si="0"/>
        <v>opsd_bovin__wt</v>
      </c>
      <c r="B22" s="3" t="str">
        <f>VLOOKUP(D22,Classification!A:D,3,FALSE)</f>
        <v>Sensory</v>
      </c>
      <c r="C22" s="3" t="str">
        <f>VLOOKUP(D22,Classification!A:D,4,FALSE)</f>
        <v>Opsins</v>
      </c>
      <c r="D22" s="3" t="s">
        <v>920</v>
      </c>
      <c r="E22" s="3">
        <f>VLOOKUP($D22,'SegEnds_NonXtal_Prot#'!$A:$AZ,30,FALSE)-VLOOKUP($D22,'SegEnds_NonXtal_Prot#'!$A:$AZ,29,FALSE)</f>
        <v>4</v>
      </c>
      <c r="F22" s="1">
        <f>VLOOKUP($D22,'SegEnds_NonXtal_Prot#'!$A:$AZ,31,FALSE)-VLOOKUP($D22,'SegEnds_NonXtal_Prot#'!$A:$AZ,28,FALSE)</f>
        <v>52</v>
      </c>
      <c r="G22" s="3">
        <f>50+VLOOKUP($A22,'SegEnds_Xtal_Prot#'!$A:$AY,39,FALSE)-VLOOKUP($D22,'SegEnds_NonXtal_Prot#'!$A:$AZ,28,FALSE)</f>
        <v>72</v>
      </c>
      <c r="H22" s="3">
        <f>50+VLOOKUP($A22,'SegEnds_Xtal_Prot#'!$A:$AY,41,FALSE)-VLOOKUP($D22,'SegEnds_NonXtal_Prot#'!$A:$AZ,31,FALSE)</f>
        <v>24</v>
      </c>
      <c r="I22" s="3"/>
      <c r="J22" s="3"/>
      <c r="K22" s="1" t="s">
        <v>1297</v>
      </c>
      <c r="L22" s="1"/>
      <c r="M22" s="1"/>
      <c r="N22" s="1"/>
    </row>
    <row r="23" spans="1:14" customFormat="1" x14ac:dyDescent="0.2">
      <c r="A23" s="3" t="str">
        <f t="shared" si="0"/>
        <v>opsd_human__wt</v>
      </c>
      <c r="B23" s="3" t="str">
        <f>VLOOKUP(D23,Classification!A:D,3,FALSE)</f>
        <v>Sensory</v>
      </c>
      <c r="C23" s="3" t="str">
        <f>VLOOKUP(D23,Classification!A:D,4,FALSE)</f>
        <v>Opsins</v>
      </c>
      <c r="D23" s="3" t="s">
        <v>339</v>
      </c>
      <c r="E23" s="3">
        <f>VLOOKUP($D23,'SegEnds_NonXtal_Prot#'!$A:$AZ,30,FALSE)-VLOOKUP($D23,'SegEnds_NonXtal_Prot#'!$A:$AZ,29,FALSE)</f>
        <v>4</v>
      </c>
      <c r="F23" s="1">
        <f>VLOOKUP($D23,'SegEnds_NonXtal_Prot#'!$A:$AZ,31,FALSE)-VLOOKUP($D23,'SegEnds_NonXtal_Prot#'!$A:$AZ,28,FALSE)</f>
        <v>52</v>
      </c>
      <c r="G23" s="3">
        <f>50+VLOOKUP($A23,'SegEnds_Xtal_Prot#'!$A:$AY,39,FALSE)-VLOOKUP($D23,'SegEnds_NonXtal_Prot#'!$A:$AZ,28,FALSE)</f>
        <v>72</v>
      </c>
      <c r="H23" s="3">
        <f>50+VLOOKUP($A23,'SegEnds_Xtal_Prot#'!$A:$AY,41,FALSE)-VLOOKUP($D23,'SegEnds_NonXtal_Prot#'!$A:$AZ,31,FALSE)</f>
        <v>24</v>
      </c>
      <c r="I23" s="3"/>
      <c r="J23" s="3"/>
    </row>
    <row r="24" spans="1:14" customFormat="1" x14ac:dyDescent="0.2">
      <c r="A24" s="1" t="s">
        <v>1335</v>
      </c>
      <c r="B24" s="3" t="str">
        <f>VLOOKUP(D24,Classification!A:D,3,FALSE)</f>
        <v>Peptide</v>
      </c>
      <c r="C24" s="3" t="str">
        <f>VLOOKUP(D24,Classification!A:D,4,FALSE)</f>
        <v>Endothelin</v>
      </c>
      <c r="D24" s="3" t="s">
        <v>196</v>
      </c>
      <c r="E24" s="3">
        <f>VLOOKUP($D24,'SegEnds_NonXtal_Prot#'!$A:$AZ,30,FALSE)-VLOOKUP($D24,'SegEnds_NonXtal_Prot#'!$A:$AZ,29,FALSE)</f>
        <v>5</v>
      </c>
      <c r="F24" s="1">
        <f>VLOOKUP($D24,'SegEnds_NonXtal_Prot#'!$A:$AZ,31,FALSE)-VLOOKUP($D24,'SegEnds_NonXtal_Prot#'!$A:$AZ,28,FALSE)</f>
        <v>53</v>
      </c>
      <c r="G24" s="3">
        <f>50+VLOOKUP($A24,'SegEnds_Xtal_Prot#'!$A:$AY,39,FALSE)-VLOOKUP($D24,'SegEnds_NonXtal_Prot#'!$A:$AZ,28,FALSE)</f>
        <v>72</v>
      </c>
      <c r="H24" s="3">
        <f>50+VLOOKUP($A24,'SegEnds_Xtal_Prot#'!$A:$AY,41,FALSE)-VLOOKUP($D24,'SegEnds_NonXtal_Prot#'!$A:$AZ,31,FALSE)</f>
        <v>24</v>
      </c>
    </row>
    <row r="25" spans="1:14" customFormat="1" x14ac:dyDescent="0.2">
      <c r="A25" s="3" t="str">
        <f t="shared" ref="A25:A41" si="1">D25&amp;"__wt"</f>
        <v>lpar1_human__wt</v>
      </c>
      <c r="B25" s="3" t="str">
        <f>VLOOKUP(D25,Classification!A:D,3,FALSE)</f>
        <v>Lipid</v>
      </c>
      <c r="C25" s="3" t="str">
        <f>VLOOKUP(D25,Classification!A:D,4,FALSE)</f>
        <v>Lysophospholipid(LPA)</v>
      </c>
      <c r="D25" s="9" t="s">
        <v>103</v>
      </c>
      <c r="E25" s="3">
        <f>VLOOKUP($D25,'SegEnds_NonXtal_Prot#'!$A:$AZ,30,FALSE)-VLOOKUP($D25,'SegEnds_NonXtal_Prot#'!$A:$AZ,29,FALSE)</f>
        <v>5</v>
      </c>
      <c r="F25" s="1">
        <f>VLOOKUP($D25,'SegEnds_NonXtal_Prot#'!$A:$AZ,31,FALSE)-VLOOKUP($D25,'SegEnds_NonXtal_Prot#'!$A:$AZ,28,FALSE)</f>
        <v>56</v>
      </c>
      <c r="G25" s="3">
        <f>50+VLOOKUP($A25,'SegEnds_Xtal_Prot#'!$A:$AY,39,FALSE)-VLOOKUP($D25,'SegEnds_NonXtal_Prot#'!$A:$AZ,28,FALSE)</f>
        <v>73</v>
      </c>
      <c r="H25" s="3">
        <f>50+VLOOKUP($A25,'SegEnds_Xtal_Prot#'!$A:$AY,41,FALSE)-VLOOKUP($D25,'SegEnds_NonXtal_Prot#'!$A:$AZ,31,FALSE)</f>
        <v>22</v>
      </c>
      <c r="I25" s="3"/>
      <c r="J25" s="3"/>
      <c r="M25" t="s">
        <v>1304</v>
      </c>
    </row>
    <row r="26" spans="1:14" customFormat="1" x14ac:dyDescent="0.2">
      <c r="A26" s="3" t="str">
        <f t="shared" si="1"/>
        <v>s1pr1_human__wt</v>
      </c>
      <c r="B26" s="3" t="str">
        <f>VLOOKUP(D26,Classification!A:D,3,FALSE)</f>
        <v>Lipid</v>
      </c>
      <c r="C26" s="3" t="str">
        <f>VLOOKUP(D26,Classification!A:D,4,FALSE)</f>
        <v>Lysophospholipid(S1P)</v>
      </c>
      <c r="D26" s="9" t="s">
        <v>104</v>
      </c>
      <c r="E26" s="3">
        <f>VLOOKUP($D26,'SegEnds_NonXtal_Prot#'!$A:$AZ,30,FALSE)-VLOOKUP($D26,'SegEnds_NonXtal_Prot#'!$A:$AZ,29,FALSE)</f>
        <v>9</v>
      </c>
      <c r="F26" s="1">
        <f>VLOOKUP($D26,'SegEnds_NonXtal_Prot#'!$A:$AZ,31,FALSE)-VLOOKUP($D26,'SegEnds_NonXtal_Prot#'!$A:$AZ,28,FALSE)</f>
        <v>58</v>
      </c>
      <c r="G26" s="3">
        <f>50+VLOOKUP($A26,'SegEnds_Xtal_Prot#'!$A:$AY,39,FALSE)-VLOOKUP($D26,'SegEnds_NonXtal_Prot#'!$A:$AZ,28,FALSE)</f>
        <v>73</v>
      </c>
      <c r="H26" s="3">
        <f>50+VLOOKUP($A26,'SegEnds_Xtal_Prot#'!$A:$AY,41,FALSE)-VLOOKUP($D26,'SegEnds_NonXtal_Prot#'!$A:$AZ,31,FALSE)</f>
        <v>24</v>
      </c>
      <c r="I26" s="3"/>
      <c r="J26" s="3"/>
      <c r="M26" t="s">
        <v>1305</v>
      </c>
    </row>
    <row r="27" spans="1:14" customFormat="1" x14ac:dyDescent="0.2">
      <c r="A27" s="3" t="str">
        <f t="shared" si="1"/>
        <v>aa2ar_human__wt</v>
      </c>
      <c r="B27" s="3" t="str">
        <f>VLOOKUP(D27,Classification!A:D,3,FALSE)</f>
        <v>Nucleotide</v>
      </c>
      <c r="C27" s="3" t="str">
        <f>VLOOKUP(D27,Classification!A:D,4,FALSE)</f>
        <v>Adenosine</v>
      </c>
      <c r="D27" s="3" t="s">
        <v>139</v>
      </c>
      <c r="E27" s="3">
        <f>VLOOKUP($D27,'SegEnds_NonXtal_Prot#'!$A:$AZ,30,FALSE)-VLOOKUP($D27,'SegEnds_NonXtal_Prot#'!$A:$AZ,29,FALSE)</f>
        <v>6</v>
      </c>
      <c r="F27" s="1">
        <f>VLOOKUP($D27,'SegEnds_NonXtal_Prot#'!$A:$AZ,31,FALSE)-VLOOKUP($D27,'SegEnds_NonXtal_Prot#'!$A:$AZ,28,FALSE)</f>
        <v>59</v>
      </c>
      <c r="G27" s="3">
        <f>50+VLOOKUP($A27,'SegEnds_Xtal_Prot#'!$A:$AY,39,FALSE)-VLOOKUP($D27,'SegEnds_NonXtal_Prot#'!$A:$AZ,28,FALSE)</f>
        <v>74</v>
      </c>
      <c r="H27" s="3">
        <f>50+VLOOKUP($A27,'SegEnds_Xtal_Prot#'!$A:$AY,41,FALSE)-VLOOKUP($D27,'SegEnds_NonXtal_Prot#'!$A:$AZ,31,FALSE)</f>
        <v>21</v>
      </c>
      <c r="I27" s="3">
        <f>G27</f>
        <v>74</v>
      </c>
      <c r="J27" s="3">
        <f>H27</f>
        <v>21</v>
      </c>
      <c r="K27" s="1" t="s">
        <v>1297</v>
      </c>
      <c r="L27" s="1"/>
    </row>
    <row r="28" spans="1:14" customFormat="1" x14ac:dyDescent="0.2">
      <c r="A28" s="3" t="str">
        <f t="shared" si="1"/>
        <v>ntr1_rat__wt</v>
      </c>
      <c r="B28" s="3" t="str">
        <f>VLOOKUP(D28,Classification!A:D,3,FALSE)</f>
        <v>Peptide</v>
      </c>
      <c r="C28" s="3" t="str">
        <f>VLOOKUP(D28,Classification!A:D,4,FALSE)</f>
        <v>Neurotensin</v>
      </c>
      <c r="D28" s="48" t="s">
        <v>914</v>
      </c>
      <c r="E28" s="3">
        <f>VLOOKUP($D28,'SegEnds_NonXtal_Prot#'!$A:$AZ,30,FALSE)-VLOOKUP($D28,'SegEnds_NonXtal_Prot#'!$A:$AZ,29,FALSE)</f>
        <v>22</v>
      </c>
      <c r="F28" s="1">
        <f>VLOOKUP($D28,'SegEnds_NonXtal_Prot#'!$A:$AZ,31,FALSE)-VLOOKUP($D28,'SegEnds_NonXtal_Prot#'!$A:$AZ,28,FALSE)</f>
        <v>74</v>
      </c>
      <c r="G28" s="3">
        <f>50+VLOOKUP($A28,'SegEnds_Xtal_Prot#'!$A:$AY,39,FALSE)-VLOOKUP($D28,'SegEnds_NonXtal_Prot#'!$A:$AZ,28,FALSE)</f>
        <v>76</v>
      </c>
      <c r="H28" s="3">
        <f>50+VLOOKUP($A28,'SegEnds_Xtal_Prot#'!$A:$AY,41,FALSE)-VLOOKUP($D28,'SegEnds_NonXtal_Prot#'!$A:$AZ,31,FALSE)</f>
        <v>24</v>
      </c>
      <c r="I28" s="3"/>
      <c r="J28" s="3"/>
      <c r="M28" t="s">
        <v>1301</v>
      </c>
    </row>
    <row r="29" spans="1:14" customFormat="1" x14ac:dyDescent="0.2">
      <c r="A29" s="3" t="str">
        <f t="shared" si="1"/>
        <v>adrb2_human__wt</v>
      </c>
      <c r="B29" s="3" t="str">
        <f>VLOOKUP(D29,Classification!A:D,3,FALSE)</f>
        <v>Aminergic</v>
      </c>
      <c r="C29" s="3" t="str">
        <f>VLOOKUP(D29,Classification!A:D,4,FALSE)</f>
        <v>Adrenoceptors</v>
      </c>
      <c r="D29" s="48" t="s">
        <v>126</v>
      </c>
      <c r="E29" s="3">
        <f>VLOOKUP($D29,'SegEnds_NonXtal_Prot#'!$A:$AZ,30,FALSE)-VLOOKUP($D29,'SegEnds_NonXtal_Prot#'!$A:$AZ,29,FALSE)</f>
        <v>25</v>
      </c>
      <c r="F29" s="1">
        <f>VLOOKUP($D29,'SegEnds_NonXtal_Prot#'!$A:$AZ,31,FALSE)-VLOOKUP($D29,'SegEnds_NonXtal_Prot#'!$A:$AZ,28,FALSE)</f>
        <v>77</v>
      </c>
      <c r="G29" s="3">
        <f>50+VLOOKUP($A29,'SegEnds_Xtal_Prot#'!$A:$AY,39,FALSE)-VLOOKUP($D29,'SegEnds_NonXtal_Prot#'!$A:$AZ,28,FALSE)</f>
        <v>76</v>
      </c>
      <c r="H29" s="3">
        <f>50+VLOOKUP($A29,'SegEnds_Xtal_Prot#'!$A:$AY,41,FALSE)-VLOOKUP($D29,'SegEnds_NonXtal_Prot#'!$A:$AZ,31,FALSE)</f>
        <v>24</v>
      </c>
      <c r="I29" s="3">
        <f>G29</f>
        <v>76</v>
      </c>
      <c r="J29" s="3"/>
      <c r="K29" s="1" t="s">
        <v>1297</v>
      </c>
      <c r="L29" s="1"/>
      <c r="N29" t="s">
        <v>1307</v>
      </c>
    </row>
    <row r="30" spans="1:14" x14ac:dyDescent="0.2">
      <c r="A30" s="3" t="str">
        <f t="shared" si="1"/>
        <v>5ht1b_human__wt</v>
      </c>
      <c r="B30" s="3" t="str">
        <f>VLOOKUP(D30,Classification!A:D,3,FALSE)</f>
        <v>Aminergic</v>
      </c>
      <c r="C30" s="3" t="str">
        <f>VLOOKUP(D30,Classification!A:D,4,FALSE)</f>
        <v>5-Hydroxytryptamine</v>
      </c>
      <c r="D30" s="3" t="s">
        <v>34</v>
      </c>
      <c r="E30" s="3">
        <f>VLOOKUP($D30,'SegEnds_NonXtal_Prot#'!$A:$AZ,30,FALSE)-VLOOKUP($D30,'SegEnds_NonXtal_Prot#'!$A:$AZ,29,FALSE)</f>
        <v>59</v>
      </c>
      <c r="F30" s="1">
        <f>VLOOKUP($D30,'SegEnds_NonXtal_Prot#'!$A:$AZ,31,FALSE)-VLOOKUP($D30,'SegEnds_NonXtal_Prot#'!$A:$AZ,28,FALSE)</f>
        <v>109</v>
      </c>
      <c r="G30" s="3">
        <f>50+VLOOKUP($A30,'SegEnds_Xtal_Prot#'!$A:$AY,39,FALSE)-VLOOKUP($D30,'SegEnds_NonXtal_Prot#'!$A:$AZ,28,FALSE)</f>
        <v>74</v>
      </c>
      <c r="H30" s="3">
        <f>50+VLOOKUP($A30,'SegEnds_Xtal_Prot#'!$A:$AY,41,FALSE)-VLOOKUP($D30,'SegEnds_NonXtal_Prot#'!$A:$AZ,31,FALSE)</f>
        <v>24</v>
      </c>
      <c r="I30" s="3"/>
      <c r="J30" s="3"/>
      <c r="K30" s="1"/>
      <c r="L30" s="1">
        <v>76</v>
      </c>
      <c r="M30" s="1"/>
      <c r="N30" s="1"/>
    </row>
    <row r="31" spans="1:14" x14ac:dyDescent="0.2">
      <c r="A31" s="3" t="str">
        <f t="shared" si="1"/>
        <v>5ht2b_human__wt</v>
      </c>
      <c r="B31" s="3" t="str">
        <f>VLOOKUP(D31,Classification!A:D,3,FALSE)</f>
        <v>Aminergic</v>
      </c>
      <c r="C31" s="3" t="str">
        <f>VLOOKUP(D31,Classification!A:D,4,FALSE)</f>
        <v>5-Hydroxytryptamine</v>
      </c>
      <c r="D31" s="3" t="s">
        <v>35</v>
      </c>
      <c r="E31" s="3">
        <f>VLOOKUP($D31,'SegEnds_NonXtal_Prot#'!$A:$AZ,30,FALSE)-VLOOKUP($D31,'SegEnds_NonXtal_Prot#'!$A:$AZ,29,FALSE)</f>
        <v>58</v>
      </c>
      <c r="F31" s="1">
        <f>VLOOKUP($D31,'SegEnds_NonXtal_Prot#'!$A:$AZ,31,FALSE)-VLOOKUP($D31,'SegEnds_NonXtal_Prot#'!$A:$AZ,28,FALSE)</f>
        <v>110</v>
      </c>
      <c r="G31" s="3">
        <f>50+VLOOKUP($A31,'SegEnds_Xtal_Prot#'!$A:$AY,39,FALSE)-VLOOKUP($D31,'SegEnds_NonXtal_Prot#'!$A:$AZ,28,FALSE)</f>
        <v>76</v>
      </c>
      <c r="H31" s="3">
        <f>50+VLOOKUP($A31,'SegEnds_Xtal_Prot#'!$A:$AY,41,FALSE)-VLOOKUP($D31,'SegEnds_NonXtal_Prot#'!$A:$AZ,31,FALSE)</f>
        <v>24</v>
      </c>
      <c r="I31" s="3"/>
      <c r="J31" s="3"/>
      <c r="K31" s="1"/>
      <c r="L31" s="1"/>
      <c r="M31" s="1"/>
      <c r="N31" s="1"/>
    </row>
    <row r="32" spans="1:14" x14ac:dyDescent="0.2">
      <c r="A32" s="3" t="str">
        <f t="shared" si="1"/>
        <v>drd3_human__wt</v>
      </c>
      <c r="B32" s="3" t="str">
        <f>VLOOKUP(D32,Classification!A:D,3,FALSE)</f>
        <v>Aminergic</v>
      </c>
      <c r="C32" s="3" t="str">
        <f>VLOOKUP(D32,Classification!A:D,4,FALSE)</f>
        <v>Dopamine</v>
      </c>
      <c r="D32" s="3" t="s">
        <v>192</v>
      </c>
      <c r="E32" s="3">
        <f>VLOOKUP($D32,'SegEnds_NonXtal_Prot#'!$A:$AZ,30,FALSE)-VLOOKUP($D32,'SegEnds_NonXtal_Prot#'!$A:$AZ,29,FALSE)</f>
        <v>92</v>
      </c>
      <c r="F32" s="1">
        <f>VLOOKUP($D32,'SegEnds_NonXtal_Prot#'!$A:$AZ,31,FALSE)-VLOOKUP($D32,'SegEnds_NonXtal_Prot#'!$A:$AZ,28,FALSE)</f>
        <v>144</v>
      </c>
      <c r="G32" s="3">
        <f>50+VLOOKUP($A32,'SegEnds_Xtal_Prot#'!$A:$AY,39,FALSE)-VLOOKUP($D32,'SegEnds_NonXtal_Prot#'!$A:$AZ,28,FALSE)</f>
        <v>76</v>
      </c>
      <c r="H32" s="3">
        <f>50+VLOOKUP($A32,'SegEnds_Xtal_Prot#'!$A:$AY,41,FALSE)-VLOOKUP($D32,'SegEnds_NonXtal_Prot#'!$A:$AZ,31,FALSE)</f>
        <v>24</v>
      </c>
      <c r="I32" s="3"/>
      <c r="J32" s="3"/>
      <c r="K32" s="1"/>
      <c r="L32" s="1"/>
      <c r="M32" s="1"/>
      <c r="N32" s="1"/>
    </row>
    <row r="33" spans="1:14" x14ac:dyDescent="0.2">
      <c r="A33" s="3" t="str">
        <f t="shared" si="1"/>
        <v>acm1_human__wt</v>
      </c>
      <c r="B33" s="3" t="str">
        <f>VLOOKUP(D33,Classification!A:D,3,FALSE)</f>
        <v>Aminergic</v>
      </c>
      <c r="C33" s="3" t="str">
        <f>VLOOKUP(D33,Classification!A:D,4,FALSE)</f>
        <v>Acetylcholine(muscarinic)</v>
      </c>
      <c r="D33" s="3" t="s">
        <v>146</v>
      </c>
      <c r="E33" s="3">
        <f>VLOOKUP($D33,'SegEnds_NonXtal_Prot#'!$A:$AZ,30,FALSE)-VLOOKUP($D33,'SegEnds_NonXtal_Prot#'!$A:$AZ,29,FALSE)</f>
        <v>129</v>
      </c>
      <c r="F33" s="1">
        <f>VLOOKUP($D33,'SegEnds_NonXtal_Prot#'!$A:$AZ,31,FALSE)-VLOOKUP($D33,'SegEnds_NonXtal_Prot#'!$A:$AZ,28,FALSE)</f>
        <v>180</v>
      </c>
      <c r="G33" s="3">
        <f>50+VLOOKUP($A33,'SegEnds_Xtal_Prot#'!$A:$AY,39,FALSE)-VLOOKUP($D33,'SegEnds_NonXtal_Prot#'!$A:$AZ,28,FALSE)</f>
        <v>75</v>
      </c>
      <c r="H33" s="3">
        <f>50+VLOOKUP($A33,'SegEnds_Xtal_Prot#'!$A:$AY,41,FALSE)-VLOOKUP($D33,'SegEnds_NonXtal_Prot#'!$A:$AZ,31,FALSE)</f>
        <v>24</v>
      </c>
      <c r="I33" s="3"/>
      <c r="J33" s="3"/>
      <c r="K33" s="1"/>
      <c r="L33" s="1"/>
      <c r="M33" s="1"/>
      <c r="N33" s="1"/>
    </row>
    <row r="34" spans="1:14" x14ac:dyDescent="0.2">
      <c r="A34" s="3" t="str">
        <f t="shared" si="1"/>
        <v>acm2_human__wt</v>
      </c>
      <c r="B34" s="3" t="str">
        <f>VLOOKUP(D34,Classification!A:D,3,FALSE)</f>
        <v>Aminergic</v>
      </c>
      <c r="C34" s="3" t="str">
        <f>VLOOKUP(D34,Classification!A:D,4,FALSE)</f>
        <v>Acetylcholine(muscarinic)</v>
      </c>
      <c r="D34" s="3" t="s">
        <v>147</v>
      </c>
      <c r="E34" s="3">
        <f>VLOOKUP($D34,'SegEnds_NonXtal_Prot#'!$A:$AZ,30,FALSE)-VLOOKUP($D34,'SegEnds_NonXtal_Prot#'!$A:$AZ,29,FALSE)</f>
        <v>153</v>
      </c>
      <c r="F34" s="1">
        <f>VLOOKUP($D34,'SegEnds_NonXtal_Prot#'!$A:$AZ,31,FALSE)-VLOOKUP($D34,'SegEnds_NonXtal_Prot#'!$A:$AZ,28,FALSE)</f>
        <v>204</v>
      </c>
      <c r="G34" s="3">
        <f>50+VLOOKUP($A34,'SegEnds_Xtal_Prot#'!$A:$AY,39,FALSE)-VLOOKUP($D34,'SegEnds_NonXtal_Prot#'!$A:$AZ,28,FALSE)</f>
        <v>75</v>
      </c>
      <c r="H34" s="3">
        <f>50+VLOOKUP($A34,'SegEnds_Xtal_Prot#'!$A:$AY,41,FALSE)-VLOOKUP($D34,'SegEnds_NonXtal_Prot#'!$A:$AZ,31,FALSE)</f>
        <v>24</v>
      </c>
      <c r="I34" s="3">
        <f>G34</f>
        <v>75</v>
      </c>
      <c r="J34" s="3">
        <f>H34</f>
        <v>24</v>
      </c>
      <c r="K34" s="1" t="s">
        <v>1297</v>
      </c>
      <c r="L34" s="1"/>
      <c r="M34" s="1"/>
      <c r="N34" s="1"/>
    </row>
    <row r="35" spans="1:14" x14ac:dyDescent="0.2">
      <c r="A35" s="3" t="str">
        <f t="shared" si="1"/>
        <v>acm4_human__wt</v>
      </c>
      <c r="B35" s="3" t="str">
        <f>VLOOKUP(D35,Classification!A:D,3,FALSE)</f>
        <v>Aminergic</v>
      </c>
      <c r="C35" s="3" t="str">
        <f>VLOOKUP(D35,Classification!A:D,4,FALSE)</f>
        <v>Acetylcholine(muscarinic)</v>
      </c>
      <c r="D35" s="3" t="s">
        <v>149</v>
      </c>
      <c r="E35" s="3">
        <f>VLOOKUP($D35,'SegEnds_NonXtal_Prot#'!$A:$AZ,30,FALSE)-VLOOKUP($D35,'SegEnds_NonXtal_Prot#'!$A:$AZ,29,FALSE)</f>
        <v>157</v>
      </c>
      <c r="F35" s="1">
        <f>VLOOKUP($D35,'SegEnds_NonXtal_Prot#'!$A:$AZ,31,FALSE)-VLOOKUP($D35,'SegEnds_NonXtal_Prot#'!$A:$AZ,28,FALSE)</f>
        <v>208</v>
      </c>
      <c r="G35" s="3">
        <f>50+VLOOKUP($A35,'SegEnds_Xtal_Prot#'!$A:$AY,39,FALSE)-VLOOKUP($D35,'SegEnds_NonXtal_Prot#'!$A:$AZ,28,FALSE)</f>
        <v>75</v>
      </c>
      <c r="H35" s="3">
        <f>50+VLOOKUP($A35,'SegEnds_Xtal_Prot#'!$A:$AY,41,FALSE)-VLOOKUP($D35,'SegEnds_NonXtal_Prot#'!$A:$AZ,31,FALSE)</f>
        <v>24</v>
      </c>
      <c r="I35" s="3"/>
      <c r="J35" s="3"/>
      <c r="K35" s="1"/>
      <c r="L35" s="1"/>
      <c r="M35" s="1"/>
      <c r="N35" s="1"/>
    </row>
    <row r="36" spans="1:14" customFormat="1" x14ac:dyDescent="0.2">
      <c r="A36" s="3" t="str">
        <f t="shared" si="1"/>
        <v>hrh1_human__wt</v>
      </c>
      <c r="B36" s="3" t="str">
        <f>VLOOKUP(D36,Classification!A:D,3,FALSE)</f>
        <v>Aminergic</v>
      </c>
      <c r="C36" s="3" t="str">
        <f>VLOOKUP(D36,Classification!A:D,4,FALSE)</f>
        <v>Histamine</v>
      </c>
      <c r="D36" s="3" t="s">
        <v>278</v>
      </c>
      <c r="E36" s="3">
        <f>VLOOKUP($D36,'SegEnds_NonXtal_Prot#'!$A:$AZ,30,FALSE)-VLOOKUP($D36,'SegEnds_NonXtal_Prot#'!$A:$AZ,29,FALSE)</f>
        <v>176</v>
      </c>
      <c r="F36" s="1">
        <f>VLOOKUP($D36,'SegEnds_NonXtal_Prot#'!$A:$AZ,31,FALSE)-VLOOKUP($D36,'SegEnds_NonXtal_Prot#'!$A:$AZ,28,FALSE)</f>
        <v>228</v>
      </c>
      <c r="G36" s="3">
        <f>50+VLOOKUP($A36,'SegEnds_Xtal_Prot#'!$A:$AY,39,FALSE)-VLOOKUP($D36,'SegEnds_NonXtal_Prot#'!$A:$AZ,28,FALSE)</f>
        <v>76</v>
      </c>
      <c r="H36" s="3">
        <f>50+VLOOKUP($A36,'SegEnds_Xtal_Prot#'!$A:$AY,41,FALSE)-VLOOKUP($D36,'SegEnds_NonXtal_Prot#'!$A:$AZ,31,FALSE)</f>
        <v>24</v>
      </c>
      <c r="I36" s="3"/>
      <c r="J36" s="3"/>
    </row>
    <row r="37" spans="1:14" customFormat="1" x14ac:dyDescent="0.2">
      <c r="A37" s="3" t="str">
        <f t="shared" si="1"/>
        <v>acm3_rat__wt</v>
      </c>
      <c r="B37" s="3" t="str">
        <f>VLOOKUP(D37,Classification!A:D,3,FALSE)</f>
        <v>Aminergic</v>
      </c>
      <c r="C37" s="3" t="str">
        <f>VLOOKUP(D37,Classification!A:D,4,FALSE)</f>
        <v>Acetylcholine(muscarinic)</v>
      </c>
      <c r="D37" s="3" t="s">
        <v>910</v>
      </c>
      <c r="E37" s="3">
        <f>VLOOKUP($D37,'SegEnds_NonXtal_Prot#'!$A:$AZ,30,FALSE)-VLOOKUP($D37,'SegEnds_NonXtal_Prot#'!$A:$AZ,29,FALSE)</f>
        <v>212</v>
      </c>
      <c r="F37" s="1">
        <f>VLOOKUP($D37,'SegEnds_NonXtal_Prot#'!$A:$AZ,31,FALSE)-VLOOKUP($D37,'SegEnds_NonXtal_Prot#'!$A:$AZ,28,FALSE)</f>
        <v>263</v>
      </c>
      <c r="G37" s="3">
        <f>50+VLOOKUP($A37,'SegEnds_Xtal_Prot#'!$A:$AY,39,FALSE)-VLOOKUP($D37,'SegEnds_NonXtal_Prot#'!$A:$AZ,28,FALSE)</f>
        <v>75</v>
      </c>
      <c r="H37" s="3">
        <f>50+VLOOKUP($A37,'SegEnds_Xtal_Prot#'!$A:$AY,41,FALSE)-VLOOKUP($D37,'SegEnds_NonXtal_Prot#'!$A:$AZ,31,FALSE)</f>
        <v>24</v>
      </c>
      <c r="I37" s="3"/>
      <c r="J37" s="3"/>
    </row>
    <row r="38" spans="1:14" s="60" customFormat="1" x14ac:dyDescent="0.2">
      <c r="A38" s="59" t="str">
        <f t="shared" si="1"/>
        <v>opsd_todpa__wt</v>
      </c>
      <c r="B38" s="59" t="str">
        <f>VLOOKUP(D38,Classification!A:D,3,FALSE)</f>
        <v>Sensory</v>
      </c>
      <c r="C38" s="59" t="str">
        <f>VLOOKUP(D38,Classification!A:D,4,FALSE)</f>
        <v>Opsins</v>
      </c>
      <c r="D38" s="59" t="s">
        <v>922</v>
      </c>
      <c r="E38" s="59">
        <f>VLOOKUP($D38,'SegEnds_NonXtal_Prot#'!$A:$AZ,30,FALSE)-VLOOKUP($D38,'SegEnds_NonXtal_Prot#'!$A:$AZ,29,FALSE)</f>
        <v>5</v>
      </c>
      <c r="F38" s="42">
        <f>VLOOKUP($D38,'SegEnds_NonXtal_Prot#'!$A:$AZ,31,FALSE)-VLOOKUP($D38,'SegEnds_NonXtal_Prot#'!$A:$AZ,28,FALSE)</f>
        <v>64</v>
      </c>
      <c r="G38" s="59">
        <f>50+VLOOKUP($A38,'SegEnds_Xtal_Prot#'!$A:$AY,39,FALSE)-VLOOKUP($D38,'SegEnds_NonXtal_Prot#'!$A:$AZ,28,FALSE)</f>
        <v>77</v>
      </c>
      <c r="H38" s="59">
        <f>50+VLOOKUP($A38,'SegEnds_Xtal_Prot#'!$A:$AY,41,FALSE)-VLOOKUP($D38,'SegEnds_NonXtal_Prot#'!$A:$AZ,31,FALSE)</f>
        <v>18</v>
      </c>
      <c r="I38" s="79" t="s">
        <v>1337</v>
      </c>
      <c r="J38" s="59"/>
    </row>
    <row r="39" spans="1:14" x14ac:dyDescent="0.2">
      <c r="A39" s="3" t="str">
        <f t="shared" si="1"/>
        <v>ox2r_human__wt</v>
      </c>
      <c r="B39" s="3" t="str">
        <f>VLOOKUP(D39,Classification!A:D,3,FALSE)</f>
        <v>Peptide</v>
      </c>
      <c r="C39" s="3" t="str">
        <f>VLOOKUP(D39,Classification!A:D,4,FALSE)</f>
        <v>Orexin</v>
      </c>
      <c r="D39" s="48" t="s">
        <v>1176</v>
      </c>
      <c r="E39" s="3">
        <f>VLOOKUP($D39,'SegEnds_NonXtal_Prot#'!$A:$AZ,30,FALSE)-VLOOKUP($D39,'SegEnds_NonXtal_Prot#'!$A:$AZ,29,FALSE)</f>
        <v>33</v>
      </c>
      <c r="F39" s="1">
        <f>VLOOKUP($D39,'SegEnds_NonXtal_Prot#'!$A:$AZ,31,FALSE)-VLOOKUP($D39,'SegEnds_NonXtal_Prot#'!$A:$AZ,28,FALSE)</f>
        <v>84</v>
      </c>
      <c r="G39" s="3">
        <f>50+VLOOKUP($A39,'SegEnds_Xtal_Prot#'!$A:$AY,39,FALSE)-VLOOKUP($D39,'SegEnds_NonXtal_Prot#'!$A:$AZ,28,FALSE)</f>
        <v>71</v>
      </c>
      <c r="H39" s="3">
        <f>50+VLOOKUP($A39,'SegEnds_Xtal_Prot#'!$A:$AY,41,FALSE)-VLOOKUP($D39,'SegEnds_NonXtal_Prot#'!$A:$AZ,31,FALSE)</f>
        <v>20</v>
      </c>
      <c r="I39" s="3"/>
      <c r="J39" s="3"/>
      <c r="K39" s="1"/>
      <c r="L39" s="1"/>
      <c r="M39" s="1" t="s">
        <v>1300</v>
      </c>
      <c r="N39" s="1" t="s">
        <v>1306</v>
      </c>
    </row>
    <row r="40" spans="1:14" customFormat="1" x14ac:dyDescent="0.2">
      <c r="A40" s="3" t="str">
        <f t="shared" si="1"/>
        <v>ox1r_human__wt</v>
      </c>
      <c r="B40" s="3" t="str">
        <f>VLOOKUP(D40,Classification!A:D,3,FALSE)</f>
        <v>Peptide</v>
      </c>
      <c r="C40" s="3" t="str">
        <f>VLOOKUP(D40,Classification!A:D,4,FALSE)</f>
        <v>Orexin</v>
      </c>
      <c r="D40" s="48" t="s">
        <v>1175</v>
      </c>
      <c r="E40" s="3">
        <f>VLOOKUP($D40,'SegEnds_NonXtal_Prot#'!$A:$AZ,30,FALSE)-VLOOKUP($D40,'SegEnds_NonXtal_Prot#'!$A:$AZ,29,FALSE)</f>
        <v>35</v>
      </c>
      <c r="F40" s="1">
        <f>VLOOKUP($D40,'SegEnds_NonXtal_Prot#'!$A:$AZ,31,FALSE)-VLOOKUP($D40,'SegEnds_NonXtal_Prot#'!$A:$AZ,28,FALSE)</f>
        <v>86</v>
      </c>
      <c r="G40" s="3">
        <f>50+VLOOKUP($A40,'SegEnds_Xtal_Prot#'!$A:$AY,39,FALSE)-VLOOKUP($D40,'SegEnds_NonXtal_Prot#'!$A:$AZ,28,FALSE)</f>
        <v>71</v>
      </c>
      <c r="H40" s="3">
        <f>50+VLOOKUP($A40,'SegEnds_Xtal_Prot#'!$A:$AY,41,FALSE)-VLOOKUP($D40,'SegEnds_NonXtal_Prot#'!$A:$AZ,31,FALSE)</f>
        <v>20</v>
      </c>
      <c r="I40" s="3"/>
      <c r="J40" s="3"/>
      <c r="M40" s="1" t="s">
        <v>1300</v>
      </c>
      <c r="N40" s="1" t="s">
        <v>1306</v>
      </c>
    </row>
    <row r="41" spans="1:14" x14ac:dyDescent="0.2">
      <c r="A41" s="3" t="str">
        <f t="shared" si="1"/>
        <v>adrb1_melga__wt</v>
      </c>
      <c r="B41" s="3" t="str">
        <f>VLOOKUP(D41,Classification!A:D,3,FALSE)</f>
        <v>Aminergic</v>
      </c>
      <c r="C41" s="3" t="str">
        <f>VLOOKUP(D41,Classification!A:D,4,FALSE)</f>
        <v>Adrenoceptors</v>
      </c>
      <c r="D41" s="3" t="s">
        <v>912</v>
      </c>
      <c r="E41" s="3">
        <f>VLOOKUP($D41,'SegEnds_NonXtal_Prot#'!$A:$AZ,30,FALSE)-VLOOKUP($D41,'SegEnds_NonXtal_Prot#'!$A:$AZ,29,FALSE)</f>
        <v>30</v>
      </c>
      <c r="F41" s="1">
        <f>VLOOKUP($D41,'SegEnds_NonXtal_Prot#'!$A:$AZ,31,FALSE)-VLOOKUP($D41,'SegEnds_NonXtal_Prot#'!$A:$AZ,28,FALSE)</f>
        <v>86</v>
      </c>
      <c r="G41" s="3">
        <f>50+VLOOKUP($A41,'SegEnds_Xtal_Prot#'!$A:$AY,39,FALSE)-VLOOKUP($D41,'SegEnds_NonXtal_Prot#'!$A:$AZ,28,FALSE)</f>
        <v>76</v>
      </c>
      <c r="H41" s="3">
        <f>50+VLOOKUP($A41,'SegEnds_Xtal_Prot#'!$A:$AY,41,FALSE)-VLOOKUP($D41,'SegEnds_NonXtal_Prot#'!$A:$AZ,31,FALSE)</f>
        <v>20</v>
      </c>
      <c r="I41" s="3">
        <f>G41</f>
        <v>76</v>
      </c>
      <c r="J41" s="3">
        <f>H41</f>
        <v>20</v>
      </c>
      <c r="K41" s="1" t="s">
        <v>1297</v>
      </c>
      <c r="L41" s="1"/>
      <c r="M41" s="1"/>
      <c r="N41" s="1"/>
    </row>
  </sheetData>
  <sortState ref="A2:O32">
    <sortCondition ref="F2:F32"/>
    <sortCondition ref="G2:G32"/>
    <sortCondition ref="H2:H32"/>
  </sortState>
  <customSheetViews>
    <customSheetView guid="{3E3401AF-8459-8641-BD70-AD04F80E86ED}" scale="113">
      <pane ySplit="1" topLeftCell="A2" activePane="bottomLeft" state="frozenSplit"/>
      <selection pane="bottomLeft" activeCell="A8" sqref="A8:XFD8"/>
      <pageMargins left="0.7" right="0.7" top="0.75" bottom="0.75" header="0.3" footer="0.3"/>
      <pageSetup paperSize="9" orientation="portrait" horizontalDpi="0" verticalDpi="0" copies="2"/>
    </customSheetView>
  </customSheetViews>
  <phoneticPr fontId="6" type="noConversion"/>
  <conditionalFormatting sqref="C1:C1048576">
    <cfRule type="cellIs" dxfId="52" priority="10" operator="equal">
      <formula>"Opsins"</formula>
    </cfRule>
    <cfRule type="cellIs" dxfId="51" priority="11" operator="equal">
      <formula>"Opioid"</formula>
    </cfRule>
    <cfRule type="cellIs" dxfId="50" priority="12" operator="equal">
      <formula>"P2Y"</formula>
    </cfRule>
    <cfRule type="cellIs" dxfId="49" priority="13" operator="equal">
      <formula>"Chemokine"</formula>
    </cfRule>
  </conditionalFormatting>
  <conditionalFormatting sqref="B6:B41">
    <cfRule type="cellIs" dxfId="48" priority="5" operator="equal">
      <formula>"Aminergic"</formula>
    </cfRule>
    <cfRule type="cellIs" dxfId="47" priority="6" operator="equal">
      <formula>"Opsins"</formula>
    </cfRule>
    <cfRule type="cellIs" dxfId="46" priority="7" operator="equal">
      <formula>"Opioid"</formula>
    </cfRule>
    <cfRule type="cellIs" dxfId="45" priority="8" operator="equal">
      <formula>"P2Y"</formula>
    </cfRule>
    <cfRule type="cellIs" dxfId="44" priority="9" operator="equal">
      <formula>"Chemokine"</formula>
    </cfRule>
  </conditionalFormatting>
  <conditionalFormatting sqref="F1:F104857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N7 H1:J1048576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:E41">
    <cfRule type="colorScale" priority="3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copies="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8"/>
  <sheetViews>
    <sheetView zoomScale="113" zoomScaleNormal="113" zoomScalePageLayoutView="113" workbookViewId="0">
      <pane ySplit="1" topLeftCell="A2" activePane="bottomLeft" state="frozenSplit"/>
      <selection pane="bottomLeft" activeCell="D12" sqref="D12"/>
    </sheetView>
  </sheetViews>
  <sheetFormatPr baseColWidth="10" defaultColWidth="11.1640625" defaultRowHeight="16" x14ac:dyDescent="0.2"/>
  <cols>
    <col min="1" max="1" width="17.1640625" style="1" customWidth="1"/>
    <col min="2" max="2" width="7.6640625" style="1" customWidth="1"/>
    <col min="3" max="4" width="12.5" customWidth="1"/>
    <col min="5" max="5" width="4.5" customWidth="1"/>
    <col min="6" max="6" width="4.1640625" bestFit="1" customWidth="1"/>
    <col min="7" max="10" width="4" customWidth="1"/>
    <col min="11" max="12" width="6.1640625" customWidth="1"/>
    <col min="13" max="13" width="10" customWidth="1"/>
    <col min="15" max="16384" width="11.1640625" style="1"/>
  </cols>
  <sheetData>
    <row r="1" spans="1:15" s="24" customFormat="1" x14ac:dyDescent="0.2">
      <c r="A1" s="8" t="s">
        <v>1077</v>
      </c>
      <c r="B1" s="8" t="s">
        <v>0</v>
      </c>
      <c r="C1" s="8" t="s">
        <v>1206</v>
      </c>
      <c r="D1" s="8" t="s">
        <v>31</v>
      </c>
      <c r="E1" s="8" t="s">
        <v>1299</v>
      </c>
      <c r="F1" s="8" t="s">
        <v>1243</v>
      </c>
      <c r="G1" s="8" t="s">
        <v>1070</v>
      </c>
      <c r="H1" s="8" t="s">
        <v>1071</v>
      </c>
      <c r="I1" s="8"/>
      <c r="J1" s="8"/>
      <c r="K1" s="8" t="s">
        <v>1297</v>
      </c>
      <c r="L1" s="8" t="s">
        <v>1336</v>
      </c>
      <c r="M1" s="8" t="s">
        <v>1302</v>
      </c>
      <c r="N1" s="8" t="s">
        <v>1303</v>
      </c>
    </row>
    <row r="2" spans="1:15" s="24" customFormat="1" x14ac:dyDescent="0.2">
      <c r="A2" s="15" t="s">
        <v>1309</v>
      </c>
      <c r="B2" s="8" t="s">
        <v>23</v>
      </c>
      <c r="C2" s="8" t="s">
        <v>23</v>
      </c>
      <c r="D2" s="15" t="s">
        <v>1310</v>
      </c>
      <c r="E2" s="8" t="s">
        <v>23</v>
      </c>
      <c r="F2" s="8">
        <v>36</v>
      </c>
      <c r="G2" s="8">
        <v>64</v>
      </c>
      <c r="H2" s="8">
        <v>34</v>
      </c>
      <c r="I2" s="8"/>
      <c r="J2" s="8"/>
      <c r="K2" s="8"/>
      <c r="L2" s="8"/>
      <c r="M2" s="8"/>
      <c r="N2" s="8"/>
    </row>
    <row r="3" spans="1:15" s="24" customFormat="1" x14ac:dyDescent="0.2">
      <c r="A3" s="15" t="s">
        <v>1395</v>
      </c>
      <c r="B3" s="8" t="s">
        <v>23</v>
      </c>
      <c r="C3" s="8" t="s">
        <v>23</v>
      </c>
      <c r="D3" s="15" t="s">
        <v>1310</v>
      </c>
      <c r="E3" s="8" t="s">
        <v>23</v>
      </c>
      <c r="F3" s="8">
        <v>39</v>
      </c>
      <c r="G3" s="8">
        <v>66</v>
      </c>
      <c r="H3" s="8">
        <v>30</v>
      </c>
      <c r="I3" s="8"/>
      <c r="J3" s="8"/>
      <c r="K3" s="8"/>
      <c r="L3" s="8"/>
      <c r="M3" s="8"/>
      <c r="N3" s="8"/>
    </row>
    <row r="4" spans="1:15" s="24" customFormat="1" x14ac:dyDescent="0.2">
      <c r="A4" s="15" t="s">
        <v>1395</v>
      </c>
      <c r="B4" s="8" t="s">
        <v>23</v>
      </c>
      <c r="C4" s="8" t="s">
        <v>23</v>
      </c>
      <c r="D4" s="15" t="s">
        <v>1310</v>
      </c>
      <c r="E4" s="8" t="s">
        <v>23</v>
      </c>
      <c r="F4" s="8">
        <v>41</v>
      </c>
      <c r="G4" s="8">
        <v>67</v>
      </c>
      <c r="H4" s="8">
        <v>30</v>
      </c>
      <c r="I4" s="8"/>
      <c r="J4" s="8"/>
      <c r="K4" s="8"/>
      <c r="L4" s="8"/>
      <c r="M4" s="8"/>
      <c r="N4" s="8"/>
    </row>
    <row r="5" spans="1:15" s="24" customFormat="1" x14ac:dyDescent="0.2">
      <c r="A5" s="15" t="s">
        <v>1395</v>
      </c>
      <c r="B5" s="8" t="s">
        <v>23</v>
      </c>
      <c r="C5" s="8" t="s">
        <v>23</v>
      </c>
      <c r="D5" s="15" t="s">
        <v>1310</v>
      </c>
      <c r="E5" s="8" t="s">
        <v>23</v>
      </c>
      <c r="F5" s="8">
        <v>42</v>
      </c>
      <c r="G5" s="8">
        <v>68</v>
      </c>
      <c r="H5" s="8">
        <v>30</v>
      </c>
      <c r="I5" s="8"/>
      <c r="J5" s="8"/>
      <c r="K5" s="8"/>
      <c r="L5" s="8"/>
      <c r="M5" s="8"/>
      <c r="N5" s="8"/>
    </row>
    <row r="6" spans="1:15" x14ac:dyDescent="0.2">
      <c r="A6" s="3" t="str">
        <f>D6&amp;"__wt"</f>
        <v>glp1r_human__wt</v>
      </c>
      <c r="B6" s="3" t="str">
        <f>VLOOKUP(D6,Classification!A:D,3,FALSE)</f>
        <v>Peptide</v>
      </c>
      <c r="C6" s="3" t="str">
        <f>VLOOKUP(D6,Classification!A:D,4,FALSE)</f>
        <v>Glucagonreceptorfamily</v>
      </c>
      <c r="D6" s="3" t="s">
        <v>406</v>
      </c>
      <c r="E6" s="3">
        <f>VLOOKUP($D6,'SegEnds_NonXtal_Prot#'!$A:$AZ,30,FALSE)-VLOOKUP($D6,'SegEnds_NonXtal_Prot#'!$A:$AZ,29,FALSE)</f>
        <v>7</v>
      </c>
      <c r="F6" s="1">
        <f>VLOOKUP($D6,'SegEnds_NonXtal_Prot#'!$A:$AZ,31,FALSE)-VLOOKUP($D6,'SegEnds_NonXtal_Prot#'!$A:$AZ,28,FALSE)</f>
        <v>50</v>
      </c>
      <c r="G6" s="3">
        <f>50+VLOOKUP($A6,'SegEnds_Xtal_Prot#'!$A:$AY,39,FALSE)-VLOOKUP($D6,'SegEnds_NonXtal_Prot#'!$A:$AZ,28,FALSE)</f>
        <v>71</v>
      </c>
      <c r="H6" s="3">
        <f>50+VLOOKUP($A6,'SegEnds_Xtal_Prot#'!$A:$AY,41,FALSE)-VLOOKUP($D6,'SegEnds_NonXtal_Prot#'!$A:$AZ,31,FALSE)</f>
        <v>28</v>
      </c>
      <c r="I6" s="3"/>
      <c r="J6" s="3"/>
      <c r="K6" s="1"/>
      <c r="L6" s="1"/>
      <c r="M6" s="1"/>
      <c r="N6" s="1"/>
      <c r="O6" s="1" t="s">
        <v>1418</v>
      </c>
    </row>
    <row r="7" spans="1:15" x14ac:dyDescent="0.2">
      <c r="A7" s="3" t="str">
        <f>D7&amp;"__wt"</f>
        <v>glr_human__wt</v>
      </c>
      <c r="B7" s="3" t="str">
        <f>VLOOKUP(D7,Classification!A:D,3,FALSE)</f>
        <v>Peptide</v>
      </c>
      <c r="C7" s="3" t="str">
        <f>VLOOKUP(D7,Classification!A:D,4,FALSE)</f>
        <v>Glucagonreceptorfamily</v>
      </c>
      <c r="D7" s="3" t="s">
        <v>32</v>
      </c>
      <c r="E7" s="3">
        <f>VLOOKUP($D7,'SegEnds_NonXtal_Prot#'!$A:$AZ,30,FALSE)-VLOOKUP($D7,'SegEnds_NonXtal_Prot#'!$A:$AZ,29,FALSE)</f>
        <v>7</v>
      </c>
      <c r="F7" s="1">
        <f>VLOOKUP($D7,'SegEnds_NonXtal_Prot#'!$A:$AZ,31,FALSE)-VLOOKUP($D7,'SegEnds_NonXtal_Prot#'!$A:$AZ,28,FALSE)</f>
        <v>50</v>
      </c>
      <c r="G7" s="3">
        <f>50+VLOOKUP($A7,'SegEnds_Xtal_Prot#'!$A:$AY,39,FALSE)-VLOOKUP($D7,'SegEnds_NonXtal_Prot#'!$A:$AZ,28,FALSE)</f>
        <v>71</v>
      </c>
      <c r="H7" s="3">
        <f>50+VLOOKUP($A7,'SegEnds_Xtal_Prot#'!$A:$AY,41,FALSE)-VLOOKUP($D7,'SegEnds_NonXtal_Prot#'!$A:$AZ,31,FALSE)</f>
        <v>28</v>
      </c>
      <c r="I7" s="3"/>
      <c r="J7" s="3"/>
      <c r="K7" s="1"/>
      <c r="L7" s="1"/>
      <c r="M7" s="1"/>
      <c r="N7" s="1"/>
    </row>
    <row r="8" spans="1:15" x14ac:dyDescent="0.2">
      <c r="A8" s="3" t="str">
        <f>D8&amp;"__wt"</f>
        <v>g1sgd4_rabit__wt</v>
      </c>
      <c r="B8" s="3" t="str">
        <f>VLOOKUP(D8,Classification!A:D,3,FALSE)</f>
        <v>Peptide</v>
      </c>
      <c r="C8" s="3" t="str">
        <f>VLOOKUP(D8,Classification!A:D,4,FALSE)</f>
        <v>Glucagonreceptorfamily</v>
      </c>
      <c r="D8" s="3" t="s">
        <v>1430</v>
      </c>
      <c r="E8" s="3">
        <f>VLOOKUP($D8,'SegEnds_NonXtal_Prot#'!$A:$AZ,30,FALSE)-VLOOKUP($D8,'SegEnds_NonXtal_Prot#'!$A:$AZ,29,FALSE)</f>
        <v>9</v>
      </c>
      <c r="F8" s="1">
        <f>VLOOKUP($D8,'SegEnds_NonXtal_Prot#'!$A:$AZ,31,FALSE)-VLOOKUP($D8,'SegEnds_NonXtal_Prot#'!$A:$AZ,28,FALSE)</f>
        <v>50</v>
      </c>
      <c r="G8" s="3">
        <f>50+VLOOKUP($A8,'SegEnds_Xtal_Prot#'!$A:$AY,39,FALSE)-VLOOKUP($D8,'SegEnds_NonXtal_Prot#'!$A:$AZ,28,FALSE)</f>
        <v>71</v>
      </c>
      <c r="H8" s="3">
        <f>50+VLOOKUP($A8,'SegEnds_Xtal_Prot#'!$A:$AY,41,FALSE)-VLOOKUP($D8,'SegEnds_NonXtal_Prot#'!$A:$AZ,31,FALSE)</f>
        <v>30</v>
      </c>
      <c r="I8" s="3"/>
      <c r="J8" s="3"/>
      <c r="K8" s="1"/>
      <c r="L8" s="1"/>
      <c r="M8" s="1"/>
      <c r="N8" s="1"/>
    </row>
  </sheetData>
  <conditionalFormatting sqref="C1:C1048576">
    <cfRule type="cellIs" dxfId="43" priority="8" operator="equal">
      <formula>"Opsins"</formula>
    </cfRule>
    <cfRule type="cellIs" dxfId="42" priority="9" operator="equal">
      <formula>"Opioid"</formula>
    </cfRule>
    <cfRule type="cellIs" dxfId="41" priority="10" operator="equal">
      <formula>"P2Y"</formula>
    </cfRule>
    <cfRule type="cellIs" dxfId="40" priority="11" operator="equal">
      <formula>"Chemokine"</formula>
    </cfRule>
  </conditionalFormatting>
  <conditionalFormatting sqref="B6:B8">
    <cfRule type="cellIs" dxfId="39" priority="3" operator="equal">
      <formula>"Aminergic"</formula>
    </cfRule>
    <cfRule type="cellIs" dxfId="38" priority="4" operator="equal">
      <formula>"Opsins"</formula>
    </cfRule>
    <cfRule type="cellIs" dxfId="37" priority="5" operator="equal">
      <formula>"Opioid"</formula>
    </cfRule>
    <cfRule type="cellIs" dxfId="36" priority="6" operator="equal">
      <formula>"P2Y"</formula>
    </cfRule>
    <cfRule type="cellIs" dxfId="35" priority="7" operator="equal">
      <formula>"Chemokine"</formula>
    </cfRule>
  </conditionalFormatting>
  <conditionalFormatting sqref="F1:F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N5 H1:J1048576">
    <cfRule type="colorScale" priority="1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:E8">
    <cfRule type="colorScale" priority="1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copies="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"/>
  <sheetViews>
    <sheetView zoomScale="113" zoomScaleNormal="113" zoomScalePageLayoutView="113" workbookViewId="0">
      <pane ySplit="1" topLeftCell="A2" activePane="bottomLeft" state="frozenSplit"/>
      <selection pane="bottomLeft" activeCell="A25" sqref="A25"/>
    </sheetView>
  </sheetViews>
  <sheetFormatPr baseColWidth="10" defaultColWidth="11.1640625" defaultRowHeight="16" x14ac:dyDescent="0.2"/>
  <cols>
    <col min="1" max="1" width="17.1640625" style="1" customWidth="1"/>
    <col min="2" max="2" width="7.6640625" style="1" customWidth="1"/>
    <col min="3" max="4" width="12.5" customWidth="1"/>
    <col min="5" max="5" width="4.5" customWidth="1"/>
    <col min="6" max="6" width="4.1640625" bestFit="1" customWidth="1"/>
    <col min="7" max="10" width="4" customWidth="1"/>
    <col min="11" max="12" width="6.1640625" customWidth="1"/>
    <col min="13" max="13" width="10" customWidth="1"/>
    <col min="15" max="16384" width="11.1640625" style="1"/>
  </cols>
  <sheetData>
    <row r="1" spans="1:14" s="24" customFormat="1" x14ac:dyDescent="0.2">
      <c r="A1" s="8" t="s">
        <v>1077</v>
      </c>
      <c r="B1" s="8" t="s">
        <v>0</v>
      </c>
      <c r="C1" s="8" t="s">
        <v>1206</v>
      </c>
      <c r="D1" s="8" t="s">
        <v>31</v>
      </c>
      <c r="E1" s="8" t="s">
        <v>1299</v>
      </c>
      <c r="F1" s="8" t="s">
        <v>1243</v>
      </c>
      <c r="G1" s="8" t="s">
        <v>1070</v>
      </c>
      <c r="H1" s="8" t="s">
        <v>1071</v>
      </c>
      <c r="I1" s="8"/>
      <c r="J1" s="8"/>
      <c r="K1" s="8" t="s">
        <v>1297</v>
      </c>
      <c r="L1" s="8" t="s">
        <v>1336</v>
      </c>
      <c r="M1" s="8" t="s">
        <v>1302</v>
      </c>
      <c r="N1" s="8" t="s">
        <v>1303</v>
      </c>
    </row>
    <row r="2" spans="1:14" s="24" customFormat="1" x14ac:dyDescent="0.2">
      <c r="A2" s="15" t="s">
        <v>1309</v>
      </c>
      <c r="B2" s="8" t="s">
        <v>23</v>
      </c>
      <c r="C2" s="8" t="s">
        <v>23</v>
      </c>
      <c r="D2" s="15" t="s">
        <v>1310</v>
      </c>
      <c r="E2" s="8" t="s">
        <v>23</v>
      </c>
      <c r="F2" s="8">
        <v>36</v>
      </c>
      <c r="G2" s="8">
        <v>64</v>
      </c>
      <c r="H2" s="8">
        <v>34</v>
      </c>
      <c r="I2" s="8"/>
      <c r="J2" s="8"/>
      <c r="K2" s="8"/>
      <c r="L2" s="8"/>
      <c r="M2" s="8"/>
      <c r="N2" s="8"/>
    </row>
    <row r="3" spans="1:14" s="24" customFormat="1" x14ac:dyDescent="0.2">
      <c r="A3" s="15" t="s">
        <v>1395</v>
      </c>
      <c r="B3" s="8" t="s">
        <v>23</v>
      </c>
      <c r="C3" s="8" t="s">
        <v>23</v>
      </c>
      <c r="D3" s="15" t="s">
        <v>1310</v>
      </c>
      <c r="E3" s="8" t="s">
        <v>23</v>
      </c>
      <c r="F3" s="8">
        <v>39</v>
      </c>
      <c r="G3" s="8">
        <v>66</v>
      </c>
      <c r="H3" s="8">
        <v>30</v>
      </c>
      <c r="I3" s="8"/>
      <c r="J3" s="8"/>
      <c r="K3" s="8"/>
      <c r="L3" s="8"/>
      <c r="M3" s="8"/>
      <c r="N3" s="8"/>
    </row>
    <row r="4" spans="1:14" s="24" customFormat="1" x14ac:dyDescent="0.2">
      <c r="A4" s="15" t="s">
        <v>1395</v>
      </c>
      <c r="B4" s="8" t="s">
        <v>23</v>
      </c>
      <c r="C4" s="8" t="s">
        <v>23</v>
      </c>
      <c r="D4" s="15" t="s">
        <v>1310</v>
      </c>
      <c r="E4" s="8" t="s">
        <v>23</v>
      </c>
      <c r="F4" s="8">
        <v>41</v>
      </c>
      <c r="G4" s="8">
        <v>67</v>
      </c>
      <c r="H4" s="8">
        <v>30</v>
      </c>
      <c r="I4" s="8"/>
      <c r="J4" s="8"/>
      <c r="K4" s="8"/>
      <c r="L4" s="8"/>
      <c r="M4" s="8"/>
      <c r="N4" s="8"/>
    </row>
    <row r="5" spans="1:14" s="24" customFormat="1" x14ac:dyDescent="0.2">
      <c r="A5" s="15" t="s">
        <v>1395</v>
      </c>
      <c r="B5" s="8" t="s">
        <v>23</v>
      </c>
      <c r="C5" s="8" t="s">
        <v>23</v>
      </c>
      <c r="D5" s="15" t="s">
        <v>1310</v>
      </c>
      <c r="E5" s="8" t="s">
        <v>23</v>
      </c>
      <c r="F5" s="8">
        <v>42</v>
      </c>
      <c r="G5" s="8">
        <v>68</v>
      </c>
      <c r="H5" s="8">
        <v>30</v>
      </c>
      <c r="I5" s="8"/>
      <c r="J5" s="8"/>
      <c r="K5" s="8"/>
      <c r="L5" s="8"/>
      <c r="M5" s="8"/>
      <c r="N5" s="8"/>
    </row>
    <row r="6" spans="1:14" customFormat="1" x14ac:dyDescent="0.2">
      <c r="A6" s="3" t="str">
        <f>D6&amp;"__wt"</f>
        <v>smo_human__wt</v>
      </c>
      <c r="B6" s="3" t="str">
        <f>VLOOKUP(D6,Classification!A:D,3,FALSE)</f>
        <v>Protein</v>
      </c>
      <c r="C6" s="3" t="str">
        <f>VLOOKUP(D6,Classification!A:D,4,FALSE)</f>
        <v>Frizzled</v>
      </c>
      <c r="D6" s="3" t="s">
        <v>33</v>
      </c>
      <c r="E6" s="3">
        <f>VLOOKUP($D6,'SegEnds_NonXtal_Prot#'!$A:$AZ,30,FALSE)-VLOOKUP($D6,'SegEnds_NonXtal_Prot#'!$A:$AZ,29,FALSE)</f>
        <v>9</v>
      </c>
      <c r="F6" s="1">
        <f>VLOOKUP($D6,'SegEnds_NonXtal_Prot#'!$A:$AZ,31,FALSE)-VLOOKUP($D6,'SegEnds_NonXtal_Prot#'!$A:$AZ,28,FALSE)</f>
        <v>57</v>
      </c>
      <c r="G6" s="3">
        <f>50+VLOOKUP($A6,'SegEnds_Xtal_Prot#'!$A:$AY,39,FALSE)-VLOOKUP($D6,'SegEnds_NonXtal_Prot#'!$A:$AZ,28,FALSE)</f>
        <v>72</v>
      </c>
      <c r="H6" s="3">
        <f>50+VLOOKUP($A6,'SegEnds_Xtal_Prot#'!$A:$AY,41,FALSE)-VLOOKUP($D6,'SegEnds_NonXtal_Prot#'!$A:$AZ,31,FALSE)</f>
        <v>24</v>
      </c>
      <c r="I6" s="3"/>
      <c r="J6" s="3"/>
    </row>
  </sheetData>
  <conditionalFormatting sqref="C1:C1048576">
    <cfRule type="cellIs" dxfId="34" priority="8" operator="equal">
      <formula>"Opsins"</formula>
    </cfRule>
    <cfRule type="cellIs" dxfId="33" priority="9" operator="equal">
      <formula>"Opioid"</formula>
    </cfRule>
    <cfRule type="cellIs" dxfId="32" priority="10" operator="equal">
      <formula>"P2Y"</formula>
    </cfRule>
    <cfRule type="cellIs" dxfId="31" priority="11" operator="equal">
      <formula>"Chemokine"</formula>
    </cfRule>
  </conditionalFormatting>
  <conditionalFormatting sqref="B6">
    <cfRule type="cellIs" dxfId="30" priority="3" operator="equal">
      <formula>"Aminergic"</formula>
    </cfRule>
    <cfRule type="cellIs" dxfId="29" priority="4" operator="equal">
      <formula>"Opsins"</formula>
    </cfRule>
    <cfRule type="cellIs" dxfId="28" priority="5" operator="equal">
      <formula>"Opioid"</formula>
    </cfRule>
    <cfRule type="cellIs" dxfId="27" priority="6" operator="equal">
      <formula>"P2Y"</formula>
    </cfRule>
    <cfRule type="cellIs" dxfId="26" priority="7" operator="equal">
      <formula>"Chemokine"</formula>
    </cfRule>
  </conditionalFormatting>
  <conditionalFormatting sqref="F1:F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N5 H1:J1048576">
    <cfRule type="colorScale" priority="2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">
    <cfRule type="colorScale" priority="2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copies="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00B0F0"/>
  </sheetPr>
  <dimension ref="A1:AL411"/>
  <sheetViews>
    <sheetView zoomScale="135" zoomScaleNormal="135" zoomScalePageLayoutView="135" workbookViewId="0">
      <pane ySplit="1" topLeftCell="A232" activePane="bottomLeft" state="frozenSplit"/>
      <selection pane="bottomLeft" activeCell="Z252" sqref="Z252"/>
    </sheetView>
  </sheetViews>
  <sheetFormatPr baseColWidth="10" defaultColWidth="10.83203125" defaultRowHeight="16" x14ac:dyDescent="0.2"/>
  <cols>
    <col min="1" max="1" width="13.33203125" style="1" bestFit="1" customWidth="1"/>
    <col min="2" max="2" width="12.83203125" style="1" bestFit="1" customWidth="1"/>
    <col min="3" max="3" width="3.5" style="5" customWidth="1"/>
    <col min="4" max="4" width="3.1640625" style="1" bestFit="1" customWidth="1"/>
    <col min="5" max="6" width="3.6640625" style="1" bestFit="1" customWidth="1"/>
    <col min="7" max="7" width="3.1640625" style="1" bestFit="1" customWidth="1"/>
    <col min="8" max="8" width="3.1640625" style="12" bestFit="1" customWidth="1"/>
    <col min="9" max="10" width="4.1640625" style="1" bestFit="1" customWidth="1"/>
    <col min="11" max="11" width="3.1640625" style="12" bestFit="1" customWidth="1"/>
    <col min="12" max="12" width="3.1640625" style="1" bestFit="1" customWidth="1"/>
    <col min="13" max="13" width="3.6640625" style="1" bestFit="1" customWidth="1"/>
    <col min="14" max="14" width="3.6640625" style="12" bestFit="1" customWidth="1"/>
    <col min="15" max="15" width="3.1640625" style="87" bestFit="1" customWidth="1"/>
    <col min="16" max="16" width="3.33203125" style="1" customWidth="1"/>
    <col min="17" max="18" width="4.1640625" style="1" bestFit="1" customWidth="1"/>
    <col min="19" max="19" width="3.1640625" style="1" bestFit="1" customWidth="1"/>
    <col min="20" max="20" width="3.33203125" style="1" customWidth="1"/>
    <col min="21" max="26" width="3.1640625" style="1" bestFit="1" customWidth="1"/>
    <col min="27" max="27" width="3.33203125" style="27" customWidth="1"/>
    <col min="28" max="28" width="5" style="50" bestFit="1" customWidth="1"/>
    <col min="29" max="29" width="4.6640625" style="1" customWidth="1"/>
    <col min="30" max="30" width="8.1640625" style="1" customWidth="1"/>
    <col min="31" max="31" width="5" style="1" customWidth="1"/>
    <col min="32" max="32" width="6.83203125" style="1" customWidth="1"/>
    <col min="33" max="35" width="6.5" style="1" customWidth="1"/>
    <col min="36" max="36" width="5.83203125" style="1" customWidth="1"/>
    <col min="37" max="37" width="5" style="1" customWidth="1"/>
    <col min="38" max="16384" width="10.83203125" style="1"/>
  </cols>
  <sheetData>
    <row r="1" spans="1:38" x14ac:dyDescent="0.2">
      <c r="A1" s="10" t="s">
        <v>31</v>
      </c>
      <c r="B1" s="10" t="s">
        <v>1207</v>
      </c>
      <c r="C1" s="26" t="s">
        <v>1061</v>
      </c>
      <c r="D1" s="8" t="s">
        <v>1062</v>
      </c>
      <c r="E1" s="8" t="s">
        <v>1078</v>
      </c>
      <c r="F1" s="8" t="s">
        <v>1079</v>
      </c>
      <c r="G1" s="8" t="s">
        <v>1063</v>
      </c>
      <c r="H1" s="99" t="s">
        <v>1064</v>
      </c>
      <c r="I1" s="8" t="s">
        <v>1080</v>
      </c>
      <c r="J1" s="8" t="s">
        <v>1081</v>
      </c>
      <c r="K1" s="99" t="s">
        <v>1065</v>
      </c>
      <c r="L1" s="8" t="s">
        <v>1066</v>
      </c>
      <c r="M1" s="8" t="s">
        <v>1093</v>
      </c>
      <c r="N1" s="99" t="s">
        <v>1094</v>
      </c>
      <c r="O1" s="86" t="s">
        <v>1067</v>
      </c>
      <c r="P1" s="8" t="s">
        <v>1068</v>
      </c>
      <c r="Q1" s="8" t="s">
        <v>1096</v>
      </c>
      <c r="R1" s="8" t="s">
        <v>1097</v>
      </c>
      <c r="S1" s="8" t="s">
        <v>1069</v>
      </c>
      <c r="T1" s="8" t="s">
        <v>1070</v>
      </c>
      <c r="U1" s="8" t="s">
        <v>1071</v>
      </c>
      <c r="V1" s="8" t="s">
        <v>1072</v>
      </c>
      <c r="W1" s="8" t="s">
        <v>1073</v>
      </c>
      <c r="X1" s="8" t="s">
        <v>1074</v>
      </c>
      <c r="Y1" s="8" t="s">
        <v>1075</v>
      </c>
      <c r="Z1" s="8" t="s">
        <v>1076</v>
      </c>
      <c r="AA1" s="26" t="s">
        <v>99</v>
      </c>
      <c r="AB1" s="30" t="s">
        <v>1241</v>
      </c>
      <c r="AC1" s="30" t="s">
        <v>1292</v>
      </c>
      <c r="AD1" s="30" t="s">
        <v>1288</v>
      </c>
      <c r="AE1" s="30" t="s">
        <v>1242</v>
      </c>
      <c r="AF1" s="30" t="s">
        <v>1281</v>
      </c>
      <c r="AG1" s="26" t="s">
        <v>1285</v>
      </c>
      <c r="AH1" s="30" t="s">
        <v>1398</v>
      </c>
      <c r="AI1" s="30" t="s">
        <v>1243</v>
      </c>
      <c r="AJ1" s="30" t="s">
        <v>1240</v>
      </c>
      <c r="AK1" s="30" t="s">
        <v>1494</v>
      </c>
      <c r="AL1" s="30" t="s">
        <v>1227</v>
      </c>
    </row>
    <row r="2" spans="1:38" x14ac:dyDescent="0.2">
      <c r="A2" s="1" t="s">
        <v>125</v>
      </c>
      <c r="B2" s="1" t="str">
        <f>VLOOKUP(A2,Xtal_Templ!A:B,2,FALSE)</f>
        <v>adrb2_human</v>
      </c>
      <c r="C2" s="5">
        <f>VLOOKUP($B2&amp;"__wt",'SegEnds_Xtal_BW#'!$A:$Z,3,FALSE)</f>
        <v>25</v>
      </c>
      <c r="D2" s="1">
        <f>VLOOKUP($B2&amp;"__wt",'SegEnds_Xtal_BW#'!$A:$Z,4,FALSE)</f>
        <v>60</v>
      </c>
      <c r="E2" s="1">
        <f>VLOOKUP($B2&amp;"__wt",'SegEnds_Xtal_BW#'!$A:$Z,5,FALSE)</f>
        <v>48</v>
      </c>
      <c r="F2" s="1">
        <f>VLOOKUP($B2&amp;"__wt",'SegEnds_Xtal_BW#'!$A:$Z,6,FALSE)</f>
        <v>51</v>
      </c>
      <c r="G2" s="1">
        <v>37</v>
      </c>
      <c r="H2" s="12">
        <f>VLOOKUP($B2&amp;"__wt",'SegEnds_Xtal_BW#'!$A:$Z,8,FALSE)</f>
        <v>67</v>
      </c>
      <c r="I2" s="1">
        <f>VLOOKUP($B2&amp;"__wt",'SegEnds_Xtal_BW#'!$A:$Z,9,FALSE)</f>
        <v>49</v>
      </c>
      <c r="J2" s="1">
        <f>VLOOKUP($B2&amp;"__wt",'SegEnds_Xtal_BW#'!$A:$Z,10,FALSE)</f>
        <v>52</v>
      </c>
      <c r="K2" s="12">
        <v>18</v>
      </c>
      <c r="L2" s="1">
        <f>VLOOKUP($B2&amp;"__wt",'SegEnds_Xtal_BW#'!$A:$Z,12,FALSE)</f>
        <v>56</v>
      </c>
      <c r="M2" s="1">
        <f>VLOOKUP($B2&amp;"__wt",'SegEnds_Xtal_BW#'!$A:$Z,13,FALSE)</f>
        <v>50</v>
      </c>
      <c r="N2" s="12">
        <v>57</v>
      </c>
      <c r="O2" s="87">
        <v>38</v>
      </c>
      <c r="P2" s="1">
        <f>VLOOKUP($B2&amp;"__wt",'SegEnds_Xtal_BW#'!$A:$Z,16,FALSE)</f>
        <v>64</v>
      </c>
      <c r="Q2" s="1">
        <f>VLOOKUP($B2&amp;"__wt",'SegEnds_Xtal_BW#'!$A:$Z,17,FALSE)</f>
        <v>50</v>
      </c>
      <c r="R2" s="1">
        <f>VLOOKUP($B2&amp;"__wt",'SegEnds_Xtal_BW#'!$A:$Z,18,FALSE)</f>
        <v>52</v>
      </c>
      <c r="S2" s="1">
        <f>VLOOKUP($B2&amp;"__wt",'SegEnds_Xtal_BW#'!$A:$Z,19,FALSE)</f>
        <v>35</v>
      </c>
      <c r="T2" s="1">
        <f t="array" ref="T2">INDEX(ICL3_classA!$G$2:$G$37,MATCH(MIN(ABS(AI2-ICL3_classA!$F$2:$F$37)),ABS(AI2-ICL3_classA!$F$2:$F$37),0))</f>
        <v>74</v>
      </c>
      <c r="U2" s="1">
        <f t="array" ref="U2">INDEX(ICL3_classA!$H$2:$H$37,MATCH(MIN(ABS(AI2-ICL3_classA!$F$2:$F$37)),ABS(AI2-ICL3_classA!$F$2:$F$37),0))</f>
        <v>24</v>
      </c>
      <c r="V2" s="1">
        <v>61</v>
      </c>
      <c r="W2" s="1">
        <v>31</v>
      </c>
      <c r="X2" s="1">
        <f>VLOOKUP($B2&amp;"__wt",'SegEnds_Xtal_BW#'!$A:$Z,24,FALSE)</f>
        <v>55</v>
      </c>
      <c r="Y2" s="1">
        <f>VLOOKUP($B2&amp;"__wt",'SegEnds_Xtal_BW#'!$A:$Z,25,FALSE)</f>
        <v>47</v>
      </c>
      <c r="Z2" s="1">
        <f>VLOOKUP($B2&amp;"__wt",'SegEnds_Xtal_BW#'!$A:$Z,26,FALSE)</f>
        <v>59</v>
      </c>
      <c r="AA2" s="27" t="str">
        <f>VLOOKUP(A2,Classification!A:B,2,FALSE)</f>
        <v>A</v>
      </c>
      <c r="AB2" s="1">
        <f>VLOOKUP(A2,'SegEnds_NonXtal_Prot#'!A:AL,10,FALSE)-VLOOKUP(A2,'SegEnds_NonXtal_Prot#'!A:AL,4,FALSE)</f>
        <v>28</v>
      </c>
      <c r="AC2" s="1">
        <f>VLOOKUP(A2,'SegEnds_NonXtal_Prot#'!A:AL,10,FALSE)-VLOOKUP(A2,'SegEnds_NonXtal_Prot#'!A:AL,7,FALSE)</f>
        <v>15</v>
      </c>
      <c r="AD2" s="1">
        <f>VLOOKUP(A2,'SegEnds_NonXtal_Prot#'!A:AL,13,FALSE)-VLOOKUP(A2,'SegEnds_NonXtal_Prot#'!A:AL,10,FALSE)</f>
        <v>20</v>
      </c>
      <c r="AE2" s="1">
        <f>VLOOKUP(A2,'SegEnds_NonXtal_Prot#'!A:AL,16,FALSE)-VLOOKUP(A2,'SegEnds_NonXtal_Prot#'!A:AL,10,FALSE)</f>
        <v>52</v>
      </c>
      <c r="AF2" s="1">
        <f>VLOOKUP(A2,'SegEnds_NonXtal_Prot#'!A:AL,22,FALSE)-VLOOKUP(A2,'SegEnds_NonXtal_Prot#'!A:AL,19,FALSE)</f>
        <v>20</v>
      </c>
      <c r="AG2" s="1">
        <f>VLOOKUP(A2,'SegEnds_NonXtal_Prot#'!A:AL,28,FALSE)-VLOOKUP(A2,'SegEnds_NonXtal_Prot#'!A:AL,25,FALSE)</f>
        <v>20</v>
      </c>
      <c r="AH2" s="1">
        <f>VLOOKUP(A2,'SegEnds_NonXtal_Prot#'!A:AL,28,FALSE)-VLOOKUP(A2,'SegEnds_NonXtal_Prot#'!A:AL,22,FALSE)</f>
        <v>53</v>
      </c>
      <c r="AI2" s="1">
        <f>VLOOKUP(A2,'SegEnds_NonXtal_Prot#'!A:AL,31,FALSE)-VLOOKUP(A2,'SegEnds_NonXtal_Prot#'!A:AL,28,FALSE)</f>
        <v>103</v>
      </c>
      <c r="AJ2" s="1">
        <f>VLOOKUP(A2,'SegEnds_NonXtal_Prot#'!A:AL,34,FALSE)-VLOOKUP(A2,'SegEnds_NonXtal_Prot#'!A:AL,31,FALSE)</f>
        <v>35</v>
      </c>
      <c r="AK2" s="1">
        <f>VLOOKUP(A2,'SegEnds_NonXtal_Prot#'!A:AL,37,FALSE)-VLOOKUP(A2,'SegEnds_NonXtal_Prot#'!A:AL,34,FALSE)</f>
        <v>9</v>
      </c>
      <c r="AL2" s="1" t="str">
        <f>IF(ISERROR(MATCH(A2,'SegEnds_Xtal_Prot#'!B:B, 0)), "NoXtal", "Xtal")</f>
        <v>NoXtal</v>
      </c>
    </row>
    <row r="3" spans="1:38" x14ac:dyDescent="0.2">
      <c r="A3" s="1" t="s">
        <v>912</v>
      </c>
      <c r="B3" s="1" t="str">
        <f>VLOOKUP(A3,Xtal_Templ!A:B,2,FALSE)</f>
        <v>adrb1_melga</v>
      </c>
      <c r="C3" s="5">
        <f>VLOOKUP($B3&amp;"__wt",'SegEnds_Xtal_BW#'!$A:$Z,3,FALSE)</f>
        <v>24</v>
      </c>
      <c r="D3" s="1">
        <f>VLOOKUP($B3&amp;"__wt",'SegEnds_Xtal_BW#'!$A:$Z,4,FALSE)</f>
        <v>60</v>
      </c>
      <c r="E3" s="1">
        <f>VLOOKUP($B3&amp;"__wt",'SegEnds_Xtal_BW#'!$A:$Z,5,FALSE)</f>
        <v>48</v>
      </c>
      <c r="F3" s="1">
        <f>VLOOKUP($B3&amp;"__wt",'SegEnds_Xtal_BW#'!$A:$Z,6,FALSE)</f>
        <v>51</v>
      </c>
      <c r="G3" s="1">
        <v>37</v>
      </c>
      <c r="H3" s="12">
        <f>VLOOKUP($B3&amp;"__wt",'SegEnds_Xtal_BW#'!$A:$Z,8,FALSE)</f>
        <v>67</v>
      </c>
      <c r="I3" s="1">
        <f>VLOOKUP($B3&amp;"__wt",'SegEnds_Xtal_BW#'!$A:$Z,9,FALSE)</f>
        <v>49</v>
      </c>
      <c r="J3" s="1">
        <f>VLOOKUP($B3&amp;"__wt",'SegEnds_Xtal_BW#'!$A:$Z,10,FALSE)</f>
        <v>52</v>
      </c>
      <c r="K3" s="12">
        <v>18</v>
      </c>
      <c r="L3" s="1">
        <f>VLOOKUP($B3&amp;"__wt",'SegEnds_Xtal_BW#'!$A:$Z,12,FALSE)</f>
        <v>56</v>
      </c>
      <c r="M3" s="1">
        <f>VLOOKUP($B3&amp;"__wt",'SegEnds_Xtal_BW#'!$A:$Z,13,FALSE)</f>
        <v>50</v>
      </c>
      <c r="N3" s="12">
        <f>VLOOKUP($B3&amp;"__wt",'SegEnds_Xtal_BW#'!$A:$Z,14,FALSE)</f>
        <v>57</v>
      </c>
      <c r="O3" s="87">
        <f>VLOOKUP($B3&amp;"__wt",'SegEnds_Xtal_BW#'!$A:$Z,15,FALSE)</f>
        <v>38</v>
      </c>
      <c r="P3" s="1">
        <f>VLOOKUP($B3&amp;"__wt",'SegEnds_Xtal_BW#'!$A:$Z,16,FALSE)</f>
        <v>64</v>
      </c>
      <c r="Q3" s="1">
        <f>VLOOKUP($B3&amp;"__wt",'SegEnds_Xtal_BW#'!$A:$Z,17,FALSE)</f>
        <v>50</v>
      </c>
      <c r="R3" s="1">
        <f>VLOOKUP($B3&amp;"__wt",'SegEnds_Xtal_BW#'!$A:$Z,18,FALSE)</f>
        <v>52</v>
      </c>
      <c r="S3" s="1">
        <f>VLOOKUP($B3&amp;"__wt",'SegEnds_Xtal_BW#'!$A:$Z,19,FALSE)</f>
        <v>35</v>
      </c>
      <c r="T3" s="1">
        <f t="array" ref="T3">INDEX(ICL3_classA!$G$2:$G$37,MATCH(MIN(ABS(AI3-ICL3_classA!$F$2:$F$37)),ABS(AI3-ICL3_classA!$F$2:$F$37),0))</f>
        <v>76</v>
      </c>
      <c r="U3" s="1">
        <v>20</v>
      </c>
      <c r="V3" s="1">
        <v>61</v>
      </c>
      <c r="W3" s="1">
        <v>31</v>
      </c>
      <c r="X3" s="1">
        <f>VLOOKUP($B3&amp;"__wt",'SegEnds_Xtal_BW#'!$A:$Z,24,FALSE)</f>
        <v>55</v>
      </c>
      <c r="Y3" s="1">
        <f>VLOOKUP($B3&amp;"__wt",'SegEnds_Xtal_BW#'!$A:$Z,25,FALSE)</f>
        <v>47</v>
      </c>
      <c r="Z3" s="1">
        <f>VLOOKUP($B3&amp;"__wt",'SegEnds_Xtal_BW#'!$A:$Z,26,FALSE)</f>
        <v>59</v>
      </c>
      <c r="AA3" s="27" t="str">
        <f>VLOOKUP(A3,Classification!A:B,2,FALSE)</f>
        <v>A</v>
      </c>
      <c r="AB3" s="1">
        <f>VLOOKUP(A3,'SegEnds_NonXtal_Prot#'!A:AL,10,FALSE)-VLOOKUP(A3,'SegEnds_NonXtal_Prot#'!A:AL,4,FALSE)</f>
        <v>28</v>
      </c>
      <c r="AC3" s="1">
        <f>VLOOKUP(A3,'SegEnds_NonXtal_Prot#'!A:AL,10,FALSE)-VLOOKUP(A3,'SegEnds_NonXtal_Prot#'!A:AL,7,FALSE)</f>
        <v>15</v>
      </c>
      <c r="AD3" s="1">
        <f>VLOOKUP(A3,'SegEnds_NonXtal_Prot#'!A:AL,13,FALSE)-VLOOKUP(A3,'SegEnds_NonXtal_Prot#'!A:AL,10,FALSE)</f>
        <v>20</v>
      </c>
      <c r="AE3" s="1">
        <f>VLOOKUP(A3,'SegEnds_NonXtal_Prot#'!A:AL,16,FALSE)-VLOOKUP(A3,'SegEnds_NonXtal_Prot#'!A:AL,10,FALSE)</f>
        <v>52</v>
      </c>
      <c r="AF3" s="1">
        <f>VLOOKUP(A3,'SegEnds_NonXtal_Prot#'!A:AL,22,FALSE)-VLOOKUP(A3,'SegEnds_NonXtal_Prot#'!A:AL,19,FALSE)</f>
        <v>20</v>
      </c>
      <c r="AG3" s="1">
        <f>VLOOKUP(A3,'SegEnds_NonXtal_Prot#'!A:AL,28,FALSE)-VLOOKUP(A3,'SegEnds_NonXtal_Prot#'!A:AL,25,FALSE)</f>
        <v>20</v>
      </c>
      <c r="AH3" s="1">
        <f>VLOOKUP(A3,'SegEnds_NonXtal_Prot#'!A:AL,28,FALSE)-VLOOKUP(A3,'SegEnds_NonXtal_Prot#'!A:AL,22,FALSE)</f>
        <v>53</v>
      </c>
      <c r="AI3" s="1">
        <f>VLOOKUP(A3,'SegEnds_NonXtal_Prot#'!A:AL,31,FALSE)-VLOOKUP(A3,'SegEnds_NonXtal_Prot#'!A:AL,28,FALSE)</f>
        <v>86</v>
      </c>
      <c r="AJ3" s="1">
        <f>VLOOKUP(A3,'SegEnds_NonXtal_Prot#'!A:AL,34,FALSE)-VLOOKUP(A3,'SegEnds_NonXtal_Prot#'!A:AL,31,FALSE)</f>
        <v>35</v>
      </c>
      <c r="AK3" s="1">
        <f>VLOOKUP(A3,'SegEnds_NonXtal_Prot#'!A:AL,37,FALSE)-VLOOKUP(A3,'SegEnds_NonXtal_Prot#'!A:AL,34,FALSE)</f>
        <v>9</v>
      </c>
      <c r="AL3" s="1" t="str">
        <f>IF(ISERROR(MATCH(A3,'SegEnds_Xtal_Prot#'!B:B, 0)), "NoXtal", "Xtal")</f>
        <v>Xtal</v>
      </c>
    </row>
    <row r="4" spans="1:38" x14ac:dyDescent="0.2">
      <c r="A4" s="1" t="s">
        <v>126</v>
      </c>
      <c r="B4" s="1" t="str">
        <f>VLOOKUP(A4,Xtal_Templ!A:B,2,FALSE)</f>
        <v>adrb2_human</v>
      </c>
      <c r="C4" s="5">
        <f>VLOOKUP($B4&amp;"__wt",'SegEnds_Xtal_BW#'!$A:$Z,3,FALSE)</f>
        <v>25</v>
      </c>
      <c r="D4" s="1">
        <f>VLOOKUP($B4&amp;"__wt",'SegEnds_Xtal_BW#'!$A:$Z,4,FALSE)</f>
        <v>60</v>
      </c>
      <c r="E4" s="1">
        <f>VLOOKUP($B4&amp;"__wt",'SegEnds_Xtal_BW#'!$A:$Z,5,FALSE)</f>
        <v>48</v>
      </c>
      <c r="F4" s="1">
        <f>VLOOKUP($B4&amp;"__wt",'SegEnds_Xtal_BW#'!$A:$Z,6,FALSE)</f>
        <v>51</v>
      </c>
      <c r="G4" s="1">
        <v>37</v>
      </c>
      <c r="H4" s="12">
        <f>VLOOKUP($B4&amp;"__wt",'SegEnds_Xtal_BW#'!$A:$Z,8,FALSE)</f>
        <v>67</v>
      </c>
      <c r="I4" s="1">
        <f>VLOOKUP($B4&amp;"__wt",'SegEnds_Xtal_BW#'!$A:$Z,9,FALSE)</f>
        <v>49</v>
      </c>
      <c r="J4" s="1">
        <f>VLOOKUP($B4&amp;"__wt",'SegEnds_Xtal_BW#'!$A:$Z,10,FALSE)</f>
        <v>52</v>
      </c>
      <c r="K4" s="12">
        <v>18</v>
      </c>
      <c r="L4" s="1">
        <f>VLOOKUP($B4&amp;"__wt",'SegEnds_Xtal_BW#'!$A:$Z,12,FALSE)</f>
        <v>56</v>
      </c>
      <c r="M4" s="1">
        <f>VLOOKUP($B4&amp;"__wt",'SegEnds_Xtal_BW#'!$A:$Z,13,FALSE)</f>
        <v>50</v>
      </c>
      <c r="N4" s="12">
        <f>VLOOKUP($B4&amp;"__wt",'SegEnds_Xtal_BW#'!$A:$Z,14,FALSE)</f>
        <v>57</v>
      </c>
      <c r="O4" s="87">
        <f>VLOOKUP($B4&amp;"__wt",'SegEnds_Xtal_BW#'!$A:$Z,15,FALSE)</f>
        <v>38</v>
      </c>
      <c r="P4" s="1">
        <f>VLOOKUP($B4&amp;"__wt",'SegEnds_Xtal_BW#'!$A:$Z,16,FALSE)</f>
        <v>64</v>
      </c>
      <c r="Q4" s="1">
        <f>VLOOKUP($B4&amp;"__wt",'SegEnds_Xtal_BW#'!$A:$Z,17,FALSE)</f>
        <v>50</v>
      </c>
      <c r="R4" s="1">
        <f>VLOOKUP($B4&amp;"__wt",'SegEnds_Xtal_BW#'!$A:$Z,18,FALSE)</f>
        <v>52</v>
      </c>
      <c r="S4" s="1">
        <f>VLOOKUP($B4&amp;"__wt",'SegEnds_Xtal_BW#'!$A:$Z,19,FALSE)</f>
        <v>35</v>
      </c>
      <c r="T4" s="1">
        <f t="array" ref="T4">INDEX(ICL3_classA!$G$2:$G$37,MATCH(MIN(ABS(AI4-ICL3_classA!$F$2:$F$37)),ABS(AI4-ICL3_classA!$F$2:$F$37),0))</f>
        <v>76</v>
      </c>
      <c r="U4" s="1">
        <f t="array" ref="U4">INDEX(ICL3_classA!$H$2:$H$37,MATCH(MIN(ABS(AI4-ICL3_classA!$F$2:$F$37)),ABS(AI4-ICL3_classA!$F$2:$F$37),0))</f>
        <v>24</v>
      </c>
      <c r="V4" s="1">
        <v>61</v>
      </c>
      <c r="W4" s="1">
        <v>31</v>
      </c>
      <c r="X4" s="1">
        <f>VLOOKUP($B4&amp;"__wt",'SegEnds_Xtal_BW#'!$A:$Z,24,FALSE)</f>
        <v>55</v>
      </c>
      <c r="Y4" s="1">
        <f>VLOOKUP($B4&amp;"__wt",'SegEnds_Xtal_BW#'!$A:$Z,25,FALSE)</f>
        <v>47</v>
      </c>
      <c r="Z4" s="1">
        <f>VLOOKUP($B4&amp;"__wt",'SegEnds_Xtal_BW#'!$A:$Z,26,FALSE)</f>
        <v>59</v>
      </c>
      <c r="AA4" s="27" t="str">
        <f>VLOOKUP(A4,Classification!A:B,2,FALSE)</f>
        <v>A</v>
      </c>
      <c r="AB4" s="1">
        <f>VLOOKUP(A4,'SegEnds_NonXtal_Prot#'!A:AL,10,FALSE)-VLOOKUP(A4,'SegEnds_NonXtal_Prot#'!A:AL,4,FALSE)</f>
        <v>28</v>
      </c>
      <c r="AC4" s="1">
        <f>VLOOKUP(A4,'SegEnds_NonXtal_Prot#'!A:AL,10,FALSE)-VLOOKUP(A4,'SegEnds_NonXtal_Prot#'!A:AL,7,FALSE)</f>
        <v>15</v>
      </c>
      <c r="AD4" s="1">
        <f>VLOOKUP(A4,'SegEnds_NonXtal_Prot#'!A:AL,13,FALSE)-VLOOKUP(A4,'SegEnds_NonXtal_Prot#'!A:AL,10,FALSE)</f>
        <v>20</v>
      </c>
      <c r="AE4" s="1">
        <f>VLOOKUP(A4,'SegEnds_NonXtal_Prot#'!A:AL,16,FALSE)-VLOOKUP(A4,'SegEnds_NonXtal_Prot#'!A:AL,10,FALSE)</f>
        <v>52</v>
      </c>
      <c r="AF4" s="1">
        <f>VLOOKUP(A4,'SegEnds_NonXtal_Prot#'!A:AL,22,FALSE)-VLOOKUP(A4,'SegEnds_NonXtal_Prot#'!A:AL,19,FALSE)</f>
        <v>20</v>
      </c>
      <c r="AG4" s="1">
        <f>VLOOKUP(A4,'SegEnds_NonXtal_Prot#'!A:AL,28,FALSE)-VLOOKUP(A4,'SegEnds_NonXtal_Prot#'!A:AL,25,FALSE)</f>
        <v>20</v>
      </c>
      <c r="AH4" s="1">
        <f>VLOOKUP(A4,'SegEnds_NonXtal_Prot#'!A:AL,28,FALSE)-VLOOKUP(A4,'SegEnds_NonXtal_Prot#'!A:AL,22,FALSE)</f>
        <v>53</v>
      </c>
      <c r="AI4" s="1">
        <f>VLOOKUP(A4,'SegEnds_NonXtal_Prot#'!A:AL,31,FALSE)-VLOOKUP(A4,'SegEnds_NonXtal_Prot#'!A:AL,28,FALSE)</f>
        <v>77</v>
      </c>
      <c r="AJ4" s="1">
        <f>VLOOKUP(A4,'SegEnds_NonXtal_Prot#'!A:AL,34,FALSE)-VLOOKUP(A4,'SegEnds_NonXtal_Prot#'!A:AL,31,FALSE)</f>
        <v>35</v>
      </c>
      <c r="AK4" s="1">
        <f>VLOOKUP(A4,'SegEnds_NonXtal_Prot#'!A:AL,37,FALSE)-VLOOKUP(A4,'SegEnds_NonXtal_Prot#'!A:AL,34,FALSE)</f>
        <v>9</v>
      </c>
      <c r="AL4" s="1" t="str">
        <f>IF(ISERROR(MATCH(A4,'SegEnds_Xtal_Prot#'!B:B, 0)), "NoXtal", "Xtal")</f>
        <v>Xtal</v>
      </c>
    </row>
    <row r="5" spans="1:38" x14ac:dyDescent="0.2">
      <c r="A5" s="1" t="s">
        <v>102</v>
      </c>
      <c r="B5" s="1" t="str">
        <f>VLOOKUP(A5,Xtal_Templ!A:B,2,FALSE)</f>
        <v>adrb2_human</v>
      </c>
      <c r="C5" s="5">
        <f>VLOOKUP($B5&amp;"__wt",'SegEnds_Xtal_BW#'!$A:$Z,3,FALSE)</f>
        <v>25</v>
      </c>
      <c r="D5" s="1">
        <f>VLOOKUP($B5&amp;"__wt",'SegEnds_Xtal_BW#'!$A:$Z,4,FALSE)</f>
        <v>60</v>
      </c>
      <c r="E5" s="1">
        <f>VLOOKUP($B5&amp;"__wt",'SegEnds_Xtal_BW#'!$A:$Z,5,FALSE)</f>
        <v>48</v>
      </c>
      <c r="F5" s="1">
        <f>VLOOKUP($B5&amp;"__wt",'SegEnds_Xtal_BW#'!$A:$Z,6,FALSE)</f>
        <v>51</v>
      </c>
      <c r="G5" s="1">
        <v>37</v>
      </c>
      <c r="H5" s="12">
        <f>VLOOKUP($B5&amp;"__wt",'SegEnds_Xtal_BW#'!$A:$Z,8,FALSE)</f>
        <v>67</v>
      </c>
      <c r="I5" s="1">
        <f>VLOOKUP($B5&amp;"__wt",'SegEnds_Xtal_BW#'!$A:$Z,9,FALSE)</f>
        <v>49</v>
      </c>
      <c r="J5" s="1">
        <f>VLOOKUP($B5&amp;"__wt",'SegEnds_Xtal_BW#'!$A:$Z,10,FALSE)</f>
        <v>52</v>
      </c>
      <c r="K5" s="12">
        <v>18</v>
      </c>
      <c r="L5" s="1">
        <f>VLOOKUP($B5&amp;"__wt",'SegEnds_Xtal_BW#'!$A:$Z,12,FALSE)</f>
        <v>56</v>
      </c>
      <c r="M5" s="1">
        <f>VLOOKUP($B5&amp;"__wt",'SegEnds_Xtal_BW#'!$A:$Z,13,FALSE)</f>
        <v>50</v>
      </c>
      <c r="N5" s="12">
        <v>57</v>
      </c>
      <c r="O5" s="87">
        <v>38</v>
      </c>
      <c r="P5" s="1">
        <f>VLOOKUP($B5&amp;"__wt",'SegEnds_Xtal_BW#'!$A:$Z,16,FALSE)</f>
        <v>64</v>
      </c>
      <c r="Q5" s="1">
        <f>VLOOKUP($B5&amp;"__wt",'SegEnds_Xtal_BW#'!$A:$Z,17,FALSE)</f>
        <v>50</v>
      </c>
      <c r="R5" s="1">
        <f>VLOOKUP($B5&amp;"__wt",'SegEnds_Xtal_BW#'!$A:$Z,18,FALSE)</f>
        <v>52</v>
      </c>
      <c r="S5" s="1">
        <v>35</v>
      </c>
      <c r="T5" s="1">
        <f t="array" ref="T5">INDEX(ICL3_classA!$G$2:$G$37,MATCH(MIN(ABS(AI5-ICL3_classA!$F$2:$F$37)),ABS(AI5-ICL3_classA!$F$2:$F$37),0))</f>
        <v>76</v>
      </c>
      <c r="U5" s="1">
        <f t="array" ref="U5">INDEX(ICL3_classA!$H$2:$H$37,MATCH(MIN(ABS(AI5-ICL3_classA!$F$2:$F$37)),ABS(AI5-ICL3_classA!$F$2:$F$37),0))</f>
        <v>24</v>
      </c>
      <c r="V5" s="1">
        <v>61</v>
      </c>
      <c r="W5" s="1">
        <v>31</v>
      </c>
      <c r="X5" s="128">
        <f>VLOOKUP($B5&amp;"__wt",'SegEnds_Xtal_BW#'!$A:$Z,24,FALSE)</f>
        <v>55</v>
      </c>
      <c r="Y5" s="1">
        <f>VLOOKUP($B5&amp;"__wt",'SegEnds_Xtal_BW#'!$A:$Z,25,FALSE)</f>
        <v>47</v>
      </c>
      <c r="Z5" s="1">
        <f>VLOOKUP($B5&amp;"__wt",'SegEnds_Xtal_BW#'!$A:$Z,26,FALSE)</f>
        <v>59</v>
      </c>
      <c r="AA5" s="27" t="str">
        <f>VLOOKUP(A5,Classification!A:B,2,FALSE)</f>
        <v>A</v>
      </c>
      <c r="AB5" s="1">
        <f>VLOOKUP(A5,'SegEnds_NonXtal_Prot#'!A:AL,10,FALSE)-VLOOKUP(A5,'SegEnds_NonXtal_Prot#'!A:AL,4,FALSE)</f>
        <v>28</v>
      </c>
      <c r="AC5" s="1">
        <f>VLOOKUP(A5,'SegEnds_NonXtal_Prot#'!A:AL,10,FALSE)-VLOOKUP(A5,'SegEnds_NonXtal_Prot#'!A:AL,7,FALSE)</f>
        <v>15</v>
      </c>
      <c r="AD5" s="1">
        <f>VLOOKUP(A5,'SegEnds_NonXtal_Prot#'!A:AL,13,FALSE)-VLOOKUP(A5,'SegEnds_NonXtal_Prot#'!A:AL,10,FALSE)</f>
        <v>20</v>
      </c>
      <c r="AE5" s="1">
        <f>VLOOKUP(A5,'SegEnds_NonXtal_Prot#'!A:AL,16,FALSE)-VLOOKUP(A5,'SegEnds_NonXtal_Prot#'!A:AL,10,FALSE)</f>
        <v>52</v>
      </c>
      <c r="AF5" s="1">
        <f>VLOOKUP(A5,'SegEnds_NonXtal_Prot#'!A:AL,22,FALSE)-VLOOKUP(A5,'SegEnds_NonXtal_Prot#'!A:AL,19,FALSE)</f>
        <v>20</v>
      </c>
      <c r="AG5" s="1">
        <f>VLOOKUP(A5,'SegEnds_NonXtal_Prot#'!A:AL,28,FALSE)-VLOOKUP(A5,'SegEnds_NonXtal_Prot#'!A:AL,25,FALSE)</f>
        <v>20</v>
      </c>
      <c r="AH5" s="1">
        <f>VLOOKUP(A5,'SegEnds_NonXtal_Prot#'!A:AL,28,FALSE)-VLOOKUP(A5,'SegEnds_NonXtal_Prot#'!A:AL,22,FALSE)</f>
        <v>54</v>
      </c>
      <c r="AI5" s="1">
        <f>VLOOKUP(A5,'SegEnds_NonXtal_Prot#'!A:AL,31,FALSE)-VLOOKUP(A5,'SegEnds_NonXtal_Prot#'!A:AL,28,FALSE)</f>
        <v>91</v>
      </c>
      <c r="AJ5" s="1">
        <f>VLOOKUP(A5,'SegEnds_NonXtal_Prot#'!A:AL,34,FALSE)-VLOOKUP(A5,'SegEnds_NonXtal_Prot#'!A:AL,31,FALSE)</f>
        <v>36</v>
      </c>
      <c r="AK5" s="1">
        <f>VLOOKUP(A5,'SegEnds_NonXtal_Prot#'!A:AL,37,FALSE)-VLOOKUP(A5,'SegEnds_NonXtal_Prot#'!A:AL,34,FALSE)</f>
        <v>9</v>
      </c>
      <c r="AL5" s="1" t="str">
        <f>IF(ISERROR(MATCH(A5,'SegEnds_Xtal_Prot#'!B:B, 0)), "NoXtal", "Xtal")</f>
        <v>NoXtal</v>
      </c>
    </row>
    <row r="6" spans="1:38" x14ac:dyDescent="0.2">
      <c r="A6" s="1" t="s">
        <v>225</v>
      </c>
      <c r="B6" s="1" t="str">
        <f>VLOOKUP(A6,Xtal_Templ!A:B,2,FALSE)</f>
        <v>ox2r_human</v>
      </c>
      <c r="C6" s="5">
        <f>VLOOKUP($B6&amp;"__wt",'SegEnds_Xtal_BW#'!$A:$Z,3,FALSE)</f>
        <v>31</v>
      </c>
      <c r="D6" s="1">
        <f>VLOOKUP($B6&amp;"__wt",'SegEnds_Xtal_BW#'!$A:$Z,4,FALSE)</f>
        <v>60</v>
      </c>
      <c r="E6" s="1">
        <f>VLOOKUP($B6&amp;"__wt",'SegEnds_Xtal_BW#'!$A:$Z,5,FALSE)</f>
        <v>48</v>
      </c>
      <c r="F6" s="1">
        <f>VLOOKUP($B6&amp;"__wt",'SegEnds_Xtal_BW#'!$A:$Z,6,FALSE)</f>
        <v>51</v>
      </c>
      <c r="G6" s="1">
        <v>37</v>
      </c>
      <c r="H6" s="12">
        <f>VLOOKUP($B6&amp;"__wt",'SegEnds_Xtal_BW#'!$A:$Z,8,FALSE)</f>
        <v>68</v>
      </c>
      <c r="I6" s="1">
        <f>VLOOKUP($B6&amp;"__wt",'SegEnds_Xtal_BW#'!$A:$Z,9,FALSE)</f>
        <v>49</v>
      </c>
      <c r="J6" s="1">
        <f>VLOOKUP($B6&amp;"__wt",'SegEnds_Xtal_BW#'!$A:$Z,10,FALSE)</f>
        <v>52</v>
      </c>
      <c r="K6" s="12">
        <v>18</v>
      </c>
      <c r="L6" s="1">
        <f>VLOOKUP($B6&amp;"__wt",'SegEnds_Xtal_BW#'!$A:$Z,12,FALSE)</f>
        <v>56</v>
      </c>
      <c r="M6" s="1">
        <f>VLOOKUP($B6&amp;"__wt",'SegEnds_Xtal_BW#'!$A:$Z,13,FALSE)</f>
        <v>50</v>
      </c>
      <c r="N6" s="12">
        <v>57</v>
      </c>
      <c r="O6" s="87">
        <f>VLOOKUP($B6&amp;"__wt",'SegEnds_Xtal_BW#'!$A:$Z,15,FALSE)</f>
        <v>38</v>
      </c>
      <c r="P6" s="1">
        <v>63</v>
      </c>
      <c r="Q6" s="1">
        <f>VLOOKUP($B6&amp;"__wt",'SegEnds_Xtal_BW#'!$A:$Z,17,FALSE)</f>
        <v>50</v>
      </c>
      <c r="R6" s="1">
        <f>VLOOKUP($B6&amp;"__wt",'SegEnds_Xtal_BW#'!$A:$Z,18,FALSE)</f>
        <v>52</v>
      </c>
      <c r="S6" s="1">
        <v>35</v>
      </c>
      <c r="T6" s="1">
        <f t="array" ref="T6">INDEX(ICL3_classA!$G$2:$G$37,MATCH(MIN(ABS(AI6-ICL3_classA!$F$2:$F$37)),ABS(AI6-ICL3_classA!$F$2:$F$37),0))</f>
        <v>76</v>
      </c>
      <c r="U6" s="1">
        <f t="array" ref="U6">INDEX(ICL3_classA!$H$2:$H$37,MATCH(MIN(ABS(AI6-ICL3_classA!$F$2:$F$37)),ABS(AI6-ICL3_classA!$F$2:$F$37),0))</f>
        <v>24</v>
      </c>
      <c r="V6" s="1">
        <v>61</v>
      </c>
      <c r="W6" s="1">
        <v>32</v>
      </c>
      <c r="X6" s="108">
        <v>55</v>
      </c>
      <c r="Y6" s="1">
        <f>VLOOKUP($B6&amp;"__wt",'SegEnds_Xtal_BW#'!$A:$Z,25,FALSE)</f>
        <v>47</v>
      </c>
      <c r="Z6" s="1">
        <f>VLOOKUP($B6&amp;"__wt",'SegEnds_Xtal_BW#'!$A:$Z,26,FALSE)</f>
        <v>58</v>
      </c>
      <c r="AA6" s="27" t="str">
        <f>VLOOKUP(A6,Classification!A:B,2,FALSE)</f>
        <v>A</v>
      </c>
      <c r="AB6" s="1">
        <f>VLOOKUP(A6,'SegEnds_NonXtal_Prot#'!A:AL,10,FALSE)-VLOOKUP(A6,'SegEnds_NonXtal_Prot#'!A:AL,4,FALSE)</f>
        <v>27</v>
      </c>
      <c r="AC6" s="1">
        <f>VLOOKUP(A6,'SegEnds_NonXtal_Prot#'!A:AL,10,FALSE)-VLOOKUP(A6,'SegEnds_NonXtal_Prot#'!A:AL,7,FALSE)</f>
        <v>14</v>
      </c>
      <c r="AD6" s="1">
        <f>VLOOKUP(A6,'SegEnds_NonXtal_Prot#'!A:AL,13,FALSE)-VLOOKUP(A6,'SegEnds_NonXtal_Prot#'!A:AL,10,FALSE)</f>
        <v>24</v>
      </c>
      <c r="AE6" s="1">
        <f>VLOOKUP(A6,'SegEnds_NonXtal_Prot#'!A:AL,16,FALSE)-VLOOKUP(A6,'SegEnds_NonXtal_Prot#'!A:AL,10,FALSE)</f>
        <v>56</v>
      </c>
      <c r="AF6" s="1">
        <f>VLOOKUP(A6,'SegEnds_NonXtal_Prot#'!A:AL,22,FALSE)-VLOOKUP(A6,'SegEnds_NonXtal_Prot#'!A:AL,19,FALSE)</f>
        <v>20</v>
      </c>
      <c r="AG6" s="1">
        <f>VLOOKUP(A6,'SegEnds_NonXtal_Prot#'!A:AL,28,FALSE)-VLOOKUP(A6,'SegEnds_NonXtal_Prot#'!A:AL,25,FALSE)</f>
        <v>23</v>
      </c>
      <c r="AH6" s="1">
        <f>VLOOKUP(A6,'SegEnds_NonXtal_Prot#'!A:AL,28,FALSE)-VLOOKUP(A6,'SegEnds_NonXtal_Prot#'!A:AL,22,FALSE)</f>
        <v>49</v>
      </c>
      <c r="AI6" s="1">
        <f>VLOOKUP(A6,'SegEnds_NonXtal_Prot#'!A:AL,31,FALSE)-VLOOKUP(A6,'SegEnds_NonXtal_Prot#'!A:AL,28,FALSE)</f>
        <v>76</v>
      </c>
      <c r="AJ6" s="1">
        <f>VLOOKUP(A6,'SegEnds_NonXtal_Prot#'!A:AL,34,FALSE)-VLOOKUP(A6,'SegEnds_NonXtal_Prot#'!A:AL,31,FALSE)</f>
        <v>34</v>
      </c>
      <c r="AK6" s="1">
        <f>VLOOKUP(A6,'SegEnds_NonXtal_Prot#'!A:AL,37,FALSE)-VLOOKUP(A6,'SegEnds_NonXtal_Prot#'!A:AL,34,FALSE)</f>
        <v>9</v>
      </c>
      <c r="AL6" s="1" t="str">
        <f>IF(ISERROR(MATCH(A6,'SegEnds_Xtal_Prot#'!B:B, 0)), "NoXtal", "Xtal")</f>
        <v>NoXtal</v>
      </c>
    </row>
    <row r="7" spans="1:38" x14ac:dyDescent="0.2">
      <c r="A7" s="1" t="s">
        <v>228</v>
      </c>
      <c r="B7" s="1" t="str">
        <f>VLOOKUP(A7,Xtal_Templ!A:B,2,FALSE)</f>
        <v>npy1r_human</v>
      </c>
      <c r="C7" s="5">
        <f>VLOOKUP($B7&amp;"__wt",'SegEnds_Xtal_BW#'!$A:$Z,3,FALSE)</f>
        <v>28</v>
      </c>
      <c r="D7" s="1">
        <f>VLOOKUP($B7&amp;"__wt",'SegEnds_Xtal_BW#'!$A:$Z,4,FALSE)</f>
        <v>60</v>
      </c>
      <c r="E7" s="1">
        <f>VLOOKUP($B7&amp;"__wt",'SegEnds_Xtal_BW#'!$A:$Z,5,FALSE)</f>
        <v>48</v>
      </c>
      <c r="F7" s="1">
        <f>VLOOKUP($B7&amp;"__wt",'SegEnds_Xtal_BW#'!$A:$Z,6,FALSE)</f>
        <v>51</v>
      </c>
      <c r="G7" s="1">
        <v>37</v>
      </c>
      <c r="H7" s="12">
        <f>VLOOKUP($B7&amp;"__wt",'SegEnds_Xtal_BW#'!$A:$Z,8,FALSE)</f>
        <v>68</v>
      </c>
      <c r="I7" s="1">
        <f>VLOOKUP($B7&amp;"__wt",'SegEnds_Xtal_BW#'!$A:$Z,9,FALSE)</f>
        <v>49</v>
      </c>
      <c r="J7" s="1">
        <f>VLOOKUP($B7&amp;"__wt",'SegEnds_Xtal_BW#'!$A:$Z,10,FALSE)</f>
        <v>52</v>
      </c>
      <c r="K7" s="12">
        <v>18</v>
      </c>
      <c r="L7" s="1">
        <f>VLOOKUP($B7&amp;"__wt",'SegEnds_Xtal_BW#'!$A:$Z,12,FALSE)</f>
        <v>56</v>
      </c>
      <c r="M7" s="108">
        <v>50</v>
      </c>
      <c r="N7" s="12">
        <v>57</v>
      </c>
      <c r="O7" s="87">
        <f>VLOOKUP($B7&amp;"__wt",'SegEnds_Xtal_BW#'!$A:$Z,15,FALSE)</f>
        <v>38</v>
      </c>
      <c r="P7" s="1">
        <f>VLOOKUP($B7&amp;"__wt",'SegEnds_Xtal_BW#'!$A:$Z,16,FALSE)</f>
        <v>64</v>
      </c>
      <c r="Q7" s="1">
        <f>VLOOKUP($B7&amp;"__wt",'SegEnds_Xtal_BW#'!$A:$Z,17,FALSE)</f>
        <v>50</v>
      </c>
      <c r="R7" s="1">
        <f>VLOOKUP($B7&amp;"__wt",'SegEnds_Xtal_BW#'!$A:$Z,18,FALSE)</f>
        <v>52</v>
      </c>
      <c r="S7" s="1">
        <v>35</v>
      </c>
      <c r="T7" s="1">
        <f t="array" ref="T7">INDEX(ICL3_classA!$G$2:$G$37,MATCH(MIN(ABS(AI7-ICL3_classA!$F$2:$F$37)),ABS(AI7-ICL3_classA!$F$2:$F$37),0))</f>
        <v>74</v>
      </c>
      <c r="U7" s="1">
        <f t="array" ref="U7">INDEX(ICL3_classA!$H$2:$H$37,MATCH(MIN(ABS(AI7-ICL3_classA!$F$2:$F$37)),ABS(AI7-ICL3_classA!$F$2:$F$37),0))</f>
        <v>24</v>
      </c>
      <c r="V7" s="1">
        <v>61</v>
      </c>
      <c r="W7" s="1">
        <v>32</v>
      </c>
      <c r="X7" s="108">
        <v>55</v>
      </c>
      <c r="Y7" s="1">
        <f>VLOOKUP($B7&amp;"__wt",'SegEnds_Xtal_BW#'!$A:$Z,25,FALSE)</f>
        <v>47</v>
      </c>
      <c r="Z7" s="1">
        <f>VLOOKUP($B7&amp;"__wt",'SegEnds_Xtal_BW#'!$A:$Z,26,FALSE)</f>
        <v>58</v>
      </c>
      <c r="AA7" s="27" t="str">
        <f>VLOOKUP(A7,Classification!A:B,2,FALSE)</f>
        <v>A</v>
      </c>
      <c r="AB7" s="1">
        <f>VLOOKUP(A7,'SegEnds_NonXtal_Prot#'!A:AL,10,FALSE)-VLOOKUP(A7,'SegEnds_NonXtal_Prot#'!A:AL,4,FALSE)</f>
        <v>27</v>
      </c>
      <c r="AC7" s="1">
        <f>VLOOKUP(A7,'SegEnds_NonXtal_Prot#'!A:AL,10,FALSE)-VLOOKUP(A7,'SegEnds_NonXtal_Prot#'!A:AL,7,FALSE)</f>
        <v>14</v>
      </c>
      <c r="AD7" s="1">
        <f>VLOOKUP(A7,'SegEnds_NonXtal_Prot#'!A:AL,13,FALSE)-VLOOKUP(A7,'SegEnds_NonXtal_Prot#'!A:AL,10,FALSE)</f>
        <v>25</v>
      </c>
      <c r="AE7" s="1">
        <f>VLOOKUP(A7,'SegEnds_NonXtal_Prot#'!A:AL,16,FALSE)-VLOOKUP(A7,'SegEnds_NonXtal_Prot#'!A:AL,10,FALSE)</f>
        <v>57</v>
      </c>
      <c r="AF7" s="1">
        <f>VLOOKUP(A7,'SegEnds_NonXtal_Prot#'!A:AL,22,FALSE)-VLOOKUP(A7,'SegEnds_NonXtal_Prot#'!A:AL,19,FALSE)</f>
        <v>20</v>
      </c>
      <c r="AG7" s="1">
        <f>VLOOKUP(A7,'SegEnds_NonXtal_Prot#'!A:AL,28,FALSE)-VLOOKUP(A7,'SegEnds_NonXtal_Prot#'!A:AL,25,FALSE)</f>
        <v>23</v>
      </c>
      <c r="AH7" s="1">
        <f>VLOOKUP(A7,'SegEnds_NonXtal_Prot#'!A:AL,28,FALSE)-VLOOKUP(A7,'SegEnds_NonXtal_Prot#'!A:AL,22,FALSE)</f>
        <v>49</v>
      </c>
      <c r="AI7" s="1">
        <f>VLOOKUP(A7,'SegEnds_NonXtal_Prot#'!A:AL,31,FALSE)-VLOOKUP(A7,'SegEnds_NonXtal_Prot#'!A:AL,28,FALSE)</f>
        <v>96</v>
      </c>
      <c r="AJ7" s="1">
        <f>VLOOKUP(A7,'SegEnds_NonXtal_Prot#'!A:AL,34,FALSE)-VLOOKUP(A7,'SegEnds_NonXtal_Prot#'!A:AL,31,FALSE)</f>
        <v>34</v>
      </c>
      <c r="AK7" s="1">
        <f>VLOOKUP(A7,'SegEnds_NonXtal_Prot#'!A:AL,37,FALSE)-VLOOKUP(A7,'SegEnds_NonXtal_Prot#'!A:AL,34,FALSE)</f>
        <v>9</v>
      </c>
      <c r="AL7" s="1" t="str">
        <f>IF(ISERROR(MATCH(A7,'SegEnds_Xtal_Prot#'!B:B, 0)), "NoXtal", "Xtal")</f>
        <v>NoXtal</v>
      </c>
    </row>
    <row r="8" spans="1:38" x14ac:dyDescent="0.2">
      <c r="A8" s="1" t="s">
        <v>128</v>
      </c>
      <c r="B8" s="1" t="str">
        <f>VLOOKUP(A8,Xtal_Templ!A:B,2,FALSE)</f>
        <v>5ht1b_human</v>
      </c>
      <c r="C8" s="5">
        <f>VLOOKUP($B8&amp;"__wt",'SegEnds_Xtal_BW#'!$A:$Z,3,FALSE)</f>
        <v>28</v>
      </c>
      <c r="D8" s="1">
        <f>VLOOKUP($B8&amp;"__wt",'SegEnds_Xtal_BW#'!$A:$Z,4,FALSE)</f>
        <v>60</v>
      </c>
      <c r="E8" s="1">
        <f>VLOOKUP($B8&amp;"__wt",'SegEnds_Xtal_BW#'!$A:$Z,5,FALSE)</f>
        <v>48</v>
      </c>
      <c r="F8" s="1">
        <f>VLOOKUP($B8&amp;"__wt",'SegEnds_Xtal_BW#'!$A:$Z,6,FALSE)</f>
        <v>51</v>
      </c>
      <c r="G8" s="1">
        <v>37</v>
      </c>
      <c r="H8" s="12">
        <f>VLOOKUP($B8&amp;"__wt",'SegEnds_Xtal_BW#'!$A:$Z,8,FALSE)</f>
        <v>68</v>
      </c>
      <c r="I8" s="1">
        <f>VLOOKUP($B8&amp;"__wt",'SegEnds_Xtal_BW#'!$A:$Z,9,FALSE)</f>
        <v>49</v>
      </c>
      <c r="J8" s="1">
        <f>VLOOKUP($B8&amp;"__wt",'SegEnds_Xtal_BW#'!$A:$Z,10,FALSE)</f>
        <v>52</v>
      </c>
      <c r="K8" s="12">
        <v>18</v>
      </c>
      <c r="L8" s="1">
        <f>VLOOKUP($B8&amp;"__wt",'SegEnds_Xtal_BW#'!$A:$Z,12,FALSE)</f>
        <v>56</v>
      </c>
      <c r="M8" s="1">
        <f>VLOOKUP($B8&amp;"__wt",'SegEnds_Xtal_BW#'!$A:$Z,13,FALSE)</f>
        <v>50</v>
      </c>
      <c r="N8" s="12">
        <v>57</v>
      </c>
      <c r="O8" s="87">
        <v>38</v>
      </c>
      <c r="P8" s="1">
        <f>VLOOKUP($B8&amp;"__wt",'SegEnds_Xtal_BW#'!$A:$Z,16,FALSE)</f>
        <v>63</v>
      </c>
      <c r="Q8" s="1">
        <f>VLOOKUP($B8&amp;"__wt",'SegEnds_Xtal_BW#'!$A:$Z,17,FALSE)</f>
        <v>50</v>
      </c>
      <c r="R8" s="1">
        <f>VLOOKUP($B8&amp;"__wt",'SegEnds_Xtal_BW#'!$A:$Z,18,FALSE)</f>
        <v>52</v>
      </c>
      <c r="S8" s="1">
        <v>35</v>
      </c>
      <c r="T8" s="1">
        <f t="array" ref="T8">INDEX(ICL3_classA!$G$2:$G$37,MATCH(MIN(ABS(AI8-ICL3_classA!$F$2:$F$37)),ABS(AI8-ICL3_classA!$F$2:$F$37),0))</f>
        <v>76</v>
      </c>
      <c r="U8" s="1">
        <f t="array" ref="U8">INDEX(ICL3_classA!$H$2:$H$37,MATCH(MIN(ABS(AI8-ICL3_classA!$F$2:$F$37)),ABS(AI8-ICL3_classA!$F$2:$F$37),0))</f>
        <v>24</v>
      </c>
      <c r="V8" s="1">
        <v>60</v>
      </c>
      <c r="W8" s="1">
        <v>31</v>
      </c>
      <c r="X8" s="128">
        <f>VLOOKUP($B8&amp;"__wt",'SegEnds_Xtal_BW#'!$A:$Z,24,FALSE)</f>
        <v>56</v>
      </c>
      <c r="Y8" s="1">
        <f>VLOOKUP($B8&amp;"__wt",'SegEnds_Xtal_BW#'!$A:$Z,25,FALSE)</f>
        <v>47</v>
      </c>
      <c r="Z8" s="1">
        <f>VLOOKUP($B8&amp;"__wt",'SegEnds_Xtal_BW#'!$A:$Z,26,FALSE)</f>
        <v>58</v>
      </c>
      <c r="AA8" s="27" t="str">
        <f>VLOOKUP(A8,Classification!A:B,2,FALSE)</f>
        <v>A</v>
      </c>
      <c r="AB8" s="1">
        <f>VLOOKUP(A8,'SegEnds_NonXtal_Prot#'!A:AL,10,FALSE)-VLOOKUP(A8,'SegEnds_NonXtal_Prot#'!A:AL,4,FALSE)</f>
        <v>28</v>
      </c>
      <c r="AC8" s="1">
        <f>VLOOKUP(A8,'SegEnds_NonXtal_Prot#'!A:AL,10,FALSE)-VLOOKUP(A8,'SegEnds_NonXtal_Prot#'!A:AL,7,FALSE)</f>
        <v>15</v>
      </c>
      <c r="AD8" s="1">
        <f>VLOOKUP(A8,'SegEnds_NonXtal_Prot#'!A:AL,13,FALSE)-VLOOKUP(A8,'SegEnds_NonXtal_Prot#'!A:AL,10,FALSE)</f>
        <v>20</v>
      </c>
      <c r="AE8" s="1">
        <f>VLOOKUP(A8,'SegEnds_NonXtal_Prot#'!A:AL,16,FALSE)-VLOOKUP(A8,'SegEnds_NonXtal_Prot#'!A:AL,10,FALSE)</f>
        <v>52</v>
      </c>
      <c r="AF8" s="1">
        <f>VLOOKUP(A8,'SegEnds_NonXtal_Prot#'!A:AL,22,FALSE)-VLOOKUP(A8,'SegEnds_NonXtal_Prot#'!A:AL,19,FALSE)</f>
        <v>20</v>
      </c>
      <c r="AG8" s="1">
        <f>VLOOKUP(A8,'SegEnds_NonXtal_Prot#'!A:AL,28,FALSE)-VLOOKUP(A8,'SegEnds_NonXtal_Prot#'!A:AL,25,FALSE)</f>
        <v>20</v>
      </c>
      <c r="AH8" s="1">
        <f>VLOOKUP(A8,'SegEnds_NonXtal_Prot#'!A:AL,28,FALSE)-VLOOKUP(A8,'SegEnds_NonXtal_Prot#'!A:AL,22,FALSE)</f>
        <v>46</v>
      </c>
      <c r="AI8" s="1">
        <f>VLOOKUP(A8,'SegEnds_NonXtal_Prot#'!A:AL,31,FALSE)-VLOOKUP(A8,'SegEnds_NonXtal_Prot#'!A:AL,28,FALSE)</f>
        <v>153</v>
      </c>
      <c r="AJ8" s="1">
        <f>VLOOKUP(A8,'SegEnds_NonXtal_Prot#'!A:AL,34,FALSE)-VLOOKUP(A8,'SegEnds_NonXtal_Prot#'!A:AL,31,FALSE)</f>
        <v>37</v>
      </c>
      <c r="AK8" s="1">
        <f>VLOOKUP(A8,'SegEnds_NonXtal_Prot#'!A:AL,37,FALSE)-VLOOKUP(A8,'SegEnds_NonXtal_Prot#'!A:AL,34,FALSE)</f>
        <v>10</v>
      </c>
      <c r="AL8" s="1" t="str">
        <f>IF(ISERROR(MATCH(A8,'SegEnds_Xtal_Prot#'!B:B, 0)), "NoXtal", "Xtal")</f>
        <v>NoXtal</v>
      </c>
    </row>
    <row r="9" spans="1:38" x14ac:dyDescent="0.2">
      <c r="A9" s="1" t="s">
        <v>34</v>
      </c>
      <c r="B9" s="1" t="str">
        <f>VLOOKUP(A9,Xtal_Templ!A:B,2,FALSE)</f>
        <v>5ht1b_human</v>
      </c>
      <c r="C9" s="5">
        <f>VLOOKUP($B9&amp;"__wt",'SegEnds_Xtal_BW#'!$A:$Z,3,FALSE)</f>
        <v>28</v>
      </c>
      <c r="D9" s="1">
        <f>VLOOKUP($B9&amp;"__wt",'SegEnds_Xtal_BW#'!$A:$Z,4,FALSE)</f>
        <v>60</v>
      </c>
      <c r="E9" s="1">
        <f>VLOOKUP($B9&amp;"__wt",'SegEnds_Xtal_BW#'!$A:$Z,5,FALSE)</f>
        <v>48</v>
      </c>
      <c r="F9" s="1">
        <f>VLOOKUP($B9&amp;"__wt",'SegEnds_Xtal_BW#'!$A:$Z,6,FALSE)</f>
        <v>51</v>
      </c>
      <c r="G9" s="1">
        <v>37</v>
      </c>
      <c r="H9" s="12">
        <f>VLOOKUP($B9&amp;"__wt",'SegEnds_Xtal_BW#'!$A:$Z,8,FALSE)</f>
        <v>68</v>
      </c>
      <c r="I9" s="1">
        <f>VLOOKUP($B9&amp;"__wt",'SegEnds_Xtal_BW#'!$A:$Z,9,FALSE)</f>
        <v>49</v>
      </c>
      <c r="J9" s="1">
        <f>VLOOKUP($B9&amp;"__wt",'SegEnds_Xtal_BW#'!$A:$Z,10,FALSE)</f>
        <v>52</v>
      </c>
      <c r="K9" s="12">
        <v>18</v>
      </c>
      <c r="L9" s="1">
        <f>VLOOKUP($B9&amp;"__wt",'SegEnds_Xtal_BW#'!$A:$Z,12,FALSE)</f>
        <v>56</v>
      </c>
      <c r="M9" s="1">
        <f>VLOOKUP($B9&amp;"__wt",'SegEnds_Xtal_BW#'!$A:$Z,13,FALSE)</f>
        <v>50</v>
      </c>
      <c r="N9" s="12">
        <f>VLOOKUP($B9&amp;"__wt",'SegEnds_Xtal_BW#'!$A:$Z,14,FALSE)</f>
        <v>57</v>
      </c>
      <c r="O9" s="87">
        <f>VLOOKUP($B9&amp;"__wt",'SegEnds_Xtal_BW#'!$A:$Z,15,FALSE)</f>
        <v>38</v>
      </c>
      <c r="P9" s="1">
        <f>VLOOKUP($B9&amp;"__wt",'SegEnds_Xtal_BW#'!$A:$Z,16,FALSE)</f>
        <v>63</v>
      </c>
      <c r="Q9" s="1">
        <f>VLOOKUP($B9&amp;"__wt",'SegEnds_Xtal_BW#'!$A:$Z,17,FALSE)</f>
        <v>50</v>
      </c>
      <c r="R9" s="1">
        <f>VLOOKUP($B9&amp;"__wt",'SegEnds_Xtal_BW#'!$A:$Z,18,FALSE)</f>
        <v>52</v>
      </c>
      <c r="S9" s="1">
        <v>35</v>
      </c>
      <c r="T9" s="1">
        <f t="array" ref="T9">INDEX(ICL3_classA!$G$2:$G$37,MATCH(MIN(ABS(AI9-ICL3_classA!$F$2:$F$37)),ABS(AI9-ICL3_classA!$F$2:$F$37),0))</f>
        <v>74</v>
      </c>
      <c r="U9" s="1">
        <f t="array" ref="U9">INDEX(ICL3_classA!$H$2:$H$37,MATCH(MIN(ABS(AI9-ICL3_classA!$F$2:$F$37)),ABS(AI9-ICL3_classA!$F$2:$F$37),0))</f>
        <v>24</v>
      </c>
      <c r="V9" s="1">
        <v>60</v>
      </c>
      <c r="W9" s="1">
        <v>31</v>
      </c>
      <c r="X9" s="128">
        <f>VLOOKUP($B9&amp;"__wt",'SegEnds_Xtal_BW#'!$A:$Z,24,FALSE)</f>
        <v>56</v>
      </c>
      <c r="Y9" s="1">
        <f>VLOOKUP($B9&amp;"__wt",'SegEnds_Xtal_BW#'!$A:$Z,25,FALSE)</f>
        <v>47</v>
      </c>
      <c r="Z9" s="1">
        <f>VLOOKUP($B9&amp;"__wt",'SegEnds_Xtal_BW#'!$A:$Z,26,FALSE)</f>
        <v>58</v>
      </c>
      <c r="AA9" s="27" t="str">
        <f>VLOOKUP(A9,Classification!A:B,2,FALSE)</f>
        <v>A</v>
      </c>
      <c r="AB9" s="1">
        <f>VLOOKUP(A9,'SegEnds_NonXtal_Prot#'!A:AL,10,FALSE)-VLOOKUP(A9,'SegEnds_NonXtal_Prot#'!A:AL,4,FALSE)</f>
        <v>28</v>
      </c>
      <c r="AC9" s="1">
        <f>VLOOKUP(A9,'SegEnds_NonXtal_Prot#'!A:AL,10,FALSE)-VLOOKUP(A9,'SegEnds_NonXtal_Prot#'!A:AL,7,FALSE)</f>
        <v>15</v>
      </c>
      <c r="AD9" s="1">
        <f>VLOOKUP(A9,'SegEnds_NonXtal_Prot#'!A:AL,13,FALSE)-VLOOKUP(A9,'SegEnds_NonXtal_Prot#'!A:AL,10,FALSE)</f>
        <v>20</v>
      </c>
      <c r="AE9" s="1">
        <f>VLOOKUP(A9,'SegEnds_NonXtal_Prot#'!A:AL,16,FALSE)-VLOOKUP(A9,'SegEnds_NonXtal_Prot#'!A:AL,10,FALSE)</f>
        <v>52</v>
      </c>
      <c r="AF9" s="1">
        <f>VLOOKUP(A9,'SegEnds_NonXtal_Prot#'!A:AL,22,FALSE)-VLOOKUP(A9,'SegEnds_NonXtal_Prot#'!A:AL,19,FALSE)</f>
        <v>20</v>
      </c>
      <c r="AG9" s="1">
        <f>VLOOKUP(A9,'SegEnds_NonXtal_Prot#'!A:AL,28,FALSE)-VLOOKUP(A9,'SegEnds_NonXtal_Prot#'!A:AL,25,FALSE)</f>
        <v>21</v>
      </c>
      <c r="AH9" s="1">
        <f>VLOOKUP(A9,'SegEnds_NonXtal_Prot#'!A:AL,28,FALSE)-VLOOKUP(A9,'SegEnds_NonXtal_Prot#'!A:AL,22,FALSE)</f>
        <v>46</v>
      </c>
      <c r="AI9" s="1">
        <f>VLOOKUP(A9,'SegEnds_NonXtal_Prot#'!A:AL,31,FALSE)-VLOOKUP(A9,'SegEnds_NonXtal_Prot#'!A:AL,28,FALSE)</f>
        <v>109</v>
      </c>
      <c r="AJ9" s="1">
        <f>VLOOKUP(A9,'SegEnds_NonXtal_Prot#'!A:AL,34,FALSE)-VLOOKUP(A9,'SegEnds_NonXtal_Prot#'!A:AL,31,FALSE)</f>
        <v>37</v>
      </c>
      <c r="AK9" s="1">
        <f>VLOOKUP(A9,'SegEnds_NonXtal_Prot#'!A:AL,37,FALSE)-VLOOKUP(A9,'SegEnds_NonXtal_Prot#'!A:AL,34,FALSE)</f>
        <v>10</v>
      </c>
      <c r="AL9" s="1" t="str">
        <f>IF(ISERROR(MATCH(A9,'SegEnds_Xtal_Prot#'!B:B, 0)), "NoXtal", "Xtal")</f>
        <v>Xtal</v>
      </c>
    </row>
    <row r="10" spans="1:38" x14ac:dyDescent="0.2">
      <c r="A10" s="1" t="s">
        <v>129</v>
      </c>
      <c r="B10" s="1" t="str">
        <f>VLOOKUP(A10,Xtal_Templ!A:B,2,FALSE)</f>
        <v>5ht1b_human</v>
      </c>
      <c r="C10" s="5">
        <f>VLOOKUP($B10&amp;"__wt",'SegEnds_Xtal_BW#'!$A:$Z,3,FALSE)</f>
        <v>28</v>
      </c>
      <c r="D10" s="1">
        <f>VLOOKUP($B10&amp;"__wt",'SegEnds_Xtal_BW#'!$A:$Z,4,FALSE)</f>
        <v>60</v>
      </c>
      <c r="E10" s="1">
        <f>VLOOKUP($B10&amp;"__wt",'SegEnds_Xtal_BW#'!$A:$Z,5,FALSE)</f>
        <v>48</v>
      </c>
      <c r="F10" s="1">
        <f>VLOOKUP($B10&amp;"__wt",'SegEnds_Xtal_BW#'!$A:$Z,6,FALSE)</f>
        <v>51</v>
      </c>
      <c r="G10" s="1">
        <v>37</v>
      </c>
      <c r="H10" s="12">
        <f>VLOOKUP($B10&amp;"__wt",'SegEnds_Xtal_BW#'!$A:$Z,8,FALSE)</f>
        <v>68</v>
      </c>
      <c r="I10" s="1">
        <f>VLOOKUP($B10&amp;"__wt",'SegEnds_Xtal_BW#'!$A:$Z,9,FALSE)</f>
        <v>49</v>
      </c>
      <c r="J10" s="1">
        <f>VLOOKUP($B10&amp;"__wt",'SegEnds_Xtal_BW#'!$A:$Z,10,FALSE)</f>
        <v>52</v>
      </c>
      <c r="K10" s="12">
        <v>18</v>
      </c>
      <c r="L10" s="1">
        <f>VLOOKUP($B10&amp;"__wt",'SegEnds_Xtal_BW#'!$A:$Z,12,FALSE)</f>
        <v>56</v>
      </c>
      <c r="M10" s="1">
        <f>VLOOKUP($B10&amp;"__wt",'SegEnds_Xtal_BW#'!$A:$Z,13,FALSE)</f>
        <v>50</v>
      </c>
      <c r="N10" s="12">
        <v>57</v>
      </c>
      <c r="O10" s="87">
        <v>38</v>
      </c>
      <c r="P10" s="1">
        <f>VLOOKUP($B10&amp;"__wt",'SegEnds_Xtal_BW#'!$A:$Z,16,FALSE)</f>
        <v>63</v>
      </c>
      <c r="Q10" s="1">
        <f>VLOOKUP($B10&amp;"__wt",'SegEnds_Xtal_BW#'!$A:$Z,17,FALSE)</f>
        <v>50</v>
      </c>
      <c r="R10" s="1">
        <f>VLOOKUP($B10&amp;"__wt",'SegEnds_Xtal_BW#'!$A:$Z,18,FALSE)</f>
        <v>52</v>
      </c>
      <c r="S10" s="1">
        <v>35</v>
      </c>
      <c r="T10" s="1">
        <f t="array" ref="T10">INDEX(ICL3_classA!$G$2:$G$37,MATCH(MIN(ABS(AI10-ICL3_classA!$F$2:$F$37)),ABS(AI10-ICL3_classA!$F$2:$F$37),0))</f>
        <v>74</v>
      </c>
      <c r="U10" s="1">
        <f t="array" ref="U10">INDEX(ICL3_classA!$H$2:$H$37,MATCH(MIN(ABS(AI10-ICL3_classA!$F$2:$F$37)),ABS(AI10-ICL3_classA!$F$2:$F$37),0))</f>
        <v>24</v>
      </c>
      <c r="V10" s="1">
        <v>60</v>
      </c>
      <c r="W10" s="1">
        <v>31</v>
      </c>
      <c r="X10" s="128">
        <f>VLOOKUP($B10&amp;"__wt",'SegEnds_Xtal_BW#'!$A:$Z,24,FALSE)</f>
        <v>56</v>
      </c>
      <c r="Y10" s="1">
        <f>VLOOKUP($B10&amp;"__wt",'SegEnds_Xtal_BW#'!$A:$Z,25,FALSE)</f>
        <v>47</v>
      </c>
      <c r="Z10" s="1">
        <f>VLOOKUP($B10&amp;"__wt",'SegEnds_Xtal_BW#'!$A:$Z,26,FALSE)</f>
        <v>58</v>
      </c>
      <c r="AA10" s="27" t="str">
        <f>VLOOKUP(A10,Classification!A:B,2,FALSE)</f>
        <v>A</v>
      </c>
      <c r="AB10" s="1">
        <f>VLOOKUP(A10,'SegEnds_NonXtal_Prot#'!A:AL,10,FALSE)-VLOOKUP(A10,'SegEnds_NonXtal_Prot#'!A:AL,4,FALSE)</f>
        <v>28</v>
      </c>
      <c r="AC10" s="1">
        <f>VLOOKUP(A10,'SegEnds_NonXtal_Prot#'!A:AL,10,FALSE)-VLOOKUP(A10,'SegEnds_NonXtal_Prot#'!A:AL,7,FALSE)</f>
        <v>15</v>
      </c>
      <c r="AD10" s="1">
        <f>VLOOKUP(A10,'SegEnds_NonXtal_Prot#'!A:AL,13,FALSE)-VLOOKUP(A10,'SegEnds_NonXtal_Prot#'!A:AL,10,FALSE)</f>
        <v>20</v>
      </c>
      <c r="AE10" s="1">
        <f>VLOOKUP(A10,'SegEnds_NonXtal_Prot#'!A:AL,16,FALSE)-VLOOKUP(A10,'SegEnds_NonXtal_Prot#'!A:AL,10,FALSE)</f>
        <v>52</v>
      </c>
      <c r="AF10" s="1">
        <f>VLOOKUP(A10,'SegEnds_NonXtal_Prot#'!A:AL,22,FALSE)-VLOOKUP(A10,'SegEnds_NonXtal_Prot#'!A:AL,19,FALSE)</f>
        <v>20</v>
      </c>
      <c r="AG10" s="1">
        <f>VLOOKUP(A10,'SegEnds_NonXtal_Prot#'!A:AL,28,FALSE)-VLOOKUP(A10,'SegEnds_NonXtal_Prot#'!A:AL,25,FALSE)</f>
        <v>21</v>
      </c>
      <c r="AH10" s="1">
        <f>VLOOKUP(A10,'SegEnds_NonXtal_Prot#'!A:AL,28,FALSE)-VLOOKUP(A10,'SegEnds_NonXtal_Prot#'!A:AL,22,FALSE)</f>
        <v>46</v>
      </c>
      <c r="AI10" s="1">
        <f>VLOOKUP(A10,'SegEnds_NonXtal_Prot#'!A:AL,31,FALSE)-VLOOKUP(A10,'SegEnds_NonXtal_Prot#'!A:AL,28,FALSE)</f>
        <v>107</v>
      </c>
      <c r="AJ10" s="1">
        <f>VLOOKUP(A10,'SegEnds_NonXtal_Prot#'!A:AL,34,FALSE)-VLOOKUP(A10,'SegEnds_NonXtal_Prot#'!A:AL,31,FALSE)</f>
        <v>37</v>
      </c>
      <c r="AK10" s="1">
        <f>VLOOKUP(A10,'SegEnds_NonXtal_Prot#'!A:AL,37,FALSE)-VLOOKUP(A10,'SegEnds_NonXtal_Prot#'!A:AL,34,FALSE)</f>
        <v>10</v>
      </c>
      <c r="AL10" s="1" t="str">
        <f>IF(ISERROR(MATCH(A10,'SegEnds_Xtal_Prot#'!B:B, 0)), "NoXtal", "Xtal")</f>
        <v>NoXtal</v>
      </c>
    </row>
    <row r="11" spans="1:38" x14ac:dyDescent="0.2">
      <c r="A11" s="1" t="s">
        <v>130</v>
      </c>
      <c r="B11" s="1" t="str">
        <f>VLOOKUP(A11,Xtal_Templ!A:B,2,FALSE)</f>
        <v>5ht1b_human</v>
      </c>
      <c r="C11" s="5">
        <f>VLOOKUP($B11&amp;"__wt",'SegEnds_Xtal_BW#'!$A:$Z,3,FALSE)</f>
        <v>28</v>
      </c>
      <c r="D11" s="1">
        <f>VLOOKUP($B11&amp;"__wt",'SegEnds_Xtal_BW#'!$A:$Z,4,FALSE)</f>
        <v>60</v>
      </c>
      <c r="E11" s="1">
        <f>VLOOKUP($B11&amp;"__wt",'SegEnds_Xtal_BW#'!$A:$Z,5,FALSE)</f>
        <v>48</v>
      </c>
      <c r="F11" s="1">
        <f>VLOOKUP($B11&amp;"__wt",'SegEnds_Xtal_BW#'!$A:$Z,6,FALSE)</f>
        <v>51</v>
      </c>
      <c r="G11" s="1">
        <v>37</v>
      </c>
      <c r="H11" s="12">
        <f>VLOOKUP($B11&amp;"__wt",'SegEnds_Xtal_BW#'!$A:$Z,8,FALSE)</f>
        <v>68</v>
      </c>
      <c r="I11" s="1">
        <f>VLOOKUP($B11&amp;"__wt",'SegEnds_Xtal_BW#'!$A:$Z,9,FALSE)</f>
        <v>49</v>
      </c>
      <c r="J11" s="1">
        <f>VLOOKUP($B11&amp;"__wt",'SegEnds_Xtal_BW#'!$A:$Z,10,FALSE)</f>
        <v>52</v>
      </c>
      <c r="K11" s="12">
        <v>18</v>
      </c>
      <c r="L11" s="1">
        <f>VLOOKUP($B11&amp;"__wt",'SegEnds_Xtal_BW#'!$A:$Z,12,FALSE)</f>
        <v>56</v>
      </c>
      <c r="M11" s="1">
        <f>VLOOKUP($B11&amp;"__wt",'SegEnds_Xtal_BW#'!$A:$Z,13,FALSE)</f>
        <v>50</v>
      </c>
      <c r="N11" s="12">
        <v>57</v>
      </c>
      <c r="O11" s="87">
        <v>38</v>
      </c>
      <c r="P11" s="1">
        <f>VLOOKUP($B11&amp;"__wt",'SegEnds_Xtal_BW#'!$A:$Z,16,FALSE)</f>
        <v>63</v>
      </c>
      <c r="Q11" s="1">
        <f>VLOOKUP($B11&amp;"__wt",'SegEnds_Xtal_BW#'!$A:$Z,17,FALSE)</f>
        <v>50</v>
      </c>
      <c r="R11" s="1">
        <f>VLOOKUP($B11&amp;"__wt",'SegEnds_Xtal_BW#'!$A:$Z,18,FALSE)</f>
        <v>52</v>
      </c>
      <c r="S11" s="1">
        <f>VLOOKUP($B11&amp;"__wt",'SegEnds_Xtal_BW#'!$A:$Z,19,FALSE)</f>
        <v>35</v>
      </c>
      <c r="T11" s="1">
        <f t="array" ref="T11">INDEX(ICL3_classA!$G$2:$G$37,MATCH(MIN(ABS(AI11-ICL3_classA!$F$2:$F$37)),ABS(AI11-ICL3_classA!$F$2:$F$37),0))</f>
        <v>76</v>
      </c>
      <c r="U11" s="1">
        <f t="array" ref="U11">INDEX(ICL3_classA!$H$2:$H$37,MATCH(MIN(ABS(AI11-ICL3_classA!$F$2:$F$37)),ABS(AI11-ICL3_classA!$F$2:$F$37),0))</f>
        <v>24</v>
      </c>
      <c r="V11" s="1">
        <v>61</v>
      </c>
      <c r="W11" s="1">
        <v>31</v>
      </c>
      <c r="X11" s="1">
        <f>VLOOKUP($B11&amp;"__wt",'SegEnds_Xtal_BW#'!$A:$Z,24,FALSE)</f>
        <v>56</v>
      </c>
      <c r="Y11" s="1">
        <f>VLOOKUP($B11&amp;"__wt",'SegEnds_Xtal_BW#'!$A:$Z,25,FALSE)</f>
        <v>47</v>
      </c>
      <c r="Z11" s="1">
        <f>VLOOKUP($B11&amp;"__wt",'SegEnds_Xtal_BW#'!$A:$Z,26,FALSE)</f>
        <v>58</v>
      </c>
      <c r="AA11" s="27" t="str">
        <f>VLOOKUP(A11,Classification!A:B,2,FALSE)</f>
        <v>A</v>
      </c>
      <c r="AB11" s="1">
        <f>VLOOKUP(A11,'SegEnds_NonXtal_Prot#'!A:AL,10,FALSE)-VLOOKUP(A11,'SegEnds_NonXtal_Prot#'!A:AL,4,FALSE)</f>
        <v>28</v>
      </c>
      <c r="AC11" s="1">
        <f>VLOOKUP(A11,'SegEnds_NonXtal_Prot#'!A:AL,10,FALSE)-VLOOKUP(A11,'SegEnds_NonXtal_Prot#'!A:AL,7,FALSE)</f>
        <v>15</v>
      </c>
      <c r="AD11" s="1">
        <f>VLOOKUP(A11,'SegEnds_NonXtal_Prot#'!A:AL,13,FALSE)-VLOOKUP(A11,'SegEnds_NonXtal_Prot#'!A:AL,10,FALSE)</f>
        <v>20</v>
      </c>
      <c r="AE11" s="1">
        <f>VLOOKUP(A11,'SegEnds_NonXtal_Prot#'!A:AL,16,FALSE)-VLOOKUP(A11,'SegEnds_NonXtal_Prot#'!A:AL,10,FALSE)</f>
        <v>52</v>
      </c>
      <c r="AF11" s="1">
        <f>VLOOKUP(A11,'SegEnds_NonXtal_Prot#'!A:AL,22,FALSE)-VLOOKUP(A11,'SegEnds_NonXtal_Prot#'!A:AL,19,FALSE)</f>
        <v>20</v>
      </c>
      <c r="AG11" s="1">
        <f>VLOOKUP(A11,'SegEnds_NonXtal_Prot#'!A:AL,28,FALSE)-VLOOKUP(A11,'SegEnds_NonXtal_Prot#'!A:AL,25,FALSE)</f>
        <v>21</v>
      </c>
      <c r="AH11" s="1">
        <f>VLOOKUP(A11,'SegEnds_NonXtal_Prot#'!A:AL,28,FALSE)-VLOOKUP(A11,'SegEnds_NonXtal_Prot#'!A:AL,22,FALSE)</f>
        <v>47</v>
      </c>
      <c r="AI11" s="1">
        <f>VLOOKUP(A11,'SegEnds_NonXtal_Prot#'!A:AL,31,FALSE)-VLOOKUP(A11,'SegEnds_NonXtal_Prot#'!A:AL,28,FALSE)</f>
        <v>112</v>
      </c>
      <c r="AJ11" s="1">
        <f>VLOOKUP(A11,'SegEnds_NonXtal_Prot#'!A:AL,34,FALSE)-VLOOKUP(A11,'SegEnds_NonXtal_Prot#'!A:AL,31,FALSE)</f>
        <v>35</v>
      </c>
      <c r="AK11" s="1">
        <f>VLOOKUP(A11,'SegEnds_NonXtal_Prot#'!A:AL,37,FALSE)-VLOOKUP(A11,'SegEnds_NonXtal_Prot#'!A:AL,34,FALSE)</f>
        <v>10</v>
      </c>
      <c r="AL11" s="1" t="str">
        <f>IF(ISERROR(MATCH(A11,'SegEnds_Xtal_Prot#'!B:B, 0)), "NoXtal", "Xtal")</f>
        <v>NoXtal</v>
      </c>
    </row>
    <row r="12" spans="1:38" x14ac:dyDescent="0.2">
      <c r="A12" s="1" t="s">
        <v>131</v>
      </c>
      <c r="B12" s="1" t="str">
        <f>VLOOKUP(A12,Xtal_Templ!A:B,2,FALSE)</f>
        <v>5ht1b_human</v>
      </c>
      <c r="C12" s="5">
        <f>VLOOKUP($B12&amp;"__wt",'SegEnds_Xtal_BW#'!$A:$Z,3,FALSE)</f>
        <v>28</v>
      </c>
      <c r="D12" s="1">
        <f>VLOOKUP($B12&amp;"__wt",'SegEnds_Xtal_BW#'!$A:$Z,4,FALSE)</f>
        <v>60</v>
      </c>
      <c r="E12" s="1">
        <f>VLOOKUP($B12&amp;"__wt",'SegEnds_Xtal_BW#'!$A:$Z,5,FALSE)</f>
        <v>48</v>
      </c>
      <c r="F12" s="1">
        <f>VLOOKUP($B12&amp;"__wt",'SegEnds_Xtal_BW#'!$A:$Z,6,FALSE)</f>
        <v>51</v>
      </c>
      <c r="G12" s="1">
        <v>37</v>
      </c>
      <c r="H12" s="12">
        <f>VLOOKUP($B12&amp;"__wt",'SegEnds_Xtal_BW#'!$A:$Z,8,FALSE)</f>
        <v>68</v>
      </c>
      <c r="I12" s="1">
        <f>VLOOKUP($B12&amp;"__wt",'SegEnds_Xtal_BW#'!$A:$Z,9,FALSE)</f>
        <v>49</v>
      </c>
      <c r="J12" s="1">
        <f>VLOOKUP($B12&amp;"__wt",'SegEnds_Xtal_BW#'!$A:$Z,10,FALSE)</f>
        <v>52</v>
      </c>
      <c r="K12" s="12">
        <v>18</v>
      </c>
      <c r="L12" s="1">
        <f>VLOOKUP($B12&amp;"__wt",'SegEnds_Xtal_BW#'!$A:$Z,12,FALSE)</f>
        <v>56</v>
      </c>
      <c r="M12" s="1">
        <f>VLOOKUP($B12&amp;"__wt",'SegEnds_Xtal_BW#'!$A:$Z,13,FALSE)</f>
        <v>50</v>
      </c>
      <c r="N12" s="12">
        <v>57</v>
      </c>
      <c r="O12" s="87">
        <v>38</v>
      </c>
      <c r="P12" s="1">
        <f>VLOOKUP($B12&amp;"__wt",'SegEnds_Xtal_BW#'!$A:$Z,16,FALSE)</f>
        <v>63</v>
      </c>
      <c r="Q12" s="1">
        <f>VLOOKUP($B12&amp;"__wt",'SegEnds_Xtal_BW#'!$A:$Z,17,FALSE)</f>
        <v>50</v>
      </c>
      <c r="R12" s="1">
        <f>VLOOKUP($B12&amp;"__wt",'SegEnds_Xtal_BW#'!$A:$Z,18,FALSE)</f>
        <v>52</v>
      </c>
      <c r="S12" s="1">
        <v>35</v>
      </c>
      <c r="T12" s="1">
        <f t="array" ref="T12">INDEX(ICL3_classA!$G$2:$G$37,MATCH(MIN(ABS(AI12-ICL3_classA!$F$2:$F$37)),ABS(AI12-ICL3_classA!$F$2:$F$37),0))</f>
        <v>76</v>
      </c>
      <c r="U12" s="1">
        <f t="array" ref="U12">INDEX(ICL3_classA!$H$2:$H$37,MATCH(MIN(ABS(AI12-ICL3_classA!$F$2:$F$37)),ABS(AI12-ICL3_classA!$F$2:$F$37),0))</f>
        <v>24</v>
      </c>
      <c r="V12" s="1">
        <v>61</v>
      </c>
      <c r="W12" s="1">
        <v>31</v>
      </c>
      <c r="X12" s="1">
        <f>VLOOKUP($B12&amp;"__wt",'SegEnds_Xtal_BW#'!$A:$Z,24,FALSE)</f>
        <v>56</v>
      </c>
      <c r="Y12" s="1">
        <f>VLOOKUP($B12&amp;"__wt",'SegEnds_Xtal_BW#'!$A:$Z,25,FALSE)</f>
        <v>47</v>
      </c>
      <c r="Z12" s="1">
        <f>VLOOKUP($B12&amp;"__wt",'SegEnds_Xtal_BW#'!$A:$Z,26,FALSE)</f>
        <v>58</v>
      </c>
      <c r="AA12" s="27" t="str">
        <f>VLOOKUP(A12,Classification!A:B,2,FALSE)</f>
        <v>A</v>
      </c>
      <c r="AB12" s="1">
        <f>VLOOKUP(A12,'SegEnds_NonXtal_Prot#'!A:AL,10,FALSE)-VLOOKUP(A12,'SegEnds_NonXtal_Prot#'!A:AL,4,FALSE)</f>
        <v>28</v>
      </c>
      <c r="AC12" s="1">
        <f>VLOOKUP(A12,'SegEnds_NonXtal_Prot#'!A:AL,10,FALSE)-VLOOKUP(A12,'SegEnds_NonXtal_Prot#'!A:AL,7,FALSE)</f>
        <v>15</v>
      </c>
      <c r="AD12" s="1">
        <f>VLOOKUP(A12,'SegEnds_NonXtal_Prot#'!A:AL,13,FALSE)-VLOOKUP(A12,'SegEnds_NonXtal_Prot#'!A:AL,10,FALSE)</f>
        <v>20</v>
      </c>
      <c r="AE12" s="1">
        <f>VLOOKUP(A12,'SegEnds_NonXtal_Prot#'!A:AL,16,FALSE)-VLOOKUP(A12,'SegEnds_NonXtal_Prot#'!A:AL,10,FALSE)</f>
        <v>52</v>
      </c>
      <c r="AF12" s="1">
        <f>VLOOKUP(A12,'SegEnds_NonXtal_Prot#'!A:AL,22,FALSE)-VLOOKUP(A12,'SegEnds_NonXtal_Prot#'!A:AL,19,FALSE)</f>
        <v>20</v>
      </c>
      <c r="AG12" s="1">
        <f>VLOOKUP(A12,'SegEnds_NonXtal_Prot#'!A:AL,28,FALSE)-VLOOKUP(A12,'SegEnds_NonXtal_Prot#'!A:AL,25,FALSE)</f>
        <v>21</v>
      </c>
      <c r="AH12" s="1">
        <f>VLOOKUP(A12,'SegEnds_NonXtal_Prot#'!A:AL,28,FALSE)-VLOOKUP(A12,'SegEnds_NonXtal_Prot#'!A:AL,22,FALSE)</f>
        <v>45</v>
      </c>
      <c r="AI12" s="1">
        <f>VLOOKUP(A12,'SegEnds_NonXtal_Prot#'!A:AL,31,FALSE)-VLOOKUP(A12,'SegEnds_NonXtal_Prot#'!A:AL,28,FALSE)</f>
        <v>115</v>
      </c>
      <c r="AJ12" s="1">
        <f>VLOOKUP(A12,'SegEnds_NonXtal_Prot#'!A:AL,34,FALSE)-VLOOKUP(A12,'SegEnds_NonXtal_Prot#'!A:AL,31,FALSE)</f>
        <v>36</v>
      </c>
      <c r="AK12" s="1">
        <f>VLOOKUP(A12,'SegEnds_NonXtal_Prot#'!A:AL,37,FALSE)-VLOOKUP(A12,'SegEnds_NonXtal_Prot#'!A:AL,34,FALSE)</f>
        <v>10</v>
      </c>
      <c r="AL12" s="1" t="str">
        <f>IF(ISERROR(MATCH(A12,'SegEnds_Xtal_Prot#'!B:B, 0)), "NoXtal", "Xtal")</f>
        <v>NoXtal</v>
      </c>
    </row>
    <row r="13" spans="1:38" x14ac:dyDescent="0.2">
      <c r="A13" s="1" t="s">
        <v>132</v>
      </c>
      <c r="B13" s="1" t="str">
        <f>VLOOKUP(A13,Xtal_Templ!A:B,2,FALSE)</f>
        <v>5ht2c_human</v>
      </c>
      <c r="C13" s="5">
        <f>VLOOKUP($B13&amp;"__wt",'SegEnds_Xtal_BW#'!$A:$Z,3,FALSE)</f>
        <v>33</v>
      </c>
      <c r="D13" s="1">
        <f>VLOOKUP($B13&amp;"__wt",'SegEnds_Xtal_BW#'!$A:$Z,4,FALSE)</f>
        <v>60</v>
      </c>
      <c r="E13" s="1">
        <f>VLOOKUP($B13&amp;"__wt",'SegEnds_Xtal_BW#'!$A:$Z,5,FALSE)</f>
        <v>48</v>
      </c>
      <c r="F13" s="1">
        <f>VLOOKUP($B13&amp;"__wt",'SegEnds_Xtal_BW#'!$A:$Z,6,FALSE)</f>
        <v>51</v>
      </c>
      <c r="G13" s="1">
        <v>37</v>
      </c>
      <c r="H13" s="12">
        <f>VLOOKUP($B13&amp;"__wt",'SegEnds_Xtal_BW#'!$A:$Z,8,FALSE)</f>
        <v>68</v>
      </c>
      <c r="I13" s="1">
        <f>VLOOKUP($B13&amp;"__wt",'SegEnds_Xtal_BW#'!$A:$Z,9,FALSE)</f>
        <v>49</v>
      </c>
      <c r="J13" s="1">
        <f>VLOOKUP($B13&amp;"__wt",'SegEnds_Xtal_BW#'!$A:$Z,10,FALSE)</f>
        <v>52</v>
      </c>
      <c r="K13" s="12">
        <v>18</v>
      </c>
      <c r="L13" s="1">
        <f>VLOOKUP($B13&amp;"__wt",'SegEnds_Xtal_BW#'!$A:$Z,12,FALSE)</f>
        <v>56</v>
      </c>
      <c r="M13" s="1">
        <f>VLOOKUP($B13&amp;"__wt",'SegEnds_Xtal_BW#'!$A:$Z,13,FALSE)</f>
        <v>50</v>
      </c>
      <c r="N13" s="12">
        <v>57</v>
      </c>
      <c r="O13" s="87">
        <f>VLOOKUP($B13&amp;"__wt",'SegEnds_Xtal_BW#'!$A:$Z,15,FALSE)</f>
        <v>38</v>
      </c>
      <c r="P13" s="1">
        <f>VLOOKUP($B13&amp;"__wt",'SegEnds_Xtal_BW#'!$A:$Z,16,FALSE)</f>
        <v>67</v>
      </c>
      <c r="Q13" s="1">
        <f>VLOOKUP($B13&amp;"__wt",'SegEnds_Xtal_BW#'!$A:$Z,17,FALSE)</f>
        <v>50</v>
      </c>
      <c r="R13" s="1">
        <f>VLOOKUP($B13&amp;"__wt",'SegEnds_Xtal_BW#'!$A:$Z,18,FALSE)</f>
        <v>52</v>
      </c>
      <c r="S13" s="1">
        <v>35</v>
      </c>
      <c r="T13" s="1">
        <f t="array" ref="T13">INDEX(ICL3_classA!$G$2:$G$37,MATCH(MIN(ABS(AI13-ICL3_classA!$F$2:$F$37)),ABS(AI13-ICL3_classA!$F$2:$F$37),0))</f>
        <v>76</v>
      </c>
      <c r="U13" s="1">
        <f t="array" ref="U13">INDEX(ICL3_classA!$H$2:$H$37,MATCH(MIN(ABS(AI13-ICL3_classA!$F$2:$F$37)),ABS(AI13-ICL3_classA!$F$2:$F$37),0))</f>
        <v>24</v>
      </c>
      <c r="V13" s="1">
        <v>61</v>
      </c>
      <c r="W13" s="108">
        <v>27</v>
      </c>
      <c r="X13" s="1">
        <f>VLOOKUP($B13&amp;"__wt",'SegEnds_Xtal_BW#'!$A:$Z,24,FALSE)</f>
        <v>56</v>
      </c>
      <c r="Y13" s="1">
        <f>VLOOKUP($B13&amp;"__wt",'SegEnds_Xtal_BW#'!$A:$Z,25,FALSE)</f>
        <v>47</v>
      </c>
      <c r="Z13" s="1">
        <f>VLOOKUP($B13&amp;"__wt",'SegEnds_Xtal_BW#'!$A:$Z,26,FALSE)</f>
        <v>60</v>
      </c>
      <c r="AA13" s="27" t="str">
        <f>VLOOKUP(A13,Classification!A:B,2,FALSE)</f>
        <v>A</v>
      </c>
      <c r="AB13" s="1">
        <f>VLOOKUP(A13,'SegEnds_NonXtal_Prot#'!A:AL,10,FALSE)-VLOOKUP(A13,'SegEnds_NonXtal_Prot#'!A:AL,4,FALSE)</f>
        <v>28</v>
      </c>
      <c r="AC13" s="1">
        <f>VLOOKUP(A13,'SegEnds_NonXtal_Prot#'!A:AL,10,FALSE)-VLOOKUP(A13,'SegEnds_NonXtal_Prot#'!A:AL,7,FALSE)</f>
        <v>15</v>
      </c>
      <c r="AD13" s="1">
        <f>VLOOKUP(A13,'SegEnds_NonXtal_Prot#'!A:AL,13,FALSE)-VLOOKUP(A13,'SegEnds_NonXtal_Prot#'!A:AL,10,FALSE)</f>
        <v>21</v>
      </c>
      <c r="AE13" s="1">
        <f>VLOOKUP(A13,'SegEnds_NonXtal_Prot#'!A:AL,16,FALSE)-VLOOKUP(A13,'SegEnds_NonXtal_Prot#'!A:AL,10,FALSE)</f>
        <v>53</v>
      </c>
      <c r="AF13" s="1">
        <f>VLOOKUP(A13,'SegEnds_NonXtal_Prot#'!A:AL,22,FALSE)-VLOOKUP(A13,'SegEnds_NonXtal_Prot#'!A:AL,19,FALSE)</f>
        <v>20</v>
      </c>
      <c r="AG13" s="1">
        <f>VLOOKUP(A13,'SegEnds_NonXtal_Prot#'!A:AL,28,FALSE)-VLOOKUP(A13,'SegEnds_NonXtal_Prot#'!A:AL,25,FALSE)</f>
        <v>19</v>
      </c>
      <c r="AH13" s="1">
        <f>VLOOKUP(A13,'SegEnds_NonXtal_Prot#'!A:AL,28,FALSE)-VLOOKUP(A13,'SegEnds_NonXtal_Prot#'!A:AL,22,FALSE)</f>
        <v>46</v>
      </c>
      <c r="AI13" s="1">
        <f>VLOOKUP(A13,'SegEnds_NonXtal_Prot#'!A:AL,31,FALSE)-VLOOKUP(A13,'SegEnds_NonXtal_Prot#'!A:AL,28,FALSE)</f>
        <v>92</v>
      </c>
      <c r="AJ13" s="1">
        <f>VLOOKUP(A13,'SegEnds_NonXtal_Prot#'!A:AL,34,FALSE)-VLOOKUP(A13,'SegEnds_NonXtal_Prot#'!A:AL,31,FALSE)</f>
        <v>39</v>
      </c>
      <c r="AK13" s="1">
        <f>VLOOKUP(A13,'SegEnds_NonXtal_Prot#'!A:AL,37,FALSE)-VLOOKUP(A13,'SegEnds_NonXtal_Prot#'!A:AL,34,FALSE)</f>
        <v>10</v>
      </c>
      <c r="AL13" s="1" t="str">
        <f>IF(ISERROR(MATCH(A13,'SegEnds_Xtal_Prot#'!B:B, 0)), "NoXtal", "Xtal")</f>
        <v>NoXtal</v>
      </c>
    </row>
    <row r="14" spans="1:38" x14ac:dyDescent="0.2">
      <c r="A14" s="1" t="s">
        <v>35</v>
      </c>
      <c r="B14" s="1" t="str">
        <f>VLOOKUP(A14,Xtal_Templ!A:B,2,FALSE)</f>
        <v>5ht2b_human</v>
      </c>
      <c r="C14" s="5">
        <f>VLOOKUP($B14&amp;"__wt",'SegEnds_Xtal_BW#'!$A:$Z,3,FALSE)</f>
        <v>31</v>
      </c>
      <c r="D14" s="1">
        <f>VLOOKUP($B14&amp;"__wt",'SegEnds_Xtal_BW#'!$A:$Z,4,FALSE)</f>
        <v>60</v>
      </c>
      <c r="E14" s="1">
        <f>VLOOKUP($B14&amp;"__wt",'SegEnds_Xtal_BW#'!$A:$Z,5,FALSE)</f>
        <v>48</v>
      </c>
      <c r="F14" s="1">
        <f>VLOOKUP($B14&amp;"__wt",'SegEnds_Xtal_BW#'!$A:$Z,6,FALSE)</f>
        <v>51</v>
      </c>
      <c r="G14" s="1">
        <v>37</v>
      </c>
      <c r="H14" s="12">
        <f>VLOOKUP($B14&amp;"__wt",'SegEnds_Xtal_BW#'!$A:$Z,8,FALSE)</f>
        <v>67</v>
      </c>
      <c r="I14" s="1">
        <f>VLOOKUP($B14&amp;"__wt",'SegEnds_Xtal_BW#'!$A:$Z,9,FALSE)</f>
        <v>49</v>
      </c>
      <c r="J14" s="1">
        <f>VLOOKUP($B14&amp;"__wt",'SegEnds_Xtal_BW#'!$A:$Z,10,FALSE)</f>
        <v>52</v>
      </c>
      <c r="K14" s="12">
        <v>18</v>
      </c>
      <c r="L14" s="1">
        <f>VLOOKUP($B14&amp;"__wt",'SegEnds_Xtal_BW#'!$A:$Z,12,FALSE)</f>
        <v>56</v>
      </c>
      <c r="M14" s="1">
        <f>VLOOKUP($B14&amp;"__wt",'SegEnds_Xtal_BW#'!$A:$Z,13,FALSE)</f>
        <v>50</v>
      </c>
      <c r="N14" s="12">
        <f>VLOOKUP($B14&amp;"__wt",'SegEnds_Xtal_BW#'!$A:$Z,14,FALSE)</f>
        <v>57</v>
      </c>
      <c r="O14" s="87">
        <f>VLOOKUP($B14&amp;"__wt",'SegEnds_Xtal_BW#'!$A:$Z,15,FALSE)</f>
        <v>38</v>
      </c>
      <c r="P14" s="1">
        <f>VLOOKUP($B14&amp;"__wt",'SegEnds_Xtal_BW#'!$A:$Z,16,FALSE)</f>
        <v>64</v>
      </c>
      <c r="Q14" s="1">
        <f>VLOOKUP($B14&amp;"__wt",'SegEnds_Xtal_BW#'!$A:$Z,17,FALSE)</f>
        <v>50</v>
      </c>
      <c r="R14" s="1">
        <f>VLOOKUP($B14&amp;"__wt",'SegEnds_Xtal_BW#'!$A:$Z,18,FALSE)</f>
        <v>52</v>
      </c>
      <c r="S14" s="1">
        <v>35</v>
      </c>
      <c r="T14" s="1">
        <f t="array" ref="T14">INDEX(ICL3_classA!$G$2:$G$37,MATCH(MIN(ABS(AI14-ICL3_classA!$F$2:$F$37)),ABS(AI14-ICL3_classA!$F$2:$F$37),0))</f>
        <v>76</v>
      </c>
      <c r="U14" s="1">
        <f t="array" ref="U14">INDEX(ICL3_classA!$H$2:$H$37,MATCH(MIN(ABS(AI14-ICL3_classA!$F$2:$F$37)),ABS(AI14-ICL3_classA!$F$2:$F$37),0))</f>
        <v>24</v>
      </c>
      <c r="V14" s="1">
        <v>61</v>
      </c>
      <c r="W14" s="108">
        <v>27</v>
      </c>
      <c r="X14" s="1">
        <f>VLOOKUP($B14&amp;"__wt",'SegEnds_Xtal_BW#'!$A:$Z,24,FALSE)</f>
        <v>56</v>
      </c>
      <c r="Y14" s="1">
        <f>VLOOKUP($B14&amp;"__wt",'SegEnds_Xtal_BW#'!$A:$Z,25,FALSE)</f>
        <v>47</v>
      </c>
      <c r="Z14" s="1">
        <f>VLOOKUP($B14&amp;"__wt",'SegEnds_Xtal_BW#'!$A:$Z,26,FALSE)</f>
        <v>58</v>
      </c>
      <c r="AA14" s="27" t="str">
        <f>VLOOKUP(A14,Classification!A:B,2,FALSE)</f>
        <v>A</v>
      </c>
      <c r="AB14" s="1">
        <f>VLOOKUP(A14,'SegEnds_NonXtal_Prot#'!A:AL,10,FALSE)-VLOOKUP(A14,'SegEnds_NonXtal_Prot#'!A:AL,4,FALSE)</f>
        <v>28</v>
      </c>
      <c r="AC14" s="1">
        <f>VLOOKUP(A14,'SegEnds_NonXtal_Prot#'!A:AL,10,FALSE)-VLOOKUP(A14,'SegEnds_NonXtal_Prot#'!A:AL,7,FALSE)</f>
        <v>15</v>
      </c>
      <c r="AD14" s="1">
        <f>VLOOKUP(A14,'SegEnds_NonXtal_Prot#'!A:AL,13,FALSE)-VLOOKUP(A14,'SegEnds_NonXtal_Prot#'!A:AL,10,FALSE)</f>
        <v>21</v>
      </c>
      <c r="AE14" s="1">
        <f>VLOOKUP(A14,'SegEnds_NonXtal_Prot#'!A:AL,16,FALSE)-VLOOKUP(A14,'SegEnds_NonXtal_Prot#'!A:AL,10,FALSE)</f>
        <v>53</v>
      </c>
      <c r="AF14" s="1">
        <f>VLOOKUP(A14,'SegEnds_NonXtal_Prot#'!A:AL,22,FALSE)-VLOOKUP(A14,'SegEnds_NonXtal_Prot#'!A:AL,19,FALSE)</f>
        <v>20</v>
      </c>
      <c r="AG14" s="1">
        <f>VLOOKUP(A14,'SegEnds_NonXtal_Prot#'!A:AL,28,FALSE)-VLOOKUP(A14,'SegEnds_NonXtal_Prot#'!A:AL,25,FALSE)</f>
        <v>22</v>
      </c>
      <c r="AH14" s="1">
        <f>VLOOKUP(A14,'SegEnds_NonXtal_Prot#'!A:AL,28,FALSE)-VLOOKUP(A14,'SegEnds_NonXtal_Prot#'!A:AL,22,FALSE)</f>
        <v>49</v>
      </c>
      <c r="AI14" s="1">
        <f>VLOOKUP(A14,'SegEnds_NonXtal_Prot#'!A:AL,31,FALSE)-VLOOKUP(A14,'SegEnds_NonXtal_Prot#'!A:AL,28,FALSE)</f>
        <v>110</v>
      </c>
      <c r="AJ14" s="1">
        <f>VLOOKUP(A14,'SegEnds_NonXtal_Prot#'!A:AL,34,FALSE)-VLOOKUP(A14,'SegEnds_NonXtal_Prot#'!A:AL,31,FALSE)</f>
        <v>38</v>
      </c>
      <c r="AK14" s="1">
        <f>VLOOKUP(A14,'SegEnds_NonXtal_Prot#'!A:AL,37,FALSE)-VLOOKUP(A14,'SegEnds_NonXtal_Prot#'!A:AL,34,FALSE)</f>
        <v>10</v>
      </c>
      <c r="AL14" s="1" t="str">
        <f>IF(ISERROR(MATCH(A14,'SegEnds_Xtal_Prot#'!B:B, 0)), "NoXtal", "Xtal")</f>
        <v>Xtal</v>
      </c>
    </row>
    <row r="15" spans="1:38" x14ac:dyDescent="0.2">
      <c r="A15" s="1" t="s">
        <v>133</v>
      </c>
      <c r="B15" s="1" t="str">
        <f>VLOOKUP(A15,Xtal_Templ!A:B,2,FALSE)</f>
        <v>5ht2c_human</v>
      </c>
      <c r="C15" s="5">
        <f>VLOOKUP($B15&amp;"__wt",'SegEnds_Xtal_BW#'!$A:$Z,3,FALSE)</f>
        <v>33</v>
      </c>
      <c r="D15" s="1">
        <f>VLOOKUP($B15&amp;"__wt",'SegEnds_Xtal_BW#'!$A:$Z,4,FALSE)</f>
        <v>60</v>
      </c>
      <c r="E15" s="1">
        <f>VLOOKUP($B15&amp;"__wt",'SegEnds_Xtal_BW#'!$A:$Z,5,FALSE)</f>
        <v>48</v>
      </c>
      <c r="F15" s="1">
        <f>VLOOKUP($B15&amp;"__wt",'SegEnds_Xtal_BW#'!$A:$Z,6,FALSE)</f>
        <v>51</v>
      </c>
      <c r="G15" s="1">
        <v>37</v>
      </c>
      <c r="H15" s="12">
        <f>VLOOKUP($B15&amp;"__wt",'SegEnds_Xtal_BW#'!$A:$Z,8,FALSE)</f>
        <v>68</v>
      </c>
      <c r="I15" s="1">
        <f>VLOOKUP($B15&amp;"__wt",'SegEnds_Xtal_BW#'!$A:$Z,9,FALSE)</f>
        <v>49</v>
      </c>
      <c r="J15" s="1">
        <f>VLOOKUP($B15&amp;"__wt",'SegEnds_Xtal_BW#'!$A:$Z,10,FALSE)</f>
        <v>52</v>
      </c>
      <c r="K15" s="12">
        <v>18</v>
      </c>
      <c r="L15" s="1">
        <f>VLOOKUP($B15&amp;"__wt",'SegEnds_Xtal_BW#'!$A:$Z,12,FALSE)</f>
        <v>56</v>
      </c>
      <c r="M15" s="1">
        <f>VLOOKUP($B15&amp;"__wt",'SegEnds_Xtal_BW#'!$A:$Z,13,FALSE)</f>
        <v>50</v>
      </c>
      <c r="N15" s="12">
        <v>57</v>
      </c>
      <c r="O15" s="87">
        <f>VLOOKUP($B15&amp;"__wt",'SegEnds_Xtal_BW#'!$A:$Z,15,FALSE)</f>
        <v>38</v>
      </c>
      <c r="P15" s="1">
        <f>VLOOKUP($B15&amp;"__wt",'SegEnds_Xtal_BW#'!$A:$Z,16,FALSE)</f>
        <v>67</v>
      </c>
      <c r="Q15" s="1">
        <f>VLOOKUP($B15&amp;"__wt",'SegEnds_Xtal_BW#'!$A:$Z,17,FALSE)</f>
        <v>50</v>
      </c>
      <c r="R15" s="1">
        <f>VLOOKUP($B15&amp;"__wt",'SegEnds_Xtal_BW#'!$A:$Z,18,FALSE)</f>
        <v>52</v>
      </c>
      <c r="S15" s="1">
        <f>VLOOKUP($B15&amp;"__wt",'SegEnds_Xtal_BW#'!$A:$Z,19,FALSE)</f>
        <v>35</v>
      </c>
      <c r="T15" s="1">
        <f t="array" ref="T15">INDEX(ICL3_classA!$G$2:$G$37,MATCH(MIN(ABS(AI15-ICL3_classA!$F$2:$F$37)),ABS(AI15-ICL3_classA!$F$2:$F$37),0))</f>
        <v>74</v>
      </c>
      <c r="U15" s="1">
        <f t="array" ref="U15">INDEX(ICL3_classA!$H$2:$H$37,MATCH(MIN(ABS(AI15-ICL3_classA!$F$2:$F$37)),ABS(AI15-ICL3_classA!$F$2:$F$37),0))</f>
        <v>24</v>
      </c>
      <c r="V15" s="1">
        <v>61</v>
      </c>
      <c r="W15" s="108">
        <v>27</v>
      </c>
      <c r="X15" s="1">
        <f>VLOOKUP($B15&amp;"__wt",'SegEnds_Xtal_BW#'!$A:$Z,24,FALSE)</f>
        <v>56</v>
      </c>
      <c r="Y15" s="1">
        <f>VLOOKUP($B15&amp;"__wt",'SegEnds_Xtal_BW#'!$A:$Z,25,FALSE)</f>
        <v>47</v>
      </c>
      <c r="Z15" s="1">
        <f>VLOOKUP($B15&amp;"__wt",'SegEnds_Xtal_BW#'!$A:$Z,26,FALSE)</f>
        <v>60</v>
      </c>
      <c r="AA15" s="27" t="str">
        <f>VLOOKUP(A15,Classification!A:B,2,FALSE)</f>
        <v>A</v>
      </c>
      <c r="AB15" s="1">
        <f>VLOOKUP(A15,'SegEnds_NonXtal_Prot#'!A:AL,10,FALSE)-VLOOKUP(A15,'SegEnds_NonXtal_Prot#'!A:AL,4,FALSE)</f>
        <v>28</v>
      </c>
      <c r="AC15" s="1">
        <f>VLOOKUP(A15,'SegEnds_NonXtal_Prot#'!A:AL,10,FALSE)-VLOOKUP(A15,'SegEnds_NonXtal_Prot#'!A:AL,7,FALSE)</f>
        <v>15</v>
      </c>
      <c r="AD15" s="1">
        <f>VLOOKUP(A15,'SegEnds_NonXtal_Prot#'!A:AL,13,FALSE)-VLOOKUP(A15,'SegEnds_NonXtal_Prot#'!A:AL,10,FALSE)</f>
        <v>21</v>
      </c>
      <c r="AE15" s="1">
        <f>VLOOKUP(A15,'SegEnds_NonXtal_Prot#'!A:AL,16,FALSE)-VLOOKUP(A15,'SegEnds_NonXtal_Prot#'!A:AL,10,FALSE)</f>
        <v>53</v>
      </c>
      <c r="AF15" s="1">
        <f>VLOOKUP(A15,'SegEnds_NonXtal_Prot#'!A:AL,22,FALSE)-VLOOKUP(A15,'SegEnds_NonXtal_Prot#'!A:AL,19,FALSE)</f>
        <v>20</v>
      </c>
      <c r="AG15" s="1">
        <f>VLOOKUP(A15,'SegEnds_NonXtal_Prot#'!A:AL,28,FALSE)-VLOOKUP(A15,'SegEnds_NonXtal_Prot#'!A:AL,25,FALSE)</f>
        <v>19</v>
      </c>
      <c r="AH15" s="1">
        <f>VLOOKUP(A15,'SegEnds_NonXtal_Prot#'!A:AL,28,FALSE)-VLOOKUP(A15,'SegEnds_NonXtal_Prot#'!A:AL,22,FALSE)</f>
        <v>47</v>
      </c>
      <c r="AI15" s="1">
        <f>VLOOKUP(A15,'SegEnds_NonXtal_Prot#'!A:AL,31,FALSE)-VLOOKUP(A15,'SegEnds_NonXtal_Prot#'!A:AL,28,FALSE)</f>
        <v>100</v>
      </c>
      <c r="AJ15" s="1">
        <f>VLOOKUP(A15,'SegEnds_NonXtal_Prot#'!A:AL,34,FALSE)-VLOOKUP(A15,'SegEnds_NonXtal_Prot#'!A:AL,31,FALSE)</f>
        <v>39</v>
      </c>
      <c r="AK15" s="1">
        <f>VLOOKUP(A15,'SegEnds_NonXtal_Prot#'!A:AL,37,FALSE)-VLOOKUP(A15,'SegEnds_NonXtal_Prot#'!A:AL,34,FALSE)</f>
        <v>10</v>
      </c>
      <c r="AL15" s="1" t="str">
        <f>IF(ISERROR(MATCH(A15,'SegEnds_Xtal_Prot#'!B:B, 0)), "NoXtal", "Xtal")</f>
        <v>Xtal</v>
      </c>
    </row>
    <row r="16" spans="1:38" x14ac:dyDescent="0.2">
      <c r="A16" s="1" t="s">
        <v>134</v>
      </c>
      <c r="B16" s="1" t="str">
        <f>VLOOKUP(A16,Xtal_Templ!A:B,2,FALSE)</f>
        <v>drd2_human</v>
      </c>
      <c r="C16" s="5">
        <f>VLOOKUP($B16&amp;"__wt",'SegEnds_Xtal_BW#'!$A:$Z,3,FALSE)</f>
        <v>29</v>
      </c>
      <c r="D16" s="1">
        <f>VLOOKUP($B16&amp;"__wt",'SegEnds_Xtal_BW#'!$A:$Z,4,FALSE)</f>
        <v>60</v>
      </c>
      <c r="E16" s="1">
        <f>VLOOKUP($B16&amp;"__wt",'SegEnds_Xtal_BW#'!$A:$Z,5,FALSE)</f>
        <v>48</v>
      </c>
      <c r="F16" s="1">
        <f>VLOOKUP($B16&amp;"__wt",'SegEnds_Xtal_BW#'!$A:$Z,6,FALSE)</f>
        <v>51</v>
      </c>
      <c r="G16" s="1">
        <v>37</v>
      </c>
      <c r="H16" s="12">
        <f>VLOOKUP($B16&amp;"__wt",'SegEnds_Xtal_BW#'!$A:$Z,8,FALSE)</f>
        <v>68</v>
      </c>
      <c r="I16" s="1">
        <f>VLOOKUP($B16&amp;"__wt",'SegEnds_Xtal_BW#'!$A:$Z,9,FALSE)</f>
        <v>49</v>
      </c>
      <c r="J16" s="1">
        <f>VLOOKUP($B16&amp;"__wt",'SegEnds_Xtal_BW#'!$A:$Z,10,FALSE)</f>
        <v>52</v>
      </c>
      <c r="K16" s="12">
        <v>18</v>
      </c>
      <c r="L16" s="1">
        <f>VLOOKUP($B16&amp;"__wt",'SegEnds_Xtal_BW#'!$A:$Z,12,FALSE)</f>
        <v>56</v>
      </c>
      <c r="M16" s="1">
        <f>VLOOKUP($B16&amp;"__wt",'SegEnds_Xtal_BW#'!$A:$Z,13,FALSE)</f>
        <v>50</v>
      </c>
      <c r="N16" s="12">
        <v>57</v>
      </c>
      <c r="O16" s="87">
        <v>38</v>
      </c>
      <c r="P16" s="1">
        <f>VLOOKUP($B16&amp;"__wt",'SegEnds_Xtal_BW#'!$A:$Z,16,FALSE)</f>
        <v>62</v>
      </c>
      <c r="Q16" s="1">
        <f>VLOOKUP($B16&amp;"__wt",'SegEnds_Xtal_BW#'!$A:$Z,17,FALSE)</f>
        <v>50</v>
      </c>
      <c r="R16" s="1">
        <f>VLOOKUP($B16&amp;"__wt",'SegEnds_Xtal_BW#'!$A:$Z,18,FALSE)</f>
        <v>52</v>
      </c>
      <c r="S16" s="1">
        <f>VLOOKUP($B16&amp;"__wt",'SegEnds_Xtal_BW#'!$A:$Z,19,FALSE)</f>
        <v>35</v>
      </c>
      <c r="T16" s="1">
        <f t="array" ref="T16">INDEX(ICL3_classA!$G$2:$G$37,MATCH(MIN(ABS(AI16-ICL3_classA!$F$2:$F$37)),ABS(AI16-ICL3_classA!$F$2:$F$37),0))</f>
        <v>76</v>
      </c>
      <c r="U16" s="1">
        <f t="array" ref="U16">INDEX(ICL3_classA!$H$2:$H$37,MATCH(MIN(ABS(AI16-ICL3_classA!$F$2:$F$37)),ABS(AI16-ICL3_classA!$F$2:$F$37),0))</f>
        <v>24</v>
      </c>
      <c r="V16" s="1">
        <v>61</v>
      </c>
      <c r="W16" s="1">
        <v>31</v>
      </c>
      <c r="X16" s="129">
        <v>56</v>
      </c>
      <c r="Y16" s="1">
        <f>VLOOKUP($B16&amp;"__wt",'SegEnds_Xtal_BW#'!$A:$Z,25,FALSE)</f>
        <v>47</v>
      </c>
      <c r="Z16" s="1">
        <f>VLOOKUP($B16&amp;"__wt",'SegEnds_Xtal_BW#'!$A:$Z,26,FALSE)</f>
        <v>59</v>
      </c>
      <c r="AA16" s="27" t="str">
        <f>VLOOKUP(A16,Classification!A:B,2,FALSE)</f>
        <v>A</v>
      </c>
      <c r="AB16" s="1">
        <f>VLOOKUP(A16,'SegEnds_NonXtal_Prot#'!A:AL,10,FALSE)-VLOOKUP(A16,'SegEnds_NonXtal_Prot#'!A:AL,4,FALSE)</f>
        <v>29</v>
      </c>
      <c r="AC16" s="1">
        <f>VLOOKUP(A16,'SegEnds_NonXtal_Prot#'!A:AL,10,FALSE)-VLOOKUP(A16,'SegEnds_NonXtal_Prot#'!A:AL,7,FALSE)</f>
        <v>16</v>
      </c>
      <c r="AD16" s="1">
        <f>VLOOKUP(A16,'SegEnds_NonXtal_Prot#'!A:AL,13,FALSE)-VLOOKUP(A16,'SegEnds_NonXtal_Prot#'!A:AL,10,FALSE)</f>
        <v>20</v>
      </c>
      <c r="AE16" s="1">
        <f>VLOOKUP(A16,'SegEnds_NonXtal_Prot#'!A:AL,16,FALSE)-VLOOKUP(A16,'SegEnds_NonXtal_Prot#'!A:AL,10,FALSE)</f>
        <v>52</v>
      </c>
      <c r="AF16" s="1">
        <f>VLOOKUP(A16,'SegEnds_NonXtal_Prot#'!A:AL,22,FALSE)-VLOOKUP(A16,'SegEnds_NonXtal_Prot#'!A:AL,19,FALSE)</f>
        <v>20</v>
      </c>
      <c r="AG16" s="1">
        <f>VLOOKUP(A16,'SegEnds_NonXtal_Prot#'!A:AL,28,FALSE)-VLOOKUP(A16,'SegEnds_NonXtal_Prot#'!A:AL,25,FALSE)</f>
        <v>20</v>
      </c>
      <c r="AH16" s="1">
        <f>VLOOKUP(A16,'SegEnds_NonXtal_Prot#'!A:AL,28,FALSE)-VLOOKUP(A16,'SegEnds_NonXtal_Prot#'!A:AL,22,FALSE)</f>
        <v>58</v>
      </c>
      <c r="AI16" s="1">
        <f>VLOOKUP(A16,'SegEnds_NonXtal_Prot#'!A:AL,31,FALSE)-VLOOKUP(A16,'SegEnds_NonXtal_Prot#'!A:AL,28,FALSE)</f>
        <v>70</v>
      </c>
      <c r="AJ16" s="1">
        <f>VLOOKUP(A16,'SegEnds_NonXtal_Prot#'!A:AL,34,FALSE)-VLOOKUP(A16,'SegEnds_NonXtal_Prot#'!A:AL,31,FALSE)</f>
        <v>35</v>
      </c>
      <c r="AK16" s="1">
        <f>VLOOKUP(A16,'SegEnds_NonXtal_Prot#'!A:AL,37,FALSE)-VLOOKUP(A16,'SegEnds_NonXtal_Prot#'!A:AL,34,FALSE)</f>
        <v>10</v>
      </c>
      <c r="AL16" s="1" t="str">
        <f>IF(ISERROR(MATCH(A16,'SegEnds_Xtal_Prot#'!B:B, 0)), "NoXtal", "Xtal")</f>
        <v>NoXtal</v>
      </c>
    </row>
    <row r="17" spans="1:38" x14ac:dyDescent="0.2">
      <c r="A17" s="1" t="s">
        <v>135</v>
      </c>
      <c r="B17" s="1" t="str">
        <f>VLOOKUP(A17,Xtal_Templ!A:B,2,FALSE)</f>
        <v>5ht1b_human</v>
      </c>
      <c r="C17" s="5">
        <f>VLOOKUP($B17&amp;"__wt",'SegEnds_Xtal_BW#'!$A:$Z,3,FALSE)</f>
        <v>28</v>
      </c>
      <c r="D17" s="1">
        <f>VLOOKUP($B17&amp;"__wt",'SegEnds_Xtal_BW#'!$A:$Z,4,FALSE)</f>
        <v>60</v>
      </c>
      <c r="E17" s="1">
        <f>VLOOKUP($B17&amp;"__wt",'SegEnds_Xtal_BW#'!$A:$Z,5,FALSE)</f>
        <v>48</v>
      </c>
      <c r="F17" s="1">
        <f>VLOOKUP($B17&amp;"__wt",'SegEnds_Xtal_BW#'!$A:$Z,6,FALSE)</f>
        <v>51</v>
      </c>
      <c r="G17" s="1">
        <v>37</v>
      </c>
      <c r="H17" s="12">
        <f>VLOOKUP($B17&amp;"__wt",'SegEnds_Xtal_BW#'!$A:$Z,8,FALSE)</f>
        <v>68</v>
      </c>
      <c r="I17" s="1">
        <f>VLOOKUP($B17&amp;"__wt",'SegEnds_Xtal_BW#'!$A:$Z,9,FALSE)</f>
        <v>49</v>
      </c>
      <c r="J17" s="1">
        <f>VLOOKUP($B17&amp;"__wt",'SegEnds_Xtal_BW#'!$A:$Z,10,FALSE)</f>
        <v>52</v>
      </c>
      <c r="K17" s="12">
        <v>18</v>
      </c>
      <c r="L17" s="1">
        <f>VLOOKUP($B17&amp;"__wt",'SegEnds_Xtal_BW#'!$A:$Z,12,FALSE)</f>
        <v>56</v>
      </c>
      <c r="M17" s="1">
        <f>VLOOKUP($B17&amp;"__wt",'SegEnds_Xtal_BW#'!$A:$Z,13,FALSE)</f>
        <v>50</v>
      </c>
      <c r="N17" s="12">
        <f>VLOOKUP($B17&amp;"__wt",'SegEnds_Xtal_BW#'!$A:$Z,14,FALSE)</f>
        <v>57</v>
      </c>
      <c r="O17" s="87">
        <f>VLOOKUP($B17&amp;"__wt",'SegEnds_Xtal_BW#'!$A:$Z,15,FALSE)</f>
        <v>38</v>
      </c>
      <c r="P17" s="1">
        <f>VLOOKUP($B17&amp;"__wt",'SegEnds_Xtal_BW#'!$A:$Z,16,FALSE)</f>
        <v>63</v>
      </c>
      <c r="Q17" s="1">
        <f>VLOOKUP($B17&amp;"__wt",'SegEnds_Xtal_BW#'!$A:$Z,17,FALSE)</f>
        <v>50</v>
      </c>
      <c r="R17" s="1">
        <f>VLOOKUP($B17&amp;"__wt",'SegEnds_Xtal_BW#'!$A:$Z,18,FALSE)</f>
        <v>52</v>
      </c>
      <c r="S17" s="1">
        <f>VLOOKUP($B17&amp;"__wt",'SegEnds_Xtal_BW#'!$A:$Z,19,FALSE)</f>
        <v>35</v>
      </c>
      <c r="T17" s="1">
        <f t="array" ref="T17">INDEX(ICL3_classA!$G$2:$G$37,MATCH(MIN(ABS(AI17-ICL3_classA!$F$2:$F$37)),ABS(AI17-ICL3_classA!$F$2:$F$37),0))</f>
        <v>76</v>
      </c>
      <c r="U17" s="1">
        <f t="array" ref="U17">INDEX(ICL3_classA!$H$2:$H$37,MATCH(MIN(ABS(AI17-ICL3_classA!$F$2:$F$37)),ABS(AI17-ICL3_classA!$F$2:$F$37),0))</f>
        <v>24</v>
      </c>
      <c r="V17" s="1">
        <v>61</v>
      </c>
      <c r="W17" s="1">
        <v>31</v>
      </c>
      <c r="X17" s="1">
        <f>VLOOKUP($B17&amp;"__wt",'SegEnds_Xtal_BW#'!$A:$Z,24,FALSE)</f>
        <v>56</v>
      </c>
      <c r="Y17" s="1">
        <f>VLOOKUP($B17&amp;"__wt",'SegEnds_Xtal_BW#'!$A:$Z,25,FALSE)</f>
        <v>47</v>
      </c>
      <c r="Z17" s="1">
        <f>VLOOKUP($B17&amp;"__wt",'SegEnds_Xtal_BW#'!$A:$Z,26,FALSE)</f>
        <v>58</v>
      </c>
      <c r="AA17" s="27" t="str">
        <f>VLOOKUP(A17,Classification!A:B,2,FALSE)</f>
        <v>A</v>
      </c>
      <c r="AB17" s="1">
        <f>VLOOKUP(A17,'SegEnds_NonXtal_Prot#'!A:AL,10,FALSE)-VLOOKUP(A17,'SegEnds_NonXtal_Prot#'!A:AL,4,FALSE)</f>
        <v>28</v>
      </c>
      <c r="AC17" s="1">
        <f>VLOOKUP(A17,'SegEnds_NonXtal_Prot#'!A:AL,10,FALSE)-VLOOKUP(A17,'SegEnds_NonXtal_Prot#'!A:AL,7,FALSE)</f>
        <v>15</v>
      </c>
      <c r="AD17" s="1">
        <f>VLOOKUP(A17,'SegEnds_NonXtal_Prot#'!A:AL,13,FALSE)-VLOOKUP(A17,'SegEnds_NonXtal_Prot#'!A:AL,10,FALSE)</f>
        <v>21</v>
      </c>
      <c r="AE17" s="1">
        <f>VLOOKUP(A17,'SegEnds_NonXtal_Prot#'!A:AL,16,FALSE)-VLOOKUP(A17,'SegEnds_NonXtal_Prot#'!A:AL,10,FALSE)</f>
        <v>53</v>
      </c>
      <c r="AF17" s="1">
        <f>VLOOKUP(A17,'SegEnds_NonXtal_Prot#'!A:AL,22,FALSE)-VLOOKUP(A17,'SegEnds_NonXtal_Prot#'!A:AL,19,FALSE)</f>
        <v>20</v>
      </c>
      <c r="AG17" s="1">
        <f>VLOOKUP(A17,'SegEnds_NonXtal_Prot#'!A:AL,28,FALSE)-VLOOKUP(A17,'SegEnds_NonXtal_Prot#'!A:AL,25,FALSE)</f>
        <v>20</v>
      </c>
      <c r="AH17" s="1">
        <f>VLOOKUP(A17,'SegEnds_NonXtal_Prot#'!A:AL,28,FALSE)-VLOOKUP(A17,'SegEnds_NonXtal_Prot#'!A:AL,22,FALSE)</f>
        <v>46</v>
      </c>
      <c r="AI17" s="1">
        <f>VLOOKUP(A17,'SegEnds_NonXtal_Prot#'!A:AL,31,FALSE)-VLOOKUP(A17,'SegEnds_NonXtal_Prot#'!A:AL,28,FALSE)</f>
        <v>88</v>
      </c>
      <c r="AJ17" s="1">
        <f>VLOOKUP(A17,'SegEnds_NonXtal_Prot#'!A:AL,34,FALSE)-VLOOKUP(A17,'SegEnds_NonXtal_Prot#'!A:AL,31,FALSE)</f>
        <v>35</v>
      </c>
      <c r="AK17" s="1">
        <f>VLOOKUP(A17,'SegEnds_NonXtal_Prot#'!A:AL,37,FALSE)-VLOOKUP(A17,'SegEnds_NonXtal_Prot#'!A:AL,34,FALSE)</f>
        <v>10</v>
      </c>
      <c r="AL17" s="1" t="str">
        <f>IF(ISERROR(MATCH(A17,'SegEnds_Xtal_Prot#'!B:B, 0)), "NoXtal", "Xtal")</f>
        <v>NoXtal</v>
      </c>
    </row>
    <row r="18" spans="1:38" x14ac:dyDescent="0.2">
      <c r="A18" s="1" t="s">
        <v>136</v>
      </c>
      <c r="B18" s="1" t="str">
        <f>VLOOKUP(A18,Xtal_Templ!A:B,2,FALSE)</f>
        <v>5ht2c_human</v>
      </c>
      <c r="C18" s="5">
        <f>VLOOKUP($B18&amp;"__wt",'SegEnds_Xtal_BW#'!$A:$Z,3,FALSE)</f>
        <v>33</v>
      </c>
      <c r="D18" s="1">
        <f>VLOOKUP($B18&amp;"__wt",'SegEnds_Xtal_BW#'!$A:$Z,4,FALSE)</f>
        <v>60</v>
      </c>
      <c r="E18" s="1">
        <f>VLOOKUP($B18&amp;"__wt",'SegEnds_Xtal_BW#'!$A:$Z,5,FALSE)</f>
        <v>48</v>
      </c>
      <c r="F18" s="1">
        <f>VLOOKUP($B18&amp;"__wt",'SegEnds_Xtal_BW#'!$A:$Z,6,FALSE)</f>
        <v>51</v>
      </c>
      <c r="G18" s="1">
        <v>37</v>
      </c>
      <c r="H18" s="12">
        <f>VLOOKUP($B18&amp;"__wt",'SegEnds_Xtal_BW#'!$A:$Z,8,FALSE)</f>
        <v>68</v>
      </c>
      <c r="I18" s="1">
        <f>VLOOKUP($B18&amp;"__wt",'SegEnds_Xtal_BW#'!$A:$Z,9,FALSE)</f>
        <v>49</v>
      </c>
      <c r="J18" s="1">
        <f>VLOOKUP($B18&amp;"__wt",'SegEnds_Xtal_BW#'!$A:$Z,10,FALSE)</f>
        <v>52</v>
      </c>
      <c r="K18" s="12">
        <v>18</v>
      </c>
      <c r="L18" s="1">
        <f>VLOOKUP($B18&amp;"__wt",'SegEnds_Xtal_BW#'!$A:$Z,12,FALSE)</f>
        <v>56</v>
      </c>
      <c r="M18" s="1">
        <f>VLOOKUP($B18&amp;"__wt",'SegEnds_Xtal_BW#'!$A:$Z,13,FALSE)</f>
        <v>50</v>
      </c>
      <c r="N18" s="12">
        <v>57</v>
      </c>
      <c r="O18" s="87">
        <v>38</v>
      </c>
      <c r="P18" s="1">
        <f>VLOOKUP($B18&amp;"__wt",'SegEnds_Xtal_BW#'!$A:$Z,16,FALSE)</f>
        <v>67</v>
      </c>
      <c r="Q18" s="1">
        <f>VLOOKUP($B18&amp;"__wt",'SegEnds_Xtal_BW#'!$A:$Z,17,FALSE)</f>
        <v>50</v>
      </c>
      <c r="R18" s="1">
        <f>VLOOKUP($B18&amp;"__wt",'SegEnds_Xtal_BW#'!$A:$Z,18,FALSE)</f>
        <v>52</v>
      </c>
      <c r="S18" s="1">
        <v>35</v>
      </c>
      <c r="T18" s="1">
        <f t="array" ref="T18">INDEX(ICL3_classA!$G$2:$G$37,MATCH(MIN(ABS(AI18-ICL3_classA!$F$2:$F$37)),ABS(AI18-ICL3_classA!$F$2:$F$37),0))</f>
        <v>76</v>
      </c>
      <c r="U18" s="1">
        <f t="array" ref="U18">INDEX(ICL3_classA!$H$2:$H$37,MATCH(MIN(ABS(AI18-ICL3_classA!$F$2:$F$37)),ABS(AI18-ICL3_classA!$F$2:$F$37),0))</f>
        <v>24</v>
      </c>
      <c r="V18" s="1">
        <v>61</v>
      </c>
      <c r="W18" s="1">
        <v>32</v>
      </c>
      <c r="X18" s="1">
        <f>VLOOKUP($B18&amp;"__wt",'SegEnds_Xtal_BW#'!$A:$Z,24,FALSE)</f>
        <v>56</v>
      </c>
      <c r="Y18" s="1">
        <f>VLOOKUP($B18&amp;"__wt",'SegEnds_Xtal_BW#'!$A:$Z,25,FALSE)</f>
        <v>47</v>
      </c>
      <c r="Z18" s="1">
        <f>VLOOKUP($B18&amp;"__wt",'SegEnds_Xtal_BW#'!$A:$Z,26,FALSE)</f>
        <v>60</v>
      </c>
      <c r="AA18" s="27" t="str">
        <f>VLOOKUP(A18,Classification!A:B,2,FALSE)</f>
        <v>A</v>
      </c>
      <c r="AB18" s="1">
        <f>VLOOKUP(A18,'SegEnds_NonXtal_Prot#'!A:AL,10,FALSE)-VLOOKUP(A18,'SegEnds_NonXtal_Prot#'!A:AL,4,FALSE)</f>
        <v>28</v>
      </c>
      <c r="AC18" s="1">
        <f>VLOOKUP(A18,'SegEnds_NonXtal_Prot#'!A:AL,10,FALSE)-VLOOKUP(A18,'SegEnds_NonXtal_Prot#'!A:AL,7,FALSE)</f>
        <v>15</v>
      </c>
      <c r="AD18" s="1">
        <f>VLOOKUP(A18,'SegEnds_NonXtal_Prot#'!A:AL,13,FALSE)-VLOOKUP(A18,'SegEnds_NonXtal_Prot#'!A:AL,10,FALSE)</f>
        <v>20</v>
      </c>
      <c r="AE18" s="1">
        <f>VLOOKUP(A18,'SegEnds_NonXtal_Prot#'!A:AL,16,FALSE)-VLOOKUP(A18,'SegEnds_NonXtal_Prot#'!A:AL,10,FALSE)</f>
        <v>52</v>
      </c>
      <c r="AF18" s="1">
        <f>VLOOKUP(A18,'SegEnds_NonXtal_Prot#'!A:AL,22,FALSE)-VLOOKUP(A18,'SegEnds_NonXtal_Prot#'!A:AL,19,FALSE)</f>
        <v>20</v>
      </c>
      <c r="AG18" s="1">
        <f>VLOOKUP(A18,'SegEnds_NonXtal_Prot#'!A:AL,28,FALSE)-VLOOKUP(A18,'SegEnds_NonXtal_Prot#'!A:AL,25,FALSE)</f>
        <v>20</v>
      </c>
      <c r="AH18" s="1">
        <f>VLOOKUP(A18,'SegEnds_NonXtal_Prot#'!A:AL,28,FALSE)-VLOOKUP(A18,'SegEnds_NonXtal_Prot#'!A:AL,22,FALSE)</f>
        <v>49</v>
      </c>
      <c r="AI18" s="1">
        <f>VLOOKUP(A18,'SegEnds_NonXtal_Prot#'!A:AL,31,FALSE)-VLOOKUP(A18,'SegEnds_NonXtal_Prot#'!A:AL,28,FALSE)</f>
        <v>83</v>
      </c>
      <c r="AJ18" s="1">
        <f>VLOOKUP(A18,'SegEnds_NonXtal_Prot#'!A:AL,34,FALSE)-VLOOKUP(A18,'SegEnds_NonXtal_Prot#'!A:AL,31,FALSE)</f>
        <v>34</v>
      </c>
      <c r="AK18" s="1">
        <f>VLOOKUP(A18,'SegEnds_NonXtal_Prot#'!A:AL,37,FALSE)-VLOOKUP(A18,'SegEnds_NonXtal_Prot#'!A:AL,34,FALSE)</f>
        <v>10</v>
      </c>
      <c r="AL18" s="1" t="str">
        <f>IF(ISERROR(MATCH(A18,'SegEnds_Xtal_Prot#'!B:B, 0)), "NoXtal", "Xtal")</f>
        <v>NoXtal</v>
      </c>
    </row>
    <row r="19" spans="1:38" x14ac:dyDescent="0.2">
      <c r="A19" s="1" t="s">
        <v>137</v>
      </c>
      <c r="B19" s="1" t="str">
        <f>VLOOKUP(A19,Xtal_Templ!A:B,2,FALSE)</f>
        <v>5ht1b_human</v>
      </c>
      <c r="C19" s="5">
        <f>VLOOKUP($B19&amp;"__wt",'SegEnds_Xtal_BW#'!$A:$Z,3,FALSE)</f>
        <v>28</v>
      </c>
      <c r="D19" s="1">
        <f>VLOOKUP($B19&amp;"__wt",'SegEnds_Xtal_BW#'!$A:$Z,4,FALSE)</f>
        <v>60</v>
      </c>
      <c r="E19" s="1">
        <f>VLOOKUP($B19&amp;"__wt",'SegEnds_Xtal_BW#'!$A:$Z,5,FALSE)</f>
        <v>48</v>
      </c>
      <c r="F19" s="1">
        <f>VLOOKUP($B19&amp;"__wt",'SegEnds_Xtal_BW#'!$A:$Z,6,FALSE)</f>
        <v>51</v>
      </c>
      <c r="G19" s="1">
        <v>37</v>
      </c>
      <c r="H19" s="12">
        <f>VLOOKUP($B19&amp;"__wt",'SegEnds_Xtal_BW#'!$A:$Z,8,FALSE)</f>
        <v>68</v>
      </c>
      <c r="I19" s="1">
        <f>VLOOKUP($B19&amp;"__wt",'SegEnds_Xtal_BW#'!$A:$Z,9,FALSE)</f>
        <v>49</v>
      </c>
      <c r="J19" s="1">
        <f>VLOOKUP($B19&amp;"__wt",'SegEnds_Xtal_BW#'!$A:$Z,10,FALSE)</f>
        <v>52</v>
      </c>
      <c r="K19" s="12">
        <v>18</v>
      </c>
      <c r="L19" s="1">
        <f>VLOOKUP($B19&amp;"__wt",'SegEnds_Xtal_BW#'!$A:$Z,12,FALSE)</f>
        <v>56</v>
      </c>
      <c r="M19" s="1">
        <f>VLOOKUP($B19&amp;"__wt",'SegEnds_Xtal_BW#'!$A:$Z,13,FALSE)</f>
        <v>50</v>
      </c>
      <c r="N19" s="12">
        <v>57</v>
      </c>
      <c r="O19" s="87">
        <f>VLOOKUP($B19&amp;"__wt",'SegEnds_Xtal_BW#'!$A:$Z,15,FALSE)</f>
        <v>38</v>
      </c>
      <c r="P19" s="1">
        <f>VLOOKUP($B19&amp;"__wt",'SegEnds_Xtal_BW#'!$A:$Z,16,FALSE)</f>
        <v>63</v>
      </c>
      <c r="Q19" s="1">
        <f>VLOOKUP($B19&amp;"__wt",'SegEnds_Xtal_BW#'!$A:$Z,17,FALSE)</f>
        <v>50</v>
      </c>
      <c r="R19" s="1">
        <f>VLOOKUP($B19&amp;"__wt",'SegEnds_Xtal_BW#'!$A:$Z,18,FALSE)</f>
        <v>52</v>
      </c>
      <c r="S19" s="1">
        <v>35</v>
      </c>
      <c r="T19" s="1">
        <f t="array" ref="T19">INDEX(ICL3_classA!$G$2:$G$37,MATCH(MIN(ABS(AI19-ICL3_classA!$F$2:$F$37)),ABS(AI19-ICL3_classA!$F$2:$F$37),0))</f>
        <v>76</v>
      </c>
      <c r="U19" s="1">
        <f t="array" ref="U19">INDEX(ICL3_classA!$H$2:$H$37,MATCH(MIN(ABS(AI19-ICL3_classA!$F$2:$F$37)),ABS(AI19-ICL3_classA!$F$2:$F$37),0))</f>
        <v>24</v>
      </c>
      <c r="V19" s="1">
        <v>61</v>
      </c>
      <c r="W19" s="108">
        <v>27</v>
      </c>
      <c r="X19" s="1">
        <f>VLOOKUP($B19&amp;"__wt",'SegEnds_Xtal_BW#'!$A:$Z,24,FALSE)</f>
        <v>56</v>
      </c>
      <c r="Y19" s="1">
        <f>VLOOKUP($B19&amp;"__wt",'SegEnds_Xtal_BW#'!$A:$Z,25,FALSE)</f>
        <v>47</v>
      </c>
      <c r="Z19" s="1">
        <f>VLOOKUP($B19&amp;"__wt",'SegEnds_Xtal_BW#'!$A:$Z,26,FALSE)</f>
        <v>58</v>
      </c>
      <c r="AA19" s="27" t="str">
        <f>VLOOKUP(A19,Classification!A:B,2,FALSE)</f>
        <v>A</v>
      </c>
      <c r="AB19" s="1">
        <f>VLOOKUP(A19,'SegEnds_NonXtal_Prot#'!A:AL,10,FALSE)-VLOOKUP(A19,'SegEnds_NonXtal_Prot#'!A:AL,4,FALSE)</f>
        <v>28</v>
      </c>
      <c r="AC19" s="1">
        <f>VLOOKUP(A19,'SegEnds_NonXtal_Prot#'!A:AL,10,FALSE)-VLOOKUP(A19,'SegEnds_NonXtal_Prot#'!A:AL,7,FALSE)</f>
        <v>15</v>
      </c>
      <c r="AD19" s="1">
        <f>VLOOKUP(A19,'SegEnds_NonXtal_Prot#'!A:AL,13,FALSE)-VLOOKUP(A19,'SegEnds_NonXtal_Prot#'!A:AL,10,FALSE)</f>
        <v>21</v>
      </c>
      <c r="AE19" s="1">
        <f>VLOOKUP(A19,'SegEnds_NonXtal_Prot#'!A:AL,16,FALSE)-VLOOKUP(A19,'SegEnds_NonXtal_Prot#'!A:AL,10,FALSE)</f>
        <v>53</v>
      </c>
      <c r="AF19" s="1">
        <f>VLOOKUP(A19,'SegEnds_NonXtal_Prot#'!A:AL,22,FALSE)-VLOOKUP(A19,'SegEnds_NonXtal_Prot#'!A:AL,19,FALSE)</f>
        <v>20</v>
      </c>
      <c r="AG19" s="1">
        <f>VLOOKUP(A19,'SegEnds_NonXtal_Prot#'!A:AL,28,FALSE)-VLOOKUP(A19,'SegEnds_NonXtal_Prot#'!A:AL,25,FALSE)</f>
        <v>20</v>
      </c>
      <c r="AH19" s="1">
        <f>VLOOKUP(A19,'SegEnds_NonXtal_Prot#'!A:AL,28,FALSE)-VLOOKUP(A19,'SegEnds_NonXtal_Prot#'!A:AL,22,FALSE)</f>
        <v>44</v>
      </c>
      <c r="AI19" s="1">
        <f>VLOOKUP(A19,'SegEnds_NonXtal_Prot#'!A:AL,31,FALSE)-VLOOKUP(A19,'SegEnds_NonXtal_Prot#'!A:AL,28,FALSE)</f>
        <v>91</v>
      </c>
      <c r="AJ19" s="1">
        <f>VLOOKUP(A19,'SegEnds_NonXtal_Prot#'!A:AL,34,FALSE)-VLOOKUP(A19,'SegEnds_NonXtal_Prot#'!A:AL,31,FALSE)</f>
        <v>39</v>
      </c>
      <c r="AK19" s="1">
        <f>VLOOKUP(A19,'SegEnds_NonXtal_Prot#'!A:AL,37,FALSE)-VLOOKUP(A19,'SegEnds_NonXtal_Prot#'!A:AL,34,FALSE)</f>
        <v>10</v>
      </c>
      <c r="AL19" s="1" t="str">
        <f>IF(ISERROR(MATCH(A19,'SegEnds_Xtal_Prot#'!B:B, 0)), "NoXtal", "Xtal")</f>
        <v>NoXtal</v>
      </c>
    </row>
    <row r="20" spans="1:38" x14ac:dyDescent="0.2">
      <c r="A20" s="1" t="s">
        <v>138</v>
      </c>
      <c r="B20" s="1" t="str">
        <f>VLOOKUP(A20,Xtal_Templ!A:B,2,FALSE)</f>
        <v>aa1r_human</v>
      </c>
      <c r="C20" s="5">
        <f>VLOOKUP($B20&amp;"__wt",'SegEnds_Xtal_BW#'!$A:$Z,3,FALSE)</f>
        <v>29</v>
      </c>
      <c r="D20" s="1">
        <f>VLOOKUP($B20&amp;"__wt",'SegEnds_Xtal_BW#'!$A:$Z,4,FALSE)</f>
        <v>60</v>
      </c>
      <c r="E20" s="1">
        <f>VLOOKUP($B20&amp;"__wt",'SegEnds_Xtal_BW#'!$A:$Z,5,FALSE)</f>
        <v>48</v>
      </c>
      <c r="F20" s="1">
        <f>VLOOKUP($B20&amp;"__wt",'SegEnds_Xtal_BW#'!$A:$Z,6,FALSE)</f>
        <v>51</v>
      </c>
      <c r="G20" s="1">
        <v>37</v>
      </c>
      <c r="H20" s="12">
        <v>66</v>
      </c>
      <c r="I20" s="1">
        <f>VLOOKUP($B20&amp;"__wt",'SegEnds_Xtal_BW#'!$A:$Z,9,FALSE)</f>
        <v>50</v>
      </c>
      <c r="J20" s="1">
        <f>VLOOKUP($B20&amp;"__wt",'SegEnds_Xtal_BW#'!$A:$Z,10,FALSE)</f>
        <v>52</v>
      </c>
      <c r="K20" s="12">
        <v>24</v>
      </c>
      <c r="L20" s="1">
        <f>VLOOKUP($B20&amp;"__wt",'SegEnds_Xtal_BW#'!$A:$Z,12,FALSE)</f>
        <v>56</v>
      </c>
      <c r="M20" s="1">
        <f>VLOOKUP($B20&amp;"__wt",'SegEnds_Xtal_BW#'!$A:$Z,13,FALSE)</f>
        <v>50</v>
      </c>
      <c r="N20" s="12">
        <v>57</v>
      </c>
      <c r="O20" s="87">
        <v>38</v>
      </c>
      <c r="P20" s="1">
        <f>VLOOKUP($B20&amp;"__wt",'SegEnds_Xtal_BW#'!$A:$Z,16,FALSE)</f>
        <v>63</v>
      </c>
      <c r="Q20" s="1">
        <f>VLOOKUP($B20&amp;"__wt",'SegEnds_Xtal_BW#'!$A:$Z,17,FALSE)</f>
        <v>50</v>
      </c>
      <c r="R20" s="1">
        <f>VLOOKUP($B20&amp;"__wt",'SegEnds_Xtal_BW#'!$A:$Z,18,FALSE)</f>
        <v>52</v>
      </c>
      <c r="S20" s="1">
        <f>VLOOKUP($B20&amp;"__wt",'SegEnds_Xtal_BW#'!$A:$Z,19,FALSE)</f>
        <v>34</v>
      </c>
      <c r="T20" s="1">
        <f t="array" ref="T20">INDEX(ICL3_classA!$G$2:$G$37,MATCH(MIN(ABS(AI20-ICL3_classA!$F$2:$F$37)),ABS(AI20-ICL3_classA!$F$2:$F$37),0))</f>
        <v>73</v>
      </c>
      <c r="U20" s="1">
        <f t="array" ref="U20">INDEX(ICL3_classA!$H$2:$H$37,MATCH(MIN(ABS(AI20-ICL3_classA!$F$2:$F$37)),ABS(AI20-ICL3_classA!$F$2:$F$37),0))</f>
        <v>22</v>
      </c>
      <c r="V20" s="1">
        <v>61</v>
      </c>
      <c r="W20" s="1">
        <v>31</v>
      </c>
      <c r="X20" s="1">
        <f>VLOOKUP($B20&amp;"__wt",'SegEnds_Xtal_BW#'!$A:$Z,24,FALSE)</f>
        <v>56</v>
      </c>
      <c r="Y20" s="1">
        <f>VLOOKUP($B20&amp;"__wt",'SegEnds_Xtal_BW#'!$A:$Z,25,FALSE)</f>
        <v>47</v>
      </c>
      <c r="Z20" s="1">
        <f>VLOOKUP($B20&amp;"__wt",'SegEnds_Xtal_BW#'!$A:$Z,26,FALSE)</f>
        <v>69</v>
      </c>
      <c r="AA20" s="27" t="str">
        <f>VLOOKUP(A20,Classification!A:B,2,FALSE)</f>
        <v>A</v>
      </c>
      <c r="AB20" s="1">
        <f>VLOOKUP(A20,'SegEnds_NonXtal_Prot#'!A:AL,10,FALSE)-VLOOKUP(A20,'SegEnds_NonXtal_Prot#'!A:AL,4,FALSE)</f>
        <v>28</v>
      </c>
      <c r="AC20" s="1">
        <f>VLOOKUP(A20,'SegEnds_NonXtal_Prot#'!A:AL,10,FALSE)-VLOOKUP(A20,'SegEnds_NonXtal_Prot#'!A:AL,7,FALSE)</f>
        <v>15</v>
      </c>
      <c r="AD20" s="1">
        <f>VLOOKUP(A20,'SegEnds_NonXtal_Prot#'!A:AL,13,FALSE)-VLOOKUP(A20,'SegEnds_NonXtal_Prot#'!A:AL,10,FALSE)</f>
        <v>18</v>
      </c>
      <c r="AE20" s="1">
        <f>VLOOKUP(A20,'SegEnds_NonXtal_Prot#'!A:AL,16,FALSE)-VLOOKUP(A20,'SegEnds_NonXtal_Prot#'!A:AL,10,FALSE)</f>
        <v>50</v>
      </c>
      <c r="AF20" s="1">
        <f>VLOOKUP(A20,'SegEnds_NonXtal_Prot#'!A:AL,22,FALSE)-VLOOKUP(A20,'SegEnds_NonXtal_Prot#'!A:AL,19,FALSE)</f>
        <v>20</v>
      </c>
      <c r="AG20" s="1">
        <f>VLOOKUP(A20,'SegEnds_NonXtal_Prot#'!A:AL,28,FALSE)-VLOOKUP(A20,'SegEnds_NonXtal_Prot#'!A:AL,25,FALSE)</f>
        <v>23</v>
      </c>
      <c r="AH20" s="1">
        <f>VLOOKUP(A20,'SegEnds_NonXtal_Prot#'!A:AL,28,FALSE)-VLOOKUP(A20,'SegEnds_NonXtal_Prot#'!A:AL,22,FALSE)</f>
        <v>60</v>
      </c>
      <c r="AI20" s="1">
        <f>VLOOKUP(A20,'SegEnds_NonXtal_Prot#'!A:AL,31,FALSE)-VLOOKUP(A20,'SegEnds_NonXtal_Prot#'!A:AL,28,FALSE)</f>
        <v>57</v>
      </c>
      <c r="AJ20" s="1">
        <f>VLOOKUP(A20,'SegEnds_NonXtal_Prot#'!A:AL,34,FALSE)-VLOOKUP(A20,'SegEnds_NonXtal_Prot#'!A:AL,31,FALSE)</f>
        <v>36</v>
      </c>
      <c r="AK20" s="1">
        <f>VLOOKUP(A20,'SegEnds_NonXtal_Prot#'!A:AL,37,FALSE)-VLOOKUP(A20,'SegEnds_NonXtal_Prot#'!A:AL,34,FALSE)</f>
        <v>10</v>
      </c>
      <c r="AL20" s="1" t="str">
        <f>IF(ISERROR(MATCH(A20,'SegEnds_Xtal_Prot#'!B:B, 0)), "NoXtal", "Xtal")</f>
        <v>Xtal</v>
      </c>
    </row>
    <row r="21" spans="1:38" x14ac:dyDescent="0.2">
      <c r="A21" s="1" t="s">
        <v>139</v>
      </c>
      <c r="B21" s="1" t="str">
        <f>VLOOKUP(A21,Xtal_Templ!A:B,2,FALSE)</f>
        <v>aa2ar_human</v>
      </c>
      <c r="C21" s="5">
        <f>VLOOKUP($B21&amp;"__wt",'SegEnds_Xtal_BW#'!$A:$Z,3,FALSE)</f>
        <v>27</v>
      </c>
      <c r="D21" s="1">
        <f>VLOOKUP($B21&amp;"__wt",'SegEnds_Xtal_BW#'!$A:$Z,4,FALSE)</f>
        <v>60</v>
      </c>
      <c r="E21" s="1">
        <f>VLOOKUP($B21&amp;"__wt",'SegEnds_Xtal_BW#'!$A:$Z,5,FALSE)</f>
        <v>48</v>
      </c>
      <c r="F21" s="1">
        <f>VLOOKUP($B21&amp;"__wt",'SegEnds_Xtal_BW#'!$A:$Z,6,FALSE)</f>
        <v>51</v>
      </c>
      <c r="G21" s="1">
        <v>37</v>
      </c>
      <c r="H21" s="12">
        <v>66</v>
      </c>
      <c r="I21" s="1">
        <f>VLOOKUP($B21&amp;"__wt",'SegEnds_Xtal_BW#'!$A:$Z,9,FALSE)</f>
        <v>50</v>
      </c>
      <c r="J21" s="1">
        <f>VLOOKUP($B21&amp;"__wt",'SegEnds_Xtal_BW#'!$A:$Z,10,FALSE)</f>
        <v>52</v>
      </c>
      <c r="K21" s="12">
        <v>24</v>
      </c>
      <c r="L21" s="1">
        <f>VLOOKUP($B21&amp;"__wt",'SegEnds_Xtal_BW#'!$A:$Z,12,FALSE)</f>
        <v>56</v>
      </c>
      <c r="M21" s="1">
        <f>VLOOKUP($B21&amp;"__wt",'SegEnds_Xtal_BW#'!$A:$Z,13,FALSE)</f>
        <v>50</v>
      </c>
      <c r="N21" s="12">
        <f>VLOOKUP($B21&amp;"__wt",'SegEnds_Xtal_BW#'!$A:$Z,14,FALSE)</f>
        <v>57</v>
      </c>
      <c r="O21" s="87">
        <f>VLOOKUP($B21&amp;"__wt",'SegEnds_Xtal_BW#'!$A:$Z,15,FALSE)</f>
        <v>38</v>
      </c>
      <c r="P21" s="1">
        <f>VLOOKUP($B21&amp;"__wt",'SegEnds_Xtal_BW#'!$A:$Z,16,FALSE)</f>
        <v>63</v>
      </c>
      <c r="Q21" s="1">
        <f>VLOOKUP($B21&amp;"__wt",'SegEnds_Xtal_BW#'!$A:$Z,17,FALSE)</f>
        <v>50</v>
      </c>
      <c r="R21" s="1">
        <f>VLOOKUP($B21&amp;"__wt",'SegEnds_Xtal_BW#'!$A:$Z,18,FALSE)</f>
        <v>52</v>
      </c>
      <c r="S21" s="1">
        <f>VLOOKUP($B21&amp;"__wt",'SegEnds_Xtal_BW#'!$A:$Z,19,FALSE)</f>
        <v>34</v>
      </c>
      <c r="T21" s="1">
        <f t="array" ref="T21">INDEX(ICL3_classA!$G$2:$G$37,MATCH(MIN(ABS(AI21-ICL3_classA!$F$2:$F$37)),ABS(AI21-ICL3_classA!$F$2:$F$37),0))</f>
        <v>74</v>
      </c>
      <c r="U21" s="1">
        <f t="array" ref="U21">INDEX(ICL3_classA!$H$2:$H$37,MATCH(MIN(ABS(AI21-ICL3_classA!$F$2:$F$37)),ABS(AI21-ICL3_classA!$F$2:$F$37),0))</f>
        <v>21</v>
      </c>
      <c r="V21" s="1">
        <v>61</v>
      </c>
      <c r="W21" s="1">
        <v>31</v>
      </c>
      <c r="X21" s="1">
        <f>VLOOKUP($B21&amp;"__wt",'SegEnds_Xtal_BW#'!$A:$Z,24,FALSE)</f>
        <v>56</v>
      </c>
      <c r="Y21" s="1">
        <f>VLOOKUP($B21&amp;"__wt",'SegEnds_Xtal_BW#'!$A:$Z,25,FALSE)</f>
        <v>47</v>
      </c>
      <c r="Z21" s="1">
        <f>VLOOKUP($B21&amp;"__wt",'SegEnds_Xtal_BW#'!$A:$Z,26,FALSE)</f>
        <v>69</v>
      </c>
      <c r="AA21" s="27" t="str">
        <f>VLOOKUP(A21,Classification!A:B,2,FALSE)</f>
        <v>A</v>
      </c>
      <c r="AB21" s="1">
        <f>VLOOKUP(A21,'SegEnds_NonXtal_Prot#'!A:AL,10,FALSE)-VLOOKUP(A21,'SegEnds_NonXtal_Prot#'!A:AL,4,FALSE)</f>
        <v>28</v>
      </c>
      <c r="AC21" s="1">
        <f>VLOOKUP(A21,'SegEnds_NonXtal_Prot#'!A:AL,10,FALSE)-VLOOKUP(A21,'SegEnds_NonXtal_Prot#'!A:AL,7,FALSE)</f>
        <v>15</v>
      </c>
      <c r="AD21" s="1">
        <f>VLOOKUP(A21,'SegEnds_NonXtal_Prot#'!A:AL,13,FALSE)-VLOOKUP(A21,'SegEnds_NonXtal_Prot#'!A:AL,10,FALSE)</f>
        <v>18</v>
      </c>
      <c r="AE21" s="1">
        <f>VLOOKUP(A21,'SegEnds_NonXtal_Prot#'!A:AL,16,FALSE)-VLOOKUP(A21,'SegEnds_NonXtal_Prot#'!A:AL,10,FALSE)</f>
        <v>50</v>
      </c>
      <c r="AF21" s="1">
        <f>VLOOKUP(A21,'SegEnds_NonXtal_Prot#'!A:AL,22,FALSE)-VLOOKUP(A21,'SegEnds_NonXtal_Prot#'!A:AL,19,FALSE)</f>
        <v>20</v>
      </c>
      <c r="AG21" s="1">
        <f>VLOOKUP(A21,'SegEnds_NonXtal_Prot#'!A:AL,28,FALSE)-VLOOKUP(A21,'SegEnds_NonXtal_Prot#'!A:AL,25,FALSE)</f>
        <v>23</v>
      </c>
      <c r="AH21" s="1">
        <f>VLOOKUP(A21,'SegEnds_NonXtal_Prot#'!A:AL,28,FALSE)-VLOOKUP(A21,'SegEnds_NonXtal_Prot#'!A:AL,22,FALSE)</f>
        <v>60</v>
      </c>
      <c r="AI21" s="1">
        <f>VLOOKUP(A21,'SegEnds_NonXtal_Prot#'!A:AL,31,FALSE)-VLOOKUP(A21,'SegEnds_NonXtal_Prot#'!A:AL,28,FALSE)</f>
        <v>59</v>
      </c>
      <c r="AJ21" s="1">
        <f>VLOOKUP(A21,'SegEnds_NonXtal_Prot#'!A:AL,34,FALSE)-VLOOKUP(A21,'SegEnds_NonXtal_Prot#'!A:AL,31,FALSE)</f>
        <v>37</v>
      </c>
      <c r="AK21" s="1">
        <f>VLOOKUP(A21,'SegEnds_NonXtal_Prot#'!A:AL,37,FALSE)-VLOOKUP(A21,'SegEnds_NonXtal_Prot#'!A:AL,34,FALSE)</f>
        <v>10</v>
      </c>
      <c r="AL21" s="1" t="str">
        <f>IF(ISERROR(MATCH(A21,'SegEnds_Xtal_Prot#'!B:B, 0)), "NoXtal", "Xtal")</f>
        <v>Xtal</v>
      </c>
    </row>
    <row r="22" spans="1:38" x14ac:dyDescent="0.2">
      <c r="A22" s="1" t="s">
        <v>140</v>
      </c>
      <c r="B22" s="1" t="str">
        <f>VLOOKUP(A22,Xtal_Templ!A:B,2,FALSE)</f>
        <v>aa2ar_human</v>
      </c>
      <c r="C22" s="5">
        <f>VLOOKUP($B22&amp;"__wt",'SegEnds_Xtal_BW#'!$A:$Z,3,FALSE)</f>
        <v>27</v>
      </c>
      <c r="D22" s="1">
        <f>VLOOKUP($B22&amp;"__wt",'SegEnds_Xtal_BW#'!$A:$Z,4,FALSE)</f>
        <v>60</v>
      </c>
      <c r="E22" s="1">
        <f>VLOOKUP($B22&amp;"__wt",'SegEnds_Xtal_BW#'!$A:$Z,5,FALSE)</f>
        <v>48</v>
      </c>
      <c r="F22" s="1">
        <f>VLOOKUP($B22&amp;"__wt",'SegEnds_Xtal_BW#'!$A:$Z,6,FALSE)</f>
        <v>51</v>
      </c>
      <c r="G22" s="1">
        <v>37</v>
      </c>
      <c r="H22" s="12">
        <v>66</v>
      </c>
      <c r="I22" s="1">
        <f>VLOOKUP($B22&amp;"__wt",'SegEnds_Xtal_BW#'!$A:$Z,9,FALSE)</f>
        <v>50</v>
      </c>
      <c r="J22" s="1">
        <f>VLOOKUP($B22&amp;"__wt",'SegEnds_Xtal_BW#'!$A:$Z,10,FALSE)</f>
        <v>52</v>
      </c>
      <c r="K22" s="12">
        <v>24</v>
      </c>
      <c r="L22" s="1">
        <f>VLOOKUP($B22&amp;"__wt",'SegEnds_Xtal_BW#'!$A:$Z,12,FALSE)</f>
        <v>56</v>
      </c>
      <c r="M22" s="1">
        <f>VLOOKUP($B22&amp;"__wt",'SegEnds_Xtal_BW#'!$A:$Z,13,FALSE)</f>
        <v>50</v>
      </c>
      <c r="N22" s="12">
        <v>57</v>
      </c>
      <c r="O22" s="87">
        <v>38</v>
      </c>
      <c r="P22" s="1">
        <f>VLOOKUP($B22&amp;"__wt",'SegEnds_Xtal_BW#'!$A:$Z,16,FALSE)</f>
        <v>63</v>
      </c>
      <c r="Q22" s="1">
        <f>VLOOKUP($B22&amp;"__wt",'SegEnds_Xtal_BW#'!$A:$Z,17,FALSE)</f>
        <v>50</v>
      </c>
      <c r="R22" s="1">
        <f>VLOOKUP($B22&amp;"__wt",'SegEnds_Xtal_BW#'!$A:$Z,18,FALSE)</f>
        <v>52</v>
      </c>
      <c r="S22" s="1">
        <f>VLOOKUP($B22&amp;"__wt",'SegEnds_Xtal_BW#'!$A:$Z,19,FALSE)</f>
        <v>34</v>
      </c>
      <c r="T22" s="1">
        <f t="array" ref="T22">INDEX(ICL3_classA!$G$2:$G$37,MATCH(MIN(ABS(AI22-ICL3_classA!$F$2:$F$37)),ABS(AI22-ICL3_classA!$F$2:$F$37),0))</f>
        <v>73</v>
      </c>
      <c r="U22" s="1">
        <f t="array" ref="U22">INDEX(ICL3_classA!$H$2:$H$37,MATCH(MIN(ABS(AI22-ICL3_classA!$F$2:$F$37)),ABS(AI22-ICL3_classA!$F$2:$F$37),0))</f>
        <v>22</v>
      </c>
      <c r="V22" s="1">
        <v>61</v>
      </c>
      <c r="W22" s="1">
        <v>28</v>
      </c>
      <c r="X22" s="1">
        <f>VLOOKUP($B22&amp;"__wt",'SegEnds_Xtal_BW#'!$A:$Z,24,FALSE)</f>
        <v>56</v>
      </c>
      <c r="Y22" s="1">
        <f>VLOOKUP($B22&amp;"__wt",'SegEnds_Xtal_BW#'!$A:$Z,25,FALSE)</f>
        <v>47</v>
      </c>
      <c r="Z22" s="1">
        <f>VLOOKUP($B22&amp;"__wt",'SegEnds_Xtal_BW#'!$A:$Z,26,FALSE)</f>
        <v>69</v>
      </c>
      <c r="AA22" s="27" t="str">
        <f>VLOOKUP(A22,Classification!A:B,2,FALSE)</f>
        <v>A</v>
      </c>
      <c r="AB22" s="1">
        <f>VLOOKUP(A22,'SegEnds_NonXtal_Prot#'!A:AL,10,FALSE)-VLOOKUP(A22,'SegEnds_NonXtal_Prot#'!A:AL,4,FALSE)</f>
        <v>28</v>
      </c>
      <c r="AC22" s="1">
        <f>VLOOKUP(A22,'SegEnds_NonXtal_Prot#'!A:AL,10,FALSE)-VLOOKUP(A22,'SegEnds_NonXtal_Prot#'!A:AL,7,FALSE)</f>
        <v>15</v>
      </c>
      <c r="AD22" s="1">
        <f>VLOOKUP(A22,'SegEnds_NonXtal_Prot#'!A:AL,13,FALSE)-VLOOKUP(A22,'SegEnds_NonXtal_Prot#'!A:AL,10,FALSE)</f>
        <v>18</v>
      </c>
      <c r="AE22" s="1">
        <f>VLOOKUP(A22,'SegEnds_NonXtal_Prot#'!A:AL,16,FALSE)-VLOOKUP(A22,'SegEnds_NonXtal_Prot#'!A:AL,10,FALSE)</f>
        <v>50</v>
      </c>
      <c r="AF22" s="1">
        <f>VLOOKUP(A22,'SegEnds_NonXtal_Prot#'!A:AL,22,FALSE)-VLOOKUP(A22,'SegEnds_NonXtal_Prot#'!A:AL,19,FALSE)</f>
        <v>20</v>
      </c>
      <c r="AG22" s="1">
        <f>VLOOKUP(A22,'SegEnds_NonXtal_Prot#'!A:AL,28,FALSE)-VLOOKUP(A22,'SegEnds_NonXtal_Prot#'!A:AL,25,FALSE)</f>
        <v>23</v>
      </c>
      <c r="AH22" s="1">
        <f>VLOOKUP(A22,'SegEnds_NonXtal_Prot#'!A:AL,28,FALSE)-VLOOKUP(A22,'SegEnds_NonXtal_Prot#'!A:AL,22,FALSE)</f>
        <v>64</v>
      </c>
      <c r="AI22" s="1">
        <f>VLOOKUP(A22,'SegEnds_NonXtal_Prot#'!A:AL,31,FALSE)-VLOOKUP(A22,'SegEnds_NonXtal_Prot#'!A:AL,28,FALSE)</f>
        <v>55</v>
      </c>
      <c r="AJ22" s="1">
        <f>VLOOKUP(A22,'SegEnds_NonXtal_Prot#'!A:AL,34,FALSE)-VLOOKUP(A22,'SegEnds_NonXtal_Prot#'!A:AL,31,FALSE)</f>
        <v>38</v>
      </c>
      <c r="AK22" s="1">
        <f>VLOOKUP(A22,'SegEnds_NonXtal_Prot#'!A:AL,37,FALSE)-VLOOKUP(A22,'SegEnds_NonXtal_Prot#'!A:AL,34,FALSE)</f>
        <v>10</v>
      </c>
      <c r="AL22" s="1" t="str">
        <f>IF(ISERROR(MATCH(A22,'SegEnds_Xtal_Prot#'!B:B, 0)), "NoXtal", "Xtal")</f>
        <v>NoXtal</v>
      </c>
    </row>
    <row r="23" spans="1:38" x14ac:dyDescent="0.2">
      <c r="A23" s="1" t="s">
        <v>141</v>
      </c>
      <c r="B23" s="1" t="str">
        <f>VLOOKUP(A23,Xtal_Templ!A:B,2,FALSE)</f>
        <v>aa1r_human</v>
      </c>
      <c r="C23" s="5">
        <f>VLOOKUP($B23&amp;"__wt",'SegEnds_Xtal_BW#'!$A:$Z,3,FALSE)</f>
        <v>29</v>
      </c>
      <c r="D23" s="1">
        <f>VLOOKUP($B23&amp;"__wt",'SegEnds_Xtal_BW#'!$A:$Z,4,FALSE)</f>
        <v>60</v>
      </c>
      <c r="E23" s="1">
        <f>VLOOKUP($B23&amp;"__wt",'SegEnds_Xtal_BW#'!$A:$Z,5,FALSE)</f>
        <v>48</v>
      </c>
      <c r="F23" s="1">
        <f>VLOOKUP($B23&amp;"__wt",'SegEnds_Xtal_BW#'!$A:$Z,6,FALSE)</f>
        <v>51</v>
      </c>
      <c r="G23" s="1">
        <v>37</v>
      </c>
      <c r="H23" s="108">
        <v>66</v>
      </c>
      <c r="I23" s="1">
        <f>VLOOKUP($B23&amp;"__wt",'SegEnds_Xtal_BW#'!$A:$Z,9,FALSE)</f>
        <v>50</v>
      </c>
      <c r="J23" s="1">
        <f>VLOOKUP($B23&amp;"__wt",'SegEnds_Xtal_BW#'!$A:$Z,10,FALSE)</f>
        <v>52</v>
      </c>
      <c r="K23" s="12">
        <v>24</v>
      </c>
      <c r="L23" s="1">
        <f>VLOOKUP($B23&amp;"__wt",'SegEnds_Xtal_BW#'!$A:$Z,12,FALSE)</f>
        <v>56</v>
      </c>
      <c r="M23" s="1">
        <f>VLOOKUP($B23&amp;"__wt",'SegEnds_Xtal_BW#'!$A:$Z,13,FALSE)</f>
        <v>50</v>
      </c>
      <c r="N23" s="12">
        <v>57</v>
      </c>
      <c r="O23" s="87">
        <v>38</v>
      </c>
      <c r="P23" s="1">
        <f>VLOOKUP($B23&amp;"__wt",'SegEnds_Xtal_BW#'!$A:$Z,16,FALSE)</f>
        <v>63</v>
      </c>
      <c r="Q23" s="1">
        <f>VLOOKUP($B23&amp;"__wt",'SegEnds_Xtal_BW#'!$A:$Z,17,FALSE)</f>
        <v>50</v>
      </c>
      <c r="R23" s="1">
        <f>VLOOKUP($B23&amp;"__wt",'SegEnds_Xtal_BW#'!$A:$Z,18,FALSE)</f>
        <v>52</v>
      </c>
      <c r="S23" s="1">
        <f>VLOOKUP($B23&amp;"__wt",'SegEnds_Xtal_BW#'!$A:$Z,19,FALSE)</f>
        <v>34</v>
      </c>
      <c r="T23" s="1">
        <f t="array" ref="T23">INDEX(ICL3_classA!$G$2:$G$37,MATCH(MIN(ABS(AI23-ICL3_classA!$F$2:$F$37)),ABS(AI23-ICL3_classA!$F$2:$F$37),0))</f>
        <v>73</v>
      </c>
      <c r="U23" s="1">
        <f t="array" ref="U23">INDEX(ICL3_classA!$H$2:$H$37,MATCH(MIN(ABS(AI23-ICL3_classA!$F$2:$F$37)),ABS(AI23-ICL3_classA!$F$2:$F$37),0))</f>
        <v>22</v>
      </c>
      <c r="V23" s="1">
        <v>61</v>
      </c>
      <c r="W23" s="1">
        <v>32</v>
      </c>
      <c r="X23" s="1">
        <f>VLOOKUP($B23&amp;"__wt",'SegEnds_Xtal_BW#'!$A:$Z,24,FALSE)</f>
        <v>56</v>
      </c>
      <c r="Y23" s="1">
        <f>VLOOKUP($B23&amp;"__wt",'SegEnds_Xtal_BW#'!$A:$Z,25,FALSE)</f>
        <v>47</v>
      </c>
      <c r="Z23" s="1">
        <f>VLOOKUP($B23&amp;"__wt",'SegEnds_Xtal_BW#'!$A:$Z,26,FALSE)</f>
        <v>69</v>
      </c>
      <c r="AA23" s="27" t="str">
        <f>VLOOKUP(A23,Classification!A:B,2,FALSE)</f>
        <v>A</v>
      </c>
      <c r="AB23" s="1">
        <f>VLOOKUP(A23,'SegEnds_NonXtal_Prot#'!A:AL,10,FALSE)-VLOOKUP(A23,'SegEnds_NonXtal_Prot#'!A:AL,4,FALSE)</f>
        <v>28</v>
      </c>
      <c r="AC23" s="1">
        <f>VLOOKUP(A23,'SegEnds_NonXtal_Prot#'!A:AL,10,FALSE)-VLOOKUP(A23,'SegEnds_NonXtal_Prot#'!A:AL,7,FALSE)</f>
        <v>15</v>
      </c>
      <c r="AD23" s="1">
        <f>VLOOKUP(A23,'SegEnds_NonXtal_Prot#'!A:AL,13,FALSE)-VLOOKUP(A23,'SegEnds_NonXtal_Prot#'!A:AL,10,FALSE)</f>
        <v>18</v>
      </c>
      <c r="AE23" s="1">
        <f>VLOOKUP(A23,'SegEnds_NonXtal_Prot#'!A:AL,16,FALSE)-VLOOKUP(A23,'SegEnds_NonXtal_Prot#'!A:AL,10,FALSE)</f>
        <v>50</v>
      </c>
      <c r="AF23" s="1">
        <f>VLOOKUP(A23,'SegEnds_NonXtal_Prot#'!A:AL,22,FALSE)-VLOOKUP(A23,'SegEnds_NonXtal_Prot#'!A:AL,19,FALSE)</f>
        <v>20</v>
      </c>
      <c r="AG23" s="1">
        <f>VLOOKUP(A23,'SegEnds_NonXtal_Prot#'!A:AL,28,FALSE)-VLOOKUP(A23,'SegEnds_NonXtal_Prot#'!A:AL,25,FALSE)</f>
        <v>23</v>
      </c>
      <c r="AH23" s="1">
        <f>VLOOKUP(A23,'SegEnds_NonXtal_Prot#'!A:AL,28,FALSE)-VLOOKUP(A23,'SegEnds_NonXtal_Prot#'!A:AL,22,FALSE)</f>
        <v>54</v>
      </c>
      <c r="AI23" s="1">
        <f>VLOOKUP(A23,'SegEnds_NonXtal_Prot#'!A:AL,31,FALSE)-VLOOKUP(A23,'SegEnds_NonXtal_Prot#'!A:AL,28,FALSE)</f>
        <v>56</v>
      </c>
      <c r="AJ23" s="1">
        <f>VLOOKUP(A23,'SegEnds_NonXtal_Prot#'!A:AL,34,FALSE)-VLOOKUP(A23,'SegEnds_NonXtal_Prot#'!A:AL,31,FALSE)</f>
        <v>34</v>
      </c>
      <c r="AK23" s="1">
        <f>VLOOKUP(A23,'SegEnds_NonXtal_Prot#'!A:AL,37,FALSE)-VLOOKUP(A23,'SegEnds_NonXtal_Prot#'!A:AL,34,FALSE)</f>
        <v>10</v>
      </c>
      <c r="AL23" s="1" t="str">
        <f>IF(ISERROR(MATCH(A23,'SegEnds_Xtal_Prot#'!B:B, 0)), "NoXtal", "Xtal")</f>
        <v>NoXtal</v>
      </c>
    </row>
    <row r="24" spans="1:38" x14ac:dyDescent="0.2">
      <c r="A24" s="1" t="s">
        <v>142</v>
      </c>
      <c r="B24" s="1" t="str">
        <f>VLOOKUP(A24,Xtal_Templ!A:B,2,FALSE)</f>
        <v>c5ar1_human</v>
      </c>
      <c r="C24" s="5">
        <f>VLOOKUP($B24&amp;"__wt",'SegEnds_Xtal_BW#'!$A:$Z,3,FALSE)</f>
        <v>29</v>
      </c>
      <c r="D24" s="1">
        <f>VLOOKUP($B24&amp;"__wt",'SegEnds_Xtal_BW#'!$A:$Z,4,FALSE)</f>
        <v>60</v>
      </c>
      <c r="E24" s="1" t="str">
        <f>VLOOKUP($B24&amp;"__wt",'SegEnds_Xtal_BW#'!$A:$Z,5,FALSE)</f>
        <v>-</v>
      </c>
      <c r="F24" s="1" t="str">
        <f>VLOOKUP($B24&amp;"__wt",'SegEnds_Xtal_BW#'!$A:$Z,6,FALSE)</f>
        <v>-</v>
      </c>
      <c r="G24" s="1">
        <v>37</v>
      </c>
      <c r="H24" s="12">
        <v>66</v>
      </c>
      <c r="I24" s="1">
        <f>VLOOKUP($B24&amp;"__wt",'SegEnds_Xtal_BW#'!$A:$Z,9,FALSE)</f>
        <v>49</v>
      </c>
      <c r="J24" s="1">
        <f>VLOOKUP($B24&amp;"__wt",'SegEnds_Xtal_BW#'!$A:$Z,10,FALSE)</f>
        <v>52</v>
      </c>
      <c r="K24" s="12">
        <v>24</v>
      </c>
      <c r="L24" s="1">
        <f>VLOOKUP($B24&amp;"__wt",'SegEnds_Xtal_BW#'!$A:$Z,12,FALSE)</f>
        <v>56</v>
      </c>
      <c r="M24" s="1">
        <f>VLOOKUP($B24&amp;"__wt",'SegEnds_Xtal_BW#'!$A:$Z,13,FALSE)</f>
        <v>50</v>
      </c>
      <c r="N24" s="12">
        <f>VLOOKUP($B24&amp;"__wt",'SegEnds_Xtal_BW#'!$A:$Z,14,FALSE)</f>
        <v>57</v>
      </c>
      <c r="O24" s="87">
        <v>38</v>
      </c>
      <c r="P24" s="1">
        <f>VLOOKUP($B24&amp;"__wt",'SegEnds_Xtal_BW#'!$A:$Z,16,FALSE)</f>
        <v>64</v>
      </c>
      <c r="Q24" s="1">
        <f>VLOOKUP($B24&amp;"__wt",'SegEnds_Xtal_BW#'!$A:$Z,17,FALSE)</f>
        <v>50</v>
      </c>
      <c r="R24" s="1">
        <f>VLOOKUP($B24&amp;"__wt",'SegEnds_Xtal_BW#'!$A:$Z,18,FALSE)</f>
        <v>52</v>
      </c>
      <c r="S24" s="1">
        <f>VLOOKUP($B24&amp;"__wt",'SegEnds_Xtal_BW#'!$A:$Z,19,FALSE)</f>
        <v>31</v>
      </c>
      <c r="T24" s="1">
        <f t="array" ref="T24">INDEX(ICL3_classA!$G$2:$G$37,MATCH(MIN(ABS(AI24-ICL3_classA!$F$2:$F$37)),ABS(AI24-ICL3_classA!$F$2:$F$37),0))</f>
        <v>64</v>
      </c>
      <c r="U24" s="1">
        <f t="array" ref="U24">INDEX(ICL3_classA!$H$2:$H$37,MATCH(MIN(ABS(AI24-ICL3_classA!$F$2:$F$37)),ABS(AI24-ICL3_classA!$F$2:$F$37),0))</f>
        <v>34</v>
      </c>
      <c r="V24" s="1">
        <v>64</v>
      </c>
      <c r="W24" s="1">
        <v>24</v>
      </c>
      <c r="X24" s="108">
        <v>56</v>
      </c>
      <c r="Y24" s="1">
        <f>VLOOKUP($B24&amp;"__wt",'SegEnds_Xtal_BW#'!$A:$Z,25,FALSE)</f>
        <v>47</v>
      </c>
      <c r="Z24" s="1">
        <f>VLOOKUP($B24&amp;"__wt",'SegEnds_Xtal_BW#'!$A:$Z,26,FALSE)</f>
        <v>56</v>
      </c>
      <c r="AA24" s="27" t="str">
        <f>VLOOKUP(A24,Classification!A:B,2,FALSE)</f>
        <v>A</v>
      </c>
      <c r="AB24" s="1">
        <f>VLOOKUP(A24,'SegEnds_NonXtal_Prot#'!A:AL,10,FALSE)-VLOOKUP(A24,'SegEnds_NonXtal_Prot#'!A:AL,4,FALSE)</f>
        <v>30</v>
      </c>
      <c r="AC24" s="1" t="e">
        <f>VLOOKUP(A24,'SegEnds_NonXtal_Prot#'!A:AL,10,FALSE)-VLOOKUP(A24,'SegEnds_NonXtal_Prot#'!A:AL,7,FALSE)</f>
        <v>#VALUE!</v>
      </c>
      <c r="AD24" s="1" t="e">
        <f>VLOOKUP(A24,'SegEnds_NonXtal_Prot#'!A:AL,13,FALSE)-VLOOKUP(A24,'SegEnds_NonXtal_Prot#'!A:AL,10,FALSE)</f>
        <v>#VALUE!</v>
      </c>
      <c r="AE24" s="1">
        <f>VLOOKUP(A24,'SegEnds_NonXtal_Prot#'!A:AL,16,FALSE)-VLOOKUP(A24,'SegEnds_NonXtal_Prot#'!A:AL,10,FALSE)</f>
        <v>48</v>
      </c>
      <c r="AF24" s="1" t="e">
        <f>VLOOKUP(A24,'SegEnds_NonXtal_Prot#'!A:AL,22,FALSE)-VLOOKUP(A24,'SegEnds_NonXtal_Prot#'!A:AL,19,FALSE)</f>
        <v>#VALUE!</v>
      </c>
      <c r="AG24" s="1">
        <f>VLOOKUP(A24,'SegEnds_NonXtal_Prot#'!A:AL,28,FALSE)-VLOOKUP(A24,'SegEnds_NonXtal_Prot#'!A:AL,25,FALSE)</f>
        <v>23</v>
      </c>
      <c r="AH24" s="1">
        <f>VLOOKUP(A24,'SegEnds_NonXtal_Prot#'!A:AL,28,FALSE)-VLOOKUP(A24,'SegEnds_NonXtal_Prot#'!A:AL,22,FALSE)</f>
        <v>44</v>
      </c>
      <c r="AI24" s="1">
        <f>VLOOKUP(A24,'SegEnds_NonXtal_Prot#'!A:AL,31,FALSE)-VLOOKUP(A24,'SegEnds_NonXtal_Prot#'!A:AL,28,FALSE)</f>
        <v>37</v>
      </c>
      <c r="AJ24" s="1">
        <f>VLOOKUP(A24,'SegEnds_NonXtal_Prot#'!A:AL,34,FALSE)-VLOOKUP(A24,'SegEnds_NonXtal_Prot#'!A:AL,31,FALSE)</f>
        <v>46</v>
      </c>
      <c r="AK24" s="1">
        <f>VLOOKUP(A24,'SegEnds_NonXtal_Prot#'!A:AL,37,FALSE)-VLOOKUP(A24,'SegEnds_NonXtal_Prot#'!A:AL,34,FALSE)</f>
        <v>10</v>
      </c>
      <c r="AL24" s="1" t="str">
        <f>IF(ISERROR(MATCH(A24,'SegEnds_Xtal_Prot#'!B:B, 0)), "NoXtal", "Xtal")</f>
        <v>NoXtal</v>
      </c>
    </row>
    <row r="25" spans="1:38" x14ac:dyDescent="0.2">
      <c r="A25" s="1" t="s">
        <v>143</v>
      </c>
      <c r="B25" s="1" t="str">
        <f>VLOOKUP(A25,Xtal_Templ!A:B,2,FALSE)</f>
        <v>ccr5_human</v>
      </c>
      <c r="C25" s="5">
        <f>VLOOKUP($B25&amp;"__wt",'SegEnds_Xtal_BW#'!$A:$Z,3,FALSE)</f>
        <v>24</v>
      </c>
      <c r="D25" s="1">
        <f>VLOOKUP($B25&amp;"__wt",'SegEnds_Xtal_BW#'!$A:$Z,4,FALSE)</f>
        <v>60</v>
      </c>
      <c r="E25" s="1">
        <f>VLOOKUP($B25&amp;"__wt",'SegEnds_Xtal_BW#'!$A:$Z,5,FALSE)</f>
        <v>48</v>
      </c>
      <c r="F25" s="1">
        <f>VLOOKUP($B25&amp;"__wt",'SegEnds_Xtal_BW#'!$A:$Z,6,FALSE)</f>
        <v>51</v>
      </c>
      <c r="G25" s="1">
        <v>37</v>
      </c>
      <c r="H25" s="12">
        <v>66</v>
      </c>
      <c r="I25" s="1">
        <f>VLOOKUP($B25&amp;"__wt",'SegEnds_Xtal_BW#'!$A:$Z,9,FALSE)</f>
        <v>49</v>
      </c>
      <c r="J25" s="1">
        <f>VLOOKUP($B25&amp;"__wt",'SegEnds_Xtal_BW#'!$A:$Z,10,FALSE)</f>
        <v>52</v>
      </c>
      <c r="K25" s="108">
        <v>21</v>
      </c>
      <c r="L25" s="1">
        <f>VLOOKUP($B25&amp;"__wt",'SegEnds_Xtal_BW#'!$A:$Z,12,FALSE)</f>
        <v>56</v>
      </c>
      <c r="M25" s="1">
        <f>VLOOKUP($B25&amp;"__wt",'SegEnds_Xtal_BW#'!$A:$Z,13,FALSE)</f>
        <v>50</v>
      </c>
      <c r="N25" s="12">
        <f>VLOOKUP($B25&amp;"__wt",'SegEnds_Xtal_BW#'!$A:$Z,14,FALSE)</f>
        <v>57</v>
      </c>
      <c r="O25" s="87">
        <f>VLOOKUP($B25&amp;"__wt",'SegEnds_Xtal_BW#'!$A:$Z,15,FALSE)</f>
        <v>38</v>
      </c>
      <c r="P25" s="1">
        <f>VLOOKUP($B25&amp;"__wt",'SegEnds_Xtal_BW#'!$A:$Z,16,FALSE)</f>
        <v>64</v>
      </c>
      <c r="Q25" s="1">
        <f>VLOOKUP($B25&amp;"__wt",'SegEnds_Xtal_BW#'!$A:$Z,17,FALSE)</f>
        <v>50</v>
      </c>
      <c r="R25" s="1">
        <f>VLOOKUP($B25&amp;"__wt",'SegEnds_Xtal_BW#'!$A:$Z,18,FALSE)</f>
        <v>52</v>
      </c>
      <c r="S25" s="1">
        <f>VLOOKUP($B25&amp;"__wt",'SegEnds_Xtal_BW#'!$A:$Z,19,FALSE)</f>
        <v>30</v>
      </c>
      <c r="T25" s="1">
        <f t="array" ref="T25">INDEX(ICL3_classA!$G$2:$G$37,MATCH(MIN(ABS(AI25-ICL3_classA!$F$2:$F$37)),ABS(AI25-ICL3_classA!$F$2:$F$37),0))</f>
        <v>68</v>
      </c>
      <c r="U25" s="1">
        <f t="array" ref="U25">INDEX(ICL3_classA!$H$2:$H$37,MATCH(MIN(ABS(AI25-ICL3_classA!$F$2:$F$37)),ABS(AI25-ICL3_classA!$F$2:$F$37),0))</f>
        <v>30</v>
      </c>
      <c r="V25" s="1">
        <v>64</v>
      </c>
      <c r="W25" s="1">
        <v>24</v>
      </c>
      <c r="X25" s="1">
        <f>VLOOKUP($B25&amp;"__wt",'SegEnds_Xtal_BW#'!$A:$Z,24,FALSE)</f>
        <v>56</v>
      </c>
      <c r="Y25" s="1">
        <f>VLOOKUP($B25&amp;"__wt",'SegEnds_Xtal_BW#'!$A:$Z,25,FALSE)</f>
        <v>47</v>
      </c>
      <c r="Z25" s="1">
        <f>VLOOKUP($B25&amp;"__wt",'SegEnds_Xtal_BW#'!$A:$Z,26,FALSE)</f>
        <v>59</v>
      </c>
      <c r="AA25" s="27" t="str">
        <f>VLOOKUP(A25,Classification!A:B,2,FALSE)</f>
        <v>A</v>
      </c>
      <c r="AB25" s="1">
        <f>VLOOKUP(A25,'SegEnds_NonXtal_Prot#'!A:AL,10,FALSE)-VLOOKUP(A25,'SegEnds_NonXtal_Prot#'!A:AL,4,FALSE)</f>
        <v>28</v>
      </c>
      <c r="AC25" s="1">
        <f>VLOOKUP(A25,'SegEnds_NonXtal_Prot#'!A:AL,10,FALSE)-VLOOKUP(A25,'SegEnds_NonXtal_Prot#'!A:AL,7,FALSE)</f>
        <v>15</v>
      </c>
      <c r="AD25" s="1">
        <f>VLOOKUP(A25,'SegEnds_NonXtal_Prot#'!A:AL,13,FALSE)-VLOOKUP(A25,'SegEnds_NonXtal_Prot#'!A:AL,10,FALSE)</f>
        <v>18</v>
      </c>
      <c r="AE25" s="1">
        <f>VLOOKUP(A25,'SegEnds_NonXtal_Prot#'!A:AL,16,FALSE)-VLOOKUP(A25,'SegEnds_NonXtal_Prot#'!A:AL,10,FALSE)</f>
        <v>50</v>
      </c>
      <c r="AF25" s="1">
        <f>VLOOKUP(A25,'SegEnds_NonXtal_Prot#'!A:AL,22,FALSE)-VLOOKUP(A25,'SegEnds_NonXtal_Prot#'!A:AL,19,FALSE)</f>
        <v>20</v>
      </c>
      <c r="AG25" s="1">
        <f>VLOOKUP(A25,'SegEnds_NonXtal_Prot#'!A:AL,28,FALSE)-VLOOKUP(A25,'SegEnds_NonXtal_Prot#'!A:AL,25,FALSE)</f>
        <v>27</v>
      </c>
      <c r="AH25" s="1">
        <f>VLOOKUP(A25,'SegEnds_NonXtal_Prot#'!A:AL,28,FALSE)-VLOOKUP(A25,'SegEnds_NonXtal_Prot#'!A:AL,22,FALSE)</f>
        <v>53</v>
      </c>
      <c r="AI25" s="1">
        <f>VLOOKUP(A25,'SegEnds_NonXtal_Prot#'!A:AL,31,FALSE)-VLOOKUP(A25,'SegEnds_NonXtal_Prot#'!A:AL,28,FALSE)</f>
        <v>43</v>
      </c>
      <c r="AJ25" s="1">
        <f>VLOOKUP(A25,'SegEnds_NonXtal_Prot#'!A:AL,34,FALSE)-VLOOKUP(A25,'SegEnds_NonXtal_Prot#'!A:AL,31,FALSE)</f>
        <v>44</v>
      </c>
      <c r="AK25" s="1">
        <f>VLOOKUP(A25,'SegEnds_NonXtal_Prot#'!A:AL,37,FALSE)-VLOOKUP(A25,'SegEnds_NonXtal_Prot#'!A:AL,34,FALSE)</f>
        <v>10</v>
      </c>
      <c r="AL25" s="1" t="str">
        <f>IF(ISERROR(MATCH(A25,'SegEnds_Xtal_Prot#'!B:B, 0)), "NoXtal", "Xtal")</f>
        <v>NoXtal</v>
      </c>
    </row>
    <row r="26" spans="1:38" x14ac:dyDescent="0.2">
      <c r="A26" s="1" t="s">
        <v>144</v>
      </c>
      <c r="B26" s="1" t="str">
        <f>VLOOKUP(A26,Xtal_Templ!A:B,2,FALSE)</f>
        <v>agtr1_human</v>
      </c>
      <c r="C26" s="5">
        <f>VLOOKUP($B26&amp;"__wt",'SegEnds_Xtal_BW#'!$A:$Z,3,FALSE)</f>
        <v>30</v>
      </c>
      <c r="D26" s="1">
        <f>VLOOKUP($B26&amp;"__wt",'SegEnds_Xtal_BW#'!$A:$Z,4,FALSE)</f>
        <v>60</v>
      </c>
      <c r="E26" s="1">
        <f>VLOOKUP($B26&amp;"__wt",'SegEnds_Xtal_BW#'!$A:$Z,5,FALSE)</f>
        <v>48</v>
      </c>
      <c r="F26" s="1">
        <f>VLOOKUP($B26&amp;"__wt",'SegEnds_Xtal_BW#'!$A:$Z,6,FALSE)</f>
        <v>51</v>
      </c>
      <c r="G26" s="1">
        <v>37</v>
      </c>
      <c r="H26" s="12">
        <f>VLOOKUP($B26&amp;"__wt",'SegEnds_Xtal_BW#'!$A:$Z,8,FALSE)</f>
        <v>66</v>
      </c>
      <c r="I26" s="1">
        <f>VLOOKUP($B26&amp;"__wt",'SegEnds_Xtal_BW#'!$A:$Z,9,FALSE)</f>
        <v>49</v>
      </c>
      <c r="J26" s="1">
        <f>VLOOKUP($B26&amp;"__wt",'SegEnds_Xtal_BW#'!$A:$Z,10,FALSE)</f>
        <v>52</v>
      </c>
      <c r="K26" s="12">
        <v>21</v>
      </c>
      <c r="L26" s="1">
        <f>VLOOKUP($B26&amp;"__wt",'SegEnds_Xtal_BW#'!$A:$Z,12,FALSE)</f>
        <v>56</v>
      </c>
      <c r="M26" s="1">
        <f>VLOOKUP($B26&amp;"__wt",'SegEnds_Xtal_BW#'!$A:$Z,13,FALSE)</f>
        <v>50</v>
      </c>
      <c r="N26" s="12">
        <f>VLOOKUP($B26&amp;"__wt",'SegEnds_Xtal_BW#'!$A:$Z,14,FALSE)</f>
        <v>57</v>
      </c>
      <c r="O26" s="87">
        <f>VLOOKUP($B26&amp;"__wt",'SegEnds_Xtal_BW#'!$A:$Z,15,FALSE)</f>
        <v>38</v>
      </c>
      <c r="P26" s="1">
        <f>VLOOKUP($B26&amp;"__wt",'SegEnds_Xtal_BW#'!$A:$Z,16,FALSE)</f>
        <v>64</v>
      </c>
      <c r="Q26" s="1">
        <f>VLOOKUP($B26&amp;"__wt",'SegEnds_Xtal_BW#'!$A:$Z,17,FALSE)</f>
        <v>50</v>
      </c>
      <c r="R26" s="1">
        <f>VLOOKUP($B26&amp;"__wt",'SegEnds_Xtal_BW#'!$A:$Z,18,FALSE)</f>
        <v>52</v>
      </c>
      <c r="S26" s="1">
        <f>VLOOKUP($B26&amp;"__wt",'SegEnds_Xtal_BW#'!$A:$Z,19,FALSE)</f>
        <v>34</v>
      </c>
      <c r="T26" s="1">
        <f t="array" ref="T26">INDEX(ICL3_classA!$G$2:$G$37,MATCH(MIN(ABS(AI26-ICL3_classA!$F$2:$F$37)),ABS(AI26-ICL3_classA!$F$2:$F$37),0))</f>
        <v>68</v>
      </c>
      <c r="U26" s="1">
        <f t="array" ref="U26">INDEX(ICL3_classA!$H$2:$H$37,MATCH(MIN(ABS(AI26-ICL3_classA!$F$2:$F$37)),ABS(AI26-ICL3_classA!$F$2:$F$37),0))</f>
        <v>30</v>
      </c>
      <c r="V26" s="1">
        <v>64</v>
      </c>
      <c r="W26" s="1">
        <v>24</v>
      </c>
      <c r="X26" s="1">
        <f>VLOOKUP($B26&amp;"__wt",'SegEnds_Xtal_BW#'!$A:$Z,24,FALSE)</f>
        <v>56</v>
      </c>
      <c r="Y26" s="1">
        <f>VLOOKUP($B26&amp;"__wt",'SegEnds_Xtal_BW#'!$A:$Z,25,FALSE)</f>
        <v>47</v>
      </c>
      <c r="Z26" s="1">
        <f>VLOOKUP($B26&amp;"__wt",'SegEnds_Xtal_BW#'!$A:$Z,26,FALSE)</f>
        <v>61</v>
      </c>
      <c r="AA26" s="27" t="str">
        <f>VLOOKUP(A26,Classification!A:B,2,FALSE)</f>
        <v>A</v>
      </c>
      <c r="AB26" s="1">
        <f>VLOOKUP(A26,'SegEnds_NonXtal_Prot#'!A:AL,10,FALSE)-VLOOKUP(A26,'SegEnds_NonXtal_Prot#'!A:AL,4,FALSE)</f>
        <v>28</v>
      </c>
      <c r="AC26" s="1">
        <f>VLOOKUP(A26,'SegEnds_NonXtal_Prot#'!A:AL,10,FALSE)-VLOOKUP(A26,'SegEnds_NonXtal_Prot#'!A:AL,7,FALSE)</f>
        <v>15</v>
      </c>
      <c r="AD26" s="1">
        <f>VLOOKUP(A26,'SegEnds_NonXtal_Prot#'!A:AL,13,FALSE)-VLOOKUP(A26,'SegEnds_NonXtal_Prot#'!A:AL,10,FALSE)</f>
        <v>20</v>
      </c>
      <c r="AE26" s="1">
        <f>VLOOKUP(A26,'SegEnds_NonXtal_Prot#'!A:AL,16,FALSE)-VLOOKUP(A26,'SegEnds_NonXtal_Prot#'!A:AL,10,FALSE)</f>
        <v>52</v>
      </c>
      <c r="AF26" s="1" t="e">
        <f>VLOOKUP(A26,'SegEnds_NonXtal_Prot#'!A:AL,22,FALSE)-VLOOKUP(A26,'SegEnds_NonXtal_Prot#'!A:AL,19,FALSE)</f>
        <v>#VALUE!</v>
      </c>
      <c r="AG26" s="1">
        <f>VLOOKUP(A26,'SegEnds_NonXtal_Prot#'!A:AL,28,FALSE)-VLOOKUP(A26,'SegEnds_NonXtal_Prot#'!A:AL,25,FALSE)</f>
        <v>28</v>
      </c>
      <c r="AH26" s="1">
        <f>VLOOKUP(A26,'SegEnds_NonXtal_Prot#'!A:AL,28,FALSE)-VLOOKUP(A26,'SegEnds_NonXtal_Prot#'!A:AL,22,FALSE)</f>
        <v>55</v>
      </c>
      <c r="AI26" s="1">
        <f>VLOOKUP(A26,'SegEnds_NonXtal_Prot#'!A:AL,31,FALSE)-VLOOKUP(A26,'SegEnds_NonXtal_Prot#'!A:AL,28,FALSE)</f>
        <v>43</v>
      </c>
      <c r="AJ26" s="1">
        <f>VLOOKUP(A26,'SegEnds_NonXtal_Prot#'!A:AL,34,FALSE)-VLOOKUP(A26,'SegEnds_NonXtal_Prot#'!A:AL,31,FALSE)</f>
        <v>45</v>
      </c>
      <c r="AK26" s="1">
        <f>VLOOKUP(A26,'SegEnds_NonXtal_Prot#'!A:AL,37,FALSE)-VLOOKUP(A26,'SegEnds_NonXtal_Prot#'!A:AL,34,FALSE)</f>
        <v>10</v>
      </c>
      <c r="AL26" s="1" t="str">
        <f>IF(ISERROR(MATCH(A26,'SegEnds_Xtal_Prot#'!B:B, 0)), "NoXtal", "Xtal")</f>
        <v>NoXtal</v>
      </c>
    </row>
    <row r="27" spans="1:38" x14ac:dyDescent="0.2">
      <c r="A27" s="1" t="s">
        <v>145</v>
      </c>
      <c r="B27" s="1" t="str">
        <f>VLOOKUP(A27,Xtal_Templ!A:B,2,FALSE)</f>
        <v>ccr9_human</v>
      </c>
      <c r="C27" s="5">
        <f>VLOOKUP($B27&amp;"__wt",'SegEnds_Xtal_BW#'!$A:$Z,3,FALSE)</f>
        <v>27</v>
      </c>
      <c r="D27" s="1">
        <f>VLOOKUP($B27&amp;"__wt",'SegEnds_Xtal_BW#'!$A:$Z,4,FALSE)</f>
        <v>60</v>
      </c>
      <c r="E27" s="1">
        <f>VLOOKUP($B27&amp;"__wt",'SegEnds_Xtal_BW#'!$A:$Z,5,FALSE)</f>
        <v>48</v>
      </c>
      <c r="F27" s="1">
        <f>VLOOKUP($B27&amp;"__wt",'SegEnds_Xtal_BW#'!$A:$Z,6,FALSE)</f>
        <v>51</v>
      </c>
      <c r="G27" s="1">
        <v>37</v>
      </c>
      <c r="H27" s="12">
        <v>66</v>
      </c>
      <c r="I27" s="1">
        <f>VLOOKUP($B27&amp;"__wt",'SegEnds_Xtal_BW#'!$A:$Z,9,FALSE)</f>
        <v>49</v>
      </c>
      <c r="J27" s="1">
        <f>VLOOKUP($B27&amp;"__wt",'SegEnds_Xtal_BW#'!$A:$Z,10,FALSE)</f>
        <v>52</v>
      </c>
      <c r="K27" s="108">
        <v>21</v>
      </c>
      <c r="L27" s="1">
        <f>VLOOKUP($B27&amp;"__wt",'SegEnds_Xtal_BW#'!$A:$Z,12,FALSE)</f>
        <v>56</v>
      </c>
      <c r="M27" s="1">
        <f>VLOOKUP($B27&amp;"__wt",'SegEnds_Xtal_BW#'!$A:$Z,13,FALSE)</f>
        <v>50</v>
      </c>
      <c r="N27" s="12">
        <f>VLOOKUP($B27&amp;"__wt",'SegEnds_Xtal_BW#'!$A:$Z,14,FALSE)</f>
        <v>56</v>
      </c>
      <c r="O27" s="87">
        <v>38</v>
      </c>
      <c r="P27" s="1">
        <f>VLOOKUP($B27&amp;"__wt",'SegEnds_Xtal_BW#'!$A:$Z,16,FALSE)</f>
        <v>64</v>
      </c>
      <c r="Q27" s="1">
        <f>VLOOKUP($B27&amp;"__wt",'SegEnds_Xtal_BW#'!$A:$Z,17,FALSE)</f>
        <v>50</v>
      </c>
      <c r="R27" s="1">
        <f>VLOOKUP($B27&amp;"__wt",'SegEnds_Xtal_BW#'!$A:$Z,18,FALSE)</f>
        <v>52</v>
      </c>
      <c r="S27" s="1">
        <f>VLOOKUP($B27&amp;"__wt",'SegEnds_Xtal_BW#'!$A:$Z,19,FALSE)</f>
        <v>33</v>
      </c>
      <c r="T27" s="1">
        <f t="array" ref="T27">INDEX(ICL3_classA!$G$2:$G$37,MATCH(MIN(ABS(AI27-ICL3_classA!$F$2:$F$37)),ABS(AI27-ICL3_classA!$F$2:$F$37),0))</f>
        <v>68</v>
      </c>
      <c r="U27" s="1">
        <f t="array" ref="U27">INDEX(ICL3_classA!$H$2:$H$37,MATCH(MIN(ABS(AI27-ICL3_classA!$F$2:$F$37)),ABS(AI27-ICL3_classA!$F$2:$F$37),0))</f>
        <v>30</v>
      </c>
      <c r="V27" s="1">
        <v>64</v>
      </c>
      <c r="W27" s="1">
        <v>24</v>
      </c>
      <c r="X27" s="1">
        <f>VLOOKUP($B27&amp;"__wt",'SegEnds_Xtal_BW#'!$A:$Z,24,FALSE)</f>
        <v>56</v>
      </c>
      <c r="Y27" s="1">
        <f>VLOOKUP($B27&amp;"__wt",'SegEnds_Xtal_BW#'!$A:$Z,25,FALSE)</f>
        <v>47</v>
      </c>
      <c r="Z27" s="1">
        <f>VLOOKUP($B27&amp;"__wt",'SegEnds_Xtal_BW#'!$A:$Z,26,FALSE)</f>
        <v>67</v>
      </c>
      <c r="AA27" s="27" t="str">
        <f>VLOOKUP(A27,Classification!A:B,2,FALSE)</f>
        <v>A</v>
      </c>
      <c r="AB27" s="1">
        <f>VLOOKUP(A27,'SegEnds_NonXtal_Prot#'!A:AL,10,FALSE)-VLOOKUP(A27,'SegEnds_NonXtal_Prot#'!A:AL,4,FALSE)</f>
        <v>28</v>
      </c>
      <c r="AC27" s="1">
        <f>VLOOKUP(A27,'SegEnds_NonXtal_Prot#'!A:AL,10,FALSE)-VLOOKUP(A27,'SegEnds_NonXtal_Prot#'!A:AL,7,FALSE)</f>
        <v>15</v>
      </c>
      <c r="AD27" s="1">
        <f>VLOOKUP(A27,'SegEnds_NonXtal_Prot#'!A:AL,13,FALSE)-VLOOKUP(A27,'SegEnds_NonXtal_Prot#'!A:AL,10,FALSE)</f>
        <v>18</v>
      </c>
      <c r="AE27" s="1">
        <f>VLOOKUP(A27,'SegEnds_NonXtal_Prot#'!A:AL,16,FALSE)-VLOOKUP(A27,'SegEnds_NonXtal_Prot#'!A:AL,10,FALSE)</f>
        <v>50</v>
      </c>
      <c r="AF27" s="1" t="e">
        <f>VLOOKUP(A27,'SegEnds_NonXtal_Prot#'!A:AL,22,FALSE)-VLOOKUP(A27,'SegEnds_NonXtal_Prot#'!A:AL,19,FALSE)</f>
        <v>#VALUE!</v>
      </c>
      <c r="AG27" s="1">
        <f>VLOOKUP(A27,'SegEnds_NonXtal_Prot#'!A:AL,28,FALSE)-VLOOKUP(A27,'SegEnds_NonXtal_Prot#'!A:AL,25,FALSE)</f>
        <v>28</v>
      </c>
      <c r="AH27" s="1">
        <f>VLOOKUP(A27,'SegEnds_NonXtal_Prot#'!A:AL,28,FALSE)-VLOOKUP(A27,'SegEnds_NonXtal_Prot#'!A:AL,22,FALSE)</f>
        <v>50</v>
      </c>
      <c r="AI27" s="1">
        <f>VLOOKUP(A27,'SegEnds_NonXtal_Prot#'!A:AL,31,FALSE)-VLOOKUP(A27,'SegEnds_NonXtal_Prot#'!A:AL,28,FALSE)</f>
        <v>43</v>
      </c>
      <c r="AJ27" s="1">
        <f>VLOOKUP(A27,'SegEnds_NonXtal_Prot#'!A:AL,34,FALSE)-VLOOKUP(A27,'SegEnds_NonXtal_Prot#'!A:AL,31,FALSE)</f>
        <v>45</v>
      </c>
      <c r="AK27" s="1">
        <f>VLOOKUP(A27,'SegEnds_NonXtal_Prot#'!A:AL,37,FALSE)-VLOOKUP(A27,'SegEnds_NonXtal_Prot#'!A:AL,34,FALSE)</f>
        <v>10</v>
      </c>
      <c r="AL27" s="1" t="str">
        <f>IF(ISERROR(MATCH(A27,'SegEnds_Xtal_Prot#'!B:B, 0)), "NoXtal", "Xtal")</f>
        <v>NoXtal</v>
      </c>
    </row>
    <row r="28" spans="1:38" x14ac:dyDescent="0.2">
      <c r="A28" s="1" t="s">
        <v>146</v>
      </c>
      <c r="B28" s="1" t="str">
        <f>VLOOKUP(A28,Xtal_Templ!A:B,2,FALSE)</f>
        <v>acm1_human</v>
      </c>
      <c r="C28" s="5">
        <f>VLOOKUP($B28&amp;"__wt",'SegEnds_Xtal_BW#'!$A:$Z,3,FALSE)</f>
        <v>29</v>
      </c>
      <c r="D28" s="1">
        <f>VLOOKUP($B28&amp;"__wt",'SegEnds_Xtal_BW#'!$A:$Z,4,FALSE)</f>
        <v>60</v>
      </c>
      <c r="E28" s="1">
        <f>VLOOKUP($B28&amp;"__wt",'SegEnds_Xtal_BW#'!$A:$Z,5,FALSE)</f>
        <v>48</v>
      </c>
      <c r="F28" s="1">
        <f>VLOOKUP($B28&amp;"__wt",'SegEnds_Xtal_BW#'!$A:$Z,6,FALSE)</f>
        <v>51</v>
      </c>
      <c r="G28" s="1">
        <v>37</v>
      </c>
      <c r="H28" s="12">
        <f>VLOOKUP($B28&amp;"__wt",'SegEnds_Xtal_BW#'!$A:$Z,8,FALSE)</f>
        <v>68</v>
      </c>
      <c r="I28" s="1">
        <f>VLOOKUP($B28&amp;"__wt",'SegEnds_Xtal_BW#'!$A:$Z,9,FALSE)</f>
        <v>49</v>
      </c>
      <c r="J28" s="1">
        <f>VLOOKUP($B28&amp;"__wt",'SegEnds_Xtal_BW#'!$A:$Z,10,FALSE)</f>
        <v>52</v>
      </c>
      <c r="K28" s="12">
        <v>18</v>
      </c>
      <c r="L28" s="1">
        <f>VLOOKUP($B28&amp;"__wt",'SegEnds_Xtal_BW#'!$A:$Z,12,FALSE)</f>
        <v>56</v>
      </c>
      <c r="M28" s="1">
        <f>VLOOKUP($B28&amp;"__wt",'SegEnds_Xtal_BW#'!$A:$Z,13,FALSE)</f>
        <v>50</v>
      </c>
      <c r="N28" s="12">
        <f>VLOOKUP($B28&amp;"__wt",'SegEnds_Xtal_BW#'!$A:$Z,14,FALSE)</f>
        <v>57</v>
      </c>
      <c r="O28" s="87">
        <f>VLOOKUP($B28&amp;"__wt",'SegEnds_Xtal_BW#'!$A:$Z,15,FALSE)</f>
        <v>38</v>
      </c>
      <c r="P28" s="1">
        <f>VLOOKUP($B28&amp;"__wt",'SegEnds_Xtal_BW#'!$A:$Z,16,FALSE)</f>
        <v>69</v>
      </c>
      <c r="Q28" s="1">
        <f>VLOOKUP($B28&amp;"__wt",'SegEnds_Xtal_BW#'!$A:$Z,17,FALSE)</f>
        <v>50</v>
      </c>
      <c r="R28" s="1">
        <f>VLOOKUP($B28&amp;"__wt",'SegEnds_Xtal_BW#'!$A:$Z,18,FALSE)</f>
        <v>52</v>
      </c>
      <c r="S28" s="1">
        <f>VLOOKUP($B28&amp;"__wt",'SegEnds_Xtal_BW#'!$A:$Z,19,FALSE)</f>
        <v>35</v>
      </c>
      <c r="T28" s="1">
        <f t="array" ref="T28">INDEX(ICL3_classA!$G$2:$G$37,MATCH(MIN(ABS(AI28-ICL3_classA!$F$2:$F$37)),ABS(AI28-ICL3_classA!$F$2:$F$37),0))</f>
        <v>75</v>
      </c>
      <c r="U28" s="1">
        <f t="array" ref="U28">INDEX(ICL3_classA!$H$2:$H$37,MATCH(MIN(ABS(AI28-ICL3_classA!$F$2:$F$37)),ABS(AI28-ICL3_classA!$F$2:$F$37),0))</f>
        <v>24</v>
      </c>
      <c r="V28" s="1">
        <v>61</v>
      </c>
      <c r="W28" s="1">
        <v>31</v>
      </c>
      <c r="X28" s="1">
        <f>VLOOKUP($B28&amp;"__wt",'SegEnds_Xtal_BW#'!$A:$Z,24,FALSE)</f>
        <v>56</v>
      </c>
      <c r="Y28" s="1">
        <f>VLOOKUP($B28&amp;"__wt",'SegEnds_Xtal_BW#'!$A:$Z,25,FALSE)</f>
        <v>47</v>
      </c>
      <c r="Z28" s="1">
        <f>VLOOKUP($B28&amp;"__wt",'SegEnds_Xtal_BW#'!$A:$Z,26,FALSE)</f>
        <v>59</v>
      </c>
      <c r="AA28" s="27" t="str">
        <f>VLOOKUP(A28,Classification!A:B,2,FALSE)</f>
        <v>A</v>
      </c>
      <c r="AB28" s="1">
        <f>VLOOKUP(A28,'SegEnds_NonXtal_Prot#'!A:AL,10,FALSE)-VLOOKUP(A28,'SegEnds_NonXtal_Prot#'!A:AL,4,FALSE)</f>
        <v>28</v>
      </c>
      <c r="AC28" s="1">
        <f>VLOOKUP(A28,'SegEnds_NonXtal_Prot#'!A:AL,10,FALSE)-VLOOKUP(A28,'SegEnds_NonXtal_Prot#'!A:AL,7,FALSE)</f>
        <v>15</v>
      </c>
      <c r="AD28" s="1">
        <f>VLOOKUP(A28,'SegEnds_NonXtal_Prot#'!A:AL,13,FALSE)-VLOOKUP(A28,'SegEnds_NonXtal_Prot#'!A:AL,10,FALSE)</f>
        <v>20</v>
      </c>
      <c r="AE28" s="1">
        <f>VLOOKUP(A28,'SegEnds_NonXtal_Prot#'!A:AL,16,FALSE)-VLOOKUP(A28,'SegEnds_NonXtal_Prot#'!A:AL,10,FALSE)</f>
        <v>52</v>
      </c>
      <c r="AF28" s="1">
        <f>VLOOKUP(A28,'SegEnds_NonXtal_Prot#'!A:AL,22,FALSE)-VLOOKUP(A28,'SegEnds_NonXtal_Prot#'!A:AL,19,FALSE)</f>
        <v>20</v>
      </c>
      <c r="AG28" s="1">
        <f>VLOOKUP(A28,'SegEnds_NonXtal_Prot#'!A:AL,28,FALSE)-VLOOKUP(A28,'SegEnds_NonXtal_Prot#'!A:AL,25,FALSE)</f>
        <v>22</v>
      </c>
      <c r="AH28" s="1">
        <f>VLOOKUP(A28,'SegEnds_NonXtal_Prot#'!A:AL,28,FALSE)-VLOOKUP(A28,'SegEnds_NonXtal_Prot#'!A:AL,22,FALSE)</f>
        <v>50</v>
      </c>
      <c r="AI28" s="1">
        <f>VLOOKUP(A28,'SegEnds_NonXtal_Prot#'!A:AL,31,FALSE)-VLOOKUP(A28,'SegEnds_NonXtal_Prot#'!A:AL,28,FALSE)</f>
        <v>180</v>
      </c>
      <c r="AJ28" s="1">
        <f>VLOOKUP(A28,'SegEnds_NonXtal_Prot#'!A:AL,34,FALSE)-VLOOKUP(A28,'SegEnds_NonXtal_Prot#'!A:AL,31,FALSE)</f>
        <v>35</v>
      </c>
      <c r="AK28" s="1">
        <f>VLOOKUP(A28,'SegEnds_NonXtal_Prot#'!A:AL,37,FALSE)-VLOOKUP(A28,'SegEnds_NonXtal_Prot#'!A:AL,34,FALSE)</f>
        <v>10</v>
      </c>
      <c r="AL28" s="1" t="str">
        <f>IF(ISERROR(MATCH(A28,'SegEnds_Xtal_Prot#'!B:B, 0)), "NoXtal", "Xtal")</f>
        <v>Xtal</v>
      </c>
    </row>
    <row r="29" spans="1:38" x14ac:dyDescent="0.2">
      <c r="A29" s="1" t="s">
        <v>147</v>
      </c>
      <c r="B29" s="1" t="str">
        <f>VLOOKUP(A29,Xtal_Templ!A:B,2,FALSE)</f>
        <v>acm2_human</v>
      </c>
      <c r="C29" s="5">
        <f>VLOOKUP($B29&amp;"__wt",'SegEnds_Xtal_BW#'!$A:$Z,3,FALSE)</f>
        <v>28</v>
      </c>
      <c r="D29" s="1">
        <f>VLOOKUP($B29&amp;"__wt",'SegEnds_Xtal_BW#'!$A:$Z,4,FALSE)</f>
        <v>60</v>
      </c>
      <c r="E29" s="1">
        <f>VLOOKUP($B29&amp;"__wt",'SegEnds_Xtal_BW#'!$A:$Z,5,FALSE)</f>
        <v>48</v>
      </c>
      <c r="F29" s="1">
        <f>VLOOKUP($B29&amp;"__wt",'SegEnds_Xtal_BW#'!$A:$Z,6,FALSE)</f>
        <v>51</v>
      </c>
      <c r="G29" s="1">
        <v>37</v>
      </c>
      <c r="H29" s="12">
        <f>VLOOKUP($B29&amp;"__wt",'SegEnds_Xtal_BW#'!$A:$Z,8,FALSE)</f>
        <v>68</v>
      </c>
      <c r="I29" s="1">
        <f>VLOOKUP($B29&amp;"__wt",'SegEnds_Xtal_BW#'!$A:$Z,9,FALSE)</f>
        <v>49</v>
      </c>
      <c r="J29" s="1">
        <f>VLOOKUP($B29&amp;"__wt",'SegEnds_Xtal_BW#'!$A:$Z,10,FALSE)</f>
        <v>52</v>
      </c>
      <c r="K29" s="12">
        <v>18</v>
      </c>
      <c r="L29" s="1">
        <f>VLOOKUP($B29&amp;"__wt",'SegEnds_Xtal_BW#'!$A:$Z,12,FALSE)</f>
        <v>56</v>
      </c>
      <c r="M29" s="1">
        <f>VLOOKUP($B29&amp;"__wt",'SegEnds_Xtal_BW#'!$A:$Z,13,FALSE)</f>
        <v>50</v>
      </c>
      <c r="N29" s="12">
        <f>VLOOKUP($B29&amp;"__wt",'SegEnds_Xtal_BW#'!$A:$Z,14,FALSE)</f>
        <v>57</v>
      </c>
      <c r="O29" s="87">
        <f>VLOOKUP($B29&amp;"__wt",'SegEnds_Xtal_BW#'!$A:$Z,15,FALSE)</f>
        <v>38</v>
      </c>
      <c r="P29" s="1">
        <f>VLOOKUP($B29&amp;"__wt",'SegEnds_Xtal_BW#'!$A:$Z,16,FALSE)</f>
        <v>69</v>
      </c>
      <c r="Q29" s="1">
        <f>VLOOKUP($B29&amp;"__wt",'SegEnds_Xtal_BW#'!$A:$Z,17,FALSE)</f>
        <v>50</v>
      </c>
      <c r="R29" s="1">
        <f>VLOOKUP($B29&amp;"__wt",'SegEnds_Xtal_BW#'!$A:$Z,18,FALSE)</f>
        <v>52</v>
      </c>
      <c r="S29" s="1">
        <f>VLOOKUP($B29&amp;"__wt",'SegEnds_Xtal_BW#'!$A:$Z,19,FALSE)</f>
        <v>35</v>
      </c>
      <c r="T29" s="1">
        <f t="array" ref="T29">INDEX(ICL3_classA!$G$2:$G$37,MATCH(MIN(ABS(AI29-ICL3_classA!$F$2:$F$37)),ABS(AI29-ICL3_classA!$F$2:$F$37),0))</f>
        <v>75</v>
      </c>
      <c r="U29" s="1">
        <f t="array" ref="U29">INDEX(ICL3_classA!$H$2:$H$37,MATCH(MIN(ABS(AI29-ICL3_classA!$F$2:$F$37)),ABS(AI29-ICL3_classA!$F$2:$F$37),0))</f>
        <v>24</v>
      </c>
      <c r="V29" s="1">
        <v>61</v>
      </c>
      <c r="W29" s="1">
        <v>31</v>
      </c>
      <c r="X29" s="1">
        <f>VLOOKUP($B29&amp;"__wt",'SegEnds_Xtal_BW#'!$A:$Z,24,FALSE)</f>
        <v>56</v>
      </c>
      <c r="Y29" s="1">
        <f>VLOOKUP($B29&amp;"__wt",'SegEnds_Xtal_BW#'!$A:$Z,25,FALSE)</f>
        <v>47</v>
      </c>
      <c r="Z29" s="1">
        <f>VLOOKUP($B29&amp;"__wt",'SegEnds_Xtal_BW#'!$A:$Z,26,FALSE)</f>
        <v>59</v>
      </c>
      <c r="AA29" s="27" t="str">
        <f>VLOOKUP(A29,Classification!A:B,2,FALSE)</f>
        <v>A</v>
      </c>
      <c r="AB29" s="1">
        <f>VLOOKUP(A29,'SegEnds_NonXtal_Prot#'!A:AL,10,FALSE)-VLOOKUP(A29,'SegEnds_NonXtal_Prot#'!A:AL,4,FALSE)</f>
        <v>28</v>
      </c>
      <c r="AC29" s="1">
        <f>VLOOKUP(A29,'SegEnds_NonXtal_Prot#'!A:AL,10,FALSE)-VLOOKUP(A29,'SegEnds_NonXtal_Prot#'!A:AL,7,FALSE)</f>
        <v>15</v>
      </c>
      <c r="AD29" s="1">
        <f>VLOOKUP(A29,'SegEnds_NonXtal_Prot#'!A:AL,13,FALSE)-VLOOKUP(A29,'SegEnds_NonXtal_Prot#'!A:AL,10,FALSE)</f>
        <v>20</v>
      </c>
      <c r="AE29" s="1">
        <f>VLOOKUP(A29,'SegEnds_NonXtal_Prot#'!A:AL,16,FALSE)-VLOOKUP(A29,'SegEnds_NonXtal_Prot#'!A:AL,10,FALSE)</f>
        <v>52</v>
      </c>
      <c r="AF29" s="1">
        <f>VLOOKUP(A29,'SegEnds_NonXtal_Prot#'!A:AL,22,FALSE)-VLOOKUP(A29,'SegEnds_NonXtal_Prot#'!A:AL,19,FALSE)</f>
        <v>20</v>
      </c>
      <c r="AG29" s="1">
        <f>VLOOKUP(A29,'SegEnds_NonXtal_Prot#'!A:AL,28,FALSE)-VLOOKUP(A29,'SegEnds_NonXtal_Prot#'!A:AL,25,FALSE)</f>
        <v>22</v>
      </c>
      <c r="AH29" s="1">
        <f>VLOOKUP(A29,'SegEnds_NonXtal_Prot#'!A:AL,28,FALSE)-VLOOKUP(A29,'SegEnds_NonXtal_Prot#'!A:AL,22,FALSE)</f>
        <v>50</v>
      </c>
      <c r="AI29" s="1">
        <f>VLOOKUP(A29,'SegEnds_NonXtal_Prot#'!A:AL,31,FALSE)-VLOOKUP(A29,'SegEnds_NonXtal_Prot#'!A:AL,28,FALSE)</f>
        <v>204</v>
      </c>
      <c r="AJ29" s="1">
        <f>VLOOKUP(A29,'SegEnds_NonXtal_Prot#'!A:AL,34,FALSE)-VLOOKUP(A29,'SegEnds_NonXtal_Prot#'!A:AL,31,FALSE)</f>
        <v>35</v>
      </c>
      <c r="AK29" s="1">
        <f>VLOOKUP(A29,'SegEnds_NonXtal_Prot#'!A:AL,37,FALSE)-VLOOKUP(A29,'SegEnds_NonXtal_Prot#'!A:AL,34,FALSE)</f>
        <v>10</v>
      </c>
      <c r="AL29" s="1" t="str">
        <f>IF(ISERROR(MATCH(A29,'SegEnds_Xtal_Prot#'!B:B, 0)), "NoXtal", "Xtal")</f>
        <v>Xtal</v>
      </c>
    </row>
    <row r="30" spans="1:38" x14ac:dyDescent="0.2">
      <c r="A30" s="1" t="s">
        <v>148</v>
      </c>
      <c r="B30" s="1" t="str">
        <f>VLOOKUP(A30,Xtal_Templ!A:B,2,FALSE)</f>
        <v>acm3_rat</v>
      </c>
      <c r="C30" s="5">
        <f>VLOOKUP($B30&amp;"__wt",'SegEnds_Xtal_BW#'!$A:$Z,3,FALSE)</f>
        <v>29</v>
      </c>
      <c r="D30" s="1">
        <f>VLOOKUP($B30&amp;"__wt",'SegEnds_Xtal_BW#'!$A:$Z,4,FALSE)</f>
        <v>60</v>
      </c>
      <c r="E30" s="1">
        <f>VLOOKUP($B30&amp;"__wt",'SegEnds_Xtal_BW#'!$A:$Z,5,FALSE)</f>
        <v>48</v>
      </c>
      <c r="F30" s="1">
        <f>VLOOKUP($B30&amp;"__wt",'SegEnds_Xtal_BW#'!$A:$Z,6,FALSE)</f>
        <v>51</v>
      </c>
      <c r="G30" s="1">
        <v>37</v>
      </c>
      <c r="H30" s="12">
        <f>VLOOKUP($B30&amp;"__wt",'SegEnds_Xtal_BW#'!$A:$Z,8,FALSE)</f>
        <v>67</v>
      </c>
      <c r="I30" s="1">
        <f>VLOOKUP($B30&amp;"__wt",'SegEnds_Xtal_BW#'!$A:$Z,9,FALSE)</f>
        <v>49</v>
      </c>
      <c r="J30" s="1">
        <f>VLOOKUP($B30&amp;"__wt",'SegEnds_Xtal_BW#'!$A:$Z,10,FALSE)</f>
        <v>52</v>
      </c>
      <c r="K30" s="12">
        <v>18</v>
      </c>
      <c r="L30" s="1">
        <f>VLOOKUP($B30&amp;"__wt",'SegEnds_Xtal_BW#'!$A:$Z,12,FALSE)</f>
        <v>56</v>
      </c>
      <c r="M30" s="1">
        <f>VLOOKUP($B30&amp;"__wt",'SegEnds_Xtal_BW#'!$A:$Z,13,FALSE)</f>
        <v>50</v>
      </c>
      <c r="N30" s="12">
        <v>57</v>
      </c>
      <c r="O30" s="87">
        <v>38</v>
      </c>
      <c r="P30" s="1">
        <f>VLOOKUP($B30&amp;"__wt",'SegEnds_Xtal_BW#'!$A:$Z,16,FALSE)</f>
        <v>69</v>
      </c>
      <c r="Q30" s="1">
        <f>VLOOKUP($B30&amp;"__wt",'SegEnds_Xtal_BW#'!$A:$Z,17,FALSE)</f>
        <v>50</v>
      </c>
      <c r="R30" s="1">
        <f>VLOOKUP($B30&amp;"__wt",'SegEnds_Xtal_BW#'!$A:$Z,18,FALSE)</f>
        <v>52</v>
      </c>
      <c r="S30" s="1">
        <f>VLOOKUP($B30&amp;"__wt",'SegEnds_Xtal_BW#'!$A:$Z,19,FALSE)</f>
        <v>35</v>
      </c>
      <c r="T30" s="1">
        <f t="array" ref="T30">INDEX(ICL3_classA!$G$2:$G$37,MATCH(MIN(ABS(AI30-ICL3_classA!$F$2:$F$37)),ABS(AI30-ICL3_classA!$F$2:$F$37),0))</f>
        <v>75</v>
      </c>
      <c r="U30" s="1">
        <f t="array" ref="U30">INDEX(ICL3_classA!$H$2:$H$37,MATCH(MIN(ABS(AI30-ICL3_classA!$F$2:$F$37)),ABS(AI30-ICL3_classA!$F$2:$F$37),0))</f>
        <v>24</v>
      </c>
      <c r="V30" s="1">
        <v>61</v>
      </c>
      <c r="W30" s="1">
        <v>31</v>
      </c>
      <c r="X30" s="1">
        <f>VLOOKUP($B30&amp;"__wt",'SegEnds_Xtal_BW#'!$A:$Z,24,FALSE)</f>
        <v>56</v>
      </c>
      <c r="Y30" s="1">
        <f>VLOOKUP($B30&amp;"__wt",'SegEnds_Xtal_BW#'!$A:$Z,25,FALSE)</f>
        <v>47</v>
      </c>
      <c r="Z30" s="1">
        <f>VLOOKUP($B30&amp;"__wt",'SegEnds_Xtal_BW#'!$A:$Z,26,FALSE)</f>
        <v>58</v>
      </c>
      <c r="AA30" s="27" t="str">
        <f>VLOOKUP(A30,Classification!A:B,2,FALSE)</f>
        <v>A</v>
      </c>
      <c r="AB30" s="1">
        <f>VLOOKUP(A30,'SegEnds_NonXtal_Prot#'!A:AL,10,FALSE)-VLOOKUP(A30,'SegEnds_NonXtal_Prot#'!A:AL,4,FALSE)</f>
        <v>28</v>
      </c>
      <c r="AC30" s="1">
        <f>VLOOKUP(A30,'SegEnds_NonXtal_Prot#'!A:AL,10,FALSE)-VLOOKUP(A30,'SegEnds_NonXtal_Prot#'!A:AL,7,FALSE)</f>
        <v>15</v>
      </c>
      <c r="AD30" s="1">
        <f>VLOOKUP(A30,'SegEnds_NonXtal_Prot#'!A:AL,13,FALSE)-VLOOKUP(A30,'SegEnds_NonXtal_Prot#'!A:AL,10,FALSE)</f>
        <v>20</v>
      </c>
      <c r="AE30" s="1">
        <f>VLOOKUP(A30,'SegEnds_NonXtal_Prot#'!A:AL,16,FALSE)-VLOOKUP(A30,'SegEnds_NonXtal_Prot#'!A:AL,10,FALSE)</f>
        <v>52</v>
      </c>
      <c r="AF30" s="1">
        <f>VLOOKUP(A30,'SegEnds_NonXtal_Prot#'!A:AL,22,FALSE)-VLOOKUP(A30,'SegEnds_NonXtal_Prot#'!A:AL,19,FALSE)</f>
        <v>20</v>
      </c>
      <c r="AG30" s="1">
        <f>VLOOKUP(A30,'SegEnds_NonXtal_Prot#'!A:AL,28,FALSE)-VLOOKUP(A30,'SegEnds_NonXtal_Prot#'!A:AL,25,FALSE)</f>
        <v>22</v>
      </c>
      <c r="AH30" s="1">
        <f>VLOOKUP(A30,'SegEnds_NonXtal_Prot#'!A:AL,28,FALSE)-VLOOKUP(A30,'SegEnds_NonXtal_Prot#'!A:AL,22,FALSE)</f>
        <v>50</v>
      </c>
      <c r="AI30" s="1">
        <f>VLOOKUP(A30,'SegEnds_NonXtal_Prot#'!A:AL,31,FALSE)-VLOOKUP(A30,'SegEnds_NonXtal_Prot#'!A:AL,28,FALSE)</f>
        <v>263</v>
      </c>
      <c r="AJ30" s="1">
        <f>VLOOKUP(A30,'SegEnds_NonXtal_Prot#'!A:AL,34,FALSE)-VLOOKUP(A30,'SegEnds_NonXtal_Prot#'!A:AL,31,FALSE)</f>
        <v>35</v>
      </c>
      <c r="AK30" s="1">
        <f>VLOOKUP(A30,'SegEnds_NonXtal_Prot#'!A:AL,37,FALSE)-VLOOKUP(A30,'SegEnds_NonXtal_Prot#'!A:AL,34,FALSE)</f>
        <v>10</v>
      </c>
      <c r="AL30" s="1" t="str">
        <f>IF(ISERROR(MATCH(A30,'SegEnds_Xtal_Prot#'!B:B, 0)), "NoXtal", "Xtal")</f>
        <v>NoXtal</v>
      </c>
    </row>
    <row r="31" spans="1:38" ht="17" customHeight="1" x14ac:dyDescent="0.2">
      <c r="A31" s="4" t="s">
        <v>910</v>
      </c>
      <c r="B31" s="4" t="str">
        <f>VLOOKUP(A31,Xtal_Templ!A:B,2,FALSE)</f>
        <v>acm3_rat</v>
      </c>
      <c r="C31" s="5">
        <f>VLOOKUP($B31&amp;"__wt",'SegEnds_Xtal_BW#'!$A:$Z,3,FALSE)</f>
        <v>29</v>
      </c>
      <c r="D31" s="4">
        <f>VLOOKUP($B31&amp;"__wt",'SegEnds_Xtal_BW#'!$A:$Z,4,FALSE)</f>
        <v>60</v>
      </c>
      <c r="E31" s="4">
        <f>VLOOKUP($B31&amp;"__wt",'SegEnds_Xtal_BW#'!$A:$Z,5,FALSE)</f>
        <v>48</v>
      </c>
      <c r="F31" s="4">
        <f>VLOOKUP($B31&amp;"__wt",'SegEnds_Xtal_BW#'!$A:$Z,6,FALSE)</f>
        <v>51</v>
      </c>
      <c r="G31" s="4">
        <v>37</v>
      </c>
      <c r="H31" s="11">
        <f>VLOOKUP($B31&amp;"__wt",'SegEnds_Xtal_BW#'!$A:$Z,8,FALSE)</f>
        <v>67</v>
      </c>
      <c r="I31" s="4">
        <f>VLOOKUP($B31&amp;"__wt",'SegEnds_Xtal_BW#'!$A:$Z,9,FALSE)</f>
        <v>49</v>
      </c>
      <c r="J31" s="4">
        <f>VLOOKUP($B31&amp;"__wt",'SegEnds_Xtal_BW#'!$A:$Z,10,FALSE)</f>
        <v>52</v>
      </c>
      <c r="K31" s="11">
        <v>18</v>
      </c>
      <c r="L31" s="4">
        <f>VLOOKUP($B31&amp;"__wt",'SegEnds_Xtal_BW#'!$A:$Z,12,FALSE)</f>
        <v>56</v>
      </c>
      <c r="M31" s="4">
        <f>VLOOKUP($B31&amp;"__wt",'SegEnds_Xtal_BW#'!$A:$Z,13,FALSE)</f>
        <v>50</v>
      </c>
      <c r="N31" s="12">
        <f>VLOOKUP($B31&amp;"__wt",'SegEnds_Xtal_BW#'!$A:$Z,14,FALSE)</f>
        <v>57</v>
      </c>
      <c r="O31" s="87">
        <f>VLOOKUP($B31&amp;"__wt",'SegEnds_Xtal_BW#'!$A:$Z,15,FALSE)</f>
        <v>38</v>
      </c>
      <c r="P31" s="4">
        <f>VLOOKUP($B31&amp;"__wt",'SegEnds_Xtal_BW#'!$A:$Z,16,FALSE)</f>
        <v>69</v>
      </c>
      <c r="Q31" s="4">
        <f>VLOOKUP($B31&amp;"__wt",'SegEnds_Xtal_BW#'!$A:$Z,17,FALSE)</f>
        <v>50</v>
      </c>
      <c r="R31" s="4">
        <f>VLOOKUP($B31&amp;"__wt",'SegEnds_Xtal_BW#'!$A:$Z,18,FALSE)</f>
        <v>52</v>
      </c>
      <c r="S31" s="1">
        <f>VLOOKUP($B31&amp;"__wt",'SegEnds_Xtal_BW#'!$A:$Z,19,FALSE)</f>
        <v>35</v>
      </c>
      <c r="T31" s="4">
        <f t="array" ref="T31">INDEX(ICL3_classA!$G$2:$G$37,MATCH(MIN(ABS(AI31-ICL3_classA!$F$2:$F$37)),ABS(AI31-ICL3_classA!$F$2:$F$37),0))</f>
        <v>75</v>
      </c>
      <c r="U31" s="4">
        <f t="array" ref="U31">INDEX(ICL3_classA!$H$2:$H$37,MATCH(MIN(ABS(AI31-ICL3_classA!$F$2:$F$37)),ABS(AI31-ICL3_classA!$F$2:$F$37),0))</f>
        <v>24</v>
      </c>
      <c r="V31" s="4">
        <v>61</v>
      </c>
      <c r="W31" s="4">
        <v>31</v>
      </c>
      <c r="X31" s="4">
        <f>VLOOKUP($B31&amp;"__wt",'SegEnds_Xtal_BW#'!$A:$Z,24,FALSE)</f>
        <v>56</v>
      </c>
      <c r="Y31" s="4">
        <f>VLOOKUP($B31&amp;"__wt",'SegEnds_Xtal_BW#'!$A:$Z,25,FALSE)</f>
        <v>47</v>
      </c>
      <c r="Z31" s="4">
        <f>VLOOKUP($B31&amp;"__wt",'SegEnds_Xtal_BW#'!$A:$Z,26,FALSE)</f>
        <v>58</v>
      </c>
      <c r="AA31" s="27" t="str">
        <f>VLOOKUP(A31,Classification!A:B,2,FALSE)</f>
        <v>A</v>
      </c>
      <c r="AB31" s="1">
        <f>VLOOKUP(A31,'SegEnds_NonXtal_Prot#'!A:AL,10,FALSE)-VLOOKUP(A31,'SegEnds_NonXtal_Prot#'!A:AL,4,FALSE)</f>
        <v>28</v>
      </c>
      <c r="AC31" s="4">
        <f>VLOOKUP(A31,'SegEnds_NonXtal_Prot#'!A:AL,10,FALSE)-VLOOKUP(A31,'SegEnds_NonXtal_Prot#'!A:AL,7,FALSE)</f>
        <v>15</v>
      </c>
      <c r="AD31" s="4">
        <f>VLOOKUP(A31,'SegEnds_NonXtal_Prot#'!A:AL,13,FALSE)-VLOOKUP(A31,'SegEnds_NonXtal_Prot#'!A:AL,10,FALSE)</f>
        <v>20</v>
      </c>
      <c r="AE31" s="4">
        <f>VLOOKUP(A31,'SegEnds_NonXtal_Prot#'!A:AL,16,FALSE)-VLOOKUP(A31,'SegEnds_NonXtal_Prot#'!A:AL,10,FALSE)</f>
        <v>52</v>
      </c>
      <c r="AF31" s="1">
        <f>VLOOKUP(A31,'SegEnds_NonXtal_Prot#'!A:AL,22,FALSE)-VLOOKUP(A31,'SegEnds_NonXtal_Prot#'!A:AL,19,FALSE)</f>
        <v>20</v>
      </c>
      <c r="AG31" s="4">
        <f>VLOOKUP(A31,'SegEnds_NonXtal_Prot#'!A:AL,28,FALSE)-VLOOKUP(A31,'SegEnds_NonXtal_Prot#'!A:AL,25,FALSE)</f>
        <v>22</v>
      </c>
      <c r="AH31" s="1">
        <f>VLOOKUP(A31,'SegEnds_NonXtal_Prot#'!A:AL,28,FALSE)-VLOOKUP(A31,'SegEnds_NonXtal_Prot#'!A:AL,22,FALSE)</f>
        <v>50</v>
      </c>
      <c r="AI31" s="4">
        <f>VLOOKUP(A31,'SegEnds_NonXtal_Prot#'!A:AL,31,FALSE)-VLOOKUP(A31,'SegEnds_NonXtal_Prot#'!A:AL,28,FALSE)</f>
        <v>263</v>
      </c>
      <c r="AJ31" s="4">
        <f>VLOOKUP(A31,'SegEnds_NonXtal_Prot#'!A:AL,34,FALSE)-VLOOKUP(A31,'SegEnds_NonXtal_Prot#'!A:AL,31,FALSE)</f>
        <v>35</v>
      </c>
      <c r="AK31" s="1">
        <f>VLOOKUP(A31,'SegEnds_NonXtal_Prot#'!A:AL,37,FALSE)-VLOOKUP(A31,'SegEnds_NonXtal_Prot#'!A:AL,34,FALSE)</f>
        <v>10</v>
      </c>
      <c r="AL31" s="1" t="str">
        <f>IF(ISERROR(MATCH(A31,'SegEnds_Xtal_Prot#'!B:B, 0)), "NoXtal", "Xtal")</f>
        <v>Xtal</v>
      </c>
    </row>
    <row r="32" spans="1:38" x14ac:dyDescent="0.2">
      <c r="A32" s="1" t="s">
        <v>149</v>
      </c>
      <c r="B32" s="1" t="str">
        <f>VLOOKUP(A32,Xtal_Templ!A:B,2,FALSE)</f>
        <v>acm4_human</v>
      </c>
      <c r="C32" s="5">
        <f>VLOOKUP($B32&amp;"__wt",'SegEnds_Xtal_BW#'!$A:$Z,3,FALSE)</f>
        <v>26</v>
      </c>
      <c r="D32" s="1">
        <f>VLOOKUP($B32&amp;"__wt",'SegEnds_Xtal_BW#'!$A:$Z,4,FALSE)</f>
        <v>60</v>
      </c>
      <c r="E32" s="1">
        <f>VLOOKUP($B32&amp;"__wt",'SegEnds_Xtal_BW#'!$A:$Z,5,FALSE)</f>
        <v>48</v>
      </c>
      <c r="F32" s="1">
        <f>VLOOKUP($B32&amp;"__wt",'SegEnds_Xtal_BW#'!$A:$Z,6,FALSE)</f>
        <v>51</v>
      </c>
      <c r="G32" s="1">
        <v>37</v>
      </c>
      <c r="H32" s="12">
        <f>VLOOKUP($B32&amp;"__wt",'SegEnds_Xtal_BW#'!$A:$Z,8,FALSE)</f>
        <v>67</v>
      </c>
      <c r="I32" s="1">
        <f>VLOOKUP($B32&amp;"__wt",'SegEnds_Xtal_BW#'!$A:$Z,9,FALSE)</f>
        <v>49</v>
      </c>
      <c r="J32" s="1">
        <f>VLOOKUP($B32&amp;"__wt",'SegEnds_Xtal_BW#'!$A:$Z,10,FALSE)</f>
        <v>52</v>
      </c>
      <c r="K32" s="12">
        <v>18</v>
      </c>
      <c r="L32" s="1">
        <f>VLOOKUP($B32&amp;"__wt",'SegEnds_Xtal_BW#'!$A:$Z,12,FALSE)</f>
        <v>56</v>
      </c>
      <c r="M32" s="1">
        <f>VLOOKUP($B32&amp;"__wt",'SegEnds_Xtal_BW#'!$A:$Z,13,FALSE)</f>
        <v>50</v>
      </c>
      <c r="N32" s="12">
        <f>VLOOKUP($B32&amp;"__wt",'SegEnds_Xtal_BW#'!$A:$Z,14,FALSE)</f>
        <v>57</v>
      </c>
      <c r="O32" s="87">
        <f>VLOOKUP($B32&amp;"__wt",'SegEnds_Xtal_BW#'!$A:$Z,15,FALSE)</f>
        <v>38</v>
      </c>
      <c r="P32" s="1">
        <f>VLOOKUP($B32&amp;"__wt",'SegEnds_Xtal_BW#'!$A:$Z,16,FALSE)</f>
        <v>69</v>
      </c>
      <c r="Q32" s="1">
        <f>VLOOKUP($B32&amp;"__wt",'SegEnds_Xtal_BW#'!$A:$Z,17,FALSE)</f>
        <v>50</v>
      </c>
      <c r="R32" s="1">
        <f>VLOOKUP($B32&amp;"__wt",'SegEnds_Xtal_BW#'!$A:$Z,18,FALSE)</f>
        <v>52</v>
      </c>
      <c r="S32" s="1">
        <f>VLOOKUP($B32&amp;"__wt",'SegEnds_Xtal_BW#'!$A:$Z,19,FALSE)</f>
        <v>35</v>
      </c>
      <c r="T32" s="1">
        <f t="array" ref="T32">INDEX(ICL3_classA!$G$2:$G$37,MATCH(MIN(ABS(AI32-ICL3_classA!$F$2:$F$37)),ABS(AI32-ICL3_classA!$F$2:$F$37),0))</f>
        <v>75</v>
      </c>
      <c r="U32" s="1">
        <f t="array" ref="U32">INDEX(ICL3_classA!$H$2:$H$37,MATCH(MIN(ABS(AI32-ICL3_classA!$F$2:$F$37)),ABS(AI32-ICL3_classA!$F$2:$F$37),0))</f>
        <v>24</v>
      </c>
      <c r="V32" s="1">
        <v>61</v>
      </c>
      <c r="W32" s="1">
        <v>31</v>
      </c>
      <c r="X32" s="1">
        <f>VLOOKUP($B32&amp;"__wt",'SegEnds_Xtal_BW#'!$A:$Z,24,FALSE)</f>
        <v>56</v>
      </c>
      <c r="Y32" s="1">
        <f>VLOOKUP($B32&amp;"__wt",'SegEnds_Xtal_BW#'!$A:$Z,25,FALSE)</f>
        <v>47</v>
      </c>
      <c r="Z32" s="1">
        <f>VLOOKUP($B32&amp;"__wt",'SegEnds_Xtal_BW#'!$A:$Z,26,FALSE)</f>
        <v>59</v>
      </c>
      <c r="AA32" s="27" t="str">
        <f>VLOOKUP(A32,Classification!A:B,2,FALSE)</f>
        <v>A</v>
      </c>
      <c r="AB32" s="1">
        <f>VLOOKUP(A32,'SegEnds_NonXtal_Prot#'!A:AL,10,FALSE)-VLOOKUP(A32,'SegEnds_NonXtal_Prot#'!A:AL,4,FALSE)</f>
        <v>28</v>
      </c>
      <c r="AC32" s="1">
        <f>VLOOKUP(A32,'SegEnds_NonXtal_Prot#'!A:AL,10,FALSE)-VLOOKUP(A32,'SegEnds_NonXtal_Prot#'!A:AL,7,FALSE)</f>
        <v>15</v>
      </c>
      <c r="AD32" s="1">
        <f>VLOOKUP(A32,'SegEnds_NonXtal_Prot#'!A:AL,13,FALSE)-VLOOKUP(A32,'SegEnds_NonXtal_Prot#'!A:AL,10,FALSE)</f>
        <v>20</v>
      </c>
      <c r="AE32" s="1">
        <f>VLOOKUP(A32,'SegEnds_NonXtal_Prot#'!A:AL,16,FALSE)-VLOOKUP(A32,'SegEnds_NonXtal_Prot#'!A:AL,10,FALSE)</f>
        <v>52</v>
      </c>
      <c r="AF32" s="1">
        <f>VLOOKUP(A32,'SegEnds_NonXtal_Prot#'!A:AL,22,FALSE)-VLOOKUP(A32,'SegEnds_NonXtal_Prot#'!A:AL,19,FALSE)</f>
        <v>20</v>
      </c>
      <c r="AG32" s="1">
        <f>VLOOKUP(A32,'SegEnds_NonXtal_Prot#'!A:AL,28,FALSE)-VLOOKUP(A32,'SegEnds_NonXtal_Prot#'!A:AL,25,FALSE)</f>
        <v>22</v>
      </c>
      <c r="AH32" s="1">
        <f>VLOOKUP(A32,'SegEnds_NonXtal_Prot#'!A:AL,28,FALSE)-VLOOKUP(A32,'SegEnds_NonXtal_Prot#'!A:AL,22,FALSE)</f>
        <v>50</v>
      </c>
      <c r="AI32" s="1">
        <f>VLOOKUP(A32,'SegEnds_NonXtal_Prot#'!A:AL,31,FALSE)-VLOOKUP(A32,'SegEnds_NonXtal_Prot#'!A:AL,28,FALSE)</f>
        <v>208</v>
      </c>
      <c r="AJ32" s="1">
        <f>VLOOKUP(A32,'SegEnds_NonXtal_Prot#'!A:AL,34,FALSE)-VLOOKUP(A32,'SegEnds_NonXtal_Prot#'!A:AL,31,FALSE)</f>
        <v>35</v>
      </c>
      <c r="AK32" s="1">
        <f>VLOOKUP(A32,'SegEnds_NonXtal_Prot#'!A:AL,37,FALSE)-VLOOKUP(A32,'SegEnds_NonXtal_Prot#'!A:AL,34,FALSE)</f>
        <v>10</v>
      </c>
      <c r="AL32" s="1" t="str">
        <f>IF(ISERROR(MATCH(A32,'SegEnds_Xtal_Prot#'!B:B, 0)), "NoXtal", "Xtal")</f>
        <v>Xtal</v>
      </c>
    </row>
    <row r="33" spans="1:38" x14ac:dyDescent="0.2">
      <c r="A33" s="1" t="s">
        <v>150</v>
      </c>
      <c r="B33" s="1" t="str">
        <f>VLOOKUP(A33,Xtal_Templ!A:B,2,FALSE)</f>
        <v>acm3_rat</v>
      </c>
      <c r="C33" s="5">
        <f>VLOOKUP($B33&amp;"__wt",'SegEnds_Xtal_BW#'!$A:$Z,3,FALSE)</f>
        <v>29</v>
      </c>
      <c r="D33" s="1">
        <f>VLOOKUP($B33&amp;"__wt",'SegEnds_Xtal_BW#'!$A:$Z,4,FALSE)</f>
        <v>60</v>
      </c>
      <c r="E33" s="1">
        <f>VLOOKUP($B33&amp;"__wt",'SegEnds_Xtal_BW#'!$A:$Z,5,FALSE)</f>
        <v>48</v>
      </c>
      <c r="F33" s="1">
        <f>VLOOKUP($B33&amp;"__wt",'SegEnds_Xtal_BW#'!$A:$Z,6,FALSE)</f>
        <v>51</v>
      </c>
      <c r="G33" s="1">
        <v>37</v>
      </c>
      <c r="H33" s="12">
        <f>VLOOKUP($B33&amp;"__wt",'SegEnds_Xtal_BW#'!$A:$Z,8,FALSE)</f>
        <v>67</v>
      </c>
      <c r="I33" s="1">
        <f>VLOOKUP($B33&amp;"__wt",'SegEnds_Xtal_BW#'!$A:$Z,9,FALSE)</f>
        <v>49</v>
      </c>
      <c r="J33" s="1">
        <f>VLOOKUP($B33&amp;"__wt",'SegEnds_Xtal_BW#'!$A:$Z,10,FALSE)</f>
        <v>52</v>
      </c>
      <c r="K33" s="12">
        <v>18</v>
      </c>
      <c r="L33" s="1">
        <f>VLOOKUP($B33&amp;"__wt",'SegEnds_Xtal_BW#'!$A:$Z,12,FALSE)</f>
        <v>56</v>
      </c>
      <c r="M33" s="1">
        <f>VLOOKUP($B33&amp;"__wt",'SegEnds_Xtal_BW#'!$A:$Z,13,FALSE)</f>
        <v>50</v>
      </c>
      <c r="N33" s="12">
        <v>57</v>
      </c>
      <c r="O33" s="87">
        <v>38</v>
      </c>
      <c r="P33" s="1">
        <f>VLOOKUP($B33&amp;"__wt",'SegEnds_Xtal_BW#'!$A:$Z,16,FALSE)</f>
        <v>69</v>
      </c>
      <c r="Q33" s="1">
        <f>VLOOKUP($B33&amp;"__wt",'SegEnds_Xtal_BW#'!$A:$Z,17,FALSE)</f>
        <v>50</v>
      </c>
      <c r="R33" s="1">
        <f>VLOOKUP($B33&amp;"__wt",'SegEnds_Xtal_BW#'!$A:$Z,18,FALSE)</f>
        <v>52</v>
      </c>
      <c r="S33" s="1">
        <f>VLOOKUP($B33&amp;"__wt",'SegEnds_Xtal_BW#'!$A:$Z,19,FALSE)</f>
        <v>35</v>
      </c>
      <c r="T33" s="1">
        <f t="array" ref="T33">INDEX(ICL3_classA!$G$2:$G$37,MATCH(MIN(ABS(AI33-ICL3_classA!$F$2:$F$37)),ABS(AI33-ICL3_classA!$F$2:$F$37),0))</f>
        <v>75</v>
      </c>
      <c r="U33" s="1">
        <f t="array" ref="U33">INDEX(ICL3_classA!$H$2:$H$37,MATCH(MIN(ABS(AI33-ICL3_classA!$F$2:$F$37)),ABS(AI33-ICL3_classA!$F$2:$F$37),0))</f>
        <v>24</v>
      </c>
      <c r="V33" s="1">
        <v>61</v>
      </c>
      <c r="W33" s="1">
        <v>31</v>
      </c>
      <c r="X33" s="1">
        <f>VLOOKUP($B33&amp;"__wt",'SegEnds_Xtal_BW#'!$A:$Z,24,FALSE)</f>
        <v>56</v>
      </c>
      <c r="Y33" s="1">
        <f>VLOOKUP($B33&amp;"__wt",'SegEnds_Xtal_BW#'!$A:$Z,25,FALSE)</f>
        <v>47</v>
      </c>
      <c r="Z33" s="1">
        <f>VLOOKUP($B33&amp;"__wt",'SegEnds_Xtal_BW#'!$A:$Z,26,FALSE)</f>
        <v>58</v>
      </c>
      <c r="AA33" s="27" t="str">
        <f>VLOOKUP(A33,Classification!A:B,2,FALSE)</f>
        <v>A</v>
      </c>
      <c r="AB33" s="1">
        <f>VLOOKUP(A33,'SegEnds_NonXtal_Prot#'!A:AL,10,FALSE)-VLOOKUP(A33,'SegEnds_NonXtal_Prot#'!A:AL,4,FALSE)</f>
        <v>28</v>
      </c>
      <c r="AC33" s="1">
        <f>VLOOKUP(A33,'SegEnds_NonXtal_Prot#'!A:AL,10,FALSE)-VLOOKUP(A33,'SegEnds_NonXtal_Prot#'!A:AL,7,FALSE)</f>
        <v>15</v>
      </c>
      <c r="AD33" s="1">
        <f>VLOOKUP(A33,'SegEnds_NonXtal_Prot#'!A:AL,13,FALSE)-VLOOKUP(A33,'SegEnds_NonXtal_Prot#'!A:AL,10,FALSE)</f>
        <v>20</v>
      </c>
      <c r="AE33" s="1">
        <f>VLOOKUP(A33,'SegEnds_NonXtal_Prot#'!A:AL,16,FALSE)-VLOOKUP(A33,'SegEnds_NonXtal_Prot#'!A:AL,10,FALSE)</f>
        <v>52</v>
      </c>
      <c r="AF33" s="1">
        <f>VLOOKUP(A33,'SegEnds_NonXtal_Prot#'!A:AL,22,FALSE)-VLOOKUP(A33,'SegEnds_NonXtal_Prot#'!A:AL,19,FALSE)</f>
        <v>20</v>
      </c>
      <c r="AG33" s="1">
        <f>VLOOKUP(A33,'SegEnds_NonXtal_Prot#'!A:AL,28,FALSE)-VLOOKUP(A33,'SegEnds_NonXtal_Prot#'!A:AL,25,FALSE)</f>
        <v>22</v>
      </c>
      <c r="AH33" s="1">
        <f>VLOOKUP(A33,'SegEnds_NonXtal_Prot#'!A:AL,28,FALSE)-VLOOKUP(A33,'SegEnds_NonXtal_Prot#'!A:AL,22,FALSE)</f>
        <v>50</v>
      </c>
      <c r="AI33" s="1">
        <f>VLOOKUP(A33,'SegEnds_NonXtal_Prot#'!A:AL,31,FALSE)-VLOOKUP(A33,'SegEnds_NonXtal_Prot#'!A:AL,28,FALSE)</f>
        <v>252</v>
      </c>
      <c r="AJ33" s="1">
        <f>VLOOKUP(A33,'SegEnds_NonXtal_Prot#'!A:AL,34,FALSE)-VLOOKUP(A33,'SegEnds_NonXtal_Prot#'!A:AL,31,FALSE)</f>
        <v>35</v>
      </c>
      <c r="AK33" s="1">
        <f>VLOOKUP(A33,'SegEnds_NonXtal_Prot#'!A:AL,37,FALSE)-VLOOKUP(A33,'SegEnds_NonXtal_Prot#'!A:AL,34,FALSE)</f>
        <v>10</v>
      </c>
      <c r="AL33" s="1" t="str">
        <f>IF(ISERROR(MATCH(A33,'SegEnds_Xtal_Prot#'!B:B, 0)), "NoXtal", "Xtal")</f>
        <v>NoXtal</v>
      </c>
    </row>
    <row r="34" spans="1:38" x14ac:dyDescent="0.2">
      <c r="A34" s="1" t="s">
        <v>151</v>
      </c>
      <c r="B34" s="1" t="str">
        <f>VLOOKUP(A34,Xtal_Templ!A:B,2,FALSE)</f>
        <v>s1pr1_human</v>
      </c>
      <c r="C34" s="5">
        <f>VLOOKUP($B34&amp;"__wt",'SegEnds_Xtal_BW#'!$A:$Z,3,FALSE)</f>
        <v>29</v>
      </c>
      <c r="D34" s="1">
        <f>VLOOKUP($B34&amp;"__wt",'SegEnds_Xtal_BW#'!$A:$Z,4,FALSE)</f>
        <v>60</v>
      </c>
      <c r="E34" s="1">
        <f>VLOOKUP($B34&amp;"__wt",'SegEnds_Xtal_BW#'!$A:$Z,5,FALSE)</f>
        <v>48</v>
      </c>
      <c r="F34" s="1">
        <f>VLOOKUP($B34&amp;"__wt",'SegEnds_Xtal_BW#'!$A:$Z,6,FALSE)</f>
        <v>51</v>
      </c>
      <c r="G34" s="1">
        <v>37</v>
      </c>
      <c r="H34" s="12">
        <v>67</v>
      </c>
      <c r="I34" s="1" t="s">
        <v>23</v>
      </c>
      <c r="J34" s="1" t="s">
        <v>23</v>
      </c>
      <c r="K34" s="12">
        <v>18</v>
      </c>
      <c r="L34" s="1">
        <f>VLOOKUP($B34&amp;"__wt",'SegEnds_Xtal_BW#'!$A:$Z,12,FALSE)</f>
        <v>56</v>
      </c>
      <c r="M34" s="1">
        <f>VLOOKUP($B34&amp;"__wt",'SegEnds_Xtal_BW#'!$A:$Z,13,FALSE)</f>
        <v>50</v>
      </c>
      <c r="N34" s="12">
        <v>57</v>
      </c>
      <c r="O34" s="87">
        <f>VLOOKUP($B34&amp;"__wt",'SegEnds_Xtal_BW#'!$A:$Z,15,FALSE)</f>
        <v>38</v>
      </c>
      <c r="P34" s="1">
        <f>VLOOKUP($B34&amp;"__wt",'SegEnds_Xtal_BW#'!$A:$Z,16,FALSE)</f>
        <v>63</v>
      </c>
      <c r="Q34" s="1" t="str">
        <f>VLOOKUP($B34&amp;"__wt",'SegEnds_Xtal_BW#'!$A:$Z,17,FALSE)</f>
        <v>-</v>
      </c>
      <c r="R34" s="1" t="str">
        <f>VLOOKUP($B34&amp;"__wt",'SegEnds_Xtal_BW#'!$A:$Z,18,FALSE)</f>
        <v>-</v>
      </c>
      <c r="S34" s="108">
        <v>33</v>
      </c>
      <c r="T34" s="1">
        <f t="array" ref="T34">INDEX(ICL3_classA!$G$2:$G$37,MATCH(MIN(ABS(AI34-ICL3_classA!$F$2:$F$37)),ABS(AI34-ICL3_classA!$F$2:$F$37),0))</f>
        <v>66</v>
      </c>
      <c r="U34" s="1">
        <f t="array" ref="U34">INDEX(ICL3_classA!$H$2:$H$37,MATCH(MIN(ABS(AI34-ICL3_classA!$F$2:$F$37)),ABS(AI34-ICL3_classA!$F$2:$F$37),0))</f>
        <v>30</v>
      </c>
      <c r="V34" s="1">
        <v>61</v>
      </c>
      <c r="W34" s="1">
        <v>28</v>
      </c>
      <c r="X34" s="1">
        <f>VLOOKUP($B34&amp;"__wt",'SegEnds_Xtal_BW#'!$A:$Z,24,FALSE)</f>
        <v>56</v>
      </c>
      <c r="Y34" s="1">
        <f>VLOOKUP($B34&amp;"__wt",'SegEnds_Xtal_BW#'!$A:$Z,25,FALSE)</f>
        <v>47</v>
      </c>
      <c r="Z34" s="1">
        <f>VLOOKUP($B34&amp;"__wt",'SegEnds_Xtal_BW#'!$A:$Z,26,FALSE)</f>
        <v>59</v>
      </c>
      <c r="AA34" s="27" t="str">
        <f>VLOOKUP(A34,Classification!A:B,2,FALSE)</f>
        <v>A</v>
      </c>
      <c r="AB34" s="1">
        <f>VLOOKUP(A34,'SegEnds_NonXtal_Prot#'!A:AL,10,FALSE)-VLOOKUP(A34,'SegEnds_NonXtal_Prot#'!A:AL,4,FALSE)</f>
        <v>28</v>
      </c>
      <c r="AC34" s="1">
        <f>VLOOKUP(A34,'SegEnds_NonXtal_Prot#'!A:AL,10,FALSE)-VLOOKUP(A34,'SegEnds_NonXtal_Prot#'!A:AL,7,FALSE)</f>
        <v>15</v>
      </c>
      <c r="AD34" s="1" t="e">
        <f>VLOOKUP(A34,'SegEnds_NonXtal_Prot#'!A:AL,13,FALSE)-VLOOKUP(A34,'SegEnds_NonXtal_Prot#'!A:AL,10,FALSE)</f>
        <v>#VALUE!</v>
      </c>
      <c r="AE34" s="1">
        <f>VLOOKUP(A34,'SegEnds_NonXtal_Prot#'!A:AL,16,FALSE)-VLOOKUP(A34,'SegEnds_NonXtal_Prot#'!A:AL,10,FALSE)</f>
        <v>58</v>
      </c>
      <c r="AF34" s="1">
        <f>VLOOKUP(A34,'SegEnds_NonXtal_Prot#'!A:AL,22,FALSE)-VLOOKUP(A34,'SegEnds_NonXtal_Prot#'!A:AL,19,FALSE)</f>
        <v>20</v>
      </c>
      <c r="AG34" s="1" t="e">
        <f>VLOOKUP(A34,'SegEnds_NonXtal_Prot#'!A:AL,28,FALSE)-VLOOKUP(A34,'SegEnds_NonXtal_Prot#'!A:AL,25,FALSE)</f>
        <v>#VALUE!</v>
      </c>
      <c r="AH34" s="1">
        <f>VLOOKUP(A34,'SegEnds_NonXtal_Prot#'!A:AL,28,FALSE)-VLOOKUP(A34,'SegEnds_NonXtal_Prot#'!A:AL,22,FALSE)</f>
        <v>40</v>
      </c>
      <c r="AI34" s="1">
        <f>VLOOKUP(A34,'SegEnds_NonXtal_Prot#'!A:AL,31,FALSE)-VLOOKUP(A34,'SegEnds_NonXtal_Prot#'!A:AL,28,FALSE)</f>
        <v>39</v>
      </c>
      <c r="AJ34" s="1">
        <f>VLOOKUP(A34,'SegEnds_NonXtal_Prot#'!A:AL,34,FALSE)-VLOOKUP(A34,'SegEnds_NonXtal_Prot#'!A:AL,31,FALSE)</f>
        <v>39</v>
      </c>
      <c r="AK34" s="1">
        <f>VLOOKUP(A34,'SegEnds_NonXtal_Prot#'!A:AL,37,FALSE)-VLOOKUP(A34,'SegEnds_NonXtal_Prot#'!A:AL,34,FALSE)</f>
        <v>10</v>
      </c>
      <c r="AL34" s="1" t="str">
        <f>IF(ISERROR(MATCH(A34,'SegEnds_Xtal_Prot#'!B:B, 0)), "NoXtal", "Xtal")</f>
        <v>NoXtal</v>
      </c>
    </row>
    <row r="35" spans="1:38" x14ac:dyDescent="0.2">
      <c r="A35" s="1" t="s">
        <v>152</v>
      </c>
      <c r="B35" s="1" t="str">
        <f>VLOOKUP(A35,Xtal_Templ!A:B,2,FALSE)</f>
        <v>drd2_human</v>
      </c>
      <c r="C35" s="5">
        <f>VLOOKUP($B35&amp;"__wt",'SegEnds_Xtal_BW#'!$A:$Z,3,FALSE)</f>
        <v>29</v>
      </c>
      <c r="D35" s="1">
        <f>VLOOKUP($B35&amp;"__wt",'SegEnds_Xtal_BW#'!$A:$Z,4,FALSE)</f>
        <v>60</v>
      </c>
      <c r="E35" s="1">
        <f>VLOOKUP($B35&amp;"__wt",'SegEnds_Xtal_BW#'!$A:$Z,5,FALSE)</f>
        <v>48</v>
      </c>
      <c r="F35" s="1">
        <f>VLOOKUP($B35&amp;"__wt",'SegEnds_Xtal_BW#'!$A:$Z,6,FALSE)</f>
        <v>51</v>
      </c>
      <c r="G35" s="1">
        <v>37</v>
      </c>
      <c r="H35" s="12">
        <f>VLOOKUP($B35&amp;"__wt",'SegEnds_Xtal_BW#'!$A:$Z,8,FALSE)</f>
        <v>68</v>
      </c>
      <c r="I35" s="1">
        <f>VLOOKUP($B35&amp;"__wt",'SegEnds_Xtal_BW#'!$A:$Z,9,FALSE)</f>
        <v>49</v>
      </c>
      <c r="J35" s="1">
        <f>VLOOKUP($B35&amp;"__wt",'SegEnds_Xtal_BW#'!$A:$Z,10,FALSE)</f>
        <v>52</v>
      </c>
      <c r="K35" s="12">
        <v>18</v>
      </c>
      <c r="L35" s="1">
        <f>VLOOKUP($B35&amp;"__wt",'SegEnds_Xtal_BW#'!$A:$Z,12,FALSE)</f>
        <v>56</v>
      </c>
      <c r="M35" s="1">
        <f>VLOOKUP($B35&amp;"__wt",'SegEnds_Xtal_BW#'!$A:$Z,13,FALSE)</f>
        <v>50</v>
      </c>
      <c r="N35" s="12">
        <v>57</v>
      </c>
      <c r="O35" s="87">
        <v>38</v>
      </c>
      <c r="P35" s="1">
        <f>VLOOKUP($B35&amp;"__wt",'SegEnds_Xtal_BW#'!$A:$Z,16,FALSE)</f>
        <v>62</v>
      </c>
      <c r="Q35" s="1">
        <f>VLOOKUP($B35&amp;"__wt",'SegEnds_Xtal_BW#'!$A:$Z,17,FALSE)</f>
        <v>50</v>
      </c>
      <c r="R35" s="1">
        <f>VLOOKUP($B35&amp;"__wt",'SegEnds_Xtal_BW#'!$A:$Z,18,FALSE)</f>
        <v>52</v>
      </c>
      <c r="S35" s="1">
        <v>35</v>
      </c>
      <c r="T35" s="1">
        <f t="array" ref="T35">INDEX(ICL3_classA!$G$2:$G$37,MATCH(MIN(ABS(AI35-ICL3_classA!$F$2:$F$37)),ABS(AI35-ICL3_classA!$F$2:$F$37),0))</f>
        <v>76</v>
      </c>
      <c r="U35" s="1">
        <f t="array" ref="U35">INDEX(ICL3_classA!$H$2:$H$37,MATCH(MIN(ABS(AI35-ICL3_classA!$F$2:$F$37)),ABS(AI35-ICL3_classA!$F$2:$F$37),0))</f>
        <v>24</v>
      </c>
      <c r="V35" s="1">
        <v>61</v>
      </c>
      <c r="W35" s="1">
        <v>31</v>
      </c>
      <c r="X35" s="108">
        <v>56</v>
      </c>
      <c r="Y35" s="1">
        <f>VLOOKUP($B35&amp;"__wt",'SegEnds_Xtal_BW#'!$A:$Z,25,FALSE)</f>
        <v>47</v>
      </c>
      <c r="Z35" s="1">
        <f>VLOOKUP($B35&amp;"__wt",'SegEnds_Xtal_BW#'!$A:$Z,26,FALSE)</f>
        <v>59</v>
      </c>
      <c r="AA35" s="27" t="str">
        <f>VLOOKUP(A35,Classification!A:B,2,FALSE)</f>
        <v>A</v>
      </c>
      <c r="AB35" s="1">
        <f>VLOOKUP(A35,'SegEnds_NonXtal_Prot#'!A:AL,10,FALSE)-VLOOKUP(A35,'SegEnds_NonXtal_Prot#'!A:AL,4,FALSE)</f>
        <v>28</v>
      </c>
      <c r="AC35" s="1">
        <f>VLOOKUP(A35,'SegEnds_NonXtal_Prot#'!A:AL,10,FALSE)-VLOOKUP(A35,'SegEnds_NonXtal_Prot#'!A:AL,7,FALSE)</f>
        <v>15</v>
      </c>
      <c r="AD35" s="1">
        <f>VLOOKUP(A35,'SegEnds_NonXtal_Prot#'!A:AL,13,FALSE)-VLOOKUP(A35,'SegEnds_NonXtal_Prot#'!A:AL,10,FALSE)</f>
        <v>20</v>
      </c>
      <c r="AE35" s="1">
        <f>VLOOKUP(A35,'SegEnds_NonXtal_Prot#'!A:AL,16,FALSE)-VLOOKUP(A35,'SegEnds_NonXtal_Prot#'!A:AL,10,FALSE)</f>
        <v>52</v>
      </c>
      <c r="AF35" s="1">
        <f>VLOOKUP(A35,'SegEnds_NonXtal_Prot#'!A:AL,22,FALSE)-VLOOKUP(A35,'SegEnds_NonXtal_Prot#'!A:AL,19,FALSE)</f>
        <v>20</v>
      </c>
      <c r="AG35" s="1">
        <f>VLOOKUP(A35,'SegEnds_NonXtal_Prot#'!A:AL,28,FALSE)-VLOOKUP(A35,'SegEnds_NonXtal_Prot#'!A:AL,25,FALSE)</f>
        <v>20</v>
      </c>
      <c r="AH35" s="1">
        <f>VLOOKUP(A35,'SegEnds_NonXtal_Prot#'!A:AL,28,FALSE)-VLOOKUP(A35,'SegEnds_NonXtal_Prot#'!A:AL,22,FALSE)</f>
        <v>45</v>
      </c>
      <c r="AI35" s="1">
        <f>VLOOKUP(A35,'SegEnds_NonXtal_Prot#'!A:AL,31,FALSE)-VLOOKUP(A35,'SegEnds_NonXtal_Prot#'!A:AL,28,FALSE)</f>
        <v>91</v>
      </c>
      <c r="AJ35" s="1">
        <f>VLOOKUP(A35,'SegEnds_NonXtal_Prot#'!A:AL,34,FALSE)-VLOOKUP(A35,'SegEnds_NonXtal_Prot#'!A:AL,31,FALSE)</f>
        <v>36</v>
      </c>
      <c r="AK35" s="1">
        <f>VLOOKUP(A35,'SegEnds_NonXtal_Prot#'!A:AL,37,FALSE)-VLOOKUP(A35,'SegEnds_NonXtal_Prot#'!A:AL,34,FALSE)</f>
        <v>10</v>
      </c>
      <c r="AL35" s="1" t="str">
        <f>IF(ISERROR(MATCH(A35,'SegEnds_Xtal_Prot#'!B:B, 0)), "NoXtal", "Xtal")</f>
        <v>NoXtal</v>
      </c>
    </row>
    <row r="36" spans="1:38" x14ac:dyDescent="0.2">
      <c r="A36" s="1" t="s">
        <v>153</v>
      </c>
      <c r="B36" s="1" t="str">
        <f>VLOOKUP(A36,Xtal_Templ!A:B,2,FALSE)</f>
        <v>drd2_human</v>
      </c>
      <c r="C36" s="5">
        <f>VLOOKUP($B36&amp;"__wt",'SegEnds_Xtal_BW#'!$A:$Z,3,FALSE)</f>
        <v>29</v>
      </c>
      <c r="D36" s="1">
        <f>VLOOKUP($B36&amp;"__wt",'SegEnds_Xtal_BW#'!$A:$Z,4,FALSE)</f>
        <v>60</v>
      </c>
      <c r="E36" s="1">
        <f>VLOOKUP($B36&amp;"__wt",'SegEnds_Xtal_BW#'!$A:$Z,5,FALSE)</f>
        <v>48</v>
      </c>
      <c r="F36" s="1">
        <f>VLOOKUP($B36&amp;"__wt",'SegEnds_Xtal_BW#'!$A:$Z,6,FALSE)</f>
        <v>51</v>
      </c>
      <c r="G36" s="1">
        <v>37</v>
      </c>
      <c r="H36" s="12">
        <f>VLOOKUP($B36&amp;"__wt",'SegEnds_Xtal_BW#'!$A:$Z,8,FALSE)</f>
        <v>68</v>
      </c>
      <c r="I36" s="1">
        <f>VLOOKUP($B36&amp;"__wt",'SegEnds_Xtal_BW#'!$A:$Z,9,FALSE)</f>
        <v>49</v>
      </c>
      <c r="J36" s="1">
        <f>VLOOKUP($B36&amp;"__wt",'SegEnds_Xtal_BW#'!$A:$Z,10,FALSE)</f>
        <v>52</v>
      </c>
      <c r="K36" s="12">
        <v>18</v>
      </c>
      <c r="L36" s="1">
        <f>VLOOKUP($B36&amp;"__wt",'SegEnds_Xtal_BW#'!$A:$Z,12,FALSE)</f>
        <v>56</v>
      </c>
      <c r="M36" s="1">
        <f>VLOOKUP($B36&amp;"__wt",'SegEnds_Xtal_BW#'!$A:$Z,13,FALSE)</f>
        <v>50</v>
      </c>
      <c r="N36" s="12">
        <v>57</v>
      </c>
      <c r="O36" s="87">
        <v>38</v>
      </c>
      <c r="P36" s="1">
        <f>VLOOKUP($B36&amp;"__wt",'SegEnds_Xtal_BW#'!$A:$Z,16,FALSE)</f>
        <v>62</v>
      </c>
      <c r="Q36" s="1">
        <f>VLOOKUP($B36&amp;"__wt",'SegEnds_Xtal_BW#'!$A:$Z,17,FALSE)</f>
        <v>50</v>
      </c>
      <c r="R36" s="1">
        <f>VLOOKUP($B36&amp;"__wt",'SegEnds_Xtal_BW#'!$A:$Z,18,FALSE)</f>
        <v>52</v>
      </c>
      <c r="S36" s="1">
        <v>35</v>
      </c>
      <c r="T36" s="1">
        <f t="array" ref="T36">INDEX(ICL3_classA!$G$2:$G$37,MATCH(MIN(ABS(AI36-ICL3_classA!$F$2:$F$37)),ABS(AI36-ICL3_classA!$F$2:$F$37),0))</f>
        <v>74</v>
      </c>
      <c r="U36" s="1">
        <f t="array" ref="U36">INDEX(ICL3_classA!$H$2:$H$37,MATCH(MIN(ABS(AI36-ICL3_classA!$F$2:$F$37)),ABS(AI36-ICL3_classA!$F$2:$F$37),0))</f>
        <v>24</v>
      </c>
      <c r="V36" s="1">
        <v>61</v>
      </c>
      <c r="W36" s="1">
        <v>31</v>
      </c>
      <c r="X36" s="1">
        <f>VLOOKUP($B36&amp;"__wt",'SegEnds_Xtal_BW#'!$A:$Z,24,FALSE)</f>
        <v>56</v>
      </c>
      <c r="Y36" s="1">
        <f>VLOOKUP($B36&amp;"__wt",'SegEnds_Xtal_BW#'!$A:$Z,25,FALSE)</f>
        <v>47</v>
      </c>
      <c r="Z36" s="1">
        <f>VLOOKUP($B36&amp;"__wt",'SegEnds_Xtal_BW#'!$A:$Z,26,FALSE)</f>
        <v>59</v>
      </c>
      <c r="AA36" s="27" t="str">
        <f>VLOOKUP(A36,Classification!A:B,2,FALSE)</f>
        <v>A</v>
      </c>
      <c r="AB36" s="1">
        <f>VLOOKUP(A36,'SegEnds_NonXtal_Prot#'!A:AL,10,FALSE)-VLOOKUP(A36,'SegEnds_NonXtal_Prot#'!A:AL,4,FALSE)</f>
        <v>28</v>
      </c>
      <c r="AC36" s="1">
        <f>VLOOKUP(A36,'SegEnds_NonXtal_Prot#'!A:AL,10,FALSE)-VLOOKUP(A36,'SegEnds_NonXtal_Prot#'!A:AL,7,FALSE)</f>
        <v>15</v>
      </c>
      <c r="AD36" s="1">
        <f>VLOOKUP(A36,'SegEnds_NonXtal_Prot#'!A:AL,13,FALSE)-VLOOKUP(A36,'SegEnds_NonXtal_Prot#'!A:AL,10,FALSE)</f>
        <v>20</v>
      </c>
      <c r="AE36" s="1">
        <f>VLOOKUP(A36,'SegEnds_NonXtal_Prot#'!A:AL,16,FALSE)-VLOOKUP(A36,'SegEnds_NonXtal_Prot#'!A:AL,10,FALSE)</f>
        <v>52</v>
      </c>
      <c r="AF36" s="1">
        <f>VLOOKUP(A36,'SegEnds_NonXtal_Prot#'!A:AL,22,FALSE)-VLOOKUP(A36,'SegEnds_NonXtal_Prot#'!A:AL,19,FALSE)</f>
        <v>20</v>
      </c>
      <c r="AG36" s="1">
        <f>VLOOKUP(A36,'SegEnds_NonXtal_Prot#'!A:AL,28,FALSE)-VLOOKUP(A36,'SegEnds_NonXtal_Prot#'!A:AL,25,FALSE)</f>
        <v>20</v>
      </c>
      <c r="AH36" s="1">
        <f>VLOOKUP(A36,'SegEnds_NonXtal_Prot#'!A:AL,28,FALSE)-VLOOKUP(A36,'SegEnds_NonXtal_Prot#'!A:AL,22,FALSE)</f>
        <v>45</v>
      </c>
      <c r="AI36" s="1">
        <f>VLOOKUP(A36,'SegEnds_NonXtal_Prot#'!A:AL,31,FALSE)-VLOOKUP(A36,'SegEnds_NonXtal_Prot#'!A:AL,28,FALSE)</f>
        <v>94</v>
      </c>
      <c r="AJ36" s="1">
        <f>VLOOKUP(A36,'SegEnds_NonXtal_Prot#'!A:AL,34,FALSE)-VLOOKUP(A36,'SegEnds_NonXtal_Prot#'!A:AL,31,FALSE)</f>
        <v>36</v>
      </c>
      <c r="AK36" s="1">
        <f>VLOOKUP(A36,'SegEnds_NonXtal_Prot#'!A:AL,37,FALSE)-VLOOKUP(A36,'SegEnds_NonXtal_Prot#'!A:AL,34,FALSE)</f>
        <v>10</v>
      </c>
      <c r="AL36" s="1" t="str">
        <f>IF(ISERROR(MATCH(A36,'SegEnds_Xtal_Prot#'!B:B, 0)), "NoXtal", "Xtal")</f>
        <v>NoXtal</v>
      </c>
    </row>
    <row r="37" spans="1:38" x14ac:dyDescent="0.2">
      <c r="A37" s="1" t="s">
        <v>154</v>
      </c>
      <c r="B37" s="1" t="str">
        <f>VLOOKUP(A37,Xtal_Templ!A:B,2,FALSE)</f>
        <v>drd2_human</v>
      </c>
      <c r="C37" s="5">
        <f>VLOOKUP($B37&amp;"__wt",'SegEnds_Xtal_BW#'!$A:$Z,3,FALSE)</f>
        <v>29</v>
      </c>
      <c r="D37" s="1">
        <f>VLOOKUP($B37&amp;"__wt",'SegEnds_Xtal_BW#'!$A:$Z,4,FALSE)</f>
        <v>60</v>
      </c>
      <c r="E37" s="1">
        <f>VLOOKUP($B37&amp;"__wt",'SegEnds_Xtal_BW#'!$A:$Z,5,FALSE)</f>
        <v>48</v>
      </c>
      <c r="F37" s="1">
        <f>VLOOKUP($B37&amp;"__wt",'SegEnds_Xtal_BW#'!$A:$Z,6,FALSE)</f>
        <v>51</v>
      </c>
      <c r="G37" s="1">
        <v>37</v>
      </c>
      <c r="H37" s="12">
        <f>VLOOKUP($B37&amp;"__wt",'SegEnds_Xtal_BW#'!$A:$Z,8,FALSE)</f>
        <v>68</v>
      </c>
      <c r="I37" s="1">
        <f>VLOOKUP($B37&amp;"__wt",'SegEnds_Xtal_BW#'!$A:$Z,9,FALSE)</f>
        <v>49</v>
      </c>
      <c r="J37" s="1">
        <f>VLOOKUP($B37&amp;"__wt",'SegEnds_Xtal_BW#'!$A:$Z,10,FALSE)</f>
        <v>52</v>
      </c>
      <c r="K37" s="12">
        <v>18</v>
      </c>
      <c r="L37" s="1">
        <f>VLOOKUP($B37&amp;"__wt",'SegEnds_Xtal_BW#'!$A:$Z,12,FALSE)</f>
        <v>56</v>
      </c>
      <c r="M37" s="1">
        <f>VLOOKUP($B37&amp;"__wt",'SegEnds_Xtal_BW#'!$A:$Z,13,FALSE)</f>
        <v>50</v>
      </c>
      <c r="N37" s="12">
        <v>57</v>
      </c>
      <c r="O37" s="87">
        <v>38</v>
      </c>
      <c r="P37" s="1">
        <f>VLOOKUP($B37&amp;"__wt",'SegEnds_Xtal_BW#'!$A:$Z,16,FALSE)</f>
        <v>62</v>
      </c>
      <c r="Q37" s="1">
        <f>VLOOKUP($B37&amp;"__wt",'SegEnds_Xtal_BW#'!$A:$Z,17,FALSE)</f>
        <v>50</v>
      </c>
      <c r="R37" s="1">
        <f>VLOOKUP($B37&amp;"__wt",'SegEnds_Xtal_BW#'!$A:$Z,18,FALSE)</f>
        <v>52</v>
      </c>
      <c r="S37" s="1">
        <v>35</v>
      </c>
      <c r="T37" s="1">
        <f t="array" ref="T37">INDEX(ICL3_classA!$G$2:$G$37,MATCH(MIN(ABS(AI37-ICL3_classA!$F$2:$F$37)),ABS(AI37-ICL3_classA!$F$2:$F$37),0))</f>
        <v>74</v>
      </c>
      <c r="U37" s="1">
        <f t="array" ref="U37">INDEX(ICL3_classA!$H$2:$H$37,MATCH(MIN(ABS(AI37-ICL3_classA!$F$2:$F$37)),ABS(AI37-ICL3_classA!$F$2:$F$37),0))</f>
        <v>24</v>
      </c>
      <c r="V37" s="1">
        <v>61</v>
      </c>
      <c r="W37" s="1">
        <v>31</v>
      </c>
      <c r="X37" s="108">
        <v>56</v>
      </c>
      <c r="Y37" s="1">
        <f>VLOOKUP($B37&amp;"__wt",'SegEnds_Xtal_BW#'!$A:$Z,25,FALSE)</f>
        <v>47</v>
      </c>
      <c r="Z37" s="1">
        <f>VLOOKUP($B37&amp;"__wt",'SegEnds_Xtal_BW#'!$A:$Z,26,FALSE)</f>
        <v>59</v>
      </c>
      <c r="AA37" s="27" t="str">
        <f>VLOOKUP(A37,Classification!A:B,2,FALSE)</f>
        <v>A</v>
      </c>
      <c r="AB37" s="1">
        <f>VLOOKUP(A37,'SegEnds_NonXtal_Prot#'!A:AL,10,FALSE)-VLOOKUP(A37,'SegEnds_NonXtal_Prot#'!A:AL,4,FALSE)</f>
        <v>28</v>
      </c>
      <c r="AC37" s="1">
        <f>VLOOKUP(A37,'SegEnds_NonXtal_Prot#'!A:AL,10,FALSE)-VLOOKUP(A37,'SegEnds_NonXtal_Prot#'!A:AL,7,FALSE)</f>
        <v>15</v>
      </c>
      <c r="AD37" s="1">
        <f>VLOOKUP(A37,'SegEnds_NonXtal_Prot#'!A:AL,13,FALSE)-VLOOKUP(A37,'SegEnds_NonXtal_Prot#'!A:AL,10,FALSE)</f>
        <v>20</v>
      </c>
      <c r="AE37" s="1">
        <f>VLOOKUP(A37,'SegEnds_NonXtal_Prot#'!A:AL,16,FALSE)-VLOOKUP(A37,'SegEnds_NonXtal_Prot#'!A:AL,10,FALSE)</f>
        <v>52</v>
      </c>
      <c r="AF37" s="1">
        <f>VLOOKUP(A37,'SegEnds_NonXtal_Prot#'!A:AL,22,FALSE)-VLOOKUP(A37,'SegEnds_NonXtal_Prot#'!A:AL,19,FALSE)</f>
        <v>20</v>
      </c>
      <c r="AG37" s="1">
        <f>VLOOKUP(A37,'SegEnds_NonXtal_Prot#'!A:AL,28,FALSE)-VLOOKUP(A37,'SegEnds_NonXtal_Prot#'!A:AL,25,FALSE)</f>
        <v>20</v>
      </c>
      <c r="AH37" s="1">
        <f>VLOOKUP(A37,'SegEnds_NonXtal_Prot#'!A:AL,28,FALSE)-VLOOKUP(A37,'SegEnds_NonXtal_Prot#'!A:AL,22,FALSE)</f>
        <v>45</v>
      </c>
      <c r="AI37" s="1">
        <f>VLOOKUP(A37,'SegEnds_NonXtal_Prot#'!A:AL,31,FALSE)-VLOOKUP(A37,'SegEnds_NonXtal_Prot#'!A:AL,28,FALSE)</f>
        <v>97</v>
      </c>
      <c r="AJ37" s="1">
        <f>VLOOKUP(A37,'SegEnds_NonXtal_Prot#'!A:AL,34,FALSE)-VLOOKUP(A37,'SegEnds_NonXtal_Prot#'!A:AL,31,FALSE)</f>
        <v>36</v>
      </c>
      <c r="AK37" s="1">
        <f>VLOOKUP(A37,'SegEnds_NonXtal_Prot#'!A:AL,37,FALSE)-VLOOKUP(A37,'SegEnds_NonXtal_Prot#'!A:AL,34,FALSE)</f>
        <v>10</v>
      </c>
      <c r="AL37" s="1" t="str">
        <f>IF(ISERROR(MATCH(A37,'SegEnds_Xtal_Prot#'!B:B, 0)), "NoXtal", "Xtal")</f>
        <v>NoXtal</v>
      </c>
    </row>
    <row r="38" spans="1:38" x14ac:dyDescent="0.2">
      <c r="A38" s="1" t="s">
        <v>155</v>
      </c>
      <c r="B38" s="1" t="str">
        <f>VLOOKUP(A38,Xtal_Templ!A:B,2,FALSE)</f>
        <v>drd2_human</v>
      </c>
      <c r="C38" s="5">
        <f>VLOOKUP($B38&amp;"__wt",'SegEnds_Xtal_BW#'!$A:$Z,3,FALSE)</f>
        <v>29</v>
      </c>
      <c r="D38" s="1">
        <f>VLOOKUP($B38&amp;"__wt",'SegEnds_Xtal_BW#'!$A:$Z,4,FALSE)</f>
        <v>60</v>
      </c>
      <c r="E38" s="1">
        <f>VLOOKUP($B38&amp;"__wt",'SegEnds_Xtal_BW#'!$A:$Z,5,FALSE)</f>
        <v>48</v>
      </c>
      <c r="F38" s="1">
        <f>VLOOKUP($B38&amp;"__wt",'SegEnds_Xtal_BW#'!$A:$Z,6,FALSE)</f>
        <v>51</v>
      </c>
      <c r="G38" s="1">
        <v>37</v>
      </c>
      <c r="H38" s="12">
        <f>VLOOKUP($B38&amp;"__wt",'SegEnds_Xtal_BW#'!$A:$Z,8,FALSE)</f>
        <v>68</v>
      </c>
      <c r="I38" s="1">
        <f>VLOOKUP($B38&amp;"__wt",'SegEnds_Xtal_BW#'!$A:$Z,9,FALSE)</f>
        <v>49</v>
      </c>
      <c r="J38" s="1">
        <f>VLOOKUP($B38&amp;"__wt",'SegEnds_Xtal_BW#'!$A:$Z,10,FALSE)</f>
        <v>52</v>
      </c>
      <c r="K38" s="12">
        <v>18</v>
      </c>
      <c r="L38" s="1">
        <f>VLOOKUP($B38&amp;"__wt",'SegEnds_Xtal_BW#'!$A:$Z,12,FALSE)</f>
        <v>56</v>
      </c>
      <c r="M38" s="1">
        <f>VLOOKUP($B38&amp;"__wt",'SegEnds_Xtal_BW#'!$A:$Z,13,FALSE)</f>
        <v>50</v>
      </c>
      <c r="N38" s="12">
        <v>57</v>
      </c>
      <c r="O38" s="87">
        <v>38</v>
      </c>
      <c r="P38" s="1">
        <f>VLOOKUP($B38&amp;"__wt",'SegEnds_Xtal_BW#'!$A:$Z,16,FALSE)</f>
        <v>62</v>
      </c>
      <c r="Q38" s="1">
        <f>VLOOKUP($B38&amp;"__wt",'SegEnds_Xtal_BW#'!$A:$Z,17,FALSE)</f>
        <v>50</v>
      </c>
      <c r="R38" s="1">
        <f>VLOOKUP($B38&amp;"__wt",'SegEnds_Xtal_BW#'!$A:$Z,18,FALSE)</f>
        <v>52</v>
      </c>
      <c r="S38" s="1">
        <v>35</v>
      </c>
      <c r="T38" s="1">
        <f t="array" ref="T38">INDEX(ICL3_classA!$G$2:$G$37,MATCH(MIN(ABS(AI38-ICL3_classA!$F$2:$F$37)),ABS(AI38-ICL3_classA!$F$2:$F$37),0))</f>
        <v>75</v>
      </c>
      <c r="U38" s="1">
        <f t="array" ref="U38">INDEX(ICL3_classA!$H$2:$H$37,MATCH(MIN(ABS(AI38-ICL3_classA!$F$2:$F$37)),ABS(AI38-ICL3_classA!$F$2:$F$37),0))</f>
        <v>24</v>
      </c>
      <c r="V38" s="1">
        <v>61</v>
      </c>
      <c r="W38" s="1">
        <v>32</v>
      </c>
      <c r="X38" s="1">
        <f>VLOOKUP($B38&amp;"__wt",'SegEnds_Xtal_BW#'!$A:$Z,24,FALSE)</f>
        <v>56</v>
      </c>
      <c r="Y38" s="1">
        <f>VLOOKUP($B38&amp;"__wt",'SegEnds_Xtal_BW#'!$A:$Z,25,FALSE)</f>
        <v>47</v>
      </c>
      <c r="Z38" s="1">
        <f>VLOOKUP($B38&amp;"__wt",'SegEnds_Xtal_BW#'!$A:$Z,26,FALSE)</f>
        <v>59</v>
      </c>
      <c r="AA38" s="27" t="str">
        <f>VLOOKUP(A38,Classification!A:B,2,FALSE)</f>
        <v>A</v>
      </c>
      <c r="AB38" s="1">
        <f>VLOOKUP(A38,'SegEnds_NonXtal_Prot#'!A:AL,10,FALSE)-VLOOKUP(A38,'SegEnds_NonXtal_Prot#'!A:AL,4,FALSE)</f>
        <v>28</v>
      </c>
      <c r="AC38" s="1">
        <f>VLOOKUP(A38,'SegEnds_NonXtal_Prot#'!A:AL,10,FALSE)-VLOOKUP(A38,'SegEnds_NonXtal_Prot#'!A:AL,7,FALSE)</f>
        <v>15</v>
      </c>
      <c r="AD38" s="1">
        <f>VLOOKUP(A38,'SegEnds_NonXtal_Prot#'!A:AL,13,FALSE)-VLOOKUP(A38,'SegEnds_NonXtal_Prot#'!A:AL,10,FALSE)</f>
        <v>20</v>
      </c>
      <c r="AE38" s="1">
        <f>VLOOKUP(A38,'SegEnds_NonXtal_Prot#'!A:AL,16,FALSE)-VLOOKUP(A38,'SegEnds_NonXtal_Prot#'!A:AL,10,FALSE)</f>
        <v>52</v>
      </c>
      <c r="AF38" s="1">
        <f>VLOOKUP(A38,'SegEnds_NonXtal_Prot#'!A:AL,22,FALSE)-VLOOKUP(A38,'SegEnds_NonXtal_Prot#'!A:AL,19,FALSE)</f>
        <v>20</v>
      </c>
      <c r="AG38" s="1">
        <f>VLOOKUP(A38,'SegEnds_NonXtal_Prot#'!A:AL,28,FALSE)-VLOOKUP(A38,'SegEnds_NonXtal_Prot#'!A:AL,25,FALSE)</f>
        <v>20</v>
      </c>
      <c r="AH38" s="1">
        <f>VLOOKUP(A38,'SegEnds_NonXtal_Prot#'!A:AL,28,FALSE)-VLOOKUP(A38,'SegEnds_NonXtal_Prot#'!A:AL,22,FALSE)</f>
        <v>50</v>
      </c>
      <c r="AI38" s="1">
        <f>VLOOKUP(A38,'SegEnds_NonXtal_Prot#'!A:AL,31,FALSE)-VLOOKUP(A38,'SegEnds_NonXtal_Prot#'!A:AL,28,FALSE)</f>
        <v>181</v>
      </c>
      <c r="AJ38" s="1">
        <f>VLOOKUP(A38,'SegEnds_NonXtal_Prot#'!A:AL,34,FALSE)-VLOOKUP(A38,'SegEnds_NonXtal_Prot#'!A:AL,31,FALSE)</f>
        <v>34</v>
      </c>
      <c r="AK38" s="1">
        <f>VLOOKUP(A38,'SegEnds_NonXtal_Prot#'!A:AL,37,FALSE)-VLOOKUP(A38,'SegEnds_NonXtal_Prot#'!A:AL,34,FALSE)</f>
        <v>10</v>
      </c>
      <c r="AL38" s="1" t="str">
        <f>IF(ISERROR(MATCH(A38,'SegEnds_Xtal_Prot#'!B:B, 0)), "NoXtal", "Xtal")</f>
        <v>NoXtal</v>
      </c>
    </row>
    <row r="39" spans="1:38" x14ac:dyDescent="0.2">
      <c r="A39" s="1" t="s">
        <v>156</v>
      </c>
      <c r="B39" s="1" t="str">
        <f>VLOOKUP(A39,Xtal_Templ!A:B,2,FALSE)</f>
        <v>drd2_human</v>
      </c>
      <c r="C39" s="5">
        <f>VLOOKUP($B39&amp;"__wt",'SegEnds_Xtal_BW#'!$A:$Z,3,FALSE)</f>
        <v>29</v>
      </c>
      <c r="D39" s="1">
        <f>VLOOKUP($B39&amp;"__wt",'SegEnds_Xtal_BW#'!$A:$Z,4,FALSE)</f>
        <v>60</v>
      </c>
      <c r="E39" s="1">
        <f>VLOOKUP($B39&amp;"__wt",'SegEnds_Xtal_BW#'!$A:$Z,5,FALSE)</f>
        <v>48</v>
      </c>
      <c r="F39" s="1">
        <f>VLOOKUP($B39&amp;"__wt",'SegEnds_Xtal_BW#'!$A:$Z,6,FALSE)</f>
        <v>51</v>
      </c>
      <c r="G39" s="1">
        <v>37</v>
      </c>
      <c r="H39" s="12">
        <f>VLOOKUP($B39&amp;"__wt",'SegEnds_Xtal_BW#'!$A:$Z,8,FALSE)</f>
        <v>68</v>
      </c>
      <c r="I39" s="1">
        <f>VLOOKUP($B39&amp;"__wt",'SegEnds_Xtal_BW#'!$A:$Z,9,FALSE)</f>
        <v>49</v>
      </c>
      <c r="J39" s="1">
        <f>VLOOKUP($B39&amp;"__wt",'SegEnds_Xtal_BW#'!$A:$Z,10,FALSE)</f>
        <v>52</v>
      </c>
      <c r="K39" s="12">
        <v>18</v>
      </c>
      <c r="L39" s="1">
        <f>VLOOKUP($B39&amp;"__wt",'SegEnds_Xtal_BW#'!$A:$Z,12,FALSE)</f>
        <v>56</v>
      </c>
      <c r="M39" s="1">
        <f>VLOOKUP($B39&amp;"__wt",'SegEnds_Xtal_BW#'!$A:$Z,13,FALSE)</f>
        <v>50</v>
      </c>
      <c r="N39" s="12">
        <v>57</v>
      </c>
      <c r="O39" s="87">
        <v>38</v>
      </c>
      <c r="P39" s="1">
        <f>VLOOKUP($B39&amp;"__wt",'SegEnds_Xtal_BW#'!$A:$Z,16,FALSE)</f>
        <v>62</v>
      </c>
      <c r="Q39" s="1">
        <f>VLOOKUP($B39&amp;"__wt",'SegEnds_Xtal_BW#'!$A:$Z,17,FALSE)</f>
        <v>50</v>
      </c>
      <c r="R39" s="1">
        <f>VLOOKUP($B39&amp;"__wt",'SegEnds_Xtal_BW#'!$A:$Z,18,FALSE)</f>
        <v>52</v>
      </c>
      <c r="S39" s="1">
        <v>35</v>
      </c>
      <c r="T39" s="1">
        <f t="array" ref="T39">INDEX(ICL3_classA!$G$2:$G$37,MATCH(MIN(ABS(AI39-ICL3_classA!$F$2:$F$37)),ABS(AI39-ICL3_classA!$F$2:$F$37),0))</f>
        <v>75</v>
      </c>
      <c r="U39" s="1">
        <f t="array" ref="U39">INDEX(ICL3_classA!$H$2:$H$37,MATCH(MIN(ABS(AI39-ICL3_classA!$F$2:$F$37)),ABS(AI39-ICL3_classA!$F$2:$F$37),0))</f>
        <v>24</v>
      </c>
      <c r="V39" s="1">
        <v>61</v>
      </c>
      <c r="W39" s="1">
        <v>31</v>
      </c>
      <c r="X39" s="1">
        <f>VLOOKUP($B39&amp;"__wt",'SegEnds_Xtal_BW#'!$A:$Z,24,FALSE)</f>
        <v>56</v>
      </c>
      <c r="Y39" s="1">
        <f>VLOOKUP($B39&amp;"__wt",'SegEnds_Xtal_BW#'!$A:$Z,25,FALSE)</f>
        <v>47</v>
      </c>
      <c r="Z39" s="1">
        <f>VLOOKUP($B39&amp;"__wt",'SegEnds_Xtal_BW#'!$A:$Z,26,FALSE)</f>
        <v>59</v>
      </c>
      <c r="AA39" s="27" t="str">
        <f>VLOOKUP(A39,Classification!A:B,2,FALSE)</f>
        <v>A</v>
      </c>
      <c r="AB39" s="1">
        <f>VLOOKUP(A39,'SegEnds_NonXtal_Prot#'!A:AL,10,FALSE)-VLOOKUP(A39,'SegEnds_NonXtal_Prot#'!A:AL,4,FALSE)</f>
        <v>28</v>
      </c>
      <c r="AC39" s="1">
        <f>VLOOKUP(A39,'SegEnds_NonXtal_Prot#'!A:AL,10,FALSE)-VLOOKUP(A39,'SegEnds_NonXtal_Prot#'!A:AL,7,FALSE)</f>
        <v>15</v>
      </c>
      <c r="AD39" s="1">
        <f>VLOOKUP(A39,'SegEnds_NonXtal_Prot#'!A:AL,13,FALSE)-VLOOKUP(A39,'SegEnds_NonXtal_Prot#'!A:AL,10,FALSE)</f>
        <v>20</v>
      </c>
      <c r="AE39" s="1">
        <f>VLOOKUP(A39,'SegEnds_NonXtal_Prot#'!A:AL,16,FALSE)-VLOOKUP(A39,'SegEnds_NonXtal_Prot#'!A:AL,10,FALSE)</f>
        <v>52</v>
      </c>
      <c r="AF39" s="1">
        <f>VLOOKUP(A39,'SegEnds_NonXtal_Prot#'!A:AL,22,FALSE)-VLOOKUP(A39,'SegEnds_NonXtal_Prot#'!A:AL,19,FALSE)</f>
        <v>20</v>
      </c>
      <c r="AG39" s="1">
        <f>VLOOKUP(A39,'SegEnds_NonXtal_Prot#'!A:AL,28,FALSE)-VLOOKUP(A39,'SegEnds_NonXtal_Prot#'!A:AL,25,FALSE)</f>
        <v>20</v>
      </c>
      <c r="AH39" s="1">
        <f>VLOOKUP(A39,'SegEnds_NonXtal_Prot#'!A:AL,28,FALSE)-VLOOKUP(A39,'SegEnds_NonXtal_Prot#'!A:AL,22,FALSE)</f>
        <v>47</v>
      </c>
      <c r="AI39" s="1">
        <f>VLOOKUP(A39,'SegEnds_NonXtal_Prot#'!A:AL,31,FALSE)-VLOOKUP(A39,'SegEnds_NonXtal_Prot#'!A:AL,28,FALSE)</f>
        <v>199</v>
      </c>
      <c r="AJ39" s="1">
        <f>VLOOKUP(A39,'SegEnds_NonXtal_Prot#'!A:AL,34,FALSE)-VLOOKUP(A39,'SegEnds_NonXtal_Prot#'!A:AL,31,FALSE)</f>
        <v>37</v>
      </c>
      <c r="AK39" s="1">
        <f>VLOOKUP(A39,'SegEnds_NonXtal_Prot#'!A:AL,37,FALSE)-VLOOKUP(A39,'SegEnds_NonXtal_Prot#'!A:AL,34,FALSE)</f>
        <v>10</v>
      </c>
      <c r="AL39" s="1" t="str">
        <f>IF(ISERROR(MATCH(A39,'SegEnds_Xtal_Prot#'!B:B, 0)), "NoXtal", "Xtal")</f>
        <v>NoXtal</v>
      </c>
    </row>
    <row r="40" spans="1:38" x14ac:dyDescent="0.2">
      <c r="A40" s="1" t="s">
        <v>157</v>
      </c>
      <c r="B40" s="1" t="str">
        <f>VLOOKUP(A40,Xtal_Templ!A:B,2,FALSE)</f>
        <v>drd2_human</v>
      </c>
      <c r="C40" s="5">
        <f>VLOOKUP($B40&amp;"__wt",'SegEnds_Xtal_BW#'!$A:$Z,3,FALSE)</f>
        <v>29</v>
      </c>
      <c r="D40" s="1">
        <f>VLOOKUP($B40&amp;"__wt",'SegEnds_Xtal_BW#'!$A:$Z,4,FALSE)</f>
        <v>60</v>
      </c>
      <c r="E40" s="1">
        <f>VLOOKUP($B40&amp;"__wt",'SegEnds_Xtal_BW#'!$A:$Z,5,FALSE)</f>
        <v>48</v>
      </c>
      <c r="F40" s="1">
        <f>VLOOKUP($B40&amp;"__wt",'SegEnds_Xtal_BW#'!$A:$Z,6,FALSE)</f>
        <v>51</v>
      </c>
      <c r="G40" s="1">
        <v>37</v>
      </c>
      <c r="H40" s="12">
        <f>VLOOKUP($B40&amp;"__wt",'SegEnds_Xtal_BW#'!$A:$Z,8,FALSE)</f>
        <v>68</v>
      </c>
      <c r="I40" s="1">
        <f>VLOOKUP($B40&amp;"__wt",'SegEnds_Xtal_BW#'!$A:$Z,9,FALSE)</f>
        <v>49</v>
      </c>
      <c r="J40" s="1">
        <f>VLOOKUP($B40&amp;"__wt",'SegEnds_Xtal_BW#'!$A:$Z,10,FALSE)</f>
        <v>52</v>
      </c>
      <c r="K40" s="12">
        <v>18</v>
      </c>
      <c r="L40" s="1">
        <f>VLOOKUP($B40&amp;"__wt",'SegEnds_Xtal_BW#'!$A:$Z,12,FALSE)</f>
        <v>56</v>
      </c>
      <c r="M40" s="1">
        <f>VLOOKUP($B40&amp;"__wt",'SegEnds_Xtal_BW#'!$A:$Z,13,FALSE)</f>
        <v>50</v>
      </c>
      <c r="N40" s="12">
        <v>57</v>
      </c>
      <c r="O40" s="87">
        <v>38</v>
      </c>
      <c r="P40" s="1">
        <f>VLOOKUP($B40&amp;"__wt",'SegEnds_Xtal_BW#'!$A:$Z,16,FALSE)</f>
        <v>62</v>
      </c>
      <c r="Q40" s="1">
        <f>VLOOKUP($B40&amp;"__wt",'SegEnds_Xtal_BW#'!$A:$Z,17,FALSE)</f>
        <v>50</v>
      </c>
      <c r="R40" s="1">
        <f>VLOOKUP($B40&amp;"__wt",'SegEnds_Xtal_BW#'!$A:$Z,18,FALSE)</f>
        <v>52</v>
      </c>
      <c r="S40" s="1">
        <v>35</v>
      </c>
      <c r="T40" s="1">
        <f t="array" ref="T40">INDEX(ICL3_classA!$G$2:$G$37,MATCH(MIN(ABS(AI40-ICL3_classA!$F$2:$F$37)),ABS(AI40-ICL3_classA!$F$2:$F$37),0))</f>
        <v>75</v>
      </c>
      <c r="U40" s="1">
        <f t="array" ref="U40">INDEX(ICL3_classA!$H$2:$H$37,MATCH(MIN(ABS(AI40-ICL3_classA!$F$2:$F$37)),ABS(AI40-ICL3_classA!$F$2:$F$37),0))</f>
        <v>24</v>
      </c>
      <c r="V40" s="1">
        <v>61</v>
      </c>
      <c r="W40" s="1">
        <v>31</v>
      </c>
      <c r="X40" s="1">
        <f>VLOOKUP($B40&amp;"__wt",'SegEnds_Xtal_BW#'!$A:$Z,24,FALSE)</f>
        <v>56</v>
      </c>
      <c r="Y40" s="1">
        <f>VLOOKUP($B40&amp;"__wt",'SegEnds_Xtal_BW#'!$A:$Z,25,FALSE)</f>
        <v>47</v>
      </c>
      <c r="Z40" s="1">
        <f>VLOOKUP($B40&amp;"__wt",'SegEnds_Xtal_BW#'!$A:$Z,26,FALSE)</f>
        <v>59</v>
      </c>
      <c r="AA40" s="27" t="str">
        <f>VLOOKUP(A40,Classification!A:B,2,FALSE)</f>
        <v>A</v>
      </c>
      <c r="AB40" s="1">
        <f>VLOOKUP(A40,'SegEnds_NonXtal_Prot#'!A:AL,10,FALSE)-VLOOKUP(A40,'SegEnds_NonXtal_Prot#'!A:AL,4,FALSE)</f>
        <v>28</v>
      </c>
      <c r="AC40" s="1">
        <f>VLOOKUP(A40,'SegEnds_NonXtal_Prot#'!A:AL,10,FALSE)-VLOOKUP(A40,'SegEnds_NonXtal_Prot#'!A:AL,7,FALSE)</f>
        <v>15</v>
      </c>
      <c r="AD40" s="1">
        <f>VLOOKUP(A40,'SegEnds_NonXtal_Prot#'!A:AL,13,FALSE)-VLOOKUP(A40,'SegEnds_NonXtal_Prot#'!A:AL,10,FALSE)</f>
        <v>20</v>
      </c>
      <c r="AE40" s="1">
        <f>VLOOKUP(A40,'SegEnds_NonXtal_Prot#'!A:AL,16,FALSE)-VLOOKUP(A40,'SegEnds_NonXtal_Prot#'!A:AL,10,FALSE)</f>
        <v>52</v>
      </c>
      <c r="AF40" s="1">
        <f>VLOOKUP(A40,'SegEnds_NonXtal_Prot#'!A:AL,22,FALSE)-VLOOKUP(A40,'SegEnds_NonXtal_Prot#'!A:AL,19,FALSE)</f>
        <v>20</v>
      </c>
      <c r="AG40" s="1">
        <f>VLOOKUP(A40,'SegEnds_NonXtal_Prot#'!A:AL,28,FALSE)-VLOOKUP(A40,'SegEnds_NonXtal_Prot#'!A:AL,25,FALSE)</f>
        <v>20</v>
      </c>
      <c r="AH40" s="1">
        <f>VLOOKUP(A40,'SegEnds_NonXtal_Prot#'!A:AL,28,FALSE)-VLOOKUP(A40,'SegEnds_NonXtal_Prot#'!A:AL,22,FALSE)</f>
        <v>46</v>
      </c>
      <c r="AI40" s="1">
        <f>VLOOKUP(A40,'SegEnds_NonXtal_Prot#'!A:AL,31,FALSE)-VLOOKUP(A40,'SegEnds_NonXtal_Prot#'!A:AL,28,FALSE)</f>
        <v>175</v>
      </c>
      <c r="AJ40" s="1">
        <f>VLOOKUP(A40,'SegEnds_NonXtal_Prot#'!A:AL,34,FALSE)-VLOOKUP(A40,'SegEnds_NonXtal_Prot#'!A:AL,31,FALSE)</f>
        <v>37</v>
      </c>
      <c r="AK40" s="1">
        <f>VLOOKUP(A40,'SegEnds_NonXtal_Prot#'!A:AL,37,FALSE)-VLOOKUP(A40,'SegEnds_NonXtal_Prot#'!A:AL,34,FALSE)</f>
        <v>10</v>
      </c>
      <c r="AL40" s="1" t="str">
        <f>IF(ISERROR(MATCH(A40,'SegEnds_Xtal_Prot#'!B:B, 0)), "NoXtal", "Xtal")</f>
        <v>NoXtal</v>
      </c>
    </row>
    <row r="41" spans="1:38" x14ac:dyDescent="0.2">
      <c r="A41" s="1" t="s">
        <v>158</v>
      </c>
      <c r="B41" s="1" t="str">
        <f>VLOOKUP(A41,Xtal_Templ!A:B,2,FALSE)</f>
        <v>agtr1_human</v>
      </c>
      <c r="C41" s="5">
        <f>VLOOKUP($B41&amp;"__wt",'SegEnds_Xtal_BW#'!$A:$Z,3,FALSE)</f>
        <v>30</v>
      </c>
      <c r="D41" s="1">
        <f>VLOOKUP($B41&amp;"__wt",'SegEnds_Xtal_BW#'!$A:$Z,4,FALSE)</f>
        <v>60</v>
      </c>
      <c r="E41" s="1">
        <f>VLOOKUP($B41&amp;"__wt",'SegEnds_Xtal_BW#'!$A:$Z,5,FALSE)</f>
        <v>48</v>
      </c>
      <c r="F41" s="1">
        <f>VLOOKUP($B41&amp;"__wt",'SegEnds_Xtal_BW#'!$A:$Z,6,FALSE)</f>
        <v>51</v>
      </c>
      <c r="G41" s="1">
        <v>37</v>
      </c>
      <c r="H41" s="12">
        <f>VLOOKUP($B41&amp;"__wt",'SegEnds_Xtal_BW#'!$A:$Z,8,FALSE)</f>
        <v>66</v>
      </c>
      <c r="I41" s="1">
        <f>VLOOKUP($B41&amp;"__wt",'SegEnds_Xtal_BW#'!$A:$Z,9,FALSE)</f>
        <v>49</v>
      </c>
      <c r="J41" s="1">
        <f>VLOOKUP($B41&amp;"__wt",'SegEnds_Xtal_BW#'!$A:$Z,10,FALSE)</f>
        <v>52</v>
      </c>
      <c r="K41" s="12">
        <v>18</v>
      </c>
      <c r="L41" s="1">
        <f>VLOOKUP($B41&amp;"__wt",'SegEnds_Xtal_BW#'!$A:$Z,12,FALSE)</f>
        <v>56</v>
      </c>
      <c r="M41" s="1">
        <f>VLOOKUP($B41&amp;"__wt",'SegEnds_Xtal_BW#'!$A:$Z,13,FALSE)</f>
        <v>50</v>
      </c>
      <c r="N41" s="12">
        <f>VLOOKUP($B41&amp;"__wt",'SegEnds_Xtal_BW#'!$A:$Z,14,FALSE)</f>
        <v>57</v>
      </c>
      <c r="O41" s="87">
        <f>VLOOKUP($B41&amp;"__wt",'SegEnds_Xtal_BW#'!$A:$Z,15,FALSE)</f>
        <v>38</v>
      </c>
      <c r="P41" s="1">
        <f>VLOOKUP($B41&amp;"__wt",'SegEnds_Xtal_BW#'!$A:$Z,16,FALSE)</f>
        <v>64</v>
      </c>
      <c r="Q41" s="1">
        <f>VLOOKUP($B41&amp;"__wt",'SegEnds_Xtal_BW#'!$A:$Z,17,FALSE)</f>
        <v>50</v>
      </c>
      <c r="R41" s="1">
        <f>VLOOKUP($B41&amp;"__wt",'SegEnds_Xtal_BW#'!$A:$Z,18,FALSE)</f>
        <v>52</v>
      </c>
      <c r="S41" s="1">
        <f>VLOOKUP($B41&amp;"__wt",'SegEnds_Xtal_BW#'!$A:$Z,19,FALSE)</f>
        <v>34</v>
      </c>
      <c r="T41" s="1">
        <f t="array" ref="T41">INDEX(ICL3_classA!$G$2:$G$37,MATCH(MIN(ABS(AI41-ICL3_classA!$F$2:$F$37)),ABS(AI41-ICL3_classA!$F$2:$F$37),0))</f>
        <v>68</v>
      </c>
      <c r="U41" s="1">
        <f t="array" ref="U41">INDEX(ICL3_classA!$H$2:$H$37,MATCH(MIN(ABS(AI41-ICL3_classA!$F$2:$F$37)),ABS(AI41-ICL3_classA!$F$2:$F$37),0))</f>
        <v>24</v>
      </c>
      <c r="V41" s="1">
        <v>64</v>
      </c>
      <c r="W41" s="1">
        <v>24</v>
      </c>
      <c r="X41" s="128">
        <f>VLOOKUP($B41&amp;"__wt",'SegEnds_Xtal_BW#'!$A:$Z,24,FALSE)</f>
        <v>56</v>
      </c>
      <c r="Y41" s="1">
        <f>VLOOKUP($B41&amp;"__wt",'SegEnds_Xtal_BW#'!$A:$Z,25,FALSE)</f>
        <v>47</v>
      </c>
      <c r="Z41" s="1">
        <f>VLOOKUP($B41&amp;"__wt",'SegEnds_Xtal_BW#'!$A:$Z,26,FALSE)</f>
        <v>61</v>
      </c>
      <c r="AA41" s="27" t="str">
        <f>VLOOKUP(A41,Classification!A:B,2,FALSE)</f>
        <v>A</v>
      </c>
      <c r="AB41" s="1">
        <f>VLOOKUP(A41,'SegEnds_NonXtal_Prot#'!A:AL,10,FALSE)-VLOOKUP(A41,'SegEnds_NonXtal_Prot#'!A:AL,4,FALSE)</f>
        <v>28</v>
      </c>
      <c r="AC41" s="1">
        <f>VLOOKUP(A41,'SegEnds_NonXtal_Prot#'!A:AL,10,FALSE)-VLOOKUP(A41,'SegEnds_NonXtal_Prot#'!A:AL,7,FALSE)</f>
        <v>15</v>
      </c>
      <c r="AD41" s="1">
        <f>VLOOKUP(A41,'SegEnds_NonXtal_Prot#'!A:AL,13,FALSE)-VLOOKUP(A41,'SegEnds_NonXtal_Prot#'!A:AL,10,FALSE)</f>
        <v>20</v>
      </c>
      <c r="AE41" s="1">
        <f>VLOOKUP(A41,'SegEnds_NonXtal_Prot#'!A:AL,16,FALSE)-VLOOKUP(A41,'SegEnds_NonXtal_Prot#'!A:AL,10,FALSE)</f>
        <v>52</v>
      </c>
      <c r="AF41" s="1">
        <f>VLOOKUP(A41,'SegEnds_NonXtal_Prot#'!A:AL,22,FALSE)-VLOOKUP(A41,'SegEnds_NonXtal_Prot#'!A:AL,19,FALSE)</f>
        <v>20</v>
      </c>
      <c r="AG41" s="1">
        <f>VLOOKUP(A41,'SegEnds_NonXtal_Prot#'!A:AL,28,FALSE)-VLOOKUP(A41,'SegEnds_NonXtal_Prot#'!A:AL,25,FALSE)</f>
        <v>27</v>
      </c>
      <c r="AH41" s="1">
        <f>VLOOKUP(A41,'SegEnds_NonXtal_Prot#'!A:AL,28,FALSE)-VLOOKUP(A41,'SegEnds_NonXtal_Prot#'!A:AL,22,FALSE)</f>
        <v>54</v>
      </c>
      <c r="AI41" s="1">
        <f>VLOOKUP(A41,'SegEnds_NonXtal_Prot#'!A:AL,31,FALSE)-VLOOKUP(A41,'SegEnds_NonXtal_Prot#'!A:AL,28,FALSE)</f>
        <v>48</v>
      </c>
      <c r="AJ41" s="1">
        <f>VLOOKUP(A41,'SegEnds_NonXtal_Prot#'!A:AL,34,FALSE)-VLOOKUP(A41,'SegEnds_NonXtal_Prot#'!A:AL,31,FALSE)</f>
        <v>44</v>
      </c>
      <c r="AK41" s="1">
        <f>VLOOKUP(A41,'SegEnds_NonXtal_Prot#'!A:AL,37,FALSE)-VLOOKUP(A41,'SegEnds_NonXtal_Prot#'!A:AL,34,FALSE)</f>
        <v>10</v>
      </c>
      <c r="AL41" s="1" t="str">
        <f>IF(ISERROR(MATCH(A41,'SegEnds_Xtal_Prot#'!B:B, 0)), "NoXtal", "Xtal")</f>
        <v>Xtal</v>
      </c>
    </row>
    <row r="42" spans="1:38" x14ac:dyDescent="0.2">
      <c r="A42" s="1" t="s">
        <v>159</v>
      </c>
      <c r="B42" s="1" t="str">
        <f>VLOOKUP(A42,Xtal_Templ!A:B,2,FALSE)</f>
        <v>agtr2_human</v>
      </c>
      <c r="C42" s="5">
        <f>VLOOKUP($B42&amp;"__wt",'SegEnds_Xtal_BW#'!$A:$Z,3,FALSE)</f>
        <v>33</v>
      </c>
      <c r="D42" s="1">
        <f>VLOOKUP($B42&amp;"__wt",'SegEnds_Xtal_BW#'!$A:$Z,4,FALSE)</f>
        <v>60</v>
      </c>
      <c r="E42" s="1" t="str">
        <f>VLOOKUP($B42&amp;"__wt",'SegEnds_Xtal_BW#'!$A:$Z,5,FALSE)</f>
        <v>-</v>
      </c>
      <c r="F42" s="1" t="str">
        <f>VLOOKUP($B42&amp;"__wt",'SegEnds_Xtal_BW#'!$A:$Z,6,FALSE)</f>
        <v>-</v>
      </c>
      <c r="G42" s="108">
        <v>38</v>
      </c>
      <c r="H42" s="12">
        <f>VLOOKUP($B42&amp;"__wt",'SegEnds_Xtal_BW#'!$A:$Z,8,FALSE)</f>
        <v>66</v>
      </c>
      <c r="I42" s="1">
        <f>VLOOKUP($B42&amp;"__wt",'SegEnds_Xtal_BW#'!$A:$Z,9,FALSE)</f>
        <v>47</v>
      </c>
      <c r="J42" s="1">
        <f>VLOOKUP($B42&amp;"__wt",'SegEnds_Xtal_BW#'!$A:$Z,10,FALSE)</f>
        <v>52</v>
      </c>
      <c r="K42" s="12">
        <v>21</v>
      </c>
      <c r="L42" s="1">
        <f>VLOOKUP($B42&amp;"__wt",'SegEnds_Xtal_BW#'!$A:$Z,12,FALSE)</f>
        <v>56</v>
      </c>
      <c r="M42" s="1">
        <f>VLOOKUP($B42&amp;"__wt",'SegEnds_Xtal_BW#'!$A:$Z,13,FALSE)</f>
        <v>50</v>
      </c>
      <c r="N42" s="12">
        <f>VLOOKUP($B42&amp;"__wt",'SegEnds_Xtal_BW#'!$A:$Z,14,FALSE)</f>
        <v>56</v>
      </c>
      <c r="O42" s="87">
        <f>VLOOKUP($B42&amp;"__wt",'SegEnds_Xtal_BW#'!$A:$Z,15,FALSE)</f>
        <v>38</v>
      </c>
      <c r="P42" s="1">
        <f>VLOOKUP($B42&amp;"__wt",'SegEnds_Xtal_BW#'!$A:$Z,16,FALSE)</f>
        <v>64</v>
      </c>
      <c r="Q42" s="1">
        <f>VLOOKUP($B42&amp;"__wt",'SegEnds_Xtal_BW#'!$A:$Z,17,FALSE)</f>
        <v>50</v>
      </c>
      <c r="R42" s="1">
        <f>VLOOKUP($B42&amp;"__wt",'SegEnds_Xtal_BW#'!$A:$Z,18,FALSE)</f>
        <v>52</v>
      </c>
      <c r="S42" s="1">
        <f>VLOOKUP($B42&amp;"__wt",'SegEnds_Xtal_BW#'!$A:$Z,19,FALSE)</f>
        <v>30</v>
      </c>
      <c r="T42" s="1">
        <f t="array" ref="T42">INDEX(ICL3_classA!$G$2:$G$37,MATCH(MIN(ABS(AI42-ICL3_classA!$F$2:$F$37)),ABS(AI42-ICL3_classA!$F$2:$F$37),0))</f>
        <v>68</v>
      </c>
      <c r="U42" s="1">
        <f t="array" ref="U42">INDEX(ICL3_classA!$H$2:$H$37,MATCH(MIN(ABS(AI42-ICL3_classA!$F$2:$F$37)),ABS(AI42-ICL3_classA!$F$2:$F$37),0))</f>
        <v>24</v>
      </c>
      <c r="V42" s="1">
        <v>64</v>
      </c>
      <c r="W42" s="1">
        <v>24</v>
      </c>
      <c r="X42" s="1">
        <f>VLOOKUP($B42&amp;"__wt",'SegEnds_Xtal_BW#'!$A:$Z,24,FALSE)</f>
        <v>56</v>
      </c>
      <c r="Y42" s="1">
        <f>VLOOKUP($B42&amp;"__wt",'SegEnds_Xtal_BW#'!$A:$Z,25,FALSE)</f>
        <v>47</v>
      </c>
      <c r="Z42" s="1">
        <f>VLOOKUP($B42&amp;"__wt",'SegEnds_Xtal_BW#'!$A:$Z,26,FALSE)</f>
        <v>61</v>
      </c>
      <c r="AA42" s="27" t="str">
        <f>VLOOKUP(A42,Classification!A:B,2,FALSE)</f>
        <v>A</v>
      </c>
      <c r="AB42" s="1">
        <f>VLOOKUP(A42,'SegEnds_NonXtal_Prot#'!A:AL,10,FALSE)-VLOOKUP(A42,'SegEnds_NonXtal_Prot#'!A:AL,4,FALSE)</f>
        <v>28</v>
      </c>
      <c r="AC42" s="1" t="e">
        <f>VLOOKUP(A42,'SegEnds_NonXtal_Prot#'!A:AL,10,FALSE)-VLOOKUP(A42,'SegEnds_NonXtal_Prot#'!A:AL,7,FALSE)</f>
        <v>#VALUE!</v>
      </c>
      <c r="AD42" s="1">
        <f>VLOOKUP(A42,'SegEnds_NonXtal_Prot#'!A:AL,13,FALSE)-VLOOKUP(A42,'SegEnds_NonXtal_Prot#'!A:AL,10,FALSE)</f>
        <v>20</v>
      </c>
      <c r="AE42" s="1">
        <f>VLOOKUP(A42,'SegEnds_NonXtal_Prot#'!A:AL,16,FALSE)-VLOOKUP(A42,'SegEnds_NonXtal_Prot#'!A:AL,10,FALSE)</f>
        <v>52</v>
      </c>
      <c r="AF42" s="1">
        <f>VLOOKUP(A42,'SegEnds_NonXtal_Prot#'!A:AL,22,FALSE)-VLOOKUP(A42,'SegEnds_NonXtal_Prot#'!A:AL,19,FALSE)</f>
        <v>19</v>
      </c>
      <c r="AG42" s="1">
        <f>VLOOKUP(A42,'SegEnds_NonXtal_Prot#'!A:AL,28,FALSE)-VLOOKUP(A42,'SegEnds_NonXtal_Prot#'!A:AL,25,FALSE)</f>
        <v>28</v>
      </c>
      <c r="AH42" s="1">
        <f>VLOOKUP(A42,'SegEnds_NonXtal_Prot#'!A:AL,28,FALSE)-VLOOKUP(A42,'SegEnds_NonXtal_Prot#'!A:AL,22,FALSE)</f>
        <v>55</v>
      </c>
      <c r="AI42" s="1">
        <f>VLOOKUP(A42,'SegEnds_NonXtal_Prot#'!A:AL,31,FALSE)-VLOOKUP(A42,'SegEnds_NonXtal_Prot#'!A:AL,28,FALSE)</f>
        <v>48</v>
      </c>
      <c r="AJ42" s="1">
        <f>VLOOKUP(A42,'SegEnds_NonXtal_Prot#'!A:AL,34,FALSE)-VLOOKUP(A42,'SegEnds_NonXtal_Prot#'!A:AL,31,FALSE)</f>
        <v>44</v>
      </c>
      <c r="AK42" s="1">
        <f>VLOOKUP(A42,'SegEnds_NonXtal_Prot#'!A:AL,37,FALSE)-VLOOKUP(A42,'SegEnds_NonXtal_Prot#'!A:AL,34,FALSE)</f>
        <v>10</v>
      </c>
      <c r="AL42" s="1" t="str">
        <f>IF(ISERROR(MATCH(A42,'SegEnds_Xtal_Prot#'!B:B, 0)), "NoXtal", "Xtal")</f>
        <v>Xtal</v>
      </c>
    </row>
    <row r="43" spans="1:38" x14ac:dyDescent="0.2">
      <c r="A43" s="1" t="s">
        <v>160</v>
      </c>
      <c r="B43" s="1" t="str">
        <f>VLOOKUP(A43,Xtal_Templ!A:B,2,FALSE)</f>
        <v>apj_human</v>
      </c>
      <c r="C43" s="5">
        <f>VLOOKUP($B43&amp;"__wt",'SegEnds_Xtal_BW#'!$A:$Z,3,FALSE)</f>
        <v>33</v>
      </c>
      <c r="D43" s="1">
        <f>VLOOKUP($B43&amp;"__wt",'SegEnds_Xtal_BW#'!$A:$Z,4,FALSE)</f>
        <v>60</v>
      </c>
      <c r="E43" s="1">
        <f>VLOOKUP($B43&amp;"__wt",'SegEnds_Xtal_BW#'!$A:$Z,5,FALSE)</f>
        <v>48</v>
      </c>
      <c r="F43" s="1">
        <f>VLOOKUP($B43&amp;"__wt",'SegEnds_Xtal_BW#'!$A:$Z,6,FALSE)</f>
        <v>52</v>
      </c>
      <c r="G43" s="1">
        <v>37</v>
      </c>
      <c r="H43" s="12">
        <f>VLOOKUP($B43&amp;"__wt",'SegEnds_Xtal_BW#'!$A:$Z,8,FALSE)</f>
        <v>67</v>
      </c>
      <c r="I43" s="1">
        <f>VLOOKUP($B43&amp;"__wt",'SegEnds_Xtal_BW#'!$A:$Z,9,FALSE)</f>
        <v>49</v>
      </c>
      <c r="J43" s="1">
        <f>VLOOKUP($B43&amp;"__wt",'SegEnds_Xtal_BW#'!$A:$Z,10,FALSE)</f>
        <v>52</v>
      </c>
      <c r="K43" s="12">
        <v>18</v>
      </c>
      <c r="L43" s="1">
        <f>VLOOKUP($B43&amp;"__wt",'SegEnds_Xtal_BW#'!$A:$Z,12,FALSE)</f>
        <v>56</v>
      </c>
      <c r="M43" s="1">
        <f>VLOOKUP($B43&amp;"__wt",'SegEnds_Xtal_BW#'!$A:$Z,13,FALSE)</f>
        <v>50</v>
      </c>
      <c r="N43" s="12">
        <f>VLOOKUP($B43&amp;"__wt",'SegEnds_Xtal_BW#'!$A:$Z,14,FALSE)</f>
        <v>57</v>
      </c>
      <c r="O43" s="87">
        <v>38</v>
      </c>
      <c r="P43" s="1">
        <f>VLOOKUP($B43&amp;"__wt",'SegEnds_Xtal_BW#'!$A:$Z,16,FALSE)</f>
        <v>64</v>
      </c>
      <c r="Q43" s="1">
        <f>VLOOKUP($B43&amp;"__wt",'SegEnds_Xtal_BW#'!$A:$Z,17,FALSE)</f>
        <v>50</v>
      </c>
      <c r="R43" s="1">
        <f>VLOOKUP($B43&amp;"__wt",'SegEnds_Xtal_BW#'!$A:$Z,18,FALSE)</f>
        <v>52</v>
      </c>
      <c r="S43" s="1">
        <f>VLOOKUP($B43&amp;"__wt",'SegEnds_Xtal_BW#'!$A:$Z,19,FALSE)</f>
        <v>30</v>
      </c>
      <c r="T43" s="1">
        <f t="array" ref="T43">INDEX(ICL3_classA!$G$2:$G$37,MATCH(MIN(ABS(AI43-ICL3_classA!$F$2:$F$37)),ABS(AI43-ICL3_classA!$F$2:$F$37),0))</f>
        <v>72</v>
      </c>
      <c r="U43" s="1">
        <f t="array" ref="U43">INDEX(ICL3_classA!$H$2:$H$37,MATCH(MIN(ABS(AI43-ICL3_classA!$F$2:$F$37)),ABS(AI43-ICL3_classA!$F$2:$F$37),0))</f>
        <v>29</v>
      </c>
      <c r="V43" s="108">
        <v>63</v>
      </c>
      <c r="W43" s="1">
        <v>24</v>
      </c>
      <c r="X43" s="1">
        <f>VLOOKUP($B43&amp;"__wt",'SegEnds_Xtal_BW#'!$A:$Z,24,FALSE)</f>
        <v>56</v>
      </c>
      <c r="Y43" s="1">
        <f>VLOOKUP($B43&amp;"__wt",'SegEnds_Xtal_BW#'!$A:$Z,25,FALSE)</f>
        <v>47</v>
      </c>
      <c r="Z43" s="1">
        <f>VLOOKUP($B43&amp;"__wt",'SegEnds_Xtal_BW#'!$A:$Z,26,FALSE)</f>
        <v>61</v>
      </c>
      <c r="AA43" s="27" t="str">
        <f>VLOOKUP(A43,Classification!A:B,2,FALSE)</f>
        <v>A</v>
      </c>
      <c r="AB43" s="1">
        <f>VLOOKUP(A43,'SegEnds_NonXtal_Prot#'!A:AL,10,FALSE)-VLOOKUP(A43,'SegEnds_NonXtal_Prot#'!A:AL,4,FALSE)</f>
        <v>29</v>
      </c>
      <c r="AC43" s="1">
        <f>VLOOKUP(A43,'SegEnds_NonXtal_Prot#'!A:AL,10,FALSE)-VLOOKUP(A43,'SegEnds_NonXtal_Prot#'!A:AL,7,FALSE)</f>
        <v>16</v>
      </c>
      <c r="AD43" s="1">
        <f>VLOOKUP(A43,'SegEnds_NonXtal_Prot#'!A:AL,13,FALSE)-VLOOKUP(A43,'SegEnds_NonXtal_Prot#'!A:AL,10,FALSE)</f>
        <v>20</v>
      </c>
      <c r="AE43" s="1">
        <f>VLOOKUP(A43,'SegEnds_NonXtal_Prot#'!A:AL,16,FALSE)-VLOOKUP(A43,'SegEnds_NonXtal_Prot#'!A:AL,10,FALSE)</f>
        <v>52</v>
      </c>
      <c r="AF43" s="1">
        <f>VLOOKUP(A43,'SegEnds_NonXtal_Prot#'!A:AL,22,FALSE)-VLOOKUP(A43,'SegEnds_NonXtal_Prot#'!A:AL,19,FALSE)</f>
        <v>20</v>
      </c>
      <c r="AG43" s="1">
        <f>VLOOKUP(A43,'SegEnds_NonXtal_Prot#'!A:AL,28,FALSE)-VLOOKUP(A43,'SegEnds_NonXtal_Prot#'!A:AL,25,FALSE)</f>
        <v>32</v>
      </c>
      <c r="AH43" s="1">
        <f>VLOOKUP(A43,'SegEnds_NonXtal_Prot#'!A:AL,28,FALSE)-VLOOKUP(A43,'SegEnds_NonXtal_Prot#'!A:AL,22,FALSE)</f>
        <v>59</v>
      </c>
      <c r="AI43" s="1">
        <f>VLOOKUP(A43,'SegEnds_NonXtal_Prot#'!A:AL,31,FALSE)-VLOOKUP(A43,'SegEnds_NonXtal_Prot#'!A:AL,28,FALSE)</f>
        <v>50</v>
      </c>
      <c r="AJ43" s="1">
        <f>VLOOKUP(A43,'SegEnds_NonXtal_Prot#'!A:AL,34,FALSE)-VLOOKUP(A43,'SegEnds_NonXtal_Prot#'!A:AL,31,FALSE)</f>
        <v>43</v>
      </c>
      <c r="AK43" s="1">
        <f>VLOOKUP(A43,'SegEnds_NonXtal_Prot#'!A:AL,37,FALSE)-VLOOKUP(A43,'SegEnds_NonXtal_Prot#'!A:AL,34,FALSE)</f>
        <v>10</v>
      </c>
      <c r="AL43" s="1" t="str">
        <f>IF(ISERROR(MATCH(A43,'SegEnds_Xtal_Prot#'!B:B, 0)), "NoXtal", "Xtal")</f>
        <v>Xtal</v>
      </c>
    </row>
    <row r="44" spans="1:38" x14ac:dyDescent="0.2">
      <c r="A44" s="1" t="s">
        <v>161</v>
      </c>
      <c r="B44" s="1" t="str">
        <f>VLOOKUP(A44,Xtal_Templ!A:B,2,FALSE)</f>
        <v>agtr1_human</v>
      </c>
      <c r="C44" s="5">
        <f>VLOOKUP($B44&amp;"__wt",'SegEnds_Xtal_BW#'!$A:$Z,3,FALSE)</f>
        <v>30</v>
      </c>
      <c r="D44" s="1">
        <f>VLOOKUP($B44&amp;"__wt",'SegEnds_Xtal_BW#'!$A:$Z,4,FALSE)</f>
        <v>60</v>
      </c>
      <c r="E44" s="1">
        <f>VLOOKUP($B44&amp;"__wt",'SegEnds_Xtal_BW#'!$A:$Z,5,FALSE)</f>
        <v>48</v>
      </c>
      <c r="F44" s="1">
        <f>VLOOKUP($B44&amp;"__wt",'SegEnds_Xtal_BW#'!$A:$Z,6,FALSE)</f>
        <v>51</v>
      </c>
      <c r="G44" s="1">
        <v>37</v>
      </c>
      <c r="H44" s="12">
        <f>VLOOKUP($B44&amp;"__wt",'SegEnds_Xtal_BW#'!$A:$Z,8,FALSE)</f>
        <v>66</v>
      </c>
      <c r="I44" s="1">
        <f>VLOOKUP($B44&amp;"__wt",'SegEnds_Xtal_BW#'!$A:$Z,9,FALSE)</f>
        <v>49</v>
      </c>
      <c r="J44" s="1">
        <f>VLOOKUP($B44&amp;"__wt",'SegEnds_Xtal_BW#'!$A:$Z,10,FALSE)</f>
        <v>52</v>
      </c>
      <c r="K44" s="12">
        <v>18</v>
      </c>
      <c r="L44" s="1">
        <f>VLOOKUP($B44&amp;"__wt",'SegEnds_Xtal_BW#'!$A:$Z,12,FALSE)</f>
        <v>56</v>
      </c>
      <c r="M44" s="1">
        <f>VLOOKUP($B44&amp;"__wt",'SegEnds_Xtal_BW#'!$A:$Z,13,FALSE)</f>
        <v>50</v>
      </c>
      <c r="N44" s="12">
        <f>VLOOKUP($B44&amp;"__wt",'SegEnds_Xtal_BW#'!$A:$Z,14,FALSE)</f>
        <v>57</v>
      </c>
      <c r="O44" s="87">
        <v>38</v>
      </c>
      <c r="P44" s="1">
        <f>VLOOKUP($B44&amp;"__wt",'SegEnds_Xtal_BW#'!$A:$Z,16,FALSE)</f>
        <v>64</v>
      </c>
      <c r="Q44" s="1">
        <f>VLOOKUP($B44&amp;"__wt",'SegEnds_Xtal_BW#'!$A:$Z,17,FALSE)</f>
        <v>50</v>
      </c>
      <c r="R44" s="1">
        <f>VLOOKUP($B44&amp;"__wt",'SegEnds_Xtal_BW#'!$A:$Z,18,FALSE)</f>
        <v>52</v>
      </c>
      <c r="S44" s="1">
        <f>VLOOKUP($B44&amp;"__wt",'SegEnds_Xtal_BW#'!$A:$Z,19,FALSE)</f>
        <v>34</v>
      </c>
      <c r="T44" s="1">
        <f t="array" ref="T44">INDEX(ICL3_classA!$G$2:$G$37,MATCH(MIN(ABS(AI44-ICL3_classA!$F$2:$F$37)),ABS(AI44-ICL3_classA!$F$2:$F$37),0))</f>
        <v>68</v>
      </c>
      <c r="U44" s="1">
        <f t="array" ref="U44">INDEX(ICL3_classA!$H$2:$H$37,MATCH(MIN(ABS(AI44-ICL3_classA!$F$2:$F$37)),ABS(AI44-ICL3_classA!$F$2:$F$37),0))</f>
        <v>23</v>
      </c>
      <c r="V44" s="1">
        <v>64</v>
      </c>
      <c r="W44" s="1">
        <v>24</v>
      </c>
      <c r="X44" s="1">
        <f>VLOOKUP($B44&amp;"__wt",'SegEnds_Xtal_BW#'!$A:$Z,24,FALSE)</f>
        <v>56</v>
      </c>
      <c r="Y44" s="1">
        <f>VLOOKUP($B44&amp;"__wt",'SegEnds_Xtal_BW#'!$A:$Z,25,FALSE)</f>
        <v>47</v>
      </c>
      <c r="Z44" s="1">
        <f>VLOOKUP($B44&amp;"__wt",'SegEnds_Xtal_BW#'!$A:$Z,26,FALSE)</f>
        <v>61</v>
      </c>
      <c r="AA44" s="27" t="str">
        <f>VLOOKUP(A44,Classification!A:B,2,FALSE)</f>
        <v>A</v>
      </c>
      <c r="AB44" s="1">
        <f>VLOOKUP(A44,'SegEnds_NonXtal_Prot#'!A:AL,10,FALSE)-VLOOKUP(A44,'SegEnds_NonXtal_Prot#'!A:AL,4,FALSE)</f>
        <v>28</v>
      </c>
      <c r="AC44" s="1">
        <f>VLOOKUP(A44,'SegEnds_NonXtal_Prot#'!A:AL,10,FALSE)-VLOOKUP(A44,'SegEnds_NonXtal_Prot#'!A:AL,7,FALSE)</f>
        <v>15</v>
      </c>
      <c r="AD44" s="1">
        <f>VLOOKUP(A44,'SegEnds_NonXtal_Prot#'!A:AL,13,FALSE)-VLOOKUP(A44,'SegEnds_NonXtal_Prot#'!A:AL,10,FALSE)</f>
        <v>20</v>
      </c>
      <c r="AE44" s="1">
        <f>VLOOKUP(A44,'SegEnds_NonXtal_Prot#'!A:AL,16,FALSE)-VLOOKUP(A44,'SegEnds_NonXtal_Prot#'!A:AL,10,FALSE)</f>
        <v>52</v>
      </c>
      <c r="AF44" s="1">
        <f>VLOOKUP(A44,'SegEnds_NonXtal_Prot#'!A:AL,22,FALSE)-VLOOKUP(A44,'SegEnds_NonXtal_Prot#'!A:AL,19,FALSE)</f>
        <v>20</v>
      </c>
      <c r="AG44" s="1">
        <f>VLOOKUP(A44,'SegEnds_NonXtal_Prot#'!A:AL,28,FALSE)-VLOOKUP(A44,'SegEnds_NonXtal_Prot#'!A:AL,25,FALSE)</f>
        <v>25</v>
      </c>
      <c r="AH44" s="1">
        <f>VLOOKUP(A44,'SegEnds_NonXtal_Prot#'!A:AL,28,FALSE)-VLOOKUP(A44,'SegEnds_NonXtal_Prot#'!A:AL,22,FALSE)</f>
        <v>52</v>
      </c>
      <c r="AI44" s="1">
        <f>VLOOKUP(A44,'SegEnds_NonXtal_Prot#'!A:AL,31,FALSE)-VLOOKUP(A44,'SegEnds_NonXtal_Prot#'!A:AL,28,FALSE)</f>
        <v>51</v>
      </c>
      <c r="AJ44" s="1">
        <f>VLOOKUP(A44,'SegEnds_NonXtal_Prot#'!A:AL,34,FALSE)-VLOOKUP(A44,'SegEnds_NonXtal_Prot#'!A:AL,31,FALSE)</f>
        <v>44</v>
      </c>
      <c r="AK44" s="1">
        <f>VLOOKUP(A44,'SegEnds_NonXtal_Prot#'!A:AL,37,FALSE)-VLOOKUP(A44,'SegEnds_NonXtal_Prot#'!A:AL,34,FALSE)</f>
        <v>10</v>
      </c>
      <c r="AL44" s="1" t="str">
        <f>IF(ISERROR(MATCH(A44,'SegEnds_Xtal_Prot#'!B:B, 0)), "NoXtal", "Xtal")</f>
        <v>NoXtal</v>
      </c>
    </row>
    <row r="45" spans="1:38" x14ac:dyDescent="0.2">
      <c r="A45" s="1" t="s">
        <v>162</v>
      </c>
      <c r="B45" s="1" t="str">
        <f>VLOOKUP(A45,Xtal_Templ!A:B,2,FALSE)</f>
        <v>agtr2_human</v>
      </c>
      <c r="C45" s="5">
        <f>VLOOKUP($B45&amp;"__wt",'SegEnds_Xtal_BW#'!$A:$Z,3,FALSE)</f>
        <v>33</v>
      </c>
      <c r="D45" s="1">
        <f>VLOOKUP($B45&amp;"__wt",'SegEnds_Xtal_BW#'!$A:$Z,4,FALSE)</f>
        <v>60</v>
      </c>
      <c r="E45" s="1" t="str">
        <f>VLOOKUP($B45&amp;"__wt",'SegEnds_Xtal_BW#'!$A:$Z,5,FALSE)</f>
        <v>-</v>
      </c>
      <c r="F45" s="1" t="str">
        <f>VLOOKUP($B45&amp;"__wt",'SegEnds_Xtal_BW#'!$A:$Z,6,FALSE)</f>
        <v>-</v>
      </c>
      <c r="G45" s="1">
        <v>37</v>
      </c>
      <c r="H45" s="12">
        <f>VLOOKUP($B45&amp;"__wt",'SegEnds_Xtal_BW#'!$A:$Z,8,FALSE)</f>
        <v>66</v>
      </c>
      <c r="I45" s="1">
        <f>VLOOKUP($B45&amp;"__wt",'SegEnds_Xtal_BW#'!$A:$Z,9,FALSE)</f>
        <v>47</v>
      </c>
      <c r="J45" s="1">
        <f>VLOOKUP($B45&amp;"__wt",'SegEnds_Xtal_BW#'!$A:$Z,10,FALSE)</f>
        <v>52</v>
      </c>
      <c r="K45" s="12">
        <v>18</v>
      </c>
      <c r="L45" s="1">
        <f>VLOOKUP($B45&amp;"__wt",'SegEnds_Xtal_BW#'!$A:$Z,12,FALSE)</f>
        <v>56</v>
      </c>
      <c r="M45" s="1">
        <f>VLOOKUP($B45&amp;"__wt",'SegEnds_Xtal_BW#'!$A:$Z,13,FALSE)</f>
        <v>50</v>
      </c>
      <c r="N45" s="108">
        <v>57</v>
      </c>
      <c r="O45" s="87">
        <f>VLOOKUP($B45&amp;"__wt",'SegEnds_Xtal_BW#'!$A:$Z,15,FALSE)</f>
        <v>38</v>
      </c>
      <c r="P45" s="1">
        <f>VLOOKUP($B45&amp;"__wt",'SegEnds_Xtal_BW#'!$A:$Z,16,FALSE)</f>
        <v>64</v>
      </c>
      <c r="Q45" s="1">
        <f>VLOOKUP($B45&amp;"__wt",'SegEnds_Xtal_BW#'!$A:$Z,17,FALSE)</f>
        <v>50</v>
      </c>
      <c r="R45" s="1">
        <f>VLOOKUP($B45&amp;"__wt",'SegEnds_Xtal_BW#'!$A:$Z,18,FALSE)</f>
        <v>52</v>
      </c>
      <c r="S45" s="1">
        <f>VLOOKUP($B45&amp;"__wt",'SegEnds_Xtal_BW#'!$A:$Z,19,FALSE)</f>
        <v>30</v>
      </c>
      <c r="T45" s="1">
        <f t="array" ref="T45">INDEX(ICL3_classA!$G$2:$G$37,MATCH(MIN(ABS(AI45-ICL3_classA!$F$2:$F$37)),ABS(AI45-ICL3_classA!$F$2:$F$37),0))</f>
        <v>68</v>
      </c>
      <c r="U45" s="1">
        <f t="array" ref="U45">INDEX(ICL3_classA!$H$2:$H$37,MATCH(MIN(ABS(AI45-ICL3_classA!$F$2:$F$37)),ABS(AI45-ICL3_classA!$F$2:$F$37),0))</f>
        <v>24</v>
      </c>
      <c r="V45" s="1">
        <v>64</v>
      </c>
      <c r="W45" s="1">
        <v>24</v>
      </c>
      <c r="X45" s="1">
        <f>VLOOKUP($B45&amp;"__wt",'SegEnds_Xtal_BW#'!$A:$Z,24,FALSE)</f>
        <v>56</v>
      </c>
      <c r="Y45" s="1">
        <f>VLOOKUP($B45&amp;"__wt",'SegEnds_Xtal_BW#'!$A:$Z,25,FALSE)</f>
        <v>47</v>
      </c>
      <c r="Z45" s="1">
        <f>VLOOKUP($B45&amp;"__wt",'SegEnds_Xtal_BW#'!$A:$Z,26,FALSE)</f>
        <v>61</v>
      </c>
      <c r="AA45" s="27" t="str">
        <f>VLOOKUP(A45,Classification!A:B,2,FALSE)</f>
        <v>A</v>
      </c>
      <c r="AB45" s="1">
        <f>VLOOKUP(A45,'SegEnds_NonXtal_Prot#'!A:AL,10,FALSE)-VLOOKUP(A45,'SegEnds_NonXtal_Prot#'!A:AL,4,FALSE)</f>
        <v>28</v>
      </c>
      <c r="AC45" s="1">
        <f>VLOOKUP(A45,'SegEnds_NonXtal_Prot#'!A:AL,10,FALSE)-VLOOKUP(A45,'SegEnds_NonXtal_Prot#'!A:AL,7,FALSE)</f>
        <v>15</v>
      </c>
      <c r="AD45" s="1">
        <f>VLOOKUP(A45,'SegEnds_NonXtal_Prot#'!A:AL,13,FALSE)-VLOOKUP(A45,'SegEnds_NonXtal_Prot#'!A:AL,10,FALSE)</f>
        <v>20</v>
      </c>
      <c r="AE45" s="1">
        <f>VLOOKUP(A45,'SegEnds_NonXtal_Prot#'!A:AL,16,FALSE)-VLOOKUP(A45,'SegEnds_NonXtal_Prot#'!A:AL,10,FALSE)</f>
        <v>52</v>
      </c>
      <c r="AF45" s="1">
        <f>VLOOKUP(A45,'SegEnds_NonXtal_Prot#'!A:AL,22,FALSE)-VLOOKUP(A45,'SegEnds_NonXtal_Prot#'!A:AL,19,FALSE)</f>
        <v>20</v>
      </c>
      <c r="AG45" s="1">
        <f>VLOOKUP(A45,'SegEnds_NonXtal_Prot#'!A:AL,28,FALSE)-VLOOKUP(A45,'SegEnds_NonXtal_Prot#'!A:AL,25,FALSE)</f>
        <v>25</v>
      </c>
      <c r="AH45" s="1">
        <f>VLOOKUP(A45,'SegEnds_NonXtal_Prot#'!A:AL,28,FALSE)-VLOOKUP(A45,'SegEnds_NonXtal_Prot#'!A:AL,22,FALSE)</f>
        <v>54</v>
      </c>
      <c r="AI45" s="1">
        <f>VLOOKUP(A45,'SegEnds_NonXtal_Prot#'!A:AL,31,FALSE)-VLOOKUP(A45,'SegEnds_NonXtal_Prot#'!A:AL,28,FALSE)</f>
        <v>49</v>
      </c>
      <c r="AJ45" s="1">
        <f>VLOOKUP(A45,'SegEnds_NonXtal_Prot#'!A:AL,34,FALSE)-VLOOKUP(A45,'SegEnds_NonXtal_Prot#'!A:AL,31,FALSE)</f>
        <v>44</v>
      </c>
      <c r="AK45" s="1">
        <f>VLOOKUP(A45,'SegEnds_NonXtal_Prot#'!A:AL,37,FALSE)-VLOOKUP(A45,'SegEnds_NonXtal_Prot#'!A:AL,34,FALSE)</f>
        <v>10</v>
      </c>
      <c r="AL45" s="1" t="str">
        <f>IF(ISERROR(MATCH(A45,'SegEnds_Xtal_Prot#'!B:B, 0)), "NoXtal", "Xtal")</f>
        <v>NoXtal</v>
      </c>
    </row>
    <row r="46" spans="1:38" x14ac:dyDescent="0.2">
      <c r="A46" s="1" t="s">
        <v>163</v>
      </c>
      <c r="B46" s="1" t="str">
        <f>VLOOKUP(A46,Xtal_Templ!A:B,2,FALSE)</f>
        <v>ednrb_human</v>
      </c>
      <c r="C46" s="5">
        <f>VLOOKUP($B46&amp;"__wt",'SegEnds_Xtal_BW#'!$A:$Z,3,FALSE)</f>
        <v>22</v>
      </c>
      <c r="D46" s="1">
        <f>VLOOKUP($B46&amp;"__wt",'SegEnds_Xtal_BW#'!$A:$Z,4,FALSE)</f>
        <v>60</v>
      </c>
      <c r="E46" s="1">
        <f>VLOOKUP($B46&amp;"__wt",'SegEnds_Xtal_BW#'!$A:$Z,5,FALSE)</f>
        <v>48</v>
      </c>
      <c r="F46" s="1">
        <f>VLOOKUP($B46&amp;"__wt",'SegEnds_Xtal_BW#'!$A:$Z,6,FALSE)</f>
        <v>52</v>
      </c>
      <c r="G46" s="1">
        <v>37</v>
      </c>
      <c r="H46" s="12">
        <f>VLOOKUP($B46&amp;"__wt",'SegEnds_Xtal_BW#'!$A:$Z,8,FALSE)</f>
        <v>67</v>
      </c>
      <c r="I46" s="1">
        <f>VLOOKUP($B46&amp;"__wt",'SegEnds_Xtal_BW#'!$A:$Z,9,FALSE)</f>
        <v>49</v>
      </c>
      <c r="J46" s="1">
        <f>VLOOKUP($B46&amp;"__wt",'SegEnds_Xtal_BW#'!$A:$Z,10,FALSE)</f>
        <v>52</v>
      </c>
      <c r="K46" s="12">
        <v>18</v>
      </c>
      <c r="L46" s="1">
        <f>VLOOKUP($B46&amp;"__wt",'SegEnds_Xtal_BW#'!$A:$Z,12,FALSE)</f>
        <v>56</v>
      </c>
      <c r="M46" s="1">
        <f>VLOOKUP($B46&amp;"__wt",'SegEnds_Xtal_BW#'!$A:$Z,13,FALSE)</f>
        <v>50</v>
      </c>
      <c r="N46" s="12">
        <v>57</v>
      </c>
      <c r="O46" s="87">
        <v>38</v>
      </c>
      <c r="P46" s="1">
        <f>VLOOKUP($B46&amp;"__wt",'SegEnds_Xtal_BW#'!$A:$Z,16,FALSE)</f>
        <v>64</v>
      </c>
      <c r="Q46" s="1">
        <f>VLOOKUP($B46&amp;"__wt",'SegEnds_Xtal_BW#'!$A:$Z,17,FALSE)</f>
        <v>50</v>
      </c>
      <c r="R46" s="1">
        <f>VLOOKUP($B46&amp;"__wt",'SegEnds_Xtal_BW#'!$A:$Z,18,FALSE)</f>
        <v>52</v>
      </c>
      <c r="S46" s="1">
        <f>VLOOKUP($B46&amp;"__wt",'SegEnds_Xtal_BW#'!$A:$Z,19,FALSE)</f>
        <v>28</v>
      </c>
      <c r="T46" s="1">
        <f t="array" ref="T46">INDEX(ICL3_classA!$G$2:$G$37,MATCH(MIN(ABS(AI46-ICL3_classA!$F$2:$F$37)),ABS(AI46-ICL3_classA!$F$2:$F$37),0))</f>
        <v>73</v>
      </c>
      <c r="U46" s="1">
        <f t="array" ref="U46">INDEX(ICL3_classA!$H$2:$H$37,MATCH(MIN(ABS(AI46-ICL3_classA!$F$2:$F$37)),ABS(AI46-ICL3_classA!$F$2:$F$37),0))</f>
        <v>22</v>
      </c>
      <c r="V46" s="1">
        <v>61</v>
      </c>
      <c r="W46" s="1">
        <v>28</v>
      </c>
      <c r="X46" s="1">
        <f>VLOOKUP($B46&amp;"__wt",'SegEnds_Xtal_BW#'!$A:$Z,24,FALSE)</f>
        <v>56</v>
      </c>
      <c r="Y46" s="1">
        <f>VLOOKUP($B46&amp;"__wt",'SegEnds_Xtal_BW#'!$A:$Z,25,FALSE)</f>
        <v>47</v>
      </c>
      <c r="Z46" s="1">
        <f>VLOOKUP($B46&amp;"__wt",'SegEnds_Xtal_BW#'!$A:$Z,26,FALSE)</f>
        <v>60</v>
      </c>
      <c r="AA46" s="27" t="str">
        <f>VLOOKUP(A46,Classification!A:B,2,FALSE)</f>
        <v>A</v>
      </c>
      <c r="AB46" s="1">
        <f>VLOOKUP(A46,'SegEnds_NonXtal_Prot#'!A:AL,10,FALSE)-VLOOKUP(A46,'SegEnds_NonXtal_Prot#'!A:AL,4,FALSE)</f>
        <v>28</v>
      </c>
      <c r="AC46" s="1">
        <f>VLOOKUP(A46,'SegEnds_NonXtal_Prot#'!A:AL,10,FALSE)-VLOOKUP(A46,'SegEnds_NonXtal_Prot#'!A:AL,7,FALSE)</f>
        <v>15</v>
      </c>
      <c r="AD46" s="1">
        <f>VLOOKUP(A46,'SegEnds_NonXtal_Prot#'!A:AL,13,FALSE)-VLOOKUP(A46,'SegEnds_NonXtal_Prot#'!A:AL,10,FALSE)</f>
        <v>20</v>
      </c>
      <c r="AE46" s="1">
        <f>VLOOKUP(A46,'SegEnds_NonXtal_Prot#'!A:AL,16,FALSE)-VLOOKUP(A46,'SegEnds_NonXtal_Prot#'!A:AL,10,FALSE)</f>
        <v>52</v>
      </c>
      <c r="AF46" s="1">
        <f>VLOOKUP(A46,'SegEnds_NonXtal_Prot#'!A:AL,22,FALSE)-VLOOKUP(A46,'SegEnds_NonXtal_Prot#'!A:AL,19,FALSE)</f>
        <v>20</v>
      </c>
      <c r="AG46" s="1">
        <f>VLOOKUP(A46,'SegEnds_NonXtal_Prot#'!A:AL,28,FALSE)-VLOOKUP(A46,'SegEnds_NonXtal_Prot#'!A:AL,25,FALSE)</f>
        <v>26</v>
      </c>
      <c r="AH46" s="1">
        <f>VLOOKUP(A46,'SegEnds_NonXtal_Prot#'!A:AL,28,FALSE)-VLOOKUP(A46,'SegEnds_NonXtal_Prot#'!A:AL,22,FALSE)</f>
        <v>57</v>
      </c>
      <c r="AI46" s="1">
        <f>VLOOKUP(A46,'SegEnds_NonXtal_Prot#'!A:AL,31,FALSE)-VLOOKUP(A46,'SegEnds_NonXtal_Prot#'!A:AL,28,FALSE)</f>
        <v>57</v>
      </c>
      <c r="AJ46" s="1">
        <f>VLOOKUP(A46,'SegEnds_NonXtal_Prot#'!A:AL,34,FALSE)-VLOOKUP(A46,'SegEnds_NonXtal_Prot#'!A:AL,31,FALSE)</f>
        <v>41</v>
      </c>
      <c r="AK46" s="1">
        <f>VLOOKUP(A46,'SegEnds_NonXtal_Prot#'!A:AL,37,FALSE)-VLOOKUP(A46,'SegEnds_NonXtal_Prot#'!A:AL,34,FALSE)</f>
        <v>10</v>
      </c>
      <c r="AL46" s="1" t="str">
        <f>IF(ISERROR(MATCH(A46,'SegEnds_Xtal_Prot#'!B:B, 0)), "NoXtal", "Xtal")</f>
        <v>NoXtal</v>
      </c>
    </row>
    <row r="47" spans="1:38" x14ac:dyDescent="0.2">
      <c r="A47" s="1" t="s">
        <v>164</v>
      </c>
      <c r="B47" s="1" t="str">
        <f>VLOOKUP(A47,Xtal_Templ!A:B,2,FALSE)</f>
        <v>c5ar1_human</v>
      </c>
      <c r="C47" s="5">
        <f>VLOOKUP($B47&amp;"__wt",'SegEnds_Xtal_BW#'!$A:$Z,3,FALSE)</f>
        <v>29</v>
      </c>
      <c r="D47" s="1">
        <f>VLOOKUP($B47&amp;"__wt",'SegEnds_Xtal_BW#'!$A:$Z,4,FALSE)</f>
        <v>60</v>
      </c>
      <c r="E47" s="1" t="str">
        <f>VLOOKUP($B47&amp;"__wt",'SegEnds_Xtal_BW#'!$A:$Z,5,FALSE)</f>
        <v>-</v>
      </c>
      <c r="F47" s="1" t="str">
        <f>VLOOKUP($B47&amp;"__wt",'SegEnds_Xtal_BW#'!$A:$Z,6,FALSE)</f>
        <v>-</v>
      </c>
      <c r="G47" s="1">
        <v>37</v>
      </c>
      <c r="H47" s="12">
        <f>VLOOKUP($B47&amp;"__wt",'SegEnds_Xtal_BW#'!$A:$Z,8,FALSE)</f>
        <v>67</v>
      </c>
      <c r="I47" s="1">
        <f>VLOOKUP($B47&amp;"__wt",'SegEnds_Xtal_BW#'!$A:$Z,9,FALSE)</f>
        <v>49</v>
      </c>
      <c r="J47" s="1">
        <f>VLOOKUP($B47&amp;"__wt",'SegEnds_Xtal_BW#'!$A:$Z,10,FALSE)</f>
        <v>52</v>
      </c>
      <c r="K47" s="12">
        <v>18</v>
      </c>
      <c r="L47" s="1">
        <f>VLOOKUP($B47&amp;"__wt",'SegEnds_Xtal_BW#'!$A:$Z,12,FALSE)</f>
        <v>56</v>
      </c>
      <c r="M47" s="1">
        <f>VLOOKUP($B47&amp;"__wt",'SegEnds_Xtal_BW#'!$A:$Z,13,FALSE)</f>
        <v>50</v>
      </c>
      <c r="N47" s="12">
        <v>57</v>
      </c>
      <c r="O47" s="87">
        <v>38</v>
      </c>
      <c r="P47" s="1">
        <f>VLOOKUP($B47&amp;"__wt",'SegEnds_Xtal_BW#'!$A:$Z,16,FALSE)</f>
        <v>64</v>
      </c>
      <c r="Q47" s="1">
        <f>VLOOKUP($B47&amp;"__wt",'SegEnds_Xtal_BW#'!$A:$Z,17,FALSE)</f>
        <v>50</v>
      </c>
      <c r="R47" s="1">
        <f>VLOOKUP($B47&amp;"__wt",'SegEnds_Xtal_BW#'!$A:$Z,18,FALSE)</f>
        <v>52</v>
      </c>
      <c r="S47" s="1">
        <f>VLOOKUP($B47&amp;"__wt",'SegEnds_Xtal_BW#'!$A:$Z,19,FALSE)</f>
        <v>31</v>
      </c>
      <c r="T47" s="1">
        <f t="array" ref="T47">INDEX(ICL3_classA!$G$2:$G$37,MATCH(MIN(ABS(AI47-ICL3_classA!$F$2:$F$37)),ABS(AI47-ICL3_classA!$F$2:$F$37),0))</f>
        <v>68</v>
      </c>
      <c r="U47" s="108">
        <v>31</v>
      </c>
      <c r="V47" s="1">
        <v>61</v>
      </c>
      <c r="W47" s="108">
        <v>25</v>
      </c>
      <c r="X47" s="1">
        <f>VLOOKUP($B47&amp;"__wt",'SegEnds_Xtal_BW#'!$A:$Z,24,FALSE)</f>
        <v>56</v>
      </c>
      <c r="Y47" s="1">
        <f>VLOOKUP($B47&amp;"__wt",'SegEnds_Xtal_BW#'!$A:$Z,25,FALSE)</f>
        <v>47</v>
      </c>
      <c r="Z47" s="1">
        <f>VLOOKUP($B47&amp;"__wt",'SegEnds_Xtal_BW#'!$A:$Z,26,FALSE)</f>
        <v>56</v>
      </c>
      <c r="AA47" s="27" t="str">
        <f>VLOOKUP(A47,Classification!A:B,2,FALSE)</f>
        <v>A</v>
      </c>
      <c r="AB47" s="1">
        <f>VLOOKUP(A47,'SegEnds_NonXtal_Prot#'!A:AL,10,FALSE)-VLOOKUP(A47,'SegEnds_NonXtal_Prot#'!A:AL,4,FALSE)</f>
        <v>27</v>
      </c>
      <c r="AC47" s="1" t="e">
        <f>VLOOKUP(A47,'SegEnds_NonXtal_Prot#'!A:AL,10,FALSE)-VLOOKUP(A47,'SegEnds_NonXtal_Prot#'!A:AL,7,FALSE)</f>
        <v>#VALUE!</v>
      </c>
      <c r="AD47" s="1">
        <f>VLOOKUP(A47,'SegEnds_NonXtal_Prot#'!A:AL,13,FALSE)-VLOOKUP(A47,'SegEnds_NonXtal_Prot#'!A:AL,10,FALSE)</f>
        <v>20</v>
      </c>
      <c r="AE47" s="1">
        <f>VLOOKUP(A47,'SegEnds_NonXtal_Prot#'!A:AL,16,FALSE)-VLOOKUP(A47,'SegEnds_NonXtal_Prot#'!A:AL,10,FALSE)</f>
        <v>52</v>
      </c>
      <c r="AF47" s="1">
        <f>VLOOKUP(A47,'SegEnds_NonXtal_Prot#'!A:AL,22,FALSE)-VLOOKUP(A47,'SegEnds_NonXtal_Prot#'!A:AL,19,FALSE)</f>
        <v>20</v>
      </c>
      <c r="AG47" s="1">
        <f>VLOOKUP(A47,'SegEnds_NonXtal_Prot#'!A:AL,28,FALSE)-VLOOKUP(A47,'SegEnds_NonXtal_Prot#'!A:AL,25,FALSE)</f>
        <v>176</v>
      </c>
      <c r="AH47" s="1">
        <f>VLOOKUP(A47,'SegEnds_NonXtal_Prot#'!A:AL,28,FALSE)-VLOOKUP(A47,'SegEnds_NonXtal_Prot#'!A:AL,22,FALSE)</f>
        <v>201</v>
      </c>
      <c r="AI47" s="1">
        <f>VLOOKUP(A47,'SegEnds_NonXtal_Prot#'!A:AL,31,FALSE)-VLOOKUP(A47,'SegEnds_NonXtal_Prot#'!A:AL,28,FALSE)</f>
        <v>44</v>
      </c>
      <c r="AJ47" s="1">
        <f>VLOOKUP(A47,'SegEnds_NonXtal_Prot#'!A:AL,34,FALSE)-VLOOKUP(A47,'SegEnds_NonXtal_Prot#'!A:AL,31,FALSE)</f>
        <v>40</v>
      </c>
      <c r="AK47" s="1">
        <f>VLOOKUP(A47,'SegEnds_NonXtal_Prot#'!A:AL,37,FALSE)-VLOOKUP(A47,'SegEnds_NonXtal_Prot#'!A:AL,34,FALSE)</f>
        <v>10</v>
      </c>
      <c r="AL47" s="1" t="str">
        <f>IF(ISERROR(MATCH(A47,'SegEnds_Xtal_Prot#'!B:B, 0)), "NoXtal", "Xtal")</f>
        <v>NoXtal</v>
      </c>
    </row>
    <row r="48" spans="1:38" x14ac:dyDescent="0.2">
      <c r="A48" s="1" t="s">
        <v>165</v>
      </c>
      <c r="B48" s="1" t="str">
        <f>VLOOKUP(A48,Xtal_Templ!A:B,2,FALSE)</f>
        <v>c5ar1_human</v>
      </c>
      <c r="C48" s="5">
        <f>VLOOKUP($B48&amp;"__wt",'SegEnds_Xtal_BW#'!$A:$Z,3,FALSE)</f>
        <v>29</v>
      </c>
      <c r="D48" s="1">
        <f>VLOOKUP($B48&amp;"__wt",'SegEnds_Xtal_BW#'!$A:$Z,4,FALSE)</f>
        <v>60</v>
      </c>
      <c r="E48" s="1" t="str">
        <f>VLOOKUP($B48&amp;"__wt",'SegEnds_Xtal_BW#'!$A:$Z,5,FALSE)</f>
        <v>-</v>
      </c>
      <c r="F48" s="1" t="str">
        <f>VLOOKUP($B48&amp;"__wt",'SegEnds_Xtal_BW#'!$A:$Z,6,FALSE)</f>
        <v>-</v>
      </c>
      <c r="G48" s="1">
        <v>37</v>
      </c>
      <c r="H48" s="12">
        <f>VLOOKUP($B48&amp;"__wt",'SegEnds_Xtal_BW#'!$A:$Z,8,FALSE)</f>
        <v>67</v>
      </c>
      <c r="I48" s="1">
        <f>VLOOKUP($B48&amp;"__wt",'SegEnds_Xtal_BW#'!$A:$Z,9,FALSE)</f>
        <v>49</v>
      </c>
      <c r="J48" s="1">
        <f>VLOOKUP($B48&amp;"__wt",'SegEnds_Xtal_BW#'!$A:$Z,10,FALSE)</f>
        <v>52</v>
      </c>
      <c r="K48" s="12">
        <v>18</v>
      </c>
      <c r="L48" s="1">
        <f>VLOOKUP($B48&amp;"__wt",'SegEnds_Xtal_BW#'!$A:$Z,12,FALSE)</f>
        <v>56</v>
      </c>
      <c r="M48" s="1">
        <f>VLOOKUP($B48&amp;"__wt",'SegEnds_Xtal_BW#'!$A:$Z,13,FALSE)</f>
        <v>50</v>
      </c>
      <c r="N48" s="12">
        <v>57</v>
      </c>
      <c r="O48" s="87">
        <v>38</v>
      </c>
      <c r="P48" s="1">
        <f>VLOOKUP($B48&amp;"__wt",'SegEnds_Xtal_BW#'!$A:$Z,16,FALSE)</f>
        <v>64</v>
      </c>
      <c r="Q48" s="1">
        <f>VLOOKUP($B48&amp;"__wt",'SegEnds_Xtal_BW#'!$A:$Z,17,FALSE)</f>
        <v>50</v>
      </c>
      <c r="R48" s="1">
        <f>VLOOKUP($B48&amp;"__wt",'SegEnds_Xtal_BW#'!$A:$Z,18,FALSE)</f>
        <v>52</v>
      </c>
      <c r="S48" s="1">
        <f>VLOOKUP($B48&amp;"__wt",'SegEnds_Xtal_BW#'!$A:$Z,19,FALSE)</f>
        <v>31</v>
      </c>
      <c r="T48" s="1">
        <f t="array" ref="T48">INDEX(ICL3_classA!$G$2:$G$37,MATCH(MIN(ABS(AI48-ICL3_classA!$F$2:$F$37)),ABS(AI48-ICL3_classA!$F$2:$F$37),0))</f>
        <v>68</v>
      </c>
      <c r="U48" s="108">
        <v>31</v>
      </c>
      <c r="V48" s="1">
        <v>61</v>
      </c>
      <c r="W48" s="108">
        <v>25</v>
      </c>
      <c r="X48" s="1">
        <f>VLOOKUP($B48&amp;"__wt",'SegEnds_Xtal_BW#'!$A:$Z,24,FALSE)</f>
        <v>56</v>
      </c>
      <c r="Y48" s="1">
        <f>VLOOKUP($B48&amp;"__wt",'SegEnds_Xtal_BW#'!$A:$Z,25,FALSE)</f>
        <v>47</v>
      </c>
      <c r="Z48" s="1">
        <f>VLOOKUP($B48&amp;"__wt",'SegEnds_Xtal_BW#'!$A:$Z,26,FALSE)</f>
        <v>56</v>
      </c>
      <c r="AA48" s="27" t="str">
        <f>VLOOKUP(A48,Classification!A:B,2,FALSE)</f>
        <v>A</v>
      </c>
      <c r="AB48" s="1">
        <f>VLOOKUP(A48,'SegEnds_NonXtal_Prot#'!A:AL,10,FALSE)-VLOOKUP(A48,'SegEnds_NonXtal_Prot#'!A:AL,4,FALSE)</f>
        <v>27</v>
      </c>
      <c r="AC48" s="1" t="e">
        <f>VLOOKUP(A48,'SegEnds_NonXtal_Prot#'!A:AL,10,FALSE)-VLOOKUP(A48,'SegEnds_NonXtal_Prot#'!A:AL,7,FALSE)</f>
        <v>#VALUE!</v>
      </c>
      <c r="AD48" s="1">
        <f>VLOOKUP(A48,'SegEnds_NonXtal_Prot#'!A:AL,13,FALSE)-VLOOKUP(A48,'SegEnds_NonXtal_Prot#'!A:AL,10,FALSE)</f>
        <v>20</v>
      </c>
      <c r="AE48" s="1">
        <f>VLOOKUP(A48,'SegEnds_NonXtal_Prot#'!A:AL,16,FALSE)-VLOOKUP(A48,'SegEnds_NonXtal_Prot#'!A:AL,10,FALSE)</f>
        <v>52</v>
      </c>
      <c r="AF48" s="1">
        <f>VLOOKUP(A48,'SegEnds_NonXtal_Prot#'!A:AL,22,FALSE)-VLOOKUP(A48,'SegEnds_NonXtal_Prot#'!A:AL,19,FALSE)</f>
        <v>20</v>
      </c>
      <c r="AG48" s="1">
        <f>VLOOKUP(A48,'SegEnds_NonXtal_Prot#'!A:AL,28,FALSE)-VLOOKUP(A48,'SegEnds_NonXtal_Prot#'!A:AL,25,FALSE)</f>
        <v>26</v>
      </c>
      <c r="AH48" s="1">
        <f>VLOOKUP(A48,'SegEnds_NonXtal_Prot#'!A:AL,28,FALSE)-VLOOKUP(A48,'SegEnds_NonXtal_Prot#'!A:AL,22,FALSE)</f>
        <v>53</v>
      </c>
      <c r="AI48" s="1">
        <f>VLOOKUP(A48,'SegEnds_NonXtal_Prot#'!A:AL,31,FALSE)-VLOOKUP(A48,'SegEnds_NonXtal_Prot#'!A:AL,28,FALSE)</f>
        <v>43</v>
      </c>
      <c r="AJ48" s="1">
        <f>VLOOKUP(A48,'SegEnds_NonXtal_Prot#'!A:AL,34,FALSE)-VLOOKUP(A48,'SegEnds_NonXtal_Prot#'!A:AL,31,FALSE)</f>
        <v>40</v>
      </c>
      <c r="AK48" s="1">
        <f>VLOOKUP(A48,'SegEnds_NonXtal_Prot#'!A:AL,37,FALSE)-VLOOKUP(A48,'SegEnds_NonXtal_Prot#'!A:AL,34,FALSE)</f>
        <v>10</v>
      </c>
      <c r="AL48" s="1" t="str">
        <f>IF(ISERROR(MATCH(A48,'SegEnds_Xtal_Prot#'!B:B, 0)), "NoXtal", "Xtal")</f>
        <v>Xtal</v>
      </c>
    </row>
    <row r="49" spans="1:38" x14ac:dyDescent="0.2">
      <c r="A49" s="1" t="s">
        <v>166</v>
      </c>
      <c r="B49" s="1" t="str">
        <f>VLOOKUP(A49,Xtal_Templ!A:B,2,FALSE)</f>
        <v>c5ar1_human</v>
      </c>
      <c r="C49" s="5">
        <f>VLOOKUP($B49&amp;"__wt",'SegEnds_Xtal_BW#'!$A:$Z,3,FALSE)</f>
        <v>29</v>
      </c>
      <c r="D49" s="1">
        <f>VLOOKUP($B49&amp;"__wt",'SegEnds_Xtal_BW#'!$A:$Z,4,FALSE)</f>
        <v>60</v>
      </c>
      <c r="E49" s="1" t="str">
        <f>VLOOKUP($B49&amp;"__wt",'SegEnds_Xtal_BW#'!$A:$Z,5,FALSE)</f>
        <v>-</v>
      </c>
      <c r="F49" s="1" t="str">
        <f>VLOOKUP($B49&amp;"__wt",'SegEnds_Xtal_BW#'!$A:$Z,6,FALSE)</f>
        <v>-</v>
      </c>
      <c r="G49" s="1">
        <v>37</v>
      </c>
      <c r="H49" s="12">
        <f>VLOOKUP($B49&amp;"__wt",'SegEnds_Xtal_BW#'!$A:$Z,8,FALSE)</f>
        <v>67</v>
      </c>
      <c r="I49" s="1">
        <f>VLOOKUP($B49&amp;"__wt",'SegEnds_Xtal_BW#'!$A:$Z,9,FALSE)</f>
        <v>49</v>
      </c>
      <c r="J49" s="1">
        <f>VLOOKUP($B49&amp;"__wt",'SegEnds_Xtal_BW#'!$A:$Z,10,FALSE)</f>
        <v>52</v>
      </c>
      <c r="K49" s="12">
        <v>18</v>
      </c>
      <c r="L49" s="1">
        <f>VLOOKUP($B49&amp;"__wt",'SegEnds_Xtal_BW#'!$A:$Z,12,FALSE)</f>
        <v>56</v>
      </c>
      <c r="M49" s="1">
        <f>VLOOKUP($B49&amp;"__wt",'SegEnds_Xtal_BW#'!$A:$Z,13,FALSE)</f>
        <v>50</v>
      </c>
      <c r="N49" s="12">
        <v>57</v>
      </c>
      <c r="O49" s="87">
        <v>38</v>
      </c>
      <c r="P49" s="1">
        <f>VLOOKUP($B49&amp;"__wt",'SegEnds_Xtal_BW#'!$A:$Z,16,FALSE)</f>
        <v>64</v>
      </c>
      <c r="Q49" s="1">
        <f>VLOOKUP($B49&amp;"__wt",'SegEnds_Xtal_BW#'!$A:$Z,17,FALSE)</f>
        <v>50</v>
      </c>
      <c r="R49" s="1">
        <f>VLOOKUP($B49&amp;"__wt",'SegEnds_Xtal_BW#'!$A:$Z,18,FALSE)</f>
        <v>52</v>
      </c>
      <c r="S49" s="1">
        <f>VLOOKUP($B49&amp;"__wt",'SegEnds_Xtal_BW#'!$A:$Z,19,FALSE)</f>
        <v>31</v>
      </c>
      <c r="T49" s="1">
        <f t="array" ref="T49">INDEX(ICL3_classA!$G$2:$G$37,MATCH(MIN(ABS(AI49-ICL3_classA!$F$2:$F$37)),ABS(AI49-ICL3_classA!$F$2:$F$37),0))</f>
        <v>64</v>
      </c>
      <c r="U49" s="108">
        <v>31</v>
      </c>
      <c r="V49" s="1">
        <v>61</v>
      </c>
      <c r="W49" s="108">
        <v>25</v>
      </c>
      <c r="X49" s="1">
        <f>VLOOKUP($B49&amp;"__wt",'SegEnds_Xtal_BW#'!$A:$Z,24,FALSE)</f>
        <v>56</v>
      </c>
      <c r="Y49" s="1">
        <f>VLOOKUP($B49&amp;"__wt",'SegEnds_Xtal_BW#'!$A:$Z,25,FALSE)</f>
        <v>47</v>
      </c>
      <c r="Z49" s="1">
        <f>VLOOKUP($B49&amp;"__wt",'SegEnds_Xtal_BW#'!$A:$Z,26,FALSE)</f>
        <v>56</v>
      </c>
      <c r="AA49" s="27" t="str">
        <f>VLOOKUP(A49,Classification!A:B,2,FALSE)</f>
        <v>A</v>
      </c>
      <c r="AB49" s="1">
        <f>VLOOKUP(A49,'SegEnds_NonXtal_Prot#'!A:AL,10,FALSE)-VLOOKUP(A49,'SegEnds_NonXtal_Prot#'!A:AL,4,FALSE)</f>
        <v>27</v>
      </c>
      <c r="AC49" s="1" t="e">
        <f>VLOOKUP(A49,'SegEnds_NonXtal_Prot#'!A:AL,10,FALSE)-VLOOKUP(A49,'SegEnds_NonXtal_Prot#'!A:AL,7,FALSE)</f>
        <v>#VALUE!</v>
      </c>
      <c r="AD49" s="1">
        <f>VLOOKUP(A49,'SegEnds_NonXtal_Prot#'!A:AL,13,FALSE)-VLOOKUP(A49,'SegEnds_NonXtal_Prot#'!A:AL,10,FALSE)</f>
        <v>20</v>
      </c>
      <c r="AE49" s="1">
        <f>VLOOKUP(A49,'SegEnds_NonXtal_Prot#'!A:AL,16,FALSE)-VLOOKUP(A49,'SegEnds_NonXtal_Prot#'!A:AL,10,FALSE)</f>
        <v>52</v>
      </c>
      <c r="AF49" s="1">
        <f>VLOOKUP(A49,'SegEnds_NonXtal_Prot#'!A:AL,22,FALSE)-VLOOKUP(A49,'SegEnds_NonXtal_Prot#'!A:AL,19,FALSE)</f>
        <v>20</v>
      </c>
      <c r="AG49" s="1">
        <f>VLOOKUP(A49,'SegEnds_NonXtal_Prot#'!A:AL,28,FALSE)-VLOOKUP(A49,'SegEnds_NonXtal_Prot#'!A:AL,25,FALSE)</f>
        <v>26</v>
      </c>
      <c r="AH49" s="1">
        <f>VLOOKUP(A49,'SegEnds_NonXtal_Prot#'!A:AL,28,FALSE)-VLOOKUP(A49,'SegEnds_NonXtal_Prot#'!A:AL,22,FALSE)</f>
        <v>53</v>
      </c>
      <c r="AI49" s="1">
        <f>VLOOKUP(A49,'SegEnds_NonXtal_Prot#'!A:AL,31,FALSE)-VLOOKUP(A49,'SegEnds_NonXtal_Prot#'!A:AL,28,FALSE)</f>
        <v>36</v>
      </c>
      <c r="AJ49" s="1">
        <f>VLOOKUP(A49,'SegEnds_NonXtal_Prot#'!A:AL,34,FALSE)-VLOOKUP(A49,'SegEnds_NonXtal_Prot#'!A:AL,31,FALSE)</f>
        <v>40</v>
      </c>
      <c r="AK49" s="1">
        <f>VLOOKUP(A49,'SegEnds_NonXtal_Prot#'!A:AL,37,FALSE)-VLOOKUP(A49,'SegEnds_NonXtal_Prot#'!A:AL,34,FALSE)</f>
        <v>10</v>
      </c>
      <c r="AL49" s="1" t="str">
        <f>IF(ISERROR(MATCH(A49,'SegEnds_Xtal_Prot#'!B:B, 0)), "NoXtal", "Xtal")</f>
        <v>NoXtal</v>
      </c>
    </row>
    <row r="50" spans="1:38" x14ac:dyDescent="0.2">
      <c r="A50" s="1" t="s">
        <v>167</v>
      </c>
      <c r="B50" s="1" t="str">
        <f>VLOOKUP(A50,Xtal_Templ!A:B,2,FALSE)</f>
        <v>ox1r_human</v>
      </c>
      <c r="C50" s="5">
        <f>VLOOKUP($B50&amp;"__wt",'SegEnds_Xtal_BW#'!$A:$Z,3,FALSE)</f>
        <v>32</v>
      </c>
      <c r="D50" s="1">
        <f>VLOOKUP($B50&amp;"__wt",'SegEnds_Xtal_BW#'!$A:$Z,4,FALSE)</f>
        <v>60</v>
      </c>
      <c r="E50" s="1">
        <f>VLOOKUP($B50&amp;"__wt",'SegEnds_Xtal_BW#'!$A:$Z,5,FALSE)</f>
        <v>48</v>
      </c>
      <c r="F50" s="1">
        <f>VLOOKUP($B50&amp;"__wt",'SegEnds_Xtal_BW#'!$A:$Z,6,FALSE)</f>
        <v>51</v>
      </c>
      <c r="G50" s="1">
        <v>37</v>
      </c>
      <c r="H50" s="12">
        <f>VLOOKUP($B50&amp;"__wt",'SegEnds_Xtal_BW#'!$A:$Z,8,FALSE)</f>
        <v>67</v>
      </c>
      <c r="I50" s="1">
        <f>VLOOKUP($B50&amp;"__wt",'SegEnds_Xtal_BW#'!$A:$Z,9,FALSE)</f>
        <v>49</v>
      </c>
      <c r="J50" s="1">
        <f>VLOOKUP($B50&amp;"__wt",'SegEnds_Xtal_BW#'!$A:$Z,10,FALSE)</f>
        <v>52</v>
      </c>
      <c r="K50" s="12">
        <v>18</v>
      </c>
      <c r="L50" s="1">
        <f>VLOOKUP($B50&amp;"__wt",'SegEnds_Xtal_BW#'!$A:$Z,12,FALSE)</f>
        <v>56</v>
      </c>
      <c r="M50" s="1">
        <f>VLOOKUP($B50&amp;"__wt",'SegEnds_Xtal_BW#'!$A:$Z,13,FALSE)</f>
        <v>50</v>
      </c>
      <c r="N50" s="12">
        <v>57</v>
      </c>
      <c r="O50" s="87">
        <f>VLOOKUP($B50&amp;"__wt",'SegEnds_Xtal_BW#'!$A:$Z,15,FALSE)</f>
        <v>38</v>
      </c>
      <c r="P50" s="1">
        <f>VLOOKUP($B50&amp;"__wt",'SegEnds_Xtal_BW#'!$A:$Z,16,FALSE)</f>
        <v>64</v>
      </c>
      <c r="Q50" s="1">
        <f>VLOOKUP($B50&amp;"__wt",'SegEnds_Xtal_BW#'!$A:$Z,17,FALSE)</f>
        <v>50</v>
      </c>
      <c r="R50" s="1">
        <f>VLOOKUP($B50&amp;"__wt",'SegEnds_Xtal_BW#'!$A:$Z,18,FALSE)</f>
        <v>52</v>
      </c>
      <c r="S50" s="1">
        <f>VLOOKUP($B50&amp;"__wt",'SegEnds_Xtal_BW#'!$A:$Z,19,FALSE)</f>
        <v>32</v>
      </c>
      <c r="T50" s="1">
        <f t="array" ref="T50">INDEX(ICL3_classA!$G$2:$G$37,MATCH(MIN(ABS(AI50-ICL3_classA!$F$2:$F$37)),ABS(AI50-ICL3_classA!$F$2:$F$37),0))</f>
        <v>74</v>
      </c>
      <c r="U50" s="1">
        <f t="array" ref="U50">INDEX(ICL3_classA!$H$2:$H$37,MATCH(MIN(ABS(AI50-ICL3_classA!$F$2:$F$37)),ABS(AI50-ICL3_classA!$F$2:$F$37),0))</f>
        <v>24</v>
      </c>
      <c r="V50" s="1">
        <v>61</v>
      </c>
      <c r="W50" s="1">
        <v>28</v>
      </c>
      <c r="X50" s="1">
        <f>VLOOKUP($B50&amp;"__wt",'SegEnds_Xtal_BW#'!$A:$Z,24,FALSE)</f>
        <v>56</v>
      </c>
      <c r="Y50" s="1">
        <f>VLOOKUP($B50&amp;"__wt",'SegEnds_Xtal_BW#'!$A:$Z,25,FALSE)</f>
        <v>47</v>
      </c>
      <c r="Z50" s="1">
        <f>VLOOKUP($B50&amp;"__wt",'SegEnds_Xtal_BW#'!$A:$Z,26,FALSE)</f>
        <v>58</v>
      </c>
      <c r="AA50" s="27" t="str">
        <f>VLOOKUP(A50,Classification!A:B,2,FALSE)</f>
        <v>A</v>
      </c>
      <c r="AB50" s="1">
        <f>VLOOKUP(A50,'SegEnds_NonXtal_Prot#'!A:AL,10,FALSE)-VLOOKUP(A50,'SegEnds_NonXtal_Prot#'!A:AL,4,FALSE)</f>
        <v>28</v>
      </c>
      <c r="AC50" s="1">
        <f>VLOOKUP(A50,'SegEnds_NonXtal_Prot#'!A:AL,10,FALSE)-VLOOKUP(A50,'SegEnds_NonXtal_Prot#'!A:AL,7,FALSE)</f>
        <v>15</v>
      </c>
      <c r="AD50" s="1">
        <f>VLOOKUP(A50,'SegEnds_NonXtal_Prot#'!A:AL,13,FALSE)-VLOOKUP(A50,'SegEnds_NonXtal_Prot#'!A:AL,10,FALSE)</f>
        <v>20</v>
      </c>
      <c r="AE50" s="1">
        <f>VLOOKUP(A50,'SegEnds_NonXtal_Prot#'!A:AL,16,FALSE)-VLOOKUP(A50,'SegEnds_NonXtal_Prot#'!A:AL,10,FALSE)</f>
        <v>52</v>
      </c>
      <c r="AF50" s="1">
        <f>VLOOKUP(A50,'SegEnds_NonXtal_Prot#'!A:AL,22,FALSE)-VLOOKUP(A50,'SegEnds_NonXtal_Prot#'!A:AL,19,FALSE)</f>
        <v>20</v>
      </c>
      <c r="AG50" s="1">
        <f>VLOOKUP(A50,'SegEnds_NonXtal_Prot#'!A:AL,28,FALSE)-VLOOKUP(A50,'SegEnds_NonXtal_Prot#'!A:AL,25,FALSE)</f>
        <v>25</v>
      </c>
      <c r="AH50" s="1">
        <f>VLOOKUP(A50,'SegEnds_NonXtal_Prot#'!A:AL,28,FALSE)-VLOOKUP(A50,'SegEnds_NonXtal_Prot#'!A:AL,22,FALSE)</f>
        <v>55</v>
      </c>
      <c r="AI50" s="1">
        <f>VLOOKUP(A50,'SegEnds_NonXtal_Prot#'!A:AL,31,FALSE)-VLOOKUP(A50,'SegEnds_NonXtal_Prot#'!A:AL,28,FALSE)</f>
        <v>107</v>
      </c>
      <c r="AJ50" s="1">
        <f>VLOOKUP(A50,'SegEnds_NonXtal_Prot#'!A:AL,34,FALSE)-VLOOKUP(A50,'SegEnds_NonXtal_Prot#'!A:AL,31,FALSE)</f>
        <v>39</v>
      </c>
      <c r="AK50" s="1">
        <f>VLOOKUP(A50,'SegEnds_NonXtal_Prot#'!A:AL,37,FALSE)-VLOOKUP(A50,'SegEnds_NonXtal_Prot#'!A:AL,34,FALSE)</f>
        <v>10</v>
      </c>
      <c r="AL50" s="1" t="str">
        <f>IF(ISERROR(MATCH(A50,'SegEnds_Xtal_Prot#'!B:B, 0)), "NoXtal", "Xtal")</f>
        <v>NoXtal</v>
      </c>
    </row>
    <row r="51" spans="1:38" x14ac:dyDescent="0.2">
      <c r="A51" s="1" t="s">
        <v>168</v>
      </c>
      <c r="B51" s="1" t="str">
        <f>VLOOKUP(A51,Xtal_Templ!A:B,2,FALSE)</f>
        <v>ccr5_human</v>
      </c>
      <c r="C51" s="5">
        <f>VLOOKUP($B51&amp;"__wt",'SegEnds_Xtal_BW#'!$A:$Z,3,FALSE)</f>
        <v>24</v>
      </c>
      <c r="D51" s="1">
        <f>VLOOKUP($B51&amp;"__wt",'SegEnds_Xtal_BW#'!$A:$Z,4,FALSE)</f>
        <v>60</v>
      </c>
      <c r="E51" s="1">
        <f>VLOOKUP($B51&amp;"__wt",'SegEnds_Xtal_BW#'!$A:$Z,5,FALSE)</f>
        <v>48</v>
      </c>
      <c r="F51" s="1">
        <f>VLOOKUP($B51&amp;"__wt",'SegEnds_Xtal_BW#'!$A:$Z,6,FALSE)</f>
        <v>51</v>
      </c>
      <c r="G51" s="1">
        <v>37</v>
      </c>
      <c r="H51" s="12">
        <v>66</v>
      </c>
      <c r="I51" s="1">
        <f>VLOOKUP($B51&amp;"__wt",'SegEnds_Xtal_BW#'!$A:$Z,9,FALSE)</f>
        <v>49</v>
      </c>
      <c r="J51" s="1">
        <f>VLOOKUP($B51&amp;"__wt",'SegEnds_Xtal_BW#'!$A:$Z,10,FALSE)</f>
        <v>52</v>
      </c>
      <c r="K51" s="12">
        <v>21</v>
      </c>
      <c r="L51" s="1">
        <f>VLOOKUP($B51&amp;"__wt",'SegEnds_Xtal_BW#'!$A:$Z,12,FALSE)</f>
        <v>56</v>
      </c>
      <c r="M51" s="1">
        <f>VLOOKUP($B51&amp;"__wt",'SegEnds_Xtal_BW#'!$A:$Z,13,FALSE)</f>
        <v>50</v>
      </c>
      <c r="N51" s="12">
        <f>VLOOKUP($B51&amp;"__wt",'SegEnds_Xtal_BW#'!$A:$Z,14,FALSE)</f>
        <v>57</v>
      </c>
      <c r="O51" s="87">
        <f>VLOOKUP($B51&amp;"__wt",'SegEnds_Xtal_BW#'!$A:$Z,15,FALSE)</f>
        <v>38</v>
      </c>
      <c r="P51" s="1">
        <f>VLOOKUP($B51&amp;"__wt",'SegEnds_Xtal_BW#'!$A:$Z,16,FALSE)</f>
        <v>64</v>
      </c>
      <c r="Q51" s="1">
        <f>VLOOKUP($B51&amp;"__wt",'SegEnds_Xtal_BW#'!$A:$Z,17,FALSE)</f>
        <v>50</v>
      </c>
      <c r="R51" s="1">
        <f>VLOOKUP($B51&amp;"__wt",'SegEnds_Xtal_BW#'!$A:$Z,18,FALSE)</f>
        <v>52</v>
      </c>
      <c r="S51" s="1">
        <f>VLOOKUP($B51&amp;"__wt",'SegEnds_Xtal_BW#'!$A:$Z,19,FALSE)</f>
        <v>30</v>
      </c>
      <c r="T51" s="1">
        <f t="array" ref="T51">INDEX(ICL3_classA!$G$2:$G$37,MATCH(MIN(ABS(AI51-ICL3_classA!$F$2:$F$37)),ABS(AI51-ICL3_classA!$F$2:$F$37),0))</f>
        <v>68</v>
      </c>
      <c r="U51" s="1">
        <f t="array" ref="U51">INDEX(ICL3_classA!$H$2:$H$37,MATCH(MIN(ABS(AI51-ICL3_classA!$F$2:$F$37)),ABS(AI51-ICL3_classA!$F$2:$F$37),0))</f>
        <v>30</v>
      </c>
      <c r="V51" s="1">
        <v>65</v>
      </c>
      <c r="W51" s="1">
        <v>24</v>
      </c>
      <c r="X51" s="1">
        <f>VLOOKUP($B51&amp;"__wt",'SegEnds_Xtal_BW#'!$A:$Z,24,FALSE)</f>
        <v>56</v>
      </c>
      <c r="Y51" s="1">
        <f>VLOOKUP($B51&amp;"__wt",'SegEnds_Xtal_BW#'!$A:$Z,25,FALSE)</f>
        <v>47</v>
      </c>
      <c r="Z51" s="1">
        <f>VLOOKUP($B51&amp;"__wt",'SegEnds_Xtal_BW#'!$A:$Z,26,FALSE)</f>
        <v>59</v>
      </c>
      <c r="AA51" s="27" t="str">
        <f>VLOOKUP(A51,Classification!A:B,2,FALSE)</f>
        <v>A</v>
      </c>
      <c r="AB51" s="1">
        <f>VLOOKUP(A51,'SegEnds_NonXtal_Prot#'!A:AL,10,FALSE)-VLOOKUP(A51,'SegEnds_NonXtal_Prot#'!A:AL,4,FALSE)</f>
        <v>28</v>
      </c>
      <c r="AC51" s="1">
        <f>VLOOKUP(A51,'SegEnds_NonXtal_Prot#'!A:AL,10,FALSE)-VLOOKUP(A51,'SegEnds_NonXtal_Prot#'!A:AL,7,FALSE)</f>
        <v>15</v>
      </c>
      <c r="AD51" s="1">
        <f>VLOOKUP(A51,'SegEnds_NonXtal_Prot#'!A:AL,13,FALSE)-VLOOKUP(A51,'SegEnds_NonXtal_Prot#'!A:AL,10,FALSE)</f>
        <v>19</v>
      </c>
      <c r="AE51" s="1">
        <f>VLOOKUP(A51,'SegEnds_NonXtal_Prot#'!A:AL,16,FALSE)-VLOOKUP(A51,'SegEnds_NonXtal_Prot#'!A:AL,10,FALSE)</f>
        <v>51</v>
      </c>
      <c r="AF51" s="1">
        <f>VLOOKUP(A51,'SegEnds_NonXtal_Prot#'!A:AL,22,FALSE)-VLOOKUP(A51,'SegEnds_NonXtal_Prot#'!A:AL,19,FALSE)</f>
        <v>20</v>
      </c>
      <c r="AG51" s="1">
        <f>VLOOKUP(A51,'SegEnds_NonXtal_Prot#'!A:AL,28,FALSE)-VLOOKUP(A51,'SegEnds_NonXtal_Prot#'!A:AL,25,FALSE)</f>
        <v>28</v>
      </c>
      <c r="AH51" s="1">
        <f>VLOOKUP(A51,'SegEnds_NonXtal_Prot#'!A:AL,28,FALSE)-VLOOKUP(A51,'SegEnds_NonXtal_Prot#'!A:AL,22,FALSE)</f>
        <v>53</v>
      </c>
      <c r="AI51" s="1">
        <f>VLOOKUP(A51,'SegEnds_NonXtal_Prot#'!A:AL,31,FALSE)-VLOOKUP(A51,'SegEnds_NonXtal_Prot#'!A:AL,28,FALSE)</f>
        <v>43</v>
      </c>
      <c r="AJ51" s="1">
        <f>VLOOKUP(A51,'SegEnds_NonXtal_Prot#'!A:AL,34,FALSE)-VLOOKUP(A51,'SegEnds_NonXtal_Prot#'!A:AL,31,FALSE)</f>
        <v>44</v>
      </c>
      <c r="AK51" s="1">
        <f>VLOOKUP(A51,'SegEnds_NonXtal_Prot#'!A:AL,37,FALSE)-VLOOKUP(A51,'SegEnds_NonXtal_Prot#'!A:AL,34,FALSE)</f>
        <v>10</v>
      </c>
      <c r="AL51" s="1" t="str">
        <f>IF(ISERROR(MATCH(A51,'SegEnds_Xtal_Prot#'!B:B, 0)), "NoXtal", "Xtal")</f>
        <v>NoXtal</v>
      </c>
    </row>
    <row r="52" spans="1:38" x14ac:dyDescent="0.2">
      <c r="A52" s="1" t="s">
        <v>169</v>
      </c>
      <c r="B52" s="1" t="str">
        <f>VLOOKUP(A52,Xtal_Templ!A:B,2,FALSE)</f>
        <v>ccr9_human</v>
      </c>
      <c r="C52" s="5">
        <f>VLOOKUP($B52&amp;"__wt",'SegEnds_Xtal_BW#'!$A:$Z,3,FALSE)</f>
        <v>27</v>
      </c>
      <c r="D52" s="1">
        <f>VLOOKUP($B52&amp;"__wt",'SegEnds_Xtal_BW#'!$A:$Z,4,FALSE)</f>
        <v>60</v>
      </c>
      <c r="E52" s="1">
        <f>VLOOKUP($B52&amp;"__wt",'SegEnds_Xtal_BW#'!$A:$Z,5,FALSE)</f>
        <v>48</v>
      </c>
      <c r="F52" s="1">
        <f>VLOOKUP($B52&amp;"__wt",'SegEnds_Xtal_BW#'!$A:$Z,6,FALSE)</f>
        <v>51</v>
      </c>
      <c r="G52" s="1">
        <v>37</v>
      </c>
      <c r="H52" s="12">
        <v>66</v>
      </c>
      <c r="I52" s="1">
        <f>VLOOKUP($B52&amp;"__wt",'SegEnds_Xtal_BW#'!$A:$Z,9,FALSE)</f>
        <v>49</v>
      </c>
      <c r="J52" s="1">
        <f>VLOOKUP($B52&amp;"__wt",'SegEnds_Xtal_BW#'!$A:$Z,10,FALSE)</f>
        <v>52</v>
      </c>
      <c r="K52" s="12">
        <v>24</v>
      </c>
      <c r="L52" s="1">
        <f>VLOOKUP($B52&amp;"__wt",'SegEnds_Xtal_BW#'!$A:$Z,12,FALSE)</f>
        <v>56</v>
      </c>
      <c r="M52" s="1">
        <f>VLOOKUP($B52&amp;"__wt",'SegEnds_Xtal_BW#'!$A:$Z,13,FALSE)</f>
        <v>50</v>
      </c>
      <c r="N52" s="12">
        <f>VLOOKUP($B52&amp;"__wt",'SegEnds_Xtal_BW#'!$A:$Z,14,FALSE)</f>
        <v>56</v>
      </c>
      <c r="O52" s="87">
        <v>38</v>
      </c>
      <c r="P52" s="1">
        <f>VLOOKUP($B52&amp;"__wt",'SegEnds_Xtal_BW#'!$A:$Z,16,FALSE)</f>
        <v>64</v>
      </c>
      <c r="Q52" s="1">
        <f>VLOOKUP($B52&amp;"__wt",'SegEnds_Xtal_BW#'!$A:$Z,17,FALSE)</f>
        <v>50</v>
      </c>
      <c r="R52" s="1">
        <f>VLOOKUP($B52&amp;"__wt",'SegEnds_Xtal_BW#'!$A:$Z,18,FALSE)</f>
        <v>52</v>
      </c>
      <c r="S52" s="1">
        <f>VLOOKUP($B52&amp;"__wt",'SegEnds_Xtal_BW#'!$A:$Z,19,FALSE)</f>
        <v>33</v>
      </c>
      <c r="T52" s="1">
        <f t="array" ref="T52">INDEX(ICL3_classA!$G$2:$G$37,MATCH(MIN(ABS(AI52-ICL3_classA!$F$2:$F$37)),ABS(AI52-ICL3_classA!$F$2:$F$37),0))</f>
        <v>68</v>
      </c>
      <c r="U52" s="1">
        <f t="array" ref="U52">INDEX(ICL3_classA!$H$2:$H$37,MATCH(MIN(ABS(AI52-ICL3_classA!$F$2:$F$37)),ABS(AI52-ICL3_classA!$F$2:$F$37),0))</f>
        <v>30</v>
      </c>
      <c r="V52" s="1">
        <v>65</v>
      </c>
      <c r="W52" s="1">
        <v>24</v>
      </c>
      <c r="X52" s="1">
        <f>VLOOKUP($B52&amp;"__wt",'SegEnds_Xtal_BW#'!$A:$Z,24,FALSE)</f>
        <v>56</v>
      </c>
      <c r="Y52" s="1">
        <f>VLOOKUP($B52&amp;"__wt",'SegEnds_Xtal_BW#'!$A:$Z,25,FALSE)</f>
        <v>47</v>
      </c>
      <c r="Z52" s="1">
        <f>VLOOKUP($B52&amp;"__wt",'SegEnds_Xtal_BW#'!$A:$Z,26,FALSE)</f>
        <v>67</v>
      </c>
      <c r="AA52" s="27" t="str">
        <f>VLOOKUP(A52,Classification!A:B,2,FALSE)</f>
        <v>A</v>
      </c>
      <c r="AB52" s="1">
        <f>VLOOKUP(A52,'SegEnds_NonXtal_Prot#'!A:AL,10,FALSE)-VLOOKUP(A52,'SegEnds_NonXtal_Prot#'!A:AL,4,FALSE)</f>
        <v>29</v>
      </c>
      <c r="AC52" s="1">
        <f>VLOOKUP(A52,'SegEnds_NonXtal_Prot#'!A:AL,10,FALSE)-VLOOKUP(A52,'SegEnds_NonXtal_Prot#'!A:AL,7,FALSE)</f>
        <v>16</v>
      </c>
      <c r="AD52" s="1">
        <f>VLOOKUP(A52,'SegEnds_NonXtal_Prot#'!A:AL,13,FALSE)-VLOOKUP(A52,'SegEnds_NonXtal_Prot#'!A:AL,10,FALSE)</f>
        <v>18</v>
      </c>
      <c r="AE52" s="1">
        <f>VLOOKUP(A52,'SegEnds_NonXtal_Prot#'!A:AL,16,FALSE)-VLOOKUP(A52,'SegEnds_NonXtal_Prot#'!A:AL,10,FALSE)</f>
        <v>50</v>
      </c>
      <c r="AF52" s="1" t="e">
        <f>VLOOKUP(A52,'SegEnds_NonXtal_Prot#'!A:AL,22,FALSE)-VLOOKUP(A52,'SegEnds_NonXtal_Prot#'!A:AL,19,FALSE)</f>
        <v>#VALUE!</v>
      </c>
      <c r="AG52" s="1">
        <f>VLOOKUP(A52,'SegEnds_NonXtal_Prot#'!A:AL,28,FALSE)-VLOOKUP(A52,'SegEnds_NonXtal_Prot#'!A:AL,25,FALSE)</f>
        <v>28</v>
      </c>
      <c r="AH52" s="1">
        <f>VLOOKUP(A52,'SegEnds_NonXtal_Prot#'!A:AL,28,FALSE)-VLOOKUP(A52,'SegEnds_NonXtal_Prot#'!A:AL,22,FALSE)</f>
        <v>53</v>
      </c>
      <c r="AI52" s="1">
        <f>VLOOKUP(A52,'SegEnds_NonXtal_Prot#'!A:AL,31,FALSE)-VLOOKUP(A52,'SegEnds_NonXtal_Prot#'!A:AL,28,FALSE)</f>
        <v>43</v>
      </c>
      <c r="AJ52" s="1">
        <f>VLOOKUP(A52,'SegEnds_NonXtal_Prot#'!A:AL,34,FALSE)-VLOOKUP(A52,'SegEnds_NonXtal_Prot#'!A:AL,31,FALSE)</f>
        <v>45</v>
      </c>
      <c r="AK52" s="1">
        <f>VLOOKUP(A52,'SegEnds_NonXtal_Prot#'!A:AL,37,FALSE)-VLOOKUP(A52,'SegEnds_NonXtal_Prot#'!A:AL,34,FALSE)</f>
        <v>10</v>
      </c>
      <c r="AL52" s="1" t="str">
        <f>IF(ISERROR(MATCH(A52,'SegEnds_Xtal_Prot#'!B:B, 0)), "NoXtal", "Xtal")</f>
        <v>NoXtal</v>
      </c>
    </row>
    <row r="53" spans="1:38" x14ac:dyDescent="0.2">
      <c r="A53" s="1" t="s">
        <v>170</v>
      </c>
      <c r="B53" s="1" t="str">
        <f>VLOOKUP(A53,Xtal_Templ!A:B,2,FALSE)</f>
        <v>ccr2_human</v>
      </c>
      <c r="C53" s="5">
        <f>VLOOKUP($B53&amp;"__wt",'SegEnds_Xtal_BW#'!$A:$Z,3,FALSE)</f>
        <v>27</v>
      </c>
      <c r="D53" s="1">
        <f>VLOOKUP($B53&amp;"__wt",'SegEnds_Xtal_BW#'!$A:$Z,4,FALSE)</f>
        <v>60</v>
      </c>
      <c r="E53" s="1">
        <f>VLOOKUP($B53&amp;"__wt",'SegEnds_Xtal_BW#'!$A:$Z,5,FALSE)</f>
        <v>48</v>
      </c>
      <c r="F53" s="1">
        <f>VLOOKUP($B53&amp;"__wt",'SegEnds_Xtal_BW#'!$A:$Z,6,FALSE)</f>
        <v>51</v>
      </c>
      <c r="G53" s="1">
        <v>37</v>
      </c>
      <c r="H53" s="12">
        <v>66</v>
      </c>
      <c r="I53" s="1">
        <f>VLOOKUP($B53&amp;"__wt",'SegEnds_Xtal_BW#'!$A:$Z,9,FALSE)</f>
        <v>49</v>
      </c>
      <c r="J53" s="1">
        <f>VLOOKUP($B53&amp;"__wt",'SegEnds_Xtal_BW#'!$A:$Z,10,FALSE)</f>
        <v>52</v>
      </c>
      <c r="K53" s="12">
        <v>24</v>
      </c>
      <c r="L53" s="1">
        <f>VLOOKUP($B53&amp;"__wt",'SegEnds_Xtal_BW#'!$A:$Z,12,FALSE)</f>
        <v>56</v>
      </c>
      <c r="M53" s="1">
        <f>VLOOKUP($B53&amp;"__wt",'SegEnds_Xtal_BW#'!$A:$Z,13,FALSE)</f>
        <v>50</v>
      </c>
      <c r="N53" s="12">
        <f>VLOOKUP($B53&amp;"__wt",'SegEnds_Xtal_BW#'!$A:$Z,14,FALSE)</f>
        <v>57</v>
      </c>
      <c r="O53" s="87">
        <f>VLOOKUP($B53&amp;"__wt",'SegEnds_Xtal_BW#'!$A:$Z,15,FALSE)</f>
        <v>38</v>
      </c>
      <c r="P53" s="1">
        <f>VLOOKUP($B53&amp;"__wt",'SegEnds_Xtal_BW#'!$A:$Z,16,FALSE)</f>
        <v>64</v>
      </c>
      <c r="Q53" s="1">
        <f>VLOOKUP($B53&amp;"__wt",'SegEnds_Xtal_BW#'!$A:$Z,17,FALSE)</f>
        <v>50</v>
      </c>
      <c r="R53" s="1">
        <f>VLOOKUP($B53&amp;"__wt",'SegEnds_Xtal_BW#'!$A:$Z,18,FALSE)</f>
        <v>52</v>
      </c>
      <c r="S53" s="1">
        <f>VLOOKUP($B53&amp;"__wt",'SegEnds_Xtal_BW#'!$A:$Z,19,FALSE)</f>
        <v>31</v>
      </c>
      <c r="T53" s="1">
        <f t="array" ref="T53">INDEX(ICL3_classA!$G$2:$G$37,MATCH(MIN(ABS(AI53-ICL3_classA!$F$2:$F$37)),ABS(AI53-ICL3_classA!$F$2:$F$37),0))</f>
        <v>68</v>
      </c>
      <c r="U53" s="1">
        <f t="array" ref="U53">INDEX(ICL3_classA!$H$2:$H$37,MATCH(MIN(ABS(AI53-ICL3_classA!$F$2:$F$37)),ABS(AI53-ICL3_classA!$F$2:$F$37),0))</f>
        <v>28</v>
      </c>
      <c r="V53" s="1">
        <v>65</v>
      </c>
      <c r="W53" s="1">
        <v>24</v>
      </c>
      <c r="X53" s="1">
        <f>VLOOKUP($B53&amp;"__wt",'SegEnds_Xtal_BW#'!$A:$Z,24,FALSE)</f>
        <v>56</v>
      </c>
      <c r="Y53" s="1">
        <f>VLOOKUP($B53&amp;"__wt",'SegEnds_Xtal_BW#'!$A:$Z,25,FALSE)</f>
        <v>47</v>
      </c>
      <c r="Z53" s="1">
        <f>VLOOKUP($B53&amp;"__wt",'SegEnds_Xtal_BW#'!$A:$Z,26,FALSE)</f>
        <v>58</v>
      </c>
      <c r="AA53" s="27" t="str">
        <f>VLOOKUP(A53,Classification!A:B,2,FALSE)</f>
        <v>A</v>
      </c>
      <c r="AB53" s="1">
        <f>VLOOKUP(A53,'SegEnds_NonXtal_Prot#'!A:AL,10,FALSE)-VLOOKUP(A53,'SegEnds_NonXtal_Prot#'!A:AL,4,FALSE)</f>
        <v>28</v>
      </c>
      <c r="AC53" s="1">
        <f>VLOOKUP(A53,'SegEnds_NonXtal_Prot#'!A:AL,10,FALSE)-VLOOKUP(A53,'SegEnds_NonXtal_Prot#'!A:AL,7,FALSE)</f>
        <v>15</v>
      </c>
      <c r="AD53" s="1">
        <f>VLOOKUP(A53,'SegEnds_NonXtal_Prot#'!A:AL,13,FALSE)-VLOOKUP(A53,'SegEnds_NonXtal_Prot#'!A:AL,10,FALSE)</f>
        <v>18</v>
      </c>
      <c r="AE53" s="1">
        <f>VLOOKUP(A53,'SegEnds_NonXtal_Prot#'!A:AL,16,FALSE)-VLOOKUP(A53,'SegEnds_NonXtal_Prot#'!A:AL,10,FALSE)</f>
        <v>50</v>
      </c>
      <c r="AF53" s="1">
        <f>VLOOKUP(A53,'SegEnds_NonXtal_Prot#'!A:AL,22,FALSE)-VLOOKUP(A53,'SegEnds_NonXtal_Prot#'!A:AL,19,FALSE)</f>
        <v>20</v>
      </c>
      <c r="AG53" s="1">
        <f>VLOOKUP(A53,'SegEnds_NonXtal_Prot#'!A:AL,28,FALSE)-VLOOKUP(A53,'SegEnds_NonXtal_Prot#'!A:AL,25,FALSE)</f>
        <v>24</v>
      </c>
      <c r="AH53" s="1">
        <f>VLOOKUP(A53,'SegEnds_NonXtal_Prot#'!A:AL,28,FALSE)-VLOOKUP(A53,'SegEnds_NonXtal_Prot#'!A:AL,22,FALSE)</f>
        <v>49</v>
      </c>
      <c r="AI53" s="1">
        <f>VLOOKUP(A53,'SegEnds_NonXtal_Prot#'!A:AL,31,FALSE)-VLOOKUP(A53,'SegEnds_NonXtal_Prot#'!A:AL,28,FALSE)</f>
        <v>44</v>
      </c>
      <c r="AJ53" s="1">
        <f>VLOOKUP(A53,'SegEnds_NonXtal_Prot#'!A:AL,34,FALSE)-VLOOKUP(A53,'SegEnds_NonXtal_Prot#'!A:AL,31,FALSE)</f>
        <v>44</v>
      </c>
      <c r="AK53" s="1">
        <f>VLOOKUP(A53,'SegEnds_NonXtal_Prot#'!A:AL,37,FALSE)-VLOOKUP(A53,'SegEnds_NonXtal_Prot#'!A:AL,34,FALSE)</f>
        <v>10</v>
      </c>
      <c r="AL53" s="1" t="str">
        <f>IF(ISERROR(MATCH(A53,'SegEnds_Xtal_Prot#'!B:B, 0)), "NoXtal", "Xtal")</f>
        <v>Xtal</v>
      </c>
    </row>
    <row r="54" spans="1:38" x14ac:dyDescent="0.2">
      <c r="A54" s="1" t="s">
        <v>171</v>
      </c>
      <c r="B54" s="1" t="str">
        <f>VLOOKUP(A54,Xtal_Templ!A:B,2,FALSE)</f>
        <v>ccr5_human</v>
      </c>
      <c r="C54" s="5">
        <f>VLOOKUP($B54&amp;"__wt",'SegEnds_Xtal_BW#'!$A:$Z,3,FALSE)</f>
        <v>24</v>
      </c>
      <c r="D54" s="1">
        <f>VLOOKUP($B54&amp;"__wt",'SegEnds_Xtal_BW#'!$A:$Z,4,FALSE)</f>
        <v>60</v>
      </c>
      <c r="E54" s="1">
        <f>VLOOKUP($B54&amp;"__wt",'SegEnds_Xtal_BW#'!$A:$Z,5,FALSE)</f>
        <v>48</v>
      </c>
      <c r="F54" s="1">
        <f>VLOOKUP($B54&amp;"__wt",'SegEnds_Xtal_BW#'!$A:$Z,6,FALSE)</f>
        <v>51</v>
      </c>
      <c r="G54" s="1">
        <v>37</v>
      </c>
      <c r="H54" s="12">
        <v>66</v>
      </c>
      <c r="I54" s="1">
        <f>VLOOKUP($B54&amp;"__wt",'SegEnds_Xtal_BW#'!$A:$Z,9,FALSE)</f>
        <v>49</v>
      </c>
      <c r="J54" s="1">
        <f>VLOOKUP($B54&amp;"__wt",'SegEnds_Xtal_BW#'!$A:$Z,10,FALSE)</f>
        <v>52</v>
      </c>
      <c r="K54" s="12">
        <v>21</v>
      </c>
      <c r="L54" s="1">
        <f>VLOOKUP($B54&amp;"__wt",'SegEnds_Xtal_BW#'!$A:$Z,12,FALSE)</f>
        <v>56</v>
      </c>
      <c r="M54" s="1">
        <f>VLOOKUP($B54&amp;"__wt",'SegEnds_Xtal_BW#'!$A:$Z,13,FALSE)</f>
        <v>50</v>
      </c>
      <c r="N54" s="12">
        <f>VLOOKUP($B54&amp;"__wt",'SegEnds_Xtal_BW#'!$A:$Z,14,FALSE)</f>
        <v>57</v>
      </c>
      <c r="O54" s="87">
        <f>VLOOKUP($B54&amp;"__wt",'SegEnds_Xtal_BW#'!$A:$Z,15,FALSE)</f>
        <v>38</v>
      </c>
      <c r="P54" s="1">
        <f>VLOOKUP($B54&amp;"__wt",'SegEnds_Xtal_BW#'!$A:$Z,16,FALSE)</f>
        <v>64</v>
      </c>
      <c r="Q54" s="1">
        <f>VLOOKUP($B54&amp;"__wt",'SegEnds_Xtal_BW#'!$A:$Z,17,FALSE)</f>
        <v>50</v>
      </c>
      <c r="R54" s="1">
        <f>VLOOKUP($B54&amp;"__wt",'SegEnds_Xtal_BW#'!$A:$Z,18,FALSE)</f>
        <v>52</v>
      </c>
      <c r="S54" s="1">
        <f>VLOOKUP($B54&amp;"__wt",'SegEnds_Xtal_BW#'!$A:$Z,19,FALSE)</f>
        <v>30</v>
      </c>
      <c r="T54" s="1">
        <f t="array" ref="T54">INDEX(ICL3_classA!$G$2:$G$37,MATCH(MIN(ABS(AI54-ICL3_classA!$F$2:$F$37)),ABS(AI54-ICL3_classA!$F$2:$F$37),0))</f>
        <v>68</v>
      </c>
      <c r="U54" s="1">
        <f t="array" ref="U54">INDEX(ICL3_classA!$H$2:$H$37,MATCH(MIN(ABS(AI54-ICL3_classA!$F$2:$F$37)),ABS(AI54-ICL3_classA!$F$2:$F$37),0))</f>
        <v>30</v>
      </c>
      <c r="V54" s="1">
        <v>65</v>
      </c>
      <c r="W54" s="1">
        <v>24</v>
      </c>
      <c r="X54" s="1">
        <f>VLOOKUP($B54&amp;"__wt",'SegEnds_Xtal_BW#'!$A:$Z,24,FALSE)</f>
        <v>56</v>
      </c>
      <c r="Y54" s="1">
        <f>VLOOKUP($B54&amp;"__wt",'SegEnds_Xtal_BW#'!$A:$Z,25,FALSE)</f>
        <v>47</v>
      </c>
      <c r="Z54" s="1">
        <f>VLOOKUP($B54&amp;"__wt",'SegEnds_Xtal_BW#'!$A:$Z,26,FALSE)</f>
        <v>59</v>
      </c>
      <c r="AA54" s="27" t="str">
        <f>VLOOKUP(A54,Classification!A:B,2,FALSE)</f>
        <v>A</v>
      </c>
      <c r="AB54" s="1">
        <f>VLOOKUP(A54,'SegEnds_NonXtal_Prot#'!A:AL,10,FALSE)-VLOOKUP(A54,'SegEnds_NonXtal_Prot#'!A:AL,4,FALSE)</f>
        <v>28</v>
      </c>
      <c r="AC54" s="1">
        <f>VLOOKUP(A54,'SegEnds_NonXtal_Prot#'!A:AL,10,FALSE)-VLOOKUP(A54,'SegEnds_NonXtal_Prot#'!A:AL,7,FALSE)</f>
        <v>15</v>
      </c>
      <c r="AD54" s="1">
        <f>VLOOKUP(A54,'SegEnds_NonXtal_Prot#'!A:AL,13,FALSE)-VLOOKUP(A54,'SegEnds_NonXtal_Prot#'!A:AL,10,FALSE)</f>
        <v>19</v>
      </c>
      <c r="AE54" s="1">
        <f>VLOOKUP(A54,'SegEnds_NonXtal_Prot#'!A:AL,16,FALSE)-VLOOKUP(A54,'SegEnds_NonXtal_Prot#'!A:AL,10,FALSE)</f>
        <v>51</v>
      </c>
      <c r="AF54" s="1">
        <f>VLOOKUP(A54,'SegEnds_NonXtal_Prot#'!A:AL,22,FALSE)-VLOOKUP(A54,'SegEnds_NonXtal_Prot#'!A:AL,19,FALSE)</f>
        <v>20</v>
      </c>
      <c r="AG54" s="1">
        <f>VLOOKUP(A54,'SegEnds_NonXtal_Prot#'!A:AL,28,FALSE)-VLOOKUP(A54,'SegEnds_NonXtal_Prot#'!A:AL,25,FALSE)</f>
        <v>28</v>
      </c>
      <c r="AH54" s="1">
        <f>VLOOKUP(A54,'SegEnds_NonXtal_Prot#'!A:AL,28,FALSE)-VLOOKUP(A54,'SegEnds_NonXtal_Prot#'!A:AL,22,FALSE)</f>
        <v>53</v>
      </c>
      <c r="AI54" s="1">
        <f>VLOOKUP(A54,'SegEnds_NonXtal_Prot#'!A:AL,31,FALSE)-VLOOKUP(A54,'SegEnds_NonXtal_Prot#'!A:AL,28,FALSE)</f>
        <v>43</v>
      </c>
      <c r="AJ54" s="1">
        <f>VLOOKUP(A54,'SegEnds_NonXtal_Prot#'!A:AL,34,FALSE)-VLOOKUP(A54,'SegEnds_NonXtal_Prot#'!A:AL,31,FALSE)</f>
        <v>44</v>
      </c>
      <c r="AK54" s="1">
        <f>VLOOKUP(A54,'SegEnds_NonXtal_Prot#'!A:AL,37,FALSE)-VLOOKUP(A54,'SegEnds_NonXtal_Prot#'!A:AL,34,FALSE)</f>
        <v>10</v>
      </c>
      <c r="AL54" s="1" t="str">
        <f>IF(ISERROR(MATCH(A54,'SegEnds_Xtal_Prot#'!B:B, 0)), "NoXtal", "Xtal")</f>
        <v>NoXtal</v>
      </c>
    </row>
    <row r="55" spans="1:38" x14ac:dyDescent="0.2">
      <c r="A55" s="1" t="s">
        <v>172</v>
      </c>
      <c r="B55" s="1" t="str">
        <f>VLOOKUP(A55,Xtal_Templ!A:B,2,FALSE)</f>
        <v>ccr5_human</v>
      </c>
      <c r="C55" s="5">
        <f>VLOOKUP($B55&amp;"__wt",'SegEnds_Xtal_BW#'!$A:$Z,3,FALSE)</f>
        <v>24</v>
      </c>
      <c r="D55" s="1">
        <f>VLOOKUP($B55&amp;"__wt",'SegEnds_Xtal_BW#'!$A:$Z,4,FALSE)</f>
        <v>60</v>
      </c>
      <c r="E55" s="1">
        <f>VLOOKUP($B55&amp;"__wt",'SegEnds_Xtal_BW#'!$A:$Z,5,FALSE)</f>
        <v>48</v>
      </c>
      <c r="F55" s="1">
        <f>VLOOKUP($B55&amp;"__wt",'SegEnds_Xtal_BW#'!$A:$Z,6,FALSE)</f>
        <v>51</v>
      </c>
      <c r="G55" s="1">
        <v>37</v>
      </c>
      <c r="H55" s="12">
        <v>66</v>
      </c>
      <c r="I55" s="1">
        <f>VLOOKUP($B55&amp;"__wt",'SegEnds_Xtal_BW#'!$A:$Z,9,FALSE)</f>
        <v>49</v>
      </c>
      <c r="J55" s="1">
        <f>VLOOKUP($B55&amp;"__wt",'SegEnds_Xtal_BW#'!$A:$Z,10,FALSE)</f>
        <v>52</v>
      </c>
      <c r="K55" s="12">
        <v>24</v>
      </c>
      <c r="L55" s="1">
        <f>VLOOKUP($B55&amp;"__wt",'SegEnds_Xtal_BW#'!$A:$Z,12,FALSE)</f>
        <v>56</v>
      </c>
      <c r="M55" s="1">
        <f>VLOOKUP($B55&amp;"__wt",'SegEnds_Xtal_BW#'!$A:$Z,13,FALSE)</f>
        <v>50</v>
      </c>
      <c r="N55" s="12">
        <f>VLOOKUP($B55&amp;"__wt",'SegEnds_Xtal_BW#'!$A:$Z,14,FALSE)</f>
        <v>57</v>
      </c>
      <c r="O55" s="87">
        <v>38</v>
      </c>
      <c r="P55" s="1">
        <f>VLOOKUP($B55&amp;"__wt",'SegEnds_Xtal_BW#'!$A:$Z,16,FALSE)</f>
        <v>64</v>
      </c>
      <c r="Q55" s="1">
        <f>VLOOKUP($B55&amp;"__wt",'SegEnds_Xtal_BW#'!$A:$Z,17,FALSE)</f>
        <v>50</v>
      </c>
      <c r="R55" s="1">
        <f>VLOOKUP($B55&amp;"__wt",'SegEnds_Xtal_BW#'!$A:$Z,18,FALSE)</f>
        <v>52</v>
      </c>
      <c r="S55" s="1">
        <f>VLOOKUP($B55&amp;"__wt",'SegEnds_Xtal_BW#'!$A:$Z,19,FALSE)</f>
        <v>30</v>
      </c>
      <c r="T55" s="1">
        <f t="array" ref="T55">INDEX(ICL3_classA!$G$2:$G$37,MATCH(MIN(ABS(AI55-ICL3_classA!$F$2:$F$37)),ABS(AI55-ICL3_classA!$F$2:$F$37),0))</f>
        <v>68</v>
      </c>
      <c r="U55" s="1">
        <f t="array" ref="U55">INDEX(ICL3_classA!$H$2:$H$37,MATCH(MIN(ABS(AI55-ICL3_classA!$F$2:$F$37)),ABS(AI55-ICL3_classA!$F$2:$F$37),0))</f>
        <v>30</v>
      </c>
      <c r="V55" s="1">
        <v>65</v>
      </c>
      <c r="W55" s="1">
        <v>24</v>
      </c>
      <c r="X55" s="1">
        <f>VLOOKUP($B55&amp;"__wt",'SegEnds_Xtal_BW#'!$A:$Z,24,FALSE)</f>
        <v>56</v>
      </c>
      <c r="Y55" s="1">
        <f>VLOOKUP($B55&amp;"__wt",'SegEnds_Xtal_BW#'!$A:$Z,25,FALSE)</f>
        <v>47</v>
      </c>
      <c r="Z55" s="1">
        <f>VLOOKUP($B55&amp;"__wt",'SegEnds_Xtal_BW#'!$A:$Z,26,FALSE)</f>
        <v>59</v>
      </c>
      <c r="AA55" s="27" t="str">
        <f>VLOOKUP(A55,Classification!A:B,2,FALSE)</f>
        <v>A</v>
      </c>
      <c r="AB55" s="1">
        <f>VLOOKUP(A55,'SegEnds_NonXtal_Prot#'!A:AL,10,FALSE)-VLOOKUP(A55,'SegEnds_NonXtal_Prot#'!A:AL,4,FALSE)</f>
        <v>28</v>
      </c>
      <c r="AC55" s="1">
        <f>VLOOKUP(A55,'SegEnds_NonXtal_Prot#'!A:AL,10,FALSE)-VLOOKUP(A55,'SegEnds_NonXtal_Prot#'!A:AL,7,FALSE)</f>
        <v>15</v>
      </c>
      <c r="AD55" s="1">
        <f>VLOOKUP(A55,'SegEnds_NonXtal_Prot#'!A:AL,13,FALSE)-VLOOKUP(A55,'SegEnds_NonXtal_Prot#'!A:AL,10,FALSE)</f>
        <v>18</v>
      </c>
      <c r="AE55" s="1">
        <f>VLOOKUP(A55,'SegEnds_NonXtal_Prot#'!A:AL,16,FALSE)-VLOOKUP(A55,'SegEnds_NonXtal_Prot#'!A:AL,10,FALSE)</f>
        <v>50</v>
      </c>
      <c r="AF55" s="1">
        <f>VLOOKUP(A55,'SegEnds_NonXtal_Prot#'!A:AL,22,FALSE)-VLOOKUP(A55,'SegEnds_NonXtal_Prot#'!A:AL,19,FALSE)</f>
        <v>20</v>
      </c>
      <c r="AG55" s="1">
        <f>VLOOKUP(A55,'SegEnds_NonXtal_Prot#'!A:AL,28,FALSE)-VLOOKUP(A55,'SegEnds_NonXtal_Prot#'!A:AL,25,FALSE)</f>
        <v>27</v>
      </c>
      <c r="AH55" s="1">
        <f>VLOOKUP(A55,'SegEnds_NonXtal_Prot#'!A:AL,28,FALSE)-VLOOKUP(A55,'SegEnds_NonXtal_Prot#'!A:AL,22,FALSE)</f>
        <v>52</v>
      </c>
      <c r="AI55" s="1">
        <f>VLOOKUP(A55,'SegEnds_NonXtal_Prot#'!A:AL,31,FALSE)-VLOOKUP(A55,'SegEnds_NonXtal_Prot#'!A:AL,28,FALSE)</f>
        <v>43</v>
      </c>
      <c r="AJ55" s="1">
        <f>VLOOKUP(A55,'SegEnds_NonXtal_Prot#'!A:AL,34,FALSE)-VLOOKUP(A55,'SegEnds_NonXtal_Prot#'!A:AL,31,FALSE)</f>
        <v>44</v>
      </c>
      <c r="AK55" s="1">
        <f>VLOOKUP(A55,'SegEnds_NonXtal_Prot#'!A:AL,37,FALSE)-VLOOKUP(A55,'SegEnds_NonXtal_Prot#'!A:AL,34,FALSE)</f>
        <v>10</v>
      </c>
      <c r="AL55" s="1" t="str">
        <f>IF(ISERROR(MATCH(A55,'SegEnds_Xtal_Prot#'!B:B, 0)), "NoXtal", "Xtal")</f>
        <v>NoXtal</v>
      </c>
    </row>
    <row r="56" spans="1:38" x14ac:dyDescent="0.2">
      <c r="A56" s="1" t="s">
        <v>173</v>
      </c>
      <c r="B56" s="1" t="str">
        <f>VLOOKUP(A56,Xtal_Templ!A:B,2,FALSE)</f>
        <v>ccr5_human</v>
      </c>
      <c r="C56" s="5">
        <f>VLOOKUP($B56&amp;"__wt",'SegEnds_Xtal_BW#'!$A:$Z,3,FALSE)</f>
        <v>24</v>
      </c>
      <c r="D56" s="1">
        <f>VLOOKUP($B56&amp;"__wt",'SegEnds_Xtal_BW#'!$A:$Z,4,FALSE)</f>
        <v>60</v>
      </c>
      <c r="E56" s="1">
        <f>VLOOKUP($B56&amp;"__wt",'SegEnds_Xtal_BW#'!$A:$Z,5,FALSE)</f>
        <v>48</v>
      </c>
      <c r="F56" s="1">
        <f>VLOOKUP($B56&amp;"__wt",'SegEnds_Xtal_BW#'!$A:$Z,6,FALSE)</f>
        <v>51</v>
      </c>
      <c r="G56" s="1">
        <v>37</v>
      </c>
      <c r="H56" s="12">
        <v>66</v>
      </c>
      <c r="I56" s="1">
        <f>VLOOKUP($B56&amp;"__wt",'SegEnds_Xtal_BW#'!$A:$Z,9,FALSE)</f>
        <v>49</v>
      </c>
      <c r="J56" s="1">
        <f>VLOOKUP($B56&amp;"__wt",'SegEnds_Xtal_BW#'!$A:$Z,10,FALSE)</f>
        <v>52</v>
      </c>
      <c r="K56" s="12">
        <v>24</v>
      </c>
      <c r="L56" s="1">
        <f>VLOOKUP($B56&amp;"__wt",'SegEnds_Xtal_BW#'!$A:$Z,12,FALSE)</f>
        <v>56</v>
      </c>
      <c r="M56" s="1">
        <f>VLOOKUP($B56&amp;"__wt",'SegEnds_Xtal_BW#'!$A:$Z,13,FALSE)</f>
        <v>50</v>
      </c>
      <c r="N56" s="12">
        <f>VLOOKUP($B56&amp;"__wt",'SegEnds_Xtal_BW#'!$A:$Z,14,FALSE)</f>
        <v>57</v>
      </c>
      <c r="O56" s="87">
        <f>VLOOKUP($B56&amp;"__wt",'SegEnds_Xtal_BW#'!$A:$Z,15,FALSE)</f>
        <v>38</v>
      </c>
      <c r="P56" s="1">
        <f>VLOOKUP($B56&amp;"__wt",'SegEnds_Xtal_BW#'!$A:$Z,16,FALSE)</f>
        <v>64</v>
      </c>
      <c r="Q56" s="1">
        <f>VLOOKUP($B56&amp;"__wt",'SegEnds_Xtal_BW#'!$A:$Z,17,FALSE)</f>
        <v>50</v>
      </c>
      <c r="R56" s="1">
        <f>VLOOKUP($B56&amp;"__wt",'SegEnds_Xtal_BW#'!$A:$Z,18,FALSE)</f>
        <v>52</v>
      </c>
      <c r="S56" s="1">
        <f>VLOOKUP($B56&amp;"__wt",'SegEnds_Xtal_BW#'!$A:$Z,19,FALSE)</f>
        <v>30</v>
      </c>
      <c r="T56" s="1">
        <f t="array" ref="T56">INDEX(ICL3_classA!$G$2:$G$37,MATCH(MIN(ABS(AI56-ICL3_classA!$F$2:$F$37)),ABS(AI56-ICL3_classA!$F$2:$F$37),0))</f>
        <v>68</v>
      </c>
      <c r="U56" s="1">
        <f t="array" ref="U56">INDEX(ICL3_classA!$H$2:$H$37,MATCH(MIN(ABS(AI56-ICL3_classA!$F$2:$F$37)),ABS(AI56-ICL3_classA!$F$2:$F$37),0))</f>
        <v>28</v>
      </c>
      <c r="V56" s="1">
        <v>65</v>
      </c>
      <c r="W56" s="1">
        <v>24</v>
      </c>
      <c r="X56" s="1">
        <f>VLOOKUP($B56&amp;"__wt",'SegEnds_Xtal_BW#'!$A:$Z,24,FALSE)</f>
        <v>56</v>
      </c>
      <c r="Y56" s="1">
        <f>VLOOKUP($B56&amp;"__wt",'SegEnds_Xtal_BW#'!$A:$Z,25,FALSE)</f>
        <v>47</v>
      </c>
      <c r="Z56" s="1">
        <f>VLOOKUP($B56&amp;"__wt",'SegEnds_Xtal_BW#'!$A:$Z,26,FALSE)</f>
        <v>59</v>
      </c>
      <c r="AA56" s="27" t="str">
        <f>VLOOKUP(A56,Classification!A:B,2,FALSE)</f>
        <v>A</v>
      </c>
      <c r="AB56" s="1">
        <f>VLOOKUP(A56,'SegEnds_NonXtal_Prot#'!A:AL,10,FALSE)-VLOOKUP(A56,'SegEnds_NonXtal_Prot#'!A:AL,4,FALSE)</f>
        <v>28</v>
      </c>
      <c r="AC56" s="1">
        <f>VLOOKUP(A56,'SegEnds_NonXtal_Prot#'!A:AL,10,FALSE)-VLOOKUP(A56,'SegEnds_NonXtal_Prot#'!A:AL,7,FALSE)</f>
        <v>15</v>
      </c>
      <c r="AD56" s="1">
        <f>VLOOKUP(A56,'SegEnds_NonXtal_Prot#'!A:AL,13,FALSE)-VLOOKUP(A56,'SegEnds_NonXtal_Prot#'!A:AL,10,FALSE)</f>
        <v>18</v>
      </c>
      <c r="AE56" s="1">
        <f>VLOOKUP(A56,'SegEnds_NonXtal_Prot#'!A:AL,16,FALSE)-VLOOKUP(A56,'SegEnds_NonXtal_Prot#'!A:AL,10,FALSE)</f>
        <v>50</v>
      </c>
      <c r="AF56" s="1">
        <f>VLOOKUP(A56,'SegEnds_NonXtal_Prot#'!A:AL,22,FALSE)-VLOOKUP(A56,'SegEnds_NonXtal_Prot#'!A:AL,19,FALSE)</f>
        <v>20</v>
      </c>
      <c r="AG56" s="1">
        <f>VLOOKUP(A56,'SegEnds_NonXtal_Prot#'!A:AL,28,FALSE)-VLOOKUP(A56,'SegEnds_NonXtal_Prot#'!A:AL,25,FALSE)</f>
        <v>28</v>
      </c>
      <c r="AH56" s="1">
        <f>VLOOKUP(A56,'SegEnds_NonXtal_Prot#'!A:AL,28,FALSE)-VLOOKUP(A56,'SegEnds_NonXtal_Prot#'!A:AL,22,FALSE)</f>
        <v>53</v>
      </c>
      <c r="AI56" s="1">
        <f>VLOOKUP(A56,'SegEnds_NonXtal_Prot#'!A:AL,31,FALSE)-VLOOKUP(A56,'SegEnds_NonXtal_Prot#'!A:AL,28,FALSE)</f>
        <v>44</v>
      </c>
      <c r="AJ56" s="1">
        <f>VLOOKUP(A56,'SegEnds_NonXtal_Prot#'!A:AL,34,FALSE)-VLOOKUP(A56,'SegEnds_NonXtal_Prot#'!A:AL,31,FALSE)</f>
        <v>44</v>
      </c>
      <c r="AK56" s="1">
        <f>VLOOKUP(A56,'SegEnds_NonXtal_Prot#'!A:AL,37,FALSE)-VLOOKUP(A56,'SegEnds_NonXtal_Prot#'!A:AL,34,FALSE)</f>
        <v>10</v>
      </c>
      <c r="AL56" s="1" t="str">
        <f>IF(ISERROR(MATCH(A56,'SegEnds_Xtal_Prot#'!B:B, 0)), "NoXtal", "Xtal")</f>
        <v>Xtal</v>
      </c>
    </row>
    <row r="57" spans="1:38" x14ac:dyDescent="0.2">
      <c r="A57" s="12" t="s">
        <v>174</v>
      </c>
      <c r="B57" s="12" t="str">
        <f>VLOOKUP(A57,Xtal_Templ!A:B,2,FALSE)</f>
        <v>ccr9_human</v>
      </c>
      <c r="C57" s="13">
        <f>VLOOKUP($B57&amp;"__wt",'SegEnds_Xtal_BW#'!$A:$Z,3,FALSE)</f>
        <v>27</v>
      </c>
      <c r="D57" s="12">
        <f>VLOOKUP($B57&amp;"__wt",'SegEnds_Xtal_BW#'!$A:$Z,4,FALSE)</f>
        <v>60</v>
      </c>
      <c r="E57" s="12">
        <f>VLOOKUP($B57&amp;"__wt",'SegEnds_Xtal_BW#'!$A:$Z,5,FALSE)</f>
        <v>48</v>
      </c>
      <c r="F57" s="12">
        <f>VLOOKUP($B57&amp;"__wt",'SegEnds_Xtal_BW#'!$A:$Z,6,FALSE)</f>
        <v>51</v>
      </c>
      <c r="G57" s="12">
        <v>37</v>
      </c>
      <c r="H57" s="12">
        <v>66</v>
      </c>
      <c r="I57" s="12">
        <f>VLOOKUP($B57&amp;"__wt",'SegEnds_Xtal_BW#'!$A:$Z,9,FALSE)</f>
        <v>49</v>
      </c>
      <c r="J57" s="12">
        <f>VLOOKUP($B57&amp;"__wt",'SegEnds_Xtal_BW#'!$A:$Z,10,FALSE)</f>
        <v>52</v>
      </c>
      <c r="K57" s="12">
        <v>21</v>
      </c>
      <c r="L57" s="12">
        <f>VLOOKUP($B57&amp;"__wt",'SegEnds_Xtal_BW#'!$A:$Z,12,FALSE)</f>
        <v>56</v>
      </c>
      <c r="M57" s="12">
        <f>VLOOKUP($B57&amp;"__wt",'SegEnds_Xtal_BW#'!$A:$Z,13,FALSE)</f>
        <v>50</v>
      </c>
      <c r="N57" s="12">
        <v>58</v>
      </c>
      <c r="O57" s="87">
        <v>38</v>
      </c>
      <c r="P57" s="12">
        <f>VLOOKUP($B57&amp;"__wt",'SegEnds_Xtal_BW#'!$A:$Z,16,FALSE)</f>
        <v>64</v>
      </c>
      <c r="Q57" s="12">
        <f>VLOOKUP($B57&amp;"__wt",'SegEnds_Xtal_BW#'!$A:$Z,17,FALSE)</f>
        <v>50</v>
      </c>
      <c r="R57" s="12">
        <f>VLOOKUP($B57&amp;"__wt",'SegEnds_Xtal_BW#'!$A:$Z,18,FALSE)</f>
        <v>52</v>
      </c>
      <c r="S57" s="12">
        <f>VLOOKUP($B57&amp;"__wt",'SegEnds_Xtal_BW#'!$A:$Z,19,FALSE)</f>
        <v>33</v>
      </c>
      <c r="T57" s="12">
        <f t="array" ref="T57">INDEX(ICL3_classA!$G$2:$G$37,MATCH(MIN(ABS(AI57-ICL3_classA!$F$2:$F$37)),ABS(AI57-ICL3_classA!$F$2:$F$37),0))</f>
        <v>68</v>
      </c>
      <c r="U57" s="12">
        <f t="array" ref="U57">INDEX(ICL3_classA!$H$2:$H$37,MATCH(MIN(ABS(AI57-ICL3_classA!$F$2:$F$37)),ABS(AI57-ICL3_classA!$F$2:$F$37),0))</f>
        <v>30</v>
      </c>
      <c r="V57" s="12">
        <v>65</v>
      </c>
      <c r="W57" s="12">
        <v>24</v>
      </c>
      <c r="X57" s="12">
        <f>VLOOKUP($B57&amp;"__wt",'SegEnds_Xtal_BW#'!$A:$Z,24,FALSE)</f>
        <v>56</v>
      </c>
      <c r="Y57" s="12">
        <f>VLOOKUP($B57&amp;"__wt",'SegEnds_Xtal_BW#'!$A:$Z,25,FALSE)</f>
        <v>47</v>
      </c>
      <c r="Z57" s="12">
        <f>VLOOKUP($B57&amp;"__wt",'SegEnds_Xtal_BW#'!$A:$Z,26,FALSE)</f>
        <v>67</v>
      </c>
      <c r="AA57" s="36" t="str">
        <f>VLOOKUP(A57,Classification!A:B,2,FALSE)</f>
        <v>A</v>
      </c>
      <c r="AB57" s="1">
        <f>VLOOKUP(A57,'SegEnds_NonXtal_Prot#'!A:AL,10,FALSE)-VLOOKUP(A57,'SegEnds_NonXtal_Prot#'!A:AL,4,FALSE)</f>
        <v>28</v>
      </c>
      <c r="AC57" s="12">
        <f>VLOOKUP(A57,'SegEnds_NonXtal_Prot#'!A:AL,10,FALSE)-VLOOKUP(A57,'SegEnds_NonXtal_Prot#'!A:AL,7,FALSE)</f>
        <v>15</v>
      </c>
      <c r="AD57" s="12">
        <f>VLOOKUP(A57,'SegEnds_NonXtal_Prot#'!A:AL,13,FALSE)-VLOOKUP(A57,'SegEnds_NonXtal_Prot#'!A:AL,10,FALSE)</f>
        <v>19</v>
      </c>
      <c r="AE57" s="12">
        <f>VLOOKUP(A57,'SegEnds_NonXtal_Prot#'!A:AL,16,FALSE)-VLOOKUP(A57,'SegEnds_NonXtal_Prot#'!A:AL,10,FALSE)</f>
        <v>51</v>
      </c>
      <c r="AF57" s="1">
        <f>VLOOKUP(A57,'SegEnds_NonXtal_Prot#'!A:AL,22,FALSE)-VLOOKUP(A57,'SegEnds_NonXtal_Prot#'!A:AL,19,FALSE)</f>
        <v>22</v>
      </c>
      <c r="AG57" s="12">
        <f>VLOOKUP(A57,'SegEnds_NonXtal_Prot#'!A:AL,28,FALSE)-VLOOKUP(A57,'SegEnds_NonXtal_Prot#'!A:AL,25,FALSE)</f>
        <v>29</v>
      </c>
      <c r="AH57" s="1">
        <f>VLOOKUP(A57,'SegEnds_NonXtal_Prot#'!A:AL,28,FALSE)-VLOOKUP(A57,'SegEnds_NonXtal_Prot#'!A:AL,22,FALSE)</f>
        <v>54</v>
      </c>
      <c r="AI57" s="12">
        <f>VLOOKUP(A57,'SegEnds_NonXtal_Prot#'!A:AL,31,FALSE)-VLOOKUP(A57,'SegEnds_NonXtal_Prot#'!A:AL,28,FALSE)</f>
        <v>43</v>
      </c>
      <c r="AJ57" s="12">
        <f>VLOOKUP(A57,'SegEnds_NonXtal_Prot#'!A:AL,34,FALSE)-VLOOKUP(A57,'SegEnds_NonXtal_Prot#'!A:AL,31,FALSE)</f>
        <v>44</v>
      </c>
      <c r="AK57" s="1">
        <f>VLOOKUP(A57,'SegEnds_NonXtal_Prot#'!A:AL,37,FALSE)-VLOOKUP(A57,'SegEnds_NonXtal_Prot#'!A:AL,34,FALSE)</f>
        <v>10</v>
      </c>
      <c r="AL57" s="12" t="str">
        <f>IF(ISERROR(MATCH(A57,'SegEnds_Xtal_Prot#'!B:B, 0)), "NoXtal", "Xtal")</f>
        <v>NoXtal</v>
      </c>
    </row>
    <row r="58" spans="1:38" x14ac:dyDescent="0.2">
      <c r="A58" s="12" t="s">
        <v>175</v>
      </c>
      <c r="B58" s="12" t="str">
        <f>VLOOKUP(A58,Xtal_Templ!A:B,2,FALSE)</f>
        <v>ccr9_human</v>
      </c>
      <c r="C58" s="13">
        <f>VLOOKUP($B58&amp;"__wt",'SegEnds_Xtal_BW#'!$A:$Z,3,FALSE)</f>
        <v>27</v>
      </c>
      <c r="D58" s="12">
        <f>VLOOKUP($B58&amp;"__wt",'SegEnds_Xtal_BW#'!$A:$Z,4,FALSE)</f>
        <v>60</v>
      </c>
      <c r="E58" s="12">
        <f>VLOOKUP($B58&amp;"__wt",'SegEnds_Xtal_BW#'!$A:$Z,5,FALSE)</f>
        <v>48</v>
      </c>
      <c r="F58" s="12">
        <f>VLOOKUP($B58&amp;"__wt",'SegEnds_Xtal_BW#'!$A:$Z,6,FALSE)</f>
        <v>51</v>
      </c>
      <c r="G58" s="12">
        <v>37</v>
      </c>
      <c r="H58" s="12">
        <v>66</v>
      </c>
      <c r="I58" s="12">
        <f>VLOOKUP($B58&amp;"__wt",'SegEnds_Xtal_BW#'!$A:$Z,9,FALSE)</f>
        <v>49</v>
      </c>
      <c r="J58" s="12">
        <f>VLOOKUP($B58&amp;"__wt",'SegEnds_Xtal_BW#'!$A:$Z,10,FALSE)</f>
        <v>52</v>
      </c>
      <c r="K58" s="12">
        <v>24</v>
      </c>
      <c r="L58" s="12">
        <f>VLOOKUP($B58&amp;"__wt",'SegEnds_Xtal_BW#'!$A:$Z,12,FALSE)</f>
        <v>56</v>
      </c>
      <c r="M58" s="12">
        <f>VLOOKUP($B58&amp;"__wt",'SegEnds_Xtal_BW#'!$A:$Z,13,FALSE)</f>
        <v>50</v>
      </c>
      <c r="N58" s="12">
        <v>58</v>
      </c>
      <c r="O58" s="87">
        <v>38</v>
      </c>
      <c r="P58" s="12">
        <f>VLOOKUP($B58&amp;"__wt",'SegEnds_Xtal_BW#'!$A:$Z,16,FALSE)</f>
        <v>64</v>
      </c>
      <c r="Q58" s="12">
        <f>VLOOKUP($B58&amp;"__wt",'SegEnds_Xtal_BW#'!$A:$Z,17,FALSE)</f>
        <v>50</v>
      </c>
      <c r="R58" s="12">
        <f>VLOOKUP($B58&amp;"__wt",'SegEnds_Xtal_BW#'!$A:$Z,18,FALSE)</f>
        <v>52</v>
      </c>
      <c r="S58" s="12">
        <f>VLOOKUP($B58&amp;"__wt",'SegEnds_Xtal_BW#'!$A:$Z,19,FALSE)</f>
        <v>33</v>
      </c>
      <c r="T58" s="12">
        <f t="array" ref="T58">INDEX(ICL3_classA!$G$2:$G$37,MATCH(MIN(ABS(AI58-ICL3_classA!$F$2:$F$37)),ABS(AI58-ICL3_classA!$F$2:$F$37),0))</f>
        <v>68</v>
      </c>
      <c r="U58" s="12">
        <f t="array" ref="U58">INDEX(ICL3_classA!$H$2:$H$37,MATCH(MIN(ABS(AI58-ICL3_classA!$F$2:$F$37)),ABS(AI58-ICL3_classA!$F$2:$F$37),0))</f>
        <v>30</v>
      </c>
      <c r="V58" s="12">
        <v>65</v>
      </c>
      <c r="W58" s="12">
        <v>24</v>
      </c>
      <c r="X58" s="12">
        <f>VLOOKUP($B58&amp;"__wt",'SegEnds_Xtal_BW#'!$A:$Z,24,FALSE)</f>
        <v>56</v>
      </c>
      <c r="Y58" s="12">
        <f>VLOOKUP($B58&amp;"__wt",'SegEnds_Xtal_BW#'!$A:$Z,25,FALSE)</f>
        <v>47</v>
      </c>
      <c r="Z58" s="12">
        <f>VLOOKUP($B58&amp;"__wt",'SegEnds_Xtal_BW#'!$A:$Z,26,FALSE)</f>
        <v>67</v>
      </c>
      <c r="AA58" s="36" t="str">
        <f>VLOOKUP(A58,Classification!A:B,2,FALSE)</f>
        <v>A</v>
      </c>
      <c r="AB58" s="1">
        <f>VLOOKUP(A58,'SegEnds_NonXtal_Prot#'!A:AL,10,FALSE)-VLOOKUP(A58,'SegEnds_NonXtal_Prot#'!A:AL,4,FALSE)</f>
        <v>28</v>
      </c>
      <c r="AC58" s="12">
        <f>VLOOKUP(A58,'SegEnds_NonXtal_Prot#'!A:AL,10,FALSE)-VLOOKUP(A58,'SegEnds_NonXtal_Prot#'!A:AL,7,FALSE)</f>
        <v>15</v>
      </c>
      <c r="AD58" s="12">
        <f>VLOOKUP(A58,'SegEnds_NonXtal_Prot#'!A:AL,13,FALSE)-VLOOKUP(A58,'SegEnds_NonXtal_Prot#'!A:AL,10,FALSE)</f>
        <v>18</v>
      </c>
      <c r="AE58" s="12">
        <f>VLOOKUP(A58,'SegEnds_NonXtal_Prot#'!A:AL,16,FALSE)-VLOOKUP(A58,'SegEnds_NonXtal_Prot#'!A:AL,10,FALSE)</f>
        <v>50</v>
      </c>
      <c r="AF58" s="1">
        <f>VLOOKUP(A58,'SegEnds_NonXtal_Prot#'!A:AL,22,FALSE)-VLOOKUP(A58,'SegEnds_NonXtal_Prot#'!A:AL,19,FALSE)</f>
        <v>22</v>
      </c>
      <c r="AG58" s="12">
        <f>VLOOKUP(A58,'SegEnds_NonXtal_Prot#'!A:AL,28,FALSE)-VLOOKUP(A58,'SegEnds_NonXtal_Prot#'!A:AL,25,FALSE)</f>
        <v>25</v>
      </c>
      <c r="AH58" s="1">
        <f>VLOOKUP(A58,'SegEnds_NonXtal_Prot#'!A:AL,28,FALSE)-VLOOKUP(A58,'SegEnds_NonXtal_Prot#'!A:AL,22,FALSE)</f>
        <v>52</v>
      </c>
      <c r="AI58" s="12">
        <f>VLOOKUP(A58,'SegEnds_NonXtal_Prot#'!A:AL,31,FALSE)-VLOOKUP(A58,'SegEnds_NonXtal_Prot#'!A:AL,28,FALSE)</f>
        <v>43</v>
      </c>
      <c r="AJ58" s="12">
        <f>VLOOKUP(A58,'SegEnds_NonXtal_Prot#'!A:AL,34,FALSE)-VLOOKUP(A58,'SegEnds_NonXtal_Prot#'!A:AL,31,FALSE)</f>
        <v>45</v>
      </c>
      <c r="AK58" s="1">
        <f>VLOOKUP(A58,'SegEnds_NonXtal_Prot#'!A:AL,37,FALSE)-VLOOKUP(A58,'SegEnds_NonXtal_Prot#'!A:AL,34,FALSE)</f>
        <v>10</v>
      </c>
      <c r="AL58" s="12" t="str">
        <f>IF(ISERROR(MATCH(A58,'SegEnds_Xtal_Prot#'!B:B, 0)), "NoXtal", "Xtal")</f>
        <v>NoXtal</v>
      </c>
    </row>
    <row r="59" spans="1:38" x14ac:dyDescent="0.2">
      <c r="A59" s="1" t="s">
        <v>176</v>
      </c>
      <c r="B59" s="1" t="str">
        <f>VLOOKUP(A59,Xtal_Templ!A:B,2,FALSE)</f>
        <v>ccr5_human</v>
      </c>
      <c r="C59" s="5">
        <f>VLOOKUP($B59&amp;"__wt",'SegEnds_Xtal_BW#'!$A:$Z,3,FALSE)</f>
        <v>24</v>
      </c>
      <c r="D59" s="1">
        <f>VLOOKUP($B59&amp;"__wt",'SegEnds_Xtal_BW#'!$A:$Z,4,FALSE)</f>
        <v>60</v>
      </c>
      <c r="E59" s="1">
        <f>VLOOKUP($B59&amp;"__wt",'SegEnds_Xtal_BW#'!$A:$Z,5,FALSE)</f>
        <v>48</v>
      </c>
      <c r="F59" s="1">
        <f>VLOOKUP($B59&amp;"__wt",'SegEnds_Xtal_BW#'!$A:$Z,6,FALSE)</f>
        <v>51</v>
      </c>
      <c r="G59" s="1">
        <v>37</v>
      </c>
      <c r="H59" s="12">
        <v>66</v>
      </c>
      <c r="I59" s="1">
        <f>VLOOKUP($B59&amp;"__wt",'SegEnds_Xtal_BW#'!$A:$Z,9,FALSE)</f>
        <v>49</v>
      </c>
      <c r="J59" s="1">
        <f>VLOOKUP($B59&amp;"__wt",'SegEnds_Xtal_BW#'!$A:$Z,10,FALSE)</f>
        <v>52</v>
      </c>
      <c r="K59" s="12">
        <v>24</v>
      </c>
      <c r="L59" s="1">
        <f>VLOOKUP($B59&amp;"__wt",'SegEnds_Xtal_BW#'!$A:$Z,12,FALSE)</f>
        <v>56</v>
      </c>
      <c r="M59" s="1">
        <f>VLOOKUP($B59&amp;"__wt",'SegEnds_Xtal_BW#'!$A:$Z,13,FALSE)</f>
        <v>50</v>
      </c>
      <c r="N59" s="12">
        <v>57</v>
      </c>
      <c r="O59" s="87">
        <v>38</v>
      </c>
      <c r="P59" s="1">
        <f>VLOOKUP($B59&amp;"__wt",'SegEnds_Xtal_BW#'!$A:$Z,16,FALSE)</f>
        <v>64</v>
      </c>
      <c r="Q59" s="1">
        <f>VLOOKUP($B59&amp;"__wt",'SegEnds_Xtal_BW#'!$A:$Z,17,FALSE)</f>
        <v>50</v>
      </c>
      <c r="R59" s="1">
        <f>VLOOKUP($B59&amp;"__wt",'SegEnds_Xtal_BW#'!$A:$Z,18,FALSE)</f>
        <v>52</v>
      </c>
      <c r="S59" s="1">
        <f>VLOOKUP($B59&amp;"__wt",'SegEnds_Xtal_BW#'!$A:$Z,19,FALSE)</f>
        <v>30</v>
      </c>
      <c r="T59" s="1">
        <f t="array" ref="T59">INDEX(ICL3_classA!$G$2:$G$37,MATCH(MIN(ABS(AI59-ICL3_classA!$F$2:$F$37)),ABS(AI59-ICL3_classA!$F$2:$F$37),0))</f>
        <v>68</v>
      </c>
      <c r="U59" s="1">
        <f t="array" ref="U59">INDEX(ICL3_classA!$H$2:$H$37,MATCH(MIN(ABS(AI59-ICL3_classA!$F$2:$F$37)),ABS(AI59-ICL3_classA!$F$2:$F$37),0))</f>
        <v>30</v>
      </c>
      <c r="V59" s="1">
        <v>65</v>
      </c>
      <c r="W59" s="1">
        <v>24</v>
      </c>
      <c r="X59" s="1">
        <f>VLOOKUP($B59&amp;"__wt",'SegEnds_Xtal_BW#'!$A:$Z,24,FALSE)</f>
        <v>56</v>
      </c>
      <c r="Y59" s="1">
        <f>VLOOKUP($B59&amp;"__wt",'SegEnds_Xtal_BW#'!$A:$Z,25,FALSE)</f>
        <v>47</v>
      </c>
      <c r="Z59" s="1">
        <f>VLOOKUP($B59&amp;"__wt",'SegEnds_Xtal_BW#'!$A:$Z,26,FALSE)</f>
        <v>59</v>
      </c>
      <c r="AA59" s="27" t="str">
        <f>VLOOKUP(A59,Classification!A:B,2,FALSE)</f>
        <v>A</v>
      </c>
      <c r="AB59" s="1">
        <f>VLOOKUP(A59,'SegEnds_NonXtal_Prot#'!A:AL,10,FALSE)-VLOOKUP(A59,'SegEnds_NonXtal_Prot#'!A:AL,4,FALSE)</f>
        <v>28</v>
      </c>
      <c r="AC59" s="1">
        <f>VLOOKUP(A59,'SegEnds_NonXtal_Prot#'!A:AL,10,FALSE)-VLOOKUP(A59,'SegEnds_NonXtal_Prot#'!A:AL,7,FALSE)</f>
        <v>15</v>
      </c>
      <c r="AD59" s="1">
        <f>VLOOKUP(A59,'SegEnds_NonXtal_Prot#'!A:AL,13,FALSE)-VLOOKUP(A59,'SegEnds_NonXtal_Prot#'!A:AL,10,FALSE)</f>
        <v>18</v>
      </c>
      <c r="AE59" s="1">
        <f>VLOOKUP(A59,'SegEnds_NonXtal_Prot#'!A:AL,16,FALSE)-VLOOKUP(A59,'SegEnds_NonXtal_Prot#'!A:AL,10,FALSE)</f>
        <v>50</v>
      </c>
      <c r="AF59" s="1">
        <f>VLOOKUP(A59,'SegEnds_NonXtal_Prot#'!A:AL,22,FALSE)-VLOOKUP(A59,'SegEnds_NonXtal_Prot#'!A:AL,19,FALSE)</f>
        <v>20</v>
      </c>
      <c r="AG59" s="1">
        <f>VLOOKUP(A59,'SegEnds_NonXtal_Prot#'!A:AL,28,FALSE)-VLOOKUP(A59,'SegEnds_NonXtal_Prot#'!A:AL,25,FALSE)</f>
        <v>27</v>
      </c>
      <c r="AH59" s="1">
        <f>VLOOKUP(A59,'SegEnds_NonXtal_Prot#'!A:AL,28,FALSE)-VLOOKUP(A59,'SegEnds_NonXtal_Prot#'!A:AL,22,FALSE)</f>
        <v>52</v>
      </c>
      <c r="AI59" s="1">
        <f>VLOOKUP(A59,'SegEnds_NonXtal_Prot#'!A:AL,31,FALSE)-VLOOKUP(A59,'SegEnds_NonXtal_Prot#'!A:AL,28,FALSE)</f>
        <v>43</v>
      </c>
      <c r="AJ59" s="1">
        <f>VLOOKUP(A59,'SegEnds_NonXtal_Prot#'!A:AL,34,FALSE)-VLOOKUP(A59,'SegEnds_NonXtal_Prot#'!A:AL,31,FALSE)</f>
        <v>44</v>
      </c>
      <c r="AK59" s="1">
        <f>VLOOKUP(A59,'SegEnds_NonXtal_Prot#'!A:AL,37,FALSE)-VLOOKUP(A59,'SegEnds_NonXtal_Prot#'!A:AL,34,FALSE)</f>
        <v>10</v>
      </c>
      <c r="AL59" s="1" t="str">
        <f>IF(ISERROR(MATCH(A59,'SegEnds_Xtal_Prot#'!B:B, 0)), "NoXtal", "Xtal")</f>
        <v>NoXtal</v>
      </c>
    </row>
    <row r="60" spans="1:38" x14ac:dyDescent="0.2">
      <c r="A60" s="12" t="s">
        <v>177</v>
      </c>
      <c r="B60" s="12" t="str">
        <f>VLOOKUP(A60,Xtal_Templ!A:B,2,FALSE)</f>
        <v>ccr9_human</v>
      </c>
      <c r="C60" s="13">
        <f>VLOOKUP($B60&amp;"__wt",'SegEnds_Xtal_BW#'!$A:$Z,3,FALSE)</f>
        <v>27</v>
      </c>
      <c r="D60" s="12">
        <f>VLOOKUP($B60&amp;"__wt",'SegEnds_Xtal_BW#'!$A:$Z,4,FALSE)</f>
        <v>60</v>
      </c>
      <c r="E60" s="12">
        <f>VLOOKUP($B60&amp;"__wt",'SegEnds_Xtal_BW#'!$A:$Z,5,FALSE)</f>
        <v>48</v>
      </c>
      <c r="F60" s="12">
        <f>VLOOKUP($B60&amp;"__wt",'SegEnds_Xtal_BW#'!$A:$Z,6,FALSE)</f>
        <v>51</v>
      </c>
      <c r="G60" s="12">
        <v>37</v>
      </c>
      <c r="H60" s="12">
        <v>66</v>
      </c>
      <c r="I60" s="12">
        <f>VLOOKUP($B60&amp;"__wt",'SegEnds_Xtal_BW#'!$A:$Z,9,FALSE)</f>
        <v>49</v>
      </c>
      <c r="J60" s="12">
        <f>VLOOKUP($B60&amp;"__wt",'SegEnds_Xtal_BW#'!$A:$Z,10,FALSE)</f>
        <v>52</v>
      </c>
      <c r="K60" s="12">
        <v>24</v>
      </c>
      <c r="L60" s="12">
        <f>VLOOKUP($B60&amp;"__wt",'SegEnds_Xtal_BW#'!$A:$Z,12,FALSE)</f>
        <v>56</v>
      </c>
      <c r="M60" s="12">
        <f>VLOOKUP($B60&amp;"__wt",'SegEnds_Xtal_BW#'!$A:$Z,13,FALSE)</f>
        <v>50</v>
      </c>
      <c r="N60" s="12">
        <f>VLOOKUP($B60&amp;"__wt",'SegEnds_Xtal_BW#'!$A:$Z,14,FALSE)</f>
        <v>56</v>
      </c>
      <c r="O60" s="87">
        <f>VLOOKUP($B60&amp;"__wt",'SegEnds_Xtal_BW#'!$A:$Z,15,FALSE)</f>
        <v>35</v>
      </c>
      <c r="P60" s="12">
        <f>VLOOKUP($B60&amp;"__wt",'SegEnds_Xtal_BW#'!$A:$Z,16,FALSE)</f>
        <v>64</v>
      </c>
      <c r="Q60" s="12">
        <f>VLOOKUP($B60&amp;"__wt",'SegEnds_Xtal_BW#'!$A:$Z,17,FALSE)</f>
        <v>50</v>
      </c>
      <c r="R60" s="12">
        <f>VLOOKUP($B60&amp;"__wt",'SegEnds_Xtal_BW#'!$A:$Z,18,FALSE)</f>
        <v>52</v>
      </c>
      <c r="S60" s="12">
        <f>VLOOKUP($B60&amp;"__wt",'SegEnds_Xtal_BW#'!$A:$Z,19,FALSE)</f>
        <v>33</v>
      </c>
      <c r="T60" s="12">
        <f t="array" ref="T60">INDEX(ICL3_classA!$G$2:$G$37,MATCH(MIN(ABS(AI60-ICL3_classA!$F$2:$F$37)),ABS(AI60-ICL3_classA!$F$2:$F$37),0))</f>
        <v>68</v>
      </c>
      <c r="U60" s="12">
        <f t="array" ref="U60">INDEX(ICL3_classA!$H$2:$H$37,MATCH(MIN(ABS(AI60-ICL3_classA!$F$2:$F$37)),ABS(AI60-ICL3_classA!$F$2:$F$37),0))</f>
        <v>30</v>
      </c>
      <c r="V60" s="12">
        <v>65</v>
      </c>
      <c r="W60" s="12">
        <v>24</v>
      </c>
      <c r="X60" s="12">
        <f>VLOOKUP($B60&amp;"__wt",'SegEnds_Xtal_BW#'!$A:$Z,24,FALSE)</f>
        <v>56</v>
      </c>
      <c r="Y60" s="12">
        <f>VLOOKUP($B60&amp;"__wt",'SegEnds_Xtal_BW#'!$A:$Z,25,FALSE)</f>
        <v>47</v>
      </c>
      <c r="Z60" s="12">
        <f>VLOOKUP($B60&amp;"__wt",'SegEnds_Xtal_BW#'!$A:$Z,26,FALSE)</f>
        <v>67</v>
      </c>
      <c r="AA60" s="36" t="str">
        <f>VLOOKUP(A60,Classification!A:B,2,FALSE)</f>
        <v>A</v>
      </c>
      <c r="AB60" s="1">
        <f>VLOOKUP(A60,'SegEnds_NonXtal_Prot#'!A:AL,10,FALSE)-VLOOKUP(A60,'SegEnds_NonXtal_Prot#'!A:AL,4,FALSE)</f>
        <v>28</v>
      </c>
      <c r="AC60" s="12">
        <f>VLOOKUP(A60,'SegEnds_NonXtal_Prot#'!A:AL,10,FALSE)-VLOOKUP(A60,'SegEnds_NonXtal_Prot#'!A:AL,7,FALSE)</f>
        <v>15</v>
      </c>
      <c r="AD60" s="12">
        <f>VLOOKUP(A60,'SegEnds_NonXtal_Prot#'!A:AL,13,FALSE)-VLOOKUP(A60,'SegEnds_NonXtal_Prot#'!A:AL,10,FALSE)</f>
        <v>18</v>
      </c>
      <c r="AE60" s="12">
        <f>VLOOKUP(A60,'SegEnds_NonXtal_Prot#'!A:AL,16,FALSE)-VLOOKUP(A60,'SegEnds_NonXtal_Prot#'!A:AL,10,FALSE)</f>
        <v>50</v>
      </c>
      <c r="AF60" s="1">
        <f>VLOOKUP(A60,'SegEnds_NonXtal_Prot#'!A:AL,22,FALSE)-VLOOKUP(A60,'SegEnds_NonXtal_Prot#'!A:AL,19,FALSE)</f>
        <v>22</v>
      </c>
      <c r="AG60" s="12">
        <f>VLOOKUP(A60,'SegEnds_NonXtal_Prot#'!A:AL,28,FALSE)-VLOOKUP(A60,'SegEnds_NonXtal_Prot#'!A:AL,25,FALSE)</f>
        <v>28</v>
      </c>
      <c r="AH60" s="1">
        <f>VLOOKUP(A60,'SegEnds_NonXtal_Prot#'!A:AL,28,FALSE)-VLOOKUP(A60,'SegEnds_NonXtal_Prot#'!A:AL,22,FALSE)</f>
        <v>53</v>
      </c>
      <c r="AI60" s="12">
        <f>VLOOKUP(A60,'SegEnds_NonXtal_Prot#'!A:AL,31,FALSE)-VLOOKUP(A60,'SegEnds_NonXtal_Prot#'!A:AL,28,FALSE)</f>
        <v>43</v>
      </c>
      <c r="AJ60" s="12">
        <f>VLOOKUP(A60,'SegEnds_NonXtal_Prot#'!A:AL,34,FALSE)-VLOOKUP(A60,'SegEnds_NonXtal_Prot#'!A:AL,31,FALSE)</f>
        <v>45</v>
      </c>
      <c r="AK60" s="1">
        <f>VLOOKUP(A60,'SegEnds_NonXtal_Prot#'!A:AL,37,FALSE)-VLOOKUP(A60,'SegEnds_NonXtal_Prot#'!A:AL,34,FALSE)</f>
        <v>10</v>
      </c>
      <c r="AL60" s="12" t="str">
        <f>IF(ISERROR(MATCH(A60,'SegEnds_Xtal_Prot#'!B:B, 0)), "NoXtal", "Xtal")</f>
        <v>Xtal</v>
      </c>
    </row>
    <row r="61" spans="1:38" x14ac:dyDescent="0.2">
      <c r="A61" s="1" t="s">
        <v>178</v>
      </c>
      <c r="B61" s="1" t="str">
        <f>VLOOKUP(A61,Xtal_Templ!A:B,2,FALSE)</f>
        <v>ccr5_human</v>
      </c>
      <c r="C61" s="5">
        <f>VLOOKUP($B61&amp;"__wt",'SegEnds_Xtal_BW#'!$A:$Z,3,FALSE)</f>
        <v>24</v>
      </c>
      <c r="D61" s="1">
        <f>VLOOKUP($B61&amp;"__wt",'SegEnds_Xtal_BW#'!$A:$Z,4,FALSE)</f>
        <v>60</v>
      </c>
      <c r="E61" s="1">
        <f>VLOOKUP($B61&amp;"__wt",'SegEnds_Xtal_BW#'!$A:$Z,5,FALSE)</f>
        <v>48</v>
      </c>
      <c r="F61" s="1">
        <f>VLOOKUP($B61&amp;"__wt",'SegEnds_Xtal_BW#'!$A:$Z,6,FALSE)</f>
        <v>51</v>
      </c>
      <c r="G61" s="1">
        <v>37</v>
      </c>
      <c r="H61" s="12">
        <v>63</v>
      </c>
      <c r="I61" s="1">
        <f>VLOOKUP($B61&amp;"__wt",'SegEnds_Xtal_BW#'!$A:$Z,9,FALSE)</f>
        <v>49</v>
      </c>
      <c r="J61" s="1">
        <f>VLOOKUP($B61&amp;"__wt",'SegEnds_Xtal_BW#'!$A:$Z,10,FALSE)</f>
        <v>52</v>
      </c>
      <c r="K61" s="108">
        <v>24</v>
      </c>
      <c r="L61" s="1">
        <f>VLOOKUP($B61&amp;"__wt",'SegEnds_Xtal_BW#'!$A:$Z,12,FALSE)</f>
        <v>56</v>
      </c>
      <c r="M61" s="1">
        <f>VLOOKUP($B61&amp;"__wt",'SegEnds_Xtal_BW#'!$A:$Z,13,FALSE)</f>
        <v>50</v>
      </c>
      <c r="N61" s="12">
        <v>58</v>
      </c>
      <c r="O61" s="87">
        <v>38</v>
      </c>
      <c r="P61" s="1">
        <f>VLOOKUP($B61&amp;"__wt",'SegEnds_Xtal_BW#'!$A:$Z,16,FALSE)</f>
        <v>64</v>
      </c>
      <c r="Q61" s="1">
        <f>VLOOKUP($B61&amp;"__wt",'SegEnds_Xtal_BW#'!$A:$Z,17,FALSE)</f>
        <v>50</v>
      </c>
      <c r="R61" s="1">
        <f>VLOOKUP($B61&amp;"__wt",'SegEnds_Xtal_BW#'!$A:$Z,18,FALSE)</f>
        <v>52</v>
      </c>
      <c r="S61" s="1">
        <f>VLOOKUP($B61&amp;"__wt",'SegEnds_Xtal_BW#'!$A:$Z,19,FALSE)</f>
        <v>30</v>
      </c>
      <c r="T61" s="1">
        <f t="array" ref="T61">INDEX(ICL3_classA!$G$2:$G$37,MATCH(MIN(ABS(AI61-ICL3_classA!$F$2:$F$37)),ABS(AI61-ICL3_classA!$F$2:$F$37),0))</f>
        <v>67</v>
      </c>
      <c r="U61" s="1">
        <f t="array" ref="U61">INDEX(ICL3_classA!$H$2:$H$37,MATCH(MIN(ABS(AI61-ICL3_classA!$F$2:$F$37)),ABS(AI61-ICL3_classA!$F$2:$F$37),0))</f>
        <v>30</v>
      </c>
      <c r="V61" s="1">
        <v>64</v>
      </c>
      <c r="W61" s="1">
        <v>24</v>
      </c>
      <c r="X61" s="1">
        <f>VLOOKUP($B61&amp;"__wt",'SegEnds_Xtal_BW#'!$A:$Z,24,FALSE)</f>
        <v>56</v>
      </c>
      <c r="Y61" s="1">
        <f>VLOOKUP($B61&amp;"__wt",'SegEnds_Xtal_BW#'!$A:$Z,25,FALSE)</f>
        <v>47</v>
      </c>
      <c r="Z61" s="1">
        <f>VLOOKUP($B61&amp;"__wt",'SegEnds_Xtal_BW#'!$A:$Z,26,FALSE)</f>
        <v>59</v>
      </c>
      <c r="AA61" s="27" t="str">
        <f>VLOOKUP(A61,Classification!A:B,2,FALSE)</f>
        <v>A</v>
      </c>
      <c r="AB61" s="1">
        <f>VLOOKUP(A61,'SegEnds_NonXtal_Prot#'!A:AL,10,FALSE)-VLOOKUP(A61,'SegEnds_NonXtal_Prot#'!A:AL,4,FALSE)</f>
        <v>28</v>
      </c>
      <c r="AC61" s="1">
        <f>VLOOKUP(A61,'SegEnds_NonXtal_Prot#'!A:AL,10,FALSE)-VLOOKUP(A61,'SegEnds_NonXtal_Prot#'!A:AL,7,FALSE)</f>
        <v>15</v>
      </c>
      <c r="AD61" s="1" t="e">
        <f>VLOOKUP(A61,'SegEnds_NonXtal_Prot#'!A:AL,13,FALSE)-VLOOKUP(A61,'SegEnds_NonXtal_Prot#'!A:AL,10,FALSE)</f>
        <v>#VALUE!</v>
      </c>
      <c r="AE61" s="1">
        <f>VLOOKUP(A61,'SegEnds_NonXtal_Prot#'!A:AL,16,FALSE)-VLOOKUP(A61,'SegEnds_NonXtal_Prot#'!A:AL,10,FALSE)</f>
        <v>44</v>
      </c>
      <c r="AF61" s="1">
        <f>VLOOKUP(A61,'SegEnds_NonXtal_Prot#'!A:AL,22,FALSE)-VLOOKUP(A61,'SegEnds_NonXtal_Prot#'!A:AL,19,FALSE)</f>
        <v>21</v>
      </c>
      <c r="AG61" s="1">
        <f>VLOOKUP(A61,'SegEnds_NonXtal_Prot#'!A:AL,28,FALSE)-VLOOKUP(A61,'SegEnds_NonXtal_Prot#'!A:AL,25,FALSE)</f>
        <v>31</v>
      </c>
      <c r="AH61" s="1">
        <f>VLOOKUP(A61,'SegEnds_NonXtal_Prot#'!A:AL,28,FALSE)-VLOOKUP(A61,'SegEnds_NonXtal_Prot#'!A:AL,22,FALSE)</f>
        <v>56</v>
      </c>
      <c r="AI61" s="1">
        <f>VLOOKUP(A61,'SegEnds_NonXtal_Prot#'!A:AL,31,FALSE)-VLOOKUP(A61,'SegEnds_NonXtal_Prot#'!A:AL,28,FALSE)</f>
        <v>41</v>
      </c>
      <c r="AJ61" s="1">
        <f>VLOOKUP(A61,'SegEnds_NonXtal_Prot#'!A:AL,34,FALSE)-VLOOKUP(A61,'SegEnds_NonXtal_Prot#'!A:AL,31,FALSE)</f>
        <v>44</v>
      </c>
      <c r="AK61" s="1">
        <f>VLOOKUP(A61,'SegEnds_NonXtal_Prot#'!A:AL,37,FALSE)-VLOOKUP(A61,'SegEnds_NonXtal_Prot#'!A:AL,34,FALSE)</f>
        <v>10</v>
      </c>
      <c r="AL61" s="1" t="str">
        <f>IF(ISERROR(MATCH(A61,'SegEnds_Xtal_Prot#'!B:B, 0)), "NoXtal", "Xtal")</f>
        <v>NoXtal</v>
      </c>
    </row>
    <row r="62" spans="1:38" x14ac:dyDescent="0.2">
      <c r="A62" s="1" t="s">
        <v>179</v>
      </c>
      <c r="B62" s="1" t="str">
        <f>VLOOKUP(A62,Xtal_Templ!A:B,2,FALSE)</f>
        <v>p2ry1_human</v>
      </c>
      <c r="C62" s="5">
        <f>VLOOKUP($B62&amp;"__wt",'SegEnds_Xtal_BW#'!$A:$Z,3,FALSE)</f>
        <v>30</v>
      </c>
      <c r="D62" s="1">
        <f>VLOOKUP($B62&amp;"__wt",'SegEnds_Xtal_BW#'!$A:$Z,4,FALSE)</f>
        <v>60</v>
      </c>
      <c r="E62" s="1" t="str">
        <f>VLOOKUP($B62&amp;"__wt",'SegEnds_Xtal_BW#'!$A:$Z,5,FALSE)</f>
        <v>-</v>
      </c>
      <c r="F62" s="1" t="str">
        <f>VLOOKUP($B62&amp;"__wt",'SegEnds_Xtal_BW#'!$A:$Z,6,FALSE)</f>
        <v>-</v>
      </c>
      <c r="G62" s="1">
        <v>37</v>
      </c>
      <c r="H62" s="12">
        <f>VLOOKUP($B62&amp;"__wt",'SegEnds_Xtal_BW#'!$A:$Z,8,FALSE)</f>
        <v>66</v>
      </c>
      <c r="I62" s="1">
        <f>VLOOKUP($B62&amp;"__wt",'SegEnds_Xtal_BW#'!$A:$Z,9,FALSE)</f>
        <v>49</v>
      </c>
      <c r="J62" s="1">
        <f>VLOOKUP($B62&amp;"__wt",'SegEnds_Xtal_BW#'!$A:$Z,10,FALSE)</f>
        <v>52</v>
      </c>
      <c r="K62" s="12">
        <v>18</v>
      </c>
      <c r="L62" s="1">
        <f>VLOOKUP($B62&amp;"__wt",'SegEnds_Xtal_BW#'!$A:$Z,12,FALSE)</f>
        <v>56</v>
      </c>
      <c r="M62" s="1">
        <f>VLOOKUP($B62&amp;"__wt",'SegEnds_Xtal_BW#'!$A:$Z,13,FALSE)</f>
        <v>50</v>
      </c>
      <c r="N62" s="12">
        <v>57</v>
      </c>
      <c r="O62" s="87">
        <f>VLOOKUP($B62&amp;"__wt",'SegEnds_Xtal_BW#'!$A:$Z,15,FALSE)</f>
        <v>38</v>
      </c>
      <c r="P62" s="1">
        <f>VLOOKUP($B62&amp;"__wt",'SegEnds_Xtal_BW#'!$A:$Z,16,FALSE)</f>
        <v>64</v>
      </c>
      <c r="Q62" s="1">
        <f>VLOOKUP($B62&amp;"__wt",'SegEnds_Xtal_BW#'!$A:$Z,17,FALSE)</f>
        <v>50</v>
      </c>
      <c r="R62" s="1">
        <f>VLOOKUP($B62&amp;"__wt",'SegEnds_Xtal_BW#'!$A:$Z,18,FALSE)</f>
        <v>52</v>
      </c>
      <c r="S62" s="1">
        <f>VLOOKUP($B62&amp;"__wt",'SegEnds_Xtal_BW#'!$A:$Z,19,FALSE)</f>
        <v>32</v>
      </c>
      <c r="T62" s="1">
        <f t="array" ref="T62">INDEX(ICL3_classA!$G$2:$G$37,MATCH(MIN(ABS(AI62-ICL3_classA!$F$2:$F$37)),ABS(AI62-ICL3_classA!$F$2:$F$37),0))</f>
        <v>67</v>
      </c>
      <c r="U62" s="1">
        <f t="array" ref="U62">INDEX(ICL3_classA!$H$2:$H$37,MATCH(MIN(ABS(AI62-ICL3_classA!$F$2:$F$37)),ABS(AI62-ICL3_classA!$F$2:$F$37),0))</f>
        <v>26</v>
      </c>
      <c r="V62" s="1">
        <v>64</v>
      </c>
      <c r="W62" s="1">
        <v>24</v>
      </c>
      <c r="X62" s="1">
        <f>VLOOKUP($B62&amp;"__wt",'SegEnds_Xtal_BW#'!$A:$Z,24,FALSE)</f>
        <v>56</v>
      </c>
      <c r="Y62" s="1">
        <f>VLOOKUP($B62&amp;"__wt",'SegEnds_Xtal_BW#'!$A:$Z,25,FALSE)</f>
        <v>47</v>
      </c>
      <c r="Z62" s="1">
        <f>VLOOKUP($B62&amp;"__wt",'SegEnds_Xtal_BW#'!$A:$Z,26,FALSE)</f>
        <v>59</v>
      </c>
      <c r="AA62" s="27" t="str">
        <f>VLOOKUP(A62,Classification!A:B,2,FALSE)</f>
        <v>A</v>
      </c>
      <c r="AB62" s="1">
        <f>VLOOKUP(A62,'SegEnds_NonXtal_Prot#'!A:AL,10,FALSE)-VLOOKUP(A62,'SegEnds_NonXtal_Prot#'!A:AL,4,FALSE)</f>
        <v>28</v>
      </c>
      <c r="AC62" s="1" t="e">
        <f>VLOOKUP(A62,'SegEnds_NonXtal_Prot#'!A:AL,10,FALSE)-VLOOKUP(A62,'SegEnds_NonXtal_Prot#'!A:AL,7,FALSE)</f>
        <v>#VALUE!</v>
      </c>
      <c r="AD62" s="1">
        <f>VLOOKUP(A62,'SegEnds_NonXtal_Prot#'!A:AL,13,FALSE)-VLOOKUP(A62,'SegEnds_NonXtal_Prot#'!A:AL,10,FALSE)</f>
        <v>20</v>
      </c>
      <c r="AE62" s="1">
        <f>VLOOKUP(A62,'SegEnds_NonXtal_Prot#'!A:AL,16,FALSE)-VLOOKUP(A62,'SegEnds_NonXtal_Prot#'!A:AL,10,FALSE)</f>
        <v>52</v>
      </c>
      <c r="AF62" s="1">
        <f>VLOOKUP(A62,'SegEnds_NonXtal_Prot#'!A:AL,22,FALSE)-VLOOKUP(A62,'SegEnds_NonXtal_Prot#'!A:AL,19,FALSE)</f>
        <v>20</v>
      </c>
      <c r="AG62" s="1">
        <f>VLOOKUP(A62,'SegEnds_NonXtal_Prot#'!A:AL,28,FALSE)-VLOOKUP(A62,'SegEnds_NonXtal_Prot#'!A:AL,25,FALSE)</f>
        <v>28</v>
      </c>
      <c r="AH62" s="1">
        <f>VLOOKUP(A62,'SegEnds_NonXtal_Prot#'!A:AL,28,FALSE)-VLOOKUP(A62,'SegEnds_NonXtal_Prot#'!A:AL,22,FALSE)</f>
        <v>53</v>
      </c>
      <c r="AI62" s="1">
        <f>VLOOKUP(A62,'SegEnds_NonXtal_Prot#'!A:AL,31,FALSE)-VLOOKUP(A62,'SegEnds_NonXtal_Prot#'!A:AL,28,FALSE)</f>
        <v>47</v>
      </c>
      <c r="AJ62" s="1">
        <f>VLOOKUP(A62,'SegEnds_NonXtal_Prot#'!A:AL,34,FALSE)-VLOOKUP(A62,'SegEnds_NonXtal_Prot#'!A:AL,31,FALSE)</f>
        <v>44</v>
      </c>
      <c r="AK62" s="1">
        <f>VLOOKUP(A62,'SegEnds_NonXtal_Prot#'!A:AL,37,FALSE)-VLOOKUP(A62,'SegEnds_NonXtal_Prot#'!A:AL,34,FALSE)</f>
        <v>10</v>
      </c>
      <c r="AL62" s="1" t="str">
        <f>IF(ISERROR(MATCH(A62,'SegEnds_Xtal_Prot#'!B:B, 0)), "NoXtal", "Xtal")</f>
        <v>NoXtal</v>
      </c>
    </row>
    <row r="63" spans="1:38" x14ac:dyDescent="0.2">
      <c r="A63" s="1" t="s">
        <v>180</v>
      </c>
      <c r="B63" s="1" t="str">
        <f>VLOOKUP(A63,Xtal_Templ!A:B,2,FALSE)</f>
        <v>p2ry1_human</v>
      </c>
      <c r="C63" s="5">
        <f>VLOOKUP($B63&amp;"__wt",'SegEnds_Xtal_BW#'!$A:$Z,3,FALSE)</f>
        <v>30</v>
      </c>
      <c r="D63" s="1">
        <f>VLOOKUP($B63&amp;"__wt",'SegEnds_Xtal_BW#'!$A:$Z,4,FALSE)</f>
        <v>60</v>
      </c>
      <c r="E63" s="1" t="str">
        <f>VLOOKUP($B63&amp;"__wt",'SegEnds_Xtal_BW#'!$A:$Z,5,FALSE)</f>
        <v>-</v>
      </c>
      <c r="F63" s="1" t="str">
        <f>VLOOKUP($B63&amp;"__wt",'SegEnds_Xtal_BW#'!$A:$Z,6,FALSE)</f>
        <v>-</v>
      </c>
      <c r="G63" s="1">
        <v>37</v>
      </c>
      <c r="H63" s="12">
        <f>VLOOKUP($B63&amp;"__wt",'SegEnds_Xtal_BW#'!$A:$Z,8,FALSE)</f>
        <v>66</v>
      </c>
      <c r="I63" s="1">
        <f>VLOOKUP($B63&amp;"__wt",'SegEnds_Xtal_BW#'!$A:$Z,9,FALSE)</f>
        <v>49</v>
      </c>
      <c r="J63" s="1">
        <f>VLOOKUP($B63&amp;"__wt",'SegEnds_Xtal_BW#'!$A:$Z,10,FALSE)</f>
        <v>52</v>
      </c>
      <c r="K63" s="12">
        <v>18</v>
      </c>
      <c r="L63" s="1">
        <f>VLOOKUP($B63&amp;"__wt",'SegEnds_Xtal_BW#'!$A:$Z,12,FALSE)</f>
        <v>56</v>
      </c>
      <c r="M63" s="1">
        <f>VLOOKUP($B63&amp;"__wt",'SegEnds_Xtal_BW#'!$A:$Z,13,FALSE)</f>
        <v>50</v>
      </c>
      <c r="N63" s="12">
        <v>57</v>
      </c>
      <c r="O63" s="87">
        <f>VLOOKUP($B63&amp;"__wt",'SegEnds_Xtal_BW#'!$A:$Z,15,FALSE)</f>
        <v>38</v>
      </c>
      <c r="P63" s="1">
        <f>VLOOKUP($B63&amp;"__wt",'SegEnds_Xtal_BW#'!$A:$Z,16,FALSE)</f>
        <v>64</v>
      </c>
      <c r="Q63" s="1">
        <f>VLOOKUP($B63&amp;"__wt",'SegEnds_Xtal_BW#'!$A:$Z,17,FALSE)</f>
        <v>50</v>
      </c>
      <c r="R63" s="1">
        <f>VLOOKUP($B63&amp;"__wt",'SegEnds_Xtal_BW#'!$A:$Z,18,FALSE)</f>
        <v>52</v>
      </c>
      <c r="S63" s="1">
        <f>VLOOKUP($B63&amp;"__wt",'SegEnds_Xtal_BW#'!$A:$Z,19,FALSE)</f>
        <v>32</v>
      </c>
      <c r="T63" s="1">
        <f t="array" ref="T63">INDEX(ICL3_classA!$G$2:$G$37,MATCH(MIN(ABS(AI63-ICL3_classA!$F$2:$F$37)),ABS(AI63-ICL3_classA!$F$2:$F$37),0))</f>
        <v>68</v>
      </c>
      <c r="U63" s="1">
        <f t="array" ref="U63">INDEX(ICL3_classA!$H$2:$H$37,MATCH(MIN(ABS(AI63-ICL3_classA!$F$2:$F$37)),ABS(AI63-ICL3_classA!$F$2:$F$37),0))</f>
        <v>24</v>
      </c>
      <c r="V63" s="1">
        <v>61</v>
      </c>
      <c r="W63" s="1">
        <v>28</v>
      </c>
      <c r="X63" s="1">
        <f>VLOOKUP($B63&amp;"__wt",'SegEnds_Xtal_BW#'!$A:$Z,24,FALSE)</f>
        <v>56</v>
      </c>
      <c r="Y63" s="1">
        <f>VLOOKUP($B63&amp;"__wt",'SegEnds_Xtal_BW#'!$A:$Z,25,FALSE)</f>
        <v>47</v>
      </c>
      <c r="Z63" s="1">
        <f>VLOOKUP($B63&amp;"__wt",'SegEnds_Xtal_BW#'!$A:$Z,26,FALSE)</f>
        <v>59</v>
      </c>
      <c r="AA63" s="27" t="str">
        <f>VLOOKUP(A63,Classification!A:B,2,FALSE)</f>
        <v>A</v>
      </c>
      <c r="AB63" s="1">
        <f>VLOOKUP(A63,'SegEnds_NonXtal_Prot#'!A:AL,10,FALSE)-VLOOKUP(A63,'SegEnds_NonXtal_Prot#'!A:AL,4,FALSE)</f>
        <v>28</v>
      </c>
      <c r="AC63" s="1" t="e">
        <f>VLOOKUP(A63,'SegEnds_NonXtal_Prot#'!A:AL,10,FALSE)-VLOOKUP(A63,'SegEnds_NonXtal_Prot#'!A:AL,7,FALSE)</f>
        <v>#VALUE!</v>
      </c>
      <c r="AD63" s="1">
        <f>VLOOKUP(A63,'SegEnds_NonXtal_Prot#'!A:AL,13,FALSE)-VLOOKUP(A63,'SegEnds_NonXtal_Prot#'!A:AL,10,FALSE)</f>
        <v>20</v>
      </c>
      <c r="AE63" s="1">
        <f>VLOOKUP(A63,'SegEnds_NonXtal_Prot#'!A:AL,16,FALSE)-VLOOKUP(A63,'SegEnds_NonXtal_Prot#'!A:AL,10,FALSE)</f>
        <v>52</v>
      </c>
      <c r="AF63" s="1">
        <f>VLOOKUP(A63,'SegEnds_NonXtal_Prot#'!A:AL,22,FALSE)-VLOOKUP(A63,'SegEnds_NonXtal_Prot#'!A:AL,19,FALSE)</f>
        <v>20</v>
      </c>
      <c r="AG63" s="1">
        <f>VLOOKUP(A63,'SegEnds_NonXtal_Prot#'!A:AL,28,FALSE)-VLOOKUP(A63,'SegEnds_NonXtal_Prot#'!A:AL,25,FALSE)</f>
        <v>26</v>
      </c>
      <c r="AH63" s="1">
        <f>VLOOKUP(A63,'SegEnds_NonXtal_Prot#'!A:AL,28,FALSE)-VLOOKUP(A63,'SegEnds_NonXtal_Prot#'!A:AL,22,FALSE)</f>
        <v>50</v>
      </c>
      <c r="AI63" s="1">
        <f>VLOOKUP(A63,'SegEnds_NonXtal_Prot#'!A:AL,31,FALSE)-VLOOKUP(A63,'SegEnds_NonXtal_Prot#'!A:AL,28,FALSE)</f>
        <v>49</v>
      </c>
      <c r="AJ63" s="1">
        <f>VLOOKUP(A63,'SegEnds_NonXtal_Prot#'!A:AL,34,FALSE)-VLOOKUP(A63,'SegEnds_NonXtal_Prot#'!A:AL,31,FALSE)</f>
        <v>40</v>
      </c>
      <c r="AK63" s="1">
        <f>VLOOKUP(A63,'SegEnds_NonXtal_Prot#'!A:AL,37,FALSE)-VLOOKUP(A63,'SegEnds_NonXtal_Prot#'!A:AL,34,FALSE)</f>
        <v>10</v>
      </c>
      <c r="AL63" s="1" t="str">
        <f>IF(ISERROR(MATCH(A63,'SegEnds_Xtal_Prot#'!B:B, 0)), "NoXtal", "Xtal")</f>
        <v>NoXtal</v>
      </c>
    </row>
    <row r="64" spans="1:38" x14ac:dyDescent="0.2">
      <c r="A64" s="1" t="s">
        <v>181</v>
      </c>
      <c r="B64" s="1" t="str">
        <f>VLOOKUP(A64,Xtal_Templ!A:B,2,FALSE)</f>
        <v>agtr1_human</v>
      </c>
      <c r="C64" s="5">
        <f>VLOOKUP($B64&amp;"__wt",'SegEnds_Xtal_BW#'!$A:$Z,3,FALSE)</f>
        <v>30</v>
      </c>
      <c r="D64" s="1">
        <f>VLOOKUP($B64&amp;"__wt",'SegEnds_Xtal_BW#'!$A:$Z,4,FALSE)</f>
        <v>60</v>
      </c>
      <c r="E64" s="1">
        <f>VLOOKUP($B64&amp;"__wt",'SegEnds_Xtal_BW#'!$A:$Z,5,FALSE)</f>
        <v>48</v>
      </c>
      <c r="F64" s="1">
        <f>VLOOKUP($B64&amp;"__wt",'SegEnds_Xtal_BW#'!$A:$Z,6,FALSE)</f>
        <v>51</v>
      </c>
      <c r="G64" s="1">
        <v>37</v>
      </c>
      <c r="H64" s="12">
        <f>VLOOKUP($B64&amp;"__wt",'SegEnds_Xtal_BW#'!$A:$Z,8,FALSE)</f>
        <v>66</v>
      </c>
      <c r="I64" s="1">
        <f>VLOOKUP($B64&amp;"__wt",'SegEnds_Xtal_BW#'!$A:$Z,9,FALSE)</f>
        <v>49</v>
      </c>
      <c r="J64" s="1">
        <f>VLOOKUP($B64&amp;"__wt",'SegEnds_Xtal_BW#'!$A:$Z,10,FALSE)</f>
        <v>52</v>
      </c>
      <c r="K64" s="12">
        <v>18</v>
      </c>
      <c r="L64" s="1">
        <f>VLOOKUP($B64&amp;"__wt",'SegEnds_Xtal_BW#'!$A:$Z,12,FALSE)</f>
        <v>56</v>
      </c>
      <c r="M64" s="1">
        <f>VLOOKUP($B64&amp;"__wt",'SegEnds_Xtal_BW#'!$A:$Z,13,FALSE)</f>
        <v>50</v>
      </c>
      <c r="N64" s="12">
        <v>57</v>
      </c>
      <c r="O64" s="87">
        <v>38</v>
      </c>
      <c r="P64" s="1">
        <f>VLOOKUP($B64&amp;"__wt",'SegEnds_Xtal_BW#'!$A:$Z,16,FALSE)</f>
        <v>64</v>
      </c>
      <c r="Q64" s="1">
        <f>VLOOKUP($B64&amp;"__wt",'SegEnds_Xtal_BW#'!$A:$Z,17,FALSE)</f>
        <v>50</v>
      </c>
      <c r="R64" s="1">
        <f>VLOOKUP($B64&amp;"__wt",'SegEnds_Xtal_BW#'!$A:$Z,18,FALSE)</f>
        <v>52</v>
      </c>
      <c r="S64" s="1">
        <f>VLOOKUP($B64&amp;"__wt",'SegEnds_Xtal_BW#'!$A:$Z,19,FALSE)</f>
        <v>34</v>
      </c>
      <c r="T64" s="1">
        <f t="array" ref="T64">INDEX(ICL3_classA!$G$2:$G$37,MATCH(MIN(ABS(AI64-ICL3_classA!$F$2:$F$37)),ABS(AI64-ICL3_classA!$F$2:$F$37),0))</f>
        <v>68</v>
      </c>
      <c r="U64" s="1">
        <f t="array" ref="U64">INDEX(ICL3_classA!$H$2:$H$37,MATCH(MIN(ABS(AI64-ICL3_classA!$F$2:$F$37)),ABS(AI64-ICL3_classA!$F$2:$F$37),0))</f>
        <v>30</v>
      </c>
      <c r="V64" s="1">
        <v>61</v>
      </c>
      <c r="W64" s="1">
        <v>28</v>
      </c>
      <c r="X64" s="1">
        <f>VLOOKUP($B64&amp;"__wt",'SegEnds_Xtal_BW#'!$A:$Z,24,FALSE)</f>
        <v>56</v>
      </c>
      <c r="Y64" s="1">
        <f>VLOOKUP($B64&amp;"__wt",'SegEnds_Xtal_BW#'!$A:$Z,25,FALSE)</f>
        <v>47</v>
      </c>
      <c r="Z64" s="1">
        <f>VLOOKUP($B64&amp;"__wt",'SegEnds_Xtal_BW#'!$A:$Z,26,FALSE)</f>
        <v>61</v>
      </c>
      <c r="AA64" s="27" t="str">
        <f>VLOOKUP(A64,Classification!A:B,2,FALSE)</f>
        <v>A</v>
      </c>
      <c r="AB64" s="1">
        <f>VLOOKUP(A64,'SegEnds_NonXtal_Prot#'!A:AL,10,FALSE)-VLOOKUP(A64,'SegEnds_NonXtal_Prot#'!A:AL,4,FALSE)</f>
        <v>27</v>
      </c>
      <c r="AC64" s="1" t="e">
        <f>VLOOKUP(A64,'SegEnds_NonXtal_Prot#'!A:AL,10,FALSE)-VLOOKUP(A64,'SegEnds_NonXtal_Prot#'!A:AL,7,FALSE)</f>
        <v>#VALUE!</v>
      </c>
      <c r="AD64" s="1">
        <f>VLOOKUP(A64,'SegEnds_NonXtal_Prot#'!A:AL,13,FALSE)-VLOOKUP(A64,'SegEnds_NonXtal_Prot#'!A:AL,10,FALSE)</f>
        <v>20</v>
      </c>
      <c r="AE64" s="1">
        <f>VLOOKUP(A64,'SegEnds_NonXtal_Prot#'!A:AL,16,FALSE)-VLOOKUP(A64,'SegEnds_NonXtal_Prot#'!A:AL,10,FALSE)</f>
        <v>52</v>
      </c>
      <c r="AF64" s="1">
        <f>VLOOKUP(A64,'SegEnds_NonXtal_Prot#'!A:AL,22,FALSE)-VLOOKUP(A64,'SegEnds_NonXtal_Prot#'!A:AL,19,FALSE)</f>
        <v>20</v>
      </c>
      <c r="AG64" s="1">
        <f>VLOOKUP(A64,'SegEnds_NonXtal_Prot#'!A:AL,28,FALSE)-VLOOKUP(A64,'SegEnds_NonXtal_Prot#'!A:AL,25,FALSE)</f>
        <v>43</v>
      </c>
      <c r="AH64" s="1">
        <f>VLOOKUP(A64,'SegEnds_NonXtal_Prot#'!A:AL,28,FALSE)-VLOOKUP(A64,'SegEnds_NonXtal_Prot#'!A:AL,22,FALSE)</f>
        <v>68</v>
      </c>
      <c r="AI64" s="1">
        <f>VLOOKUP(A64,'SegEnds_NonXtal_Prot#'!A:AL,31,FALSE)-VLOOKUP(A64,'SegEnds_NonXtal_Prot#'!A:AL,28,FALSE)</f>
        <v>43</v>
      </c>
      <c r="AJ64" s="1">
        <f>VLOOKUP(A64,'SegEnds_NonXtal_Prot#'!A:AL,34,FALSE)-VLOOKUP(A64,'SegEnds_NonXtal_Prot#'!A:AL,31,FALSE)</f>
        <v>38</v>
      </c>
      <c r="AK64" s="1">
        <f>VLOOKUP(A64,'SegEnds_NonXtal_Prot#'!A:AL,37,FALSE)-VLOOKUP(A64,'SegEnds_NonXtal_Prot#'!A:AL,34,FALSE)</f>
        <v>10</v>
      </c>
      <c r="AL64" s="1" t="str">
        <f>IF(ISERROR(MATCH(A64,'SegEnds_Xtal_Prot#'!B:B, 0)), "NoXtal", "Xtal")</f>
        <v>NoXtal</v>
      </c>
    </row>
    <row r="65" spans="1:38" x14ac:dyDescent="0.2">
      <c r="A65" s="1" t="s">
        <v>182</v>
      </c>
      <c r="B65" s="1" t="str">
        <f>VLOOKUP(A65,Xtal_Templ!A:B,2,FALSE)</f>
        <v>cnr1_human</v>
      </c>
      <c r="C65" s="5">
        <f>VLOOKUP($B65&amp;"__wt",'SegEnds_Xtal_BW#'!$A:$Z,3,FALSE)</f>
        <v>28</v>
      </c>
      <c r="D65" s="1">
        <f>VLOOKUP($B65&amp;"__wt",'SegEnds_Xtal_BW#'!$A:$Z,4,FALSE)</f>
        <v>60</v>
      </c>
      <c r="E65" s="1">
        <f>VLOOKUP($B65&amp;"__wt",'SegEnds_Xtal_BW#'!$A:$Z,5,FALSE)</f>
        <v>48</v>
      </c>
      <c r="F65" s="1">
        <f>VLOOKUP($B65&amp;"__wt",'SegEnds_Xtal_BW#'!$A:$Z,6,FALSE)</f>
        <v>51</v>
      </c>
      <c r="G65" s="1">
        <f>VLOOKUP($B65&amp;"__wt",'SegEnds_Xtal_BW#'!$A:$Z,7,FALSE)</f>
        <v>37</v>
      </c>
      <c r="H65" s="12">
        <f>VLOOKUP($B65&amp;"__wt",'SegEnds_Xtal_BW#'!$A:$Z,8,FALSE)</f>
        <v>66</v>
      </c>
      <c r="I65" s="1" t="str">
        <f>VLOOKUP($B65&amp;"__wt",'SegEnds_Xtal_BW#'!$A:$Z,9,FALSE)</f>
        <v>-</v>
      </c>
      <c r="J65" s="1" t="str">
        <f>VLOOKUP($B65&amp;"__wt",'SegEnds_Xtal_BW#'!$A:$Z,10,FALSE)</f>
        <v>-</v>
      </c>
      <c r="K65" s="12">
        <f>VLOOKUP($B65&amp;"__wt",'SegEnds_Xtal_BW#'!$A:$Z,11,FALSE)</f>
        <v>21</v>
      </c>
      <c r="L65" s="1">
        <f>VLOOKUP($B65&amp;"__wt",'SegEnds_Xtal_BW#'!$A:$Z,12,FALSE)</f>
        <v>56</v>
      </c>
      <c r="M65" s="1">
        <f>VLOOKUP($B65&amp;"__wt",'SegEnds_Xtal_BW#'!$A:$Z,13,FALSE)</f>
        <v>50</v>
      </c>
      <c r="N65" s="12">
        <f>VLOOKUP($B65&amp;"__wt",'SegEnds_Xtal_BW#'!$A:$Z,14,FALSE)</f>
        <v>57</v>
      </c>
      <c r="O65" s="87">
        <f>VLOOKUP($B65&amp;"__wt",'SegEnds_Xtal_BW#'!$A:$Z,15,FALSE)</f>
        <v>38</v>
      </c>
      <c r="P65" s="1">
        <f>VLOOKUP($B65&amp;"__wt",'SegEnds_Xtal_BW#'!$A:$Z,16,FALSE)</f>
        <v>63</v>
      </c>
      <c r="Q65" s="1" t="str">
        <f>VLOOKUP($B65&amp;"__wt",'SegEnds_Xtal_BW#'!$A:$Z,17,FALSE)</f>
        <v>-</v>
      </c>
      <c r="R65" s="1" t="str">
        <f>VLOOKUP($B65&amp;"__wt",'SegEnds_Xtal_BW#'!$A:$Z,18,FALSE)</f>
        <v>-</v>
      </c>
      <c r="S65" s="1">
        <f>VLOOKUP($B65&amp;"__wt",'SegEnds_Xtal_BW#'!$A:$Z,19,FALSE)</f>
        <v>36</v>
      </c>
      <c r="T65" s="1">
        <f t="array" ref="T65">INDEX(ICL3_classA!$G$2:$G$37,MATCH(MIN(ABS(AI65-ICL3_classA!$F$2:$F$37)),ABS(AI65-ICL3_classA!$F$2:$F$37),0))</f>
        <v>76</v>
      </c>
      <c r="U65" s="1">
        <f t="array" ref="U65">INDEX(ICL3_classA!$H$2:$H$37,MATCH(MIN(ABS(AI65-ICL3_classA!$F$2:$F$37)),ABS(AI65-ICL3_classA!$F$2:$F$37),0))</f>
        <v>24</v>
      </c>
      <c r="V65" s="1">
        <f>VLOOKUP($B65&amp;"__wt",'SegEnds_Xtal_BW#'!$A:$Z,22,FALSE)</f>
        <v>61</v>
      </c>
      <c r="W65" s="1">
        <f>VLOOKUP($B65&amp;"__wt",'SegEnds_Xtal_BW#'!$A:$Z,23,FALSE)</f>
        <v>28</v>
      </c>
      <c r="X65" s="1">
        <f>VLOOKUP($B65&amp;"__wt",'SegEnds_Xtal_BW#'!$A:$Z,24,FALSE)</f>
        <v>56</v>
      </c>
      <c r="Y65" s="1">
        <f>VLOOKUP($B65&amp;"__wt",'SegEnds_Xtal_BW#'!$A:$Z,25,FALSE)</f>
        <v>47</v>
      </c>
      <c r="Z65" s="1">
        <f>VLOOKUP($B65&amp;"__wt",'SegEnds_Xtal_BW#'!$A:$Z,26,FALSE)</f>
        <v>59</v>
      </c>
      <c r="AA65" s="27" t="str">
        <f>VLOOKUP(A65,Classification!A:B,2,FALSE)</f>
        <v>A</v>
      </c>
      <c r="AB65" s="1">
        <f>VLOOKUP(A65,'SegEnds_NonXtal_Prot#'!A:AL,10,FALSE)-VLOOKUP(A65,'SegEnds_NonXtal_Prot#'!A:AL,4,FALSE)</f>
        <v>29</v>
      </c>
      <c r="AC65" s="1">
        <f>VLOOKUP(A65,'SegEnds_NonXtal_Prot#'!A:AL,10,FALSE)-VLOOKUP(A65,'SegEnds_NonXtal_Prot#'!A:AL,7,FALSE)</f>
        <v>16</v>
      </c>
      <c r="AD65" s="1" t="e">
        <f>VLOOKUP(A65,'SegEnds_NonXtal_Prot#'!A:AL,13,FALSE)-VLOOKUP(A65,'SegEnds_NonXtal_Prot#'!A:AL,10,FALSE)</f>
        <v>#VALUE!</v>
      </c>
      <c r="AE65" s="1">
        <f>VLOOKUP(A65,'SegEnds_NonXtal_Prot#'!A:AL,16,FALSE)-VLOOKUP(A65,'SegEnds_NonXtal_Prot#'!A:AL,10,FALSE)</f>
        <v>51</v>
      </c>
      <c r="AF65" s="1">
        <f>VLOOKUP(A65,'SegEnds_NonXtal_Prot#'!A:AL,22,FALSE)-VLOOKUP(A65,'SegEnds_NonXtal_Prot#'!A:AL,19,FALSE)</f>
        <v>20</v>
      </c>
      <c r="AG65" s="1" t="e">
        <f>VLOOKUP(A65,'SegEnds_NonXtal_Prot#'!A:AL,28,FALSE)-VLOOKUP(A65,'SegEnds_NonXtal_Prot#'!A:AL,25,FALSE)</f>
        <v>#VALUE!</v>
      </c>
      <c r="AH65" s="1">
        <f>VLOOKUP(A65,'SegEnds_NonXtal_Prot#'!A:AL,28,FALSE)-VLOOKUP(A65,'SegEnds_NonXtal_Prot#'!A:AL,22,FALSE)</f>
        <v>45</v>
      </c>
      <c r="AI65" s="1">
        <f>VLOOKUP(A65,'SegEnds_NonXtal_Prot#'!A:AL,31,FALSE)-VLOOKUP(A65,'SegEnds_NonXtal_Prot#'!A:AL,28,FALSE)</f>
        <v>72</v>
      </c>
      <c r="AJ65" s="1">
        <f>VLOOKUP(A65,'SegEnds_NonXtal_Prot#'!A:AL,34,FALSE)-VLOOKUP(A65,'SegEnds_NonXtal_Prot#'!A:AL,31,FALSE)</f>
        <v>36</v>
      </c>
      <c r="AK65" s="1">
        <f>VLOOKUP(A65,'SegEnds_NonXtal_Prot#'!A:AL,37,FALSE)-VLOOKUP(A65,'SegEnds_NonXtal_Prot#'!A:AL,34,FALSE)</f>
        <v>10</v>
      </c>
      <c r="AL65" s="1" t="str">
        <f>IF(ISERROR(MATCH(A65,'SegEnds_Xtal_Prot#'!B:B, 0)), "NoXtal", "Xtal")</f>
        <v>Xtal</v>
      </c>
    </row>
    <row r="66" spans="1:38" x14ac:dyDescent="0.2">
      <c r="A66" s="1" t="s">
        <v>183</v>
      </c>
      <c r="B66" s="1" t="str">
        <f>VLOOKUP(A66,Xtal_Templ!A:B,2,FALSE)</f>
        <v>cnr1_human</v>
      </c>
      <c r="C66" s="5">
        <f>VLOOKUP($B66&amp;"__wt",'SegEnds_Xtal_BW#'!$A:$Z,3,FALSE)</f>
        <v>28</v>
      </c>
      <c r="D66" s="1">
        <f>VLOOKUP($B66&amp;"__wt",'SegEnds_Xtal_BW#'!$A:$Z,4,FALSE)</f>
        <v>60</v>
      </c>
      <c r="E66" s="1">
        <f>VLOOKUP($B66&amp;"__wt",'SegEnds_Xtal_BW#'!$A:$Z,5,FALSE)</f>
        <v>48</v>
      </c>
      <c r="F66" s="1">
        <f>VLOOKUP($B66&amp;"__wt",'SegEnds_Xtal_BW#'!$A:$Z,6,FALSE)</f>
        <v>51</v>
      </c>
      <c r="G66" s="1">
        <v>37</v>
      </c>
      <c r="H66" s="12">
        <v>66</v>
      </c>
      <c r="I66" s="1">
        <v>48</v>
      </c>
      <c r="J66" s="1">
        <v>52</v>
      </c>
      <c r="K66" s="12">
        <v>21</v>
      </c>
      <c r="L66" s="1">
        <f>VLOOKUP($B66&amp;"__wt",'SegEnds_Xtal_BW#'!$A:$Z,12,FALSE)</f>
        <v>56</v>
      </c>
      <c r="M66" s="1">
        <f>VLOOKUP($B66&amp;"__wt",'SegEnds_Xtal_BW#'!$A:$Z,13,FALSE)</f>
        <v>50</v>
      </c>
      <c r="N66" s="12">
        <v>57</v>
      </c>
      <c r="O66" s="87">
        <f>VLOOKUP($B66&amp;"__wt",'SegEnds_Xtal_BW#'!$A:$Z,15,FALSE)</f>
        <v>38</v>
      </c>
      <c r="P66" s="1">
        <f>VLOOKUP($B66&amp;"__wt",'SegEnds_Xtal_BW#'!$A:$Z,16,FALSE)</f>
        <v>63</v>
      </c>
      <c r="Q66" s="1" t="str">
        <f>VLOOKUP($B66&amp;"__wt",'SegEnds_Xtal_BW#'!$A:$Z,17,FALSE)</f>
        <v>-</v>
      </c>
      <c r="R66" s="1" t="str">
        <f>VLOOKUP($B66&amp;"__wt",'SegEnds_Xtal_BW#'!$A:$Z,18,FALSE)</f>
        <v>-</v>
      </c>
      <c r="S66" s="1">
        <f>VLOOKUP($B66&amp;"__wt",'SegEnds_Xtal_BW#'!$A:$Z,19,FALSE)</f>
        <v>36</v>
      </c>
      <c r="T66" s="1">
        <f t="array" ref="T66">INDEX(ICL3_classA!$G$2:$G$37,MATCH(MIN(ABS(AI66-ICL3_classA!$F$2:$F$37)),ABS(AI66-ICL3_classA!$F$2:$F$37),0))</f>
        <v>74</v>
      </c>
      <c r="U66" s="1">
        <f t="array" ref="U66">INDEX(ICL3_classA!$H$2:$H$37,MATCH(MIN(ABS(AI66-ICL3_classA!$F$2:$F$37)),ABS(AI66-ICL3_classA!$F$2:$F$37),0))</f>
        <v>21</v>
      </c>
      <c r="V66" s="1">
        <f>VLOOKUP($B66&amp;"__wt",'SegEnds_Xtal_BW#'!$A:$Z,22,FALSE)</f>
        <v>61</v>
      </c>
      <c r="W66" s="1">
        <v>31</v>
      </c>
      <c r="X66" s="1">
        <f>VLOOKUP($B66&amp;"__wt",'SegEnds_Xtal_BW#'!$A:$Z,24,FALSE)</f>
        <v>56</v>
      </c>
      <c r="Y66" s="1">
        <f>VLOOKUP($B66&amp;"__wt",'SegEnds_Xtal_BW#'!$A:$Z,25,FALSE)</f>
        <v>47</v>
      </c>
      <c r="Z66" s="1">
        <f>VLOOKUP($B66&amp;"__wt",'SegEnds_Xtal_BW#'!$A:$Z,26,FALSE)</f>
        <v>59</v>
      </c>
      <c r="AA66" s="27" t="str">
        <f>VLOOKUP(A66,Classification!A:B,2,FALSE)</f>
        <v>A</v>
      </c>
      <c r="AB66" s="1">
        <f>VLOOKUP(A66,'SegEnds_NonXtal_Prot#'!A:AL,10,FALSE)-VLOOKUP(A66,'SegEnds_NonXtal_Prot#'!A:AL,4,FALSE)</f>
        <v>29</v>
      </c>
      <c r="AC66" s="1">
        <f>VLOOKUP(A66,'SegEnds_NonXtal_Prot#'!A:AL,10,FALSE)-VLOOKUP(A66,'SegEnds_NonXtal_Prot#'!A:AL,7,FALSE)</f>
        <v>16</v>
      </c>
      <c r="AD66" s="1" t="e">
        <f>VLOOKUP(A66,'SegEnds_NonXtal_Prot#'!A:AL,13,FALSE)-VLOOKUP(A66,'SegEnds_NonXtal_Prot#'!A:AL,10,FALSE)</f>
        <v>#VALUE!</v>
      </c>
      <c r="AE66" s="1">
        <f>VLOOKUP(A66,'SegEnds_NonXtal_Prot#'!A:AL,16,FALSE)-VLOOKUP(A66,'SegEnds_NonXtal_Prot#'!A:AL,10,FALSE)</f>
        <v>51</v>
      </c>
      <c r="AF66" s="1">
        <f>VLOOKUP(A66,'SegEnds_NonXtal_Prot#'!A:AL,22,FALSE)-VLOOKUP(A66,'SegEnds_NonXtal_Prot#'!A:AL,19,FALSE)</f>
        <v>20</v>
      </c>
      <c r="AG66" s="1" t="e">
        <f>VLOOKUP(A66,'SegEnds_NonXtal_Prot#'!A:AL,28,FALSE)-VLOOKUP(A66,'SegEnds_NonXtal_Prot#'!A:AL,25,FALSE)</f>
        <v>#VALUE!</v>
      </c>
      <c r="AH66" s="1">
        <f>VLOOKUP(A66,'SegEnds_NonXtal_Prot#'!A:AL,28,FALSE)-VLOOKUP(A66,'SegEnds_NonXtal_Prot#'!A:AL,22,FALSE)</f>
        <v>43</v>
      </c>
      <c r="AI66" s="1">
        <f>VLOOKUP(A66,'SegEnds_NonXtal_Prot#'!A:AL,31,FALSE)-VLOOKUP(A66,'SegEnds_NonXtal_Prot#'!A:AL,28,FALSE)</f>
        <v>59</v>
      </c>
      <c r="AJ66" s="1">
        <f>VLOOKUP(A66,'SegEnds_NonXtal_Prot#'!A:AL,34,FALSE)-VLOOKUP(A66,'SegEnds_NonXtal_Prot#'!A:AL,31,FALSE)</f>
        <v>36</v>
      </c>
      <c r="AK66" s="1">
        <f>VLOOKUP(A66,'SegEnds_NonXtal_Prot#'!A:AL,37,FALSE)-VLOOKUP(A66,'SegEnds_NonXtal_Prot#'!A:AL,34,FALSE)</f>
        <v>10</v>
      </c>
      <c r="AL66" s="1" t="str">
        <f>IF(ISERROR(MATCH(A66,'SegEnds_Xtal_Prot#'!B:B, 0)), "NoXtal", "Xtal")</f>
        <v>NoXtal</v>
      </c>
    </row>
    <row r="67" spans="1:38" x14ac:dyDescent="0.2">
      <c r="A67" s="1" t="s">
        <v>184</v>
      </c>
      <c r="B67" s="1" t="str">
        <f>VLOOKUP(A67,Xtal_Templ!A:B,2,FALSE)</f>
        <v>ccr5_human</v>
      </c>
      <c r="C67" s="5">
        <f>VLOOKUP($B67&amp;"__wt",'SegEnds_Xtal_BW#'!$A:$Z,3,FALSE)</f>
        <v>24</v>
      </c>
      <c r="D67" s="1">
        <f>VLOOKUP($B67&amp;"__wt",'SegEnds_Xtal_BW#'!$A:$Z,4,FALSE)</f>
        <v>60</v>
      </c>
      <c r="E67" s="1">
        <f>VLOOKUP($B67&amp;"__wt",'SegEnds_Xtal_BW#'!$A:$Z,5,FALSE)</f>
        <v>48</v>
      </c>
      <c r="F67" s="1">
        <f>VLOOKUP($B67&amp;"__wt",'SegEnds_Xtal_BW#'!$A:$Z,6,FALSE)</f>
        <v>51</v>
      </c>
      <c r="G67" s="1">
        <v>37</v>
      </c>
      <c r="H67" s="12">
        <v>66</v>
      </c>
      <c r="I67" s="1">
        <f>VLOOKUP($B67&amp;"__wt",'SegEnds_Xtal_BW#'!$A:$Z,9,FALSE)</f>
        <v>49</v>
      </c>
      <c r="J67" s="1">
        <f>VLOOKUP($B67&amp;"__wt",'SegEnds_Xtal_BW#'!$A:$Z,10,FALSE)</f>
        <v>52</v>
      </c>
      <c r="K67" s="12">
        <v>24</v>
      </c>
      <c r="L67" s="1">
        <f>VLOOKUP($B67&amp;"__wt",'SegEnds_Xtal_BW#'!$A:$Z,12,FALSE)</f>
        <v>56</v>
      </c>
      <c r="M67" s="1">
        <f>VLOOKUP($B67&amp;"__wt",'SegEnds_Xtal_BW#'!$A:$Z,13,FALSE)</f>
        <v>50</v>
      </c>
      <c r="N67" s="12">
        <v>57</v>
      </c>
      <c r="O67" s="87">
        <v>38</v>
      </c>
      <c r="P67" s="1">
        <f>VLOOKUP($B67&amp;"__wt",'SegEnds_Xtal_BW#'!$A:$Z,16,FALSE)</f>
        <v>64</v>
      </c>
      <c r="Q67" s="1">
        <f>VLOOKUP($B67&amp;"__wt",'SegEnds_Xtal_BW#'!$A:$Z,17,FALSE)</f>
        <v>50</v>
      </c>
      <c r="R67" s="1">
        <f>VLOOKUP($B67&amp;"__wt",'SegEnds_Xtal_BW#'!$A:$Z,18,FALSE)</f>
        <v>52</v>
      </c>
      <c r="S67" s="1">
        <f>VLOOKUP($B67&amp;"__wt",'SegEnds_Xtal_BW#'!$A:$Z,19,FALSE)</f>
        <v>30</v>
      </c>
      <c r="T67" s="1">
        <f t="array" ref="T67">INDEX(ICL3_classA!$G$2:$G$37,MATCH(MIN(ABS(AI67-ICL3_classA!$F$2:$F$37)),ABS(AI67-ICL3_classA!$F$2:$F$37),0))</f>
        <v>68</v>
      </c>
      <c r="U67" s="1">
        <f t="array" ref="U67">INDEX(ICL3_classA!$H$2:$H$37,MATCH(MIN(ABS(AI67-ICL3_classA!$F$2:$F$37)),ABS(AI67-ICL3_classA!$F$2:$F$37),0))</f>
        <v>30</v>
      </c>
      <c r="V67" s="1">
        <v>64</v>
      </c>
      <c r="W67" s="1">
        <v>24</v>
      </c>
      <c r="X67" s="1">
        <f>VLOOKUP($B67&amp;"__wt",'SegEnds_Xtal_BW#'!$A:$Z,24,FALSE)</f>
        <v>56</v>
      </c>
      <c r="Y67" s="1">
        <f>VLOOKUP($B67&amp;"__wt",'SegEnds_Xtal_BW#'!$A:$Z,25,FALSE)</f>
        <v>47</v>
      </c>
      <c r="Z67" s="1">
        <f>VLOOKUP($B67&amp;"__wt",'SegEnds_Xtal_BW#'!$A:$Z,26,FALSE)</f>
        <v>59</v>
      </c>
      <c r="AA67" s="27" t="str">
        <f>VLOOKUP(A67,Classification!A:B,2,FALSE)</f>
        <v>A</v>
      </c>
      <c r="AB67" s="1">
        <f>VLOOKUP(A67,'SegEnds_NonXtal_Prot#'!A:AL,10,FALSE)-VLOOKUP(A67,'SegEnds_NonXtal_Prot#'!A:AL,4,FALSE)</f>
        <v>28</v>
      </c>
      <c r="AC67" s="1">
        <f>VLOOKUP(A67,'SegEnds_NonXtal_Prot#'!A:AL,10,FALSE)-VLOOKUP(A67,'SegEnds_NonXtal_Prot#'!A:AL,7,FALSE)</f>
        <v>15</v>
      </c>
      <c r="AD67" s="1" t="e">
        <f>VLOOKUP(A67,'SegEnds_NonXtal_Prot#'!A:AL,13,FALSE)-VLOOKUP(A67,'SegEnds_NonXtal_Prot#'!A:AL,10,FALSE)</f>
        <v>#VALUE!</v>
      </c>
      <c r="AE67" s="1">
        <f>VLOOKUP(A67,'SegEnds_NonXtal_Prot#'!A:AL,16,FALSE)-VLOOKUP(A67,'SegEnds_NonXtal_Prot#'!A:AL,10,FALSE)</f>
        <v>50</v>
      </c>
      <c r="AF67" s="1">
        <f>VLOOKUP(A67,'SegEnds_NonXtal_Prot#'!A:AL,22,FALSE)-VLOOKUP(A67,'SegEnds_NonXtal_Prot#'!A:AL,19,FALSE)</f>
        <v>20</v>
      </c>
      <c r="AG67" s="1">
        <f>VLOOKUP(A67,'SegEnds_NonXtal_Prot#'!A:AL,28,FALSE)-VLOOKUP(A67,'SegEnds_NonXtal_Prot#'!A:AL,25,FALSE)</f>
        <v>28</v>
      </c>
      <c r="AH67" s="1">
        <f>VLOOKUP(A67,'SegEnds_NonXtal_Prot#'!A:AL,28,FALSE)-VLOOKUP(A67,'SegEnds_NonXtal_Prot#'!A:AL,22,FALSE)</f>
        <v>49</v>
      </c>
      <c r="AI67" s="1">
        <f>VLOOKUP(A67,'SegEnds_NonXtal_Prot#'!A:AL,31,FALSE)-VLOOKUP(A67,'SegEnds_NonXtal_Prot#'!A:AL,28,FALSE)</f>
        <v>43</v>
      </c>
      <c r="AJ67" s="1">
        <f>VLOOKUP(A67,'SegEnds_NonXtal_Prot#'!A:AL,34,FALSE)-VLOOKUP(A67,'SegEnds_NonXtal_Prot#'!A:AL,31,FALSE)</f>
        <v>44</v>
      </c>
      <c r="AK67" s="1">
        <f>VLOOKUP(A67,'SegEnds_NonXtal_Prot#'!A:AL,37,FALSE)-VLOOKUP(A67,'SegEnds_NonXtal_Prot#'!A:AL,34,FALSE)</f>
        <v>10</v>
      </c>
      <c r="AL67" s="1" t="str">
        <f>IF(ISERROR(MATCH(A67,'SegEnds_Xtal_Prot#'!B:B, 0)), "NoXtal", "Xtal")</f>
        <v>NoXtal</v>
      </c>
    </row>
    <row r="68" spans="1:38" x14ac:dyDescent="0.2">
      <c r="A68" s="1" t="s">
        <v>185</v>
      </c>
      <c r="B68" s="1" t="str">
        <f>VLOOKUP(A68,Xtal_Templ!A:B,2,FALSE)</f>
        <v>ccr2_human</v>
      </c>
      <c r="C68" s="5">
        <f>VLOOKUP($B68&amp;"__wt",'SegEnds_Xtal_BW#'!$A:$Z,3,FALSE)</f>
        <v>27</v>
      </c>
      <c r="D68" s="1">
        <f>VLOOKUP($B68&amp;"__wt",'SegEnds_Xtal_BW#'!$A:$Z,4,FALSE)</f>
        <v>60</v>
      </c>
      <c r="E68" s="1">
        <f>VLOOKUP($B68&amp;"__wt",'SegEnds_Xtal_BW#'!$A:$Z,5,FALSE)</f>
        <v>48</v>
      </c>
      <c r="F68" s="1">
        <f>VLOOKUP($B68&amp;"__wt",'SegEnds_Xtal_BW#'!$A:$Z,6,FALSE)</f>
        <v>51</v>
      </c>
      <c r="G68" s="1">
        <v>37</v>
      </c>
      <c r="H68" s="12">
        <v>66</v>
      </c>
      <c r="I68" s="1">
        <f>VLOOKUP($B68&amp;"__wt",'SegEnds_Xtal_BW#'!$A:$Z,9,FALSE)</f>
        <v>49</v>
      </c>
      <c r="J68" s="1">
        <f>VLOOKUP($B68&amp;"__wt",'SegEnds_Xtal_BW#'!$A:$Z,10,FALSE)</f>
        <v>52</v>
      </c>
      <c r="K68" s="12">
        <v>24</v>
      </c>
      <c r="L68" s="1">
        <f>VLOOKUP($B68&amp;"__wt",'SegEnds_Xtal_BW#'!$A:$Z,12,FALSE)</f>
        <v>56</v>
      </c>
      <c r="M68" s="1">
        <f>VLOOKUP($B68&amp;"__wt",'SegEnds_Xtal_BW#'!$A:$Z,13,FALSE)</f>
        <v>50</v>
      </c>
      <c r="N68" s="108">
        <v>56</v>
      </c>
      <c r="O68" s="87">
        <f>VLOOKUP($B68&amp;"__wt",'SegEnds_Xtal_BW#'!$A:$Z,15,FALSE)</f>
        <v>38</v>
      </c>
      <c r="P68" s="1">
        <f>VLOOKUP($B68&amp;"__wt",'SegEnds_Xtal_BW#'!$A:$Z,16,FALSE)</f>
        <v>64</v>
      </c>
      <c r="Q68" s="1">
        <f>VLOOKUP($B68&amp;"__wt",'SegEnds_Xtal_BW#'!$A:$Z,17,FALSE)</f>
        <v>50</v>
      </c>
      <c r="R68" s="1">
        <f>VLOOKUP($B68&amp;"__wt",'SegEnds_Xtal_BW#'!$A:$Z,18,FALSE)</f>
        <v>52</v>
      </c>
      <c r="S68" s="1">
        <f>VLOOKUP($B68&amp;"__wt",'SegEnds_Xtal_BW#'!$A:$Z,19,FALSE)</f>
        <v>31</v>
      </c>
      <c r="T68" s="1">
        <f t="array" ref="T68">INDEX(ICL3_classA!$G$2:$G$37,MATCH(MIN(ABS(AI68-ICL3_classA!$F$2:$F$37)),ABS(AI68-ICL3_classA!$F$2:$F$37),0))</f>
        <v>68</v>
      </c>
      <c r="U68" s="1">
        <f t="array" ref="U68">INDEX(ICL3_classA!$H$2:$H$37,MATCH(MIN(ABS(AI68-ICL3_classA!$F$2:$F$37)),ABS(AI68-ICL3_classA!$F$2:$F$37),0))</f>
        <v>30</v>
      </c>
      <c r="V68" s="1">
        <v>64</v>
      </c>
      <c r="W68" s="1">
        <v>24</v>
      </c>
      <c r="X68" s="1">
        <f>VLOOKUP($B68&amp;"__wt",'SegEnds_Xtal_BW#'!$A:$Z,24,FALSE)</f>
        <v>56</v>
      </c>
      <c r="Y68" s="1">
        <f>VLOOKUP($B68&amp;"__wt",'SegEnds_Xtal_BW#'!$A:$Z,25,FALSE)</f>
        <v>47</v>
      </c>
      <c r="Z68" s="1">
        <f>VLOOKUP($B68&amp;"__wt",'SegEnds_Xtal_BW#'!$A:$Z,26,FALSE)</f>
        <v>58</v>
      </c>
      <c r="AA68" s="27" t="str">
        <f>VLOOKUP(A68,Classification!A:B,2,FALSE)</f>
        <v>A</v>
      </c>
      <c r="AB68" s="1">
        <f>VLOOKUP(A68,'SegEnds_NonXtal_Prot#'!A:AL,10,FALSE)-VLOOKUP(A68,'SegEnds_NonXtal_Prot#'!A:AL,4,FALSE)</f>
        <v>28</v>
      </c>
      <c r="AC68" s="1">
        <f>VLOOKUP(A68,'SegEnds_NonXtal_Prot#'!A:AL,10,FALSE)-VLOOKUP(A68,'SegEnds_NonXtal_Prot#'!A:AL,7,FALSE)</f>
        <v>15</v>
      </c>
      <c r="AD68" s="1">
        <f>VLOOKUP(A68,'SegEnds_NonXtal_Prot#'!A:AL,13,FALSE)-VLOOKUP(A68,'SegEnds_NonXtal_Prot#'!A:AL,10,FALSE)</f>
        <v>18</v>
      </c>
      <c r="AE68" s="1">
        <f>VLOOKUP(A68,'SegEnds_NonXtal_Prot#'!A:AL,16,FALSE)-VLOOKUP(A68,'SegEnds_NonXtal_Prot#'!A:AL,10,FALSE)</f>
        <v>50</v>
      </c>
      <c r="AF68" s="1">
        <f>VLOOKUP(A68,'SegEnds_NonXtal_Prot#'!A:AL,22,FALSE)-VLOOKUP(A68,'SegEnds_NonXtal_Prot#'!A:AL,19,FALSE)</f>
        <v>19</v>
      </c>
      <c r="AG68" s="1">
        <f>VLOOKUP(A68,'SegEnds_NonXtal_Prot#'!A:AL,28,FALSE)-VLOOKUP(A68,'SegEnds_NonXtal_Prot#'!A:AL,25,FALSE)</f>
        <v>27</v>
      </c>
      <c r="AH68" s="1">
        <f>VLOOKUP(A68,'SegEnds_NonXtal_Prot#'!A:AL,28,FALSE)-VLOOKUP(A68,'SegEnds_NonXtal_Prot#'!A:AL,22,FALSE)</f>
        <v>53</v>
      </c>
      <c r="AI68" s="1">
        <f>VLOOKUP(A68,'SegEnds_NonXtal_Prot#'!A:AL,31,FALSE)-VLOOKUP(A68,'SegEnds_NonXtal_Prot#'!A:AL,28,FALSE)</f>
        <v>43</v>
      </c>
      <c r="AJ68" s="1">
        <f>VLOOKUP(A68,'SegEnds_NonXtal_Prot#'!A:AL,34,FALSE)-VLOOKUP(A68,'SegEnds_NonXtal_Prot#'!A:AL,31,FALSE)</f>
        <v>45</v>
      </c>
      <c r="AK68" s="1">
        <f>VLOOKUP(A68,'SegEnds_NonXtal_Prot#'!A:AL,37,FALSE)-VLOOKUP(A68,'SegEnds_NonXtal_Prot#'!A:AL,34,FALSE)</f>
        <v>10</v>
      </c>
      <c r="AL68" s="1" t="str">
        <f>IF(ISERROR(MATCH(A68,'SegEnds_Xtal_Prot#'!B:B, 0)), "NoXtal", "Xtal")</f>
        <v>NoXtal</v>
      </c>
    </row>
    <row r="69" spans="1:38" x14ac:dyDescent="0.2">
      <c r="A69" s="1" t="s">
        <v>186</v>
      </c>
      <c r="B69" s="1" t="str">
        <f>VLOOKUP(A69,Xtal_Templ!A:B,2,FALSE)</f>
        <v>ccr9_human</v>
      </c>
      <c r="C69" s="5">
        <f>VLOOKUP($B69&amp;"__wt",'SegEnds_Xtal_BW#'!$A:$Z,3,FALSE)</f>
        <v>27</v>
      </c>
      <c r="D69" s="1">
        <f>VLOOKUP($B69&amp;"__wt",'SegEnds_Xtal_BW#'!$A:$Z,4,FALSE)</f>
        <v>60</v>
      </c>
      <c r="E69" s="1">
        <f>VLOOKUP($B69&amp;"__wt",'SegEnds_Xtal_BW#'!$A:$Z,5,FALSE)</f>
        <v>48</v>
      </c>
      <c r="F69" s="1">
        <f>VLOOKUP($B69&amp;"__wt",'SegEnds_Xtal_BW#'!$A:$Z,6,FALSE)</f>
        <v>51</v>
      </c>
      <c r="G69" s="1">
        <v>37</v>
      </c>
      <c r="H69" s="12">
        <v>66</v>
      </c>
      <c r="I69" s="1">
        <f>VLOOKUP($B69&amp;"__wt",'SegEnds_Xtal_BW#'!$A:$Z,9,FALSE)</f>
        <v>49</v>
      </c>
      <c r="J69" s="1">
        <f>VLOOKUP($B69&amp;"__wt",'SegEnds_Xtal_BW#'!$A:$Z,10,FALSE)</f>
        <v>52</v>
      </c>
      <c r="K69" s="12">
        <v>24</v>
      </c>
      <c r="L69" s="1">
        <f>VLOOKUP($B69&amp;"__wt",'SegEnds_Xtal_BW#'!$A:$Z,12,FALSE)</f>
        <v>56</v>
      </c>
      <c r="M69" s="1">
        <f>VLOOKUP($B69&amp;"__wt",'SegEnds_Xtal_BW#'!$A:$Z,13,FALSE)</f>
        <v>50</v>
      </c>
      <c r="N69" s="108">
        <v>56</v>
      </c>
      <c r="O69" s="108">
        <v>38</v>
      </c>
      <c r="P69" s="1">
        <f>VLOOKUP($B69&amp;"__wt",'SegEnds_Xtal_BW#'!$A:$Z,16,FALSE)</f>
        <v>64</v>
      </c>
      <c r="Q69" s="1">
        <f>VLOOKUP($B69&amp;"__wt",'SegEnds_Xtal_BW#'!$A:$Z,17,FALSE)</f>
        <v>50</v>
      </c>
      <c r="R69" s="1">
        <f>VLOOKUP($B69&amp;"__wt",'SegEnds_Xtal_BW#'!$A:$Z,18,FALSE)</f>
        <v>52</v>
      </c>
      <c r="S69" s="1">
        <f>VLOOKUP($B69&amp;"__wt",'SegEnds_Xtal_BW#'!$A:$Z,19,FALSE)</f>
        <v>33</v>
      </c>
      <c r="T69" s="1">
        <f t="array" ref="T69">INDEX(ICL3_classA!$G$2:$G$37,MATCH(MIN(ABS(AI69-ICL3_classA!$F$2:$F$37)),ABS(AI69-ICL3_classA!$F$2:$F$37),0))</f>
        <v>68</v>
      </c>
      <c r="U69" s="1">
        <f t="array" ref="U69">INDEX(ICL3_classA!$H$2:$H$37,MATCH(MIN(ABS(AI69-ICL3_classA!$F$2:$F$37)),ABS(AI69-ICL3_classA!$F$2:$F$37),0))</f>
        <v>30</v>
      </c>
      <c r="V69" s="1">
        <v>64</v>
      </c>
      <c r="W69" s="1">
        <v>24</v>
      </c>
      <c r="X69" s="1">
        <f>VLOOKUP($B69&amp;"__wt",'SegEnds_Xtal_BW#'!$A:$Z,24,FALSE)</f>
        <v>56</v>
      </c>
      <c r="Y69" s="1">
        <f>VLOOKUP($B69&amp;"__wt",'SegEnds_Xtal_BW#'!$A:$Z,25,FALSE)</f>
        <v>47</v>
      </c>
      <c r="Z69" s="1">
        <f>VLOOKUP($B69&amp;"__wt",'SegEnds_Xtal_BW#'!$A:$Z,26,FALSE)</f>
        <v>67</v>
      </c>
      <c r="AA69" s="27" t="str">
        <f>VLOOKUP(A69,Classification!A:B,2,FALSE)</f>
        <v>A</v>
      </c>
      <c r="AB69" s="1">
        <f>VLOOKUP(A69,'SegEnds_NonXtal_Prot#'!A:AL,10,FALSE)-VLOOKUP(A69,'SegEnds_NonXtal_Prot#'!A:AL,4,FALSE)</f>
        <v>28</v>
      </c>
      <c r="AC69" s="1">
        <f>VLOOKUP(A69,'SegEnds_NonXtal_Prot#'!A:AL,10,FALSE)-VLOOKUP(A69,'SegEnds_NonXtal_Prot#'!A:AL,7,FALSE)</f>
        <v>15</v>
      </c>
      <c r="AD69" s="1">
        <f>VLOOKUP(A69,'SegEnds_NonXtal_Prot#'!A:AL,13,FALSE)-VLOOKUP(A69,'SegEnds_NonXtal_Prot#'!A:AL,10,FALSE)</f>
        <v>18</v>
      </c>
      <c r="AE69" s="1">
        <f>VLOOKUP(A69,'SegEnds_NonXtal_Prot#'!A:AL,16,FALSE)-VLOOKUP(A69,'SegEnds_NonXtal_Prot#'!A:AL,10,FALSE)</f>
        <v>50</v>
      </c>
      <c r="AF69" s="1">
        <f>VLOOKUP(A69,'SegEnds_NonXtal_Prot#'!A:AL,22,FALSE)-VLOOKUP(A69,'SegEnds_NonXtal_Prot#'!A:AL,19,FALSE)</f>
        <v>19</v>
      </c>
      <c r="AG69" s="1">
        <f>VLOOKUP(A69,'SegEnds_NonXtal_Prot#'!A:AL,28,FALSE)-VLOOKUP(A69,'SegEnds_NonXtal_Prot#'!A:AL,25,FALSE)</f>
        <v>27</v>
      </c>
      <c r="AH69" s="1">
        <f>VLOOKUP(A69,'SegEnds_NonXtal_Prot#'!A:AL,28,FALSE)-VLOOKUP(A69,'SegEnds_NonXtal_Prot#'!A:AL,22,FALSE)</f>
        <v>53</v>
      </c>
      <c r="AI69" s="1">
        <f>VLOOKUP(A69,'SegEnds_NonXtal_Prot#'!A:AL,31,FALSE)-VLOOKUP(A69,'SegEnds_NonXtal_Prot#'!A:AL,28,FALSE)</f>
        <v>43</v>
      </c>
      <c r="AJ69" s="1">
        <f>VLOOKUP(A69,'SegEnds_NonXtal_Prot#'!A:AL,34,FALSE)-VLOOKUP(A69,'SegEnds_NonXtal_Prot#'!A:AL,31,FALSE)</f>
        <v>45</v>
      </c>
      <c r="AK69" s="1">
        <f>VLOOKUP(A69,'SegEnds_NonXtal_Prot#'!A:AL,37,FALSE)-VLOOKUP(A69,'SegEnds_NonXtal_Prot#'!A:AL,34,FALSE)</f>
        <v>10</v>
      </c>
      <c r="AL69" s="1" t="str">
        <f>IF(ISERROR(MATCH(A69,'SegEnds_Xtal_Prot#'!B:B, 0)), "NoXtal", "Xtal")</f>
        <v>NoXtal</v>
      </c>
    </row>
    <row r="70" spans="1:38" x14ac:dyDescent="0.2">
      <c r="A70" s="1" t="s">
        <v>187</v>
      </c>
      <c r="B70" s="1" t="str">
        <f>VLOOKUP(A70,Xtal_Templ!A:B,2,FALSE)</f>
        <v>cxcr4_human</v>
      </c>
      <c r="C70" s="5">
        <f>VLOOKUP($B70&amp;"__wt",'SegEnds_Xtal_BW#'!$A:$Z,3,FALSE)</f>
        <v>24</v>
      </c>
      <c r="D70" s="1">
        <f>VLOOKUP($B70&amp;"__wt",'SegEnds_Xtal_BW#'!$A:$Z,4,FALSE)</f>
        <v>60</v>
      </c>
      <c r="E70" s="1">
        <f>VLOOKUP($B70&amp;"__wt",'SegEnds_Xtal_BW#'!$A:$Z,5,FALSE)</f>
        <v>48</v>
      </c>
      <c r="F70" s="1">
        <f>VLOOKUP($B70&amp;"__wt",'SegEnds_Xtal_BW#'!$A:$Z,6,FALSE)</f>
        <v>51</v>
      </c>
      <c r="G70" s="1">
        <v>37</v>
      </c>
      <c r="H70" s="12">
        <v>66</v>
      </c>
      <c r="I70" s="1">
        <f>VLOOKUP($B70&amp;"__wt",'SegEnds_Xtal_BW#'!$A:$Z,9,FALSE)</f>
        <v>49</v>
      </c>
      <c r="J70" s="1">
        <f>VLOOKUP($B70&amp;"__wt",'SegEnds_Xtal_BW#'!$A:$Z,10,FALSE)</f>
        <v>52</v>
      </c>
      <c r="K70" s="12">
        <v>24</v>
      </c>
      <c r="L70" s="1">
        <f>VLOOKUP($B70&amp;"__wt",'SegEnds_Xtal_BW#'!$A:$Z,12,FALSE)</f>
        <v>56</v>
      </c>
      <c r="M70" s="1">
        <f>VLOOKUP($B70&amp;"__wt",'SegEnds_Xtal_BW#'!$A:$Z,13,FALSE)</f>
        <v>50</v>
      </c>
      <c r="N70" s="12">
        <v>57</v>
      </c>
      <c r="O70" s="87">
        <v>38</v>
      </c>
      <c r="P70" s="1">
        <f>VLOOKUP($B70&amp;"__wt",'SegEnds_Xtal_BW#'!$A:$Z,16,FALSE)</f>
        <v>64</v>
      </c>
      <c r="Q70" s="1">
        <f>VLOOKUP($B70&amp;"__wt",'SegEnds_Xtal_BW#'!$A:$Z,17,FALSE)</f>
        <v>50</v>
      </c>
      <c r="R70" s="1">
        <f>VLOOKUP($B70&amp;"__wt",'SegEnds_Xtal_BW#'!$A:$Z,18,FALSE)</f>
        <v>52</v>
      </c>
      <c r="S70" s="1">
        <f>VLOOKUP($B70&amp;"__wt",'SegEnds_Xtal_BW#'!$A:$Z,19,FALSE)</f>
        <v>32</v>
      </c>
      <c r="T70" s="1">
        <f t="array" ref="T70">INDEX(ICL3_classA!$G$2:$G$37,MATCH(MIN(ABS(AI70-ICL3_classA!$F$2:$F$37)),ABS(AI70-ICL3_classA!$F$2:$F$37),0))</f>
        <v>68</v>
      </c>
      <c r="U70" s="1">
        <f t="array" ref="U70">INDEX(ICL3_classA!$H$2:$H$37,MATCH(MIN(ABS(AI70-ICL3_classA!$F$2:$F$37)),ABS(AI70-ICL3_classA!$F$2:$F$37),0))</f>
        <v>30</v>
      </c>
      <c r="V70" s="1">
        <v>64</v>
      </c>
      <c r="W70" s="1">
        <v>24</v>
      </c>
      <c r="X70" s="1">
        <f>VLOOKUP($B70&amp;"__wt",'SegEnds_Xtal_BW#'!$A:$Z,24,FALSE)</f>
        <v>56</v>
      </c>
      <c r="Y70" s="1">
        <f>VLOOKUP($B70&amp;"__wt",'SegEnds_Xtal_BW#'!$A:$Z,25,FALSE)</f>
        <v>47</v>
      </c>
      <c r="Z70" s="1">
        <f>VLOOKUP($B70&amp;"__wt",'SegEnds_Xtal_BW#'!$A:$Z,26,FALSE)</f>
        <v>59</v>
      </c>
      <c r="AA70" s="27" t="str">
        <f>VLOOKUP(A70,Classification!A:B,2,FALSE)</f>
        <v>A</v>
      </c>
      <c r="AB70" s="1">
        <f>VLOOKUP(A70,'SegEnds_NonXtal_Prot#'!A:AL,10,FALSE)-VLOOKUP(A70,'SegEnds_NonXtal_Prot#'!A:AL,4,FALSE)</f>
        <v>28</v>
      </c>
      <c r="AC70" s="1">
        <f>VLOOKUP(A70,'SegEnds_NonXtal_Prot#'!A:AL,10,FALSE)-VLOOKUP(A70,'SegEnds_NonXtal_Prot#'!A:AL,7,FALSE)</f>
        <v>15</v>
      </c>
      <c r="AD70" s="1">
        <f>VLOOKUP(A70,'SegEnds_NonXtal_Prot#'!A:AL,13,FALSE)-VLOOKUP(A70,'SegEnds_NonXtal_Prot#'!A:AL,10,FALSE)</f>
        <v>18</v>
      </c>
      <c r="AE70" s="1">
        <f>VLOOKUP(A70,'SegEnds_NonXtal_Prot#'!A:AL,16,FALSE)-VLOOKUP(A70,'SegEnds_NonXtal_Prot#'!A:AL,10,FALSE)</f>
        <v>50</v>
      </c>
      <c r="AF70" s="1">
        <f>VLOOKUP(A70,'SegEnds_NonXtal_Prot#'!A:AL,22,FALSE)-VLOOKUP(A70,'SegEnds_NonXtal_Prot#'!A:AL,19,FALSE)</f>
        <v>20</v>
      </c>
      <c r="AG70" s="1">
        <f>VLOOKUP(A70,'SegEnds_NonXtal_Prot#'!A:AL,28,FALSE)-VLOOKUP(A70,'SegEnds_NonXtal_Prot#'!A:AL,25,FALSE)</f>
        <v>24</v>
      </c>
      <c r="AH70" s="1">
        <f>VLOOKUP(A70,'SegEnds_NonXtal_Prot#'!A:AL,28,FALSE)-VLOOKUP(A70,'SegEnds_NonXtal_Prot#'!A:AL,22,FALSE)</f>
        <v>51</v>
      </c>
      <c r="AI70" s="1">
        <f>VLOOKUP(A70,'SegEnds_NonXtal_Prot#'!A:AL,31,FALSE)-VLOOKUP(A70,'SegEnds_NonXtal_Prot#'!A:AL,28,FALSE)</f>
        <v>43</v>
      </c>
      <c r="AJ70" s="1">
        <f>VLOOKUP(A70,'SegEnds_NonXtal_Prot#'!A:AL,34,FALSE)-VLOOKUP(A70,'SegEnds_NonXtal_Prot#'!A:AL,31,FALSE)</f>
        <v>45</v>
      </c>
      <c r="AK70" s="1">
        <f>VLOOKUP(A70,'SegEnds_NonXtal_Prot#'!A:AL,37,FALSE)-VLOOKUP(A70,'SegEnds_NonXtal_Prot#'!A:AL,34,FALSE)</f>
        <v>10</v>
      </c>
      <c r="AL70" s="1" t="str">
        <f>IF(ISERROR(MATCH(A70,'SegEnds_Xtal_Prot#'!B:B, 0)), "NoXtal", "Xtal")</f>
        <v>NoXtal</v>
      </c>
    </row>
    <row r="71" spans="1:38" x14ac:dyDescent="0.2">
      <c r="A71" s="1" t="s">
        <v>1172</v>
      </c>
      <c r="B71" s="1" t="str">
        <f>VLOOKUP(A71,Xtal_Templ!A:B,2,FALSE)</f>
        <v>cxcr4_human</v>
      </c>
      <c r="C71" s="5">
        <f>VLOOKUP($B71&amp;"__wt",'SegEnds_Xtal_BW#'!$A:$Z,3,FALSE)</f>
        <v>24</v>
      </c>
      <c r="D71" s="1">
        <f>VLOOKUP($B71&amp;"__wt",'SegEnds_Xtal_BW#'!$A:$Z,4,FALSE)</f>
        <v>60</v>
      </c>
      <c r="E71" s="1">
        <f>VLOOKUP($B71&amp;"__wt",'SegEnds_Xtal_BW#'!$A:$Z,5,FALSE)</f>
        <v>48</v>
      </c>
      <c r="F71" s="1">
        <f>VLOOKUP($B71&amp;"__wt",'SegEnds_Xtal_BW#'!$A:$Z,6,FALSE)</f>
        <v>51</v>
      </c>
      <c r="G71" s="1">
        <v>37</v>
      </c>
      <c r="H71" s="12">
        <v>66</v>
      </c>
      <c r="I71" s="1">
        <f>VLOOKUP($B71&amp;"__wt",'SegEnds_Xtal_BW#'!$A:$Z,9,FALSE)</f>
        <v>49</v>
      </c>
      <c r="J71" s="1">
        <f>VLOOKUP($B71&amp;"__wt",'SegEnds_Xtal_BW#'!$A:$Z,10,FALSE)</f>
        <v>52</v>
      </c>
      <c r="K71" s="12">
        <v>24</v>
      </c>
      <c r="L71" s="1">
        <f>VLOOKUP($B71&amp;"__wt",'SegEnds_Xtal_BW#'!$A:$Z,12,FALSE)</f>
        <v>56</v>
      </c>
      <c r="M71" s="1">
        <f>VLOOKUP($B71&amp;"__wt",'SegEnds_Xtal_BW#'!$A:$Z,13,FALSE)</f>
        <v>50</v>
      </c>
      <c r="N71" s="12">
        <f>VLOOKUP($B71&amp;"__wt",'SegEnds_Xtal_BW#'!$A:$Z,14,FALSE)</f>
        <v>57</v>
      </c>
      <c r="O71" s="87">
        <f>VLOOKUP($B71&amp;"__wt",'SegEnds_Xtal_BW#'!$A:$Z,15,FALSE)</f>
        <v>38</v>
      </c>
      <c r="P71" s="1">
        <f>VLOOKUP($B71&amp;"__wt",'SegEnds_Xtal_BW#'!$A:$Z,16,FALSE)</f>
        <v>64</v>
      </c>
      <c r="Q71" s="1">
        <f>VLOOKUP($B71&amp;"__wt",'SegEnds_Xtal_BW#'!$A:$Z,17,FALSE)</f>
        <v>50</v>
      </c>
      <c r="R71" s="1">
        <f>VLOOKUP($B71&amp;"__wt",'SegEnds_Xtal_BW#'!$A:$Z,18,FALSE)</f>
        <v>52</v>
      </c>
      <c r="S71" s="1">
        <f>VLOOKUP($B71&amp;"__wt",'SegEnds_Xtal_BW#'!$A:$Z,19,FALSE)</f>
        <v>32</v>
      </c>
      <c r="T71" s="1">
        <f t="array" ref="T71">INDEX(ICL3_classA!$G$2:$G$37,MATCH(MIN(ABS(AI71-ICL3_classA!$F$2:$F$37)),ABS(AI71-ICL3_classA!$F$2:$F$37),0))</f>
        <v>68</v>
      </c>
      <c r="U71" s="1">
        <f t="array" ref="U71">INDEX(ICL3_classA!$H$2:$H$37,MATCH(MIN(ABS(AI71-ICL3_classA!$F$2:$F$37)),ABS(AI71-ICL3_classA!$F$2:$F$37),0))</f>
        <v>30</v>
      </c>
      <c r="V71" s="1">
        <v>64</v>
      </c>
      <c r="W71" s="1">
        <v>24</v>
      </c>
      <c r="X71" s="1">
        <f>VLOOKUP($B71&amp;"__wt",'SegEnds_Xtal_BW#'!$A:$Z,24,FALSE)</f>
        <v>56</v>
      </c>
      <c r="Y71" s="1">
        <f>VLOOKUP($B71&amp;"__wt",'SegEnds_Xtal_BW#'!$A:$Z,25,FALSE)</f>
        <v>47</v>
      </c>
      <c r="Z71" s="1">
        <f>VLOOKUP($B71&amp;"__wt",'SegEnds_Xtal_BW#'!$A:$Z,26,FALSE)</f>
        <v>59</v>
      </c>
      <c r="AA71" s="27" t="str">
        <f>VLOOKUP(A71,Classification!A:B,2,FALSE)</f>
        <v>A</v>
      </c>
      <c r="AB71" s="1">
        <f>VLOOKUP(A71,'SegEnds_NonXtal_Prot#'!A:AL,10,FALSE)-VLOOKUP(A71,'SegEnds_NonXtal_Prot#'!A:AL,4,FALSE)</f>
        <v>28</v>
      </c>
      <c r="AC71" s="1">
        <f>VLOOKUP(A71,'SegEnds_NonXtal_Prot#'!A:AL,10,FALSE)-VLOOKUP(A71,'SegEnds_NonXtal_Prot#'!A:AL,7,FALSE)</f>
        <v>15</v>
      </c>
      <c r="AD71" s="1">
        <f>VLOOKUP(A71,'SegEnds_NonXtal_Prot#'!A:AL,13,FALSE)-VLOOKUP(A71,'SegEnds_NonXtal_Prot#'!A:AL,10,FALSE)</f>
        <v>18</v>
      </c>
      <c r="AE71" s="1">
        <f>VLOOKUP(A71,'SegEnds_NonXtal_Prot#'!A:AL,16,FALSE)-VLOOKUP(A71,'SegEnds_NonXtal_Prot#'!A:AL,10,FALSE)</f>
        <v>50</v>
      </c>
      <c r="AF71" s="1">
        <f>VLOOKUP(A71,'SegEnds_NonXtal_Prot#'!A:AL,22,FALSE)-VLOOKUP(A71,'SegEnds_NonXtal_Prot#'!A:AL,19,FALSE)</f>
        <v>20</v>
      </c>
      <c r="AG71" s="1">
        <f>VLOOKUP(A71,'SegEnds_NonXtal_Prot#'!A:AL,28,FALSE)-VLOOKUP(A71,'SegEnds_NonXtal_Prot#'!A:AL,25,FALSE)</f>
        <v>25</v>
      </c>
      <c r="AH71" s="1">
        <f>VLOOKUP(A71,'SegEnds_NonXtal_Prot#'!A:AL,28,FALSE)-VLOOKUP(A71,'SegEnds_NonXtal_Prot#'!A:AL,22,FALSE)</f>
        <v>50</v>
      </c>
      <c r="AI71" s="1">
        <f>VLOOKUP(A71,'SegEnds_NonXtal_Prot#'!A:AL,31,FALSE)-VLOOKUP(A71,'SegEnds_NonXtal_Prot#'!A:AL,28,FALSE)</f>
        <v>43</v>
      </c>
      <c r="AJ71" s="1">
        <f>VLOOKUP(A71,'SegEnds_NonXtal_Prot#'!A:AL,34,FALSE)-VLOOKUP(A71,'SegEnds_NonXtal_Prot#'!A:AL,31,FALSE)</f>
        <v>45</v>
      </c>
      <c r="AK71" s="1">
        <f>VLOOKUP(A71,'SegEnds_NonXtal_Prot#'!A:AL,37,FALSE)-VLOOKUP(A71,'SegEnds_NonXtal_Prot#'!A:AL,34,FALSE)</f>
        <v>10</v>
      </c>
      <c r="AL71" s="1" t="str">
        <f>IF(ISERROR(MATCH(A71,'SegEnds_Xtal_Prot#'!B:B, 0)), "NoXtal", "Xtal")</f>
        <v>Xtal</v>
      </c>
    </row>
    <row r="72" spans="1:38" x14ac:dyDescent="0.2">
      <c r="A72" s="1" t="s">
        <v>188</v>
      </c>
      <c r="B72" s="1" t="str">
        <f>VLOOKUP(A72,Xtal_Templ!A:B,2,FALSE)</f>
        <v>cxcr4_human</v>
      </c>
      <c r="C72" s="5">
        <f>VLOOKUP($B72&amp;"__wt",'SegEnds_Xtal_BW#'!$A:$Z,3,FALSE)</f>
        <v>24</v>
      </c>
      <c r="D72" s="1">
        <f>VLOOKUP($B72&amp;"__wt",'SegEnds_Xtal_BW#'!$A:$Z,4,FALSE)</f>
        <v>60</v>
      </c>
      <c r="E72" s="1">
        <f>VLOOKUP($B72&amp;"__wt",'SegEnds_Xtal_BW#'!$A:$Z,5,FALSE)</f>
        <v>48</v>
      </c>
      <c r="F72" s="1">
        <f>VLOOKUP($B72&amp;"__wt",'SegEnds_Xtal_BW#'!$A:$Z,6,FALSE)</f>
        <v>51</v>
      </c>
      <c r="G72" s="1">
        <v>37</v>
      </c>
      <c r="H72" s="12">
        <v>66</v>
      </c>
      <c r="I72" s="1">
        <f>VLOOKUP($B72&amp;"__wt",'SegEnds_Xtal_BW#'!$A:$Z,9,FALSE)</f>
        <v>49</v>
      </c>
      <c r="J72" s="1">
        <f>VLOOKUP($B72&amp;"__wt",'SegEnds_Xtal_BW#'!$A:$Z,10,FALSE)</f>
        <v>52</v>
      </c>
      <c r="K72" s="12">
        <v>24</v>
      </c>
      <c r="L72" s="1">
        <f>VLOOKUP($B72&amp;"__wt",'SegEnds_Xtal_BW#'!$A:$Z,12,FALSE)</f>
        <v>56</v>
      </c>
      <c r="M72" s="1">
        <f>VLOOKUP($B72&amp;"__wt",'SegEnds_Xtal_BW#'!$A:$Z,13,FALSE)</f>
        <v>50</v>
      </c>
      <c r="N72" s="12">
        <v>57</v>
      </c>
      <c r="O72" s="87">
        <v>38</v>
      </c>
      <c r="P72" s="1">
        <f>VLOOKUP($B72&amp;"__wt",'SegEnds_Xtal_BW#'!$A:$Z,16,FALSE)</f>
        <v>64</v>
      </c>
      <c r="Q72" s="1">
        <f>VLOOKUP($B72&amp;"__wt",'SegEnds_Xtal_BW#'!$A:$Z,17,FALSE)</f>
        <v>50</v>
      </c>
      <c r="R72" s="1">
        <f>VLOOKUP($B72&amp;"__wt",'SegEnds_Xtal_BW#'!$A:$Z,18,FALSE)</f>
        <v>52</v>
      </c>
      <c r="S72" s="1">
        <f>VLOOKUP($B72&amp;"__wt",'SegEnds_Xtal_BW#'!$A:$Z,19,FALSE)</f>
        <v>32</v>
      </c>
      <c r="T72" s="1">
        <f t="array" ref="T72">INDEX(ICL3_classA!$G$2:$G$37,MATCH(MIN(ABS(AI72-ICL3_classA!$F$2:$F$37)),ABS(AI72-ICL3_classA!$F$2:$F$37),0))</f>
        <v>68</v>
      </c>
      <c r="U72" s="1">
        <f t="array" ref="U72">INDEX(ICL3_classA!$H$2:$H$37,MATCH(MIN(ABS(AI72-ICL3_classA!$F$2:$F$37)),ABS(AI72-ICL3_classA!$F$2:$F$37),0))</f>
        <v>28</v>
      </c>
      <c r="V72" s="1">
        <v>64</v>
      </c>
      <c r="W72" s="1">
        <v>24</v>
      </c>
      <c r="X72" s="1">
        <f>VLOOKUP($B72&amp;"__wt",'SegEnds_Xtal_BW#'!$A:$Z,24,FALSE)</f>
        <v>56</v>
      </c>
      <c r="Y72" s="1">
        <f>VLOOKUP($B72&amp;"__wt",'SegEnds_Xtal_BW#'!$A:$Z,25,FALSE)</f>
        <v>47</v>
      </c>
      <c r="Z72" s="1">
        <f>VLOOKUP($B72&amp;"__wt",'SegEnds_Xtal_BW#'!$A:$Z,26,FALSE)</f>
        <v>59</v>
      </c>
      <c r="AA72" s="27" t="str">
        <f>VLOOKUP(A72,Classification!A:B,2,FALSE)</f>
        <v>A</v>
      </c>
      <c r="AB72" s="1">
        <f>VLOOKUP(A72,'SegEnds_NonXtal_Prot#'!A:AL,10,FALSE)-VLOOKUP(A72,'SegEnds_NonXtal_Prot#'!A:AL,4,FALSE)</f>
        <v>28</v>
      </c>
      <c r="AC72" s="1">
        <f>VLOOKUP(A72,'SegEnds_NonXtal_Prot#'!A:AL,10,FALSE)-VLOOKUP(A72,'SegEnds_NonXtal_Prot#'!A:AL,7,FALSE)</f>
        <v>15</v>
      </c>
      <c r="AD72" s="1">
        <f>VLOOKUP(A72,'SegEnds_NonXtal_Prot#'!A:AL,13,FALSE)-VLOOKUP(A72,'SegEnds_NonXtal_Prot#'!A:AL,10,FALSE)</f>
        <v>18</v>
      </c>
      <c r="AE72" s="1">
        <f>VLOOKUP(A72,'SegEnds_NonXtal_Prot#'!A:AL,16,FALSE)-VLOOKUP(A72,'SegEnds_NonXtal_Prot#'!A:AL,10,FALSE)</f>
        <v>50</v>
      </c>
      <c r="AF72" s="1">
        <f>VLOOKUP(A72,'SegEnds_NonXtal_Prot#'!A:AL,22,FALSE)-VLOOKUP(A72,'SegEnds_NonXtal_Prot#'!A:AL,19,FALSE)</f>
        <v>20</v>
      </c>
      <c r="AG72" s="1">
        <f>VLOOKUP(A72,'SegEnds_NonXtal_Prot#'!A:AL,28,FALSE)-VLOOKUP(A72,'SegEnds_NonXtal_Prot#'!A:AL,25,FALSE)</f>
        <v>28</v>
      </c>
      <c r="AH72" s="1">
        <f>VLOOKUP(A72,'SegEnds_NonXtal_Prot#'!A:AL,28,FALSE)-VLOOKUP(A72,'SegEnds_NonXtal_Prot#'!A:AL,22,FALSE)</f>
        <v>56</v>
      </c>
      <c r="AI72" s="1">
        <f>VLOOKUP(A72,'SegEnds_NonXtal_Prot#'!A:AL,31,FALSE)-VLOOKUP(A72,'SegEnds_NonXtal_Prot#'!A:AL,28,FALSE)</f>
        <v>44</v>
      </c>
      <c r="AJ72" s="1">
        <f>VLOOKUP(A72,'SegEnds_NonXtal_Prot#'!A:AL,34,FALSE)-VLOOKUP(A72,'SegEnds_NonXtal_Prot#'!A:AL,31,FALSE)</f>
        <v>45</v>
      </c>
      <c r="AK72" s="1">
        <f>VLOOKUP(A72,'SegEnds_NonXtal_Prot#'!A:AL,37,FALSE)-VLOOKUP(A72,'SegEnds_NonXtal_Prot#'!A:AL,34,FALSE)</f>
        <v>10</v>
      </c>
      <c r="AL72" s="1" t="str">
        <f>IF(ISERROR(MATCH(A72,'SegEnds_Xtal_Prot#'!B:B, 0)), "NoXtal", "Xtal")</f>
        <v>NoXtal</v>
      </c>
    </row>
    <row r="73" spans="1:38" x14ac:dyDescent="0.2">
      <c r="A73" s="12" t="s">
        <v>189</v>
      </c>
      <c r="B73" s="12" t="str">
        <f>VLOOKUP(A73,Xtal_Templ!A:B,2,FALSE)</f>
        <v>ccr9_human</v>
      </c>
      <c r="C73" s="13">
        <f>VLOOKUP($B73&amp;"__wt",'SegEnds_Xtal_BW#'!$A:$Z,3,FALSE)</f>
        <v>27</v>
      </c>
      <c r="D73" s="12">
        <f>VLOOKUP($B73&amp;"__wt",'SegEnds_Xtal_BW#'!$A:$Z,4,FALSE)</f>
        <v>60</v>
      </c>
      <c r="E73" s="12">
        <f>VLOOKUP($B73&amp;"__wt",'SegEnds_Xtal_BW#'!$A:$Z,5,FALSE)</f>
        <v>48</v>
      </c>
      <c r="F73" s="12">
        <f>VLOOKUP($B73&amp;"__wt",'SegEnds_Xtal_BW#'!$A:$Z,6,FALSE)</f>
        <v>51</v>
      </c>
      <c r="G73" s="12">
        <v>37</v>
      </c>
      <c r="H73" s="12">
        <v>66</v>
      </c>
      <c r="I73" s="12">
        <f>VLOOKUP($B73&amp;"__wt",'SegEnds_Xtal_BW#'!$A:$Z,9,FALSE)</f>
        <v>49</v>
      </c>
      <c r="J73" s="12">
        <f>VLOOKUP($B73&amp;"__wt",'SegEnds_Xtal_BW#'!$A:$Z,10,FALSE)</f>
        <v>52</v>
      </c>
      <c r="K73" s="12">
        <v>24</v>
      </c>
      <c r="L73" s="12">
        <f>VLOOKUP($B73&amp;"__wt",'SegEnds_Xtal_BW#'!$A:$Z,12,FALSE)</f>
        <v>56</v>
      </c>
      <c r="M73" s="12">
        <f>VLOOKUP($B73&amp;"__wt",'SegEnds_Xtal_BW#'!$A:$Z,13,FALSE)</f>
        <v>50</v>
      </c>
      <c r="N73" s="12">
        <v>58</v>
      </c>
      <c r="O73" s="87">
        <v>38</v>
      </c>
      <c r="P73" s="12">
        <f>VLOOKUP($B73&amp;"__wt",'SegEnds_Xtal_BW#'!$A:$Z,16,FALSE)</f>
        <v>64</v>
      </c>
      <c r="Q73" s="12">
        <f>VLOOKUP($B73&amp;"__wt",'SegEnds_Xtal_BW#'!$A:$Z,17,FALSE)</f>
        <v>50</v>
      </c>
      <c r="R73" s="12">
        <f>VLOOKUP($B73&amp;"__wt",'SegEnds_Xtal_BW#'!$A:$Z,18,FALSE)</f>
        <v>52</v>
      </c>
      <c r="S73" s="12">
        <f>VLOOKUP($B73&amp;"__wt",'SegEnds_Xtal_BW#'!$A:$Z,19,FALSE)</f>
        <v>33</v>
      </c>
      <c r="T73" s="12">
        <f t="array" ref="T73">INDEX(ICL3_classA!$G$2:$G$37,MATCH(MIN(ABS(AI73-ICL3_classA!$F$2:$F$37)),ABS(AI73-ICL3_classA!$F$2:$F$37),0))</f>
        <v>68</v>
      </c>
      <c r="U73" s="12">
        <f t="array" ref="U73">INDEX(ICL3_classA!$H$2:$H$37,MATCH(MIN(ABS(AI73-ICL3_classA!$F$2:$F$37)),ABS(AI73-ICL3_classA!$F$2:$F$37),0))</f>
        <v>30</v>
      </c>
      <c r="V73" s="12">
        <v>61</v>
      </c>
      <c r="W73" s="12">
        <v>28</v>
      </c>
      <c r="X73" s="12">
        <f>VLOOKUP($B73&amp;"__wt",'SegEnds_Xtal_BW#'!$A:$Z,24,FALSE)</f>
        <v>56</v>
      </c>
      <c r="Y73" s="12">
        <f>VLOOKUP($B73&amp;"__wt",'SegEnds_Xtal_BW#'!$A:$Z,25,FALSE)</f>
        <v>47</v>
      </c>
      <c r="Z73" s="12">
        <f>VLOOKUP($B73&amp;"__wt",'SegEnds_Xtal_BW#'!$A:$Z,26,FALSE)</f>
        <v>67</v>
      </c>
      <c r="AA73" s="36" t="str">
        <f>VLOOKUP(A73,Classification!A:B,2,FALSE)</f>
        <v>A</v>
      </c>
      <c r="AB73" s="1">
        <f>VLOOKUP(A73,'SegEnds_NonXtal_Prot#'!A:AL,10,FALSE)-VLOOKUP(A73,'SegEnds_NonXtal_Prot#'!A:AL,4,FALSE)</f>
        <v>28</v>
      </c>
      <c r="AC73" s="12">
        <f>VLOOKUP(A73,'SegEnds_NonXtal_Prot#'!A:AL,10,FALSE)-VLOOKUP(A73,'SegEnds_NonXtal_Prot#'!A:AL,7,FALSE)</f>
        <v>15</v>
      </c>
      <c r="AD73" s="12">
        <f>VLOOKUP(A73,'SegEnds_NonXtal_Prot#'!A:AL,13,FALSE)-VLOOKUP(A73,'SegEnds_NonXtal_Prot#'!A:AL,10,FALSE)</f>
        <v>18</v>
      </c>
      <c r="AE73" s="12">
        <f>VLOOKUP(A73,'SegEnds_NonXtal_Prot#'!A:AL,16,FALSE)-VLOOKUP(A73,'SegEnds_NonXtal_Prot#'!A:AL,10,FALSE)</f>
        <v>50</v>
      </c>
      <c r="AF73" s="1">
        <f>VLOOKUP(A73,'SegEnds_NonXtal_Prot#'!A:AL,22,FALSE)-VLOOKUP(A73,'SegEnds_NonXtal_Prot#'!A:AL,19,FALSE)</f>
        <v>22</v>
      </c>
      <c r="AG73" s="12">
        <f>VLOOKUP(A73,'SegEnds_NonXtal_Prot#'!A:AL,28,FALSE)-VLOOKUP(A73,'SegEnds_NonXtal_Prot#'!A:AL,25,FALSE)</f>
        <v>23</v>
      </c>
      <c r="AH73" s="1">
        <f>VLOOKUP(A73,'SegEnds_NonXtal_Prot#'!A:AL,28,FALSE)-VLOOKUP(A73,'SegEnds_NonXtal_Prot#'!A:AL,22,FALSE)</f>
        <v>47</v>
      </c>
      <c r="AI73" s="12">
        <f>VLOOKUP(A73,'SegEnds_NonXtal_Prot#'!A:AL,31,FALSE)-VLOOKUP(A73,'SegEnds_NonXtal_Prot#'!A:AL,28,FALSE)</f>
        <v>43</v>
      </c>
      <c r="AJ73" s="12">
        <f>VLOOKUP(A73,'SegEnds_NonXtal_Prot#'!A:AL,34,FALSE)-VLOOKUP(A73,'SegEnds_NonXtal_Prot#'!A:AL,31,FALSE)</f>
        <v>39</v>
      </c>
      <c r="AK73" s="1">
        <f>VLOOKUP(A73,'SegEnds_NonXtal_Prot#'!A:AL,37,FALSE)-VLOOKUP(A73,'SegEnds_NonXtal_Prot#'!A:AL,34,FALSE)</f>
        <v>10</v>
      </c>
      <c r="AL73" s="12" t="str">
        <f>IF(ISERROR(MATCH(A73,'SegEnds_Xtal_Prot#'!B:B, 0)), "NoXtal", "Xtal")</f>
        <v>NoXtal</v>
      </c>
    </row>
    <row r="74" spans="1:38" x14ac:dyDescent="0.2">
      <c r="A74" s="1" t="s">
        <v>190</v>
      </c>
      <c r="B74" s="1" t="str">
        <f>VLOOKUP(A74,Xtal_Templ!A:B,2,FALSE)</f>
        <v>adrb2_human</v>
      </c>
      <c r="C74" s="5">
        <f>VLOOKUP($B74&amp;"__wt",'SegEnds_Xtal_BW#'!$A:$Z,3,FALSE)</f>
        <v>25</v>
      </c>
      <c r="D74" s="1">
        <f>VLOOKUP($B74&amp;"__wt",'SegEnds_Xtal_BW#'!$A:$Z,4,FALSE)</f>
        <v>60</v>
      </c>
      <c r="E74" s="1">
        <f>VLOOKUP($B74&amp;"__wt",'SegEnds_Xtal_BW#'!$A:$Z,5,FALSE)</f>
        <v>48</v>
      </c>
      <c r="F74" s="1">
        <f>VLOOKUP($B74&amp;"__wt",'SegEnds_Xtal_BW#'!$A:$Z,6,FALSE)</f>
        <v>51</v>
      </c>
      <c r="G74" s="1">
        <v>37</v>
      </c>
      <c r="H74" s="12">
        <v>66</v>
      </c>
      <c r="I74" s="1">
        <f>VLOOKUP($B74&amp;"__wt",'SegEnds_Xtal_BW#'!$A:$Z,9,FALSE)</f>
        <v>49</v>
      </c>
      <c r="J74" s="1">
        <f>VLOOKUP($B74&amp;"__wt",'SegEnds_Xtal_BW#'!$A:$Z,10,FALSE)</f>
        <v>52</v>
      </c>
      <c r="K74" s="12">
        <v>21</v>
      </c>
      <c r="L74" s="1">
        <f>VLOOKUP($B74&amp;"__wt",'SegEnds_Xtal_BW#'!$A:$Z,12,FALSE)</f>
        <v>56</v>
      </c>
      <c r="M74" s="1">
        <f>VLOOKUP($B74&amp;"__wt",'SegEnds_Xtal_BW#'!$A:$Z,13,FALSE)</f>
        <v>50</v>
      </c>
      <c r="N74" s="12">
        <v>57</v>
      </c>
      <c r="O74" s="87">
        <v>38</v>
      </c>
      <c r="P74" s="1">
        <f>VLOOKUP($B74&amp;"__wt",'SegEnds_Xtal_BW#'!$A:$Z,16,FALSE)</f>
        <v>64</v>
      </c>
      <c r="Q74" s="1">
        <f>VLOOKUP($B74&amp;"__wt",'SegEnds_Xtal_BW#'!$A:$Z,17,FALSE)</f>
        <v>50</v>
      </c>
      <c r="R74" s="1">
        <f>VLOOKUP($B74&amp;"__wt",'SegEnds_Xtal_BW#'!$A:$Z,18,FALSE)</f>
        <v>52</v>
      </c>
      <c r="S74" s="1">
        <v>35</v>
      </c>
      <c r="T74" s="1">
        <f t="array" ref="T74">INDEX(ICL3_classA!$G$2:$G$37,MATCH(MIN(ABS(AI74-ICL3_classA!$F$2:$F$37)),ABS(AI74-ICL3_classA!$F$2:$F$37),0))</f>
        <v>76</v>
      </c>
      <c r="U74" s="1">
        <f t="array" ref="U74">INDEX(ICL3_classA!$H$2:$H$37,MATCH(MIN(ABS(AI74-ICL3_classA!$F$2:$F$37)),ABS(AI74-ICL3_classA!$F$2:$F$37),0))</f>
        <v>24</v>
      </c>
      <c r="V74" s="1">
        <v>61</v>
      </c>
      <c r="W74" s="1">
        <v>28</v>
      </c>
      <c r="X74" s="1">
        <f>VLOOKUP($B74&amp;"__wt",'SegEnds_Xtal_BW#'!$A:$Z,24,FALSE)</f>
        <v>55</v>
      </c>
      <c r="Y74" s="1">
        <f>VLOOKUP($B74&amp;"__wt",'SegEnds_Xtal_BW#'!$A:$Z,25,FALSE)</f>
        <v>47</v>
      </c>
      <c r="Z74" s="1">
        <f>VLOOKUP($B74&amp;"__wt",'SegEnds_Xtal_BW#'!$A:$Z,26,FALSE)</f>
        <v>59</v>
      </c>
      <c r="AA74" s="27" t="str">
        <f>VLOOKUP(A74,Classification!A:B,2,FALSE)</f>
        <v>A</v>
      </c>
      <c r="AB74" s="1">
        <f>VLOOKUP(A74,'SegEnds_NonXtal_Prot#'!A:AL,10,FALSE)-VLOOKUP(A74,'SegEnds_NonXtal_Prot#'!A:AL,4,FALSE)</f>
        <v>29</v>
      </c>
      <c r="AC74" s="1">
        <f>VLOOKUP(A74,'SegEnds_NonXtal_Prot#'!A:AL,10,FALSE)-VLOOKUP(A74,'SegEnds_NonXtal_Prot#'!A:AL,7,FALSE)</f>
        <v>16</v>
      </c>
      <c r="AD74" s="1">
        <f>VLOOKUP(A74,'SegEnds_NonXtal_Prot#'!A:AL,13,FALSE)-VLOOKUP(A74,'SegEnds_NonXtal_Prot#'!A:AL,10,FALSE)</f>
        <v>20</v>
      </c>
      <c r="AE74" s="1">
        <f>VLOOKUP(A74,'SegEnds_NonXtal_Prot#'!A:AL,16,FALSE)-VLOOKUP(A74,'SegEnds_NonXtal_Prot#'!A:AL,10,FALSE)</f>
        <v>51</v>
      </c>
      <c r="AF74" s="1">
        <f>VLOOKUP(A74,'SegEnds_NonXtal_Prot#'!A:AL,22,FALSE)-VLOOKUP(A74,'SegEnds_NonXtal_Prot#'!A:AL,19,FALSE)</f>
        <v>20</v>
      </c>
      <c r="AG74" s="1">
        <f>VLOOKUP(A74,'SegEnds_NonXtal_Prot#'!A:AL,28,FALSE)-VLOOKUP(A74,'SegEnds_NonXtal_Prot#'!A:AL,25,FALSE)</f>
        <v>20</v>
      </c>
      <c r="AH74" s="1">
        <f>VLOOKUP(A74,'SegEnds_NonXtal_Prot#'!A:AL,28,FALSE)-VLOOKUP(A74,'SegEnds_NonXtal_Prot#'!A:AL,22,FALSE)</f>
        <v>58</v>
      </c>
      <c r="AI74" s="1">
        <f>VLOOKUP(A74,'SegEnds_NonXtal_Prot#'!A:AL,31,FALSE)-VLOOKUP(A74,'SegEnds_NonXtal_Prot#'!A:AL,28,FALSE)</f>
        <v>81</v>
      </c>
      <c r="AJ74" s="1">
        <f>VLOOKUP(A74,'SegEnds_NonXtal_Prot#'!A:AL,34,FALSE)-VLOOKUP(A74,'SegEnds_NonXtal_Prot#'!A:AL,31,FALSE)</f>
        <v>41</v>
      </c>
      <c r="AK74" s="1">
        <f>VLOOKUP(A74,'SegEnds_NonXtal_Prot#'!A:AL,37,FALSE)-VLOOKUP(A74,'SegEnds_NonXtal_Prot#'!A:AL,34,FALSE)</f>
        <v>10</v>
      </c>
      <c r="AL74" s="1" t="str">
        <f>IF(ISERROR(MATCH(A74,'SegEnds_Xtal_Prot#'!B:B, 0)), "NoXtal", "Xtal")</f>
        <v>NoXtal</v>
      </c>
    </row>
    <row r="75" spans="1:38" x14ac:dyDescent="0.2">
      <c r="A75" s="1" t="s">
        <v>191</v>
      </c>
      <c r="B75" s="1" t="str">
        <f>VLOOKUP(A75,Xtal_Templ!A:B,2,FALSE)</f>
        <v>drd2_human</v>
      </c>
      <c r="C75" s="5">
        <f>VLOOKUP($B75&amp;"__wt",'SegEnds_Xtal_BW#'!$A:$Z,3,FALSE)</f>
        <v>29</v>
      </c>
      <c r="D75" s="1">
        <f>VLOOKUP($B75&amp;"__wt",'SegEnds_Xtal_BW#'!$A:$Z,4,FALSE)</f>
        <v>60</v>
      </c>
      <c r="E75" s="1">
        <f>VLOOKUP($B75&amp;"__wt",'SegEnds_Xtal_BW#'!$A:$Z,5,FALSE)</f>
        <v>48</v>
      </c>
      <c r="F75" s="1">
        <f>VLOOKUP($B75&amp;"__wt",'SegEnds_Xtal_BW#'!$A:$Z,6,FALSE)</f>
        <v>51</v>
      </c>
      <c r="G75" s="1">
        <v>37</v>
      </c>
      <c r="H75" s="12">
        <f>VLOOKUP($B75&amp;"__wt",'SegEnds_Xtal_BW#'!$A:$Z,8,FALSE)</f>
        <v>68</v>
      </c>
      <c r="I75" s="1">
        <f>VLOOKUP($B75&amp;"__wt",'SegEnds_Xtal_BW#'!$A:$Z,9,FALSE)</f>
        <v>49</v>
      </c>
      <c r="J75" s="1">
        <f>VLOOKUP($B75&amp;"__wt",'SegEnds_Xtal_BW#'!$A:$Z,10,FALSE)</f>
        <v>52</v>
      </c>
      <c r="K75" s="12">
        <v>18</v>
      </c>
      <c r="L75" s="1">
        <f>VLOOKUP($B75&amp;"__wt",'SegEnds_Xtal_BW#'!$A:$Z,12,FALSE)</f>
        <v>56</v>
      </c>
      <c r="M75" s="1">
        <f>VLOOKUP($B75&amp;"__wt",'SegEnds_Xtal_BW#'!$A:$Z,13,FALSE)</f>
        <v>50</v>
      </c>
      <c r="N75" s="12">
        <f>VLOOKUP($B75&amp;"__wt",'SegEnds_Xtal_BW#'!$A:$Z,14,FALSE)</f>
        <v>58</v>
      </c>
      <c r="O75" s="87">
        <v>38</v>
      </c>
      <c r="P75" s="1">
        <f>VLOOKUP($B75&amp;"__wt",'SegEnds_Xtal_BW#'!$A:$Z,16,FALSE)</f>
        <v>62</v>
      </c>
      <c r="Q75" s="1">
        <f>VLOOKUP($B75&amp;"__wt",'SegEnds_Xtal_BW#'!$A:$Z,17,FALSE)</f>
        <v>50</v>
      </c>
      <c r="R75" s="1">
        <f>VLOOKUP($B75&amp;"__wt",'SegEnds_Xtal_BW#'!$A:$Z,18,FALSE)</f>
        <v>52</v>
      </c>
      <c r="S75" s="1">
        <f>VLOOKUP($B75&amp;"__wt",'SegEnds_Xtal_BW#'!$A:$Z,19,FALSE)</f>
        <v>35</v>
      </c>
      <c r="T75" s="1">
        <f t="array" ref="T75">INDEX(ICL3_classA!$G$2:$G$37,MATCH(MIN(ABS(AI75-ICL3_classA!$F$2:$F$37)),ABS(AI75-ICL3_classA!$F$2:$F$37),0))</f>
        <v>75</v>
      </c>
      <c r="U75" s="1">
        <f t="array" ref="U75">INDEX(ICL3_classA!$H$2:$H$37,MATCH(MIN(ABS(AI75-ICL3_classA!$F$2:$F$37)),ABS(AI75-ICL3_classA!$F$2:$F$37),0))</f>
        <v>24</v>
      </c>
      <c r="V75" s="1">
        <v>61</v>
      </c>
      <c r="W75" s="1">
        <v>31</v>
      </c>
      <c r="X75" s="1">
        <f>VLOOKUP($B75&amp;"__wt",'SegEnds_Xtal_BW#'!$A:$Z,24,FALSE)</f>
        <v>56</v>
      </c>
      <c r="Y75" s="1">
        <f>VLOOKUP($B75&amp;"__wt",'SegEnds_Xtal_BW#'!$A:$Z,25,FALSE)</f>
        <v>47</v>
      </c>
      <c r="Z75" s="1">
        <f>VLOOKUP($B75&amp;"__wt",'SegEnds_Xtal_BW#'!$A:$Z,26,FALSE)</f>
        <v>59</v>
      </c>
      <c r="AA75" s="27" t="str">
        <f>VLOOKUP(A75,Classification!A:B,2,FALSE)</f>
        <v>A</v>
      </c>
      <c r="AB75" s="1">
        <f>VLOOKUP(A75,'SegEnds_NonXtal_Prot#'!A:AL,10,FALSE)-VLOOKUP(A75,'SegEnds_NonXtal_Prot#'!A:AL,4,FALSE)</f>
        <v>28</v>
      </c>
      <c r="AC75" s="1">
        <f>VLOOKUP(A75,'SegEnds_NonXtal_Prot#'!A:AL,10,FALSE)-VLOOKUP(A75,'SegEnds_NonXtal_Prot#'!A:AL,7,FALSE)</f>
        <v>15</v>
      </c>
      <c r="AD75" s="1">
        <f>VLOOKUP(A75,'SegEnds_NonXtal_Prot#'!A:AL,13,FALSE)-VLOOKUP(A75,'SegEnds_NonXtal_Prot#'!A:AL,10,FALSE)</f>
        <v>20</v>
      </c>
      <c r="AE75" s="1">
        <f>VLOOKUP(A75,'SegEnds_NonXtal_Prot#'!A:AL,16,FALSE)-VLOOKUP(A75,'SegEnds_NonXtal_Prot#'!A:AL,10,FALSE)</f>
        <v>52</v>
      </c>
      <c r="AF75" s="1">
        <f>VLOOKUP(A75,'SegEnds_NonXtal_Prot#'!A:AL,22,FALSE)-VLOOKUP(A75,'SegEnds_NonXtal_Prot#'!A:AL,19,FALSE)</f>
        <v>21</v>
      </c>
      <c r="AG75" s="1">
        <f>VLOOKUP(A75,'SegEnds_NonXtal_Prot#'!A:AL,28,FALSE)-VLOOKUP(A75,'SegEnds_NonXtal_Prot#'!A:AL,25,FALSE)</f>
        <v>19</v>
      </c>
      <c r="AH75" s="1">
        <f>VLOOKUP(A75,'SegEnds_NonXtal_Prot#'!A:AL,28,FALSE)-VLOOKUP(A75,'SegEnds_NonXtal_Prot#'!A:AL,22,FALSE)</f>
        <v>41</v>
      </c>
      <c r="AI75" s="1">
        <f>VLOOKUP(A75,'SegEnds_NonXtal_Prot#'!A:AL,31,FALSE)-VLOOKUP(A75,'SegEnds_NonXtal_Prot#'!A:AL,28,FALSE)</f>
        <v>187</v>
      </c>
      <c r="AJ75" s="1">
        <f>VLOOKUP(A75,'SegEnds_NonXtal_Prot#'!A:AL,34,FALSE)-VLOOKUP(A75,'SegEnds_NonXtal_Prot#'!A:AL,31,FALSE)</f>
        <v>35</v>
      </c>
      <c r="AK75" s="1">
        <f>VLOOKUP(A75,'SegEnds_NonXtal_Prot#'!A:AL,37,FALSE)-VLOOKUP(A75,'SegEnds_NonXtal_Prot#'!A:AL,34,FALSE)</f>
        <v>10</v>
      </c>
      <c r="AL75" s="1" t="str">
        <f>IF(ISERROR(MATCH(A75,'SegEnds_Xtal_Prot#'!B:B, 0)), "NoXtal", "Xtal")</f>
        <v>Xtal</v>
      </c>
    </row>
    <row r="76" spans="1:38" x14ac:dyDescent="0.2">
      <c r="A76" s="1" t="s">
        <v>192</v>
      </c>
      <c r="B76" s="1" t="str">
        <f>VLOOKUP(A76,Xtal_Templ!A:B,2,FALSE)</f>
        <v>drd3_human</v>
      </c>
      <c r="C76" s="5">
        <f>VLOOKUP($B76&amp;"__wt",'SegEnds_Xtal_BW#'!$A:$Z,3,FALSE)</f>
        <v>29</v>
      </c>
      <c r="D76" s="1">
        <f>VLOOKUP($B76&amp;"__wt",'SegEnds_Xtal_BW#'!$A:$Z,4,FALSE)</f>
        <v>60</v>
      </c>
      <c r="E76" s="1">
        <f>VLOOKUP($B76&amp;"__wt",'SegEnds_Xtal_BW#'!$A:$Z,5,FALSE)</f>
        <v>48</v>
      </c>
      <c r="F76" s="1">
        <f>VLOOKUP($B76&amp;"__wt",'SegEnds_Xtal_BW#'!$A:$Z,6,FALSE)</f>
        <v>51</v>
      </c>
      <c r="G76" s="1">
        <v>37</v>
      </c>
      <c r="H76" s="12">
        <f>VLOOKUP($B76&amp;"__wt",'SegEnds_Xtal_BW#'!$A:$Z,8,FALSE)</f>
        <v>67</v>
      </c>
      <c r="I76" s="1">
        <f>VLOOKUP($B76&amp;"__wt",'SegEnds_Xtal_BW#'!$A:$Z,9,FALSE)</f>
        <v>49</v>
      </c>
      <c r="J76" s="1">
        <f>VLOOKUP($B76&amp;"__wt",'SegEnds_Xtal_BW#'!$A:$Z,10,FALSE)</f>
        <v>52</v>
      </c>
      <c r="K76" s="12">
        <v>18</v>
      </c>
      <c r="L76" s="1">
        <f>VLOOKUP($B76&amp;"__wt",'SegEnds_Xtal_BW#'!$A:$Z,12,FALSE)</f>
        <v>56</v>
      </c>
      <c r="M76" s="1">
        <f>VLOOKUP($B76&amp;"__wt",'SegEnds_Xtal_BW#'!$A:$Z,13,FALSE)</f>
        <v>50</v>
      </c>
      <c r="N76" s="12">
        <f>VLOOKUP($B76&amp;"__wt",'SegEnds_Xtal_BW#'!$A:$Z,14,FALSE)</f>
        <v>58</v>
      </c>
      <c r="O76" s="87">
        <f>VLOOKUP($B76&amp;"__wt",'SegEnds_Xtal_BW#'!$A:$Z,15,FALSE)</f>
        <v>38</v>
      </c>
      <c r="P76" s="1">
        <f>VLOOKUP($B76&amp;"__wt",'SegEnds_Xtal_BW#'!$A:$Z,16,FALSE)</f>
        <v>63</v>
      </c>
      <c r="Q76" s="1">
        <f>VLOOKUP($B76&amp;"__wt",'SegEnds_Xtal_BW#'!$A:$Z,17,FALSE)</f>
        <v>50</v>
      </c>
      <c r="R76" s="1">
        <f>VLOOKUP($B76&amp;"__wt",'SegEnds_Xtal_BW#'!$A:$Z,18,FALSE)</f>
        <v>52</v>
      </c>
      <c r="S76" s="1">
        <v>35</v>
      </c>
      <c r="T76" s="1">
        <f t="array" ref="T76">INDEX(ICL3_classA!$G$2:$G$37,MATCH(MIN(ABS(AI76-ICL3_classA!$F$2:$F$37)),ABS(AI76-ICL3_classA!$F$2:$F$37),0))</f>
        <v>76</v>
      </c>
      <c r="U76" s="1">
        <f t="array" ref="U76">INDEX(ICL3_classA!$H$2:$H$37,MATCH(MIN(ABS(AI76-ICL3_classA!$F$2:$F$37)),ABS(AI76-ICL3_classA!$F$2:$F$37),0))</f>
        <v>24</v>
      </c>
      <c r="V76" s="1">
        <f>VLOOKUP($B76&amp;"__wt",'SegEnds_Xtal_BW#'!$A:$Z,22,FALSE)</f>
        <v>60</v>
      </c>
      <c r="W76" s="1">
        <v>31</v>
      </c>
      <c r="X76" s="1">
        <f>VLOOKUP($B76&amp;"__wt",'SegEnds_Xtal_BW#'!$A:$Z,24,FALSE)</f>
        <v>56</v>
      </c>
      <c r="Y76" s="1">
        <f>VLOOKUP($B76&amp;"__wt",'SegEnds_Xtal_BW#'!$A:$Z,25,FALSE)</f>
        <v>47</v>
      </c>
      <c r="Z76" s="1">
        <f>VLOOKUP($B76&amp;"__wt",'SegEnds_Xtal_BW#'!$A:$Z,26,FALSE)</f>
        <v>59</v>
      </c>
      <c r="AA76" s="27" t="str">
        <f>VLOOKUP(A76,Classification!A:B,2,FALSE)</f>
        <v>A</v>
      </c>
      <c r="AB76" s="1">
        <f>VLOOKUP(A76,'SegEnds_NonXtal_Prot#'!A:AL,10,FALSE)-VLOOKUP(A76,'SegEnds_NonXtal_Prot#'!A:AL,4,FALSE)</f>
        <v>28</v>
      </c>
      <c r="AC76" s="1">
        <f>VLOOKUP(A76,'SegEnds_NonXtal_Prot#'!A:AL,10,FALSE)-VLOOKUP(A76,'SegEnds_NonXtal_Prot#'!A:AL,7,FALSE)</f>
        <v>15</v>
      </c>
      <c r="AD76" s="1">
        <f>VLOOKUP(A76,'SegEnds_NonXtal_Prot#'!A:AL,13,FALSE)-VLOOKUP(A76,'SegEnds_NonXtal_Prot#'!A:AL,10,FALSE)</f>
        <v>21</v>
      </c>
      <c r="AE76" s="1">
        <f>VLOOKUP(A76,'SegEnds_NonXtal_Prot#'!A:AL,16,FALSE)-VLOOKUP(A76,'SegEnds_NonXtal_Prot#'!A:AL,10,FALSE)</f>
        <v>53</v>
      </c>
      <c r="AF76" s="1">
        <f>VLOOKUP(A76,'SegEnds_NonXtal_Prot#'!A:AL,22,FALSE)-VLOOKUP(A76,'SegEnds_NonXtal_Prot#'!A:AL,19,FALSE)</f>
        <v>23</v>
      </c>
      <c r="AG76" s="1">
        <f>VLOOKUP(A76,'SegEnds_NonXtal_Prot#'!A:AL,28,FALSE)-VLOOKUP(A76,'SegEnds_NonXtal_Prot#'!A:AL,25,FALSE)</f>
        <v>19</v>
      </c>
      <c r="AH76" s="1">
        <f>VLOOKUP(A76,'SegEnds_NonXtal_Prot#'!A:AL,28,FALSE)-VLOOKUP(A76,'SegEnds_NonXtal_Prot#'!A:AL,22,FALSE)</f>
        <v>42</v>
      </c>
      <c r="AI76" s="1">
        <f>VLOOKUP(A76,'SegEnds_NonXtal_Prot#'!A:AL,31,FALSE)-VLOOKUP(A76,'SegEnds_NonXtal_Prot#'!A:AL,28,FALSE)</f>
        <v>144</v>
      </c>
      <c r="AJ76" s="1">
        <f>VLOOKUP(A76,'SegEnds_NonXtal_Prot#'!A:AL,34,FALSE)-VLOOKUP(A76,'SegEnds_NonXtal_Prot#'!A:AL,31,FALSE)</f>
        <v>36</v>
      </c>
      <c r="AK76" s="1">
        <f>VLOOKUP(A76,'SegEnds_NonXtal_Prot#'!A:AL,37,FALSE)-VLOOKUP(A76,'SegEnds_NonXtal_Prot#'!A:AL,34,FALSE)</f>
        <v>10</v>
      </c>
      <c r="AL76" s="1" t="str">
        <f>IF(ISERROR(MATCH(A76,'SegEnds_Xtal_Prot#'!B:B, 0)), "NoXtal", "Xtal")</f>
        <v>Xtal</v>
      </c>
    </row>
    <row r="77" spans="1:38" x14ac:dyDescent="0.2">
      <c r="A77" s="1" t="s">
        <v>193</v>
      </c>
      <c r="B77" s="1" t="str">
        <f>VLOOKUP(A77,Xtal_Templ!A:B,2,FALSE)</f>
        <v>drd4_human</v>
      </c>
      <c r="C77" s="5">
        <f>VLOOKUP($B77&amp;"__wt",'SegEnds_Xtal_BW#'!$A:$Z,3,FALSE)</f>
        <v>29</v>
      </c>
      <c r="D77" s="1">
        <f>VLOOKUP($B77&amp;"__wt",'SegEnds_Xtal_BW#'!$A:$Z,4,FALSE)</f>
        <v>60</v>
      </c>
      <c r="E77" s="1">
        <f>VLOOKUP($B77&amp;"__wt",'SegEnds_Xtal_BW#'!$A:$Z,5,FALSE)</f>
        <v>48</v>
      </c>
      <c r="F77" s="1">
        <f>VLOOKUP($B77&amp;"__wt",'SegEnds_Xtal_BW#'!$A:$Z,6,FALSE)</f>
        <v>51</v>
      </c>
      <c r="G77" s="1">
        <v>38</v>
      </c>
      <c r="H77" s="12">
        <f>VLOOKUP($B77&amp;"__wt",'SegEnds_Xtal_BW#'!$A:$Z,8,FALSE)</f>
        <v>67</v>
      </c>
      <c r="I77" s="1">
        <f>VLOOKUP($B77&amp;"__wt",'SegEnds_Xtal_BW#'!$A:$Z,9,FALSE)</f>
        <v>49</v>
      </c>
      <c r="J77" s="1">
        <f>VLOOKUP($B77&amp;"__wt",'SegEnds_Xtal_BW#'!$A:$Z,10,FALSE)</f>
        <v>52</v>
      </c>
      <c r="K77" s="12">
        <v>19</v>
      </c>
      <c r="L77" s="1">
        <f>VLOOKUP($B77&amp;"__wt",'SegEnds_Xtal_BW#'!$A:$Z,12,FALSE)</f>
        <v>56</v>
      </c>
      <c r="M77" s="1">
        <f>VLOOKUP($B77&amp;"__wt",'SegEnds_Xtal_BW#'!$A:$Z,13,FALSE)</f>
        <v>50</v>
      </c>
      <c r="N77" s="12">
        <f>VLOOKUP($B77&amp;"__wt",'SegEnds_Xtal_BW#'!$A:$Z,14,FALSE)</f>
        <v>57</v>
      </c>
      <c r="O77" s="87">
        <f>VLOOKUP($B77&amp;"__wt",'SegEnds_Xtal_BW#'!$A:$Z,15,FALSE)</f>
        <v>38</v>
      </c>
      <c r="P77" s="1">
        <f>VLOOKUP($B77&amp;"__wt",'SegEnds_Xtal_BW#'!$A:$Z,16,FALSE)</f>
        <v>63</v>
      </c>
      <c r="Q77" s="1">
        <f>VLOOKUP($B77&amp;"__wt",'SegEnds_Xtal_BW#'!$A:$Z,17,FALSE)</f>
        <v>50</v>
      </c>
      <c r="R77" s="1">
        <f>VLOOKUP($B77&amp;"__wt",'SegEnds_Xtal_BW#'!$A:$Z,18,FALSE)</f>
        <v>52</v>
      </c>
      <c r="S77" s="1">
        <v>35</v>
      </c>
      <c r="T77" s="1">
        <f t="array" ref="T77">INDEX(ICL3_classA!$G$2:$G$37,MATCH(MIN(ABS(AI77-ICL3_classA!$F$2:$F$37)),ABS(AI77-ICL3_classA!$F$2:$F$37),0))</f>
        <v>75</v>
      </c>
      <c r="U77" s="1">
        <f t="array" ref="U77">INDEX(ICL3_classA!$H$2:$H$37,MATCH(MIN(ABS(AI77-ICL3_classA!$F$2:$F$37)),ABS(AI77-ICL3_classA!$F$2:$F$37),0))</f>
        <v>24</v>
      </c>
      <c r="V77" s="1">
        <f>VLOOKUP($B77&amp;"__wt",'SegEnds_Xtal_BW#'!$A:$Z,22,FALSE)</f>
        <v>61</v>
      </c>
      <c r="W77" s="1">
        <v>31</v>
      </c>
      <c r="X77" s="1">
        <f>VLOOKUP($B77&amp;"__wt",'SegEnds_Xtal_BW#'!$A:$Z,24,FALSE)</f>
        <v>56</v>
      </c>
      <c r="Y77" s="1">
        <f>VLOOKUP($B77&amp;"__wt",'SegEnds_Xtal_BW#'!$A:$Z,25,FALSE)</f>
        <v>47</v>
      </c>
      <c r="Z77" s="1">
        <f>VLOOKUP($B77&amp;"__wt",'SegEnds_Xtal_BW#'!$A:$Z,26,FALSE)</f>
        <v>59</v>
      </c>
      <c r="AA77" s="27" t="str">
        <f>VLOOKUP(A77,Classification!A:B,2,FALSE)</f>
        <v>A</v>
      </c>
      <c r="AB77" s="1">
        <f>VLOOKUP(A77,'SegEnds_NonXtal_Prot#'!A:AL,10,FALSE)-VLOOKUP(A77,'SegEnds_NonXtal_Prot#'!A:AL,4,FALSE)</f>
        <v>28</v>
      </c>
      <c r="AC77" s="1">
        <f>VLOOKUP(A77,'SegEnds_NonXtal_Prot#'!A:AL,10,FALSE)-VLOOKUP(A77,'SegEnds_NonXtal_Prot#'!A:AL,7,FALSE)</f>
        <v>15</v>
      </c>
      <c r="AD77" s="1">
        <f>VLOOKUP(A77,'SegEnds_NonXtal_Prot#'!A:AL,13,FALSE)-VLOOKUP(A77,'SegEnds_NonXtal_Prot#'!A:AL,10,FALSE)</f>
        <v>21</v>
      </c>
      <c r="AE77" s="1">
        <f>VLOOKUP(A77,'SegEnds_NonXtal_Prot#'!A:AL,16,FALSE)-VLOOKUP(A77,'SegEnds_NonXtal_Prot#'!A:AL,10,FALSE)</f>
        <v>53</v>
      </c>
      <c r="AF77" s="1">
        <f>VLOOKUP(A77,'SegEnds_NonXtal_Prot#'!A:AL,22,FALSE)-VLOOKUP(A77,'SegEnds_NonXtal_Prot#'!A:AL,19,FALSE)</f>
        <v>20</v>
      </c>
      <c r="AG77" s="1">
        <f>VLOOKUP(A77,'SegEnds_NonXtal_Prot#'!A:AL,28,FALSE)-VLOOKUP(A77,'SegEnds_NonXtal_Prot#'!A:AL,25,FALSE)</f>
        <v>19</v>
      </c>
      <c r="AH77" s="1">
        <f>VLOOKUP(A77,'SegEnds_NonXtal_Prot#'!A:AL,28,FALSE)-VLOOKUP(A77,'SegEnds_NonXtal_Prot#'!A:AL,22,FALSE)</f>
        <v>44</v>
      </c>
      <c r="AI77" s="1">
        <f>VLOOKUP(A77,'SegEnds_NonXtal_Prot#'!A:AL,31,FALSE)-VLOOKUP(A77,'SegEnds_NonXtal_Prot#'!A:AL,28,FALSE)</f>
        <v>205</v>
      </c>
      <c r="AJ77" s="1">
        <f>VLOOKUP(A77,'SegEnds_NonXtal_Prot#'!A:AL,34,FALSE)-VLOOKUP(A77,'SegEnds_NonXtal_Prot#'!A:AL,31,FALSE)</f>
        <v>36</v>
      </c>
      <c r="AK77" s="1">
        <f>VLOOKUP(A77,'SegEnds_NonXtal_Prot#'!A:AL,37,FALSE)-VLOOKUP(A77,'SegEnds_NonXtal_Prot#'!A:AL,34,FALSE)</f>
        <v>10</v>
      </c>
      <c r="AL77" s="1" t="str">
        <f>IF(ISERROR(MATCH(A77,'SegEnds_Xtal_Prot#'!B:B, 0)), "NoXtal", "Xtal")</f>
        <v>Xtal</v>
      </c>
    </row>
    <row r="78" spans="1:38" x14ac:dyDescent="0.2">
      <c r="A78" s="1" t="s">
        <v>194</v>
      </c>
      <c r="B78" s="1" t="str">
        <f>VLOOKUP(A78,Xtal_Templ!A:B,2,FALSE)</f>
        <v>adrb2_human</v>
      </c>
      <c r="C78" s="5">
        <f>VLOOKUP($B78&amp;"__wt",'SegEnds_Xtal_BW#'!$A:$Z,3,FALSE)</f>
        <v>25</v>
      </c>
      <c r="D78" s="1">
        <f>VLOOKUP($B78&amp;"__wt",'SegEnds_Xtal_BW#'!$A:$Z,4,FALSE)</f>
        <v>60</v>
      </c>
      <c r="E78" s="1">
        <f>VLOOKUP($B78&amp;"__wt",'SegEnds_Xtal_BW#'!$A:$Z,5,FALSE)</f>
        <v>48</v>
      </c>
      <c r="F78" s="1">
        <f>VLOOKUP($B78&amp;"__wt",'SegEnds_Xtal_BW#'!$A:$Z,6,FALSE)</f>
        <v>51</v>
      </c>
      <c r="G78" s="1">
        <v>37</v>
      </c>
      <c r="H78" s="12">
        <v>66</v>
      </c>
      <c r="I78" s="1">
        <f>VLOOKUP($B78&amp;"__wt",'SegEnds_Xtal_BW#'!$A:$Z,9,FALSE)</f>
        <v>49</v>
      </c>
      <c r="J78" s="1">
        <f>VLOOKUP($B78&amp;"__wt",'SegEnds_Xtal_BW#'!$A:$Z,10,FALSE)</f>
        <v>52</v>
      </c>
      <c r="K78" s="12">
        <v>21</v>
      </c>
      <c r="L78" s="1">
        <f>VLOOKUP($B78&amp;"__wt",'SegEnds_Xtal_BW#'!$A:$Z,12,FALSE)</f>
        <v>56</v>
      </c>
      <c r="M78" s="1">
        <f>VLOOKUP($B78&amp;"__wt",'SegEnds_Xtal_BW#'!$A:$Z,13,FALSE)</f>
        <v>50</v>
      </c>
      <c r="N78" s="12">
        <v>57</v>
      </c>
      <c r="O78" s="87">
        <v>38</v>
      </c>
      <c r="P78" s="1">
        <f>VLOOKUP($B78&amp;"__wt",'SegEnds_Xtal_BW#'!$A:$Z,16,FALSE)</f>
        <v>64</v>
      </c>
      <c r="Q78" s="1">
        <f>VLOOKUP($B78&amp;"__wt",'SegEnds_Xtal_BW#'!$A:$Z,17,FALSE)</f>
        <v>50</v>
      </c>
      <c r="R78" s="1">
        <f>VLOOKUP($B78&amp;"__wt",'SegEnds_Xtal_BW#'!$A:$Z,18,FALSE)</f>
        <v>52</v>
      </c>
      <c r="S78" s="1">
        <v>35</v>
      </c>
      <c r="T78" s="1">
        <f t="array" ref="T78">INDEX(ICL3_classA!$G$2:$G$37,MATCH(MIN(ABS(AI78-ICL3_classA!$F$2:$F$37)),ABS(AI78-ICL3_classA!$F$2:$F$37),0))</f>
        <v>76</v>
      </c>
      <c r="U78" s="1">
        <f t="array" ref="U78">INDEX(ICL3_classA!$H$2:$H$37,MATCH(MIN(ABS(AI78-ICL3_classA!$F$2:$F$37)),ABS(AI78-ICL3_classA!$F$2:$F$37),0))</f>
        <v>24</v>
      </c>
      <c r="V78" s="1">
        <v>64</v>
      </c>
      <c r="W78" s="1">
        <v>24</v>
      </c>
      <c r="X78" s="129">
        <v>56</v>
      </c>
      <c r="Y78" s="1">
        <f>VLOOKUP($B78&amp;"__wt",'SegEnds_Xtal_BW#'!$A:$Z,25,FALSE)</f>
        <v>47</v>
      </c>
      <c r="Z78" s="1">
        <f>VLOOKUP($B78&amp;"__wt",'SegEnds_Xtal_BW#'!$A:$Z,26,FALSE)</f>
        <v>59</v>
      </c>
      <c r="AA78" s="27" t="str">
        <f>VLOOKUP(A78,Classification!A:B,2,FALSE)</f>
        <v>A</v>
      </c>
      <c r="AB78" s="1">
        <f>VLOOKUP(A78,'SegEnds_NonXtal_Prot#'!A:AL,10,FALSE)-VLOOKUP(A78,'SegEnds_NonXtal_Prot#'!A:AL,4,FALSE)</f>
        <v>29</v>
      </c>
      <c r="AC78" s="1">
        <f>VLOOKUP(A78,'SegEnds_NonXtal_Prot#'!A:AL,10,FALSE)-VLOOKUP(A78,'SegEnds_NonXtal_Prot#'!A:AL,7,FALSE)</f>
        <v>16</v>
      </c>
      <c r="AD78" s="1">
        <f>VLOOKUP(A78,'SegEnds_NonXtal_Prot#'!A:AL,13,FALSE)-VLOOKUP(A78,'SegEnds_NonXtal_Prot#'!A:AL,10,FALSE)</f>
        <v>20</v>
      </c>
      <c r="AE78" s="1">
        <f>VLOOKUP(A78,'SegEnds_NonXtal_Prot#'!A:AL,16,FALSE)-VLOOKUP(A78,'SegEnds_NonXtal_Prot#'!A:AL,10,FALSE)</f>
        <v>51</v>
      </c>
      <c r="AF78" s="1">
        <f>VLOOKUP(A78,'SegEnds_NonXtal_Prot#'!A:AL,22,FALSE)-VLOOKUP(A78,'SegEnds_NonXtal_Prot#'!A:AL,19,FALSE)</f>
        <v>20</v>
      </c>
      <c r="AG78" s="1">
        <f>VLOOKUP(A78,'SegEnds_NonXtal_Prot#'!A:AL,28,FALSE)-VLOOKUP(A78,'SegEnds_NonXtal_Prot#'!A:AL,25,FALSE)</f>
        <v>20</v>
      </c>
      <c r="AH78" s="1">
        <f>VLOOKUP(A78,'SegEnds_NonXtal_Prot#'!A:AL,28,FALSE)-VLOOKUP(A78,'SegEnds_NonXtal_Prot#'!A:AL,22,FALSE)</f>
        <v>72</v>
      </c>
      <c r="AI78" s="1">
        <f>VLOOKUP(A78,'SegEnds_NonXtal_Prot#'!A:AL,31,FALSE)-VLOOKUP(A78,'SegEnds_NonXtal_Prot#'!A:AL,28,FALSE)</f>
        <v>74</v>
      </c>
      <c r="AJ78" s="1">
        <f>VLOOKUP(A78,'SegEnds_NonXtal_Prot#'!A:AL,34,FALSE)-VLOOKUP(A78,'SegEnds_NonXtal_Prot#'!A:AL,31,FALSE)</f>
        <v>45</v>
      </c>
      <c r="AK78" s="1">
        <f>VLOOKUP(A78,'SegEnds_NonXtal_Prot#'!A:AL,37,FALSE)-VLOOKUP(A78,'SegEnds_NonXtal_Prot#'!A:AL,34,FALSE)</f>
        <v>10</v>
      </c>
      <c r="AL78" s="1" t="str">
        <f>IF(ISERROR(MATCH(A78,'SegEnds_Xtal_Prot#'!B:B, 0)), "NoXtal", "Xtal")</f>
        <v>NoXtal</v>
      </c>
    </row>
    <row r="79" spans="1:38" x14ac:dyDescent="0.2">
      <c r="A79" s="1" t="s">
        <v>195</v>
      </c>
      <c r="B79" s="1" t="str">
        <f>VLOOKUP(A79,Xtal_Templ!A:B,2,FALSE)</f>
        <v>ednrb_human</v>
      </c>
      <c r="C79" s="5">
        <f>VLOOKUP($B79&amp;"__wt",'SegEnds_Xtal_BW#'!$A:$Z,3,FALSE)</f>
        <v>22</v>
      </c>
      <c r="D79" s="1">
        <f>VLOOKUP($B79&amp;"__wt",'SegEnds_Xtal_BW#'!$A:$Z,4,FALSE)</f>
        <v>60</v>
      </c>
      <c r="E79" s="1">
        <f>VLOOKUP($B79&amp;"__wt",'SegEnds_Xtal_BW#'!$A:$Z,5,FALSE)</f>
        <v>48</v>
      </c>
      <c r="F79" s="1">
        <f>VLOOKUP($B79&amp;"__wt",'SegEnds_Xtal_BW#'!$A:$Z,6,FALSE)</f>
        <v>52</v>
      </c>
      <c r="G79" s="1">
        <v>38</v>
      </c>
      <c r="H79" s="12">
        <v>67</v>
      </c>
      <c r="I79" s="1">
        <f>VLOOKUP($B79&amp;"__wt",'SegEnds_Xtal_BW#'!$A:$Z,9,FALSE)</f>
        <v>49</v>
      </c>
      <c r="J79" s="1">
        <f>VLOOKUP($B79&amp;"__wt",'SegEnds_Xtal_BW#'!$A:$Z,10,FALSE)</f>
        <v>52</v>
      </c>
      <c r="K79" s="9">
        <v>21</v>
      </c>
      <c r="L79" s="1">
        <f>VLOOKUP($B79&amp;"__wt",'SegEnds_Xtal_BW#'!$A:$Z,12,FALSE)</f>
        <v>56</v>
      </c>
      <c r="M79" s="1">
        <f>VLOOKUP($B79&amp;"__wt",'SegEnds_Xtal_BW#'!$A:$Z,13,FALSE)</f>
        <v>50</v>
      </c>
      <c r="N79" s="12">
        <v>57</v>
      </c>
      <c r="O79" s="87">
        <f>VLOOKUP($B79&amp;"__wt",'SegEnds_Xtal_BW#'!$A:$Z,15,FALSE)</f>
        <v>38</v>
      </c>
      <c r="P79" s="1">
        <f>VLOOKUP($B79&amp;"__wt",'SegEnds_Xtal_BW#'!$A:$Z,16,FALSE)</f>
        <v>64</v>
      </c>
      <c r="Q79" s="1">
        <f>VLOOKUP($B79&amp;"__wt",'SegEnds_Xtal_BW#'!$A:$Z,17,FALSE)</f>
        <v>50</v>
      </c>
      <c r="R79" s="1">
        <f>VLOOKUP($B79&amp;"__wt",'SegEnds_Xtal_BW#'!$A:$Z,18,FALSE)</f>
        <v>52</v>
      </c>
      <c r="S79" s="1">
        <f>VLOOKUP($B79&amp;"__wt",'SegEnds_Xtal_BW#'!$A:$Z,19,FALSE)</f>
        <v>28</v>
      </c>
      <c r="T79" s="1">
        <f t="array" ref="T79">INDEX(ICL3_classA!$G$2:$G$37,MATCH(MIN(ABS(AI79-ICL3_classA!$F$2:$F$37)),ABS(AI79-ICL3_classA!$F$2:$F$37),0))</f>
        <v>72</v>
      </c>
      <c r="U79" s="1">
        <f t="array" ref="U79">INDEX(ICL3_classA!$H$2:$H$37,MATCH(MIN(ABS(AI79-ICL3_classA!$F$2:$F$37)),ABS(AI79-ICL3_classA!$F$2:$F$37),0))</f>
        <v>24</v>
      </c>
      <c r="V79" s="1">
        <v>62</v>
      </c>
      <c r="W79" s="1">
        <v>24</v>
      </c>
      <c r="X79" s="1">
        <f>VLOOKUP($B79&amp;"__wt",'SegEnds_Xtal_BW#'!$A:$Z,24,FALSE)</f>
        <v>56</v>
      </c>
      <c r="Y79" s="1">
        <f>VLOOKUP($B79&amp;"__wt",'SegEnds_Xtal_BW#'!$A:$Z,25,FALSE)</f>
        <v>47</v>
      </c>
      <c r="Z79" s="1">
        <f>VLOOKUP($B79&amp;"__wt",'SegEnds_Xtal_BW#'!$A:$Z,26,FALSE)</f>
        <v>60</v>
      </c>
      <c r="AA79" s="27" t="str">
        <f>VLOOKUP(A79,Classification!A:B,2,FALSE)</f>
        <v>A</v>
      </c>
      <c r="AB79" s="1">
        <f>VLOOKUP(A79,'SegEnds_NonXtal_Prot#'!A:AL,10,FALSE)-VLOOKUP(A79,'SegEnds_NonXtal_Prot#'!A:AL,4,FALSE)</f>
        <v>28</v>
      </c>
      <c r="AC79" s="1">
        <f>VLOOKUP(A79,'SegEnds_NonXtal_Prot#'!A:AL,10,FALSE)-VLOOKUP(A79,'SegEnds_NonXtal_Prot#'!A:AL,7,FALSE)</f>
        <v>15</v>
      </c>
      <c r="AD79" s="1">
        <f>VLOOKUP(A79,'SegEnds_NonXtal_Prot#'!A:AL,13,FALSE)-VLOOKUP(A79,'SegEnds_NonXtal_Prot#'!A:AL,10,FALSE)</f>
        <v>20</v>
      </c>
      <c r="AE79" s="1">
        <f>VLOOKUP(A79,'SegEnds_NonXtal_Prot#'!A:AL,16,FALSE)-VLOOKUP(A79,'SegEnds_NonXtal_Prot#'!A:AL,10,FALSE)</f>
        <v>57</v>
      </c>
      <c r="AF79" s="1">
        <f>VLOOKUP(A79,'SegEnds_NonXtal_Prot#'!A:AL,22,FALSE)-VLOOKUP(A79,'SegEnds_NonXtal_Prot#'!A:AL,19,FALSE)</f>
        <v>20</v>
      </c>
      <c r="AG79" s="1">
        <f>VLOOKUP(A79,'SegEnds_NonXtal_Prot#'!A:AL,28,FALSE)-VLOOKUP(A79,'SegEnds_NonXtal_Prot#'!A:AL,25,FALSE)</f>
        <v>28</v>
      </c>
      <c r="AH79" s="1">
        <f>VLOOKUP(A79,'SegEnds_NonXtal_Prot#'!A:AL,28,FALSE)-VLOOKUP(A79,'SegEnds_NonXtal_Prot#'!A:AL,22,FALSE)</f>
        <v>57</v>
      </c>
      <c r="AI79" s="1">
        <f>VLOOKUP(A79,'SegEnds_NonXtal_Prot#'!A:AL,31,FALSE)-VLOOKUP(A79,'SegEnds_NonXtal_Prot#'!A:AL,28,FALSE)</f>
        <v>54</v>
      </c>
      <c r="AJ79" s="1">
        <f>VLOOKUP(A79,'SegEnds_NonXtal_Prot#'!A:AL,34,FALSE)-VLOOKUP(A79,'SegEnds_NonXtal_Prot#'!A:AL,31,FALSE)</f>
        <v>45</v>
      </c>
      <c r="AK79" s="1">
        <f>VLOOKUP(A79,'SegEnds_NonXtal_Prot#'!A:AL,37,FALSE)-VLOOKUP(A79,'SegEnds_NonXtal_Prot#'!A:AL,34,FALSE)</f>
        <v>10</v>
      </c>
      <c r="AL79" s="1" t="str">
        <f>IF(ISERROR(MATCH(A79,'SegEnds_Xtal_Prot#'!B:B, 0)), "NoXtal", "Xtal")</f>
        <v>NoXtal</v>
      </c>
    </row>
    <row r="80" spans="1:38" x14ac:dyDescent="0.2">
      <c r="A80" s="1" t="s">
        <v>196</v>
      </c>
      <c r="B80" s="1" t="str">
        <f>VLOOKUP(A80,Xtal_Templ!A:B,2,FALSE)</f>
        <v>ednrb_human</v>
      </c>
      <c r="C80" s="5">
        <f>VLOOKUP($B80&amp;"__wt",'SegEnds_Xtal_BW#'!$A:$Z,3,FALSE)</f>
        <v>22</v>
      </c>
      <c r="D80" s="1">
        <f>VLOOKUP($B80&amp;"__wt",'SegEnds_Xtal_BW#'!$A:$Z,4,FALSE)</f>
        <v>60</v>
      </c>
      <c r="E80" s="1">
        <f>VLOOKUP($B80&amp;"__wt",'SegEnds_Xtal_BW#'!$A:$Z,5,FALSE)</f>
        <v>48</v>
      </c>
      <c r="F80" s="1">
        <f>VLOOKUP($B80&amp;"__wt",'SegEnds_Xtal_BW#'!$A:$Z,6,FALSE)</f>
        <v>52</v>
      </c>
      <c r="G80" s="1">
        <v>38</v>
      </c>
      <c r="H80" s="12">
        <f>VLOOKUP($B80&amp;"__wt",'SegEnds_Xtal_BW#'!$A:$Z,8,FALSE)</f>
        <v>67</v>
      </c>
      <c r="I80" s="1">
        <f>VLOOKUP($B80&amp;"__wt",'SegEnds_Xtal_BW#'!$A:$Z,9,FALSE)</f>
        <v>49</v>
      </c>
      <c r="J80" s="1">
        <f>VLOOKUP($B80&amp;"__wt",'SegEnds_Xtal_BW#'!$A:$Z,10,FALSE)</f>
        <v>52</v>
      </c>
      <c r="K80" s="12">
        <v>21</v>
      </c>
      <c r="L80" s="1">
        <f>VLOOKUP($B80&amp;"__wt",'SegEnds_Xtal_BW#'!$A:$Z,12,FALSE)</f>
        <v>56</v>
      </c>
      <c r="M80" s="1">
        <f>VLOOKUP($B80&amp;"__wt",'SegEnds_Xtal_BW#'!$A:$Z,13,FALSE)</f>
        <v>50</v>
      </c>
      <c r="N80" s="12">
        <f>VLOOKUP($B80&amp;"__wt",'SegEnds_Xtal_BW#'!$A:$Z,14,FALSE)</f>
        <v>57</v>
      </c>
      <c r="O80" s="87">
        <f>VLOOKUP($B80&amp;"__wt",'SegEnds_Xtal_BW#'!$A:$Z,15,FALSE)</f>
        <v>38</v>
      </c>
      <c r="P80" s="1">
        <f>VLOOKUP($B80&amp;"__wt",'SegEnds_Xtal_BW#'!$A:$Z,16,FALSE)</f>
        <v>64</v>
      </c>
      <c r="Q80" s="1">
        <f>VLOOKUP($B80&amp;"__wt",'SegEnds_Xtal_BW#'!$A:$Z,17,FALSE)</f>
        <v>50</v>
      </c>
      <c r="R80" s="1">
        <f>VLOOKUP($B80&amp;"__wt",'SegEnds_Xtal_BW#'!$A:$Z,18,FALSE)</f>
        <v>52</v>
      </c>
      <c r="S80" s="1">
        <f>VLOOKUP($B80&amp;"__wt",'SegEnds_Xtal_BW#'!$A:$Z,19,FALSE)</f>
        <v>28</v>
      </c>
      <c r="T80" s="1">
        <f t="array" ref="T80">INDEX(ICL3_classA!$G$2:$G$37,MATCH(MIN(ABS(AI80-ICL3_classA!$F$2:$F$37)),ABS(AI80-ICL3_classA!$F$2:$F$37),0))</f>
        <v>72</v>
      </c>
      <c r="U80" s="1">
        <f t="array" ref="U80">INDEX(ICL3_classA!$H$2:$H$37,MATCH(MIN(ABS(AI80-ICL3_classA!$F$2:$F$37)),ABS(AI80-ICL3_classA!$F$2:$F$37),0))</f>
        <v>24</v>
      </c>
      <c r="V80" s="1">
        <v>62</v>
      </c>
      <c r="W80" s="1">
        <v>24</v>
      </c>
      <c r="X80" s="1">
        <f>VLOOKUP($B80&amp;"__wt",'SegEnds_Xtal_BW#'!$A:$Z,24,FALSE)</f>
        <v>56</v>
      </c>
      <c r="Y80" s="1">
        <f>VLOOKUP($B80&amp;"__wt",'SegEnds_Xtal_BW#'!$A:$Z,25,FALSE)</f>
        <v>47</v>
      </c>
      <c r="Z80" s="1">
        <f>VLOOKUP($B80&amp;"__wt",'SegEnds_Xtal_BW#'!$A:$Z,26,FALSE)</f>
        <v>60</v>
      </c>
      <c r="AA80" s="27" t="str">
        <f>VLOOKUP(A80,Classification!A:B,2,FALSE)</f>
        <v>A</v>
      </c>
      <c r="AB80" s="1">
        <f>VLOOKUP(A80,'SegEnds_NonXtal_Prot#'!A:AL,10,FALSE)-VLOOKUP(A80,'SegEnds_NonXtal_Prot#'!A:AL,4,FALSE)</f>
        <v>28</v>
      </c>
      <c r="AC80" s="1">
        <f>VLOOKUP(A80,'SegEnds_NonXtal_Prot#'!A:AL,10,FALSE)-VLOOKUP(A80,'SegEnds_NonXtal_Prot#'!A:AL,7,FALSE)</f>
        <v>15</v>
      </c>
      <c r="AD80" s="1">
        <f>VLOOKUP(A80,'SegEnds_NonXtal_Prot#'!A:AL,13,FALSE)-VLOOKUP(A80,'SegEnds_NonXtal_Prot#'!A:AL,10,FALSE)</f>
        <v>20</v>
      </c>
      <c r="AE80" s="1">
        <f>VLOOKUP(A80,'SegEnds_NonXtal_Prot#'!A:AL,16,FALSE)-VLOOKUP(A80,'SegEnds_NonXtal_Prot#'!A:AL,10,FALSE)</f>
        <v>52</v>
      </c>
      <c r="AF80" s="1">
        <f>VLOOKUP(A80,'SegEnds_NonXtal_Prot#'!A:AL,22,FALSE)-VLOOKUP(A80,'SegEnds_NonXtal_Prot#'!A:AL,19,FALSE)</f>
        <v>20</v>
      </c>
      <c r="AG80" s="1">
        <f>VLOOKUP(A80,'SegEnds_NonXtal_Prot#'!A:AL,28,FALSE)-VLOOKUP(A80,'SegEnds_NonXtal_Prot#'!A:AL,25,FALSE)</f>
        <v>30</v>
      </c>
      <c r="AH80" s="1">
        <f>VLOOKUP(A80,'SegEnds_NonXtal_Prot#'!A:AL,28,FALSE)-VLOOKUP(A80,'SegEnds_NonXtal_Prot#'!A:AL,22,FALSE)</f>
        <v>59</v>
      </c>
      <c r="AI80" s="1">
        <f>VLOOKUP(A80,'SegEnds_NonXtal_Prot#'!A:AL,31,FALSE)-VLOOKUP(A80,'SegEnds_NonXtal_Prot#'!A:AL,28,FALSE)</f>
        <v>53</v>
      </c>
      <c r="AJ80" s="1">
        <f>VLOOKUP(A80,'SegEnds_NonXtal_Prot#'!A:AL,34,FALSE)-VLOOKUP(A80,'SegEnds_NonXtal_Prot#'!A:AL,31,FALSE)</f>
        <v>45</v>
      </c>
      <c r="AK80" s="1">
        <f>VLOOKUP(A80,'SegEnds_NonXtal_Prot#'!A:AL,37,FALSE)-VLOOKUP(A80,'SegEnds_NonXtal_Prot#'!A:AL,34,FALSE)</f>
        <v>10</v>
      </c>
      <c r="AL80" s="1" t="str">
        <f>IF(ISERROR(MATCH(A80,'SegEnds_Xtal_Prot#'!B:B, 0)), "NoXtal", "Xtal")</f>
        <v>Xtal</v>
      </c>
    </row>
    <row r="81" spans="1:38" x14ac:dyDescent="0.2">
      <c r="A81" s="1" t="s">
        <v>197</v>
      </c>
      <c r="B81" s="1" t="str">
        <f>VLOOKUP(A81,Xtal_Templ!A:B,2,FALSE)</f>
        <v>ednrb_human</v>
      </c>
      <c r="C81" s="5">
        <f>VLOOKUP($B81&amp;"__wt",'SegEnds_Xtal_BW#'!$A:$Z,3,FALSE)</f>
        <v>22</v>
      </c>
      <c r="D81" s="1">
        <f>VLOOKUP($B81&amp;"__wt",'SegEnds_Xtal_BW#'!$A:$Z,4,FALSE)</f>
        <v>60</v>
      </c>
      <c r="E81" s="1">
        <f>VLOOKUP($B81&amp;"__wt",'SegEnds_Xtal_BW#'!$A:$Z,5,FALSE)</f>
        <v>48</v>
      </c>
      <c r="F81" s="1">
        <f>VLOOKUP($B81&amp;"__wt",'SegEnds_Xtal_BW#'!$A:$Z,6,FALSE)</f>
        <v>52</v>
      </c>
      <c r="G81" s="1">
        <v>37</v>
      </c>
      <c r="H81" s="12">
        <f>VLOOKUP($B81&amp;"__wt",'SegEnds_Xtal_BW#'!$A:$Z,8,FALSE)</f>
        <v>67</v>
      </c>
      <c r="I81" s="1">
        <f>VLOOKUP($B81&amp;"__wt",'SegEnds_Xtal_BW#'!$A:$Z,9,FALSE)</f>
        <v>49</v>
      </c>
      <c r="J81" s="1">
        <f>VLOOKUP($B81&amp;"__wt",'SegEnds_Xtal_BW#'!$A:$Z,10,FALSE)</f>
        <v>52</v>
      </c>
      <c r="K81" s="12">
        <v>21</v>
      </c>
      <c r="L81" s="1">
        <f>VLOOKUP($B81&amp;"__wt",'SegEnds_Xtal_BW#'!$A:$Z,12,FALSE)</f>
        <v>56</v>
      </c>
      <c r="M81" s="1">
        <f>VLOOKUP($B81&amp;"__wt",'SegEnds_Xtal_BW#'!$A:$Z,13,FALSE)</f>
        <v>50</v>
      </c>
      <c r="N81" s="12">
        <v>57</v>
      </c>
      <c r="O81" s="87">
        <v>38</v>
      </c>
      <c r="P81" s="1">
        <f>VLOOKUP($B81&amp;"__wt",'SegEnds_Xtal_BW#'!$A:$Z,16,FALSE)</f>
        <v>64</v>
      </c>
      <c r="Q81" s="1">
        <f>VLOOKUP($B81&amp;"__wt",'SegEnds_Xtal_BW#'!$A:$Z,17,FALSE)</f>
        <v>50</v>
      </c>
      <c r="R81" s="1">
        <f>VLOOKUP($B81&amp;"__wt",'SegEnds_Xtal_BW#'!$A:$Z,18,FALSE)</f>
        <v>52</v>
      </c>
      <c r="S81" s="1">
        <f>VLOOKUP($B81&amp;"__wt",'SegEnds_Xtal_BW#'!$A:$Z,19,FALSE)</f>
        <v>28</v>
      </c>
      <c r="T81" s="1">
        <f t="array" ref="T81">INDEX(ICL3_classA!$G$2:$G$37,MATCH(MIN(ABS(AI81-ICL3_classA!$F$2:$F$37)),ABS(AI81-ICL3_classA!$F$2:$F$37),0))</f>
        <v>72</v>
      </c>
      <c r="U81" s="1">
        <f t="array" ref="U81">INDEX(ICL3_classA!$H$2:$H$37,MATCH(MIN(ABS(AI81-ICL3_classA!$F$2:$F$37)),ABS(AI81-ICL3_classA!$F$2:$F$37),0))</f>
        <v>24</v>
      </c>
      <c r="V81" s="1">
        <v>61</v>
      </c>
      <c r="W81" s="1">
        <v>28</v>
      </c>
      <c r="X81" s="1">
        <f>VLOOKUP($B81&amp;"__wt",'SegEnds_Xtal_BW#'!$A:$Z,24,FALSE)</f>
        <v>56</v>
      </c>
      <c r="Y81" s="1">
        <f>VLOOKUP($B81&amp;"__wt",'SegEnds_Xtal_BW#'!$A:$Z,25,FALSE)</f>
        <v>47</v>
      </c>
      <c r="Z81" s="1">
        <f>VLOOKUP($B81&amp;"__wt",'SegEnds_Xtal_BW#'!$A:$Z,26,FALSE)</f>
        <v>60</v>
      </c>
      <c r="AA81" s="27" t="str">
        <f>VLOOKUP(A81,Classification!A:B,2,FALSE)</f>
        <v>A</v>
      </c>
      <c r="AB81" s="1">
        <f>VLOOKUP(A81,'SegEnds_NonXtal_Prot#'!A:AL,10,FALSE)-VLOOKUP(A81,'SegEnds_NonXtal_Prot#'!A:AL,4,FALSE)</f>
        <v>28</v>
      </c>
      <c r="AC81" s="1">
        <f>VLOOKUP(A81,'SegEnds_NonXtal_Prot#'!A:AL,10,FALSE)-VLOOKUP(A81,'SegEnds_NonXtal_Prot#'!A:AL,7,FALSE)</f>
        <v>15</v>
      </c>
      <c r="AD81" s="1" t="e">
        <f>VLOOKUP(A81,'SegEnds_NonXtal_Prot#'!A:AL,13,FALSE)-VLOOKUP(A81,'SegEnds_NonXtal_Prot#'!A:AL,10,FALSE)</f>
        <v>#VALUE!</v>
      </c>
      <c r="AE81" s="1">
        <f>VLOOKUP(A81,'SegEnds_NonXtal_Prot#'!A:AL,16,FALSE)-VLOOKUP(A81,'SegEnds_NonXtal_Prot#'!A:AL,10,FALSE)</f>
        <v>52</v>
      </c>
      <c r="AF81" s="1">
        <f>VLOOKUP(A81,'SegEnds_NonXtal_Prot#'!A:AL,22,FALSE)-VLOOKUP(A81,'SegEnds_NonXtal_Prot#'!A:AL,19,FALSE)</f>
        <v>20</v>
      </c>
      <c r="AG81" s="1">
        <f>VLOOKUP(A81,'SegEnds_NonXtal_Prot#'!A:AL,28,FALSE)-VLOOKUP(A81,'SegEnds_NonXtal_Prot#'!A:AL,25,FALSE)</f>
        <v>35</v>
      </c>
      <c r="AH81" s="1">
        <f>VLOOKUP(A81,'SegEnds_NonXtal_Prot#'!A:AL,28,FALSE)-VLOOKUP(A81,'SegEnds_NonXtal_Prot#'!A:AL,22,FALSE)</f>
        <v>65</v>
      </c>
      <c r="AI81" s="1">
        <f>VLOOKUP(A81,'SegEnds_NonXtal_Prot#'!A:AL,31,FALSE)-VLOOKUP(A81,'SegEnds_NonXtal_Prot#'!A:AL,28,FALSE)</f>
        <v>53</v>
      </c>
      <c r="AJ81" s="1">
        <f>VLOOKUP(A81,'SegEnds_NonXtal_Prot#'!A:AL,34,FALSE)-VLOOKUP(A81,'SegEnds_NonXtal_Prot#'!A:AL,31,FALSE)</f>
        <v>39</v>
      </c>
      <c r="AK81" s="1">
        <f>VLOOKUP(A81,'SegEnds_NonXtal_Prot#'!A:AL,37,FALSE)-VLOOKUP(A81,'SegEnds_NonXtal_Prot#'!A:AL,34,FALSE)</f>
        <v>10</v>
      </c>
      <c r="AL81" s="1" t="str">
        <f>IF(ISERROR(MATCH(A81,'SegEnds_Xtal_Prot#'!B:B, 0)), "NoXtal", "Xtal")</f>
        <v>NoXtal</v>
      </c>
    </row>
    <row r="82" spans="1:38" x14ac:dyDescent="0.2">
      <c r="A82" s="1" t="s">
        <v>1173</v>
      </c>
      <c r="B82" s="1" t="str">
        <f>VLOOKUP(A82,Xtal_Templ!A:B,2,FALSE)</f>
        <v>ffar1_human</v>
      </c>
      <c r="C82" s="5">
        <f>VLOOKUP($B82&amp;"__wt",'SegEnds_Xtal_BW#'!$A:$Z,3,FALSE)</f>
        <v>31</v>
      </c>
      <c r="D82" s="1">
        <f>VLOOKUP($B82&amp;"__wt",'SegEnds_Xtal_BW#'!$A:$Z,4,FALSE)</f>
        <v>64</v>
      </c>
      <c r="E82" s="1" t="str">
        <f>VLOOKUP($B82&amp;"__wt",'SegEnds_Xtal_BW#'!$A:$Z,5,FALSE)</f>
        <v>-</v>
      </c>
      <c r="F82" s="1" t="str">
        <f>VLOOKUP($B82&amp;"__wt",'SegEnds_Xtal_BW#'!$A:$Z,6,FALSE)</f>
        <v>-</v>
      </c>
      <c r="G82" s="1">
        <v>37</v>
      </c>
      <c r="H82" s="12">
        <f>VLOOKUP($B82&amp;"__wt",'SegEnds_Xtal_BW#'!$A:$Z,8,FALSE)</f>
        <v>67</v>
      </c>
      <c r="I82" s="1">
        <f>VLOOKUP($B82&amp;"__wt",'SegEnds_Xtal_BW#'!$A:$Z,9,FALSE)</f>
        <v>49</v>
      </c>
      <c r="J82" s="1">
        <f>VLOOKUP($B82&amp;"__wt",'SegEnds_Xtal_BW#'!$A:$Z,10,FALSE)</f>
        <v>52</v>
      </c>
      <c r="K82" s="12">
        <v>18</v>
      </c>
      <c r="L82" s="1">
        <f>VLOOKUP($B82&amp;"__wt",'SegEnds_Xtal_BW#'!$A:$Z,12,FALSE)</f>
        <v>56</v>
      </c>
      <c r="M82" s="1">
        <f>VLOOKUP($B82&amp;"__wt",'SegEnds_Xtal_BW#'!$A:$Z,13,FALSE)</f>
        <v>50</v>
      </c>
      <c r="N82" s="12">
        <f>VLOOKUP($B82&amp;"__wt",'SegEnds_Xtal_BW#'!$A:$Z,14,FALSE)</f>
        <v>57</v>
      </c>
      <c r="O82" s="87">
        <f>VLOOKUP($B82&amp;"__wt",'SegEnds_Xtal_BW#'!$A:$Z,15,FALSE)</f>
        <v>38</v>
      </c>
      <c r="P82" s="1">
        <f>VLOOKUP($B82&amp;"__wt",'SegEnds_Xtal_BW#'!$A:$Z,16,FALSE)</f>
        <v>65</v>
      </c>
      <c r="Q82" s="1">
        <f>VLOOKUP($B82&amp;"__wt",'SegEnds_Xtal_BW#'!$A:$Z,17,FALSE)</f>
        <v>50</v>
      </c>
      <c r="R82" s="1">
        <f>VLOOKUP($B82&amp;"__wt",'SegEnds_Xtal_BW#'!$A:$Z,18,FALSE)</f>
        <v>52</v>
      </c>
      <c r="S82" s="1">
        <f>VLOOKUP($B82&amp;"__wt",'SegEnds_Xtal_BW#'!$A:$Z,19,FALSE)</f>
        <v>31</v>
      </c>
      <c r="T82" s="1">
        <f t="array" ref="T82">INDEX(ICL3_classA!$G$2:$G$37,MATCH(MIN(ABS(AI82-ICL3_classA!$F$2:$F$37)),ABS(AI82-ICL3_classA!$F$2:$F$37),0))</f>
        <v>67</v>
      </c>
      <c r="U82" s="1">
        <f t="array" ref="U82">INDEX(ICL3_classA!$H$2:$H$37,MATCH(MIN(ABS(AI82-ICL3_classA!$F$2:$F$37)),ABS(AI82-ICL3_classA!$F$2:$F$37),0))</f>
        <v>28</v>
      </c>
      <c r="V82" s="1">
        <v>61</v>
      </c>
      <c r="W82" s="1">
        <v>32</v>
      </c>
      <c r="X82" s="1">
        <f>VLOOKUP($B82&amp;"__wt",'SegEnds_Xtal_BW#'!$A:$Z,24,FALSE)</f>
        <v>56</v>
      </c>
      <c r="Y82" s="1">
        <f>VLOOKUP($B82&amp;"__wt",'SegEnds_Xtal_BW#'!$A:$Z,25,FALSE)</f>
        <v>47</v>
      </c>
      <c r="Z82" s="1">
        <f>VLOOKUP($B82&amp;"__wt",'SegEnds_Xtal_BW#'!$A:$Z,26,FALSE)</f>
        <v>61</v>
      </c>
      <c r="AA82" s="27" t="str">
        <f>VLOOKUP(A82,Classification!A:B,2,FALSE)</f>
        <v>A</v>
      </c>
      <c r="AB82" s="1">
        <f>VLOOKUP(A82,'SegEnds_NonXtal_Prot#'!A:AL,10,FALSE)-VLOOKUP(A82,'SegEnds_NonXtal_Prot#'!A:AL,4,FALSE)</f>
        <v>29</v>
      </c>
      <c r="AC82" s="1" t="e">
        <f>VLOOKUP(A82,'SegEnds_NonXtal_Prot#'!A:AL,10,FALSE)-VLOOKUP(A82,'SegEnds_NonXtal_Prot#'!A:AL,7,FALSE)</f>
        <v>#VALUE!</v>
      </c>
      <c r="AD82" s="1">
        <f>VLOOKUP(A82,'SegEnds_NonXtal_Prot#'!A:AL,13,FALSE)-VLOOKUP(A82,'SegEnds_NonXtal_Prot#'!A:AL,10,FALSE)</f>
        <v>20</v>
      </c>
      <c r="AE82" s="1">
        <f>VLOOKUP(A82,'SegEnds_NonXtal_Prot#'!A:AL,16,FALSE)-VLOOKUP(A82,'SegEnds_NonXtal_Prot#'!A:AL,10,FALSE)</f>
        <v>52</v>
      </c>
      <c r="AF82" s="1">
        <f>VLOOKUP(A82,'SegEnds_NonXtal_Prot#'!A:AL,22,FALSE)-VLOOKUP(A82,'SegEnds_NonXtal_Prot#'!A:AL,19,FALSE)</f>
        <v>20</v>
      </c>
      <c r="AG82" s="1">
        <f>VLOOKUP(A82,'SegEnds_NonXtal_Prot#'!A:AL,28,FALSE)-VLOOKUP(A82,'SegEnds_NonXtal_Prot#'!A:AL,25,FALSE)</f>
        <v>24</v>
      </c>
      <c r="AH82" s="1">
        <f>VLOOKUP(A82,'SegEnds_NonXtal_Prot#'!A:AL,28,FALSE)-VLOOKUP(A82,'SegEnds_NonXtal_Prot#'!A:AL,22,FALSE)</f>
        <v>63</v>
      </c>
      <c r="AI82" s="1">
        <f>VLOOKUP(A82,'SegEnds_NonXtal_Prot#'!A:AL,31,FALSE)-VLOOKUP(A82,'SegEnds_NonXtal_Prot#'!A:AL,28,FALSE)</f>
        <v>45</v>
      </c>
      <c r="AJ82" s="1">
        <f>VLOOKUP(A82,'SegEnds_NonXtal_Prot#'!A:AL,34,FALSE)-VLOOKUP(A82,'SegEnds_NonXtal_Prot#'!A:AL,31,FALSE)</f>
        <v>34</v>
      </c>
      <c r="AK82" s="1">
        <f>VLOOKUP(A82,'SegEnds_NonXtal_Prot#'!A:AL,37,FALSE)-VLOOKUP(A82,'SegEnds_NonXtal_Prot#'!A:AL,34,FALSE)</f>
        <v>10</v>
      </c>
      <c r="AL82" s="1" t="str">
        <f>IF(ISERROR(MATCH(A82,'SegEnds_Xtal_Prot#'!B:B, 0)), "NoXtal", "Xtal")</f>
        <v>Xtal</v>
      </c>
    </row>
    <row r="83" spans="1:38" x14ac:dyDescent="0.2">
      <c r="A83" s="1" t="s">
        <v>198</v>
      </c>
      <c r="B83" s="1" t="str">
        <f>VLOOKUP(A83,Xtal_Templ!A:B,2,FALSE)</f>
        <v>par2_human</v>
      </c>
      <c r="C83" s="5">
        <f>VLOOKUP($B83&amp;"__wt",'SegEnds_Xtal_BW#'!$A:$Z,3,FALSE)</f>
        <v>28</v>
      </c>
      <c r="D83" s="1">
        <f>VLOOKUP($B83&amp;"__wt",'SegEnds_Xtal_BW#'!$A:$Z,4,FALSE)</f>
        <v>60</v>
      </c>
      <c r="E83" s="1" t="str">
        <f>VLOOKUP($B83&amp;"__wt",'SegEnds_Xtal_BW#'!$A:$Z,5,FALSE)</f>
        <v>-</v>
      </c>
      <c r="F83" s="1" t="str">
        <f>VLOOKUP($B83&amp;"__wt",'SegEnds_Xtal_BW#'!$A:$Z,6,FALSE)</f>
        <v>-</v>
      </c>
      <c r="G83" s="1">
        <v>37</v>
      </c>
      <c r="H83" s="12">
        <f>VLOOKUP($B83&amp;"__wt",'SegEnds_Xtal_BW#'!$A:$Z,8,FALSE)</f>
        <v>66</v>
      </c>
      <c r="I83" s="1">
        <f>VLOOKUP($B83&amp;"__wt",'SegEnds_Xtal_BW#'!$A:$Z,9,FALSE)</f>
        <v>47</v>
      </c>
      <c r="J83" s="1">
        <f>VLOOKUP($B83&amp;"__wt",'SegEnds_Xtal_BW#'!$A:$Z,10,FALSE)</f>
        <v>52</v>
      </c>
      <c r="K83" s="12">
        <v>18</v>
      </c>
      <c r="L83" s="1">
        <f>VLOOKUP($B83&amp;"__wt",'SegEnds_Xtal_BW#'!$A:$Z,12,FALSE)</f>
        <v>56</v>
      </c>
      <c r="M83" s="1">
        <f>VLOOKUP($B83&amp;"__wt",'SegEnds_Xtal_BW#'!$A:$Z,13,FALSE)</f>
        <v>50</v>
      </c>
      <c r="N83" s="12">
        <v>57</v>
      </c>
      <c r="O83" s="87">
        <f>VLOOKUP($B83&amp;"__wt",'SegEnds_Xtal_BW#'!$A:$Z,15,FALSE)</f>
        <v>38</v>
      </c>
      <c r="P83" s="1">
        <f>VLOOKUP($B83&amp;"__wt",'SegEnds_Xtal_BW#'!$A:$Z,16,FALSE)</f>
        <v>62</v>
      </c>
      <c r="Q83" s="1">
        <f>VLOOKUP($B83&amp;"__wt",'SegEnds_Xtal_BW#'!$A:$Z,17,FALSE)</f>
        <v>50</v>
      </c>
      <c r="R83" s="1">
        <f>VLOOKUP($B83&amp;"__wt",'SegEnds_Xtal_BW#'!$A:$Z,18,FALSE)</f>
        <v>52</v>
      </c>
      <c r="S83" s="1">
        <f>VLOOKUP($B83&amp;"__wt",'SegEnds_Xtal_BW#'!$A:$Z,19,FALSE)</f>
        <v>31</v>
      </c>
      <c r="T83" s="1">
        <f t="array" ref="T83">INDEX(ICL3_classA!$G$2:$G$37,MATCH(MIN(ABS(AI83-ICL3_classA!$F$2:$F$37)),ABS(AI83-ICL3_classA!$F$2:$F$37),0))</f>
        <v>67</v>
      </c>
      <c r="U83" s="1">
        <f t="array" ref="U83">INDEX(ICL3_classA!$H$2:$H$37,MATCH(MIN(ABS(AI83-ICL3_classA!$F$2:$F$37)),ABS(AI83-ICL3_classA!$F$2:$F$37),0))</f>
        <v>26</v>
      </c>
      <c r="V83" s="1">
        <v>61</v>
      </c>
      <c r="W83" s="1">
        <v>33</v>
      </c>
      <c r="X83" s="1">
        <f>VLOOKUP($B83&amp;"__wt",'SegEnds_Xtal_BW#'!$A:$Z,24,FALSE)</f>
        <v>56</v>
      </c>
      <c r="Y83" s="1">
        <f>VLOOKUP($B83&amp;"__wt",'SegEnds_Xtal_BW#'!$A:$Z,25,FALSE)</f>
        <v>47</v>
      </c>
      <c r="Z83" s="1">
        <f>VLOOKUP($B83&amp;"__wt",'SegEnds_Xtal_BW#'!$A:$Z,26,FALSE)</f>
        <v>61</v>
      </c>
      <c r="AA83" s="27" t="str">
        <f>VLOOKUP(A83,Classification!A:B,2,FALSE)</f>
        <v>A</v>
      </c>
      <c r="AB83" s="1">
        <f>VLOOKUP(A83,'SegEnds_NonXtal_Prot#'!A:AL,10,FALSE)-VLOOKUP(A83,'SegEnds_NonXtal_Prot#'!A:AL,4,FALSE)</f>
        <v>30</v>
      </c>
      <c r="AC83" s="1" t="e">
        <f>VLOOKUP(A83,'SegEnds_NonXtal_Prot#'!A:AL,10,FALSE)-VLOOKUP(A83,'SegEnds_NonXtal_Prot#'!A:AL,7,FALSE)</f>
        <v>#VALUE!</v>
      </c>
      <c r="AD83" s="1">
        <f>VLOOKUP(A83,'SegEnds_NonXtal_Prot#'!A:AL,13,FALSE)-VLOOKUP(A83,'SegEnds_NonXtal_Prot#'!A:AL,10,FALSE)</f>
        <v>20</v>
      </c>
      <c r="AE83" s="1">
        <f>VLOOKUP(A83,'SegEnds_NonXtal_Prot#'!A:AL,16,FALSE)-VLOOKUP(A83,'SegEnds_NonXtal_Prot#'!A:AL,10,FALSE)</f>
        <v>52</v>
      </c>
      <c r="AF83" s="1">
        <f>VLOOKUP(A83,'SegEnds_NonXtal_Prot#'!A:AL,22,FALSE)-VLOOKUP(A83,'SegEnds_NonXtal_Prot#'!A:AL,19,FALSE)</f>
        <v>20</v>
      </c>
      <c r="AG83" s="1">
        <f>VLOOKUP(A83,'SegEnds_NonXtal_Prot#'!A:AL,28,FALSE)-VLOOKUP(A83,'SegEnds_NonXtal_Prot#'!A:AL,25,FALSE)</f>
        <v>27</v>
      </c>
      <c r="AH83" s="1">
        <f>VLOOKUP(A83,'SegEnds_NonXtal_Prot#'!A:AL,28,FALSE)-VLOOKUP(A83,'SegEnds_NonXtal_Prot#'!A:AL,22,FALSE)</f>
        <v>57</v>
      </c>
      <c r="AI83" s="1">
        <f>VLOOKUP(A83,'SegEnds_NonXtal_Prot#'!A:AL,31,FALSE)-VLOOKUP(A83,'SegEnds_NonXtal_Prot#'!A:AL,28,FALSE)</f>
        <v>46</v>
      </c>
      <c r="AJ83" s="1">
        <f>VLOOKUP(A83,'SegEnds_NonXtal_Prot#'!A:AL,34,FALSE)-VLOOKUP(A83,'SegEnds_NonXtal_Prot#'!A:AL,31,FALSE)</f>
        <v>33</v>
      </c>
      <c r="AK83" s="1">
        <f>VLOOKUP(A83,'SegEnds_NonXtal_Prot#'!A:AL,37,FALSE)-VLOOKUP(A83,'SegEnds_NonXtal_Prot#'!A:AL,34,FALSE)</f>
        <v>10</v>
      </c>
      <c r="AL83" s="1" t="str">
        <f>IF(ISERROR(MATCH(A83,'SegEnds_Xtal_Prot#'!B:B, 0)), "NoXtal", "Xtal")</f>
        <v>NoXtal</v>
      </c>
    </row>
    <row r="84" spans="1:38" x14ac:dyDescent="0.2">
      <c r="A84" s="1" t="s">
        <v>199</v>
      </c>
      <c r="B84" s="1" t="str">
        <f>VLOOKUP(A84,Xtal_Templ!A:B,2,FALSE)</f>
        <v>par1_human</v>
      </c>
      <c r="C84" s="5">
        <f>VLOOKUP($B84&amp;"__wt",'SegEnds_Xtal_BW#'!$A:$Z,3,FALSE)</f>
        <v>29</v>
      </c>
      <c r="D84" s="1">
        <f>VLOOKUP($B84&amp;"__wt",'SegEnds_Xtal_BW#'!$A:$Z,4,FALSE)</f>
        <v>60</v>
      </c>
      <c r="E84" s="1">
        <f>VLOOKUP($B84&amp;"__wt",'SegEnds_Xtal_BW#'!$A:$Z,5,FALSE)</f>
        <v>48</v>
      </c>
      <c r="F84" s="1">
        <f>VLOOKUP($B84&amp;"__wt",'SegEnds_Xtal_BW#'!$A:$Z,6,FALSE)</f>
        <v>51</v>
      </c>
      <c r="G84" s="1">
        <v>37</v>
      </c>
      <c r="H84" s="12">
        <f>VLOOKUP($B84&amp;"__wt",'SegEnds_Xtal_BW#'!$A:$Z,8,FALSE)</f>
        <v>66</v>
      </c>
      <c r="I84" s="1">
        <f>VLOOKUP($B84&amp;"__wt",'SegEnds_Xtal_BW#'!$A:$Z,9,FALSE)</f>
        <v>49</v>
      </c>
      <c r="J84" s="1">
        <f>VLOOKUP($B84&amp;"__wt",'SegEnds_Xtal_BW#'!$A:$Z,10,FALSE)</f>
        <v>52</v>
      </c>
      <c r="K84" s="12">
        <v>18</v>
      </c>
      <c r="L84" s="1">
        <f>VLOOKUP($B84&amp;"__wt",'SegEnds_Xtal_BW#'!$A:$Z,12,FALSE)</f>
        <v>56</v>
      </c>
      <c r="M84" s="1">
        <f>VLOOKUP($B84&amp;"__wt",'SegEnds_Xtal_BW#'!$A:$Z,13,FALSE)</f>
        <v>50</v>
      </c>
      <c r="N84" s="12">
        <v>57</v>
      </c>
      <c r="O84" s="87">
        <f>VLOOKUP($B84&amp;"__wt",'SegEnds_Xtal_BW#'!$A:$Z,15,FALSE)</f>
        <v>38</v>
      </c>
      <c r="P84" s="1">
        <f>VLOOKUP($B84&amp;"__wt",'SegEnds_Xtal_BW#'!$A:$Z,16,FALSE)</f>
        <v>63</v>
      </c>
      <c r="Q84" s="1">
        <f>VLOOKUP($B84&amp;"__wt",'SegEnds_Xtal_BW#'!$A:$Z,17,FALSE)</f>
        <v>50</v>
      </c>
      <c r="R84" s="1">
        <f>VLOOKUP($B84&amp;"__wt",'SegEnds_Xtal_BW#'!$A:$Z,18,FALSE)</f>
        <v>52</v>
      </c>
      <c r="S84" s="1">
        <f>VLOOKUP($B84&amp;"__wt",'SegEnds_Xtal_BW#'!$A:$Z,19,FALSE)</f>
        <v>32</v>
      </c>
      <c r="T84" s="1">
        <f t="array" ref="T84">INDEX(ICL3_classA!$G$2:$G$37,MATCH(MIN(ABS(AI84-ICL3_classA!$F$2:$F$37)),ABS(AI84-ICL3_classA!$F$2:$F$37),0))</f>
        <v>68</v>
      </c>
      <c r="U84" s="1">
        <f t="array" ref="U84">INDEX(ICL3_classA!$H$2:$H$37,MATCH(MIN(ABS(AI84-ICL3_classA!$F$2:$F$37)),ABS(AI84-ICL3_classA!$F$2:$F$37),0))</f>
        <v>28</v>
      </c>
      <c r="V84" s="1">
        <v>61</v>
      </c>
      <c r="W84" s="1">
        <v>33</v>
      </c>
      <c r="X84" s="1">
        <f>VLOOKUP($B84&amp;"__wt",'SegEnds_Xtal_BW#'!$A:$Z,24,FALSE)</f>
        <v>56</v>
      </c>
      <c r="Y84" s="1">
        <f>VLOOKUP($B84&amp;"__wt",'SegEnds_Xtal_BW#'!$A:$Z,25,FALSE)</f>
        <v>47</v>
      </c>
      <c r="Z84" s="1">
        <f>VLOOKUP($B84&amp;"__wt",'SegEnds_Xtal_BW#'!$A:$Z,26,FALSE)</f>
        <v>61</v>
      </c>
      <c r="AA84" s="27" t="str">
        <f>VLOOKUP(A84,Classification!A:B,2,FALSE)</f>
        <v>A</v>
      </c>
      <c r="AB84" s="1">
        <f>VLOOKUP(A84,'SegEnds_NonXtal_Prot#'!A:AL,10,FALSE)-VLOOKUP(A84,'SegEnds_NonXtal_Prot#'!A:AL,4,FALSE)</f>
        <v>29</v>
      </c>
      <c r="AC84" s="1" t="e">
        <f>VLOOKUP(A84,'SegEnds_NonXtal_Prot#'!A:AL,10,FALSE)-VLOOKUP(A84,'SegEnds_NonXtal_Prot#'!A:AL,7,FALSE)</f>
        <v>#VALUE!</v>
      </c>
      <c r="AD84" s="1">
        <f>VLOOKUP(A84,'SegEnds_NonXtal_Prot#'!A:AL,13,FALSE)-VLOOKUP(A84,'SegEnds_NonXtal_Prot#'!A:AL,10,FALSE)</f>
        <v>20</v>
      </c>
      <c r="AE84" s="1">
        <f>VLOOKUP(A84,'SegEnds_NonXtal_Prot#'!A:AL,16,FALSE)-VLOOKUP(A84,'SegEnds_NonXtal_Prot#'!A:AL,10,FALSE)</f>
        <v>52</v>
      </c>
      <c r="AF84" s="1">
        <f>VLOOKUP(A84,'SegEnds_NonXtal_Prot#'!A:AL,22,FALSE)-VLOOKUP(A84,'SegEnds_NonXtal_Prot#'!A:AL,19,FALSE)</f>
        <v>20</v>
      </c>
      <c r="AG84" s="1">
        <f>VLOOKUP(A84,'SegEnds_NonXtal_Prot#'!A:AL,28,FALSE)-VLOOKUP(A84,'SegEnds_NonXtal_Prot#'!A:AL,25,FALSE)</f>
        <v>27</v>
      </c>
      <c r="AH84" s="1">
        <f>VLOOKUP(A84,'SegEnds_NonXtal_Prot#'!A:AL,28,FALSE)-VLOOKUP(A84,'SegEnds_NonXtal_Prot#'!A:AL,22,FALSE)</f>
        <v>56</v>
      </c>
      <c r="AI84" s="1">
        <f>VLOOKUP(A84,'SegEnds_NonXtal_Prot#'!A:AL,31,FALSE)-VLOOKUP(A84,'SegEnds_NonXtal_Prot#'!A:AL,28,FALSE)</f>
        <v>44</v>
      </c>
      <c r="AJ84" s="1">
        <f>VLOOKUP(A84,'SegEnds_NonXtal_Prot#'!A:AL,34,FALSE)-VLOOKUP(A84,'SegEnds_NonXtal_Prot#'!A:AL,31,FALSE)</f>
        <v>33</v>
      </c>
      <c r="AK84" s="1">
        <f>VLOOKUP(A84,'SegEnds_NonXtal_Prot#'!A:AL,37,FALSE)-VLOOKUP(A84,'SegEnds_NonXtal_Prot#'!A:AL,34,FALSE)</f>
        <v>10</v>
      </c>
      <c r="AL84" s="1" t="str">
        <f>IF(ISERROR(MATCH(A84,'SegEnds_Xtal_Prot#'!B:B, 0)), "NoXtal", "Xtal")</f>
        <v>NoXtal</v>
      </c>
    </row>
    <row r="85" spans="1:38" x14ac:dyDescent="0.2">
      <c r="A85" s="4" t="s">
        <v>200</v>
      </c>
      <c r="B85" s="4" t="str">
        <f>VLOOKUP(A85,Xtal_Templ!A:B,2,FALSE)</f>
        <v>ox2r_human</v>
      </c>
      <c r="C85" s="5">
        <f>VLOOKUP($B85&amp;"__wt",'SegEnds_Xtal_BW#'!$A:$Z,3,FALSE)</f>
        <v>31</v>
      </c>
      <c r="D85" s="4">
        <f>VLOOKUP($B85&amp;"__wt",'SegEnds_Xtal_BW#'!$A:$Z,4,FALSE)</f>
        <v>60</v>
      </c>
      <c r="E85" s="4">
        <f>VLOOKUP($B85&amp;"__wt",'SegEnds_Xtal_BW#'!$A:$Z,5,FALSE)</f>
        <v>48</v>
      </c>
      <c r="F85" s="4">
        <f>VLOOKUP($B85&amp;"__wt",'SegEnds_Xtal_BW#'!$A:$Z,6,FALSE)</f>
        <v>51</v>
      </c>
      <c r="G85" s="4">
        <v>37</v>
      </c>
      <c r="H85" s="11">
        <v>66</v>
      </c>
      <c r="I85" s="4">
        <f>VLOOKUP($B85&amp;"__wt",'SegEnds_Xtal_BW#'!$A:$Z,9,FALSE)</f>
        <v>49</v>
      </c>
      <c r="J85" s="4">
        <f>VLOOKUP($B85&amp;"__wt",'SegEnds_Xtal_BW#'!$A:$Z,10,FALSE)</f>
        <v>52</v>
      </c>
      <c r="K85" s="11">
        <v>21</v>
      </c>
      <c r="L85" s="4">
        <f>VLOOKUP($B85&amp;"__wt",'SegEnds_Xtal_BW#'!$A:$Z,12,FALSE)</f>
        <v>56</v>
      </c>
      <c r="M85" s="4">
        <f>VLOOKUP($B85&amp;"__wt",'SegEnds_Xtal_BW#'!$A:$Z,13,FALSE)</f>
        <v>50</v>
      </c>
      <c r="N85" s="11">
        <v>57</v>
      </c>
      <c r="O85" s="87">
        <f>VLOOKUP($B85&amp;"__wt",'SegEnds_Xtal_BW#'!$A:$Z,15,FALSE)</f>
        <v>38</v>
      </c>
      <c r="P85" s="4">
        <f>VLOOKUP($B85&amp;"__wt",'SegEnds_Xtal_BW#'!$A:$Z,16,FALSE)</f>
        <v>64</v>
      </c>
      <c r="Q85" s="4">
        <f>VLOOKUP($B85&amp;"__wt",'SegEnds_Xtal_BW#'!$A:$Z,17,FALSE)</f>
        <v>50</v>
      </c>
      <c r="R85" s="4">
        <f>VLOOKUP($B85&amp;"__wt",'SegEnds_Xtal_BW#'!$A:$Z,18,FALSE)</f>
        <v>52</v>
      </c>
      <c r="S85" s="4">
        <f>VLOOKUP($B85&amp;"__wt",'SegEnds_Xtal_BW#'!$A:$Z,19,FALSE)</f>
        <v>33</v>
      </c>
      <c r="T85" s="4">
        <f t="array" ref="T85">INDEX(ICL3_classA!$G$2:$G$37,MATCH(MIN(ABS(AI85-ICL3_classA!$F$2:$F$37)),ABS(AI85-ICL3_classA!$F$2:$F$37),0))</f>
        <v>76</v>
      </c>
      <c r="U85" s="4">
        <f t="array" ref="U85">INDEX(ICL3_classA!$H$2:$H$37,MATCH(MIN(ABS(AI85-ICL3_classA!$F$2:$F$37)),ABS(AI85-ICL3_classA!$F$2:$F$37),0))</f>
        <v>24</v>
      </c>
      <c r="V85" s="4">
        <v>61</v>
      </c>
      <c r="W85" s="4">
        <v>28</v>
      </c>
      <c r="X85" s="4">
        <f>VLOOKUP($B85&amp;"__wt",'SegEnds_Xtal_BW#'!$A:$Z,24,FALSE)</f>
        <v>56</v>
      </c>
      <c r="Y85" s="4">
        <f>VLOOKUP($B85&amp;"__wt",'SegEnds_Xtal_BW#'!$A:$Z,25,FALSE)</f>
        <v>47</v>
      </c>
      <c r="Z85" s="4">
        <f>VLOOKUP($B85&amp;"__wt",'SegEnds_Xtal_BW#'!$A:$Z,26,FALSE)</f>
        <v>58</v>
      </c>
      <c r="AA85" s="27" t="str">
        <f>VLOOKUP(A85,Classification!A:B,2,FALSE)</f>
        <v>A</v>
      </c>
      <c r="AB85" s="1">
        <f>VLOOKUP(A85,'SegEnds_NonXtal_Prot#'!A:AL,10,FALSE)-VLOOKUP(A85,'SegEnds_NonXtal_Prot#'!A:AL,4,FALSE)</f>
        <v>27</v>
      </c>
      <c r="AC85" s="4" t="e">
        <f>VLOOKUP(A85,'SegEnds_NonXtal_Prot#'!A:AL,10,FALSE)-VLOOKUP(A85,'SegEnds_NonXtal_Prot#'!A:AL,7,FALSE)</f>
        <v>#VALUE!</v>
      </c>
      <c r="AD85" s="4">
        <f>VLOOKUP(A85,'SegEnds_NonXtal_Prot#'!A:AL,13,FALSE)-VLOOKUP(A85,'SegEnds_NonXtal_Prot#'!A:AL,10,FALSE)</f>
        <v>19</v>
      </c>
      <c r="AE85" s="4">
        <f>VLOOKUP(A85,'SegEnds_NonXtal_Prot#'!A:AL,16,FALSE)-VLOOKUP(A85,'SegEnds_NonXtal_Prot#'!A:AL,10,FALSE)</f>
        <v>51</v>
      </c>
      <c r="AF85" s="1">
        <f>VLOOKUP(A85,'SegEnds_NonXtal_Prot#'!A:AL,22,FALSE)-VLOOKUP(A85,'SegEnds_NonXtal_Prot#'!A:AL,19,FALSE)</f>
        <v>20</v>
      </c>
      <c r="AG85" s="4">
        <f>VLOOKUP(A85,'SegEnds_NonXtal_Prot#'!A:AL,28,FALSE)-VLOOKUP(A85,'SegEnds_NonXtal_Prot#'!A:AL,25,FALSE)</f>
        <v>25</v>
      </c>
      <c r="AH85" s="1">
        <f>VLOOKUP(A85,'SegEnds_NonXtal_Prot#'!A:AL,28,FALSE)-VLOOKUP(A85,'SegEnds_NonXtal_Prot#'!A:AL,22,FALSE)</f>
        <v>56</v>
      </c>
      <c r="AI85" s="4">
        <f>VLOOKUP(A85,'SegEnds_NonXtal_Prot#'!A:AL,31,FALSE)-VLOOKUP(A85,'SegEnds_NonXtal_Prot#'!A:AL,28,FALSE)</f>
        <v>76</v>
      </c>
      <c r="AJ85" s="4">
        <f>VLOOKUP(A85,'SegEnds_NonXtal_Prot#'!A:AL,34,FALSE)-VLOOKUP(A85,'SegEnds_NonXtal_Prot#'!A:AL,31,FALSE)</f>
        <v>39</v>
      </c>
      <c r="AK85" s="1">
        <f>VLOOKUP(A85,'SegEnds_NonXtal_Prot#'!A:AL,37,FALSE)-VLOOKUP(A85,'SegEnds_NonXtal_Prot#'!A:AL,34,FALSE)</f>
        <v>10</v>
      </c>
      <c r="AL85" s="1" t="str">
        <f>IF(ISERROR(MATCH(A85,'SegEnds_Xtal_Prot#'!B:B, 0)), "NoXtal", "Xtal")</f>
        <v>NoXtal</v>
      </c>
    </row>
    <row r="86" spans="1:38" x14ac:dyDescent="0.2">
      <c r="A86" s="1" t="s">
        <v>201</v>
      </c>
      <c r="B86" s="1" t="str">
        <f>VLOOKUP(A86,Xtal_Templ!A:B,2,FALSE)</f>
        <v>pd2r2_human</v>
      </c>
      <c r="C86" s="5">
        <f>VLOOKUP($B86&amp;"__wt",'SegEnds_Xtal_BW#'!$A:$Z,3,FALSE)</f>
        <v>32</v>
      </c>
      <c r="D86" s="1">
        <f>VLOOKUP($B86&amp;"__wt",'SegEnds_Xtal_BW#'!$A:$Z,4,FALSE)</f>
        <v>60</v>
      </c>
      <c r="E86" s="1" t="str">
        <f>VLOOKUP($B86&amp;"__wt",'SegEnds_Xtal_BW#'!$A:$Z,5,FALSE)</f>
        <v>-</v>
      </c>
      <c r="F86" s="1" t="str">
        <f>VLOOKUP($B86&amp;"__wt",'SegEnds_Xtal_BW#'!$A:$Z,6,FALSE)</f>
        <v>-</v>
      </c>
      <c r="G86" s="1">
        <v>37</v>
      </c>
      <c r="H86" s="12">
        <f>VLOOKUP($B86&amp;"__wt",'SegEnds_Xtal_BW#'!$A:$Z,8,FALSE)</f>
        <v>67</v>
      </c>
      <c r="I86" s="1">
        <f>VLOOKUP($B86&amp;"__wt",'SegEnds_Xtal_BW#'!$A:$Z,9,FALSE)</f>
        <v>49</v>
      </c>
      <c r="J86" s="1">
        <f>VLOOKUP($B86&amp;"__wt",'SegEnds_Xtal_BW#'!$A:$Z,10,FALSE)</f>
        <v>52</v>
      </c>
      <c r="K86" s="12">
        <v>18</v>
      </c>
      <c r="L86" s="1">
        <f>VLOOKUP($B86&amp;"__wt",'SegEnds_Xtal_BW#'!$A:$Z,12,FALSE)</f>
        <v>56</v>
      </c>
      <c r="M86" s="1">
        <f>VLOOKUP($B86&amp;"__wt",'SegEnds_Xtal_BW#'!$A:$Z,13,FALSE)</f>
        <v>50</v>
      </c>
      <c r="N86" s="12">
        <v>57</v>
      </c>
      <c r="O86" s="87">
        <v>38</v>
      </c>
      <c r="P86" s="1">
        <f>VLOOKUP($B86&amp;"__wt",'SegEnds_Xtal_BW#'!$A:$Z,16,FALSE)</f>
        <v>64</v>
      </c>
      <c r="Q86" s="1">
        <f>VLOOKUP($B86&amp;"__wt",'SegEnds_Xtal_BW#'!$A:$Z,17,FALSE)</f>
        <v>50</v>
      </c>
      <c r="R86" s="1">
        <f>VLOOKUP($B86&amp;"__wt",'SegEnds_Xtal_BW#'!$A:$Z,18,FALSE)</f>
        <v>52</v>
      </c>
      <c r="S86" s="1">
        <f>VLOOKUP($B86&amp;"__wt",'SegEnds_Xtal_BW#'!$A:$Z,19,FALSE)</f>
        <v>26</v>
      </c>
      <c r="T86" s="1">
        <f t="array" ref="T86">INDEX(ICL3_classA!$G$2:$G$37,MATCH(MIN(ABS(AI86-ICL3_classA!$F$2:$F$37)),ABS(AI86-ICL3_classA!$F$2:$F$37),0))</f>
        <v>68</v>
      </c>
      <c r="U86" s="1">
        <f t="array" ref="U86">INDEX(ICL3_classA!$H$2:$H$37,MATCH(MIN(ABS(AI86-ICL3_classA!$F$2:$F$37)),ABS(AI86-ICL3_classA!$F$2:$F$37),0))</f>
        <v>30</v>
      </c>
      <c r="V86" s="1">
        <v>61</v>
      </c>
      <c r="W86" s="1">
        <v>28</v>
      </c>
      <c r="X86" s="1">
        <f>VLOOKUP($B86&amp;"__wt",'SegEnds_Xtal_BW#'!$A:$Z,24,FALSE)</f>
        <v>56</v>
      </c>
      <c r="Y86" s="1">
        <f>VLOOKUP($B86&amp;"__wt",'SegEnds_Xtal_BW#'!$A:$Z,25,FALSE)</f>
        <v>47</v>
      </c>
      <c r="Z86" s="1">
        <f>VLOOKUP($B86&amp;"__wt",'SegEnds_Xtal_BW#'!$A:$Z,26,FALSE)</f>
        <v>64</v>
      </c>
      <c r="AA86" s="27" t="str">
        <f>VLOOKUP(A86,Classification!A:B,2,FALSE)</f>
        <v>A</v>
      </c>
      <c r="AB86" s="1">
        <f>VLOOKUP(A86,'SegEnds_NonXtal_Prot#'!A:AL,10,FALSE)-VLOOKUP(A86,'SegEnds_NonXtal_Prot#'!A:AL,4,FALSE)</f>
        <v>27</v>
      </c>
      <c r="AC86" s="1" t="e">
        <f>VLOOKUP(A86,'SegEnds_NonXtal_Prot#'!A:AL,10,FALSE)-VLOOKUP(A86,'SegEnds_NonXtal_Prot#'!A:AL,7,FALSE)</f>
        <v>#VALUE!</v>
      </c>
      <c r="AD86" s="1">
        <f>VLOOKUP(A86,'SegEnds_NonXtal_Prot#'!A:AL,13,FALSE)-VLOOKUP(A86,'SegEnds_NonXtal_Prot#'!A:AL,10,FALSE)</f>
        <v>20</v>
      </c>
      <c r="AE86" s="1">
        <f>VLOOKUP(A86,'SegEnds_NonXtal_Prot#'!A:AL,16,FALSE)-VLOOKUP(A86,'SegEnds_NonXtal_Prot#'!A:AL,10,FALSE)</f>
        <v>52</v>
      </c>
      <c r="AF86" s="1">
        <f>VLOOKUP(A86,'SegEnds_NonXtal_Prot#'!A:AL,22,FALSE)-VLOOKUP(A86,'SegEnds_NonXtal_Prot#'!A:AL,19,FALSE)</f>
        <v>20</v>
      </c>
      <c r="AG86" s="1">
        <f>VLOOKUP(A86,'SegEnds_NonXtal_Prot#'!A:AL,28,FALSE)-VLOOKUP(A86,'SegEnds_NonXtal_Prot#'!A:AL,25,FALSE)</f>
        <v>37</v>
      </c>
      <c r="AH86" s="1">
        <f>VLOOKUP(A86,'SegEnds_NonXtal_Prot#'!A:AL,28,FALSE)-VLOOKUP(A86,'SegEnds_NonXtal_Prot#'!A:AL,22,FALSE)</f>
        <v>63</v>
      </c>
      <c r="AI86" s="1">
        <f>VLOOKUP(A86,'SegEnds_NonXtal_Prot#'!A:AL,31,FALSE)-VLOOKUP(A86,'SegEnds_NonXtal_Prot#'!A:AL,28,FALSE)</f>
        <v>43</v>
      </c>
      <c r="AJ86" s="1">
        <f>VLOOKUP(A86,'SegEnds_NonXtal_Prot#'!A:AL,34,FALSE)-VLOOKUP(A86,'SegEnds_NonXtal_Prot#'!A:AL,31,FALSE)</f>
        <v>42</v>
      </c>
      <c r="AK86" s="1">
        <f>VLOOKUP(A86,'SegEnds_NonXtal_Prot#'!A:AL,37,FALSE)-VLOOKUP(A86,'SegEnds_NonXtal_Prot#'!A:AL,34,FALSE)</f>
        <v>10</v>
      </c>
      <c r="AL86" s="1" t="str">
        <f>IF(ISERROR(MATCH(A86,'SegEnds_Xtal_Prot#'!B:B, 0)), "NoXtal", "Xtal")</f>
        <v>NoXtal</v>
      </c>
    </row>
    <row r="87" spans="1:38" x14ac:dyDescent="0.2">
      <c r="A87" s="1" t="s">
        <v>202</v>
      </c>
      <c r="B87" s="1" t="str">
        <f>VLOOKUP(A87,Xtal_Templ!A:B,2,FALSE)</f>
        <v>pd2r2_human</v>
      </c>
      <c r="C87" s="5">
        <f>VLOOKUP($B87&amp;"__wt",'SegEnds_Xtal_BW#'!$A:$Z,3,FALSE)</f>
        <v>32</v>
      </c>
      <c r="D87" s="1">
        <f>VLOOKUP($B87&amp;"__wt",'SegEnds_Xtal_BW#'!$A:$Z,4,FALSE)</f>
        <v>60</v>
      </c>
      <c r="E87" s="1" t="str">
        <f>VLOOKUP($B87&amp;"__wt",'SegEnds_Xtal_BW#'!$A:$Z,5,FALSE)</f>
        <v>-</v>
      </c>
      <c r="F87" s="1" t="str">
        <f>VLOOKUP($B87&amp;"__wt",'SegEnds_Xtal_BW#'!$A:$Z,6,FALSE)</f>
        <v>-</v>
      </c>
      <c r="G87" s="1">
        <v>37</v>
      </c>
      <c r="H87" s="12">
        <f>VLOOKUP($B87&amp;"__wt",'SegEnds_Xtal_BW#'!$A:$Z,8,FALSE)</f>
        <v>67</v>
      </c>
      <c r="I87" s="1">
        <f>VLOOKUP($B87&amp;"__wt",'SegEnds_Xtal_BW#'!$A:$Z,9,FALSE)</f>
        <v>49</v>
      </c>
      <c r="J87" s="1">
        <f>VLOOKUP($B87&amp;"__wt",'SegEnds_Xtal_BW#'!$A:$Z,10,FALSE)</f>
        <v>52</v>
      </c>
      <c r="K87" s="12">
        <v>18</v>
      </c>
      <c r="L87" s="1">
        <f>VLOOKUP($B87&amp;"__wt",'SegEnds_Xtal_BW#'!$A:$Z,12,FALSE)</f>
        <v>56</v>
      </c>
      <c r="M87" s="1">
        <f>VLOOKUP($B87&amp;"__wt",'SegEnds_Xtal_BW#'!$A:$Z,13,FALSE)</f>
        <v>50</v>
      </c>
      <c r="N87" s="12">
        <f>VLOOKUP($B87&amp;"__wt",'SegEnds_Xtal_BW#'!$A:$Z,14,FALSE)</f>
        <v>57</v>
      </c>
      <c r="O87" s="87">
        <v>38</v>
      </c>
      <c r="P87" s="1">
        <f>VLOOKUP($B87&amp;"__wt",'SegEnds_Xtal_BW#'!$A:$Z,16,FALSE)</f>
        <v>64</v>
      </c>
      <c r="Q87" s="1">
        <f>VLOOKUP($B87&amp;"__wt",'SegEnds_Xtal_BW#'!$A:$Z,17,FALSE)</f>
        <v>50</v>
      </c>
      <c r="R87" s="1">
        <f>VLOOKUP($B87&amp;"__wt",'SegEnds_Xtal_BW#'!$A:$Z,18,FALSE)</f>
        <v>52</v>
      </c>
      <c r="S87" s="1">
        <f>VLOOKUP($B87&amp;"__wt",'SegEnds_Xtal_BW#'!$A:$Z,19,FALSE)</f>
        <v>26</v>
      </c>
      <c r="T87" s="1">
        <f t="array" ref="T87">INDEX(ICL3_classA!$G$2:$G$37,MATCH(MIN(ABS(AI87-ICL3_classA!$F$2:$F$37)),ABS(AI87-ICL3_classA!$F$2:$F$37),0))</f>
        <v>68</v>
      </c>
      <c r="U87" s="1">
        <f t="array" ref="U87">INDEX(ICL3_classA!$H$2:$H$37,MATCH(MIN(ABS(AI87-ICL3_classA!$F$2:$F$37)),ABS(AI87-ICL3_classA!$F$2:$F$37),0))</f>
        <v>30</v>
      </c>
      <c r="V87" s="1">
        <v>61</v>
      </c>
      <c r="W87" s="1">
        <v>24</v>
      </c>
      <c r="X87" s="108">
        <v>56</v>
      </c>
      <c r="Y87" s="1">
        <f>VLOOKUP($B87&amp;"__wt",'SegEnds_Xtal_BW#'!$A:$Z,25,FALSE)</f>
        <v>47</v>
      </c>
      <c r="Z87" s="1">
        <f>VLOOKUP($B87&amp;"__wt",'SegEnds_Xtal_BW#'!$A:$Z,26,FALSE)</f>
        <v>64</v>
      </c>
      <c r="AA87" s="27" t="str">
        <f>VLOOKUP(A87,Classification!A:B,2,FALSE)</f>
        <v>A</v>
      </c>
      <c r="AB87" s="1">
        <f>VLOOKUP(A87,'SegEnds_NonXtal_Prot#'!A:AL,10,FALSE)-VLOOKUP(A87,'SegEnds_NonXtal_Prot#'!A:AL,4,FALSE)</f>
        <v>27</v>
      </c>
      <c r="AC87" s="1" t="e">
        <f>VLOOKUP(A87,'SegEnds_NonXtal_Prot#'!A:AL,10,FALSE)-VLOOKUP(A87,'SegEnds_NonXtal_Prot#'!A:AL,7,FALSE)</f>
        <v>#VALUE!</v>
      </c>
      <c r="AD87" s="1">
        <f>VLOOKUP(A87,'SegEnds_NonXtal_Prot#'!A:AL,13,FALSE)-VLOOKUP(A87,'SegEnds_NonXtal_Prot#'!A:AL,10,FALSE)</f>
        <v>20</v>
      </c>
      <c r="AE87" s="1">
        <f>VLOOKUP(A87,'SegEnds_NonXtal_Prot#'!A:AL,16,FALSE)-VLOOKUP(A87,'SegEnds_NonXtal_Prot#'!A:AL,10,FALSE)</f>
        <v>52</v>
      </c>
      <c r="AF87" s="1">
        <f>VLOOKUP(A87,'SegEnds_NonXtal_Prot#'!A:AL,22,FALSE)-VLOOKUP(A87,'SegEnds_NonXtal_Prot#'!A:AL,19,FALSE)</f>
        <v>20</v>
      </c>
      <c r="AG87" s="1">
        <f>VLOOKUP(A87,'SegEnds_NonXtal_Prot#'!A:AL,28,FALSE)-VLOOKUP(A87,'SegEnds_NonXtal_Prot#'!A:AL,25,FALSE)</f>
        <v>37</v>
      </c>
      <c r="AH87" s="1">
        <f>VLOOKUP(A87,'SegEnds_NonXtal_Prot#'!A:AL,28,FALSE)-VLOOKUP(A87,'SegEnds_NonXtal_Prot#'!A:AL,22,FALSE)</f>
        <v>63</v>
      </c>
      <c r="AI87" s="1">
        <f>VLOOKUP(A87,'SegEnds_NonXtal_Prot#'!A:AL,31,FALSE)-VLOOKUP(A87,'SegEnds_NonXtal_Prot#'!A:AL,28,FALSE)</f>
        <v>43</v>
      </c>
      <c r="AJ87" s="1">
        <f>VLOOKUP(A87,'SegEnds_NonXtal_Prot#'!A:AL,34,FALSE)-VLOOKUP(A87,'SegEnds_NonXtal_Prot#'!A:AL,31,FALSE)</f>
        <v>43</v>
      </c>
      <c r="AK87" s="1">
        <f>VLOOKUP(A87,'SegEnds_NonXtal_Prot#'!A:AL,37,FALSE)-VLOOKUP(A87,'SegEnds_NonXtal_Prot#'!A:AL,34,FALSE)</f>
        <v>10</v>
      </c>
      <c r="AL87" s="1" t="str">
        <f>IF(ISERROR(MATCH(A87,'SegEnds_Xtal_Prot#'!B:B, 0)), "NoXtal", "Xtal")</f>
        <v>NoXtal</v>
      </c>
    </row>
    <row r="88" spans="1:38" x14ac:dyDescent="0.2">
      <c r="A88" s="1" t="s">
        <v>203</v>
      </c>
      <c r="B88" s="1" t="str">
        <f>VLOOKUP(A88,Xtal_Templ!A:B,2,FALSE)</f>
        <v>pd2r2_human</v>
      </c>
      <c r="C88" s="5">
        <f>VLOOKUP($B88&amp;"__wt",'SegEnds_Xtal_BW#'!$A:$Z,3,FALSE)</f>
        <v>32</v>
      </c>
      <c r="D88" s="1">
        <f>VLOOKUP($B88&amp;"__wt",'SegEnds_Xtal_BW#'!$A:$Z,4,FALSE)</f>
        <v>60</v>
      </c>
      <c r="E88" s="1" t="str">
        <f>VLOOKUP($B88&amp;"__wt",'SegEnds_Xtal_BW#'!$A:$Z,5,FALSE)</f>
        <v>-</v>
      </c>
      <c r="F88" s="1" t="str">
        <f>VLOOKUP($B88&amp;"__wt",'SegEnds_Xtal_BW#'!$A:$Z,6,FALSE)</f>
        <v>-</v>
      </c>
      <c r="G88" s="1">
        <v>37</v>
      </c>
      <c r="H88" s="12">
        <f>VLOOKUP($B88&amp;"__wt",'SegEnds_Xtal_BW#'!$A:$Z,8,FALSE)</f>
        <v>67</v>
      </c>
      <c r="I88" s="1">
        <f>VLOOKUP($B88&amp;"__wt",'SegEnds_Xtal_BW#'!$A:$Z,9,FALSE)</f>
        <v>49</v>
      </c>
      <c r="J88" s="1">
        <f>VLOOKUP($B88&amp;"__wt",'SegEnds_Xtal_BW#'!$A:$Z,10,FALSE)</f>
        <v>52</v>
      </c>
      <c r="K88" s="12">
        <v>18</v>
      </c>
      <c r="L88" s="1">
        <f>VLOOKUP($B88&amp;"__wt",'SegEnds_Xtal_BW#'!$A:$Z,12,FALSE)</f>
        <v>56</v>
      </c>
      <c r="M88" s="1">
        <f>VLOOKUP($B88&amp;"__wt",'SegEnds_Xtal_BW#'!$A:$Z,13,FALSE)</f>
        <v>50</v>
      </c>
      <c r="N88" s="12">
        <f>VLOOKUP($B88&amp;"__wt",'SegEnds_Xtal_BW#'!$A:$Z,14,FALSE)</f>
        <v>57</v>
      </c>
      <c r="O88" s="87">
        <v>38</v>
      </c>
      <c r="P88" s="1">
        <f>VLOOKUP($B88&amp;"__wt",'SegEnds_Xtal_BW#'!$A:$Z,16,FALSE)</f>
        <v>64</v>
      </c>
      <c r="Q88" s="1">
        <f>VLOOKUP($B88&amp;"__wt",'SegEnds_Xtal_BW#'!$A:$Z,17,FALSE)</f>
        <v>50</v>
      </c>
      <c r="R88" s="1">
        <f>VLOOKUP($B88&amp;"__wt",'SegEnds_Xtal_BW#'!$A:$Z,18,FALSE)</f>
        <v>52</v>
      </c>
      <c r="S88" s="1">
        <f>VLOOKUP($B88&amp;"__wt",'SegEnds_Xtal_BW#'!$A:$Z,19,FALSE)</f>
        <v>26</v>
      </c>
      <c r="T88" s="1">
        <f t="array" ref="T88">INDEX(ICL3_classA!$G$2:$G$37,MATCH(MIN(ABS(AI88-ICL3_classA!$F$2:$F$37)),ABS(AI88-ICL3_classA!$F$2:$F$37),0))</f>
        <v>68</v>
      </c>
      <c r="U88" s="1">
        <f t="array" ref="U88">INDEX(ICL3_classA!$H$2:$H$37,MATCH(MIN(ABS(AI88-ICL3_classA!$F$2:$F$37)),ABS(AI88-ICL3_classA!$F$2:$F$37),0))</f>
        <v>30</v>
      </c>
      <c r="V88" s="1">
        <v>61</v>
      </c>
      <c r="W88" s="1">
        <v>24</v>
      </c>
      <c r="X88" s="108">
        <v>56</v>
      </c>
      <c r="Y88" s="1">
        <f>VLOOKUP($B88&amp;"__wt",'SegEnds_Xtal_BW#'!$A:$Z,25,FALSE)</f>
        <v>47</v>
      </c>
      <c r="Z88" s="1">
        <f>VLOOKUP($B88&amp;"__wt",'SegEnds_Xtal_BW#'!$A:$Z,26,FALSE)</f>
        <v>64</v>
      </c>
      <c r="AA88" s="27" t="str">
        <f>VLOOKUP(A88,Classification!A:B,2,FALSE)</f>
        <v>A</v>
      </c>
      <c r="AB88" s="1">
        <f>VLOOKUP(A88,'SegEnds_NonXtal_Prot#'!A:AL,10,FALSE)-VLOOKUP(A88,'SegEnds_NonXtal_Prot#'!A:AL,4,FALSE)</f>
        <v>27</v>
      </c>
      <c r="AC88" s="1" t="e">
        <f>VLOOKUP(A88,'SegEnds_NonXtal_Prot#'!A:AL,10,FALSE)-VLOOKUP(A88,'SegEnds_NonXtal_Prot#'!A:AL,7,FALSE)</f>
        <v>#VALUE!</v>
      </c>
      <c r="AD88" s="1">
        <f>VLOOKUP(A88,'SegEnds_NonXtal_Prot#'!A:AL,13,FALSE)-VLOOKUP(A88,'SegEnds_NonXtal_Prot#'!A:AL,10,FALSE)</f>
        <v>20</v>
      </c>
      <c r="AE88" s="1">
        <f>VLOOKUP(A88,'SegEnds_NonXtal_Prot#'!A:AL,16,FALSE)-VLOOKUP(A88,'SegEnds_NonXtal_Prot#'!A:AL,10,FALSE)</f>
        <v>52</v>
      </c>
      <c r="AF88" s="1">
        <f>VLOOKUP(A88,'SegEnds_NonXtal_Prot#'!A:AL,22,FALSE)-VLOOKUP(A88,'SegEnds_NonXtal_Prot#'!A:AL,19,FALSE)</f>
        <v>20</v>
      </c>
      <c r="AG88" s="1">
        <f>VLOOKUP(A88,'SegEnds_NonXtal_Prot#'!A:AL,28,FALSE)-VLOOKUP(A88,'SegEnds_NonXtal_Prot#'!A:AL,25,FALSE)</f>
        <v>37</v>
      </c>
      <c r="AH88" s="1">
        <f>VLOOKUP(A88,'SegEnds_NonXtal_Prot#'!A:AL,28,FALSE)-VLOOKUP(A88,'SegEnds_NonXtal_Prot#'!A:AL,22,FALSE)</f>
        <v>63</v>
      </c>
      <c r="AI88" s="1">
        <f>VLOOKUP(A88,'SegEnds_NonXtal_Prot#'!A:AL,31,FALSE)-VLOOKUP(A88,'SegEnds_NonXtal_Prot#'!A:AL,28,FALSE)</f>
        <v>43</v>
      </c>
      <c r="AJ88" s="1">
        <f>VLOOKUP(A88,'SegEnds_NonXtal_Prot#'!A:AL,34,FALSE)-VLOOKUP(A88,'SegEnds_NonXtal_Prot#'!A:AL,31,FALSE)</f>
        <v>43</v>
      </c>
      <c r="AK88" s="1">
        <f>VLOOKUP(A88,'SegEnds_NonXtal_Prot#'!A:AL,37,FALSE)-VLOOKUP(A88,'SegEnds_NonXtal_Prot#'!A:AL,34,FALSE)</f>
        <v>10</v>
      </c>
      <c r="AL88" s="1" t="str">
        <f>IF(ISERROR(MATCH(A88,'SegEnds_Xtal_Prot#'!B:B, 0)), "NoXtal", "Xtal")</f>
        <v>NoXtal</v>
      </c>
    </row>
    <row r="89" spans="1:38" x14ac:dyDescent="0.2">
      <c r="A89" s="1" t="s">
        <v>204</v>
      </c>
      <c r="B89" s="1" t="str">
        <f>VLOOKUP(A89,Xtal_Templ!A:B,2,FALSE)</f>
        <v>aa2ar_human</v>
      </c>
      <c r="C89" s="5">
        <f>VLOOKUP($B89&amp;"__wt",'SegEnds_Xtal_BW#'!$A:$Z,3,FALSE)</f>
        <v>27</v>
      </c>
      <c r="D89" s="1">
        <f>VLOOKUP($B89&amp;"__wt",'SegEnds_Xtal_BW#'!$A:$Z,4,FALSE)</f>
        <v>60</v>
      </c>
      <c r="E89" s="1">
        <f>VLOOKUP($B89&amp;"__wt",'SegEnds_Xtal_BW#'!$A:$Z,5,FALSE)</f>
        <v>48</v>
      </c>
      <c r="F89" s="1">
        <f>VLOOKUP($B89&amp;"__wt",'SegEnds_Xtal_BW#'!$A:$Z,6,FALSE)</f>
        <v>51</v>
      </c>
      <c r="G89" s="1">
        <v>37</v>
      </c>
      <c r="H89" s="12">
        <f>VLOOKUP($B89&amp;"__wt",'SegEnds_Xtal_BW#'!$A:$Z,8,FALSE)</f>
        <v>67</v>
      </c>
      <c r="I89" s="1">
        <v>49</v>
      </c>
      <c r="J89" s="1">
        <f>VLOOKUP($B89&amp;"__wt",'SegEnds_Xtal_BW#'!$A:$Z,10,FALSE)</f>
        <v>52</v>
      </c>
      <c r="K89" s="12">
        <v>18</v>
      </c>
      <c r="L89" s="1">
        <f>VLOOKUP($B89&amp;"__wt",'SegEnds_Xtal_BW#'!$A:$Z,12,FALSE)</f>
        <v>56</v>
      </c>
      <c r="M89" s="1">
        <f>VLOOKUP($B89&amp;"__wt",'SegEnds_Xtal_BW#'!$A:$Z,13,FALSE)</f>
        <v>50</v>
      </c>
      <c r="N89" s="12">
        <v>57</v>
      </c>
      <c r="O89" s="87">
        <f>VLOOKUP($B89&amp;"__wt",'SegEnds_Xtal_BW#'!$A:$Z,15,FALSE)</f>
        <v>38</v>
      </c>
      <c r="P89" s="1">
        <f>VLOOKUP($B89&amp;"__wt",'SegEnds_Xtal_BW#'!$A:$Z,16,FALSE)</f>
        <v>63</v>
      </c>
      <c r="Q89" s="1">
        <f>VLOOKUP($B89&amp;"__wt",'SegEnds_Xtal_BW#'!$A:$Z,17,FALSE)</f>
        <v>50</v>
      </c>
      <c r="R89" s="1">
        <f>VLOOKUP($B89&amp;"__wt",'SegEnds_Xtal_BW#'!$A:$Z,18,FALSE)</f>
        <v>52</v>
      </c>
      <c r="S89" s="1">
        <f>VLOOKUP($B89&amp;"__wt",'SegEnds_Xtal_BW#'!$A:$Z,19,FALSE)</f>
        <v>34</v>
      </c>
      <c r="T89" s="1">
        <f t="array" ref="T89">INDEX(ICL3_classA!$G$2:$G$37,MATCH(MIN(ABS(AI89-ICL3_classA!$F$2:$F$37)),ABS(AI89-ICL3_classA!$F$2:$F$37),0))</f>
        <v>67</v>
      </c>
      <c r="U89" s="1">
        <f t="array" ref="U89">INDEX(ICL3_classA!$H$2:$H$37,MATCH(MIN(ABS(AI89-ICL3_classA!$F$2:$F$37)),ABS(AI89-ICL3_classA!$F$2:$F$37),0))</f>
        <v>26</v>
      </c>
      <c r="V89" s="1">
        <v>61</v>
      </c>
      <c r="W89" s="1">
        <v>31</v>
      </c>
      <c r="X89" s="1">
        <f>VLOOKUP($B89&amp;"__wt",'SegEnds_Xtal_BW#'!$A:$Z,24,FALSE)</f>
        <v>56</v>
      </c>
      <c r="Y89" s="1">
        <f>VLOOKUP($B89&amp;"__wt",'SegEnds_Xtal_BW#'!$A:$Z,25,FALSE)</f>
        <v>47</v>
      </c>
      <c r="Z89" s="1">
        <f>VLOOKUP($B89&amp;"__wt",'SegEnds_Xtal_BW#'!$A:$Z,26,FALSE)</f>
        <v>69</v>
      </c>
      <c r="AA89" s="27" t="str">
        <f>VLOOKUP(A89,Classification!A:B,2,FALSE)</f>
        <v>A</v>
      </c>
      <c r="AB89" s="1">
        <f>VLOOKUP(A89,'SegEnds_NonXtal_Prot#'!A:AL,10,FALSE)-VLOOKUP(A89,'SegEnds_NonXtal_Prot#'!A:AL,4,FALSE)</f>
        <v>28</v>
      </c>
      <c r="AC89" s="1">
        <f>VLOOKUP(A89,'SegEnds_NonXtal_Prot#'!A:AL,10,FALSE)-VLOOKUP(A89,'SegEnds_NonXtal_Prot#'!A:AL,7,FALSE)</f>
        <v>14</v>
      </c>
      <c r="AD89" s="1">
        <f>VLOOKUP(A89,'SegEnds_NonXtal_Prot#'!A:AL,13,FALSE)-VLOOKUP(A89,'SegEnds_NonXtal_Prot#'!A:AL,10,FALSE)</f>
        <v>28</v>
      </c>
      <c r="AE89" s="1">
        <f>VLOOKUP(A89,'SegEnds_NonXtal_Prot#'!A:AL,16,FALSE)-VLOOKUP(A89,'SegEnds_NonXtal_Prot#'!A:AL,10,FALSE)</f>
        <v>59</v>
      </c>
      <c r="AF89" s="1">
        <f>VLOOKUP(A89,'SegEnds_NonXtal_Prot#'!A:AL,22,FALSE)-VLOOKUP(A89,'SegEnds_NonXtal_Prot#'!A:AL,19,FALSE)</f>
        <v>20</v>
      </c>
      <c r="AG89" s="1">
        <f>VLOOKUP(A89,'SegEnds_NonXtal_Prot#'!A:AL,28,FALSE)-VLOOKUP(A89,'SegEnds_NonXtal_Prot#'!A:AL,25,FALSE)</f>
        <v>24</v>
      </c>
      <c r="AH89" s="1">
        <f>VLOOKUP(A89,'SegEnds_NonXtal_Prot#'!A:AL,28,FALSE)-VLOOKUP(A89,'SegEnds_NonXtal_Prot#'!A:AL,22,FALSE)</f>
        <v>47</v>
      </c>
      <c r="AI89" s="1">
        <f>VLOOKUP(A89,'SegEnds_NonXtal_Prot#'!A:AL,31,FALSE)-VLOOKUP(A89,'SegEnds_NonXtal_Prot#'!A:AL,28,FALSE)</f>
        <v>46</v>
      </c>
      <c r="AJ89" s="1">
        <f>VLOOKUP(A89,'SegEnds_NonXtal_Prot#'!A:AL,34,FALSE)-VLOOKUP(A89,'SegEnds_NonXtal_Prot#'!A:AL,31,FALSE)</f>
        <v>36</v>
      </c>
      <c r="AK89" s="1">
        <f>VLOOKUP(A89,'SegEnds_NonXtal_Prot#'!A:AL,37,FALSE)-VLOOKUP(A89,'SegEnds_NonXtal_Prot#'!A:AL,34,FALSE)</f>
        <v>10</v>
      </c>
      <c r="AL89" s="1" t="str">
        <f>IF(ISERROR(MATCH(A89,'SegEnds_Xtal_Prot#'!B:B, 0)), "NoXtal", "Xtal")</f>
        <v>NoXtal</v>
      </c>
    </row>
    <row r="90" spans="1:38" x14ac:dyDescent="0.2">
      <c r="A90" s="1" t="s">
        <v>205</v>
      </c>
      <c r="B90" s="1" t="str">
        <f>VLOOKUP(A90,Xtal_Templ!A:B,2,FALSE)</f>
        <v>oprk_human</v>
      </c>
      <c r="C90" s="5">
        <f>VLOOKUP($B90&amp;"__wt",'SegEnds_Xtal_BW#'!$A:$Z,3,FALSE)</f>
        <v>30</v>
      </c>
      <c r="D90" s="1">
        <f>VLOOKUP($B90&amp;"__wt",'SegEnds_Xtal_BW#'!$A:$Z,4,FALSE)</f>
        <v>60</v>
      </c>
      <c r="E90" s="1">
        <f>VLOOKUP($B90&amp;"__wt",'SegEnds_Xtal_BW#'!$A:$Z,5,FALSE)</f>
        <v>48</v>
      </c>
      <c r="F90" s="1">
        <f>VLOOKUP($B90&amp;"__wt",'SegEnds_Xtal_BW#'!$A:$Z,6,FALSE)</f>
        <v>51</v>
      </c>
      <c r="G90" s="1">
        <v>37</v>
      </c>
      <c r="H90" s="12">
        <f>VLOOKUP($B90&amp;"__wt",'SegEnds_Xtal_BW#'!$A:$Z,8,FALSE)</f>
        <v>67</v>
      </c>
      <c r="I90" s="1">
        <f>VLOOKUP($B90&amp;"__wt",'SegEnds_Xtal_BW#'!$A:$Z,9,FALSE)</f>
        <v>49</v>
      </c>
      <c r="J90" s="1">
        <f>VLOOKUP($B90&amp;"__wt",'SegEnds_Xtal_BW#'!$A:$Z,10,FALSE)</f>
        <v>52</v>
      </c>
      <c r="K90" s="12">
        <v>18</v>
      </c>
      <c r="L90" s="1">
        <f>VLOOKUP($B90&amp;"__wt",'SegEnds_Xtal_BW#'!$A:$Z,12,FALSE)</f>
        <v>56</v>
      </c>
      <c r="M90" s="1">
        <f>VLOOKUP($B90&amp;"__wt",'SegEnds_Xtal_BW#'!$A:$Z,13,FALSE)</f>
        <v>50</v>
      </c>
      <c r="N90" s="12">
        <v>57</v>
      </c>
      <c r="O90" s="87">
        <f>VLOOKUP($B90&amp;"__wt",'SegEnds_Xtal_BW#'!$A:$Z,15,FALSE)</f>
        <v>38</v>
      </c>
      <c r="P90" s="1">
        <f>VLOOKUP($B90&amp;"__wt",'SegEnds_Xtal_BW#'!$A:$Z,16,FALSE)</f>
        <v>64</v>
      </c>
      <c r="Q90" s="1">
        <f>VLOOKUP($B90&amp;"__wt",'SegEnds_Xtal_BW#'!$A:$Z,17,FALSE)</f>
        <v>50</v>
      </c>
      <c r="R90" s="1">
        <f>VLOOKUP($B90&amp;"__wt",'SegEnds_Xtal_BW#'!$A:$Z,18,FALSE)</f>
        <v>52</v>
      </c>
      <c r="S90" s="1">
        <f>VLOOKUP($B90&amp;"__wt",'SegEnds_Xtal_BW#'!$A:$Z,19,FALSE)</f>
        <v>30</v>
      </c>
      <c r="T90" s="1">
        <f t="array" ref="T90">INDEX(ICL3_classA!$G$2:$G$37,MATCH(MIN(ABS(AI90-ICL3_classA!$F$2:$F$37)),ABS(AI90-ICL3_classA!$F$2:$F$37),0))</f>
        <v>72</v>
      </c>
      <c r="U90" s="1">
        <f t="array" ref="U90">INDEX(ICL3_classA!$H$2:$H$37,MATCH(MIN(ABS(AI90-ICL3_classA!$F$2:$F$37)),ABS(AI90-ICL3_classA!$F$2:$F$37),0))</f>
        <v>29</v>
      </c>
      <c r="V90" s="1">
        <v>61</v>
      </c>
      <c r="W90" s="1">
        <v>28</v>
      </c>
      <c r="X90" s="1">
        <f>VLOOKUP($B90&amp;"__wt",'SegEnds_Xtal_BW#'!$A:$Z,24,FALSE)</f>
        <v>56</v>
      </c>
      <c r="Y90" s="1">
        <f>VLOOKUP($B90&amp;"__wt",'SegEnds_Xtal_BW#'!$A:$Z,25,FALSE)</f>
        <v>47</v>
      </c>
      <c r="Z90" s="1">
        <f>VLOOKUP($B90&amp;"__wt",'SegEnds_Xtal_BW#'!$A:$Z,26,FALSE)</f>
        <v>59</v>
      </c>
      <c r="AA90" s="27" t="str">
        <f>VLOOKUP(A90,Classification!A:B,2,FALSE)</f>
        <v>A</v>
      </c>
      <c r="AB90" s="1">
        <f>VLOOKUP(A90,'SegEnds_NonXtal_Prot#'!A:AL,10,FALSE)-VLOOKUP(A90,'SegEnds_NonXtal_Prot#'!A:AL,4,FALSE)</f>
        <v>30</v>
      </c>
      <c r="AC90" s="1" t="e">
        <f>VLOOKUP(A90,'SegEnds_NonXtal_Prot#'!A:AL,10,FALSE)-VLOOKUP(A90,'SegEnds_NonXtal_Prot#'!A:AL,7,FALSE)</f>
        <v>#VALUE!</v>
      </c>
      <c r="AD90" s="1">
        <f>VLOOKUP(A90,'SegEnds_NonXtal_Prot#'!A:AL,13,FALSE)-VLOOKUP(A90,'SegEnds_NonXtal_Prot#'!A:AL,10,FALSE)</f>
        <v>20</v>
      </c>
      <c r="AE90" s="1">
        <f>VLOOKUP(A90,'SegEnds_NonXtal_Prot#'!A:AL,16,FALSE)-VLOOKUP(A90,'SegEnds_NonXtal_Prot#'!A:AL,10,FALSE)</f>
        <v>52</v>
      </c>
      <c r="AF90" s="1">
        <f>VLOOKUP(A90,'SegEnds_NonXtal_Prot#'!A:AL,22,FALSE)-VLOOKUP(A90,'SegEnds_NonXtal_Prot#'!A:AL,19,FALSE)</f>
        <v>20</v>
      </c>
      <c r="AG90" s="1">
        <f>VLOOKUP(A90,'SegEnds_NonXtal_Prot#'!A:AL,28,FALSE)-VLOOKUP(A90,'SegEnds_NonXtal_Prot#'!A:AL,25,FALSE)</f>
        <v>25</v>
      </c>
      <c r="AH90" s="1">
        <f>VLOOKUP(A90,'SegEnds_NonXtal_Prot#'!A:AL,28,FALSE)-VLOOKUP(A90,'SegEnds_NonXtal_Prot#'!A:AL,22,FALSE)</f>
        <v>52</v>
      </c>
      <c r="AI90" s="1">
        <f>VLOOKUP(A90,'SegEnds_NonXtal_Prot#'!A:AL,31,FALSE)-VLOOKUP(A90,'SegEnds_NonXtal_Prot#'!A:AL,28,FALSE)</f>
        <v>50</v>
      </c>
      <c r="AJ90" s="1">
        <f>VLOOKUP(A90,'SegEnds_NonXtal_Prot#'!A:AL,34,FALSE)-VLOOKUP(A90,'SegEnds_NonXtal_Prot#'!A:AL,31,FALSE)</f>
        <v>38</v>
      </c>
      <c r="AK90" s="1">
        <f>VLOOKUP(A90,'SegEnds_NonXtal_Prot#'!A:AL,37,FALSE)-VLOOKUP(A90,'SegEnds_NonXtal_Prot#'!A:AL,34,FALSE)</f>
        <v>10</v>
      </c>
      <c r="AL90" s="1" t="str">
        <f>IF(ISERROR(MATCH(A90,'SegEnds_Xtal_Prot#'!B:B, 0)), "NoXtal", "Xtal")</f>
        <v>NoXtal</v>
      </c>
    </row>
    <row r="91" spans="1:38" x14ac:dyDescent="0.2">
      <c r="A91" s="1" t="s">
        <v>206</v>
      </c>
      <c r="B91" s="1" t="str">
        <f>VLOOKUP(A91,Xtal_Templ!A:B,2,FALSE)</f>
        <v>oprk_human</v>
      </c>
      <c r="C91" s="5">
        <f>VLOOKUP($B91&amp;"__wt",'SegEnds_Xtal_BW#'!$A:$Z,3,FALSE)</f>
        <v>30</v>
      </c>
      <c r="D91" s="1">
        <f>VLOOKUP($B91&amp;"__wt",'SegEnds_Xtal_BW#'!$A:$Z,4,FALSE)</f>
        <v>60</v>
      </c>
      <c r="E91" s="1">
        <f>VLOOKUP($B91&amp;"__wt",'SegEnds_Xtal_BW#'!$A:$Z,5,FALSE)</f>
        <v>48</v>
      </c>
      <c r="F91" s="1">
        <f>VLOOKUP($B91&amp;"__wt",'SegEnds_Xtal_BW#'!$A:$Z,6,FALSE)</f>
        <v>51</v>
      </c>
      <c r="G91" s="1">
        <v>37</v>
      </c>
      <c r="H91" s="12">
        <f>VLOOKUP($B91&amp;"__wt",'SegEnds_Xtal_BW#'!$A:$Z,8,FALSE)</f>
        <v>67</v>
      </c>
      <c r="I91" s="1">
        <f>VLOOKUP($B91&amp;"__wt",'SegEnds_Xtal_BW#'!$A:$Z,9,FALSE)</f>
        <v>49</v>
      </c>
      <c r="J91" s="1">
        <f>VLOOKUP($B91&amp;"__wt",'SegEnds_Xtal_BW#'!$A:$Z,10,FALSE)</f>
        <v>52</v>
      </c>
      <c r="K91" s="12">
        <v>18</v>
      </c>
      <c r="L91" s="1">
        <f>VLOOKUP($B91&amp;"__wt",'SegEnds_Xtal_BW#'!$A:$Z,12,FALSE)</f>
        <v>56</v>
      </c>
      <c r="M91" s="1">
        <f>VLOOKUP($B91&amp;"__wt",'SegEnds_Xtal_BW#'!$A:$Z,13,FALSE)</f>
        <v>50</v>
      </c>
      <c r="N91" s="12">
        <v>57</v>
      </c>
      <c r="O91" s="87">
        <f>VLOOKUP($B91&amp;"__wt",'SegEnds_Xtal_BW#'!$A:$Z,15,FALSE)</f>
        <v>38</v>
      </c>
      <c r="P91" s="1">
        <f>VLOOKUP($B91&amp;"__wt",'SegEnds_Xtal_BW#'!$A:$Z,16,FALSE)</f>
        <v>64</v>
      </c>
      <c r="Q91" s="1">
        <f>VLOOKUP($B91&amp;"__wt",'SegEnds_Xtal_BW#'!$A:$Z,17,FALSE)</f>
        <v>50</v>
      </c>
      <c r="R91" s="1">
        <f>VLOOKUP($B91&amp;"__wt",'SegEnds_Xtal_BW#'!$A:$Z,18,FALSE)</f>
        <v>52</v>
      </c>
      <c r="S91" s="1">
        <f>VLOOKUP($B91&amp;"__wt",'SegEnds_Xtal_BW#'!$A:$Z,19,FALSE)</f>
        <v>30</v>
      </c>
      <c r="T91" s="1">
        <f t="array" ref="T91">INDEX(ICL3_classA!$G$2:$G$37,MATCH(MIN(ABS(AI91-ICL3_classA!$F$2:$F$37)),ABS(AI91-ICL3_classA!$F$2:$F$37),0))</f>
        <v>72</v>
      </c>
      <c r="U91" s="1">
        <f t="array" ref="U91">INDEX(ICL3_classA!$H$2:$H$37,MATCH(MIN(ABS(AI91-ICL3_classA!$F$2:$F$37)),ABS(AI91-ICL3_classA!$F$2:$F$37),0))</f>
        <v>24</v>
      </c>
      <c r="V91" s="1">
        <v>61</v>
      </c>
      <c r="W91" s="1">
        <v>28</v>
      </c>
      <c r="X91" s="1">
        <f>VLOOKUP($B91&amp;"__wt",'SegEnds_Xtal_BW#'!$A:$Z,24,FALSE)</f>
        <v>56</v>
      </c>
      <c r="Y91" s="1">
        <f>VLOOKUP($B91&amp;"__wt",'SegEnds_Xtal_BW#'!$A:$Z,25,FALSE)</f>
        <v>47</v>
      </c>
      <c r="Z91" s="1">
        <f>VLOOKUP($B91&amp;"__wt",'SegEnds_Xtal_BW#'!$A:$Z,26,FALSE)</f>
        <v>59</v>
      </c>
      <c r="AA91" s="27" t="str">
        <f>VLOOKUP(A91,Classification!A:B,2,FALSE)</f>
        <v>A</v>
      </c>
      <c r="AB91" s="1">
        <f>VLOOKUP(A91,'SegEnds_NonXtal_Prot#'!A:AL,10,FALSE)-VLOOKUP(A91,'SegEnds_NonXtal_Prot#'!A:AL,4,FALSE)</f>
        <v>28</v>
      </c>
      <c r="AC91" s="1">
        <f>VLOOKUP(A91,'SegEnds_NonXtal_Prot#'!A:AL,10,FALSE)-VLOOKUP(A91,'SegEnds_NonXtal_Prot#'!A:AL,7,FALSE)</f>
        <v>15</v>
      </c>
      <c r="AD91" s="1">
        <f>VLOOKUP(A91,'SegEnds_NonXtal_Prot#'!A:AL,13,FALSE)-VLOOKUP(A91,'SegEnds_NonXtal_Prot#'!A:AL,10,FALSE)</f>
        <v>20</v>
      </c>
      <c r="AE91" s="1">
        <f>VLOOKUP(A91,'SegEnds_NonXtal_Prot#'!A:AL,16,FALSE)-VLOOKUP(A91,'SegEnds_NonXtal_Prot#'!A:AL,10,FALSE)</f>
        <v>52</v>
      </c>
      <c r="AF91" s="1">
        <f>VLOOKUP(A91,'SegEnds_NonXtal_Prot#'!A:AL,22,FALSE)-VLOOKUP(A91,'SegEnds_NonXtal_Prot#'!A:AL,19,FALSE)</f>
        <v>20</v>
      </c>
      <c r="AG91" s="1">
        <f>VLOOKUP(A91,'SegEnds_NonXtal_Prot#'!A:AL,28,FALSE)-VLOOKUP(A91,'SegEnds_NonXtal_Prot#'!A:AL,25,FALSE)</f>
        <v>24</v>
      </c>
      <c r="AH91" s="1">
        <f>VLOOKUP(A91,'SegEnds_NonXtal_Prot#'!A:AL,28,FALSE)-VLOOKUP(A91,'SegEnds_NonXtal_Prot#'!A:AL,22,FALSE)</f>
        <v>49</v>
      </c>
      <c r="AI91" s="1">
        <f>VLOOKUP(A91,'SegEnds_NonXtal_Prot#'!A:AL,31,FALSE)-VLOOKUP(A91,'SegEnds_NonXtal_Prot#'!A:AL,28,FALSE)</f>
        <v>52</v>
      </c>
      <c r="AJ91" s="1">
        <f>VLOOKUP(A91,'SegEnds_NonXtal_Prot#'!A:AL,34,FALSE)-VLOOKUP(A91,'SegEnds_NonXtal_Prot#'!A:AL,31,FALSE)</f>
        <v>38</v>
      </c>
      <c r="AK91" s="1">
        <f>VLOOKUP(A91,'SegEnds_NonXtal_Prot#'!A:AL,37,FALSE)-VLOOKUP(A91,'SegEnds_NonXtal_Prot#'!A:AL,34,FALSE)</f>
        <v>10</v>
      </c>
      <c r="AL91" s="1" t="str">
        <f>IF(ISERROR(MATCH(A91,'SegEnds_Xtal_Prot#'!B:B, 0)), "NoXtal", "Xtal")</f>
        <v>NoXtal</v>
      </c>
    </row>
    <row r="92" spans="1:38" x14ac:dyDescent="0.2">
      <c r="A92" s="1" t="s">
        <v>207</v>
      </c>
      <c r="B92" s="1" t="str">
        <f>VLOOKUP(A92,Xtal_Templ!A:B,2,FALSE)</f>
        <v>oprk_human</v>
      </c>
      <c r="C92" s="5">
        <f>VLOOKUP($B92&amp;"__wt",'SegEnds_Xtal_BW#'!$A:$Z,3,FALSE)</f>
        <v>30</v>
      </c>
      <c r="D92" s="1">
        <f>VLOOKUP($B92&amp;"__wt",'SegEnds_Xtal_BW#'!$A:$Z,4,FALSE)</f>
        <v>60</v>
      </c>
      <c r="E92" s="1">
        <f>VLOOKUP($B92&amp;"__wt",'SegEnds_Xtal_BW#'!$A:$Z,5,FALSE)</f>
        <v>48</v>
      </c>
      <c r="F92" s="1">
        <f>VLOOKUP($B92&amp;"__wt",'SegEnds_Xtal_BW#'!$A:$Z,6,FALSE)</f>
        <v>51</v>
      </c>
      <c r="G92" s="1">
        <v>37</v>
      </c>
      <c r="H92" s="12">
        <f>VLOOKUP($B92&amp;"__wt",'SegEnds_Xtal_BW#'!$A:$Z,8,FALSE)</f>
        <v>67</v>
      </c>
      <c r="I92" s="1">
        <f>VLOOKUP($B92&amp;"__wt",'SegEnds_Xtal_BW#'!$A:$Z,9,FALSE)</f>
        <v>49</v>
      </c>
      <c r="J92" s="1">
        <f>VLOOKUP($B92&amp;"__wt",'SegEnds_Xtal_BW#'!$A:$Z,10,FALSE)</f>
        <v>52</v>
      </c>
      <c r="K92" s="12">
        <v>18</v>
      </c>
      <c r="L92" s="1">
        <f>VLOOKUP($B92&amp;"__wt",'SegEnds_Xtal_BW#'!$A:$Z,12,FALSE)</f>
        <v>56</v>
      </c>
      <c r="M92" s="1">
        <f>VLOOKUP($B92&amp;"__wt",'SegEnds_Xtal_BW#'!$A:$Z,13,FALSE)</f>
        <v>50</v>
      </c>
      <c r="N92" s="12">
        <v>57</v>
      </c>
      <c r="O92" s="87">
        <f>VLOOKUP($B92&amp;"__wt",'SegEnds_Xtal_BW#'!$A:$Z,15,FALSE)</f>
        <v>38</v>
      </c>
      <c r="P92" s="1">
        <f>VLOOKUP($B92&amp;"__wt",'SegEnds_Xtal_BW#'!$A:$Z,16,FALSE)</f>
        <v>64</v>
      </c>
      <c r="Q92" s="1">
        <f>VLOOKUP($B92&amp;"__wt",'SegEnds_Xtal_BW#'!$A:$Z,17,FALSE)</f>
        <v>50</v>
      </c>
      <c r="R92" s="1">
        <f>VLOOKUP($B92&amp;"__wt",'SegEnds_Xtal_BW#'!$A:$Z,18,FALSE)</f>
        <v>52</v>
      </c>
      <c r="S92" s="1">
        <f>VLOOKUP($B92&amp;"__wt",'SegEnds_Xtal_BW#'!$A:$Z,19,FALSE)</f>
        <v>30</v>
      </c>
      <c r="T92" s="1">
        <f t="array" ref="T92">INDEX(ICL3_classA!$G$2:$G$37,MATCH(MIN(ABS(AI92-ICL3_classA!$F$2:$F$37)),ABS(AI92-ICL3_classA!$F$2:$F$37),0))</f>
        <v>72</v>
      </c>
      <c r="U92" s="1">
        <f t="array" ref="U92">INDEX(ICL3_classA!$H$2:$H$37,MATCH(MIN(ABS(AI92-ICL3_classA!$F$2:$F$37)),ABS(AI92-ICL3_classA!$F$2:$F$37),0))</f>
        <v>24</v>
      </c>
      <c r="V92" s="1">
        <v>61</v>
      </c>
      <c r="W92" s="1">
        <v>28</v>
      </c>
      <c r="X92" s="1">
        <f>VLOOKUP($B92&amp;"__wt",'SegEnds_Xtal_BW#'!$A:$Z,24,FALSE)</f>
        <v>56</v>
      </c>
      <c r="Y92" s="1">
        <f>VLOOKUP($B92&amp;"__wt",'SegEnds_Xtal_BW#'!$A:$Z,25,FALSE)</f>
        <v>47</v>
      </c>
      <c r="Z92" s="1">
        <f>VLOOKUP($B92&amp;"__wt",'SegEnds_Xtal_BW#'!$A:$Z,26,FALSE)</f>
        <v>59</v>
      </c>
      <c r="AA92" s="27" t="str">
        <f>VLOOKUP(A92,Classification!A:B,2,FALSE)</f>
        <v>A</v>
      </c>
      <c r="AB92" s="1">
        <f>VLOOKUP(A92,'SegEnds_NonXtal_Prot#'!A:AL,10,FALSE)-VLOOKUP(A92,'SegEnds_NonXtal_Prot#'!A:AL,4,FALSE)</f>
        <v>33</v>
      </c>
      <c r="AC92" s="1">
        <f>VLOOKUP(A92,'SegEnds_NonXtal_Prot#'!A:AL,10,FALSE)-VLOOKUP(A92,'SegEnds_NonXtal_Prot#'!A:AL,7,FALSE)</f>
        <v>19</v>
      </c>
      <c r="AD92" s="1">
        <f>VLOOKUP(A92,'SegEnds_NonXtal_Prot#'!A:AL,13,FALSE)-VLOOKUP(A92,'SegEnds_NonXtal_Prot#'!A:AL,10,FALSE)</f>
        <v>20</v>
      </c>
      <c r="AE92" s="1">
        <f>VLOOKUP(A92,'SegEnds_NonXtal_Prot#'!A:AL,16,FALSE)-VLOOKUP(A92,'SegEnds_NonXtal_Prot#'!A:AL,10,FALSE)</f>
        <v>52</v>
      </c>
      <c r="AF92" s="1">
        <f>VLOOKUP(A92,'SegEnds_NonXtal_Prot#'!A:AL,22,FALSE)-VLOOKUP(A92,'SegEnds_NonXtal_Prot#'!A:AL,19,FALSE)</f>
        <v>20</v>
      </c>
      <c r="AG92" s="1">
        <f>VLOOKUP(A92,'SegEnds_NonXtal_Prot#'!A:AL,28,FALSE)-VLOOKUP(A92,'SegEnds_NonXtal_Prot#'!A:AL,25,FALSE)</f>
        <v>24</v>
      </c>
      <c r="AH92" s="1">
        <f>VLOOKUP(A92,'SegEnds_NonXtal_Prot#'!A:AL,28,FALSE)-VLOOKUP(A92,'SegEnds_NonXtal_Prot#'!A:AL,22,FALSE)</f>
        <v>49</v>
      </c>
      <c r="AI92" s="1">
        <f>VLOOKUP(A92,'SegEnds_NonXtal_Prot#'!A:AL,31,FALSE)-VLOOKUP(A92,'SegEnds_NonXtal_Prot#'!A:AL,28,FALSE)</f>
        <v>54</v>
      </c>
      <c r="AJ92" s="1">
        <f>VLOOKUP(A92,'SegEnds_NonXtal_Prot#'!A:AL,34,FALSE)-VLOOKUP(A92,'SegEnds_NonXtal_Prot#'!A:AL,31,FALSE)</f>
        <v>38</v>
      </c>
      <c r="AK92" s="1">
        <f>VLOOKUP(A92,'SegEnds_NonXtal_Prot#'!A:AL,37,FALSE)-VLOOKUP(A92,'SegEnds_NonXtal_Prot#'!A:AL,34,FALSE)</f>
        <v>10</v>
      </c>
      <c r="AL92" s="1" t="str">
        <f>IF(ISERROR(MATCH(A92,'SegEnds_Xtal_Prot#'!B:B, 0)), "NoXtal", "Xtal")</f>
        <v>NoXtal</v>
      </c>
    </row>
    <row r="93" spans="1:38" x14ac:dyDescent="0.2">
      <c r="A93" s="1" t="s">
        <v>208</v>
      </c>
      <c r="B93" s="1" t="str">
        <f>VLOOKUP(A93,Xtal_Templ!A:B,2,FALSE)</f>
        <v>ox2r_human</v>
      </c>
      <c r="C93" s="5">
        <f>VLOOKUP($B93&amp;"__wt",'SegEnds_Xtal_BW#'!$A:$Z,3,FALSE)</f>
        <v>31</v>
      </c>
      <c r="D93" s="1">
        <f>VLOOKUP($B93&amp;"__wt",'SegEnds_Xtal_BW#'!$A:$Z,4,FALSE)</f>
        <v>60</v>
      </c>
      <c r="E93" s="1">
        <f>VLOOKUP($B93&amp;"__wt",'SegEnds_Xtal_BW#'!$A:$Z,5,FALSE)</f>
        <v>48</v>
      </c>
      <c r="F93" s="1">
        <f>VLOOKUP($B93&amp;"__wt",'SegEnds_Xtal_BW#'!$A:$Z,6,FALSE)</f>
        <v>51</v>
      </c>
      <c r="G93" s="1">
        <v>37</v>
      </c>
      <c r="H93" s="12">
        <f>VLOOKUP($B93&amp;"__wt",'SegEnds_Xtal_BW#'!$A:$Z,8,FALSE)</f>
        <v>68</v>
      </c>
      <c r="I93" s="1">
        <f>VLOOKUP($B93&amp;"__wt",'SegEnds_Xtal_BW#'!$A:$Z,9,FALSE)</f>
        <v>49</v>
      </c>
      <c r="J93" s="1">
        <f>VLOOKUP($B93&amp;"__wt",'SegEnds_Xtal_BW#'!$A:$Z,10,FALSE)</f>
        <v>52</v>
      </c>
      <c r="K93" s="12">
        <v>18</v>
      </c>
      <c r="L93" s="1">
        <f>VLOOKUP($B93&amp;"__wt",'SegEnds_Xtal_BW#'!$A:$Z,12,FALSE)</f>
        <v>56</v>
      </c>
      <c r="M93" s="1">
        <f>VLOOKUP($B93&amp;"__wt",'SegEnds_Xtal_BW#'!$A:$Z,13,FALSE)</f>
        <v>50</v>
      </c>
      <c r="N93" s="12">
        <v>57</v>
      </c>
      <c r="O93" s="87">
        <f>VLOOKUP($B93&amp;"__wt",'SegEnds_Xtal_BW#'!$A:$Z,15,FALSE)</f>
        <v>38</v>
      </c>
      <c r="P93" s="1">
        <f>VLOOKUP($B93&amp;"__wt",'SegEnds_Xtal_BW#'!$A:$Z,16,FALSE)</f>
        <v>64</v>
      </c>
      <c r="Q93" s="1">
        <f>VLOOKUP($B93&amp;"__wt",'SegEnds_Xtal_BW#'!$A:$Z,17,FALSE)</f>
        <v>50</v>
      </c>
      <c r="R93" s="1">
        <f>VLOOKUP($B93&amp;"__wt",'SegEnds_Xtal_BW#'!$A:$Z,18,FALSE)</f>
        <v>52</v>
      </c>
      <c r="S93" s="1">
        <f>VLOOKUP($B93&amp;"__wt",'SegEnds_Xtal_BW#'!$A:$Z,19,FALSE)</f>
        <v>33</v>
      </c>
      <c r="T93" s="1">
        <f t="array" ref="T93">INDEX(ICL3_classA!$G$2:$G$37,MATCH(MIN(ABS(AI93-ICL3_classA!$F$2:$F$37)),ABS(AI93-ICL3_classA!$F$2:$F$37),0))</f>
        <v>76</v>
      </c>
      <c r="U93" s="1">
        <f t="array" ref="U93">INDEX(ICL3_classA!$H$2:$H$37,MATCH(MIN(ABS(AI93-ICL3_classA!$F$2:$F$37)),ABS(AI93-ICL3_classA!$F$2:$F$37),0))</f>
        <v>24</v>
      </c>
      <c r="V93" s="1">
        <v>61</v>
      </c>
      <c r="W93" s="1">
        <v>28</v>
      </c>
      <c r="X93" s="1">
        <f>VLOOKUP($B93&amp;"__wt",'SegEnds_Xtal_BW#'!$A:$Z,24,FALSE)</f>
        <v>56</v>
      </c>
      <c r="Y93" s="1">
        <f>VLOOKUP($B93&amp;"__wt",'SegEnds_Xtal_BW#'!$A:$Z,25,FALSE)</f>
        <v>47</v>
      </c>
      <c r="Z93" s="1">
        <f>VLOOKUP($B93&amp;"__wt",'SegEnds_Xtal_BW#'!$A:$Z,26,FALSE)</f>
        <v>58</v>
      </c>
      <c r="AA93" s="27" t="str">
        <f>VLOOKUP(A93,Classification!A:B,2,FALSE)</f>
        <v>A</v>
      </c>
      <c r="AB93" s="1">
        <f>VLOOKUP(A93,'SegEnds_NonXtal_Prot#'!A:AL,10,FALSE)-VLOOKUP(A93,'SegEnds_NonXtal_Prot#'!A:AL,4,FALSE)</f>
        <v>28</v>
      </c>
      <c r="AC93" s="1">
        <f>VLOOKUP(A93,'SegEnds_NonXtal_Prot#'!A:AL,10,FALSE)-VLOOKUP(A93,'SegEnds_NonXtal_Prot#'!A:AL,7,FALSE)</f>
        <v>15</v>
      </c>
      <c r="AD93" s="1">
        <f>VLOOKUP(A93,'SegEnds_NonXtal_Prot#'!A:AL,13,FALSE)-VLOOKUP(A93,'SegEnds_NonXtal_Prot#'!A:AL,10,FALSE)</f>
        <v>20</v>
      </c>
      <c r="AE93" s="1">
        <f>VLOOKUP(A93,'SegEnds_NonXtal_Prot#'!A:AL,16,FALSE)-VLOOKUP(A93,'SegEnds_NonXtal_Prot#'!A:AL,10,FALSE)</f>
        <v>52</v>
      </c>
      <c r="AF93" s="1">
        <f>VLOOKUP(A93,'SegEnds_NonXtal_Prot#'!A:AL,22,FALSE)-VLOOKUP(A93,'SegEnds_NonXtal_Prot#'!A:AL,19,FALSE)</f>
        <v>20</v>
      </c>
      <c r="AG93" s="1">
        <f>VLOOKUP(A93,'SegEnds_NonXtal_Prot#'!A:AL,28,FALSE)-VLOOKUP(A93,'SegEnds_NonXtal_Prot#'!A:AL,25,FALSE)</f>
        <v>25</v>
      </c>
      <c r="AH93" s="1">
        <f>VLOOKUP(A93,'SegEnds_NonXtal_Prot#'!A:AL,28,FALSE)-VLOOKUP(A93,'SegEnds_NonXtal_Prot#'!A:AL,22,FALSE)</f>
        <v>51</v>
      </c>
      <c r="AI93" s="1">
        <f>VLOOKUP(A93,'SegEnds_NonXtal_Prot#'!A:AL,31,FALSE)-VLOOKUP(A93,'SegEnds_NonXtal_Prot#'!A:AL,28,FALSE)</f>
        <v>118</v>
      </c>
      <c r="AJ93" s="1">
        <f>VLOOKUP(A93,'SegEnds_NonXtal_Prot#'!A:AL,34,FALSE)-VLOOKUP(A93,'SegEnds_NonXtal_Prot#'!A:AL,31,FALSE)</f>
        <v>39</v>
      </c>
      <c r="AK93" s="1">
        <f>VLOOKUP(A93,'SegEnds_NonXtal_Prot#'!A:AL,37,FALSE)-VLOOKUP(A93,'SegEnds_NonXtal_Prot#'!A:AL,34,FALSE)</f>
        <v>10</v>
      </c>
      <c r="AL93" s="1" t="str">
        <f>IF(ISERROR(MATCH(A93,'SegEnds_Xtal_Prot#'!B:B, 0)), "NoXtal", "Xtal")</f>
        <v>NoXtal</v>
      </c>
    </row>
    <row r="94" spans="1:38" x14ac:dyDescent="0.2">
      <c r="A94" s="1" t="s">
        <v>209</v>
      </c>
      <c r="B94" s="1" t="str">
        <f>VLOOKUP(A94,Xtal_Templ!A:B,2,FALSE)</f>
        <v>ntr1_rat</v>
      </c>
      <c r="C94" s="5">
        <f>VLOOKUP($B94&amp;"__wt",'SegEnds_Xtal_BW#'!$A:$Z,3,FALSE)</f>
        <v>29</v>
      </c>
      <c r="D94" s="1">
        <f>VLOOKUP($B94&amp;"__wt",'SegEnds_Xtal_BW#'!$A:$Z,4,FALSE)</f>
        <v>60</v>
      </c>
      <c r="E94" s="1">
        <f>VLOOKUP($B94&amp;"__wt",'SegEnds_Xtal_BW#'!$A:$Z,5,FALSE)</f>
        <v>48</v>
      </c>
      <c r="F94" s="1">
        <f>VLOOKUP($B94&amp;"__wt",'SegEnds_Xtal_BW#'!$A:$Z,6,FALSE)</f>
        <v>51</v>
      </c>
      <c r="G94" s="1">
        <v>37</v>
      </c>
      <c r="H94" s="12">
        <v>67</v>
      </c>
      <c r="I94" s="1">
        <f>VLOOKUP($B94&amp;"__wt",'SegEnds_Xtal_BW#'!$A:$Z,9,FALSE)</f>
        <v>49</v>
      </c>
      <c r="J94" s="1">
        <f>VLOOKUP($B94&amp;"__wt",'SegEnds_Xtal_BW#'!$A:$Z,10,FALSE)</f>
        <v>52</v>
      </c>
      <c r="K94" s="12">
        <v>18</v>
      </c>
      <c r="L94" s="1">
        <f>VLOOKUP($B94&amp;"__wt",'SegEnds_Xtal_BW#'!$A:$Z,12,FALSE)</f>
        <v>56</v>
      </c>
      <c r="M94" s="1">
        <f>VLOOKUP($B94&amp;"__wt",'SegEnds_Xtal_BW#'!$A:$Z,13,FALSE)</f>
        <v>50</v>
      </c>
      <c r="N94" s="12">
        <v>57</v>
      </c>
      <c r="O94" s="87">
        <f>VLOOKUP($B94&amp;"__wt",'SegEnds_Xtal_BW#'!$A:$Z,15,FALSE)</f>
        <v>38</v>
      </c>
      <c r="P94" s="1">
        <f>VLOOKUP($B94&amp;"__wt",'SegEnds_Xtal_BW#'!$A:$Z,16,FALSE)</f>
        <v>64</v>
      </c>
      <c r="Q94" s="1">
        <f>VLOOKUP($B94&amp;"__wt",'SegEnds_Xtal_BW#'!$A:$Z,17,FALSE)</f>
        <v>50</v>
      </c>
      <c r="R94" s="1">
        <f>VLOOKUP($B94&amp;"__wt",'SegEnds_Xtal_BW#'!$A:$Z,18,FALSE)</f>
        <v>52</v>
      </c>
      <c r="S94" s="1">
        <f>VLOOKUP($B94&amp;"__wt",'SegEnds_Xtal_BW#'!$A:$Z,19,FALSE)</f>
        <v>32</v>
      </c>
      <c r="T94" s="1">
        <f t="array" ref="T94">INDEX(ICL3_classA!$G$2:$G$37,MATCH(MIN(ABS(AI94-ICL3_classA!$F$2:$F$37)),ABS(AI94-ICL3_classA!$F$2:$F$37),0))</f>
        <v>72</v>
      </c>
      <c r="U94" s="1">
        <f t="array" ref="U94">INDEX(ICL3_classA!$H$2:$H$37,MATCH(MIN(ABS(AI94-ICL3_classA!$F$2:$F$37)),ABS(AI94-ICL3_classA!$F$2:$F$37),0))</f>
        <v>24</v>
      </c>
      <c r="V94" s="1">
        <v>61</v>
      </c>
      <c r="W94" s="1">
        <v>28</v>
      </c>
      <c r="X94" s="1">
        <f>VLOOKUP($B94&amp;"__wt",'SegEnds_Xtal_BW#'!$A:$Z,24,FALSE)</f>
        <v>56</v>
      </c>
      <c r="Y94" s="1">
        <f>VLOOKUP($B94&amp;"__wt",'SegEnds_Xtal_BW#'!$A:$Z,25,FALSE)</f>
        <v>47</v>
      </c>
      <c r="Z94" s="1">
        <f>VLOOKUP($B94&amp;"__wt",'SegEnds_Xtal_BW#'!$A:$Z,26,FALSE)</f>
        <v>58</v>
      </c>
      <c r="AA94" s="27" t="str">
        <f>VLOOKUP(A94,Classification!A:B,2,FALSE)</f>
        <v>A</v>
      </c>
      <c r="AB94" s="1">
        <f>VLOOKUP(A94,'SegEnds_NonXtal_Prot#'!A:AL,10,FALSE)-VLOOKUP(A94,'SegEnds_NonXtal_Prot#'!A:AL,4,FALSE)</f>
        <v>28</v>
      </c>
      <c r="AC94" s="1">
        <f>VLOOKUP(A94,'SegEnds_NonXtal_Prot#'!A:AL,10,FALSE)-VLOOKUP(A94,'SegEnds_NonXtal_Prot#'!A:AL,7,FALSE)</f>
        <v>15</v>
      </c>
      <c r="AD94" s="1">
        <f>VLOOKUP(A94,'SegEnds_NonXtal_Prot#'!A:AL,13,FALSE)-VLOOKUP(A94,'SegEnds_NonXtal_Prot#'!A:AL,10,FALSE)</f>
        <v>20</v>
      </c>
      <c r="AE94" s="1">
        <f>VLOOKUP(A94,'SegEnds_NonXtal_Prot#'!A:AL,16,FALSE)-VLOOKUP(A94,'SegEnds_NonXtal_Prot#'!A:AL,10,FALSE)</f>
        <v>52</v>
      </c>
      <c r="AF94" s="1">
        <f>VLOOKUP(A94,'SegEnds_NonXtal_Prot#'!A:AL,22,FALSE)-VLOOKUP(A94,'SegEnds_NonXtal_Prot#'!A:AL,19,FALSE)</f>
        <v>20</v>
      </c>
      <c r="AG94" s="1">
        <f>VLOOKUP(A94,'SegEnds_NonXtal_Prot#'!A:AL,28,FALSE)-VLOOKUP(A94,'SegEnds_NonXtal_Prot#'!A:AL,25,FALSE)</f>
        <v>26</v>
      </c>
      <c r="AH94" s="1">
        <f>VLOOKUP(A94,'SegEnds_NonXtal_Prot#'!A:AL,28,FALSE)-VLOOKUP(A94,'SegEnds_NonXtal_Prot#'!A:AL,22,FALSE)</f>
        <v>56</v>
      </c>
      <c r="AI94" s="1">
        <f>VLOOKUP(A94,'SegEnds_NonXtal_Prot#'!A:AL,31,FALSE)-VLOOKUP(A94,'SegEnds_NonXtal_Prot#'!A:AL,28,FALSE)</f>
        <v>54</v>
      </c>
      <c r="AJ94" s="1">
        <f>VLOOKUP(A94,'SegEnds_NonXtal_Prot#'!A:AL,34,FALSE)-VLOOKUP(A94,'SegEnds_NonXtal_Prot#'!A:AL,31,FALSE)</f>
        <v>42</v>
      </c>
      <c r="AK94" s="1">
        <f>VLOOKUP(A94,'SegEnds_NonXtal_Prot#'!A:AL,37,FALSE)-VLOOKUP(A94,'SegEnds_NonXtal_Prot#'!A:AL,34,FALSE)</f>
        <v>10</v>
      </c>
      <c r="AL94" s="1" t="str">
        <f>IF(ISERROR(MATCH(A94,'SegEnds_Xtal_Prot#'!B:B, 0)), "NoXtal", "Xtal")</f>
        <v>NoXtal</v>
      </c>
    </row>
    <row r="95" spans="1:38" x14ac:dyDescent="0.2">
      <c r="A95" s="1" t="s">
        <v>212</v>
      </c>
      <c r="B95" s="1" t="str">
        <f>VLOOKUP(A95,Xtal_Templ!A:B,2,FALSE)</f>
        <v>5ht2c_human</v>
      </c>
      <c r="C95" s="5">
        <f>VLOOKUP($B95&amp;"__wt",'SegEnds_Xtal_BW#'!$A:$Z,3,FALSE)</f>
        <v>33</v>
      </c>
      <c r="D95" s="1">
        <f>VLOOKUP($B95&amp;"__wt",'SegEnds_Xtal_BW#'!$A:$Z,4,FALSE)</f>
        <v>60</v>
      </c>
      <c r="E95" s="1">
        <f>VLOOKUP($B95&amp;"__wt",'SegEnds_Xtal_BW#'!$A:$Z,5,FALSE)</f>
        <v>48</v>
      </c>
      <c r="F95" s="1">
        <f>VLOOKUP($B95&amp;"__wt",'SegEnds_Xtal_BW#'!$A:$Z,6,FALSE)</f>
        <v>51</v>
      </c>
      <c r="G95" s="1">
        <v>37</v>
      </c>
      <c r="H95" s="12">
        <f>VLOOKUP($B95&amp;"__wt",'SegEnds_Xtal_BW#'!$A:$Z,8,FALSE)</f>
        <v>68</v>
      </c>
      <c r="I95" s="1">
        <f>VLOOKUP($B95&amp;"__wt",'SegEnds_Xtal_BW#'!$A:$Z,9,FALSE)</f>
        <v>49</v>
      </c>
      <c r="J95" s="1">
        <f>VLOOKUP($B95&amp;"__wt",'SegEnds_Xtal_BW#'!$A:$Z,10,FALSE)</f>
        <v>52</v>
      </c>
      <c r="K95" s="12">
        <v>18</v>
      </c>
      <c r="L95" s="1">
        <f>VLOOKUP($B95&amp;"__wt",'SegEnds_Xtal_BW#'!$A:$Z,12,FALSE)</f>
        <v>56</v>
      </c>
      <c r="M95" s="1">
        <f>VLOOKUP($B95&amp;"__wt",'SegEnds_Xtal_BW#'!$A:$Z,13,FALSE)</f>
        <v>50</v>
      </c>
      <c r="N95" s="12">
        <v>57</v>
      </c>
      <c r="O95" s="87">
        <v>38</v>
      </c>
      <c r="P95" s="1">
        <f>VLOOKUP($B95&amp;"__wt",'SegEnds_Xtal_BW#'!$A:$Z,16,FALSE)</f>
        <v>67</v>
      </c>
      <c r="Q95" s="1">
        <f>VLOOKUP($B95&amp;"__wt",'SegEnds_Xtal_BW#'!$A:$Z,17,FALSE)</f>
        <v>50</v>
      </c>
      <c r="R95" s="1">
        <f>VLOOKUP($B95&amp;"__wt",'SegEnds_Xtal_BW#'!$A:$Z,18,FALSE)</f>
        <v>52</v>
      </c>
      <c r="S95" s="1">
        <v>35</v>
      </c>
      <c r="T95" s="1">
        <f t="array" ref="T95">INDEX(ICL3_classA!$G$2:$G$37,MATCH(MIN(ABS(AI95-ICL3_classA!$F$2:$F$37)),ABS(AI95-ICL3_classA!$F$2:$F$37),0))</f>
        <v>75</v>
      </c>
      <c r="U95" s="1">
        <f t="array" ref="U95">INDEX(ICL3_classA!$H$2:$H$37,MATCH(MIN(ABS(AI95-ICL3_classA!$F$2:$F$37)),ABS(AI95-ICL3_classA!$F$2:$F$37),0))</f>
        <v>24</v>
      </c>
      <c r="V95" s="1">
        <v>61</v>
      </c>
      <c r="W95" s="1">
        <v>31</v>
      </c>
      <c r="X95" s="1">
        <f>VLOOKUP($B95&amp;"__wt",'SegEnds_Xtal_BW#'!$A:$Z,24,FALSE)</f>
        <v>56</v>
      </c>
      <c r="Y95" s="1">
        <f>VLOOKUP($B95&amp;"__wt",'SegEnds_Xtal_BW#'!$A:$Z,25,FALSE)</f>
        <v>47</v>
      </c>
      <c r="Z95" s="1">
        <f>VLOOKUP($B95&amp;"__wt",'SegEnds_Xtal_BW#'!$A:$Z,26,FALSE)</f>
        <v>60</v>
      </c>
      <c r="AA95" s="27" t="str">
        <f>VLOOKUP(A95,Classification!A:B,2,FALSE)</f>
        <v>A</v>
      </c>
      <c r="AB95" s="1">
        <f>VLOOKUP(A95,'SegEnds_NonXtal_Prot#'!A:AL,10,FALSE)-VLOOKUP(A95,'SegEnds_NonXtal_Prot#'!A:AL,4,FALSE)</f>
        <v>28</v>
      </c>
      <c r="AC95" s="1">
        <f>VLOOKUP(A95,'SegEnds_NonXtal_Prot#'!A:AL,10,FALSE)-VLOOKUP(A95,'SegEnds_NonXtal_Prot#'!A:AL,7,FALSE)</f>
        <v>15</v>
      </c>
      <c r="AD95" s="1">
        <f>VLOOKUP(A95,'SegEnds_NonXtal_Prot#'!A:AL,13,FALSE)-VLOOKUP(A95,'SegEnds_NonXtal_Prot#'!A:AL,10,FALSE)</f>
        <v>20</v>
      </c>
      <c r="AE95" s="1">
        <f>VLOOKUP(A95,'SegEnds_NonXtal_Prot#'!A:AL,16,FALSE)-VLOOKUP(A95,'SegEnds_NonXtal_Prot#'!A:AL,10,FALSE)</f>
        <v>52</v>
      </c>
      <c r="AF95" s="1">
        <f>VLOOKUP(A95,'SegEnds_NonXtal_Prot#'!A:AL,22,FALSE)-VLOOKUP(A95,'SegEnds_NonXtal_Prot#'!A:AL,19,FALSE)</f>
        <v>20</v>
      </c>
      <c r="AG95" s="1">
        <f>VLOOKUP(A95,'SegEnds_NonXtal_Prot#'!A:AL,28,FALSE)-VLOOKUP(A95,'SegEnds_NonXtal_Prot#'!A:AL,25,FALSE)</f>
        <v>22</v>
      </c>
      <c r="AH95" s="1">
        <f>VLOOKUP(A95,'SegEnds_NonXtal_Prot#'!A:AL,28,FALSE)-VLOOKUP(A95,'SegEnds_NonXtal_Prot#'!A:AL,22,FALSE)</f>
        <v>48</v>
      </c>
      <c r="AI95" s="1">
        <f>VLOOKUP(A95,'SegEnds_NonXtal_Prot#'!A:AL,31,FALSE)-VLOOKUP(A95,'SegEnds_NonXtal_Prot#'!A:AL,28,FALSE)</f>
        <v>210</v>
      </c>
      <c r="AJ95" s="1">
        <f>VLOOKUP(A95,'SegEnds_NonXtal_Prot#'!A:AL,34,FALSE)-VLOOKUP(A95,'SegEnds_NonXtal_Prot#'!A:AL,31,FALSE)</f>
        <v>37</v>
      </c>
      <c r="AK95" s="1">
        <f>VLOOKUP(A95,'SegEnds_NonXtal_Prot#'!A:AL,37,FALSE)-VLOOKUP(A95,'SegEnds_NonXtal_Prot#'!A:AL,34,FALSE)</f>
        <v>10</v>
      </c>
      <c r="AL95" s="1" t="str">
        <f>IF(ISERROR(MATCH(A95,'SegEnds_Xtal_Prot#'!B:B, 0)), "NoXtal", "Xtal")</f>
        <v>NoXtal</v>
      </c>
    </row>
    <row r="96" spans="1:38" x14ac:dyDescent="0.2">
      <c r="A96" s="1" t="s">
        <v>213</v>
      </c>
      <c r="B96" s="1" t="str">
        <f>VLOOKUP(A96,Xtal_Templ!A:B,2,FALSE)</f>
        <v>aa1r_human</v>
      </c>
      <c r="C96" s="5">
        <f>VLOOKUP($B96&amp;"__wt",'SegEnds_Xtal_BW#'!$A:$Z,3,FALSE)</f>
        <v>29</v>
      </c>
      <c r="D96" s="1">
        <f>VLOOKUP($B96&amp;"__wt",'SegEnds_Xtal_BW#'!$A:$Z,4,FALSE)</f>
        <v>60</v>
      </c>
      <c r="E96" s="1">
        <f>VLOOKUP($B96&amp;"__wt",'SegEnds_Xtal_BW#'!$A:$Z,5,FALSE)</f>
        <v>48</v>
      </c>
      <c r="F96" s="1">
        <f>VLOOKUP($B96&amp;"__wt",'SegEnds_Xtal_BW#'!$A:$Z,6,FALSE)</f>
        <v>51</v>
      </c>
      <c r="G96" s="1">
        <v>37</v>
      </c>
      <c r="H96" s="108">
        <v>66</v>
      </c>
      <c r="I96" s="1">
        <f>VLOOKUP($B96&amp;"__wt",'SegEnds_Xtal_BW#'!$A:$Z,9,FALSE)</f>
        <v>50</v>
      </c>
      <c r="J96" s="1">
        <f>VLOOKUP($B96&amp;"__wt",'SegEnds_Xtal_BW#'!$A:$Z,10,FALSE)</f>
        <v>52</v>
      </c>
      <c r="K96" s="12">
        <v>18</v>
      </c>
      <c r="L96" s="1">
        <f>VLOOKUP($B96&amp;"__wt",'SegEnds_Xtal_BW#'!$A:$Z,12,FALSE)</f>
        <v>56</v>
      </c>
      <c r="M96" s="1">
        <f>VLOOKUP($B96&amp;"__wt",'SegEnds_Xtal_BW#'!$A:$Z,13,FALSE)</f>
        <v>50</v>
      </c>
      <c r="N96" s="12">
        <v>57</v>
      </c>
      <c r="O96" s="87">
        <v>38</v>
      </c>
      <c r="P96" s="1">
        <f>VLOOKUP($B96&amp;"__wt",'SegEnds_Xtal_BW#'!$A:$Z,16,FALSE)</f>
        <v>63</v>
      </c>
      <c r="Q96" s="1">
        <f>VLOOKUP($B96&amp;"__wt",'SegEnds_Xtal_BW#'!$A:$Z,17,FALSE)</f>
        <v>50</v>
      </c>
      <c r="R96" s="1">
        <f>VLOOKUP($B96&amp;"__wt",'SegEnds_Xtal_BW#'!$A:$Z,18,FALSE)</f>
        <v>52</v>
      </c>
      <c r="S96" s="1">
        <v>35</v>
      </c>
      <c r="T96" s="1">
        <f t="array" ref="T96">INDEX(ICL3_classA!$G$2:$G$37,MATCH(MIN(ABS(AI96-ICL3_classA!$F$2:$F$37)),ABS(AI96-ICL3_classA!$F$2:$F$37),0))</f>
        <v>74</v>
      </c>
      <c r="U96" s="1">
        <f t="array" ref="U96">INDEX(ICL3_classA!$H$2:$H$37,MATCH(MIN(ABS(AI96-ICL3_classA!$F$2:$F$37)),ABS(AI96-ICL3_classA!$F$2:$F$37),0))</f>
        <v>21</v>
      </c>
      <c r="V96" s="1">
        <v>61</v>
      </c>
      <c r="W96" s="1">
        <v>31</v>
      </c>
      <c r="X96" s="1">
        <f>VLOOKUP($B96&amp;"__wt",'SegEnds_Xtal_BW#'!$A:$Z,24,FALSE)</f>
        <v>56</v>
      </c>
      <c r="Y96" s="1">
        <f>VLOOKUP($B96&amp;"__wt",'SegEnds_Xtal_BW#'!$A:$Z,25,FALSE)</f>
        <v>47</v>
      </c>
      <c r="Z96" s="1">
        <f>VLOOKUP($B96&amp;"__wt",'SegEnds_Xtal_BW#'!$A:$Z,26,FALSE)</f>
        <v>69</v>
      </c>
      <c r="AA96" s="27" t="str">
        <f>VLOOKUP(A96,Classification!A:B,2,FALSE)</f>
        <v>A</v>
      </c>
      <c r="AB96" s="1">
        <f>VLOOKUP(A96,'SegEnds_NonXtal_Prot#'!A:AL,10,FALSE)-VLOOKUP(A96,'SegEnds_NonXtal_Prot#'!A:AL,4,FALSE)</f>
        <v>29</v>
      </c>
      <c r="AC96" s="1" t="e">
        <f>VLOOKUP(A96,'SegEnds_NonXtal_Prot#'!A:AL,10,FALSE)-VLOOKUP(A96,'SegEnds_NonXtal_Prot#'!A:AL,7,FALSE)</f>
        <v>#VALUE!</v>
      </c>
      <c r="AD96" s="1" t="e">
        <f>VLOOKUP(A96,'SegEnds_NonXtal_Prot#'!A:AL,13,FALSE)-VLOOKUP(A96,'SegEnds_NonXtal_Prot#'!A:AL,10,FALSE)</f>
        <v>#VALUE!</v>
      </c>
      <c r="AE96" s="1">
        <f>VLOOKUP(A96,'SegEnds_NonXtal_Prot#'!A:AL,16,FALSE)-VLOOKUP(A96,'SegEnds_NonXtal_Prot#'!A:AL,10,FALSE)</f>
        <v>52</v>
      </c>
      <c r="AF96" s="1">
        <f>VLOOKUP(A96,'SegEnds_NonXtal_Prot#'!A:AL,22,FALSE)-VLOOKUP(A96,'SegEnds_NonXtal_Prot#'!A:AL,19,FALSE)</f>
        <v>20</v>
      </c>
      <c r="AG96" s="1">
        <f>VLOOKUP(A96,'SegEnds_NonXtal_Prot#'!A:AL,28,FALSE)-VLOOKUP(A96,'SegEnds_NonXtal_Prot#'!A:AL,25,FALSE)</f>
        <v>21</v>
      </c>
      <c r="AH96" s="1">
        <f>VLOOKUP(A96,'SegEnds_NonXtal_Prot#'!A:AL,28,FALSE)-VLOOKUP(A96,'SegEnds_NonXtal_Prot#'!A:AL,22,FALSE)</f>
        <v>46</v>
      </c>
      <c r="AI96" s="1">
        <f>VLOOKUP(A96,'SegEnds_NonXtal_Prot#'!A:AL,31,FALSE)-VLOOKUP(A96,'SegEnds_NonXtal_Prot#'!A:AL,28,FALSE)</f>
        <v>64</v>
      </c>
      <c r="AJ96" s="1">
        <f>VLOOKUP(A96,'SegEnds_NonXtal_Prot#'!A:AL,34,FALSE)-VLOOKUP(A96,'SegEnds_NonXtal_Prot#'!A:AL,31,FALSE)</f>
        <v>36</v>
      </c>
      <c r="AK96" s="1">
        <f>VLOOKUP(A96,'SegEnds_NonXtal_Prot#'!A:AL,37,FALSE)-VLOOKUP(A96,'SegEnds_NonXtal_Prot#'!A:AL,34,FALSE)</f>
        <v>10</v>
      </c>
      <c r="AL96" s="1" t="str">
        <f>IF(ISERROR(MATCH(A96,'SegEnds_Xtal_Prot#'!B:B, 0)), "NoXtal", "Xtal")</f>
        <v>NoXtal</v>
      </c>
    </row>
    <row r="97" spans="1:38" x14ac:dyDescent="0.2">
      <c r="A97" s="1" t="s">
        <v>214</v>
      </c>
      <c r="B97" s="1" t="str">
        <f>VLOOKUP(A97,Xtal_Templ!A:B,2,FALSE)</f>
        <v>p2ry1_human</v>
      </c>
      <c r="C97" s="5">
        <f>VLOOKUP($B97&amp;"__wt",'SegEnds_Xtal_BW#'!$A:$Z,3,FALSE)</f>
        <v>30</v>
      </c>
      <c r="D97" s="1">
        <f>VLOOKUP($B97&amp;"__wt",'SegEnds_Xtal_BW#'!$A:$Z,4,FALSE)</f>
        <v>60</v>
      </c>
      <c r="E97" s="1" t="str">
        <f>VLOOKUP($B97&amp;"__wt",'SegEnds_Xtal_BW#'!$A:$Z,5,FALSE)</f>
        <v>-</v>
      </c>
      <c r="F97" s="1" t="str">
        <f>VLOOKUP($B97&amp;"__wt",'SegEnds_Xtal_BW#'!$A:$Z,6,FALSE)</f>
        <v>-</v>
      </c>
      <c r="G97" s="1">
        <v>37</v>
      </c>
      <c r="H97" s="12">
        <f>VLOOKUP($B97&amp;"__wt",'SegEnds_Xtal_BW#'!$A:$Z,8,FALSE)</f>
        <v>66</v>
      </c>
      <c r="I97" s="1">
        <f>VLOOKUP($B97&amp;"__wt",'SegEnds_Xtal_BW#'!$A:$Z,9,FALSE)</f>
        <v>49</v>
      </c>
      <c r="J97" s="1">
        <f>VLOOKUP($B97&amp;"__wt",'SegEnds_Xtal_BW#'!$A:$Z,10,FALSE)</f>
        <v>52</v>
      </c>
      <c r="K97" s="12">
        <v>18</v>
      </c>
      <c r="L97" s="1">
        <f>VLOOKUP($B97&amp;"__wt",'SegEnds_Xtal_BW#'!$A:$Z,12,FALSE)</f>
        <v>56</v>
      </c>
      <c r="M97" s="1">
        <f>VLOOKUP($B97&amp;"__wt",'SegEnds_Xtal_BW#'!$A:$Z,13,FALSE)</f>
        <v>50</v>
      </c>
      <c r="N97" s="12">
        <f>VLOOKUP($B97&amp;"__wt",'SegEnds_Xtal_BW#'!$A:$Z,14,FALSE)</f>
        <v>57</v>
      </c>
      <c r="O97" s="87">
        <f>VLOOKUP($B97&amp;"__wt",'SegEnds_Xtal_BW#'!$A:$Z,15,FALSE)</f>
        <v>38</v>
      </c>
      <c r="P97" s="1">
        <f>VLOOKUP($B97&amp;"__wt",'SegEnds_Xtal_BW#'!$A:$Z,16,FALSE)</f>
        <v>64</v>
      </c>
      <c r="Q97" s="1">
        <f>VLOOKUP($B97&amp;"__wt",'SegEnds_Xtal_BW#'!$A:$Z,17,FALSE)</f>
        <v>50</v>
      </c>
      <c r="R97" s="1">
        <f>VLOOKUP($B97&amp;"__wt",'SegEnds_Xtal_BW#'!$A:$Z,18,FALSE)</f>
        <v>52</v>
      </c>
      <c r="S97" s="1">
        <f>VLOOKUP($B97&amp;"__wt",'SegEnds_Xtal_BW#'!$A:$Z,19,FALSE)</f>
        <v>32</v>
      </c>
      <c r="T97" s="1">
        <f t="array" ref="T97">INDEX(ICL3_classA!$G$2:$G$37,MATCH(MIN(ABS(AI97-ICL3_classA!$F$2:$F$37)),ABS(AI97-ICL3_classA!$F$2:$F$37),0))</f>
        <v>67</v>
      </c>
      <c r="U97" s="1">
        <f t="array" ref="U97">INDEX(ICL3_classA!$H$2:$H$37,MATCH(MIN(ABS(AI97-ICL3_classA!$F$2:$F$37)),ABS(AI97-ICL3_classA!$F$2:$F$37),0))</f>
        <v>26</v>
      </c>
      <c r="V97" s="1">
        <v>64</v>
      </c>
      <c r="W97" s="1">
        <v>24</v>
      </c>
      <c r="X97" s="1">
        <f>VLOOKUP($B97&amp;"__wt",'SegEnds_Xtal_BW#'!$A:$Z,24,FALSE)</f>
        <v>56</v>
      </c>
      <c r="Y97" s="1">
        <f>VLOOKUP($B97&amp;"__wt",'SegEnds_Xtal_BW#'!$A:$Z,25,FALSE)</f>
        <v>47</v>
      </c>
      <c r="Z97" s="1">
        <f>VLOOKUP($B97&amp;"__wt",'SegEnds_Xtal_BW#'!$A:$Z,26,FALSE)</f>
        <v>59</v>
      </c>
      <c r="AA97" s="27" t="str">
        <f>VLOOKUP(A97,Classification!A:B,2,FALSE)</f>
        <v>A</v>
      </c>
      <c r="AB97" s="1">
        <f>VLOOKUP(A97,'SegEnds_NonXtal_Prot#'!A:AL,10,FALSE)-VLOOKUP(A97,'SegEnds_NonXtal_Prot#'!A:AL,4,FALSE)</f>
        <v>28</v>
      </c>
      <c r="AC97" s="1" t="e">
        <f>VLOOKUP(A97,'SegEnds_NonXtal_Prot#'!A:AL,10,FALSE)-VLOOKUP(A97,'SegEnds_NonXtal_Prot#'!A:AL,7,FALSE)</f>
        <v>#VALUE!</v>
      </c>
      <c r="AD97" s="1">
        <f>VLOOKUP(A97,'SegEnds_NonXtal_Prot#'!A:AL,13,FALSE)-VLOOKUP(A97,'SegEnds_NonXtal_Prot#'!A:AL,10,FALSE)</f>
        <v>20</v>
      </c>
      <c r="AE97" s="1">
        <f>VLOOKUP(A97,'SegEnds_NonXtal_Prot#'!A:AL,16,FALSE)-VLOOKUP(A97,'SegEnds_NonXtal_Prot#'!A:AL,10,FALSE)</f>
        <v>52</v>
      </c>
      <c r="AF97" s="1" t="e">
        <f>VLOOKUP(A97,'SegEnds_NonXtal_Prot#'!A:AL,22,FALSE)-VLOOKUP(A97,'SegEnds_NonXtal_Prot#'!A:AL,19,FALSE)</f>
        <v>#VALUE!</v>
      </c>
      <c r="AG97" s="1">
        <f>VLOOKUP(A97,'SegEnds_NonXtal_Prot#'!A:AL,28,FALSE)-VLOOKUP(A97,'SegEnds_NonXtal_Prot#'!A:AL,25,FALSE)</f>
        <v>25</v>
      </c>
      <c r="AH97" s="1">
        <f>VLOOKUP(A97,'SegEnds_NonXtal_Prot#'!A:AL,28,FALSE)-VLOOKUP(A97,'SegEnds_NonXtal_Prot#'!A:AL,22,FALSE)</f>
        <v>44</v>
      </c>
      <c r="AI97" s="1">
        <f>VLOOKUP(A97,'SegEnds_NonXtal_Prot#'!A:AL,31,FALSE)-VLOOKUP(A97,'SegEnds_NonXtal_Prot#'!A:AL,28,FALSE)</f>
        <v>46</v>
      </c>
      <c r="AJ97" s="1">
        <f>VLOOKUP(A97,'SegEnds_NonXtal_Prot#'!A:AL,34,FALSE)-VLOOKUP(A97,'SegEnds_NonXtal_Prot#'!A:AL,31,FALSE)</f>
        <v>48</v>
      </c>
      <c r="AK97" s="1">
        <f>VLOOKUP(A97,'SegEnds_NonXtal_Prot#'!A:AL,37,FALSE)-VLOOKUP(A97,'SegEnds_NonXtal_Prot#'!A:AL,34,FALSE)</f>
        <v>10</v>
      </c>
      <c r="AL97" s="1" t="str">
        <f>IF(ISERROR(MATCH(A97,'SegEnds_Xtal_Prot#'!B:B, 0)), "NoXtal", "Xtal")</f>
        <v>NoXtal</v>
      </c>
    </row>
    <row r="98" spans="1:38" x14ac:dyDescent="0.2">
      <c r="A98" s="1" t="s">
        <v>215</v>
      </c>
      <c r="B98" s="1" t="str">
        <f>VLOOKUP(A98,Xtal_Templ!A:B,2,FALSE)</f>
        <v>ox1r_human</v>
      </c>
      <c r="C98" s="5">
        <f>VLOOKUP($B98&amp;"__wt",'SegEnds_Xtal_BW#'!$A:$Z,3,FALSE)</f>
        <v>32</v>
      </c>
      <c r="D98" s="1">
        <f>VLOOKUP($B98&amp;"__wt",'SegEnds_Xtal_BW#'!$A:$Z,4,FALSE)</f>
        <v>60</v>
      </c>
      <c r="E98" s="1">
        <f>VLOOKUP($B98&amp;"__wt",'SegEnds_Xtal_BW#'!$A:$Z,5,FALSE)</f>
        <v>48</v>
      </c>
      <c r="F98" s="1">
        <f>VLOOKUP($B98&amp;"__wt",'SegEnds_Xtal_BW#'!$A:$Z,6,FALSE)</f>
        <v>51</v>
      </c>
      <c r="G98" s="1">
        <v>37</v>
      </c>
      <c r="H98" s="12">
        <f>VLOOKUP($B98&amp;"__wt",'SegEnds_Xtal_BW#'!$A:$Z,8,FALSE)</f>
        <v>67</v>
      </c>
      <c r="I98" s="1">
        <f>VLOOKUP($B98&amp;"__wt",'SegEnds_Xtal_BW#'!$A:$Z,9,FALSE)</f>
        <v>49</v>
      </c>
      <c r="J98" s="1">
        <f>VLOOKUP($B98&amp;"__wt",'SegEnds_Xtal_BW#'!$A:$Z,10,FALSE)</f>
        <v>52</v>
      </c>
      <c r="K98" s="12">
        <v>18</v>
      </c>
      <c r="L98" s="1">
        <f>VLOOKUP($B98&amp;"__wt",'SegEnds_Xtal_BW#'!$A:$Z,12,FALSE)</f>
        <v>56</v>
      </c>
      <c r="M98" s="1">
        <f>VLOOKUP($B98&amp;"__wt",'SegEnds_Xtal_BW#'!$A:$Z,13,FALSE)</f>
        <v>50</v>
      </c>
      <c r="N98" s="12">
        <v>56</v>
      </c>
      <c r="O98" s="87">
        <f>VLOOKUP($B98&amp;"__wt",'SegEnds_Xtal_BW#'!$A:$Z,15,FALSE)</f>
        <v>38</v>
      </c>
      <c r="P98" s="1">
        <f>VLOOKUP($B98&amp;"__wt",'SegEnds_Xtal_BW#'!$A:$Z,16,FALSE)</f>
        <v>64</v>
      </c>
      <c r="Q98" s="1">
        <f>VLOOKUP($B98&amp;"__wt",'SegEnds_Xtal_BW#'!$A:$Z,17,FALSE)</f>
        <v>50</v>
      </c>
      <c r="R98" s="1">
        <f>VLOOKUP($B98&amp;"__wt",'SegEnds_Xtal_BW#'!$A:$Z,18,FALSE)</f>
        <v>52</v>
      </c>
      <c r="S98" s="1">
        <f>VLOOKUP($B98&amp;"__wt",'SegEnds_Xtal_BW#'!$A:$Z,19,FALSE)</f>
        <v>32</v>
      </c>
      <c r="T98" s="1">
        <f t="array" ref="T98">INDEX(ICL3_classA!$G$2:$G$37,MATCH(MIN(ABS(AI98-ICL3_classA!$F$2:$F$37)),ABS(AI98-ICL3_classA!$F$2:$F$37),0))</f>
        <v>73</v>
      </c>
      <c r="U98" s="1">
        <f t="array" ref="U98">INDEX(ICL3_classA!$H$2:$H$37,MATCH(MIN(ABS(AI98-ICL3_classA!$F$2:$F$37)),ABS(AI98-ICL3_classA!$F$2:$F$37),0))</f>
        <v>22</v>
      </c>
      <c r="V98" s="1">
        <v>61</v>
      </c>
      <c r="W98" s="1">
        <v>28</v>
      </c>
      <c r="X98" s="1">
        <f>VLOOKUP($B98&amp;"__wt",'SegEnds_Xtal_BW#'!$A:$Z,24,FALSE)</f>
        <v>56</v>
      </c>
      <c r="Y98" s="1">
        <f>VLOOKUP($B98&amp;"__wt",'SegEnds_Xtal_BW#'!$A:$Z,25,FALSE)</f>
        <v>47</v>
      </c>
      <c r="Z98" s="1">
        <f>VLOOKUP($B98&amp;"__wt",'SegEnds_Xtal_BW#'!$A:$Z,26,FALSE)</f>
        <v>58</v>
      </c>
      <c r="AA98" s="27" t="str">
        <f>VLOOKUP(A98,Classification!A:B,2,FALSE)</f>
        <v>A</v>
      </c>
      <c r="AB98" s="1">
        <f>VLOOKUP(A98,'SegEnds_NonXtal_Prot#'!A:AL,10,FALSE)-VLOOKUP(A98,'SegEnds_NonXtal_Prot#'!A:AL,4,FALSE)</f>
        <v>28</v>
      </c>
      <c r="AC98" s="1">
        <f>VLOOKUP(A98,'SegEnds_NonXtal_Prot#'!A:AL,10,FALSE)-VLOOKUP(A98,'SegEnds_NonXtal_Prot#'!A:AL,7,FALSE)</f>
        <v>15</v>
      </c>
      <c r="AD98" s="1" t="e">
        <f>VLOOKUP(A98,'SegEnds_NonXtal_Prot#'!A:AL,13,FALSE)-VLOOKUP(A98,'SegEnds_NonXtal_Prot#'!A:AL,10,FALSE)</f>
        <v>#VALUE!</v>
      </c>
      <c r="AE98" s="1">
        <f>VLOOKUP(A98,'SegEnds_NonXtal_Prot#'!A:AL,16,FALSE)-VLOOKUP(A98,'SegEnds_NonXtal_Prot#'!A:AL,10,FALSE)</f>
        <v>60</v>
      </c>
      <c r="AF98" s="1" t="e">
        <f>VLOOKUP(A98,'SegEnds_NonXtal_Prot#'!A:AL,22,FALSE)-VLOOKUP(A98,'SegEnds_NonXtal_Prot#'!A:AL,19,FALSE)</f>
        <v>#VALUE!</v>
      </c>
      <c r="AG98" s="1">
        <f>VLOOKUP(A98,'SegEnds_NonXtal_Prot#'!A:AL,28,FALSE)-VLOOKUP(A98,'SegEnds_NonXtal_Prot#'!A:AL,25,FALSE)</f>
        <v>27</v>
      </c>
      <c r="AH98" s="1">
        <f>VLOOKUP(A98,'SegEnds_NonXtal_Prot#'!A:AL,28,FALSE)-VLOOKUP(A98,'SegEnds_NonXtal_Prot#'!A:AL,22,FALSE)</f>
        <v>55</v>
      </c>
      <c r="AI98" s="1">
        <f>VLOOKUP(A98,'SegEnds_NonXtal_Prot#'!A:AL,31,FALSE)-VLOOKUP(A98,'SegEnds_NonXtal_Prot#'!A:AL,28,FALSE)</f>
        <v>57</v>
      </c>
      <c r="AJ98" s="1">
        <f>VLOOKUP(A98,'SegEnds_NonXtal_Prot#'!A:AL,34,FALSE)-VLOOKUP(A98,'SegEnds_NonXtal_Prot#'!A:AL,31,FALSE)</f>
        <v>38</v>
      </c>
      <c r="AK98" s="1">
        <f>VLOOKUP(A98,'SegEnds_NonXtal_Prot#'!A:AL,37,FALSE)-VLOOKUP(A98,'SegEnds_NonXtal_Prot#'!A:AL,34,FALSE)</f>
        <v>10</v>
      </c>
      <c r="AL98" s="1" t="str">
        <f>IF(ISERROR(MATCH(A98,'SegEnds_Xtal_Prot#'!B:B, 0)), "NoXtal", "Xtal")</f>
        <v>NoXtal</v>
      </c>
    </row>
    <row r="99" spans="1:38" x14ac:dyDescent="0.2">
      <c r="A99" s="1" t="s">
        <v>216</v>
      </c>
      <c r="B99" s="1" t="str">
        <f>VLOOKUP(A99,Xtal_Templ!A:B,2,FALSE)</f>
        <v>5ht2c_human</v>
      </c>
      <c r="C99" s="5">
        <f>VLOOKUP($B99&amp;"__wt",'SegEnds_Xtal_BW#'!$A:$Z,3,FALSE)</f>
        <v>33</v>
      </c>
      <c r="D99" s="1">
        <f>VLOOKUP($B99&amp;"__wt",'SegEnds_Xtal_BW#'!$A:$Z,4,FALSE)</f>
        <v>60</v>
      </c>
      <c r="E99" s="1">
        <f>VLOOKUP($B99&amp;"__wt",'SegEnds_Xtal_BW#'!$A:$Z,5,FALSE)</f>
        <v>48</v>
      </c>
      <c r="F99" s="1">
        <f>VLOOKUP($B99&amp;"__wt",'SegEnds_Xtal_BW#'!$A:$Z,6,FALSE)</f>
        <v>51</v>
      </c>
      <c r="G99" s="1">
        <v>37</v>
      </c>
      <c r="H99" s="1">
        <v>67</v>
      </c>
      <c r="I99" s="1">
        <f>VLOOKUP($B99&amp;"__wt",'SegEnds_Xtal_BW#'!$A:$Z,9,FALSE)</f>
        <v>49</v>
      </c>
      <c r="J99" s="1">
        <f>VLOOKUP($B99&amp;"__wt",'SegEnds_Xtal_BW#'!$A:$Z,10,FALSE)</f>
        <v>52</v>
      </c>
      <c r="K99" s="1">
        <v>18</v>
      </c>
      <c r="L99" s="1">
        <f>VLOOKUP($B99&amp;"__wt",'SegEnds_Xtal_BW#'!$A:$Z,12,FALSE)</f>
        <v>56</v>
      </c>
      <c r="M99" s="1">
        <f>VLOOKUP($B99&amp;"__wt",'SegEnds_Xtal_BW#'!$A:$Z,13,FALSE)</f>
        <v>50</v>
      </c>
      <c r="N99" s="108">
        <v>56</v>
      </c>
      <c r="O99" s="87">
        <f>VLOOKUP($B99&amp;"__wt",'SegEnds_Xtal_BW#'!$A:$Z,15,FALSE)</f>
        <v>38</v>
      </c>
      <c r="P99" s="1">
        <f>VLOOKUP($B99&amp;"__wt",'SegEnds_Xtal_BW#'!$A:$Z,16,FALSE)</f>
        <v>67</v>
      </c>
      <c r="Q99" s="1">
        <f>VLOOKUP($B99&amp;"__wt",'SegEnds_Xtal_BW#'!$A:$Z,17,FALSE)</f>
        <v>50</v>
      </c>
      <c r="R99" s="1">
        <f>VLOOKUP($B99&amp;"__wt",'SegEnds_Xtal_BW#'!$A:$Z,18,FALSE)</f>
        <v>52</v>
      </c>
      <c r="S99" s="1">
        <f>VLOOKUP($B99&amp;"__wt",'SegEnds_Xtal_BW#'!$A:$Z,19,FALSE)</f>
        <v>35</v>
      </c>
      <c r="T99" s="1">
        <f t="array" ref="T99">INDEX(ICL3_classA!$G$2:$G$37,MATCH(MIN(ABS(AI99-ICL3_classA!$F$2:$F$37)),ABS(AI99-ICL3_classA!$F$2:$F$37),0))</f>
        <v>68</v>
      </c>
      <c r="U99" s="1">
        <f t="array" ref="U99">INDEX(ICL3_classA!$H$2:$H$37,MATCH(MIN(ABS(AI99-ICL3_classA!$F$2:$F$37)),ABS(AI99-ICL3_classA!$F$2:$F$37),0))</f>
        <v>24</v>
      </c>
      <c r="V99" s="1">
        <v>61</v>
      </c>
      <c r="W99" s="1">
        <v>28</v>
      </c>
      <c r="X99" s="1">
        <f>VLOOKUP($B99&amp;"__wt",'SegEnds_Xtal_BW#'!$A:$Z,24,FALSE)</f>
        <v>56</v>
      </c>
      <c r="Y99" s="1">
        <f>VLOOKUP($B99&amp;"__wt",'SegEnds_Xtal_BW#'!$A:$Z,25,FALSE)</f>
        <v>47</v>
      </c>
      <c r="Z99" s="1">
        <f>VLOOKUP($B99&amp;"__wt",'SegEnds_Xtal_BW#'!$A:$Z,26,FALSE)</f>
        <v>60</v>
      </c>
      <c r="AA99" s="27" t="str">
        <f>VLOOKUP(A99,Classification!A:B,2,FALSE)</f>
        <v>A</v>
      </c>
      <c r="AB99" s="1">
        <f>VLOOKUP(A99,'SegEnds_NonXtal_Prot#'!A:AL,10,FALSE)-VLOOKUP(A99,'SegEnds_NonXtal_Prot#'!A:AL,4,FALSE)</f>
        <v>29</v>
      </c>
      <c r="AC99" s="1" t="e">
        <f>VLOOKUP(A99,'SegEnds_NonXtal_Prot#'!A:AL,10,FALSE)-VLOOKUP(A99,'SegEnds_NonXtal_Prot#'!A:AL,7,FALSE)</f>
        <v>#VALUE!</v>
      </c>
      <c r="AD99" s="1" t="e">
        <f>VLOOKUP(A99,'SegEnds_NonXtal_Prot#'!A:AL,13,FALSE)-VLOOKUP(A99,'SegEnds_NonXtal_Prot#'!A:AL,10,FALSE)</f>
        <v>#VALUE!</v>
      </c>
      <c r="AE99" s="1">
        <f>VLOOKUP(A99,'SegEnds_NonXtal_Prot#'!A:AL,16,FALSE)-VLOOKUP(A99,'SegEnds_NonXtal_Prot#'!A:AL,10,FALSE)</f>
        <v>53</v>
      </c>
      <c r="AF99" s="1">
        <f>VLOOKUP(A99,'SegEnds_NonXtal_Prot#'!A:AL,22,FALSE)-VLOOKUP(A99,'SegEnds_NonXtal_Prot#'!A:AL,19,FALSE)</f>
        <v>19</v>
      </c>
      <c r="AG99" s="1" t="e">
        <f>VLOOKUP(A99,'SegEnds_NonXtal_Prot#'!A:AL,28,FALSE)-VLOOKUP(A99,'SegEnds_NonXtal_Prot#'!A:AL,25,FALSE)</f>
        <v>#VALUE!</v>
      </c>
      <c r="AH99" s="1">
        <f>VLOOKUP(A99,'SegEnds_NonXtal_Prot#'!A:AL,28,FALSE)-VLOOKUP(A99,'SegEnds_NonXtal_Prot#'!A:AL,22,FALSE)</f>
        <v>43</v>
      </c>
      <c r="AI99" s="1">
        <f>VLOOKUP(A99,'SegEnds_NonXtal_Prot#'!A:AL,31,FALSE)-VLOOKUP(A99,'SegEnds_NonXtal_Prot#'!A:AL,28,FALSE)</f>
        <v>48</v>
      </c>
      <c r="AJ99" s="1">
        <f>VLOOKUP(A99,'SegEnds_NonXtal_Prot#'!A:AL,34,FALSE)-VLOOKUP(A99,'SegEnds_NonXtal_Prot#'!A:AL,31,FALSE)</f>
        <v>39</v>
      </c>
      <c r="AK99" s="1">
        <f>VLOOKUP(A99,'SegEnds_NonXtal_Prot#'!A:AL,37,FALSE)-VLOOKUP(A99,'SegEnds_NonXtal_Prot#'!A:AL,34,FALSE)</f>
        <v>10</v>
      </c>
      <c r="AL99" s="1" t="str">
        <f>IF(ISERROR(MATCH(A99,'SegEnds_Xtal_Prot#'!B:B, 0)), "NoXtal", "Xtal")</f>
        <v>NoXtal</v>
      </c>
    </row>
    <row r="100" spans="1:38" x14ac:dyDescent="0.2">
      <c r="A100" s="1" t="s">
        <v>218</v>
      </c>
      <c r="B100" s="1" t="str">
        <f>VLOOKUP(A100,Xtal_Templ!A:B,2,FALSE)</f>
        <v>drd2_human</v>
      </c>
      <c r="C100" s="5">
        <f>VLOOKUP($B100&amp;"__wt",'SegEnds_Xtal_BW#'!$A:$Z,3,FALSE)</f>
        <v>29</v>
      </c>
      <c r="D100" s="1">
        <f>VLOOKUP($B100&amp;"__wt",'SegEnds_Xtal_BW#'!$A:$Z,4,FALSE)</f>
        <v>60</v>
      </c>
      <c r="E100" s="1">
        <f>VLOOKUP($B100&amp;"__wt",'SegEnds_Xtal_BW#'!$A:$Z,5,FALSE)</f>
        <v>48</v>
      </c>
      <c r="F100" s="1">
        <f>VLOOKUP($B100&amp;"__wt",'SegEnds_Xtal_BW#'!$A:$Z,6,FALSE)</f>
        <v>51</v>
      </c>
      <c r="G100" s="1">
        <v>37</v>
      </c>
      <c r="H100" s="1">
        <v>67</v>
      </c>
      <c r="I100" s="1">
        <f>VLOOKUP($B100&amp;"__wt",'SegEnds_Xtal_BW#'!$A:$Z,9,FALSE)</f>
        <v>49</v>
      </c>
      <c r="J100" s="1">
        <f>VLOOKUP($B100&amp;"__wt",'SegEnds_Xtal_BW#'!$A:$Z,10,FALSE)</f>
        <v>52</v>
      </c>
      <c r="K100" s="1">
        <v>18</v>
      </c>
      <c r="L100" s="1">
        <f>VLOOKUP($B100&amp;"__wt",'SegEnds_Xtal_BW#'!$A:$Z,12,FALSE)</f>
        <v>56</v>
      </c>
      <c r="M100" s="1">
        <f>VLOOKUP($B100&amp;"__wt",'SegEnds_Xtal_BW#'!$A:$Z,13,FALSE)</f>
        <v>50</v>
      </c>
      <c r="N100" s="108">
        <v>56</v>
      </c>
      <c r="O100" s="87">
        <f>VLOOKUP($B100&amp;"__wt",'SegEnds_Xtal_BW#'!$A:$Z,15,FALSE)</f>
        <v>38</v>
      </c>
      <c r="P100" s="1">
        <f>VLOOKUP($B100&amp;"__wt",'SegEnds_Xtal_BW#'!$A:$Z,16,FALSE)</f>
        <v>62</v>
      </c>
      <c r="Q100" s="1">
        <f>VLOOKUP($B100&amp;"__wt",'SegEnds_Xtal_BW#'!$A:$Z,17,FALSE)</f>
        <v>50</v>
      </c>
      <c r="R100" s="1">
        <f>VLOOKUP($B100&amp;"__wt",'SegEnds_Xtal_BW#'!$A:$Z,18,FALSE)</f>
        <v>52</v>
      </c>
      <c r="S100" s="1">
        <f>VLOOKUP($B100&amp;"__wt",'SegEnds_Xtal_BW#'!$A:$Z,19,FALSE)</f>
        <v>35</v>
      </c>
      <c r="T100" s="1">
        <f t="array" ref="T100">INDEX(ICL3_classA!$G$2:$G$37,MATCH(MIN(ABS(AI100-ICL3_classA!$F$2:$F$37)),ABS(AI100-ICL3_classA!$F$2:$F$37),0))</f>
        <v>67</v>
      </c>
      <c r="U100" s="1">
        <f t="array" ref="U100">INDEX(ICL3_classA!$H$2:$H$37,MATCH(MIN(ABS(AI100-ICL3_classA!$F$2:$F$37)),ABS(AI100-ICL3_classA!$F$2:$F$37),0))</f>
        <v>26</v>
      </c>
      <c r="V100" s="1">
        <v>61</v>
      </c>
      <c r="W100" s="1">
        <v>28</v>
      </c>
      <c r="X100" s="1">
        <f>VLOOKUP($B100&amp;"__wt",'SegEnds_Xtal_BW#'!$A:$Z,24,FALSE)</f>
        <v>56</v>
      </c>
      <c r="Y100" s="1">
        <f>VLOOKUP($B100&amp;"__wt",'SegEnds_Xtal_BW#'!$A:$Z,25,FALSE)</f>
        <v>47</v>
      </c>
      <c r="Z100" s="1">
        <f>VLOOKUP($B100&amp;"__wt",'SegEnds_Xtal_BW#'!$A:$Z,26,FALSE)</f>
        <v>59</v>
      </c>
      <c r="AA100" s="27" t="str">
        <f>VLOOKUP(A100,Classification!A:B,2,FALSE)</f>
        <v>A</v>
      </c>
      <c r="AB100" s="1">
        <f>VLOOKUP(A100,'SegEnds_NonXtal_Prot#'!A:AL,10,FALSE)-VLOOKUP(A100,'SegEnds_NonXtal_Prot#'!A:AL,4,FALSE)</f>
        <v>29</v>
      </c>
      <c r="AC100" s="1" t="e">
        <f>VLOOKUP(A100,'SegEnds_NonXtal_Prot#'!A:AL,10,FALSE)-VLOOKUP(A100,'SegEnds_NonXtal_Prot#'!A:AL,7,FALSE)</f>
        <v>#VALUE!</v>
      </c>
      <c r="AD100" s="1" t="e">
        <f>VLOOKUP(A100,'SegEnds_NonXtal_Prot#'!A:AL,13,FALSE)-VLOOKUP(A100,'SegEnds_NonXtal_Prot#'!A:AL,10,FALSE)</f>
        <v>#VALUE!</v>
      </c>
      <c r="AE100" s="1">
        <f>VLOOKUP(A100,'SegEnds_NonXtal_Prot#'!A:AL,16,FALSE)-VLOOKUP(A100,'SegEnds_NonXtal_Prot#'!A:AL,10,FALSE)</f>
        <v>53</v>
      </c>
      <c r="AF100" s="1">
        <f>VLOOKUP(A100,'SegEnds_NonXtal_Prot#'!A:AL,22,FALSE)-VLOOKUP(A100,'SegEnds_NonXtal_Prot#'!A:AL,19,FALSE)</f>
        <v>19</v>
      </c>
      <c r="AG100" s="1" t="e">
        <f>VLOOKUP(A100,'SegEnds_NonXtal_Prot#'!A:AL,28,FALSE)-VLOOKUP(A100,'SegEnds_NonXtal_Prot#'!A:AL,25,FALSE)</f>
        <v>#VALUE!</v>
      </c>
      <c r="AH100" s="1">
        <f>VLOOKUP(A100,'SegEnds_NonXtal_Prot#'!A:AL,28,FALSE)-VLOOKUP(A100,'SegEnds_NonXtal_Prot#'!A:AL,22,FALSE)</f>
        <v>43</v>
      </c>
      <c r="AI100" s="1">
        <f>VLOOKUP(A100,'SegEnds_NonXtal_Prot#'!A:AL,31,FALSE)-VLOOKUP(A100,'SegEnds_NonXtal_Prot#'!A:AL,28,FALSE)</f>
        <v>47</v>
      </c>
      <c r="AJ100" s="1">
        <f>VLOOKUP(A100,'SegEnds_NonXtal_Prot#'!A:AL,34,FALSE)-VLOOKUP(A100,'SegEnds_NonXtal_Prot#'!A:AL,31,FALSE)</f>
        <v>39</v>
      </c>
      <c r="AK100" s="1">
        <f>VLOOKUP(A100,'SegEnds_NonXtal_Prot#'!A:AL,37,FALSE)-VLOOKUP(A100,'SegEnds_NonXtal_Prot#'!A:AL,34,FALSE)</f>
        <v>10</v>
      </c>
      <c r="AL100" s="1" t="str">
        <f>IF(ISERROR(MATCH(A100,'SegEnds_Xtal_Prot#'!B:B, 0)), "NoXtal", "Xtal")</f>
        <v>NoXtal</v>
      </c>
    </row>
    <row r="101" spans="1:38" x14ac:dyDescent="0.2">
      <c r="A101" s="1" t="s">
        <v>219</v>
      </c>
      <c r="B101" s="1" t="str">
        <f>VLOOKUP(A101,Xtal_Templ!A:B,2,FALSE)</f>
        <v>agtr1_human</v>
      </c>
      <c r="C101" s="5">
        <f>VLOOKUP($B101&amp;"__wt",'SegEnds_Xtal_BW#'!$A:$Z,3,FALSE)</f>
        <v>30</v>
      </c>
      <c r="D101" s="1">
        <f>VLOOKUP($B101&amp;"__wt",'SegEnds_Xtal_BW#'!$A:$Z,4,FALSE)</f>
        <v>60</v>
      </c>
      <c r="E101" s="1">
        <f>VLOOKUP($B101&amp;"__wt",'SegEnds_Xtal_BW#'!$A:$Z,5,FALSE)</f>
        <v>48</v>
      </c>
      <c r="F101" s="1">
        <f>VLOOKUP($B101&amp;"__wt",'SegEnds_Xtal_BW#'!$A:$Z,6,FALSE)</f>
        <v>51</v>
      </c>
      <c r="G101" s="1">
        <v>37</v>
      </c>
      <c r="H101" s="12">
        <v>63</v>
      </c>
      <c r="I101" s="1">
        <f>VLOOKUP($B101&amp;"__wt",'SegEnds_Xtal_BW#'!$A:$Z,9,FALSE)</f>
        <v>49</v>
      </c>
      <c r="J101" s="1">
        <f>VLOOKUP($B101&amp;"__wt",'SegEnds_Xtal_BW#'!$A:$Z,10,FALSE)</f>
        <v>52</v>
      </c>
      <c r="K101" s="12">
        <v>24</v>
      </c>
      <c r="L101" s="1">
        <f>VLOOKUP($B101&amp;"__wt",'SegEnds_Xtal_BW#'!$A:$Z,12,FALSE)</f>
        <v>56</v>
      </c>
      <c r="M101" s="1">
        <f>VLOOKUP($B101&amp;"__wt",'SegEnds_Xtal_BW#'!$A:$Z,13,FALSE)</f>
        <v>50</v>
      </c>
      <c r="N101" s="12">
        <v>56</v>
      </c>
      <c r="O101" s="87">
        <v>38</v>
      </c>
      <c r="P101" s="1">
        <f>VLOOKUP($B101&amp;"__wt",'SegEnds_Xtal_BW#'!$A:$Z,16,FALSE)</f>
        <v>64</v>
      </c>
      <c r="Q101" s="1">
        <f>VLOOKUP($B101&amp;"__wt",'SegEnds_Xtal_BW#'!$A:$Z,17,FALSE)</f>
        <v>50</v>
      </c>
      <c r="R101" s="1">
        <f>VLOOKUP($B101&amp;"__wt",'SegEnds_Xtal_BW#'!$A:$Z,18,FALSE)</f>
        <v>52</v>
      </c>
      <c r="S101" s="1">
        <f>VLOOKUP($B101&amp;"__wt",'SegEnds_Xtal_BW#'!$A:$Z,19,FALSE)</f>
        <v>34</v>
      </c>
      <c r="T101" s="1">
        <f t="array" ref="T101">INDEX(ICL3_classA!$G$2:$G$37,MATCH(MIN(ABS(AI101-ICL3_classA!$F$2:$F$37)),ABS(AI101-ICL3_classA!$F$2:$F$37),0))</f>
        <v>68</v>
      </c>
      <c r="U101" s="1">
        <f t="array" ref="U101">INDEX(ICL3_classA!$H$2:$H$37,MATCH(MIN(ABS(AI101-ICL3_classA!$F$2:$F$37)),ABS(AI101-ICL3_classA!$F$2:$F$37),0))</f>
        <v>24</v>
      </c>
      <c r="V101" s="1">
        <v>64</v>
      </c>
      <c r="W101" s="1">
        <v>24</v>
      </c>
      <c r="X101" s="1">
        <f>VLOOKUP($B101&amp;"__wt",'SegEnds_Xtal_BW#'!$A:$Z,24,FALSE)</f>
        <v>56</v>
      </c>
      <c r="Y101" s="1">
        <f>VLOOKUP($B101&amp;"__wt",'SegEnds_Xtal_BW#'!$A:$Z,25,FALSE)</f>
        <v>47</v>
      </c>
      <c r="Z101" s="1">
        <f>VLOOKUP($B101&amp;"__wt",'SegEnds_Xtal_BW#'!$A:$Z,26,FALSE)</f>
        <v>61</v>
      </c>
      <c r="AA101" s="27" t="str">
        <f>VLOOKUP(A101,Classification!A:B,2,FALSE)</f>
        <v>A</v>
      </c>
      <c r="AB101" s="1">
        <f>VLOOKUP(A101,'SegEnds_NonXtal_Prot#'!A:AL,10,FALSE)-VLOOKUP(A101,'SegEnds_NonXtal_Prot#'!A:AL,4,FALSE)</f>
        <v>33</v>
      </c>
      <c r="AC101" s="1" t="e">
        <f>VLOOKUP(A101,'SegEnds_NonXtal_Prot#'!A:AL,10,FALSE)-VLOOKUP(A101,'SegEnds_NonXtal_Prot#'!A:AL,7,FALSE)</f>
        <v>#VALUE!</v>
      </c>
      <c r="AD101" s="1">
        <f>VLOOKUP(A101,'SegEnds_NonXtal_Prot#'!A:AL,13,FALSE)-VLOOKUP(A101,'SegEnds_NonXtal_Prot#'!A:AL,10,FALSE)</f>
        <v>17</v>
      </c>
      <c r="AE101" s="1">
        <f>VLOOKUP(A101,'SegEnds_NonXtal_Prot#'!A:AL,16,FALSE)-VLOOKUP(A101,'SegEnds_NonXtal_Prot#'!A:AL,10,FALSE)</f>
        <v>49</v>
      </c>
      <c r="AF101" s="1" t="e">
        <f>VLOOKUP(A101,'SegEnds_NonXtal_Prot#'!A:AL,22,FALSE)-VLOOKUP(A101,'SegEnds_NonXtal_Prot#'!A:AL,19,FALSE)</f>
        <v>#VALUE!</v>
      </c>
      <c r="AG101" s="1" t="e">
        <f>VLOOKUP(A101,'SegEnds_NonXtal_Prot#'!A:AL,28,FALSE)-VLOOKUP(A101,'SegEnds_NonXtal_Prot#'!A:AL,25,FALSE)</f>
        <v>#VALUE!</v>
      </c>
      <c r="AH101" s="1">
        <f>VLOOKUP(A101,'SegEnds_NonXtal_Prot#'!A:AL,28,FALSE)-VLOOKUP(A101,'SegEnds_NonXtal_Prot#'!A:AL,22,FALSE)</f>
        <v>47</v>
      </c>
      <c r="AI101" s="1">
        <f>VLOOKUP(A101,'SegEnds_NonXtal_Prot#'!A:AL,31,FALSE)-VLOOKUP(A101,'SegEnds_NonXtal_Prot#'!A:AL,28,FALSE)</f>
        <v>49</v>
      </c>
      <c r="AJ101" s="1">
        <f>VLOOKUP(A101,'SegEnds_NonXtal_Prot#'!A:AL,34,FALSE)-VLOOKUP(A101,'SegEnds_NonXtal_Prot#'!A:AL,31,FALSE)</f>
        <v>45</v>
      </c>
      <c r="AK101" s="1">
        <f>VLOOKUP(A101,'SegEnds_NonXtal_Prot#'!A:AL,37,FALSE)-VLOOKUP(A101,'SegEnds_NonXtal_Prot#'!A:AL,34,FALSE)</f>
        <v>10</v>
      </c>
      <c r="AL101" s="1" t="str">
        <f>IF(ISERROR(MATCH(A101,'SegEnds_Xtal_Prot#'!B:B, 0)), "NoXtal", "Xtal")</f>
        <v>NoXtal</v>
      </c>
    </row>
    <row r="102" spans="1:38" x14ac:dyDescent="0.2">
      <c r="A102" s="1" t="s">
        <v>221</v>
      </c>
      <c r="B102" s="1" t="str">
        <f>VLOOKUP(A102,Xtal_Templ!A:B,2,FALSE)</f>
        <v>s1pr1_human</v>
      </c>
      <c r="C102" s="5">
        <f>VLOOKUP($B102&amp;"__wt",'SegEnds_Xtal_BW#'!$A:$Z,3,FALSE)</f>
        <v>29</v>
      </c>
      <c r="D102" s="1">
        <f>VLOOKUP($B102&amp;"__wt",'SegEnds_Xtal_BW#'!$A:$Z,4,FALSE)</f>
        <v>60</v>
      </c>
      <c r="E102" s="1">
        <f>VLOOKUP($B102&amp;"__wt",'SegEnds_Xtal_BW#'!$A:$Z,5,FALSE)</f>
        <v>48</v>
      </c>
      <c r="F102" s="1">
        <f>VLOOKUP($B102&amp;"__wt",'SegEnds_Xtal_BW#'!$A:$Z,6,FALSE)</f>
        <v>51</v>
      </c>
      <c r="G102" s="1">
        <v>37</v>
      </c>
      <c r="H102" s="12">
        <v>67</v>
      </c>
      <c r="I102" s="1">
        <f>VLOOKUP($B102&amp;"__wt",'SegEnds_Xtal_BW#'!$A:$Z,9,FALSE)</f>
        <v>47</v>
      </c>
      <c r="J102" s="1">
        <f>VLOOKUP($B102&amp;"__wt",'SegEnds_Xtal_BW#'!$A:$Z,10,FALSE)</f>
        <v>53</v>
      </c>
      <c r="K102" s="12">
        <v>18</v>
      </c>
      <c r="L102" s="1">
        <f>VLOOKUP($B102&amp;"__wt",'SegEnds_Xtal_BW#'!$A:$Z,12,FALSE)</f>
        <v>56</v>
      </c>
      <c r="M102" s="108" t="s">
        <v>23</v>
      </c>
      <c r="N102" s="12" t="s">
        <v>23</v>
      </c>
      <c r="O102" s="87">
        <f>VLOOKUP($B102&amp;"__wt",'SegEnds_Xtal_BW#'!$A:$Z,15,FALSE)</f>
        <v>38</v>
      </c>
      <c r="P102" s="1">
        <f>VLOOKUP($B102&amp;"__wt",'SegEnds_Xtal_BW#'!$A:$Z,16,FALSE)</f>
        <v>63</v>
      </c>
      <c r="Q102" s="1" t="str">
        <f>VLOOKUP($B102&amp;"__wt",'SegEnds_Xtal_BW#'!$A:$Z,17,FALSE)</f>
        <v>-</v>
      </c>
      <c r="R102" s="1" t="str">
        <f>VLOOKUP($B102&amp;"__wt",'SegEnds_Xtal_BW#'!$A:$Z,18,FALSE)</f>
        <v>-</v>
      </c>
      <c r="S102" s="1">
        <f>VLOOKUP($B102&amp;"__wt",'SegEnds_Xtal_BW#'!$A:$Z,19,FALSE)</f>
        <v>36</v>
      </c>
      <c r="T102" s="1">
        <f t="array" ref="T102">INDEX(ICL3_classA!$G$2:$G$37,MATCH(MIN(ABS(AI102-ICL3_classA!$F$2:$F$37)),ABS(AI102-ICL3_classA!$F$2:$F$37),0))</f>
        <v>76</v>
      </c>
      <c r="U102" s="1">
        <f t="array" ref="U102">INDEX(ICL3_classA!$H$2:$H$37,MATCH(MIN(ABS(AI102-ICL3_classA!$F$2:$F$37)),ABS(AI102-ICL3_classA!$F$2:$F$37),0))</f>
        <v>24</v>
      </c>
      <c r="V102" s="1">
        <v>61</v>
      </c>
      <c r="W102" s="1">
        <v>32</v>
      </c>
      <c r="X102" s="1">
        <f>VLOOKUP($B102&amp;"__wt",'SegEnds_Xtal_BW#'!$A:$Z,24,FALSE)</f>
        <v>56</v>
      </c>
      <c r="Y102" s="1">
        <f>VLOOKUP($B102&amp;"__wt",'SegEnds_Xtal_BW#'!$A:$Z,25,FALSE)</f>
        <v>47</v>
      </c>
      <c r="Z102" s="1">
        <f>VLOOKUP($B102&amp;"__wt",'SegEnds_Xtal_BW#'!$A:$Z,26,FALSE)</f>
        <v>59</v>
      </c>
      <c r="AA102" s="27" t="str">
        <f>VLOOKUP(A102,Classification!A:B,2,FALSE)</f>
        <v>A</v>
      </c>
      <c r="AB102" s="1">
        <f>VLOOKUP(A102,'SegEnds_NonXtal_Prot#'!A:AL,10,FALSE)-VLOOKUP(A102,'SegEnds_NonXtal_Prot#'!A:AL,4,FALSE)</f>
        <v>29</v>
      </c>
      <c r="AC102" s="1" t="e">
        <f>VLOOKUP(A102,'SegEnds_NonXtal_Prot#'!A:AL,10,FALSE)-VLOOKUP(A102,'SegEnds_NonXtal_Prot#'!A:AL,7,FALSE)</f>
        <v>#VALUE!</v>
      </c>
      <c r="AD102" s="1">
        <f>VLOOKUP(A102,'SegEnds_NonXtal_Prot#'!A:AL,13,FALSE)-VLOOKUP(A102,'SegEnds_NonXtal_Prot#'!A:AL,10,FALSE)</f>
        <v>26</v>
      </c>
      <c r="AE102" s="1">
        <f>VLOOKUP(A102,'SegEnds_NonXtal_Prot#'!A:AL,16,FALSE)-VLOOKUP(A102,'SegEnds_NonXtal_Prot#'!A:AL,10,FALSE)</f>
        <v>69</v>
      </c>
      <c r="AF102" s="1" t="e">
        <f>VLOOKUP(A102,'SegEnds_NonXtal_Prot#'!A:AL,22,FALSE)-VLOOKUP(A102,'SegEnds_NonXtal_Prot#'!A:AL,19,FALSE)</f>
        <v>#VALUE!</v>
      </c>
      <c r="AG102" s="1" t="e">
        <f>VLOOKUP(A102,'SegEnds_NonXtal_Prot#'!A:AL,28,FALSE)-VLOOKUP(A102,'SegEnds_NonXtal_Prot#'!A:AL,25,FALSE)</f>
        <v>#VALUE!</v>
      </c>
      <c r="AH102" s="1">
        <f>VLOOKUP(A102,'SegEnds_NonXtal_Prot#'!A:AL,28,FALSE)-VLOOKUP(A102,'SegEnds_NonXtal_Prot#'!A:AL,22,FALSE)</f>
        <v>53</v>
      </c>
      <c r="AI102" s="1">
        <f>VLOOKUP(A102,'SegEnds_NonXtal_Prot#'!A:AL,31,FALSE)-VLOOKUP(A102,'SegEnds_NonXtal_Prot#'!A:AL,28,FALSE)</f>
        <v>114</v>
      </c>
      <c r="AJ102" s="1">
        <f>VLOOKUP(A102,'SegEnds_NonXtal_Prot#'!A:AL,34,FALSE)-VLOOKUP(A102,'SegEnds_NonXtal_Prot#'!A:AL,31,FALSE)</f>
        <v>34</v>
      </c>
      <c r="AK102" s="1">
        <f>VLOOKUP(A102,'SegEnds_NonXtal_Prot#'!A:AL,37,FALSE)-VLOOKUP(A102,'SegEnds_NonXtal_Prot#'!A:AL,34,FALSE)</f>
        <v>10</v>
      </c>
      <c r="AL102" s="1" t="str">
        <f>IF(ISERROR(MATCH(A102,'SegEnds_Xtal_Prot#'!B:B, 0)), "NoXtal", "Xtal")</f>
        <v>NoXtal</v>
      </c>
    </row>
    <row r="103" spans="1:38" x14ac:dyDescent="0.2">
      <c r="A103" s="1" t="s">
        <v>222</v>
      </c>
      <c r="B103" s="1" t="str">
        <f>VLOOKUP(A103,Xtal_Templ!A:B,2,FALSE)</f>
        <v>ox2r_human</v>
      </c>
      <c r="C103" s="5">
        <f>VLOOKUP($B103&amp;"__wt",'SegEnds_Xtal_BW#'!$A:$Z,3,FALSE)</f>
        <v>31</v>
      </c>
      <c r="D103" s="1">
        <f>VLOOKUP($B103&amp;"__wt",'SegEnds_Xtal_BW#'!$A:$Z,4,FALSE)</f>
        <v>60</v>
      </c>
      <c r="E103" s="1">
        <f>VLOOKUP($B103&amp;"__wt",'SegEnds_Xtal_BW#'!$A:$Z,5,FALSE)</f>
        <v>48</v>
      </c>
      <c r="F103" s="1">
        <f>VLOOKUP($B103&amp;"__wt",'SegEnds_Xtal_BW#'!$A:$Z,6,FALSE)</f>
        <v>51</v>
      </c>
      <c r="G103" s="1">
        <v>37</v>
      </c>
      <c r="H103" s="12">
        <f>VLOOKUP($B103&amp;"__wt",'SegEnds_Xtal_BW#'!$A:$Z,8,FALSE)</f>
        <v>68</v>
      </c>
      <c r="I103" s="1">
        <f>VLOOKUP($B103&amp;"__wt",'SegEnds_Xtal_BW#'!$A:$Z,9,FALSE)</f>
        <v>49</v>
      </c>
      <c r="J103" s="1">
        <f>VLOOKUP($B103&amp;"__wt",'SegEnds_Xtal_BW#'!$A:$Z,10,FALSE)</f>
        <v>52</v>
      </c>
      <c r="K103" s="12">
        <v>18</v>
      </c>
      <c r="L103" s="1">
        <f>VLOOKUP($B103&amp;"__wt",'SegEnds_Xtal_BW#'!$A:$Z,12,FALSE)</f>
        <v>56</v>
      </c>
      <c r="M103" s="1">
        <f>VLOOKUP($B103&amp;"__wt",'SegEnds_Xtal_BW#'!$A:$Z,13,FALSE)</f>
        <v>50</v>
      </c>
      <c r="N103" s="12">
        <f>VLOOKUP($B103&amp;"__wt",'SegEnds_Xtal_BW#'!$A:$Z,14,FALSE)</f>
        <v>53</v>
      </c>
      <c r="O103" s="87">
        <f>VLOOKUP($B103&amp;"__wt",'SegEnds_Xtal_BW#'!$A:$Z,15,FALSE)</f>
        <v>38</v>
      </c>
      <c r="P103" s="1">
        <f>VLOOKUP($B103&amp;"__wt",'SegEnds_Xtal_BW#'!$A:$Z,16,FALSE)</f>
        <v>64</v>
      </c>
      <c r="Q103" s="1">
        <f>VLOOKUP($B103&amp;"__wt",'SegEnds_Xtal_BW#'!$A:$Z,17,FALSE)</f>
        <v>50</v>
      </c>
      <c r="R103" s="1">
        <f>VLOOKUP($B103&amp;"__wt",'SegEnds_Xtal_BW#'!$A:$Z,18,FALSE)</f>
        <v>52</v>
      </c>
      <c r="S103" s="1">
        <f>VLOOKUP($B103&amp;"__wt",'SegEnds_Xtal_BW#'!$A:$Z,19,FALSE)</f>
        <v>33</v>
      </c>
      <c r="T103" s="1">
        <f t="array" ref="T103">INDEX(ICL3_classA!$G$2:$G$37,MATCH(MIN(ABS(AI103-ICL3_classA!$F$2:$F$37)),ABS(AI103-ICL3_classA!$F$2:$F$37),0))</f>
        <v>74</v>
      </c>
      <c r="U103" s="1">
        <f t="array" ref="U103">INDEX(ICL3_classA!$H$2:$H$37,MATCH(MIN(ABS(AI103-ICL3_classA!$F$2:$F$37)),ABS(AI103-ICL3_classA!$F$2:$F$37),0))</f>
        <v>21</v>
      </c>
      <c r="V103" s="1">
        <v>61</v>
      </c>
      <c r="W103" s="1">
        <v>28</v>
      </c>
      <c r="X103" s="1">
        <f>VLOOKUP($B103&amp;"__wt",'SegEnds_Xtal_BW#'!$A:$Z,24,FALSE)</f>
        <v>56</v>
      </c>
      <c r="Y103" s="1">
        <f>VLOOKUP($B103&amp;"__wt",'SegEnds_Xtal_BW#'!$A:$Z,25,FALSE)</f>
        <v>47</v>
      </c>
      <c r="Z103" s="1">
        <f>VLOOKUP($B103&amp;"__wt",'SegEnds_Xtal_BW#'!$A:$Z,26,FALSE)</f>
        <v>58</v>
      </c>
      <c r="AA103" s="27" t="str">
        <f>VLOOKUP(A103,Classification!A:B,2,FALSE)</f>
        <v>A</v>
      </c>
      <c r="AB103" s="1">
        <f>VLOOKUP(A103,'SegEnds_NonXtal_Prot#'!A:AL,10,FALSE)-VLOOKUP(A103,'SegEnds_NonXtal_Prot#'!A:AL,4,FALSE)</f>
        <v>33</v>
      </c>
      <c r="AC103" s="1" t="e">
        <f>VLOOKUP(A103,'SegEnds_NonXtal_Prot#'!A:AL,10,FALSE)-VLOOKUP(A103,'SegEnds_NonXtal_Prot#'!A:AL,7,FALSE)</f>
        <v>#VALUE!</v>
      </c>
      <c r="AD103" s="1" t="e">
        <f>VLOOKUP(A103,'SegEnds_NonXtal_Prot#'!A:AL,13,FALSE)-VLOOKUP(A103,'SegEnds_NonXtal_Prot#'!A:AL,10,FALSE)</f>
        <v>#VALUE!</v>
      </c>
      <c r="AE103" s="1">
        <f>VLOOKUP(A103,'SegEnds_NonXtal_Prot#'!A:AL,16,FALSE)-VLOOKUP(A103,'SegEnds_NonXtal_Prot#'!A:AL,10,FALSE)</f>
        <v>54</v>
      </c>
      <c r="AF103" s="1" t="e">
        <f>VLOOKUP(A103,'SegEnds_NonXtal_Prot#'!A:AL,22,FALSE)-VLOOKUP(A103,'SegEnds_NonXtal_Prot#'!A:AL,19,FALSE)</f>
        <v>#VALUE!</v>
      </c>
      <c r="AG103" s="1">
        <f>VLOOKUP(A103,'SegEnds_NonXtal_Prot#'!A:AL,28,FALSE)-VLOOKUP(A103,'SegEnds_NonXtal_Prot#'!A:AL,25,FALSE)</f>
        <v>27</v>
      </c>
      <c r="AH103" s="1">
        <f>VLOOKUP(A103,'SegEnds_NonXtal_Prot#'!A:AL,28,FALSE)-VLOOKUP(A103,'SegEnds_NonXtal_Prot#'!A:AL,22,FALSE)</f>
        <v>75</v>
      </c>
      <c r="AI103" s="1">
        <f>VLOOKUP(A103,'SegEnds_NonXtal_Prot#'!A:AL,31,FALSE)-VLOOKUP(A103,'SegEnds_NonXtal_Prot#'!A:AL,28,FALSE)</f>
        <v>66</v>
      </c>
      <c r="AJ103" s="1">
        <f>VLOOKUP(A103,'SegEnds_NonXtal_Prot#'!A:AL,34,FALSE)-VLOOKUP(A103,'SegEnds_NonXtal_Prot#'!A:AL,31,FALSE)</f>
        <v>39</v>
      </c>
      <c r="AK103" s="1">
        <f>VLOOKUP(A103,'SegEnds_NonXtal_Prot#'!A:AL,37,FALSE)-VLOOKUP(A103,'SegEnds_NonXtal_Prot#'!A:AL,34,FALSE)</f>
        <v>10</v>
      </c>
      <c r="AL103" s="1" t="str">
        <f>IF(ISERROR(MATCH(A103,'SegEnds_Xtal_Prot#'!B:B, 0)), "NoXtal", "Xtal")</f>
        <v>NoXtal</v>
      </c>
    </row>
    <row r="104" spans="1:38" x14ac:dyDescent="0.2">
      <c r="A104" s="1" t="s">
        <v>223</v>
      </c>
      <c r="B104" s="1" t="str">
        <f>VLOOKUP(A104,Xtal_Templ!A:B,2,FALSE)</f>
        <v>agtr2_human</v>
      </c>
      <c r="C104" s="5">
        <f>VLOOKUP($B104&amp;"__wt",'SegEnds_Xtal_BW#'!$A:$Z,3,FALSE)</f>
        <v>33</v>
      </c>
      <c r="D104" s="1">
        <f>VLOOKUP($B104&amp;"__wt",'SegEnds_Xtal_BW#'!$A:$Z,4,FALSE)</f>
        <v>60</v>
      </c>
      <c r="E104" s="1" t="str">
        <f>VLOOKUP($B104&amp;"__wt",'SegEnds_Xtal_BW#'!$A:$Z,5,FALSE)</f>
        <v>-</v>
      </c>
      <c r="F104" s="1" t="str">
        <f>VLOOKUP($B104&amp;"__wt",'SegEnds_Xtal_BW#'!$A:$Z,6,FALSE)</f>
        <v>-</v>
      </c>
      <c r="G104" s="1">
        <v>37</v>
      </c>
      <c r="H104" s="12">
        <f>VLOOKUP($B104&amp;"__wt",'SegEnds_Xtal_BW#'!$A:$Z,8,FALSE)</f>
        <v>66</v>
      </c>
      <c r="I104" s="1">
        <f>VLOOKUP($B104&amp;"__wt",'SegEnds_Xtal_BW#'!$A:$Z,9,FALSE)</f>
        <v>47</v>
      </c>
      <c r="J104" s="1">
        <f>VLOOKUP($B104&amp;"__wt",'SegEnds_Xtal_BW#'!$A:$Z,10,FALSE)</f>
        <v>52</v>
      </c>
      <c r="K104" s="12">
        <v>18</v>
      </c>
      <c r="L104" s="1">
        <f>VLOOKUP($B104&amp;"__wt",'SegEnds_Xtal_BW#'!$A:$Z,12,FALSE)</f>
        <v>56</v>
      </c>
      <c r="M104" s="1">
        <f>VLOOKUP($B104&amp;"__wt",'SegEnds_Xtal_BW#'!$A:$Z,13,FALSE)</f>
        <v>50</v>
      </c>
      <c r="N104" s="12">
        <v>56</v>
      </c>
      <c r="O104" s="87">
        <f>VLOOKUP($B104&amp;"__wt",'SegEnds_Xtal_BW#'!$A:$Z,15,FALSE)</f>
        <v>38</v>
      </c>
      <c r="P104" s="1">
        <f>VLOOKUP($B104&amp;"__wt",'SegEnds_Xtal_BW#'!$A:$Z,16,FALSE)</f>
        <v>64</v>
      </c>
      <c r="Q104" s="1">
        <f>VLOOKUP($B104&amp;"__wt",'SegEnds_Xtal_BW#'!$A:$Z,17,FALSE)</f>
        <v>50</v>
      </c>
      <c r="R104" s="1">
        <f>VLOOKUP($B104&amp;"__wt",'SegEnds_Xtal_BW#'!$A:$Z,18,FALSE)</f>
        <v>52</v>
      </c>
      <c r="S104" s="1">
        <f>VLOOKUP($B104&amp;"__wt",'SegEnds_Xtal_BW#'!$A:$Z,19,FALSE)</f>
        <v>30</v>
      </c>
      <c r="T104" s="1">
        <f t="array" ref="T104">INDEX(ICL3_classA!$G$2:$G$37,MATCH(MIN(ABS(AI104-ICL3_classA!$F$2:$F$37)),ABS(AI104-ICL3_classA!$F$2:$F$37),0))</f>
        <v>68</v>
      </c>
      <c r="U104" s="1">
        <f t="array" ref="U104">INDEX(ICL3_classA!$H$2:$H$37,MATCH(MIN(ABS(AI104-ICL3_classA!$F$2:$F$37)),ABS(AI104-ICL3_classA!$F$2:$F$37),0))</f>
        <v>23</v>
      </c>
      <c r="V104" s="1">
        <v>61</v>
      </c>
      <c r="W104" s="1">
        <v>28</v>
      </c>
      <c r="X104" s="1">
        <f>VLOOKUP($B104&amp;"__wt",'SegEnds_Xtal_BW#'!$A:$Z,24,FALSE)</f>
        <v>56</v>
      </c>
      <c r="Y104" s="1">
        <f>VLOOKUP($B104&amp;"__wt",'SegEnds_Xtal_BW#'!$A:$Z,25,FALSE)</f>
        <v>47</v>
      </c>
      <c r="Z104" s="1">
        <f>VLOOKUP($B104&amp;"__wt",'SegEnds_Xtal_BW#'!$A:$Z,26,FALSE)</f>
        <v>61</v>
      </c>
      <c r="AA104" s="27" t="str">
        <f>VLOOKUP(A104,Classification!A:B,2,FALSE)</f>
        <v>A</v>
      </c>
      <c r="AB104" s="1">
        <f>VLOOKUP(A104,'SegEnds_NonXtal_Prot#'!A:AL,10,FALSE)-VLOOKUP(A104,'SegEnds_NonXtal_Prot#'!A:AL,4,FALSE)</f>
        <v>30</v>
      </c>
      <c r="AC104" s="1" t="e">
        <f>VLOOKUP(A104,'SegEnds_NonXtal_Prot#'!A:AL,10,FALSE)-VLOOKUP(A104,'SegEnds_NonXtal_Prot#'!A:AL,7,FALSE)</f>
        <v>#VALUE!</v>
      </c>
      <c r="AD104" s="1">
        <f>VLOOKUP(A104,'SegEnds_NonXtal_Prot#'!A:AL,13,FALSE)-VLOOKUP(A104,'SegEnds_NonXtal_Prot#'!A:AL,10,FALSE)</f>
        <v>20</v>
      </c>
      <c r="AE104" s="1">
        <f>VLOOKUP(A104,'SegEnds_NonXtal_Prot#'!A:AL,16,FALSE)-VLOOKUP(A104,'SegEnds_NonXtal_Prot#'!A:AL,10,FALSE)</f>
        <v>52</v>
      </c>
      <c r="AF104" s="1">
        <f>VLOOKUP(A104,'SegEnds_NonXtal_Prot#'!A:AL,22,FALSE)-VLOOKUP(A104,'SegEnds_NonXtal_Prot#'!A:AL,19,FALSE)</f>
        <v>19</v>
      </c>
      <c r="AG104" s="1">
        <f>VLOOKUP(A104,'SegEnds_NonXtal_Prot#'!A:AL,28,FALSE)-VLOOKUP(A104,'SegEnds_NonXtal_Prot#'!A:AL,25,FALSE)</f>
        <v>27</v>
      </c>
      <c r="AH104" s="1">
        <f>VLOOKUP(A104,'SegEnds_NonXtal_Prot#'!A:AL,28,FALSE)-VLOOKUP(A104,'SegEnds_NonXtal_Prot#'!A:AL,22,FALSE)</f>
        <v>52</v>
      </c>
      <c r="AI104" s="1">
        <f>VLOOKUP(A104,'SegEnds_NonXtal_Prot#'!A:AL,31,FALSE)-VLOOKUP(A104,'SegEnds_NonXtal_Prot#'!A:AL,28,FALSE)</f>
        <v>51</v>
      </c>
      <c r="AJ104" s="1">
        <f>VLOOKUP(A104,'SegEnds_NonXtal_Prot#'!A:AL,34,FALSE)-VLOOKUP(A104,'SegEnds_NonXtal_Prot#'!A:AL,31,FALSE)</f>
        <v>38</v>
      </c>
      <c r="AK104" s="1">
        <f>VLOOKUP(A104,'SegEnds_NonXtal_Prot#'!A:AL,37,FALSE)-VLOOKUP(A104,'SegEnds_NonXtal_Prot#'!A:AL,34,FALSE)</f>
        <v>10</v>
      </c>
      <c r="AL104" s="1" t="str">
        <f>IF(ISERROR(MATCH(A104,'SegEnds_Xtal_Prot#'!B:B, 0)), "NoXtal", "Xtal")</f>
        <v>NoXtal</v>
      </c>
    </row>
    <row r="105" spans="1:38" x14ac:dyDescent="0.2">
      <c r="A105" s="1" t="s">
        <v>224</v>
      </c>
      <c r="B105" s="1" t="str">
        <f>VLOOKUP(A105,Xtal_Templ!A:B,2,FALSE)</f>
        <v>pd2r2_human</v>
      </c>
      <c r="C105" s="5">
        <f>VLOOKUP($B105&amp;"__wt",'SegEnds_Xtal_BW#'!$A:$Z,3,FALSE)</f>
        <v>32</v>
      </c>
      <c r="D105" s="1">
        <f>VLOOKUP($B105&amp;"__wt",'SegEnds_Xtal_BW#'!$A:$Z,4,FALSE)</f>
        <v>60</v>
      </c>
      <c r="E105" s="1" t="str">
        <f>VLOOKUP($B105&amp;"__wt",'SegEnds_Xtal_BW#'!$A:$Z,5,FALSE)</f>
        <v>-</v>
      </c>
      <c r="F105" s="1" t="str">
        <f>VLOOKUP($B105&amp;"__wt",'SegEnds_Xtal_BW#'!$A:$Z,6,FALSE)</f>
        <v>-</v>
      </c>
      <c r="G105" s="1">
        <v>37</v>
      </c>
      <c r="H105" s="12">
        <v>67</v>
      </c>
      <c r="I105" s="1">
        <f>VLOOKUP($B105&amp;"__wt",'SegEnds_Xtal_BW#'!$A:$Z,9,FALSE)</f>
        <v>49</v>
      </c>
      <c r="J105" s="1">
        <f>VLOOKUP($B105&amp;"__wt",'SegEnds_Xtal_BW#'!$A:$Z,10,FALSE)</f>
        <v>52</v>
      </c>
      <c r="K105" s="12">
        <v>18</v>
      </c>
      <c r="L105" s="1">
        <f>VLOOKUP($B105&amp;"__wt",'SegEnds_Xtal_BW#'!$A:$Z,12,FALSE)</f>
        <v>56</v>
      </c>
      <c r="M105" s="1">
        <f>VLOOKUP($B105&amp;"__wt",'SegEnds_Xtal_BW#'!$A:$Z,13,FALSE)</f>
        <v>50</v>
      </c>
      <c r="N105" s="12">
        <v>57</v>
      </c>
      <c r="O105" s="87">
        <f>VLOOKUP($B105&amp;"__wt",'SegEnds_Xtal_BW#'!$A:$Z,15,FALSE)</f>
        <v>38</v>
      </c>
      <c r="P105" s="1">
        <f>VLOOKUP($B105&amp;"__wt",'SegEnds_Xtal_BW#'!$A:$Z,16,FALSE)</f>
        <v>64</v>
      </c>
      <c r="Q105" s="1">
        <f>VLOOKUP($B105&amp;"__wt",'SegEnds_Xtal_BW#'!$A:$Z,17,FALSE)</f>
        <v>50</v>
      </c>
      <c r="R105" s="1">
        <f>VLOOKUP($B105&amp;"__wt",'SegEnds_Xtal_BW#'!$A:$Z,18,FALSE)</f>
        <v>52</v>
      </c>
      <c r="S105" s="1">
        <v>35</v>
      </c>
      <c r="T105" s="1">
        <f t="array" ref="T105">INDEX(ICL3_classA!$G$2:$G$37,MATCH(MIN(ABS(AI105-ICL3_classA!$F$2:$F$37)),ABS(AI105-ICL3_classA!$F$2:$F$37),0))</f>
        <v>68</v>
      </c>
      <c r="U105" s="1">
        <f t="array" ref="U105">INDEX(ICL3_classA!$H$2:$H$37,MATCH(MIN(ABS(AI105-ICL3_classA!$F$2:$F$37)),ABS(AI105-ICL3_classA!$F$2:$F$37),0))</f>
        <v>24</v>
      </c>
      <c r="V105" s="1">
        <v>61</v>
      </c>
      <c r="W105" s="1">
        <v>28</v>
      </c>
      <c r="X105" s="1">
        <f>VLOOKUP($B105&amp;"__wt",'SegEnds_Xtal_BW#'!$A:$Z,24,FALSE)</f>
        <v>56</v>
      </c>
      <c r="Y105" s="1">
        <f>VLOOKUP($B105&amp;"__wt",'SegEnds_Xtal_BW#'!$A:$Z,25,FALSE)</f>
        <v>47</v>
      </c>
      <c r="Z105" s="1">
        <f>VLOOKUP($B105&amp;"__wt",'SegEnds_Xtal_BW#'!$A:$Z,26,FALSE)</f>
        <v>64</v>
      </c>
      <c r="AA105" s="27" t="str">
        <f>VLOOKUP(A105,Classification!A:B,2,FALSE)</f>
        <v>A</v>
      </c>
      <c r="AB105" s="1">
        <f>VLOOKUP(A105,'SegEnds_NonXtal_Prot#'!A:AL,10,FALSE)-VLOOKUP(A105,'SegEnds_NonXtal_Prot#'!A:AL,4,FALSE)</f>
        <v>30</v>
      </c>
      <c r="AC105" s="1" t="e">
        <f>VLOOKUP(A105,'SegEnds_NonXtal_Prot#'!A:AL,10,FALSE)-VLOOKUP(A105,'SegEnds_NonXtal_Prot#'!A:AL,7,FALSE)</f>
        <v>#VALUE!</v>
      </c>
      <c r="AD105" s="1">
        <f>VLOOKUP(A105,'SegEnds_NonXtal_Prot#'!A:AL,13,FALSE)-VLOOKUP(A105,'SegEnds_NonXtal_Prot#'!A:AL,10,FALSE)</f>
        <v>20</v>
      </c>
      <c r="AE105" s="1">
        <f>VLOOKUP(A105,'SegEnds_NonXtal_Prot#'!A:AL,16,FALSE)-VLOOKUP(A105,'SegEnds_NonXtal_Prot#'!A:AL,10,FALSE)</f>
        <v>52</v>
      </c>
      <c r="AF105" s="1">
        <f>VLOOKUP(A105,'SegEnds_NonXtal_Prot#'!A:AL,22,FALSE)-VLOOKUP(A105,'SegEnds_NonXtal_Prot#'!A:AL,19,FALSE)</f>
        <v>20</v>
      </c>
      <c r="AG105" s="1">
        <f>VLOOKUP(A105,'SegEnds_NonXtal_Prot#'!A:AL,28,FALSE)-VLOOKUP(A105,'SegEnds_NonXtal_Prot#'!A:AL,25,FALSE)</f>
        <v>22</v>
      </c>
      <c r="AH105" s="1">
        <f>VLOOKUP(A105,'SegEnds_NonXtal_Prot#'!A:AL,28,FALSE)-VLOOKUP(A105,'SegEnds_NonXtal_Prot#'!A:AL,22,FALSE)</f>
        <v>48</v>
      </c>
      <c r="AI105" s="1">
        <f>VLOOKUP(A105,'SegEnds_NonXtal_Prot#'!A:AL,31,FALSE)-VLOOKUP(A105,'SegEnds_NonXtal_Prot#'!A:AL,28,FALSE)</f>
        <v>48</v>
      </c>
      <c r="AJ105" s="1">
        <f>VLOOKUP(A105,'SegEnds_NonXtal_Prot#'!A:AL,34,FALSE)-VLOOKUP(A105,'SegEnds_NonXtal_Prot#'!A:AL,31,FALSE)</f>
        <v>40</v>
      </c>
      <c r="AK105" s="1">
        <f>VLOOKUP(A105,'SegEnds_NonXtal_Prot#'!A:AL,37,FALSE)-VLOOKUP(A105,'SegEnds_NonXtal_Prot#'!A:AL,34,FALSE)</f>
        <v>10</v>
      </c>
      <c r="AL105" s="1" t="str">
        <f>IF(ISERROR(MATCH(A105,'SegEnds_Xtal_Prot#'!B:B, 0)), "NoXtal", "Xtal")</f>
        <v>NoXtal</v>
      </c>
    </row>
    <row r="106" spans="1:38" x14ac:dyDescent="0.2">
      <c r="A106" s="1" t="s">
        <v>226</v>
      </c>
      <c r="B106" s="1" t="str">
        <f>VLOOKUP(A106,Xtal_Templ!A:B,2,FALSE)</f>
        <v>par1_human</v>
      </c>
      <c r="C106" s="5">
        <f>VLOOKUP($B106&amp;"__wt",'SegEnds_Xtal_BW#'!$A:$Z,3,FALSE)</f>
        <v>29</v>
      </c>
      <c r="D106" s="1">
        <f>VLOOKUP($B106&amp;"__wt",'SegEnds_Xtal_BW#'!$A:$Z,4,FALSE)</f>
        <v>60</v>
      </c>
      <c r="E106" s="1">
        <f>VLOOKUP($B106&amp;"__wt",'SegEnds_Xtal_BW#'!$A:$Z,5,FALSE)</f>
        <v>48</v>
      </c>
      <c r="F106" s="1">
        <f>VLOOKUP($B106&amp;"__wt",'SegEnds_Xtal_BW#'!$A:$Z,6,FALSE)</f>
        <v>51</v>
      </c>
      <c r="G106" s="1">
        <v>37</v>
      </c>
      <c r="H106" s="12">
        <f>VLOOKUP($B106&amp;"__wt",'SegEnds_Xtal_BW#'!$A:$Z,8,FALSE)</f>
        <v>66</v>
      </c>
      <c r="I106" s="1">
        <f>VLOOKUP($B106&amp;"__wt",'SegEnds_Xtal_BW#'!$A:$Z,9,FALSE)</f>
        <v>49</v>
      </c>
      <c r="J106" s="1">
        <f>VLOOKUP($B106&amp;"__wt",'SegEnds_Xtal_BW#'!$A:$Z,10,FALSE)</f>
        <v>52</v>
      </c>
      <c r="K106" s="12">
        <v>18</v>
      </c>
      <c r="L106" s="1">
        <f>VLOOKUP($B106&amp;"__wt",'SegEnds_Xtal_BW#'!$A:$Z,12,FALSE)</f>
        <v>56</v>
      </c>
      <c r="M106" s="1">
        <f>VLOOKUP($B106&amp;"__wt",'SegEnds_Xtal_BW#'!$A:$Z,13,FALSE)</f>
        <v>50</v>
      </c>
      <c r="N106" s="12">
        <v>57</v>
      </c>
      <c r="O106" s="87">
        <f>VLOOKUP($B106&amp;"__wt",'SegEnds_Xtal_BW#'!$A:$Z,15,FALSE)</f>
        <v>38</v>
      </c>
      <c r="P106" s="1">
        <v>63</v>
      </c>
      <c r="Q106" s="1">
        <f>VLOOKUP($B106&amp;"__wt",'SegEnds_Xtal_BW#'!$A:$Z,17,FALSE)</f>
        <v>50</v>
      </c>
      <c r="R106" s="1">
        <f>VLOOKUP($B106&amp;"__wt",'SegEnds_Xtal_BW#'!$A:$Z,18,FALSE)</f>
        <v>52</v>
      </c>
      <c r="S106" s="1">
        <v>35</v>
      </c>
      <c r="T106" s="1">
        <f t="array" ref="T106">INDEX(ICL3_classA!$G$2:$G$37,MATCH(MIN(ABS(AI106-ICL3_classA!$F$2:$F$37)),ABS(AI106-ICL3_classA!$F$2:$F$37),0))</f>
        <v>73</v>
      </c>
      <c r="U106" s="1">
        <f t="array" ref="U106">INDEX(ICL3_classA!$H$2:$H$37,MATCH(MIN(ABS(AI106-ICL3_classA!$F$2:$F$37)),ABS(AI106-ICL3_classA!$F$2:$F$37),0))</f>
        <v>24</v>
      </c>
      <c r="V106" s="1">
        <v>61</v>
      </c>
      <c r="W106" s="1">
        <v>31</v>
      </c>
      <c r="X106" s="1">
        <f>VLOOKUP($B106&amp;"__wt",'SegEnds_Xtal_BW#'!$A:$Z,24,FALSE)</f>
        <v>56</v>
      </c>
      <c r="Y106" s="1">
        <f>VLOOKUP($B106&amp;"__wt",'SegEnds_Xtal_BW#'!$A:$Z,25,FALSE)</f>
        <v>47</v>
      </c>
      <c r="Z106" s="1">
        <f>VLOOKUP($B106&amp;"__wt",'SegEnds_Xtal_BW#'!$A:$Z,26,FALSE)</f>
        <v>61</v>
      </c>
      <c r="AA106" s="27" t="str">
        <f>VLOOKUP(A106,Classification!A:B,2,FALSE)</f>
        <v>A</v>
      </c>
      <c r="AB106" s="1">
        <f>VLOOKUP(A106,'SegEnds_NonXtal_Prot#'!A:AL,10,FALSE)-VLOOKUP(A106,'SegEnds_NonXtal_Prot#'!A:AL,4,FALSE)</f>
        <v>27</v>
      </c>
      <c r="AC106" s="1" t="e">
        <f>VLOOKUP(A106,'SegEnds_NonXtal_Prot#'!A:AL,10,FALSE)-VLOOKUP(A106,'SegEnds_NonXtal_Prot#'!A:AL,7,FALSE)</f>
        <v>#VALUE!</v>
      </c>
      <c r="AD106" s="1" t="e">
        <f>VLOOKUP(A106,'SegEnds_NonXtal_Prot#'!A:AL,13,FALSE)-VLOOKUP(A106,'SegEnds_NonXtal_Prot#'!A:AL,10,FALSE)</f>
        <v>#VALUE!</v>
      </c>
      <c r="AE106" s="1">
        <f>VLOOKUP(A106,'SegEnds_NonXtal_Prot#'!A:AL,16,FALSE)-VLOOKUP(A106,'SegEnds_NonXtal_Prot#'!A:AL,10,FALSE)</f>
        <v>54</v>
      </c>
      <c r="AF106" s="1" t="e">
        <f>VLOOKUP(A106,'SegEnds_NonXtal_Prot#'!A:AL,22,FALSE)-VLOOKUP(A106,'SegEnds_NonXtal_Prot#'!A:AL,19,FALSE)</f>
        <v>#VALUE!</v>
      </c>
      <c r="AG106" s="1">
        <f>VLOOKUP(A106,'SegEnds_NonXtal_Prot#'!A:AL,28,FALSE)-VLOOKUP(A106,'SegEnds_NonXtal_Prot#'!A:AL,25,FALSE)</f>
        <v>22</v>
      </c>
      <c r="AH106" s="1">
        <f>VLOOKUP(A106,'SegEnds_NonXtal_Prot#'!A:AL,28,FALSE)-VLOOKUP(A106,'SegEnds_NonXtal_Prot#'!A:AL,22,FALSE)</f>
        <v>49</v>
      </c>
      <c r="AI106" s="1">
        <f>VLOOKUP(A106,'SegEnds_NonXtal_Prot#'!A:AL,31,FALSE)-VLOOKUP(A106,'SegEnds_NonXtal_Prot#'!A:AL,28,FALSE)</f>
        <v>58</v>
      </c>
      <c r="AJ106" s="1">
        <f>VLOOKUP(A106,'SegEnds_NonXtal_Prot#'!A:AL,34,FALSE)-VLOOKUP(A106,'SegEnds_NonXtal_Prot#'!A:AL,31,FALSE)</f>
        <v>35</v>
      </c>
      <c r="AK106" s="1">
        <f>VLOOKUP(A106,'SegEnds_NonXtal_Prot#'!A:AL,37,FALSE)-VLOOKUP(A106,'SegEnds_NonXtal_Prot#'!A:AL,34,FALSE)</f>
        <v>10</v>
      </c>
      <c r="AL106" s="1" t="str">
        <f>IF(ISERROR(MATCH(A106,'SegEnds_Xtal_Prot#'!B:B, 0)), "NoXtal", "Xtal")</f>
        <v>NoXtal</v>
      </c>
    </row>
    <row r="107" spans="1:38" x14ac:dyDescent="0.2">
      <c r="A107" s="1" t="s">
        <v>227</v>
      </c>
      <c r="B107" s="1" t="str">
        <f>VLOOKUP(A107,Xtal_Templ!A:B,2,FALSE)</f>
        <v>5ht1b_human</v>
      </c>
      <c r="C107" s="5">
        <f>VLOOKUP($B107&amp;"__wt",'SegEnds_Xtal_BW#'!$A:$Z,3,FALSE)</f>
        <v>28</v>
      </c>
      <c r="D107" s="1">
        <f>VLOOKUP($B107&amp;"__wt",'SegEnds_Xtal_BW#'!$A:$Z,4,FALSE)</f>
        <v>60</v>
      </c>
      <c r="E107" s="1">
        <f>VLOOKUP($B107&amp;"__wt",'SegEnds_Xtal_BW#'!$A:$Z,5,FALSE)</f>
        <v>48</v>
      </c>
      <c r="F107" s="1">
        <f>VLOOKUP($B107&amp;"__wt",'SegEnds_Xtal_BW#'!$A:$Z,6,FALSE)</f>
        <v>51</v>
      </c>
      <c r="G107" s="1">
        <v>37</v>
      </c>
      <c r="H107" s="12">
        <f>VLOOKUP($B107&amp;"__wt",'SegEnds_Xtal_BW#'!$A:$Z,8,FALSE)</f>
        <v>68</v>
      </c>
      <c r="I107" s="1">
        <f>VLOOKUP($B107&amp;"__wt",'SegEnds_Xtal_BW#'!$A:$Z,9,FALSE)</f>
        <v>49</v>
      </c>
      <c r="J107" s="1">
        <f>VLOOKUP($B107&amp;"__wt",'SegEnds_Xtal_BW#'!$A:$Z,10,FALSE)</f>
        <v>52</v>
      </c>
      <c r="K107" s="12">
        <v>18</v>
      </c>
      <c r="L107" s="1">
        <f>VLOOKUP($B107&amp;"__wt",'SegEnds_Xtal_BW#'!$A:$Z,12,FALSE)</f>
        <v>56</v>
      </c>
      <c r="M107" s="1">
        <f>VLOOKUP($B107&amp;"__wt",'SegEnds_Xtal_BW#'!$A:$Z,13,FALSE)</f>
        <v>50</v>
      </c>
      <c r="N107" s="12">
        <f>VLOOKUP($B107&amp;"__wt",'SegEnds_Xtal_BW#'!$A:$Z,14,FALSE)</f>
        <v>57</v>
      </c>
      <c r="O107" s="87">
        <v>38</v>
      </c>
      <c r="P107" s="1">
        <v>63</v>
      </c>
      <c r="Q107" s="1">
        <f>VLOOKUP($B107&amp;"__wt",'SegEnds_Xtal_BW#'!$A:$Z,17,FALSE)</f>
        <v>50</v>
      </c>
      <c r="R107" s="1">
        <f>VLOOKUP($B107&amp;"__wt",'SegEnds_Xtal_BW#'!$A:$Z,18,FALSE)</f>
        <v>52</v>
      </c>
      <c r="S107" s="1">
        <v>35</v>
      </c>
      <c r="T107" s="1">
        <f t="array" ref="T107">INDEX(ICL3_classA!$G$2:$G$37,MATCH(MIN(ABS(AI107-ICL3_classA!$F$2:$F$37)),ABS(AI107-ICL3_classA!$F$2:$F$37),0))</f>
        <v>76</v>
      </c>
      <c r="U107" s="1">
        <f t="array" ref="U107">INDEX(ICL3_classA!$H$2:$H$37,MATCH(MIN(ABS(AI107-ICL3_classA!$F$2:$F$37)),ABS(AI107-ICL3_classA!$F$2:$F$37),0))</f>
        <v>24</v>
      </c>
      <c r="V107" s="1">
        <v>61</v>
      </c>
      <c r="W107" s="1">
        <v>31</v>
      </c>
      <c r="X107" s="1">
        <f>VLOOKUP($B107&amp;"__wt",'SegEnds_Xtal_BW#'!$A:$Z,24,FALSE)</f>
        <v>56</v>
      </c>
      <c r="Y107" s="1">
        <f>VLOOKUP($B107&amp;"__wt",'SegEnds_Xtal_BW#'!$A:$Z,25,FALSE)</f>
        <v>47</v>
      </c>
      <c r="Z107" s="1">
        <f>VLOOKUP($B107&amp;"__wt",'SegEnds_Xtal_BW#'!$A:$Z,26,FALSE)</f>
        <v>58</v>
      </c>
      <c r="AA107" s="27" t="str">
        <f>VLOOKUP(A107,Classification!A:B,2,FALSE)</f>
        <v>A</v>
      </c>
      <c r="AB107" s="1">
        <f>VLOOKUP(A107,'SegEnds_NonXtal_Prot#'!A:AL,10,FALSE)-VLOOKUP(A107,'SegEnds_NonXtal_Prot#'!A:AL,4,FALSE)</f>
        <v>28</v>
      </c>
      <c r="AC107" s="1">
        <f>VLOOKUP(A107,'SegEnds_NonXtal_Prot#'!A:AL,10,FALSE)-VLOOKUP(A107,'SegEnds_NonXtal_Prot#'!A:AL,7,FALSE)</f>
        <v>15</v>
      </c>
      <c r="AD107" s="1">
        <f>VLOOKUP(A107,'SegEnds_NonXtal_Prot#'!A:AL,13,FALSE)-VLOOKUP(A107,'SegEnds_NonXtal_Prot#'!A:AL,10,FALSE)</f>
        <v>20</v>
      </c>
      <c r="AE107" s="1">
        <f>VLOOKUP(A107,'SegEnds_NonXtal_Prot#'!A:AL,16,FALSE)-VLOOKUP(A107,'SegEnds_NonXtal_Prot#'!A:AL,10,FALSE)</f>
        <v>52</v>
      </c>
      <c r="AF107" s="1">
        <f>VLOOKUP(A107,'SegEnds_NonXtal_Prot#'!A:AL,22,FALSE)-VLOOKUP(A107,'SegEnds_NonXtal_Prot#'!A:AL,19,FALSE)</f>
        <v>20</v>
      </c>
      <c r="AG107" s="1">
        <f>VLOOKUP(A107,'SegEnds_NonXtal_Prot#'!A:AL,28,FALSE)-VLOOKUP(A107,'SegEnds_NonXtal_Prot#'!A:AL,25,FALSE)</f>
        <v>22</v>
      </c>
      <c r="AH107" s="1">
        <f>VLOOKUP(A107,'SegEnds_NonXtal_Prot#'!A:AL,28,FALSE)-VLOOKUP(A107,'SegEnds_NonXtal_Prot#'!A:AL,22,FALSE)</f>
        <v>48</v>
      </c>
      <c r="AI107" s="1">
        <f>VLOOKUP(A107,'SegEnds_NonXtal_Prot#'!A:AL,31,FALSE)-VLOOKUP(A107,'SegEnds_NonXtal_Prot#'!A:AL,28,FALSE)</f>
        <v>85</v>
      </c>
      <c r="AJ107" s="1">
        <f>VLOOKUP(A107,'SegEnds_NonXtal_Prot#'!A:AL,34,FALSE)-VLOOKUP(A107,'SegEnds_NonXtal_Prot#'!A:AL,31,FALSE)</f>
        <v>36</v>
      </c>
      <c r="AK107" s="1">
        <f>VLOOKUP(A107,'SegEnds_NonXtal_Prot#'!A:AL,37,FALSE)-VLOOKUP(A107,'SegEnds_NonXtal_Prot#'!A:AL,34,FALSE)</f>
        <v>10</v>
      </c>
      <c r="AL107" s="1" t="str">
        <f>IF(ISERROR(MATCH(A107,'SegEnds_Xtal_Prot#'!B:B, 0)), "NoXtal", "Xtal")</f>
        <v>NoXtal</v>
      </c>
    </row>
    <row r="108" spans="1:38" x14ac:dyDescent="0.2">
      <c r="A108" s="1" t="s">
        <v>229</v>
      </c>
      <c r="B108" s="1" t="str">
        <f>VLOOKUP(A108,Xtal_Templ!A:B,2,FALSE)</f>
        <v>p2y12_human</v>
      </c>
      <c r="C108" s="5">
        <f>VLOOKUP($B108&amp;"__wt",'SegEnds_Xtal_BW#'!$A:$Z,3,FALSE)</f>
        <v>28</v>
      </c>
      <c r="D108" s="1">
        <f>VLOOKUP($B108&amp;"__wt",'SegEnds_Xtal_BW#'!$A:$Z,4,FALSE)</f>
        <v>60</v>
      </c>
      <c r="E108" s="1" t="str">
        <f>VLOOKUP($B108&amp;"__wt",'SegEnds_Xtal_BW#'!$A:$Z,5,FALSE)</f>
        <v>-</v>
      </c>
      <c r="F108" s="1" t="str">
        <f>VLOOKUP($B108&amp;"__wt",'SegEnds_Xtal_BW#'!$A:$Z,6,FALSE)</f>
        <v>-</v>
      </c>
      <c r="G108" s="1">
        <v>37</v>
      </c>
      <c r="H108" s="12">
        <f>VLOOKUP($B108&amp;"__wt",'SegEnds_Xtal_BW#'!$A:$Z,8,FALSE)</f>
        <v>66</v>
      </c>
      <c r="I108" s="1" t="str">
        <f>VLOOKUP($B108&amp;"__wt",'SegEnds_Xtal_BW#'!$A:$Z,9,FALSE)</f>
        <v>-</v>
      </c>
      <c r="J108" s="1" t="str">
        <f>VLOOKUP($B108&amp;"__wt",'SegEnds_Xtal_BW#'!$A:$Z,10,FALSE)</f>
        <v>-</v>
      </c>
      <c r="K108" s="12">
        <v>18</v>
      </c>
      <c r="L108" s="1">
        <f>VLOOKUP($B108&amp;"__wt",'SegEnds_Xtal_BW#'!$A:$Z,12,FALSE)</f>
        <v>56</v>
      </c>
      <c r="M108" s="1">
        <f>VLOOKUP($B108&amp;"__wt",'SegEnds_Xtal_BW#'!$A:$Z,13,FALSE)</f>
        <v>50</v>
      </c>
      <c r="N108" s="12">
        <v>57</v>
      </c>
      <c r="O108" s="87">
        <f>VLOOKUP($B108&amp;"__wt",'SegEnds_Xtal_BW#'!$A:$Z,15,FALSE)</f>
        <v>38</v>
      </c>
      <c r="P108" s="1">
        <f>VLOOKUP($B108&amp;"__wt",'SegEnds_Xtal_BW#'!$A:$Z,16,FALSE)</f>
        <v>64</v>
      </c>
      <c r="Q108" s="1">
        <f>VLOOKUP($B108&amp;"__wt",'SegEnds_Xtal_BW#'!$A:$Z,17,FALSE)</f>
        <v>50</v>
      </c>
      <c r="R108" s="1">
        <f>VLOOKUP($B108&amp;"__wt",'SegEnds_Xtal_BW#'!$A:$Z,18,FALSE)</f>
        <v>52</v>
      </c>
      <c r="S108" s="1">
        <f>VLOOKUP($B108&amp;"__wt",'SegEnds_Xtal_BW#'!$A:$Z,19,FALSE)</f>
        <v>30</v>
      </c>
      <c r="T108" s="1">
        <f t="array" ref="T108">INDEX(ICL3_classA!$G$2:$G$37,MATCH(MIN(ABS(AI108-ICL3_classA!$F$2:$F$37)),ABS(AI108-ICL3_classA!$F$2:$F$37),0))</f>
        <v>67</v>
      </c>
      <c r="U108" s="1">
        <f t="array" ref="U108">INDEX(ICL3_classA!$H$2:$H$37,MATCH(MIN(ABS(AI108-ICL3_classA!$F$2:$F$37)),ABS(AI108-ICL3_classA!$F$2:$F$37),0))</f>
        <v>26</v>
      </c>
      <c r="V108" s="1">
        <v>64</v>
      </c>
      <c r="W108" s="1">
        <v>24</v>
      </c>
      <c r="X108" s="1">
        <f>VLOOKUP($B108&amp;"__wt",'SegEnds_Xtal_BW#'!$A:$Z,24,FALSE)</f>
        <v>56</v>
      </c>
      <c r="Y108" s="1">
        <f>VLOOKUP($B108&amp;"__wt",'SegEnds_Xtal_BW#'!$A:$Z,25,FALSE)</f>
        <v>47</v>
      </c>
      <c r="Z108" s="1">
        <f>VLOOKUP($B108&amp;"__wt",'SegEnds_Xtal_BW#'!$A:$Z,26,FALSE)</f>
        <v>57</v>
      </c>
      <c r="AA108" s="27" t="str">
        <f>VLOOKUP(A108,Classification!A:B,2,FALSE)</f>
        <v>A</v>
      </c>
      <c r="AB108" s="1">
        <f>VLOOKUP(A108,'SegEnds_NonXtal_Prot#'!A:AL,10,FALSE)-VLOOKUP(A108,'SegEnds_NonXtal_Prot#'!A:AL,4,FALSE)</f>
        <v>28</v>
      </c>
      <c r="AC108" s="1" t="e">
        <f>VLOOKUP(A108,'SegEnds_NonXtal_Prot#'!A:AL,10,FALSE)-VLOOKUP(A108,'SegEnds_NonXtal_Prot#'!A:AL,7,FALSE)</f>
        <v>#VALUE!</v>
      </c>
      <c r="AD108" s="1" t="e">
        <f>VLOOKUP(A108,'SegEnds_NonXtal_Prot#'!A:AL,13,FALSE)-VLOOKUP(A108,'SegEnds_NonXtal_Prot#'!A:AL,10,FALSE)</f>
        <v>#VALUE!</v>
      </c>
      <c r="AE108" s="1">
        <f>VLOOKUP(A108,'SegEnds_NonXtal_Prot#'!A:AL,16,FALSE)-VLOOKUP(A108,'SegEnds_NonXtal_Prot#'!A:AL,10,FALSE)</f>
        <v>52</v>
      </c>
      <c r="AF108" s="1">
        <f>VLOOKUP(A108,'SegEnds_NonXtal_Prot#'!A:AL,22,FALSE)-VLOOKUP(A108,'SegEnds_NonXtal_Prot#'!A:AL,19,FALSE)</f>
        <v>20</v>
      </c>
      <c r="AG108" s="1">
        <f>VLOOKUP(A108,'SegEnds_NonXtal_Prot#'!A:AL,28,FALSE)-VLOOKUP(A108,'SegEnds_NonXtal_Prot#'!A:AL,25,FALSE)</f>
        <v>26</v>
      </c>
      <c r="AH108" s="1">
        <f>VLOOKUP(A108,'SegEnds_NonXtal_Prot#'!A:AL,28,FALSE)-VLOOKUP(A108,'SegEnds_NonXtal_Prot#'!A:AL,22,FALSE)</f>
        <v>52</v>
      </c>
      <c r="AI108" s="1">
        <f>VLOOKUP(A108,'SegEnds_NonXtal_Prot#'!A:AL,31,FALSE)-VLOOKUP(A108,'SegEnds_NonXtal_Prot#'!A:AL,28,FALSE)</f>
        <v>47</v>
      </c>
      <c r="AJ108" s="1">
        <f>VLOOKUP(A108,'SegEnds_NonXtal_Prot#'!A:AL,34,FALSE)-VLOOKUP(A108,'SegEnds_NonXtal_Prot#'!A:AL,31,FALSE)</f>
        <v>44</v>
      </c>
      <c r="AK108" s="1">
        <f>VLOOKUP(A108,'SegEnds_NonXtal_Prot#'!A:AL,37,FALSE)-VLOOKUP(A108,'SegEnds_NonXtal_Prot#'!A:AL,34,FALSE)</f>
        <v>10</v>
      </c>
      <c r="AL108" s="1" t="str">
        <f>IF(ISERROR(MATCH(A108,'SegEnds_Xtal_Prot#'!B:B, 0)), "NoXtal", "Xtal")</f>
        <v>NoXtal</v>
      </c>
    </row>
    <row r="109" spans="1:38" x14ac:dyDescent="0.2">
      <c r="A109" s="1" t="s">
        <v>230</v>
      </c>
      <c r="B109" s="1" t="str">
        <f>VLOOKUP(A109,Xtal_Templ!A:B,2,FALSE)</f>
        <v>ox1r_human</v>
      </c>
      <c r="C109" s="5">
        <f>VLOOKUP($B109&amp;"__wt",'SegEnds_Xtal_BW#'!$A:$Z,3,FALSE)</f>
        <v>32</v>
      </c>
      <c r="D109" s="1">
        <f>VLOOKUP($B109&amp;"__wt",'SegEnds_Xtal_BW#'!$A:$Z,4,FALSE)</f>
        <v>60</v>
      </c>
      <c r="E109" s="1">
        <f>VLOOKUP($B109&amp;"__wt",'SegEnds_Xtal_BW#'!$A:$Z,5,FALSE)</f>
        <v>48</v>
      </c>
      <c r="F109" s="1">
        <f>VLOOKUP($B109&amp;"__wt",'SegEnds_Xtal_BW#'!$A:$Z,6,FALSE)</f>
        <v>51</v>
      </c>
      <c r="G109" s="1">
        <v>37</v>
      </c>
      <c r="H109" s="12">
        <f>VLOOKUP($B109&amp;"__wt",'SegEnds_Xtal_BW#'!$A:$Z,8,FALSE)</f>
        <v>67</v>
      </c>
      <c r="I109" s="1">
        <f>VLOOKUP($B109&amp;"__wt",'SegEnds_Xtal_BW#'!$A:$Z,9,FALSE)</f>
        <v>49</v>
      </c>
      <c r="J109" s="1">
        <f>VLOOKUP($B109&amp;"__wt",'SegEnds_Xtal_BW#'!$A:$Z,10,FALSE)</f>
        <v>52</v>
      </c>
      <c r="K109" s="12">
        <v>18</v>
      </c>
      <c r="L109" s="1">
        <f>VLOOKUP($B109&amp;"__wt",'SegEnds_Xtal_BW#'!$A:$Z,12,FALSE)</f>
        <v>56</v>
      </c>
      <c r="M109" s="1">
        <f>VLOOKUP($B109&amp;"__wt",'SegEnds_Xtal_BW#'!$A:$Z,13,FALSE)</f>
        <v>50</v>
      </c>
      <c r="N109" s="12">
        <v>57</v>
      </c>
      <c r="O109" s="87">
        <f>VLOOKUP($B109&amp;"__wt",'SegEnds_Xtal_BW#'!$A:$Z,15,FALSE)</f>
        <v>38</v>
      </c>
      <c r="P109" s="1">
        <f>VLOOKUP($B109&amp;"__wt",'SegEnds_Xtal_BW#'!$A:$Z,16,FALSE)</f>
        <v>64</v>
      </c>
      <c r="Q109" s="1">
        <f>VLOOKUP($B109&amp;"__wt",'SegEnds_Xtal_BW#'!$A:$Z,17,FALSE)</f>
        <v>50</v>
      </c>
      <c r="R109" s="1">
        <f>VLOOKUP($B109&amp;"__wt",'SegEnds_Xtal_BW#'!$A:$Z,18,FALSE)</f>
        <v>52</v>
      </c>
      <c r="S109" s="1">
        <v>35</v>
      </c>
      <c r="T109" s="1">
        <f t="array" ref="T109">INDEX(ICL3_classA!$G$2:$G$37,MATCH(MIN(ABS(AI109-ICL3_classA!$F$2:$F$37)),ABS(AI109-ICL3_classA!$F$2:$F$37),0))</f>
        <v>74</v>
      </c>
      <c r="U109" s="1">
        <f t="array" ref="U109">INDEX(ICL3_classA!$H$2:$H$37,MATCH(MIN(ABS(AI109-ICL3_classA!$F$2:$F$37)),ABS(AI109-ICL3_classA!$F$2:$F$37),0))</f>
        <v>21</v>
      </c>
      <c r="V109" s="1">
        <v>61</v>
      </c>
      <c r="W109" s="1">
        <v>31</v>
      </c>
      <c r="X109" s="1">
        <f>VLOOKUP($B109&amp;"__wt",'SegEnds_Xtal_BW#'!$A:$Z,24,FALSE)</f>
        <v>56</v>
      </c>
      <c r="Y109" s="1">
        <f>VLOOKUP($B109&amp;"__wt",'SegEnds_Xtal_BW#'!$A:$Z,25,FALSE)</f>
        <v>47</v>
      </c>
      <c r="Z109" s="1">
        <f>VLOOKUP($B109&amp;"__wt",'SegEnds_Xtal_BW#'!$A:$Z,26,FALSE)</f>
        <v>58</v>
      </c>
      <c r="AA109" s="27" t="str">
        <f>VLOOKUP(A109,Classification!A:B,2,FALSE)</f>
        <v>A</v>
      </c>
      <c r="AB109" s="1">
        <f>VLOOKUP(A109,'SegEnds_NonXtal_Prot#'!A:AL,10,FALSE)-VLOOKUP(A109,'SegEnds_NonXtal_Prot#'!A:AL,4,FALSE)</f>
        <v>28</v>
      </c>
      <c r="AC109" s="1">
        <f>VLOOKUP(A109,'SegEnds_NonXtal_Prot#'!A:AL,10,FALSE)-VLOOKUP(A109,'SegEnds_NonXtal_Prot#'!A:AL,7,FALSE)</f>
        <v>15</v>
      </c>
      <c r="AD109" s="1">
        <f>VLOOKUP(A109,'SegEnds_NonXtal_Prot#'!A:AL,13,FALSE)-VLOOKUP(A109,'SegEnds_NonXtal_Prot#'!A:AL,10,FALSE)</f>
        <v>21</v>
      </c>
      <c r="AE109" s="1">
        <f>VLOOKUP(A109,'SegEnds_NonXtal_Prot#'!A:AL,16,FALSE)-VLOOKUP(A109,'SegEnds_NonXtal_Prot#'!A:AL,10,FALSE)</f>
        <v>53</v>
      </c>
      <c r="AF109" s="1">
        <f>VLOOKUP(A109,'SegEnds_NonXtal_Prot#'!A:AL,22,FALSE)-VLOOKUP(A109,'SegEnds_NonXtal_Prot#'!A:AL,19,FALSE)</f>
        <v>20</v>
      </c>
      <c r="AG109" s="1">
        <f>VLOOKUP(A109,'SegEnds_NonXtal_Prot#'!A:AL,28,FALSE)-VLOOKUP(A109,'SegEnds_NonXtal_Prot#'!A:AL,25,FALSE)</f>
        <v>61</v>
      </c>
      <c r="AH109" s="1">
        <f>VLOOKUP(A109,'SegEnds_NonXtal_Prot#'!A:AL,28,FALSE)-VLOOKUP(A109,'SegEnds_NonXtal_Prot#'!A:AL,22,FALSE)</f>
        <v>87</v>
      </c>
      <c r="AI109" s="1">
        <f>VLOOKUP(A109,'SegEnds_NonXtal_Prot#'!A:AL,31,FALSE)-VLOOKUP(A109,'SegEnds_NonXtal_Prot#'!A:AL,28,FALSE)</f>
        <v>66</v>
      </c>
      <c r="AJ109" s="1">
        <f>VLOOKUP(A109,'SegEnds_NonXtal_Prot#'!A:AL,34,FALSE)-VLOOKUP(A109,'SegEnds_NonXtal_Prot#'!A:AL,31,FALSE)</f>
        <v>36</v>
      </c>
      <c r="AK109" s="1">
        <f>VLOOKUP(A109,'SegEnds_NonXtal_Prot#'!A:AL,37,FALSE)-VLOOKUP(A109,'SegEnds_NonXtal_Prot#'!A:AL,34,FALSE)</f>
        <v>10</v>
      </c>
      <c r="AL109" s="1" t="str">
        <f>IF(ISERROR(MATCH(A109,'SegEnds_Xtal_Prot#'!B:B, 0)), "NoXtal", "Xtal")</f>
        <v>NoXtal</v>
      </c>
    </row>
    <row r="110" spans="1:38" x14ac:dyDescent="0.2">
      <c r="A110" s="1" t="s">
        <v>231</v>
      </c>
      <c r="B110" s="1" t="str">
        <f>VLOOKUP(A110,Xtal_Templ!A:B,2,FALSE)</f>
        <v>p2ry1_human</v>
      </c>
      <c r="C110" s="5">
        <f>VLOOKUP($B110&amp;"__wt",'SegEnds_Xtal_BW#'!$A:$Z,3,FALSE)</f>
        <v>30</v>
      </c>
      <c r="D110" s="1">
        <f>VLOOKUP($B110&amp;"__wt",'SegEnds_Xtal_BW#'!$A:$Z,4,FALSE)</f>
        <v>60</v>
      </c>
      <c r="E110" s="1" t="str">
        <f>VLOOKUP($B110&amp;"__wt",'SegEnds_Xtal_BW#'!$A:$Z,5,FALSE)</f>
        <v>-</v>
      </c>
      <c r="F110" s="1" t="str">
        <f>VLOOKUP($B110&amp;"__wt",'SegEnds_Xtal_BW#'!$A:$Z,6,FALSE)</f>
        <v>-</v>
      </c>
      <c r="G110" s="1">
        <v>37</v>
      </c>
      <c r="H110" s="12">
        <v>66</v>
      </c>
      <c r="I110" s="1">
        <f>VLOOKUP($B110&amp;"__wt",'SegEnds_Xtal_BW#'!$A:$Z,9,FALSE)</f>
        <v>49</v>
      </c>
      <c r="J110" s="1">
        <f>VLOOKUP($B110&amp;"__wt",'SegEnds_Xtal_BW#'!$A:$Z,10,FALSE)</f>
        <v>52</v>
      </c>
      <c r="K110" s="12">
        <v>21</v>
      </c>
      <c r="L110" s="1">
        <f>VLOOKUP($B110&amp;"__wt",'SegEnds_Xtal_BW#'!$A:$Z,12,FALSE)</f>
        <v>56</v>
      </c>
      <c r="M110" s="1">
        <f>VLOOKUP($B110&amp;"__wt",'SegEnds_Xtal_BW#'!$A:$Z,13,FALSE)</f>
        <v>50</v>
      </c>
      <c r="N110" s="108">
        <v>56</v>
      </c>
      <c r="O110" s="87">
        <f>VLOOKUP($B110&amp;"__wt",'SegEnds_Xtal_BW#'!$A:$Z,15,FALSE)</f>
        <v>38</v>
      </c>
      <c r="P110" s="1">
        <f>VLOOKUP($B110&amp;"__wt",'SegEnds_Xtal_BW#'!$A:$Z,16,FALSE)</f>
        <v>64</v>
      </c>
      <c r="Q110" s="1">
        <f>VLOOKUP($B110&amp;"__wt",'SegEnds_Xtal_BW#'!$A:$Z,17,FALSE)</f>
        <v>50</v>
      </c>
      <c r="R110" s="1">
        <f>VLOOKUP($B110&amp;"__wt",'SegEnds_Xtal_BW#'!$A:$Z,18,FALSE)</f>
        <v>52</v>
      </c>
      <c r="S110" s="1">
        <f>VLOOKUP($B110&amp;"__wt",'SegEnds_Xtal_BW#'!$A:$Z,19,FALSE)</f>
        <v>32</v>
      </c>
      <c r="T110" s="1">
        <f t="array" ref="T110">INDEX(ICL3_classA!$G$2:$G$37,MATCH(MIN(ABS(AI110-ICL3_classA!$F$2:$F$37)),ABS(AI110-ICL3_classA!$F$2:$F$37),0))</f>
        <v>68</v>
      </c>
      <c r="U110" s="1">
        <f t="array" ref="U110">INDEX(ICL3_classA!$H$2:$H$37,MATCH(MIN(ABS(AI110-ICL3_classA!$F$2:$F$37)),ABS(AI110-ICL3_classA!$F$2:$F$37),0))</f>
        <v>24</v>
      </c>
      <c r="V110" s="1">
        <v>64</v>
      </c>
      <c r="W110" s="1">
        <v>24</v>
      </c>
      <c r="X110" s="1">
        <f>VLOOKUP($B110&amp;"__wt",'SegEnds_Xtal_BW#'!$A:$Z,24,FALSE)</f>
        <v>56</v>
      </c>
      <c r="Y110" s="1">
        <f>VLOOKUP($B110&amp;"__wt",'SegEnds_Xtal_BW#'!$A:$Z,25,FALSE)</f>
        <v>47</v>
      </c>
      <c r="Z110" s="1">
        <f>VLOOKUP($B110&amp;"__wt",'SegEnds_Xtal_BW#'!$A:$Z,26,FALSE)</f>
        <v>59</v>
      </c>
      <c r="AA110" s="27" t="str">
        <f>VLOOKUP(A110,Classification!A:B,2,FALSE)</f>
        <v>A</v>
      </c>
      <c r="AB110" s="1">
        <f>VLOOKUP(A110,'SegEnds_NonXtal_Prot#'!A:AL,10,FALSE)-VLOOKUP(A110,'SegEnds_NonXtal_Prot#'!A:AL,4,FALSE)</f>
        <v>28</v>
      </c>
      <c r="AC110" s="1" t="e">
        <f>VLOOKUP(A110,'SegEnds_NonXtal_Prot#'!A:AL,10,FALSE)-VLOOKUP(A110,'SegEnds_NonXtal_Prot#'!A:AL,7,FALSE)</f>
        <v>#VALUE!</v>
      </c>
      <c r="AD110" s="1">
        <f>VLOOKUP(A110,'SegEnds_NonXtal_Prot#'!A:AL,13,FALSE)-VLOOKUP(A110,'SegEnds_NonXtal_Prot#'!A:AL,10,FALSE)</f>
        <v>19</v>
      </c>
      <c r="AE110" s="1">
        <f>VLOOKUP(A110,'SegEnds_NonXtal_Prot#'!A:AL,16,FALSE)-VLOOKUP(A110,'SegEnds_NonXtal_Prot#'!A:AL,10,FALSE)</f>
        <v>51</v>
      </c>
      <c r="AF110" s="1">
        <f>VLOOKUP(A110,'SegEnds_NonXtal_Prot#'!A:AL,22,FALSE)-VLOOKUP(A110,'SegEnds_NonXtal_Prot#'!A:AL,19,FALSE)</f>
        <v>19</v>
      </c>
      <c r="AG110" s="1">
        <f>VLOOKUP(A110,'SegEnds_NonXtal_Prot#'!A:AL,28,FALSE)-VLOOKUP(A110,'SegEnds_NonXtal_Prot#'!A:AL,25,FALSE)</f>
        <v>29</v>
      </c>
      <c r="AH110" s="1">
        <f>VLOOKUP(A110,'SegEnds_NonXtal_Prot#'!A:AL,28,FALSE)-VLOOKUP(A110,'SegEnds_NonXtal_Prot#'!A:AL,22,FALSE)</f>
        <v>55</v>
      </c>
      <c r="AI110" s="1">
        <f>VLOOKUP(A110,'SegEnds_NonXtal_Prot#'!A:AL,31,FALSE)-VLOOKUP(A110,'SegEnds_NonXtal_Prot#'!A:AL,28,FALSE)</f>
        <v>48</v>
      </c>
      <c r="AJ110" s="1">
        <f>VLOOKUP(A110,'SegEnds_NonXtal_Prot#'!A:AL,34,FALSE)-VLOOKUP(A110,'SegEnds_NonXtal_Prot#'!A:AL,31,FALSE)</f>
        <v>44</v>
      </c>
      <c r="AK110" s="1">
        <f>VLOOKUP(A110,'SegEnds_NonXtal_Prot#'!A:AL,37,FALSE)-VLOOKUP(A110,'SegEnds_NonXtal_Prot#'!A:AL,34,FALSE)</f>
        <v>10</v>
      </c>
      <c r="AL110" s="1" t="str">
        <f>IF(ISERROR(MATCH(A110,'SegEnds_Xtal_Prot#'!B:B, 0)), "NoXtal", "Xtal")</f>
        <v>NoXtal</v>
      </c>
    </row>
    <row r="111" spans="1:38" x14ac:dyDescent="0.2">
      <c r="A111" s="1" t="s">
        <v>232</v>
      </c>
      <c r="B111" s="1" t="str">
        <f>VLOOKUP(A111,Xtal_Templ!A:B,2,FALSE)</f>
        <v>ox1r_human</v>
      </c>
      <c r="C111" s="5">
        <f>VLOOKUP($B111&amp;"__wt",'SegEnds_Xtal_BW#'!$A:$Z,3,FALSE)</f>
        <v>32</v>
      </c>
      <c r="D111" s="1">
        <f>VLOOKUP($B111&amp;"__wt",'SegEnds_Xtal_BW#'!$A:$Z,4,FALSE)</f>
        <v>60</v>
      </c>
      <c r="E111" s="1">
        <f>VLOOKUP($B111&amp;"__wt",'SegEnds_Xtal_BW#'!$A:$Z,5,FALSE)</f>
        <v>48</v>
      </c>
      <c r="F111" s="1">
        <f>VLOOKUP($B111&amp;"__wt",'SegEnds_Xtal_BW#'!$A:$Z,6,FALSE)</f>
        <v>51</v>
      </c>
      <c r="G111" s="1">
        <v>37</v>
      </c>
      <c r="H111" s="12">
        <f>VLOOKUP($B111&amp;"__wt",'SegEnds_Xtal_BW#'!$A:$Z,8,FALSE)</f>
        <v>67</v>
      </c>
      <c r="I111" s="1">
        <f>VLOOKUP($B111&amp;"__wt",'SegEnds_Xtal_BW#'!$A:$Z,9,FALSE)</f>
        <v>49</v>
      </c>
      <c r="J111" s="1">
        <f>VLOOKUP($B111&amp;"__wt",'SegEnds_Xtal_BW#'!$A:$Z,10,FALSE)</f>
        <v>52</v>
      </c>
      <c r="K111" s="12">
        <v>18</v>
      </c>
      <c r="L111" s="1">
        <f>VLOOKUP($B111&amp;"__wt",'SegEnds_Xtal_BW#'!$A:$Z,12,FALSE)</f>
        <v>56</v>
      </c>
      <c r="M111" s="1">
        <f>VLOOKUP($B111&amp;"__wt",'SegEnds_Xtal_BW#'!$A:$Z,13,FALSE)</f>
        <v>50</v>
      </c>
      <c r="N111" s="12">
        <v>56</v>
      </c>
      <c r="O111" s="87">
        <f>VLOOKUP($B111&amp;"__wt",'SegEnds_Xtal_BW#'!$A:$Z,15,FALSE)</f>
        <v>38</v>
      </c>
      <c r="P111" s="1">
        <f>VLOOKUP($B111&amp;"__wt",'SegEnds_Xtal_BW#'!$A:$Z,16,FALSE)</f>
        <v>64</v>
      </c>
      <c r="Q111" s="1">
        <f>VLOOKUP($B111&amp;"__wt",'SegEnds_Xtal_BW#'!$A:$Z,17,FALSE)</f>
        <v>50</v>
      </c>
      <c r="R111" s="1">
        <f>VLOOKUP($B111&amp;"__wt",'SegEnds_Xtal_BW#'!$A:$Z,18,FALSE)</f>
        <v>52</v>
      </c>
      <c r="S111" s="1">
        <f>VLOOKUP($B111&amp;"__wt",'SegEnds_Xtal_BW#'!$A:$Z,19,FALSE)</f>
        <v>32</v>
      </c>
      <c r="T111" s="1">
        <f t="array" ref="T111">INDEX(ICL3_classA!$G$2:$G$37,MATCH(MIN(ABS(AI111-ICL3_classA!$F$2:$F$37)),ABS(AI111-ICL3_classA!$F$2:$F$37),0))</f>
        <v>74</v>
      </c>
      <c r="U111" s="1">
        <f t="array" ref="U111">INDEX(ICL3_classA!$H$2:$H$37,MATCH(MIN(ABS(AI111-ICL3_classA!$F$2:$F$37)),ABS(AI111-ICL3_classA!$F$2:$F$37),0))</f>
        <v>21</v>
      </c>
      <c r="V111" s="1">
        <v>61</v>
      </c>
      <c r="W111" s="1">
        <v>31</v>
      </c>
      <c r="X111" s="1">
        <f>VLOOKUP($B111&amp;"__wt",'SegEnds_Xtal_BW#'!$A:$Z,24,FALSE)</f>
        <v>56</v>
      </c>
      <c r="Y111" s="1">
        <f>VLOOKUP($B111&amp;"__wt",'SegEnds_Xtal_BW#'!$A:$Z,25,FALSE)</f>
        <v>47</v>
      </c>
      <c r="Z111" s="1">
        <f>VLOOKUP($B111&amp;"__wt",'SegEnds_Xtal_BW#'!$A:$Z,26,FALSE)</f>
        <v>58</v>
      </c>
      <c r="AA111" s="27" t="str">
        <f>VLOOKUP(A111,Classification!A:B,2,FALSE)</f>
        <v>A</v>
      </c>
      <c r="AB111" s="1">
        <f>VLOOKUP(A111,'SegEnds_NonXtal_Prot#'!A:AL,10,FALSE)-VLOOKUP(A111,'SegEnds_NonXtal_Prot#'!A:AL,4,FALSE)</f>
        <v>28</v>
      </c>
      <c r="AC111" s="1">
        <f>VLOOKUP(A111,'SegEnds_NonXtal_Prot#'!A:AL,10,FALSE)-VLOOKUP(A111,'SegEnds_NonXtal_Prot#'!A:AL,7,FALSE)</f>
        <v>15</v>
      </c>
      <c r="AD111" s="1">
        <f>VLOOKUP(A111,'SegEnds_NonXtal_Prot#'!A:AL,13,FALSE)-VLOOKUP(A111,'SegEnds_NonXtal_Prot#'!A:AL,10,FALSE)</f>
        <v>22</v>
      </c>
      <c r="AE111" s="1">
        <f>VLOOKUP(A111,'SegEnds_NonXtal_Prot#'!A:AL,16,FALSE)-VLOOKUP(A111,'SegEnds_NonXtal_Prot#'!A:AL,10,FALSE)</f>
        <v>55</v>
      </c>
      <c r="AF111" s="1" t="e">
        <f>VLOOKUP(A111,'SegEnds_NonXtal_Prot#'!A:AL,22,FALSE)-VLOOKUP(A111,'SegEnds_NonXtal_Prot#'!A:AL,19,FALSE)</f>
        <v>#VALUE!</v>
      </c>
      <c r="AG111" s="1">
        <f>VLOOKUP(A111,'SegEnds_NonXtal_Prot#'!A:AL,28,FALSE)-VLOOKUP(A111,'SegEnds_NonXtal_Prot#'!A:AL,25,FALSE)</f>
        <v>25</v>
      </c>
      <c r="AH111" s="1">
        <f>VLOOKUP(A111,'SegEnds_NonXtal_Prot#'!A:AL,28,FALSE)-VLOOKUP(A111,'SegEnds_NonXtal_Prot#'!A:AL,22,FALSE)</f>
        <v>50</v>
      </c>
      <c r="AI111" s="1">
        <f>VLOOKUP(A111,'SegEnds_NonXtal_Prot#'!A:AL,31,FALSE)-VLOOKUP(A111,'SegEnds_NonXtal_Prot#'!A:AL,28,FALSE)</f>
        <v>64</v>
      </c>
      <c r="AJ111" s="1">
        <f>VLOOKUP(A111,'SegEnds_NonXtal_Prot#'!A:AL,34,FALSE)-VLOOKUP(A111,'SegEnds_NonXtal_Prot#'!A:AL,31,FALSE)</f>
        <v>36</v>
      </c>
      <c r="AK111" s="1">
        <f>VLOOKUP(A111,'SegEnds_NonXtal_Prot#'!A:AL,37,FALSE)-VLOOKUP(A111,'SegEnds_NonXtal_Prot#'!A:AL,34,FALSE)</f>
        <v>10</v>
      </c>
      <c r="AL111" s="1" t="str">
        <f>IF(ISERROR(MATCH(A111,'SegEnds_Xtal_Prot#'!B:B, 0)), "NoXtal", "Xtal")</f>
        <v>NoXtal</v>
      </c>
    </row>
    <row r="112" spans="1:38" x14ac:dyDescent="0.2">
      <c r="A112" s="1" t="s">
        <v>233</v>
      </c>
      <c r="B112" s="1" t="str">
        <f>VLOOKUP(A112,Xtal_Templ!A:B,2,FALSE)</f>
        <v>apj_human</v>
      </c>
      <c r="C112" s="5">
        <f>VLOOKUP($B112&amp;"__wt",'SegEnds_Xtal_BW#'!$A:$Z,3,FALSE)</f>
        <v>33</v>
      </c>
      <c r="D112" s="1">
        <f>VLOOKUP($B112&amp;"__wt",'SegEnds_Xtal_BW#'!$A:$Z,4,FALSE)</f>
        <v>60</v>
      </c>
      <c r="E112" s="1">
        <f>VLOOKUP($B112&amp;"__wt",'SegEnds_Xtal_BW#'!$A:$Z,5,FALSE)</f>
        <v>48</v>
      </c>
      <c r="F112" s="1">
        <f>VLOOKUP($B112&amp;"__wt",'SegEnds_Xtal_BW#'!$A:$Z,6,FALSE)</f>
        <v>52</v>
      </c>
      <c r="G112" s="1">
        <v>37</v>
      </c>
      <c r="H112" s="12">
        <f>VLOOKUP($B112&amp;"__wt",'SegEnds_Xtal_BW#'!$A:$Z,8,FALSE)</f>
        <v>67</v>
      </c>
      <c r="I112" s="1">
        <f>VLOOKUP($B112&amp;"__wt",'SegEnds_Xtal_BW#'!$A:$Z,9,FALSE)</f>
        <v>49</v>
      </c>
      <c r="J112" s="1">
        <f>VLOOKUP($B112&amp;"__wt",'SegEnds_Xtal_BW#'!$A:$Z,10,FALSE)</f>
        <v>52</v>
      </c>
      <c r="K112" s="12">
        <v>18</v>
      </c>
      <c r="L112" s="1">
        <f>VLOOKUP($B112&amp;"__wt",'SegEnds_Xtal_BW#'!$A:$Z,12,FALSE)</f>
        <v>56</v>
      </c>
      <c r="M112" s="1">
        <f>VLOOKUP($B112&amp;"__wt",'SegEnds_Xtal_BW#'!$A:$Z,13,FALSE)</f>
        <v>50</v>
      </c>
      <c r="N112" s="12">
        <v>57</v>
      </c>
      <c r="O112" s="87">
        <v>38</v>
      </c>
      <c r="P112" s="1">
        <f>VLOOKUP($B112&amp;"__wt",'SegEnds_Xtal_BW#'!$A:$Z,16,FALSE)</f>
        <v>64</v>
      </c>
      <c r="Q112" s="1">
        <f>VLOOKUP($B112&amp;"__wt",'SegEnds_Xtal_BW#'!$A:$Z,17,FALSE)</f>
        <v>50</v>
      </c>
      <c r="R112" s="1">
        <f>VLOOKUP($B112&amp;"__wt",'SegEnds_Xtal_BW#'!$A:$Z,18,FALSE)</f>
        <v>52</v>
      </c>
      <c r="S112" s="1">
        <f>VLOOKUP($B112&amp;"__wt",'SegEnds_Xtal_BW#'!$A:$Z,19,FALSE)</f>
        <v>30</v>
      </c>
      <c r="T112" s="1">
        <f t="array" ref="T112">INDEX(ICL3_classA!$G$2:$G$37,MATCH(MIN(ABS(AI112-ICL3_classA!$F$2:$F$37)),ABS(AI112-ICL3_classA!$F$2:$F$37),0))</f>
        <v>68</v>
      </c>
      <c r="U112" s="1">
        <f t="array" ref="U112">INDEX(ICL3_classA!$H$2:$H$37,MATCH(MIN(ABS(AI112-ICL3_classA!$F$2:$F$37)),ABS(AI112-ICL3_classA!$F$2:$F$37),0))</f>
        <v>30</v>
      </c>
      <c r="V112" s="1">
        <v>64</v>
      </c>
      <c r="W112" s="1">
        <v>24</v>
      </c>
      <c r="X112" s="1">
        <f>VLOOKUP($B112&amp;"__wt",'SegEnds_Xtal_BW#'!$A:$Z,24,FALSE)</f>
        <v>56</v>
      </c>
      <c r="Y112" s="1">
        <f>VLOOKUP($B112&amp;"__wt",'SegEnds_Xtal_BW#'!$A:$Z,25,FALSE)</f>
        <v>47</v>
      </c>
      <c r="Z112" s="1">
        <f>VLOOKUP($B112&amp;"__wt",'SegEnds_Xtal_BW#'!$A:$Z,26,FALSE)</f>
        <v>61</v>
      </c>
      <c r="AA112" s="27" t="str">
        <f>VLOOKUP(A112,Classification!A:B,2,FALSE)</f>
        <v>A</v>
      </c>
      <c r="AB112" s="1">
        <f>VLOOKUP(A112,'SegEnds_NonXtal_Prot#'!A:AL,10,FALSE)-VLOOKUP(A112,'SegEnds_NonXtal_Prot#'!A:AL,4,FALSE)</f>
        <v>28</v>
      </c>
      <c r="AC112" s="1">
        <f>VLOOKUP(A112,'SegEnds_NonXtal_Prot#'!A:AL,10,FALSE)-VLOOKUP(A112,'SegEnds_NonXtal_Prot#'!A:AL,7,FALSE)</f>
        <v>15</v>
      </c>
      <c r="AD112" s="1">
        <f>VLOOKUP(A112,'SegEnds_NonXtal_Prot#'!A:AL,13,FALSE)-VLOOKUP(A112,'SegEnds_NonXtal_Prot#'!A:AL,10,FALSE)</f>
        <v>20</v>
      </c>
      <c r="AE112" s="1">
        <f>VLOOKUP(A112,'SegEnds_NonXtal_Prot#'!A:AL,16,FALSE)-VLOOKUP(A112,'SegEnds_NonXtal_Prot#'!A:AL,10,FALSE)</f>
        <v>52</v>
      </c>
      <c r="AF112" s="1">
        <f>VLOOKUP(A112,'SegEnds_NonXtal_Prot#'!A:AL,22,FALSE)-VLOOKUP(A112,'SegEnds_NonXtal_Prot#'!A:AL,19,FALSE)</f>
        <v>20</v>
      </c>
      <c r="AG112" s="1">
        <f>VLOOKUP(A112,'SegEnds_NonXtal_Prot#'!A:AL,28,FALSE)-VLOOKUP(A112,'SegEnds_NonXtal_Prot#'!A:AL,25,FALSE)</f>
        <v>28</v>
      </c>
      <c r="AH112" s="1">
        <f>VLOOKUP(A112,'SegEnds_NonXtal_Prot#'!A:AL,28,FALSE)-VLOOKUP(A112,'SegEnds_NonXtal_Prot#'!A:AL,22,FALSE)</f>
        <v>52</v>
      </c>
      <c r="AI112" s="1">
        <f>VLOOKUP(A112,'SegEnds_NonXtal_Prot#'!A:AL,31,FALSE)-VLOOKUP(A112,'SegEnds_NonXtal_Prot#'!A:AL,28,FALSE)</f>
        <v>43</v>
      </c>
      <c r="AJ112" s="1">
        <f>VLOOKUP(A112,'SegEnds_NonXtal_Prot#'!A:AL,34,FALSE)-VLOOKUP(A112,'SegEnds_NonXtal_Prot#'!A:AL,31,FALSE)</f>
        <v>44</v>
      </c>
      <c r="AK112" s="1">
        <f>VLOOKUP(A112,'SegEnds_NonXtal_Prot#'!A:AL,37,FALSE)-VLOOKUP(A112,'SegEnds_NonXtal_Prot#'!A:AL,34,FALSE)</f>
        <v>10</v>
      </c>
      <c r="AL112" s="1" t="str">
        <f>IF(ISERROR(MATCH(A112,'SegEnds_Xtal_Prot#'!B:B, 0)), "NoXtal", "Xtal")</f>
        <v>NoXtal</v>
      </c>
    </row>
    <row r="113" spans="1:38" x14ac:dyDescent="0.2">
      <c r="A113" s="1" t="s">
        <v>234</v>
      </c>
      <c r="B113" s="1" t="str">
        <f>VLOOKUP(A113,Xtal_Templ!A:B,2,FALSE)</f>
        <v>ccr5_human</v>
      </c>
      <c r="C113" s="5">
        <f>VLOOKUP($B113&amp;"__wt",'SegEnds_Xtal_BW#'!$A:$Z,3,FALSE)</f>
        <v>24</v>
      </c>
      <c r="D113" s="1">
        <f>VLOOKUP($B113&amp;"__wt",'SegEnds_Xtal_BW#'!$A:$Z,4,FALSE)</f>
        <v>60</v>
      </c>
      <c r="E113" s="1">
        <f>VLOOKUP($B113&amp;"__wt",'SegEnds_Xtal_BW#'!$A:$Z,5,FALSE)</f>
        <v>48</v>
      </c>
      <c r="F113" s="1">
        <f>VLOOKUP($B113&amp;"__wt",'SegEnds_Xtal_BW#'!$A:$Z,6,FALSE)</f>
        <v>51</v>
      </c>
      <c r="G113" s="1">
        <v>37</v>
      </c>
      <c r="H113" s="12">
        <f>VLOOKUP($B113&amp;"__wt",'SegEnds_Xtal_BW#'!$A:$Z,8,FALSE)</f>
        <v>66</v>
      </c>
      <c r="I113" s="1">
        <f>VLOOKUP($B113&amp;"__wt",'SegEnds_Xtal_BW#'!$A:$Z,9,FALSE)</f>
        <v>49</v>
      </c>
      <c r="J113" s="1">
        <f>VLOOKUP($B113&amp;"__wt",'SegEnds_Xtal_BW#'!$A:$Z,10,FALSE)</f>
        <v>52</v>
      </c>
      <c r="K113" s="12">
        <v>18</v>
      </c>
      <c r="L113" s="1">
        <f>VLOOKUP($B113&amp;"__wt",'SegEnds_Xtal_BW#'!$A:$Z,12,FALSE)</f>
        <v>56</v>
      </c>
      <c r="M113" s="1">
        <f>VLOOKUP($B113&amp;"__wt",'SegEnds_Xtal_BW#'!$A:$Z,13,FALSE)</f>
        <v>50</v>
      </c>
      <c r="N113" s="12">
        <v>57</v>
      </c>
      <c r="O113" s="87">
        <f>VLOOKUP($B113&amp;"__wt",'SegEnds_Xtal_BW#'!$A:$Z,15,FALSE)</f>
        <v>38</v>
      </c>
      <c r="P113" s="1">
        <f>VLOOKUP($B113&amp;"__wt",'SegEnds_Xtal_BW#'!$A:$Z,16,FALSE)</f>
        <v>64</v>
      </c>
      <c r="Q113" s="1">
        <f>VLOOKUP($B113&amp;"__wt",'SegEnds_Xtal_BW#'!$A:$Z,17,FALSE)</f>
        <v>50</v>
      </c>
      <c r="R113" s="1">
        <f>VLOOKUP($B113&amp;"__wt",'SegEnds_Xtal_BW#'!$A:$Z,18,FALSE)</f>
        <v>52</v>
      </c>
      <c r="S113" s="1">
        <f>VLOOKUP($B113&amp;"__wt",'SegEnds_Xtal_BW#'!$A:$Z,19,FALSE)</f>
        <v>30</v>
      </c>
      <c r="T113" s="1">
        <f t="array" ref="T113">INDEX(ICL3_classA!$G$2:$G$37,MATCH(MIN(ABS(AI113-ICL3_classA!$F$2:$F$37)),ABS(AI113-ICL3_classA!$F$2:$F$37),0))</f>
        <v>68</v>
      </c>
      <c r="U113" s="1">
        <f t="array" ref="U113">INDEX(ICL3_classA!$H$2:$H$37,MATCH(MIN(ABS(AI113-ICL3_classA!$F$2:$F$37)),ABS(AI113-ICL3_classA!$F$2:$F$37),0))</f>
        <v>23</v>
      </c>
      <c r="V113" s="1">
        <v>64</v>
      </c>
      <c r="W113" s="1">
        <v>24</v>
      </c>
      <c r="X113" s="1">
        <f>VLOOKUP($B113&amp;"__wt",'SegEnds_Xtal_BW#'!$A:$Z,24,FALSE)</f>
        <v>56</v>
      </c>
      <c r="Y113" s="1">
        <f>VLOOKUP($B113&amp;"__wt",'SegEnds_Xtal_BW#'!$A:$Z,25,FALSE)</f>
        <v>47</v>
      </c>
      <c r="Z113" s="1">
        <f>VLOOKUP($B113&amp;"__wt",'SegEnds_Xtal_BW#'!$A:$Z,26,FALSE)</f>
        <v>59</v>
      </c>
      <c r="AA113" s="27" t="str">
        <f>VLOOKUP(A113,Classification!A:B,2,FALSE)</f>
        <v>A</v>
      </c>
      <c r="AB113" s="1">
        <f>VLOOKUP(A113,'SegEnds_NonXtal_Prot#'!A:AL,10,FALSE)-VLOOKUP(A113,'SegEnds_NonXtal_Prot#'!A:AL,4,FALSE)</f>
        <v>28</v>
      </c>
      <c r="AC113" s="1">
        <f>VLOOKUP(A113,'SegEnds_NonXtal_Prot#'!A:AL,10,FALSE)-VLOOKUP(A113,'SegEnds_NonXtal_Prot#'!A:AL,7,FALSE)</f>
        <v>15</v>
      </c>
      <c r="AD113" s="1">
        <f>VLOOKUP(A113,'SegEnds_NonXtal_Prot#'!A:AL,13,FALSE)-VLOOKUP(A113,'SegEnds_NonXtal_Prot#'!A:AL,10,FALSE)</f>
        <v>20</v>
      </c>
      <c r="AE113" s="1">
        <f>VLOOKUP(A113,'SegEnds_NonXtal_Prot#'!A:AL,16,FALSE)-VLOOKUP(A113,'SegEnds_NonXtal_Prot#'!A:AL,10,FALSE)</f>
        <v>52</v>
      </c>
      <c r="AF113" s="1">
        <f>VLOOKUP(A113,'SegEnds_NonXtal_Prot#'!A:AL,22,FALSE)-VLOOKUP(A113,'SegEnds_NonXtal_Prot#'!A:AL,19,FALSE)</f>
        <v>20</v>
      </c>
      <c r="AG113" s="1">
        <f>VLOOKUP(A113,'SegEnds_NonXtal_Prot#'!A:AL,28,FALSE)-VLOOKUP(A113,'SegEnds_NonXtal_Prot#'!A:AL,25,FALSE)</f>
        <v>27</v>
      </c>
      <c r="AH113" s="1">
        <f>VLOOKUP(A113,'SegEnds_NonXtal_Prot#'!A:AL,28,FALSE)-VLOOKUP(A113,'SegEnds_NonXtal_Prot#'!A:AL,22,FALSE)</f>
        <v>52</v>
      </c>
      <c r="AI113" s="1">
        <f>VLOOKUP(A113,'SegEnds_NonXtal_Prot#'!A:AL,31,FALSE)-VLOOKUP(A113,'SegEnds_NonXtal_Prot#'!A:AL,28,FALSE)</f>
        <v>51</v>
      </c>
      <c r="AJ113" s="1">
        <f>VLOOKUP(A113,'SegEnds_NonXtal_Prot#'!A:AL,34,FALSE)-VLOOKUP(A113,'SegEnds_NonXtal_Prot#'!A:AL,31,FALSE)</f>
        <v>46</v>
      </c>
      <c r="AK113" s="1">
        <f>VLOOKUP(A113,'SegEnds_NonXtal_Prot#'!A:AL,37,FALSE)-VLOOKUP(A113,'SegEnds_NonXtal_Prot#'!A:AL,34,FALSE)</f>
        <v>10</v>
      </c>
      <c r="AL113" s="1" t="str">
        <f>IF(ISERROR(MATCH(A113,'SegEnds_Xtal_Prot#'!B:B, 0)), "NoXtal", "Xtal")</f>
        <v>NoXtal</v>
      </c>
    </row>
    <row r="114" spans="1:38" x14ac:dyDescent="0.2">
      <c r="A114" s="4" t="s">
        <v>235</v>
      </c>
      <c r="B114" s="4" t="str">
        <f>VLOOKUP(A114,Xtal_Templ!A:B,2,FALSE)</f>
        <v>lpar1_human</v>
      </c>
      <c r="C114" s="5">
        <f>VLOOKUP($B114&amp;"__wt",'SegEnds_Xtal_BW#'!$A:$Z,3,FALSE)</f>
        <v>30</v>
      </c>
      <c r="D114" s="4">
        <f>VLOOKUP($B114&amp;"__wt",'SegEnds_Xtal_BW#'!$A:$Z,4,FALSE)</f>
        <v>60</v>
      </c>
      <c r="E114" s="4">
        <f>VLOOKUP($B114&amp;"__wt",'SegEnds_Xtal_BW#'!$A:$Z,5,FALSE)</f>
        <v>48</v>
      </c>
      <c r="F114" s="4">
        <f>VLOOKUP($B114&amp;"__wt",'SegEnds_Xtal_BW#'!$A:$Z,6,FALSE)</f>
        <v>51</v>
      </c>
      <c r="G114" s="4">
        <v>37</v>
      </c>
      <c r="H114" s="11">
        <v>66</v>
      </c>
      <c r="I114" s="4">
        <v>48</v>
      </c>
      <c r="J114" s="4">
        <v>52</v>
      </c>
      <c r="K114" s="11">
        <v>24</v>
      </c>
      <c r="L114" s="4">
        <f>VLOOKUP($B114&amp;"__wt",'SegEnds_Xtal_BW#'!$A:$Z,12,FALSE)</f>
        <v>56</v>
      </c>
      <c r="M114" s="4">
        <f>VLOOKUP($B114&amp;"__wt",'SegEnds_Xtal_BW#'!$A:$Z,13,FALSE)</f>
        <v>50</v>
      </c>
      <c r="N114" s="11">
        <f>VLOOKUP($B114&amp;"__wt",'SegEnds_Xtal_BW#'!$A:$Z,14,FALSE)</f>
        <v>56</v>
      </c>
      <c r="O114" s="88">
        <v>38</v>
      </c>
      <c r="P114" s="4">
        <f>VLOOKUP($B114&amp;"__wt",'SegEnds_Xtal_BW#'!$A:$Z,16,FALSE)</f>
        <v>63</v>
      </c>
      <c r="Q114" s="115">
        <v>50</v>
      </c>
      <c r="R114" s="115">
        <v>52</v>
      </c>
      <c r="S114" s="4">
        <v>35</v>
      </c>
      <c r="T114" s="4">
        <f t="array" ref="T114">INDEX(ICL3_classA!$G$2:$G$37,MATCH(MIN(ABS(AI114-ICL3_classA!$F$2:$F$37)),ABS(AI114-ICL3_classA!$F$2:$F$37),0))</f>
        <v>74</v>
      </c>
      <c r="U114" s="4">
        <f t="array" ref="U114">INDEX(ICL3_classA!$H$2:$H$37,MATCH(MIN(ABS(AI114-ICL3_classA!$F$2:$F$37)),ABS(AI114-ICL3_classA!$F$2:$F$37),0))</f>
        <v>21</v>
      </c>
      <c r="V114" s="4">
        <v>61</v>
      </c>
      <c r="W114" s="4">
        <v>28</v>
      </c>
      <c r="X114" s="4">
        <f>VLOOKUP($B114&amp;"__wt",'SegEnds_Xtal_BW#'!$A:$Z,24,FALSE)</f>
        <v>56</v>
      </c>
      <c r="Y114" s="4">
        <f>VLOOKUP($B114&amp;"__wt",'SegEnds_Xtal_BW#'!$A:$Z,25,FALSE)</f>
        <v>47</v>
      </c>
      <c r="Z114" s="4">
        <f>VLOOKUP($B114&amp;"__wt",'SegEnds_Xtal_BW#'!$A:$Z,26,FALSE)</f>
        <v>59</v>
      </c>
      <c r="AA114" s="27" t="str">
        <f>VLOOKUP(A114,Classification!A:B,2,FALSE)</f>
        <v>A</v>
      </c>
      <c r="AB114" s="1">
        <f>VLOOKUP(A114,'SegEnds_NonXtal_Prot#'!A:AL,10,FALSE)-VLOOKUP(A114,'SegEnds_NonXtal_Prot#'!A:AL,4,FALSE)</f>
        <v>29</v>
      </c>
      <c r="AC114" s="4">
        <f>VLOOKUP(A114,'SegEnds_NonXtal_Prot#'!A:AL,10,FALSE)-VLOOKUP(A114,'SegEnds_NonXtal_Prot#'!A:AL,7,FALSE)</f>
        <v>16</v>
      </c>
      <c r="AD114" s="4" t="e">
        <f>VLOOKUP(A114,'SegEnds_NonXtal_Prot#'!A:AL,13,FALSE)-VLOOKUP(A114,'SegEnds_NonXtal_Prot#'!A:AL,10,FALSE)</f>
        <v>#VALUE!</v>
      </c>
      <c r="AE114" s="4">
        <f>VLOOKUP(A114,'SegEnds_NonXtal_Prot#'!A:AL,16,FALSE)-VLOOKUP(A114,'SegEnds_NonXtal_Prot#'!A:AL,10,FALSE)</f>
        <v>49</v>
      </c>
      <c r="AF114" s="1" t="e">
        <f>VLOOKUP(A114,'SegEnds_NonXtal_Prot#'!A:AL,22,FALSE)-VLOOKUP(A114,'SegEnds_NonXtal_Prot#'!A:AL,19,FALSE)</f>
        <v>#VALUE!</v>
      </c>
      <c r="AG114" s="4">
        <f>VLOOKUP(A114,'SegEnds_NonXtal_Prot#'!A:AL,28,FALSE)-VLOOKUP(A114,'SegEnds_NonXtal_Prot#'!A:AL,25,FALSE)</f>
        <v>21</v>
      </c>
      <c r="AH114" s="1">
        <f>VLOOKUP(A114,'SegEnds_NonXtal_Prot#'!A:AL,28,FALSE)-VLOOKUP(A114,'SegEnds_NonXtal_Prot#'!A:AL,22,FALSE)</f>
        <v>44</v>
      </c>
      <c r="AI114" s="4">
        <f>VLOOKUP(A114,'SegEnds_NonXtal_Prot#'!A:AL,31,FALSE)-VLOOKUP(A114,'SegEnds_NonXtal_Prot#'!A:AL,28,FALSE)</f>
        <v>63</v>
      </c>
      <c r="AJ114" s="4">
        <f>VLOOKUP(A114,'SegEnds_NonXtal_Prot#'!A:AL,34,FALSE)-VLOOKUP(A114,'SegEnds_NonXtal_Prot#'!A:AL,31,FALSE)</f>
        <v>38</v>
      </c>
      <c r="AK114" s="1">
        <f>VLOOKUP(A114,'SegEnds_NonXtal_Prot#'!A:AL,37,FALSE)-VLOOKUP(A114,'SegEnds_NonXtal_Prot#'!A:AL,34,FALSE)</f>
        <v>10</v>
      </c>
      <c r="AL114" s="1" t="str">
        <f>IF(ISERROR(MATCH(A114,'SegEnds_Xtal_Prot#'!B:B, 0)), "NoXtal", "Xtal")</f>
        <v>NoXtal</v>
      </c>
    </row>
    <row r="115" spans="1:38" x14ac:dyDescent="0.2">
      <c r="A115" s="1" t="s">
        <v>236</v>
      </c>
      <c r="B115" s="1" t="str">
        <f>VLOOKUP(A115,Xtal_Templ!A:B,2,FALSE)</f>
        <v>ccr5_human</v>
      </c>
      <c r="C115" s="5">
        <f>VLOOKUP($B115&amp;"__wt",'SegEnds_Xtal_BW#'!$A:$Z,3,FALSE)</f>
        <v>24</v>
      </c>
      <c r="D115" s="1">
        <f>VLOOKUP($B115&amp;"__wt",'SegEnds_Xtal_BW#'!$A:$Z,4,FALSE)</f>
        <v>60</v>
      </c>
      <c r="E115" s="1">
        <f>VLOOKUP($B115&amp;"__wt",'SegEnds_Xtal_BW#'!$A:$Z,5,FALSE)</f>
        <v>48</v>
      </c>
      <c r="F115" s="1">
        <f>VLOOKUP($B115&amp;"__wt",'SegEnds_Xtal_BW#'!$A:$Z,6,FALSE)</f>
        <v>51</v>
      </c>
      <c r="G115" s="1">
        <v>37</v>
      </c>
      <c r="H115" s="12">
        <v>66</v>
      </c>
      <c r="I115" s="1">
        <f>VLOOKUP($B115&amp;"__wt",'SegEnds_Xtal_BW#'!$A:$Z,9,FALSE)</f>
        <v>49</v>
      </c>
      <c r="J115" s="1">
        <f>VLOOKUP($B115&amp;"__wt",'SegEnds_Xtal_BW#'!$A:$Z,10,FALSE)</f>
        <v>52</v>
      </c>
      <c r="K115" s="12">
        <v>24</v>
      </c>
      <c r="L115" s="1">
        <f>VLOOKUP($B115&amp;"__wt",'SegEnds_Xtal_BW#'!$A:$Z,12,FALSE)</f>
        <v>56</v>
      </c>
      <c r="M115" s="1">
        <f>VLOOKUP($B115&amp;"__wt",'SegEnds_Xtal_BW#'!$A:$Z,13,FALSE)</f>
        <v>50</v>
      </c>
      <c r="N115" s="12">
        <v>57</v>
      </c>
      <c r="O115" s="87">
        <f>VLOOKUP($B115&amp;"__wt",'SegEnds_Xtal_BW#'!$A:$Z,15,FALSE)</f>
        <v>38</v>
      </c>
      <c r="P115" s="1">
        <f>VLOOKUP($B115&amp;"__wt",'SegEnds_Xtal_BW#'!$A:$Z,16,FALSE)</f>
        <v>64</v>
      </c>
      <c r="Q115" s="1">
        <f>VLOOKUP($B115&amp;"__wt",'SegEnds_Xtal_BW#'!$A:$Z,17,FALSE)</f>
        <v>50</v>
      </c>
      <c r="R115" s="1">
        <f>VLOOKUP($B115&amp;"__wt",'SegEnds_Xtal_BW#'!$A:$Z,18,FALSE)</f>
        <v>52</v>
      </c>
      <c r="S115" s="1">
        <v>34</v>
      </c>
      <c r="T115" s="1">
        <f t="array" ref="T115">INDEX(ICL3_classA!$G$2:$G$37,MATCH(MIN(ABS(AI115-ICL3_classA!$F$2:$F$37)),ABS(AI115-ICL3_classA!$F$2:$F$37),0))</f>
        <v>68</v>
      </c>
      <c r="U115" s="1">
        <f t="array" ref="U115">INDEX(ICL3_classA!$H$2:$H$37,MATCH(MIN(ABS(AI115-ICL3_classA!$F$2:$F$37)),ABS(AI115-ICL3_classA!$F$2:$F$37),0))</f>
        <v>24</v>
      </c>
      <c r="V115" s="1">
        <v>64</v>
      </c>
      <c r="W115" s="1">
        <v>24</v>
      </c>
      <c r="X115" s="128">
        <f>VLOOKUP($B115&amp;"__wt",'SegEnds_Xtal_BW#'!$A:$Z,24,FALSE)</f>
        <v>56</v>
      </c>
      <c r="Y115" s="1">
        <f>VLOOKUP($B115&amp;"__wt",'SegEnds_Xtal_BW#'!$A:$Z,25,FALSE)</f>
        <v>47</v>
      </c>
      <c r="Z115" s="1">
        <f>VLOOKUP($B115&amp;"__wt",'SegEnds_Xtal_BW#'!$A:$Z,26,FALSE)</f>
        <v>59</v>
      </c>
      <c r="AA115" s="27" t="str">
        <f>VLOOKUP(A115,Classification!A:B,2,FALSE)</f>
        <v>A</v>
      </c>
      <c r="AB115" s="1">
        <f>VLOOKUP(A115,'SegEnds_NonXtal_Prot#'!A:AL,10,FALSE)-VLOOKUP(A115,'SegEnds_NonXtal_Prot#'!A:AL,4,FALSE)</f>
        <v>28</v>
      </c>
      <c r="AC115" s="1">
        <f>VLOOKUP(A115,'SegEnds_NonXtal_Prot#'!A:AL,10,FALSE)-VLOOKUP(A115,'SegEnds_NonXtal_Prot#'!A:AL,7,FALSE)</f>
        <v>15</v>
      </c>
      <c r="AD115" s="1">
        <f>VLOOKUP(A115,'SegEnds_NonXtal_Prot#'!A:AL,13,FALSE)-VLOOKUP(A115,'SegEnds_NonXtal_Prot#'!A:AL,10,FALSE)</f>
        <v>19</v>
      </c>
      <c r="AE115" s="1">
        <f>VLOOKUP(A115,'SegEnds_NonXtal_Prot#'!A:AL,16,FALSE)-VLOOKUP(A115,'SegEnds_NonXtal_Prot#'!A:AL,10,FALSE)</f>
        <v>50</v>
      </c>
      <c r="AF115" s="1">
        <f>VLOOKUP(A115,'SegEnds_NonXtal_Prot#'!A:AL,22,FALSE)-VLOOKUP(A115,'SegEnds_NonXtal_Prot#'!A:AL,19,FALSE)</f>
        <v>20</v>
      </c>
      <c r="AG115" s="1">
        <f>VLOOKUP(A115,'SegEnds_NonXtal_Prot#'!A:AL,28,FALSE)-VLOOKUP(A115,'SegEnds_NonXtal_Prot#'!A:AL,25,FALSE)</f>
        <v>21</v>
      </c>
      <c r="AH115" s="1">
        <f>VLOOKUP(A115,'SegEnds_NonXtal_Prot#'!A:AL,28,FALSE)-VLOOKUP(A115,'SegEnds_NonXtal_Prot#'!A:AL,22,FALSE)</f>
        <v>44</v>
      </c>
      <c r="AI115" s="1">
        <f>VLOOKUP(A115,'SegEnds_NonXtal_Prot#'!A:AL,31,FALSE)-VLOOKUP(A115,'SegEnds_NonXtal_Prot#'!A:AL,28,FALSE)</f>
        <v>48</v>
      </c>
      <c r="AJ115" s="1">
        <f>VLOOKUP(A115,'SegEnds_NonXtal_Prot#'!A:AL,34,FALSE)-VLOOKUP(A115,'SegEnds_NonXtal_Prot#'!A:AL,31,FALSE)</f>
        <v>47</v>
      </c>
      <c r="AK115" s="1">
        <f>VLOOKUP(A115,'SegEnds_NonXtal_Prot#'!A:AL,37,FALSE)-VLOOKUP(A115,'SegEnds_NonXtal_Prot#'!A:AL,34,FALSE)</f>
        <v>10</v>
      </c>
      <c r="AL115" s="1" t="str">
        <f>IF(ISERROR(MATCH(A115,'SegEnds_Xtal_Prot#'!B:B, 0)), "NoXtal", "Xtal")</f>
        <v>NoXtal</v>
      </c>
    </row>
    <row r="116" spans="1:38" x14ac:dyDescent="0.2">
      <c r="A116" s="1" t="s">
        <v>237</v>
      </c>
      <c r="B116" s="1" t="str">
        <f>VLOOKUP(A116,Xtal_Templ!A:B,2,FALSE)</f>
        <v>agtr1_human</v>
      </c>
      <c r="C116" s="5">
        <f>VLOOKUP($B116&amp;"__wt",'SegEnds_Xtal_BW#'!$A:$Z,3,FALSE)</f>
        <v>30</v>
      </c>
      <c r="D116" s="1">
        <f>VLOOKUP($B116&amp;"__wt",'SegEnds_Xtal_BW#'!$A:$Z,4,FALSE)</f>
        <v>60</v>
      </c>
      <c r="E116" s="1">
        <f>VLOOKUP($B116&amp;"__wt",'SegEnds_Xtal_BW#'!$A:$Z,5,FALSE)</f>
        <v>48</v>
      </c>
      <c r="F116" s="1">
        <f>VLOOKUP($B116&amp;"__wt",'SegEnds_Xtal_BW#'!$A:$Z,6,FALSE)</f>
        <v>51</v>
      </c>
      <c r="G116" s="1">
        <v>37</v>
      </c>
      <c r="H116" s="12">
        <f>VLOOKUP($B116&amp;"__wt",'SegEnds_Xtal_BW#'!$A:$Z,8,FALSE)</f>
        <v>66</v>
      </c>
      <c r="I116" s="1">
        <f>VLOOKUP($B116&amp;"__wt",'SegEnds_Xtal_BW#'!$A:$Z,9,FALSE)</f>
        <v>49</v>
      </c>
      <c r="J116" s="1">
        <f>VLOOKUP($B116&amp;"__wt",'SegEnds_Xtal_BW#'!$A:$Z,10,FALSE)</f>
        <v>52</v>
      </c>
      <c r="K116" s="12">
        <v>18</v>
      </c>
      <c r="L116" s="1">
        <f>VLOOKUP($B116&amp;"__wt",'SegEnds_Xtal_BW#'!$A:$Z,12,FALSE)</f>
        <v>56</v>
      </c>
      <c r="M116" s="1">
        <f>VLOOKUP($B116&amp;"__wt",'SegEnds_Xtal_BW#'!$A:$Z,13,FALSE)</f>
        <v>50</v>
      </c>
      <c r="N116" s="12">
        <v>57</v>
      </c>
      <c r="O116" s="87">
        <v>38</v>
      </c>
      <c r="P116" s="1">
        <f>VLOOKUP($B116&amp;"__wt",'SegEnds_Xtal_BW#'!$A:$Z,16,FALSE)</f>
        <v>64</v>
      </c>
      <c r="Q116" s="1">
        <f>VLOOKUP($B116&amp;"__wt",'SegEnds_Xtal_BW#'!$A:$Z,17,FALSE)</f>
        <v>50</v>
      </c>
      <c r="R116" s="1">
        <f>VLOOKUP($B116&amp;"__wt",'SegEnds_Xtal_BW#'!$A:$Z,18,FALSE)</f>
        <v>52</v>
      </c>
      <c r="S116" s="1">
        <f>VLOOKUP($B116&amp;"__wt",'SegEnds_Xtal_BW#'!$A:$Z,19,FALSE)</f>
        <v>34</v>
      </c>
      <c r="T116" s="1">
        <f t="array" ref="T116">INDEX(ICL3_classA!$G$2:$G$37,MATCH(MIN(ABS(AI116-ICL3_classA!$F$2:$F$37)),ABS(AI116-ICL3_classA!$F$2:$F$37),0))</f>
        <v>68</v>
      </c>
      <c r="U116" s="1">
        <f t="array" ref="U116">INDEX(ICL3_classA!$H$2:$H$37,MATCH(MIN(ABS(AI116-ICL3_classA!$F$2:$F$37)),ABS(AI116-ICL3_classA!$F$2:$F$37),0))</f>
        <v>30</v>
      </c>
      <c r="V116" s="1">
        <v>61</v>
      </c>
      <c r="W116" s="1">
        <v>28</v>
      </c>
      <c r="X116" s="1">
        <f>VLOOKUP($B116&amp;"__wt",'SegEnds_Xtal_BW#'!$A:$Z,24,FALSE)</f>
        <v>56</v>
      </c>
      <c r="Y116" s="1">
        <f>VLOOKUP($B116&amp;"__wt",'SegEnds_Xtal_BW#'!$A:$Z,25,FALSE)</f>
        <v>47</v>
      </c>
      <c r="Z116" s="1">
        <f>VLOOKUP($B116&amp;"__wt",'SegEnds_Xtal_BW#'!$A:$Z,26,FALSE)</f>
        <v>61</v>
      </c>
      <c r="AA116" s="27" t="str">
        <f>VLOOKUP(A116,Classification!A:B,2,FALSE)</f>
        <v>A</v>
      </c>
      <c r="AB116" s="1">
        <f>VLOOKUP(A116,'SegEnds_NonXtal_Prot#'!A:AL,10,FALSE)-VLOOKUP(A116,'SegEnds_NonXtal_Prot#'!A:AL,4,FALSE)</f>
        <v>27</v>
      </c>
      <c r="AC116" s="1" t="e">
        <f>VLOOKUP(A116,'SegEnds_NonXtal_Prot#'!A:AL,10,FALSE)-VLOOKUP(A116,'SegEnds_NonXtal_Prot#'!A:AL,7,FALSE)</f>
        <v>#VALUE!</v>
      </c>
      <c r="AD116" s="1">
        <f>VLOOKUP(A116,'SegEnds_NonXtal_Prot#'!A:AL,13,FALSE)-VLOOKUP(A116,'SegEnds_NonXtal_Prot#'!A:AL,10,FALSE)</f>
        <v>20</v>
      </c>
      <c r="AE116" s="1">
        <f>VLOOKUP(A116,'SegEnds_NonXtal_Prot#'!A:AL,16,FALSE)-VLOOKUP(A116,'SegEnds_NonXtal_Prot#'!A:AL,10,FALSE)</f>
        <v>52</v>
      </c>
      <c r="AF116" s="1">
        <f>VLOOKUP(A116,'SegEnds_NonXtal_Prot#'!A:AL,22,FALSE)-VLOOKUP(A116,'SegEnds_NonXtal_Prot#'!A:AL,19,FALSE)</f>
        <v>20</v>
      </c>
      <c r="AG116" s="1">
        <f>VLOOKUP(A116,'SegEnds_NonXtal_Prot#'!A:AL,28,FALSE)-VLOOKUP(A116,'SegEnds_NonXtal_Prot#'!A:AL,25,FALSE)</f>
        <v>31</v>
      </c>
      <c r="AH116" s="1">
        <f>VLOOKUP(A116,'SegEnds_NonXtal_Prot#'!A:AL,28,FALSE)-VLOOKUP(A116,'SegEnds_NonXtal_Prot#'!A:AL,22,FALSE)</f>
        <v>56</v>
      </c>
      <c r="AI116" s="1">
        <f>VLOOKUP(A116,'SegEnds_NonXtal_Prot#'!A:AL,31,FALSE)-VLOOKUP(A116,'SegEnds_NonXtal_Prot#'!A:AL,28,FALSE)</f>
        <v>43</v>
      </c>
      <c r="AJ116" s="1">
        <f>VLOOKUP(A116,'SegEnds_NonXtal_Prot#'!A:AL,34,FALSE)-VLOOKUP(A116,'SegEnds_NonXtal_Prot#'!A:AL,31,FALSE)</f>
        <v>40</v>
      </c>
      <c r="AK116" s="1">
        <f>VLOOKUP(A116,'SegEnds_NonXtal_Prot#'!A:AL,37,FALSE)-VLOOKUP(A116,'SegEnds_NonXtal_Prot#'!A:AL,34,FALSE)</f>
        <v>10</v>
      </c>
      <c r="AL116" s="1" t="str">
        <f>IF(ISERROR(MATCH(A116,'SegEnds_Xtal_Prot#'!B:B, 0)), "NoXtal", "Xtal")</f>
        <v>NoXtal</v>
      </c>
    </row>
    <row r="117" spans="1:38" x14ac:dyDescent="0.2">
      <c r="A117" s="4" t="s">
        <v>238</v>
      </c>
      <c r="B117" s="4" t="str">
        <f>VLOOKUP(A117,Xtal_Templ!A:B,2,FALSE)</f>
        <v>lpar1_human</v>
      </c>
      <c r="C117" s="5">
        <f>VLOOKUP($B117&amp;"__wt",'SegEnds_Xtal_BW#'!$A:$Z,3,FALSE)</f>
        <v>30</v>
      </c>
      <c r="D117" s="4">
        <f>VLOOKUP($B117&amp;"__wt",'SegEnds_Xtal_BW#'!$A:$Z,4,FALSE)</f>
        <v>60</v>
      </c>
      <c r="E117" s="4">
        <f>VLOOKUP($B117&amp;"__wt",'SegEnds_Xtal_BW#'!$A:$Z,5,FALSE)</f>
        <v>48</v>
      </c>
      <c r="F117" s="4">
        <f>VLOOKUP($B117&amp;"__wt",'SegEnds_Xtal_BW#'!$A:$Z,6,FALSE)</f>
        <v>51</v>
      </c>
      <c r="G117" s="4">
        <v>37</v>
      </c>
      <c r="H117" s="11">
        <v>62</v>
      </c>
      <c r="I117" s="4">
        <v>48</v>
      </c>
      <c r="J117" s="4">
        <v>52</v>
      </c>
      <c r="K117" s="11">
        <v>24</v>
      </c>
      <c r="L117" s="4">
        <f>VLOOKUP($B117&amp;"__wt",'SegEnds_Xtal_BW#'!$A:$Z,12,FALSE)</f>
        <v>56</v>
      </c>
      <c r="M117" s="4">
        <f>VLOOKUP($B117&amp;"__wt",'SegEnds_Xtal_BW#'!$A:$Z,13,FALSE)</f>
        <v>50</v>
      </c>
      <c r="N117" s="11">
        <v>57</v>
      </c>
      <c r="O117" s="88">
        <v>38</v>
      </c>
      <c r="P117" s="4">
        <f>VLOOKUP($B117&amp;"__wt",'SegEnds_Xtal_BW#'!$A:$Z,16,FALSE)</f>
        <v>63</v>
      </c>
      <c r="Q117" s="4" t="str">
        <f>VLOOKUP($B117&amp;"__wt",'SegEnds_Xtal_BW#'!$A:$Z,17,FALSE)</f>
        <v>-</v>
      </c>
      <c r="R117" s="4" t="str">
        <f>VLOOKUP($B117&amp;"__wt",'SegEnds_Xtal_BW#'!$A:$Z,18,FALSE)</f>
        <v>-</v>
      </c>
      <c r="S117" s="4">
        <f>VLOOKUP($B117&amp;"__wt",'SegEnds_Xtal_BW#'!$A:$Z,19,FALSE)</f>
        <v>36</v>
      </c>
      <c r="T117" s="4">
        <f t="array" ref="T117">INDEX(ICL3_classA!$G$2:$G$37,MATCH(MIN(ABS(AI117-ICL3_classA!$F$2:$F$37)),ABS(AI117-ICL3_classA!$F$2:$F$37),0))</f>
        <v>73</v>
      </c>
      <c r="U117" s="4">
        <f t="array" ref="U117">INDEX(ICL3_classA!$H$2:$H$37,MATCH(MIN(ABS(AI117-ICL3_classA!$F$2:$F$37)),ABS(AI117-ICL3_classA!$F$2:$F$37),0))</f>
        <v>22</v>
      </c>
      <c r="V117" s="4">
        <v>61</v>
      </c>
      <c r="W117" s="4">
        <v>34</v>
      </c>
      <c r="X117" s="4">
        <f>VLOOKUP($B117&amp;"__wt",'SegEnds_Xtal_BW#'!$A:$Z,24,FALSE)</f>
        <v>56</v>
      </c>
      <c r="Y117" s="4">
        <f>VLOOKUP($B117&amp;"__wt",'SegEnds_Xtal_BW#'!$A:$Z,25,FALSE)</f>
        <v>47</v>
      </c>
      <c r="Z117" s="4">
        <f>VLOOKUP($B117&amp;"__wt",'SegEnds_Xtal_BW#'!$A:$Z,26,FALSE)</f>
        <v>59</v>
      </c>
      <c r="AA117" s="27" t="str">
        <f>VLOOKUP(A117,Classification!A:B,2,FALSE)</f>
        <v>A</v>
      </c>
      <c r="AB117" s="1">
        <f>VLOOKUP(A117,'SegEnds_NonXtal_Prot#'!A:AL,10,FALSE)-VLOOKUP(A117,'SegEnds_NonXtal_Prot#'!A:AL,4,FALSE)</f>
        <v>28</v>
      </c>
      <c r="AC117" s="4" t="e">
        <f>VLOOKUP(A117,'SegEnds_NonXtal_Prot#'!A:AL,10,FALSE)-VLOOKUP(A117,'SegEnds_NonXtal_Prot#'!A:AL,7,FALSE)</f>
        <v>#VALUE!</v>
      </c>
      <c r="AD117" s="4">
        <f>VLOOKUP(A117,'SegEnds_NonXtal_Prot#'!A:AL,13,FALSE)-VLOOKUP(A117,'SegEnds_NonXtal_Prot#'!A:AL,10,FALSE)</f>
        <v>15</v>
      </c>
      <c r="AE117" s="4">
        <f>VLOOKUP(A117,'SegEnds_NonXtal_Prot#'!A:AL,16,FALSE)-VLOOKUP(A117,'SegEnds_NonXtal_Prot#'!A:AL,10,FALSE)</f>
        <v>48</v>
      </c>
      <c r="AF117" s="1">
        <f>VLOOKUP(A117,'SegEnds_NonXtal_Prot#'!A:AL,22,FALSE)-VLOOKUP(A117,'SegEnds_NonXtal_Prot#'!A:AL,19,FALSE)</f>
        <v>20</v>
      </c>
      <c r="AG117" s="4" t="e">
        <f>VLOOKUP(A117,'SegEnds_NonXtal_Prot#'!A:AL,28,FALSE)-VLOOKUP(A117,'SegEnds_NonXtal_Prot#'!A:AL,25,FALSE)</f>
        <v>#VALUE!</v>
      </c>
      <c r="AH117" s="1">
        <f>VLOOKUP(A117,'SegEnds_NonXtal_Prot#'!A:AL,28,FALSE)-VLOOKUP(A117,'SegEnds_NonXtal_Prot#'!A:AL,22,FALSE)</f>
        <v>44</v>
      </c>
      <c r="AI117" s="4">
        <f>VLOOKUP(A117,'SegEnds_NonXtal_Prot#'!A:AL,31,FALSE)-VLOOKUP(A117,'SegEnds_NonXtal_Prot#'!A:AL,28,FALSE)</f>
        <v>57</v>
      </c>
      <c r="AJ117" s="4">
        <f>VLOOKUP(A117,'SegEnds_NonXtal_Prot#'!A:AL,34,FALSE)-VLOOKUP(A117,'SegEnds_NonXtal_Prot#'!A:AL,31,FALSE)</f>
        <v>32</v>
      </c>
      <c r="AK117" s="1">
        <f>VLOOKUP(A117,'SegEnds_NonXtal_Prot#'!A:AL,37,FALSE)-VLOOKUP(A117,'SegEnds_NonXtal_Prot#'!A:AL,34,FALSE)</f>
        <v>10</v>
      </c>
      <c r="AL117" s="1" t="str">
        <f>IF(ISERROR(MATCH(A117,'SegEnds_Xtal_Prot#'!B:B, 0)), "NoXtal", "Xtal")</f>
        <v>NoXtal</v>
      </c>
    </row>
    <row r="118" spans="1:38" x14ac:dyDescent="0.2">
      <c r="A118" s="1" t="s">
        <v>239</v>
      </c>
      <c r="B118" s="1" t="str">
        <f>VLOOKUP(A118,Xtal_Templ!A:B,2,FALSE)</f>
        <v>agtr1_human</v>
      </c>
      <c r="C118" s="5">
        <f>VLOOKUP($B118&amp;"__wt",'SegEnds_Xtal_BW#'!$A:$Z,3,FALSE)</f>
        <v>30</v>
      </c>
      <c r="D118" s="1">
        <f>VLOOKUP($B118&amp;"__wt",'SegEnds_Xtal_BW#'!$A:$Z,4,FALSE)</f>
        <v>60</v>
      </c>
      <c r="E118" s="1">
        <f>VLOOKUP($B118&amp;"__wt",'SegEnds_Xtal_BW#'!$A:$Z,5,FALSE)</f>
        <v>48</v>
      </c>
      <c r="F118" s="1">
        <f>VLOOKUP($B118&amp;"__wt",'SegEnds_Xtal_BW#'!$A:$Z,6,FALSE)</f>
        <v>51</v>
      </c>
      <c r="G118" s="1">
        <v>37</v>
      </c>
      <c r="H118" s="12">
        <f>VLOOKUP($B118&amp;"__wt",'SegEnds_Xtal_BW#'!$A:$Z,8,FALSE)</f>
        <v>66</v>
      </c>
      <c r="I118" s="1">
        <f>VLOOKUP($B118&amp;"__wt",'SegEnds_Xtal_BW#'!$A:$Z,9,FALSE)</f>
        <v>49</v>
      </c>
      <c r="J118" s="1">
        <f>VLOOKUP($B118&amp;"__wt",'SegEnds_Xtal_BW#'!$A:$Z,10,FALSE)</f>
        <v>52</v>
      </c>
      <c r="K118" s="12">
        <v>18</v>
      </c>
      <c r="L118" s="1">
        <f>VLOOKUP($B118&amp;"__wt",'SegEnds_Xtal_BW#'!$A:$Z,12,FALSE)</f>
        <v>56</v>
      </c>
      <c r="M118" s="1">
        <f>VLOOKUP($B118&amp;"__wt",'SegEnds_Xtal_BW#'!$A:$Z,13,FALSE)</f>
        <v>50</v>
      </c>
      <c r="N118" s="12">
        <f>VLOOKUP($B118&amp;"__wt",'SegEnds_Xtal_BW#'!$A:$Z,14,FALSE)</f>
        <v>57</v>
      </c>
      <c r="O118" s="87">
        <v>38</v>
      </c>
      <c r="P118" s="1">
        <f>VLOOKUP($B118&amp;"__wt",'SegEnds_Xtal_BW#'!$A:$Z,16,FALSE)</f>
        <v>64</v>
      </c>
      <c r="Q118" s="1">
        <f>VLOOKUP($B118&amp;"__wt",'SegEnds_Xtal_BW#'!$A:$Z,17,FALSE)</f>
        <v>50</v>
      </c>
      <c r="R118" s="1">
        <f>VLOOKUP($B118&amp;"__wt",'SegEnds_Xtal_BW#'!$A:$Z,18,FALSE)</f>
        <v>52</v>
      </c>
      <c r="S118" s="1">
        <f>VLOOKUP($B118&amp;"__wt",'SegEnds_Xtal_BW#'!$A:$Z,19,FALSE)</f>
        <v>34</v>
      </c>
      <c r="T118" s="1">
        <f t="array" ref="T118">INDEX(ICL3_classA!$G$2:$G$37,MATCH(MIN(ABS(AI118-ICL3_classA!$F$2:$F$37)),ABS(AI118-ICL3_classA!$F$2:$F$37),0))</f>
        <v>68</v>
      </c>
      <c r="U118" s="1">
        <f t="array" ref="U118">INDEX(ICL3_classA!$H$2:$H$37,MATCH(MIN(ABS(AI118-ICL3_classA!$F$2:$F$37)),ABS(AI118-ICL3_classA!$F$2:$F$37),0))</f>
        <v>24</v>
      </c>
      <c r="V118" s="1">
        <v>61</v>
      </c>
      <c r="W118" s="1">
        <v>24</v>
      </c>
      <c r="X118" s="1">
        <f>VLOOKUP($B118&amp;"__wt",'SegEnds_Xtal_BW#'!$A:$Z,24,FALSE)</f>
        <v>56</v>
      </c>
      <c r="Y118" s="1">
        <f>VLOOKUP($B118&amp;"__wt",'SegEnds_Xtal_BW#'!$A:$Z,25,FALSE)</f>
        <v>47</v>
      </c>
      <c r="Z118" s="1">
        <f>VLOOKUP($B118&amp;"__wt",'SegEnds_Xtal_BW#'!$A:$Z,26,FALSE)</f>
        <v>61</v>
      </c>
      <c r="AA118" s="27" t="str">
        <f>VLOOKUP(A118,Classification!A:B,2,FALSE)</f>
        <v>A</v>
      </c>
      <c r="AB118" s="1">
        <f>VLOOKUP(A118,'SegEnds_NonXtal_Prot#'!A:AL,10,FALSE)-VLOOKUP(A118,'SegEnds_NonXtal_Prot#'!A:AL,4,FALSE)</f>
        <v>28</v>
      </c>
      <c r="AC118" s="1" t="e">
        <f>VLOOKUP(A118,'SegEnds_NonXtal_Prot#'!A:AL,10,FALSE)-VLOOKUP(A118,'SegEnds_NonXtal_Prot#'!A:AL,7,FALSE)</f>
        <v>#VALUE!</v>
      </c>
      <c r="AD118" s="1">
        <f>VLOOKUP(A118,'SegEnds_NonXtal_Prot#'!A:AL,13,FALSE)-VLOOKUP(A118,'SegEnds_NonXtal_Prot#'!A:AL,10,FALSE)</f>
        <v>20</v>
      </c>
      <c r="AE118" s="1">
        <f>VLOOKUP(A118,'SegEnds_NonXtal_Prot#'!A:AL,16,FALSE)-VLOOKUP(A118,'SegEnds_NonXtal_Prot#'!A:AL,10,FALSE)</f>
        <v>52</v>
      </c>
      <c r="AF118" s="1">
        <f>VLOOKUP(A118,'SegEnds_NonXtal_Prot#'!A:AL,22,FALSE)-VLOOKUP(A118,'SegEnds_NonXtal_Prot#'!A:AL,19,FALSE)</f>
        <v>20</v>
      </c>
      <c r="AG118" s="1">
        <f>VLOOKUP(A118,'SegEnds_NonXtal_Prot#'!A:AL,28,FALSE)-VLOOKUP(A118,'SegEnds_NonXtal_Prot#'!A:AL,25,FALSE)</f>
        <v>24</v>
      </c>
      <c r="AH118" s="1">
        <f>VLOOKUP(A118,'SegEnds_NonXtal_Prot#'!A:AL,28,FALSE)-VLOOKUP(A118,'SegEnds_NonXtal_Prot#'!A:AL,22,FALSE)</f>
        <v>49</v>
      </c>
      <c r="AI118" s="1">
        <f>VLOOKUP(A118,'SegEnds_NonXtal_Prot#'!A:AL,31,FALSE)-VLOOKUP(A118,'SegEnds_NonXtal_Prot#'!A:AL,28,FALSE)</f>
        <v>49</v>
      </c>
      <c r="AJ118" s="1">
        <f>VLOOKUP(A118,'SegEnds_NonXtal_Prot#'!A:AL,34,FALSE)-VLOOKUP(A118,'SegEnds_NonXtal_Prot#'!A:AL,31,FALSE)</f>
        <v>43</v>
      </c>
      <c r="AK118" s="1">
        <f>VLOOKUP(A118,'SegEnds_NonXtal_Prot#'!A:AL,37,FALSE)-VLOOKUP(A118,'SegEnds_NonXtal_Prot#'!A:AL,34,FALSE)</f>
        <v>10</v>
      </c>
      <c r="AL118" s="1" t="str">
        <f>IF(ISERROR(MATCH(A118,'SegEnds_Xtal_Prot#'!B:B, 0)), "NoXtal", "Xtal")</f>
        <v>NoXtal</v>
      </c>
    </row>
    <row r="119" spans="1:38" x14ac:dyDescent="0.2">
      <c r="A119" s="1" t="s">
        <v>240</v>
      </c>
      <c r="B119" s="1" t="str">
        <f>VLOOKUP(A119,Xtal_Templ!A:B,2,FALSE)</f>
        <v>apj_human</v>
      </c>
      <c r="C119" s="5">
        <f>VLOOKUP($B119&amp;"__wt",'SegEnds_Xtal_BW#'!$A:$Z,3,FALSE)</f>
        <v>33</v>
      </c>
      <c r="D119" s="1">
        <f>VLOOKUP($B119&amp;"__wt",'SegEnds_Xtal_BW#'!$A:$Z,4,FALSE)</f>
        <v>60</v>
      </c>
      <c r="E119" s="1">
        <f>VLOOKUP($B119&amp;"__wt",'SegEnds_Xtal_BW#'!$A:$Z,5,FALSE)</f>
        <v>48</v>
      </c>
      <c r="F119" s="1">
        <f>VLOOKUP($B119&amp;"__wt",'SegEnds_Xtal_BW#'!$A:$Z,6,FALSE)</f>
        <v>52</v>
      </c>
      <c r="G119" s="1">
        <v>37</v>
      </c>
      <c r="H119" s="12">
        <f>VLOOKUP($B119&amp;"__wt",'SegEnds_Xtal_BW#'!$A:$Z,8,FALSE)</f>
        <v>67</v>
      </c>
      <c r="I119" s="1">
        <f>VLOOKUP($B119&amp;"__wt",'SegEnds_Xtal_BW#'!$A:$Z,9,FALSE)</f>
        <v>49</v>
      </c>
      <c r="J119" s="1">
        <f>VLOOKUP($B119&amp;"__wt",'SegEnds_Xtal_BW#'!$A:$Z,10,FALSE)</f>
        <v>52</v>
      </c>
      <c r="K119" s="12">
        <v>18</v>
      </c>
      <c r="L119" s="1">
        <f>VLOOKUP($B119&amp;"__wt",'SegEnds_Xtal_BW#'!$A:$Z,12,FALSE)</f>
        <v>56</v>
      </c>
      <c r="M119" s="1">
        <f>VLOOKUP($B119&amp;"__wt",'SegEnds_Xtal_BW#'!$A:$Z,13,FALSE)</f>
        <v>50</v>
      </c>
      <c r="N119" s="12">
        <v>57</v>
      </c>
      <c r="O119" s="87">
        <f>VLOOKUP($B119&amp;"__wt",'SegEnds_Xtal_BW#'!$A:$Z,15,FALSE)</f>
        <v>38</v>
      </c>
      <c r="P119" s="1">
        <f>VLOOKUP($B119&amp;"__wt",'SegEnds_Xtal_BW#'!$A:$Z,16,FALSE)</f>
        <v>64</v>
      </c>
      <c r="Q119" s="1">
        <f>VLOOKUP($B119&amp;"__wt",'SegEnds_Xtal_BW#'!$A:$Z,17,FALSE)</f>
        <v>50</v>
      </c>
      <c r="R119" s="1">
        <f>VLOOKUP($B119&amp;"__wt",'SegEnds_Xtal_BW#'!$A:$Z,18,FALSE)</f>
        <v>52</v>
      </c>
      <c r="S119" s="1">
        <f>VLOOKUP($B119&amp;"__wt",'SegEnds_Xtal_BW#'!$A:$Z,19,FALSE)</f>
        <v>30</v>
      </c>
      <c r="T119" s="1">
        <f t="array" ref="T119">INDEX(ICL3_classA!$G$2:$G$37,MATCH(MIN(ABS(AI119-ICL3_classA!$F$2:$F$37)),ABS(AI119-ICL3_classA!$F$2:$F$37),0))</f>
        <v>67</v>
      </c>
      <c r="U119" s="1">
        <f t="array" ref="U119">INDEX(ICL3_classA!$H$2:$H$37,MATCH(MIN(ABS(AI119-ICL3_classA!$F$2:$F$37)),ABS(AI119-ICL3_classA!$F$2:$F$37),0))</f>
        <v>26</v>
      </c>
      <c r="V119" s="1">
        <v>64</v>
      </c>
      <c r="W119" s="1">
        <v>24</v>
      </c>
      <c r="X119" s="1">
        <f>VLOOKUP($B119&amp;"__wt",'SegEnds_Xtal_BW#'!$A:$Z,24,FALSE)</f>
        <v>56</v>
      </c>
      <c r="Y119" s="1">
        <f>VLOOKUP($B119&amp;"__wt",'SegEnds_Xtal_BW#'!$A:$Z,25,FALSE)</f>
        <v>47</v>
      </c>
      <c r="Z119" s="1">
        <f>VLOOKUP($B119&amp;"__wt",'SegEnds_Xtal_BW#'!$A:$Z,26,FALSE)</f>
        <v>61</v>
      </c>
      <c r="AA119" s="27" t="str">
        <f>VLOOKUP(A119,Classification!A:B,2,FALSE)</f>
        <v>A</v>
      </c>
      <c r="AB119" s="1">
        <f>VLOOKUP(A119,'SegEnds_NonXtal_Prot#'!A:AL,10,FALSE)-VLOOKUP(A119,'SegEnds_NonXtal_Prot#'!A:AL,4,FALSE)</f>
        <v>28</v>
      </c>
      <c r="AC119" s="1" t="e">
        <f>VLOOKUP(A119,'SegEnds_NonXtal_Prot#'!A:AL,10,FALSE)-VLOOKUP(A119,'SegEnds_NonXtal_Prot#'!A:AL,7,FALSE)</f>
        <v>#VALUE!</v>
      </c>
      <c r="AD119" s="1">
        <f>VLOOKUP(A119,'SegEnds_NonXtal_Prot#'!A:AL,13,FALSE)-VLOOKUP(A119,'SegEnds_NonXtal_Prot#'!A:AL,10,FALSE)</f>
        <v>20</v>
      </c>
      <c r="AE119" s="1">
        <f>VLOOKUP(A119,'SegEnds_NonXtal_Prot#'!A:AL,16,FALSE)-VLOOKUP(A119,'SegEnds_NonXtal_Prot#'!A:AL,10,FALSE)</f>
        <v>52</v>
      </c>
      <c r="AF119" s="1">
        <f>VLOOKUP(A119,'SegEnds_NonXtal_Prot#'!A:AL,22,FALSE)-VLOOKUP(A119,'SegEnds_NonXtal_Prot#'!A:AL,19,FALSE)</f>
        <v>20</v>
      </c>
      <c r="AG119" s="1">
        <f>VLOOKUP(A119,'SegEnds_NonXtal_Prot#'!A:AL,28,FALSE)-VLOOKUP(A119,'SegEnds_NonXtal_Prot#'!A:AL,25,FALSE)</f>
        <v>23</v>
      </c>
      <c r="AH119" s="1">
        <f>VLOOKUP(A119,'SegEnds_NonXtal_Prot#'!A:AL,28,FALSE)-VLOOKUP(A119,'SegEnds_NonXtal_Prot#'!A:AL,22,FALSE)</f>
        <v>48</v>
      </c>
      <c r="AI119" s="1">
        <f>VLOOKUP(A119,'SegEnds_NonXtal_Prot#'!A:AL,31,FALSE)-VLOOKUP(A119,'SegEnds_NonXtal_Prot#'!A:AL,28,FALSE)</f>
        <v>46</v>
      </c>
      <c r="AJ119" s="1">
        <f>VLOOKUP(A119,'SegEnds_NonXtal_Prot#'!A:AL,34,FALSE)-VLOOKUP(A119,'SegEnds_NonXtal_Prot#'!A:AL,31,FALSE)</f>
        <v>44</v>
      </c>
      <c r="AK119" s="1">
        <f>VLOOKUP(A119,'SegEnds_NonXtal_Prot#'!A:AL,37,FALSE)-VLOOKUP(A119,'SegEnds_NonXtal_Prot#'!A:AL,34,FALSE)</f>
        <v>10</v>
      </c>
      <c r="AL119" s="1" t="str">
        <f>IF(ISERROR(MATCH(A119,'SegEnds_Xtal_Prot#'!B:B, 0)), "NoXtal", "Xtal")</f>
        <v>NoXtal</v>
      </c>
    </row>
    <row r="120" spans="1:38" x14ac:dyDescent="0.2">
      <c r="A120" s="1" t="s">
        <v>241</v>
      </c>
      <c r="B120" s="1" t="str">
        <f>VLOOKUP(A120,Xtal_Templ!A:B,2,FALSE)</f>
        <v>oprk_human</v>
      </c>
      <c r="C120" s="5">
        <f>VLOOKUP($B120&amp;"__wt",'SegEnds_Xtal_BW#'!$A:$Z,3,FALSE)</f>
        <v>30</v>
      </c>
      <c r="D120" s="1">
        <f>VLOOKUP($B120&amp;"__wt",'SegEnds_Xtal_BW#'!$A:$Z,4,FALSE)</f>
        <v>60</v>
      </c>
      <c r="E120" s="1">
        <f>VLOOKUP($B120&amp;"__wt",'SegEnds_Xtal_BW#'!$A:$Z,5,FALSE)</f>
        <v>48</v>
      </c>
      <c r="F120" s="1">
        <f>VLOOKUP($B120&amp;"__wt",'SegEnds_Xtal_BW#'!$A:$Z,6,FALSE)</f>
        <v>51</v>
      </c>
      <c r="G120" s="1">
        <v>37</v>
      </c>
      <c r="H120" s="12">
        <v>66</v>
      </c>
      <c r="I120" s="1">
        <f>VLOOKUP($B120&amp;"__wt",'SegEnds_Xtal_BW#'!$A:$Z,9,FALSE)</f>
        <v>49</v>
      </c>
      <c r="J120" s="1">
        <f>VLOOKUP($B120&amp;"__wt",'SegEnds_Xtal_BW#'!$A:$Z,10,FALSE)</f>
        <v>52</v>
      </c>
      <c r="K120" s="12">
        <v>21</v>
      </c>
      <c r="L120" s="1">
        <f>VLOOKUP($B120&amp;"__wt",'SegEnds_Xtal_BW#'!$A:$Z,12,FALSE)</f>
        <v>56</v>
      </c>
      <c r="M120" s="1">
        <f>VLOOKUP($B120&amp;"__wt",'SegEnds_Xtal_BW#'!$A:$Z,13,FALSE)</f>
        <v>50</v>
      </c>
      <c r="N120" s="12">
        <v>57</v>
      </c>
      <c r="O120" s="87">
        <v>38</v>
      </c>
      <c r="P120" s="1">
        <f>VLOOKUP($B120&amp;"__wt",'SegEnds_Xtal_BW#'!$A:$Z,16,FALSE)</f>
        <v>64</v>
      </c>
      <c r="Q120" s="1">
        <f>VLOOKUP($B120&amp;"__wt",'SegEnds_Xtal_BW#'!$A:$Z,17,FALSE)</f>
        <v>50</v>
      </c>
      <c r="R120" s="1">
        <f>VLOOKUP($B120&amp;"__wt",'SegEnds_Xtal_BW#'!$A:$Z,18,FALSE)</f>
        <v>52</v>
      </c>
      <c r="S120" s="1">
        <f>VLOOKUP($B120&amp;"__wt",'SegEnds_Xtal_BW#'!$A:$Z,19,FALSE)</f>
        <v>30</v>
      </c>
      <c r="T120" s="1">
        <f t="array" ref="T120">INDEX(ICL3_classA!$G$2:$G$37,MATCH(MIN(ABS(AI120-ICL3_classA!$F$2:$F$37)),ABS(AI120-ICL3_classA!$F$2:$F$37),0))</f>
        <v>68</v>
      </c>
      <c r="U120" s="1">
        <f t="array" ref="U120">INDEX(ICL3_classA!$H$2:$H$37,MATCH(MIN(ABS(AI120-ICL3_classA!$F$2:$F$37)),ABS(AI120-ICL3_classA!$F$2:$F$37),0))</f>
        <v>24</v>
      </c>
      <c r="V120" s="1">
        <v>61</v>
      </c>
      <c r="W120" s="1">
        <v>31</v>
      </c>
      <c r="X120" s="1">
        <f>VLOOKUP($B120&amp;"__wt",'SegEnds_Xtal_BW#'!$A:$Z,24,FALSE)</f>
        <v>56</v>
      </c>
      <c r="Y120" s="1">
        <f>VLOOKUP($B120&amp;"__wt",'SegEnds_Xtal_BW#'!$A:$Z,25,FALSE)</f>
        <v>47</v>
      </c>
      <c r="Z120" s="1">
        <f>VLOOKUP($B120&amp;"__wt",'SegEnds_Xtal_BW#'!$A:$Z,26,FALSE)</f>
        <v>59</v>
      </c>
      <c r="AA120" s="27" t="str">
        <f>VLOOKUP(A120,Classification!A:B,2,FALSE)</f>
        <v>A</v>
      </c>
      <c r="AB120" s="1">
        <f>VLOOKUP(A120,'SegEnds_NonXtal_Prot#'!A:AL,10,FALSE)-VLOOKUP(A120,'SegEnds_NonXtal_Prot#'!A:AL,4,FALSE)</f>
        <v>28</v>
      </c>
      <c r="AC120" s="1" t="e">
        <f>VLOOKUP(A120,'SegEnds_NonXtal_Prot#'!A:AL,10,FALSE)-VLOOKUP(A120,'SegEnds_NonXtal_Prot#'!A:AL,7,FALSE)</f>
        <v>#VALUE!</v>
      </c>
      <c r="AD120" s="1">
        <f>VLOOKUP(A120,'SegEnds_NonXtal_Prot#'!A:AL,13,FALSE)-VLOOKUP(A120,'SegEnds_NonXtal_Prot#'!A:AL,10,FALSE)</f>
        <v>19</v>
      </c>
      <c r="AE120" s="1">
        <f>VLOOKUP(A120,'SegEnds_NonXtal_Prot#'!A:AL,16,FALSE)-VLOOKUP(A120,'SegEnds_NonXtal_Prot#'!A:AL,10,FALSE)</f>
        <v>51</v>
      </c>
      <c r="AF120" s="1">
        <f>VLOOKUP(A120,'SegEnds_NonXtal_Prot#'!A:AL,22,FALSE)-VLOOKUP(A120,'SegEnds_NonXtal_Prot#'!A:AL,19,FALSE)</f>
        <v>20</v>
      </c>
      <c r="AG120" s="1">
        <f>VLOOKUP(A120,'SegEnds_NonXtal_Prot#'!A:AL,28,FALSE)-VLOOKUP(A120,'SegEnds_NonXtal_Prot#'!A:AL,25,FALSE)</f>
        <v>27</v>
      </c>
      <c r="AH120" s="1">
        <f>VLOOKUP(A120,'SegEnds_NonXtal_Prot#'!A:AL,28,FALSE)-VLOOKUP(A120,'SegEnds_NonXtal_Prot#'!A:AL,22,FALSE)</f>
        <v>53</v>
      </c>
      <c r="AI120" s="1">
        <f>VLOOKUP(A120,'SegEnds_NonXtal_Prot#'!A:AL,31,FALSE)-VLOOKUP(A120,'SegEnds_NonXtal_Prot#'!A:AL,28,FALSE)</f>
        <v>48</v>
      </c>
      <c r="AJ120" s="1">
        <f>VLOOKUP(A120,'SegEnds_NonXtal_Prot#'!A:AL,34,FALSE)-VLOOKUP(A120,'SegEnds_NonXtal_Prot#'!A:AL,31,FALSE)</f>
        <v>36</v>
      </c>
      <c r="AK120" s="1">
        <f>VLOOKUP(A120,'SegEnds_NonXtal_Prot#'!A:AL,37,FALSE)-VLOOKUP(A120,'SegEnds_NonXtal_Prot#'!A:AL,34,FALSE)</f>
        <v>10</v>
      </c>
      <c r="AL120" s="1" t="str">
        <f>IF(ISERROR(MATCH(A120,'SegEnds_Xtal_Prot#'!B:B, 0)), "NoXtal", "Xtal")</f>
        <v>NoXtal</v>
      </c>
    </row>
    <row r="121" spans="1:38" x14ac:dyDescent="0.2">
      <c r="A121" s="4" t="s">
        <v>242</v>
      </c>
      <c r="B121" s="4" t="str">
        <f>VLOOKUP(A121,Xtal_Templ!A:B,2,FALSE)</f>
        <v>ox2r_human</v>
      </c>
      <c r="C121" s="5">
        <f>VLOOKUP($B121&amp;"__wt",'SegEnds_Xtal_BW#'!$A:$Z,3,FALSE)</f>
        <v>31</v>
      </c>
      <c r="D121" s="4">
        <f>VLOOKUP($B121&amp;"__wt",'SegEnds_Xtal_BW#'!$A:$Z,4,FALSE)</f>
        <v>60</v>
      </c>
      <c r="E121" s="4">
        <f>VLOOKUP($B121&amp;"__wt",'SegEnds_Xtal_BW#'!$A:$Z,5,FALSE)</f>
        <v>48</v>
      </c>
      <c r="F121" s="4">
        <f>VLOOKUP($B121&amp;"__wt",'SegEnds_Xtal_BW#'!$A:$Z,6,FALSE)</f>
        <v>51</v>
      </c>
      <c r="G121" s="4">
        <v>37</v>
      </c>
      <c r="H121" s="12">
        <f>VLOOKUP($B121&amp;"__wt",'SegEnds_Xtal_BW#'!$A:$Z,8,FALSE)</f>
        <v>68</v>
      </c>
      <c r="I121" s="4">
        <f>VLOOKUP($B121&amp;"__wt",'SegEnds_Xtal_BW#'!$A:$Z,9,FALSE)</f>
        <v>49</v>
      </c>
      <c r="J121" s="4">
        <f>VLOOKUP($B121&amp;"__wt",'SegEnds_Xtal_BW#'!$A:$Z,10,FALSE)</f>
        <v>52</v>
      </c>
      <c r="K121" s="11">
        <v>18</v>
      </c>
      <c r="L121" s="4">
        <f>VLOOKUP($B121&amp;"__wt",'SegEnds_Xtal_BW#'!$A:$Z,12,FALSE)</f>
        <v>56</v>
      </c>
      <c r="M121" s="4">
        <f>VLOOKUP($B121&amp;"__wt",'SegEnds_Xtal_BW#'!$A:$Z,13,FALSE)</f>
        <v>50</v>
      </c>
      <c r="N121" s="11">
        <v>53</v>
      </c>
      <c r="O121" s="87">
        <f>VLOOKUP($B121&amp;"__wt",'SegEnds_Xtal_BW#'!$A:$Z,15,FALSE)</f>
        <v>38</v>
      </c>
      <c r="P121" s="4">
        <f>VLOOKUP($B121&amp;"__wt",'SegEnds_Xtal_BW#'!$A:$Z,16,FALSE)</f>
        <v>64</v>
      </c>
      <c r="Q121" s="4">
        <f>VLOOKUP($B121&amp;"__wt",'SegEnds_Xtal_BW#'!$A:$Z,17,FALSE)</f>
        <v>50</v>
      </c>
      <c r="R121" s="4">
        <f>VLOOKUP($B121&amp;"__wt",'SegEnds_Xtal_BW#'!$A:$Z,18,FALSE)</f>
        <v>52</v>
      </c>
      <c r="S121" s="4">
        <f>VLOOKUP($B121&amp;"__wt",'SegEnds_Xtal_BW#'!$A:$Z,19,FALSE)</f>
        <v>33</v>
      </c>
      <c r="T121" s="4">
        <f t="array" ref="T121">INDEX(ICL3_classA!$G$2:$G$37,MATCH(MIN(ABS(AI121-ICL3_classA!$F$2:$F$37)),ABS(AI121-ICL3_classA!$F$2:$F$37),0))</f>
        <v>73</v>
      </c>
      <c r="U121" s="4">
        <f t="array" ref="U121">INDEX(ICL3_classA!$H$2:$H$37,MATCH(MIN(ABS(AI121-ICL3_classA!$F$2:$F$37)),ABS(AI121-ICL3_classA!$F$2:$F$37),0))</f>
        <v>22</v>
      </c>
      <c r="V121" s="4">
        <v>61</v>
      </c>
      <c r="W121" s="4">
        <v>31</v>
      </c>
      <c r="X121" s="4">
        <f>VLOOKUP($B121&amp;"__wt",'SegEnds_Xtal_BW#'!$A:$Z,24,FALSE)</f>
        <v>56</v>
      </c>
      <c r="Y121" s="4">
        <f>VLOOKUP($B121&amp;"__wt",'SegEnds_Xtal_BW#'!$A:$Z,25,FALSE)</f>
        <v>47</v>
      </c>
      <c r="Z121" s="4">
        <f>VLOOKUP($B121&amp;"__wt",'SegEnds_Xtal_BW#'!$A:$Z,26,FALSE)</f>
        <v>58</v>
      </c>
      <c r="AA121" s="27" t="str">
        <f>VLOOKUP(A121,Classification!A:B,2,FALSE)</f>
        <v>A</v>
      </c>
      <c r="AB121" s="1">
        <f>VLOOKUP(A121,'SegEnds_NonXtal_Prot#'!A:AL,10,FALSE)-VLOOKUP(A121,'SegEnds_NonXtal_Prot#'!A:AL,4,FALSE)</f>
        <v>28</v>
      </c>
      <c r="AC121" s="4">
        <f>VLOOKUP(A121,'SegEnds_NonXtal_Prot#'!A:AL,10,FALSE)-VLOOKUP(A121,'SegEnds_NonXtal_Prot#'!A:AL,7,FALSE)</f>
        <v>15</v>
      </c>
      <c r="AD121" s="4">
        <f>VLOOKUP(A121,'SegEnds_NonXtal_Prot#'!A:AL,13,FALSE)-VLOOKUP(A121,'SegEnds_NonXtal_Prot#'!A:AL,10,FALSE)</f>
        <v>20</v>
      </c>
      <c r="AE121" s="4">
        <f>VLOOKUP(A121,'SegEnds_NonXtal_Prot#'!A:AL,16,FALSE)-VLOOKUP(A121,'SegEnds_NonXtal_Prot#'!A:AL,10,FALSE)</f>
        <v>52</v>
      </c>
      <c r="AF121" s="1">
        <f>VLOOKUP(A121,'SegEnds_NonXtal_Prot#'!A:AL,22,FALSE)-VLOOKUP(A121,'SegEnds_NonXtal_Prot#'!A:AL,19,FALSE)</f>
        <v>18</v>
      </c>
      <c r="AG121" s="4">
        <f>VLOOKUP(A121,'SegEnds_NonXtal_Prot#'!A:AL,28,FALSE)-VLOOKUP(A121,'SegEnds_NonXtal_Prot#'!A:AL,25,FALSE)</f>
        <v>25</v>
      </c>
      <c r="AH121" s="1">
        <f>VLOOKUP(A121,'SegEnds_NonXtal_Prot#'!A:AL,28,FALSE)-VLOOKUP(A121,'SegEnds_NonXtal_Prot#'!A:AL,22,FALSE)</f>
        <v>47</v>
      </c>
      <c r="AI121" s="4">
        <f>VLOOKUP(A121,'SegEnds_NonXtal_Prot#'!A:AL,31,FALSE)-VLOOKUP(A121,'SegEnds_NonXtal_Prot#'!A:AL,28,FALSE)</f>
        <v>56</v>
      </c>
      <c r="AJ121" s="4">
        <f>VLOOKUP(A121,'SegEnds_NonXtal_Prot#'!A:AL,34,FALSE)-VLOOKUP(A121,'SegEnds_NonXtal_Prot#'!A:AL,31,FALSE)</f>
        <v>36</v>
      </c>
      <c r="AK121" s="1">
        <f>VLOOKUP(A121,'SegEnds_NonXtal_Prot#'!A:AL,37,FALSE)-VLOOKUP(A121,'SegEnds_NonXtal_Prot#'!A:AL,34,FALSE)</f>
        <v>10</v>
      </c>
      <c r="AL121" s="1" t="str">
        <f>IF(ISERROR(MATCH(A121,'SegEnds_Xtal_Prot#'!B:B, 0)), "NoXtal", "Xtal")</f>
        <v>NoXtal</v>
      </c>
    </row>
    <row r="122" spans="1:38" x14ac:dyDescent="0.2">
      <c r="A122" s="1" t="s">
        <v>243</v>
      </c>
      <c r="B122" s="1" t="str">
        <f>VLOOKUP(A122,Xtal_Templ!A:B,2,FALSE)</f>
        <v>oprk_human</v>
      </c>
      <c r="C122" s="5">
        <f>VLOOKUP($B122&amp;"__wt",'SegEnds_Xtal_BW#'!$A:$Z,3,FALSE)</f>
        <v>30</v>
      </c>
      <c r="D122" s="1">
        <f>VLOOKUP($B122&amp;"__wt",'SegEnds_Xtal_BW#'!$A:$Z,4,FALSE)</f>
        <v>60</v>
      </c>
      <c r="E122" s="1">
        <f>VLOOKUP($B122&amp;"__wt",'SegEnds_Xtal_BW#'!$A:$Z,5,FALSE)</f>
        <v>48</v>
      </c>
      <c r="F122" s="1">
        <f>VLOOKUP($B122&amp;"__wt",'SegEnds_Xtal_BW#'!$A:$Z,6,FALSE)</f>
        <v>51</v>
      </c>
      <c r="G122" s="1">
        <v>37</v>
      </c>
      <c r="H122" s="12">
        <v>66</v>
      </c>
      <c r="I122" s="1">
        <f>VLOOKUP($B122&amp;"__wt",'SegEnds_Xtal_BW#'!$A:$Z,9,FALSE)</f>
        <v>49</v>
      </c>
      <c r="J122" s="1">
        <f>VLOOKUP($B122&amp;"__wt",'SegEnds_Xtal_BW#'!$A:$Z,10,FALSE)</f>
        <v>52</v>
      </c>
      <c r="K122" s="12">
        <v>24</v>
      </c>
      <c r="L122" s="1">
        <f>VLOOKUP($B122&amp;"__wt",'SegEnds_Xtal_BW#'!$A:$Z,12,FALSE)</f>
        <v>56</v>
      </c>
      <c r="M122" s="1">
        <f>VLOOKUP($B122&amp;"__wt",'SegEnds_Xtal_BW#'!$A:$Z,13,FALSE)</f>
        <v>50</v>
      </c>
      <c r="N122" s="12">
        <v>57</v>
      </c>
      <c r="O122" s="87">
        <v>38</v>
      </c>
      <c r="P122" s="1">
        <f>VLOOKUP($B122&amp;"__wt",'SegEnds_Xtal_BW#'!$A:$Z,16,FALSE)</f>
        <v>64</v>
      </c>
      <c r="Q122" s="1">
        <f>VLOOKUP($B122&amp;"__wt",'SegEnds_Xtal_BW#'!$A:$Z,17,FALSE)</f>
        <v>50</v>
      </c>
      <c r="R122" s="1">
        <f>VLOOKUP($B122&amp;"__wt",'SegEnds_Xtal_BW#'!$A:$Z,18,FALSE)</f>
        <v>52</v>
      </c>
      <c r="S122" s="108">
        <v>38</v>
      </c>
      <c r="T122" s="1">
        <f t="array" ref="T122">INDEX(ICL3_classA!$G$2:$G$37,MATCH(MIN(ABS(AI122-ICL3_classA!$F$2:$F$37)),ABS(AI122-ICL3_classA!$F$2:$F$37),0))</f>
        <v>68</v>
      </c>
      <c r="U122" s="1">
        <f t="array" ref="U122">INDEX(ICL3_classA!$H$2:$H$37,MATCH(MIN(ABS(AI122-ICL3_classA!$F$2:$F$37)),ABS(AI122-ICL3_classA!$F$2:$F$37),0))</f>
        <v>24</v>
      </c>
      <c r="V122" s="1">
        <v>61</v>
      </c>
      <c r="W122" s="1">
        <v>28</v>
      </c>
      <c r="X122" s="1">
        <f>VLOOKUP($B122&amp;"__wt",'SegEnds_Xtal_BW#'!$A:$Z,24,FALSE)</f>
        <v>56</v>
      </c>
      <c r="Y122" s="1">
        <f>VLOOKUP($B122&amp;"__wt",'SegEnds_Xtal_BW#'!$A:$Z,25,FALSE)</f>
        <v>47</v>
      </c>
      <c r="Z122" s="1">
        <f>VLOOKUP($B122&amp;"__wt",'SegEnds_Xtal_BW#'!$A:$Z,26,FALSE)</f>
        <v>59</v>
      </c>
      <c r="AA122" s="27" t="str">
        <f>VLOOKUP(A122,Classification!A:B,2,FALSE)</f>
        <v>A</v>
      </c>
      <c r="AB122" s="1">
        <f>VLOOKUP(A122,'SegEnds_NonXtal_Prot#'!A:AL,10,FALSE)-VLOOKUP(A122,'SegEnds_NonXtal_Prot#'!A:AL,4,FALSE)</f>
        <v>28</v>
      </c>
      <c r="AC122" s="1">
        <f>VLOOKUP(A122,'SegEnds_NonXtal_Prot#'!A:AL,10,FALSE)-VLOOKUP(A122,'SegEnds_NonXtal_Prot#'!A:AL,7,FALSE)</f>
        <v>15</v>
      </c>
      <c r="AD122" s="1" t="e">
        <f>VLOOKUP(A122,'SegEnds_NonXtal_Prot#'!A:AL,13,FALSE)-VLOOKUP(A122,'SegEnds_NonXtal_Prot#'!A:AL,10,FALSE)</f>
        <v>#VALUE!</v>
      </c>
      <c r="AE122" s="1">
        <f>VLOOKUP(A122,'SegEnds_NonXtal_Prot#'!A:AL,16,FALSE)-VLOOKUP(A122,'SegEnds_NonXtal_Prot#'!A:AL,10,FALSE)</f>
        <v>49</v>
      </c>
      <c r="AF122" s="1">
        <f>VLOOKUP(A122,'SegEnds_NonXtal_Prot#'!A:AL,22,FALSE)-VLOOKUP(A122,'SegEnds_NonXtal_Prot#'!A:AL,19,FALSE)</f>
        <v>20</v>
      </c>
      <c r="AG122" s="1" t="e">
        <f>VLOOKUP(A122,'SegEnds_NonXtal_Prot#'!A:AL,28,FALSE)-VLOOKUP(A122,'SegEnds_NonXtal_Prot#'!A:AL,25,FALSE)</f>
        <v>#VALUE!</v>
      </c>
      <c r="AH122" s="1">
        <f>VLOOKUP(A122,'SegEnds_NonXtal_Prot#'!A:AL,28,FALSE)-VLOOKUP(A122,'SegEnds_NonXtal_Prot#'!A:AL,22,FALSE)</f>
        <v>33</v>
      </c>
      <c r="AI122" s="1">
        <f>VLOOKUP(A122,'SegEnds_NonXtal_Prot#'!A:AL,31,FALSE)-VLOOKUP(A122,'SegEnds_NonXtal_Prot#'!A:AL,28,FALSE)</f>
        <v>48</v>
      </c>
      <c r="AJ122" s="1">
        <f>VLOOKUP(A122,'SegEnds_NonXtal_Prot#'!A:AL,34,FALSE)-VLOOKUP(A122,'SegEnds_NonXtal_Prot#'!A:AL,31,FALSE)</f>
        <v>38</v>
      </c>
      <c r="AK122" s="1">
        <f>VLOOKUP(A122,'SegEnds_NonXtal_Prot#'!A:AL,37,FALSE)-VLOOKUP(A122,'SegEnds_NonXtal_Prot#'!A:AL,34,FALSE)</f>
        <v>10</v>
      </c>
      <c r="AL122" s="1" t="str">
        <f>IF(ISERROR(MATCH(A122,'SegEnds_Xtal_Prot#'!B:B, 0)), "NoXtal", "Xtal")</f>
        <v>NoXtal</v>
      </c>
    </row>
    <row r="123" spans="1:38" x14ac:dyDescent="0.2">
      <c r="A123" s="1" t="s">
        <v>244</v>
      </c>
      <c r="B123" s="1" t="str">
        <f>VLOOKUP(A123,Xtal_Templ!A:B,2,FALSE)</f>
        <v>5ht2c_human</v>
      </c>
      <c r="C123" s="5">
        <f>VLOOKUP($B123&amp;"__wt",'SegEnds_Xtal_BW#'!$A:$Z,3,FALSE)</f>
        <v>33</v>
      </c>
      <c r="D123" s="1">
        <f>VLOOKUP($B123&amp;"__wt",'SegEnds_Xtal_BW#'!$A:$Z,4,FALSE)</f>
        <v>60</v>
      </c>
      <c r="E123" s="1">
        <f>VLOOKUP($B123&amp;"__wt",'SegEnds_Xtal_BW#'!$A:$Z,5,FALSE)</f>
        <v>48</v>
      </c>
      <c r="F123" s="1">
        <f>VLOOKUP($B123&amp;"__wt",'SegEnds_Xtal_BW#'!$A:$Z,6,FALSE)</f>
        <v>51</v>
      </c>
      <c r="G123" s="1">
        <v>37</v>
      </c>
      <c r="H123" s="108">
        <v>66</v>
      </c>
      <c r="I123" s="1">
        <f>VLOOKUP($B123&amp;"__wt",'SegEnds_Xtal_BW#'!$A:$Z,9,FALSE)</f>
        <v>49</v>
      </c>
      <c r="J123" s="1">
        <f>VLOOKUP($B123&amp;"__wt",'SegEnds_Xtal_BW#'!$A:$Z,10,FALSE)</f>
        <v>52</v>
      </c>
      <c r="K123" s="12">
        <v>18</v>
      </c>
      <c r="L123" s="1">
        <f>VLOOKUP($B123&amp;"__wt",'SegEnds_Xtal_BW#'!$A:$Z,12,FALSE)</f>
        <v>56</v>
      </c>
      <c r="M123" s="1">
        <f>VLOOKUP($B123&amp;"__wt",'SegEnds_Xtal_BW#'!$A:$Z,13,FALSE)</f>
        <v>50</v>
      </c>
      <c r="N123" s="12">
        <v>57</v>
      </c>
      <c r="O123" s="87">
        <v>38</v>
      </c>
      <c r="P123" s="1">
        <f>VLOOKUP($B123&amp;"__wt",'SegEnds_Xtal_BW#'!$A:$Z,16,FALSE)</f>
        <v>67</v>
      </c>
      <c r="Q123" s="1">
        <f>VLOOKUP($B123&amp;"__wt",'SegEnds_Xtal_BW#'!$A:$Z,17,FALSE)</f>
        <v>50</v>
      </c>
      <c r="R123" s="1">
        <f>VLOOKUP($B123&amp;"__wt",'SegEnds_Xtal_BW#'!$A:$Z,18,FALSE)</f>
        <v>52</v>
      </c>
      <c r="S123" s="1">
        <v>35</v>
      </c>
      <c r="T123" s="1">
        <f t="array" ref="T123">INDEX(ICL3_classA!$G$2:$G$37,MATCH(MIN(ABS(AI123-ICL3_classA!$F$2:$F$37)),ABS(AI123-ICL3_classA!$F$2:$F$37),0))</f>
        <v>74</v>
      </c>
      <c r="U123" s="1">
        <f t="array" ref="U123">INDEX(ICL3_classA!$H$2:$H$37,MATCH(MIN(ABS(AI123-ICL3_classA!$F$2:$F$37)),ABS(AI123-ICL3_classA!$F$2:$F$37),0))</f>
        <v>21</v>
      </c>
      <c r="V123" s="1">
        <v>61</v>
      </c>
      <c r="W123" s="1">
        <v>32</v>
      </c>
      <c r="X123" s="1">
        <f>VLOOKUP($B123&amp;"__wt",'SegEnds_Xtal_BW#'!$A:$Z,24,FALSE)</f>
        <v>56</v>
      </c>
      <c r="Y123" s="1">
        <f>VLOOKUP($B123&amp;"__wt",'SegEnds_Xtal_BW#'!$A:$Z,25,FALSE)</f>
        <v>47</v>
      </c>
      <c r="Z123" s="1">
        <f>VLOOKUP($B123&amp;"__wt",'SegEnds_Xtal_BW#'!$A:$Z,26,FALSE)</f>
        <v>60</v>
      </c>
      <c r="AA123" s="27" t="str">
        <f>VLOOKUP(A123,Classification!A:B,2,FALSE)</f>
        <v>A</v>
      </c>
      <c r="AB123" s="1">
        <f>VLOOKUP(A123,'SegEnds_NonXtal_Prot#'!A:AL,10,FALSE)-VLOOKUP(A123,'SegEnds_NonXtal_Prot#'!A:AL,4,FALSE)</f>
        <v>29</v>
      </c>
      <c r="AC123" s="1">
        <f>VLOOKUP(A123,'SegEnds_NonXtal_Prot#'!A:AL,10,FALSE)-VLOOKUP(A123,'SegEnds_NonXtal_Prot#'!A:AL,7,FALSE)</f>
        <v>16</v>
      </c>
      <c r="AD123" s="1" t="e">
        <f>VLOOKUP(A123,'SegEnds_NonXtal_Prot#'!A:AL,13,FALSE)-VLOOKUP(A123,'SegEnds_NonXtal_Prot#'!A:AL,10,FALSE)</f>
        <v>#VALUE!</v>
      </c>
      <c r="AE123" s="1">
        <f>VLOOKUP(A123,'SegEnds_NonXtal_Prot#'!A:AL,16,FALSE)-VLOOKUP(A123,'SegEnds_NonXtal_Prot#'!A:AL,10,FALSE)</f>
        <v>52</v>
      </c>
      <c r="AF123" s="1">
        <f>VLOOKUP(A123,'SegEnds_NonXtal_Prot#'!A:AL,22,FALSE)-VLOOKUP(A123,'SegEnds_NonXtal_Prot#'!A:AL,19,FALSE)</f>
        <v>20</v>
      </c>
      <c r="AG123" s="1">
        <f>VLOOKUP(A123,'SegEnds_NonXtal_Prot#'!A:AL,28,FALSE)-VLOOKUP(A123,'SegEnds_NonXtal_Prot#'!A:AL,25,FALSE)</f>
        <v>21</v>
      </c>
      <c r="AH123" s="1">
        <f>VLOOKUP(A123,'SegEnds_NonXtal_Prot#'!A:AL,28,FALSE)-VLOOKUP(A123,'SegEnds_NonXtal_Prot#'!A:AL,22,FALSE)</f>
        <v>48</v>
      </c>
      <c r="AI123" s="1">
        <f>VLOOKUP(A123,'SegEnds_NonXtal_Prot#'!A:AL,31,FALSE)-VLOOKUP(A123,'SegEnds_NonXtal_Prot#'!A:AL,28,FALSE)</f>
        <v>65</v>
      </c>
      <c r="AJ123" s="1">
        <f>VLOOKUP(A123,'SegEnds_NonXtal_Prot#'!A:AL,34,FALSE)-VLOOKUP(A123,'SegEnds_NonXtal_Prot#'!A:AL,31,FALSE)</f>
        <v>34</v>
      </c>
      <c r="AK123" s="1">
        <f>VLOOKUP(A123,'SegEnds_NonXtal_Prot#'!A:AL,37,FALSE)-VLOOKUP(A123,'SegEnds_NonXtal_Prot#'!A:AL,34,FALSE)</f>
        <v>10</v>
      </c>
      <c r="AL123" s="1" t="str">
        <f>IF(ISERROR(MATCH(A123,'SegEnds_Xtal_Prot#'!B:B, 0)), "NoXtal", "Xtal")</f>
        <v>NoXtal</v>
      </c>
    </row>
    <row r="124" spans="1:38" x14ac:dyDescent="0.2">
      <c r="A124" s="1" t="s">
        <v>245</v>
      </c>
      <c r="B124" s="1" t="str">
        <f>VLOOKUP(A124,Xtal_Templ!A:B,2,FALSE)</f>
        <v>hrh1_human</v>
      </c>
      <c r="C124" s="5">
        <f>VLOOKUP($B124&amp;"__wt",'SegEnds_Xtal_BW#'!$A:$Z,3,FALSE)</f>
        <v>34</v>
      </c>
      <c r="D124" s="1">
        <f>VLOOKUP($B124&amp;"__wt",'SegEnds_Xtal_BW#'!$A:$Z,4,FALSE)</f>
        <v>60</v>
      </c>
      <c r="E124" s="1">
        <f>VLOOKUP($B124&amp;"__wt",'SegEnds_Xtal_BW#'!$A:$Z,5,FALSE)</f>
        <v>48</v>
      </c>
      <c r="F124" s="1">
        <f>VLOOKUP($B124&amp;"__wt",'SegEnds_Xtal_BW#'!$A:$Z,6,FALSE)</f>
        <v>51</v>
      </c>
      <c r="G124" s="1">
        <v>37</v>
      </c>
      <c r="H124" s="12">
        <f>VLOOKUP($B124&amp;"__wt",'SegEnds_Xtal_BW#'!$A:$Z,8,FALSE)</f>
        <v>67</v>
      </c>
      <c r="I124" s="1">
        <f>VLOOKUP($B124&amp;"__wt",'SegEnds_Xtal_BW#'!$A:$Z,9,FALSE)</f>
        <v>49</v>
      </c>
      <c r="J124" s="1">
        <f>VLOOKUP($B124&amp;"__wt",'SegEnds_Xtal_BW#'!$A:$Z,10,FALSE)</f>
        <v>52</v>
      </c>
      <c r="K124" s="12">
        <v>21</v>
      </c>
      <c r="L124" s="1">
        <f>VLOOKUP($B124&amp;"__wt",'SegEnds_Xtal_BW#'!$A:$Z,12,FALSE)</f>
        <v>56</v>
      </c>
      <c r="M124" s="1">
        <f>VLOOKUP($B124&amp;"__wt",'SegEnds_Xtal_BW#'!$A:$Z,13,FALSE)</f>
        <v>50</v>
      </c>
      <c r="N124" s="12">
        <v>53</v>
      </c>
      <c r="O124" s="87">
        <f>VLOOKUP($B124&amp;"__wt",'SegEnds_Xtal_BW#'!$A:$Z,15,FALSE)</f>
        <v>38</v>
      </c>
      <c r="P124" s="1">
        <v>63</v>
      </c>
      <c r="Q124" s="1">
        <f>VLOOKUP($B124&amp;"__wt",'SegEnds_Xtal_BW#'!$A:$Z,17,FALSE)</f>
        <v>50</v>
      </c>
      <c r="R124" s="1">
        <f>VLOOKUP($B124&amp;"__wt",'SegEnds_Xtal_BW#'!$A:$Z,18,FALSE)</f>
        <v>52</v>
      </c>
      <c r="S124" s="1">
        <v>35</v>
      </c>
      <c r="T124" s="1">
        <f t="array" ref="T124">INDEX(ICL3_classA!$G$2:$G$37,MATCH(MIN(ABS(AI124-ICL3_classA!$F$2:$F$37)),ABS(AI124-ICL3_classA!$F$2:$F$37),0))</f>
        <v>74</v>
      </c>
      <c r="U124" s="1">
        <f t="array" ref="U124">INDEX(ICL3_classA!$H$2:$H$37,MATCH(MIN(ABS(AI124-ICL3_classA!$F$2:$F$37)),ABS(AI124-ICL3_classA!$F$2:$F$37),0))</f>
        <v>24</v>
      </c>
      <c r="V124" s="1">
        <v>61</v>
      </c>
      <c r="W124" s="1">
        <v>31</v>
      </c>
      <c r="X124" s="1">
        <f>VLOOKUP($B124&amp;"__wt",'SegEnds_Xtal_BW#'!$A:$Z,24,FALSE)</f>
        <v>56</v>
      </c>
      <c r="Y124" s="1">
        <f>VLOOKUP($B124&amp;"__wt",'SegEnds_Xtal_BW#'!$A:$Z,25,FALSE)</f>
        <v>47</v>
      </c>
      <c r="Z124" s="1">
        <f>VLOOKUP($B124&amp;"__wt",'SegEnds_Xtal_BW#'!$A:$Z,26,FALSE)</f>
        <v>59</v>
      </c>
      <c r="AA124" s="27" t="str">
        <f>VLOOKUP(A124,Classification!A:B,2,FALSE)</f>
        <v>A</v>
      </c>
      <c r="AB124" s="1">
        <f>VLOOKUP(A124,'SegEnds_NonXtal_Prot#'!A:AL,10,FALSE)-VLOOKUP(A124,'SegEnds_NonXtal_Prot#'!A:AL,4,FALSE)</f>
        <v>29</v>
      </c>
      <c r="AC124" s="1">
        <f>VLOOKUP(A124,'SegEnds_NonXtal_Prot#'!A:AL,10,FALSE)-VLOOKUP(A124,'SegEnds_NonXtal_Prot#'!A:AL,7,FALSE)</f>
        <v>16</v>
      </c>
      <c r="AD124" s="1" t="e">
        <f>VLOOKUP(A124,'SegEnds_NonXtal_Prot#'!A:AL,13,FALSE)-VLOOKUP(A124,'SegEnds_NonXtal_Prot#'!A:AL,10,FALSE)</f>
        <v>#VALUE!</v>
      </c>
      <c r="AE124" s="1">
        <f>VLOOKUP(A124,'SegEnds_NonXtal_Prot#'!A:AL,16,FALSE)-VLOOKUP(A124,'SegEnds_NonXtal_Prot#'!A:AL,10,FALSE)</f>
        <v>52</v>
      </c>
      <c r="AF124" s="1">
        <f>VLOOKUP(A124,'SegEnds_NonXtal_Prot#'!A:AL,22,FALSE)-VLOOKUP(A124,'SegEnds_NonXtal_Prot#'!A:AL,19,FALSE)</f>
        <v>18</v>
      </c>
      <c r="AG124" s="1">
        <f>VLOOKUP(A124,'SegEnds_NonXtal_Prot#'!A:AL,28,FALSE)-VLOOKUP(A124,'SegEnds_NonXtal_Prot#'!A:AL,25,FALSE)</f>
        <v>26</v>
      </c>
      <c r="AH124" s="1">
        <f>VLOOKUP(A124,'SegEnds_NonXtal_Prot#'!A:AL,28,FALSE)-VLOOKUP(A124,'SegEnds_NonXtal_Prot#'!A:AL,22,FALSE)</f>
        <v>58</v>
      </c>
      <c r="AI124" s="1">
        <f>VLOOKUP(A124,'SegEnds_NonXtal_Prot#'!A:AL,31,FALSE)-VLOOKUP(A124,'SegEnds_NonXtal_Prot#'!A:AL,28,FALSE)</f>
        <v>105</v>
      </c>
      <c r="AJ124" s="1">
        <f>VLOOKUP(A124,'SegEnds_NonXtal_Prot#'!A:AL,34,FALSE)-VLOOKUP(A124,'SegEnds_NonXtal_Prot#'!A:AL,31,FALSE)</f>
        <v>36</v>
      </c>
      <c r="AK124" s="1">
        <f>VLOOKUP(A124,'SegEnds_NonXtal_Prot#'!A:AL,37,FALSE)-VLOOKUP(A124,'SegEnds_NonXtal_Prot#'!A:AL,34,FALSE)</f>
        <v>10</v>
      </c>
      <c r="AL124" s="1" t="str">
        <f>IF(ISERROR(MATCH(A124,'SegEnds_Xtal_Prot#'!B:B, 0)), "NoXtal", "Xtal")</f>
        <v>NoXtal</v>
      </c>
    </row>
    <row r="125" spans="1:38" x14ac:dyDescent="0.2">
      <c r="A125" s="1" t="s">
        <v>246</v>
      </c>
      <c r="B125" s="1" t="str">
        <f>VLOOKUP(A125,Xtal_Templ!A:B,2,FALSE)</f>
        <v>agtr1_human</v>
      </c>
      <c r="C125" s="5">
        <f>VLOOKUP($B125&amp;"__wt",'SegEnds_Xtal_BW#'!$A:$Z,3,FALSE)</f>
        <v>30</v>
      </c>
      <c r="D125" s="1">
        <f>VLOOKUP($B125&amp;"__wt",'SegEnds_Xtal_BW#'!$A:$Z,4,FALSE)</f>
        <v>60</v>
      </c>
      <c r="E125" s="1">
        <f>VLOOKUP($B125&amp;"__wt",'SegEnds_Xtal_BW#'!$A:$Z,5,FALSE)</f>
        <v>48</v>
      </c>
      <c r="F125" s="1">
        <f>VLOOKUP($B125&amp;"__wt",'SegEnds_Xtal_BW#'!$A:$Z,6,FALSE)</f>
        <v>51</v>
      </c>
      <c r="G125" s="1">
        <v>37</v>
      </c>
      <c r="H125" s="12">
        <f>VLOOKUP($B125&amp;"__wt",'SegEnds_Xtal_BW#'!$A:$Z,8,FALSE)</f>
        <v>66</v>
      </c>
      <c r="I125" s="1">
        <f>VLOOKUP($B125&amp;"__wt",'SegEnds_Xtal_BW#'!$A:$Z,9,FALSE)</f>
        <v>49</v>
      </c>
      <c r="J125" s="1">
        <f>VLOOKUP($B125&amp;"__wt",'SegEnds_Xtal_BW#'!$A:$Z,10,FALSE)</f>
        <v>52</v>
      </c>
      <c r="K125" s="12">
        <v>18</v>
      </c>
      <c r="L125" s="1">
        <f>VLOOKUP($B125&amp;"__wt",'SegEnds_Xtal_BW#'!$A:$Z,12,FALSE)</f>
        <v>56</v>
      </c>
      <c r="M125" s="1">
        <f>VLOOKUP($B125&amp;"__wt",'SegEnds_Xtal_BW#'!$A:$Z,13,FALSE)</f>
        <v>50</v>
      </c>
      <c r="N125" s="12">
        <v>57</v>
      </c>
      <c r="O125" s="87">
        <f>VLOOKUP($B125&amp;"__wt",'SegEnds_Xtal_BW#'!$A:$Z,15,FALSE)</f>
        <v>38</v>
      </c>
      <c r="P125" s="1">
        <f>VLOOKUP($B125&amp;"__wt",'SegEnds_Xtal_BW#'!$A:$Z,16,FALSE)</f>
        <v>64</v>
      </c>
      <c r="Q125" s="1">
        <f>VLOOKUP($B125&amp;"__wt",'SegEnds_Xtal_BW#'!$A:$Z,17,FALSE)</f>
        <v>50</v>
      </c>
      <c r="R125" s="1">
        <f>VLOOKUP($B125&amp;"__wt",'SegEnds_Xtal_BW#'!$A:$Z,18,FALSE)</f>
        <v>52</v>
      </c>
      <c r="S125" s="1">
        <f>VLOOKUP($B125&amp;"__wt",'SegEnds_Xtal_BW#'!$A:$Z,19,FALSE)</f>
        <v>34</v>
      </c>
      <c r="T125" s="1">
        <f t="array" ref="T125">INDEX(ICL3_classA!$G$2:$G$37,MATCH(MIN(ABS(AI125-ICL3_classA!$F$2:$F$37)),ABS(AI125-ICL3_classA!$F$2:$F$37),0))</f>
        <v>67</v>
      </c>
      <c r="U125" s="1">
        <f t="array" ref="U125">INDEX(ICL3_classA!$H$2:$H$37,MATCH(MIN(ABS(AI125-ICL3_classA!$F$2:$F$37)),ABS(AI125-ICL3_classA!$F$2:$F$37),0))</f>
        <v>28</v>
      </c>
      <c r="V125" s="1">
        <v>64</v>
      </c>
      <c r="W125" s="1">
        <v>24</v>
      </c>
      <c r="X125" s="1">
        <f>VLOOKUP($B125&amp;"__wt",'SegEnds_Xtal_BW#'!$A:$Z,24,FALSE)</f>
        <v>56</v>
      </c>
      <c r="Y125" s="1">
        <f>VLOOKUP($B125&amp;"__wt",'SegEnds_Xtal_BW#'!$A:$Z,25,FALSE)</f>
        <v>47</v>
      </c>
      <c r="Z125" s="1">
        <f>VLOOKUP($B125&amp;"__wt",'SegEnds_Xtal_BW#'!$A:$Z,26,FALSE)</f>
        <v>61</v>
      </c>
      <c r="AA125" s="27" t="str">
        <f>VLOOKUP(A125,Classification!A:B,2,FALSE)</f>
        <v>A</v>
      </c>
      <c r="AB125" s="1">
        <f>VLOOKUP(A125,'SegEnds_NonXtal_Prot#'!A:AL,10,FALSE)-VLOOKUP(A125,'SegEnds_NonXtal_Prot#'!A:AL,4,FALSE)</f>
        <v>28</v>
      </c>
      <c r="AC125" s="1">
        <f>VLOOKUP(A125,'SegEnds_NonXtal_Prot#'!A:AL,10,FALSE)-VLOOKUP(A125,'SegEnds_NonXtal_Prot#'!A:AL,7,FALSE)</f>
        <v>15</v>
      </c>
      <c r="AD125" s="1">
        <f>VLOOKUP(A125,'SegEnds_NonXtal_Prot#'!A:AL,13,FALSE)-VLOOKUP(A125,'SegEnds_NonXtal_Prot#'!A:AL,10,FALSE)</f>
        <v>20</v>
      </c>
      <c r="AE125" s="1">
        <f>VLOOKUP(A125,'SegEnds_NonXtal_Prot#'!A:AL,16,FALSE)-VLOOKUP(A125,'SegEnds_NonXtal_Prot#'!A:AL,10,FALSE)</f>
        <v>52</v>
      </c>
      <c r="AF125" s="1">
        <f>VLOOKUP(A125,'SegEnds_NonXtal_Prot#'!A:AL,22,FALSE)-VLOOKUP(A125,'SegEnds_NonXtal_Prot#'!A:AL,19,FALSE)</f>
        <v>20</v>
      </c>
      <c r="AG125" s="1">
        <f>VLOOKUP(A125,'SegEnds_NonXtal_Prot#'!A:AL,28,FALSE)-VLOOKUP(A125,'SegEnds_NonXtal_Prot#'!A:AL,25,FALSE)</f>
        <v>23</v>
      </c>
      <c r="AH125" s="1">
        <f>VLOOKUP(A125,'SegEnds_NonXtal_Prot#'!A:AL,28,FALSE)-VLOOKUP(A125,'SegEnds_NonXtal_Prot#'!A:AL,22,FALSE)</f>
        <v>50</v>
      </c>
      <c r="AI125" s="1">
        <f>VLOOKUP(A125,'SegEnds_NonXtal_Prot#'!A:AL,31,FALSE)-VLOOKUP(A125,'SegEnds_NonXtal_Prot#'!A:AL,28,FALSE)</f>
        <v>45</v>
      </c>
      <c r="AJ125" s="1">
        <f>VLOOKUP(A125,'SegEnds_NonXtal_Prot#'!A:AL,34,FALSE)-VLOOKUP(A125,'SegEnds_NonXtal_Prot#'!A:AL,31,FALSE)</f>
        <v>45</v>
      </c>
      <c r="AK125" s="1">
        <f>VLOOKUP(A125,'SegEnds_NonXtal_Prot#'!A:AL,37,FALSE)-VLOOKUP(A125,'SegEnds_NonXtal_Prot#'!A:AL,34,FALSE)</f>
        <v>10</v>
      </c>
      <c r="AL125" s="1" t="str">
        <f>IF(ISERROR(MATCH(A125,'SegEnds_Xtal_Prot#'!B:B, 0)), "NoXtal", "Xtal")</f>
        <v>NoXtal</v>
      </c>
    </row>
    <row r="126" spans="1:38" x14ac:dyDescent="0.2">
      <c r="A126" s="1" t="s">
        <v>247</v>
      </c>
      <c r="B126" s="1" t="str">
        <f>VLOOKUP(A126,Xtal_Templ!A:B,2,FALSE)</f>
        <v>drd2_human</v>
      </c>
      <c r="C126" s="5">
        <f>VLOOKUP($B126&amp;"__wt",'SegEnds_Xtal_BW#'!$A:$Z,3,FALSE)</f>
        <v>29</v>
      </c>
      <c r="D126" s="1">
        <f>VLOOKUP($B126&amp;"__wt",'SegEnds_Xtal_BW#'!$A:$Z,4,FALSE)</f>
        <v>60</v>
      </c>
      <c r="E126" s="1">
        <f>VLOOKUP($B126&amp;"__wt",'SegEnds_Xtal_BW#'!$A:$Z,5,FALSE)</f>
        <v>48</v>
      </c>
      <c r="F126" s="1">
        <f>VLOOKUP($B126&amp;"__wt",'SegEnds_Xtal_BW#'!$A:$Z,6,FALSE)</f>
        <v>51</v>
      </c>
      <c r="G126" s="1">
        <v>37</v>
      </c>
      <c r="H126" s="12">
        <f>VLOOKUP($B126&amp;"__wt",'SegEnds_Xtal_BW#'!$A:$Z,8,FALSE)</f>
        <v>68</v>
      </c>
      <c r="I126" s="1">
        <f>VLOOKUP($B126&amp;"__wt",'SegEnds_Xtal_BW#'!$A:$Z,9,FALSE)</f>
        <v>49</v>
      </c>
      <c r="J126" s="1">
        <f>VLOOKUP($B126&amp;"__wt",'SegEnds_Xtal_BW#'!$A:$Z,10,FALSE)</f>
        <v>52</v>
      </c>
      <c r="K126" s="12">
        <v>21</v>
      </c>
      <c r="L126" s="1">
        <f>VLOOKUP($B126&amp;"__wt",'SegEnds_Xtal_BW#'!$A:$Z,12,FALSE)</f>
        <v>56</v>
      </c>
      <c r="M126" s="1">
        <f>VLOOKUP($B126&amp;"__wt",'SegEnds_Xtal_BW#'!$A:$Z,13,FALSE)</f>
        <v>50</v>
      </c>
      <c r="N126" s="12">
        <v>57</v>
      </c>
      <c r="O126" s="87">
        <v>38</v>
      </c>
      <c r="P126" s="1">
        <f>VLOOKUP($B126&amp;"__wt",'SegEnds_Xtal_BW#'!$A:$Z,16,FALSE)</f>
        <v>62</v>
      </c>
      <c r="Q126" s="1">
        <f>VLOOKUP($B126&amp;"__wt",'SegEnds_Xtal_BW#'!$A:$Z,17,FALSE)</f>
        <v>50</v>
      </c>
      <c r="R126" s="1">
        <f>VLOOKUP($B126&amp;"__wt",'SegEnds_Xtal_BW#'!$A:$Z,18,FALSE)</f>
        <v>52</v>
      </c>
      <c r="S126" s="1">
        <v>35</v>
      </c>
      <c r="T126" s="1">
        <f t="array" ref="T126">INDEX(ICL3_classA!$G$2:$G$37,MATCH(MIN(ABS(AI126-ICL3_classA!$F$2:$F$37)),ABS(AI126-ICL3_classA!$F$2:$F$37),0))</f>
        <v>76</v>
      </c>
      <c r="U126" s="1">
        <f t="array" ref="U126">INDEX(ICL3_classA!$H$2:$H$37,MATCH(MIN(ABS(AI126-ICL3_classA!$F$2:$F$37)),ABS(AI126-ICL3_classA!$F$2:$F$37),0))</f>
        <v>24</v>
      </c>
      <c r="V126" s="1">
        <v>61</v>
      </c>
      <c r="W126" s="1">
        <v>31</v>
      </c>
      <c r="X126" s="1">
        <f>VLOOKUP($B126&amp;"__wt",'SegEnds_Xtal_BW#'!$A:$Z,24,FALSE)</f>
        <v>56</v>
      </c>
      <c r="Y126" s="1">
        <f>VLOOKUP($B126&amp;"__wt",'SegEnds_Xtal_BW#'!$A:$Z,25,FALSE)</f>
        <v>47</v>
      </c>
      <c r="Z126" s="1">
        <f>VLOOKUP($B126&amp;"__wt",'SegEnds_Xtal_BW#'!$A:$Z,26,FALSE)</f>
        <v>59</v>
      </c>
      <c r="AA126" s="27" t="str">
        <f>VLOOKUP(A126,Classification!A:B,2,FALSE)</f>
        <v>A</v>
      </c>
      <c r="AB126" s="1">
        <f>VLOOKUP(A126,'SegEnds_NonXtal_Prot#'!A:AL,10,FALSE)-VLOOKUP(A126,'SegEnds_NonXtal_Prot#'!A:AL,4,FALSE)</f>
        <v>29</v>
      </c>
      <c r="AC126" s="1">
        <f>VLOOKUP(A126,'SegEnds_NonXtal_Prot#'!A:AL,10,FALSE)-VLOOKUP(A126,'SegEnds_NonXtal_Prot#'!A:AL,7,FALSE)</f>
        <v>16</v>
      </c>
      <c r="AD126" s="1" t="e">
        <f>VLOOKUP(A126,'SegEnds_NonXtal_Prot#'!A:AL,13,FALSE)-VLOOKUP(A126,'SegEnds_NonXtal_Prot#'!A:AL,10,FALSE)</f>
        <v>#VALUE!</v>
      </c>
      <c r="AE126" s="1">
        <f>VLOOKUP(A126,'SegEnds_NonXtal_Prot#'!A:AL,16,FALSE)-VLOOKUP(A126,'SegEnds_NonXtal_Prot#'!A:AL,10,FALSE)</f>
        <v>52</v>
      </c>
      <c r="AF126" s="1">
        <f>VLOOKUP(A126,'SegEnds_NonXtal_Prot#'!A:AL,22,FALSE)-VLOOKUP(A126,'SegEnds_NonXtal_Prot#'!A:AL,19,FALSE)</f>
        <v>20</v>
      </c>
      <c r="AG126" s="1">
        <f>VLOOKUP(A126,'SegEnds_NonXtal_Prot#'!A:AL,28,FALSE)-VLOOKUP(A126,'SegEnds_NonXtal_Prot#'!A:AL,25,FALSE)</f>
        <v>25</v>
      </c>
      <c r="AH126" s="1">
        <f>VLOOKUP(A126,'SegEnds_NonXtal_Prot#'!A:AL,28,FALSE)-VLOOKUP(A126,'SegEnds_NonXtal_Prot#'!A:AL,22,FALSE)</f>
        <v>53</v>
      </c>
      <c r="AI126" s="1">
        <f>VLOOKUP(A126,'SegEnds_NonXtal_Prot#'!A:AL,31,FALSE)-VLOOKUP(A126,'SegEnds_NonXtal_Prot#'!A:AL,28,FALSE)</f>
        <v>72</v>
      </c>
      <c r="AJ126" s="1">
        <f>VLOOKUP(A126,'SegEnds_NonXtal_Prot#'!A:AL,34,FALSE)-VLOOKUP(A126,'SegEnds_NonXtal_Prot#'!A:AL,31,FALSE)</f>
        <v>35</v>
      </c>
      <c r="AK126" s="1">
        <f>VLOOKUP(A126,'SegEnds_NonXtal_Prot#'!A:AL,37,FALSE)-VLOOKUP(A126,'SegEnds_NonXtal_Prot#'!A:AL,34,FALSE)</f>
        <v>10</v>
      </c>
      <c r="AL126" s="1" t="str">
        <f>IF(ISERROR(MATCH(A126,'SegEnds_Xtal_Prot#'!B:B, 0)), "NoXtal", "Xtal")</f>
        <v>NoXtal</v>
      </c>
    </row>
    <row r="127" spans="1:38" x14ac:dyDescent="0.2">
      <c r="A127" s="1" t="s">
        <v>248</v>
      </c>
      <c r="B127" s="1" t="str">
        <f>VLOOKUP(A127,Xtal_Templ!A:B,2,FALSE)</f>
        <v>ox1r_human</v>
      </c>
      <c r="C127" s="5">
        <f>VLOOKUP($B127&amp;"__wt",'SegEnds_Xtal_BW#'!$A:$Z,3,FALSE)</f>
        <v>32</v>
      </c>
      <c r="D127" s="1">
        <f>VLOOKUP($B127&amp;"__wt",'SegEnds_Xtal_BW#'!$A:$Z,4,FALSE)</f>
        <v>60</v>
      </c>
      <c r="E127" s="1">
        <f>VLOOKUP($B127&amp;"__wt",'SegEnds_Xtal_BW#'!$A:$Z,5,FALSE)</f>
        <v>48</v>
      </c>
      <c r="F127" s="1">
        <f>VLOOKUP($B127&amp;"__wt",'SegEnds_Xtal_BW#'!$A:$Z,6,FALSE)</f>
        <v>51</v>
      </c>
      <c r="G127" s="1">
        <v>37</v>
      </c>
      <c r="H127" s="12">
        <f>VLOOKUP($B127&amp;"__wt",'SegEnds_Xtal_BW#'!$A:$Z,8,FALSE)</f>
        <v>67</v>
      </c>
      <c r="I127" s="1">
        <f>VLOOKUP($B127&amp;"__wt",'SegEnds_Xtal_BW#'!$A:$Z,9,FALSE)</f>
        <v>49</v>
      </c>
      <c r="J127" s="1">
        <f>VLOOKUP($B127&amp;"__wt",'SegEnds_Xtal_BW#'!$A:$Z,10,FALSE)</f>
        <v>52</v>
      </c>
      <c r="K127" s="12">
        <v>18</v>
      </c>
      <c r="L127" s="1">
        <f>VLOOKUP($B127&amp;"__wt",'SegEnds_Xtal_BW#'!$A:$Z,12,FALSE)</f>
        <v>56</v>
      </c>
      <c r="M127" s="1">
        <f>VLOOKUP($B127&amp;"__wt",'SegEnds_Xtal_BW#'!$A:$Z,13,FALSE)</f>
        <v>50</v>
      </c>
      <c r="N127" s="12">
        <v>58</v>
      </c>
      <c r="O127" s="87">
        <f>VLOOKUP($B127&amp;"__wt",'SegEnds_Xtal_BW#'!$A:$Z,15,FALSE)</f>
        <v>38</v>
      </c>
      <c r="P127" s="1">
        <f>VLOOKUP($B127&amp;"__wt",'SegEnds_Xtal_BW#'!$A:$Z,16,FALSE)</f>
        <v>64</v>
      </c>
      <c r="Q127" s="1">
        <f>VLOOKUP($B127&amp;"__wt",'SegEnds_Xtal_BW#'!$A:$Z,17,FALSE)</f>
        <v>50</v>
      </c>
      <c r="R127" s="1">
        <f>VLOOKUP($B127&amp;"__wt",'SegEnds_Xtal_BW#'!$A:$Z,18,FALSE)</f>
        <v>52</v>
      </c>
      <c r="S127" s="1">
        <v>35</v>
      </c>
      <c r="T127" s="1">
        <f t="array" ref="T127">INDEX(ICL3_classA!$G$2:$G$37,MATCH(MIN(ABS(AI127-ICL3_classA!$F$2:$F$37)),ABS(AI127-ICL3_classA!$F$2:$F$37),0))</f>
        <v>76</v>
      </c>
      <c r="U127" s="1">
        <f t="array" ref="U127">INDEX(ICL3_classA!$H$2:$H$37,MATCH(MIN(ABS(AI127-ICL3_classA!$F$2:$F$37)),ABS(AI127-ICL3_classA!$F$2:$F$37),0))</f>
        <v>24</v>
      </c>
      <c r="V127" s="1">
        <v>61</v>
      </c>
      <c r="W127" s="1">
        <v>31</v>
      </c>
      <c r="X127" s="1">
        <f>VLOOKUP($B127&amp;"__wt",'SegEnds_Xtal_BW#'!$A:$Z,24,FALSE)</f>
        <v>56</v>
      </c>
      <c r="Y127" s="1">
        <f>VLOOKUP($B127&amp;"__wt",'SegEnds_Xtal_BW#'!$A:$Z,25,FALSE)</f>
        <v>47</v>
      </c>
      <c r="Z127" s="1">
        <f>VLOOKUP($B127&amp;"__wt",'SegEnds_Xtal_BW#'!$A:$Z,26,FALSE)</f>
        <v>58</v>
      </c>
      <c r="AA127" s="27" t="str">
        <f>VLOOKUP(A127,Classification!A:B,2,FALSE)</f>
        <v>A</v>
      </c>
      <c r="AB127" s="1">
        <f>VLOOKUP(A127,'SegEnds_NonXtal_Prot#'!A:AL,10,FALSE)-VLOOKUP(A127,'SegEnds_NonXtal_Prot#'!A:AL,4,FALSE)</f>
        <v>28</v>
      </c>
      <c r="AC127" s="1">
        <f>VLOOKUP(A127,'SegEnds_NonXtal_Prot#'!A:AL,10,FALSE)-VLOOKUP(A127,'SegEnds_NonXtal_Prot#'!A:AL,7,FALSE)</f>
        <v>15</v>
      </c>
      <c r="AD127" s="1" t="e">
        <f>VLOOKUP(A127,'SegEnds_NonXtal_Prot#'!A:AL,13,FALSE)-VLOOKUP(A127,'SegEnds_NonXtal_Prot#'!A:AL,10,FALSE)</f>
        <v>#VALUE!</v>
      </c>
      <c r="AE127" s="1">
        <f>VLOOKUP(A127,'SegEnds_NonXtal_Prot#'!A:AL,16,FALSE)-VLOOKUP(A127,'SegEnds_NonXtal_Prot#'!A:AL,10,FALSE)</f>
        <v>56</v>
      </c>
      <c r="AF127" s="1">
        <f>VLOOKUP(A127,'SegEnds_NonXtal_Prot#'!A:AL,22,FALSE)-VLOOKUP(A127,'SegEnds_NonXtal_Prot#'!A:AL,19,FALSE)</f>
        <v>21</v>
      </c>
      <c r="AG127" s="1">
        <f>VLOOKUP(A127,'SegEnds_NonXtal_Prot#'!A:AL,28,FALSE)-VLOOKUP(A127,'SegEnds_NonXtal_Prot#'!A:AL,25,FALSE)</f>
        <v>18</v>
      </c>
      <c r="AH127" s="1">
        <f>VLOOKUP(A127,'SegEnds_NonXtal_Prot#'!A:AL,28,FALSE)-VLOOKUP(A127,'SegEnds_NonXtal_Prot#'!A:AL,22,FALSE)</f>
        <v>41</v>
      </c>
      <c r="AI127" s="1">
        <f>VLOOKUP(A127,'SegEnds_NonXtal_Prot#'!A:AL,31,FALSE)-VLOOKUP(A127,'SegEnds_NonXtal_Prot#'!A:AL,28,FALSE)</f>
        <v>110</v>
      </c>
      <c r="AJ127" s="1">
        <f>VLOOKUP(A127,'SegEnds_NonXtal_Prot#'!A:AL,34,FALSE)-VLOOKUP(A127,'SegEnds_NonXtal_Prot#'!A:AL,31,FALSE)</f>
        <v>36</v>
      </c>
      <c r="AK127" s="1">
        <f>VLOOKUP(A127,'SegEnds_NonXtal_Prot#'!A:AL,37,FALSE)-VLOOKUP(A127,'SegEnds_NonXtal_Prot#'!A:AL,34,FALSE)</f>
        <v>10</v>
      </c>
      <c r="AL127" s="1" t="str">
        <f>IF(ISERROR(MATCH(A127,'SegEnds_Xtal_Prot#'!B:B, 0)), "NoXtal", "Xtal")</f>
        <v>NoXtal</v>
      </c>
    </row>
    <row r="128" spans="1:38" x14ac:dyDescent="0.2">
      <c r="A128" s="1" t="s">
        <v>249</v>
      </c>
      <c r="B128" s="1" t="str">
        <f>VLOOKUP(A128,Xtal_Templ!A:B,2,FALSE)</f>
        <v>lpar1_human</v>
      </c>
      <c r="C128" s="5">
        <f>VLOOKUP($B128&amp;"__wt",'SegEnds_Xtal_BW#'!$A:$Z,3,FALSE)</f>
        <v>30</v>
      </c>
      <c r="D128" s="1">
        <f>VLOOKUP($B128&amp;"__wt",'SegEnds_Xtal_BW#'!$A:$Z,4,FALSE)</f>
        <v>60</v>
      </c>
      <c r="E128" s="1">
        <f>VLOOKUP($B128&amp;"__wt",'SegEnds_Xtal_BW#'!$A:$Z,5,FALSE)</f>
        <v>48</v>
      </c>
      <c r="F128" s="1">
        <f>VLOOKUP($B128&amp;"__wt",'SegEnds_Xtal_BW#'!$A:$Z,6,FALSE)</f>
        <v>51</v>
      </c>
      <c r="G128" s="1">
        <v>37</v>
      </c>
      <c r="H128" s="12">
        <v>62</v>
      </c>
      <c r="I128" s="1">
        <v>48</v>
      </c>
      <c r="J128" s="1">
        <v>52</v>
      </c>
      <c r="K128" s="12">
        <v>24</v>
      </c>
      <c r="L128" s="1">
        <f>VLOOKUP($B128&amp;"__wt",'SegEnds_Xtal_BW#'!$A:$Z,12,FALSE)</f>
        <v>56</v>
      </c>
      <c r="M128" s="1">
        <f>VLOOKUP($B128&amp;"__wt",'SegEnds_Xtal_BW#'!$A:$Z,13,FALSE)</f>
        <v>50</v>
      </c>
      <c r="N128" s="12">
        <v>57</v>
      </c>
      <c r="O128" s="87">
        <v>38</v>
      </c>
      <c r="P128" s="1">
        <f>VLOOKUP($B128&amp;"__wt",'SegEnds_Xtal_BW#'!$A:$Z,16,FALSE)</f>
        <v>63</v>
      </c>
      <c r="Q128" s="1" t="str">
        <f>VLOOKUP($B128&amp;"__wt",'SegEnds_Xtal_BW#'!$A:$Z,17,FALSE)</f>
        <v>-</v>
      </c>
      <c r="R128" s="1" t="str">
        <f>VLOOKUP($B128&amp;"__wt",'SegEnds_Xtal_BW#'!$A:$Z,18,FALSE)</f>
        <v>-</v>
      </c>
      <c r="S128" s="1">
        <f>VLOOKUP($B128&amp;"__wt",'SegEnds_Xtal_BW#'!$A:$Z,19,FALSE)</f>
        <v>36</v>
      </c>
      <c r="T128" s="1">
        <f t="array" ref="T128">INDEX(ICL3_classA!$G$2:$G$37,MATCH(MIN(ABS(AI128-ICL3_classA!$F$2:$F$37)),ABS(AI128-ICL3_classA!$F$2:$F$37),0))</f>
        <v>73</v>
      </c>
      <c r="U128" s="1">
        <f t="array" ref="U128">INDEX(ICL3_classA!$H$2:$H$37,MATCH(MIN(ABS(AI128-ICL3_classA!$F$2:$F$37)),ABS(AI128-ICL3_classA!$F$2:$F$37),0))</f>
        <v>22</v>
      </c>
      <c r="V128" s="1">
        <v>61</v>
      </c>
      <c r="W128" s="1">
        <v>34</v>
      </c>
      <c r="X128" s="1">
        <f>VLOOKUP($B128&amp;"__wt",'SegEnds_Xtal_BW#'!$A:$Z,24,FALSE)</f>
        <v>56</v>
      </c>
      <c r="Y128" s="1">
        <f>VLOOKUP($B128&amp;"__wt",'SegEnds_Xtal_BW#'!$A:$Z,25,FALSE)</f>
        <v>47</v>
      </c>
      <c r="Z128" s="1">
        <f>VLOOKUP($B128&amp;"__wt",'SegEnds_Xtal_BW#'!$A:$Z,26,FALSE)</f>
        <v>59</v>
      </c>
      <c r="AA128" s="27" t="str">
        <f>VLOOKUP(A128,Classification!A:B,2,FALSE)</f>
        <v>A</v>
      </c>
      <c r="AB128" s="1">
        <f>VLOOKUP(A128,'SegEnds_NonXtal_Prot#'!A:AL,10,FALSE)-VLOOKUP(A128,'SegEnds_NonXtal_Prot#'!A:AL,4,FALSE)</f>
        <v>28</v>
      </c>
      <c r="AC128" s="1">
        <f>VLOOKUP(A128,'SegEnds_NonXtal_Prot#'!A:AL,10,FALSE)-VLOOKUP(A128,'SegEnds_NonXtal_Prot#'!A:AL,7,FALSE)</f>
        <v>15</v>
      </c>
      <c r="AD128" s="1">
        <f>VLOOKUP(A128,'SegEnds_NonXtal_Prot#'!A:AL,13,FALSE)-VLOOKUP(A128,'SegEnds_NonXtal_Prot#'!A:AL,10,FALSE)</f>
        <v>15</v>
      </c>
      <c r="AE128" s="1">
        <f>VLOOKUP(A128,'SegEnds_NonXtal_Prot#'!A:AL,16,FALSE)-VLOOKUP(A128,'SegEnds_NonXtal_Prot#'!A:AL,10,FALSE)</f>
        <v>48</v>
      </c>
      <c r="AF128" s="1">
        <f>VLOOKUP(A128,'SegEnds_NonXtal_Prot#'!A:AL,22,FALSE)-VLOOKUP(A128,'SegEnds_NonXtal_Prot#'!A:AL,19,FALSE)</f>
        <v>20</v>
      </c>
      <c r="AG128" s="1" t="e">
        <f>VLOOKUP(A128,'SegEnds_NonXtal_Prot#'!A:AL,28,FALSE)-VLOOKUP(A128,'SegEnds_NonXtal_Prot#'!A:AL,25,FALSE)</f>
        <v>#VALUE!</v>
      </c>
      <c r="AH128" s="1">
        <f>VLOOKUP(A128,'SegEnds_NonXtal_Prot#'!A:AL,28,FALSE)-VLOOKUP(A128,'SegEnds_NonXtal_Prot#'!A:AL,22,FALSE)</f>
        <v>44</v>
      </c>
      <c r="AI128" s="1">
        <f>VLOOKUP(A128,'SegEnds_NonXtal_Prot#'!A:AL,31,FALSE)-VLOOKUP(A128,'SegEnds_NonXtal_Prot#'!A:AL,28,FALSE)</f>
        <v>57</v>
      </c>
      <c r="AJ128" s="1">
        <f>VLOOKUP(A128,'SegEnds_NonXtal_Prot#'!A:AL,34,FALSE)-VLOOKUP(A128,'SegEnds_NonXtal_Prot#'!A:AL,31,FALSE)</f>
        <v>32</v>
      </c>
      <c r="AK128" s="1">
        <f>VLOOKUP(A128,'SegEnds_NonXtal_Prot#'!A:AL,37,FALSE)-VLOOKUP(A128,'SegEnds_NonXtal_Prot#'!A:AL,34,FALSE)</f>
        <v>10</v>
      </c>
      <c r="AL128" s="1" t="str">
        <f>IF(ISERROR(MATCH(A128,'SegEnds_Xtal_Prot#'!B:B, 0)), "NoXtal", "Xtal")</f>
        <v>NoXtal</v>
      </c>
    </row>
    <row r="129" spans="1:38" x14ac:dyDescent="0.2">
      <c r="A129" s="1" t="s">
        <v>250</v>
      </c>
      <c r="B129" s="1" t="str">
        <f>VLOOKUP(A129,Xtal_Templ!A:B,2,FALSE)</f>
        <v>oprd_human</v>
      </c>
      <c r="C129" s="5">
        <f>VLOOKUP($B129&amp;"__wt",'SegEnds_Xtal_BW#'!$A:$Z,3,FALSE)</f>
        <v>22</v>
      </c>
      <c r="D129" s="1">
        <f>VLOOKUP($B129&amp;"__wt",'SegEnds_Xtal_BW#'!$A:$Z,4,FALSE)</f>
        <v>60</v>
      </c>
      <c r="E129" s="1">
        <f>VLOOKUP($B129&amp;"__wt",'SegEnds_Xtal_BW#'!$A:$Z,5,FALSE)</f>
        <v>48</v>
      </c>
      <c r="F129" s="1">
        <f>VLOOKUP($B129&amp;"__wt",'SegEnds_Xtal_BW#'!$A:$Z,6,FALSE)</f>
        <v>51</v>
      </c>
      <c r="G129" s="1">
        <v>37</v>
      </c>
      <c r="H129" s="12">
        <f>VLOOKUP($B129&amp;"__wt",'SegEnds_Xtal_BW#'!$A:$Z,8,FALSE)</f>
        <v>66</v>
      </c>
      <c r="I129" s="1">
        <f>VLOOKUP($B129&amp;"__wt",'SegEnds_Xtal_BW#'!$A:$Z,9,FALSE)</f>
        <v>49</v>
      </c>
      <c r="J129" s="1">
        <f>VLOOKUP($B129&amp;"__wt",'SegEnds_Xtal_BW#'!$A:$Z,10,FALSE)</f>
        <v>52</v>
      </c>
      <c r="K129" s="12">
        <v>18</v>
      </c>
      <c r="L129" s="1">
        <f>VLOOKUP($B129&amp;"__wt",'SegEnds_Xtal_BW#'!$A:$Z,12,FALSE)</f>
        <v>56</v>
      </c>
      <c r="M129" s="1">
        <f>VLOOKUP($B129&amp;"__wt",'SegEnds_Xtal_BW#'!$A:$Z,13,FALSE)</f>
        <v>50</v>
      </c>
      <c r="N129" s="12">
        <v>57</v>
      </c>
      <c r="O129" s="87">
        <f>VLOOKUP($B129&amp;"__wt",'SegEnds_Xtal_BW#'!$A:$Z,15,FALSE)</f>
        <v>38</v>
      </c>
      <c r="P129" s="1">
        <f>VLOOKUP($B129&amp;"__wt",'SegEnds_Xtal_BW#'!$A:$Z,16,FALSE)</f>
        <v>64</v>
      </c>
      <c r="Q129" s="1">
        <f>VLOOKUP($B129&amp;"__wt",'SegEnds_Xtal_BW#'!$A:$Z,17,FALSE)</f>
        <v>50</v>
      </c>
      <c r="R129" s="1">
        <f>VLOOKUP($B129&amp;"__wt",'SegEnds_Xtal_BW#'!$A:$Z,18,FALSE)</f>
        <v>52</v>
      </c>
      <c r="S129" s="1">
        <f>VLOOKUP($B129&amp;"__wt",'SegEnds_Xtal_BW#'!$A:$Z,19,FALSE)</f>
        <v>31</v>
      </c>
      <c r="T129" s="1">
        <f t="array" ref="T129">INDEX(ICL3_classA!$G$2:$G$37,MATCH(MIN(ABS(AI129-ICL3_classA!$F$2:$F$37)),ABS(AI129-ICL3_classA!$F$2:$F$37),0))</f>
        <v>68</v>
      </c>
      <c r="U129" s="1">
        <f t="array" ref="U129">INDEX(ICL3_classA!$H$2:$H$37,MATCH(MIN(ABS(AI129-ICL3_classA!$F$2:$F$37)),ABS(AI129-ICL3_classA!$F$2:$F$37),0))</f>
        <v>24</v>
      </c>
      <c r="V129" s="1">
        <v>61</v>
      </c>
      <c r="W129" s="1">
        <v>28</v>
      </c>
      <c r="X129" s="1">
        <f>VLOOKUP($B129&amp;"__wt",'SegEnds_Xtal_BW#'!$A:$Z,24,FALSE)</f>
        <v>56</v>
      </c>
      <c r="Y129" s="1">
        <f>VLOOKUP($B129&amp;"__wt",'SegEnds_Xtal_BW#'!$A:$Z,25,FALSE)</f>
        <v>47</v>
      </c>
      <c r="Z129" s="1">
        <f>VLOOKUP($B129&amp;"__wt",'SegEnds_Xtal_BW#'!$A:$Z,26,FALSE)</f>
        <v>60</v>
      </c>
      <c r="AA129" s="27" t="str">
        <f>VLOOKUP(A129,Classification!A:B,2,FALSE)</f>
        <v>A</v>
      </c>
      <c r="AB129" s="1">
        <f>VLOOKUP(A129,'SegEnds_NonXtal_Prot#'!A:AL,10,FALSE)-VLOOKUP(A129,'SegEnds_NonXtal_Prot#'!A:AL,4,FALSE)</f>
        <v>28</v>
      </c>
      <c r="AC129" s="1">
        <f>VLOOKUP(A129,'SegEnds_NonXtal_Prot#'!A:AL,10,FALSE)-VLOOKUP(A129,'SegEnds_NonXtal_Prot#'!A:AL,7,FALSE)</f>
        <v>15</v>
      </c>
      <c r="AD129" s="1">
        <f>VLOOKUP(A129,'SegEnds_NonXtal_Prot#'!A:AL,13,FALSE)-VLOOKUP(A129,'SegEnds_NonXtal_Prot#'!A:AL,10,FALSE)</f>
        <v>20</v>
      </c>
      <c r="AE129" s="1">
        <f>VLOOKUP(A129,'SegEnds_NonXtal_Prot#'!A:AL,16,FALSE)-VLOOKUP(A129,'SegEnds_NonXtal_Prot#'!A:AL,10,FALSE)</f>
        <v>52</v>
      </c>
      <c r="AF129" s="1">
        <f>VLOOKUP(A129,'SegEnds_NonXtal_Prot#'!A:AL,22,FALSE)-VLOOKUP(A129,'SegEnds_NonXtal_Prot#'!A:AL,19,FALSE)</f>
        <v>20</v>
      </c>
      <c r="AG129" s="1">
        <f>VLOOKUP(A129,'SegEnds_NonXtal_Prot#'!A:AL,28,FALSE)-VLOOKUP(A129,'SegEnds_NonXtal_Prot#'!A:AL,25,FALSE)</f>
        <v>27</v>
      </c>
      <c r="AH129" s="1">
        <f>VLOOKUP(A129,'SegEnds_NonXtal_Prot#'!A:AL,28,FALSE)-VLOOKUP(A129,'SegEnds_NonXtal_Prot#'!A:AL,22,FALSE)</f>
        <v>50</v>
      </c>
      <c r="AI129" s="1">
        <f>VLOOKUP(A129,'SegEnds_NonXtal_Prot#'!A:AL,31,FALSE)-VLOOKUP(A129,'SegEnds_NonXtal_Prot#'!A:AL,28,FALSE)</f>
        <v>48</v>
      </c>
      <c r="AJ129" s="1">
        <f>VLOOKUP(A129,'SegEnds_NonXtal_Prot#'!A:AL,34,FALSE)-VLOOKUP(A129,'SegEnds_NonXtal_Prot#'!A:AL,31,FALSE)</f>
        <v>42</v>
      </c>
      <c r="AK129" s="1">
        <f>VLOOKUP(A129,'SegEnds_NonXtal_Prot#'!A:AL,37,FALSE)-VLOOKUP(A129,'SegEnds_NonXtal_Prot#'!A:AL,34,FALSE)</f>
        <v>10</v>
      </c>
      <c r="AL129" s="1" t="str">
        <f>IF(ISERROR(MATCH(A129,'SegEnds_Xtal_Prot#'!B:B, 0)), "NoXtal", "Xtal")</f>
        <v>NoXtal</v>
      </c>
    </row>
    <row r="130" spans="1:38" x14ac:dyDescent="0.2">
      <c r="A130" s="1" t="s">
        <v>251</v>
      </c>
      <c r="B130" s="1" t="str">
        <f>VLOOKUP(A130,Xtal_Templ!A:B,2,FALSE)</f>
        <v>oprd_human</v>
      </c>
      <c r="C130" s="5">
        <f>VLOOKUP($B130&amp;"__wt",'SegEnds_Xtal_BW#'!$A:$Z,3,FALSE)</f>
        <v>22</v>
      </c>
      <c r="D130" s="1">
        <f>VLOOKUP($B130&amp;"__wt",'SegEnds_Xtal_BW#'!$A:$Z,4,FALSE)</f>
        <v>60</v>
      </c>
      <c r="E130" s="1">
        <f>VLOOKUP($B130&amp;"__wt",'SegEnds_Xtal_BW#'!$A:$Z,5,FALSE)</f>
        <v>48</v>
      </c>
      <c r="F130" s="1">
        <f>VLOOKUP($B130&amp;"__wt",'SegEnds_Xtal_BW#'!$A:$Z,6,FALSE)</f>
        <v>51</v>
      </c>
      <c r="G130" s="1">
        <v>37</v>
      </c>
      <c r="H130" s="12">
        <v>66</v>
      </c>
      <c r="I130" s="1">
        <f>VLOOKUP($B130&amp;"__wt",'SegEnds_Xtal_BW#'!$A:$Z,9,FALSE)</f>
        <v>49</v>
      </c>
      <c r="J130" s="1">
        <f>VLOOKUP($B130&amp;"__wt",'SegEnds_Xtal_BW#'!$A:$Z,10,FALSE)</f>
        <v>52</v>
      </c>
      <c r="K130" s="12">
        <v>21</v>
      </c>
      <c r="L130" s="1">
        <f>VLOOKUP($B130&amp;"__wt",'SegEnds_Xtal_BW#'!$A:$Z,12,FALSE)</f>
        <v>56</v>
      </c>
      <c r="M130" s="1">
        <f>VLOOKUP($B130&amp;"__wt",'SegEnds_Xtal_BW#'!$A:$Z,13,FALSE)</f>
        <v>50</v>
      </c>
      <c r="N130" s="12">
        <v>57</v>
      </c>
      <c r="O130" s="87">
        <v>38</v>
      </c>
      <c r="P130" s="1">
        <f>VLOOKUP($B130&amp;"__wt",'SegEnds_Xtal_BW#'!$A:$Z,16,FALSE)</f>
        <v>64</v>
      </c>
      <c r="Q130" s="1">
        <f>VLOOKUP($B130&amp;"__wt",'SegEnds_Xtal_BW#'!$A:$Z,17,FALSE)</f>
        <v>50</v>
      </c>
      <c r="R130" s="1">
        <f>VLOOKUP($B130&amp;"__wt",'SegEnds_Xtal_BW#'!$A:$Z,18,FALSE)</f>
        <v>52</v>
      </c>
      <c r="S130" s="1">
        <f>VLOOKUP($B130&amp;"__wt",'SegEnds_Xtal_BW#'!$A:$Z,19,FALSE)</f>
        <v>31</v>
      </c>
      <c r="T130" s="1">
        <f t="array" ref="T130">INDEX(ICL3_classA!$G$2:$G$37,MATCH(MIN(ABS(AI130-ICL3_classA!$F$2:$F$37)),ABS(AI130-ICL3_classA!$F$2:$F$37),0))</f>
        <v>68</v>
      </c>
      <c r="U130" s="1">
        <f t="array" ref="U130">INDEX(ICL3_classA!$H$2:$H$37,MATCH(MIN(ABS(AI130-ICL3_classA!$F$2:$F$37)),ABS(AI130-ICL3_classA!$F$2:$F$37),0))</f>
        <v>30</v>
      </c>
      <c r="V130" s="1">
        <v>61</v>
      </c>
      <c r="W130" s="1">
        <v>28</v>
      </c>
      <c r="X130" s="1">
        <f>VLOOKUP($B130&amp;"__wt",'SegEnds_Xtal_BW#'!$A:$Z,24,FALSE)</f>
        <v>56</v>
      </c>
      <c r="Y130" s="1">
        <f>VLOOKUP($B130&amp;"__wt",'SegEnds_Xtal_BW#'!$A:$Z,25,FALSE)</f>
        <v>47</v>
      </c>
      <c r="Z130" s="1">
        <f>VLOOKUP($B130&amp;"__wt",'SegEnds_Xtal_BW#'!$A:$Z,26,FALSE)</f>
        <v>60</v>
      </c>
      <c r="AA130" s="27" t="str">
        <f>VLOOKUP(A130,Classification!A:B,2,FALSE)</f>
        <v>A</v>
      </c>
      <c r="AB130" s="1">
        <f>VLOOKUP(A130,'SegEnds_NonXtal_Prot#'!A:AL,10,FALSE)-VLOOKUP(A130,'SegEnds_NonXtal_Prot#'!A:AL,4,FALSE)</f>
        <v>27</v>
      </c>
      <c r="AC130" s="1" t="e">
        <f>VLOOKUP(A130,'SegEnds_NonXtal_Prot#'!A:AL,10,FALSE)-VLOOKUP(A130,'SegEnds_NonXtal_Prot#'!A:AL,7,FALSE)</f>
        <v>#VALUE!</v>
      </c>
      <c r="AD130" s="1">
        <f>VLOOKUP(A130,'SegEnds_NonXtal_Prot#'!A:AL,13,FALSE)-VLOOKUP(A130,'SegEnds_NonXtal_Prot#'!A:AL,10,FALSE)</f>
        <v>19</v>
      </c>
      <c r="AE130" s="1">
        <f>VLOOKUP(A130,'SegEnds_NonXtal_Prot#'!A:AL,16,FALSE)-VLOOKUP(A130,'SegEnds_NonXtal_Prot#'!A:AL,10,FALSE)</f>
        <v>51</v>
      </c>
      <c r="AF130" s="1">
        <f>VLOOKUP(A130,'SegEnds_NonXtal_Prot#'!A:AL,22,FALSE)-VLOOKUP(A130,'SegEnds_NonXtal_Prot#'!A:AL,19,FALSE)</f>
        <v>20</v>
      </c>
      <c r="AG130" s="1">
        <f>VLOOKUP(A130,'SegEnds_NonXtal_Prot#'!A:AL,28,FALSE)-VLOOKUP(A130,'SegEnds_NonXtal_Prot#'!A:AL,25,FALSE)</f>
        <v>37</v>
      </c>
      <c r="AH130" s="1">
        <f>VLOOKUP(A130,'SegEnds_NonXtal_Prot#'!A:AL,28,FALSE)-VLOOKUP(A130,'SegEnds_NonXtal_Prot#'!A:AL,22,FALSE)</f>
        <v>62</v>
      </c>
      <c r="AI130" s="1">
        <f>VLOOKUP(A130,'SegEnds_NonXtal_Prot#'!A:AL,31,FALSE)-VLOOKUP(A130,'SegEnds_NonXtal_Prot#'!A:AL,28,FALSE)</f>
        <v>43</v>
      </c>
      <c r="AJ130" s="1">
        <f>VLOOKUP(A130,'SegEnds_NonXtal_Prot#'!A:AL,34,FALSE)-VLOOKUP(A130,'SegEnds_NonXtal_Prot#'!A:AL,31,FALSE)</f>
        <v>42</v>
      </c>
      <c r="AK130" s="1">
        <f>VLOOKUP(A130,'SegEnds_NonXtal_Prot#'!A:AL,37,FALSE)-VLOOKUP(A130,'SegEnds_NonXtal_Prot#'!A:AL,34,FALSE)</f>
        <v>10</v>
      </c>
      <c r="AL130" s="1" t="str">
        <f>IF(ISERROR(MATCH(A130,'SegEnds_Xtal_Prot#'!B:B, 0)), "NoXtal", "Xtal")</f>
        <v>NoXtal</v>
      </c>
    </row>
    <row r="131" spans="1:38" x14ac:dyDescent="0.2">
      <c r="A131" s="1" t="s">
        <v>252</v>
      </c>
      <c r="B131" s="1" t="str">
        <f>VLOOKUP(A131,Xtal_Templ!A:B,2,FALSE)</f>
        <v>agtr1_human</v>
      </c>
      <c r="C131" s="5">
        <f>VLOOKUP($B131&amp;"__wt",'SegEnds_Xtal_BW#'!$A:$Z,3,FALSE)</f>
        <v>30</v>
      </c>
      <c r="D131" s="1">
        <f>VLOOKUP($B131&amp;"__wt",'SegEnds_Xtal_BW#'!$A:$Z,4,FALSE)</f>
        <v>60</v>
      </c>
      <c r="E131" s="1">
        <f>VLOOKUP($B131&amp;"__wt",'SegEnds_Xtal_BW#'!$A:$Z,5,FALSE)</f>
        <v>48</v>
      </c>
      <c r="F131" s="1">
        <f>VLOOKUP($B131&amp;"__wt",'SegEnds_Xtal_BW#'!$A:$Z,6,FALSE)</f>
        <v>51</v>
      </c>
      <c r="G131" s="1">
        <v>37</v>
      </c>
      <c r="H131" s="12">
        <f>VLOOKUP($B131&amp;"__wt",'SegEnds_Xtal_BW#'!$A:$Z,8,FALSE)</f>
        <v>66</v>
      </c>
      <c r="I131" s="1">
        <f>VLOOKUP($B131&amp;"__wt",'SegEnds_Xtal_BW#'!$A:$Z,9,FALSE)</f>
        <v>49</v>
      </c>
      <c r="J131" s="1">
        <f>VLOOKUP($B131&amp;"__wt",'SegEnds_Xtal_BW#'!$A:$Z,10,FALSE)</f>
        <v>52</v>
      </c>
      <c r="K131" s="12">
        <v>18</v>
      </c>
      <c r="L131" s="1">
        <f>VLOOKUP($B131&amp;"__wt",'SegEnds_Xtal_BW#'!$A:$Z,12,FALSE)</f>
        <v>56</v>
      </c>
      <c r="M131" s="1">
        <f>VLOOKUP($B131&amp;"__wt",'SegEnds_Xtal_BW#'!$A:$Z,13,FALSE)</f>
        <v>50</v>
      </c>
      <c r="N131" s="12">
        <v>57</v>
      </c>
      <c r="O131" s="87">
        <v>38</v>
      </c>
      <c r="P131" s="1">
        <f>VLOOKUP($B131&amp;"__wt",'SegEnds_Xtal_BW#'!$A:$Z,16,FALSE)</f>
        <v>64</v>
      </c>
      <c r="Q131" s="1">
        <f>VLOOKUP($B131&amp;"__wt",'SegEnds_Xtal_BW#'!$A:$Z,17,FALSE)</f>
        <v>50</v>
      </c>
      <c r="R131" s="1">
        <f>VLOOKUP($B131&amp;"__wt",'SegEnds_Xtal_BW#'!$A:$Z,18,FALSE)</f>
        <v>52</v>
      </c>
      <c r="S131" s="1">
        <f>VLOOKUP($B131&amp;"__wt",'SegEnds_Xtal_BW#'!$A:$Z,19,FALSE)</f>
        <v>34</v>
      </c>
      <c r="T131" s="1">
        <f t="array" ref="T131">INDEX(ICL3_classA!$G$2:$G$37,MATCH(MIN(ABS(AI131-ICL3_classA!$F$2:$F$37)),ABS(AI131-ICL3_classA!$F$2:$F$37),0))</f>
        <v>68</v>
      </c>
      <c r="U131" s="1">
        <f t="array" ref="U131">INDEX(ICL3_classA!$H$2:$H$37,MATCH(MIN(ABS(AI131-ICL3_classA!$F$2:$F$37)),ABS(AI131-ICL3_classA!$F$2:$F$37),0))</f>
        <v>30</v>
      </c>
      <c r="V131" s="1">
        <v>61</v>
      </c>
      <c r="W131" s="1">
        <v>31</v>
      </c>
      <c r="X131" s="1">
        <f>VLOOKUP($B131&amp;"__wt",'SegEnds_Xtal_BW#'!$A:$Z,24,FALSE)</f>
        <v>56</v>
      </c>
      <c r="Y131" s="1">
        <f>VLOOKUP($B131&amp;"__wt",'SegEnds_Xtal_BW#'!$A:$Z,25,FALSE)</f>
        <v>47</v>
      </c>
      <c r="Z131" s="1">
        <f>VLOOKUP($B131&amp;"__wt",'SegEnds_Xtal_BW#'!$A:$Z,26,FALSE)</f>
        <v>61</v>
      </c>
      <c r="AA131" s="27" t="str">
        <f>VLOOKUP(A131,Classification!A:B,2,FALSE)</f>
        <v>A</v>
      </c>
      <c r="AB131" s="1">
        <f>VLOOKUP(A131,'SegEnds_NonXtal_Prot#'!A:AL,10,FALSE)-VLOOKUP(A131,'SegEnds_NonXtal_Prot#'!A:AL,4,FALSE)</f>
        <v>27</v>
      </c>
      <c r="AC131" s="1" t="e">
        <f>VLOOKUP(A131,'SegEnds_NonXtal_Prot#'!A:AL,10,FALSE)-VLOOKUP(A131,'SegEnds_NonXtal_Prot#'!A:AL,7,FALSE)</f>
        <v>#VALUE!</v>
      </c>
      <c r="AD131" s="1">
        <f>VLOOKUP(A131,'SegEnds_NonXtal_Prot#'!A:AL,13,FALSE)-VLOOKUP(A131,'SegEnds_NonXtal_Prot#'!A:AL,10,FALSE)</f>
        <v>20</v>
      </c>
      <c r="AE131" s="1">
        <f>VLOOKUP(A131,'SegEnds_NonXtal_Prot#'!A:AL,16,FALSE)-VLOOKUP(A131,'SegEnds_NonXtal_Prot#'!A:AL,10,FALSE)</f>
        <v>52</v>
      </c>
      <c r="AF131" s="1">
        <f>VLOOKUP(A131,'SegEnds_NonXtal_Prot#'!A:AL,22,FALSE)-VLOOKUP(A131,'SegEnds_NonXtal_Prot#'!A:AL,19,FALSE)</f>
        <v>20</v>
      </c>
      <c r="AG131" s="1">
        <f>VLOOKUP(A131,'SegEnds_NonXtal_Prot#'!A:AL,28,FALSE)-VLOOKUP(A131,'SegEnds_NonXtal_Prot#'!A:AL,25,FALSE)</f>
        <v>38</v>
      </c>
      <c r="AH131" s="1">
        <f>VLOOKUP(A131,'SegEnds_NonXtal_Prot#'!A:AL,28,FALSE)-VLOOKUP(A131,'SegEnds_NonXtal_Prot#'!A:AL,22,FALSE)</f>
        <v>64</v>
      </c>
      <c r="AI131" s="1">
        <f>VLOOKUP(A131,'SegEnds_NonXtal_Prot#'!A:AL,31,FALSE)-VLOOKUP(A131,'SegEnds_NonXtal_Prot#'!A:AL,28,FALSE)</f>
        <v>43</v>
      </c>
      <c r="AJ131" s="1">
        <f>VLOOKUP(A131,'SegEnds_NonXtal_Prot#'!A:AL,34,FALSE)-VLOOKUP(A131,'SegEnds_NonXtal_Prot#'!A:AL,31,FALSE)</f>
        <v>36</v>
      </c>
      <c r="AK131" s="1">
        <f>VLOOKUP(A131,'SegEnds_NonXtal_Prot#'!A:AL,37,FALSE)-VLOOKUP(A131,'SegEnds_NonXtal_Prot#'!A:AL,34,FALSE)</f>
        <v>10</v>
      </c>
      <c r="AL131" s="1" t="str">
        <f>IF(ISERROR(MATCH(A131,'SegEnds_Xtal_Prot#'!B:B, 0)), "NoXtal", "Xtal")</f>
        <v>NoXtal</v>
      </c>
    </row>
    <row r="132" spans="1:38" x14ac:dyDescent="0.2">
      <c r="A132" s="1" t="s">
        <v>253</v>
      </c>
      <c r="B132" s="1" t="str">
        <f>VLOOKUP(A132,Xtal_Templ!A:B,2,FALSE)</f>
        <v>ptafr_human</v>
      </c>
      <c r="C132" s="5">
        <f>VLOOKUP($B132&amp;"__wt",'SegEnds_Xtal_BW#'!$A:$Z,3,FALSE)</f>
        <v>27</v>
      </c>
      <c r="D132" s="1">
        <f>VLOOKUP($B132&amp;"__wt",'SegEnds_Xtal_BW#'!$A:$Z,4,FALSE)</f>
        <v>61</v>
      </c>
      <c r="E132" s="1" t="str">
        <f>VLOOKUP($B132&amp;"__wt",'SegEnds_Xtal_BW#'!$A:$Z,5,FALSE)</f>
        <v>-</v>
      </c>
      <c r="F132" s="1" t="str">
        <f>VLOOKUP($B132&amp;"__wt",'SegEnds_Xtal_BW#'!$A:$Z,6,FALSE)</f>
        <v>-</v>
      </c>
      <c r="G132" s="1">
        <v>37</v>
      </c>
      <c r="H132" s="12">
        <f>VLOOKUP($B132&amp;"__wt",'SegEnds_Xtal_BW#'!$A:$Z,8,FALSE)</f>
        <v>67</v>
      </c>
      <c r="I132" s="1">
        <f>VLOOKUP($B132&amp;"__wt",'SegEnds_Xtal_BW#'!$A:$Z,9,FALSE)</f>
        <v>49</v>
      </c>
      <c r="J132" s="1">
        <f>VLOOKUP($B132&amp;"__wt",'SegEnds_Xtal_BW#'!$A:$Z,10,FALSE)</f>
        <v>52</v>
      </c>
      <c r="K132" s="12">
        <v>18</v>
      </c>
      <c r="L132" s="1">
        <f>VLOOKUP($B132&amp;"__wt",'SegEnds_Xtal_BW#'!$A:$Z,12,FALSE)</f>
        <v>56</v>
      </c>
      <c r="M132" s="1">
        <f>VLOOKUP($B132&amp;"__wt",'SegEnds_Xtal_BW#'!$A:$Z,13,FALSE)</f>
        <v>50</v>
      </c>
      <c r="N132" s="12">
        <f>VLOOKUP($B132&amp;"__wt",'SegEnds_Xtal_BW#'!$A:$Z,14,FALSE)</f>
        <v>57</v>
      </c>
      <c r="O132" s="87">
        <f>VLOOKUP($B132&amp;"__wt",'SegEnds_Xtal_BW#'!$A:$Z,15,FALSE)</f>
        <v>38</v>
      </c>
      <c r="P132" s="1">
        <f>VLOOKUP($B132&amp;"__wt",'SegEnds_Xtal_BW#'!$A:$Z,16,FALSE)</f>
        <v>63</v>
      </c>
      <c r="Q132" s="1">
        <f>VLOOKUP($B132&amp;"__wt",'SegEnds_Xtal_BW#'!$A:$Z,17,FALSE)</f>
        <v>50</v>
      </c>
      <c r="R132" s="1">
        <f>VLOOKUP($B132&amp;"__wt",'SegEnds_Xtal_BW#'!$A:$Z,18,FALSE)</f>
        <v>52</v>
      </c>
      <c r="S132" s="1">
        <f>VLOOKUP($B132&amp;"__wt",'SegEnds_Xtal_BW#'!$A:$Z,19,FALSE)</f>
        <v>33</v>
      </c>
      <c r="T132" s="1">
        <f t="array" ref="T132">INDEX(ICL3_classA!$G$2:$G$37,MATCH(MIN(ABS(AI132-ICL3_classA!$F$2:$F$37)),ABS(AI132-ICL3_classA!$F$2:$F$37),0))</f>
        <v>68</v>
      </c>
      <c r="U132" s="1">
        <f t="array" ref="U132">INDEX(ICL3_classA!$H$2:$H$37,MATCH(MIN(ABS(AI132-ICL3_classA!$F$2:$F$37)),ABS(AI132-ICL3_classA!$F$2:$F$37),0))</f>
        <v>23</v>
      </c>
      <c r="V132" s="1">
        <v>61</v>
      </c>
      <c r="W132" s="1">
        <v>24</v>
      </c>
      <c r="X132" s="1">
        <f>VLOOKUP($B132&amp;"__wt",'SegEnds_Xtal_BW#'!$A:$Z,24,FALSE)</f>
        <v>59</v>
      </c>
      <c r="Y132" s="1">
        <f>VLOOKUP($B132&amp;"__wt",'SegEnds_Xtal_BW#'!$A:$Z,25,FALSE)</f>
        <v>50</v>
      </c>
      <c r="Z132" s="1">
        <f>VLOOKUP($B132&amp;"__wt",'SegEnds_Xtal_BW#'!$A:$Z,26,FALSE)</f>
        <v>63</v>
      </c>
      <c r="AA132" s="27" t="str">
        <f>VLOOKUP(A132,Classification!A:B,2,FALSE)</f>
        <v>A</v>
      </c>
      <c r="AB132" s="1">
        <f>VLOOKUP(A132,'SegEnds_NonXtal_Prot#'!A:AL,10,FALSE)-VLOOKUP(A132,'SegEnds_NonXtal_Prot#'!A:AL,4,FALSE)</f>
        <v>28</v>
      </c>
      <c r="AC132" s="1" t="e">
        <f>VLOOKUP(A132,'SegEnds_NonXtal_Prot#'!A:AL,10,FALSE)-VLOOKUP(A132,'SegEnds_NonXtal_Prot#'!A:AL,7,FALSE)</f>
        <v>#VALUE!</v>
      </c>
      <c r="AD132" s="1">
        <f>VLOOKUP(A132,'SegEnds_NonXtal_Prot#'!A:AL,13,FALSE)-VLOOKUP(A132,'SegEnds_NonXtal_Prot#'!A:AL,10,FALSE)</f>
        <v>20</v>
      </c>
      <c r="AE132" s="1">
        <f>VLOOKUP(A132,'SegEnds_NonXtal_Prot#'!A:AL,16,FALSE)-VLOOKUP(A132,'SegEnds_NonXtal_Prot#'!A:AL,10,FALSE)</f>
        <v>52</v>
      </c>
      <c r="AF132" s="1">
        <f>VLOOKUP(A132,'SegEnds_NonXtal_Prot#'!A:AL,22,FALSE)-VLOOKUP(A132,'SegEnds_NonXtal_Prot#'!A:AL,19,FALSE)</f>
        <v>20</v>
      </c>
      <c r="AG132" s="1">
        <f>VLOOKUP(A132,'SegEnds_NonXtal_Prot#'!A:AL,28,FALSE)-VLOOKUP(A132,'SegEnds_NonXtal_Prot#'!A:AL,25,FALSE)</f>
        <v>26</v>
      </c>
      <c r="AH132" s="1">
        <f>VLOOKUP(A132,'SegEnds_NonXtal_Prot#'!A:AL,28,FALSE)-VLOOKUP(A132,'SegEnds_NonXtal_Prot#'!A:AL,22,FALSE)</f>
        <v>51</v>
      </c>
      <c r="AI132" s="1">
        <f>VLOOKUP(A132,'SegEnds_NonXtal_Prot#'!A:AL,31,FALSE)-VLOOKUP(A132,'SegEnds_NonXtal_Prot#'!A:AL,28,FALSE)</f>
        <v>51</v>
      </c>
      <c r="AJ132" s="1">
        <f>VLOOKUP(A132,'SegEnds_NonXtal_Prot#'!A:AL,34,FALSE)-VLOOKUP(A132,'SegEnds_NonXtal_Prot#'!A:AL,31,FALSE)</f>
        <v>43</v>
      </c>
      <c r="AK132" s="1">
        <f>VLOOKUP(A132,'SegEnds_NonXtal_Prot#'!A:AL,37,FALSE)-VLOOKUP(A132,'SegEnds_NonXtal_Prot#'!A:AL,34,FALSE)</f>
        <v>10</v>
      </c>
      <c r="AL132" s="1" t="str">
        <f>IF(ISERROR(MATCH(A132,'SegEnds_Xtal_Prot#'!B:B, 0)), "NoXtal", "Xtal")</f>
        <v>NoXtal</v>
      </c>
    </row>
    <row r="133" spans="1:38" x14ac:dyDescent="0.2">
      <c r="A133" s="1" t="s">
        <v>254</v>
      </c>
      <c r="B133" s="1" t="str">
        <f>VLOOKUP(A133,Xtal_Templ!A:B,2,FALSE)</f>
        <v>ccr2_human</v>
      </c>
      <c r="C133" s="5">
        <f>VLOOKUP($B133&amp;"__wt",'SegEnds_Xtal_BW#'!$A:$Z,3,FALSE)</f>
        <v>27</v>
      </c>
      <c r="D133" s="1">
        <f>VLOOKUP($B133&amp;"__wt",'SegEnds_Xtal_BW#'!$A:$Z,4,FALSE)</f>
        <v>60</v>
      </c>
      <c r="E133" s="1">
        <f>VLOOKUP($B133&amp;"__wt",'SegEnds_Xtal_BW#'!$A:$Z,5,FALSE)</f>
        <v>48</v>
      </c>
      <c r="F133" s="1">
        <f>VLOOKUP($B133&amp;"__wt",'SegEnds_Xtal_BW#'!$A:$Z,6,FALSE)</f>
        <v>51</v>
      </c>
      <c r="G133" s="1">
        <v>37</v>
      </c>
      <c r="H133" s="12">
        <v>66</v>
      </c>
      <c r="I133" s="1">
        <f>VLOOKUP($B133&amp;"__wt",'SegEnds_Xtal_BW#'!$A:$Z,9,FALSE)</f>
        <v>49</v>
      </c>
      <c r="J133" s="1">
        <f>VLOOKUP($B133&amp;"__wt",'SegEnds_Xtal_BW#'!$A:$Z,10,FALSE)</f>
        <v>52</v>
      </c>
      <c r="K133" s="12">
        <v>24</v>
      </c>
      <c r="L133" s="1">
        <f>VLOOKUP($B133&amp;"__wt",'SegEnds_Xtal_BW#'!$A:$Z,12,FALSE)</f>
        <v>56</v>
      </c>
      <c r="M133" s="1">
        <f>VLOOKUP($B133&amp;"__wt",'SegEnds_Xtal_BW#'!$A:$Z,13,FALSE)</f>
        <v>50</v>
      </c>
      <c r="N133" s="12">
        <v>57</v>
      </c>
      <c r="O133" s="87">
        <v>38</v>
      </c>
      <c r="P133" s="1">
        <f>VLOOKUP($B133&amp;"__wt",'SegEnds_Xtal_BW#'!$A:$Z,16,FALSE)</f>
        <v>64</v>
      </c>
      <c r="Q133" s="1">
        <f>VLOOKUP($B133&amp;"__wt",'SegEnds_Xtal_BW#'!$A:$Z,17,FALSE)</f>
        <v>50</v>
      </c>
      <c r="R133" s="1">
        <f>VLOOKUP($B133&amp;"__wt",'SegEnds_Xtal_BW#'!$A:$Z,18,FALSE)</f>
        <v>52</v>
      </c>
      <c r="S133" s="1">
        <v>35</v>
      </c>
      <c r="T133" s="1">
        <f t="array" ref="T133">INDEX(ICL3_classA!$G$2:$G$37,MATCH(MIN(ABS(AI133-ICL3_classA!$F$2:$F$37)),ABS(AI133-ICL3_classA!$F$2:$F$37),0))</f>
        <v>68</v>
      </c>
      <c r="U133" s="1">
        <f t="array" ref="U133">INDEX(ICL3_classA!$H$2:$H$37,MATCH(MIN(ABS(AI133-ICL3_classA!$F$2:$F$37)),ABS(AI133-ICL3_classA!$F$2:$F$37),0))</f>
        <v>24</v>
      </c>
      <c r="V133" s="1">
        <v>61</v>
      </c>
      <c r="W133" s="1">
        <v>28</v>
      </c>
      <c r="X133" s="1">
        <f>VLOOKUP($B133&amp;"__wt",'SegEnds_Xtal_BW#'!$A:$Z,24,FALSE)</f>
        <v>56</v>
      </c>
      <c r="Y133" s="1">
        <f>VLOOKUP($B133&amp;"__wt",'SegEnds_Xtal_BW#'!$A:$Z,25,FALSE)</f>
        <v>47</v>
      </c>
      <c r="Z133" s="1">
        <f>VLOOKUP($B133&amp;"__wt",'SegEnds_Xtal_BW#'!$A:$Z,26,FALSE)</f>
        <v>58</v>
      </c>
      <c r="AA133" s="27" t="str">
        <f>VLOOKUP(A133,Classification!A:B,2,FALSE)</f>
        <v>A</v>
      </c>
      <c r="AB133" s="1">
        <f>VLOOKUP(A133,'SegEnds_NonXtal_Prot#'!A:AL,10,FALSE)-VLOOKUP(A133,'SegEnds_NonXtal_Prot#'!A:AL,4,FALSE)</f>
        <v>28</v>
      </c>
      <c r="AC133" s="1">
        <f>VLOOKUP(A133,'SegEnds_NonXtal_Prot#'!A:AL,10,FALSE)-VLOOKUP(A133,'SegEnds_NonXtal_Prot#'!A:AL,7,FALSE)</f>
        <v>15</v>
      </c>
      <c r="AD133" s="1" t="e">
        <f>VLOOKUP(A133,'SegEnds_NonXtal_Prot#'!A:AL,13,FALSE)-VLOOKUP(A133,'SegEnds_NonXtal_Prot#'!A:AL,10,FALSE)</f>
        <v>#VALUE!</v>
      </c>
      <c r="AE133" s="1">
        <f>VLOOKUP(A133,'SegEnds_NonXtal_Prot#'!A:AL,16,FALSE)-VLOOKUP(A133,'SegEnds_NonXtal_Prot#'!A:AL,10,FALSE)</f>
        <v>48</v>
      </c>
      <c r="AF133" s="1">
        <f>VLOOKUP(A133,'SegEnds_NonXtal_Prot#'!A:AL,22,FALSE)-VLOOKUP(A133,'SegEnds_NonXtal_Prot#'!A:AL,19,FALSE)</f>
        <v>20</v>
      </c>
      <c r="AG133" s="1">
        <f>VLOOKUP(A133,'SegEnds_NonXtal_Prot#'!A:AL,28,FALSE)-VLOOKUP(A133,'SegEnds_NonXtal_Prot#'!A:AL,25,FALSE)</f>
        <v>21</v>
      </c>
      <c r="AH133" s="1">
        <f>VLOOKUP(A133,'SegEnds_NonXtal_Prot#'!A:AL,28,FALSE)-VLOOKUP(A133,'SegEnds_NonXtal_Prot#'!A:AL,22,FALSE)</f>
        <v>42</v>
      </c>
      <c r="AI133" s="1">
        <f>VLOOKUP(A133,'SegEnds_NonXtal_Prot#'!A:AL,31,FALSE)-VLOOKUP(A133,'SegEnds_NonXtal_Prot#'!A:AL,28,FALSE)</f>
        <v>49</v>
      </c>
      <c r="AJ133" s="1">
        <f>VLOOKUP(A133,'SegEnds_NonXtal_Prot#'!A:AL,34,FALSE)-VLOOKUP(A133,'SegEnds_NonXtal_Prot#'!A:AL,31,FALSE)</f>
        <v>41</v>
      </c>
      <c r="AK133" s="1">
        <f>VLOOKUP(A133,'SegEnds_NonXtal_Prot#'!A:AL,37,FALSE)-VLOOKUP(A133,'SegEnds_NonXtal_Prot#'!A:AL,34,FALSE)</f>
        <v>10</v>
      </c>
      <c r="AL133" s="1" t="str">
        <f>IF(ISERROR(MATCH(A133,'SegEnds_Xtal_Prot#'!B:B, 0)), "NoXtal", "Xtal")</f>
        <v>NoXtal</v>
      </c>
    </row>
    <row r="134" spans="1:38" x14ac:dyDescent="0.2">
      <c r="A134" s="1" t="s">
        <v>255</v>
      </c>
      <c r="B134" s="1" t="str">
        <f>VLOOKUP(A134,Xtal_Templ!A:B,2,FALSE)</f>
        <v>ednrb_human</v>
      </c>
      <c r="C134" s="5">
        <f>VLOOKUP($B134&amp;"__wt",'SegEnds_Xtal_BW#'!$A:$Z,3,FALSE)</f>
        <v>22</v>
      </c>
      <c r="D134" s="1">
        <f>VLOOKUP($B134&amp;"__wt",'SegEnds_Xtal_BW#'!$A:$Z,4,FALSE)</f>
        <v>60</v>
      </c>
      <c r="E134" s="1">
        <f>VLOOKUP($B134&amp;"__wt",'SegEnds_Xtal_BW#'!$A:$Z,5,FALSE)</f>
        <v>48</v>
      </c>
      <c r="F134" s="1">
        <f>VLOOKUP($B134&amp;"__wt",'SegEnds_Xtal_BW#'!$A:$Z,6,FALSE)</f>
        <v>52</v>
      </c>
      <c r="G134" s="1">
        <v>37</v>
      </c>
      <c r="H134" s="12">
        <f>VLOOKUP($B134&amp;"__wt",'SegEnds_Xtal_BW#'!$A:$Z,8,FALSE)</f>
        <v>67</v>
      </c>
      <c r="I134" s="1">
        <f>VLOOKUP($B134&amp;"__wt",'SegEnds_Xtal_BW#'!$A:$Z,9,FALSE)</f>
        <v>49</v>
      </c>
      <c r="J134" s="1">
        <f>VLOOKUP($B134&amp;"__wt",'SegEnds_Xtal_BW#'!$A:$Z,10,FALSE)</f>
        <v>52</v>
      </c>
      <c r="K134" s="12">
        <v>18</v>
      </c>
      <c r="L134" s="1">
        <f>VLOOKUP($B134&amp;"__wt",'SegEnds_Xtal_BW#'!$A:$Z,12,FALSE)</f>
        <v>56</v>
      </c>
      <c r="M134" s="1">
        <f>VLOOKUP($B134&amp;"__wt",'SegEnds_Xtal_BW#'!$A:$Z,13,FALSE)</f>
        <v>50</v>
      </c>
      <c r="N134" s="12">
        <v>57</v>
      </c>
      <c r="O134" s="87">
        <v>38</v>
      </c>
      <c r="P134" s="1">
        <f>VLOOKUP($B134&amp;"__wt",'SegEnds_Xtal_BW#'!$A:$Z,16,FALSE)</f>
        <v>64</v>
      </c>
      <c r="Q134" s="1">
        <f>VLOOKUP($B134&amp;"__wt",'SegEnds_Xtal_BW#'!$A:$Z,17,FALSE)</f>
        <v>50</v>
      </c>
      <c r="R134" s="1">
        <f>VLOOKUP($B134&amp;"__wt",'SegEnds_Xtal_BW#'!$A:$Z,18,FALSE)</f>
        <v>52</v>
      </c>
      <c r="S134" s="1">
        <f>VLOOKUP($B134&amp;"__wt",'SegEnds_Xtal_BW#'!$A:$Z,19,FALSE)</f>
        <v>28</v>
      </c>
      <c r="T134" s="1">
        <f t="array" ref="T134">INDEX(ICL3_classA!$G$2:$G$37,MATCH(MIN(ABS(AI134-ICL3_classA!$F$2:$F$37)),ABS(AI134-ICL3_classA!$F$2:$F$37),0))</f>
        <v>72</v>
      </c>
      <c r="U134" s="1">
        <f t="array" ref="U134">INDEX(ICL3_classA!$H$2:$H$37,MATCH(MIN(ABS(AI134-ICL3_classA!$F$2:$F$37)),ABS(AI134-ICL3_classA!$F$2:$F$37),0))</f>
        <v>24</v>
      </c>
      <c r="V134" s="1">
        <v>61</v>
      </c>
      <c r="W134" s="1">
        <v>28</v>
      </c>
      <c r="X134" s="1">
        <f>VLOOKUP($B134&amp;"__wt",'SegEnds_Xtal_BW#'!$A:$Z,24,FALSE)</f>
        <v>56</v>
      </c>
      <c r="Y134" s="1">
        <f>VLOOKUP($B134&amp;"__wt",'SegEnds_Xtal_BW#'!$A:$Z,25,FALSE)</f>
        <v>47</v>
      </c>
      <c r="Z134" s="1">
        <f>VLOOKUP($B134&amp;"__wt",'SegEnds_Xtal_BW#'!$A:$Z,26,FALSE)</f>
        <v>60</v>
      </c>
      <c r="AA134" s="27" t="str">
        <f>VLOOKUP(A134,Classification!A:B,2,FALSE)</f>
        <v>A</v>
      </c>
      <c r="AB134" s="1">
        <f>VLOOKUP(A134,'SegEnds_NonXtal_Prot#'!A:AL,10,FALSE)-VLOOKUP(A134,'SegEnds_NonXtal_Prot#'!A:AL,4,FALSE)</f>
        <v>28</v>
      </c>
      <c r="AC134" s="1">
        <f>VLOOKUP(A134,'SegEnds_NonXtal_Prot#'!A:AL,10,FALSE)-VLOOKUP(A134,'SegEnds_NonXtal_Prot#'!A:AL,7,FALSE)</f>
        <v>15</v>
      </c>
      <c r="AD134" s="1">
        <f>VLOOKUP(A134,'SegEnds_NonXtal_Prot#'!A:AL,13,FALSE)-VLOOKUP(A134,'SegEnds_NonXtal_Prot#'!A:AL,10,FALSE)</f>
        <v>20</v>
      </c>
      <c r="AE134" s="1">
        <f>VLOOKUP(A134,'SegEnds_NonXtal_Prot#'!A:AL,16,FALSE)-VLOOKUP(A134,'SegEnds_NonXtal_Prot#'!A:AL,10,FALSE)</f>
        <v>52</v>
      </c>
      <c r="AF134" s="1">
        <f>VLOOKUP(A134,'SegEnds_NonXtal_Prot#'!A:AL,22,FALSE)-VLOOKUP(A134,'SegEnds_NonXtal_Prot#'!A:AL,19,FALSE)</f>
        <v>20</v>
      </c>
      <c r="AG134" s="1">
        <f>VLOOKUP(A134,'SegEnds_NonXtal_Prot#'!A:AL,28,FALSE)-VLOOKUP(A134,'SegEnds_NonXtal_Prot#'!A:AL,25,FALSE)</f>
        <v>35</v>
      </c>
      <c r="AH134" s="1">
        <f>VLOOKUP(A134,'SegEnds_NonXtal_Prot#'!A:AL,28,FALSE)-VLOOKUP(A134,'SegEnds_NonXtal_Prot#'!A:AL,22,FALSE)</f>
        <v>67</v>
      </c>
      <c r="AI134" s="1">
        <f>VLOOKUP(A134,'SegEnds_NonXtal_Prot#'!A:AL,31,FALSE)-VLOOKUP(A134,'SegEnds_NonXtal_Prot#'!A:AL,28,FALSE)</f>
        <v>53</v>
      </c>
      <c r="AJ134" s="1">
        <f>VLOOKUP(A134,'SegEnds_NonXtal_Prot#'!A:AL,34,FALSE)-VLOOKUP(A134,'SegEnds_NonXtal_Prot#'!A:AL,31,FALSE)</f>
        <v>39</v>
      </c>
      <c r="AK134" s="1">
        <f>VLOOKUP(A134,'SegEnds_NonXtal_Prot#'!A:AL,37,FALSE)-VLOOKUP(A134,'SegEnds_NonXtal_Prot#'!A:AL,34,FALSE)</f>
        <v>10</v>
      </c>
      <c r="AL134" s="1" t="str">
        <f>IF(ISERROR(MATCH(A134,'SegEnds_Xtal_Prot#'!B:B, 0)), "NoXtal", "Xtal")</f>
        <v>NoXtal</v>
      </c>
    </row>
    <row r="135" spans="1:38" x14ac:dyDescent="0.2">
      <c r="A135" s="1" t="s">
        <v>256</v>
      </c>
      <c r="B135" s="1" t="str">
        <f>VLOOKUP(A135,Xtal_Templ!A:B,2,FALSE)</f>
        <v>ntr1_rat</v>
      </c>
      <c r="C135" s="5">
        <f>VLOOKUP($B135&amp;"__wt",'SegEnds_Xtal_BW#'!$A:$Z,3,FALSE)</f>
        <v>29</v>
      </c>
      <c r="D135" s="1">
        <f>VLOOKUP($B135&amp;"__wt",'SegEnds_Xtal_BW#'!$A:$Z,4,FALSE)</f>
        <v>60</v>
      </c>
      <c r="E135" s="1">
        <f>VLOOKUP($B135&amp;"__wt",'SegEnds_Xtal_BW#'!$A:$Z,5,FALSE)</f>
        <v>48</v>
      </c>
      <c r="F135" s="1">
        <f>VLOOKUP($B135&amp;"__wt",'SegEnds_Xtal_BW#'!$A:$Z,6,FALSE)</f>
        <v>51</v>
      </c>
      <c r="G135" s="1">
        <v>37</v>
      </c>
      <c r="H135" s="12">
        <f>VLOOKUP($B135&amp;"__wt",'SegEnds_Xtal_BW#'!$A:$Z,8,FALSE)</f>
        <v>68</v>
      </c>
      <c r="I135" s="1">
        <f>VLOOKUP($B135&amp;"__wt",'SegEnds_Xtal_BW#'!$A:$Z,9,FALSE)</f>
        <v>49</v>
      </c>
      <c r="J135" s="1">
        <f>VLOOKUP($B135&amp;"__wt",'SegEnds_Xtal_BW#'!$A:$Z,10,FALSE)</f>
        <v>52</v>
      </c>
      <c r="K135" s="12">
        <v>18</v>
      </c>
      <c r="L135" s="1">
        <f>VLOOKUP($B135&amp;"__wt",'SegEnds_Xtal_BW#'!$A:$Z,12,FALSE)</f>
        <v>56</v>
      </c>
      <c r="M135" s="1">
        <f>VLOOKUP($B135&amp;"__wt",'SegEnds_Xtal_BW#'!$A:$Z,13,FALSE)</f>
        <v>50</v>
      </c>
      <c r="N135" s="12">
        <f>VLOOKUP($B135&amp;"__wt",'SegEnds_Xtal_BW#'!$A:$Z,14,FALSE)</f>
        <v>57</v>
      </c>
      <c r="O135" s="87">
        <f>VLOOKUP($B135&amp;"__wt",'SegEnds_Xtal_BW#'!$A:$Z,15,FALSE)</f>
        <v>38</v>
      </c>
      <c r="P135" s="1">
        <f>VLOOKUP($B135&amp;"__wt",'SegEnds_Xtal_BW#'!$A:$Z,16,FALSE)</f>
        <v>64</v>
      </c>
      <c r="Q135" s="1">
        <f>VLOOKUP($B135&amp;"__wt",'SegEnds_Xtal_BW#'!$A:$Z,17,FALSE)</f>
        <v>50</v>
      </c>
      <c r="R135" s="1">
        <f>VLOOKUP($B135&amp;"__wt",'SegEnds_Xtal_BW#'!$A:$Z,18,FALSE)</f>
        <v>52</v>
      </c>
      <c r="S135" s="1">
        <v>35</v>
      </c>
      <c r="T135" s="1">
        <f t="array" ref="T135">INDEX(ICL3_classA!$G$2:$G$37,MATCH(MIN(ABS(AI135-ICL3_classA!$F$2:$F$37)),ABS(AI135-ICL3_classA!$F$2:$F$37),0))</f>
        <v>76</v>
      </c>
      <c r="U135" s="1">
        <f t="array" ref="U135">INDEX(ICL3_classA!$H$2:$H$37,MATCH(MIN(ABS(AI135-ICL3_classA!$F$2:$F$37)),ABS(AI135-ICL3_classA!$F$2:$F$37),0))</f>
        <v>24</v>
      </c>
      <c r="V135" s="1">
        <v>61</v>
      </c>
      <c r="W135" s="1">
        <v>24</v>
      </c>
      <c r="X135" s="1">
        <f>VLOOKUP($B135&amp;"__wt",'SegEnds_Xtal_BW#'!$A:$Z,24,FALSE)</f>
        <v>56</v>
      </c>
      <c r="Y135" s="1">
        <f>VLOOKUP($B135&amp;"__wt",'SegEnds_Xtal_BW#'!$A:$Z,25,FALSE)</f>
        <v>47</v>
      </c>
      <c r="Z135" s="1">
        <f>VLOOKUP($B135&amp;"__wt",'SegEnds_Xtal_BW#'!$A:$Z,26,FALSE)</f>
        <v>58</v>
      </c>
      <c r="AA135" s="27" t="str">
        <f>VLOOKUP(A135,Classification!A:B,2,FALSE)</f>
        <v>A</v>
      </c>
      <c r="AB135" s="1">
        <f>VLOOKUP(A135,'SegEnds_NonXtal_Prot#'!A:AL,10,FALSE)-VLOOKUP(A135,'SegEnds_NonXtal_Prot#'!A:AL,4,FALSE)</f>
        <v>31</v>
      </c>
      <c r="AC135" s="1" t="e">
        <f>VLOOKUP(A135,'SegEnds_NonXtal_Prot#'!A:AL,10,FALSE)-VLOOKUP(A135,'SegEnds_NonXtal_Prot#'!A:AL,7,FALSE)</f>
        <v>#VALUE!</v>
      </c>
      <c r="AD135" s="1" t="e">
        <f>VLOOKUP(A135,'SegEnds_NonXtal_Prot#'!A:AL,13,FALSE)-VLOOKUP(A135,'SegEnds_NonXtal_Prot#'!A:AL,10,FALSE)</f>
        <v>#VALUE!</v>
      </c>
      <c r="AE135" s="1">
        <f>VLOOKUP(A135,'SegEnds_NonXtal_Prot#'!A:AL,16,FALSE)-VLOOKUP(A135,'SegEnds_NonXtal_Prot#'!A:AL,10,FALSE)</f>
        <v>54</v>
      </c>
      <c r="AF135" s="1">
        <f>VLOOKUP(A135,'SegEnds_NonXtal_Prot#'!A:AL,22,FALSE)-VLOOKUP(A135,'SegEnds_NonXtal_Prot#'!A:AL,19,FALSE)</f>
        <v>20</v>
      </c>
      <c r="AG135" s="1">
        <f>VLOOKUP(A135,'SegEnds_NonXtal_Prot#'!A:AL,28,FALSE)-VLOOKUP(A135,'SegEnds_NonXtal_Prot#'!A:AL,25,FALSE)</f>
        <v>21</v>
      </c>
      <c r="AH135" s="1">
        <f>VLOOKUP(A135,'SegEnds_NonXtal_Prot#'!A:AL,28,FALSE)-VLOOKUP(A135,'SegEnds_NonXtal_Prot#'!A:AL,22,FALSE)</f>
        <v>71</v>
      </c>
      <c r="AI135" s="1">
        <f>VLOOKUP(A135,'SegEnds_NonXtal_Prot#'!A:AL,31,FALSE)-VLOOKUP(A135,'SegEnds_NonXtal_Prot#'!A:AL,28,FALSE)</f>
        <v>67</v>
      </c>
      <c r="AJ135" s="1">
        <f>VLOOKUP(A135,'SegEnds_NonXtal_Prot#'!A:AL,34,FALSE)-VLOOKUP(A135,'SegEnds_NonXtal_Prot#'!A:AL,31,FALSE)</f>
        <v>43</v>
      </c>
      <c r="AK135" s="1">
        <f>VLOOKUP(A135,'SegEnds_NonXtal_Prot#'!A:AL,37,FALSE)-VLOOKUP(A135,'SegEnds_NonXtal_Prot#'!A:AL,34,FALSE)</f>
        <v>10</v>
      </c>
      <c r="AL135" s="1" t="str">
        <f>IF(ISERROR(MATCH(A135,'SegEnds_Xtal_Prot#'!B:B, 0)), "NoXtal", "Xtal")</f>
        <v>NoXtal</v>
      </c>
    </row>
    <row r="136" spans="1:38" x14ac:dyDescent="0.2">
      <c r="A136" s="1" t="s">
        <v>257</v>
      </c>
      <c r="B136" s="1" t="str">
        <f>VLOOKUP(A136,Xtal_Templ!A:B,2,FALSE)</f>
        <v>ptafr_human</v>
      </c>
      <c r="C136" s="5">
        <f>VLOOKUP($B136&amp;"__wt",'SegEnds_Xtal_BW#'!$A:$Z,3,FALSE)</f>
        <v>27</v>
      </c>
      <c r="D136" s="1">
        <f>VLOOKUP($B136&amp;"__wt",'SegEnds_Xtal_BW#'!$A:$Z,4,FALSE)</f>
        <v>61</v>
      </c>
      <c r="E136" s="1" t="str">
        <f>VLOOKUP($B136&amp;"__wt",'SegEnds_Xtal_BW#'!$A:$Z,5,FALSE)</f>
        <v>-</v>
      </c>
      <c r="F136" s="1" t="str">
        <f>VLOOKUP($B136&amp;"__wt",'SegEnds_Xtal_BW#'!$A:$Z,6,FALSE)</f>
        <v>-</v>
      </c>
      <c r="G136" s="1">
        <v>37</v>
      </c>
      <c r="H136" s="12">
        <f>VLOOKUP($B136&amp;"__wt",'SegEnds_Xtal_BW#'!$A:$Z,8,FALSE)</f>
        <v>67</v>
      </c>
      <c r="I136" s="1">
        <f>VLOOKUP($B136&amp;"__wt",'SegEnds_Xtal_BW#'!$A:$Z,9,FALSE)</f>
        <v>49</v>
      </c>
      <c r="J136" s="1">
        <f>VLOOKUP($B136&amp;"__wt",'SegEnds_Xtal_BW#'!$A:$Z,10,FALSE)</f>
        <v>52</v>
      </c>
      <c r="K136" s="12">
        <v>18</v>
      </c>
      <c r="L136" s="1">
        <f>VLOOKUP($B136&amp;"__wt",'SegEnds_Xtal_BW#'!$A:$Z,12,FALSE)</f>
        <v>56</v>
      </c>
      <c r="M136" s="1">
        <f>VLOOKUP($B136&amp;"__wt",'SegEnds_Xtal_BW#'!$A:$Z,13,FALSE)</f>
        <v>50</v>
      </c>
      <c r="N136" s="12">
        <v>57</v>
      </c>
      <c r="O136" s="87">
        <f>VLOOKUP($B136&amp;"__wt",'SegEnds_Xtal_BW#'!$A:$Z,15,FALSE)</f>
        <v>38</v>
      </c>
      <c r="P136" s="1">
        <f>VLOOKUP($B136&amp;"__wt",'SegEnds_Xtal_BW#'!$A:$Z,16,FALSE)</f>
        <v>63</v>
      </c>
      <c r="Q136" s="1">
        <f>VLOOKUP($B136&amp;"__wt",'SegEnds_Xtal_BW#'!$A:$Z,17,FALSE)</f>
        <v>50</v>
      </c>
      <c r="R136" s="1">
        <f>VLOOKUP($B136&amp;"__wt",'SegEnds_Xtal_BW#'!$A:$Z,18,FALSE)</f>
        <v>52</v>
      </c>
      <c r="S136" s="1">
        <f>VLOOKUP($B136&amp;"__wt",'SegEnds_Xtal_BW#'!$A:$Z,19,FALSE)</f>
        <v>33</v>
      </c>
      <c r="T136" s="1">
        <f t="array" ref="T136">INDEX(ICL3_classA!$G$2:$G$37,MATCH(MIN(ABS(AI136-ICL3_classA!$F$2:$F$37)),ABS(AI136-ICL3_classA!$F$2:$F$37),0))</f>
        <v>67</v>
      </c>
      <c r="U136" s="1">
        <f t="array" ref="U136">INDEX(ICL3_classA!$H$2:$H$37,MATCH(MIN(ABS(AI136-ICL3_classA!$F$2:$F$37)),ABS(AI136-ICL3_classA!$F$2:$F$37),0))</f>
        <v>26</v>
      </c>
      <c r="V136" s="1">
        <v>64</v>
      </c>
      <c r="W136" s="1">
        <v>24</v>
      </c>
      <c r="X136" s="1">
        <f>VLOOKUP($B136&amp;"__wt",'SegEnds_Xtal_BW#'!$A:$Z,24,FALSE)</f>
        <v>59</v>
      </c>
      <c r="Y136" s="1">
        <f>VLOOKUP($B136&amp;"__wt",'SegEnds_Xtal_BW#'!$A:$Z,25,FALSE)</f>
        <v>50</v>
      </c>
      <c r="Z136" s="1">
        <f>VLOOKUP($B136&amp;"__wt",'SegEnds_Xtal_BW#'!$A:$Z,26,FALSE)</f>
        <v>63</v>
      </c>
      <c r="AA136" s="27" t="str">
        <f>VLOOKUP(A136,Classification!A:B,2,FALSE)</f>
        <v>A</v>
      </c>
      <c r="AB136" s="1">
        <f>VLOOKUP(A136,'SegEnds_NonXtal_Prot#'!A:AL,10,FALSE)-VLOOKUP(A136,'SegEnds_NonXtal_Prot#'!A:AL,4,FALSE)</f>
        <v>28</v>
      </c>
      <c r="AC136" s="1" t="e">
        <f>VLOOKUP(A136,'SegEnds_NonXtal_Prot#'!A:AL,10,FALSE)-VLOOKUP(A136,'SegEnds_NonXtal_Prot#'!A:AL,7,FALSE)</f>
        <v>#VALUE!</v>
      </c>
      <c r="AD136" s="1">
        <f>VLOOKUP(A136,'SegEnds_NonXtal_Prot#'!A:AL,13,FALSE)-VLOOKUP(A136,'SegEnds_NonXtal_Prot#'!A:AL,10,FALSE)</f>
        <v>20</v>
      </c>
      <c r="AE136" s="1">
        <f>VLOOKUP(A136,'SegEnds_NonXtal_Prot#'!A:AL,16,FALSE)-VLOOKUP(A136,'SegEnds_NonXtal_Prot#'!A:AL,10,FALSE)</f>
        <v>52</v>
      </c>
      <c r="AF136" s="1">
        <f>VLOOKUP(A136,'SegEnds_NonXtal_Prot#'!A:AL,22,FALSE)-VLOOKUP(A136,'SegEnds_NonXtal_Prot#'!A:AL,19,FALSE)</f>
        <v>20</v>
      </c>
      <c r="AG136" s="1">
        <f>VLOOKUP(A136,'SegEnds_NonXtal_Prot#'!A:AL,28,FALSE)-VLOOKUP(A136,'SegEnds_NonXtal_Prot#'!A:AL,25,FALSE)</f>
        <v>25</v>
      </c>
      <c r="AH136" s="1">
        <f>VLOOKUP(A136,'SegEnds_NonXtal_Prot#'!A:AL,28,FALSE)-VLOOKUP(A136,'SegEnds_NonXtal_Prot#'!A:AL,22,FALSE)</f>
        <v>51</v>
      </c>
      <c r="AI136" s="1">
        <f>VLOOKUP(A136,'SegEnds_NonXtal_Prot#'!A:AL,31,FALSE)-VLOOKUP(A136,'SegEnds_NonXtal_Prot#'!A:AL,28,FALSE)</f>
        <v>46</v>
      </c>
      <c r="AJ136" s="1">
        <f>VLOOKUP(A136,'SegEnds_NonXtal_Prot#'!A:AL,34,FALSE)-VLOOKUP(A136,'SegEnds_NonXtal_Prot#'!A:AL,31,FALSE)</f>
        <v>44</v>
      </c>
      <c r="AK136" s="1">
        <f>VLOOKUP(A136,'SegEnds_NonXtal_Prot#'!A:AL,37,FALSE)-VLOOKUP(A136,'SegEnds_NonXtal_Prot#'!A:AL,34,FALSE)</f>
        <v>10</v>
      </c>
      <c r="AL136" s="1" t="str">
        <f>IF(ISERROR(MATCH(A136,'SegEnds_Xtal_Prot#'!B:B, 0)), "NoXtal", "Xtal")</f>
        <v>NoXtal</v>
      </c>
    </row>
    <row r="137" spans="1:38" x14ac:dyDescent="0.2">
      <c r="A137" s="1" t="s">
        <v>258</v>
      </c>
      <c r="B137" s="1" t="str">
        <f>VLOOKUP(A137,Xtal_Templ!A:B,2,FALSE)</f>
        <v>par1_human</v>
      </c>
      <c r="C137" s="5">
        <f>VLOOKUP($B137&amp;"__wt",'SegEnds_Xtal_BW#'!$A:$Z,3,FALSE)</f>
        <v>29</v>
      </c>
      <c r="D137" s="1">
        <f>VLOOKUP($B137&amp;"__wt",'SegEnds_Xtal_BW#'!$A:$Z,4,FALSE)</f>
        <v>60</v>
      </c>
      <c r="E137" s="1">
        <f>VLOOKUP($B137&amp;"__wt",'SegEnds_Xtal_BW#'!$A:$Z,5,FALSE)</f>
        <v>48</v>
      </c>
      <c r="F137" s="1">
        <f>VLOOKUP($B137&amp;"__wt",'SegEnds_Xtal_BW#'!$A:$Z,6,FALSE)</f>
        <v>51</v>
      </c>
      <c r="G137" s="1">
        <v>37</v>
      </c>
      <c r="H137" s="12">
        <f>VLOOKUP($B137&amp;"__wt",'SegEnds_Xtal_BW#'!$A:$Z,8,FALSE)</f>
        <v>66</v>
      </c>
      <c r="I137" s="1">
        <f>VLOOKUP($B137&amp;"__wt",'SegEnds_Xtal_BW#'!$A:$Z,9,FALSE)</f>
        <v>49</v>
      </c>
      <c r="J137" s="1">
        <f>VLOOKUP($B137&amp;"__wt",'SegEnds_Xtal_BW#'!$A:$Z,10,FALSE)</f>
        <v>52</v>
      </c>
      <c r="K137" s="12">
        <v>18</v>
      </c>
      <c r="L137" s="1">
        <f>VLOOKUP($B137&amp;"__wt",'SegEnds_Xtal_BW#'!$A:$Z,12,FALSE)</f>
        <v>56</v>
      </c>
      <c r="M137" s="1">
        <f>VLOOKUP($B137&amp;"__wt",'SegEnds_Xtal_BW#'!$A:$Z,13,FALSE)</f>
        <v>50</v>
      </c>
      <c r="N137" s="12">
        <v>57</v>
      </c>
      <c r="O137" s="87">
        <f>VLOOKUP($B137&amp;"__wt",'SegEnds_Xtal_BW#'!$A:$Z,15,FALSE)</f>
        <v>38</v>
      </c>
      <c r="P137" s="1">
        <f>VLOOKUP($B137&amp;"__wt",'SegEnds_Xtal_BW#'!$A:$Z,16,FALSE)</f>
        <v>63</v>
      </c>
      <c r="Q137" s="1">
        <f>VLOOKUP($B137&amp;"__wt",'SegEnds_Xtal_BW#'!$A:$Z,17,FALSE)</f>
        <v>50</v>
      </c>
      <c r="R137" s="1">
        <f>VLOOKUP($B137&amp;"__wt",'SegEnds_Xtal_BW#'!$A:$Z,18,FALSE)</f>
        <v>52</v>
      </c>
      <c r="S137" s="1">
        <f>VLOOKUP($B137&amp;"__wt",'SegEnds_Xtal_BW#'!$A:$Z,19,FALSE)</f>
        <v>32</v>
      </c>
      <c r="T137" s="1">
        <f t="array" ref="T137">INDEX(ICL3_classA!$G$2:$G$37,MATCH(MIN(ABS(AI137-ICL3_classA!$F$2:$F$37)),ABS(AI137-ICL3_classA!$F$2:$F$37),0))</f>
        <v>68</v>
      </c>
      <c r="U137" s="1">
        <f t="array" ref="U137">INDEX(ICL3_classA!$H$2:$H$37,MATCH(MIN(ABS(AI137-ICL3_classA!$F$2:$F$37)),ABS(AI137-ICL3_classA!$F$2:$F$37),0))</f>
        <v>28</v>
      </c>
      <c r="V137" s="1">
        <v>61</v>
      </c>
      <c r="W137" s="1">
        <v>33</v>
      </c>
      <c r="X137" s="1">
        <f>VLOOKUP($B137&amp;"__wt",'SegEnds_Xtal_BW#'!$A:$Z,24,FALSE)</f>
        <v>56</v>
      </c>
      <c r="Y137" s="1">
        <f>VLOOKUP($B137&amp;"__wt",'SegEnds_Xtal_BW#'!$A:$Z,25,FALSE)</f>
        <v>47</v>
      </c>
      <c r="Z137" s="1">
        <f>VLOOKUP($B137&amp;"__wt",'SegEnds_Xtal_BW#'!$A:$Z,26,FALSE)</f>
        <v>61</v>
      </c>
      <c r="AA137" s="27" t="str">
        <f>VLOOKUP(A137,Classification!A:B,2,FALSE)</f>
        <v>A</v>
      </c>
      <c r="AB137" s="1">
        <f>VLOOKUP(A137,'SegEnds_NonXtal_Prot#'!A:AL,10,FALSE)-VLOOKUP(A137,'SegEnds_NonXtal_Prot#'!A:AL,4,FALSE)</f>
        <v>29</v>
      </c>
      <c r="AC137" s="1" t="e">
        <f>VLOOKUP(A137,'SegEnds_NonXtal_Prot#'!A:AL,10,FALSE)-VLOOKUP(A137,'SegEnds_NonXtal_Prot#'!A:AL,7,FALSE)</f>
        <v>#VALUE!</v>
      </c>
      <c r="AD137" s="1">
        <f>VLOOKUP(A137,'SegEnds_NonXtal_Prot#'!A:AL,13,FALSE)-VLOOKUP(A137,'SegEnds_NonXtal_Prot#'!A:AL,10,FALSE)</f>
        <v>20</v>
      </c>
      <c r="AE137" s="1">
        <f>VLOOKUP(A137,'SegEnds_NonXtal_Prot#'!A:AL,16,FALSE)-VLOOKUP(A137,'SegEnds_NonXtal_Prot#'!A:AL,10,FALSE)</f>
        <v>52</v>
      </c>
      <c r="AF137" s="1">
        <f>VLOOKUP(A137,'SegEnds_NonXtal_Prot#'!A:AL,22,FALSE)-VLOOKUP(A137,'SegEnds_NonXtal_Prot#'!A:AL,19,FALSE)</f>
        <v>20</v>
      </c>
      <c r="AG137" s="1">
        <f>VLOOKUP(A137,'SegEnds_NonXtal_Prot#'!A:AL,28,FALSE)-VLOOKUP(A137,'SegEnds_NonXtal_Prot#'!A:AL,25,FALSE)</f>
        <v>27</v>
      </c>
      <c r="AH137" s="1">
        <f>VLOOKUP(A137,'SegEnds_NonXtal_Prot#'!A:AL,28,FALSE)-VLOOKUP(A137,'SegEnds_NonXtal_Prot#'!A:AL,22,FALSE)</f>
        <v>56</v>
      </c>
      <c r="AI137" s="1">
        <f>VLOOKUP(A137,'SegEnds_NonXtal_Prot#'!A:AL,31,FALSE)-VLOOKUP(A137,'SegEnds_NonXtal_Prot#'!A:AL,28,FALSE)</f>
        <v>44</v>
      </c>
      <c r="AJ137" s="1">
        <f>VLOOKUP(A137,'SegEnds_NonXtal_Prot#'!A:AL,34,FALSE)-VLOOKUP(A137,'SegEnds_NonXtal_Prot#'!A:AL,31,FALSE)</f>
        <v>33</v>
      </c>
      <c r="AK137" s="1">
        <f>VLOOKUP(A137,'SegEnds_NonXtal_Prot#'!A:AL,37,FALSE)-VLOOKUP(A137,'SegEnds_NonXtal_Prot#'!A:AL,34,FALSE)</f>
        <v>10</v>
      </c>
      <c r="AL137" s="1" t="str">
        <f>IF(ISERROR(MATCH(A137,'SegEnds_Xtal_Prot#'!B:B, 0)), "NoXtal", "Xtal")</f>
        <v>NoXtal</v>
      </c>
    </row>
    <row r="138" spans="1:38" x14ac:dyDescent="0.2">
      <c r="A138" s="1" t="s">
        <v>259</v>
      </c>
      <c r="B138" s="1" t="str">
        <f>VLOOKUP(A138,Xtal_Templ!A:B,2,FALSE)</f>
        <v>drd2_human</v>
      </c>
      <c r="C138" s="5">
        <f>VLOOKUP($B138&amp;"__wt",'SegEnds_Xtal_BW#'!$A:$Z,3,FALSE)</f>
        <v>29</v>
      </c>
      <c r="D138" s="1">
        <f>VLOOKUP($B138&amp;"__wt",'SegEnds_Xtal_BW#'!$A:$Z,4,FALSE)</f>
        <v>60</v>
      </c>
      <c r="E138" s="1">
        <f>VLOOKUP($B138&amp;"__wt",'SegEnds_Xtal_BW#'!$A:$Z,5,FALSE)</f>
        <v>48</v>
      </c>
      <c r="F138" s="1">
        <f>VLOOKUP($B138&amp;"__wt",'SegEnds_Xtal_BW#'!$A:$Z,6,FALSE)</f>
        <v>51</v>
      </c>
      <c r="G138" s="1">
        <v>37</v>
      </c>
      <c r="H138" s="12">
        <f>VLOOKUP($B138&amp;"__wt",'SegEnds_Xtal_BW#'!$A:$Z,8,FALSE)</f>
        <v>68</v>
      </c>
      <c r="I138" s="1">
        <f>VLOOKUP($B138&amp;"__wt",'SegEnds_Xtal_BW#'!$A:$Z,9,FALSE)</f>
        <v>49</v>
      </c>
      <c r="J138" s="1">
        <f>VLOOKUP($B138&amp;"__wt",'SegEnds_Xtal_BW#'!$A:$Z,10,FALSE)</f>
        <v>52</v>
      </c>
      <c r="K138" s="12">
        <v>18</v>
      </c>
      <c r="L138" s="1">
        <f>VLOOKUP($B138&amp;"__wt",'SegEnds_Xtal_BW#'!$A:$Z,12,FALSE)</f>
        <v>56</v>
      </c>
      <c r="M138" s="1">
        <f>VLOOKUP($B138&amp;"__wt",'SegEnds_Xtal_BW#'!$A:$Z,13,FALSE)</f>
        <v>50</v>
      </c>
      <c r="N138" s="12">
        <f>VLOOKUP($B138&amp;"__wt",'SegEnds_Xtal_BW#'!$A:$Z,14,FALSE)</f>
        <v>58</v>
      </c>
      <c r="O138" s="87">
        <v>38</v>
      </c>
      <c r="P138" s="1">
        <f>VLOOKUP($B138&amp;"__wt",'SegEnds_Xtal_BW#'!$A:$Z,16,FALSE)</f>
        <v>62</v>
      </c>
      <c r="Q138" s="1">
        <f>VLOOKUP($B138&amp;"__wt",'SegEnds_Xtal_BW#'!$A:$Z,17,FALSE)</f>
        <v>50</v>
      </c>
      <c r="R138" s="1">
        <f>VLOOKUP($B138&amp;"__wt",'SegEnds_Xtal_BW#'!$A:$Z,18,FALSE)</f>
        <v>52</v>
      </c>
      <c r="S138" s="1">
        <v>35</v>
      </c>
      <c r="T138" s="1">
        <f t="array" ref="T138">INDEX(ICL3_classA!$G$2:$G$37,MATCH(MIN(ABS(AI138-ICL3_classA!$F$2:$F$37)),ABS(AI138-ICL3_classA!$F$2:$F$37),0))</f>
        <v>76</v>
      </c>
      <c r="U138" s="1">
        <f t="array" ref="U138">INDEX(ICL3_classA!$H$2:$H$37,MATCH(MIN(ABS(AI138-ICL3_classA!$F$2:$F$37)),ABS(AI138-ICL3_classA!$F$2:$F$37),0))</f>
        <v>24</v>
      </c>
      <c r="V138" s="1">
        <v>61</v>
      </c>
      <c r="W138" s="1">
        <v>28</v>
      </c>
      <c r="X138" s="128">
        <f>VLOOKUP($B138&amp;"__wt",'SegEnds_Xtal_BW#'!$A:$Z,24,FALSE)</f>
        <v>56</v>
      </c>
      <c r="Y138" s="1">
        <f>VLOOKUP($B138&amp;"__wt",'SegEnds_Xtal_BW#'!$A:$Z,25,FALSE)</f>
        <v>47</v>
      </c>
      <c r="Z138" s="1">
        <f>VLOOKUP($B138&amp;"__wt",'SegEnds_Xtal_BW#'!$A:$Z,26,FALSE)</f>
        <v>59</v>
      </c>
      <c r="AA138" s="27" t="str">
        <f>VLOOKUP(A138,Classification!A:B,2,FALSE)</f>
        <v>A</v>
      </c>
      <c r="AB138" s="1">
        <f>VLOOKUP(A138,'SegEnds_NonXtal_Prot#'!A:AL,10,FALSE)-VLOOKUP(A138,'SegEnds_NonXtal_Prot#'!A:AL,4,FALSE)</f>
        <v>28</v>
      </c>
      <c r="AC138" s="1">
        <f>VLOOKUP(A138,'SegEnds_NonXtal_Prot#'!A:AL,10,FALSE)-VLOOKUP(A138,'SegEnds_NonXtal_Prot#'!A:AL,7,FALSE)</f>
        <v>15</v>
      </c>
      <c r="AD138" s="1">
        <f>VLOOKUP(A138,'SegEnds_NonXtal_Prot#'!A:AL,13,FALSE)-VLOOKUP(A138,'SegEnds_NonXtal_Prot#'!A:AL,10,FALSE)</f>
        <v>20</v>
      </c>
      <c r="AE138" s="1">
        <f>VLOOKUP(A138,'SegEnds_NonXtal_Prot#'!A:AL,16,FALSE)-VLOOKUP(A138,'SegEnds_NonXtal_Prot#'!A:AL,10,FALSE)</f>
        <v>52</v>
      </c>
      <c r="AF138" s="1" t="e">
        <f>VLOOKUP(A138,'SegEnds_NonXtal_Prot#'!A:AL,22,FALSE)-VLOOKUP(A138,'SegEnds_NonXtal_Prot#'!A:AL,19,FALSE)</f>
        <v>#VALUE!</v>
      </c>
      <c r="AG138" s="1">
        <f>VLOOKUP(A138,'SegEnds_NonXtal_Prot#'!A:AL,28,FALSE)-VLOOKUP(A138,'SegEnds_NonXtal_Prot#'!A:AL,25,FALSE)</f>
        <v>25</v>
      </c>
      <c r="AH138" s="1">
        <f>VLOOKUP(A138,'SegEnds_NonXtal_Prot#'!A:AL,28,FALSE)-VLOOKUP(A138,'SegEnds_NonXtal_Prot#'!A:AL,22,FALSE)</f>
        <v>51</v>
      </c>
      <c r="AI138" s="1">
        <f>VLOOKUP(A138,'SegEnds_NonXtal_Prot#'!A:AL,31,FALSE)-VLOOKUP(A138,'SegEnds_NonXtal_Prot#'!A:AL,28,FALSE)</f>
        <v>75</v>
      </c>
      <c r="AJ138" s="1">
        <f>VLOOKUP(A138,'SegEnds_NonXtal_Prot#'!A:AL,34,FALSE)-VLOOKUP(A138,'SegEnds_NonXtal_Prot#'!A:AL,31,FALSE)</f>
        <v>39</v>
      </c>
      <c r="AK138" s="1">
        <f>VLOOKUP(A138,'SegEnds_NonXtal_Prot#'!A:AL,37,FALSE)-VLOOKUP(A138,'SegEnds_NonXtal_Prot#'!A:AL,34,FALSE)</f>
        <v>10</v>
      </c>
      <c r="AL138" s="1" t="str">
        <f>IF(ISERROR(MATCH(A138,'SegEnds_Xtal_Prot#'!B:B, 0)), "NoXtal", "Xtal")</f>
        <v>NoXtal</v>
      </c>
    </row>
    <row r="139" spans="1:38" x14ac:dyDescent="0.2">
      <c r="A139" s="1" t="s">
        <v>260</v>
      </c>
      <c r="B139" s="1" t="str">
        <f>VLOOKUP(A139,Xtal_Templ!A:B,2,FALSE)</f>
        <v>5ht2b_human</v>
      </c>
      <c r="C139" s="5">
        <f>VLOOKUP($B139&amp;"__wt",'SegEnds_Xtal_BW#'!$A:$Z,3,FALSE)</f>
        <v>31</v>
      </c>
      <c r="D139" s="1">
        <f>VLOOKUP($B139&amp;"__wt",'SegEnds_Xtal_BW#'!$A:$Z,4,FALSE)</f>
        <v>60</v>
      </c>
      <c r="E139" s="1">
        <f>VLOOKUP($B139&amp;"__wt",'SegEnds_Xtal_BW#'!$A:$Z,5,FALSE)</f>
        <v>48</v>
      </c>
      <c r="F139" s="1">
        <f>VLOOKUP($B139&amp;"__wt",'SegEnds_Xtal_BW#'!$A:$Z,6,FALSE)</f>
        <v>51</v>
      </c>
      <c r="G139" s="1">
        <v>37</v>
      </c>
      <c r="H139" s="108">
        <v>66</v>
      </c>
      <c r="I139" s="1">
        <f>VLOOKUP($B139&amp;"__wt",'SegEnds_Xtal_BW#'!$A:$Z,9,FALSE)</f>
        <v>49</v>
      </c>
      <c r="J139" s="1">
        <f>VLOOKUP($B139&amp;"__wt",'SegEnds_Xtal_BW#'!$A:$Z,10,FALSE)</f>
        <v>52</v>
      </c>
      <c r="K139" s="12">
        <v>18</v>
      </c>
      <c r="L139" s="1">
        <f>VLOOKUP($B139&amp;"__wt",'SegEnds_Xtal_BW#'!$A:$Z,12,FALSE)</f>
        <v>56</v>
      </c>
      <c r="M139" s="1">
        <f>VLOOKUP($B139&amp;"__wt",'SegEnds_Xtal_BW#'!$A:$Z,13,FALSE)</f>
        <v>50</v>
      </c>
      <c r="N139" s="12">
        <v>57</v>
      </c>
      <c r="O139" s="87">
        <v>38</v>
      </c>
      <c r="P139" s="1">
        <f>VLOOKUP($B139&amp;"__wt",'SegEnds_Xtal_BW#'!$A:$Z,16,FALSE)</f>
        <v>64</v>
      </c>
      <c r="Q139" s="1">
        <f>VLOOKUP($B139&amp;"__wt",'SegEnds_Xtal_BW#'!$A:$Z,17,FALSE)</f>
        <v>50</v>
      </c>
      <c r="R139" s="1">
        <f>VLOOKUP($B139&amp;"__wt",'SegEnds_Xtal_BW#'!$A:$Z,18,FALSE)</f>
        <v>52</v>
      </c>
      <c r="S139" s="1">
        <v>35</v>
      </c>
      <c r="T139" s="1">
        <f t="array" ref="T139">INDEX(ICL3_classA!$G$2:$G$37,MATCH(MIN(ABS(AI139-ICL3_classA!$F$2:$F$37)),ABS(AI139-ICL3_classA!$F$2:$F$37),0))</f>
        <v>74</v>
      </c>
      <c r="U139" s="1">
        <f t="array" ref="U139">INDEX(ICL3_classA!$H$2:$H$37,MATCH(MIN(ABS(AI139-ICL3_classA!$F$2:$F$37)),ABS(AI139-ICL3_classA!$F$2:$F$37),0))</f>
        <v>21</v>
      </c>
      <c r="V139" s="1">
        <v>61</v>
      </c>
      <c r="W139" s="1">
        <v>32</v>
      </c>
      <c r="X139" s="1">
        <f>VLOOKUP($B139&amp;"__wt",'SegEnds_Xtal_BW#'!$A:$Z,24,FALSE)</f>
        <v>56</v>
      </c>
      <c r="Y139" s="1">
        <f>VLOOKUP($B139&amp;"__wt",'SegEnds_Xtal_BW#'!$A:$Z,25,FALSE)</f>
        <v>47</v>
      </c>
      <c r="Z139" s="1">
        <f>VLOOKUP($B139&amp;"__wt",'SegEnds_Xtal_BW#'!$A:$Z,26,FALSE)</f>
        <v>58</v>
      </c>
      <c r="AA139" s="27" t="str">
        <f>VLOOKUP(A139,Classification!A:B,2,FALSE)</f>
        <v>A</v>
      </c>
      <c r="AB139" s="1">
        <f>VLOOKUP(A139,'SegEnds_NonXtal_Prot#'!A:AL,10,FALSE)-VLOOKUP(A139,'SegEnds_NonXtal_Prot#'!A:AL,4,FALSE)</f>
        <v>29</v>
      </c>
      <c r="AC139" s="1">
        <f>VLOOKUP(A139,'SegEnds_NonXtal_Prot#'!A:AL,10,FALSE)-VLOOKUP(A139,'SegEnds_NonXtal_Prot#'!A:AL,7,FALSE)</f>
        <v>16</v>
      </c>
      <c r="AD139" s="1" t="e">
        <f>VLOOKUP(A139,'SegEnds_NonXtal_Prot#'!A:AL,13,FALSE)-VLOOKUP(A139,'SegEnds_NonXtal_Prot#'!A:AL,10,FALSE)</f>
        <v>#VALUE!</v>
      </c>
      <c r="AE139" s="1">
        <f>VLOOKUP(A139,'SegEnds_NonXtal_Prot#'!A:AL,16,FALSE)-VLOOKUP(A139,'SegEnds_NonXtal_Prot#'!A:AL,10,FALSE)</f>
        <v>52</v>
      </c>
      <c r="AF139" s="1">
        <f>VLOOKUP(A139,'SegEnds_NonXtal_Prot#'!A:AL,22,FALSE)-VLOOKUP(A139,'SegEnds_NonXtal_Prot#'!A:AL,19,FALSE)</f>
        <v>20</v>
      </c>
      <c r="AG139" s="1">
        <f>VLOOKUP(A139,'SegEnds_NonXtal_Prot#'!A:AL,28,FALSE)-VLOOKUP(A139,'SegEnds_NonXtal_Prot#'!A:AL,25,FALSE)</f>
        <v>21</v>
      </c>
      <c r="AH139" s="1">
        <f>VLOOKUP(A139,'SegEnds_NonXtal_Prot#'!A:AL,28,FALSE)-VLOOKUP(A139,'SegEnds_NonXtal_Prot#'!A:AL,22,FALSE)</f>
        <v>48</v>
      </c>
      <c r="AI139" s="1">
        <f>VLOOKUP(A139,'SegEnds_NonXtal_Prot#'!A:AL,31,FALSE)-VLOOKUP(A139,'SegEnds_NonXtal_Prot#'!A:AL,28,FALSE)</f>
        <v>66</v>
      </c>
      <c r="AJ139" s="1">
        <f>VLOOKUP(A139,'SegEnds_NonXtal_Prot#'!A:AL,34,FALSE)-VLOOKUP(A139,'SegEnds_NonXtal_Prot#'!A:AL,31,FALSE)</f>
        <v>34</v>
      </c>
      <c r="AK139" s="1">
        <f>VLOOKUP(A139,'SegEnds_NonXtal_Prot#'!A:AL,37,FALSE)-VLOOKUP(A139,'SegEnds_NonXtal_Prot#'!A:AL,34,FALSE)</f>
        <v>10</v>
      </c>
      <c r="AL139" s="1" t="str">
        <f>IF(ISERROR(MATCH(A139,'SegEnds_Xtal_Prot#'!B:B, 0)), "NoXtal", "Xtal")</f>
        <v>NoXtal</v>
      </c>
    </row>
    <row r="140" spans="1:38" x14ac:dyDescent="0.2">
      <c r="A140" s="1" t="s">
        <v>261</v>
      </c>
      <c r="B140" s="1" t="str">
        <f>VLOOKUP(A140,Xtal_Templ!A:B,2,FALSE)</f>
        <v>oprk_human</v>
      </c>
      <c r="C140" s="5">
        <f>VLOOKUP($B140&amp;"__wt",'SegEnds_Xtal_BW#'!$A:$Z,3,FALSE)</f>
        <v>30</v>
      </c>
      <c r="D140" s="1">
        <f>VLOOKUP($B140&amp;"__wt",'SegEnds_Xtal_BW#'!$A:$Z,4,FALSE)</f>
        <v>60</v>
      </c>
      <c r="E140" s="1">
        <f>VLOOKUP($B140&amp;"__wt",'SegEnds_Xtal_BW#'!$A:$Z,5,FALSE)</f>
        <v>48</v>
      </c>
      <c r="F140" s="1">
        <f>VLOOKUP($B140&amp;"__wt",'SegEnds_Xtal_BW#'!$A:$Z,6,FALSE)</f>
        <v>51</v>
      </c>
      <c r="G140" s="1">
        <v>37</v>
      </c>
      <c r="H140" s="12">
        <v>66</v>
      </c>
      <c r="I140" s="1">
        <f>VLOOKUP($B140&amp;"__wt",'SegEnds_Xtal_BW#'!$A:$Z,9,FALSE)</f>
        <v>49</v>
      </c>
      <c r="J140" s="1">
        <f>VLOOKUP($B140&amp;"__wt",'SegEnds_Xtal_BW#'!$A:$Z,10,FALSE)</f>
        <v>52</v>
      </c>
      <c r="K140" s="12">
        <v>24</v>
      </c>
      <c r="L140" s="1">
        <f>VLOOKUP($B140&amp;"__wt",'SegEnds_Xtal_BW#'!$A:$Z,12,FALSE)</f>
        <v>56</v>
      </c>
      <c r="M140" s="1">
        <f>VLOOKUP($B140&amp;"__wt",'SegEnds_Xtal_BW#'!$A:$Z,13,FALSE)</f>
        <v>50</v>
      </c>
      <c r="N140" s="12">
        <v>57</v>
      </c>
      <c r="O140" s="87">
        <v>38</v>
      </c>
      <c r="P140" s="1">
        <f>VLOOKUP($B140&amp;"__wt",'SegEnds_Xtal_BW#'!$A:$Z,16,FALSE)</f>
        <v>64</v>
      </c>
      <c r="Q140" s="1">
        <f>VLOOKUP($B140&amp;"__wt",'SegEnds_Xtal_BW#'!$A:$Z,17,FALSE)</f>
        <v>50</v>
      </c>
      <c r="R140" s="1">
        <f>VLOOKUP($B140&amp;"__wt",'SegEnds_Xtal_BW#'!$A:$Z,18,FALSE)</f>
        <v>52</v>
      </c>
      <c r="S140" s="1">
        <f>VLOOKUP($B140&amp;"__wt",'SegEnds_Xtal_BW#'!$A:$Z,19,FALSE)</f>
        <v>30</v>
      </c>
      <c r="T140" s="1">
        <f t="array" ref="T140">INDEX(ICL3_classA!$G$2:$G$37,MATCH(MIN(ABS(AI140-ICL3_classA!$F$2:$F$37)),ABS(AI140-ICL3_classA!$F$2:$F$37),0))</f>
        <v>68</v>
      </c>
      <c r="U140" s="1">
        <f t="array" ref="U140">INDEX(ICL3_classA!$H$2:$H$37,MATCH(MIN(ABS(AI140-ICL3_classA!$F$2:$F$37)),ABS(AI140-ICL3_classA!$F$2:$F$37),0))</f>
        <v>24</v>
      </c>
      <c r="V140" s="1">
        <v>64</v>
      </c>
      <c r="W140" s="1">
        <v>24</v>
      </c>
      <c r="X140" s="1">
        <f>VLOOKUP($B140&amp;"__wt",'SegEnds_Xtal_BW#'!$A:$Z,24,FALSE)</f>
        <v>56</v>
      </c>
      <c r="Y140" s="1">
        <f>VLOOKUP($B140&amp;"__wt",'SegEnds_Xtal_BW#'!$A:$Z,25,FALSE)</f>
        <v>47</v>
      </c>
      <c r="Z140" s="1">
        <f>VLOOKUP($B140&amp;"__wt",'SegEnds_Xtal_BW#'!$A:$Z,26,FALSE)</f>
        <v>59</v>
      </c>
      <c r="AA140" s="27" t="str">
        <f>VLOOKUP(A140,Classification!A:B,2,FALSE)</f>
        <v>A</v>
      </c>
      <c r="AB140" s="1">
        <f>VLOOKUP(A140,'SegEnds_NonXtal_Prot#'!A:AL,10,FALSE)-VLOOKUP(A140,'SegEnds_NonXtal_Prot#'!A:AL,4,FALSE)</f>
        <v>32</v>
      </c>
      <c r="AC140" s="1" t="e">
        <f>VLOOKUP(A140,'SegEnds_NonXtal_Prot#'!A:AL,10,FALSE)-VLOOKUP(A140,'SegEnds_NonXtal_Prot#'!A:AL,7,FALSE)</f>
        <v>#VALUE!</v>
      </c>
      <c r="AD140" s="1" t="e">
        <f>VLOOKUP(A140,'SegEnds_NonXtal_Prot#'!A:AL,13,FALSE)-VLOOKUP(A140,'SegEnds_NonXtal_Prot#'!A:AL,10,FALSE)</f>
        <v>#VALUE!</v>
      </c>
      <c r="AE140" s="1">
        <f>VLOOKUP(A140,'SegEnds_NonXtal_Prot#'!A:AL,16,FALSE)-VLOOKUP(A140,'SegEnds_NonXtal_Prot#'!A:AL,10,FALSE)</f>
        <v>49</v>
      </c>
      <c r="AF140" s="1">
        <f>VLOOKUP(A140,'SegEnds_NonXtal_Prot#'!A:AL,22,FALSE)-VLOOKUP(A140,'SegEnds_NonXtal_Prot#'!A:AL,19,FALSE)</f>
        <v>20</v>
      </c>
      <c r="AG140" s="1">
        <f>VLOOKUP(A140,'SegEnds_NonXtal_Prot#'!A:AL,28,FALSE)-VLOOKUP(A140,'SegEnds_NonXtal_Prot#'!A:AL,25,FALSE)</f>
        <v>25</v>
      </c>
      <c r="AH140" s="1">
        <f>VLOOKUP(A140,'SegEnds_NonXtal_Prot#'!A:AL,28,FALSE)-VLOOKUP(A140,'SegEnds_NonXtal_Prot#'!A:AL,22,FALSE)</f>
        <v>47</v>
      </c>
      <c r="AI140" s="1">
        <f>VLOOKUP(A140,'SegEnds_NonXtal_Prot#'!A:AL,31,FALSE)-VLOOKUP(A140,'SegEnds_NonXtal_Prot#'!A:AL,28,FALSE)</f>
        <v>48</v>
      </c>
      <c r="AJ140" s="1">
        <f>VLOOKUP(A140,'SegEnds_NonXtal_Prot#'!A:AL,34,FALSE)-VLOOKUP(A140,'SegEnds_NonXtal_Prot#'!A:AL,31,FALSE)</f>
        <v>44</v>
      </c>
      <c r="AK140" s="1">
        <f>VLOOKUP(A140,'SegEnds_NonXtal_Prot#'!A:AL,37,FALSE)-VLOOKUP(A140,'SegEnds_NonXtal_Prot#'!A:AL,34,FALSE)</f>
        <v>10</v>
      </c>
      <c r="AL140" s="1" t="str">
        <f>IF(ISERROR(MATCH(A140,'SegEnds_Xtal_Prot#'!B:B, 0)), "NoXtal", "Xtal")</f>
        <v>NoXtal</v>
      </c>
    </row>
    <row r="141" spans="1:38" x14ac:dyDescent="0.2">
      <c r="A141" s="1" t="s">
        <v>262</v>
      </c>
      <c r="B141" s="1" t="str">
        <f>VLOOKUP(A141,Xtal_Templ!A:B,2,FALSE)</f>
        <v>s1pr1_human</v>
      </c>
      <c r="C141" s="5">
        <f>VLOOKUP($B141&amp;"__wt",'SegEnds_Xtal_BW#'!$A:$Z,3,FALSE)</f>
        <v>29</v>
      </c>
      <c r="D141" s="1">
        <f>VLOOKUP($B141&amp;"__wt",'SegEnds_Xtal_BW#'!$A:$Z,4,FALSE)</f>
        <v>60</v>
      </c>
      <c r="E141" s="1">
        <f>VLOOKUP($B141&amp;"__wt",'SegEnds_Xtal_BW#'!$A:$Z,5,FALSE)</f>
        <v>48</v>
      </c>
      <c r="F141" s="1">
        <f>VLOOKUP($B141&amp;"__wt",'SegEnds_Xtal_BW#'!$A:$Z,6,FALSE)</f>
        <v>51</v>
      </c>
      <c r="G141" s="1">
        <v>37</v>
      </c>
      <c r="H141" s="12">
        <v>62</v>
      </c>
      <c r="I141" s="1">
        <v>48</v>
      </c>
      <c r="J141" s="1">
        <v>52</v>
      </c>
      <c r="K141" s="12">
        <v>24</v>
      </c>
      <c r="L141" s="1">
        <f>VLOOKUP($B141&amp;"__wt",'SegEnds_Xtal_BW#'!$A:$Z,12,FALSE)</f>
        <v>56</v>
      </c>
      <c r="M141" s="1">
        <f>VLOOKUP($B141&amp;"__wt",'SegEnds_Xtal_BW#'!$A:$Z,13,FALSE)</f>
        <v>50</v>
      </c>
      <c r="N141" s="12">
        <v>57</v>
      </c>
      <c r="O141" s="87">
        <v>38</v>
      </c>
      <c r="P141" s="1">
        <f>VLOOKUP($B141&amp;"__wt",'SegEnds_Xtal_BW#'!$A:$Z,16,FALSE)</f>
        <v>63</v>
      </c>
      <c r="Q141" s="1" t="str">
        <f>VLOOKUP($B141&amp;"__wt",'SegEnds_Xtal_BW#'!$A:$Z,17,FALSE)</f>
        <v>-</v>
      </c>
      <c r="R141" s="1" t="str">
        <f>VLOOKUP($B141&amp;"__wt",'SegEnds_Xtal_BW#'!$A:$Z,18,FALSE)</f>
        <v>-</v>
      </c>
      <c r="S141" s="1">
        <f>VLOOKUP($B141&amp;"__wt",'SegEnds_Xtal_BW#'!$A:$Z,19,FALSE)</f>
        <v>36</v>
      </c>
      <c r="T141" s="1">
        <f t="array" ref="T141">INDEX(ICL3_classA!$G$2:$G$37,MATCH(MIN(ABS(AI141-ICL3_classA!$F$2:$F$37)),ABS(AI141-ICL3_classA!$F$2:$F$37),0))</f>
        <v>73</v>
      </c>
      <c r="U141" s="1">
        <f t="array" ref="U141">INDEX(ICL3_classA!$H$2:$H$37,MATCH(MIN(ABS(AI141-ICL3_classA!$F$2:$F$37)),ABS(AI141-ICL3_classA!$F$2:$F$37),0))</f>
        <v>22</v>
      </c>
      <c r="V141" s="1">
        <v>61</v>
      </c>
      <c r="W141" s="1">
        <v>34</v>
      </c>
      <c r="X141" s="1">
        <f>VLOOKUP($B141&amp;"__wt",'SegEnds_Xtal_BW#'!$A:$Z,24,FALSE)</f>
        <v>56</v>
      </c>
      <c r="Y141" s="1">
        <f>VLOOKUP($B141&amp;"__wt",'SegEnds_Xtal_BW#'!$A:$Z,25,FALSE)</f>
        <v>47</v>
      </c>
      <c r="Z141" s="1">
        <f>VLOOKUP($B141&amp;"__wt",'SegEnds_Xtal_BW#'!$A:$Z,26,FALSE)</f>
        <v>59</v>
      </c>
      <c r="AA141" s="27" t="str">
        <f>VLOOKUP(A141,Classification!A:B,2,FALSE)</f>
        <v>A</v>
      </c>
      <c r="AB141" s="1">
        <f>VLOOKUP(A141,'SegEnds_NonXtal_Prot#'!A:AL,10,FALSE)-VLOOKUP(A141,'SegEnds_NonXtal_Prot#'!A:AL,4,FALSE)</f>
        <v>28</v>
      </c>
      <c r="AC141" s="1">
        <f>VLOOKUP(A141,'SegEnds_NonXtal_Prot#'!A:AL,10,FALSE)-VLOOKUP(A141,'SegEnds_NonXtal_Prot#'!A:AL,7,FALSE)</f>
        <v>15</v>
      </c>
      <c r="AD141" s="1">
        <f>VLOOKUP(A141,'SegEnds_NonXtal_Prot#'!A:AL,13,FALSE)-VLOOKUP(A141,'SegEnds_NonXtal_Prot#'!A:AL,10,FALSE)</f>
        <v>15</v>
      </c>
      <c r="AE141" s="1">
        <f>VLOOKUP(A141,'SegEnds_NonXtal_Prot#'!A:AL,16,FALSE)-VLOOKUP(A141,'SegEnds_NonXtal_Prot#'!A:AL,10,FALSE)</f>
        <v>48</v>
      </c>
      <c r="AF141" s="1">
        <f>VLOOKUP(A141,'SegEnds_NonXtal_Prot#'!A:AL,22,FALSE)-VLOOKUP(A141,'SegEnds_NonXtal_Prot#'!A:AL,19,FALSE)</f>
        <v>20</v>
      </c>
      <c r="AG141" s="1" t="e">
        <f>VLOOKUP(A141,'SegEnds_NonXtal_Prot#'!A:AL,28,FALSE)-VLOOKUP(A141,'SegEnds_NonXtal_Prot#'!A:AL,25,FALSE)</f>
        <v>#VALUE!</v>
      </c>
      <c r="AH141" s="1">
        <f>VLOOKUP(A141,'SegEnds_NonXtal_Prot#'!A:AL,28,FALSE)-VLOOKUP(A141,'SegEnds_NonXtal_Prot#'!A:AL,22,FALSE)</f>
        <v>44</v>
      </c>
      <c r="AI141" s="1">
        <f>VLOOKUP(A141,'SegEnds_NonXtal_Prot#'!A:AL,31,FALSE)-VLOOKUP(A141,'SegEnds_NonXtal_Prot#'!A:AL,28,FALSE)</f>
        <v>57</v>
      </c>
      <c r="AJ141" s="1">
        <f>VLOOKUP(A141,'SegEnds_NonXtal_Prot#'!A:AL,34,FALSE)-VLOOKUP(A141,'SegEnds_NonXtal_Prot#'!A:AL,31,FALSE)</f>
        <v>32</v>
      </c>
      <c r="AK141" s="1">
        <f>VLOOKUP(A141,'SegEnds_NonXtal_Prot#'!A:AL,37,FALSE)-VLOOKUP(A141,'SegEnds_NonXtal_Prot#'!A:AL,34,FALSE)</f>
        <v>10</v>
      </c>
      <c r="AL141" s="1" t="str">
        <f>IF(ISERROR(MATCH(A141,'SegEnds_Xtal_Prot#'!B:B, 0)), "NoXtal", "Xtal")</f>
        <v>NoXtal</v>
      </c>
    </row>
    <row r="142" spans="1:38" x14ac:dyDescent="0.2">
      <c r="A142" s="1" t="s">
        <v>263</v>
      </c>
      <c r="B142" s="1" t="str">
        <f>VLOOKUP(A142,Xtal_Templ!A:B,2,FALSE)</f>
        <v>ox2r_human</v>
      </c>
      <c r="C142" s="5">
        <f>VLOOKUP($B142&amp;"__wt",'SegEnds_Xtal_BW#'!$A:$Z,3,FALSE)</f>
        <v>31</v>
      </c>
      <c r="D142" s="1">
        <f>VLOOKUP($B142&amp;"__wt",'SegEnds_Xtal_BW#'!$A:$Z,4,FALSE)</f>
        <v>60</v>
      </c>
      <c r="E142" s="1">
        <f>VLOOKUP($B142&amp;"__wt",'SegEnds_Xtal_BW#'!$A:$Z,5,FALSE)</f>
        <v>48</v>
      </c>
      <c r="F142" s="1">
        <f>VLOOKUP($B142&amp;"__wt",'SegEnds_Xtal_BW#'!$A:$Z,6,FALSE)</f>
        <v>51</v>
      </c>
      <c r="G142" s="1">
        <v>37</v>
      </c>
      <c r="H142" s="12">
        <f>VLOOKUP($B142&amp;"__wt",'SegEnds_Xtal_BW#'!$A:$Z,8,FALSE)</f>
        <v>68</v>
      </c>
      <c r="I142" s="1">
        <f>VLOOKUP($B142&amp;"__wt",'SegEnds_Xtal_BW#'!$A:$Z,9,FALSE)</f>
        <v>49</v>
      </c>
      <c r="J142" s="1">
        <f>VLOOKUP($B142&amp;"__wt",'SegEnds_Xtal_BW#'!$A:$Z,10,FALSE)</f>
        <v>52</v>
      </c>
      <c r="K142" s="12">
        <v>18</v>
      </c>
      <c r="L142" s="1">
        <f>VLOOKUP($B142&amp;"__wt",'SegEnds_Xtal_BW#'!$A:$Z,12,FALSE)</f>
        <v>56</v>
      </c>
      <c r="M142" s="1">
        <f>VLOOKUP($B142&amp;"__wt",'SegEnds_Xtal_BW#'!$A:$Z,13,FALSE)</f>
        <v>50</v>
      </c>
      <c r="N142" s="12">
        <v>57</v>
      </c>
      <c r="O142" s="87">
        <f>VLOOKUP($B142&amp;"__wt",'SegEnds_Xtal_BW#'!$A:$Z,15,FALSE)</f>
        <v>38</v>
      </c>
      <c r="P142" s="1">
        <f>VLOOKUP($B142&amp;"__wt",'SegEnds_Xtal_BW#'!$A:$Z,16,FALSE)</f>
        <v>64</v>
      </c>
      <c r="Q142" s="1">
        <f>VLOOKUP($B142&amp;"__wt",'SegEnds_Xtal_BW#'!$A:$Z,17,FALSE)</f>
        <v>50</v>
      </c>
      <c r="R142" s="1">
        <f>VLOOKUP($B142&amp;"__wt",'SegEnds_Xtal_BW#'!$A:$Z,18,FALSE)</f>
        <v>52</v>
      </c>
      <c r="S142" s="1">
        <v>35</v>
      </c>
      <c r="T142" s="1">
        <f t="array" ref="T142">INDEX(ICL3_classA!$G$2:$G$37,MATCH(MIN(ABS(AI142-ICL3_classA!$F$2:$F$37)),ABS(AI142-ICL3_classA!$F$2:$F$37),0))</f>
        <v>76</v>
      </c>
      <c r="U142" s="1">
        <f t="array" ref="U142">INDEX(ICL3_classA!$H$2:$H$37,MATCH(MIN(ABS(AI142-ICL3_classA!$F$2:$F$37)),ABS(AI142-ICL3_classA!$F$2:$F$37),0))</f>
        <v>24</v>
      </c>
      <c r="V142" s="1">
        <v>61</v>
      </c>
      <c r="W142" s="1">
        <v>31</v>
      </c>
      <c r="X142" s="1">
        <f>VLOOKUP($B142&amp;"__wt",'SegEnds_Xtal_BW#'!$A:$Z,24,FALSE)</f>
        <v>56</v>
      </c>
      <c r="Y142" s="1">
        <f>VLOOKUP($B142&amp;"__wt",'SegEnds_Xtal_BW#'!$A:$Z,25,FALSE)</f>
        <v>47</v>
      </c>
      <c r="Z142" s="1">
        <f>VLOOKUP($B142&amp;"__wt",'SegEnds_Xtal_BW#'!$A:$Z,26,FALSE)</f>
        <v>58</v>
      </c>
      <c r="AA142" s="27" t="str">
        <f>VLOOKUP(A142,Classification!A:B,2,FALSE)</f>
        <v>A</v>
      </c>
      <c r="AB142" s="1">
        <f>VLOOKUP(A142,'SegEnds_NonXtal_Prot#'!A:AL,10,FALSE)-VLOOKUP(A142,'SegEnds_NonXtal_Prot#'!A:AL,4,FALSE)</f>
        <v>26</v>
      </c>
      <c r="AC142" s="1" t="e">
        <f>VLOOKUP(A142,'SegEnds_NonXtal_Prot#'!A:AL,10,FALSE)-VLOOKUP(A142,'SegEnds_NonXtal_Prot#'!A:AL,7,FALSE)</f>
        <v>#VALUE!</v>
      </c>
      <c r="AD142" s="1">
        <f>VLOOKUP(A142,'SegEnds_NonXtal_Prot#'!A:AL,13,FALSE)-VLOOKUP(A142,'SegEnds_NonXtal_Prot#'!A:AL,10,FALSE)</f>
        <v>21</v>
      </c>
      <c r="AE142" s="1">
        <f>VLOOKUP(A142,'SegEnds_NonXtal_Prot#'!A:AL,16,FALSE)-VLOOKUP(A142,'SegEnds_NonXtal_Prot#'!A:AL,10,FALSE)</f>
        <v>54</v>
      </c>
      <c r="AF142" s="1">
        <f>VLOOKUP(A142,'SegEnds_NonXtal_Prot#'!A:AL,22,FALSE)-VLOOKUP(A142,'SegEnds_NonXtal_Prot#'!A:AL,19,FALSE)</f>
        <v>20</v>
      </c>
      <c r="AG142" s="1">
        <f>VLOOKUP(A142,'SegEnds_NonXtal_Prot#'!A:AL,28,FALSE)-VLOOKUP(A142,'SegEnds_NonXtal_Prot#'!A:AL,25,FALSE)</f>
        <v>25</v>
      </c>
      <c r="AH142" s="1">
        <f>VLOOKUP(A142,'SegEnds_NonXtal_Prot#'!A:AL,28,FALSE)-VLOOKUP(A142,'SegEnds_NonXtal_Prot#'!A:AL,22,FALSE)</f>
        <v>53</v>
      </c>
      <c r="AI142" s="1">
        <f>VLOOKUP(A142,'SegEnds_NonXtal_Prot#'!A:AL,31,FALSE)-VLOOKUP(A142,'SegEnds_NonXtal_Prot#'!A:AL,28,FALSE)</f>
        <v>82</v>
      </c>
      <c r="AJ142" s="1">
        <f>VLOOKUP(A142,'SegEnds_NonXtal_Prot#'!A:AL,34,FALSE)-VLOOKUP(A142,'SegEnds_NonXtal_Prot#'!A:AL,31,FALSE)</f>
        <v>36</v>
      </c>
      <c r="AK142" s="1">
        <f>VLOOKUP(A142,'SegEnds_NonXtal_Prot#'!A:AL,37,FALSE)-VLOOKUP(A142,'SegEnds_NonXtal_Prot#'!A:AL,34,FALSE)</f>
        <v>10</v>
      </c>
      <c r="AL142" s="1" t="str">
        <f>IF(ISERROR(MATCH(A142,'SegEnds_Xtal_Prot#'!B:B, 0)), "NoXtal", "Xtal")</f>
        <v>NoXtal</v>
      </c>
    </row>
    <row r="143" spans="1:38" x14ac:dyDescent="0.2">
      <c r="A143" s="1" t="s">
        <v>264</v>
      </c>
      <c r="B143" s="1" t="str">
        <f>VLOOKUP(A143,Xtal_Templ!A:B,2,FALSE)</f>
        <v>drd3_human</v>
      </c>
      <c r="C143" s="5">
        <f>VLOOKUP($B143&amp;"__wt",'SegEnds_Xtal_BW#'!$A:$Z,3,FALSE)</f>
        <v>29</v>
      </c>
      <c r="D143" s="1">
        <f>VLOOKUP($B143&amp;"__wt",'SegEnds_Xtal_BW#'!$A:$Z,4,FALSE)</f>
        <v>60</v>
      </c>
      <c r="E143" s="1">
        <f>VLOOKUP($B143&amp;"__wt",'SegEnds_Xtal_BW#'!$A:$Z,5,FALSE)</f>
        <v>48</v>
      </c>
      <c r="F143" s="1">
        <f>VLOOKUP($B143&amp;"__wt",'SegEnds_Xtal_BW#'!$A:$Z,6,FALSE)</f>
        <v>51</v>
      </c>
      <c r="G143" s="1">
        <v>37</v>
      </c>
      <c r="H143" s="12">
        <f>VLOOKUP($B143&amp;"__wt",'SegEnds_Xtal_BW#'!$A:$Z,8,FALSE)</f>
        <v>67</v>
      </c>
      <c r="I143" s="1">
        <f>VLOOKUP($B143&amp;"__wt",'SegEnds_Xtal_BW#'!$A:$Z,9,FALSE)</f>
        <v>49</v>
      </c>
      <c r="J143" s="1">
        <f>VLOOKUP($B143&amp;"__wt",'SegEnds_Xtal_BW#'!$A:$Z,10,FALSE)</f>
        <v>52</v>
      </c>
      <c r="K143" s="12">
        <v>18</v>
      </c>
      <c r="L143" s="1">
        <f>VLOOKUP($B143&amp;"__wt",'SegEnds_Xtal_BW#'!$A:$Z,12,FALSE)</f>
        <v>56</v>
      </c>
      <c r="M143" s="1">
        <f>VLOOKUP($B143&amp;"__wt",'SegEnds_Xtal_BW#'!$A:$Z,13,FALSE)</f>
        <v>50</v>
      </c>
      <c r="N143" s="12">
        <f>VLOOKUP($B143&amp;"__wt",'SegEnds_Xtal_BW#'!$A:$Z,14,FALSE)</f>
        <v>58</v>
      </c>
      <c r="O143" s="87">
        <f>VLOOKUP($B143&amp;"__wt",'SegEnds_Xtal_BW#'!$A:$Z,15,FALSE)</f>
        <v>38</v>
      </c>
      <c r="P143" s="1">
        <f>VLOOKUP($B143&amp;"__wt",'SegEnds_Xtal_BW#'!$A:$Z,16,FALSE)</f>
        <v>63</v>
      </c>
      <c r="Q143" s="1">
        <f>VLOOKUP($B143&amp;"__wt",'SegEnds_Xtal_BW#'!$A:$Z,17,FALSE)</f>
        <v>50</v>
      </c>
      <c r="R143" s="1">
        <f>VLOOKUP($B143&amp;"__wt",'SegEnds_Xtal_BW#'!$A:$Z,18,FALSE)</f>
        <v>52</v>
      </c>
      <c r="S143" s="1">
        <v>35</v>
      </c>
      <c r="T143" s="1">
        <f t="array" ref="T143">INDEX(ICL3_classA!$G$2:$G$37,MATCH(MIN(ABS(AI143-ICL3_classA!$F$2:$F$37)),ABS(AI143-ICL3_classA!$F$2:$F$37),0))</f>
        <v>76</v>
      </c>
      <c r="U143" s="1">
        <f t="array" ref="U143">INDEX(ICL3_classA!$H$2:$H$37,MATCH(MIN(ABS(AI143-ICL3_classA!$F$2:$F$37)),ABS(AI143-ICL3_classA!$F$2:$F$37),0))</f>
        <v>24</v>
      </c>
      <c r="V143" s="1">
        <v>58</v>
      </c>
      <c r="W143" s="1">
        <v>35</v>
      </c>
      <c r="X143" s="1">
        <f>VLOOKUP($B143&amp;"__wt",'SegEnds_Xtal_BW#'!$A:$Z,24,FALSE)</f>
        <v>56</v>
      </c>
      <c r="Y143" s="1">
        <f>VLOOKUP($B143&amp;"__wt",'SegEnds_Xtal_BW#'!$A:$Z,25,FALSE)</f>
        <v>47</v>
      </c>
      <c r="Z143" s="1">
        <f>VLOOKUP($B143&amp;"__wt",'SegEnds_Xtal_BW#'!$A:$Z,26,FALSE)</f>
        <v>59</v>
      </c>
      <c r="AA143" s="27" t="str">
        <f>VLOOKUP(A143,Classification!A:B,2,FALSE)</f>
        <v>A</v>
      </c>
      <c r="AB143" s="1">
        <f>VLOOKUP(A143,'SegEnds_NonXtal_Prot#'!A:AL,10,FALSE)-VLOOKUP(A143,'SegEnds_NonXtal_Prot#'!A:AL,4,FALSE)</f>
        <v>26</v>
      </c>
      <c r="AC143" s="1" t="e">
        <f>VLOOKUP(A143,'SegEnds_NonXtal_Prot#'!A:AL,10,FALSE)-VLOOKUP(A143,'SegEnds_NonXtal_Prot#'!A:AL,7,FALSE)</f>
        <v>#VALUE!</v>
      </c>
      <c r="AD143" s="1" t="e">
        <f>VLOOKUP(A143,'SegEnds_NonXtal_Prot#'!A:AL,13,FALSE)-VLOOKUP(A143,'SegEnds_NonXtal_Prot#'!A:AL,10,FALSE)</f>
        <v>#VALUE!</v>
      </c>
      <c r="AE143" s="1">
        <f>VLOOKUP(A143,'SegEnds_NonXtal_Prot#'!A:AL,16,FALSE)-VLOOKUP(A143,'SegEnds_NonXtal_Prot#'!A:AL,10,FALSE)</f>
        <v>55</v>
      </c>
      <c r="AF143" s="1" t="e">
        <f>VLOOKUP(A143,'SegEnds_NonXtal_Prot#'!A:AL,22,FALSE)-VLOOKUP(A143,'SegEnds_NonXtal_Prot#'!A:AL,19,FALSE)</f>
        <v>#VALUE!</v>
      </c>
      <c r="AG143" s="1">
        <f>VLOOKUP(A143,'SegEnds_NonXtal_Prot#'!A:AL,28,FALSE)-VLOOKUP(A143,'SegEnds_NonXtal_Prot#'!A:AL,25,FALSE)</f>
        <v>22</v>
      </c>
      <c r="AH143" s="1">
        <f>VLOOKUP(A143,'SegEnds_NonXtal_Prot#'!A:AL,28,FALSE)-VLOOKUP(A143,'SegEnds_NonXtal_Prot#'!A:AL,22,FALSE)</f>
        <v>47</v>
      </c>
      <c r="AI143" s="1">
        <f>VLOOKUP(A143,'SegEnds_NonXtal_Prot#'!A:AL,31,FALSE)-VLOOKUP(A143,'SegEnds_NonXtal_Prot#'!A:AL,28,FALSE)</f>
        <v>72</v>
      </c>
      <c r="AJ143" s="1">
        <f>VLOOKUP(A143,'SegEnds_NonXtal_Prot#'!A:AL,34,FALSE)-VLOOKUP(A143,'SegEnds_NonXtal_Prot#'!A:AL,31,FALSE)</f>
        <v>31</v>
      </c>
      <c r="AK143" s="1">
        <f>VLOOKUP(A143,'SegEnds_NonXtal_Prot#'!A:AL,37,FALSE)-VLOOKUP(A143,'SegEnds_NonXtal_Prot#'!A:AL,34,FALSE)</f>
        <v>10</v>
      </c>
      <c r="AL143" s="1" t="str">
        <f>IF(ISERROR(MATCH(A143,'SegEnds_Xtal_Prot#'!B:B, 0)), "NoXtal", "Xtal")</f>
        <v>NoXtal</v>
      </c>
    </row>
    <row r="144" spans="1:38" x14ac:dyDescent="0.2">
      <c r="A144" s="1" t="s">
        <v>265</v>
      </c>
      <c r="B144" s="1" t="str">
        <f>VLOOKUP(A144,Xtal_Templ!A:B,2,FALSE)</f>
        <v>5ht2c_human</v>
      </c>
      <c r="C144" s="5">
        <f>VLOOKUP($B144&amp;"__wt",'SegEnds_Xtal_BW#'!$A:$Z,3,FALSE)</f>
        <v>33</v>
      </c>
      <c r="D144" s="1">
        <f>VLOOKUP($B144&amp;"__wt",'SegEnds_Xtal_BW#'!$A:$Z,4,FALSE)</f>
        <v>60</v>
      </c>
      <c r="E144" s="1">
        <f>VLOOKUP($B144&amp;"__wt",'SegEnds_Xtal_BW#'!$A:$Z,5,FALSE)</f>
        <v>48</v>
      </c>
      <c r="F144" s="1">
        <f>VLOOKUP($B144&amp;"__wt",'SegEnds_Xtal_BW#'!$A:$Z,6,FALSE)</f>
        <v>51</v>
      </c>
      <c r="G144" s="1">
        <v>37</v>
      </c>
      <c r="H144" s="12">
        <f>VLOOKUP($B144&amp;"__wt",'SegEnds_Xtal_BW#'!$A:$Z,8,FALSE)</f>
        <v>68</v>
      </c>
      <c r="I144" s="1">
        <f>VLOOKUP($B144&amp;"__wt",'SegEnds_Xtal_BW#'!$A:$Z,9,FALSE)</f>
        <v>49</v>
      </c>
      <c r="J144" s="1">
        <f>VLOOKUP($B144&amp;"__wt",'SegEnds_Xtal_BW#'!$A:$Z,10,FALSE)</f>
        <v>52</v>
      </c>
      <c r="K144" s="12">
        <v>18</v>
      </c>
      <c r="L144" s="1">
        <f>VLOOKUP($B144&amp;"__wt",'SegEnds_Xtal_BW#'!$A:$Z,12,FALSE)</f>
        <v>56</v>
      </c>
      <c r="M144" s="1">
        <f>VLOOKUP($B144&amp;"__wt",'SegEnds_Xtal_BW#'!$A:$Z,13,FALSE)</f>
        <v>50</v>
      </c>
      <c r="N144" s="12">
        <f>VLOOKUP($B144&amp;"__wt",'SegEnds_Xtal_BW#'!$A:$Z,14,FALSE)</f>
        <v>57</v>
      </c>
      <c r="O144" s="87">
        <v>38</v>
      </c>
      <c r="P144" s="1">
        <f>VLOOKUP($B144&amp;"__wt",'SegEnds_Xtal_BW#'!$A:$Z,16,FALSE)</f>
        <v>67</v>
      </c>
      <c r="Q144" s="1">
        <f>VLOOKUP($B144&amp;"__wt",'SegEnds_Xtal_BW#'!$A:$Z,17,FALSE)</f>
        <v>50</v>
      </c>
      <c r="R144" s="1">
        <f>VLOOKUP($B144&amp;"__wt",'SegEnds_Xtal_BW#'!$A:$Z,18,FALSE)</f>
        <v>52</v>
      </c>
      <c r="S144" s="1">
        <v>35</v>
      </c>
      <c r="T144" s="1">
        <f t="array" ref="T144">INDEX(ICL3_classA!$G$2:$G$37,MATCH(MIN(ABS(AI144-ICL3_classA!$F$2:$F$37)),ABS(AI144-ICL3_classA!$F$2:$F$37),0))</f>
        <v>76</v>
      </c>
      <c r="U144" s="1">
        <f t="array" ref="U144">INDEX(ICL3_classA!$H$2:$H$37,MATCH(MIN(ABS(AI144-ICL3_classA!$F$2:$F$37)),ABS(AI144-ICL3_classA!$F$2:$F$37),0))</f>
        <v>24</v>
      </c>
      <c r="V144" s="1">
        <v>61</v>
      </c>
      <c r="W144" s="1">
        <v>28</v>
      </c>
      <c r="X144" s="1">
        <f>VLOOKUP($B144&amp;"__wt",'SegEnds_Xtal_BW#'!$A:$Z,24,FALSE)</f>
        <v>56</v>
      </c>
      <c r="Y144" s="1">
        <f>VLOOKUP($B144&amp;"__wt",'SegEnds_Xtal_BW#'!$A:$Z,25,FALSE)</f>
        <v>47</v>
      </c>
      <c r="Z144" s="1">
        <f>VLOOKUP($B144&amp;"__wt",'SegEnds_Xtal_BW#'!$A:$Z,26,FALSE)</f>
        <v>60</v>
      </c>
      <c r="AA144" s="27" t="str">
        <f>VLOOKUP(A144,Classification!A:B,2,FALSE)</f>
        <v>A</v>
      </c>
      <c r="AB144" s="1">
        <f>VLOOKUP(A144,'SegEnds_NonXtal_Prot#'!A:AL,10,FALSE)-VLOOKUP(A144,'SegEnds_NonXtal_Prot#'!A:AL,4,FALSE)</f>
        <v>28</v>
      </c>
      <c r="AC144" s="1">
        <f>VLOOKUP(A144,'SegEnds_NonXtal_Prot#'!A:AL,10,FALSE)-VLOOKUP(A144,'SegEnds_NonXtal_Prot#'!A:AL,7,FALSE)</f>
        <v>15</v>
      </c>
      <c r="AD144" s="1">
        <f>VLOOKUP(A144,'SegEnds_NonXtal_Prot#'!A:AL,13,FALSE)-VLOOKUP(A144,'SegEnds_NonXtal_Prot#'!A:AL,10,FALSE)</f>
        <v>20</v>
      </c>
      <c r="AE144" s="1">
        <f>VLOOKUP(A144,'SegEnds_NonXtal_Prot#'!A:AL,16,FALSE)-VLOOKUP(A144,'SegEnds_NonXtal_Prot#'!A:AL,10,FALSE)</f>
        <v>52</v>
      </c>
      <c r="AF144" s="1" t="e">
        <f>VLOOKUP(A144,'SegEnds_NonXtal_Prot#'!A:AL,22,FALSE)-VLOOKUP(A144,'SegEnds_NonXtal_Prot#'!A:AL,19,FALSE)</f>
        <v>#VALUE!</v>
      </c>
      <c r="AG144" s="1">
        <f>VLOOKUP(A144,'SegEnds_NonXtal_Prot#'!A:AL,28,FALSE)-VLOOKUP(A144,'SegEnds_NonXtal_Prot#'!A:AL,25,FALSE)</f>
        <v>25</v>
      </c>
      <c r="AH144" s="1">
        <f>VLOOKUP(A144,'SegEnds_NonXtal_Prot#'!A:AL,28,FALSE)-VLOOKUP(A144,'SegEnds_NonXtal_Prot#'!A:AL,22,FALSE)</f>
        <v>51</v>
      </c>
      <c r="AI144" s="1">
        <f>VLOOKUP(A144,'SegEnds_NonXtal_Prot#'!A:AL,31,FALSE)-VLOOKUP(A144,'SegEnds_NonXtal_Prot#'!A:AL,28,FALSE)</f>
        <v>75</v>
      </c>
      <c r="AJ144" s="1">
        <f>VLOOKUP(A144,'SegEnds_NonXtal_Prot#'!A:AL,34,FALSE)-VLOOKUP(A144,'SegEnds_NonXtal_Prot#'!A:AL,31,FALSE)</f>
        <v>39</v>
      </c>
      <c r="AK144" s="1">
        <f>VLOOKUP(A144,'SegEnds_NonXtal_Prot#'!A:AL,37,FALSE)-VLOOKUP(A144,'SegEnds_NonXtal_Prot#'!A:AL,34,FALSE)</f>
        <v>10</v>
      </c>
      <c r="AL144" s="1" t="str">
        <f>IF(ISERROR(MATCH(A144,'SegEnds_Xtal_Prot#'!B:B, 0)), "NoXtal", "Xtal")</f>
        <v>NoXtal</v>
      </c>
    </row>
    <row r="145" spans="1:38" x14ac:dyDescent="0.2">
      <c r="A145" s="1" t="s">
        <v>266</v>
      </c>
      <c r="B145" s="1" t="str">
        <f>VLOOKUP(A145,Xtal_Templ!A:B,2,FALSE)</f>
        <v>drd2_human</v>
      </c>
      <c r="C145" s="5">
        <f>VLOOKUP($B145&amp;"__wt",'SegEnds_Xtal_BW#'!$A:$Z,3,FALSE)</f>
        <v>29</v>
      </c>
      <c r="D145" s="1">
        <f>VLOOKUP($B145&amp;"__wt",'SegEnds_Xtal_BW#'!$A:$Z,4,FALSE)</f>
        <v>60</v>
      </c>
      <c r="E145" s="1">
        <f>VLOOKUP($B145&amp;"__wt",'SegEnds_Xtal_BW#'!$A:$Z,5,FALSE)</f>
        <v>48</v>
      </c>
      <c r="F145" s="1">
        <f>VLOOKUP($B145&amp;"__wt",'SegEnds_Xtal_BW#'!$A:$Z,6,FALSE)</f>
        <v>51</v>
      </c>
      <c r="G145" s="1">
        <v>37</v>
      </c>
      <c r="H145" s="12">
        <v>67</v>
      </c>
      <c r="I145" s="1">
        <f>VLOOKUP($B145&amp;"__wt",'SegEnds_Xtal_BW#'!$A:$Z,9,FALSE)</f>
        <v>49</v>
      </c>
      <c r="J145" s="1">
        <f>VLOOKUP($B145&amp;"__wt",'SegEnds_Xtal_BW#'!$A:$Z,10,FALSE)</f>
        <v>52</v>
      </c>
      <c r="K145" s="12">
        <v>18</v>
      </c>
      <c r="L145" s="1">
        <f>VLOOKUP($B145&amp;"__wt",'SegEnds_Xtal_BW#'!$A:$Z,12,FALSE)</f>
        <v>56</v>
      </c>
      <c r="M145" s="1">
        <f>VLOOKUP($B145&amp;"__wt",'SegEnds_Xtal_BW#'!$A:$Z,13,FALSE)</f>
        <v>50</v>
      </c>
      <c r="N145" s="12">
        <f>VLOOKUP($B145&amp;"__wt",'SegEnds_Xtal_BW#'!$A:$Z,14,FALSE)</f>
        <v>58</v>
      </c>
      <c r="O145" s="87">
        <f>VLOOKUP($B145&amp;"__wt",'SegEnds_Xtal_BW#'!$A:$Z,15,FALSE)</f>
        <v>38</v>
      </c>
      <c r="P145" s="1">
        <f>VLOOKUP($B145&amp;"__wt",'SegEnds_Xtal_BW#'!$A:$Z,16,FALSE)</f>
        <v>62</v>
      </c>
      <c r="Q145" s="1">
        <f>VLOOKUP($B145&amp;"__wt",'SegEnds_Xtal_BW#'!$A:$Z,17,FALSE)</f>
        <v>50</v>
      </c>
      <c r="R145" s="1">
        <f>VLOOKUP($B145&amp;"__wt",'SegEnds_Xtal_BW#'!$A:$Z,18,FALSE)</f>
        <v>52</v>
      </c>
      <c r="S145" s="1">
        <f>VLOOKUP($B145&amp;"__wt",'SegEnds_Xtal_BW#'!$A:$Z,19,FALSE)</f>
        <v>35</v>
      </c>
      <c r="T145" s="1">
        <f t="array" ref="T145">INDEX(ICL3_classA!$G$2:$G$37,MATCH(MIN(ABS(AI145-ICL3_classA!$F$2:$F$37)),ABS(AI145-ICL3_classA!$F$2:$F$37),0))</f>
        <v>76</v>
      </c>
      <c r="U145" s="1">
        <f t="array" ref="U145">INDEX(ICL3_classA!$H$2:$H$37,MATCH(MIN(ABS(AI145-ICL3_classA!$F$2:$F$37)),ABS(AI145-ICL3_classA!$F$2:$F$37),0))</f>
        <v>24</v>
      </c>
      <c r="V145" s="1">
        <v>61</v>
      </c>
      <c r="W145" s="1">
        <v>31</v>
      </c>
      <c r="X145" s="1">
        <f>VLOOKUP($B145&amp;"__wt",'SegEnds_Xtal_BW#'!$A:$Z,24,FALSE)</f>
        <v>56</v>
      </c>
      <c r="Y145" s="1">
        <f>VLOOKUP($B145&amp;"__wt",'SegEnds_Xtal_BW#'!$A:$Z,25,FALSE)</f>
        <v>47</v>
      </c>
      <c r="Z145" s="1">
        <f>VLOOKUP($B145&amp;"__wt",'SegEnds_Xtal_BW#'!$A:$Z,26,FALSE)</f>
        <v>59</v>
      </c>
      <c r="AA145" s="27" t="str">
        <f>VLOOKUP(A145,Classification!A:B,2,FALSE)</f>
        <v>A</v>
      </c>
      <c r="AB145" s="1">
        <f>VLOOKUP(A145,'SegEnds_NonXtal_Prot#'!A:AL,10,FALSE)-VLOOKUP(A145,'SegEnds_NonXtal_Prot#'!A:AL,4,FALSE)</f>
        <v>30</v>
      </c>
      <c r="AC145" s="1">
        <f>VLOOKUP(A145,'SegEnds_NonXtal_Prot#'!A:AL,10,FALSE)-VLOOKUP(A145,'SegEnds_NonXtal_Prot#'!A:AL,7,FALSE)</f>
        <v>15</v>
      </c>
      <c r="AD145" s="1" t="e">
        <f>VLOOKUP(A145,'SegEnds_NonXtal_Prot#'!A:AL,13,FALSE)-VLOOKUP(A145,'SegEnds_NonXtal_Prot#'!A:AL,10,FALSE)</f>
        <v>#VALUE!</v>
      </c>
      <c r="AE145" s="1">
        <f>VLOOKUP(A145,'SegEnds_NonXtal_Prot#'!A:AL,16,FALSE)-VLOOKUP(A145,'SegEnds_NonXtal_Prot#'!A:AL,10,FALSE)</f>
        <v>53</v>
      </c>
      <c r="AF145" s="1" t="e">
        <f>VLOOKUP(A145,'SegEnds_NonXtal_Prot#'!A:AL,22,FALSE)-VLOOKUP(A145,'SegEnds_NonXtal_Prot#'!A:AL,19,FALSE)</f>
        <v>#VALUE!</v>
      </c>
      <c r="AG145" s="1">
        <f>VLOOKUP(A145,'SegEnds_NonXtal_Prot#'!A:AL,28,FALSE)-VLOOKUP(A145,'SegEnds_NonXtal_Prot#'!A:AL,25,FALSE)</f>
        <v>25</v>
      </c>
      <c r="AH145" s="1">
        <f>VLOOKUP(A145,'SegEnds_NonXtal_Prot#'!A:AL,28,FALSE)-VLOOKUP(A145,'SegEnds_NonXtal_Prot#'!A:AL,22,FALSE)</f>
        <v>45</v>
      </c>
      <c r="AI145" s="1">
        <f>VLOOKUP(A145,'SegEnds_NonXtal_Prot#'!A:AL,31,FALSE)-VLOOKUP(A145,'SegEnds_NonXtal_Prot#'!A:AL,28,FALSE)</f>
        <v>122</v>
      </c>
      <c r="AJ145" s="1">
        <f>VLOOKUP(A145,'SegEnds_NonXtal_Prot#'!A:AL,34,FALSE)-VLOOKUP(A145,'SegEnds_NonXtal_Prot#'!A:AL,31,FALSE)</f>
        <v>37</v>
      </c>
      <c r="AK145" s="1">
        <f>VLOOKUP(A145,'SegEnds_NonXtal_Prot#'!A:AL,37,FALSE)-VLOOKUP(A145,'SegEnds_NonXtal_Prot#'!A:AL,34,FALSE)</f>
        <v>10</v>
      </c>
      <c r="AL145" s="1" t="str">
        <f>IF(ISERROR(MATCH(A145,'SegEnds_Xtal_Prot#'!B:B, 0)), "NoXtal", "Xtal")</f>
        <v>NoXtal</v>
      </c>
    </row>
    <row r="146" spans="1:38" x14ac:dyDescent="0.2">
      <c r="A146" s="1" t="s">
        <v>267</v>
      </c>
      <c r="B146" s="1" t="str">
        <f>VLOOKUP(A146,Xtal_Templ!A:B,2,FALSE)</f>
        <v>drd2_human</v>
      </c>
      <c r="C146" s="5">
        <f>VLOOKUP($B146&amp;"__wt",'SegEnds_Xtal_BW#'!$A:$Z,3,FALSE)</f>
        <v>29</v>
      </c>
      <c r="D146" s="1">
        <f>VLOOKUP($B146&amp;"__wt",'SegEnds_Xtal_BW#'!$A:$Z,4,FALSE)</f>
        <v>60</v>
      </c>
      <c r="E146" s="1">
        <f>VLOOKUP($B146&amp;"__wt",'SegEnds_Xtal_BW#'!$A:$Z,5,FALSE)</f>
        <v>48</v>
      </c>
      <c r="F146" s="1">
        <f>VLOOKUP($B146&amp;"__wt",'SegEnds_Xtal_BW#'!$A:$Z,6,FALSE)</f>
        <v>51</v>
      </c>
      <c r="G146" s="1">
        <v>37</v>
      </c>
      <c r="H146" s="12">
        <f>VLOOKUP($B146&amp;"__wt",'SegEnds_Xtal_BW#'!$A:$Z,8,FALSE)</f>
        <v>68</v>
      </c>
      <c r="I146" s="1">
        <f>VLOOKUP($B146&amp;"__wt",'SegEnds_Xtal_BW#'!$A:$Z,9,FALSE)</f>
        <v>49</v>
      </c>
      <c r="J146" s="1">
        <f>VLOOKUP($B146&amp;"__wt",'SegEnds_Xtal_BW#'!$A:$Z,10,FALSE)</f>
        <v>52</v>
      </c>
      <c r="K146" s="12">
        <v>21</v>
      </c>
      <c r="L146" s="1">
        <f>VLOOKUP($B146&amp;"__wt",'SegEnds_Xtal_BW#'!$A:$Z,12,FALSE)</f>
        <v>56</v>
      </c>
      <c r="M146" s="1">
        <f>VLOOKUP($B146&amp;"__wt",'SegEnds_Xtal_BW#'!$A:$Z,13,FALSE)</f>
        <v>50</v>
      </c>
      <c r="N146" s="12">
        <v>57</v>
      </c>
      <c r="O146" s="87">
        <v>38</v>
      </c>
      <c r="P146" s="1">
        <f>VLOOKUP($B146&amp;"__wt",'SegEnds_Xtal_BW#'!$A:$Z,16,FALSE)</f>
        <v>62</v>
      </c>
      <c r="Q146" s="1">
        <f>VLOOKUP($B146&amp;"__wt",'SegEnds_Xtal_BW#'!$A:$Z,17,FALSE)</f>
        <v>50</v>
      </c>
      <c r="R146" s="1">
        <f>VLOOKUP($B146&amp;"__wt",'SegEnds_Xtal_BW#'!$A:$Z,18,FALSE)</f>
        <v>52</v>
      </c>
      <c r="S146" s="1">
        <f>VLOOKUP($B146&amp;"__wt",'SegEnds_Xtal_BW#'!$A:$Z,19,FALSE)</f>
        <v>35</v>
      </c>
      <c r="T146" s="1">
        <f t="array" ref="T146">INDEX(ICL3_classA!$G$2:$G$37,MATCH(MIN(ABS(AI146-ICL3_classA!$F$2:$F$37)),ABS(AI146-ICL3_classA!$F$2:$F$37),0))</f>
        <v>76</v>
      </c>
      <c r="U146" s="1">
        <f t="array" ref="U146">INDEX(ICL3_classA!$H$2:$H$37,MATCH(MIN(ABS(AI146-ICL3_classA!$F$2:$F$37)),ABS(AI146-ICL3_classA!$F$2:$F$37),0))</f>
        <v>24</v>
      </c>
      <c r="V146" s="1">
        <v>61</v>
      </c>
      <c r="W146" s="1">
        <v>31</v>
      </c>
      <c r="X146" s="1">
        <f>VLOOKUP($B146&amp;"__wt",'SegEnds_Xtal_BW#'!$A:$Z,24,FALSE)</f>
        <v>56</v>
      </c>
      <c r="Y146" s="1">
        <f>VLOOKUP($B146&amp;"__wt",'SegEnds_Xtal_BW#'!$A:$Z,25,FALSE)</f>
        <v>47</v>
      </c>
      <c r="Z146" s="1">
        <f>VLOOKUP($B146&amp;"__wt",'SegEnds_Xtal_BW#'!$A:$Z,26,FALSE)</f>
        <v>59</v>
      </c>
      <c r="AA146" s="27" t="str">
        <f>VLOOKUP(A146,Classification!A:B,2,FALSE)</f>
        <v>A</v>
      </c>
      <c r="AB146" s="1">
        <f>VLOOKUP(A146,'SegEnds_NonXtal_Prot#'!A:AL,10,FALSE)-VLOOKUP(A146,'SegEnds_NonXtal_Prot#'!A:AL,4,FALSE)</f>
        <v>29</v>
      </c>
      <c r="AC146" s="1">
        <f>VLOOKUP(A146,'SegEnds_NonXtal_Prot#'!A:AL,10,FALSE)-VLOOKUP(A146,'SegEnds_NonXtal_Prot#'!A:AL,7,FALSE)</f>
        <v>16</v>
      </c>
      <c r="AD146" s="1" t="e">
        <f>VLOOKUP(A146,'SegEnds_NonXtal_Prot#'!A:AL,13,FALSE)-VLOOKUP(A146,'SegEnds_NonXtal_Prot#'!A:AL,10,FALSE)</f>
        <v>#VALUE!</v>
      </c>
      <c r="AE146" s="1">
        <f>VLOOKUP(A146,'SegEnds_NonXtal_Prot#'!A:AL,16,FALSE)-VLOOKUP(A146,'SegEnds_NonXtal_Prot#'!A:AL,10,FALSE)</f>
        <v>52</v>
      </c>
      <c r="AF146" s="1">
        <f>VLOOKUP(A146,'SegEnds_NonXtal_Prot#'!A:AL,22,FALSE)-VLOOKUP(A146,'SegEnds_NonXtal_Prot#'!A:AL,19,FALSE)</f>
        <v>20</v>
      </c>
      <c r="AG146" s="1">
        <f>VLOOKUP(A146,'SegEnds_NonXtal_Prot#'!A:AL,28,FALSE)-VLOOKUP(A146,'SegEnds_NonXtal_Prot#'!A:AL,25,FALSE)</f>
        <v>28</v>
      </c>
      <c r="AH146" s="1">
        <f>VLOOKUP(A146,'SegEnds_NonXtal_Prot#'!A:AL,28,FALSE)-VLOOKUP(A146,'SegEnds_NonXtal_Prot#'!A:AL,22,FALSE)</f>
        <v>53</v>
      </c>
      <c r="AI146" s="1">
        <f>VLOOKUP(A146,'SegEnds_NonXtal_Prot#'!A:AL,31,FALSE)-VLOOKUP(A146,'SegEnds_NonXtal_Prot#'!A:AL,28,FALSE)</f>
        <v>72</v>
      </c>
      <c r="AJ146" s="1">
        <f>VLOOKUP(A146,'SegEnds_NonXtal_Prot#'!A:AL,34,FALSE)-VLOOKUP(A146,'SegEnds_NonXtal_Prot#'!A:AL,31,FALSE)</f>
        <v>35</v>
      </c>
      <c r="AK146" s="1">
        <f>VLOOKUP(A146,'SegEnds_NonXtal_Prot#'!A:AL,37,FALSE)-VLOOKUP(A146,'SegEnds_NonXtal_Prot#'!A:AL,34,FALSE)</f>
        <v>10</v>
      </c>
      <c r="AL146" s="1" t="str">
        <f>IF(ISERROR(MATCH(A146,'SegEnds_Xtal_Prot#'!B:B, 0)), "NoXtal", "Xtal")</f>
        <v>NoXtal</v>
      </c>
    </row>
    <row r="147" spans="1:38" x14ac:dyDescent="0.2">
      <c r="A147" s="1" t="s">
        <v>268</v>
      </c>
      <c r="B147" s="1" t="str">
        <f>VLOOKUP(A147,Xtal_Templ!A:B,2,FALSE)</f>
        <v>oprm_mouse</v>
      </c>
      <c r="C147" s="5">
        <f>VLOOKUP($B147&amp;"__wt",'SegEnds_Xtal_BW#'!$A:$Z,3,FALSE)</f>
        <v>29</v>
      </c>
      <c r="D147" s="1">
        <f>VLOOKUP($B147&amp;"__wt",'SegEnds_Xtal_BW#'!$A:$Z,4,FALSE)</f>
        <v>60</v>
      </c>
      <c r="E147" s="1">
        <f>VLOOKUP($B147&amp;"__wt",'SegEnds_Xtal_BW#'!$A:$Z,5,FALSE)</f>
        <v>48</v>
      </c>
      <c r="F147" s="1">
        <f>VLOOKUP($B147&amp;"__wt",'SegEnds_Xtal_BW#'!$A:$Z,6,FALSE)</f>
        <v>51</v>
      </c>
      <c r="G147" s="1">
        <v>37</v>
      </c>
      <c r="H147" s="12">
        <v>67</v>
      </c>
      <c r="I147" s="1">
        <f>VLOOKUP($B147&amp;"__wt",'SegEnds_Xtal_BW#'!$A:$Z,9,FALSE)</f>
        <v>49</v>
      </c>
      <c r="J147" s="1">
        <f>VLOOKUP($B147&amp;"__wt",'SegEnds_Xtal_BW#'!$A:$Z,10,FALSE)</f>
        <v>52</v>
      </c>
      <c r="K147" s="12">
        <v>18</v>
      </c>
      <c r="L147" s="1">
        <f>VLOOKUP($B147&amp;"__wt",'SegEnds_Xtal_BW#'!$A:$Z,12,FALSE)</f>
        <v>56</v>
      </c>
      <c r="M147" s="1">
        <f>VLOOKUP($B147&amp;"__wt",'SegEnds_Xtal_BW#'!$A:$Z,13,FALSE)</f>
        <v>50</v>
      </c>
      <c r="N147" s="12">
        <v>57</v>
      </c>
      <c r="O147" s="87">
        <f>VLOOKUP($B147&amp;"__wt",'SegEnds_Xtal_BW#'!$A:$Z,15,FALSE)</f>
        <v>38</v>
      </c>
      <c r="P147" s="1">
        <f>VLOOKUP($B147&amp;"__wt",'SegEnds_Xtal_BW#'!$A:$Z,16,FALSE)</f>
        <v>64</v>
      </c>
      <c r="Q147" s="1">
        <f>VLOOKUP($B147&amp;"__wt",'SegEnds_Xtal_BW#'!$A:$Z,17,FALSE)</f>
        <v>50</v>
      </c>
      <c r="R147" s="1">
        <f>VLOOKUP($B147&amp;"__wt",'SegEnds_Xtal_BW#'!$A:$Z,18,FALSE)</f>
        <v>52</v>
      </c>
      <c r="S147" s="1">
        <f>VLOOKUP($B147&amp;"__wt",'SegEnds_Xtal_BW#'!$A:$Z,19,FALSE)</f>
        <v>31</v>
      </c>
      <c r="T147" s="1">
        <f t="array" ref="T147">INDEX(ICL3_classA!$G$2:$G$37,MATCH(MIN(ABS(AI147-ICL3_classA!$F$2:$F$37)),ABS(AI147-ICL3_classA!$F$2:$F$37),0))</f>
        <v>68</v>
      </c>
      <c r="U147" s="1">
        <f t="array" ref="U147">INDEX(ICL3_classA!$H$2:$H$37,MATCH(MIN(ABS(AI147-ICL3_classA!$F$2:$F$37)),ABS(AI147-ICL3_classA!$F$2:$F$37),0))</f>
        <v>23</v>
      </c>
      <c r="V147" s="1">
        <v>61</v>
      </c>
      <c r="W147" s="1">
        <v>28</v>
      </c>
      <c r="X147" s="1">
        <f>VLOOKUP($B147&amp;"__wt",'SegEnds_Xtal_BW#'!$A:$Z,24,FALSE)</f>
        <v>56</v>
      </c>
      <c r="Y147" s="1">
        <f>VLOOKUP($B147&amp;"__wt",'SegEnds_Xtal_BW#'!$A:$Z,25,FALSE)</f>
        <v>47</v>
      </c>
      <c r="Z147" s="1">
        <f>VLOOKUP($B147&amp;"__wt",'SegEnds_Xtal_BW#'!$A:$Z,26,FALSE)</f>
        <v>59</v>
      </c>
      <c r="AA147" s="27" t="str">
        <f>VLOOKUP(A147,Classification!A:B,2,FALSE)</f>
        <v>A</v>
      </c>
      <c r="AB147" s="1">
        <f>VLOOKUP(A147,'SegEnds_NonXtal_Prot#'!A:AL,10,FALSE)-VLOOKUP(A147,'SegEnds_NonXtal_Prot#'!A:AL,4,FALSE)</f>
        <v>28</v>
      </c>
      <c r="AC147" s="1" t="e">
        <f>VLOOKUP(A147,'SegEnds_NonXtal_Prot#'!A:AL,10,FALSE)-VLOOKUP(A147,'SegEnds_NonXtal_Prot#'!A:AL,7,FALSE)</f>
        <v>#VALUE!</v>
      </c>
      <c r="AD147" s="1">
        <f>VLOOKUP(A147,'SegEnds_NonXtal_Prot#'!A:AL,13,FALSE)-VLOOKUP(A147,'SegEnds_NonXtal_Prot#'!A:AL,10,FALSE)</f>
        <v>20</v>
      </c>
      <c r="AE147" s="1">
        <f>VLOOKUP(A147,'SegEnds_NonXtal_Prot#'!A:AL,16,FALSE)-VLOOKUP(A147,'SegEnds_NonXtal_Prot#'!A:AL,10,FALSE)</f>
        <v>56</v>
      </c>
      <c r="AF147" s="1">
        <f>VLOOKUP(A147,'SegEnds_NonXtal_Prot#'!A:AL,22,FALSE)-VLOOKUP(A147,'SegEnds_NonXtal_Prot#'!A:AL,19,FALSE)</f>
        <v>20</v>
      </c>
      <c r="AG147" s="1" t="e">
        <f>VLOOKUP(A147,'SegEnds_NonXtal_Prot#'!A:AL,28,FALSE)-VLOOKUP(A147,'SegEnds_NonXtal_Prot#'!A:AL,25,FALSE)</f>
        <v>#VALUE!</v>
      </c>
      <c r="AH147" s="1">
        <f>VLOOKUP(A147,'SegEnds_NonXtal_Prot#'!A:AL,28,FALSE)-VLOOKUP(A147,'SegEnds_NonXtal_Prot#'!A:AL,22,FALSE)</f>
        <v>53</v>
      </c>
      <c r="AI147" s="1">
        <f>VLOOKUP(A147,'SegEnds_NonXtal_Prot#'!A:AL,31,FALSE)-VLOOKUP(A147,'SegEnds_NonXtal_Prot#'!A:AL,28,FALSE)</f>
        <v>51</v>
      </c>
      <c r="AJ147" s="1">
        <f>VLOOKUP(A147,'SegEnds_NonXtal_Prot#'!A:AL,34,FALSE)-VLOOKUP(A147,'SegEnds_NonXtal_Prot#'!A:AL,31,FALSE)</f>
        <v>42</v>
      </c>
      <c r="AK147" s="1">
        <f>VLOOKUP(A147,'SegEnds_NonXtal_Prot#'!A:AL,37,FALSE)-VLOOKUP(A147,'SegEnds_NonXtal_Prot#'!A:AL,34,FALSE)</f>
        <v>10</v>
      </c>
      <c r="AL147" s="1" t="str">
        <f>IF(ISERROR(MATCH(A147,'SegEnds_Xtal_Prot#'!B:B, 0)), "NoXtal", "Xtal")</f>
        <v>NoXtal</v>
      </c>
    </row>
    <row r="148" spans="1:38" x14ac:dyDescent="0.2">
      <c r="A148" s="1" t="s">
        <v>269</v>
      </c>
      <c r="B148" s="1" t="str">
        <f>VLOOKUP(A148,Xtal_Templ!A:B,2,FALSE)</f>
        <v>ox2r_human</v>
      </c>
      <c r="C148" s="5">
        <f>VLOOKUP($B148&amp;"__wt",'SegEnds_Xtal_BW#'!$A:$Z,3,FALSE)</f>
        <v>31</v>
      </c>
      <c r="D148" s="1">
        <f>VLOOKUP($B148&amp;"__wt",'SegEnds_Xtal_BW#'!$A:$Z,4,FALSE)</f>
        <v>60</v>
      </c>
      <c r="E148" s="1">
        <f>VLOOKUP($B148&amp;"__wt",'SegEnds_Xtal_BW#'!$A:$Z,5,FALSE)</f>
        <v>48</v>
      </c>
      <c r="F148" s="1">
        <f>VLOOKUP($B148&amp;"__wt",'SegEnds_Xtal_BW#'!$A:$Z,6,FALSE)</f>
        <v>51</v>
      </c>
      <c r="G148" s="1">
        <v>37</v>
      </c>
      <c r="H148" s="12">
        <f>VLOOKUP($B148&amp;"__wt",'SegEnds_Xtal_BW#'!$A:$Z,8,FALSE)</f>
        <v>68</v>
      </c>
      <c r="I148" s="1">
        <f>VLOOKUP($B148&amp;"__wt",'SegEnds_Xtal_BW#'!$A:$Z,9,FALSE)</f>
        <v>49</v>
      </c>
      <c r="J148" s="1">
        <f>VLOOKUP($B148&amp;"__wt",'SegEnds_Xtal_BW#'!$A:$Z,10,FALSE)</f>
        <v>52</v>
      </c>
      <c r="K148" s="12">
        <v>18</v>
      </c>
      <c r="L148" s="1">
        <f>VLOOKUP($B148&amp;"__wt",'SegEnds_Xtal_BW#'!$A:$Z,12,FALSE)</f>
        <v>56</v>
      </c>
      <c r="M148" s="1">
        <f>VLOOKUP($B148&amp;"__wt",'SegEnds_Xtal_BW#'!$A:$Z,13,FALSE)</f>
        <v>50</v>
      </c>
      <c r="N148" s="12">
        <v>56</v>
      </c>
      <c r="O148" s="87">
        <f>VLOOKUP($B148&amp;"__wt",'SegEnds_Xtal_BW#'!$A:$Z,15,FALSE)</f>
        <v>38</v>
      </c>
      <c r="P148" s="1">
        <f>VLOOKUP($B148&amp;"__wt",'SegEnds_Xtal_BW#'!$A:$Z,16,FALSE)</f>
        <v>64</v>
      </c>
      <c r="Q148" s="1">
        <f>VLOOKUP($B148&amp;"__wt",'SegEnds_Xtal_BW#'!$A:$Z,17,FALSE)</f>
        <v>50</v>
      </c>
      <c r="R148" s="1">
        <f>VLOOKUP($B148&amp;"__wt",'SegEnds_Xtal_BW#'!$A:$Z,18,FALSE)</f>
        <v>52</v>
      </c>
      <c r="S148" s="1">
        <f>VLOOKUP($B148&amp;"__wt",'SegEnds_Xtal_BW#'!$A:$Z,19,FALSE)</f>
        <v>33</v>
      </c>
      <c r="T148" s="1">
        <f t="array" ref="T148">INDEX(ICL3_classA!$G$2:$G$37,MATCH(MIN(ABS(AI148-ICL3_classA!$F$2:$F$37)),ABS(AI148-ICL3_classA!$F$2:$F$37),0))</f>
        <v>73</v>
      </c>
      <c r="U148" s="1">
        <f t="array" ref="U148">INDEX(ICL3_classA!$H$2:$H$37,MATCH(MIN(ABS(AI148-ICL3_classA!$F$2:$F$37)),ABS(AI148-ICL3_classA!$F$2:$F$37),0))</f>
        <v>22</v>
      </c>
      <c r="V148" s="1">
        <v>61</v>
      </c>
      <c r="W148" s="1">
        <v>31</v>
      </c>
      <c r="X148" s="1">
        <f>VLOOKUP($B148&amp;"__wt",'SegEnds_Xtal_BW#'!$A:$Z,24,FALSE)</f>
        <v>56</v>
      </c>
      <c r="Y148" s="1">
        <f>VLOOKUP($B148&amp;"__wt",'SegEnds_Xtal_BW#'!$A:$Z,25,FALSE)</f>
        <v>47</v>
      </c>
      <c r="Z148" s="1">
        <f>VLOOKUP($B148&amp;"__wt",'SegEnds_Xtal_BW#'!$A:$Z,26,FALSE)</f>
        <v>58</v>
      </c>
      <c r="AA148" s="27" t="str">
        <f>VLOOKUP(A148,Classification!A:B,2,FALSE)</f>
        <v>A</v>
      </c>
      <c r="AB148" s="1">
        <f>VLOOKUP(A148,'SegEnds_NonXtal_Prot#'!A:AL,10,FALSE)-VLOOKUP(A148,'SegEnds_NonXtal_Prot#'!A:AL,4,FALSE)</f>
        <v>28</v>
      </c>
      <c r="AC148" s="1">
        <f>VLOOKUP(A148,'SegEnds_NonXtal_Prot#'!A:AL,10,FALSE)-VLOOKUP(A148,'SegEnds_NonXtal_Prot#'!A:AL,7,FALSE)</f>
        <v>15</v>
      </c>
      <c r="AD148" s="1">
        <f>VLOOKUP(A148,'SegEnds_NonXtal_Prot#'!A:AL,13,FALSE)-VLOOKUP(A148,'SegEnds_NonXtal_Prot#'!A:AL,10,FALSE)</f>
        <v>20</v>
      </c>
      <c r="AE148" s="1">
        <f>VLOOKUP(A148,'SegEnds_NonXtal_Prot#'!A:AL,16,FALSE)-VLOOKUP(A148,'SegEnds_NonXtal_Prot#'!A:AL,10,FALSE)</f>
        <v>52</v>
      </c>
      <c r="AF148" s="1" t="e">
        <f>VLOOKUP(A148,'SegEnds_NonXtal_Prot#'!A:AL,22,FALSE)-VLOOKUP(A148,'SegEnds_NonXtal_Prot#'!A:AL,19,FALSE)</f>
        <v>#VALUE!</v>
      </c>
      <c r="AG148" s="1">
        <f>VLOOKUP(A148,'SegEnds_NonXtal_Prot#'!A:AL,28,FALSE)-VLOOKUP(A148,'SegEnds_NonXtal_Prot#'!A:AL,25,FALSE)</f>
        <v>27</v>
      </c>
      <c r="AH148" s="1">
        <f>VLOOKUP(A148,'SegEnds_NonXtal_Prot#'!A:AL,28,FALSE)-VLOOKUP(A148,'SegEnds_NonXtal_Prot#'!A:AL,22,FALSE)</f>
        <v>57</v>
      </c>
      <c r="AI148" s="1">
        <f>VLOOKUP(A148,'SegEnds_NonXtal_Prot#'!A:AL,31,FALSE)-VLOOKUP(A148,'SegEnds_NonXtal_Prot#'!A:AL,28,FALSE)</f>
        <v>56</v>
      </c>
      <c r="AJ148" s="1">
        <f>VLOOKUP(A148,'SegEnds_NonXtal_Prot#'!A:AL,34,FALSE)-VLOOKUP(A148,'SegEnds_NonXtal_Prot#'!A:AL,31,FALSE)</f>
        <v>35</v>
      </c>
      <c r="AK148" s="1">
        <f>VLOOKUP(A148,'SegEnds_NonXtal_Prot#'!A:AL,37,FALSE)-VLOOKUP(A148,'SegEnds_NonXtal_Prot#'!A:AL,34,FALSE)</f>
        <v>10</v>
      </c>
      <c r="AL148" s="1" t="str">
        <f>IF(ISERROR(MATCH(A148,'SegEnds_Xtal_Prot#'!B:B, 0)), "NoXtal", "Xtal")</f>
        <v>NoXtal</v>
      </c>
    </row>
    <row r="149" spans="1:38" x14ac:dyDescent="0.2">
      <c r="A149" s="1" t="s">
        <v>270</v>
      </c>
      <c r="B149" s="1" t="str">
        <f>VLOOKUP(A149,Xtal_Templ!A:B,2,FALSE)</f>
        <v>5ht2c_human</v>
      </c>
      <c r="C149" s="5">
        <f>VLOOKUP($B149&amp;"__wt",'SegEnds_Xtal_BW#'!$A:$Z,3,FALSE)</f>
        <v>33</v>
      </c>
      <c r="D149" s="1">
        <f>VLOOKUP($B149&amp;"__wt",'SegEnds_Xtal_BW#'!$A:$Z,4,FALSE)</f>
        <v>60</v>
      </c>
      <c r="E149" s="1">
        <f>VLOOKUP($B149&amp;"__wt",'SegEnds_Xtal_BW#'!$A:$Z,5,FALSE)</f>
        <v>48</v>
      </c>
      <c r="F149" s="1">
        <f>VLOOKUP($B149&amp;"__wt",'SegEnds_Xtal_BW#'!$A:$Z,6,FALSE)</f>
        <v>51</v>
      </c>
      <c r="G149" s="1">
        <v>37</v>
      </c>
      <c r="H149" s="12">
        <f>VLOOKUP($B149&amp;"__wt",'SegEnds_Xtal_BW#'!$A:$Z,8,FALSE)</f>
        <v>68</v>
      </c>
      <c r="I149" s="1">
        <f>VLOOKUP($B149&amp;"__wt",'SegEnds_Xtal_BW#'!$A:$Z,9,FALSE)</f>
        <v>49</v>
      </c>
      <c r="J149" s="1">
        <f>VLOOKUP($B149&amp;"__wt",'SegEnds_Xtal_BW#'!$A:$Z,10,FALSE)</f>
        <v>52</v>
      </c>
      <c r="K149" s="12">
        <v>21</v>
      </c>
      <c r="L149" s="1">
        <f>VLOOKUP($B149&amp;"__wt",'SegEnds_Xtal_BW#'!$A:$Z,12,FALSE)</f>
        <v>56</v>
      </c>
      <c r="M149" s="1">
        <f>VLOOKUP($B149&amp;"__wt",'SegEnds_Xtal_BW#'!$A:$Z,13,FALSE)</f>
        <v>50</v>
      </c>
      <c r="N149" s="12">
        <v>57</v>
      </c>
      <c r="O149" s="87">
        <v>38</v>
      </c>
      <c r="P149" s="1">
        <f>VLOOKUP($B149&amp;"__wt",'SegEnds_Xtal_BW#'!$A:$Z,16,FALSE)</f>
        <v>67</v>
      </c>
      <c r="Q149" s="1">
        <f>VLOOKUP($B149&amp;"__wt",'SegEnds_Xtal_BW#'!$A:$Z,17,FALSE)</f>
        <v>50</v>
      </c>
      <c r="R149" s="1">
        <f>VLOOKUP($B149&amp;"__wt",'SegEnds_Xtal_BW#'!$A:$Z,18,FALSE)</f>
        <v>52</v>
      </c>
      <c r="S149" s="1">
        <f>VLOOKUP($B149&amp;"__wt",'SegEnds_Xtal_BW#'!$A:$Z,19,FALSE)</f>
        <v>35</v>
      </c>
      <c r="T149" s="1">
        <f t="array" ref="T149">INDEX(ICL3_classA!$G$2:$G$37,MATCH(MIN(ABS(AI149-ICL3_classA!$F$2:$F$37)),ABS(AI149-ICL3_classA!$F$2:$F$37),0))</f>
        <v>74</v>
      </c>
      <c r="U149" s="1">
        <f t="array" ref="U149">INDEX(ICL3_classA!$H$2:$H$37,MATCH(MIN(ABS(AI149-ICL3_classA!$F$2:$F$37)),ABS(AI149-ICL3_classA!$F$2:$F$37),0))</f>
        <v>24</v>
      </c>
      <c r="V149" s="1">
        <v>61</v>
      </c>
      <c r="W149" s="1">
        <v>33</v>
      </c>
      <c r="X149" s="1">
        <f>VLOOKUP($B149&amp;"__wt",'SegEnds_Xtal_BW#'!$A:$Z,24,FALSE)</f>
        <v>56</v>
      </c>
      <c r="Y149" s="1">
        <f>VLOOKUP($B149&amp;"__wt",'SegEnds_Xtal_BW#'!$A:$Z,25,FALSE)</f>
        <v>47</v>
      </c>
      <c r="Z149" s="1">
        <f>VLOOKUP($B149&amp;"__wt",'SegEnds_Xtal_BW#'!$A:$Z,26,FALSE)</f>
        <v>60</v>
      </c>
      <c r="AA149" s="27" t="str">
        <f>VLOOKUP(A149,Classification!A:B,2,FALSE)</f>
        <v>A</v>
      </c>
      <c r="AB149" s="1">
        <f>VLOOKUP(A149,'SegEnds_NonXtal_Prot#'!A:AL,10,FALSE)-VLOOKUP(A149,'SegEnds_NonXtal_Prot#'!A:AL,4,FALSE)</f>
        <v>28</v>
      </c>
      <c r="AC149" s="1">
        <f>VLOOKUP(A149,'SegEnds_NonXtal_Prot#'!A:AL,10,FALSE)-VLOOKUP(A149,'SegEnds_NonXtal_Prot#'!A:AL,7,FALSE)</f>
        <v>15</v>
      </c>
      <c r="AD149" s="1" t="e">
        <f>VLOOKUP(A149,'SegEnds_NonXtal_Prot#'!A:AL,13,FALSE)-VLOOKUP(A149,'SegEnds_NonXtal_Prot#'!A:AL,10,FALSE)</f>
        <v>#VALUE!</v>
      </c>
      <c r="AE149" s="1">
        <f>VLOOKUP(A149,'SegEnds_NonXtal_Prot#'!A:AL,16,FALSE)-VLOOKUP(A149,'SegEnds_NonXtal_Prot#'!A:AL,10,FALSE)</f>
        <v>52</v>
      </c>
      <c r="AF149" s="1">
        <f>VLOOKUP(A149,'SegEnds_NonXtal_Prot#'!A:AL,22,FALSE)-VLOOKUP(A149,'SegEnds_NonXtal_Prot#'!A:AL,19,FALSE)</f>
        <v>20</v>
      </c>
      <c r="AG149" s="1">
        <f>VLOOKUP(A149,'SegEnds_NonXtal_Prot#'!A:AL,28,FALSE)-VLOOKUP(A149,'SegEnds_NonXtal_Prot#'!A:AL,25,FALSE)</f>
        <v>67</v>
      </c>
      <c r="AH149" s="1">
        <f>VLOOKUP(A149,'SegEnds_NonXtal_Prot#'!A:AL,28,FALSE)-VLOOKUP(A149,'SegEnds_NonXtal_Prot#'!A:AL,22,FALSE)</f>
        <v>90</v>
      </c>
      <c r="AI149" s="1">
        <f>VLOOKUP(A149,'SegEnds_NonXtal_Prot#'!A:AL,31,FALSE)-VLOOKUP(A149,'SegEnds_NonXtal_Prot#'!A:AL,28,FALSE)</f>
        <v>99</v>
      </c>
      <c r="AJ149" s="1">
        <f>VLOOKUP(A149,'SegEnds_NonXtal_Prot#'!A:AL,34,FALSE)-VLOOKUP(A149,'SegEnds_NonXtal_Prot#'!A:AL,31,FALSE)</f>
        <v>33</v>
      </c>
      <c r="AK149" s="1">
        <f>VLOOKUP(A149,'SegEnds_NonXtal_Prot#'!A:AL,37,FALSE)-VLOOKUP(A149,'SegEnds_NonXtal_Prot#'!A:AL,34,FALSE)</f>
        <v>10</v>
      </c>
      <c r="AL149" s="1" t="str">
        <f>IF(ISERROR(MATCH(A149,'SegEnds_Xtal_Prot#'!B:B, 0)), "NoXtal", "Xtal")</f>
        <v>NoXtal</v>
      </c>
    </row>
    <row r="150" spans="1:38" x14ac:dyDescent="0.2">
      <c r="A150" s="1" t="s">
        <v>271</v>
      </c>
      <c r="B150" s="1" t="str">
        <f>VLOOKUP(A150,Xtal_Templ!A:B,2,FALSE)</f>
        <v>5ht2c_human</v>
      </c>
      <c r="C150" s="5">
        <f>VLOOKUP($B150&amp;"__wt",'SegEnds_Xtal_BW#'!$A:$Z,3,FALSE)</f>
        <v>33</v>
      </c>
      <c r="D150" s="1">
        <f>VLOOKUP($B150&amp;"__wt",'SegEnds_Xtal_BW#'!$A:$Z,4,FALSE)</f>
        <v>60</v>
      </c>
      <c r="E150" s="1">
        <f>VLOOKUP($B150&amp;"__wt",'SegEnds_Xtal_BW#'!$A:$Z,5,FALSE)</f>
        <v>48</v>
      </c>
      <c r="F150" s="1">
        <f>VLOOKUP($B150&amp;"__wt",'SegEnds_Xtal_BW#'!$A:$Z,6,FALSE)</f>
        <v>51</v>
      </c>
      <c r="G150" s="1">
        <v>37</v>
      </c>
      <c r="H150" s="12">
        <f>VLOOKUP($B150&amp;"__wt",'SegEnds_Xtal_BW#'!$A:$Z,8,FALSE)</f>
        <v>68</v>
      </c>
      <c r="I150" s="1">
        <f>VLOOKUP($B150&amp;"__wt",'SegEnds_Xtal_BW#'!$A:$Z,9,FALSE)</f>
        <v>49</v>
      </c>
      <c r="J150" s="1">
        <f>VLOOKUP($B150&amp;"__wt",'SegEnds_Xtal_BW#'!$A:$Z,10,FALSE)</f>
        <v>52</v>
      </c>
      <c r="K150" s="12">
        <v>18</v>
      </c>
      <c r="L150" s="1">
        <f>VLOOKUP($B150&amp;"__wt",'SegEnds_Xtal_BW#'!$A:$Z,12,FALSE)</f>
        <v>56</v>
      </c>
      <c r="M150" s="1">
        <f>VLOOKUP($B150&amp;"__wt",'SegEnds_Xtal_BW#'!$A:$Z,13,FALSE)</f>
        <v>50</v>
      </c>
      <c r="N150" s="12">
        <v>57</v>
      </c>
      <c r="O150" s="87">
        <f>VLOOKUP($B150&amp;"__wt",'SegEnds_Xtal_BW#'!$A:$Z,15,FALSE)</f>
        <v>38</v>
      </c>
      <c r="P150" s="1">
        <f>VLOOKUP($B150&amp;"__wt",'SegEnds_Xtal_BW#'!$A:$Z,16,FALSE)</f>
        <v>67</v>
      </c>
      <c r="Q150" s="1">
        <f>VLOOKUP($B150&amp;"__wt",'SegEnds_Xtal_BW#'!$A:$Z,17,FALSE)</f>
        <v>50</v>
      </c>
      <c r="R150" s="1">
        <f>VLOOKUP($B150&amp;"__wt",'SegEnds_Xtal_BW#'!$A:$Z,18,FALSE)</f>
        <v>52</v>
      </c>
      <c r="S150" s="1">
        <v>35</v>
      </c>
      <c r="T150" s="1">
        <f t="array" ref="T150">INDEX(ICL3_classA!$G$2:$G$37,MATCH(MIN(ABS(AI150-ICL3_classA!$F$2:$F$37)),ABS(AI150-ICL3_classA!$F$2:$F$37),0))</f>
        <v>76</v>
      </c>
      <c r="U150" s="1">
        <f t="array" ref="U150">INDEX(ICL3_classA!$H$2:$H$37,MATCH(MIN(ABS(AI150-ICL3_classA!$F$2:$F$37)),ABS(AI150-ICL3_classA!$F$2:$F$37),0))</f>
        <v>24</v>
      </c>
      <c r="V150" s="1">
        <v>61</v>
      </c>
      <c r="W150" s="1">
        <v>31</v>
      </c>
      <c r="X150" s="1">
        <f>VLOOKUP($B150&amp;"__wt",'SegEnds_Xtal_BW#'!$A:$Z,24,FALSE)</f>
        <v>56</v>
      </c>
      <c r="Y150" s="1">
        <f>VLOOKUP($B150&amp;"__wt",'SegEnds_Xtal_BW#'!$A:$Z,25,FALSE)</f>
        <v>47</v>
      </c>
      <c r="Z150" s="1">
        <f>VLOOKUP($B150&amp;"__wt",'SegEnds_Xtal_BW#'!$A:$Z,26,FALSE)</f>
        <v>60</v>
      </c>
      <c r="AA150" s="27" t="str">
        <f>VLOOKUP(A150,Classification!A:B,2,FALSE)</f>
        <v>A</v>
      </c>
      <c r="AB150" s="1">
        <f>VLOOKUP(A150,'SegEnds_NonXtal_Prot#'!A:AL,10,FALSE)-VLOOKUP(A150,'SegEnds_NonXtal_Prot#'!A:AL,4,FALSE)</f>
        <v>28</v>
      </c>
      <c r="AC150" s="1">
        <f>VLOOKUP(A150,'SegEnds_NonXtal_Prot#'!A:AL,10,FALSE)-VLOOKUP(A150,'SegEnds_NonXtal_Prot#'!A:AL,7,FALSE)</f>
        <v>15</v>
      </c>
      <c r="AD150" s="1">
        <f>VLOOKUP(A150,'SegEnds_NonXtal_Prot#'!A:AL,13,FALSE)-VLOOKUP(A150,'SegEnds_NonXtal_Prot#'!A:AL,10,FALSE)</f>
        <v>21</v>
      </c>
      <c r="AE150" s="1">
        <f>VLOOKUP(A150,'SegEnds_NonXtal_Prot#'!A:AL,16,FALSE)-VLOOKUP(A150,'SegEnds_NonXtal_Prot#'!A:AL,10,FALSE)</f>
        <v>53</v>
      </c>
      <c r="AF150" s="1">
        <f>VLOOKUP(A150,'SegEnds_NonXtal_Prot#'!A:AL,22,FALSE)-VLOOKUP(A150,'SegEnds_NonXtal_Prot#'!A:AL,19,FALSE)</f>
        <v>20</v>
      </c>
      <c r="AG150" s="1">
        <f>VLOOKUP(A150,'SegEnds_NonXtal_Prot#'!A:AL,28,FALSE)-VLOOKUP(A150,'SegEnds_NonXtal_Prot#'!A:AL,25,FALSE)</f>
        <v>61</v>
      </c>
      <c r="AH150" s="1">
        <f>VLOOKUP(A150,'SegEnds_NonXtal_Prot#'!A:AL,28,FALSE)-VLOOKUP(A150,'SegEnds_NonXtal_Prot#'!A:AL,22,FALSE)</f>
        <v>87</v>
      </c>
      <c r="AI150" s="1">
        <f>VLOOKUP(A150,'SegEnds_NonXtal_Prot#'!A:AL,31,FALSE)-VLOOKUP(A150,'SegEnds_NonXtal_Prot#'!A:AL,28,FALSE)</f>
        <v>67</v>
      </c>
      <c r="AJ150" s="1">
        <f>VLOOKUP(A150,'SegEnds_NonXtal_Prot#'!A:AL,34,FALSE)-VLOOKUP(A150,'SegEnds_NonXtal_Prot#'!A:AL,31,FALSE)</f>
        <v>36</v>
      </c>
      <c r="AK150" s="1">
        <f>VLOOKUP(A150,'SegEnds_NonXtal_Prot#'!A:AL,37,FALSE)-VLOOKUP(A150,'SegEnds_NonXtal_Prot#'!A:AL,34,FALSE)</f>
        <v>10</v>
      </c>
      <c r="AL150" s="1" t="str">
        <f>IF(ISERROR(MATCH(A150,'SegEnds_Xtal_Prot#'!B:B, 0)), "NoXtal", "Xtal")</f>
        <v>NoXtal</v>
      </c>
    </row>
    <row r="151" spans="1:38" x14ac:dyDescent="0.2">
      <c r="A151" s="1" t="s">
        <v>272</v>
      </c>
      <c r="B151" s="1" t="str">
        <f>VLOOKUP(A151,Xtal_Templ!A:B,2,FALSE)</f>
        <v>p2y12_human</v>
      </c>
      <c r="C151" s="5">
        <f>VLOOKUP($B151&amp;"__wt",'SegEnds_Xtal_BW#'!$A:$Z,3,FALSE)</f>
        <v>28</v>
      </c>
      <c r="D151" s="1">
        <f>VLOOKUP($B151&amp;"__wt",'SegEnds_Xtal_BW#'!$A:$Z,4,FALSE)</f>
        <v>60</v>
      </c>
      <c r="E151" s="1" t="str">
        <f>VLOOKUP($B151&amp;"__wt",'SegEnds_Xtal_BW#'!$A:$Z,5,FALSE)</f>
        <v>-</v>
      </c>
      <c r="F151" s="1" t="str">
        <f>VLOOKUP($B151&amp;"__wt",'SegEnds_Xtal_BW#'!$A:$Z,6,FALSE)</f>
        <v>-</v>
      </c>
      <c r="G151" s="1">
        <v>37</v>
      </c>
      <c r="H151" s="12">
        <f>VLOOKUP($B151&amp;"__wt",'SegEnds_Xtal_BW#'!$A:$Z,8,FALSE)</f>
        <v>66</v>
      </c>
      <c r="I151" s="1" t="str">
        <f>VLOOKUP($B151&amp;"__wt",'SegEnds_Xtal_BW#'!$A:$Z,9,FALSE)</f>
        <v>-</v>
      </c>
      <c r="J151" s="1" t="str">
        <f>VLOOKUP($B151&amp;"__wt",'SegEnds_Xtal_BW#'!$A:$Z,10,FALSE)</f>
        <v>-</v>
      </c>
      <c r="K151" s="12">
        <v>18</v>
      </c>
      <c r="L151" s="1">
        <f>VLOOKUP($B151&amp;"__wt",'SegEnds_Xtal_BW#'!$A:$Z,12,FALSE)</f>
        <v>56</v>
      </c>
      <c r="M151" s="1">
        <f>VLOOKUP($B151&amp;"__wt",'SegEnds_Xtal_BW#'!$A:$Z,13,FALSE)</f>
        <v>50</v>
      </c>
      <c r="N151" s="12">
        <v>57</v>
      </c>
      <c r="O151" s="87">
        <f>VLOOKUP($B151&amp;"__wt",'SegEnds_Xtal_BW#'!$A:$Z,15,FALSE)</f>
        <v>38</v>
      </c>
      <c r="P151" s="1">
        <f>VLOOKUP($B151&amp;"__wt",'SegEnds_Xtal_BW#'!$A:$Z,16,FALSE)</f>
        <v>64</v>
      </c>
      <c r="Q151" s="1">
        <f>VLOOKUP($B151&amp;"__wt",'SegEnds_Xtal_BW#'!$A:$Z,17,FALSE)</f>
        <v>50</v>
      </c>
      <c r="R151" s="1">
        <f>VLOOKUP($B151&amp;"__wt",'SegEnds_Xtal_BW#'!$A:$Z,18,FALSE)</f>
        <v>52</v>
      </c>
      <c r="S151" s="1">
        <f>VLOOKUP($B151&amp;"__wt",'SegEnds_Xtal_BW#'!$A:$Z,19,FALSE)</f>
        <v>30</v>
      </c>
      <c r="T151" s="1">
        <f t="array" ref="T151">INDEX(ICL3_classA!$G$2:$G$37,MATCH(MIN(ABS(AI151-ICL3_classA!$F$2:$F$37)),ABS(AI151-ICL3_classA!$F$2:$F$37),0))</f>
        <v>68</v>
      </c>
      <c r="U151" s="1">
        <f t="array" ref="U151">INDEX(ICL3_classA!$H$2:$H$37,MATCH(MIN(ABS(AI151-ICL3_classA!$F$2:$F$37)),ABS(AI151-ICL3_classA!$F$2:$F$37),0))</f>
        <v>24</v>
      </c>
      <c r="V151" s="1">
        <v>64</v>
      </c>
      <c r="W151" s="1">
        <v>24</v>
      </c>
      <c r="X151" s="1">
        <f>VLOOKUP($B151&amp;"__wt",'SegEnds_Xtal_BW#'!$A:$Z,24,FALSE)</f>
        <v>56</v>
      </c>
      <c r="Y151" s="1">
        <f>VLOOKUP($B151&amp;"__wt",'SegEnds_Xtal_BW#'!$A:$Z,25,FALSE)</f>
        <v>47</v>
      </c>
      <c r="Z151" s="1">
        <f>VLOOKUP($B151&amp;"__wt",'SegEnds_Xtal_BW#'!$A:$Z,26,FALSE)</f>
        <v>57</v>
      </c>
      <c r="AA151" s="27" t="str">
        <f>VLOOKUP(A151,Classification!A:B,2,FALSE)</f>
        <v>A</v>
      </c>
      <c r="AB151" s="1">
        <f>VLOOKUP(A151,'SegEnds_NonXtal_Prot#'!A:AL,10,FALSE)-VLOOKUP(A151,'SegEnds_NonXtal_Prot#'!A:AL,4,FALSE)</f>
        <v>27</v>
      </c>
      <c r="AC151" s="1" t="e">
        <f>VLOOKUP(A151,'SegEnds_NonXtal_Prot#'!A:AL,10,FALSE)-VLOOKUP(A151,'SegEnds_NonXtal_Prot#'!A:AL,7,FALSE)</f>
        <v>#VALUE!</v>
      </c>
      <c r="AD151" s="1">
        <f>VLOOKUP(A151,'SegEnds_NonXtal_Prot#'!A:AL,13,FALSE)-VLOOKUP(A151,'SegEnds_NonXtal_Prot#'!A:AL,10,FALSE)</f>
        <v>20</v>
      </c>
      <c r="AE151" s="1">
        <f>VLOOKUP(A151,'SegEnds_NonXtal_Prot#'!A:AL,16,FALSE)-VLOOKUP(A151,'SegEnds_NonXtal_Prot#'!A:AL,10,FALSE)</f>
        <v>52</v>
      </c>
      <c r="AF151" s="1">
        <f>VLOOKUP(A151,'SegEnds_NonXtal_Prot#'!A:AL,22,FALSE)-VLOOKUP(A151,'SegEnds_NonXtal_Prot#'!A:AL,19,FALSE)</f>
        <v>20</v>
      </c>
      <c r="AG151" s="1">
        <f>VLOOKUP(A151,'SegEnds_NonXtal_Prot#'!A:AL,28,FALSE)-VLOOKUP(A151,'SegEnds_NonXtal_Prot#'!A:AL,25,FALSE)</f>
        <v>26</v>
      </c>
      <c r="AH151" s="1">
        <f>VLOOKUP(A151,'SegEnds_NonXtal_Prot#'!A:AL,28,FALSE)-VLOOKUP(A151,'SegEnds_NonXtal_Prot#'!A:AL,22,FALSE)</f>
        <v>52</v>
      </c>
      <c r="AI151" s="1">
        <f>VLOOKUP(A151,'SegEnds_NonXtal_Prot#'!A:AL,31,FALSE)-VLOOKUP(A151,'SegEnds_NonXtal_Prot#'!A:AL,28,FALSE)</f>
        <v>49</v>
      </c>
      <c r="AJ151" s="1">
        <f>VLOOKUP(A151,'SegEnds_NonXtal_Prot#'!A:AL,34,FALSE)-VLOOKUP(A151,'SegEnds_NonXtal_Prot#'!A:AL,31,FALSE)</f>
        <v>44</v>
      </c>
      <c r="AK151" s="1">
        <f>VLOOKUP(A151,'SegEnds_NonXtal_Prot#'!A:AL,37,FALSE)-VLOOKUP(A151,'SegEnds_NonXtal_Prot#'!A:AL,34,FALSE)</f>
        <v>10</v>
      </c>
      <c r="AL151" s="1" t="str">
        <f>IF(ISERROR(MATCH(A151,'SegEnds_Xtal_Prot#'!B:B, 0)), "NoXtal", "Xtal")</f>
        <v>NoXtal</v>
      </c>
    </row>
    <row r="152" spans="1:38" x14ac:dyDescent="0.2">
      <c r="A152" s="1" t="s">
        <v>273</v>
      </c>
      <c r="B152" s="1" t="str">
        <f>VLOOKUP(A152,Xtal_Templ!A:B,2,FALSE)</f>
        <v>ox1r_human</v>
      </c>
      <c r="C152" s="5">
        <f>VLOOKUP($B152&amp;"__wt",'SegEnds_Xtal_BW#'!$A:$Z,3,FALSE)</f>
        <v>32</v>
      </c>
      <c r="D152" s="1">
        <f>VLOOKUP($B152&amp;"__wt",'SegEnds_Xtal_BW#'!$A:$Z,4,FALSE)</f>
        <v>60</v>
      </c>
      <c r="E152" s="1">
        <f>VLOOKUP($B152&amp;"__wt",'SegEnds_Xtal_BW#'!$A:$Z,5,FALSE)</f>
        <v>48</v>
      </c>
      <c r="F152" s="1">
        <f>VLOOKUP($B152&amp;"__wt",'SegEnds_Xtal_BW#'!$A:$Z,6,FALSE)</f>
        <v>51</v>
      </c>
      <c r="G152" s="1">
        <v>37</v>
      </c>
      <c r="H152" s="12">
        <f>VLOOKUP($B152&amp;"__wt",'SegEnds_Xtal_BW#'!$A:$Z,8,FALSE)</f>
        <v>67</v>
      </c>
      <c r="I152" s="1">
        <f>VLOOKUP($B152&amp;"__wt",'SegEnds_Xtal_BW#'!$A:$Z,9,FALSE)</f>
        <v>49</v>
      </c>
      <c r="J152" s="1">
        <f>VLOOKUP($B152&amp;"__wt",'SegEnds_Xtal_BW#'!$A:$Z,10,FALSE)</f>
        <v>52</v>
      </c>
      <c r="K152" s="12">
        <v>18</v>
      </c>
      <c r="L152" s="1">
        <f>VLOOKUP($B152&amp;"__wt",'SegEnds_Xtal_BW#'!$A:$Z,12,FALSE)</f>
        <v>56</v>
      </c>
      <c r="M152" s="1">
        <f>VLOOKUP($B152&amp;"__wt",'SegEnds_Xtal_BW#'!$A:$Z,13,FALSE)</f>
        <v>50</v>
      </c>
      <c r="N152" s="12">
        <v>57</v>
      </c>
      <c r="O152" s="87">
        <f>VLOOKUP($B152&amp;"__wt",'SegEnds_Xtal_BW#'!$A:$Z,15,FALSE)</f>
        <v>38</v>
      </c>
      <c r="P152" s="1">
        <f>VLOOKUP($B152&amp;"__wt",'SegEnds_Xtal_BW#'!$A:$Z,16,FALSE)</f>
        <v>64</v>
      </c>
      <c r="Q152" s="1">
        <f>VLOOKUP($B152&amp;"__wt",'SegEnds_Xtal_BW#'!$A:$Z,17,FALSE)</f>
        <v>50</v>
      </c>
      <c r="R152" s="1">
        <f>VLOOKUP($B152&amp;"__wt",'SegEnds_Xtal_BW#'!$A:$Z,18,FALSE)</f>
        <v>52</v>
      </c>
      <c r="S152" s="1">
        <v>35</v>
      </c>
      <c r="T152" s="1">
        <f t="array" ref="T152">INDEX(ICL3_classA!$G$2:$G$37,MATCH(MIN(ABS(AI152-ICL3_classA!$F$2:$F$37)),ABS(AI152-ICL3_classA!$F$2:$F$37),0))</f>
        <v>74</v>
      </c>
      <c r="U152" s="1">
        <f t="array" ref="U152">INDEX(ICL3_classA!$H$2:$H$37,MATCH(MIN(ABS(AI152-ICL3_classA!$F$2:$F$37)),ABS(AI152-ICL3_classA!$F$2:$F$37),0))</f>
        <v>21</v>
      </c>
      <c r="V152" s="1">
        <v>61</v>
      </c>
      <c r="W152" s="1">
        <v>32</v>
      </c>
      <c r="X152" s="1">
        <f>VLOOKUP($B152&amp;"__wt",'SegEnds_Xtal_BW#'!$A:$Z,24,FALSE)</f>
        <v>56</v>
      </c>
      <c r="Y152" s="1">
        <f>VLOOKUP($B152&amp;"__wt",'SegEnds_Xtal_BW#'!$A:$Z,25,FALSE)</f>
        <v>47</v>
      </c>
      <c r="Z152" s="1">
        <f>VLOOKUP($B152&amp;"__wt",'SegEnds_Xtal_BW#'!$A:$Z,26,FALSE)</f>
        <v>58</v>
      </c>
      <c r="AA152" s="27" t="str">
        <f>VLOOKUP(A152,Classification!A:B,2,FALSE)</f>
        <v>A</v>
      </c>
      <c r="AB152" s="1">
        <f>VLOOKUP(A152,'SegEnds_NonXtal_Prot#'!A:AL,10,FALSE)-VLOOKUP(A152,'SegEnds_NonXtal_Prot#'!A:AL,4,FALSE)</f>
        <v>28</v>
      </c>
      <c r="AC152" s="1">
        <f>VLOOKUP(A152,'SegEnds_NonXtal_Prot#'!A:AL,10,FALSE)-VLOOKUP(A152,'SegEnds_NonXtal_Prot#'!A:AL,7,FALSE)</f>
        <v>15</v>
      </c>
      <c r="AD152" s="1" t="e">
        <f>VLOOKUP(A152,'SegEnds_NonXtal_Prot#'!A:AL,13,FALSE)-VLOOKUP(A152,'SegEnds_NonXtal_Prot#'!A:AL,10,FALSE)</f>
        <v>#VALUE!</v>
      </c>
      <c r="AE152" s="1">
        <f>VLOOKUP(A152,'SegEnds_NonXtal_Prot#'!A:AL,16,FALSE)-VLOOKUP(A152,'SegEnds_NonXtal_Prot#'!A:AL,10,FALSE)</f>
        <v>61</v>
      </c>
      <c r="AF152" s="1">
        <f>VLOOKUP(A152,'SegEnds_NonXtal_Prot#'!A:AL,22,FALSE)-VLOOKUP(A152,'SegEnds_NonXtal_Prot#'!A:AL,19,FALSE)</f>
        <v>20</v>
      </c>
      <c r="AG152" s="1" t="e">
        <f>VLOOKUP(A152,'SegEnds_NonXtal_Prot#'!A:AL,28,FALSE)-VLOOKUP(A152,'SegEnds_NonXtal_Prot#'!A:AL,25,FALSE)</f>
        <v>#VALUE!</v>
      </c>
      <c r="AH152" s="1">
        <f>VLOOKUP(A152,'SegEnds_NonXtal_Prot#'!A:AL,28,FALSE)-VLOOKUP(A152,'SegEnds_NonXtal_Prot#'!A:AL,22,FALSE)</f>
        <v>72</v>
      </c>
      <c r="AI152" s="1">
        <f>VLOOKUP(A152,'SegEnds_NonXtal_Prot#'!A:AL,31,FALSE)-VLOOKUP(A152,'SegEnds_NonXtal_Prot#'!A:AL,28,FALSE)</f>
        <v>61</v>
      </c>
      <c r="AJ152" s="1">
        <f>VLOOKUP(A152,'SegEnds_NonXtal_Prot#'!A:AL,34,FALSE)-VLOOKUP(A152,'SegEnds_NonXtal_Prot#'!A:AL,31,FALSE)</f>
        <v>34</v>
      </c>
      <c r="AK152" s="1">
        <f>VLOOKUP(A152,'SegEnds_NonXtal_Prot#'!A:AL,37,FALSE)-VLOOKUP(A152,'SegEnds_NonXtal_Prot#'!A:AL,34,FALSE)</f>
        <v>10</v>
      </c>
      <c r="AL152" s="1" t="str">
        <f>IF(ISERROR(MATCH(A152,'SegEnds_Xtal_Prot#'!B:B, 0)), "NoXtal", "Xtal")</f>
        <v>NoXtal</v>
      </c>
    </row>
    <row r="153" spans="1:38" x14ac:dyDescent="0.2">
      <c r="A153" s="1" t="s">
        <v>274</v>
      </c>
      <c r="B153" s="1" t="str">
        <f>VLOOKUP(A153,Xtal_Templ!A:B,2,FALSE)</f>
        <v>ednrb_human</v>
      </c>
      <c r="C153" s="5">
        <f>VLOOKUP($B153&amp;"__wt",'SegEnds_Xtal_BW#'!$A:$Z,3,FALSE)</f>
        <v>22</v>
      </c>
      <c r="D153" s="1">
        <f>VLOOKUP($B153&amp;"__wt",'SegEnds_Xtal_BW#'!$A:$Z,4,FALSE)</f>
        <v>60</v>
      </c>
      <c r="E153" s="1">
        <f>VLOOKUP($B153&amp;"__wt",'SegEnds_Xtal_BW#'!$A:$Z,5,FALSE)</f>
        <v>48</v>
      </c>
      <c r="F153" s="1">
        <f>VLOOKUP($B153&amp;"__wt",'SegEnds_Xtal_BW#'!$A:$Z,6,FALSE)</f>
        <v>52</v>
      </c>
      <c r="G153" s="1">
        <v>37</v>
      </c>
      <c r="H153" s="12">
        <f>VLOOKUP($B153&amp;"__wt",'SegEnds_Xtal_BW#'!$A:$Z,8,FALSE)</f>
        <v>67</v>
      </c>
      <c r="I153" s="1">
        <f>VLOOKUP($B153&amp;"__wt",'SegEnds_Xtal_BW#'!$A:$Z,9,FALSE)</f>
        <v>49</v>
      </c>
      <c r="J153" s="1">
        <f>VLOOKUP($B153&amp;"__wt",'SegEnds_Xtal_BW#'!$A:$Z,10,FALSE)</f>
        <v>52</v>
      </c>
      <c r="K153" s="12">
        <v>18</v>
      </c>
      <c r="L153" s="1">
        <f>VLOOKUP($B153&amp;"__wt",'SegEnds_Xtal_BW#'!$A:$Z,12,FALSE)</f>
        <v>56</v>
      </c>
      <c r="M153" s="1">
        <f>VLOOKUP($B153&amp;"__wt",'SegEnds_Xtal_BW#'!$A:$Z,13,FALSE)</f>
        <v>50</v>
      </c>
      <c r="N153" s="12">
        <v>57</v>
      </c>
      <c r="O153" s="87">
        <v>38</v>
      </c>
      <c r="P153" s="1">
        <f>VLOOKUP($B153&amp;"__wt",'SegEnds_Xtal_BW#'!$A:$Z,16,FALSE)</f>
        <v>64</v>
      </c>
      <c r="Q153" s="1">
        <f>VLOOKUP($B153&amp;"__wt",'SegEnds_Xtal_BW#'!$A:$Z,17,FALSE)</f>
        <v>50</v>
      </c>
      <c r="R153" s="1">
        <f>VLOOKUP($B153&amp;"__wt",'SegEnds_Xtal_BW#'!$A:$Z,18,FALSE)</f>
        <v>52</v>
      </c>
      <c r="S153" s="1">
        <f>VLOOKUP($B153&amp;"__wt",'SegEnds_Xtal_BW#'!$A:$Z,19,FALSE)</f>
        <v>28</v>
      </c>
      <c r="T153" s="1">
        <f t="array" ref="T153">INDEX(ICL3_classA!$G$2:$G$37,MATCH(MIN(ABS(AI153-ICL3_classA!$F$2:$F$37)),ABS(AI153-ICL3_classA!$F$2:$F$37),0))</f>
        <v>73</v>
      </c>
      <c r="U153" s="1">
        <f t="array" ref="U153">INDEX(ICL3_classA!$H$2:$H$37,MATCH(MIN(ABS(AI153-ICL3_classA!$F$2:$F$37)),ABS(AI153-ICL3_classA!$F$2:$F$37),0))</f>
        <v>22</v>
      </c>
      <c r="V153" s="1">
        <v>61</v>
      </c>
      <c r="W153" s="1">
        <v>28</v>
      </c>
      <c r="X153" s="1">
        <f>VLOOKUP($B153&amp;"__wt",'SegEnds_Xtal_BW#'!$A:$Z,24,FALSE)</f>
        <v>56</v>
      </c>
      <c r="Y153" s="1">
        <f>VLOOKUP($B153&amp;"__wt",'SegEnds_Xtal_BW#'!$A:$Z,25,FALSE)</f>
        <v>47</v>
      </c>
      <c r="Z153" s="1">
        <f>VLOOKUP($B153&amp;"__wt",'SegEnds_Xtal_BW#'!$A:$Z,26,FALSE)</f>
        <v>60</v>
      </c>
      <c r="AA153" s="27" t="str">
        <f>VLOOKUP(A153,Classification!A:B,2,FALSE)</f>
        <v>A</v>
      </c>
      <c r="AB153" s="1">
        <f>VLOOKUP(A153,'SegEnds_NonXtal_Prot#'!A:AL,10,FALSE)-VLOOKUP(A153,'SegEnds_NonXtal_Prot#'!A:AL,4,FALSE)</f>
        <v>28</v>
      </c>
      <c r="AC153" s="1">
        <f>VLOOKUP(A153,'SegEnds_NonXtal_Prot#'!A:AL,10,FALSE)-VLOOKUP(A153,'SegEnds_NonXtal_Prot#'!A:AL,7,FALSE)</f>
        <v>15</v>
      </c>
      <c r="AD153" s="1">
        <f>VLOOKUP(A153,'SegEnds_NonXtal_Prot#'!A:AL,13,FALSE)-VLOOKUP(A153,'SegEnds_NonXtal_Prot#'!A:AL,10,FALSE)</f>
        <v>20</v>
      </c>
      <c r="AE153" s="1">
        <f>VLOOKUP(A153,'SegEnds_NonXtal_Prot#'!A:AL,16,FALSE)-VLOOKUP(A153,'SegEnds_NonXtal_Prot#'!A:AL,10,FALSE)</f>
        <v>52</v>
      </c>
      <c r="AF153" s="1">
        <f>VLOOKUP(A153,'SegEnds_NonXtal_Prot#'!A:AL,22,FALSE)-VLOOKUP(A153,'SegEnds_NonXtal_Prot#'!A:AL,19,FALSE)</f>
        <v>20</v>
      </c>
      <c r="AG153" s="1">
        <f>VLOOKUP(A153,'SegEnds_NonXtal_Prot#'!A:AL,28,FALSE)-VLOOKUP(A153,'SegEnds_NonXtal_Prot#'!A:AL,25,FALSE)</f>
        <v>26</v>
      </c>
      <c r="AH153" s="1">
        <f>VLOOKUP(A153,'SegEnds_NonXtal_Prot#'!A:AL,28,FALSE)-VLOOKUP(A153,'SegEnds_NonXtal_Prot#'!A:AL,22,FALSE)</f>
        <v>57</v>
      </c>
      <c r="AI153" s="1">
        <f>VLOOKUP(A153,'SegEnds_NonXtal_Prot#'!A:AL,31,FALSE)-VLOOKUP(A153,'SegEnds_NonXtal_Prot#'!A:AL,28,FALSE)</f>
        <v>57</v>
      </c>
      <c r="AJ153" s="1">
        <f>VLOOKUP(A153,'SegEnds_NonXtal_Prot#'!A:AL,34,FALSE)-VLOOKUP(A153,'SegEnds_NonXtal_Prot#'!A:AL,31,FALSE)</f>
        <v>40</v>
      </c>
      <c r="AK153" s="1">
        <f>VLOOKUP(A153,'SegEnds_NonXtal_Prot#'!A:AL,37,FALSE)-VLOOKUP(A153,'SegEnds_NonXtal_Prot#'!A:AL,34,FALSE)</f>
        <v>10</v>
      </c>
      <c r="AL153" s="1" t="str">
        <f>IF(ISERROR(MATCH(A153,'SegEnds_Xtal_Prot#'!B:B, 0)), "NoXtal", "Xtal")</f>
        <v>NoXtal</v>
      </c>
    </row>
    <row r="154" spans="1:38" x14ac:dyDescent="0.2">
      <c r="A154" s="1" t="s">
        <v>275</v>
      </c>
      <c r="B154" s="1" t="str">
        <f>VLOOKUP(A154,Xtal_Templ!A:B,2,FALSE)</f>
        <v>p2ry1_human</v>
      </c>
      <c r="C154" s="5">
        <f>VLOOKUP($B154&amp;"__wt",'SegEnds_Xtal_BW#'!$A:$Z,3,FALSE)</f>
        <v>30</v>
      </c>
      <c r="D154" s="1">
        <f>VLOOKUP($B154&amp;"__wt",'SegEnds_Xtal_BW#'!$A:$Z,4,FALSE)</f>
        <v>60</v>
      </c>
      <c r="E154" s="1" t="str">
        <f>VLOOKUP($B154&amp;"__wt",'SegEnds_Xtal_BW#'!$A:$Z,5,FALSE)</f>
        <v>-</v>
      </c>
      <c r="F154" s="1" t="str">
        <f>VLOOKUP($B154&amp;"__wt",'SegEnds_Xtal_BW#'!$A:$Z,6,FALSE)</f>
        <v>-</v>
      </c>
      <c r="G154" s="1">
        <v>37</v>
      </c>
      <c r="H154" s="12">
        <f>VLOOKUP($B154&amp;"__wt",'SegEnds_Xtal_BW#'!$A:$Z,8,FALSE)</f>
        <v>66</v>
      </c>
      <c r="I154" s="1">
        <f>VLOOKUP($B154&amp;"__wt",'SegEnds_Xtal_BW#'!$A:$Z,9,FALSE)</f>
        <v>49</v>
      </c>
      <c r="J154" s="1">
        <f>VLOOKUP($B154&amp;"__wt",'SegEnds_Xtal_BW#'!$A:$Z,10,FALSE)</f>
        <v>52</v>
      </c>
      <c r="K154" s="12">
        <v>18</v>
      </c>
      <c r="L154" s="1">
        <f>VLOOKUP($B154&amp;"__wt",'SegEnds_Xtal_BW#'!$A:$Z,12,FALSE)</f>
        <v>56</v>
      </c>
      <c r="M154" s="1">
        <f>VLOOKUP($B154&amp;"__wt",'SegEnds_Xtal_BW#'!$A:$Z,13,FALSE)</f>
        <v>50</v>
      </c>
      <c r="N154" s="12">
        <v>57</v>
      </c>
      <c r="O154" s="87">
        <f>VLOOKUP($B154&amp;"__wt",'SegEnds_Xtal_BW#'!$A:$Z,15,FALSE)</f>
        <v>38</v>
      </c>
      <c r="P154" s="1">
        <f>VLOOKUP($B154&amp;"__wt",'SegEnds_Xtal_BW#'!$A:$Z,16,FALSE)</f>
        <v>64</v>
      </c>
      <c r="Q154" s="1">
        <f>VLOOKUP($B154&amp;"__wt",'SegEnds_Xtal_BW#'!$A:$Z,17,FALSE)</f>
        <v>50</v>
      </c>
      <c r="R154" s="1">
        <f>VLOOKUP($B154&amp;"__wt",'SegEnds_Xtal_BW#'!$A:$Z,18,FALSE)</f>
        <v>52</v>
      </c>
      <c r="S154" s="1">
        <f>VLOOKUP($B154&amp;"__wt",'SegEnds_Xtal_BW#'!$A:$Z,19,FALSE)</f>
        <v>32</v>
      </c>
      <c r="T154" s="1">
        <f t="array" ref="T154">INDEX(ICL3_classA!$G$2:$G$37,MATCH(MIN(ABS(AI154-ICL3_classA!$F$2:$F$37)),ABS(AI154-ICL3_classA!$F$2:$F$37),0))</f>
        <v>67</v>
      </c>
      <c r="U154" s="1">
        <f t="array" ref="U154">INDEX(ICL3_classA!$H$2:$H$37,MATCH(MIN(ABS(AI154-ICL3_classA!$F$2:$F$37)),ABS(AI154-ICL3_classA!$F$2:$F$37),0))</f>
        <v>26</v>
      </c>
      <c r="V154" s="1">
        <v>61</v>
      </c>
      <c r="W154" s="1">
        <v>28</v>
      </c>
      <c r="X154" s="1">
        <f>VLOOKUP($B154&amp;"__wt",'SegEnds_Xtal_BW#'!$A:$Z,24,FALSE)</f>
        <v>56</v>
      </c>
      <c r="Y154" s="1">
        <f>VLOOKUP($B154&amp;"__wt",'SegEnds_Xtal_BW#'!$A:$Z,25,FALSE)</f>
        <v>47</v>
      </c>
      <c r="Z154" s="1">
        <f>VLOOKUP($B154&amp;"__wt",'SegEnds_Xtal_BW#'!$A:$Z,26,FALSE)</f>
        <v>59</v>
      </c>
      <c r="AA154" s="27" t="str">
        <f>VLOOKUP(A154,Classification!A:B,2,FALSE)</f>
        <v>A</v>
      </c>
      <c r="AB154" s="1">
        <f>VLOOKUP(A154,'SegEnds_NonXtal_Prot#'!A:AL,10,FALSE)-VLOOKUP(A154,'SegEnds_NonXtal_Prot#'!A:AL,4,FALSE)</f>
        <v>28</v>
      </c>
      <c r="AC154" s="1" t="e">
        <f>VLOOKUP(A154,'SegEnds_NonXtal_Prot#'!A:AL,10,FALSE)-VLOOKUP(A154,'SegEnds_NonXtal_Prot#'!A:AL,7,FALSE)</f>
        <v>#VALUE!</v>
      </c>
      <c r="AD154" s="1">
        <f>VLOOKUP(A154,'SegEnds_NonXtal_Prot#'!A:AL,13,FALSE)-VLOOKUP(A154,'SegEnds_NonXtal_Prot#'!A:AL,10,FALSE)</f>
        <v>20</v>
      </c>
      <c r="AE154" s="1">
        <f>VLOOKUP(A154,'SegEnds_NonXtal_Prot#'!A:AL,16,FALSE)-VLOOKUP(A154,'SegEnds_NonXtal_Prot#'!A:AL,10,FALSE)</f>
        <v>52</v>
      </c>
      <c r="AF154" s="1">
        <f>VLOOKUP(A154,'SegEnds_NonXtal_Prot#'!A:AL,22,FALSE)-VLOOKUP(A154,'SegEnds_NonXtal_Prot#'!A:AL,19,FALSE)</f>
        <v>20</v>
      </c>
      <c r="AG154" s="1">
        <f>VLOOKUP(A154,'SegEnds_NonXtal_Prot#'!A:AL,28,FALSE)-VLOOKUP(A154,'SegEnds_NonXtal_Prot#'!A:AL,25,FALSE)</f>
        <v>23</v>
      </c>
      <c r="AH154" s="1">
        <f>VLOOKUP(A154,'SegEnds_NonXtal_Prot#'!A:AL,28,FALSE)-VLOOKUP(A154,'SegEnds_NonXtal_Prot#'!A:AL,22,FALSE)</f>
        <v>48</v>
      </c>
      <c r="AI154" s="1">
        <f>VLOOKUP(A154,'SegEnds_NonXtal_Prot#'!A:AL,31,FALSE)-VLOOKUP(A154,'SegEnds_NonXtal_Prot#'!A:AL,28,FALSE)</f>
        <v>47</v>
      </c>
      <c r="AJ154" s="1">
        <f>VLOOKUP(A154,'SegEnds_NonXtal_Prot#'!A:AL,34,FALSE)-VLOOKUP(A154,'SegEnds_NonXtal_Prot#'!A:AL,31,FALSE)</f>
        <v>40</v>
      </c>
      <c r="AK154" s="1">
        <f>VLOOKUP(A154,'SegEnds_NonXtal_Prot#'!A:AL,37,FALSE)-VLOOKUP(A154,'SegEnds_NonXtal_Prot#'!A:AL,34,FALSE)</f>
        <v>10</v>
      </c>
      <c r="AL154" s="1" t="str">
        <f>IF(ISERROR(MATCH(A154,'SegEnds_Xtal_Prot#'!B:B, 0)), "NoXtal", "Xtal")</f>
        <v>NoXtal</v>
      </c>
    </row>
    <row r="155" spans="1:38" x14ac:dyDescent="0.2">
      <c r="A155" s="1" t="s">
        <v>276</v>
      </c>
      <c r="B155" s="1" t="str">
        <f>VLOOKUP(A155,Xtal_Templ!A:B,2,FALSE)</f>
        <v>oprk_human</v>
      </c>
      <c r="C155" s="5">
        <f>VLOOKUP($B155&amp;"__wt",'SegEnds_Xtal_BW#'!$A:$Z,3,FALSE)</f>
        <v>30</v>
      </c>
      <c r="D155" s="1">
        <f>VLOOKUP($B155&amp;"__wt",'SegEnds_Xtal_BW#'!$A:$Z,4,FALSE)</f>
        <v>60</v>
      </c>
      <c r="E155" s="1">
        <f>VLOOKUP($B155&amp;"__wt",'SegEnds_Xtal_BW#'!$A:$Z,5,FALSE)</f>
        <v>48</v>
      </c>
      <c r="F155" s="1">
        <f>VLOOKUP($B155&amp;"__wt",'SegEnds_Xtal_BW#'!$A:$Z,6,FALSE)</f>
        <v>51</v>
      </c>
      <c r="G155" s="1">
        <v>37</v>
      </c>
      <c r="H155" s="12">
        <f>VLOOKUP($B155&amp;"__wt",'SegEnds_Xtal_BW#'!$A:$Z,8,FALSE)</f>
        <v>67</v>
      </c>
      <c r="I155" s="1">
        <f>VLOOKUP($B155&amp;"__wt",'SegEnds_Xtal_BW#'!$A:$Z,9,FALSE)</f>
        <v>49</v>
      </c>
      <c r="J155" s="1">
        <f>VLOOKUP($B155&amp;"__wt",'SegEnds_Xtal_BW#'!$A:$Z,10,FALSE)</f>
        <v>52</v>
      </c>
      <c r="K155" s="12">
        <v>18</v>
      </c>
      <c r="L155" s="1">
        <f>VLOOKUP($B155&amp;"__wt",'SegEnds_Xtal_BW#'!$A:$Z,12,FALSE)</f>
        <v>56</v>
      </c>
      <c r="M155" s="1">
        <f>VLOOKUP($B155&amp;"__wt",'SegEnds_Xtal_BW#'!$A:$Z,13,FALSE)</f>
        <v>50</v>
      </c>
      <c r="N155" s="12">
        <v>57</v>
      </c>
      <c r="O155" s="87">
        <f>VLOOKUP($B155&amp;"__wt",'SegEnds_Xtal_BW#'!$A:$Z,15,FALSE)</f>
        <v>38</v>
      </c>
      <c r="P155" s="1">
        <f>VLOOKUP($B155&amp;"__wt",'SegEnds_Xtal_BW#'!$A:$Z,16,FALSE)</f>
        <v>64</v>
      </c>
      <c r="Q155" s="1">
        <f>VLOOKUP($B155&amp;"__wt",'SegEnds_Xtal_BW#'!$A:$Z,17,FALSE)</f>
        <v>50</v>
      </c>
      <c r="R155" s="1">
        <f>VLOOKUP($B155&amp;"__wt",'SegEnds_Xtal_BW#'!$A:$Z,18,FALSE)</f>
        <v>52</v>
      </c>
      <c r="S155" s="1">
        <f>VLOOKUP($B155&amp;"__wt",'SegEnds_Xtal_BW#'!$A:$Z,19,FALSE)</f>
        <v>30</v>
      </c>
      <c r="T155" s="1">
        <f t="array" ref="T155">INDEX(ICL3_classA!$G$2:$G$37,MATCH(MIN(ABS(AI155-ICL3_classA!$F$2:$F$37)),ABS(AI155-ICL3_classA!$F$2:$F$37),0))</f>
        <v>67</v>
      </c>
      <c r="U155" s="1">
        <f t="array" ref="U155">INDEX(ICL3_classA!$H$2:$H$37,MATCH(MIN(ABS(AI155-ICL3_classA!$F$2:$F$37)),ABS(AI155-ICL3_classA!$F$2:$F$37),0))</f>
        <v>26</v>
      </c>
      <c r="V155" s="1">
        <v>64</v>
      </c>
      <c r="W155" s="1">
        <v>24</v>
      </c>
      <c r="X155" s="1">
        <f>VLOOKUP($B155&amp;"__wt",'SegEnds_Xtal_BW#'!$A:$Z,24,FALSE)</f>
        <v>56</v>
      </c>
      <c r="Y155" s="1">
        <f>VLOOKUP($B155&amp;"__wt",'SegEnds_Xtal_BW#'!$A:$Z,25,FALSE)</f>
        <v>47</v>
      </c>
      <c r="Z155" s="1">
        <f>VLOOKUP($B155&amp;"__wt",'SegEnds_Xtal_BW#'!$A:$Z,26,FALSE)</f>
        <v>59</v>
      </c>
      <c r="AA155" s="27" t="str">
        <f>VLOOKUP(A155,Classification!A:B,2,FALSE)</f>
        <v>A</v>
      </c>
      <c r="AB155" s="1">
        <f>VLOOKUP(A155,'SegEnds_NonXtal_Prot#'!A:AL,10,FALSE)-VLOOKUP(A155,'SegEnds_NonXtal_Prot#'!A:AL,4,FALSE)</f>
        <v>28</v>
      </c>
      <c r="AC155" s="1" t="e">
        <f>VLOOKUP(A155,'SegEnds_NonXtal_Prot#'!A:AL,10,FALSE)-VLOOKUP(A155,'SegEnds_NonXtal_Prot#'!A:AL,7,FALSE)</f>
        <v>#VALUE!</v>
      </c>
      <c r="AD155" s="1">
        <f>VLOOKUP(A155,'SegEnds_NonXtal_Prot#'!A:AL,13,FALSE)-VLOOKUP(A155,'SegEnds_NonXtal_Prot#'!A:AL,10,FALSE)</f>
        <v>20</v>
      </c>
      <c r="AE155" s="1">
        <f>VLOOKUP(A155,'SegEnds_NonXtal_Prot#'!A:AL,16,FALSE)-VLOOKUP(A155,'SegEnds_NonXtal_Prot#'!A:AL,10,FALSE)</f>
        <v>52</v>
      </c>
      <c r="AF155" s="1">
        <f>VLOOKUP(A155,'SegEnds_NonXtal_Prot#'!A:AL,22,FALSE)-VLOOKUP(A155,'SegEnds_NonXtal_Prot#'!A:AL,19,FALSE)</f>
        <v>20</v>
      </c>
      <c r="AG155" s="1">
        <f>VLOOKUP(A155,'SegEnds_NonXtal_Prot#'!A:AL,28,FALSE)-VLOOKUP(A155,'SegEnds_NonXtal_Prot#'!A:AL,25,FALSE)</f>
        <v>23</v>
      </c>
      <c r="AH155" s="1">
        <f>VLOOKUP(A155,'SegEnds_NonXtal_Prot#'!A:AL,28,FALSE)-VLOOKUP(A155,'SegEnds_NonXtal_Prot#'!A:AL,22,FALSE)</f>
        <v>48</v>
      </c>
      <c r="AI155" s="1">
        <f>VLOOKUP(A155,'SegEnds_NonXtal_Prot#'!A:AL,31,FALSE)-VLOOKUP(A155,'SegEnds_NonXtal_Prot#'!A:AL,28,FALSE)</f>
        <v>46</v>
      </c>
      <c r="AJ155" s="1">
        <f>VLOOKUP(A155,'SegEnds_NonXtal_Prot#'!A:AL,34,FALSE)-VLOOKUP(A155,'SegEnds_NonXtal_Prot#'!A:AL,31,FALSE)</f>
        <v>45</v>
      </c>
      <c r="AK155" s="1">
        <f>VLOOKUP(A155,'SegEnds_NonXtal_Prot#'!A:AL,37,FALSE)-VLOOKUP(A155,'SegEnds_NonXtal_Prot#'!A:AL,34,FALSE)</f>
        <v>10</v>
      </c>
      <c r="AL155" s="1" t="str">
        <f>IF(ISERROR(MATCH(A155,'SegEnds_Xtal_Prot#'!B:B, 0)), "NoXtal", "Xtal")</f>
        <v>NoXtal</v>
      </c>
    </row>
    <row r="156" spans="1:38" x14ac:dyDescent="0.2">
      <c r="A156" s="1" t="s">
        <v>277</v>
      </c>
      <c r="B156" s="1" t="str">
        <f>VLOOKUP(A156,Xtal_Templ!A:B,2,FALSE)</f>
        <v>p2ry1_human</v>
      </c>
      <c r="C156" s="5">
        <f>VLOOKUP($B156&amp;"__wt",'SegEnds_Xtal_BW#'!$A:$Z,3,FALSE)</f>
        <v>30</v>
      </c>
      <c r="D156" s="1">
        <f>VLOOKUP($B156&amp;"__wt",'SegEnds_Xtal_BW#'!$A:$Z,4,FALSE)</f>
        <v>60</v>
      </c>
      <c r="E156" s="1" t="str">
        <f>VLOOKUP($B156&amp;"__wt",'SegEnds_Xtal_BW#'!$A:$Z,5,FALSE)</f>
        <v>-</v>
      </c>
      <c r="F156" s="1" t="str">
        <f>VLOOKUP($B156&amp;"__wt",'SegEnds_Xtal_BW#'!$A:$Z,6,FALSE)</f>
        <v>-</v>
      </c>
      <c r="G156" s="1">
        <v>37</v>
      </c>
      <c r="H156" s="12">
        <f>VLOOKUP($B156&amp;"__wt",'SegEnds_Xtal_BW#'!$A:$Z,8,FALSE)</f>
        <v>66</v>
      </c>
      <c r="I156" s="1">
        <f>VLOOKUP($B156&amp;"__wt",'SegEnds_Xtal_BW#'!$A:$Z,9,FALSE)</f>
        <v>49</v>
      </c>
      <c r="J156" s="1">
        <f>VLOOKUP($B156&amp;"__wt",'SegEnds_Xtal_BW#'!$A:$Z,10,FALSE)</f>
        <v>52</v>
      </c>
      <c r="K156" s="12">
        <v>18</v>
      </c>
      <c r="L156" s="1">
        <f>VLOOKUP($B156&amp;"__wt",'SegEnds_Xtal_BW#'!$A:$Z,12,FALSE)</f>
        <v>56</v>
      </c>
      <c r="M156" s="1">
        <f>VLOOKUP($B156&amp;"__wt",'SegEnds_Xtal_BW#'!$A:$Z,13,FALSE)</f>
        <v>50</v>
      </c>
      <c r="N156" s="12">
        <v>57</v>
      </c>
      <c r="O156" s="87">
        <f>VLOOKUP($B156&amp;"__wt",'SegEnds_Xtal_BW#'!$A:$Z,15,FALSE)</f>
        <v>38</v>
      </c>
      <c r="P156" s="1">
        <f>VLOOKUP($B156&amp;"__wt",'SegEnds_Xtal_BW#'!$A:$Z,16,FALSE)</f>
        <v>64</v>
      </c>
      <c r="Q156" s="1">
        <f>VLOOKUP($B156&amp;"__wt",'SegEnds_Xtal_BW#'!$A:$Z,17,FALSE)</f>
        <v>50</v>
      </c>
      <c r="R156" s="1">
        <f>VLOOKUP($B156&amp;"__wt",'SegEnds_Xtal_BW#'!$A:$Z,18,FALSE)</f>
        <v>52</v>
      </c>
      <c r="S156" s="1">
        <f>VLOOKUP($B156&amp;"__wt",'SegEnds_Xtal_BW#'!$A:$Z,19,FALSE)</f>
        <v>32</v>
      </c>
      <c r="T156" s="1">
        <f t="array" ref="T156">INDEX(ICL3_classA!$G$2:$G$37,MATCH(MIN(ABS(AI156-ICL3_classA!$F$2:$F$37)),ABS(AI156-ICL3_classA!$F$2:$F$37),0))</f>
        <v>67</v>
      </c>
      <c r="U156" s="1">
        <f t="array" ref="U156">INDEX(ICL3_classA!$H$2:$H$37,MATCH(MIN(ABS(AI156-ICL3_classA!$F$2:$F$37)),ABS(AI156-ICL3_classA!$F$2:$F$37),0))</f>
        <v>26</v>
      </c>
      <c r="V156" s="1">
        <v>64</v>
      </c>
      <c r="W156" s="1">
        <v>24</v>
      </c>
      <c r="X156" s="1">
        <f>VLOOKUP($B156&amp;"__wt",'SegEnds_Xtal_BW#'!$A:$Z,24,FALSE)</f>
        <v>56</v>
      </c>
      <c r="Y156" s="1">
        <f>VLOOKUP($B156&amp;"__wt",'SegEnds_Xtal_BW#'!$A:$Z,25,FALSE)</f>
        <v>47</v>
      </c>
      <c r="Z156" s="1">
        <f>VLOOKUP($B156&amp;"__wt",'SegEnds_Xtal_BW#'!$A:$Z,26,FALSE)</f>
        <v>59</v>
      </c>
      <c r="AA156" s="27" t="str">
        <f>VLOOKUP(A156,Classification!A:B,2,FALSE)</f>
        <v>A</v>
      </c>
      <c r="AB156" s="1">
        <f>VLOOKUP(A156,'SegEnds_NonXtal_Prot#'!A:AL,10,FALSE)-VLOOKUP(A156,'SegEnds_NonXtal_Prot#'!A:AL,4,FALSE)</f>
        <v>28</v>
      </c>
      <c r="AC156" s="1" t="e">
        <f>VLOOKUP(A156,'SegEnds_NonXtal_Prot#'!A:AL,10,FALSE)-VLOOKUP(A156,'SegEnds_NonXtal_Prot#'!A:AL,7,FALSE)</f>
        <v>#VALUE!</v>
      </c>
      <c r="AD156" s="1">
        <f>VLOOKUP(A156,'SegEnds_NonXtal_Prot#'!A:AL,13,FALSE)-VLOOKUP(A156,'SegEnds_NonXtal_Prot#'!A:AL,10,FALSE)</f>
        <v>20</v>
      </c>
      <c r="AE156" s="1">
        <f>VLOOKUP(A156,'SegEnds_NonXtal_Prot#'!A:AL,16,FALSE)-VLOOKUP(A156,'SegEnds_NonXtal_Prot#'!A:AL,10,FALSE)</f>
        <v>52</v>
      </c>
      <c r="AF156" s="1">
        <f>VLOOKUP(A156,'SegEnds_NonXtal_Prot#'!A:AL,22,FALSE)-VLOOKUP(A156,'SegEnds_NonXtal_Prot#'!A:AL,19,FALSE)</f>
        <v>20</v>
      </c>
      <c r="AG156" s="1">
        <f>VLOOKUP(A156,'SegEnds_NonXtal_Prot#'!A:AL,28,FALSE)-VLOOKUP(A156,'SegEnds_NonXtal_Prot#'!A:AL,25,FALSE)</f>
        <v>23</v>
      </c>
      <c r="AH156" s="1">
        <f>VLOOKUP(A156,'SegEnds_NonXtal_Prot#'!A:AL,28,FALSE)-VLOOKUP(A156,'SegEnds_NonXtal_Prot#'!A:AL,22,FALSE)</f>
        <v>48</v>
      </c>
      <c r="AI156" s="1">
        <f>VLOOKUP(A156,'SegEnds_NonXtal_Prot#'!A:AL,31,FALSE)-VLOOKUP(A156,'SegEnds_NonXtal_Prot#'!A:AL,28,FALSE)</f>
        <v>46</v>
      </c>
      <c r="AJ156" s="1">
        <f>VLOOKUP(A156,'SegEnds_NonXtal_Prot#'!A:AL,34,FALSE)-VLOOKUP(A156,'SegEnds_NonXtal_Prot#'!A:AL,31,FALSE)</f>
        <v>45</v>
      </c>
      <c r="AK156" s="1">
        <f>VLOOKUP(A156,'SegEnds_NonXtal_Prot#'!A:AL,37,FALSE)-VLOOKUP(A156,'SegEnds_NonXtal_Prot#'!A:AL,34,FALSE)</f>
        <v>10</v>
      </c>
      <c r="AL156" s="1" t="str">
        <f>IF(ISERROR(MATCH(A156,'SegEnds_Xtal_Prot#'!B:B, 0)), "NoXtal", "Xtal")</f>
        <v>NoXtal</v>
      </c>
    </row>
    <row r="157" spans="1:38" x14ac:dyDescent="0.2">
      <c r="A157" s="1" t="s">
        <v>278</v>
      </c>
      <c r="B157" s="1" t="str">
        <f>VLOOKUP(A157,Xtal_Templ!A:B,2,FALSE)</f>
        <v>hrh1_human</v>
      </c>
      <c r="C157" s="5">
        <f>VLOOKUP($B157&amp;"__wt",'SegEnds_Xtal_BW#'!$A:$Z,3,FALSE)</f>
        <v>34</v>
      </c>
      <c r="D157" s="1">
        <f>VLOOKUP($B157&amp;"__wt",'SegEnds_Xtal_BW#'!$A:$Z,4,FALSE)</f>
        <v>60</v>
      </c>
      <c r="E157" s="1">
        <f>VLOOKUP($B157&amp;"__wt",'SegEnds_Xtal_BW#'!$A:$Z,5,FALSE)</f>
        <v>48</v>
      </c>
      <c r="F157" s="1">
        <f>VLOOKUP($B157&amp;"__wt",'SegEnds_Xtal_BW#'!$A:$Z,6,FALSE)</f>
        <v>51</v>
      </c>
      <c r="G157" s="1">
        <v>37</v>
      </c>
      <c r="H157" s="12">
        <f>VLOOKUP($B157&amp;"__wt",'SegEnds_Xtal_BW#'!$A:$Z,8,FALSE)</f>
        <v>67</v>
      </c>
      <c r="I157" s="1">
        <f>VLOOKUP($B157&amp;"__wt",'SegEnds_Xtal_BW#'!$A:$Z,9,FALSE)</f>
        <v>49</v>
      </c>
      <c r="J157" s="1">
        <f>VLOOKUP($B157&amp;"__wt",'SegEnds_Xtal_BW#'!$A:$Z,10,FALSE)</f>
        <v>52</v>
      </c>
      <c r="K157" s="12">
        <v>18</v>
      </c>
      <c r="L157" s="1">
        <f>VLOOKUP($B157&amp;"__wt",'SegEnds_Xtal_BW#'!$A:$Z,12,FALSE)</f>
        <v>56</v>
      </c>
      <c r="M157" s="1">
        <f>VLOOKUP($B157&amp;"__wt",'SegEnds_Xtal_BW#'!$A:$Z,13,FALSE)</f>
        <v>50</v>
      </c>
      <c r="N157" s="12">
        <f>VLOOKUP($B157&amp;"__wt",'SegEnds_Xtal_BW#'!$A:$Z,14,FALSE)</f>
        <v>57</v>
      </c>
      <c r="O157" s="87">
        <f>VLOOKUP($B157&amp;"__wt",'SegEnds_Xtal_BW#'!$A:$Z,15,FALSE)</f>
        <v>38</v>
      </c>
      <c r="P157" s="1">
        <f>VLOOKUP($B157&amp;"__wt",'SegEnds_Xtal_BW#'!$A:$Z,16,FALSE)</f>
        <v>62</v>
      </c>
      <c r="Q157" s="1">
        <f>VLOOKUP($B157&amp;"__wt",'SegEnds_Xtal_BW#'!$A:$Z,17,FALSE)</f>
        <v>50</v>
      </c>
      <c r="R157" s="1">
        <f>VLOOKUP($B157&amp;"__wt",'SegEnds_Xtal_BW#'!$A:$Z,18,FALSE)</f>
        <v>52</v>
      </c>
      <c r="S157" s="1">
        <v>35</v>
      </c>
      <c r="T157" s="1">
        <f t="array" ref="T157">INDEX(ICL3_classA!$G$2:$G$37,MATCH(MIN(ABS(AI157-ICL3_classA!$F$2:$F$37)),ABS(AI157-ICL3_classA!$F$2:$F$37),0))</f>
        <v>76</v>
      </c>
      <c r="U157" s="1">
        <f t="array" ref="U157">INDEX(ICL3_classA!$H$2:$H$37,MATCH(MIN(ABS(AI157-ICL3_classA!$F$2:$F$37)),ABS(AI157-ICL3_classA!$F$2:$F$37),0))</f>
        <v>24</v>
      </c>
      <c r="V157" s="1">
        <v>61</v>
      </c>
      <c r="W157" s="1">
        <v>31</v>
      </c>
      <c r="X157" s="1">
        <f>VLOOKUP($B157&amp;"__wt",'SegEnds_Xtal_BW#'!$A:$Z,24,FALSE)</f>
        <v>56</v>
      </c>
      <c r="Y157" s="1">
        <f>VLOOKUP($B157&amp;"__wt",'SegEnds_Xtal_BW#'!$A:$Z,25,FALSE)</f>
        <v>47</v>
      </c>
      <c r="Z157" s="1">
        <f>VLOOKUP($B157&amp;"__wt",'SegEnds_Xtal_BW#'!$A:$Z,26,FALSE)</f>
        <v>59</v>
      </c>
      <c r="AA157" s="27" t="str">
        <f>VLOOKUP(A157,Classification!A:B,2,FALSE)</f>
        <v>A</v>
      </c>
      <c r="AB157" s="1">
        <f>VLOOKUP(A157,'SegEnds_NonXtal_Prot#'!A:AL,10,FALSE)-VLOOKUP(A157,'SegEnds_NonXtal_Prot#'!A:AL,4,FALSE)</f>
        <v>28</v>
      </c>
      <c r="AC157" s="1">
        <f>VLOOKUP(A157,'SegEnds_NonXtal_Prot#'!A:AL,10,FALSE)-VLOOKUP(A157,'SegEnds_NonXtal_Prot#'!A:AL,7,FALSE)</f>
        <v>15</v>
      </c>
      <c r="AD157" s="1">
        <f>VLOOKUP(A157,'SegEnds_NonXtal_Prot#'!A:AL,13,FALSE)-VLOOKUP(A157,'SegEnds_NonXtal_Prot#'!A:AL,10,FALSE)</f>
        <v>20</v>
      </c>
      <c r="AE157" s="1">
        <f>VLOOKUP(A157,'SegEnds_NonXtal_Prot#'!A:AL,16,FALSE)-VLOOKUP(A157,'SegEnds_NonXtal_Prot#'!A:AL,10,FALSE)</f>
        <v>52</v>
      </c>
      <c r="AF157" s="1">
        <f>VLOOKUP(A157,'SegEnds_NonXtal_Prot#'!A:AL,22,FALSE)-VLOOKUP(A157,'SegEnds_NonXtal_Prot#'!A:AL,19,FALSE)</f>
        <v>20</v>
      </c>
      <c r="AG157" s="1">
        <f>VLOOKUP(A157,'SegEnds_NonXtal_Prot#'!A:AL,28,FALSE)-VLOOKUP(A157,'SegEnds_NonXtal_Prot#'!A:AL,25,FALSE)</f>
        <v>22</v>
      </c>
      <c r="AH157" s="1">
        <f>VLOOKUP(A157,'SegEnds_NonXtal_Prot#'!A:AL,28,FALSE)-VLOOKUP(A157,'SegEnds_NonXtal_Prot#'!A:AL,22,FALSE)</f>
        <v>50</v>
      </c>
      <c r="AI157" s="1">
        <f>VLOOKUP(A157,'SegEnds_NonXtal_Prot#'!A:AL,31,FALSE)-VLOOKUP(A157,'SegEnds_NonXtal_Prot#'!A:AL,28,FALSE)</f>
        <v>228</v>
      </c>
      <c r="AJ157" s="1">
        <f>VLOOKUP(A157,'SegEnds_NonXtal_Prot#'!A:AL,34,FALSE)-VLOOKUP(A157,'SegEnds_NonXtal_Prot#'!A:AL,31,FALSE)</f>
        <v>35</v>
      </c>
      <c r="AK157" s="1">
        <f>VLOOKUP(A157,'SegEnds_NonXtal_Prot#'!A:AL,37,FALSE)-VLOOKUP(A157,'SegEnds_NonXtal_Prot#'!A:AL,34,FALSE)</f>
        <v>10</v>
      </c>
      <c r="AL157" s="1" t="str">
        <f>IF(ISERROR(MATCH(A157,'SegEnds_Xtal_Prot#'!B:B, 0)), "NoXtal", "Xtal")</f>
        <v>Xtal</v>
      </c>
    </row>
    <row r="158" spans="1:38" x14ac:dyDescent="0.2">
      <c r="A158" s="1" t="s">
        <v>279</v>
      </c>
      <c r="B158" s="1" t="str">
        <f>VLOOKUP(A158,Xtal_Templ!A:B,2,FALSE)</f>
        <v>adrb2_human</v>
      </c>
      <c r="C158" s="5">
        <f>VLOOKUP($B158&amp;"__wt",'SegEnds_Xtal_BW#'!$A:$Z,3,FALSE)</f>
        <v>25</v>
      </c>
      <c r="D158" s="1">
        <f>VLOOKUP($B158&amp;"__wt",'SegEnds_Xtal_BW#'!$A:$Z,4,FALSE)</f>
        <v>60</v>
      </c>
      <c r="E158" s="1">
        <f>VLOOKUP($B158&amp;"__wt",'SegEnds_Xtal_BW#'!$A:$Z,5,FALSE)</f>
        <v>48</v>
      </c>
      <c r="F158" s="1">
        <f>VLOOKUP($B158&amp;"__wt",'SegEnds_Xtal_BW#'!$A:$Z,6,FALSE)</f>
        <v>51</v>
      </c>
      <c r="G158" s="1">
        <v>37</v>
      </c>
      <c r="H158" s="12">
        <f>VLOOKUP($B158&amp;"__wt",'SegEnds_Xtal_BW#'!$A:$Z,8,FALSE)</f>
        <v>67</v>
      </c>
      <c r="I158" s="1">
        <f>VLOOKUP($B158&amp;"__wt",'SegEnds_Xtal_BW#'!$A:$Z,9,FALSE)</f>
        <v>49</v>
      </c>
      <c r="J158" s="1">
        <f>VLOOKUP($B158&amp;"__wt",'SegEnds_Xtal_BW#'!$A:$Z,10,FALSE)</f>
        <v>52</v>
      </c>
      <c r="K158" s="12">
        <v>18</v>
      </c>
      <c r="L158" s="1">
        <f>VLOOKUP($B158&amp;"__wt",'SegEnds_Xtal_BW#'!$A:$Z,12,FALSE)</f>
        <v>56</v>
      </c>
      <c r="M158" s="1">
        <f>VLOOKUP($B158&amp;"__wt",'SegEnds_Xtal_BW#'!$A:$Z,13,FALSE)</f>
        <v>50</v>
      </c>
      <c r="N158" s="12">
        <v>57</v>
      </c>
      <c r="O158" s="87">
        <v>38</v>
      </c>
      <c r="P158" s="1">
        <f>VLOOKUP($B158&amp;"__wt",'SegEnds_Xtal_BW#'!$A:$Z,16,FALSE)</f>
        <v>64</v>
      </c>
      <c r="Q158" s="1">
        <f>VLOOKUP($B158&amp;"__wt",'SegEnds_Xtal_BW#'!$A:$Z,17,FALSE)</f>
        <v>50</v>
      </c>
      <c r="R158" s="1">
        <f>VLOOKUP($B158&amp;"__wt",'SegEnds_Xtal_BW#'!$A:$Z,18,FALSE)</f>
        <v>52</v>
      </c>
      <c r="S158" s="1">
        <v>35</v>
      </c>
      <c r="T158" s="1">
        <f t="array" ref="T158">INDEX(ICL3_classA!$G$2:$G$37,MATCH(MIN(ABS(AI158-ICL3_classA!$F$2:$F$37)),ABS(AI158-ICL3_classA!$F$2:$F$37),0))</f>
        <v>73</v>
      </c>
      <c r="U158" s="1">
        <f t="array" ref="U158">INDEX(ICL3_classA!$H$2:$H$37,MATCH(MIN(ABS(AI158-ICL3_classA!$F$2:$F$37)),ABS(AI158-ICL3_classA!$F$2:$F$37),0))</f>
        <v>22</v>
      </c>
      <c r="V158" s="1">
        <v>61</v>
      </c>
      <c r="W158" s="1">
        <v>31</v>
      </c>
      <c r="X158" s="108">
        <v>56</v>
      </c>
      <c r="Y158" s="1">
        <f>VLOOKUP($B158&amp;"__wt",'SegEnds_Xtal_BW#'!$A:$Z,25,FALSE)</f>
        <v>47</v>
      </c>
      <c r="Z158" s="1">
        <f>VLOOKUP($B158&amp;"__wt",'SegEnds_Xtal_BW#'!$A:$Z,26,FALSE)</f>
        <v>59</v>
      </c>
      <c r="AA158" s="27" t="str">
        <f>VLOOKUP(A158,Classification!A:B,2,FALSE)</f>
        <v>A</v>
      </c>
      <c r="AB158" s="1">
        <f>VLOOKUP(A158,'SegEnds_NonXtal_Prot#'!A:AL,10,FALSE)-VLOOKUP(A158,'SegEnds_NonXtal_Prot#'!A:AL,4,FALSE)</f>
        <v>28</v>
      </c>
      <c r="AC158" s="1">
        <f>VLOOKUP(A158,'SegEnds_NonXtal_Prot#'!A:AL,10,FALSE)-VLOOKUP(A158,'SegEnds_NonXtal_Prot#'!A:AL,7,FALSE)</f>
        <v>15</v>
      </c>
      <c r="AD158" s="1">
        <f>VLOOKUP(A158,'SegEnds_NonXtal_Prot#'!A:AL,13,FALSE)-VLOOKUP(A158,'SegEnds_NonXtal_Prot#'!A:AL,10,FALSE)</f>
        <v>20</v>
      </c>
      <c r="AE158" s="1">
        <f>VLOOKUP(A158,'SegEnds_NonXtal_Prot#'!A:AL,16,FALSE)-VLOOKUP(A158,'SegEnds_NonXtal_Prot#'!A:AL,10,FALSE)</f>
        <v>52</v>
      </c>
      <c r="AF158" s="1">
        <f>VLOOKUP(A158,'SegEnds_NonXtal_Prot#'!A:AL,22,FALSE)-VLOOKUP(A158,'SegEnds_NonXtal_Prot#'!A:AL,19,FALSE)</f>
        <v>20</v>
      </c>
      <c r="AG158" s="1">
        <f>VLOOKUP(A158,'SegEnds_NonXtal_Prot#'!A:AL,28,FALSE)-VLOOKUP(A158,'SegEnds_NonXtal_Prot#'!A:AL,25,FALSE)</f>
        <v>20</v>
      </c>
      <c r="AH158" s="1">
        <f>VLOOKUP(A158,'SegEnds_NonXtal_Prot#'!A:AL,28,FALSE)-VLOOKUP(A158,'SegEnds_NonXtal_Prot#'!A:AL,22,FALSE)</f>
        <v>51</v>
      </c>
      <c r="AI158" s="1">
        <f>VLOOKUP(A158,'SegEnds_NonXtal_Prot#'!A:AL,31,FALSE)-VLOOKUP(A158,'SegEnds_NonXtal_Prot#'!A:AL,28,FALSE)</f>
        <v>55</v>
      </c>
      <c r="AJ158" s="1">
        <f>VLOOKUP(A158,'SegEnds_NonXtal_Prot#'!A:AL,34,FALSE)-VLOOKUP(A158,'SegEnds_NonXtal_Prot#'!A:AL,31,FALSE)</f>
        <v>36</v>
      </c>
      <c r="AK158" s="1">
        <f>VLOOKUP(A158,'SegEnds_NonXtal_Prot#'!A:AL,37,FALSE)-VLOOKUP(A158,'SegEnds_NonXtal_Prot#'!A:AL,34,FALSE)</f>
        <v>10</v>
      </c>
      <c r="AL158" s="1" t="str">
        <f>IF(ISERROR(MATCH(A158,'SegEnds_Xtal_Prot#'!B:B, 0)), "NoXtal", "Xtal")</f>
        <v>NoXtal</v>
      </c>
    </row>
    <row r="159" spans="1:38" x14ac:dyDescent="0.2">
      <c r="A159" s="1" t="s">
        <v>280</v>
      </c>
      <c r="B159" s="1" t="str">
        <f>VLOOKUP(A159,Xtal_Templ!A:B,2,FALSE)</f>
        <v>hrh1_human</v>
      </c>
      <c r="C159" s="5">
        <f>VLOOKUP($B159&amp;"__wt",'SegEnds_Xtal_BW#'!$A:$Z,3,FALSE)</f>
        <v>34</v>
      </c>
      <c r="D159" s="1">
        <f>VLOOKUP($B159&amp;"__wt",'SegEnds_Xtal_BW#'!$A:$Z,4,FALSE)</f>
        <v>60</v>
      </c>
      <c r="E159" s="1">
        <f>VLOOKUP($B159&amp;"__wt",'SegEnds_Xtal_BW#'!$A:$Z,5,FALSE)</f>
        <v>48</v>
      </c>
      <c r="F159" s="1">
        <f>VLOOKUP($B159&amp;"__wt",'SegEnds_Xtal_BW#'!$A:$Z,6,FALSE)</f>
        <v>51</v>
      </c>
      <c r="G159" s="1">
        <v>37</v>
      </c>
      <c r="H159" s="12">
        <f>VLOOKUP($B159&amp;"__wt",'SegEnds_Xtal_BW#'!$A:$Z,8,FALSE)</f>
        <v>67</v>
      </c>
      <c r="I159" s="1">
        <f>VLOOKUP($B159&amp;"__wt",'SegEnds_Xtal_BW#'!$A:$Z,9,FALSE)</f>
        <v>49</v>
      </c>
      <c r="J159" s="1">
        <f>VLOOKUP($B159&amp;"__wt",'SegEnds_Xtal_BW#'!$A:$Z,10,FALSE)</f>
        <v>52</v>
      </c>
      <c r="K159" s="12">
        <v>18</v>
      </c>
      <c r="L159" s="1">
        <f>VLOOKUP($B159&amp;"__wt",'SegEnds_Xtal_BW#'!$A:$Z,12,FALSE)</f>
        <v>56</v>
      </c>
      <c r="M159" s="1">
        <f>VLOOKUP($B159&amp;"__wt",'SegEnds_Xtal_BW#'!$A:$Z,13,FALSE)</f>
        <v>50</v>
      </c>
      <c r="N159" s="12">
        <v>58</v>
      </c>
      <c r="O159" s="87">
        <f>VLOOKUP($B159&amp;"__wt",'SegEnds_Xtal_BW#'!$A:$Z,15,FALSE)</f>
        <v>38</v>
      </c>
      <c r="P159" s="1">
        <v>63</v>
      </c>
      <c r="Q159" s="1">
        <f>VLOOKUP($B159&amp;"__wt",'SegEnds_Xtal_BW#'!$A:$Z,17,FALSE)</f>
        <v>50</v>
      </c>
      <c r="R159" s="1">
        <f>VLOOKUP($B159&amp;"__wt",'SegEnds_Xtal_BW#'!$A:$Z,18,FALSE)</f>
        <v>52</v>
      </c>
      <c r="S159" s="1">
        <v>35</v>
      </c>
      <c r="T159" s="1">
        <f t="array" ref="T159">INDEX(ICL3_classA!$G$2:$G$37,MATCH(MIN(ABS(AI159-ICL3_classA!$F$2:$F$37)),ABS(AI159-ICL3_classA!$F$2:$F$37),0))</f>
        <v>75</v>
      </c>
      <c r="U159" s="1">
        <f t="array" ref="U159">INDEX(ICL3_classA!$H$2:$H$37,MATCH(MIN(ABS(AI159-ICL3_classA!$F$2:$F$37)),ABS(AI159-ICL3_classA!$F$2:$F$37),0))</f>
        <v>24</v>
      </c>
      <c r="V159" s="1">
        <v>61</v>
      </c>
      <c r="W159" s="1">
        <v>31</v>
      </c>
      <c r="X159" s="1">
        <f>VLOOKUP($B159&amp;"__wt",'SegEnds_Xtal_BW#'!$A:$Z,24,FALSE)</f>
        <v>56</v>
      </c>
      <c r="Y159" s="1">
        <f>VLOOKUP($B159&amp;"__wt",'SegEnds_Xtal_BW#'!$A:$Z,25,FALSE)</f>
        <v>47</v>
      </c>
      <c r="Z159" s="1">
        <f>VLOOKUP($B159&amp;"__wt",'SegEnds_Xtal_BW#'!$A:$Z,26,FALSE)</f>
        <v>59</v>
      </c>
      <c r="AA159" s="27" t="str">
        <f>VLOOKUP(A159,Classification!A:B,2,FALSE)</f>
        <v>A</v>
      </c>
      <c r="AB159" s="1">
        <f>VLOOKUP(A159,'SegEnds_NonXtal_Prot#'!A:AL,10,FALSE)-VLOOKUP(A159,'SegEnds_NonXtal_Prot#'!A:AL,4,FALSE)</f>
        <v>28</v>
      </c>
      <c r="AC159" s="1">
        <f>VLOOKUP(A159,'SegEnds_NonXtal_Prot#'!A:AL,10,FALSE)-VLOOKUP(A159,'SegEnds_NonXtal_Prot#'!A:AL,7,FALSE)</f>
        <v>15</v>
      </c>
      <c r="AD159" s="1">
        <f>VLOOKUP(A159,'SegEnds_NonXtal_Prot#'!A:AL,13,FALSE)-VLOOKUP(A159,'SegEnds_NonXtal_Prot#'!A:AL,10,FALSE)</f>
        <v>20</v>
      </c>
      <c r="AE159" s="1">
        <f>VLOOKUP(A159,'SegEnds_NonXtal_Prot#'!A:AL,16,FALSE)-VLOOKUP(A159,'SegEnds_NonXtal_Prot#'!A:AL,10,FALSE)</f>
        <v>52</v>
      </c>
      <c r="AF159" s="1">
        <f>VLOOKUP(A159,'SegEnds_NonXtal_Prot#'!A:AL,22,FALSE)-VLOOKUP(A159,'SegEnds_NonXtal_Prot#'!A:AL,19,FALSE)</f>
        <v>21</v>
      </c>
      <c r="AG159" s="1">
        <f>VLOOKUP(A159,'SegEnds_NonXtal_Prot#'!A:AL,28,FALSE)-VLOOKUP(A159,'SegEnds_NonXtal_Prot#'!A:AL,25,FALSE)</f>
        <v>22</v>
      </c>
      <c r="AH159" s="1">
        <f>VLOOKUP(A159,'SegEnds_NonXtal_Prot#'!A:AL,28,FALSE)-VLOOKUP(A159,'SegEnds_NonXtal_Prot#'!A:AL,22,FALSE)</f>
        <v>50</v>
      </c>
      <c r="AI159" s="1">
        <f>VLOOKUP(A159,'SegEnds_NonXtal_Prot#'!A:AL,31,FALSE)-VLOOKUP(A159,'SegEnds_NonXtal_Prot#'!A:AL,28,FALSE)</f>
        <v>163</v>
      </c>
      <c r="AJ159" s="1">
        <f>VLOOKUP(A159,'SegEnds_NonXtal_Prot#'!A:AL,34,FALSE)-VLOOKUP(A159,'SegEnds_NonXtal_Prot#'!A:AL,31,FALSE)</f>
        <v>36</v>
      </c>
      <c r="AK159" s="1">
        <f>VLOOKUP(A159,'SegEnds_NonXtal_Prot#'!A:AL,37,FALSE)-VLOOKUP(A159,'SegEnds_NonXtal_Prot#'!A:AL,34,FALSE)</f>
        <v>10</v>
      </c>
      <c r="AL159" s="1" t="str">
        <f>IF(ISERROR(MATCH(A159,'SegEnds_Xtal_Prot#'!B:B, 0)), "NoXtal", "Xtal")</f>
        <v>NoXtal</v>
      </c>
    </row>
    <row r="160" spans="1:38" x14ac:dyDescent="0.2">
      <c r="A160" s="1" t="s">
        <v>281</v>
      </c>
      <c r="B160" s="1" t="str">
        <f>VLOOKUP(A160,Xtal_Templ!A:B,2,FALSE)</f>
        <v>acm3_rat</v>
      </c>
      <c r="C160" s="5">
        <f>VLOOKUP($B160&amp;"__wt",'SegEnds_Xtal_BW#'!$A:$Z,3,FALSE)</f>
        <v>29</v>
      </c>
      <c r="D160" s="1">
        <f>VLOOKUP($B160&amp;"__wt",'SegEnds_Xtal_BW#'!$A:$Z,4,FALSE)</f>
        <v>60</v>
      </c>
      <c r="E160" s="1">
        <f>VLOOKUP($B160&amp;"__wt",'SegEnds_Xtal_BW#'!$A:$Z,5,FALSE)</f>
        <v>48</v>
      </c>
      <c r="F160" s="1">
        <f>VLOOKUP($B160&amp;"__wt",'SegEnds_Xtal_BW#'!$A:$Z,6,FALSE)</f>
        <v>51</v>
      </c>
      <c r="G160" s="1">
        <v>37</v>
      </c>
      <c r="H160" s="12">
        <v>66</v>
      </c>
      <c r="I160" s="1">
        <f>VLOOKUP($B160&amp;"__wt",'SegEnds_Xtal_BW#'!$A:$Z,9,FALSE)</f>
        <v>49</v>
      </c>
      <c r="J160" s="1">
        <f>VLOOKUP($B160&amp;"__wt",'SegEnds_Xtal_BW#'!$A:$Z,10,FALSE)</f>
        <v>52</v>
      </c>
      <c r="K160" s="12">
        <v>21</v>
      </c>
      <c r="L160" s="1">
        <f>VLOOKUP($B160&amp;"__wt",'SegEnds_Xtal_BW#'!$A:$Z,12,FALSE)</f>
        <v>56</v>
      </c>
      <c r="M160" s="1">
        <f>VLOOKUP($B160&amp;"__wt",'SegEnds_Xtal_BW#'!$A:$Z,13,FALSE)</f>
        <v>50</v>
      </c>
      <c r="N160" s="12">
        <v>58</v>
      </c>
      <c r="O160" s="87">
        <v>38</v>
      </c>
      <c r="P160" s="1">
        <v>63</v>
      </c>
      <c r="Q160" s="1">
        <f>VLOOKUP($B160&amp;"__wt",'SegEnds_Xtal_BW#'!$A:$Z,17,FALSE)</f>
        <v>50</v>
      </c>
      <c r="R160" s="1">
        <f>VLOOKUP($B160&amp;"__wt",'SegEnds_Xtal_BW#'!$A:$Z,18,FALSE)</f>
        <v>52</v>
      </c>
      <c r="S160" s="1">
        <v>35</v>
      </c>
      <c r="T160" s="1">
        <f t="array" ref="T160">INDEX(ICL3_classA!$G$2:$G$37,MATCH(MIN(ABS(AI160-ICL3_classA!$F$2:$F$37)),ABS(AI160-ICL3_classA!$F$2:$F$37),0))</f>
        <v>76</v>
      </c>
      <c r="U160" s="1">
        <f t="array" ref="U160">INDEX(ICL3_classA!$H$2:$H$37,MATCH(MIN(ABS(AI160-ICL3_classA!$F$2:$F$37)),ABS(AI160-ICL3_classA!$F$2:$F$37),0))</f>
        <v>24</v>
      </c>
      <c r="V160" s="1">
        <v>61</v>
      </c>
      <c r="W160" s="1">
        <v>31</v>
      </c>
      <c r="X160" s="1">
        <f>VLOOKUP($B160&amp;"__wt",'SegEnds_Xtal_BW#'!$A:$Z,24,FALSE)</f>
        <v>56</v>
      </c>
      <c r="Y160" s="1">
        <f>VLOOKUP($B160&amp;"__wt",'SegEnds_Xtal_BW#'!$A:$Z,25,FALSE)</f>
        <v>47</v>
      </c>
      <c r="Z160" s="1">
        <f>VLOOKUP($B160&amp;"__wt",'SegEnds_Xtal_BW#'!$A:$Z,26,FALSE)</f>
        <v>58</v>
      </c>
      <c r="AA160" s="27" t="str">
        <f>VLOOKUP(A160,Classification!A:B,2,FALSE)</f>
        <v>A</v>
      </c>
      <c r="AB160" s="1">
        <f>VLOOKUP(A160,'SegEnds_NonXtal_Prot#'!A:AL,10,FALSE)-VLOOKUP(A160,'SegEnds_NonXtal_Prot#'!A:AL,4,FALSE)</f>
        <v>28</v>
      </c>
      <c r="AC160" s="1">
        <f>VLOOKUP(A160,'SegEnds_NonXtal_Prot#'!A:AL,10,FALSE)-VLOOKUP(A160,'SegEnds_NonXtal_Prot#'!A:AL,7,FALSE)</f>
        <v>15</v>
      </c>
      <c r="AD160" s="1">
        <f>VLOOKUP(A160,'SegEnds_NonXtal_Prot#'!A:AL,13,FALSE)-VLOOKUP(A160,'SegEnds_NonXtal_Prot#'!A:AL,10,FALSE)</f>
        <v>19</v>
      </c>
      <c r="AE160" s="1">
        <f>VLOOKUP(A160,'SegEnds_NonXtal_Prot#'!A:AL,16,FALSE)-VLOOKUP(A160,'SegEnds_NonXtal_Prot#'!A:AL,10,FALSE)</f>
        <v>51</v>
      </c>
      <c r="AF160" s="1">
        <f>VLOOKUP(A160,'SegEnds_NonXtal_Prot#'!A:AL,22,FALSE)-VLOOKUP(A160,'SegEnds_NonXtal_Prot#'!A:AL,19,FALSE)</f>
        <v>21</v>
      </c>
      <c r="AG160" s="1">
        <f>VLOOKUP(A160,'SegEnds_NonXtal_Prot#'!A:AL,28,FALSE)-VLOOKUP(A160,'SegEnds_NonXtal_Prot#'!A:AL,25,FALSE)</f>
        <v>22</v>
      </c>
      <c r="AH160" s="1">
        <f>VLOOKUP(A160,'SegEnds_NonXtal_Prot#'!A:AL,28,FALSE)-VLOOKUP(A160,'SegEnds_NonXtal_Prot#'!A:AL,22,FALSE)</f>
        <v>46</v>
      </c>
      <c r="AI160" s="1">
        <f>VLOOKUP(A160,'SegEnds_NonXtal_Prot#'!A:AL,31,FALSE)-VLOOKUP(A160,'SegEnds_NonXtal_Prot#'!A:AL,28,FALSE)</f>
        <v>132</v>
      </c>
      <c r="AJ160" s="1">
        <f>VLOOKUP(A160,'SegEnds_NonXtal_Prot#'!A:AL,34,FALSE)-VLOOKUP(A160,'SegEnds_NonXtal_Prot#'!A:AL,31,FALSE)</f>
        <v>37</v>
      </c>
      <c r="AK160" s="1">
        <f>VLOOKUP(A160,'SegEnds_NonXtal_Prot#'!A:AL,37,FALSE)-VLOOKUP(A160,'SegEnds_NonXtal_Prot#'!A:AL,34,FALSE)</f>
        <v>10</v>
      </c>
      <c r="AL160" s="1" t="str">
        <f>IF(ISERROR(MATCH(A160,'SegEnds_Xtal_Prot#'!B:B, 0)), "NoXtal", "Xtal")</f>
        <v>NoXtal</v>
      </c>
    </row>
    <row r="161" spans="1:38" x14ac:dyDescent="0.2">
      <c r="A161" s="1" t="s">
        <v>282</v>
      </c>
      <c r="B161" s="1" t="str">
        <f>VLOOKUP(A161,Xtal_Templ!A:B,2,FALSE)</f>
        <v>oprk_human</v>
      </c>
      <c r="C161" s="5">
        <f>VLOOKUP($B161&amp;"__wt",'SegEnds_Xtal_BW#'!$A:$Z,3,FALSE)</f>
        <v>30</v>
      </c>
      <c r="D161" s="1">
        <f>VLOOKUP($B161&amp;"__wt",'SegEnds_Xtal_BW#'!$A:$Z,4,FALSE)</f>
        <v>60</v>
      </c>
      <c r="E161" s="1">
        <f>VLOOKUP($B161&amp;"__wt",'SegEnds_Xtal_BW#'!$A:$Z,5,FALSE)</f>
        <v>48</v>
      </c>
      <c r="F161" s="1">
        <f>VLOOKUP($B161&amp;"__wt",'SegEnds_Xtal_BW#'!$A:$Z,6,FALSE)</f>
        <v>51</v>
      </c>
      <c r="G161" s="1">
        <v>37</v>
      </c>
      <c r="H161" s="12">
        <f>VLOOKUP($B161&amp;"__wt",'SegEnds_Xtal_BW#'!$A:$Z,8,FALSE)</f>
        <v>67</v>
      </c>
      <c r="I161" s="1">
        <f>VLOOKUP($B161&amp;"__wt",'SegEnds_Xtal_BW#'!$A:$Z,9,FALSE)</f>
        <v>49</v>
      </c>
      <c r="J161" s="1">
        <f>VLOOKUP($B161&amp;"__wt",'SegEnds_Xtal_BW#'!$A:$Z,10,FALSE)</f>
        <v>52</v>
      </c>
      <c r="K161" s="12">
        <v>18</v>
      </c>
      <c r="L161" s="1">
        <f>VLOOKUP($B161&amp;"__wt",'SegEnds_Xtal_BW#'!$A:$Z,12,FALSE)</f>
        <v>56</v>
      </c>
      <c r="M161" s="1">
        <f>VLOOKUP($B161&amp;"__wt",'SegEnds_Xtal_BW#'!$A:$Z,13,FALSE)</f>
        <v>50</v>
      </c>
      <c r="N161" s="12">
        <v>57</v>
      </c>
      <c r="O161" s="87">
        <f>VLOOKUP($B161&amp;"__wt",'SegEnds_Xtal_BW#'!$A:$Z,15,FALSE)</f>
        <v>38</v>
      </c>
      <c r="P161" s="1">
        <f>VLOOKUP($B161&amp;"__wt",'SegEnds_Xtal_BW#'!$A:$Z,16,FALSE)</f>
        <v>64</v>
      </c>
      <c r="Q161" s="1">
        <f>VLOOKUP($B161&amp;"__wt",'SegEnds_Xtal_BW#'!$A:$Z,17,FALSE)</f>
        <v>50</v>
      </c>
      <c r="R161" s="1">
        <f>VLOOKUP($B161&amp;"__wt",'SegEnds_Xtal_BW#'!$A:$Z,18,FALSE)</f>
        <v>52</v>
      </c>
      <c r="S161" s="1">
        <f>VLOOKUP($B161&amp;"__wt",'SegEnds_Xtal_BW#'!$A:$Z,19,FALSE)</f>
        <v>30</v>
      </c>
      <c r="T161" s="1">
        <f t="array" ref="T161">INDEX(ICL3_classA!$G$2:$G$37,MATCH(MIN(ABS(AI161-ICL3_classA!$F$2:$F$37)),ABS(AI161-ICL3_classA!$F$2:$F$37),0))</f>
        <v>74</v>
      </c>
      <c r="U161" s="1">
        <f t="array" ref="U161">INDEX(ICL3_classA!$H$2:$H$37,MATCH(MIN(ABS(AI161-ICL3_classA!$F$2:$F$37)),ABS(AI161-ICL3_classA!$F$2:$F$37),0))</f>
        <v>21</v>
      </c>
      <c r="V161" s="1">
        <v>61</v>
      </c>
      <c r="W161" s="1">
        <v>28</v>
      </c>
      <c r="X161" s="1">
        <f>VLOOKUP($B161&amp;"__wt",'SegEnds_Xtal_BW#'!$A:$Z,24,FALSE)</f>
        <v>56</v>
      </c>
      <c r="Y161" s="1">
        <f>VLOOKUP($B161&amp;"__wt",'SegEnds_Xtal_BW#'!$A:$Z,25,FALSE)</f>
        <v>47</v>
      </c>
      <c r="Z161" s="1">
        <f>VLOOKUP($B161&amp;"__wt",'SegEnds_Xtal_BW#'!$A:$Z,26,FALSE)</f>
        <v>59</v>
      </c>
      <c r="AA161" s="27" t="str">
        <f>VLOOKUP(A161,Classification!A:B,2,FALSE)</f>
        <v>A</v>
      </c>
      <c r="AB161" s="1">
        <f>VLOOKUP(A161,'SegEnds_NonXtal_Prot#'!A:AL,10,FALSE)-VLOOKUP(A161,'SegEnds_NonXtal_Prot#'!A:AL,4,FALSE)</f>
        <v>28</v>
      </c>
      <c r="AC161" s="1">
        <f>VLOOKUP(A161,'SegEnds_NonXtal_Prot#'!A:AL,10,FALSE)-VLOOKUP(A161,'SegEnds_NonXtal_Prot#'!A:AL,7,FALSE)</f>
        <v>15</v>
      </c>
      <c r="AD161" s="1">
        <f>VLOOKUP(A161,'SegEnds_NonXtal_Prot#'!A:AL,13,FALSE)-VLOOKUP(A161,'SegEnds_NonXtal_Prot#'!A:AL,10,FALSE)</f>
        <v>20</v>
      </c>
      <c r="AE161" s="1">
        <f>VLOOKUP(A161,'SegEnds_NonXtal_Prot#'!A:AL,16,FALSE)-VLOOKUP(A161,'SegEnds_NonXtal_Prot#'!A:AL,10,FALSE)</f>
        <v>52</v>
      </c>
      <c r="AF161" s="1">
        <f>VLOOKUP(A161,'SegEnds_NonXtal_Prot#'!A:AL,22,FALSE)-VLOOKUP(A161,'SegEnds_NonXtal_Prot#'!A:AL,19,FALSE)</f>
        <v>20</v>
      </c>
      <c r="AG161" s="1">
        <f>VLOOKUP(A161,'SegEnds_NonXtal_Prot#'!A:AL,28,FALSE)-VLOOKUP(A161,'SegEnds_NonXtal_Prot#'!A:AL,25,FALSE)</f>
        <v>25</v>
      </c>
      <c r="AH161" s="1">
        <f>VLOOKUP(A161,'SegEnds_NonXtal_Prot#'!A:AL,28,FALSE)-VLOOKUP(A161,'SegEnds_NonXtal_Prot#'!A:AL,22,FALSE)</f>
        <v>49</v>
      </c>
      <c r="AI161" s="1">
        <f>VLOOKUP(A161,'SegEnds_NonXtal_Prot#'!A:AL,31,FALSE)-VLOOKUP(A161,'SegEnds_NonXtal_Prot#'!A:AL,28,FALSE)</f>
        <v>62</v>
      </c>
      <c r="AJ161" s="1">
        <f>VLOOKUP(A161,'SegEnds_NonXtal_Prot#'!A:AL,34,FALSE)-VLOOKUP(A161,'SegEnds_NonXtal_Prot#'!A:AL,31,FALSE)</f>
        <v>42</v>
      </c>
      <c r="AK161" s="1">
        <f>VLOOKUP(A161,'SegEnds_NonXtal_Prot#'!A:AL,37,FALSE)-VLOOKUP(A161,'SegEnds_NonXtal_Prot#'!A:AL,34,FALSE)</f>
        <v>10</v>
      </c>
      <c r="AL161" s="1" t="str">
        <f>IF(ISERROR(MATCH(A161,'SegEnds_Xtal_Prot#'!B:B, 0)), "NoXtal", "Xtal")</f>
        <v>NoXtal</v>
      </c>
    </row>
    <row r="162" spans="1:38" x14ac:dyDescent="0.2">
      <c r="A162" s="1" t="s">
        <v>283</v>
      </c>
      <c r="B162" s="1" t="str">
        <f>VLOOKUP(A162,Xtal_Templ!A:B,2,FALSE)</f>
        <v>agtr1_human</v>
      </c>
      <c r="C162" s="5">
        <f>VLOOKUP($B162&amp;"__wt",'SegEnds_Xtal_BW#'!$A:$Z,3,FALSE)</f>
        <v>30</v>
      </c>
      <c r="D162" s="1">
        <f>VLOOKUP($B162&amp;"__wt",'SegEnds_Xtal_BW#'!$A:$Z,4,FALSE)</f>
        <v>60</v>
      </c>
      <c r="E162" s="1">
        <f>VLOOKUP($B162&amp;"__wt",'SegEnds_Xtal_BW#'!$A:$Z,5,FALSE)</f>
        <v>48</v>
      </c>
      <c r="F162" s="1">
        <f>VLOOKUP($B162&amp;"__wt",'SegEnds_Xtal_BW#'!$A:$Z,6,FALSE)</f>
        <v>51</v>
      </c>
      <c r="G162" s="1">
        <v>37</v>
      </c>
      <c r="H162" s="12">
        <v>67</v>
      </c>
      <c r="I162" s="1">
        <f>VLOOKUP($B162&amp;"__wt",'SegEnds_Xtal_BW#'!$A:$Z,9,FALSE)</f>
        <v>49</v>
      </c>
      <c r="J162" s="1">
        <f>VLOOKUP($B162&amp;"__wt",'SegEnds_Xtal_BW#'!$A:$Z,10,FALSE)</f>
        <v>52</v>
      </c>
      <c r="K162" s="12">
        <v>18</v>
      </c>
      <c r="L162" s="1">
        <f>VLOOKUP($B162&amp;"__wt",'SegEnds_Xtal_BW#'!$A:$Z,12,FALSE)</f>
        <v>56</v>
      </c>
      <c r="M162" s="1">
        <f>VLOOKUP($B162&amp;"__wt",'SegEnds_Xtal_BW#'!$A:$Z,13,FALSE)</f>
        <v>50</v>
      </c>
      <c r="N162" s="12">
        <v>57</v>
      </c>
      <c r="O162" s="87">
        <f>VLOOKUP($B162&amp;"__wt",'SegEnds_Xtal_BW#'!$A:$Z,15,FALSE)</f>
        <v>38</v>
      </c>
      <c r="P162" s="1">
        <f>VLOOKUP($B162&amp;"__wt",'SegEnds_Xtal_BW#'!$A:$Z,16,FALSE)</f>
        <v>64</v>
      </c>
      <c r="Q162" s="1">
        <f>VLOOKUP($B162&amp;"__wt",'SegEnds_Xtal_BW#'!$A:$Z,17,FALSE)</f>
        <v>50</v>
      </c>
      <c r="R162" s="1">
        <f>VLOOKUP($B162&amp;"__wt",'SegEnds_Xtal_BW#'!$A:$Z,18,FALSE)</f>
        <v>52</v>
      </c>
      <c r="S162" s="1">
        <f>VLOOKUP($B162&amp;"__wt",'SegEnds_Xtal_BW#'!$A:$Z,19,FALSE)</f>
        <v>34</v>
      </c>
      <c r="T162" s="1">
        <f t="array" ref="T162">INDEX(ICL3_classA!$G$2:$G$37,MATCH(MIN(ABS(AI162-ICL3_classA!$F$2:$F$37)),ABS(AI162-ICL3_classA!$F$2:$F$37),0))</f>
        <v>67</v>
      </c>
      <c r="U162" s="1">
        <f t="array" ref="U162">INDEX(ICL3_classA!$H$2:$H$37,MATCH(MIN(ABS(AI162-ICL3_classA!$F$2:$F$37)),ABS(AI162-ICL3_classA!$F$2:$F$37),0))</f>
        <v>28</v>
      </c>
      <c r="V162" s="1">
        <v>61</v>
      </c>
      <c r="W162" s="1">
        <v>31</v>
      </c>
      <c r="X162" s="1">
        <f>VLOOKUP($B162&amp;"__wt",'SegEnds_Xtal_BW#'!$A:$Z,24,FALSE)</f>
        <v>56</v>
      </c>
      <c r="Y162" s="1">
        <f>VLOOKUP($B162&amp;"__wt",'SegEnds_Xtal_BW#'!$A:$Z,25,FALSE)</f>
        <v>47</v>
      </c>
      <c r="Z162" s="1">
        <f>VLOOKUP($B162&amp;"__wt",'SegEnds_Xtal_BW#'!$A:$Z,26,FALSE)</f>
        <v>61</v>
      </c>
      <c r="AA162" s="27" t="str">
        <f>VLOOKUP(A162,Classification!A:B,2,FALSE)</f>
        <v>A</v>
      </c>
      <c r="AB162" s="1">
        <f>VLOOKUP(A162,'SegEnds_NonXtal_Prot#'!A:AL,10,FALSE)-VLOOKUP(A162,'SegEnds_NonXtal_Prot#'!A:AL,4,FALSE)</f>
        <v>28</v>
      </c>
      <c r="AC162" s="1" t="e">
        <f>VLOOKUP(A162,'SegEnds_NonXtal_Prot#'!A:AL,10,FALSE)-VLOOKUP(A162,'SegEnds_NonXtal_Prot#'!A:AL,7,FALSE)</f>
        <v>#VALUE!</v>
      </c>
      <c r="AD162" s="1" t="e">
        <f>VLOOKUP(A162,'SegEnds_NonXtal_Prot#'!A:AL,13,FALSE)-VLOOKUP(A162,'SegEnds_NonXtal_Prot#'!A:AL,10,FALSE)</f>
        <v>#VALUE!</v>
      </c>
      <c r="AE162" s="1">
        <f>VLOOKUP(A162,'SegEnds_NonXtal_Prot#'!A:AL,16,FALSE)-VLOOKUP(A162,'SegEnds_NonXtal_Prot#'!A:AL,10,FALSE)</f>
        <v>59</v>
      </c>
      <c r="AF162" s="1">
        <f>VLOOKUP(A162,'SegEnds_NonXtal_Prot#'!A:AL,22,FALSE)-VLOOKUP(A162,'SegEnds_NonXtal_Prot#'!A:AL,19,FALSE)</f>
        <v>20</v>
      </c>
      <c r="AG162" s="1">
        <f>VLOOKUP(A162,'SegEnds_NonXtal_Prot#'!A:AL,28,FALSE)-VLOOKUP(A162,'SegEnds_NonXtal_Prot#'!A:AL,25,FALSE)</f>
        <v>24</v>
      </c>
      <c r="AH162" s="1">
        <f>VLOOKUP(A162,'SegEnds_NonXtal_Prot#'!A:AL,28,FALSE)-VLOOKUP(A162,'SegEnds_NonXtal_Prot#'!A:AL,22,FALSE)</f>
        <v>47</v>
      </c>
      <c r="AI162" s="1">
        <f>VLOOKUP(A162,'SegEnds_NonXtal_Prot#'!A:AL,31,FALSE)-VLOOKUP(A162,'SegEnds_NonXtal_Prot#'!A:AL,28,FALSE)</f>
        <v>45</v>
      </c>
      <c r="AJ162" s="1">
        <f>VLOOKUP(A162,'SegEnds_NonXtal_Prot#'!A:AL,34,FALSE)-VLOOKUP(A162,'SegEnds_NonXtal_Prot#'!A:AL,31,FALSE)</f>
        <v>36</v>
      </c>
      <c r="AK162" s="1">
        <f>VLOOKUP(A162,'SegEnds_NonXtal_Prot#'!A:AL,37,FALSE)-VLOOKUP(A162,'SegEnds_NonXtal_Prot#'!A:AL,34,FALSE)</f>
        <v>10</v>
      </c>
      <c r="AL162" s="1" t="str">
        <f>IF(ISERROR(MATCH(A162,'SegEnds_Xtal_Prot#'!B:B, 0)), "NoXtal", "Xtal")</f>
        <v>NoXtal</v>
      </c>
    </row>
    <row r="163" spans="1:38" x14ac:dyDescent="0.2">
      <c r="A163" s="1" t="s">
        <v>284</v>
      </c>
      <c r="B163" s="1" t="str">
        <f>VLOOKUP(A163,Xtal_Templ!A:B,2,FALSE)</f>
        <v>aa2ar_human</v>
      </c>
      <c r="C163" s="5">
        <f>VLOOKUP($B163&amp;"__wt",'SegEnds_Xtal_BW#'!$A:$Z,3,FALSE)</f>
        <v>27</v>
      </c>
      <c r="D163" s="1">
        <f>VLOOKUP($B163&amp;"__wt",'SegEnds_Xtal_BW#'!$A:$Z,4,FALSE)</f>
        <v>60</v>
      </c>
      <c r="E163" s="1">
        <f>VLOOKUP($B163&amp;"__wt",'SegEnds_Xtal_BW#'!$A:$Z,5,FALSE)</f>
        <v>48</v>
      </c>
      <c r="F163" s="1">
        <f>VLOOKUP($B163&amp;"__wt",'SegEnds_Xtal_BW#'!$A:$Z,6,FALSE)</f>
        <v>51</v>
      </c>
      <c r="G163" s="1">
        <v>37</v>
      </c>
      <c r="H163" s="12">
        <f>VLOOKUP($B163&amp;"__wt",'SegEnds_Xtal_BW#'!$A:$Z,8,FALSE)</f>
        <v>67</v>
      </c>
      <c r="I163" s="1">
        <v>49</v>
      </c>
      <c r="J163" s="1">
        <f>VLOOKUP($B163&amp;"__wt",'SegEnds_Xtal_BW#'!$A:$Z,10,FALSE)</f>
        <v>52</v>
      </c>
      <c r="K163" s="12">
        <v>18</v>
      </c>
      <c r="L163" s="1">
        <f>VLOOKUP($B163&amp;"__wt",'SegEnds_Xtal_BW#'!$A:$Z,12,FALSE)</f>
        <v>56</v>
      </c>
      <c r="M163" s="1">
        <f>VLOOKUP($B163&amp;"__wt",'SegEnds_Xtal_BW#'!$A:$Z,13,FALSE)</f>
        <v>50</v>
      </c>
      <c r="N163" s="12">
        <v>57</v>
      </c>
      <c r="O163" s="87">
        <f>VLOOKUP($B163&amp;"__wt",'SegEnds_Xtal_BW#'!$A:$Z,15,FALSE)</f>
        <v>38</v>
      </c>
      <c r="P163" s="1">
        <f>VLOOKUP($B163&amp;"__wt",'SegEnds_Xtal_BW#'!$A:$Z,16,FALSE)</f>
        <v>63</v>
      </c>
      <c r="Q163" s="1">
        <f>VLOOKUP($B163&amp;"__wt",'SegEnds_Xtal_BW#'!$A:$Z,17,FALSE)</f>
        <v>50</v>
      </c>
      <c r="R163" s="1">
        <f>VLOOKUP($B163&amp;"__wt",'SegEnds_Xtal_BW#'!$A:$Z,18,FALSE)</f>
        <v>52</v>
      </c>
      <c r="S163" s="1">
        <f>VLOOKUP($B163&amp;"__wt",'SegEnds_Xtal_BW#'!$A:$Z,19,FALSE)</f>
        <v>34</v>
      </c>
      <c r="T163" s="1">
        <f t="array" ref="T163">INDEX(ICL3_classA!$G$2:$G$37,MATCH(MIN(ABS(AI163-ICL3_classA!$F$2:$F$37)),ABS(AI163-ICL3_classA!$F$2:$F$37),0))</f>
        <v>67</v>
      </c>
      <c r="U163" s="1">
        <f t="array" ref="U163">INDEX(ICL3_classA!$H$2:$H$37,MATCH(MIN(ABS(AI163-ICL3_classA!$F$2:$F$37)),ABS(AI163-ICL3_classA!$F$2:$F$37),0))</f>
        <v>28</v>
      </c>
      <c r="V163" s="1">
        <v>61</v>
      </c>
      <c r="W163" s="1">
        <v>31</v>
      </c>
      <c r="X163" s="1">
        <f>VLOOKUP($B163&amp;"__wt",'SegEnds_Xtal_BW#'!$A:$Z,24,FALSE)</f>
        <v>56</v>
      </c>
      <c r="Y163" s="1">
        <f>VLOOKUP($B163&amp;"__wt",'SegEnds_Xtal_BW#'!$A:$Z,25,FALSE)</f>
        <v>47</v>
      </c>
      <c r="Z163" s="1">
        <f>VLOOKUP($B163&amp;"__wt",'SegEnds_Xtal_BW#'!$A:$Z,26,FALSE)</f>
        <v>69</v>
      </c>
      <c r="AA163" s="27" t="str">
        <f>VLOOKUP(A163,Classification!A:B,2,FALSE)</f>
        <v>A</v>
      </c>
      <c r="AB163" s="1">
        <f>VLOOKUP(A163,'SegEnds_NonXtal_Prot#'!A:AL,10,FALSE)-VLOOKUP(A163,'SegEnds_NonXtal_Prot#'!A:AL,4,FALSE)</f>
        <v>28</v>
      </c>
      <c r="AC163" s="1" t="e">
        <f>VLOOKUP(A163,'SegEnds_NonXtal_Prot#'!A:AL,10,FALSE)-VLOOKUP(A163,'SegEnds_NonXtal_Prot#'!A:AL,7,FALSE)</f>
        <v>#VALUE!</v>
      </c>
      <c r="AD163" s="1" t="e">
        <f>VLOOKUP(A163,'SegEnds_NonXtal_Prot#'!A:AL,13,FALSE)-VLOOKUP(A163,'SegEnds_NonXtal_Prot#'!A:AL,10,FALSE)</f>
        <v>#VALUE!</v>
      </c>
      <c r="AE163" s="1">
        <f>VLOOKUP(A163,'SegEnds_NonXtal_Prot#'!A:AL,16,FALSE)-VLOOKUP(A163,'SegEnds_NonXtal_Prot#'!A:AL,10,FALSE)</f>
        <v>59</v>
      </c>
      <c r="AF163" s="1">
        <f>VLOOKUP(A163,'SegEnds_NonXtal_Prot#'!A:AL,22,FALSE)-VLOOKUP(A163,'SegEnds_NonXtal_Prot#'!A:AL,19,FALSE)</f>
        <v>20</v>
      </c>
      <c r="AG163" s="1">
        <f>VLOOKUP(A163,'SegEnds_NonXtal_Prot#'!A:AL,28,FALSE)-VLOOKUP(A163,'SegEnds_NonXtal_Prot#'!A:AL,25,FALSE)</f>
        <v>24</v>
      </c>
      <c r="AH163" s="1">
        <f>VLOOKUP(A163,'SegEnds_NonXtal_Prot#'!A:AL,28,FALSE)-VLOOKUP(A163,'SegEnds_NonXtal_Prot#'!A:AL,22,FALSE)</f>
        <v>47</v>
      </c>
      <c r="AI163" s="1">
        <f>VLOOKUP(A163,'SegEnds_NonXtal_Prot#'!A:AL,31,FALSE)-VLOOKUP(A163,'SegEnds_NonXtal_Prot#'!A:AL,28,FALSE)</f>
        <v>45</v>
      </c>
      <c r="AJ163" s="1">
        <f>VLOOKUP(A163,'SegEnds_NonXtal_Prot#'!A:AL,34,FALSE)-VLOOKUP(A163,'SegEnds_NonXtal_Prot#'!A:AL,31,FALSE)</f>
        <v>36</v>
      </c>
      <c r="AK163" s="1">
        <f>VLOOKUP(A163,'SegEnds_NonXtal_Prot#'!A:AL,37,FALSE)-VLOOKUP(A163,'SegEnds_NonXtal_Prot#'!A:AL,34,FALSE)</f>
        <v>10</v>
      </c>
      <c r="AL163" s="1" t="str">
        <f>IF(ISERROR(MATCH(A163,'SegEnds_Xtal_Prot#'!B:B, 0)), "NoXtal", "Xtal")</f>
        <v>NoXtal</v>
      </c>
    </row>
    <row r="164" spans="1:38" x14ac:dyDescent="0.2">
      <c r="A164" s="1" t="s">
        <v>285</v>
      </c>
      <c r="B164" s="1" t="str">
        <f>VLOOKUP(A164,Xtal_Templ!A:B,2,FALSE)</f>
        <v>adrb2_human</v>
      </c>
      <c r="C164" s="5">
        <f>VLOOKUP($B164&amp;"__wt",'SegEnds_Xtal_BW#'!$A:$Z,3,FALSE)</f>
        <v>25</v>
      </c>
      <c r="D164" s="1">
        <f>VLOOKUP($B164&amp;"__wt",'SegEnds_Xtal_BW#'!$A:$Z,4,FALSE)</f>
        <v>60</v>
      </c>
      <c r="E164" s="1">
        <f>VLOOKUP($B164&amp;"__wt",'SegEnds_Xtal_BW#'!$A:$Z,5,FALSE)</f>
        <v>48</v>
      </c>
      <c r="F164" s="1">
        <f>VLOOKUP($B164&amp;"__wt",'SegEnds_Xtal_BW#'!$A:$Z,6,FALSE)</f>
        <v>51</v>
      </c>
      <c r="G164" s="1">
        <v>37</v>
      </c>
      <c r="H164" s="12">
        <f>VLOOKUP($B164&amp;"__wt",'SegEnds_Xtal_BW#'!$A:$Z,8,FALSE)</f>
        <v>67</v>
      </c>
      <c r="I164" s="1">
        <f>VLOOKUP($B164&amp;"__wt",'SegEnds_Xtal_BW#'!$A:$Z,9,FALSE)</f>
        <v>49</v>
      </c>
      <c r="J164" s="1">
        <f>VLOOKUP($B164&amp;"__wt",'SegEnds_Xtal_BW#'!$A:$Z,10,FALSE)</f>
        <v>52</v>
      </c>
      <c r="K164" s="12">
        <v>18</v>
      </c>
      <c r="L164" s="1">
        <f>VLOOKUP($B164&amp;"__wt",'SegEnds_Xtal_BW#'!$A:$Z,12,FALSE)</f>
        <v>56</v>
      </c>
      <c r="M164" s="1">
        <f>VLOOKUP($B164&amp;"__wt",'SegEnds_Xtal_BW#'!$A:$Z,13,FALSE)</f>
        <v>50</v>
      </c>
      <c r="N164" s="12">
        <v>57</v>
      </c>
      <c r="O164" s="87">
        <f>VLOOKUP($B164&amp;"__wt",'SegEnds_Xtal_BW#'!$A:$Z,15,FALSE)</f>
        <v>38</v>
      </c>
      <c r="P164" s="1">
        <f>VLOOKUP($B164&amp;"__wt",'SegEnds_Xtal_BW#'!$A:$Z,16,FALSE)</f>
        <v>64</v>
      </c>
      <c r="Q164" s="1">
        <f>VLOOKUP($B164&amp;"__wt",'SegEnds_Xtal_BW#'!$A:$Z,17,FALSE)</f>
        <v>50</v>
      </c>
      <c r="R164" s="1">
        <f>VLOOKUP($B164&amp;"__wt",'SegEnds_Xtal_BW#'!$A:$Z,18,FALSE)</f>
        <v>52</v>
      </c>
      <c r="S164" s="1">
        <v>35</v>
      </c>
      <c r="T164" s="1">
        <f t="array" ref="T164">INDEX(ICL3_classA!$G$2:$G$37,MATCH(MIN(ABS(AI164-ICL3_classA!$F$2:$F$37)),ABS(AI164-ICL3_classA!$F$2:$F$37),0))</f>
        <v>67</v>
      </c>
      <c r="U164" s="1">
        <f t="array" ref="U164">INDEX(ICL3_classA!$H$2:$H$37,MATCH(MIN(ABS(AI164-ICL3_classA!$F$2:$F$37)),ABS(AI164-ICL3_classA!$F$2:$F$37),0))</f>
        <v>28</v>
      </c>
      <c r="V164" s="1">
        <v>61</v>
      </c>
      <c r="W164" s="1">
        <v>31</v>
      </c>
      <c r="X164" s="108">
        <v>56</v>
      </c>
      <c r="Y164" s="1">
        <f>VLOOKUP($B164&amp;"__wt",'SegEnds_Xtal_BW#'!$A:$Z,25,FALSE)</f>
        <v>47</v>
      </c>
      <c r="Z164" s="1">
        <f>VLOOKUP($B164&amp;"__wt",'SegEnds_Xtal_BW#'!$A:$Z,26,FALSE)</f>
        <v>59</v>
      </c>
      <c r="AA164" s="27" t="str">
        <f>VLOOKUP(A164,Classification!A:B,2,FALSE)</f>
        <v>A</v>
      </c>
      <c r="AB164" s="1">
        <f>VLOOKUP(A164,'SegEnds_NonXtal_Prot#'!A:AL,10,FALSE)-VLOOKUP(A164,'SegEnds_NonXtal_Prot#'!A:AL,4,FALSE)</f>
        <v>29</v>
      </c>
      <c r="AC164" s="1" t="e">
        <f>VLOOKUP(A164,'SegEnds_NonXtal_Prot#'!A:AL,10,FALSE)-VLOOKUP(A164,'SegEnds_NonXtal_Prot#'!A:AL,7,FALSE)</f>
        <v>#VALUE!</v>
      </c>
      <c r="AD164" s="1" t="e">
        <f>VLOOKUP(A164,'SegEnds_NonXtal_Prot#'!A:AL,13,FALSE)-VLOOKUP(A164,'SegEnds_NonXtal_Prot#'!A:AL,10,FALSE)</f>
        <v>#VALUE!</v>
      </c>
      <c r="AE164" s="1">
        <f>VLOOKUP(A164,'SegEnds_NonXtal_Prot#'!A:AL,16,FALSE)-VLOOKUP(A164,'SegEnds_NonXtal_Prot#'!A:AL,10,FALSE)</f>
        <v>59</v>
      </c>
      <c r="AF164" s="1">
        <f>VLOOKUP(A164,'SegEnds_NonXtal_Prot#'!A:AL,22,FALSE)-VLOOKUP(A164,'SegEnds_NonXtal_Prot#'!A:AL,19,FALSE)</f>
        <v>20</v>
      </c>
      <c r="AG164" s="1">
        <f>VLOOKUP(A164,'SegEnds_NonXtal_Prot#'!A:AL,28,FALSE)-VLOOKUP(A164,'SegEnds_NonXtal_Prot#'!A:AL,25,FALSE)</f>
        <v>26</v>
      </c>
      <c r="AH164" s="1">
        <f>VLOOKUP(A164,'SegEnds_NonXtal_Prot#'!A:AL,28,FALSE)-VLOOKUP(A164,'SegEnds_NonXtal_Prot#'!A:AL,22,FALSE)</f>
        <v>49</v>
      </c>
      <c r="AI164" s="1">
        <f>VLOOKUP(A164,'SegEnds_NonXtal_Prot#'!A:AL,31,FALSE)-VLOOKUP(A164,'SegEnds_NonXtal_Prot#'!A:AL,28,FALSE)</f>
        <v>45</v>
      </c>
      <c r="AJ164" s="1">
        <f>VLOOKUP(A164,'SegEnds_NonXtal_Prot#'!A:AL,34,FALSE)-VLOOKUP(A164,'SegEnds_NonXtal_Prot#'!A:AL,31,FALSE)</f>
        <v>36</v>
      </c>
      <c r="AK164" s="1">
        <f>VLOOKUP(A164,'SegEnds_NonXtal_Prot#'!A:AL,37,FALSE)-VLOOKUP(A164,'SegEnds_NonXtal_Prot#'!A:AL,34,FALSE)</f>
        <v>10</v>
      </c>
      <c r="AL164" s="1" t="str">
        <f>IF(ISERROR(MATCH(A164,'SegEnds_Xtal_Prot#'!B:B, 0)), "NoXtal", "Xtal")</f>
        <v>NoXtal</v>
      </c>
    </row>
    <row r="165" spans="1:38" x14ac:dyDescent="0.2">
      <c r="A165" s="1" t="s">
        <v>103</v>
      </c>
      <c r="B165" s="1" t="str">
        <f>VLOOKUP(A165,Xtal_Templ!A:B,2,FALSE)</f>
        <v>lpar1_human</v>
      </c>
      <c r="C165" s="5">
        <f>VLOOKUP($B165&amp;"__wt",'SegEnds_Xtal_BW#'!$A:$Z,3,FALSE)</f>
        <v>30</v>
      </c>
      <c r="D165" s="1">
        <f>VLOOKUP($B165&amp;"__wt",'SegEnds_Xtal_BW#'!$A:$Z,4,FALSE)</f>
        <v>60</v>
      </c>
      <c r="E165" s="1">
        <f>VLOOKUP($B165&amp;"__wt",'SegEnds_Xtal_BW#'!$A:$Z,5,FALSE)</f>
        <v>48</v>
      </c>
      <c r="F165" s="1">
        <f>VLOOKUP($B165&amp;"__wt",'SegEnds_Xtal_BW#'!$A:$Z,6,FALSE)</f>
        <v>51</v>
      </c>
      <c r="G165" s="1">
        <v>37</v>
      </c>
      <c r="H165" s="12">
        <v>63</v>
      </c>
      <c r="I165" s="1">
        <f>VLOOKUP($B165&amp;"__wt",'SegEnds_Xtal_BW#'!$A:$Z,9,FALSE)</f>
        <v>47</v>
      </c>
      <c r="J165" s="1">
        <f>VLOOKUP($B165&amp;"__wt",'SegEnds_Xtal_BW#'!$A:$Z,10,FALSE)</f>
        <v>53</v>
      </c>
      <c r="K165" s="12">
        <f>VLOOKUP($B165&amp;"__wt",'SegEnds_Xtal_BW#'!$A:$Z,11,FALSE)</f>
        <v>21</v>
      </c>
      <c r="L165" s="1">
        <f>VLOOKUP($B165&amp;"__wt",'SegEnds_Xtal_BW#'!$A:$Z,12,FALSE)</f>
        <v>56</v>
      </c>
      <c r="M165" s="1">
        <f>VLOOKUP($B165&amp;"__wt",'SegEnds_Xtal_BW#'!$A:$Z,13,FALSE)</f>
        <v>50</v>
      </c>
      <c r="N165" s="12">
        <f>VLOOKUP($B165&amp;"__wt",'SegEnds_Xtal_BW#'!$A:$Z,14,FALSE)</f>
        <v>56</v>
      </c>
      <c r="O165" s="87">
        <f>VLOOKUP($B165&amp;"__wt",'SegEnds_Xtal_BW#'!$A:$Z,15,FALSE)</f>
        <v>38</v>
      </c>
      <c r="P165" s="1">
        <f>VLOOKUP($B165&amp;"__wt",'SegEnds_Xtal_BW#'!$A:$Z,16,FALSE)</f>
        <v>63</v>
      </c>
      <c r="Q165" s="1" t="str">
        <f>VLOOKUP($B165&amp;"__wt",'SegEnds_Xtal_BW#'!$A:$Z,17,FALSE)</f>
        <v>-</v>
      </c>
      <c r="R165" s="1" t="str">
        <f>VLOOKUP($B165&amp;"__wt",'SegEnds_Xtal_BW#'!$A:$Z,18,FALSE)</f>
        <v>-</v>
      </c>
      <c r="S165" s="1">
        <f>VLOOKUP($B165&amp;"__wt",'SegEnds_Xtal_BW#'!$A:$Z,19,FALSE)</f>
        <v>36</v>
      </c>
      <c r="T165" s="1">
        <f t="array" ref="T165">INDEX(ICL3_classA!$G$2:$G$37,MATCH(MIN(ABS(AI165-ICL3_classA!$F$2:$F$37)),ABS(AI165-ICL3_classA!$F$2:$F$37),0))</f>
        <v>73</v>
      </c>
      <c r="U165" s="1">
        <f t="array" ref="U165">INDEX(ICL3_classA!$H$2:$H$37,MATCH(MIN(ABS(AI165-ICL3_classA!$F$2:$F$37)),ABS(AI165-ICL3_classA!$F$2:$F$37),0))</f>
        <v>22</v>
      </c>
      <c r="V165" s="1">
        <v>61</v>
      </c>
      <c r="W165" s="1">
        <v>30</v>
      </c>
      <c r="X165" s="1">
        <f>VLOOKUP($B165&amp;"__wt",'SegEnds_Xtal_BW#'!$A:$Z,24,FALSE)</f>
        <v>56</v>
      </c>
      <c r="Y165" s="1">
        <f>VLOOKUP($B165&amp;"__wt",'SegEnds_Xtal_BW#'!$A:$Z,25,FALSE)</f>
        <v>47</v>
      </c>
      <c r="Z165" s="1">
        <f>VLOOKUP($B165&amp;"__wt",'SegEnds_Xtal_BW#'!$A:$Z,26,FALSE)</f>
        <v>59</v>
      </c>
      <c r="AA165" s="27" t="str">
        <f>VLOOKUP(A165,Classification!A:B,2,FALSE)</f>
        <v>A</v>
      </c>
      <c r="AB165" s="1">
        <f>VLOOKUP(A165,'SegEnds_NonXtal_Prot#'!A:AL,10,FALSE)-VLOOKUP(A165,'SegEnds_NonXtal_Prot#'!A:AL,4,FALSE)</f>
        <v>28</v>
      </c>
      <c r="AC165" s="1">
        <f>VLOOKUP(A165,'SegEnds_NonXtal_Prot#'!A:AL,10,FALSE)-VLOOKUP(A165,'SegEnds_NonXtal_Prot#'!A:AL,7,FALSE)</f>
        <v>15</v>
      </c>
      <c r="AD165" s="1">
        <f>VLOOKUP(A165,'SegEnds_NonXtal_Prot#'!A:AL,13,FALSE)-VLOOKUP(A165,'SegEnds_NonXtal_Prot#'!A:AL,10,FALSE)</f>
        <v>18</v>
      </c>
      <c r="AE165" s="1">
        <f>VLOOKUP(A165,'SegEnds_NonXtal_Prot#'!A:AL,16,FALSE)-VLOOKUP(A165,'SegEnds_NonXtal_Prot#'!A:AL,10,FALSE)</f>
        <v>51</v>
      </c>
      <c r="AF165" s="1">
        <f>VLOOKUP(A165,'SegEnds_NonXtal_Prot#'!A:AL,22,FALSE)-VLOOKUP(A165,'SegEnds_NonXtal_Prot#'!A:AL,19,FALSE)</f>
        <v>19</v>
      </c>
      <c r="AG165" s="1" t="e">
        <f>VLOOKUP(A165,'SegEnds_NonXtal_Prot#'!A:AL,28,FALSE)-VLOOKUP(A165,'SegEnds_NonXtal_Prot#'!A:AL,25,FALSE)</f>
        <v>#VALUE!</v>
      </c>
      <c r="AH165" s="1">
        <f>VLOOKUP(A165,'SegEnds_NonXtal_Prot#'!A:AL,28,FALSE)-VLOOKUP(A165,'SegEnds_NonXtal_Prot#'!A:AL,22,FALSE)</f>
        <v>45</v>
      </c>
      <c r="AI165" s="1">
        <f>VLOOKUP(A165,'SegEnds_NonXtal_Prot#'!A:AL,31,FALSE)-VLOOKUP(A165,'SegEnds_NonXtal_Prot#'!A:AL,28,FALSE)</f>
        <v>56</v>
      </c>
      <c r="AJ165" s="1">
        <f>VLOOKUP(A165,'SegEnds_NonXtal_Prot#'!A:AL,34,FALSE)-VLOOKUP(A165,'SegEnds_NonXtal_Prot#'!A:AL,31,FALSE)</f>
        <v>35</v>
      </c>
      <c r="AK165" s="1">
        <f>VLOOKUP(A165,'SegEnds_NonXtal_Prot#'!A:AL,37,FALSE)-VLOOKUP(A165,'SegEnds_NonXtal_Prot#'!A:AL,34,FALSE)</f>
        <v>10</v>
      </c>
      <c r="AL165" s="1" t="str">
        <f>IF(ISERROR(MATCH(A165,'SegEnds_Xtal_Prot#'!B:B, 0)), "NoXtal", "Xtal")</f>
        <v>Xtal</v>
      </c>
    </row>
    <row r="166" spans="1:38" x14ac:dyDescent="0.2">
      <c r="A166" s="1" t="s">
        <v>286</v>
      </c>
      <c r="B166" s="1" t="str">
        <f>VLOOKUP(A166,Xtal_Templ!A:B,2,FALSE)</f>
        <v>lpar1_human</v>
      </c>
      <c r="C166" s="5">
        <f>VLOOKUP($B166&amp;"__wt",'SegEnds_Xtal_BW#'!$A:$Z,3,FALSE)</f>
        <v>30</v>
      </c>
      <c r="D166" s="1">
        <f>VLOOKUP($B166&amp;"__wt",'SegEnds_Xtal_BW#'!$A:$Z,4,FALSE)</f>
        <v>60</v>
      </c>
      <c r="E166" s="1">
        <f>VLOOKUP($B166&amp;"__wt",'SegEnds_Xtal_BW#'!$A:$Z,5,FALSE)</f>
        <v>48</v>
      </c>
      <c r="F166" s="1">
        <f>VLOOKUP($B166&amp;"__wt",'SegEnds_Xtal_BW#'!$A:$Z,6,FALSE)</f>
        <v>51</v>
      </c>
      <c r="G166" s="1">
        <v>37</v>
      </c>
      <c r="H166" s="12">
        <f>VLOOKUP($B166&amp;"__wt",'SegEnds_Xtal_BW#'!$A:$Z,8,FALSE)</f>
        <v>63</v>
      </c>
      <c r="I166" s="1">
        <f>VLOOKUP($B166&amp;"__wt",'SegEnds_Xtal_BW#'!$A:$Z,9,FALSE)</f>
        <v>47</v>
      </c>
      <c r="J166" s="1">
        <f>VLOOKUP($B166&amp;"__wt",'SegEnds_Xtal_BW#'!$A:$Z,10,FALSE)</f>
        <v>53</v>
      </c>
      <c r="K166" s="12">
        <v>21</v>
      </c>
      <c r="L166" s="1">
        <f>VLOOKUP($B166&amp;"__wt",'SegEnds_Xtal_BW#'!$A:$Z,12,FALSE)</f>
        <v>56</v>
      </c>
      <c r="M166" s="1">
        <f>VLOOKUP($B166&amp;"__wt",'SegEnds_Xtal_BW#'!$A:$Z,13,FALSE)</f>
        <v>50</v>
      </c>
      <c r="N166" s="108">
        <v>56</v>
      </c>
      <c r="O166" s="87">
        <f>VLOOKUP($B166&amp;"__wt",'SegEnds_Xtal_BW#'!$A:$Z,15,FALSE)</f>
        <v>38</v>
      </c>
      <c r="P166" s="1">
        <f>VLOOKUP($B166&amp;"__wt",'SegEnds_Xtal_BW#'!$A:$Z,16,FALSE)</f>
        <v>63</v>
      </c>
      <c r="Q166" s="1" t="str">
        <f>VLOOKUP($B166&amp;"__wt",'SegEnds_Xtal_BW#'!$A:$Z,17,FALSE)</f>
        <v>-</v>
      </c>
      <c r="R166" s="1" t="str">
        <f>VLOOKUP($B166&amp;"__wt",'SegEnds_Xtal_BW#'!$A:$Z,18,FALSE)</f>
        <v>-</v>
      </c>
      <c r="S166" s="1">
        <f>VLOOKUP($B166&amp;"__wt",'SegEnds_Xtal_BW#'!$A:$Z,19,FALSE)</f>
        <v>36</v>
      </c>
      <c r="T166" s="1">
        <f t="array" ref="T166">INDEX(ICL3_classA!$G$2:$G$37,MATCH(MIN(ABS(AI166-ICL3_classA!$F$2:$F$37)),ABS(AI166-ICL3_classA!$F$2:$F$37),0))</f>
        <v>73</v>
      </c>
      <c r="U166" s="1">
        <f t="array" ref="U166">INDEX(ICL3_classA!$H$2:$H$37,MATCH(MIN(ABS(AI166-ICL3_classA!$F$2:$F$37)),ABS(AI166-ICL3_classA!$F$2:$F$37),0))</f>
        <v>22</v>
      </c>
      <c r="V166" s="1">
        <v>61</v>
      </c>
      <c r="W166" s="1">
        <v>30</v>
      </c>
      <c r="X166" s="1">
        <f>VLOOKUP($B166&amp;"__wt",'SegEnds_Xtal_BW#'!$A:$Z,24,FALSE)</f>
        <v>56</v>
      </c>
      <c r="Y166" s="1">
        <f>VLOOKUP($B166&amp;"__wt",'SegEnds_Xtal_BW#'!$A:$Z,25,FALSE)</f>
        <v>47</v>
      </c>
      <c r="Z166" s="1">
        <f>VLOOKUP($B166&amp;"__wt",'SegEnds_Xtal_BW#'!$A:$Z,26,FALSE)</f>
        <v>59</v>
      </c>
      <c r="AA166" s="27" t="str">
        <f>VLOOKUP(A166,Classification!A:B,2,FALSE)</f>
        <v>A</v>
      </c>
      <c r="AB166" s="1">
        <f>VLOOKUP(A166,'SegEnds_NonXtal_Prot#'!A:AL,10,FALSE)-VLOOKUP(A166,'SegEnds_NonXtal_Prot#'!A:AL,4,FALSE)</f>
        <v>28</v>
      </c>
      <c r="AC166" s="1">
        <f>VLOOKUP(A166,'SegEnds_NonXtal_Prot#'!A:AL,10,FALSE)-VLOOKUP(A166,'SegEnds_NonXtal_Prot#'!A:AL,7,FALSE)</f>
        <v>15</v>
      </c>
      <c r="AD166" s="1">
        <f>VLOOKUP(A166,'SegEnds_NonXtal_Prot#'!A:AL,13,FALSE)-VLOOKUP(A166,'SegEnds_NonXtal_Prot#'!A:AL,10,FALSE)</f>
        <v>18</v>
      </c>
      <c r="AE166" s="1">
        <f>VLOOKUP(A166,'SegEnds_NonXtal_Prot#'!A:AL,16,FALSE)-VLOOKUP(A166,'SegEnds_NonXtal_Prot#'!A:AL,10,FALSE)</f>
        <v>51</v>
      </c>
      <c r="AF166" s="1">
        <f>VLOOKUP(A166,'SegEnds_NonXtal_Prot#'!A:AL,22,FALSE)-VLOOKUP(A166,'SegEnds_NonXtal_Prot#'!A:AL,19,FALSE)</f>
        <v>19</v>
      </c>
      <c r="AG166" s="1" t="e">
        <f>VLOOKUP(A166,'SegEnds_NonXtal_Prot#'!A:AL,28,FALSE)-VLOOKUP(A166,'SegEnds_NonXtal_Prot#'!A:AL,25,FALSE)</f>
        <v>#VALUE!</v>
      </c>
      <c r="AH166" s="1">
        <f>VLOOKUP(A166,'SegEnds_NonXtal_Prot#'!A:AL,28,FALSE)-VLOOKUP(A166,'SegEnds_NonXtal_Prot#'!A:AL,22,FALSE)</f>
        <v>45</v>
      </c>
      <c r="AI166" s="1">
        <f>VLOOKUP(A166,'SegEnds_NonXtal_Prot#'!A:AL,31,FALSE)-VLOOKUP(A166,'SegEnds_NonXtal_Prot#'!A:AL,28,FALSE)</f>
        <v>56</v>
      </c>
      <c r="AJ166" s="1">
        <f>VLOOKUP(A166,'SegEnds_NonXtal_Prot#'!A:AL,34,FALSE)-VLOOKUP(A166,'SegEnds_NonXtal_Prot#'!A:AL,31,FALSE)</f>
        <v>36</v>
      </c>
      <c r="AK166" s="1">
        <f>VLOOKUP(A166,'SegEnds_NonXtal_Prot#'!A:AL,37,FALSE)-VLOOKUP(A166,'SegEnds_NonXtal_Prot#'!A:AL,34,FALSE)</f>
        <v>10</v>
      </c>
      <c r="AL166" s="1" t="str">
        <f>IF(ISERROR(MATCH(A166,'SegEnds_Xtal_Prot#'!B:B, 0)), "NoXtal", "Xtal")</f>
        <v>NoXtal</v>
      </c>
    </row>
    <row r="167" spans="1:38" x14ac:dyDescent="0.2">
      <c r="A167" s="1" t="s">
        <v>287</v>
      </c>
      <c r="B167" s="1" t="str">
        <f>VLOOKUP(A167,Xtal_Templ!A:B,2,FALSE)</f>
        <v>lpar1_human</v>
      </c>
      <c r="C167" s="5">
        <f>VLOOKUP($B167&amp;"__wt",'SegEnds_Xtal_BW#'!$A:$Z,3,FALSE)</f>
        <v>30</v>
      </c>
      <c r="D167" s="1">
        <f>VLOOKUP($B167&amp;"__wt",'SegEnds_Xtal_BW#'!$A:$Z,4,FALSE)</f>
        <v>60</v>
      </c>
      <c r="E167" s="1">
        <f>VLOOKUP($B167&amp;"__wt",'SegEnds_Xtal_BW#'!$A:$Z,5,FALSE)</f>
        <v>48</v>
      </c>
      <c r="F167" s="1">
        <f>VLOOKUP($B167&amp;"__wt",'SegEnds_Xtal_BW#'!$A:$Z,6,FALSE)</f>
        <v>51</v>
      </c>
      <c r="G167" s="1">
        <v>37</v>
      </c>
      <c r="H167" s="12">
        <f>VLOOKUP($B167&amp;"__wt",'SegEnds_Xtal_BW#'!$A:$Z,8,FALSE)</f>
        <v>63</v>
      </c>
      <c r="I167" s="1">
        <f>VLOOKUP($B167&amp;"__wt",'SegEnds_Xtal_BW#'!$A:$Z,9,FALSE)</f>
        <v>47</v>
      </c>
      <c r="J167" s="1">
        <f>VLOOKUP($B167&amp;"__wt",'SegEnds_Xtal_BW#'!$A:$Z,10,FALSE)</f>
        <v>53</v>
      </c>
      <c r="K167" s="12">
        <v>21</v>
      </c>
      <c r="L167" s="1">
        <f>VLOOKUP($B167&amp;"__wt",'SegEnds_Xtal_BW#'!$A:$Z,12,FALSE)</f>
        <v>56</v>
      </c>
      <c r="M167" s="1">
        <f>VLOOKUP($B167&amp;"__wt",'SegEnds_Xtal_BW#'!$A:$Z,13,FALSE)</f>
        <v>50</v>
      </c>
      <c r="N167" s="108">
        <v>56</v>
      </c>
      <c r="O167" s="87">
        <f>VLOOKUP($B167&amp;"__wt",'SegEnds_Xtal_BW#'!$A:$Z,15,FALSE)</f>
        <v>38</v>
      </c>
      <c r="P167" s="1">
        <f>VLOOKUP($B167&amp;"__wt",'SegEnds_Xtal_BW#'!$A:$Z,16,FALSE)</f>
        <v>63</v>
      </c>
      <c r="Q167" s="1" t="str">
        <f>VLOOKUP($B167&amp;"__wt",'SegEnds_Xtal_BW#'!$A:$Z,17,FALSE)</f>
        <v>-</v>
      </c>
      <c r="R167" s="1" t="str">
        <f>VLOOKUP($B167&amp;"__wt",'SegEnds_Xtal_BW#'!$A:$Z,18,FALSE)</f>
        <v>-</v>
      </c>
      <c r="S167" s="1">
        <f>VLOOKUP($B167&amp;"__wt",'SegEnds_Xtal_BW#'!$A:$Z,19,FALSE)</f>
        <v>36</v>
      </c>
      <c r="T167" s="1">
        <f t="array" ref="T167">INDEX(ICL3_classA!$G$2:$G$37,MATCH(MIN(ABS(AI167-ICL3_classA!$F$2:$F$37)),ABS(AI167-ICL3_classA!$F$2:$F$37),0))</f>
        <v>73</v>
      </c>
      <c r="U167" s="1">
        <f t="array" ref="U167">INDEX(ICL3_classA!$H$2:$H$37,MATCH(MIN(ABS(AI167-ICL3_classA!$F$2:$F$37)),ABS(AI167-ICL3_classA!$F$2:$F$37),0))</f>
        <v>22</v>
      </c>
      <c r="V167" s="1">
        <v>61</v>
      </c>
      <c r="W167" s="1">
        <v>30</v>
      </c>
      <c r="X167" s="1">
        <f>VLOOKUP($B167&amp;"__wt",'SegEnds_Xtal_BW#'!$A:$Z,24,FALSE)</f>
        <v>56</v>
      </c>
      <c r="Y167" s="1">
        <f>VLOOKUP($B167&amp;"__wt",'SegEnds_Xtal_BW#'!$A:$Z,25,FALSE)</f>
        <v>47</v>
      </c>
      <c r="Z167" s="1">
        <f>VLOOKUP($B167&amp;"__wt",'SegEnds_Xtal_BW#'!$A:$Z,26,FALSE)</f>
        <v>59</v>
      </c>
      <c r="AA167" s="27" t="str">
        <f>VLOOKUP(A167,Classification!A:B,2,FALSE)</f>
        <v>A</v>
      </c>
      <c r="AB167" s="1">
        <f>VLOOKUP(A167,'SegEnds_NonXtal_Prot#'!A:AL,10,FALSE)-VLOOKUP(A167,'SegEnds_NonXtal_Prot#'!A:AL,4,FALSE)</f>
        <v>28</v>
      </c>
      <c r="AC167" s="1">
        <f>VLOOKUP(A167,'SegEnds_NonXtal_Prot#'!A:AL,10,FALSE)-VLOOKUP(A167,'SegEnds_NonXtal_Prot#'!A:AL,7,FALSE)</f>
        <v>15</v>
      </c>
      <c r="AD167" s="1">
        <f>VLOOKUP(A167,'SegEnds_NonXtal_Prot#'!A:AL,13,FALSE)-VLOOKUP(A167,'SegEnds_NonXtal_Prot#'!A:AL,10,FALSE)</f>
        <v>18</v>
      </c>
      <c r="AE167" s="1">
        <f>VLOOKUP(A167,'SegEnds_NonXtal_Prot#'!A:AL,16,FALSE)-VLOOKUP(A167,'SegEnds_NonXtal_Prot#'!A:AL,10,FALSE)</f>
        <v>51</v>
      </c>
      <c r="AF167" s="1">
        <f>VLOOKUP(A167,'SegEnds_NonXtal_Prot#'!A:AL,22,FALSE)-VLOOKUP(A167,'SegEnds_NonXtal_Prot#'!A:AL,19,FALSE)</f>
        <v>19</v>
      </c>
      <c r="AG167" s="1" t="e">
        <f>VLOOKUP(A167,'SegEnds_NonXtal_Prot#'!A:AL,28,FALSE)-VLOOKUP(A167,'SegEnds_NonXtal_Prot#'!A:AL,25,FALSE)</f>
        <v>#VALUE!</v>
      </c>
      <c r="AH167" s="1">
        <f>VLOOKUP(A167,'SegEnds_NonXtal_Prot#'!A:AL,28,FALSE)-VLOOKUP(A167,'SegEnds_NonXtal_Prot#'!A:AL,22,FALSE)</f>
        <v>45</v>
      </c>
      <c r="AI167" s="1">
        <f>VLOOKUP(A167,'SegEnds_NonXtal_Prot#'!A:AL,31,FALSE)-VLOOKUP(A167,'SegEnds_NonXtal_Prot#'!A:AL,28,FALSE)</f>
        <v>56</v>
      </c>
      <c r="AJ167" s="1">
        <f>VLOOKUP(A167,'SegEnds_NonXtal_Prot#'!A:AL,34,FALSE)-VLOOKUP(A167,'SegEnds_NonXtal_Prot#'!A:AL,31,FALSE)</f>
        <v>36</v>
      </c>
      <c r="AK167" s="1">
        <f>VLOOKUP(A167,'SegEnds_NonXtal_Prot#'!A:AL,37,FALSE)-VLOOKUP(A167,'SegEnds_NonXtal_Prot#'!A:AL,34,FALSE)</f>
        <v>10</v>
      </c>
      <c r="AL167" s="1" t="str">
        <f>IF(ISERROR(MATCH(A167,'SegEnds_Xtal_Prot#'!B:B, 0)), "NoXtal", "Xtal")</f>
        <v>NoXtal</v>
      </c>
    </row>
    <row r="168" spans="1:38" x14ac:dyDescent="0.2">
      <c r="A168" s="1" t="s">
        <v>288</v>
      </c>
      <c r="B168" s="1" t="str">
        <f>VLOOKUP(A168,Xtal_Templ!A:B,2,FALSE)</f>
        <v>oprk_human</v>
      </c>
      <c r="C168" s="5">
        <f>VLOOKUP($B168&amp;"__wt",'SegEnds_Xtal_BW#'!$A:$Z,3,FALSE)</f>
        <v>30</v>
      </c>
      <c r="D168" s="1">
        <f>VLOOKUP($B168&amp;"__wt",'SegEnds_Xtal_BW#'!$A:$Z,4,FALSE)</f>
        <v>60</v>
      </c>
      <c r="E168" s="1">
        <f>VLOOKUP($B168&amp;"__wt",'SegEnds_Xtal_BW#'!$A:$Z,5,FALSE)</f>
        <v>48</v>
      </c>
      <c r="F168" s="1">
        <f>VLOOKUP($B168&amp;"__wt",'SegEnds_Xtal_BW#'!$A:$Z,6,FALSE)</f>
        <v>51</v>
      </c>
      <c r="G168" s="1">
        <v>37</v>
      </c>
      <c r="H168" s="12">
        <v>66</v>
      </c>
      <c r="I168" s="1">
        <f>VLOOKUP($B168&amp;"__wt",'SegEnds_Xtal_BW#'!$A:$Z,9,FALSE)</f>
        <v>49</v>
      </c>
      <c r="J168" s="1">
        <f>VLOOKUP($B168&amp;"__wt",'SegEnds_Xtal_BW#'!$A:$Z,10,FALSE)</f>
        <v>52</v>
      </c>
      <c r="K168" s="12">
        <v>21</v>
      </c>
      <c r="L168" s="1">
        <f>VLOOKUP($B168&amp;"__wt",'SegEnds_Xtal_BW#'!$A:$Z,12,FALSE)</f>
        <v>56</v>
      </c>
      <c r="M168" s="1">
        <f>VLOOKUP($B168&amp;"__wt",'SegEnds_Xtal_BW#'!$A:$Z,13,FALSE)</f>
        <v>50</v>
      </c>
      <c r="N168" s="12">
        <v>57</v>
      </c>
      <c r="O168" s="87">
        <v>38</v>
      </c>
      <c r="P168" s="1">
        <f>VLOOKUP($B168&amp;"__wt",'SegEnds_Xtal_BW#'!$A:$Z,16,FALSE)</f>
        <v>64</v>
      </c>
      <c r="Q168" s="1">
        <f>VLOOKUP($B168&amp;"__wt",'SegEnds_Xtal_BW#'!$A:$Z,17,FALSE)</f>
        <v>50</v>
      </c>
      <c r="R168" s="1">
        <f>VLOOKUP($B168&amp;"__wt",'SegEnds_Xtal_BW#'!$A:$Z,18,FALSE)</f>
        <v>52</v>
      </c>
      <c r="S168" s="1">
        <f>VLOOKUP($B168&amp;"__wt",'SegEnds_Xtal_BW#'!$A:$Z,19,FALSE)</f>
        <v>30</v>
      </c>
      <c r="T168" s="1">
        <f t="array" ref="T168">INDEX(ICL3_classA!$G$2:$G$37,MATCH(MIN(ABS(AI168-ICL3_classA!$F$2:$F$37)),ABS(AI168-ICL3_classA!$F$2:$F$37),0))</f>
        <v>68</v>
      </c>
      <c r="U168" s="1">
        <f t="array" ref="U168">INDEX(ICL3_classA!$H$2:$H$37,MATCH(MIN(ABS(AI168-ICL3_classA!$F$2:$F$37)),ABS(AI168-ICL3_classA!$F$2:$F$37),0))</f>
        <v>24</v>
      </c>
      <c r="V168" s="1">
        <v>64</v>
      </c>
      <c r="W168" s="1">
        <v>24</v>
      </c>
      <c r="X168" s="1">
        <f>VLOOKUP($B168&amp;"__wt",'SegEnds_Xtal_BW#'!$A:$Z,24,FALSE)</f>
        <v>56</v>
      </c>
      <c r="Y168" s="1">
        <f>VLOOKUP($B168&amp;"__wt",'SegEnds_Xtal_BW#'!$A:$Z,25,FALSE)</f>
        <v>47</v>
      </c>
      <c r="Z168" s="1">
        <f>VLOOKUP($B168&amp;"__wt",'SegEnds_Xtal_BW#'!$A:$Z,26,FALSE)</f>
        <v>59</v>
      </c>
      <c r="AA168" s="27" t="str">
        <f>VLOOKUP(A168,Classification!A:B,2,FALSE)</f>
        <v>A</v>
      </c>
      <c r="AB168" s="1">
        <f>VLOOKUP(A168,'SegEnds_NonXtal_Prot#'!A:AL,10,FALSE)-VLOOKUP(A168,'SegEnds_NonXtal_Prot#'!A:AL,4,FALSE)</f>
        <v>28</v>
      </c>
      <c r="AC168" s="1">
        <f>VLOOKUP(A168,'SegEnds_NonXtal_Prot#'!A:AL,10,FALSE)-VLOOKUP(A168,'SegEnds_NonXtal_Prot#'!A:AL,7,FALSE)</f>
        <v>15</v>
      </c>
      <c r="AD168" s="1">
        <f>VLOOKUP(A168,'SegEnds_NonXtal_Prot#'!A:AL,13,FALSE)-VLOOKUP(A168,'SegEnds_NonXtal_Prot#'!A:AL,10,FALSE)</f>
        <v>19</v>
      </c>
      <c r="AE168" s="1">
        <f>VLOOKUP(A168,'SegEnds_NonXtal_Prot#'!A:AL,16,FALSE)-VLOOKUP(A168,'SegEnds_NonXtal_Prot#'!A:AL,10,FALSE)</f>
        <v>51</v>
      </c>
      <c r="AF168" s="1">
        <f>VLOOKUP(A168,'SegEnds_NonXtal_Prot#'!A:AL,22,FALSE)-VLOOKUP(A168,'SegEnds_NonXtal_Prot#'!A:AL,19,FALSE)</f>
        <v>20</v>
      </c>
      <c r="AG168" s="1">
        <f>VLOOKUP(A168,'SegEnds_NonXtal_Prot#'!A:AL,28,FALSE)-VLOOKUP(A168,'SegEnds_NonXtal_Prot#'!A:AL,25,FALSE)</f>
        <v>28</v>
      </c>
      <c r="AH168" s="1">
        <f>VLOOKUP(A168,'SegEnds_NonXtal_Prot#'!A:AL,28,FALSE)-VLOOKUP(A168,'SegEnds_NonXtal_Prot#'!A:AL,22,FALSE)</f>
        <v>53</v>
      </c>
      <c r="AI168" s="1">
        <f>VLOOKUP(A168,'SegEnds_NonXtal_Prot#'!A:AL,31,FALSE)-VLOOKUP(A168,'SegEnds_NonXtal_Prot#'!A:AL,28,FALSE)</f>
        <v>48</v>
      </c>
      <c r="AJ168" s="1">
        <f>VLOOKUP(A168,'SegEnds_NonXtal_Prot#'!A:AL,34,FALSE)-VLOOKUP(A168,'SegEnds_NonXtal_Prot#'!A:AL,31,FALSE)</f>
        <v>44</v>
      </c>
      <c r="AK168" s="1">
        <f>VLOOKUP(A168,'SegEnds_NonXtal_Prot#'!A:AL,37,FALSE)-VLOOKUP(A168,'SegEnds_NonXtal_Prot#'!A:AL,34,FALSE)</f>
        <v>10</v>
      </c>
      <c r="AL168" s="1" t="str">
        <f>IF(ISERROR(MATCH(A168,'SegEnds_Xtal_Prot#'!B:B, 0)), "NoXtal", "Xtal")</f>
        <v>NoXtal</v>
      </c>
    </row>
    <row r="169" spans="1:38" x14ac:dyDescent="0.2">
      <c r="A169" s="1" t="s">
        <v>289</v>
      </c>
      <c r="B169" s="1" t="str">
        <f>VLOOKUP(A169,Xtal_Templ!A:B,2,FALSE)</f>
        <v>par2_human</v>
      </c>
      <c r="C169" s="5">
        <f>VLOOKUP($B169&amp;"__wt",'SegEnds_Xtal_BW#'!$A:$Z,3,FALSE)</f>
        <v>28</v>
      </c>
      <c r="D169" s="1">
        <f>VLOOKUP($B169&amp;"__wt",'SegEnds_Xtal_BW#'!$A:$Z,4,FALSE)</f>
        <v>60</v>
      </c>
      <c r="E169" s="1" t="str">
        <f>VLOOKUP($B169&amp;"__wt",'SegEnds_Xtal_BW#'!$A:$Z,5,FALSE)</f>
        <v>-</v>
      </c>
      <c r="F169" s="1" t="str">
        <f>VLOOKUP($B169&amp;"__wt",'SegEnds_Xtal_BW#'!$A:$Z,6,FALSE)</f>
        <v>-</v>
      </c>
      <c r="G169" s="1">
        <v>37</v>
      </c>
      <c r="H169" s="12">
        <v>66</v>
      </c>
      <c r="I169" s="1">
        <f>VLOOKUP($B169&amp;"__wt",'SegEnds_Xtal_BW#'!$A:$Z,9,FALSE)</f>
        <v>47</v>
      </c>
      <c r="J169" s="1">
        <f>VLOOKUP($B169&amp;"__wt",'SegEnds_Xtal_BW#'!$A:$Z,10,FALSE)</f>
        <v>52</v>
      </c>
      <c r="K169" s="12">
        <v>21</v>
      </c>
      <c r="L169" s="1">
        <f>VLOOKUP($B169&amp;"__wt",'SegEnds_Xtal_BW#'!$A:$Z,12,FALSE)</f>
        <v>56</v>
      </c>
      <c r="M169" s="1">
        <f>VLOOKUP($B169&amp;"__wt",'SegEnds_Xtal_BW#'!$A:$Z,13,FALSE)</f>
        <v>50</v>
      </c>
      <c r="N169" s="12">
        <v>57</v>
      </c>
      <c r="O169" s="87">
        <v>38</v>
      </c>
      <c r="P169" s="1">
        <f>VLOOKUP($B169&amp;"__wt",'SegEnds_Xtal_BW#'!$A:$Z,16,FALSE)</f>
        <v>62</v>
      </c>
      <c r="Q169" s="1">
        <f>VLOOKUP($B169&amp;"__wt",'SegEnds_Xtal_BW#'!$A:$Z,17,FALSE)</f>
        <v>50</v>
      </c>
      <c r="R169" s="1">
        <f>VLOOKUP($B169&amp;"__wt",'SegEnds_Xtal_BW#'!$A:$Z,18,FALSE)</f>
        <v>52</v>
      </c>
      <c r="S169" s="1">
        <f>VLOOKUP($B169&amp;"__wt",'SegEnds_Xtal_BW#'!$A:$Z,19,FALSE)</f>
        <v>31</v>
      </c>
      <c r="T169" s="1">
        <f t="array" ref="T169">INDEX(ICL3_classA!$G$2:$G$37,MATCH(MIN(ABS(AI169-ICL3_classA!$F$2:$F$37)),ABS(AI169-ICL3_classA!$F$2:$F$37),0))</f>
        <v>67</v>
      </c>
      <c r="U169" s="1">
        <f t="array" ref="U169">INDEX(ICL3_classA!$H$2:$H$37,MATCH(MIN(ABS(AI169-ICL3_classA!$F$2:$F$37)),ABS(AI169-ICL3_classA!$F$2:$F$37),0))</f>
        <v>26</v>
      </c>
      <c r="V169" s="1">
        <v>64</v>
      </c>
      <c r="W169" s="1">
        <v>24</v>
      </c>
      <c r="X169" s="1">
        <f>VLOOKUP($B169&amp;"__wt",'SegEnds_Xtal_BW#'!$A:$Z,24,FALSE)</f>
        <v>56</v>
      </c>
      <c r="Y169" s="1">
        <f>VLOOKUP($B169&amp;"__wt",'SegEnds_Xtal_BW#'!$A:$Z,25,FALSE)</f>
        <v>47</v>
      </c>
      <c r="Z169" s="1">
        <f>VLOOKUP($B169&amp;"__wt",'SegEnds_Xtal_BW#'!$A:$Z,26,FALSE)</f>
        <v>61</v>
      </c>
      <c r="AA169" s="27" t="str">
        <f>VLOOKUP(A169,Classification!A:B,2,FALSE)</f>
        <v>A</v>
      </c>
      <c r="AB169" s="1">
        <f>VLOOKUP(A169,'SegEnds_NonXtal_Prot#'!A:AL,10,FALSE)-VLOOKUP(A169,'SegEnds_NonXtal_Prot#'!A:AL,4,FALSE)</f>
        <v>28</v>
      </c>
      <c r="AC169" s="1">
        <f>VLOOKUP(A169,'SegEnds_NonXtal_Prot#'!A:AL,10,FALSE)-VLOOKUP(A169,'SegEnds_NonXtal_Prot#'!A:AL,7,FALSE)</f>
        <v>15</v>
      </c>
      <c r="AD169" s="1">
        <f>VLOOKUP(A169,'SegEnds_NonXtal_Prot#'!A:AL,13,FALSE)-VLOOKUP(A169,'SegEnds_NonXtal_Prot#'!A:AL,10,FALSE)</f>
        <v>19</v>
      </c>
      <c r="AE169" s="1">
        <f>VLOOKUP(A169,'SegEnds_NonXtal_Prot#'!A:AL,16,FALSE)-VLOOKUP(A169,'SegEnds_NonXtal_Prot#'!A:AL,10,FALSE)</f>
        <v>51</v>
      </c>
      <c r="AF169" s="1">
        <f>VLOOKUP(A169,'SegEnds_NonXtal_Prot#'!A:AL,22,FALSE)-VLOOKUP(A169,'SegEnds_NonXtal_Prot#'!A:AL,19,FALSE)</f>
        <v>20</v>
      </c>
      <c r="AG169" s="1">
        <f>VLOOKUP(A169,'SegEnds_NonXtal_Prot#'!A:AL,28,FALSE)-VLOOKUP(A169,'SegEnds_NonXtal_Prot#'!A:AL,25,FALSE)</f>
        <v>28</v>
      </c>
      <c r="AH169" s="1">
        <f>VLOOKUP(A169,'SegEnds_NonXtal_Prot#'!A:AL,28,FALSE)-VLOOKUP(A169,'SegEnds_NonXtal_Prot#'!A:AL,22,FALSE)</f>
        <v>57</v>
      </c>
      <c r="AI169" s="1">
        <f>VLOOKUP(A169,'SegEnds_NonXtal_Prot#'!A:AL,31,FALSE)-VLOOKUP(A169,'SegEnds_NonXtal_Prot#'!A:AL,28,FALSE)</f>
        <v>46</v>
      </c>
      <c r="AJ169" s="1">
        <f>VLOOKUP(A169,'SegEnds_NonXtal_Prot#'!A:AL,34,FALSE)-VLOOKUP(A169,'SegEnds_NonXtal_Prot#'!A:AL,31,FALSE)</f>
        <v>45</v>
      </c>
      <c r="AK169" s="1">
        <f>VLOOKUP(A169,'SegEnds_NonXtal_Prot#'!A:AL,37,FALSE)-VLOOKUP(A169,'SegEnds_NonXtal_Prot#'!A:AL,34,FALSE)</f>
        <v>10</v>
      </c>
      <c r="AL169" s="1" t="str">
        <f>IF(ISERROR(MATCH(A169,'SegEnds_Xtal_Prot#'!B:B, 0)), "NoXtal", "Xtal")</f>
        <v>NoXtal</v>
      </c>
    </row>
    <row r="170" spans="1:38" x14ac:dyDescent="0.2">
      <c r="A170" s="1" t="s">
        <v>290</v>
      </c>
      <c r="B170" s="1" t="str">
        <f>VLOOKUP(A170,Xtal_Templ!A:B,2,FALSE)</f>
        <v>ptafr_human</v>
      </c>
      <c r="C170" s="5">
        <f>VLOOKUP($B170&amp;"__wt",'SegEnds_Xtal_BW#'!$A:$Z,3,FALSE)</f>
        <v>27</v>
      </c>
      <c r="D170" s="108">
        <v>60</v>
      </c>
      <c r="E170" s="1" t="str">
        <f>VLOOKUP($B170&amp;"__wt",'SegEnds_Xtal_BW#'!$A:$Z,5,FALSE)</f>
        <v>-</v>
      </c>
      <c r="F170" s="1" t="str">
        <f>VLOOKUP($B170&amp;"__wt",'SegEnds_Xtal_BW#'!$A:$Z,6,FALSE)</f>
        <v>-</v>
      </c>
      <c r="G170" s="1">
        <v>37</v>
      </c>
      <c r="H170" s="12">
        <v>66</v>
      </c>
      <c r="I170" s="1">
        <f>VLOOKUP($B170&amp;"__wt",'SegEnds_Xtal_BW#'!$A:$Z,9,FALSE)</f>
        <v>49</v>
      </c>
      <c r="J170" s="1">
        <f>VLOOKUP($B170&amp;"__wt",'SegEnds_Xtal_BW#'!$A:$Z,10,FALSE)</f>
        <v>52</v>
      </c>
      <c r="K170" s="12">
        <v>21</v>
      </c>
      <c r="L170" s="1">
        <f>VLOOKUP($B170&amp;"__wt",'SegEnds_Xtal_BW#'!$A:$Z,12,FALSE)</f>
        <v>56</v>
      </c>
      <c r="M170" s="1">
        <f>VLOOKUP($B170&amp;"__wt",'SegEnds_Xtal_BW#'!$A:$Z,13,FALSE)</f>
        <v>50</v>
      </c>
      <c r="N170" s="12">
        <v>57</v>
      </c>
      <c r="O170" s="87">
        <f>VLOOKUP($B170&amp;"__wt",'SegEnds_Xtal_BW#'!$A:$Z,15,FALSE)</f>
        <v>38</v>
      </c>
      <c r="P170" s="1">
        <f>VLOOKUP($B170&amp;"__wt",'SegEnds_Xtal_BW#'!$A:$Z,16,FALSE)</f>
        <v>63</v>
      </c>
      <c r="Q170" s="1">
        <f>VLOOKUP($B170&amp;"__wt",'SegEnds_Xtal_BW#'!$A:$Z,17,FALSE)</f>
        <v>50</v>
      </c>
      <c r="R170" s="1">
        <f>VLOOKUP($B170&amp;"__wt",'SegEnds_Xtal_BW#'!$A:$Z,18,FALSE)</f>
        <v>52</v>
      </c>
      <c r="S170" s="1">
        <f>VLOOKUP($B170&amp;"__wt",'SegEnds_Xtal_BW#'!$A:$Z,19,FALSE)</f>
        <v>33</v>
      </c>
      <c r="T170" s="1">
        <f t="array" ref="T170">INDEX(ICL3_classA!$G$2:$G$37,MATCH(MIN(ABS(AI170-ICL3_classA!$F$2:$F$37)),ABS(AI170-ICL3_classA!$F$2:$F$37),0))</f>
        <v>68</v>
      </c>
      <c r="U170" s="1">
        <f t="array" ref="U170">INDEX(ICL3_classA!$H$2:$H$37,MATCH(MIN(ABS(AI170-ICL3_classA!$F$2:$F$37)),ABS(AI170-ICL3_classA!$F$2:$F$37),0))</f>
        <v>24</v>
      </c>
      <c r="V170" s="1">
        <v>64</v>
      </c>
      <c r="W170" s="1">
        <v>24</v>
      </c>
      <c r="X170" s="1">
        <f>VLOOKUP($B170&amp;"__wt",'SegEnds_Xtal_BW#'!$A:$Z,24,FALSE)</f>
        <v>59</v>
      </c>
      <c r="Y170" s="1">
        <f>VLOOKUP($B170&amp;"__wt",'SegEnds_Xtal_BW#'!$A:$Z,25,FALSE)</f>
        <v>50</v>
      </c>
      <c r="Z170" s="1">
        <f>VLOOKUP($B170&amp;"__wt",'SegEnds_Xtal_BW#'!$A:$Z,26,FALSE)</f>
        <v>63</v>
      </c>
      <c r="AA170" s="27" t="str">
        <f>VLOOKUP(A170,Classification!A:B,2,FALSE)</f>
        <v>A</v>
      </c>
      <c r="AB170" s="1">
        <f>VLOOKUP(A170,'SegEnds_NonXtal_Prot#'!A:AL,10,FALSE)-VLOOKUP(A170,'SegEnds_NonXtal_Prot#'!A:AL,4,FALSE)</f>
        <v>28</v>
      </c>
      <c r="AC170" s="1">
        <f>VLOOKUP(A170,'SegEnds_NonXtal_Prot#'!A:AL,10,FALSE)-VLOOKUP(A170,'SegEnds_NonXtal_Prot#'!A:AL,7,FALSE)</f>
        <v>15</v>
      </c>
      <c r="AD170" s="1">
        <f>VLOOKUP(A170,'SegEnds_NonXtal_Prot#'!A:AL,13,FALSE)-VLOOKUP(A170,'SegEnds_NonXtal_Prot#'!A:AL,10,FALSE)</f>
        <v>19</v>
      </c>
      <c r="AE170" s="1">
        <f>VLOOKUP(A170,'SegEnds_NonXtal_Prot#'!A:AL,16,FALSE)-VLOOKUP(A170,'SegEnds_NonXtal_Prot#'!A:AL,10,FALSE)</f>
        <v>51</v>
      </c>
      <c r="AF170" s="1">
        <f>VLOOKUP(A170,'SegEnds_NonXtal_Prot#'!A:AL,22,FALSE)-VLOOKUP(A170,'SegEnds_NonXtal_Prot#'!A:AL,19,FALSE)</f>
        <v>20</v>
      </c>
      <c r="AG170" s="1">
        <f>VLOOKUP(A170,'SegEnds_NonXtal_Prot#'!A:AL,28,FALSE)-VLOOKUP(A170,'SegEnds_NonXtal_Prot#'!A:AL,25,FALSE)</f>
        <v>28</v>
      </c>
      <c r="AH170" s="1">
        <f>VLOOKUP(A170,'SegEnds_NonXtal_Prot#'!A:AL,28,FALSE)-VLOOKUP(A170,'SegEnds_NonXtal_Prot#'!A:AL,22,FALSE)</f>
        <v>55</v>
      </c>
      <c r="AI170" s="1">
        <f>VLOOKUP(A170,'SegEnds_NonXtal_Prot#'!A:AL,31,FALSE)-VLOOKUP(A170,'SegEnds_NonXtal_Prot#'!A:AL,28,FALSE)</f>
        <v>48</v>
      </c>
      <c r="AJ170" s="1">
        <f>VLOOKUP(A170,'SegEnds_NonXtal_Prot#'!A:AL,34,FALSE)-VLOOKUP(A170,'SegEnds_NonXtal_Prot#'!A:AL,31,FALSE)</f>
        <v>44</v>
      </c>
      <c r="AK170" s="1">
        <f>VLOOKUP(A170,'SegEnds_NonXtal_Prot#'!A:AL,37,FALSE)-VLOOKUP(A170,'SegEnds_NonXtal_Prot#'!A:AL,34,FALSE)</f>
        <v>10</v>
      </c>
      <c r="AL170" s="1" t="str">
        <f>IF(ISERROR(MATCH(A170,'SegEnds_Xtal_Prot#'!B:B, 0)), "NoXtal", "Xtal")</f>
        <v>NoXtal</v>
      </c>
    </row>
    <row r="171" spans="1:38" x14ac:dyDescent="0.2">
      <c r="A171" s="1" t="s">
        <v>291</v>
      </c>
      <c r="B171" s="1" t="str">
        <f>VLOOKUP(A171,Xtal_Templ!A:B,2,FALSE)</f>
        <v>hrh1_human</v>
      </c>
      <c r="C171" s="5">
        <f>VLOOKUP($B171&amp;"__wt",'SegEnds_Xtal_BW#'!$A:$Z,3,FALSE)</f>
        <v>34</v>
      </c>
      <c r="D171" s="1">
        <f>VLOOKUP($B171&amp;"__wt",'SegEnds_Xtal_BW#'!$A:$Z,4,FALSE)</f>
        <v>60</v>
      </c>
      <c r="E171" s="1">
        <f>VLOOKUP($B171&amp;"__wt",'SegEnds_Xtal_BW#'!$A:$Z,5,FALSE)</f>
        <v>48</v>
      </c>
      <c r="F171" s="1">
        <f>VLOOKUP($B171&amp;"__wt",'SegEnds_Xtal_BW#'!$A:$Z,6,FALSE)</f>
        <v>51</v>
      </c>
      <c r="G171" s="1">
        <v>37</v>
      </c>
      <c r="H171" s="12">
        <f>VLOOKUP($B171&amp;"__wt",'SegEnds_Xtal_BW#'!$A:$Z,8,FALSE)</f>
        <v>67</v>
      </c>
      <c r="I171" s="1">
        <v>49</v>
      </c>
      <c r="J171" s="1">
        <f>VLOOKUP($B171&amp;"__wt",'SegEnds_Xtal_BW#'!$A:$Z,10,FALSE)</f>
        <v>52</v>
      </c>
      <c r="K171" s="12">
        <v>18</v>
      </c>
      <c r="L171" s="1">
        <f>VLOOKUP($B171&amp;"__wt",'SegEnds_Xtal_BW#'!$A:$Z,12,FALSE)</f>
        <v>56</v>
      </c>
      <c r="M171" s="1">
        <f>VLOOKUP($B171&amp;"__wt",'SegEnds_Xtal_BW#'!$A:$Z,13,FALSE)</f>
        <v>50</v>
      </c>
      <c r="N171" s="12">
        <v>57</v>
      </c>
      <c r="O171" s="87">
        <f>VLOOKUP($B171&amp;"__wt",'SegEnds_Xtal_BW#'!$A:$Z,15,FALSE)</f>
        <v>38</v>
      </c>
      <c r="P171" s="1">
        <f>VLOOKUP($B171&amp;"__wt",'SegEnds_Xtal_BW#'!$A:$Z,16,FALSE)</f>
        <v>62</v>
      </c>
      <c r="Q171" s="1">
        <f>VLOOKUP($B171&amp;"__wt",'SegEnds_Xtal_BW#'!$A:$Z,17,FALSE)</f>
        <v>50</v>
      </c>
      <c r="R171" s="1">
        <f>VLOOKUP($B171&amp;"__wt",'SegEnds_Xtal_BW#'!$A:$Z,18,FALSE)</f>
        <v>52</v>
      </c>
      <c r="S171" s="1">
        <f>VLOOKUP($B171&amp;"__wt",'SegEnds_Xtal_BW#'!$A:$Z,19,FALSE)</f>
        <v>35</v>
      </c>
      <c r="T171" s="1">
        <f t="array" ref="T171">INDEX(ICL3_classA!$G$2:$G$37,MATCH(MIN(ABS(AI171-ICL3_classA!$F$2:$F$37)),ABS(AI171-ICL3_classA!$F$2:$F$37),0))</f>
        <v>67</v>
      </c>
      <c r="U171" s="1">
        <f t="array" ref="U171">INDEX(ICL3_classA!$H$2:$H$37,MATCH(MIN(ABS(AI171-ICL3_classA!$F$2:$F$37)),ABS(AI171-ICL3_classA!$F$2:$F$37),0))</f>
        <v>26</v>
      </c>
      <c r="V171" s="1">
        <v>61</v>
      </c>
      <c r="W171" s="1">
        <v>31</v>
      </c>
      <c r="X171" s="1">
        <f>VLOOKUP($B171&amp;"__wt",'SegEnds_Xtal_BW#'!$A:$Z,24,FALSE)</f>
        <v>56</v>
      </c>
      <c r="Y171" s="1">
        <f>VLOOKUP($B171&amp;"__wt",'SegEnds_Xtal_BW#'!$A:$Z,25,FALSE)</f>
        <v>47</v>
      </c>
      <c r="Z171" s="1">
        <f>VLOOKUP($B171&amp;"__wt",'SegEnds_Xtal_BW#'!$A:$Z,26,FALSE)</f>
        <v>59</v>
      </c>
      <c r="AA171" s="27" t="str">
        <f>VLOOKUP(A171,Classification!A:B,2,FALSE)</f>
        <v>A</v>
      </c>
      <c r="AB171" s="1">
        <f>VLOOKUP(A171,'SegEnds_NonXtal_Prot#'!A:AL,10,FALSE)-VLOOKUP(A171,'SegEnds_NonXtal_Prot#'!A:AL,4,FALSE)</f>
        <v>28</v>
      </c>
      <c r="AC171" s="1">
        <f>VLOOKUP(A171,'SegEnds_NonXtal_Prot#'!A:AL,10,FALSE)-VLOOKUP(A171,'SegEnds_NonXtal_Prot#'!A:AL,7,FALSE)</f>
        <v>14</v>
      </c>
      <c r="AD171" s="1">
        <f>VLOOKUP(A171,'SegEnds_NonXtal_Prot#'!A:AL,13,FALSE)-VLOOKUP(A171,'SegEnds_NonXtal_Prot#'!A:AL,10,FALSE)</f>
        <v>28</v>
      </c>
      <c r="AE171" s="1">
        <f>VLOOKUP(A171,'SegEnds_NonXtal_Prot#'!A:AL,16,FALSE)-VLOOKUP(A171,'SegEnds_NonXtal_Prot#'!A:AL,10,FALSE)</f>
        <v>59</v>
      </c>
      <c r="AF171" s="1">
        <f>VLOOKUP(A171,'SegEnds_NonXtal_Prot#'!A:AL,22,FALSE)-VLOOKUP(A171,'SegEnds_NonXtal_Prot#'!A:AL,19,FALSE)</f>
        <v>20</v>
      </c>
      <c r="AG171" s="1">
        <f>VLOOKUP(A171,'SegEnds_NonXtal_Prot#'!A:AL,28,FALSE)-VLOOKUP(A171,'SegEnds_NonXtal_Prot#'!A:AL,25,FALSE)</f>
        <v>24</v>
      </c>
      <c r="AH171" s="1">
        <f>VLOOKUP(A171,'SegEnds_NonXtal_Prot#'!A:AL,28,FALSE)-VLOOKUP(A171,'SegEnds_NonXtal_Prot#'!A:AL,22,FALSE)</f>
        <v>47</v>
      </c>
      <c r="AI171" s="1">
        <f>VLOOKUP(A171,'SegEnds_NonXtal_Prot#'!A:AL,31,FALSE)-VLOOKUP(A171,'SegEnds_NonXtal_Prot#'!A:AL,28,FALSE)</f>
        <v>46</v>
      </c>
      <c r="AJ171" s="1">
        <f>VLOOKUP(A171,'SegEnds_NonXtal_Prot#'!A:AL,34,FALSE)-VLOOKUP(A171,'SegEnds_NonXtal_Prot#'!A:AL,31,FALSE)</f>
        <v>36</v>
      </c>
      <c r="AK171" s="1">
        <f>VLOOKUP(A171,'SegEnds_NonXtal_Prot#'!A:AL,37,FALSE)-VLOOKUP(A171,'SegEnds_NonXtal_Prot#'!A:AL,34,FALSE)</f>
        <v>10</v>
      </c>
      <c r="AL171" s="1" t="str">
        <f>IF(ISERROR(MATCH(A171,'SegEnds_Xtal_Prot#'!B:B, 0)), "NoXtal", "Xtal")</f>
        <v>NoXtal</v>
      </c>
    </row>
    <row r="172" spans="1:38" x14ac:dyDescent="0.2">
      <c r="A172" s="1" t="s">
        <v>292</v>
      </c>
      <c r="B172" s="1" t="str">
        <f>VLOOKUP(A172,Xtal_Templ!A:B,2,FALSE)</f>
        <v>pd2r2_human</v>
      </c>
      <c r="C172" s="5">
        <f>VLOOKUP($B172&amp;"__wt",'SegEnds_Xtal_BW#'!$A:$Z,3,FALSE)</f>
        <v>32</v>
      </c>
      <c r="D172" s="1">
        <f>VLOOKUP($B172&amp;"__wt",'SegEnds_Xtal_BW#'!$A:$Z,4,FALSE)</f>
        <v>60</v>
      </c>
      <c r="E172" s="1" t="str">
        <f>VLOOKUP($B172&amp;"__wt",'SegEnds_Xtal_BW#'!$A:$Z,5,FALSE)</f>
        <v>-</v>
      </c>
      <c r="F172" s="1" t="str">
        <f>VLOOKUP($B172&amp;"__wt",'SegEnds_Xtal_BW#'!$A:$Z,6,FALSE)</f>
        <v>-</v>
      </c>
      <c r="G172" s="1">
        <v>37</v>
      </c>
      <c r="H172" s="12">
        <v>66</v>
      </c>
      <c r="I172" s="1">
        <f>VLOOKUP($B172&amp;"__wt",'SegEnds_Xtal_BW#'!$A:$Z,9,FALSE)</f>
        <v>49</v>
      </c>
      <c r="J172" s="1">
        <f>VLOOKUP($B172&amp;"__wt",'SegEnds_Xtal_BW#'!$A:$Z,10,FALSE)</f>
        <v>52</v>
      </c>
      <c r="K172" s="12">
        <v>21</v>
      </c>
      <c r="L172" s="1">
        <f>VLOOKUP($B172&amp;"__wt",'SegEnds_Xtal_BW#'!$A:$Z,12,FALSE)</f>
        <v>56</v>
      </c>
      <c r="M172" s="1">
        <f>VLOOKUP($B172&amp;"__wt",'SegEnds_Xtal_BW#'!$A:$Z,13,FALSE)</f>
        <v>50</v>
      </c>
      <c r="N172" s="12">
        <v>57</v>
      </c>
      <c r="O172" s="87">
        <v>38</v>
      </c>
      <c r="P172" s="1">
        <f>VLOOKUP($B172&amp;"__wt",'SegEnds_Xtal_BW#'!$A:$Z,16,FALSE)</f>
        <v>64</v>
      </c>
      <c r="Q172" s="1">
        <f>VLOOKUP($B172&amp;"__wt",'SegEnds_Xtal_BW#'!$A:$Z,17,FALSE)</f>
        <v>50</v>
      </c>
      <c r="R172" s="1">
        <f>VLOOKUP($B172&amp;"__wt",'SegEnds_Xtal_BW#'!$A:$Z,18,FALSE)</f>
        <v>52</v>
      </c>
      <c r="S172" s="108">
        <v>29</v>
      </c>
      <c r="T172" s="1">
        <f t="array" ref="T172">INDEX(ICL3_classA!$G$2:$G$37,MATCH(MIN(ABS(AI172-ICL3_classA!$F$2:$F$37)),ABS(AI172-ICL3_classA!$F$2:$F$37),0))</f>
        <v>68</v>
      </c>
      <c r="U172" s="1">
        <f t="array" ref="U172">INDEX(ICL3_classA!$H$2:$H$37,MATCH(MIN(ABS(AI172-ICL3_classA!$F$2:$F$37)),ABS(AI172-ICL3_classA!$F$2:$F$37),0))</f>
        <v>30</v>
      </c>
      <c r="V172" s="1">
        <v>64</v>
      </c>
      <c r="W172" s="1">
        <v>24</v>
      </c>
      <c r="X172" s="1">
        <f>VLOOKUP($B172&amp;"__wt",'SegEnds_Xtal_BW#'!$A:$Z,24,FALSE)</f>
        <v>56</v>
      </c>
      <c r="Y172" s="1">
        <f>VLOOKUP($B172&amp;"__wt",'SegEnds_Xtal_BW#'!$A:$Z,25,FALSE)</f>
        <v>47</v>
      </c>
      <c r="Z172" s="1">
        <f>VLOOKUP($B172&amp;"__wt",'SegEnds_Xtal_BW#'!$A:$Z,26,FALSE)</f>
        <v>64</v>
      </c>
      <c r="AA172" s="27" t="str">
        <f>VLOOKUP(A172,Classification!A:B,2,FALSE)</f>
        <v>A</v>
      </c>
      <c r="AB172" s="1">
        <f>VLOOKUP(A172,'SegEnds_NonXtal_Prot#'!A:AL,10,FALSE)-VLOOKUP(A172,'SegEnds_NonXtal_Prot#'!A:AL,4,FALSE)</f>
        <v>28</v>
      </c>
      <c r="AC172" s="1">
        <f>VLOOKUP(A172,'SegEnds_NonXtal_Prot#'!A:AL,10,FALSE)-VLOOKUP(A172,'SegEnds_NonXtal_Prot#'!A:AL,7,FALSE)</f>
        <v>15</v>
      </c>
      <c r="AD172" s="1">
        <f>VLOOKUP(A172,'SegEnds_NonXtal_Prot#'!A:AL,13,FALSE)-VLOOKUP(A172,'SegEnds_NonXtal_Prot#'!A:AL,10,FALSE)</f>
        <v>19</v>
      </c>
      <c r="AE172" s="1">
        <f>VLOOKUP(A172,'SegEnds_NonXtal_Prot#'!A:AL,16,FALSE)-VLOOKUP(A172,'SegEnds_NonXtal_Prot#'!A:AL,10,FALSE)</f>
        <v>51</v>
      </c>
      <c r="AF172" s="1">
        <f>VLOOKUP(A172,'SegEnds_NonXtal_Prot#'!A:AL,22,FALSE)-VLOOKUP(A172,'SegEnds_NonXtal_Prot#'!A:AL,19,FALSE)</f>
        <v>20</v>
      </c>
      <c r="AG172" s="1">
        <f>VLOOKUP(A172,'SegEnds_NonXtal_Prot#'!A:AL,28,FALSE)-VLOOKUP(A172,'SegEnds_NonXtal_Prot#'!A:AL,25,FALSE)</f>
        <v>25</v>
      </c>
      <c r="AH172" s="1">
        <f>VLOOKUP(A172,'SegEnds_NonXtal_Prot#'!A:AL,28,FALSE)-VLOOKUP(A172,'SegEnds_NonXtal_Prot#'!A:AL,22,FALSE)</f>
        <v>51</v>
      </c>
      <c r="AI172" s="1">
        <f>VLOOKUP(A172,'SegEnds_NonXtal_Prot#'!A:AL,31,FALSE)-VLOOKUP(A172,'SegEnds_NonXtal_Prot#'!A:AL,28,FALSE)</f>
        <v>43</v>
      </c>
      <c r="AJ172" s="1">
        <f>VLOOKUP(A172,'SegEnds_NonXtal_Prot#'!A:AL,34,FALSE)-VLOOKUP(A172,'SegEnds_NonXtal_Prot#'!A:AL,31,FALSE)</f>
        <v>46</v>
      </c>
      <c r="AK172" s="1">
        <f>VLOOKUP(A172,'SegEnds_NonXtal_Prot#'!A:AL,37,FALSE)-VLOOKUP(A172,'SegEnds_NonXtal_Prot#'!A:AL,34,FALSE)</f>
        <v>10</v>
      </c>
      <c r="AL172" s="1" t="str">
        <f>IF(ISERROR(MATCH(A172,'SegEnds_Xtal_Prot#'!B:B, 0)), "NoXtal", "Xtal")</f>
        <v>NoXtal</v>
      </c>
    </row>
    <row r="173" spans="1:38" x14ac:dyDescent="0.2">
      <c r="A173" s="1" t="s">
        <v>293</v>
      </c>
      <c r="B173" s="1" t="str">
        <f>VLOOKUP(A173,Xtal_Templ!A:B,2,FALSE)</f>
        <v>pd2r2_human</v>
      </c>
      <c r="C173" s="5">
        <f>VLOOKUP($B173&amp;"__wt",'SegEnds_Xtal_BW#'!$A:$Z,3,FALSE)</f>
        <v>32</v>
      </c>
      <c r="D173" s="1">
        <f>VLOOKUP($B173&amp;"__wt",'SegEnds_Xtal_BW#'!$A:$Z,4,FALSE)</f>
        <v>60</v>
      </c>
      <c r="E173" s="1" t="str">
        <f>VLOOKUP($B173&amp;"__wt",'SegEnds_Xtal_BW#'!$A:$Z,5,FALSE)</f>
        <v>-</v>
      </c>
      <c r="F173" s="1" t="str">
        <f>VLOOKUP($B173&amp;"__wt",'SegEnds_Xtal_BW#'!$A:$Z,6,FALSE)</f>
        <v>-</v>
      </c>
      <c r="G173" s="1">
        <v>37</v>
      </c>
      <c r="H173" s="12">
        <v>66</v>
      </c>
      <c r="I173" s="1">
        <f>VLOOKUP($B173&amp;"__wt",'SegEnds_Xtal_BW#'!$A:$Z,9,FALSE)</f>
        <v>49</v>
      </c>
      <c r="J173" s="1">
        <f>VLOOKUP($B173&amp;"__wt",'SegEnds_Xtal_BW#'!$A:$Z,10,FALSE)</f>
        <v>52</v>
      </c>
      <c r="K173" s="12">
        <v>21</v>
      </c>
      <c r="L173" s="1">
        <f>VLOOKUP($B173&amp;"__wt",'SegEnds_Xtal_BW#'!$A:$Z,12,FALSE)</f>
        <v>56</v>
      </c>
      <c r="M173" s="1">
        <f>VLOOKUP($B173&amp;"__wt",'SegEnds_Xtal_BW#'!$A:$Z,13,FALSE)</f>
        <v>50</v>
      </c>
      <c r="N173" s="12">
        <v>57</v>
      </c>
      <c r="O173" s="87">
        <v>38</v>
      </c>
      <c r="P173" s="1">
        <f>VLOOKUP($B173&amp;"__wt",'SegEnds_Xtal_BW#'!$A:$Z,16,FALSE)</f>
        <v>64</v>
      </c>
      <c r="Q173" s="1">
        <f>VLOOKUP($B173&amp;"__wt",'SegEnds_Xtal_BW#'!$A:$Z,17,FALSE)</f>
        <v>50</v>
      </c>
      <c r="R173" s="1">
        <f>VLOOKUP($B173&amp;"__wt",'SegEnds_Xtal_BW#'!$A:$Z,18,FALSE)</f>
        <v>52</v>
      </c>
      <c r="S173" s="1">
        <v>35</v>
      </c>
      <c r="T173" s="1">
        <f t="array" ref="T173">INDEX(ICL3_classA!$G$2:$G$37,MATCH(MIN(ABS(AI173-ICL3_classA!$F$2:$F$37)),ABS(AI173-ICL3_classA!$F$2:$F$37),0))</f>
        <v>67</v>
      </c>
      <c r="U173" s="1">
        <f t="array" ref="U173">INDEX(ICL3_classA!$H$2:$H$37,MATCH(MIN(ABS(AI173-ICL3_classA!$F$2:$F$37)),ABS(AI173-ICL3_classA!$F$2:$F$37),0))</f>
        <v>26</v>
      </c>
      <c r="V173" s="1">
        <v>64</v>
      </c>
      <c r="W173" s="1">
        <v>24</v>
      </c>
      <c r="X173" s="108">
        <v>56</v>
      </c>
      <c r="Y173" s="1">
        <f>VLOOKUP($B173&amp;"__wt",'SegEnds_Xtal_BW#'!$A:$Z,25,FALSE)</f>
        <v>47</v>
      </c>
      <c r="Z173" s="1">
        <f>VLOOKUP($B173&amp;"__wt",'SegEnds_Xtal_BW#'!$A:$Z,26,FALSE)</f>
        <v>64</v>
      </c>
      <c r="AA173" s="27" t="str">
        <f>VLOOKUP(A173,Classification!A:B,2,FALSE)</f>
        <v>A</v>
      </c>
      <c r="AB173" s="1">
        <f>VLOOKUP(A173,'SegEnds_NonXtal_Prot#'!A:AL,10,FALSE)-VLOOKUP(A173,'SegEnds_NonXtal_Prot#'!A:AL,4,FALSE)</f>
        <v>30</v>
      </c>
      <c r="AC173" s="1">
        <f>VLOOKUP(A173,'SegEnds_NonXtal_Prot#'!A:AL,10,FALSE)-VLOOKUP(A173,'SegEnds_NonXtal_Prot#'!A:AL,7,FALSE)</f>
        <v>17</v>
      </c>
      <c r="AD173" s="1">
        <f>VLOOKUP(A173,'SegEnds_NonXtal_Prot#'!A:AL,13,FALSE)-VLOOKUP(A173,'SegEnds_NonXtal_Prot#'!A:AL,10,FALSE)</f>
        <v>19</v>
      </c>
      <c r="AE173" s="1">
        <f>VLOOKUP(A173,'SegEnds_NonXtal_Prot#'!A:AL,16,FALSE)-VLOOKUP(A173,'SegEnds_NonXtal_Prot#'!A:AL,10,FALSE)</f>
        <v>51</v>
      </c>
      <c r="AF173" s="1">
        <f>VLOOKUP(A173,'SegEnds_NonXtal_Prot#'!A:AL,22,FALSE)-VLOOKUP(A173,'SegEnds_NonXtal_Prot#'!A:AL,19,FALSE)</f>
        <v>20</v>
      </c>
      <c r="AG173" s="1">
        <f>VLOOKUP(A173,'SegEnds_NonXtal_Prot#'!A:AL,28,FALSE)-VLOOKUP(A173,'SegEnds_NonXtal_Prot#'!A:AL,25,FALSE)</f>
        <v>22</v>
      </c>
      <c r="AH173" s="1">
        <f>VLOOKUP(A173,'SegEnds_NonXtal_Prot#'!A:AL,28,FALSE)-VLOOKUP(A173,'SegEnds_NonXtal_Prot#'!A:AL,22,FALSE)</f>
        <v>47</v>
      </c>
      <c r="AI173" s="1">
        <f>VLOOKUP(A173,'SegEnds_NonXtal_Prot#'!A:AL,31,FALSE)-VLOOKUP(A173,'SegEnds_NonXtal_Prot#'!A:AL,28,FALSE)</f>
        <v>46</v>
      </c>
      <c r="AJ173" s="1">
        <f>VLOOKUP(A173,'SegEnds_NonXtal_Prot#'!A:AL,34,FALSE)-VLOOKUP(A173,'SegEnds_NonXtal_Prot#'!A:AL,31,FALSE)</f>
        <v>46</v>
      </c>
      <c r="AK173" s="1">
        <f>VLOOKUP(A173,'SegEnds_NonXtal_Prot#'!A:AL,37,FALSE)-VLOOKUP(A173,'SegEnds_NonXtal_Prot#'!A:AL,34,FALSE)</f>
        <v>10</v>
      </c>
      <c r="AL173" s="1" t="str">
        <f>IF(ISERROR(MATCH(A173,'SegEnds_Xtal_Prot#'!B:B, 0)), "NoXtal", "Xtal")</f>
        <v>NoXtal</v>
      </c>
    </row>
    <row r="174" spans="1:38" x14ac:dyDescent="0.2">
      <c r="A174" s="1" t="s">
        <v>294</v>
      </c>
      <c r="B174" s="1" t="str">
        <f>VLOOKUP(A174,Xtal_Templ!A:B,2,FALSE)</f>
        <v>agtr1_human</v>
      </c>
      <c r="C174" s="5">
        <f>VLOOKUP($B174&amp;"__wt",'SegEnds_Xtal_BW#'!$A:$Z,3,FALSE)</f>
        <v>30</v>
      </c>
      <c r="D174" s="1">
        <f>VLOOKUP($B174&amp;"__wt",'SegEnds_Xtal_BW#'!$A:$Z,4,FALSE)</f>
        <v>60</v>
      </c>
      <c r="E174" s="1">
        <f>VLOOKUP($B174&amp;"__wt",'SegEnds_Xtal_BW#'!$A:$Z,5,FALSE)</f>
        <v>48</v>
      </c>
      <c r="F174" s="1">
        <f>VLOOKUP($B174&amp;"__wt",'SegEnds_Xtal_BW#'!$A:$Z,6,FALSE)</f>
        <v>51</v>
      </c>
      <c r="G174" s="1">
        <v>37</v>
      </c>
      <c r="H174" s="12">
        <v>67</v>
      </c>
      <c r="I174" s="1">
        <f>VLOOKUP($B174&amp;"__wt",'SegEnds_Xtal_BW#'!$A:$Z,9,FALSE)</f>
        <v>49</v>
      </c>
      <c r="J174" s="1">
        <f>VLOOKUP($B174&amp;"__wt",'SegEnds_Xtal_BW#'!$A:$Z,10,FALSE)</f>
        <v>52</v>
      </c>
      <c r="K174" s="12">
        <v>18</v>
      </c>
      <c r="L174" s="1">
        <f>VLOOKUP($B174&amp;"__wt",'SegEnds_Xtal_BW#'!$A:$Z,12,FALSE)</f>
        <v>56</v>
      </c>
      <c r="M174" s="1">
        <f>VLOOKUP($B174&amp;"__wt",'SegEnds_Xtal_BW#'!$A:$Z,13,FALSE)</f>
        <v>50</v>
      </c>
      <c r="N174" s="12">
        <v>57</v>
      </c>
      <c r="O174" s="87">
        <f>VLOOKUP($B174&amp;"__wt",'SegEnds_Xtal_BW#'!$A:$Z,15,FALSE)</f>
        <v>38</v>
      </c>
      <c r="P174" s="1">
        <f>VLOOKUP($B174&amp;"__wt",'SegEnds_Xtal_BW#'!$A:$Z,16,FALSE)</f>
        <v>64</v>
      </c>
      <c r="Q174" s="1">
        <f>VLOOKUP($B174&amp;"__wt",'SegEnds_Xtal_BW#'!$A:$Z,17,FALSE)</f>
        <v>50</v>
      </c>
      <c r="R174" s="1">
        <f>VLOOKUP($B174&amp;"__wt",'SegEnds_Xtal_BW#'!$A:$Z,18,FALSE)</f>
        <v>52</v>
      </c>
      <c r="S174" s="1">
        <f>VLOOKUP($B174&amp;"__wt",'SegEnds_Xtal_BW#'!$A:$Z,19,FALSE)</f>
        <v>34</v>
      </c>
      <c r="T174" s="1">
        <f t="array" ref="T174">INDEX(ICL3_classA!$G$2:$G$37,MATCH(MIN(ABS(AI174-ICL3_classA!$F$2:$F$37)),ABS(AI174-ICL3_classA!$F$2:$F$37),0))</f>
        <v>68</v>
      </c>
      <c r="U174" s="1">
        <f t="array" ref="U174">INDEX(ICL3_classA!$H$2:$H$37,MATCH(MIN(ABS(AI174-ICL3_classA!$F$2:$F$37)),ABS(AI174-ICL3_classA!$F$2:$F$37),0))</f>
        <v>30</v>
      </c>
      <c r="V174" s="1">
        <v>61</v>
      </c>
      <c r="W174" s="1">
        <v>32</v>
      </c>
      <c r="X174" s="1">
        <f>VLOOKUP($B174&amp;"__wt",'SegEnds_Xtal_BW#'!$A:$Z,24,FALSE)</f>
        <v>56</v>
      </c>
      <c r="Y174" s="1">
        <f>VLOOKUP($B174&amp;"__wt",'SegEnds_Xtal_BW#'!$A:$Z,25,FALSE)</f>
        <v>47</v>
      </c>
      <c r="Z174" s="1">
        <f>VLOOKUP($B174&amp;"__wt",'SegEnds_Xtal_BW#'!$A:$Z,26,FALSE)</f>
        <v>61</v>
      </c>
      <c r="AA174" s="27" t="str">
        <f>VLOOKUP(A174,Classification!A:B,2,FALSE)</f>
        <v>A</v>
      </c>
      <c r="AB174" s="1">
        <f>VLOOKUP(A174,'SegEnds_NonXtal_Prot#'!A:AL,10,FALSE)-VLOOKUP(A174,'SegEnds_NonXtal_Prot#'!A:AL,4,FALSE)</f>
        <v>27</v>
      </c>
      <c r="AC174" s="1" t="e">
        <f>VLOOKUP(A174,'SegEnds_NonXtal_Prot#'!A:AL,10,FALSE)-VLOOKUP(A174,'SegEnds_NonXtal_Prot#'!A:AL,7,FALSE)</f>
        <v>#VALUE!</v>
      </c>
      <c r="AD174" s="1" t="e">
        <f>VLOOKUP(A174,'SegEnds_NonXtal_Prot#'!A:AL,13,FALSE)-VLOOKUP(A174,'SegEnds_NonXtal_Prot#'!A:AL,10,FALSE)</f>
        <v>#VALUE!</v>
      </c>
      <c r="AE174" s="1">
        <f>VLOOKUP(A174,'SegEnds_NonXtal_Prot#'!A:AL,16,FALSE)-VLOOKUP(A174,'SegEnds_NonXtal_Prot#'!A:AL,10,FALSE)</f>
        <v>53</v>
      </c>
      <c r="AF174" s="1">
        <f>VLOOKUP(A174,'SegEnds_NonXtal_Prot#'!A:AL,22,FALSE)-VLOOKUP(A174,'SegEnds_NonXtal_Prot#'!A:AL,19,FALSE)</f>
        <v>20</v>
      </c>
      <c r="AG174" s="1" t="e">
        <f>VLOOKUP(A174,'SegEnds_NonXtal_Prot#'!A:AL,28,FALSE)-VLOOKUP(A174,'SegEnds_NonXtal_Prot#'!A:AL,25,FALSE)</f>
        <v>#VALUE!</v>
      </c>
      <c r="AH174" s="1">
        <f>VLOOKUP(A174,'SegEnds_NonXtal_Prot#'!A:AL,28,FALSE)-VLOOKUP(A174,'SegEnds_NonXtal_Prot#'!A:AL,22,FALSE)</f>
        <v>44</v>
      </c>
      <c r="AI174" s="1">
        <f>VLOOKUP(A174,'SegEnds_NonXtal_Prot#'!A:AL,31,FALSE)-VLOOKUP(A174,'SegEnds_NonXtal_Prot#'!A:AL,28,FALSE)</f>
        <v>42</v>
      </c>
      <c r="AJ174" s="1">
        <f>VLOOKUP(A174,'SegEnds_NonXtal_Prot#'!A:AL,34,FALSE)-VLOOKUP(A174,'SegEnds_NonXtal_Prot#'!A:AL,31,FALSE)</f>
        <v>34</v>
      </c>
      <c r="AK174" s="1">
        <f>VLOOKUP(A174,'SegEnds_NonXtal_Prot#'!A:AL,37,FALSE)-VLOOKUP(A174,'SegEnds_NonXtal_Prot#'!A:AL,34,FALSE)</f>
        <v>10</v>
      </c>
      <c r="AL174" s="1" t="str">
        <f>IF(ISERROR(MATCH(A174,'SegEnds_Xtal_Prot#'!B:B, 0)), "NoXtal", "Xtal")</f>
        <v>NoXtal</v>
      </c>
    </row>
    <row r="175" spans="1:38" x14ac:dyDescent="0.2">
      <c r="A175" s="1" t="s">
        <v>295</v>
      </c>
      <c r="B175" s="1" t="str">
        <f>VLOOKUP(A175,Xtal_Templ!A:B,2,FALSE)</f>
        <v>ccr9_human</v>
      </c>
      <c r="C175" s="5">
        <f>VLOOKUP($B175&amp;"__wt",'SegEnds_Xtal_BW#'!$A:$Z,3,FALSE)</f>
        <v>27</v>
      </c>
      <c r="D175" s="1">
        <f>VLOOKUP($B175&amp;"__wt",'SegEnds_Xtal_BW#'!$A:$Z,4,FALSE)</f>
        <v>60</v>
      </c>
      <c r="E175" s="1">
        <f>VLOOKUP($B175&amp;"__wt",'SegEnds_Xtal_BW#'!$A:$Z,5,FALSE)</f>
        <v>48</v>
      </c>
      <c r="F175" s="1">
        <f>VLOOKUP($B175&amp;"__wt",'SegEnds_Xtal_BW#'!$A:$Z,6,FALSE)</f>
        <v>51</v>
      </c>
      <c r="G175" s="1">
        <v>37</v>
      </c>
      <c r="H175" s="12">
        <f>VLOOKUP($B175&amp;"__wt",'SegEnds_Xtal_BW#'!$A:$Z,8,FALSE)</f>
        <v>66</v>
      </c>
      <c r="I175" s="1">
        <f>VLOOKUP($B175&amp;"__wt",'SegEnds_Xtal_BW#'!$A:$Z,9,FALSE)</f>
        <v>49</v>
      </c>
      <c r="J175" s="1">
        <f>VLOOKUP($B175&amp;"__wt",'SegEnds_Xtal_BW#'!$A:$Z,10,FALSE)</f>
        <v>52</v>
      </c>
      <c r="K175" s="12">
        <v>18</v>
      </c>
      <c r="L175" s="1">
        <f>VLOOKUP($B175&amp;"__wt",'SegEnds_Xtal_BW#'!$A:$Z,12,FALSE)</f>
        <v>56</v>
      </c>
      <c r="M175" s="1">
        <f>VLOOKUP($B175&amp;"__wt",'SegEnds_Xtal_BW#'!$A:$Z,13,FALSE)</f>
        <v>50</v>
      </c>
      <c r="N175" s="12">
        <v>57</v>
      </c>
      <c r="O175" s="87">
        <v>38</v>
      </c>
      <c r="P175" s="1">
        <f>VLOOKUP($B175&amp;"__wt",'SegEnds_Xtal_BW#'!$A:$Z,16,FALSE)</f>
        <v>64</v>
      </c>
      <c r="Q175" s="1">
        <f>VLOOKUP($B175&amp;"__wt",'SegEnds_Xtal_BW#'!$A:$Z,17,FALSE)</f>
        <v>50</v>
      </c>
      <c r="R175" s="1">
        <f>VLOOKUP($B175&amp;"__wt",'SegEnds_Xtal_BW#'!$A:$Z,18,FALSE)</f>
        <v>52</v>
      </c>
      <c r="S175" s="1">
        <f>VLOOKUP($B175&amp;"__wt",'SegEnds_Xtal_BW#'!$A:$Z,19,FALSE)</f>
        <v>33</v>
      </c>
      <c r="T175" s="1">
        <f t="array" ref="T175">INDEX(ICL3_classA!$G$2:$G$37,MATCH(MIN(ABS(AI175-ICL3_classA!$F$2:$F$37)),ABS(AI175-ICL3_classA!$F$2:$F$37),0))</f>
        <v>68</v>
      </c>
      <c r="U175" s="1">
        <f t="array" ref="U175">INDEX(ICL3_classA!$H$2:$H$37,MATCH(MIN(ABS(AI175-ICL3_classA!$F$2:$F$37)),ABS(AI175-ICL3_classA!$F$2:$F$37),0))</f>
        <v>30</v>
      </c>
      <c r="V175" s="1">
        <v>61</v>
      </c>
      <c r="W175" s="1">
        <v>34</v>
      </c>
      <c r="X175" s="1">
        <f>VLOOKUP($B175&amp;"__wt",'SegEnds_Xtal_BW#'!$A:$Z,24,FALSE)</f>
        <v>56</v>
      </c>
      <c r="Y175" s="1">
        <f>VLOOKUP($B175&amp;"__wt",'SegEnds_Xtal_BW#'!$A:$Z,25,FALSE)</f>
        <v>47</v>
      </c>
      <c r="Z175" s="1">
        <f>VLOOKUP($B175&amp;"__wt",'SegEnds_Xtal_BW#'!$A:$Z,26,FALSE)</f>
        <v>67</v>
      </c>
      <c r="AA175" s="27" t="str">
        <f>VLOOKUP(A175,Classification!A:B,2,FALSE)</f>
        <v>A</v>
      </c>
      <c r="AB175" s="1">
        <f>VLOOKUP(A175,'SegEnds_NonXtal_Prot#'!A:AL,10,FALSE)-VLOOKUP(A175,'SegEnds_NonXtal_Prot#'!A:AL,4,FALSE)</f>
        <v>26</v>
      </c>
      <c r="AC175" s="1" t="e">
        <f>VLOOKUP(A175,'SegEnds_NonXtal_Prot#'!A:AL,10,FALSE)-VLOOKUP(A175,'SegEnds_NonXtal_Prot#'!A:AL,7,FALSE)</f>
        <v>#VALUE!</v>
      </c>
      <c r="AD175" s="1" t="e">
        <f>VLOOKUP(A175,'SegEnds_NonXtal_Prot#'!A:AL,13,FALSE)-VLOOKUP(A175,'SegEnds_NonXtal_Prot#'!A:AL,10,FALSE)</f>
        <v>#VALUE!</v>
      </c>
      <c r="AE175" s="1">
        <f>VLOOKUP(A175,'SegEnds_NonXtal_Prot#'!A:AL,16,FALSE)-VLOOKUP(A175,'SegEnds_NonXtal_Prot#'!A:AL,10,FALSE)</f>
        <v>52</v>
      </c>
      <c r="AF175" s="1">
        <f>VLOOKUP(A175,'SegEnds_NonXtal_Prot#'!A:AL,22,FALSE)-VLOOKUP(A175,'SegEnds_NonXtal_Prot#'!A:AL,19,FALSE)</f>
        <v>20</v>
      </c>
      <c r="AG175" s="1" t="e">
        <f>VLOOKUP(A175,'SegEnds_NonXtal_Prot#'!A:AL,28,FALSE)-VLOOKUP(A175,'SegEnds_NonXtal_Prot#'!A:AL,25,FALSE)</f>
        <v>#VALUE!</v>
      </c>
      <c r="AH175" s="1">
        <f>VLOOKUP(A175,'SegEnds_NonXtal_Prot#'!A:AL,28,FALSE)-VLOOKUP(A175,'SegEnds_NonXtal_Prot#'!A:AL,22,FALSE)</f>
        <v>39</v>
      </c>
      <c r="AI175" s="1">
        <f>VLOOKUP(A175,'SegEnds_NonXtal_Prot#'!A:AL,31,FALSE)-VLOOKUP(A175,'SegEnds_NonXtal_Prot#'!A:AL,28,FALSE)</f>
        <v>42</v>
      </c>
      <c r="AJ175" s="1">
        <f>VLOOKUP(A175,'SegEnds_NonXtal_Prot#'!A:AL,34,FALSE)-VLOOKUP(A175,'SegEnds_NonXtal_Prot#'!A:AL,31,FALSE)</f>
        <v>32</v>
      </c>
      <c r="AK175" s="1">
        <f>VLOOKUP(A175,'SegEnds_NonXtal_Prot#'!A:AL,37,FALSE)-VLOOKUP(A175,'SegEnds_NonXtal_Prot#'!A:AL,34,FALSE)</f>
        <v>10</v>
      </c>
      <c r="AL175" s="1" t="str">
        <f>IF(ISERROR(MATCH(A175,'SegEnds_Xtal_Prot#'!B:B, 0)), "NoXtal", "Xtal")</f>
        <v>NoXtal</v>
      </c>
    </row>
    <row r="176" spans="1:38" x14ac:dyDescent="0.2">
      <c r="A176" s="1" t="s">
        <v>296</v>
      </c>
      <c r="B176" s="1" t="str">
        <f>VLOOKUP(A176,Xtal_Templ!A:B,2,FALSE)</f>
        <v>lpar1_human</v>
      </c>
      <c r="C176" s="5">
        <f>VLOOKUP($B176&amp;"__wt",'SegEnds_Xtal_BW#'!$A:$Z,3,FALSE)</f>
        <v>30</v>
      </c>
      <c r="D176" s="1">
        <f>VLOOKUP($B176&amp;"__wt",'SegEnds_Xtal_BW#'!$A:$Z,4,FALSE)</f>
        <v>60</v>
      </c>
      <c r="E176" s="1">
        <f>VLOOKUP($B176&amp;"__wt",'SegEnds_Xtal_BW#'!$A:$Z,5,FALSE)</f>
        <v>48</v>
      </c>
      <c r="F176" s="1">
        <f>VLOOKUP($B176&amp;"__wt",'SegEnds_Xtal_BW#'!$A:$Z,6,FALSE)</f>
        <v>51</v>
      </c>
      <c r="G176" s="1">
        <v>37</v>
      </c>
      <c r="H176" s="12">
        <v>67</v>
      </c>
      <c r="I176" s="1" t="s">
        <v>23</v>
      </c>
      <c r="J176" s="1" t="s">
        <v>23</v>
      </c>
      <c r="K176" s="12">
        <v>18</v>
      </c>
      <c r="L176" s="1">
        <f>VLOOKUP($B176&amp;"__wt",'SegEnds_Xtal_BW#'!$A:$Z,12,FALSE)</f>
        <v>56</v>
      </c>
      <c r="M176" s="1">
        <f>VLOOKUP($B176&amp;"__wt",'SegEnds_Xtal_BW#'!$A:$Z,13,FALSE)</f>
        <v>50</v>
      </c>
      <c r="N176" s="12">
        <v>57</v>
      </c>
      <c r="O176" s="87">
        <f>VLOOKUP($B176&amp;"__wt",'SegEnds_Xtal_BW#'!$A:$Z,15,FALSE)</f>
        <v>38</v>
      </c>
      <c r="P176" s="1">
        <f>VLOOKUP($B176&amp;"__wt",'SegEnds_Xtal_BW#'!$A:$Z,16,FALSE)</f>
        <v>63</v>
      </c>
      <c r="Q176" s="1" t="str">
        <f>VLOOKUP($B176&amp;"__wt",'SegEnds_Xtal_BW#'!$A:$Z,17,FALSE)</f>
        <v>-</v>
      </c>
      <c r="R176" s="1" t="str">
        <f>VLOOKUP($B176&amp;"__wt",'SegEnds_Xtal_BW#'!$A:$Z,18,FALSE)</f>
        <v>-</v>
      </c>
      <c r="S176" s="108">
        <v>33</v>
      </c>
      <c r="T176" s="1">
        <f t="array" ref="T176">INDEX(ICL3_classA!$G$2:$G$37,MATCH(MIN(ABS(AI176-ICL3_classA!$F$2:$F$37)),ABS(AI176-ICL3_classA!$F$2:$F$37),0))</f>
        <v>68</v>
      </c>
      <c r="U176" s="108">
        <v>27</v>
      </c>
      <c r="V176" s="1">
        <v>61</v>
      </c>
      <c r="W176" s="1">
        <v>28</v>
      </c>
      <c r="X176" s="1">
        <f>VLOOKUP($B176&amp;"__wt",'SegEnds_Xtal_BW#'!$A:$Z,24,FALSE)</f>
        <v>56</v>
      </c>
      <c r="Y176" s="1">
        <f>VLOOKUP($B176&amp;"__wt",'SegEnds_Xtal_BW#'!$A:$Z,25,FALSE)</f>
        <v>47</v>
      </c>
      <c r="Z176" s="1">
        <f>VLOOKUP($B176&amp;"__wt",'SegEnds_Xtal_BW#'!$A:$Z,26,FALSE)</f>
        <v>59</v>
      </c>
      <c r="AA176" s="27" t="str">
        <f>VLOOKUP(A176,Classification!A:B,2,FALSE)</f>
        <v>A</v>
      </c>
      <c r="AB176" s="1">
        <f>VLOOKUP(A176,'SegEnds_NonXtal_Prot#'!A:AL,10,FALSE)-VLOOKUP(A176,'SegEnds_NonXtal_Prot#'!A:AL,4,FALSE)</f>
        <v>28</v>
      </c>
      <c r="AC176" s="1">
        <f>VLOOKUP(A176,'SegEnds_NonXtal_Prot#'!A:AL,10,FALSE)-VLOOKUP(A176,'SegEnds_NonXtal_Prot#'!A:AL,7,FALSE)</f>
        <v>15</v>
      </c>
      <c r="AD176" s="1" t="e">
        <f>VLOOKUP(A176,'SegEnds_NonXtal_Prot#'!A:AL,13,FALSE)-VLOOKUP(A176,'SegEnds_NonXtal_Prot#'!A:AL,10,FALSE)</f>
        <v>#VALUE!</v>
      </c>
      <c r="AE176" s="1">
        <f>VLOOKUP(A176,'SegEnds_NonXtal_Prot#'!A:AL,16,FALSE)-VLOOKUP(A176,'SegEnds_NonXtal_Prot#'!A:AL,10,FALSE)</f>
        <v>58</v>
      </c>
      <c r="AF176" s="1">
        <f>VLOOKUP(A176,'SegEnds_NonXtal_Prot#'!A:AL,22,FALSE)-VLOOKUP(A176,'SegEnds_NonXtal_Prot#'!A:AL,19,FALSE)</f>
        <v>20</v>
      </c>
      <c r="AG176" s="1" t="e">
        <f>VLOOKUP(A176,'SegEnds_NonXtal_Prot#'!A:AL,28,FALSE)-VLOOKUP(A176,'SegEnds_NonXtal_Prot#'!A:AL,25,FALSE)</f>
        <v>#VALUE!</v>
      </c>
      <c r="AH176" s="1">
        <f>VLOOKUP(A176,'SegEnds_NonXtal_Prot#'!A:AL,28,FALSE)-VLOOKUP(A176,'SegEnds_NonXtal_Prot#'!A:AL,22,FALSE)</f>
        <v>40</v>
      </c>
      <c r="AI176" s="1">
        <f>VLOOKUP(A176,'SegEnds_NonXtal_Prot#'!A:AL,31,FALSE)-VLOOKUP(A176,'SegEnds_NonXtal_Prot#'!A:AL,28,FALSE)</f>
        <v>48</v>
      </c>
      <c r="AJ176" s="1">
        <f>VLOOKUP(A176,'SegEnds_NonXtal_Prot#'!A:AL,34,FALSE)-VLOOKUP(A176,'SegEnds_NonXtal_Prot#'!A:AL,31,FALSE)</f>
        <v>39</v>
      </c>
      <c r="AK176" s="1">
        <f>VLOOKUP(A176,'SegEnds_NonXtal_Prot#'!A:AL,37,FALSE)-VLOOKUP(A176,'SegEnds_NonXtal_Prot#'!A:AL,34,FALSE)</f>
        <v>10</v>
      </c>
      <c r="AL176" s="1" t="str">
        <f>IF(ISERROR(MATCH(A176,'SegEnds_Xtal_Prot#'!B:B, 0)), "NoXtal", "Xtal")</f>
        <v>NoXtal</v>
      </c>
    </row>
    <row r="177" spans="1:38" x14ac:dyDescent="0.2">
      <c r="A177" s="1" t="s">
        <v>297</v>
      </c>
      <c r="B177" s="1" t="str">
        <f>VLOOKUP(A177,Xtal_Templ!A:B,2,FALSE)</f>
        <v>s1pr1_human</v>
      </c>
      <c r="C177" s="5">
        <f>VLOOKUP($B177&amp;"__wt",'SegEnds_Xtal_BW#'!$A:$Z,3,FALSE)</f>
        <v>29</v>
      </c>
      <c r="D177" s="1">
        <f>VLOOKUP($B177&amp;"__wt",'SegEnds_Xtal_BW#'!$A:$Z,4,FALSE)</f>
        <v>60</v>
      </c>
      <c r="E177" s="1">
        <f>VLOOKUP($B177&amp;"__wt",'SegEnds_Xtal_BW#'!$A:$Z,5,FALSE)</f>
        <v>48</v>
      </c>
      <c r="F177" s="1">
        <f>VLOOKUP($B177&amp;"__wt",'SegEnds_Xtal_BW#'!$A:$Z,6,FALSE)</f>
        <v>51</v>
      </c>
      <c r="G177" s="1">
        <v>37</v>
      </c>
      <c r="H177" s="12">
        <v>67</v>
      </c>
      <c r="I177" s="1" t="s">
        <v>23</v>
      </c>
      <c r="J177" s="1" t="s">
        <v>23</v>
      </c>
      <c r="K177" s="12">
        <v>18</v>
      </c>
      <c r="L177" s="1">
        <f>VLOOKUP($B177&amp;"__wt",'SegEnds_Xtal_BW#'!$A:$Z,12,FALSE)</f>
        <v>56</v>
      </c>
      <c r="M177" s="1">
        <f>VLOOKUP($B177&amp;"__wt",'SegEnds_Xtal_BW#'!$A:$Z,13,FALSE)</f>
        <v>50</v>
      </c>
      <c r="N177" s="12">
        <v>57</v>
      </c>
      <c r="O177" s="87">
        <f>VLOOKUP($B177&amp;"__wt",'SegEnds_Xtal_BW#'!$A:$Z,15,FALSE)</f>
        <v>38</v>
      </c>
      <c r="P177" s="1">
        <f>VLOOKUP($B177&amp;"__wt",'SegEnds_Xtal_BW#'!$A:$Z,16,FALSE)</f>
        <v>63</v>
      </c>
      <c r="Q177" s="1" t="str">
        <f>VLOOKUP($B177&amp;"__wt",'SegEnds_Xtal_BW#'!$A:$Z,17,FALSE)</f>
        <v>-</v>
      </c>
      <c r="R177" s="1" t="str">
        <f>VLOOKUP($B177&amp;"__wt",'SegEnds_Xtal_BW#'!$A:$Z,18,FALSE)</f>
        <v>-</v>
      </c>
      <c r="S177" s="108">
        <v>33</v>
      </c>
      <c r="T177" s="1">
        <f t="array" ref="T177">INDEX(ICL3_classA!$G$2:$G$37,MATCH(MIN(ABS(AI177-ICL3_classA!$F$2:$F$37)),ABS(AI177-ICL3_classA!$F$2:$F$37),0))</f>
        <v>67</v>
      </c>
      <c r="U177" s="108">
        <v>27</v>
      </c>
      <c r="V177" s="1">
        <v>61</v>
      </c>
      <c r="W177" s="1">
        <v>28</v>
      </c>
      <c r="X177" s="1">
        <f>VLOOKUP($B177&amp;"__wt",'SegEnds_Xtal_BW#'!$A:$Z,24,FALSE)</f>
        <v>56</v>
      </c>
      <c r="Y177" s="1">
        <f>VLOOKUP($B177&amp;"__wt",'SegEnds_Xtal_BW#'!$A:$Z,25,FALSE)</f>
        <v>47</v>
      </c>
      <c r="Z177" s="1">
        <f>VLOOKUP($B177&amp;"__wt",'SegEnds_Xtal_BW#'!$A:$Z,26,FALSE)</f>
        <v>59</v>
      </c>
      <c r="AA177" s="27" t="str">
        <f>VLOOKUP(A177,Classification!A:B,2,FALSE)</f>
        <v>A</v>
      </c>
      <c r="AB177" s="1">
        <f>VLOOKUP(A177,'SegEnds_NonXtal_Prot#'!A:AL,10,FALSE)-VLOOKUP(A177,'SegEnds_NonXtal_Prot#'!A:AL,4,FALSE)</f>
        <v>28</v>
      </c>
      <c r="AC177" s="1">
        <f>VLOOKUP(A177,'SegEnds_NonXtal_Prot#'!A:AL,10,FALSE)-VLOOKUP(A177,'SegEnds_NonXtal_Prot#'!A:AL,7,FALSE)</f>
        <v>15</v>
      </c>
      <c r="AD177" s="1" t="e">
        <f>VLOOKUP(A177,'SegEnds_NonXtal_Prot#'!A:AL,13,FALSE)-VLOOKUP(A177,'SegEnds_NonXtal_Prot#'!A:AL,10,FALSE)</f>
        <v>#VALUE!</v>
      </c>
      <c r="AE177" s="1">
        <f>VLOOKUP(A177,'SegEnds_NonXtal_Prot#'!A:AL,16,FALSE)-VLOOKUP(A177,'SegEnds_NonXtal_Prot#'!A:AL,10,FALSE)</f>
        <v>57</v>
      </c>
      <c r="AF177" s="1">
        <f>VLOOKUP(A177,'SegEnds_NonXtal_Prot#'!A:AL,22,FALSE)-VLOOKUP(A177,'SegEnds_NonXtal_Prot#'!A:AL,19,FALSE)</f>
        <v>20</v>
      </c>
      <c r="AG177" s="1" t="e">
        <f>VLOOKUP(A177,'SegEnds_NonXtal_Prot#'!A:AL,28,FALSE)-VLOOKUP(A177,'SegEnds_NonXtal_Prot#'!A:AL,25,FALSE)</f>
        <v>#VALUE!</v>
      </c>
      <c r="AH177" s="1">
        <f>VLOOKUP(A177,'SegEnds_NonXtal_Prot#'!A:AL,28,FALSE)-VLOOKUP(A177,'SegEnds_NonXtal_Prot#'!A:AL,22,FALSE)</f>
        <v>40</v>
      </c>
      <c r="AI177" s="1">
        <f>VLOOKUP(A177,'SegEnds_NonXtal_Prot#'!A:AL,31,FALSE)-VLOOKUP(A177,'SegEnds_NonXtal_Prot#'!A:AL,28,FALSE)</f>
        <v>46</v>
      </c>
      <c r="AJ177" s="1">
        <f>VLOOKUP(A177,'SegEnds_NonXtal_Prot#'!A:AL,34,FALSE)-VLOOKUP(A177,'SegEnds_NonXtal_Prot#'!A:AL,31,FALSE)</f>
        <v>39</v>
      </c>
      <c r="AK177" s="1">
        <f>VLOOKUP(A177,'SegEnds_NonXtal_Prot#'!A:AL,37,FALSE)-VLOOKUP(A177,'SegEnds_NonXtal_Prot#'!A:AL,34,FALSE)</f>
        <v>10</v>
      </c>
      <c r="AL177" s="1" t="str">
        <f>IF(ISERROR(MATCH(A177,'SegEnds_Xtal_Prot#'!B:B, 0)), "NoXtal", "Xtal")</f>
        <v>NoXtal</v>
      </c>
    </row>
    <row r="178" spans="1:38" x14ac:dyDescent="0.2">
      <c r="A178" s="1" t="s">
        <v>298</v>
      </c>
      <c r="B178" s="1" t="str">
        <f>VLOOKUP(A178,Xtal_Templ!A:B,2,FALSE)</f>
        <v>lpar1_human</v>
      </c>
      <c r="C178" s="5">
        <f>VLOOKUP($B178&amp;"__wt",'SegEnds_Xtal_BW#'!$A:$Z,3,FALSE)</f>
        <v>30</v>
      </c>
      <c r="D178" s="1">
        <f>VLOOKUP($B178&amp;"__wt",'SegEnds_Xtal_BW#'!$A:$Z,4,FALSE)</f>
        <v>60</v>
      </c>
      <c r="E178" s="1">
        <f>VLOOKUP($B178&amp;"__wt",'SegEnds_Xtal_BW#'!$A:$Z,5,FALSE)</f>
        <v>48</v>
      </c>
      <c r="F178" s="1">
        <f>VLOOKUP($B178&amp;"__wt",'SegEnds_Xtal_BW#'!$A:$Z,6,FALSE)</f>
        <v>51</v>
      </c>
      <c r="G178" s="1">
        <v>37</v>
      </c>
      <c r="H178" s="12">
        <f>VLOOKUP($B178&amp;"__wt",'SegEnds_Xtal_BW#'!$A:$Z,8,FALSE)</f>
        <v>63</v>
      </c>
      <c r="I178" s="1">
        <v>49</v>
      </c>
      <c r="J178" s="1">
        <f>VLOOKUP($B178&amp;"__wt",'SegEnds_Xtal_BW#'!$A:$Z,10,FALSE)</f>
        <v>53</v>
      </c>
      <c r="K178" s="12">
        <v>18</v>
      </c>
      <c r="L178" s="1">
        <f>VLOOKUP($B178&amp;"__wt",'SegEnds_Xtal_BW#'!$A:$Z,12,FALSE)</f>
        <v>56</v>
      </c>
      <c r="M178" s="1">
        <f>VLOOKUP($B178&amp;"__wt",'SegEnds_Xtal_BW#'!$A:$Z,13,FALSE)</f>
        <v>50</v>
      </c>
      <c r="N178" s="12">
        <v>57</v>
      </c>
      <c r="O178" s="87">
        <f>VLOOKUP($B178&amp;"__wt",'SegEnds_Xtal_BW#'!$A:$Z,15,FALSE)</f>
        <v>38</v>
      </c>
      <c r="P178" s="1">
        <f>VLOOKUP($B178&amp;"__wt",'SegEnds_Xtal_BW#'!$A:$Z,16,FALSE)</f>
        <v>63</v>
      </c>
      <c r="Q178" s="1" t="str">
        <f>VLOOKUP($B178&amp;"__wt",'SegEnds_Xtal_BW#'!$A:$Z,17,FALSE)</f>
        <v>-</v>
      </c>
      <c r="R178" s="1" t="str">
        <f>VLOOKUP($B178&amp;"__wt",'SegEnds_Xtal_BW#'!$A:$Z,18,FALSE)</f>
        <v>-</v>
      </c>
      <c r="S178" s="108">
        <v>33</v>
      </c>
      <c r="T178" s="1">
        <f t="array" ref="T178">INDEX(ICL3_classA!$G$2:$G$37,MATCH(MIN(ABS(AI178-ICL3_classA!$F$2:$F$37)),ABS(AI178-ICL3_classA!$F$2:$F$37),0))</f>
        <v>67</v>
      </c>
      <c r="U178" s="108">
        <v>27</v>
      </c>
      <c r="V178" s="1">
        <v>61</v>
      </c>
      <c r="W178" s="1">
        <v>28</v>
      </c>
      <c r="X178" s="1">
        <f>VLOOKUP($B178&amp;"__wt",'SegEnds_Xtal_BW#'!$A:$Z,24,FALSE)</f>
        <v>56</v>
      </c>
      <c r="Y178" s="1">
        <f>VLOOKUP($B178&amp;"__wt",'SegEnds_Xtal_BW#'!$A:$Z,25,FALSE)</f>
        <v>47</v>
      </c>
      <c r="Z178" s="1">
        <f>VLOOKUP($B178&amp;"__wt",'SegEnds_Xtal_BW#'!$A:$Z,26,FALSE)</f>
        <v>59</v>
      </c>
      <c r="AA178" s="27" t="str">
        <f>VLOOKUP(A178,Classification!A:B,2,FALSE)</f>
        <v>A</v>
      </c>
      <c r="AB178" s="1">
        <f>VLOOKUP(A178,'SegEnds_NonXtal_Prot#'!A:AL,10,FALSE)-VLOOKUP(A178,'SegEnds_NonXtal_Prot#'!A:AL,4,FALSE)</f>
        <v>28</v>
      </c>
      <c r="AC178" s="1">
        <f>VLOOKUP(A178,'SegEnds_NonXtal_Prot#'!A:AL,10,FALSE)-VLOOKUP(A178,'SegEnds_NonXtal_Prot#'!A:AL,7,FALSE)</f>
        <v>15</v>
      </c>
      <c r="AD178" s="1" t="e">
        <f>VLOOKUP(A178,'SegEnds_NonXtal_Prot#'!A:AL,13,FALSE)-VLOOKUP(A178,'SegEnds_NonXtal_Prot#'!A:AL,10,FALSE)</f>
        <v>#VALUE!</v>
      </c>
      <c r="AE178" s="1">
        <f>VLOOKUP(A178,'SegEnds_NonXtal_Prot#'!A:AL,16,FALSE)-VLOOKUP(A178,'SegEnds_NonXtal_Prot#'!A:AL,10,FALSE)</f>
        <v>58</v>
      </c>
      <c r="AF178" s="1">
        <f>VLOOKUP(A178,'SegEnds_NonXtal_Prot#'!A:AL,22,FALSE)-VLOOKUP(A178,'SegEnds_NonXtal_Prot#'!A:AL,19,FALSE)</f>
        <v>20</v>
      </c>
      <c r="AG178" s="1" t="e">
        <f>VLOOKUP(A178,'SegEnds_NonXtal_Prot#'!A:AL,28,FALSE)-VLOOKUP(A178,'SegEnds_NonXtal_Prot#'!A:AL,25,FALSE)</f>
        <v>#VALUE!</v>
      </c>
      <c r="AH178" s="1">
        <f>VLOOKUP(A178,'SegEnds_NonXtal_Prot#'!A:AL,28,FALSE)-VLOOKUP(A178,'SegEnds_NonXtal_Prot#'!A:AL,22,FALSE)</f>
        <v>40</v>
      </c>
      <c r="AI178" s="1">
        <f>VLOOKUP(A178,'SegEnds_NonXtal_Prot#'!A:AL,31,FALSE)-VLOOKUP(A178,'SegEnds_NonXtal_Prot#'!A:AL,28,FALSE)</f>
        <v>46</v>
      </c>
      <c r="AJ178" s="1">
        <f>VLOOKUP(A178,'SegEnds_NonXtal_Prot#'!A:AL,34,FALSE)-VLOOKUP(A178,'SegEnds_NonXtal_Prot#'!A:AL,31,FALSE)</f>
        <v>39</v>
      </c>
      <c r="AK178" s="1">
        <f>VLOOKUP(A178,'SegEnds_NonXtal_Prot#'!A:AL,37,FALSE)-VLOOKUP(A178,'SegEnds_NonXtal_Prot#'!A:AL,34,FALSE)</f>
        <v>10</v>
      </c>
      <c r="AL178" s="1" t="str">
        <f>IF(ISERROR(MATCH(A178,'SegEnds_Xtal_Prot#'!B:B, 0)), "NoXtal", "Xtal")</f>
        <v>NoXtal</v>
      </c>
    </row>
    <row r="179" spans="1:38" x14ac:dyDescent="0.2">
      <c r="A179" s="1" t="s">
        <v>299</v>
      </c>
      <c r="B179" s="1" t="str">
        <f>VLOOKUP(A179,Xtal_Templ!A:B,2,FALSE)</f>
        <v>oprk_human</v>
      </c>
      <c r="C179" s="5">
        <f>VLOOKUP($B179&amp;"__wt",'SegEnds_Xtal_BW#'!$A:$Z,3,FALSE)</f>
        <v>30</v>
      </c>
      <c r="D179" s="1">
        <f>VLOOKUP($B179&amp;"__wt",'SegEnds_Xtal_BW#'!$A:$Z,4,FALSE)</f>
        <v>60</v>
      </c>
      <c r="E179" s="1">
        <f>VLOOKUP($B179&amp;"__wt",'SegEnds_Xtal_BW#'!$A:$Z,5,FALSE)</f>
        <v>48</v>
      </c>
      <c r="F179" s="1">
        <f>VLOOKUP($B179&amp;"__wt",'SegEnds_Xtal_BW#'!$A:$Z,6,FALSE)</f>
        <v>51</v>
      </c>
      <c r="G179" s="1">
        <v>37</v>
      </c>
      <c r="H179" s="12">
        <f>VLOOKUP($B179&amp;"__wt",'SegEnds_Xtal_BW#'!$A:$Z,8,FALSE)</f>
        <v>67</v>
      </c>
      <c r="I179" s="1">
        <f>VLOOKUP($B179&amp;"__wt",'SegEnds_Xtal_BW#'!$A:$Z,9,FALSE)</f>
        <v>49</v>
      </c>
      <c r="J179" s="1">
        <f>VLOOKUP($B179&amp;"__wt",'SegEnds_Xtal_BW#'!$A:$Z,10,FALSE)</f>
        <v>52</v>
      </c>
      <c r="K179" s="12">
        <v>18</v>
      </c>
      <c r="L179" s="1">
        <f>VLOOKUP($B179&amp;"__wt",'SegEnds_Xtal_BW#'!$A:$Z,12,FALSE)</f>
        <v>56</v>
      </c>
      <c r="M179" s="1">
        <f>VLOOKUP($B179&amp;"__wt",'SegEnds_Xtal_BW#'!$A:$Z,13,FALSE)</f>
        <v>50</v>
      </c>
      <c r="N179" s="12">
        <v>57</v>
      </c>
      <c r="O179" s="87">
        <v>38</v>
      </c>
      <c r="P179" s="1">
        <f>VLOOKUP($B179&amp;"__wt",'SegEnds_Xtal_BW#'!$A:$Z,16,FALSE)</f>
        <v>64</v>
      </c>
      <c r="Q179" s="1">
        <f>VLOOKUP($B179&amp;"__wt",'SegEnds_Xtal_BW#'!$A:$Z,17,FALSE)</f>
        <v>50</v>
      </c>
      <c r="R179" s="1">
        <f>VLOOKUP($B179&amp;"__wt",'SegEnds_Xtal_BW#'!$A:$Z,18,FALSE)</f>
        <v>52</v>
      </c>
      <c r="S179" s="1">
        <f>VLOOKUP($B179&amp;"__wt",'SegEnds_Xtal_BW#'!$A:$Z,19,FALSE)</f>
        <v>30</v>
      </c>
      <c r="T179" s="1">
        <f t="array" ref="T179">INDEX(ICL3_classA!$G$2:$G$37,MATCH(MIN(ABS(AI179-ICL3_classA!$F$2:$F$37)),ABS(AI179-ICL3_classA!$F$2:$F$37),0))</f>
        <v>68</v>
      </c>
      <c r="U179" s="1">
        <f t="array" ref="U179">INDEX(ICL3_classA!$H$2:$H$37,MATCH(MIN(ABS(AI179-ICL3_classA!$F$2:$F$37)),ABS(AI179-ICL3_classA!$F$2:$F$37),0))</f>
        <v>23</v>
      </c>
      <c r="V179" s="1">
        <v>61</v>
      </c>
      <c r="W179" s="1">
        <v>31</v>
      </c>
      <c r="X179" s="1">
        <f>VLOOKUP($B179&amp;"__wt",'SegEnds_Xtal_BW#'!$A:$Z,24,FALSE)</f>
        <v>56</v>
      </c>
      <c r="Y179" s="1">
        <f>VLOOKUP($B179&amp;"__wt",'SegEnds_Xtal_BW#'!$A:$Z,25,FALSE)</f>
        <v>47</v>
      </c>
      <c r="Z179" s="1">
        <f>VLOOKUP($B179&amp;"__wt",'SegEnds_Xtal_BW#'!$A:$Z,26,FALSE)</f>
        <v>59</v>
      </c>
      <c r="AA179" s="27" t="str">
        <f>VLOOKUP(A179,Classification!A:B,2,FALSE)</f>
        <v>A</v>
      </c>
      <c r="AB179" s="1">
        <f>VLOOKUP(A179,'SegEnds_NonXtal_Prot#'!A:AL,10,FALSE)-VLOOKUP(A179,'SegEnds_NonXtal_Prot#'!A:AL,4,FALSE)</f>
        <v>31</v>
      </c>
      <c r="AC179" s="1">
        <f>VLOOKUP(A179,'SegEnds_NonXtal_Prot#'!A:AL,10,FALSE)-VLOOKUP(A179,'SegEnds_NonXtal_Prot#'!A:AL,7,FALSE)</f>
        <v>18</v>
      </c>
      <c r="AD179" s="1">
        <f>VLOOKUP(A179,'SegEnds_NonXtal_Prot#'!A:AL,13,FALSE)-VLOOKUP(A179,'SegEnds_NonXtal_Prot#'!A:AL,10,FALSE)</f>
        <v>20</v>
      </c>
      <c r="AE179" s="1">
        <f>VLOOKUP(A179,'SegEnds_NonXtal_Prot#'!A:AL,16,FALSE)-VLOOKUP(A179,'SegEnds_NonXtal_Prot#'!A:AL,10,FALSE)</f>
        <v>52</v>
      </c>
      <c r="AF179" s="1">
        <f>VLOOKUP(A179,'SegEnds_NonXtal_Prot#'!A:AL,22,FALSE)-VLOOKUP(A179,'SegEnds_NonXtal_Prot#'!A:AL,19,FALSE)</f>
        <v>20</v>
      </c>
      <c r="AG179" s="1">
        <f>VLOOKUP(A179,'SegEnds_NonXtal_Prot#'!A:AL,28,FALSE)-VLOOKUP(A179,'SegEnds_NonXtal_Prot#'!A:AL,25,FALSE)</f>
        <v>26</v>
      </c>
      <c r="AH179" s="1">
        <f>VLOOKUP(A179,'SegEnds_NonXtal_Prot#'!A:AL,28,FALSE)-VLOOKUP(A179,'SegEnds_NonXtal_Prot#'!A:AL,22,FALSE)</f>
        <v>52</v>
      </c>
      <c r="AI179" s="1">
        <f>VLOOKUP(A179,'SegEnds_NonXtal_Prot#'!A:AL,31,FALSE)-VLOOKUP(A179,'SegEnds_NonXtal_Prot#'!A:AL,28,FALSE)</f>
        <v>51</v>
      </c>
      <c r="AJ179" s="1">
        <f>VLOOKUP(A179,'SegEnds_NonXtal_Prot#'!A:AL,34,FALSE)-VLOOKUP(A179,'SegEnds_NonXtal_Prot#'!A:AL,31,FALSE)</f>
        <v>37</v>
      </c>
      <c r="AK179" s="1">
        <f>VLOOKUP(A179,'SegEnds_NonXtal_Prot#'!A:AL,37,FALSE)-VLOOKUP(A179,'SegEnds_NonXtal_Prot#'!A:AL,34,FALSE)</f>
        <v>10</v>
      </c>
      <c r="AL179" s="1" t="str">
        <f>IF(ISERROR(MATCH(A179,'SegEnds_Xtal_Prot#'!B:B, 0)), "NoXtal", "Xtal")</f>
        <v>NoXtal</v>
      </c>
    </row>
    <row r="180" spans="1:38" x14ac:dyDescent="0.2">
      <c r="A180" s="1" t="s">
        <v>300</v>
      </c>
      <c r="B180" s="1" t="str">
        <f>VLOOKUP(A180,Xtal_Templ!A:B,2,FALSE)</f>
        <v>oprd_human</v>
      </c>
      <c r="C180" s="5">
        <f>VLOOKUP($B180&amp;"__wt",'SegEnds_Xtal_BW#'!$A:$Z,3,FALSE)</f>
        <v>22</v>
      </c>
      <c r="D180" s="1">
        <f>VLOOKUP($B180&amp;"__wt",'SegEnds_Xtal_BW#'!$A:$Z,4,FALSE)</f>
        <v>60</v>
      </c>
      <c r="E180" s="1">
        <f>VLOOKUP($B180&amp;"__wt",'SegEnds_Xtal_BW#'!$A:$Z,5,FALSE)</f>
        <v>48</v>
      </c>
      <c r="F180" s="1">
        <f>VLOOKUP($B180&amp;"__wt",'SegEnds_Xtal_BW#'!$A:$Z,6,FALSE)</f>
        <v>51</v>
      </c>
      <c r="G180" s="1">
        <v>37</v>
      </c>
      <c r="H180" s="12">
        <f>VLOOKUP($B180&amp;"__wt",'SegEnds_Xtal_BW#'!$A:$Z,8,FALSE)</f>
        <v>66</v>
      </c>
      <c r="I180" s="1">
        <f>VLOOKUP($B180&amp;"__wt",'SegEnds_Xtal_BW#'!$A:$Z,9,FALSE)</f>
        <v>49</v>
      </c>
      <c r="J180" s="1">
        <f>VLOOKUP($B180&amp;"__wt",'SegEnds_Xtal_BW#'!$A:$Z,10,FALSE)</f>
        <v>52</v>
      </c>
      <c r="K180" s="12">
        <v>18</v>
      </c>
      <c r="L180" s="1">
        <f>VLOOKUP($B180&amp;"__wt",'SegEnds_Xtal_BW#'!$A:$Z,12,FALSE)</f>
        <v>56</v>
      </c>
      <c r="M180" s="1">
        <f>VLOOKUP($B180&amp;"__wt",'SegEnds_Xtal_BW#'!$A:$Z,13,FALSE)</f>
        <v>50</v>
      </c>
      <c r="N180" s="12">
        <v>57</v>
      </c>
      <c r="O180" s="87">
        <f>VLOOKUP($B180&amp;"__wt",'SegEnds_Xtal_BW#'!$A:$Z,15,FALSE)</f>
        <v>38</v>
      </c>
      <c r="P180" s="1">
        <f>VLOOKUP($B180&amp;"__wt",'SegEnds_Xtal_BW#'!$A:$Z,16,FALSE)</f>
        <v>64</v>
      </c>
      <c r="Q180" s="1">
        <f>VLOOKUP($B180&amp;"__wt",'SegEnds_Xtal_BW#'!$A:$Z,17,FALSE)</f>
        <v>50</v>
      </c>
      <c r="R180" s="1">
        <f>VLOOKUP($B180&amp;"__wt",'SegEnds_Xtal_BW#'!$A:$Z,18,FALSE)</f>
        <v>52</v>
      </c>
      <c r="S180" s="1">
        <f>VLOOKUP($B180&amp;"__wt",'SegEnds_Xtal_BW#'!$A:$Z,19,FALSE)</f>
        <v>31</v>
      </c>
      <c r="T180" s="1">
        <f t="array" ref="T180">INDEX(ICL3_classA!$G$2:$G$37,MATCH(MIN(ABS(AI180-ICL3_classA!$F$2:$F$37)),ABS(AI180-ICL3_classA!$F$2:$F$37),0))</f>
        <v>73</v>
      </c>
      <c r="U180" s="1">
        <f t="array" ref="U180">INDEX(ICL3_classA!$H$2:$H$37,MATCH(MIN(ABS(AI180-ICL3_classA!$F$2:$F$37)),ABS(AI180-ICL3_classA!$F$2:$F$37),0))</f>
        <v>22</v>
      </c>
      <c r="V180" s="1">
        <v>61</v>
      </c>
      <c r="W180" s="1">
        <v>31</v>
      </c>
      <c r="X180" s="1">
        <f>VLOOKUP($B180&amp;"__wt",'SegEnds_Xtal_BW#'!$A:$Z,24,FALSE)</f>
        <v>56</v>
      </c>
      <c r="Y180" s="1">
        <f>VLOOKUP($B180&amp;"__wt",'SegEnds_Xtal_BW#'!$A:$Z,25,FALSE)</f>
        <v>47</v>
      </c>
      <c r="Z180" s="1">
        <f>VLOOKUP($B180&amp;"__wt",'SegEnds_Xtal_BW#'!$A:$Z,26,FALSE)</f>
        <v>60</v>
      </c>
      <c r="AA180" s="27" t="str">
        <f>VLOOKUP(A180,Classification!A:B,2,FALSE)</f>
        <v>A</v>
      </c>
      <c r="AB180" s="1">
        <f>VLOOKUP(A180,'SegEnds_NonXtal_Prot#'!A:AL,10,FALSE)-VLOOKUP(A180,'SegEnds_NonXtal_Prot#'!A:AL,4,FALSE)</f>
        <v>27</v>
      </c>
      <c r="AC180" s="1" t="e">
        <f>VLOOKUP(A180,'SegEnds_NonXtal_Prot#'!A:AL,10,FALSE)-VLOOKUP(A180,'SegEnds_NonXtal_Prot#'!A:AL,7,FALSE)</f>
        <v>#VALUE!</v>
      </c>
      <c r="AD180" s="1">
        <f>VLOOKUP(A180,'SegEnds_NonXtal_Prot#'!A:AL,13,FALSE)-VLOOKUP(A180,'SegEnds_NonXtal_Prot#'!A:AL,10,FALSE)</f>
        <v>20</v>
      </c>
      <c r="AE180" s="1">
        <f>VLOOKUP(A180,'SegEnds_NonXtal_Prot#'!A:AL,16,FALSE)-VLOOKUP(A180,'SegEnds_NonXtal_Prot#'!A:AL,10,FALSE)</f>
        <v>52</v>
      </c>
      <c r="AF180" s="1">
        <f>VLOOKUP(A180,'SegEnds_NonXtal_Prot#'!A:AL,22,FALSE)-VLOOKUP(A180,'SegEnds_NonXtal_Prot#'!A:AL,19,FALSE)</f>
        <v>20</v>
      </c>
      <c r="AG180" s="1">
        <f>VLOOKUP(A180,'SegEnds_NonXtal_Prot#'!A:AL,28,FALSE)-VLOOKUP(A180,'SegEnds_NonXtal_Prot#'!A:AL,25,FALSE)</f>
        <v>25</v>
      </c>
      <c r="AH180" s="1">
        <f>VLOOKUP(A180,'SegEnds_NonXtal_Prot#'!A:AL,28,FALSE)-VLOOKUP(A180,'SegEnds_NonXtal_Prot#'!A:AL,22,FALSE)</f>
        <v>51</v>
      </c>
      <c r="AI180" s="1">
        <f>VLOOKUP(A180,'SegEnds_NonXtal_Prot#'!A:AL,31,FALSE)-VLOOKUP(A180,'SegEnds_NonXtal_Prot#'!A:AL,28,FALSE)</f>
        <v>57</v>
      </c>
      <c r="AJ180" s="1">
        <f>VLOOKUP(A180,'SegEnds_NonXtal_Prot#'!A:AL,34,FALSE)-VLOOKUP(A180,'SegEnds_NonXtal_Prot#'!A:AL,31,FALSE)</f>
        <v>37</v>
      </c>
      <c r="AK180" s="1">
        <f>VLOOKUP(A180,'SegEnds_NonXtal_Prot#'!A:AL,37,FALSE)-VLOOKUP(A180,'SegEnds_NonXtal_Prot#'!A:AL,34,FALSE)</f>
        <v>10</v>
      </c>
      <c r="AL180" s="1" t="str">
        <f>IF(ISERROR(MATCH(A180,'SegEnds_Xtal_Prot#'!B:B, 0)), "NoXtal", "Xtal")</f>
        <v>NoXtal</v>
      </c>
    </row>
    <row r="181" spans="1:38" x14ac:dyDescent="0.2">
      <c r="A181" s="1" t="s">
        <v>301</v>
      </c>
      <c r="B181" s="1" t="str">
        <f>VLOOKUP(A181,Xtal_Templ!A:B,2,FALSE)</f>
        <v>c5ar1_human</v>
      </c>
      <c r="C181" s="5">
        <f>VLOOKUP($B181&amp;"__wt",'SegEnds_Xtal_BW#'!$A:$Z,3,FALSE)</f>
        <v>29</v>
      </c>
      <c r="D181" s="1">
        <f>VLOOKUP($B181&amp;"__wt",'SegEnds_Xtal_BW#'!$A:$Z,4,FALSE)</f>
        <v>60</v>
      </c>
      <c r="E181" s="1" t="str">
        <f>VLOOKUP($B181&amp;"__wt",'SegEnds_Xtal_BW#'!$A:$Z,5,FALSE)</f>
        <v>-</v>
      </c>
      <c r="F181" s="1" t="str">
        <f>VLOOKUP($B181&amp;"__wt",'SegEnds_Xtal_BW#'!$A:$Z,6,FALSE)</f>
        <v>-</v>
      </c>
      <c r="G181" s="1">
        <v>37</v>
      </c>
      <c r="H181" s="12">
        <v>66</v>
      </c>
      <c r="I181" s="1">
        <f>VLOOKUP($B181&amp;"__wt",'SegEnds_Xtal_BW#'!$A:$Z,9,FALSE)</f>
        <v>49</v>
      </c>
      <c r="J181" s="1">
        <f>VLOOKUP($B181&amp;"__wt",'SegEnds_Xtal_BW#'!$A:$Z,10,FALSE)</f>
        <v>52</v>
      </c>
      <c r="K181" s="12">
        <v>21</v>
      </c>
      <c r="L181" s="1">
        <f>VLOOKUP($B181&amp;"__wt",'SegEnds_Xtal_BW#'!$A:$Z,12,FALSE)</f>
        <v>56</v>
      </c>
      <c r="M181" s="1">
        <f>VLOOKUP($B181&amp;"__wt",'SegEnds_Xtal_BW#'!$A:$Z,13,FALSE)</f>
        <v>50</v>
      </c>
      <c r="N181" s="12">
        <v>57</v>
      </c>
      <c r="O181" s="87">
        <v>38</v>
      </c>
      <c r="P181" s="1">
        <f>VLOOKUP($B181&amp;"__wt",'SegEnds_Xtal_BW#'!$A:$Z,16,FALSE)</f>
        <v>64</v>
      </c>
      <c r="Q181" s="1">
        <f>VLOOKUP($B181&amp;"__wt",'SegEnds_Xtal_BW#'!$A:$Z,17,FALSE)</f>
        <v>50</v>
      </c>
      <c r="R181" s="1">
        <f>VLOOKUP($B181&amp;"__wt",'SegEnds_Xtal_BW#'!$A:$Z,18,FALSE)</f>
        <v>52</v>
      </c>
      <c r="S181" s="1">
        <f>VLOOKUP($B181&amp;"__wt",'SegEnds_Xtal_BW#'!$A:$Z,19,FALSE)</f>
        <v>31</v>
      </c>
      <c r="T181" s="1">
        <f t="array" ref="T181">INDEX(ICL3_classA!$G$2:$G$37,MATCH(MIN(ABS(AI181-ICL3_classA!$F$2:$F$37)),ABS(AI181-ICL3_classA!$F$2:$F$37),0))</f>
        <v>68</v>
      </c>
      <c r="U181" s="1">
        <f t="array" ref="U181">INDEX(ICL3_classA!$H$2:$H$37,MATCH(MIN(ABS(AI181-ICL3_classA!$F$2:$F$37)),ABS(AI181-ICL3_classA!$F$2:$F$37),0))</f>
        <v>28</v>
      </c>
      <c r="V181" s="1">
        <v>61</v>
      </c>
      <c r="W181" s="1">
        <v>31</v>
      </c>
      <c r="X181" s="108">
        <v>56</v>
      </c>
      <c r="Y181" s="1">
        <f>VLOOKUP($B181&amp;"__wt",'SegEnds_Xtal_BW#'!$A:$Z,25,FALSE)</f>
        <v>47</v>
      </c>
      <c r="Z181" s="1">
        <f>VLOOKUP($B181&amp;"__wt",'SegEnds_Xtal_BW#'!$A:$Z,26,FALSE)</f>
        <v>56</v>
      </c>
      <c r="AA181" s="27" t="str">
        <f>VLOOKUP(A181,Classification!A:B,2,FALSE)</f>
        <v>A</v>
      </c>
      <c r="AB181" s="1">
        <f>VLOOKUP(A181,'SegEnds_NonXtal_Prot#'!A:AL,10,FALSE)-VLOOKUP(A181,'SegEnds_NonXtal_Prot#'!A:AL,4,FALSE)</f>
        <v>27</v>
      </c>
      <c r="AC181" s="1" t="e">
        <f>VLOOKUP(A181,'SegEnds_NonXtal_Prot#'!A:AL,10,FALSE)-VLOOKUP(A181,'SegEnds_NonXtal_Prot#'!A:AL,7,FALSE)</f>
        <v>#VALUE!</v>
      </c>
      <c r="AD181" s="1" t="e">
        <f>VLOOKUP(A181,'SegEnds_NonXtal_Prot#'!A:AL,13,FALSE)-VLOOKUP(A181,'SegEnds_NonXtal_Prot#'!A:AL,10,FALSE)</f>
        <v>#VALUE!</v>
      </c>
      <c r="AE181" s="1">
        <f>VLOOKUP(A181,'SegEnds_NonXtal_Prot#'!A:AL,16,FALSE)-VLOOKUP(A181,'SegEnds_NonXtal_Prot#'!A:AL,10,FALSE)</f>
        <v>51</v>
      </c>
      <c r="AF181" s="1">
        <f>VLOOKUP(A181,'SegEnds_NonXtal_Prot#'!A:AL,22,FALSE)-VLOOKUP(A181,'SegEnds_NonXtal_Prot#'!A:AL,19,FALSE)</f>
        <v>20</v>
      </c>
      <c r="AG181" s="1" t="e">
        <f>VLOOKUP(A181,'SegEnds_NonXtal_Prot#'!A:AL,28,FALSE)-VLOOKUP(A181,'SegEnds_NonXtal_Prot#'!A:AL,25,FALSE)</f>
        <v>#VALUE!</v>
      </c>
      <c r="AH181" s="1">
        <f>VLOOKUP(A181,'SegEnds_NonXtal_Prot#'!A:AL,28,FALSE)-VLOOKUP(A181,'SegEnds_NonXtal_Prot#'!A:AL,22,FALSE)</f>
        <v>42</v>
      </c>
      <c r="AI181" s="1">
        <f>VLOOKUP(A181,'SegEnds_NonXtal_Prot#'!A:AL,31,FALSE)-VLOOKUP(A181,'SegEnds_NonXtal_Prot#'!A:AL,28,FALSE)</f>
        <v>44</v>
      </c>
      <c r="AJ181" s="1">
        <f>VLOOKUP(A181,'SegEnds_NonXtal_Prot#'!A:AL,34,FALSE)-VLOOKUP(A181,'SegEnds_NonXtal_Prot#'!A:AL,31,FALSE)</f>
        <v>37</v>
      </c>
      <c r="AK181" s="1">
        <f>VLOOKUP(A181,'SegEnds_NonXtal_Prot#'!A:AL,37,FALSE)-VLOOKUP(A181,'SegEnds_NonXtal_Prot#'!A:AL,34,FALSE)</f>
        <v>10</v>
      </c>
      <c r="AL181" s="1" t="str">
        <f>IF(ISERROR(MATCH(A181,'SegEnds_Xtal_Prot#'!B:B, 0)), "NoXtal", "Xtal")</f>
        <v>NoXtal</v>
      </c>
    </row>
    <row r="182" spans="1:38" x14ac:dyDescent="0.2">
      <c r="A182" s="1" t="s">
        <v>302</v>
      </c>
      <c r="B182" s="1" t="str">
        <f>VLOOKUP(A182,Xtal_Templ!A:B,2,FALSE)</f>
        <v>cxcr4_human</v>
      </c>
      <c r="C182" s="5">
        <f>VLOOKUP($B182&amp;"__wt",'SegEnds_Xtal_BW#'!$A:$Z,3,FALSE)</f>
        <v>24</v>
      </c>
      <c r="D182" s="1">
        <f>VLOOKUP($B182&amp;"__wt",'SegEnds_Xtal_BW#'!$A:$Z,4,FALSE)</f>
        <v>60</v>
      </c>
      <c r="E182" s="1">
        <f>VLOOKUP($B182&amp;"__wt",'SegEnds_Xtal_BW#'!$A:$Z,5,FALSE)</f>
        <v>48</v>
      </c>
      <c r="F182" s="1">
        <f>VLOOKUP($B182&amp;"__wt",'SegEnds_Xtal_BW#'!$A:$Z,6,FALSE)</f>
        <v>51</v>
      </c>
      <c r="G182" s="1">
        <v>37</v>
      </c>
      <c r="H182" s="12">
        <f>VLOOKUP($B182&amp;"__wt",'SegEnds_Xtal_BW#'!$A:$Z,8,FALSE)</f>
        <v>66</v>
      </c>
      <c r="I182" s="1">
        <f>VLOOKUP($B182&amp;"__wt",'SegEnds_Xtal_BW#'!$A:$Z,9,FALSE)</f>
        <v>49</v>
      </c>
      <c r="J182" s="1">
        <f>VLOOKUP($B182&amp;"__wt",'SegEnds_Xtal_BW#'!$A:$Z,10,FALSE)</f>
        <v>52</v>
      </c>
      <c r="K182" s="12">
        <v>21</v>
      </c>
      <c r="L182" s="1">
        <f>VLOOKUP($B182&amp;"__wt",'SegEnds_Xtal_BW#'!$A:$Z,12,FALSE)</f>
        <v>56</v>
      </c>
      <c r="M182" s="1">
        <f>VLOOKUP($B182&amp;"__wt",'SegEnds_Xtal_BW#'!$A:$Z,13,FALSE)</f>
        <v>50</v>
      </c>
      <c r="N182" s="12">
        <v>57</v>
      </c>
      <c r="O182" s="87">
        <v>38</v>
      </c>
      <c r="P182" s="1">
        <f>VLOOKUP($B182&amp;"__wt",'SegEnds_Xtal_BW#'!$A:$Z,16,FALSE)</f>
        <v>64</v>
      </c>
      <c r="Q182" s="1">
        <f>VLOOKUP($B182&amp;"__wt",'SegEnds_Xtal_BW#'!$A:$Z,17,FALSE)</f>
        <v>50</v>
      </c>
      <c r="R182" s="1">
        <f>VLOOKUP($B182&amp;"__wt",'SegEnds_Xtal_BW#'!$A:$Z,18,FALSE)</f>
        <v>52</v>
      </c>
      <c r="S182" s="1">
        <f>VLOOKUP($B182&amp;"__wt",'SegEnds_Xtal_BW#'!$A:$Z,19,FALSE)</f>
        <v>32</v>
      </c>
      <c r="T182" s="1">
        <f t="array" ref="T182">INDEX(ICL3_classA!$G$2:$G$37,MATCH(MIN(ABS(AI182-ICL3_classA!$F$2:$F$37)),ABS(AI182-ICL3_classA!$F$2:$F$37),0))</f>
        <v>68</v>
      </c>
      <c r="U182" s="1">
        <f t="array" ref="U182">INDEX(ICL3_classA!$H$2:$H$37,MATCH(MIN(ABS(AI182-ICL3_classA!$F$2:$F$37)),ABS(AI182-ICL3_classA!$F$2:$F$37),0))</f>
        <v>30</v>
      </c>
      <c r="V182" s="1">
        <v>61</v>
      </c>
      <c r="W182" s="1">
        <v>32</v>
      </c>
      <c r="X182" s="1">
        <f>VLOOKUP($B182&amp;"__wt",'SegEnds_Xtal_BW#'!$A:$Z,24,FALSE)</f>
        <v>56</v>
      </c>
      <c r="Y182" s="1">
        <f>VLOOKUP($B182&amp;"__wt",'SegEnds_Xtal_BW#'!$A:$Z,25,FALSE)</f>
        <v>47</v>
      </c>
      <c r="Z182" s="1">
        <f>VLOOKUP($B182&amp;"__wt",'SegEnds_Xtal_BW#'!$A:$Z,26,FALSE)</f>
        <v>59</v>
      </c>
      <c r="AA182" s="27" t="str">
        <f>VLOOKUP(A182,Classification!A:B,2,FALSE)</f>
        <v>A</v>
      </c>
      <c r="AB182" s="1">
        <f>VLOOKUP(A182,'SegEnds_NonXtal_Prot#'!A:AL,10,FALSE)-VLOOKUP(A182,'SegEnds_NonXtal_Prot#'!A:AL,4,FALSE)</f>
        <v>27</v>
      </c>
      <c r="AC182" s="1" t="e">
        <f>VLOOKUP(A182,'SegEnds_NonXtal_Prot#'!A:AL,10,FALSE)-VLOOKUP(A182,'SegEnds_NonXtal_Prot#'!A:AL,7,FALSE)</f>
        <v>#VALUE!</v>
      </c>
      <c r="AD182" s="1" t="e">
        <f>VLOOKUP(A182,'SegEnds_NonXtal_Prot#'!A:AL,13,FALSE)-VLOOKUP(A182,'SegEnds_NonXtal_Prot#'!A:AL,10,FALSE)</f>
        <v>#VALUE!</v>
      </c>
      <c r="AE182" s="1">
        <f>VLOOKUP(A182,'SegEnds_NonXtal_Prot#'!A:AL,16,FALSE)-VLOOKUP(A182,'SegEnds_NonXtal_Prot#'!A:AL,10,FALSE)</f>
        <v>52</v>
      </c>
      <c r="AF182" s="1">
        <f>VLOOKUP(A182,'SegEnds_NonXtal_Prot#'!A:AL,22,FALSE)-VLOOKUP(A182,'SegEnds_NonXtal_Prot#'!A:AL,19,FALSE)</f>
        <v>20</v>
      </c>
      <c r="AG182" s="1" t="e">
        <f>VLOOKUP(A182,'SegEnds_NonXtal_Prot#'!A:AL,28,FALSE)-VLOOKUP(A182,'SegEnds_NonXtal_Prot#'!A:AL,25,FALSE)</f>
        <v>#VALUE!</v>
      </c>
      <c r="AH182" s="1">
        <f>VLOOKUP(A182,'SegEnds_NonXtal_Prot#'!A:AL,28,FALSE)-VLOOKUP(A182,'SegEnds_NonXtal_Prot#'!A:AL,22,FALSE)</f>
        <v>42</v>
      </c>
      <c r="AI182" s="1">
        <f>VLOOKUP(A182,'SegEnds_NonXtal_Prot#'!A:AL,31,FALSE)-VLOOKUP(A182,'SegEnds_NonXtal_Prot#'!A:AL,28,FALSE)</f>
        <v>42</v>
      </c>
      <c r="AJ182" s="1">
        <f>VLOOKUP(A182,'SegEnds_NonXtal_Prot#'!A:AL,34,FALSE)-VLOOKUP(A182,'SegEnds_NonXtal_Prot#'!A:AL,31,FALSE)</f>
        <v>34</v>
      </c>
      <c r="AK182" s="1">
        <f>VLOOKUP(A182,'SegEnds_NonXtal_Prot#'!A:AL,37,FALSE)-VLOOKUP(A182,'SegEnds_NonXtal_Prot#'!A:AL,34,FALSE)</f>
        <v>10</v>
      </c>
      <c r="AL182" s="1" t="str">
        <f>IF(ISERROR(MATCH(A182,'SegEnds_Xtal_Prot#'!B:B, 0)), "NoXtal", "Xtal")</f>
        <v>NoXtal</v>
      </c>
    </row>
    <row r="183" spans="1:38" x14ac:dyDescent="0.2">
      <c r="A183" s="1" t="s">
        <v>303</v>
      </c>
      <c r="B183" s="1" t="str">
        <f>VLOOKUP(A183,Xtal_Templ!A:B,2,FALSE)</f>
        <v>c5ar1_human</v>
      </c>
      <c r="C183" s="5">
        <f>VLOOKUP($B183&amp;"__wt",'SegEnds_Xtal_BW#'!$A:$Z,3,FALSE)</f>
        <v>29</v>
      </c>
      <c r="D183" s="1">
        <f>VLOOKUP($B183&amp;"__wt",'SegEnds_Xtal_BW#'!$A:$Z,4,FALSE)</f>
        <v>60</v>
      </c>
      <c r="E183" s="1" t="str">
        <f>VLOOKUP($B183&amp;"__wt",'SegEnds_Xtal_BW#'!$A:$Z,5,FALSE)</f>
        <v>-</v>
      </c>
      <c r="F183" s="1" t="str">
        <f>VLOOKUP($B183&amp;"__wt",'SegEnds_Xtal_BW#'!$A:$Z,6,FALSE)</f>
        <v>-</v>
      </c>
      <c r="G183" s="1">
        <v>37</v>
      </c>
      <c r="H183" s="12">
        <f>VLOOKUP($B183&amp;"__wt",'SegEnds_Xtal_BW#'!$A:$Z,8,FALSE)</f>
        <v>67</v>
      </c>
      <c r="I183" s="1">
        <f>VLOOKUP($B183&amp;"__wt",'SegEnds_Xtal_BW#'!$A:$Z,9,FALSE)</f>
        <v>49</v>
      </c>
      <c r="J183" s="1">
        <f>VLOOKUP($B183&amp;"__wt",'SegEnds_Xtal_BW#'!$A:$Z,10,FALSE)</f>
        <v>52</v>
      </c>
      <c r="K183" s="12">
        <v>21</v>
      </c>
      <c r="L183" s="1">
        <f>VLOOKUP($B183&amp;"__wt",'SegEnds_Xtal_BW#'!$A:$Z,12,FALSE)</f>
        <v>56</v>
      </c>
      <c r="M183" s="1">
        <f>VLOOKUP($B183&amp;"__wt",'SegEnds_Xtal_BW#'!$A:$Z,13,FALSE)</f>
        <v>50</v>
      </c>
      <c r="N183" s="12">
        <v>57</v>
      </c>
      <c r="O183" s="87">
        <v>38</v>
      </c>
      <c r="P183" s="1">
        <f>VLOOKUP($B183&amp;"__wt",'SegEnds_Xtal_BW#'!$A:$Z,16,FALSE)</f>
        <v>64</v>
      </c>
      <c r="Q183" s="1">
        <f>VLOOKUP($B183&amp;"__wt",'SegEnds_Xtal_BW#'!$A:$Z,17,FALSE)</f>
        <v>50</v>
      </c>
      <c r="R183" s="1">
        <f>VLOOKUP($B183&amp;"__wt",'SegEnds_Xtal_BW#'!$A:$Z,18,FALSE)</f>
        <v>52</v>
      </c>
      <c r="S183" s="1">
        <f>VLOOKUP($B183&amp;"__wt",'SegEnds_Xtal_BW#'!$A:$Z,19,FALSE)</f>
        <v>31</v>
      </c>
      <c r="T183" s="1">
        <f t="array" ref="T183">INDEX(ICL3_classA!$G$2:$G$37,MATCH(MIN(ABS(AI183-ICL3_classA!$F$2:$F$37)),ABS(AI183-ICL3_classA!$F$2:$F$37),0))</f>
        <v>68</v>
      </c>
      <c r="U183" s="1">
        <f t="array" ref="U183">INDEX(ICL3_classA!$H$2:$H$37,MATCH(MIN(ABS(AI183-ICL3_classA!$F$2:$F$37)),ABS(AI183-ICL3_classA!$F$2:$F$37),0))</f>
        <v>30</v>
      </c>
      <c r="V183" s="1">
        <v>61</v>
      </c>
      <c r="W183" s="1">
        <v>32</v>
      </c>
      <c r="X183" s="108">
        <v>56</v>
      </c>
      <c r="Y183" s="1">
        <f>VLOOKUP($B183&amp;"__wt",'SegEnds_Xtal_BW#'!$A:$Z,25,FALSE)</f>
        <v>47</v>
      </c>
      <c r="Z183" s="1">
        <f>VLOOKUP($B183&amp;"__wt",'SegEnds_Xtal_BW#'!$A:$Z,26,FALSE)</f>
        <v>56</v>
      </c>
      <c r="AA183" s="27" t="str">
        <f>VLOOKUP(A183,Classification!A:B,2,FALSE)</f>
        <v>A</v>
      </c>
      <c r="AB183" s="1">
        <f>VLOOKUP(A183,'SegEnds_NonXtal_Prot#'!A:AL,10,FALSE)-VLOOKUP(A183,'SegEnds_NonXtal_Prot#'!A:AL,4,FALSE)</f>
        <v>27</v>
      </c>
      <c r="AC183" s="1" t="e">
        <f>VLOOKUP(A183,'SegEnds_NonXtal_Prot#'!A:AL,10,FALSE)-VLOOKUP(A183,'SegEnds_NonXtal_Prot#'!A:AL,7,FALSE)</f>
        <v>#VALUE!</v>
      </c>
      <c r="AD183" s="1" t="e">
        <f>VLOOKUP(A183,'SegEnds_NonXtal_Prot#'!A:AL,13,FALSE)-VLOOKUP(A183,'SegEnds_NonXtal_Prot#'!A:AL,10,FALSE)</f>
        <v>#VALUE!</v>
      </c>
      <c r="AE183" s="1">
        <f>VLOOKUP(A183,'SegEnds_NonXtal_Prot#'!A:AL,16,FALSE)-VLOOKUP(A183,'SegEnds_NonXtal_Prot#'!A:AL,10,FALSE)</f>
        <v>52</v>
      </c>
      <c r="AF183" s="1">
        <f>VLOOKUP(A183,'SegEnds_NonXtal_Prot#'!A:AL,22,FALSE)-VLOOKUP(A183,'SegEnds_NonXtal_Prot#'!A:AL,19,FALSE)</f>
        <v>20</v>
      </c>
      <c r="AG183" s="1" t="e">
        <f>VLOOKUP(A183,'SegEnds_NonXtal_Prot#'!A:AL,28,FALSE)-VLOOKUP(A183,'SegEnds_NonXtal_Prot#'!A:AL,25,FALSE)</f>
        <v>#VALUE!</v>
      </c>
      <c r="AH183" s="1">
        <f>VLOOKUP(A183,'SegEnds_NonXtal_Prot#'!A:AL,28,FALSE)-VLOOKUP(A183,'SegEnds_NonXtal_Prot#'!A:AL,22,FALSE)</f>
        <v>43</v>
      </c>
      <c r="AI183" s="1">
        <f>VLOOKUP(A183,'SegEnds_NonXtal_Prot#'!A:AL,31,FALSE)-VLOOKUP(A183,'SegEnds_NonXtal_Prot#'!A:AL,28,FALSE)</f>
        <v>43</v>
      </c>
      <c r="AJ183" s="1">
        <f>VLOOKUP(A183,'SegEnds_NonXtal_Prot#'!A:AL,34,FALSE)-VLOOKUP(A183,'SegEnds_NonXtal_Prot#'!A:AL,31,FALSE)</f>
        <v>34</v>
      </c>
      <c r="AK183" s="1">
        <f>VLOOKUP(A183,'SegEnds_NonXtal_Prot#'!A:AL,37,FALSE)-VLOOKUP(A183,'SegEnds_NonXtal_Prot#'!A:AL,34,FALSE)</f>
        <v>10</v>
      </c>
      <c r="AL183" s="1" t="str">
        <f>IF(ISERROR(MATCH(A183,'SegEnds_Xtal_Prot#'!B:B, 0)), "NoXtal", "Xtal")</f>
        <v>NoXtal</v>
      </c>
    </row>
    <row r="184" spans="1:38" x14ac:dyDescent="0.2">
      <c r="A184" s="1" t="s">
        <v>304</v>
      </c>
      <c r="B184" s="1" t="str">
        <f>VLOOKUP(A184,Xtal_Templ!A:B,2,FALSE)</f>
        <v>pd2r2_human</v>
      </c>
      <c r="C184" s="5">
        <f>VLOOKUP($B184&amp;"__wt",'SegEnds_Xtal_BW#'!$A:$Z,3,FALSE)</f>
        <v>32</v>
      </c>
      <c r="D184" s="1">
        <f>VLOOKUP($B184&amp;"__wt",'SegEnds_Xtal_BW#'!$A:$Z,4,FALSE)</f>
        <v>60</v>
      </c>
      <c r="E184" s="1" t="str">
        <f>VLOOKUP($B184&amp;"__wt",'SegEnds_Xtal_BW#'!$A:$Z,5,FALSE)</f>
        <v>-</v>
      </c>
      <c r="F184" s="1" t="str">
        <f>VLOOKUP($B184&amp;"__wt",'SegEnds_Xtal_BW#'!$A:$Z,6,FALSE)</f>
        <v>-</v>
      </c>
      <c r="G184" s="1">
        <v>37</v>
      </c>
      <c r="H184" s="12">
        <v>63</v>
      </c>
      <c r="I184" s="1">
        <f>VLOOKUP($B184&amp;"__wt",'SegEnds_Xtal_BW#'!$A:$Z,9,FALSE)</f>
        <v>49</v>
      </c>
      <c r="J184" s="1">
        <f>VLOOKUP($B184&amp;"__wt",'SegEnds_Xtal_BW#'!$A:$Z,10,FALSE)</f>
        <v>52</v>
      </c>
      <c r="K184" s="108">
        <v>24</v>
      </c>
      <c r="L184" s="1">
        <f>VLOOKUP($B184&amp;"__wt",'SegEnds_Xtal_BW#'!$A:$Z,12,FALSE)</f>
        <v>56</v>
      </c>
      <c r="M184" s="1">
        <f>VLOOKUP($B184&amp;"__wt",'SegEnds_Xtal_BW#'!$A:$Z,13,FALSE)</f>
        <v>50</v>
      </c>
      <c r="N184" s="12">
        <v>57</v>
      </c>
      <c r="O184" s="87">
        <v>38</v>
      </c>
      <c r="P184" s="1">
        <f>VLOOKUP($B184&amp;"__wt",'SegEnds_Xtal_BW#'!$A:$Z,16,FALSE)</f>
        <v>64</v>
      </c>
      <c r="Q184" s="1">
        <f>VLOOKUP($B184&amp;"__wt",'SegEnds_Xtal_BW#'!$A:$Z,17,FALSE)</f>
        <v>50</v>
      </c>
      <c r="R184" s="1">
        <f>VLOOKUP($B184&amp;"__wt",'SegEnds_Xtal_BW#'!$A:$Z,18,FALSE)</f>
        <v>52</v>
      </c>
      <c r="S184" s="1">
        <f>VLOOKUP($B184&amp;"__wt",'SegEnds_Xtal_BW#'!$A:$Z,19,FALSE)</f>
        <v>26</v>
      </c>
      <c r="T184" s="1">
        <f t="array" ref="T184">INDEX(ICL3_classA!$G$2:$G$37,MATCH(MIN(ABS(AI184-ICL3_classA!$F$2:$F$37)),ABS(AI184-ICL3_classA!$F$2:$F$37),0))</f>
        <v>67</v>
      </c>
      <c r="U184" s="1">
        <f t="array" ref="U184">INDEX(ICL3_classA!$H$2:$H$37,MATCH(MIN(ABS(AI184-ICL3_classA!$F$2:$F$37)),ABS(AI184-ICL3_classA!$F$2:$F$37),0))</f>
        <v>30</v>
      </c>
      <c r="V184" s="1">
        <v>61</v>
      </c>
      <c r="W184" s="1">
        <v>32</v>
      </c>
      <c r="X184" s="1">
        <f>VLOOKUP($B184&amp;"__wt",'SegEnds_Xtal_BW#'!$A:$Z,24,FALSE)</f>
        <v>56</v>
      </c>
      <c r="Y184" s="1">
        <f>VLOOKUP($B184&amp;"__wt",'SegEnds_Xtal_BW#'!$A:$Z,25,FALSE)</f>
        <v>47</v>
      </c>
      <c r="Z184" s="1">
        <f>VLOOKUP($B184&amp;"__wt",'SegEnds_Xtal_BW#'!$A:$Z,26,FALSE)</f>
        <v>64</v>
      </c>
      <c r="AA184" s="27" t="str">
        <f>VLOOKUP(A184,Classification!A:B,2,FALSE)</f>
        <v>A</v>
      </c>
      <c r="AB184" s="1">
        <f>VLOOKUP(A184,'SegEnds_NonXtal_Prot#'!A:AL,10,FALSE)-VLOOKUP(A184,'SegEnds_NonXtal_Prot#'!A:AL,4,FALSE)</f>
        <v>27</v>
      </c>
      <c r="AC184" s="1" t="e">
        <f>VLOOKUP(A184,'SegEnds_NonXtal_Prot#'!A:AL,10,FALSE)-VLOOKUP(A184,'SegEnds_NonXtal_Prot#'!A:AL,7,FALSE)</f>
        <v>#VALUE!</v>
      </c>
      <c r="AD184" s="1" t="e">
        <f>VLOOKUP(A184,'SegEnds_NonXtal_Prot#'!A:AL,13,FALSE)-VLOOKUP(A184,'SegEnds_NonXtal_Prot#'!A:AL,10,FALSE)</f>
        <v>#VALUE!</v>
      </c>
      <c r="AE184" s="1">
        <f>VLOOKUP(A184,'SegEnds_NonXtal_Prot#'!A:AL,16,FALSE)-VLOOKUP(A184,'SegEnds_NonXtal_Prot#'!A:AL,10,FALSE)</f>
        <v>46</v>
      </c>
      <c r="AF184" s="1">
        <f>VLOOKUP(A184,'SegEnds_NonXtal_Prot#'!A:AL,22,FALSE)-VLOOKUP(A184,'SegEnds_NonXtal_Prot#'!A:AL,19,FALSE)</f>
        <v>20</v>
      </c>
      <c r="AG184" s="1" t="e">
        <f>VLOOKUP(A184,'SegEnds_NonXtal_Prot#'!A:AL,28,FALSE)-VLOOKUP(A184,'SegEnds_NonXtal_Prot#'!A:AL,25,FALSE)</f>
        <v>#VALUE!</v>
      </c>
      <c r="AH184" s="1">
        <f>VLOOKUP(A184,'SegEnds_NonXtal_Prot#'!A:AL,28,FALSE)-VLOOKUP(A184,'SegEnds_NonXtal_Prot#'!A:AL,22,FALSE)</f>
        <v>42</v>
      </c>
      <c r="AI184" s="1">
        <f>VLOOKUP(A184,'SegEnds_NonXtal_Prot#'!A:AL,31,FALSE)-VLOOKUP(A184,'SegEnds_NonXtal_Prot#'!A:AL,28,FALSE)</f>
        <v>41</v>
      </c>
      <c r="AJ184" s="1">
        <f>VLOOKUP(A184,'SegEnds_NonXtal_Prot#'!A:AL,34,FALSE)-VLOOKUP(A184,'SegEnds_NonXtal_Prot#'!A:AL,31,FALSE)</f>
        <v>34</v>
      </c>
      <c r="AK184" s="1">
        <f>VLOOKUP(A184,'SegEnds_NonXtal_Prot#'!A:AL,37,FALSE)-VLOOKUP(A184,'SegEnds_NonXtal_Prot#'!A:AL,34,FALSE)</f>
        <v>10</v>
      </c>
      <c r="AL184" s="1" t="str">
        <f>IF(ISERROR(MATCH(A184,'SegEnds_Xtal_Prot#'!B:B, 0)), "NoXtal", "Xtal")</f>
        <v>NoXtal</v>
      </c>
    </row>
    <row r="185" spans="1:38" x14ac:dyDescent="0.2">
      <c r="A185" s="1" t="s">
        <v>305</v>
      </c>
      <c r="B185" s="1" t="str">
        <f>VLOOKUP(A185,Xtal_Templ!A:B,2,FALSE)</f>
        <v>agtr1_human</v>
      </c>
      <c r="C185" s="5">
        <f>VLOOKUP($B185&amp;"__wt",'SegEnds_Xtal_BW#'!$A:$Z,3,FALSE)</f>
        <v>30</v>
      </c>
      <c r="D185" s="1">
        <f>VLOOKUP($B185&amp;"__wt",'SegEnds_Xtal_BW#'!$A:$Z,4,FALSE)</f>
        <v>60</v>
      </c>
      <c r="E185" s="1">
        <f>VLOOKUP($B185&amp;"__wt",'SegEnds_Xtal_BW#'!$A:$Z,5,FALSE)</f>
        <v>48</v>
      </c>
      <c r="F185" s="1">
        <f>VLOOKUP($B185&amp;"__wt",'SegEnds_Xtal_BW#'!$A:$Z,6,FALSE)</f>
        <v>51</v>
      </c>
      <c r="G185" s="1">
        <v>37</v>
      </c>
      <c r="H185" s="12">
        <v>66</v>
      </c>
      <c r="I185" s="1">
        <f>VLOOKUP($B185&amp;"__wt",'SegEnds_Xtal_BW#'!$A:$Z,9,FALSE)</f>
        <v>49</v>
      </c>
      <c r="J185" s="1">
        <f>VLOOKUP($B185&amp;"__wt",'SegEnds_Xtal_BW#'!$A:$Z,10,FALSE)</f>
        <v>52</v>
      </c>
      <c r="K185" s="12">
        <v>24</v>
      </c>
      <c r="L185" s="1">
        <f>VLOOKUP($B185&amp;"__wt",'SegEnds_Xtal_BW#'!$A:$Z,12,FALSE)</f>
        <v>56</v>
      </c>
      <c r="M185" s="1">
        <f>VLOOKUP($B185&amp;"__wt",'SegEnds_Xtal_BW#'!$A:$Z,13,FALSE)</f>
        <v>50</v>
      </c>
      <c r="N185" s="12">
        <v>57</v>
      </c>
      <c r="O185" s="87">
        <v>38</v>
      </c>
      <c r="P185" s="1">
        <f>VLOOKUP($B185&amp;"__wt",'SegEnds_Xtal_BW#'!$A:$Z,16,FALSE)</f>
        <v>64</v>
      </c>
      <c r="Q185" s="1">
        <f>VLOOKUP($B185&amp;"__wt",'SegEnds_Xtal_BW#'!$A:$Z,17,FALSE)</f>
        <v>50</v>
      </c>
      <c r="R185" s="1">
        <f>VLOOKUP($B185&amp;"__wt",'SegEnds_Xtal_BW#'!$A:$Z,18,FALSE)</f>
        <v>52</v>
      </c>
      <c r="S185" s="1">
        <f>VLOOKUP($B185&amp;"__wt",'SegEnds_Xtal_BW#'!$A:$Z,19,FALSE)</f>
        <v>34</v>
      </c>
      <c r="T185" s="1">
        <f t="array" ref="T185">INDEX(ICL3_classA!$G$2:$G$37,MATCH(MIN(ABS(AI185-ICL3_classA!$F$2:$F$37)),ABS(AI185-ICL3_classA!$F$2:$F$37),0))</f>
        <v>68</v>
      </c>
      <c r="U185" s="1">
        <f t="array" ref="U185">INDEX(ICL3_classA!$H$2:$H$37,MATCH(MIN(ABS(AI185-ICL3_classA!$F$2:$F$37)),ABS(AI185-ICL3_classA!$F$2:$F$37),0))</f>
        <v>30</v>
      </c>
      <c r="V185" s="1">
        <v>61</v>
      </c>
      <c r="W185" s="1">
        <v>28</v>
      </c>
      <c r="X185" s="1">
        <f>VLOOKUP($B185&amp;"__wt",'SegEnds_Xtal_BW#'!$A:$Z,24,FALSE)</f>
        <v>56</v>
      </c>
      <c r="Y185" s="1">
        <f>VLOOKUP($B185&amp;"__wt",'SegEnds_Xtal_BW#'!$A:$Z,25,FALSE)</f>
        <v>47</v>
      </c>
      <c r="Z185" s="1">
        <f>VLOOKUP($B185&amp;"__wt",'SegEnds_Xtal_BW#'!$A:$Z,26,FALSE)</f>
        <v>61</v>
      </c>
      <c r="AA185" s="27" t="str">
        <f>VLOOKUP(A185,Classification!A:B,2,FALSE)</f>
        <v>A</v>
      </c>
      <c r="AB185" s="1">
        <f>VLOOKUP(A185,'SegEnds_NonXtal_Prot#'!A:AL,10,FALSE)-VLOOKUP(A185,'SegEnds_NonXtal_Prot#'!A:AL,4,FALSE)</f>
        <v>27</v>
      </c>
      <c r="AC185" s="1" t="e">
        <f>VLOOKUP(A185,'SegEnds_NonXtal_Prot#'!A:AL,10,FALSE)-VLOOKUP(A185,'SegEnds_NonXtal_Prot#'!A:AL,7,FALSE)</f>
        <v>#VALUE!</v>
      </c>
      <c r="AD185" s="1" t="e">
        <f>VLOOKUP(A185,'SegEnds_NonXtal_Prot#'!A:AL,13,FALSE)-VLOOKUP(A185,'SegEnds_NonXtal_Prot#'!A:AL,10,FALSE)</f>
        <v>#VALUE!</v>
      </c>
      <c r="AE185" s="1">
        <f>VLOOKUP(A185,'SegEnds_NonXtal_Prot#'!A:AL,16,FALSE)-VLOOKUP(A185,'SegEnds_NonXtal_Prot#'!A:AL,10,FALSE)</f>
        <v>48</v>
      </c>
      <c r="AF185" s="1">
        <f>VLOOKUP(A185,'SegEnds_NonXtal_Prot#'!A:AL,22,FALSE)-VLOOKUP(A185,'SegEnds_NonXtal_Prot#'!A:AL,19,FALSE)</f>
        <v>20</v>
      </c>
      <c r="AG185" s="1" t="e">
        <f>VLOOKUP(A185,'SegEnds_NonXtal_Prot#'!A:AL,28,FALSE)-VLOOKUP(A185,'SegEnds_NonXtal_Prot#'!A:AL,25,FALSE)</f>
        <v>#VALUE!</v>
      </c>
      <c r="AH185" s="1">
        <f>VLOOKUP(A185,'SegEnds_NonXtal_Prot#'!A:AL,28,FALSE)-VLOOKUP(A185,'SegEnds_NonXtal_Prot#'!A:AL,22,FALSE)</f>
        <v>42</v>
      </c>
      <c r="AI185" s="1">
        <f>VLOOKUP(A185,'SegEnds_NonXtal_Prot#'!A:AL,31,FALSE)-VLOOKUP(A185,'SegEnds_NonXtal_Prot#'!A:AL,28,FALSE)</f>
        <v>42</v>
      </c>
      <c r="AJ185" s="1">
        <f>VLOOKUP(A185,'SegEnds_NonXtal_Prot#'!A:AL,34,FALSE)-VLOOKUP(A185,'SegEnds_NonXtal_Prot#'!A:AL,31,FALSE)</f>
        <v>38</v>
      </c>
      <c r="AK185" s="1">
        <f>VLOOKUP(A185,'SegEnds_NonXtal_Prot#'!A:AL,37,FALSE)-VLOOKUP(A185,'SegEnds_NonXtal_Prot#'!A:AL,34,FALSE)</f>
        <v>10</v>
      </c>
      <c r="AL185" s="1" t="str">
        <f>IF(ISERROR(MATCH(A185,'SegEnds_Xtal_Prot#'!B:B, 0)), "NoXtal", "Xtal")</f>
        <v>NoXtal</v>
      </c>
    </row>
    <row r="186" spans="1:38" x14ac:dyDescent="0.2">
      <c r="A186" s="1" t="s">
        <v>306</v>
      </c>
      <c r="B186" s="1" t="str">
        <f>VLOOKUP(A186,Xtal_Templ!A:B,2,FALSE)</f>
        <v>c5ar1_human</v>
      </c>
      <c r="C186" s="5">
        <f>VLOOKUP($B186&amp;"__wt",'SegEnds_Xtal_BW#'!$A:$Z,3,FALSE)</f>
        <v>29</v>
      </c>
      <c r="D186" s="1">
        <f>VLOOKUP($B186&amp;"__wt",'SegEnds_Xtal_BW#'!$A:$Z,4,FALSE)</f>
        <v>60</v>
      </c>
      <c r="E186" s="1" t="str">
        <f>VLOOKUP($B186&amp;"__wt",'SegEnds_Xtal_BW#'!$A:$Z,5,FALSE)</f>
        <v>-</v>
      </c>
      <c r="F186" s="1" t="str">
        <f>VLOOKUP($B186&amp;"__wt",'SegEnds_Xtal_BW#'!$A:$Z,6,FALSE)</f>
        <v>-</v>
      </c>
      <c r="G186" s="1">
        <v>37</v>
      </c>
      <c r="H186" s="12">
        <f>VLOOKUP($B186&amp;"__wt",'SegEnds_Xtal_BW#'!$A:$Z,8,FALSE)</f>
        <v>67</v>
      </c>
      <c r="I186" s="1">
        <f>VLOOKUP($B186&amp;"__wt",'SegEnds_Xtal_BW#'!$A:$Z,9,FALSE)</f>
        <v>49</v>
      </c>
      <c r="J186" s="1">
        <f>VLOOKUP($B186&amp;"__wt",'SegEnds_Xtal_BW#'!$A:$Z,10,FALSE)</f>
        <v>52</v>
      </c>
      <c r="K186" s="12">
        <v>21</v>
      </c>
      <c r="L186" s="1">
        <f>VLOOKUP($B186&amp;"__wt",'SegEnds_Xtal_BW#'!$A:$Z,12,FALSE)</f>
        <v>56</v>
      </c>
      <c r="M186" s="1">
        <f>VLOOKUP($B186&amp;"__wt",'SegEnds_Xtal_BW#'!$A:$Z,13,FALSE)</f>
        <v>50</v>
      </c>
      <c r="N186" s="12">
        <v>57</v>
      </c>
      <c r="O186" s="87">
        <f>VLOOKUP($B186&amp;"__wt",'SegEnds_Xtal_BW#'!$A:$Z,15,FALSE)</f>
        <v>38</v>
      </c>
      <c r="P186" s="1">
        <f>VLOOKUP($B186&amp;"__wt",'SegEnds_Xtal_BW#'!$A:$Z,16,FALSE)</f>
        <v>64</v>
      </c>
      <c r="Q186" s="1">
        <f>VLOOKUP($B186&amp;"__wt",'SegEnds_Xtal_BW#'!$A:$Z,17,FALSE)</f>
        <v>50</v>
      </c>
      <c r="R186" s="1">
        <f>VLOOKUP($B186&amp;"__wt",'SegEnds_Xtal_BW#'!$A:$Z,18,FALSE)</f>
        <v>52</v>
      </c>
      <c r="S186" s="1">
        <f>VLOOKUP($B186&amp;"__wt",'SegEnds_Xtal_BW#'!$A:$Z,19,FALSE)</f>
        <v>31</v>
      </c>
      <c r="T186" s="1">
        <f t="array" ref="T186">INDEX(ICL3_classA!$G$2:$G$37,MATCH(MIN(ABS(AI186-ICL3_classA!$F$2:$F$37)),ABS(AI186-ICL3_classA!$F$2:$F$37),0))</f>
        <v>68</v>
      </c>
      <c r="U186" s="1">
        <f t="array" ref="U186">INDEX(ICL3_classA!$H$2:$H$37,MATCH(MIN(ABS(AI186-ICL3_classA!$F$2:$F$37)),ABS(AI186-ICL3_classA!$F$2:$F$37),0))</f>
        <v>30</v>
      </c>
      <c r="V186" s="1">
        <v>61</v>
      </c>
      <c r="W186" s="1">
        <v>28</v>
      </c>
      <c r="X186" s="108">
        <v>56</v>
      </c>
      <c r="Y186" s="1">
        <f>VLOOKUP($B186&amp;"__wt",'SegEnds_Xtal_BW#'!$A:$Z,25,FALSE)</f>
        <v>47</v>
      </c>
      <c r="Z186" s="1">
        <f>VLOOKUP($B186&amp;"__wt",'SegEnds_Xtal_BW#'!$A:$Z,26,FALSE)</f>
        <v>56</v>
      </c>
      <c r="AA186" s="27" t="str">
        <f>VLOOKUP(A186,Classification!A:B,2,FALSE)</f>
        <v>A</v>
      </c>
      <c r="AB186" s="1">
        <f>VLOOKUP(A186,'SegEnds_NonXtal_Prot#'!A:AL,10,FALSE)-VLOOKUP(A186,'SegEnds_NonXtal_Prot#'!A:AL,4,FALSE)</f>
        <v>27</v>
      </c>
      <c r="AC186" s="1" t="e">
        <f>VLOOKUP(A186,'SegEnds_NonXtal_Prot#'!A:AL,10,FALSE)-VLOOKUP(A186,'SegEnds_NonXtal_Prot#'!A:AL,7,FALSE)</f>
        <v>#VALUE!</v>
      </c>
      <c r="AD186" s="1" t="e">
        <f>VLOOKUP(A186,'SegEnds_NonXtal_Prot#'!A:AL,13,FALSE)-VLOOKUP(A186,'SegEnds_NonXtal_Prot#'!A:AL,10,FALSE)</f>
        <v>#VALUE!</v>
      </c>
      <c r="AE186" s="1">
        <f>VLOOKUP(A186,'SegEnds_NonXtal_Prot#'!A:AL,16,FALSE)-VLOOKUP(A186,'SegEnds_NonXtal_Prot#'!A:AL,10,FALSE)</f>
        <v>52</v>
      </c>
      <c r="AF186" s="1">
        <f>VLOOKUP(A186,'SegEnds_NonXtal_Prot#'!A:AL,22,FALSE)-VLOOKUP(A186,'SegEnds_NonXtal_Prot#'!A:AL,19,FALSE)</f>
        <v>20</v>
      </c>
      <c r="AG186" s="1" t="e">
        <f>VLOOKUP(A186,'SegEnds_NonXtal_Prot#'!A:AL,28,FALSE)-VLOOKUP(A186,'SegEnds_NonXtal_Prot#'!A:AL,25,FALSE)</f>
        <v>#VALUE!</v>
      </c>
      <c r="AH186" s="1">
        <f>VLOOKUP(A186,'SegEnds_NonXtal_Prot#'!A:AL,28,FALSE)-VLOOKUP(A186,'SegEnds_NonXtal_Prot#'!A:AL,22,FALSE)</f>
        <v>42</v>
      </c>
      <c r="AI186" s="1">
        <f>VLOOKUP(A186,'SegEnds_NonXtal_Prot#'!A:AL,31,FALSE)-VLOOKUP(A186,'SegEnds_NonXtal_Prot#'!A:AL,28,FALSE)</f>
        <v>42</v>
      </c>
      <c r="AJ186" s="1">
        <f>VLOOKUP(A186,'SegEnds_NonXtal_Prot#'!A:AL,34,FALSE)-VLOOKUP(A186,'SegEnds_NonXtal_Prot#'!A:AL,31,FALSE)</f>
        <v>38</v>
      </c>
      <c r="AK186" s="1">
        <f>VLOOKUP(A186,'SegEnds_NonXtal_Prot#'!A:AL,37,FALSE)-VLOOKUP(A186,'SegEnds_NonXtal_Prot#'!A:AL,34,FALSE)</f>
        <v>10</v>
      </c>
      <c r="AL186" s="1" t="str">
        <f>IF(ISERROR(MATCH(A186,'SegEnds_Xtal_Prot#'!B:B, 0)), "NoXtal", "Xtal")</f>
        <v>NoXtal</v>
      </c>
    </row>
    <row r="187" spans="1:38" x14ac:dyDescent="0.2">
      <c r="A187" s="1" t="s">
        <v>307</v>
      </c>
      <c r="B187" s="1" t="str">
        <f>VLOOKUP(A187,Xtal_Templ!A:B,2,FALSE)</f>
        <v>pd2r2_human</v>
      </c>
      <c r="C187" s="5">
        <f>VLOOKUP($B187&amp;"__wt",'SegEnds_Xtal_BW#'!$A:$Z,3,FALSE)</f>
        <v>32</v>
      </c>
      <c r="D187" s="1">
        <f>VLOOKUP($B187&amp;"__wt",'SegEnds_Xtal_BW#'!$A:$Z,4,FALSE)</f>
        <v>60</v>
      </c>
      <c r="E187" s="1" t="str">
        <f>VLOOKUP($B187&amp;"__wt",'SegEnds_Xtal_BW#'!$A:$Z,5,FALSE)</f>
        <v>-</v>
      </c>
      <c r="F187" s="1" t="str">
        <f>VLOOKUP($B187&amp;"__wt",'SegEnds_Xtal_BW#'!$A:$Z,6,FALSE)</f>
        <v>-</v>
      </c>
      <c r="G187" s="1">
        <v>37</v>
      </c>
      <c r="H187" s="12">
        <v>66</v>
      </c>
      <c r="I187" s="1">
        <f>VLOOKUP($B187&amp;"__wt",'SegEnds_Xtal_BW#'!$A:$Z,9,FALSE)</f>
        <v>49</v>
      </c>
      <c r="J187" s="1">
        <f>VLOOKUP($B187&amp;"__wt",'SegEnds_Xtal_BW#'!$A:$Z,10,FALSE)</f>
        <v>52</v>
      </c>
      <c r="K187" s="12">
        <v>24</v>
      </c>
      <c r="L187" s="1">
        <f>VLOOKUP($B187&amp;"__wt",'SegEnds_Xtal_BW#'!$A:$Z,12,FALSE)</f>
        <v>56</v>
      </c>
      <c r="M187" s="1">
        <f>VLOOKUP($B187&amp;"__wt",'SegEnds_Xtal_BW#'!$A:$Z,13,FALSE)</f>
        <v>50</v>
      </c>
      <c r="N187" s="12">
        <v>57</v>
      </c>
      <c r="O187" s="87">
        <v>38</v>
      </c>
      <c r="P187" s="1">
        <f>VLOOKUP($B187&amp;"__wt",'SegEnds_Xtal_BW#'!$A:$Z,16,FALSE)</f>
        <v>64</v>
      </c>
      <c r="Q187" s="1">
        <f>VLOOKUP($B187&amp;"__wt",'SegEnds_Xtal_BW#'!$A:$Z,17,FALSE)</f>
        <v>50</v>
      </c>
      <c r="R187" s="1">
        <f>VLOOKUP($B187&amp;"__wt",'SegEnds_Xtal_BW#'!$A:$Z,18,FALSE)</f>
        <v>52</v>
      </c>
      <c r="S187" s="1">
        <f>VLOOKUP($B187&amp;"__wt",'SegEnds_Xtal_BW#'!$A:$Z,19,FALSE)</f>
        <v>26</v>
      </c>
      <c r="T187" s="1">
        <f t="array" ref="T187">INDEX(ICL3_classA!$G$2:$G$37,MATCH(MIN(ABS(AI187-ICL3_classA!$F$2:$F$37)),ABS(AI187-ICL3_classA!$F$2:$F$37),0))</f>
        <v>68</v>
      </c>
      <c r="U187" s="1">
        <f t="array" ref="U187">INDEX(ICL3_classA!$H$2:$H$37,MATCH(MIN(ABS(AI187-ICL3_classA!$F$2:$F$37)),ABS(AI187-ICL3_classA!$F$2:$F$37),0))</f>
        <v>30</v>
      </c>
      <c r="V187" s="1">
        <v>61</v>
      </c>
      <c r="W187" s="1">
        <v>28</v>
      </c>
      <c r="X187" s="1">
        <f>VLOOKUP($B187&amp;"__wt",'SegEnds_Xtal_BW#'!$A:$Z,24,FALSE)</f>
        <v>56</v>
      </c>
      <c r="Y187" s="1">
        <f>VLOOKUP($B187&amp;"__wt",'SegEnds_Xtal_BW#'!$A:$Z,25,FALSE)</f>
        <v>47</v>
      </c>
      <c r="Z187" s="1">
        <f>VLOOKUP($B187&amp;"__wt",'SegEnds_Xtal_BW#'!$A:$Z,26,FALSE)</f>
        <v>64</v>
      </c>
      <c r="AA187" s="27" t="str">
        <f>VLOOKUP(A187,Classification!A:B,2,FALSE)</f>
        <v>A</v>
      </c>
      <c r="AB187" s="1">
        <f>VLOOKUP(A187,'SegEnds_NonXtal_Prot#'!A:AL,10,FALSE)-VLOOKUP(A187,'SegEnds_NonXtal_Prot#'!A:AL,4,FALSE)</f>
        <v>27</v>
      </c>
      <c r="AC187" s="1" t="e">
        <f>VLOOKUP(A187,'SegEnds_NonXtal_Prot#'!A:AL,10,FALSE)-VLOOKUP(A187,'SegEnds_NonXtal_Prot#'!A:AL,7,FALSE)</f>
        <v>#VALUE!</v>
      </c>
      <c r="AD187" s="1" t="e">
        <f>VLOOKUP(A187,'SegEnds_NonXtal_Prot#'!A:AL,13,FALSE)-VLOOKUP(A187,'SegEnds_NonXtal_Prot#'!A:AL,10,FALSE)</f>
        <v>#VALUE!</v>
      </c>
      <c r="AE187" s="1">
        <f>VLOOKUP(A187,'SegEnds_NonXtal_Prot#'!A:AL,16,FALSE)-VLOOKUP(A187,'SegEnds_NonXtal_Prot#'!A:AL,10,FALSE)</f>
        <v>48</v>
      </c>
      <c r="AF187" s="1">
        <f>VLOOKUP(A187,'SegEnds_NonXtal_Prot#'!A:AL,22,FALSE)-VLOOKUP(A187,'SegEnds_NonXtal_Prot#'!A:AL,19,FALSE)</f>
        <v>20</v>
      </c>
      <c r="AG187" s="1" t="e">
        <f>VLOOKUP(A187,'SegEnds_NonXtal_Prot#'!A:AL,28,FALSE)-VLOOKUP(A187,'SegEnds_NonXtal_Prot#'!A:AL,25,FALSE)</f>
        <v>#VALUE!</v>
      </c>
      <c r="AH187" s="1">
        <f>VLOOKUP(A187,'SegEnds_NonXtal_Prot#'!A:AL,28,FALSE)-VLOOKUP(A187,'SegEnds_NonXtal_Prot#'!A:AL,22,FALSE)</f>
        <v>42</v>
      </c>
      <c r="AI187" s="1">
        <f>VLOOKUP(A187,'SegEnds_NonXtal_Prot#'!A:AL,31,FALSE)-VLOOKUP(A187,'SegEnds_NonXtal_Prot#'!A:AL,28,FALSE)</f>
        <v>42</v>
      </c>
      <c r="AJ187" s="1">
        <f>VLOOKUP(A187,'SegEnds_NonXtal_Prot#'!A:AL,34,FALSE)-VLOOKUP(A187,'SegEnds_NonXtal_Prot#'!A:AL,31,FALSE)</f>
        <v>38</v>
      </c>
      <c r="AK187" s="1">
        <f>VLOOKUP(A187,'SegEnds_NonXtal_Prot#'!A:AL,37,FALSE)-VLOOKUP(A187,'SegEnds_NonXtal_Prot#'!A:AL,34,FALSE)</f>
        <v>10</v>
      </c>
      <c r="AL187" s="1" t="str">
        <f>IF(ISERROR(MATCH(A187,'SegEnds_Xtal_Prot#'!B:B, 0)), "NoXtal", "Xtal")</f>
        <v>NoXtal</v>
      </c>
    </row>
    <row r="188" spans="1:38" x14ac:dyDescent="0.2">
      <c r="A188" s="1" t="s">
        <v>308</v>
      </c>
      <c r="B188" s="1" t="str">
        <f>VLOOKUP(A188,Xtal_Templ!A:B,2,FALSE)</f>
        <v>c5ar1_human</v>
      </c>
      <c r="C188" s="5">
        <f>VLOOKUP($B188&amp;"__wt",'SegEnds_Xtal_BW#'!$A:$Z,3,FALSE)</f>
        <v>29</v>
      </c>
      <c r="D188" s="1">
        <f>VLOOKUP($B188&amp;"__wt",'SegEnds_Xtal_BW#'!$A:$Z,4,FALSE)</f>
        <v>60</v>
      </c>
      <c r="E188" s="1" t="str">
        <f>VLOOKUP($B188&amp;"__wt",'SegEnds_Xtal_BW#'!$A:$Z,5,FALSE)</f>
        <v>-</v>
      </c>
      <c r="F188" s="1" t="str">
        <f>VLOOKUP($B188&amp;"__wt",'SegEnds_Xtal_BW#'!$A:$Z,6,FALSE)</f>
        <v>-</v>
      </c>
      <c r="G188" s="1">
        <v>37</v>
      </c>
      <c r="H188" s="12">
        <v>66</v>
      </c>
      <c r="I188" s="1">
        <f>VLOOKUP($B188&amp;"__wt",'SegEnds_Xtal_BW#'!$A:$Z,9,FALSE)</f>
        <v>49</v>
      </c>
      <c r="J188" s="1">
        <f>VLOOKUP($B188&amp;"__wt",'SegEnds_Xtal_BW#'!$A:$Z,10,FALSE)</f>
        <v>52</v>
      </c>
      <c r="K188" s="12">
        <v>24</v>
      </c>
      <c r="L188" s="1">
        <f>VLOOKUP($B188&amp;"__wt",'SegEnds_Xtal_BW#'!$A:$Z,12,FALSE)</f>
        <v>56</v>
      </c>
      <c r="M188" s="1">
        <f>VLOOKUP($B188&amp;"__wt",'SegEnds_Xtal_BW#'!$A:$Z,13,FALSE)</f>
        <v>50</v>
      </c>
      <c r="N188" s="12">
        <v>57</v>
      </c>
      <c r="O188" s="87">
        <v>38</v>
      </c>
      <c r="P188" s="1">
        <f>VLOOKUP($B188&amp;"__wt",'SegEnds_Xtal_BW#'!$A:$Z,16,FALSE)</f>
        <v>64</v>
      </c>
      <c r="Q188" s="1">
        <f>VLOOKUP($B188&amp;"__wt",'SegEnds_Xtal_BW#'!$A:$Z,17,FALSE)</f>
        <v>50</v>
      </c>
      <c r="R188" s="1">
        <f>VLOOKUP($B188&amp;"__wt",'SegEnds_Xtal_BW#'!$A:$Z,18,FALSE)</f>
        <v>52</v>
      </c>
      <c r="S188" s="1">
        <f>VLOOKUP($B188&amp;"__wt",'SegEnds_Xtal_BW#'!$A:$Z,19,FALSE)</f>
        <v>31</v>
      </c>
      <c r="T188" s="1">
        <f t="array" ref="T188">INDEX(ICL3_classA!$G$2:$G$37,MATCH(MIN(ABS(AI188-ICL3_classA!$F$2:$F$37)),ABS(AI188-ICL3_classA!$F$2:$F$37),0))</f>
        <v>68</v>
      </c>
      <c r="U188" s="1">
        <f t="array" ref="U188">INDEX(ICL3_classA!$H$2:$H$37,MATCH(MIN(ABS(AI188-ICL3_classA!$F$2:$F$37)),ABS(AI188-ICL3_classA!$F$2:$F$37),0))</f>
        <v>30</v>
      </c>
      <c r="V188" s="1">
        <v>61</v>
      </c>
      <c r="W188" s="1">
        <v>28</v>
      </c>
      <c r="X188" s="108">
        <v>56</v>
      </c>
      <c r="Y188" s="1">
        <f>VLOOKUP($B188&amp;"__wt",'SegEnds_Xtal_BW#'!$A:$Z,25,FALSE)</f>
        <v>47</v>
      </c>
      <c r="Z188" s="1">
        <f>VLOOKUP($B188&amp;"__wt",'SegEnds_Xtal_BW#'!$A:$Z,26,FALSE)</f>
        <v>56</v>
      </c>
      <c r="AA188" s="27" t="str">
        <f>VLOOKUP(A188,Classification!A:B,2,FALSE)</f>
        <v>A</v>
      </c>
      <c r="AB188" s="1">
        <f>VLOOKUP(A188,'SegEnds_NonXtal_Prot#'!A:AL,10,FALSE)-VLOOKUP(A188,'SegEnds_NonXtal_Prot#'!A:AL,4,FALSE)</f>
        <v>27</v>
      </c>
      <c r="AC188" s="1" t="e">
        <f>VLOOKUP(A188,'SegEnds_NonXtal_Prot#'!A:AL,10,FALSE)-VLOOKUP(A188,'SegEnds_NonXtal_Prot#'!A:AL,7,FALSE)</f>
        <v>#VALUE!</v>
      </c>
      <c r="AD188" s="1" t="e">
        <f>VLOOKUP(A188,'SegEnds_NonXtal_Prot#'!A:AL,13,FALSE)-VLOOKUP(A188,'SegEnds_NonXtal_Prot#'!A:AL,10,FALSE)</f>
        <v>#VALUE!</v>
      </c>
      <c r="AE188" s="1">
        <f>VLOOKUP(A188,'SegEnds_NonXtal_Prot#'!A:AL,16,FALSE)-VLOOKUP(A188,'SegEnds_NonXtal_Prot#'!A:AL,10,FALSE)</f>
        <v>48</v>
      </c>
      <c r="AF188" s="1">
        <f>VLOOKUP(A188,'SegEnds_NonXtal_Prot#'!A:AL,22,FALSE)-VLOOKUP(A188,'SegEnds_NonXtal_Prot#'!A:AL,19,FALSE)</f>
        <v>20</v>
      </c>
      <c r="AG188" s="1" t="e">
        <f>VLOOKUP(A188,'SegEnds_NonXtal_Prot#'!A:AL,28,FALSE)-VLOOKUP(A188,'SegEnds_NonXtal_Prot#'!A:AL,25,FALSE)</f>
        <v>#VALUE!</v>
      </c>
      <c r="AH188" s="1">
        <f>VLOOKUP(A188,'SegEnds_NonXtal_Prot#'!A:AL,28,FALSE)-VLOOKUP(A188,'SegEnds_NonXtal_Prot#'!A:AL,22,FALSE)</f>
        <v>42</v>
      </c>
      <c r="AI188" s="1">
        <f>VLOOKUP(A188,'SegEnds_NonXtal_Prot#'!A:AL,31,FALSE)-VLOOKUP(A188,'SegEnds_NonXtal_Prot#'!A:AL,28,FALSE)</f>
        <v>42</v>
      </c>
      <c r="AJ188" s="1">
        <f>VLOOKUP(A188,'SegEnds_NonXtal_Prot#'!A:AL,34,FALSE)-VLOOKUP(A188,'SegEnds_NonXtal_Prot#'!A:AL,31,FALSE)</f>
        <v>38</v>
      </c>
      <c r="AK188" s="1">
        <f>VLOOKUP(A188,'SegEnds_NonXtal_Prot#'!A:AL,37,FALSE)-VLOOKUP(A188,'SegEnds_NonXtal_Prot#'!A:AL,34,FALSE)</f>
        <v>10</v>
      </c>
      <c r="AL188" s="1" t="str">
        <f>IF(ISERROR(MATCH(A188,'SegEnds_Xtal_Prot#'!B:B, 0)), "NoXtal", "Xtal")</f>
        <v>NoXtal</v>
      </c>
    </row>
    <row r="189" spans="1:38" x14ac:dyDescent="0.2">
      <c r="A189" s="1" t="s">
        <v>309</v>
      </c>
      <c r="B189" s="1" t="str">
        <f>VLOOKUP(A189,Xtal_Templ!A:B,2,FALSE)</f>
        <v>s1pr1_human</v>
      </c>
      <c r="C189" s="5">
        <f>VLOOKUP($B189&amp;"__wt",'SegEnds_Xtal_BW#'!$A:$Z,3,FALSE)</f>
        <v>29</v>
      </c>
      <c r="D189" s="1">
        <f>VLOOKUP($B189&amp;"__wt",'SegEnds_Xtal_BW#'!$A:$Z,4,FALSE)</f>
        <v>60</v>
      </c>
      <c r="E189" s="1">
        <f>VLOOKUP($B189&amp;"__wt",'SegEnds_Xtal_BW#'!$A:$Z,5,FALSE)</f>
        <v>48</v>
      </c>
      <c r="F189" s="1">
        <f>VLOOKUP($B189&amp;"__wt",'SegEnds_Xtal_BW#'!$A:$Z,6,FALSE)</f>
        <v>51</v>
      </c>
      <c r="G189" s="1">
        <v>37</v>
      </c>
      <c r="H189" s="12">
        <v>67</v>
      </c>
      <c r="I189" s="1" t="s">
        <v>23</v>
      </c>
      <c r="J189" s="1" t="s">
        <v>23</v>
      </c>
      <c r="K189" s="12">
        <v>18</v>
      </c>
      <c r="L189" s="1">
        <f>VLOOKUP($B189&amp;"__wt",'SegEnds_Xtal_BW#'!$A:$Z,12,FALSE)</f>
        <v>56</v>
      </c>
      <c r="M189" s="1">
        <f>VLOOKUP($B189&amp;"__wt",'SegEnds_Xtal_BW#'!$A:$Z,13,FALSE)</f>
        <v>50</v>
      </c>
      <c r="N189" s="12">
        <v>57</v>
      </c>
      <c r="O189" s="87">
        <f>VLOOKUP($B189&amp;"__wt",'SegEnds_Xtal_BW#'!$A:$Z,15,FALSE)</f>
        <v>38</v>
      </c>
      <c r="P189" s="1">
        <f>VLOOKUP($B189&amp;"__wt",'SegEnds_Xtal_BW#'!$A:$Z,16,FALSE)</f>
        <v>63</v>
      </c>
      <c r="Q189" s="1" t="str">
        <f>VLOOKUP($B189&amp;"__wt",'SegEnds_Xtal_BW#'!$A:$Z,17,FALSE)</f>
        <v>-</v>
      </c>
      <c r="R189" s="1" t="str">
        <f>VLOOKUP($B189&amp;"__wt",'SegEnds_Xtal_BW#'!$A:$Z,18,FALSE)</f>
        <v>-</v>
      </c>
      <c r="S189" s="108">
        <v>33</v>
      </c>
      <c r="T189" s="1">
        <f t="array" ref="T189">INDEX(ICL3_classA!$G$2:$G$37,MATCH(MIN(ABS(AI189-ICL3_classA!$F$2:$F$37)),ABS(AI189-ICL3_classA!$F$2:$F$37),0))</f>
        <v>67</v>
      </c>
      <c r="U189" s="108">
        <v>27</v>
      </c>
      <c r="V189" s="1">
        <v>61</v>
      </c>
      <c r="W189" s="1">
        <v>28</v>
      </c>
      <c r="X189" s="1">
        <f>VLOOKUP($B189&amp;"__wt",'SegEnds_Xtal_BW#'!$A:$Z,24,FALSE)</f>
        <v>56</v>
      </c>
      <c r="Y189" s="1">
        <f>VLOOKUP($B189&amp;"__wt",'SegEnds_Xtal_BW#'!$A:$Z,25,FALSE)</f>
        <v>47</v>
      </c>
      <c r="Z189" s="1">
        <f>VLOOKUP($B189&amp;"__wt",'SegEnds_Xtal_BW#'!$A:$Z,26,FALSE)</f>
        <v>59</v>
      </c>
      <c r="AA189" s="27" t="str">
        <f>VLOOKUP(A189,Classification!A:B,2,FALSE)</f>
        <v>A</v>
      </c>
      <c r="AB189" s="1">
        <f>VLOOKUP(A189,'SegEnds_NonXtal_Prot#'!A:AL,10,FALSE)-VLOOKUP(A189,'SegEnds_NonXtal_Prot#'!A:AL,4,FALSE)</f>
        <v>28</v>
      </c>
      <c r="AC189" s="1">
        <f>VLOOKUP(A189,'SegEnds_NonXtal_Prot#'!A:AL,10,FALSE)-VLOOKUP(A189,'SegEnds_NonXtal_Prot#'!A:AL,7,FALSE)</f>
        <v>15</v>
      </c>
      <c r="AD189" s="1" t="e">
        <f>VLOOKUP(A189,'SegEnds_NonXtal_Prot#'!A:AL,13,FALSE)-VLOOKUP(A189,'SegEnds_NonXtal_Prot#'!A:AL,10,FALSE)</f>
        <v>#VALUE!</v>
      </c>
      <c r="AE189" s="1">
        <f>VLOOKUP(A189,'SegEnds_NonXtal_Prot#'!A:AL,16,FALSE)-VLOOKUP(A189,'SegEnds_NonXtal_Prot#'!A:AL,10,FALSE)</f>
        <v>58</v>
      </c>
      <c r="AF189" s="1">
        <f>VLOOKUP(A189,'SegEnds_NonXtal_Prot#'!A:AL,22,FALSE)-VLOOKUP(A189,'SegEnds_NonXtal_Prot#'!A:AL,19,FALSE)</f>
        <v>20</v>
      </c>
      <c r="AG189" s="1" t="e">
        <f>VLOOKUP(A189,'SegEnds_NonXtal_Prot#'!A:AL,28,FALSE)-VLOOKUP(A189,'SegEnds_NonXtal_Prot#'!A:AL,25,FALSE)</f>
        <v>#VALUE!</v>
      </c>
      <c r="AH189" s="1">
        <f>VLOOKUP(A189,'SegEnds_NonXtal_Prot#'!A:AL,28,FALSE)-VLOOKUP(A189,'SegEnds_NonXtal_Prot#'!A:AL,22,FALSE)</f>
        <v>40</v>
      </c>
      <c r="AI189" s="1">
        <f>VLOOKUP(A189,'SegEnds_NonXtal_Prot#'!A:AL,31,FALSE)-VLOOKUP(A189,'SegEnds_NonXtal_Prot#'!A:AL,28,FALSE)</f>
        <v>47</v>
      </c>
      <c r="AJ189" s="1">
        <f>VLOOKUP(A189,'SegEnds_NonXtal_Prot#'!A:AL,34,FALSE)-VLOOKUP(A189,'SegEnds_NonXtal_Prot#'!A:AL,31,FALSE)</f>
        <v>39</v>
      </c>
      <c r="AK189" s="1">
        <f>VLOOKUP(A189,'SegEnds_NonXtal_Prot#'!A:AL,37,FALSE)-VLOOKUP(A189,'SegEnds_NonXtal_Prot#'!A:AL,34,FALSE)</f>
        <v>10</v>
      </c>
      <c r="AL189" s="1" t="str">
        <f>IF(ISERROR(MATCH(A189,'SegEnds_Xtal_Prot#'!B:B, 0)), "NoXtal", "Xtal")</f>
        <v>NoXtal</v>
      </c>
    </row>
    <row r="190" spans="1:38" x14ac:dyDescent="0.2">
      <c r="A190" s="1" t="s">
        <v>310</v>
      </c>
      <c r="B190" s="1" t="str">
        <f>VLOOKUP(A190,Xtal_Templ!A:B,2,FALSE)</f>
        <v>ntr1_rat</v>
      </c>
      <c r="C190" s="5">
        <f>VLOOKUP($B190&amp;"__wt",'SegEnds_Xtal_BW#'!$A:$Z,3,FALSE)</f>
        <v>29</v>
      </c>
      <c r="D190" s="1">
        <f>VLOOKUP($B190&amp;"__wt",'SegEnds_Xtal_BW#'!$A:$Z,4,FALSE)</f>
        <v>60</v>
      </c>
      <c r="E190" s="1">
        <f>VLOOKUP($B190&amp;"__wt",'SegEnds_Xtal_BW#'!$A:$Z,5,FALSE)</f>
        <v>48</v>
      </c>
      <c r="F190" s="1">
        <f>VLOOKUP($B190&amp;"__wt",'SegEnds_Xtal_BW#'!$A:$Z,6,FALSE)</f>
        <v>51</v>
      </c>
      <c r="G190" s="1">
        <v>37</v>
      </c>
      <c r="H190" s="12">
        <v>67</v>
      </c>
      <c r="I190" s="1">
        <f>VLOOKUP($B190&amp;"__wt",'SegEnds_Xtal_BW#'!$A:$Z,9,FALSE)</f>
        <v>49</v>
      </c>
      <c r="J190" s="1">
        <f>VLOOKUP($B190&amp;"__wt",'SegEnds_Xtal_BW#'!$A:$Z,10,FALSE)</f>
        <v>52</v>
      </c>
      <c r="K190" s="12">
        <v>18</v>
      </c>
      <c r="L190" s="1">
        <f>VLOOKUP($B190&amp;"__wt",'SegEnds_Xtal_BW#'!$A:$Z,12,FALSE)</f>
        <v>56</v>
      </c>
      <c r="M190" s="1">
        <f>VLOOKUP($B190&amp;"__wt",'SegEnds_Xtal_BW#'!$A:$Z,13,FALSE)</f>
        <v>50</v>
      </c>
      <c r="N190" s="12">
        <v>57</v>
      </c>
      <c r="O190" s="87">
        <f>VLOOKUP($B190&amp;"__wt",'SegEnds_Xtal_BW#'!$A:$Z,15,FALSE)</f>
        <v>38</v>
      </c>
      <c r="P190" s="1">
        <f>VLOOKUP($B190&amp;"__wt",'SegEnds_Xtal_BW#'!$A:$Z,16,FALSE)</f>
        <v>64</v>
      </c>
      <c r="Q190" s="1">
        <f>VLOOKUP($B190&amp;"__wt",'SegEnds_Xtal_BW#'!$A:$Z,17,FALSE)</f>
        <v>50</v>
      </c>
      <c r="R190" s="1">
        <f>VLOOKUP($B190&amp;"__wt",'SegEnds_Xtal_BW#'!$A:$Z,18,FALSE)</f>
        <v>52</v>
      </c>
      <c r="S190" s="1">
        <f>VLOOKUP($B190&amp;"__wt",'SegEnds_Xtal_BW#'!$A:$Z,19,FALSE)</f>
        <v>32</v>
      </c>
      <c r="T190" s="1">
        <f t="array" ref="T190">INDEX(ICL3_classA!$G$2:$G$37,MATCH(MIN(ABS(AI190-ICL3_classA!$F$2:$F$37)),ABS(AI190-ICL3_classA!$F$2:$F$37),0))</f>
        <v>72</v>
      </c>
      <c r="U190" s="1">
        <f t="array" ref="U190">INDEX(ICL3_classA!$H$2:$H$37,MATCH(MIN(ABS(AI190-ICL3_classA!$F$2:$F$37)),ABS(AI190-ICL3_classA!$F$2:$F$37),0))</f>
        <v>24</v>
      </c>
      <c r="V190" s="1">
        <v>61</v>
      </c>
      <c r="W190" s="1">
        <v>28</v>
      </c>
      <c r="X190" s="1">
        <f>VLOOKUP($B190&amp;"__wt",'SegEnds_Xtal_BW#'!$A:$Z,24,FALSE)</f>
        <v>56</v>
      </c>
      <c r="Y190" s="1">
        <f>VLOOKUP($B190&amp;"__wt",'SegEnds_Xtal_BW#'!$A:$Z,25,FALSE)</f>
        <v>47</v>
      </c>
      <c r="Z190" s="1">
        <f>VLOOKUP($B190&amp;"__wt",'SegEnds_Xtal_BW#'!$A:$Z,26,FALSE)</f>
        <v>58</v>
      </c>
      <c r="AA190" s="27" t="str">
        <f>VLOOKUP(A190,Classification!A:B,2,FALSE)</f>
        <v>A</v>
      </c>
      <c r="AB190" s="1">
        <f>VLOOKUP(A190,'SegEnds_NonXtal_Prot#'!A:AL,10,FALSE)-VLOOKUP(A190,'SegEnds_NonXtal_Prot#'!A:AL,4,FALSE)</f>
        <v>28</v>
      </c>
      <c r="AC190" s="1">
        <f>VLOOKUP(A190,'SegEnds_NonXtal_Prot#'!A:AL,10,FALSE)-VLOOKUP(A190,'SegEnds_NonXtal_Prot#'!A:AL,7,FALSE)</f>
        <v>15</v>
      </c>
      <c r="AD190" s="1">
        <f>VLOOKUP(A190,'SegEnds_NonXtal_Prot#'!A:AL,13,FALSE)-VLOOKUP(A190,'SegEnds_NonXtal_Prot#'!A:AL,10,FALSE)</f>
        <v>20</v>
      </c>
      <c r="AE190" s="1">
        <f>VLOOKUP(A190,'SegEnds_NonXtal_Prot#'!A:AL,16,FALSE)-VLOOKUP(A190,'SegEnds_NonXtal_Prot#'!A:AL,10,FALSE)</f>
        <v>52</v>
      </c>
      <c r="AF190" s="1">
        <f>VLOOKUP(A190,'SegEnds_NonXtal_Prot#'!A:AL,22,FALSE)-VLOOKUP(A190,'SegEnds_NonXtal_Prot#'!A:AL,19,FALSE)</f>
        <v>20</v>
      </c>
      <c r="AG190" s="1">
        <f>VLOOKUP(A190,'SegEnds_NonXtal_Prot#'!A:AL,28,FALSE)-VLOOKUP(A190,'SegEnds_NonXtal_Prot#'!A:AL,25,FALSE)</f>
        <v>24</v>
      </c>
      <c r="AH190" s="1">
        <f>VLOOKUP(A190,'SegEnds_NonXtal_Prot#'!A:AL,28,FALSE)-VLOOKUP(A190,'SegEnds_NonXtal_Prot#'!A:AL,22,FALSE)</f>
        <v>96</v>
      </c>
      <c r="AI190" s="1">
        <f>VLOOKUP(A190,'SegEnds_NonXtal_Prot#'!A:AL,31,FALSE)-VLOOKUP(A190,'SegEnds_NonXtal_Prot#'!A:AL,28,FALSE)</f>
        <v>54</v>
      </c>
      <c r="AJ190" s="1">
        <f>VLOOKUP(A190,'SegEnds_NonXtal_Prot#'!A:AL,34,FALSE)-VLOOKUP(A190,'SegEnds_NonXtal_Prot#'!A:AL,31,FALSE)</f>
        <v>39</v>
      </c>
      <c r="AK190" s="1">
        <f>VLOOKUP(A190,'SegEnds_NonXtal_Prot#'!A:AL,37,FALSE)-VLOOKUP(A190,'SegEnds_NonXtal_Prot#'!A:AL,34,FALSE)</f>
        <v>10</v>
      </c>
      <c r="AL190" s="1" t="str">
        <f>IF(ISERROR(MATCH(A190,'SegEnds_Xtal_Prot#'!B:B, 0)), "NoXtal", "Xtal")</f>
        <v>NoXtal</v>
      </c>
    </row>
    <row r="191" spans="1:38" x14ac:dyDescent="0.2">
      <c r="A191" s="1" t="s">
        <v>311</v>
      </c>
      <c r="B191" s="1" t="str">
        <f>VLOOKUP(A191,Xtal_Templ!A:B,2,FALSE)</f>
        <v>npy1r_human</v>
      </c>
      <c r="C191" s="5">
        <f>VLOOKUP($B191&amp;"__wt",'SegEnds_Xtal_BW#'!$A:$Z,3,FALSE)</f>
        <v>28</v>
      </c>
      <c r="D191" s="1">
        <f>VLOOKUP($B191&amp;"__wt",'SegEnds_Xtal_BW#'!$A:$Z,4,FALSE)</f>
        <v>60</v>
      </c>
      <c r="E191" s="1">
        <f>VLOOKUP($B191&amp;"__wt",'SegEnds_Xtal_BW#'!$A:$Z,5,FALSE)</f>
        <v>48</v>
      </c>
      <c r="F191" s="1">
        <f>VLOOKUP($B191&amp;"__wt",'SegEnds_Xtal_BW#'!$A:$Z,6,FALSE)</f>
        <v>51</v>
      </c>
      <c r="G191" s="1">
        <v>37</v>
      </c>
      <c r="H191" s="12">
        <f>VLOOKUP($B191&amp;"__wt",'SegEnds_Xtal_BW#'!$A:$Z,8,FALSE)</f>
        <v>68</v>
      </c>
      <c r="I191" s="1">
        <f>VLOOKUP($B191&amp;"__wt",'SegEnds_Xtal_BW#'!$A:$Z,9,FALSE)</f>
        <v>49</v>
      </c>
      <c r="J191" s="1">
        <f>VLOOKUP($B191&amp;"__wt",'SegEnds_Xtal_BW#'!$A:$Z,10,FALSE)</f>
        <v>52</v>
      </c>
      <c r="K191" s="12">
        <v>18</v>
      </c>
      <c r="L191" s="1">
        <f>VLOOKUP($B191&amp;"__wt",'SegEnds_Xtal_BW#'!$A:$Z,12,FALSE)</f>
        <v>56</v>
      </c>
      <c r="M191" s="108">
        <v>50</v>
      </c>
      <c r="N191" s="12">
        <v>57</v>
      </c>
      <c r="O191" s="87">
        <f>VLOOKUP($B191&amp;"__wt",'SegEnds_Xtal_BW#'!$A:$Z,15,FALSE)</f>
        <v>38</v>
      </c>
      <c r="P191" s="1">
        <f>VLOOKUP($B191&amp;"__wt",'SegEnds_Xtal_BW#'!$A:$Z,16,FALSE)</f>
        <v>64</v>
      </c>
      <c r="Q191" s="1">
        <f>VLOOKUP($B191&amp;"__wt",'SegEnds_Xtal_BW#'!$A:$Z,17,FALSE)</f>
        <v>50</v>
      </c>
      <c r="R191" s="1">
        <f>VLOOKUP($B191&amp;"__wt",'SegEnds_Xtal_BW#'!$A:$Z,18,FALSE)</f>
        <v>52</v>
      </c>
      <c r="S191" s="1">
        <v>35</v>
      </c>
      <c r="T191" s="1">
        <f t="array" ref="T191">INDEX(ICL3_classA!$G$2:$G$37,MATCH(MIN(ABS(AI191-ICL3_classA!$F$2:$F$37)),ABS(AI191-ICL3_classA!$F$2:$F$37),0))</f>
        <v>72</v>
      </c>
      <c r="U191" s="1">
        <f t="array" ref="U191">INDEX(ICL3_classA!$H$2:$H$37,MATCH(MIN(ABS(AI191-ICL3_classA!$F$2:$F$37)),ABS(AI191-ICL3_classA!$F$2:$F$37),0))</f>
        <v>24</v>
      </c>
      <c r="V191" s="1">
        <v>61</v>
      </c>
      <c r="W191" s="1">
        <v>28</v>
      </c>
      <c r="X191" s="1">
        <f>VLOOKUP($B191&amp;"__wt",'SegEnds_Xtal_BW#'!$A:$Z,24,FALSE)</f>
        <v>56</v>
      </c>
      <c r="Y191" s="1">
        <f>VLOOKUP($B191&amp;"__wt",'SegEnds_Xtal_BW#'!$A:$Z,25,FALSE)</f>
        <v>47</v>
      </c>
      <c r="Z191" s="1">
        <f>VLOOKUP($B191&amp;"__wt",'SegEnds_Xtal_BW#'!$A:$Z,26,FALSE)</f>
        <v>58</v>
      </c>
      <c r="AA191" s="27" t="str">
        <f>VLOOKUP(A191,Classification!A:B,2,FALSE)</f>
        <v>A</v>
      </c>
      <c r="AB191" s="1">
        <f>VLOOKUP(A191,'SegEnds_NonXtal_Prot#'!A:AL,10,FALSE)-VLOOKUP(A191,'SegEnds_NonXtal_Prot#'!A:AL,4,FALSE)</f>
        <v>28</v>
      </c>
      <c r="AC191" s="1">
        <f>VLOOKUP(A191,'SegEnds_NonXtal_Prot#'!A:AL,10,FALSE)-VLOOKUP(A191,'SegEnds_NonXtal_Prot#'!A:AL,7,FALSE)</f>
        <v>15</v>
      </c>
      <c r="AD191" s="1">
        <f>VLOOKUP(A191,'SegEnds_NonXtal_Prot#'!A:AL,13,FALSE)-VLOOKUP(A191,'SegEnds_NonXtal_Prot#'!A:AL,10,FALSE)</f>
        <v>20</v>
      </c>
      <c r="AE191" s="1">
        <f>VLOOKUP(A191,'SegEnds_NonXtal_Prot#'!A:AL,16,FALSE)-VLOOKUP(A191,'SegEnds_NonXtal_Prot#'!A:AL,10,FALSE)</f>
        <v>52</v>
      </c>
      <c r="AF191" s="1">
        <f>VLOOKUP(A191,'SegEnds_NonXtal_Prot#'!A:AL,22,FALSE)-VLOOKUP(A191,'SegEnds_NonXtal_Prot#'!A:AL,19,FALSE)</f>
        <v>20</v>
      </c>
      <c r="AG191" s="1">
        <f>VLOOKUP(A191,'SegEnds_NonXtal_Prot#'!A:AL,28,FALSE)-VLOOKUP(A191,'SegEnds_NonXtal_Prot#'!A:AL,25,FALSE)</f>
        <v>22</v>
      </c>
      <c r="AH191" s="1">
        <f>VLOOKUP(A191,'SegEnds_NonXtal_Prot#'!A:AL,28,FALSE)-VLOOKUP(A191,'SegEnds_NonXtal_Prot#'!A:AL,22,FALSE)</f>
        <v>47</v>
      </c>
      <c r="AI191" s="1">
        <f>VLOOKUP(A191,'SegEnds_NonXtal_Prot#'!A:AL,31,FALSE)-VLOOKUP(A191,'SegEnds_NonXtal_Prot#'!A:AL,28,FALSE)</f>
        <v>54</v>
      </c>
      <c r="AJ191" s="1">
        <f>VLOOKUP(A191,'SegEnds_NonXtal_Prot#'!A:AL,34,FALSE)-VLOOKUP(A191,'SegEnds_NonXtal_Prot#'!A:AL,31,FALSE)</f>
        <v>39</v>
      </c>
      <c r="AK191" s="1">
        <f>VLOOKUP(A191,'SegEnds_NonXtal_Prot#'!A:AL,37,FALSE)-VLOOKUP(A191,'SegEnds_NonXtal_Prot#'!A:AL,34,FALSE)</f>
        <v>10</v>
      </c>
      <c r="AL191" s="1" t="str">
        <f>IF(ISERROR(MATCH(A191,'SegEnds_Xtal_Prot#'!B:B, 0)), "NoXtal", "Xtal")</f>
        <v>NoXtal</v>
      </c>
    </row>
    <row r="192" spans="1:38" x14ac:dyDescent="0.2">
      <c r="A192" s="1" t="s">
        <v>312</v>
      </c>
      <c r="B192" s="1" t="str">
        <f>VLOOKUP(A192,Xtal_Templ!A:B,2,FALSE)</f>
        <v>ox2r_human</v>
      </c>
      <c r="C192" s="5">
        <f>VLOOKUP($B192&amp;"__wt",'SegEnds_Xtal_BW#'!$A:$Z,3,FALSE)</f>
        <v>31</v>
      </c>
      <c r="D192" s="1">
        <f>VLOOKUP($B192&amp;"__wt",'SegEnds_Xtal_BW#'!$A:$Z,4,FALSE)</f>
        <v>60</v>
      </c>
      <c r="E192" s="1">
        <f>VLOOKUP($B192&amp;"__wt",'SegEnds_Xtal_BW#'!$A:$Z,5,FALSE)</f>
        <v>48</v>
      </c>
      <c r="F192" s="1">
        <f>VLOOKUP($B192&amp;"__wt",'SegEnds_Xtal_BW#'!$A:$Z,6,FALSE)</f>
        <v>51</v>
      </c>
      <c r="G192" s="1">
        <v>37</v>
      </c>
      <c r="H192" s="12">
        <f>VLOOKUP($B192&amp;"__wt",'SegEnds_Xtal_BW#'!$A:$Z,8,FALSE)</f>
        <v>68</v>
      </c>
      <c r="I192" s="1">
        <f>VLOOKUP($B192&amp;"__wt",'SegEnds_Xtal_BW#'!$A:$Z,9,FALSE)</f>
        <v>49</v>
      </c>
      <c r="J192" s="1">
        <f>VLOOKUP($B192&amp;"__wt",'SegEnds_Xtal_BW#'!$A:$Z,10,FALSE)</f>
        <v>52</v>
      </c>
      <c r="K192" s="12">
        <v>18</v>
      </c>
      <c r="L192" s="1">
        <f>VLOOKUP($B192&amp;"__wt",'SegEnds_Xtal_BW#'!$A:$Z,12,FALSE)</f>
        <v>56</v>
      </c>
      <c r="M192" s="1">
        <f>VLOOKUP($B192&amp;"__wt",'SegEnds_Xtal_BW#'!$A:$Z,13,FALSE)</f>
        <v>50</v>
      </c>
      <c r="N192" s="12">
        <v>57</v>
      </c>
      <c r="O192" s="87">
        <f>VLOOKUP($B192&amp;"__wt",'SegEnds_Xtal_BW#'!$A:$Z,15,FALSE)</f>
        <v>38</v>
      </c>
      <c r="P192" s="1">
        <f>VLOOKUP($B192&amp;"__wt",'SegEnds_Xtal_BW#'!$A:$Z,16,FALSE)</f>
        <v>64</v>
      </c>
      <c r="Q192" s="1">
        <f>VLOOKUP($B192&amp;"__wt",'SegEnds_Xtal_BW#'!$A:$Z,17,FALSE)</f>
        <v>50</v>
      </c>
      <c r="R192" s="1">
        <f>VLOOKUP($B192&amp;"__wt",'SegEnds_Xtal_BW#'!$A:$Z,18,FALSE)</f>
        <v>52</v>
      </c>
      <c r="S192" s="1">
        <v>35</v>
      </c>
      <c r="T192" s="1">
        <f t="array" ref="T192">INDEX(ICL3_classA!$G$2:$G$37,MATCH(MIN(ABS(AI192-ICL3_classA!$F$2:$F$37)),ABS(AI192-ICL3_classA!$F$2:$F$37),0))</f>
        <v>72</v>
      </c>
      <c r="U192" s="1">
        <f t="array" ref="U192">INDEX(ICL3_classA!$H$2:$H$37,MATCH(MIN(ABS(AI192-ICL3_classA!$F$2:$F$37)),ABS(AI192-ICL3_classA!$F$2:$F$37),0))</f>
        <v>24</v>
      </c>
      <c r="V192" s="1">
        <v>61</v>
      </c>
      <c r="W192" s="1">
        <v>28</v>
      </c>
      <c r="X192" s="1">
        <f>VLOOKUP($B192&amp;"__wt",'SegEnds_Xtal_BW#'!$A:$Z,24,FALSE)</f>
        <v>56</v>
      </c>
      <c r="Y192" s="1">
        <f>VLOOKUP($B192&amp;"__wt",'SegEnds_Xtal_BW#'!$A:$Z,25,FALSE)</f>
        <v>47</v>
      </c>
      <c r="Z192" s="1">
        <f>VLOOKUP($B192&amp;"__wt",'SegEnds_Xtal_BW#'!$A:$Z,26,FALSE)</f>
        <v>58</v>
      </c>
      <c r="AA192" s="27" t="str">
        <f>VLOOKUP(A192,Classification!A:B,2,FALSE)</f>
        <v>A</v>
      </c>
      <c r="AB192" s="1">
        <f>VLOOKUP(A192,'SegEnds_NonXtal_Prot#'!A:AL,10,FALSE)-VLOOKUP(A192,'SegEnds_NonXtal_Prot#'!A:AL,4,FALSE)</f>
        <v>28</v>
      </c>
      <c r="AC192" s="1">
        <f>VLOOKUP(A192,'SegEnds_NonXtal_Prot#'!A:AL,10,FALSE)-VLOOKUP(A192,'SegEnds_NonXtal_Prot#'!A:AL,7,FALSE)</f>
        <v>15</v>
      </c>
      <c r="AD192" s="1">
        <f>VLOOKUP(A192,'SegEnds_NonXtal_Prot#'!A:AL,13,FALSE)-VLOOKUP(A192,'SegEnds_NonXtal_Prot#'!A:AL,10,FALSE)</f>
        <v>20</v>
      </c>
      <c r="AE192" s="1">
        <f>VLOOKUP(A192,'SegEnds_NonXtal_Prot#'!A:AL,16,FALSE)-VLOOKUP(A192,'SegEnds_NonXtal_Prot#'!A:AL,10,FALSE)</f>
        <v>52</v>
      </c>
      <c r="AF192" s="1">
        <f>VLOOKUP(A192,'SegEnds_NonXtal_Prot#'!A:AL,22,FALSE)-VLOOKUP(A192,'SegEnds_NonXtal_Prot#'!A:AL,19,FALSE)</f>
        <v>20</v>
      </c>
      <c r="AG192" s="1">
        <f>VLOOKUP(A192,'SegEnds_NonXtal_Prot#'!A:AL,28,FALSE)-VLOOKUP(A192,'SegEnds_NonXtal_Prot#'!A:AL,25,FALSE)</f>
        <v>22</v>
      </c>
      <c r="AH192" s="1">
        <f>VLOOKUP(A192,'SegEnds_NonXtal_Prot#'!A:AL,28,FALSE)-VLOOKUP(A192,'SegEnds_NonXtal_Prot#'!A:AL,22,FALSE)</f>
        <v>47</v>
      </c>
      <c r="AI192" s="1">
        <f>VLOOKUP(A192,'SegEnds_NonXtal_Prot#'!A:AL,31,FALSE)-VLOOKUP(A192,'SegEnds_NonXtal_Prot#'!A:AL,28,FALSE)</f>
        <v>54</v>
      </c>
      <c r="AJ192" s="1">
        <f>VLOOKUP(A192,'SegEnds_NonXtal_Prot#'!A:AL,34,FALSE)-VLOOKUP(A192,'SegEnds_NonXtal_Prot#'!A:AL,31,FALSE)</f>
        <v>39</v>
      </c>
      <c r="AK192" s="1">
        <f>VLOOKUP(A192,'SegEnds_NonXtal_Prot#'!A:AL,37,FALSE)-VLOOKUP(A192,'SegEnds_NonXtal_Prot#'!A:AL,34,FALSE)</f>
        <v>10</v>
      </c>
      <c r="AL192" s="1" t="str">
        <f>IF(ISERROR(MATCH(A192,'SegEnds_Xtal_Prot#'!B:B, 0)), "NoXtal", "Xtal")</f>
        <v>NoXtal</v>
      </c>
    </row>
    <row r="193" spans="1:38" x14ac:dyDescent="0.2">
      <c r="A193" s="1" t="s">
        <v>313</v>
      </c>
      <c r="B193" s="1" t="str">
        <f>VLOOKUP(A193,Xtal_Templ!A:B,2,FALSE)</f>
        <v>ox2r_human</v>
      </c>
      <c r="C193" s="5">
        <f>VLOOKUP($B193&amp;"__wt",'SegEnds_Xtal_BW#'!$A:$Z,3,FALSE)</f>
        <v>31</v>
      </c>
      <c r="D193" s="1">
        <f>VLOOKUP($B193&amp;"__wt",'SegEnds_Xtal_BW#'!$A:$Z,4,FALSE)</f>
        <v>60</v>
      </c>
      <c r="E193" s="1">
        <f>VLOOKUP($B193&amp;"__wt",'SegEnds_Xtal_BW#'!$A:$Z,5,FALSE)</f>
        <v>48</v>
      </c>
      <c r="F193" s="1">
        <f>VLOOKUP($B193&amp;"__wt",'SegEnds_Xtal_BW#'!$A:$Z,6,FALSE)</f>
        <v>51</v>
      </c>
      <c r="G193" s="1">
        <v>37</v>
      </c>
      <c r="H193" s="12">
        <f>VLOOKUP($B193&amp;"__wt",'SegEnds_Xtal_BW#'!$A:$Z,8,FALSE)</f>
        <v>68</v>
      </c>
      <c r="I193" s="1">
        <f>VLOOKUP($B193&amp;"__wt",'SegEnds_Xtal_BW#'!$A:$Z,9,FALSE)</f>
        <v>49</v>
      </c>
      <c r="J193" s="1">
        <f>VLOOKUP($B193&amp;"__wt",'SegEnds_Xtal_BW#'!$A:$Z,10,FALSE)</f>
        <v>52</v>
      </c>
      <c r="K193" s="12">
        <v>18</v>
      </c>
      <c r="L193" s="1">
        <f>VLOOKUP($B193&amp;"__wt",'SegEnds_Xtal_BW#'!$A:$Z,12,FALSE)</f>
        <v>56</v>
      </c>
      <c r="M193" s="1">
        <f>VLOOKUP($B193&amp;"__wt",'SegEnds_Xtal_BW#'!$A:$Z,13,FALSE)</f>
        <v>50</v>
      </c>
      <c r="N193" s="12">
        <v>57</v>
      </c>
      <c r="O193" s="87">
        <f>VLOOKUP($B193&amp;"__wt",'SegEnds_Xtal_BW#'!$A:$Z,15,FALSE)</f>
        <v>38</v>
      </c>
      <c r="P193" s="1">
        <f>VLOOKUP($B193&amp;"__wt",'SegEnds_Xtal_BW#'!$A:$Z,16,FALSE)</f>
        <v>64</v>
      </c>
      <c r="Q193" s="1">
        <f>VLOOKUP($B193&amp;"__wt",'SegEnds_Xtal_BW#'!$A:$Z,17,FALSE)</f>
        <v>50</v>
      </c>
      <c r="R193" s="1">
        <f>VLOOKUP($B193&amp;"__wt",'SegEnds_Xtal_BW#'!$A:$Z,18,FALSE)</f>
        <v>52</v>
      </c>
      <c r="S193" s="1">
        <v>35</v>
      </c>
      <c r="T193" s="1">
        <f t="array" ref="T193">INDEX(ICL3_classA!$G$2:$G$37,MATCH(MIN(ABS(AI193-ICL3_classA!$F$2:$F$37)),ABS(AI193-ICL3_classA!$F$2:$F$37),0))</f>
        <v>72</v>
      </c>
      <c r="U193" s="1">
        <f t="array" ref="U193">INDEX(ICL3_classA!$H$2:$H$37,MATCH(MIN(ABS(AI193-ICL3_classA!$F$2:$F$37)),ABS(AI193-ICL3_classA!$F$2:$F$37),0))</f>
        <v>24</v>
      </c>
      <c r="V193" s="1">
        <v>61</v>
      </c>
      <c r="W193" s="1">
        <v>28</v>
      </c>
      <c r="X193" s="1">
        <f>VLOOKUP($B193&amp;"__wt",'SegEnds_Xtal_BW#'!$A:$Z,24,FALSE)</f>
        <v>56</v>
      </c>
      <c r="Y193" s="1">
        <f>VLOOKUP($B193&amp;"__wt",'SegEnds_Xtal_BW#'!$A:$Z,25,FALSE)</f>
        <v>47</v>
      </c>
      <c r="Z193" s="1">
        <f>VLOOKUP($B193&amp;"__wt",'SegEnds_Xtal_BW#'!$A:$Z,26,FALSE)</f>
        <v>58</v>
      </c>
      <c r="AA193" s="27" t="str">
        <f>VLOOKUP(A193,Classification!A:B,2,FALSE)</f>
        <v>A</v>
      </c>
      <c r="AB193" s="1">
        <f>VLOOKUP(A193,'SegEnds_NonXtal_Prot#'!A:AL,10,FALSE)-VLOOKUP(A193,'SegEnds_NonXtal_Prot#'!A:AL,4,FALSE)</f>
        <v>28</v>
      </c>
      <c r="AC193" s="1">
        <f>VLOOKUP(A193,'SegEnds_NonXtal_Prot#'!A:AL,10,FALSE)-VLOOKUP(A193,'SegEnds_NonXtal_Prot#'!A:AL,7,FALSE)</f>
        <v>15</v>
      </c>
      <c r="AD193" s="1">
        <f>VLOOKUP(A193,'SegEnds_NonXtal_Prot#'!A:AL,13,FALSE)-VLOOKUP(A193,'SegEnds_NonXtal_Prot#'!A:AL,10,FALSE)</f>
        <v>20</v>
      </c>
      <c r="AE193" s="1">
        <f>VLOOKUP(A193,'SegEnds_NonXtal_Prot#'!A:AL,16,FALSE)-VLOOKUP(A193,'SegEnds_NonXtal_Prot#'!A:AL,10,FALSE)</f>
        <v>52</v>
      </c>
      <c r="AF193" s="1">
        <f>VLOOKUP(A193,'SegEnds_NonXtal_Prot#'!A:AL,22,FALSE)-VLOOKUP(A193,'SegEnds_NonXtal_Prot#'!A:AL,19,FALSE)</f>
        <v>20</v>
      </c>
      <c r="AG193" s="1">
        <f>VLOOKUP(A193,'SegEnds_NonXtal_Prot#'!A:AL,28,FALSE)-VLOOKUP(A193,'SegEnds_NonXtal_Prot#'!A:AL,25,FALSE)</f>
        <v>22</v>
      </c>
      <c r="AH193" s="1">
        <f>VLOOKUP(A193,'SegEnds_NonXtal_Prot#'!A:AL,28,FALSE)-VLOOKUP(A193,'SegEnds_NonXtal_Prot#'!A:AL,22,FALSE)</f>
        <v>47</v>
      </c>
      <c r="AI193" s="1">
        <f>VLOOKUP(A193,'SegEnds_NonXtal_Prot#'!A:AL,31,FALSE)-VLOOKUP(A193,'SegEnds_NonXtal_Prot#'!A:AL,28,FALSE)</f>
        <v>52</v>
      </c>
      <c r="AJ193" s="1">
        <f>VLOOKUP(A193,'SegEnds_NonXtal_Prot#'!A:AL,34,FALSE)-VLOOKUP(A193,'SegEnds_NonXtal_Prot#'!A:AL,31,FALSE)</f>
        <v>39</v>
      </c>
      <c r="AK193" s="1">
        <f>VLOOKUP(A193,'SegEnds_NonXtal_Prot#'!A:AL,37,FALSE)-VLOOKUP(A193,'SegEnds_NonXtal_Prot#'!A:AL,34,FALSE)</f>
        <v>10</v>
      </c>
      <c r="AL193" s="1" t="str">
        <f>IF(ISERROR(MATCH(A193,'SegEnds_Xtal_Prot#'!B:B, 0)), "NoXtal", "Xtal")</f>
        <v>NoXtal</v>
      </c>
    </row>
    <row r="194" spans="1:38" x14ac:dyDescent="0.2">
      <c r="A194" s="1" t="s">
        <v>314</v>
      </c>
      <c r="B194" s="1" t="str">
        <f>VLOOKUP(A194,Xtal_Templ!A:B,2,FALSE)</f>
        <v>nk1r_human</v>
      </c>
      <c r="C194" s="5">
        <f>VLOOKUP($B194&amp;"__wt",'SegEnds_Xtal_BW#'!$A:$Z,3,FALSE)</f>
        <v>31</v>
      </c>
      <c r="D194" s="1">
        <f>VLOOKUP($B194&amp;"__wt",'SegEnds_Xtal_BW#'!$A:$Z,4,FALSE)</f>
        <v>60</v>
      </c>
      <c r="E194" s="1">
        <f>VLOOKUP($B194&amp;"__wt",'SegEnds_Xtal_BW#'!$A:$Z,5,FALSE)</f>
        <v>48</v>
      </c>
      <c r="F194" s="1">
        <f>VLOOKUP($B194&amp;"__wt",'SegEnds_Xtal_BW#'!$A:$Z,6,FALSE)</f>
        <v>51</v>
      </c>
      <c r="G194" s="1">
        <v>37</v>
      </c>
      <c r="H194" s="12">
        <f>VLOOKUP($B194&amp;"__wt",'SegEnds_Xtal_BW#'!$A:$Z,8,FALSE)</f>
        <v>66</v>
      </c>
      <c r="I194" s="1">
        <f>VLOOKUP($B194&amp;"__wt",'SegEnds_Xtal_BW#'!$A:$Z,9,FALSE)</f>
        <v>49</v>
      </c>
      <c r="J194" s="1">
        <f>VLOOKUP($B194&amp;"__wt",'SegEnds_Xtal_BW#'!$A:$Z,10,FALSE)</f>
        <v>52</v>
      </c>
      <c r="K194" s="12">
        <v>18</v>
      </c>
      <c r="L194" s="1">
        <f>VLOOKUP($B194&amp;"__wt",'SegEnds_Xtal_BW#'!$A:$Z,12,FALSE)</f>
        <v>56</v>
      </c>
      <c r="M194" s="1" t="str">
        <f>VLOOKUP($B194&amp;"__wt",'SegEnds_Xtal_BW#'!$A:$Z,13,FALSE)</f>
        <v>-</v>
      </c>
      <c r="N194" s="12">
        <v>56</v>
      </c>
      <c r="O194" s="87">
        <f>VLOOKUP($B194&amp;"__wt",'SegEnds_Xtal_BW#'!$A:$Z,15,FALSE)</f>
        <v>38</v>
      </c>
      <c r="P194" s="1">
        <f>VLOOKUP($B194&amp;"__wt",'SegEnds_Xtal_BW#'!$A:$Z,16,FALSE)</f>
        <v>64</v>
      </c>
      <c r="Q194" s="1">
        <f>VLOOKUP($B194&amp;"__wt",'SegEnds_Xtal_BW#'!$A:$Z,17,FALSE)</f>
        <v>50</v>
      </c>
      <c r="R194" s="1">
        <f>VLOOKUP($B194&amp;"__wt",'SegEnds_Xtal_BW#'!$A:$Z,18,FALSE)</f>
        <v>52</v>
      </c>
      <c r="S194" s="1">
        <f>VLOOKUP($B194&amp;"__wt",'SegEnds_Xtal_BW#'!$A:$Z,19,FALSE)</f>
        <v>30</v>
      </c>
      <c r="T194" s="1">
        <f t="array" ref="T194">INDEX(ICL3_classA!$G$2:$G$37,MATCH(MIN(ABS(AI194-ICL3_classA!$F$2:$F$37)),ABS(AI194-ICL3_classA!$F$2:$F$37),0))</f>
        <v>73</v>
      </c>
      <c r="U194" s="1">
        <f t="array" ref="U194">INDEX(ICL3_classA!$H$2:$H$37,MATCH(MIN(ABS(AI194-ICL3_classA!$F$2:$F$37)),ABS(AI194-ICL3_classA!$F$2:$F$37),0))</f>
        <v>22</v>
      </c>
      <c r="V194" s="1">
        <v>61</v>
      </c>
      <c r="W194" s="1">
        <v>28</v>
      </c>
      <c r="X194" s="1">
        <f>VLOOKUP($B194&amp;"__wt",'SegEnds_Xtal_BW#'!$A:$Z,24,FALSE)</f>
        <v>56</v>
      </c>
      <c r="Y194" s="1">
        <f>VLOOKUP($B194&amp;"__wt",'SegEnds_Xtal_BW#'!$A:$Z,25,FALSE)</f>
        <v>47</v>
      </c>
      <c r="Z194" s="1">
        <f>VLOOKUP($B194&amp;"__wt",'SegEnds_Xtal_BW#'!$A:$Z,26,FALSE)</f>
        <v>58</v>
      </c>
      <c r="AA194" s="27" t="str">
        <f>VLOOKUP(A194,Classification!A:B,2,FALSE)</f>
        <v>A</v>
      </c>
      <c r="AB194" s="1">
        <f>VLOOKUP(A194,'SegEnds_NonXtal_Prot#'!A:AL,10,FALSE)-VLOOKUP(A194,'SegEnds_NonXtal_Prot#'!A:AL,4,FALSE)</f>
        <v>28</v>
      </c>
      <c r="AC194" s="1">
        <f>VLOOKUP(A194,'SegEnds_NonXtal_Prot#'!A:AL,10,FALSE)-VLOOKUP(A194,'SegEnds_NonXtal_Prot#'!A:AL,7,FALSE)</f>
        <v>15</v>
      </c>
      <c r="AD194" s="1">
        <f>VLOOKUP(A194,'SegEnds_NonXtal_Prot#'!A:AL,13,FALSE)-VLOOKUP(A194,'SegEnds_NonXtal_Prot#'!A:AL,10,FALSE)</f>
        <v>20</v>
      </c>
      <c r="AE194" s="1">
        <f>VLOOKUP(A194,'SegEnds_NonXtal_Prot#'!A:AL,16,FALSE)-VLOOKUP(A194,'SegEnds_NonXtal_Prot#'!A:AL,10,FALSE)</f>
        <v>52</v>
      </c>
      <c r="AF194" s="1" t="e">
        <f>VLOOKUP(A194,'SegEnds_NonXtal_Prot#'!A:AL,22,FALSE)-VLOOKUP(A194,'SegEnds_NonXtal_Prot#'!A:AL,19,FALSE)</f>
        <v>#VALUE!</v>
      </c>
      <c r="AG194" s="1">
        <f>VLOOKUP(A194,'SegEnds_NonXtal_Prot#'!A:AL,28,FALSE)-VLOOKUP(A194,'SegEnds_NonXtal_Prot#'!A:AL,25,FALSE)</f>
        <v>28</v>
      </c>
      <c r="AH194" s="1">
        <f>VLOOKUP(A194,'SegEnds_NonXtal_Prot#'!A:AL,28,FALSE)-VLOOKUP(A194,'SegEnds_NonXtal_Prot#'!A:AL,22,FALSE)</f>
        <v>53</v>
      </c>
      <c r="AI194" s="1">
        <f>VLOOKUP(A194,'SegEnds_NonXtal_Prot#'!A:AL,31,FALSE)-VLOOKUP(A194,'SegEnds_NonXtal_Prot#'!A:AL,28,FALSE)</f>
        <v>55</v>
      </c>
      <c r="AJ194" s="1">
        <f>VLOOKUP(A194,'SegEnds_NonXtal_Prot#'!A:AL,34,FALSE)-VLOOKUP(A194,'SegEnds_NonXtal_Prot#'!A:AL,31,FALSE)</f>
        <v>39</v>
      </c>
      <c r="AK194" s="1">
        <f>VLOOKUP(A194,'SegEnds_NonXtal_Prot#'!A:AL,37,FALSE)-VLOOKUP(A194,'SegEnds_NonXtal_Prot#'!A:AL,34,FALSE)</f>
        <v>10</v>
      </c>
      <c r="AL194" s="1" t="str">
        <f>IF(ISERROR(MATCH(A194,'SegEnds_Xtal_Prot#'!B:B, 0)), "NoXtal", "Xtal")</f>
        <v>Xtal</v>
      </c>
    </row>
    <row r="195" spans="1:38" x14ac:dyDescent="0.2">
      <c r="A195" s="1" t="s">
        <v>315</v>
      </c>
      <c r="B195" s="1" t="str">
        <f>VLOOKUP(A195,Xtal_Templ!A:B,2,FALSE)</f>
        <v>nk1r_human</v>
      </c>
      <c r="C195" s="5">
        <f>VLOOKUP($B195&amp;"__wt",'SegEnds_Xtal_BW#'!$A:$Z,3,FALSE)</f>
        <v>31</v>
      </c>
      <c r="D195" s="1">
        <f>VLOOKUP($B195&amp;"__wt",'SegEnds_Xtal_BW#'!$A:$Z,4,FALSE)</f>
        <v>60</v>
      </c>
      <c r="E195" s="1">
        <f>VLOOKUP($B195&amp;"__wt",'SegEnds_Xtal_BW#'!$A:$Z,5,FALSE)</f>
        <v>48</v>
      </c>
      <c r="F195" s="1">
        <f>VLOOKUP($B195&amp;"__wt",'SegEnds_Xtal_BW#'!$A:$Z,6,FALSE)</f>
        <v>51</v>
      </c>
      <c r="G195" s="1">
        <v>37</v>
      </c>
      <c r="H195" s="12">
        <f>VLOOKUP($B195&amp;"__wt",'SegEnds_Xtal_BW#'!$A:$Z,8,FALSE)</f>
        <v>66</v>
      </c>
      <c r="I195" s="1">
        <f>VLOOKUP($B195&amp;"__wt",'SegEnds_Xtal_BW#'!$A:$Z,9,FALSE)</f>
        <v>49</v>
      </c>
      <c r="J195" s="1">
        <f>VLOOKUP($B195&amp;"__wt",'SegEnds_Xtal_BW#'!$A:$Z,10,FALSE)</f>
        <v>52</v>
      </c>
      <c r="K195" s="12">
        <v>18</v>
      </c>
      <c r="L195" s="1">
        <f>VLOOKUP($B195&amp;"__wt",'SegEnds_Xtal_BW#'!$A:$Z,12,FALSE)</f>
        <v>56</v>
      </c>
      <c r="M195" s="1" t="str">
        <f>VLOOKUP($B195&amp;"__wt",'SegEnds_Xtal_BW#'!$A:$Z,13,FALSE)</f>
        <v>-</v>
      </c>
      <c r="N195" s="12">
        <v>56</v>
      </c>
      <c r="O195" s="87">
        <f>VLOOKUP($B195&amp;"__wt",'SegEnds_Xtal_BW#'!$A:$Z,15,FALSE)</f>
        <v>38</v>
      </c>
      <c r="P195" s="1">
        <f>VLOOKUP($B195&amp;"__wt",'SegEnds_Xtal_BW#'!$A:$Z,16,FALSE)</f>
        <v>64</v>
      </c>
      <c r="Q195" s="1">
        <f>VLOOKUP($B195&amp;"__wt",'SegEnds_Xtal_BW#'!$A:$Z,17,FALSE)</f>
        <v>50</v>
      </c>
      <c r="R195" s="1">
        <f>VLOOKUP($B195&amp;"__wt",'SegEnds_Xtal_BW#'!$A:$Z,18,FALSE)</f>
        <v>52</v>
      </c>
      <c r="S195" s="1">
        <f>VLOOKUP($B195&amp;"__wt",'SegEnds_Xtal_BW#'!$A:$Z,19,FALSE)</f>
        <v>30</v>
      </c>
      <c r="T195" s="1">
        <f t="array" ref="T195">INDEX(ICL3_classA!$G$2:$G$37,MATCH(MIN(ABS(AI195-ICL3_classA!$F$2:$F$37)),ABS(AI195-ICL3_classA!$F$2:$F$37),0))</f>
        <v>73</v>
      </c>
      <c r="U195" s="1">
        <f t="array" ref="U195">INDEX(ICL3_classA!$H$2:$H$37,MATCH(MIN(ABS(AI195-ICL3_classA!$F$2:$F$37)),ABS(AI195-ICL3_classA!$F$2:$F$37),0))</f>
        <v>22</v>
      </c>
      <c r="V195" s="1">
        <v>61</v>
      </c>
      <c r="W195" s="1">
        <v>28</v>
      </c>
      <c r="X195" s="1">
        <f>VLOOKUP($B195&amp;"__wt",'SegEnds_Xtal_BW#'!$A:$Z,24,FALSE)</f>
        <v>56</v>
      </c>
      <c r="Y195" s="1">
        <f>VLOOKUP($B195&amp;"__wt",'SegEnds_Xtal_BW#'!$A:$Z,25,FALSE)</f>
        <v>47</v>
      </c>
      <c r="Z195" s="1">
        <f>VLOOKUP($B195&amp;"__wt",'SegEnds_Xtal_BW#'!$A:$Z,26,FALSE)</f>
        <v>58</v>
      </c>
      <c r="AA195" s="27" t="str">
        <f>VLOOKUP(A195,Classification!A:B,2,FALSE)</f>
        <v>A</v>
      </c>
      <c r="AB195" s="1">
        <f>VLOOKUP(A195,'SegEnds_NonXtal_Prot#'!A:AL,10,FALSE)-VLOOKUP(A195,'SegEnds_NonXtal_Prot#'!A:AL,4,FALSE)</f>
        <v>28</v>
      </c>
      <c r="AC195" s="1">
        <f>VLOOKUP(A195,'SegEnds_NonXtal_Prot#'!A:AL,10,FALSE)-VLOOKUP(A195,'SegEnds_NonXtal_Prot#'!A:AL,7,FALSE)</f>
        <v>15</v>
      </c>
      <c r="AD195" s="1">
        <f>VLOOKUP(A195,'SegEnds_NonXtal_Prot#'!A:AL,13,FALSE)-VLOOKUP(A195,'SegEnds_NonXtal_Prot#'!A:AL,10,FALSE)</f>
        <v>20</v>
      </c>
      <c r="AE195" s="1">
        <f>VLOOKUP(A195,'SegEnds_NonXtal_Prot#'!A:AL,16,FALSE)-VLOOKUP(A195,'SegEnds_NonXtal_Prot#'!A:AL,10,FALSE)</f>
        <v>52</v>
      </c>
      <c r="AF195" s="1" t="e">
        <f>VLOOKUP(A195,'SegEnds_NonXtal_Prot#'!A:AL,22,FALSE)-VLOOKUP(A195,'SegEnds_NonXtal_Prot#'!A:AL,19,FALSE)</f>
        <v>#VALUE!</v>
      </c>
      <c r="AG195" s="1">
        <f>VLOOKUP(A195,'SegEnds_NonXtal_Prot#'!A:AL,28,FALSE)-VLOOKUP(A195,'SegEnds_NonXtal_Prot#'!A:AL,25,FALSE)</f>
        <v>28</v>
      </c>
      <c r="AH195" s="1">
        <f>VLOOKUP(A195,'SegEnds_NonXtal_Prot#'!A:AL,28,FALSE)-VLOOKUP(A195,'SegEnds_NonXtal_Prot#'!A:AL,22,FALSE)</f>
        <v>53</v>
      </c>
      <c r="AI195" s="1">
        <f>VLOOKUP(A195,'SegEnds_NonXtal_Prot#'!A:AL,31,FALSE)-VLOOKUP(A195,'SegEnds_NonXtal_Prot#'!A:AL,28,FALSE)</f>
        <v>56</v>
      </c>
      <c r="AJ195" s="1">
        <f>VLOOKUP(A195,'SegEnds_NonXtal_Prot#'!A:AL,34,FALSE)-VLOOKUP(A195,'SegEnds_NonXtal_Prot#'!A:AL,31,FALSE)</f>
        <v>39</v>
      </c>
      <c r="AK195" s="1">
        <f>VLOOKUP(A195,'SegEnds_NonXtal_Prot#'!A:AL,37,FALSE)-VLOOKUP(A195,'SegEnds_NonXtal_Prot#'!A:AL,34,FALSE)</f>
        <v>10</v>
      </c>
      <c r="AL195" s="1" t="str">
        <f>IF(ISERROR(MATCH(A195,'SegEnds_Xtal_Prot#'!B:B, 0)), "NoXtal", "Xtal")</f>
        <v>NoXtal</v>
      </c>
    </row>
    <row r="196" spans="1:38" x14ac:dyDescent="0.2">
      <c r="A196" s="1" t="s">
        <v>316</v>
      </c>
      <c r="B196" s="1" t="str">
        <f>VLOOKUP(A196,Xtal_Templ!A:B,2,FALSE)</f>
        <v>nk1r_human</v>
      </c>
      <c r="C196" s="5">
        <f>VLOOKUP($B196&amp;"__wt",'SegEnds_Xtal_BW#'!$A:$Z,3,FALSE)</f>
        <v>31</v>
      </c>
      <c r="D196" s="1">
        <f>VLOOKUP($B196&amp;"__wt",'SegEnds_Xtal_BW#'!$A:$Z,4,FALSE)</f>
        <v>60</v>
      </c>
      <c r="E196" s="1">
        <f>VLOOKUP($B196&amp;"__wt",'SegEnds_Xtal_BW#'!$A:$Z,5,FALSE)</f>
        <v>48</v>
      </c>
      <c r="F196" s="1">
        <f>VLOOKUP($B196&amp;"__wt",'SegEnds_Xtal_BW#'!$A:$Z,6,FALSE)</f>
        <v>51</v>
      </c>
      <c r="G196" s="1">
        <v>37</v>
      </c>
      <c r="H196" s="12">
        <f>VLOOKUP($B196&amp;"__wt",'SegEnds_Xtal_BW#'!$A:$Z,8,FALSE)</f>
        <v>66</v>
      </c>
      <c r="I196" s="1">
        <f>VLOOKUP($B196&amp;"__wt",'SegEnds_Xtal_BW#'!$A:$Z,9,FALSE)</f>
        <v>49</v>
      </c>
      <c r="J196" s="1">
        <f>VLOOKUP($B196&amp;"__wt",'SegEnds_Xtal_BW#'!$A:$Z,10,FALSE)</f>
        <v>52</v>
      </c>
      <c r="K196" s="12">
        <v>18</v>
      </c>
      <c r="L196" s="1">
        <f>VLOOKUP($B196&amp;"__wt",'SegEnds_Xtal_BW#'!$A:$Z,12,FALSE)</f>
        <v>56</v>
      </c>
      <c r="M196" s="1" t="str">
        <f>VLOOKUP($B196&amp;"__wt",'SegEnds_Xtal_BW#'!$A:$Z,13,FALSE)</f>
        <v>-</v>
      </c>
      <c r="N196" s="12">
        <v>56</v>
      </c>
      <c r="O196" s="87">
        <f>VLOOKUP($B196&amp;"__wt",'SegEnds_Xtal_BW#'!$A:$Z,15,FALSE)</f>
        <v>38</v>
      </c>
      <c r="P196" s="1">
        <f>VLOOKUP($B196&amp;"__wt",'SegEnds_Xtal_BW#'!$A:$Z,16,FALSE)</f>
        <v>64</v>
      </c>
      <c r="Q196" s="1">
        <f>VLOOKUP($B196&amp;"__wt",'SegEnds_Xtal_BW#'!$A:$Z,17,FALSE)</f>
        <v>50</v>
      </c>
      <c r="R196" s="1">
        <f>VLOOKUP($B196&amp;"__wt",'SegEnds_Xtal_BW#'!$A:$Z,18,FALSE)</f>
        <v>52</v>
      </c>
      <c r="S196" s="1">
        <f>VLOOKUP($B196&amp;"__wt",'SegEnds_Xtal_BW#'!$A:$Z,19,FALSE)</f>
        <v>30</v>
      </c>
      <c r="T196" s="1">
        <f t="array" ref="T196">INDEX(ICL3_classA!$G$2:$G$37,MATCH(MIN(ABS(AI196-ICL3_classA!$F$2:$F$37)),ABS(AI196-ICL3_classA!$F$2:$F$37),0))</f>
        <v>73</v>
      </c>
      <c r="U196" s="1">
        <f t="array" ref="U196">INDEX(ICL3_classA!$H$2:$H$37,MATCH(MIN(ABS(AI196-ICL3_classA!$F$2:$F$37)),ABS(AI196-ICL3_classA!$F$2:$F$37),0))</f>
        <v>22</v>
      </c>
      <c r="V196" s="1">
        <v>61</v>
      </c>
      <c r="W196" s="1">
        <v>28</v>
      </c>
      <c r="X196" s="1">
        <f>VLOOKUP($B196&amp;"__wt",'SegEnds_Xtal_BW#'!$A:$Z,24,FALSE)</f>
        <v>56</v>
      </c>
      <c r="Y196" s="1">
        <f>VLOOKUP($B196&amp;"__wt",'SegEnds_Xtal_BW#'!$A:$Z,25,FALSE)</f>
        <v>47</v>
      </c>
      <c r="Z196" s="1">
        <f>VLOOKUP($B196&amp;"__wt",'SegEnds_Xtal_BW#'!$A:$Z,26,FALSE)</f>
        <v>58</v>
      </c>
      <c r="AA196" s="27" t="str">
        <f>VLOOKUP(A196,Classification!A:B,2,FALSE)</f>
        <v>A</v>
      </c>
      <c r="AB196" s="1">
        <f>VLOOKUP(A196,'SegEnds_NonXtal_Prot#'!A:AL,10,FALSE)-VLOOKUP(A196,'SegEnds_NonXtal_Prot#'!A:AL,4,FALSE)</f>
        <v>28</v>
      </c>
      <c r="AC196" s="1">
        <f>VLOOKUP(A196,'SegEnds_NonXtal_Prot#'!A:AL,10,FALSE)-VLOOKUP(A196,'SegEnds_NonXtal_Prot#'!A:AL,7,FALSE)</f>
        <v>15</v>
      </c>
      <c r="AD196" s="1">
        <f>VLOOKUP(A196,'SegEnds_NonXtal_Prot#'!A:AL,13,FALSE)-VLOOKUP(A196,'SegEnds_NonXtal_Prot#'!A:AL,10,FALSE)</f>
        <v>20</v>
      </c>
      <c r="AE196" s="1">
        <f>VLOOKUP(A196,'SegEnds_NonXtal_Prot#'!A:AL,16,FALSE)-VLOOKUP(A196,'SegEnds_NonXtal_Prot#'!A:AL,10,FALSE)</f>
        <v>52</v>
      </c>
      <c r="AF196" s="1" t="e">
        <f>VLOOKUP(A196,'SegEnds_NonXtal_Prot#'!A:AL,22,FALSE)-VLOOKUP(A196,'SegEnds_NonXtal_Prot#'!A:AL,19,FALSE)</f>
        <v>#VALUE!</v>
      </c>
      <c r="AG196" s="1">
        <f>VLOOKUP(A196,'SegEnds_NonXtal_Prot#'!A:AL,28,FALSE)-VLOOKUP(A196,'SegEnds_NonXtal_Prot#'!A:AL,25,FALSE)</f>
        <v>26</v>
      </c>
      <c r="AH196" s="1">
        <f>VLOOKUP(A196,'SegEnds_NonXtal_Prot#'!A:AL,28,FALSE)-VLOOKUP(A196,'SegEnds_NonXtal_Prot#'!A:AL,22,FALSE)</f>
        <v>51</v>
      </c>
      <c r="AI196" s="1">
        <f>VLOOKUP(A196,'SegEnds_NonXtal_Prot#'!A:AL,31,FALSE)-VLOOKUP(A196,'SegEnds_NonXtal_Prot#'!A:AL,28,FALSE)</f>
        <v>55</v>
      </c>
      <c r="AJ196" s="1">
        <f>VLOOKUP(A196,'SegEnds_NonXtal_Prot#'!A:AL,34,FALSE)-VLOOKUP(A196,'SegEnds_NonXtal_Prot#'!A:AL,31,FALSE)</f>
        <v>39</v>
      </c>
      <c r="AK196" s="1">
        <f>VLOOKUP(A196,'SegEnds_NonXtal_Prot#'!A:AL,37,FALSE)-VLOOKUP(A196,'SegEnds_NonXtal_Prot#'!A:AL,34,FALSE)</f>
        <v>10</v>
      </c>
      <c r="AL196" s="1" t="str">
        <f>IF(ISERROR(MATCH(A196,'SegEnds_Xtal_Prot#'!B:B, 0)), "NoXtal", "Xtal")</f>
        <v>NoXtal</v>
      </c>
    </row>
    <row r="197" spans="1:38" x14ac:dyDescent="0.2">
      <c r="A197" s="1" t="s">
        <v>317</v>
      </c>
      <c r="B197" s="1" t="str">
        <f>VLOOKUP(A197,Xtal_Templ!A:B,2,FALSE)</f>
        <v>ednrb_human</v>
      </c>
      <c r="C197" s="5">
        <f>VLOOKUP($B197&amp;"__wt",'SegEnds_Xtal_BW#'!$A:$Z,3,FALSE)</f>
        <v>22</v>
      </c>
      <c r="D197" s="1">
        <f>VLOOKUP($B197&amp;"__wt",'SegEnds_Xtal_BW#'!$A:$Z,4,FALSE)</f>
        <v>60</v>
      </c>
      <c r="E197" s="1">
        <f>VLOOKUP($B197&amp;"__wt",'SegEnds_Xtal_BW#'!$A:$Z,5,FALSE)</f>
        <v>48</v>
      </c>
      <c r="F197" s="1">
        <f>VLOOKUP($B197&amp;"__wt",'SegEnds_Xtal_BW#'!$A:$Z,6,FALSE)</f>
        <v>52</v>
      </c>
      <c r="G197" s="1">
        <v>37</v>
      </c>
      <c r="H197" s="12">
        <f>VLOOKUP($B197&amp;"__wt",'SegEnds_Xtal_BW#'!$A:$Z,8,FALSE)</f>
        <v>67</v>
      </c>
      <c r="I197" s="1">
        <f>VLOOKUP($B197&amp;"__wt",'SegEnds_Xtal_BW#'!$A:$Z,9,FALSE)</f>
        <v>49</v>
      </c>
      <c r="J197" s="1">
        <f>VLOOKUP($B197&amp;"__wt",'SegEnds_Xtal_BW#'!$A:$Z,10,FALSE)</f>
        <v>52</v>
      </c>
      <c r="K197" s="12">
        <v>18</v>
      </c>
      <c r="L197" s="1">
        <f>VLOOKUP($B197&amp;"__wt",'SegEnds_Xtal_BW#'!$A:$Z,12,FALSE)</f>
        <v>56</v>
      </c>
      <c r="M197" s="1">
        <f>VLOOKUP($B197&amp;"__wt",'SegEnds_Xtal_BW#'!$A:$Z,13,FALSE)</f>
        <v>50</v>
      </c>
      <c r="N197" s="12">
        <v>57</v>
      </c>
      <c r="O197" s="87">
        <v>38</v>
      </c>
      <c r="P197" s="1">
        <f>VLOOKUP($B197&amp;"__wt",'SegEnds_Xtal_BW#'!$A:$Z,16,FALSE)</f>
        <v>64</v>
      </c>
      <c r="Q197" s="1">
        <f>VLOOKUP($B197&amp;"__wt",'SegEnds_Xtal_BW#'!$A:$Z,17,FALSE)</f>
        <v>50</v>
      </c>
      <c r="R197" s="1">
        <f>VLOOKUP($B197&amp;"__wt",'SegEnds_Xtal_BW#'!$A:$Z,18,FALSE)</f>
        <v>52</v>
      </c>
      <c r="S197" s="1">
        <f>VLOOKUP($B197&amp;"__wt",'SegEnds_Xtal_BW#'!$A:$Z,19,FALSE)</f>
        <v>28</v>
      </c>
      <c r="T197" s="1">
        <f t="array" ref="T197">INDEX(ICL3_classA!$G$2:$G$37,MATCH(MIN(ABS(AI197-ICL3_classA!$F$2:$F$37)),ABS(AI197-ICL3_classA!$F$2:$F$37),0))</f>
        <v>73</v>
      </c>
      <c r="U197" s="1">
        <f t="array" ref="U197">INDEX(ICL3_classA!$H$2:$H$37,MATCH(MIN(ABS(AI197-ICL3_classA!$F$2:$F$37)),ABS(AI197-ICL3_classA!$F$2:$F$37),0))</f>
        <v>22</v>
      </c>
      <c r="V197" s="1">
        <v>61</v>
      </c>
      <c r="W197" s="1">
        <v>28</v>
      </c>
      <c r="X197" s="1">
        <f>VLOOKUP($B197&amp;"__wt",'SegEnds_Xtal_BW#'!$A:$Z,24,FALSE)</f>
        <v>56</v>
      </c>
      <c r="Y197" s="1">
        <f>VLOOKUP($B197&amp;"__wt",'SegEnds_Xtal_BW#'!$A:$Z,25,FALSE)</f>
        <v>47</v>
      </c>
      <c r="Z197" s="1">
        <f>VLOOKUP($B197&amp;"__wt",'SegEnds_Xtal_BW#'!$A:$Z,26,FALSE)</f>
        <v>60</v>
      </c>
      <c r="AA197" s="27" t="str">
        <f>VLOOKUP(A197,Classification!A:B,2,FALSE)</f>
        <v>A</v>
      </c>
      <c r="AB197" s="1">
        <f>VLOOKUP(A197,'SegEnds_NonXtal_Prot#'!A:AL,10,FALSE)-VLOOKUP(A197,'SegEnds_NonXtal_Prot#'!A:AL,4,FALSE)</f>
        <v>28</v>
      </c>
      <c r="AC197" s="1">
        <f>VLOOKUP(A197,'SegEnds_NonXtal_Prot#'!A:AL,10,FALSE)-VLOOKUP(A197,'SegEnds_NonXtal_Prot#'!A:AL,7,FALSE)</f>
        <v>15</v>
      </c>
      <c r="AD197" s="1">
        <f>VLOOKUP(A197,'SegEnds_NonXtal_Prot#'!A:AL,13,FALSE)-VLOOKUP(A197,'SegEnds_NonXtal_Prot#'!A:AL,10,FALSE)</f>
        <v>20</v>
      </c>
      <c r="AE197" s="1">
        <f>VLOOKUP(A197,'SegEnds_NonXtal_Prot#'!A:AL,16,FALSE)-VLOOKUP(A197,'SegEnds_NonXtal_Prot#'!A:AL,10,FALSE)</f>
        <v>52</v>
      </c>
      <c r="AF197" s="1">
        <f>VLOOKUP(A197,'SegEnds_NonXtal_Prot#'!A:AL,22,FALSE)-VLOOKUP(A197,'SegEnds_NonXtal_Prot#'!A:AL,19,FALSE)</f>
        <v>20</v>
      </c>
      <c r="AG197" s="1">
        <f>VLOOKUP(A197,'SegEnds_NonXtal_Prot#'!A:AL,28,FALSE)-VLOOKUP(A197,'SegEnds_NonXtal_Prot#'!A:AL,25,FALSE)</f>
        <v>26</v>
      </c>
      <c r="AH197" s="1">
        <f>VLOOKUP(A197,'SegEnds_NonXtal_Prot#'!A:AL,28,FALSE)-VLOOKUP(A197,'SegEnds_NonXtal_Prot#'!A:AL,22,FALSE)</f>
        <v>56</v>
      </c>
      <c r="AI197" s="1">
        <f>VLOOKUP(A197,'SegEnds_NonXtal_Prot#'!A:AL,31,FALSE)-VLOOKUP(A197,'SegEnds_NonXtal_Prot#'!A:AL,28,FALSE)</f>
        <v>57</v>
      </c>
      <c r="AJ197" s="1">
        <f>VLOOKUP(A197,'SegEnds_NonXtal_Prot#'!A:AL,34,FALSE)-VLOOKUP(A197,'SegEnds_NonXtal_Prot#'!A:AL,31,FALSE)</f>
        <v>40</v>
      </c>
      <c r="AK197" s="1">
        <f>VLOOKUP(A197,'SegEnds_NonXtal_Prot#'!A:AL,37,FALSE)-VLOOKUP(A197,'SegEnds_NonXtal_Prot#'!A:AL,34,FALSE)</f>
        <v>10</v>
      </c>
      <c r="AL197" s="1" t="str">
        <f>IF(ISERROR(MATCH(A197,'SegEnds_Xtal_Prot#'!B:B, 0)), "NoXtal", "Xtal")</f>
        <v>NoXtal</v>
      </c>
    </row>
    <row r="198" spans="1:38" x14ac:dyDescent="0.2">
      <c r="A198" s="4" t="s">
        <v>318</v>
      </c>
      <c r="B198" s="4" t="str">
        <f>VLOOKUP(A198,Xtal_Templ!A:B,2,FALSE)</f>
        <v>ntr1_rat</v>
      </c>
      <c r="C198" s="5">
        <f>VLOOKUP($B198&amp;"__wt",'SegEnds_Xtal_BW#'!$A:$Z,3,FALSE)</f>
        <v>29</v>
      </c>
      <c r="D198" s="4">
        <f>VLOOKUP($B198&amp;"__wt",'SegEnds_Xtal_BW#'!$A:$Z,4,FALSE)</f>
        <v>60</v>
      </c>
      <c r="E198" s="4">
        <f>VLOOKUP($B198&amp;"__wt",'SegEnds_Xtal_BW#'!$A:$Z,5,FALSE)</f>
        <v>48</v>
      </c>
      <c r="F198" s="4">
        <f>VLOOKUP($B198&amp;"__wt",'SegEnds_Xtal_BW#'!$A:$Z,6,FALSE)</f>
        <v>51</v>
      </c>
      <c r="G198" s="4">
        <v>37</v>
      </c>
      <c r="H198" s="11">
        <v>66</v>
      </c>
      <c r="I198" s="4">
        <f>VLOOKUP($B198&amp;"__wt",'SegEnds_Xtal_BW#'!$A:$Z,9,FALSE)</f>
        <v>49</v>
      </c>
      <c r="J198" s="4">
        <f>VLOOKUP($B198&amp;"__wt",'SegEnds_Xtal_BW#'!$A:$Z,10,FALSE)</f>
        <v>52</v>
      </c>
      <c r="K198" s="11">
        <v>18</v>
      </c>
      <c r="L198" s="4">
        <f>VLOOKUP($B198&amp;"__wt",'SegEnds_Xtal_BW#'!$A:$Z,12,FALSE)</f>
        <v>56</v>
      </c>
      <c r="M198" s="4">
        <f>VLOOKUP($B198&amp;"__wt",'SegEnds_Xtal_BW#'!$A:$Z,13,FALSE)</f>
        <v>50</v>
      </c>
      <c r="N198" s="11">
        <v>57</v>
      </c>
      <c r="O198" s="87">
        <f>VLOOKUP($B198&amp;"__wt",'SegEnds_Xtal_BW#'!$A:$Z,15,FALSE)</f>
        <v>38</v>
      </c>
      <c r="P198" s="4">
        <f>VLOOKUP($B198&amp;"__wt",'SegEnds_Xtal_BW#'!$A:$Z,16,FALSE)</f>
        <v>64</v>
      </c>
      <c r="Q198" s="4">
        <f>VLOOKUP($B198&amp;"__wt",'SegEnds_Xtal_BW#'!$A:$Z,17,FALSE)</f>
        <v>50</v>
      </c>
      <c r="R198" s="4">
        <f>VLOOKUP($B198&amp;"__wt",'SegEnds_Xtal_BW#'!$A:$Z,18,FALSE)</f>
        <v>52</v>
      </c>
      <c r="S198" s="4">
        <f>VLOOKUP($B198&amp;"__wt",'SegEnds_Xtal_BW#'!$A:$Z,19,FALSE)</f>
        <v>32</v>
      </c>
      <c r="T198" s="4">
        <f t="array" ref="T198">INDEX(ICL3_classA!$G$2:$G$37,MATCH(MIN(ABS(AI198-ICL3_classA!$F$2:$F$37)),ABS(AI198-ICL3_classA!$F$2:$F$37),0))</f>
        <v>76</v>
      </c>
      <c r="U198" s="4">
        <f t="array" ref="U198">INDEX(ICL3_classA!$H$2:$H$37,MATCH(MIN(ABS(AI198-ICL3_classA!$F$2:$F$37)),ABS(AI198-ICL3_classA!$F$2:$F$37),0))</f>
        <v>24</v>
      </c>
      <c r="V198" s="4">
        <v>61</v>
      </c>
      <c r="W198" s="4">
        <v>28</v>
      </c>
      <c r="X198" s="4">
        <f>VLOOKUP($B198&amp;"__wt",'SegEnds_Xtal_BW#'!$A:$Z,24,FALSE)</f>
        <v>56</v>
      </c>
      <c r="Y198" s="4">
        <f>VLOOKUP($B198&amp;"__wt",'SegEnds_Xtal_BW#'!$A:$Z,25,FALSE)</f>
        <v>47</v>
      </c>
      <c r="Z198" s="4">
        <f>VLOOKUP($B198&amp;"__wt",'SegEnds_Xtal_BW#'!$A:$Z,26,FALSE)</f>
        <v>58</v>
      </c>
      <c r="AA198" s="27" t="str">
        <f>VLOOKUP(A198,Classification!A:B,2,FALSE)</f>
        <v>A</v>
      </c>
      <c r="AB198" s="1">
        <f>VLOOKUP(A198,'SegEnds_NonXtal_Prot#'!A:AL,10,FALSE)-VLOOKUP(A198,'SegEnds_NonXtal_Prot#'!A:AL,4,FALSE)</f>
        <v>28</v>
      </c>
      <c r="AC198" s="4">
        <f>VLOOKUP(A198,'SegEnds_NonXtal_Prot#'!A:AL,10,FALSE)-VLOOKUP(A198,'SegEnds_NonXtal_Prot#'!A:AL,7,FALSE)</f>
        <v>15</v>
      </c>
      <c r="AD198" s="4">
        <f>VLOOKUP(A198,'SegEnds_NonXtal_Prot#'!A:AL,13,FALSE)-VLOOKUP(A198,'SegEnds_NonXtal_Prot#'!A:AL,10,FALSE)</f>
        <v>19</v>
      </c>
      <c r="AE198" s="4">
        <f>VLOOKUP(A198,'SegEnds_NonXtal_Prot#'!A:AL,16,FALSE)-VLOOKUP(A198,'SegEnds_NonXtal_Prot#'!A:AL,10,FALSE)</f>
        <v>53</v>
      </c>
      <c r="AF198" s="1">
        <f>VLOOKUP(A198,'SegEnds_NonXtal_Prot#'!A:AL,22,FALSE)-VLOOKUP(A198,'SegEnds_NonXtal_Prot#'!A:AL,19,FALSE)</f>
        <v>20</v>
      </c>
      <c r="AG198" s="4">
        <f>VLOOKUP(A198,'SegEnds_NonXtal_Prot#'!A:AL,28,FALSE)-VLOOKUP(A198,'SegEnds_NonXtal_Prot#'!A:AL,25,FALSE)</f>
        <v>24</v>
      </c>
      <c r="AH198" s="1">
        <f>VLOOKUP(A198,'SegEnds_NonXtal_Prot#'!A:AL,28,FALSE)-VLOOKUP(A198,'SegEnds_NonXtal_Prot#'!A:AL,22,FALSE)</f>
        <v>57</v>
      </c>
      <c r="AI198" s="4">
        <f>VLOOKUP(A198,'SegEnds_NonXtal_Prot#'!A:AL,31,FALSE)-VLOOKUP(A198,'SegEnds_NonXtal_Prot#'!A:AL,28,FALSE)</f>
        <v>69</v>
      </c>
      <c r="AJ198" s="4">
        <f>VLOOKUP(A198,'SegEnds_NonXtal_Prot#'!A:AL,34,FALSE)-VLOOKUP(A198,'SegEnds_NonXtal_Prot#'!A:AL,31,FALSE)</f>
        <v>41</v>
      </c>
      <c r="AK198" s="1">
        <f>VLOOKUP(A198,'SegEnds_NonXtal_Prot#'!A:AL,37,FALSE)-VLOOKUP(A198,'SegEnds_NonXtal_Prot#'!A:AL,34,FALSE)</f>
        <v>10</v>
      </c>
      <c r="AL198" s="1" t="str">
        <f>IF(ISERROR(MATCH(A198,'SegEnds_Xtal_Prot#'!B:B, 0)), "NoXtal", "Xtal")</f>
        <v>NoXtal</v>
      </c>
    </row>
    <row r="199" spans="1:38" x14ac:dyDescent="0.2">
      <c r="A199" s="1" t="s">
        <v>319</v>
      </c>
      <c r="B199" s="1" t="str">
        <f>VLOOKUP(A199,Xtal_Templ!A:B,2,FALSE)</f>
        <v>ntr1_rat</v>
      </c>
      <c r="C199" s="5">
        <f>VLOOKUP($B199&amp;"__wt",'SegEnds_Xtal_BW#'!$A:$Z,3,FALSE)</f>
        <v>29</v>
      </c>
      <c r="D199" s="1">
        <f>VLOOKUP($B199&amp;"__wt",'SegEnds_Xtal_BW#'!$A:$Z,4,FALSE)</f>
        <v>60</v>
      </c>
      <c r="E199" s="1">
        <f>VLOOKUP($B199&amp;"__wt",'SegEnds_Xtal_BW#'!$A:$Z,5,FALSE)</f>
        <v>48</v>
      </c>
      <c r="F199" s="1">
        <f>VLOOKUP($B199&amp;"__wt",'SegEnds_Xtal_BW#'!$A:$Z,6,FALSE)</f>
        <v>51</v>
      </c>
      <c r="G199" s="1">
        <v>37</v>
      </c>
      <c r="H199" s="12">
        <v>66</v>
      </c>
      <c r="I199" s="1">
        <f>VLOOKUP($B199&amp;"__wt",'SegEnds_Xtal_BW#'!$A:$Z,9,FALSE)</f>
        <v>49</v>
      </c>
      <c r="J199" s="1">
        <f>VLOOKUP($B199&amp;"__wt",'SegEnds_Xtal_BW#'!$A:$Z,10,FALSE)</f>
        <v>52</v>
      </c>
      <c r="K199" s="12">
        <v>18</v>
      </c>
      <c r="L199" s="1">
        <f>VLOOKUP($B199&amp;"__wt",'SegEnds_Xtal_BW#'!$A:$Z,12,FALSE)</f>
        <v>56</v>
      </c>
      <c r="M199" s="1">
        <f>VLOOKUP($B199&amp;"__wt",'SegEnds_Xtal_BW#'!$A:$Z,13,FALSE)</f>
        <v>50</v>
      </c>
      <c r="N199" s="12">
        <v>57</v>
      </c>
      <c r="O199" s="87">
        <f>VLOOKUP($B199&amp;"__wt",'SegEnds_Xtal_BW#'!$A:$Z,15,FALSE)</f>
        <v>38</v>
      </c>
      <c r="P199" s="1">
        <f>VLOOKUP($B199&amp;"__wt",'SegEnds_Xtal_BW#'!$A:$Z,16,FALSE)</f>
        <v>64</v>
      </c>
      <c r="Q199" s="1">
        <f>VLOOKUP($B199&amp;"__wt",'SegEnds_Xtal_BW#'!$A:$Z,17,FALSE)</f>
        <v>50</v>
      </c>
      <c r="R199" s="1">
        <f>VLOOKUP($B199&amp;"__wt",'SegEnds_Xtal_BW#'!$A:$Z,18,FALSE)</f>
        <v>52</v>
      </c>
      <c r="S199" s="1">
        <f>VLOOKUP($B199&amp;"__wt",'SegEnds_Xtal_BW#'!$A:$Z,19,FALSE)</f>
        <v>32</v>
      </c>
      <c r="T199" s="1">
        <f t="array" ref="T199">INDEX(ICL3_classA!$G$2:$G$37,MATCH(MIN(ABS(AI199-ICL3_classA!$F$2:$F$37)),ABS(AI199-ICL3_classA!$F$2:$F$37),0))</f>
        <v>73</v>
      </c>
      <c r="U199" s="1">
        <f t="array" ref="U199">INDEX(ICL3_classA!$H$2:$H$37,MATCH(MIN(ABS(AI199-ICL3_classA!$F$2:$F$37)),ABS(AI199-ICL3_classA!$F$2:$F$37),0))</f>
        <v>22</v>
      </c>
      <c r="V199" s="1">
        <v>61</v>
      </c>
      <c r="W199" s="1">
        <v>28</v>
      </c>
      <c r="X199" s="1">
        <f>VLOOKUP($B199&amp;"__wt",'SegEnds_Xtal_BW#'!$A:$Z,24,FALSE)</f>
        <v>56</v>
      </c>
      <c r="Y199" s="1">
        <f>VLOOKUP($B199&amp;"__wt",'SegEnds_Xtal_BW#'!$A:$Z,25,FALSE)</f>
        <v>47</v>
      </c>
      <c r="Z199" s="1">
        <f>VLOOKUP($B199&amp;"__wt",'SegEnds_Xtal_BW#'!$A:$Z,26,FALSE)</f>
        <v>58</v>
      </c>
      <c r="AA199" s="27" t="str">
        <f>VLOOKUP(A199,Classification!A:B,2,FALSE)</f>
        <v>A</v>
      </c>
      <c r="AB199" s="1">
        <f>VLOOKUP(A199,'SegEnds_NonXtal_Prot#'!A:AL,10,FALSE)-VLOOKUP(A199,'SegEnds_NonXtal_Prot#'!A:AL,4,FALSE)</f>
        <v>28</v>
      </c>
      <c r="AC199" s="1">
        <f>VLOOKUP(A199,'SegEnds_NonXtal_Prot#'!A:AL,10,FALSE)-VLOOKUP(A199,'SegEnds_NonXtal_Prot#'!A:AL,7,FALSE)</f>
        <v>15</v>
      </c>
      <c r="AD199" s="1">
        <f>VLOOKUP(A199,'SegEnds_NonXtal_Prot#'!A:AL,13,FALSE)-VLOOKUP(A199,'SegEnds_NonXtal_Prot#'!A:AL,10,FALSE)</f>
        <v>19</v>
      </c>
      <c r="AE199" s="1">
        <f>VLOOKUP(A199,'SegEnds_NonXtal_Prot#'!A:AL,16,FALSE)-VLOOKUP(A199,'SegEnds_NonXtal_Prot#'!A:AL,10,FALSE)</f>
        <v>53</v>
      </c>
      <c r="AF199" s="1">
        <f>VLOOKUP(A199,'SegEnds_NonXtal_Prot#'!A:AL,22,FALSE)-VLOOKUP(A199,'SegEnds_NonXtal_Prot#'!A:AL,19,FALSE)</f>
        <v>20</v>
      </c>
      <c r="AG199" s="1">
        <f>VLOOKUP(A199,'SegEnds_NonXtal_Prot#'!A:AL,28,FALSE)-VLOOKUP(A199,'SegEnds_NonXtal_Prot#'!A:AL,25,FALSE)</f>
        <v>24</v>
      </c>
      <c r="AH199" s="1">
        <f>VLOOKUP(A199,'SegEnds_NonXtal_Prot#'!A:AL,28,FALSE)-VLOOKUP(A199,'SegEnds_NonXtal_Prot#'!A:AL,22,FALSE)</f>
        <v>57</v>
      </c>
      <c r="AI199" s="1">
        <f>VLOOKUP(A199,'SegEnds_NonXtal_Prot#'!A:AL,31,FALSE)-VLOOKUP(A199,'SegEnds_NonXtal_Prot#'!A:AL,28,FALSE)</f>
        <v>55</v>
      </c>
      <c r="AJ199" s="1">
        <f>VLOOKUP(A199,'SegEnds_NonXtal_Prot#'!A:AL,34,FALSE)-VLOOKUP(A199,'SegEnds_NonXtal_Prot#'!A:AL,31,FALSE)</f>
        <v>41</v>
      </c>
      <c r="AK199" s="1">
        <f>VLOOKUP(A199,'SegEnds_NonXtal_Prot#'!A:AL,37,FALSE)-VLOOKUP(A199,'SegEnds_NonXtal_Prot#'!A:AL,34,FALSE)</f>
        <v>10</v>
      </c>
      <c r="AL199" s="1" t="str">
        <f>IF(ISERROR(MATCH(A199,'SegEnds_Xtal_Prot#'!B:B, 0)), "NoXtal", "Xtal")</f>
        <v>NoXtal</v>
      </c>
    </row>
    <row r="200" spans="1:38" x14ac:dyDescent="0.2">
      <c r="A200" s="1" t="s">
        <v>320</v>
      </c>
      <c r="B200" s="1" t="str">
        <f>VLOOKUP(A200,Xtal_Templ!A:B,2,FALSE)</f>
        <v>oprk_human</v>
      </c>
      <c r="C200" s="5">
        <f>VLOOKUP($B200&amp;"__wt",'SegEnds_Xtal_BW#'!$A:$Z,3,FALSE)</f>
        <v>30</v>
      </c>
      <c r="D200" s="1">
        <f>VLOOKUP($B200&amp;"__wt",'SegEnds_Xtal_BW#'!$A:$Z,4,FALSE)</f>
        <v>60</v>
      </c>
      <c r="E200" s="1">
        <f>VLOOKUP($B200&amp;"__wt",'SegEnds_Xtal_BW#'!$A:$Z,5,FALSE)</f>
        <v>48</v>
      </c>
      <c r="F200" s="1">
        <f>VLOOKUP($B200&amp;"__wt",'SegEnds_Xtal_BW#'!$A:$Z,6,FALSE)</f>
        <v>51</v>
      </c>
      <c r="G200" s="1">
        <v>37</v>
      </c>
      <c r="H200" s="12">
        <v>66</v>
      </c>
      <c r="I200" s="1">
        <f>VLOOKUP($B200&amp;"__wt",'SegEnds_Xtal_BW#'!$A:$Z,9,FALSE)</f>
        <v>49</v>
      </c>
      <c r="J200" s="1">
        <f>VLOOKUP($B200&amp;"__wt",'SegEnds_Xtal_BW#'!$A:$Z,10,FALSE)</f>
        <v>52</v>
      </c>
      <c r="K200" s="12">
        <v>21</v>
      </c>
      <c r="L200" s="1">
        <f>VLOOKUP($B200&amp;"__wt",'SegEnds_Xtal_BW#'!$A:$Z,12,FALSE)</f>
        <v>56</v>
      </c>
      <c r="M200" s="1">
        <f>VLOOKUP($B200&amp;"__wt",'SegEnds_Xtal_BW#'!$A:$Z,13,FALSE)</f>
        <v>50</v>
      </c>
      <c r="N200" s="12">
        <f>VLOOKUP($B200&amp;"__wt",'SegEnds_Xtal_BW#'!$A:$Z,14,FALSE)</f>
        <v>57</v>
      </c>
      <c r="O200" s="87">
        <v>38</v>
      </c>
      <c r="P200" s="1">
        <f>VLOOKUP($B200&amp;"__wt",'SegEnds_Xtal_BW#'!$A:$Z,16,FALSE)</f>
        <v>64</v>
      </c>
      <c r="Q200" s="1">
        <f>VLOOKUP($B200&amp;"__wt",'SegEnds_Xtal_BW#'!$A:$Z,17,FALSE)</f>
        <v>50</v>
      </c>
      <c r="R200" s="1">
        <f>VLOOKUP($B200&amp;"__wt",'SegEnds_Xtal_BW#'!$A:$Z,18,FALSE)</f>
        <v>52</v>
      </c>
      <c r="S200" s="1">
        <f>VLOOKUP($B200&amp;"__wt",'SegEnds_Xtal_BW#'!$A:$Z,19,FALSE)</f>
        <v>30</v>
      </c>
      <c r="T200" s="1">
        <f t="array" ref="T200">INDEX(ICL3_classA!$G$2:$G$37,MATCH(MIN(ABS(AI200-ICL3_classA!$F$2:$F$37)),ABS(AI200-ICL3_classA!$F$2:$F$37),0))</f>
        <v>68</v>
      </c>
      <c r="U200" s="1">
        <f t="array" ref="U200">INDEX(ICL3_classA!$H$2:$H$37,MATCH(MIN(ABS(AI200-ICL3_classA!$F$2:$F$37)),ABS(AI200-ICL3_classA!$F$2:$F$37),0))</f>
        <v>23</v>
      </c>
      <c r="V200" s="1">
        <v>61</v>
      </c>
      <c r="W200" s="1">
        <v>28</v>
      </c>
      <c r="X200" s="1">
        <f>VLOOKUP($B200&amp;"__wt",'SegEnds_Xtal_BW#'!$A:$Z,24,FALSE)</f>
        <v>56</v>
      </c>
      <c r="Y200" s="1">
        <f>VLOOKUP($B200&amp;"__wt",'SegEnds_Xtal_BW#'!$A:$Z,25,FALSE)</f>
        <v>47</v>
      </c>
      <c r="Z200" s="1">
        <f>VLOOKUP($B200&amp;"__wt",'SegEnds_Xtal_BW#'!$A:$Z,26,FALSE)</f>
        <v>59</v>
      </c>
      <c r="AA200" s="27" t="str">
        <f>VLOOKUP(A200,Classification!A:B,2,FALSE)</f>
        <v>A</v>
      </c>
      <c r="AB200" s="1">
        <f>VLOOKUP(A200,'SegEnds_NonXtal_Prot#'!A:AL,10,FALSE)-VLOOKUP(A200,'SegEnds_NonXtal_Prot#'!A:AL,4,FALSE)</f>
        <v>28</v>
      </c>
      <c r="AC200" s="1">
        <f>VLOOKUP(A200,'SegEnds_NonXtal_Prot#'!A:AL,10,FALSE)-VLOOKUP(A200,'SegEnds_NonXtal_Prot#'!A:AL,7,FALSE)</f>
        <v>15</v>
      </c>
      <c r="AD200" s="1">
        <f>VLOOKUP(A200,'SegEnds_NonXtal_Prot#'!A:AL,13,FALSE)-VLOOKUP(A200,'SegEnds_NonXtal_Prot#'!A:AL,10,FALSE)</f>
        <v>19</v>
      </c>
      <c r="AE200" s="1">
        <f>VLOOKUP(A200,'SegEnds_NonXtal_Prot#'!A:AL,16,FALSE)-VLOOKUP(A200,'SegEnds_NonXtal_Prot#'!A:AL,10,FALSE)</f>
        <v>51</v>
      </c>
      <c r="AF200" s="1" t="e">
        <f>VLOOKUP(A200,'SegEnds_NonXtal_Prot#'!A:AL,22,FALSE)-VLOOKUP(A200,'SegEnds_NonXtal_Prot#'!A:AL,19,FALSE)</f>
        <v>#VALUE!</v>
      </c>
      <c r="AG200" s="1">
        <f>VLOOKUP(A200,'SegEnds_NonXtal_Prot#'!A:AL,28,FALSE)-VLOOKUP(A200,'SegEnds_NonXtal_Prot#'!A:AL,25,FALSE)</f>
        <v>27</v>
      </c>
      <c r="AH200" s="1">
        <f>VLOOKUP(A200,'SegEnds_NonXtal_Prot#'!A:AL,28,FALSE)-VLOOKUP(A200,'SegEnds_NonXtal_Prot#'!A:AL,22,FALSE)</f>
        <v>52</v>
      </c>
      <c r="AI200" s="1">
        <f>VLOOKUP(A200,'SegEnds_NonXtal_Prot#'!A:AL,31,FALSE)-VLOOKUP(A200,'SegEnds_NonXtal_Prot#'!A:AL,28,FALSE)</f>
        <v>51</v>
      </c>
      <c r="AJ200" s="1">
        <f>VLOOKUP(A200,'SegEnds_NonXtal_Prot#'!A:AL,34,FALSE)-VLOOKUP(A200,'SegEnds_NonXtal_Prot#'!A:AL,31,FALSE)</f>
        <v>38</v>
      </c>
      <c r="AK200" s="1">
        <f>VLOOKUP(A200,'SegEnds_NonXtal_Prot#'!A:AL,37,FALSE)-VLOOKUP(A200,'SegEnds_NonXtal_Prot#'!A:AL,34,FALSE)</f>
        <v>10</v>
      </c>
      <c r="AL200" s="1" t="str">
        <f>IF(ISERROR(MATCH(A200,'SegEnds_Xtal_Prot#'!B:B, 0)), "NoXtal", "Xtal")</f>
        <v>NoXtal</v>
      </c>
    </row>
    <row r="201" spans="1:38" x14ac:dyDescent="0.2">
      <c r="A201" s="1" t="s">
        <v>321</v>
      </c>
      <c r="B201" s="1" t="str">
        <f>VLOOKUP(A201,Xtal_Templ!A:B,2,FALSE)</f>
        <v>oprd_human</v>
      </c>
      <c r="C201" s="5">
        <f>VLOOKUP($B201&amp;"__wt",'SegEnds_Xtal_BW#'!$A:$Z,3,FALSE)</f>
        <v>22</v>
      </c>
      <c r="D201" s="1">
        <f>VLOOKUP($B201&amp;"__wt",'SegEnds_Xtal_BW#'!$A:$Z,4,FALSE)</f>
        <v>60</v>
      </c>
      <c r="E201" s="1">
        <f>VLOOKUP($B201&amp;"__wt",'SegEnds_Xtal_BW#'!$A:$Z,5,FALSE)</f>
        <v>48</v>
      </c>
      <c r="F201" s="1">
        <f>VLOOKUP($B201&amp;"__wt",'SegEnds_Xtal_BW#'!$A:$Z,6,FALSE)</f>
        <v>51</v>
      </c>
      <c r="G201" s="1">
        <v>37</v>
      </c>
      <c r="H201" s="12">
        <v>66</v>
      </c>
      <c r="I201" s="1">
        <f>VLOOKUP($B201&amp;"__wt",'SegEnds_Xtal_BW#'!$A:$Z,9,FALSE)</f>
        <v>49</v>
      </c>
      <c r="J201" s="1">
        <f>VLOOKUP($B201&amp;"__wt",'SegEnds_Xtal_BW#'!$A:$Z,10,FALSE)</f>
        <v>52</v>
      </c>
      <c r="K201" s="12">
        <v>21</v>
      </c>
      <c r="L201" s="1">
        <f>VLOOKUP($B201&amp;"__wt",'SegEnds_Xtal_BW#'!$A:$Z,12,FALSE)</f>
        <v>56</v>
      </c>
      <c r="M201" s="1">
        <f>VLOOKUP($B201&amp;"__wt",'SegEnds_Xtal_BW#'!$A:$Z,13,FALSE)</f>
        <v>50</v>
      </c>
      <c r="N201" s="12">
        <f>VLOOKUP($B201&amp;"__wt",'SegEnds_Xtal_BW#'!$A:$Z,14,FALSE)</f>
        <v>57</v>
      </c>
      <c r="O201" s="87">
        <v>38</v>
      </c>
      <c r="P201" s="1">
        <f>VLOOKUP($B201&amp;"__wt",'SegEnds_Xtal_BW#'!$A:$Z,16,FALSE)</f>
        <v>64</v>
      </c>
      <c r="Q201" s="1">
        <f>VLOOKUP($B201&amp;"__wt",'SegEnds_Xtal_BW#'!$A:$Z,17,FALSE)</f>
        <v>50</v>
      </c>
      <c r="R201" s="1">
        <f>VLOOKUP($B201&amp;"__wt",'SegEnds_Xtal_BW#'!$A:$Z,18,FALSE)</f>
        <v>52</v>
      </c>
      <c r="S201" s="1">
        <f>VLOOKUP($B201&amp;"__wt",'SegEnds_Xtal_BW#'!$A:$Z,19,FALSE)</f>
        <v>31</v>
      </c>
      <c r="T201" s="1">
        <f t="array" ref="T201">INDEX(ICL3_classA!$G$2:$G$37,MATCH(MIN(ABS(AI201-ICL3_classA!$F$2:$F$37)),ABS(AI201-ICL3_classA!$F$2:$F$37),0))</f>
        <v>68</v>
      </c>
      <c r="U201" s="1">
        <f t="array" ref="U201">INDEX(ICL3_classA!$H$2:$H$37,MATCH(MIN(ABS(AI201-ICL3_classA!$F$2:$F$37)),ABS(AI201-ICL3_classA!$F$2:$F$37),0))</f>
        <v>23</v>
      </c>
      <c r="V201" s="1">
        <v>61</v>
      </c>
      <c r="W201" s="1">
        <v>28</v>
      </c>
      <c r="X201" s="1">
        <f>VLOOKUP($B201&amp;"__wt",'SegEnds_Xtal_BW#'!$A:$Z,24,FALSE)</f>
        <v>56</v>
      </c>
      <c r="Y201" s="1">
        <f>VLOOKUP($B201&amp;"__wt",'SegEnds_Xtal_BW#'!$A:$Z,25,FALSE)</f>
        <v>47</v>
      </c>
      <c r="Z201" s="1">
        <f>VLOOKUP($B201&amp;"__wt",'SegEnds_Xtal_BW#'!$A:$Z,26,FALSE)</f>
        <v>60</v>
      </c>
      <c r="AA201" s="27" t="str">
        <f>VLOOKUP(A201,Classification!A:B,2,FALSE)</f>
        <v>A</v>
      </c>
      <c r="AB201" s="1">
        <f>VLOOKUP(A201,'SegEnds_NonXtal_Prot#'!A:AL,10,FALSE)-VLOOKUP(A201,'SegEnds_NonXtal_Prot#'!A:AL,4,FALSE)</f>
        <v>28</v>
      </c>
      <c r="AC201" s="1">
        <f>VLOOKUP(A201,'SegEnds_NonXtal_Prot#'!A:AL,10,FALSE)-VLOOKUP(A201,'SegEnds_NonXtal_Prot#'!A:AL,7,FALSE)</f>
        <v>15</v>
      </c>
      <c r="AD201" s="1">
        <f>VLOOKUP(A201,'SegEnds_NonXtal_Prot#'!A:AL,13,FALSE)-VLOOKUP(A201,'SegEnds_NonXtal_Prot#'!A:AL,10,FALSE)</f>
        <v>19</v>
      </c>
      <c r="AE201" s="1">
        <f>VLOOKUP(A201,'SegEnds_NonXtal_Prot#'!A:AL,16,FALSE)-VLOOKUP(A201,'SegEnds_NonXtal_Prot#'!A:AL,10,FALSE)</f>
        <v>51</v>
      </c>
      <c r="AF201" s="1" t="e">
        <f>VLOOKUP(A201,'SegEnds_NonXtal_Prot#'!A:AL,22,FALSE)-VLOOKUP(A201,'SegEnds_NonXtal_Prot#'!A:AL,19,FALSE)</f>
        <v>#VALUE!</v>
      </c>
      <c r="AG201" s="1">
        <f>VLOOKUP(A201,'SegEnds_NonXtal_Prot#'!A:AL,28,FALSE)-VLOOKUP(A201,'SegEnds_NonXtal_Prot#'!A:AL,25,FALSE)</f>
        <v>27</v>
      </c>
      <c r="AH201" s="1">
        <f>VLOOKUP(A201,'SegEnds_NonXtal_Prot#'!A:AL,28,FALSE)-VLOOKUP(A201,'SegEnds_NonXtal_Prot#'!A:AL,22,FALSE)</f>
        <v>53</v>
      </c>
      <c r="AI201" s="1">
        <f>VLOOKUP(A201,'SegEnds_NonXtal_Prot#'!A:AL,31,FALSE)-VLOOKUP(A201,'SegEnds_NonXtal_Prot#'!A:AL,28,FALSE)</f>
        <v>51</v>
      </c>
      <c r="AJ201" s="1">
        <f>VLOOKUP(A201,'SegEnds_NonXtal_Prot#'!A:AL,34,FALSE)-VLOOKUP(A201,'SegEnds_NonXtal_Prot#'!A:AL,31,FALSE)</f>
        <v>38</v>
      </c>
      <c r="AK201" s="1">
        <f>VLOOKUP(A201,'SegEnds_NonXtal_Prot#'!A:AL,37,FALSE)-VLOOKUP(A201,'SegEnds_NonXtal_Prot#'!A:AL,34,FALSE)</f>
        <v>10</v>
      </c>
      <c r="AL201" s="1" t="str">
        <f>IF(ISERROR(MATCH(A201,'SegEnds_Xtal_Prot#'!B:B, 0)), "NoXtal", "Xtal")</f>
        <v>NoXtal</v>
      </c>
    </row>
    <row r="202" spans="1:38" x14ac:dyDescent="0.2">
      <c r="A202" s="1" t="s">
        <v>322</v>
      </c>
      <c r="B202" s="1" t="str">
        <f>VLOOKUP(A202,Xtal_Templ!A:B,2,FALSE)</f>
        <v>ox1r_human</v>
      </c>
      <c r="C202" s="5">
        <f>VLOOKUP($B202&amp;"__wt",'SegEnds_Xtal_BW#'!$A:$Z,3,FALSE)</f>
        <v>32</v>
      </c>
      <c r="D202" s="1">
        <f>VLOOKUP($B202&amp;"__wt",'SegEnds_Xtal_BW#'!$A:$Z,4,FALSE)</f>
        <v>60</v>
      </c>
      <c r="E202" s="1">
        <f>VLOOKUP($B202&amp;"__wt",'SegEnds_Xtal_BW#'!$A:$Z,5,FALSE)</f>
        <v>48</v>
      </c>
      <c r="F202" s="1">
        <f>VLOOKUP($B202&amp;"__wt",'SegEnds_Xtal_BW#'!$A:$Z,6,FALSE)</f>
        <v>51</v>
      </c>
      <c r="G202" s="1">
        <v>37</v>
      </c>
      <c r="H202" s="12">
        <f>VLOOKUP($B202&amp;"__wt",'SegEnds_Xtal_BW#'!$A:$Z,8,FALSE)</f>
        <v>67</v>
      </c>
      <c r="I202" s="1">
        <f>VLOOKUP($B202&amp;"__wt",'SegEnds_Xtal_BW#'!$A:$Z,9,FALSE)</f>
        <v>49</v>
      </c>
      <c r="J202" s="1">
        <f>VLOOKUP($B202&amp;"__wt",'SegEnds_Xtal_BW#'!$A:$Z,10,FALSE)</f>
        <v>52</v>
      </c>
      <c r="K202" s="12">
        <v>18</v>
      </c>
      <c r="L202" s="1">
        <f>VLOOKUP($B202&amp;"__wt",'SegEnds_Xtal_BW#'!$A:$Z,12,FALSE)</f>
        <v>56</v>
      </c>
      <c r="M202" s="1">
        <f>VLOOKUP($B202&amp;"__wt",'SegEnds_Xtal_BW#'!$A:$Z,13,FALSE)</f>
        <v>50</v>
      </c>
      <c r="N202" s="12">
        <v>56</v>
      </c>
      <c r="O202" s="87">
        <f>VLOOKUP($B202&amp;"__wt",'SegEnds_Xtal_BW#'!$A:$Z,15,FALSE)</f>
        <v>38</v>
      </c>
      <c r="P202" s="1">
        <f>VLOOKUP($B202&amp;"__wt",'SegEnds_Xtal_BW#'!$A:$Z,16,FALSE)</f>
        <v>64</v>
      </c>
      <c r="Q202" s="1">
        <f>VLOOKUP($B202&amp;"__wt",'SegEnds_Xtal_BW#'!$A:$Z,17,FALSE)</f>
        <v>50</v>
      </c>
      <c r="R202" s="1">
        <f>VLOOKUP($B202&amp;"__wt",'SegEnds_Xtal_BW#'!$A:$Z,18,FALSE)</f>
        <v>52</v>
      </c>
      <c r="S202" s="1">
        <f>VLOOKUP($B202&amp;"__wt",'SegEnds_Xtal_BW#'!$A:$Z,19,FALSE)</f>
        <v>32</v>
      </c>
      <c r="T202" s="1">
        <f t="array" ref="T202">INDEX(ICL3_classA!$G$2:$G$37,MATCH(MIN(ABS(AI202-ICL3_classA!$F$2:$F$37)),ABS(AI202-ICL3_classA!$F$2:$F$37),0))</f>
        <v>73</v>
      </c>
      <c r="U202" s="1">
        <f t="array" ref="U202">INDEX(ICL3_classA!$H$2:$H$37,MATCH(MIN(ABS(AI202-ICL3_classA!$F$2:$F$37)),ABS(AI202-ICL3_classA!$F$2:$F$37),0))</f>
        <v>22</v>
      </c>
      <c r="V202" s="1">
        <v>61</v>
      </c>
      <c r="W202" s="1">
        <v>28</v>
      </c>
      <c r="X202" s="1">
        <f>VLOOKUP($B202&amp;"__wt",'SegEnds_Xtal_BW#'!$A:$Z,24,FALSE)</f>
        <v>56</v>
      </c>
      <c r="Y202" s="1">
        <f>VLOOKUP($B202&amp;"__wt",'SegEnds_Xtal_BW#'!$A:$Z,25,FALSE)</f>
        <v>47</v>
      </c>
      <c r="Z202" s="1">
        <f>VLOOKUP($B202&amp;"__wt",'SegEnds_Xtal_BW#'!$A:$Z,26,FALSE)</f>
        <v>58</v>
      </c>
      <c r="AA202" s="27" t="str">
        <f>VLOOKUP(A202,Classification!A:B,2,FALSE)</f>
        <v>A</v>
      </c>
      <c r="AB202" s="1">
        <f>VLOOKUP(A202,'SegEnds_NonXtal_Prot#'!A:AL,10,FALSE)-VLOOKUP(A202,'SegEnds_NonXtal_Prot#'!A:AL,4,FALSE)</f>
        <v>28</v>
      </c>
      <c r="AC202" s="1">
        <f>VLOOKUP(A202,'SegEnds_NonXtal_Prot#'!A:AL,10,FALSE)-VLOOKUP(A202,'SegEnds_NonXtal_Prot#'!A:AL,7,FALSE)</f>
        <v>15</v>
      </c>
      <c r="AD202" s="1">
        <f>VLOOKUP(A202,'SegEnds_NonXtal_Prot#'!A:AL,13,FALSE)-VLOOKUP(A202,'SegEnds_NonXtal_Prot#'!A:AL,10,FALSE)</f>
        <v>20</v>
      </c>
      <c r="AE202" s="1">
        <f>VLOOKUP(A202,'SegEnds_NonXtal_Prot#'!A:AL,16,FALSE)-VLOOKUP(A202,'SegEnds_NonXtal_Prot#'!A:AL,10,FALSE)</f>
        <v>52</v>
      </c>
      <c r="AF202" s="1" t="e">
        <f>VLOOKUP(A202,'SegEnds_NonXtal_Prot#'!A:AL,22,FALSE)-VLOOKUP(A202,'SegEnds_NonXtal_Prot#'!A:AL,19,FALSE)</f>
        <v>#VALUE!</v>
      </c>
      <c r="AG202" s="1">
        <f>VLOOKUP(A202,'SegEnds_NonXtal_Prot#'!A:AL,28,FALSE)-VLOOKUP(A202,'SegEnds_NonXtal_Prot#'!A:AL,25,FALSE)</f>
        <v>25</v>
      </c>
      <c r="AH202" s="1">
        <f>VLOOKUP(A202,'SegEnds_NonXtal_Prot#'!A:AL,28,FALSE)-VLOOKUP(A202,'SegEnds_NonXtal_Prot#'!A:AL,22,FALSE)</f>
        <v>62</v>
      </c>
      <c r="AI202" s="1">
        <f>VLOOKUP(A202,'SegEnds_NonXtal_Prot#'!A:AL,31,FALSE)-VLOOKUP(A202,'SegEnds_NonXtal_Prot#'!A:AL,28,FALSE)</f>
        <v>57</v>
      </c>
      <c r="AJ202" s="1">
        <f>VLOOKUP(A202,'SegEnds_NonXtal_Prot#'!A:AL,34,FALSE)-VLOOKUP(A202,'SegEnds_NonXtal_Prot#'!A:AL,31,FALSE)</f>
        <v>41</v>
      </c>
      <c r="AK202" s="1">
        <f>VLOOKUP(A202,'SegEnds_NonXtal_Prot#'!A:AL,37,FALSE)-VLOOKUP(A202,'SegEnds_NonXtal_Prot#'!A:AL,34,FALSE)</f>
        <v>10</v>
      </c>
      <c r="AL202" s="1" t="str">
        <f>IF(ISERROR(MATCH(A202,'SegEnds_Xtal_Prot#'!B:B, 0)), "NoXtal", "Xtal")</f>
        <v>NoXtal</v>
      </c>
    </row>
    <row r="203" spans="1:38" x14ac:dyDescent="0.2">
      <c r="A203" s="1" t="s">
        <v>323</v>
      </c>
      <c r="B203" s="1" t="str">
        <f>VLOOKUP(A203,Xtal_Templ!A:B,2,FALSE)</f>
        <v>ox1r_human</v>
      </c>
      <c r="C203" s="5">
        <f>VLOOKUP($B203&amp;"__wt",'SegEnds_Xtal_BW#'!$A:$Z,3,FALSE)</f>
        <v>32</v>
      </c>
      <c r="D203" s="1">
        <f>VLOOKUP($B203&amp;"__wt",'SegEnds_Xtal_BW#'!$A:$Z,4,FALSE)</f>
        <v>60</v>
      </c>
      <c r="E203" s="1">
        <f>VLOOKUP($B203&amp;"__wt",'SegEnds_Xtal_BW#'!$A:$Z,5,FALSE)</f>
        <v>48</v>
      </c>
      <c r="F203" s="1">
        <f>VLOOKUP($B203&amp;"__wt",'SegEnds_Xtal_BW#'!$A:$Z,6,FALSE)</f>
        <v>51</v>
      </c>
      <c r="G203" s="1">
        <v>37</v>
      </c>
      <c r="H203" s="12">
        <f>VLOOKUP($B203&amp;"__wt",'SegEnds_Xtal_BW#'!$A:$Z,8,FALSE)</f>
        <v>67</v>
      </c>
      <c r="I203" s="1">
        <f>VLOOKUP($B203&amp;"__wt",'SegEnds_Xtal_BW#'!$A:$Z,9,FALSE)</f>
        <v>49</v>
      </c>
      <c r="J203" s="1">
        <f>VLOOKUP($B203&amp;"__wt",'SegEnds_Xtal_BW#'!$A:$Z,10,FALSE)</f>
        <v>52</v>
      </c>
      <c r="K203" s="12">
        <v>18</v>
      </c>
      <c r="L203" s="1">
        <f>VLOOKUP($B203&amp;"__wt",'SegEnds_Xtal_BW#'!$A:$Z,12,FALSE)</f>
        <v>56</v>
      </c>
      <c r="M203" s="1">
        <f>VLOOKUP($B203&amp;"__wt",'SegEnds_Xtal_BW#'!$A:$Z,13,FALSE)</f>
        <v>50</v>
      </c>
      <c r="N203" s="12">
        <v>56</v>
      </c>
      <c r="O203" s="87">
        <f>VLOOKUP($B203&amp;"__wt",'SegEnds_Xtal_BW#'!$A:$Z,15,FALSE)</f>
        <v>38</v>
      </c>
      <c r="P203" s="1">
        <f>VLOOKUP($B203&amp;"__wt",'SegEnds_Xtal_BW#'!$A:$Z,16,FALSE)</f>
        <v>64</v>
      </c>
      <c r="Q203" s="1">
        <f>VLOOKUP($B203&amp;"__wt",'SegEnds_Xtal_BW#'!$A:$Z,17,FALSE)</f>
        <v>50</v>
      </c>
      <c r="R203" s="1">
        <f>VLOOKUP($B203&amp;"__wt",'SegEnds_Xtal_BW#'!$A:$Z,18,FALSE)</f>
        <v>52</v>
      </c>
      <c r="S203" s="1">
        <f>VLOOKUP($B203&amp;"__wt",'SegEnds_Xtal_BW#'!$A:$Z,19,FALSE)</f>
        <v>32</v>
      </c>
      <c r="T203" s="1">
        <f t="array" ref="T203">INDEX(ICL3_classA!$G$2:$G$37,MATCH(MIN(ABS(AI203-ICL3_classA!$F$2:$F$37)),ABS(AI203-ICL3_classA!$F$2:$F$37),0))</f>
        <v>73</v>
      </c>
      <c r="U203" s="1">
        <f t="array" ref="U203">INDEX(ICL3_classA!$H$2:$H$37,MATCH(MIN(ABS(AI203-ICL3_classA!$F$2:$F$37)),ABS(AI203-ICL3_classA!$F$2:$F$37),0))</f>
        <v>24</v>
      </c>
      <c r="V203" s="1">
        <v>61</v>
      </c>
      <c r="W203" s="1">
        <v>28</v>
      </c>
      <c r="X203" s="1">
        <f>VLOOKUP($B203&amp;"__wt",'SegEnds_Xtal_BW#'!$A:$Z,24,FALSE)</f>
        <v>56</v>
      </c>
      <c r="Y203" s="1">
        <f>VLOOKUP($B203&amp;"__wt",'SegEnds_Xtal_BW#'!$A:$Z,25,FALSE)</f>
        <v>47</v>
      </c>
      <c r="Z203" s="1">
        <f>VLOOKUP($B203&amp;"__wt",'SegEnds_Xtal_BW#'!$A:$Z,26,FALSE)</f>
        <v>58</v>
      </c>
      <c r="AA203" s="27" t="str">
        <f>VLOOKUP(A203,Classification!A:B,2,FALSE)</f>
        <v>A</v>
      </c>
      <c r="AB203" s="1">
        <f>VLOOKUP(A203,'SegEnds_NonXtal_Prot#'!A:AL,10,FALSE)-VLOOKUP(A203,'SegEnds_NonXtal_Prot#'!A:AL,4,FALSE)</f>
        <v>28</v>
      </c>
      <c r="AC203" s="1">
        <f>VLOOKUP(A203,'SegEnds_NonXtal_Prot#'!A:AL,10,FALSE)-VLOOKUP(A203,'SegEnds_NonXtal_Prot#'!A:AL,7,FALSE)</f>
        <v>15</v>
      </c>
      <c r="AD203" s="1">
        <f>VLOOKUP(A203,'SegEnds_NonXtal_Prot#'!A:AL,13,FALSE)-VLOOKUP(A203,'SegEnds_NonXtal_Prot#'!A:AL,10,FALSE)</f>
        <v>20</v>
      </c>
      <c r="AE203" s="1">
        <f>VLOOKUP(A203,'SegEnds_NonXtal_Prot#'!A:AL,16,FALSE)-VLOOKUP(A203,'SegEnds_NonXtal_Prot#'!A:AL,10,FALSE)</f>
        <v>52</v>
      </c>
      <c r="AF203" s="1" t="e">
        <f>VLOOKUP(A203,'SegEnds_NonXtal_Prot#'!A:AL,22,FALSE)-VLOOKUP(A203,'SegEnds_NonXtal_Prot#'!A:AL,19,FALSE)</f>
        <v>#VALUE!</v>
      </c>
      <c r="AG203" s="1">
        <f>VLOOKUP(A203,'SegEnds_NonXtal_Prot#'!A:AL,28,FALSE)-VLOOKUP(A203,'SegEnds_NonXtal_Prot#'!A:AL,25,FALSE)</f>
        <v>25</v>
      </c>
      <c r="AH203" s="1">
        <f>VLOOKUP(A203,'SegEnds_NonXtal_Prot#'!A:AL,28,FALSE)-VLOOKUP(A203,'SegEnds_NonXtal_Prot#'!A:AL,22,FALSE)</f>
        <v>63</v>
      </c>
      <c r="AI203" s="1">
        <f>VLOOKUP(A203,'SegEnds_NonXtal_Prot#'!A:AL,31,FALSE)-VLOOKUP(A203,'SegEnds_NonXtal_Prot#'!A:AL,28,FALSE)</f>
        <v>58</v>
      </c>
      <c r="AJ203" s="1">
        <f>VLOOKUP(A203,'SegEnds_NonXtal_Prot#'!A:AL,34,FALSE)-VLOOKUP(A203,'SegEnds_NonXtal_Prot#'!A:AL,31,FALSE)</f>
        <v>41</v>
      </c>
      <c r="AK203" s="1">
        <f>VLOOKUP(A203,'SegEnds_NonXtal_Prot#'!A:AL,37,FALSE)-VLOOKUP(A203,'SegEnds_NonXtal_Prot#'!A:AL,34,FALSE)</f>
        <v>10</v>
      </c>
      <c r="AL203" s="1" t="str">
        <f>IF(ISERROR(MATCH(A203,'SegEnds_Xtal_Prot#'!B:B, 0)), "NoXtal", "Xtal")</f>
        <v>NoXtal</v>
      </c>
    </row>
    <row r="204" spans="1:38" x14ac:dyDescent="0.2">
      <c r="A204" s="1" t="s">
        <v>324</v>
      </c>
      <c r="B204" s="1" t="str">
        <f>VLOOKUP(A204,Xtal_Templ!A:B,2,FALSE)</f>
        <v>5ht2c_human</v>
      </c>
      <c r="C204" s="5">
        <f>VLOOKUP($B204&amp;"__wt",'SegEnds_Xtal_BW#'!$A:$Z,3,FALSE)</f>
        <v>33</v>
      </c>
      <c r="D204" s="1">
        <f>VLOOKUP($B204&amp;"__wt",'SegEnds_Xtal_BW#'!$A:$Z,4,FALSE)</f>
        <v>60</v>
      </c>
      <c r="E204" s="1">
        <f>VLOOKUP($B204&amp;"__wt",'SegEnds_Xtal_BW#'!$A:$Z,5,FALSE)</f>
        <v>48</v>
      </c>
      <c r="F204" s="1">
        <f>VLOOKUP($B204&amp;"__wt",'SegEnds_Xtal_BW#'!$A:$Z,6,FALSE)</f>
        <v>51</v>
      </c>
      <c r="G204" s="1">
        <v>37</v>
      </c>
      <c r="H204" s="12">
        <f>VLOOKUP($B204&amp;"__wt",'SegEnds_Xtal_BW#'!$A:$Z,8,FALSE)</f>
        <v>68</v>
      </c>
      <c r="I204" s="1">
        <f>VLOOKUP($B204&amp;"__wt",'SegEnds_Xtal_BW#'!$A:$Z,9,FALSE)</f>
        <v>49</v>
      </c>
      <c r="J204" s="1">
        <f>VLOOKUP($B204&amp;"__wt",'SegEnds_Xtal_BW#'!$A:$Z,10,FALSE)</f>
        <v>52</v>
      </c>
      <c r="K204" s="12">
        <v>18</v>
      </c>
      <c r="L204" s="1">
        <f>VLOOKUP($B204&amp;"__wt",'SegEnds_Xtal_BW#'!$A:$Z,12,FALSE)</f>
        <v>56</v>
      </c>
      <c r="M204" s="1">
        <f>VLOOKUP($B204&amp;"__wt",'SegEnds_Xtal_BW#'!$A:$Z,13,FALSE)</f>
        <v>50</v>
      </c>
      <c r="N204" s="12">
        <v>53</v>
      </c>
      <c r="O204" s="87">
        <v>38</v>
      </c>
      <c r="P204" s="1">
        <f>VLOOKUP($B204&amp;"__wt",'SegEnds_Xtal_BW#'!$A:$Z,16,FALSE)</f>
        <v>67</v>
      </c>
      <c r="Q204" s="1">
        <f>VLOOKUP($B204&amp;"__wt",'SegEnds_Xtal_BW#'!$A:$Z,17,FALSE)</f>
        <v>50</v>
      </c>
      <c r="R204" s="1">
        <f>VLOOKUP($B204&amp;"__wt",'SegEnds_Xtal_BW#'!$A:$Z,18,FALSE)</f>
        <v>52</v>
      </c>
      <c r="S204" s="1">
        <f>VLOOKUP($B204&amp;"__wt",'SegEnds_Xtal_BW#'!$A:$Z,19,FALSE)</f>
        <v>35</v>
      </c>
      <c r="T204" s="1">
        <f t="array" ref="T204">INDEX(ICL3_classA!$G$2:$G$37,MATCH(MIN(ABS(AI204-ICL3_classA!$F$2:$F$37)),ABS(AI204-ICL3_classA!$F$2:$F$37),0))</f>
        <v>76</v>
      </c>
      <c r="U204" s="1">
        <f t="array" ref="U204">INDEX(ICL3_classA!$H$2:$H$37,MATCH(MIN(ABS(AI204-ICL3_classA!$F$2:$F$37)),ABS(AI204-ICL3_classA!$F$2:$F$37),0))</f>
        <v>24</v>
      </c>
      <c r="V204" s="1">
        <v>61</v>
      </c>
      <c r="W204" s="1">
        <v>28</v>
      </c>
      <c r="X204" s="1">
        <f>VLOOKUP($B204&amp;"__wt",'SegEnds_Xtal_BW#'!$A:$Z,24,FALSE)</f>
        <v>56</v>
      </c>
      <c r="Y204" s="1">
        <f>VLOOKUP($B204&amp;"__wt",'SegEnds_Xtal_BW#'!$A:$Z,25,FALSE)</f>
        <v>47</v>
      </c>
      <c r="Z204" s="1">
        <f>VLOOKUP($B204&amp;"__wt",'SegEnds_Xtal_BW#'!$A:$Z,26,FALSE)</f>
        <v>60</v>
      </c>
      <c r="AA204" s="27" t="str">
        <f>VLOOKUP(A204,Classification!A:B,2,FALSE)</f>
        <v>A</v>
      </c>
      <c r="AB204" s="1">
        <f>VLOOKUP(A204,'SegEnds_NonXtal_Prot#'!A:AL,10,FALSE)-VLOOKUP(A204,'SegEnds_NonXtal_Prot#'!A:AL,4,FALSE)</f>
        <v>27</v>
      </c>
      <c r="AC204" s="1" t="e">
        <f>VLOOKUP(A204,'SegEnds_NonXtal_Prot#'!A:AL,10,FALSE)-VLOOKUP(A204,'SegEnds_NonXtal_Prot#'!A:AL,7,FALSE)</f>
        <v>#VALUE!</v>
      </c>
      <c r="AD204" s="1">
        <f>VLOOKUP(A204,'SegEnds_NonXtal_Prot#'!A:AL,13,FALSE)-VLOOKUP(A204,'SegEnds_NonXtal_Prot#'!A:AL,10,FALSE)</f>
        <v>20</v>
      </c>
      <c r="AE204" s="1">
        <f>VLOOKUP(A204,'SegEnds_NonXtal_Prot#'!A:AL,16,FALSE)-VLOOKUP(A204,'SegEnds_NonXtal_Prot#'!A:AL,10,FALSE)</f>
        <v>52</v>
      </c>
      <c r="AF204" s="1">
        <f>VLOOKUP(A204,'SegEnds_NonXtal_Prot#'!A:AL,22,FALSE)-VLOOKUP(A204,'SegEnds_NonXtal_Prot#'!A:AL,19,FALSE)</f>
        <v>18</v>
      </c>
      <c r="AG204" s="1">
        <f>VLOOKUP(A204,'SegEnds_NonXtal_Prot#'!A:AL,28,FALSE)-VLOOKUP(A204,'SegEnds_NonXtal_Prot#'!A:AL,25,FALSE)</f>
        <v>25</v>
      </c>
      <c r="AH204" s="1">
        <f>VLOOKUP(A204,'SegEnds_NonXtal_Prot#'!A:AL,28,FALSE)-VLOOKUP(A204,'SegEnds_NonXtal_Prot#'!A:AL,22,FALSE)</f>
        <v>51</v>
      </c>
      <c r="AI204" s="1">
        <f>VLOOKUP(A204,'SegEnds_NonXtal_Prot#'!A:AL,31,FALSE)-VLOOKUP(A204,'SegEnds_NonXtal_Prot#'!A:AL,28,FALSE)</f>
        <v>67</v>
      </c>
      <c r="AJ204" s="1">
        <f>VLOOKUP(A204,'SegEnds_NonXtal_Prot#'!A:AL,34,FALSE)-VLOOKUP(A204,'SegEnds_NonXtal_Prot#'!A:AL,31,FALSE)</f>
        <v>38</v>
      </c>
      <c r="AK204" s="1">
        <f>VLOOKUP(A204,'SegEnds_NonXtal_Prot#'!A:AL,37,FALSE)-VLOOKUP(A204,'SegEnds_NonXtal_Prot#'!A:AL,34,FALSE)</f>
        <v>10</v>
      </c>
      <c r="AL204" s="1" t="str">
        <f>IF(ISERROR(MATCH(A204,'SegEnds_Xtal_Prot#'!B:B, 0)), "NoXtal", "Xtal")</f>
        <v>NoXtal</v>
      </c>
    </row>
    <row r="205" spans="1:38" x14ac:dyDescent="0.2">
      <c r="A205" s="1" t="s">
        <v>325</v>
      </c>
      <c r="B205" s="1" t="str">
        <f>VLOOKUP(A205,Xtal_Templ!A:B,2,FALSE)</f>
        <v>npy1r_human</v>
      </c>
      <c r="C205" s="5">
        <f>VLOOKUP($B205&amp;"__wt",'SegEnds_Xtal_BW#'!$A:$Z,3,FALSE)</f>
        <v>28</v>
      </c>
      <c r="D205" s="1">
        <f>VLOOKUP($B205&amp;"__wt",'SegEnds_Xtal_BW#'!$A:$Z,4,FALSE)</f>
        <v>60</v>
      </c>
      <c r="E205" s="1">
        <f>VLOOKUP($B205&amp;"__wt",'SegEnds_Xtal_BW#'!$A:$Z,5,FALSE)</f>
        <v>48</v>
      </c>
      <c r="F205" s="1">
        <f>VLOOKUP($B205&amp;"__wt",'SegEnds_Xtal_BW#'!$A:$Z,6,FALSE)</f>
        <v>51</v>
      </c>
      <c r="G205" s="1">
        <v>37</v>
      </c>
      <c r="H205" s="12">
        <f>VLOOKUP($B205&amp;"__wt",'SegEnds_Xtal_BW#'!$A:$Z,8,FALSE)</f>
        <v>68</v>
      </c>
      <c r="I205" s="1">
        <f>VLOOKUP($B205&amp;"__wt",'SegEnds_Xtal_BW#'!$A:$Z,9,FALSE)</f>
        <v>49</v>
      </c>
      <c r="J205" s="1">
        <f>VLOOKUP($B205&amp;"__wt",'SegEnds_Xtal_BW#'!$A:$Z,10,FALSE)</f>
        <v>52</v>
      </c>
      <c r="K205" s="12">
        <v>18</v>
      </c>
      <c r="L205" s="1">
        <f>VLOOKUP($B205&amp;"__wt",'SegEnds_Xtal_BW#'!$A:$Z,12,FALSE)</f>
        <v>56</v>
      </c>
      <c r="M205" s="1" t="str">
        <f>VLOOKUP($B205&amp;"__wt",'SegEnds_Xtal_BW#'!$A:$Z,13,FALSE)</f>
        <v>-</v>
      </c>
      <c r="N205" s="108" t="s">
        <v>23</v>
      </c>
      <c r="O205" s="87">
        <f>VLOOKUP($B205&amp;"__wt",'SegEnds_Xtal_BW#'!$A:$Z,15,FALSE)</f>
        <v>38</v>
      </c>
      <c r="P205" s="1">
        <f>VLOOKUP($B205&amp;"__wt",'SegEnds_Xtal_BW#'!$A:$Z,16,FALSE)</f>
        <v>64</v>
      </c>
      <c r="Q205" s="1">
        <f>VLOOKUP($B205&amp;"__wt",'SegEnds_Xtal_BW#'!$A:$Z,17,FALSE)</f>
        <v>50</v>
      </c>
      <c r="R205" s="1">
        <f>VLOOKUP($B205&amp;"__wt",'SegEnds_Xtal_BW#'!$A:$Z,18,FALSE)</f>
        <v>52</v>
      </c>
      <c r="S205" s="1">
        <f>VLOOKUP($B205&amp;"__wt",'SegEnds_Xtal_BW#'!$A:$Z,19,FALSE)</f>
        <v>31</v>
      </c>
      <c r="T205" s="1">
        <f t="array" ref="T205">INDEX(ICL3_classA!$G$2:$G$37,MATCH(MIN(ABS(AI205-ICL3_classA!$F$2:$F$37)),ABS(AI205-ICL3_classA!$F$2:$F$37),0))</f>
        <v>73</v>
      </c>
      <c r="U205" s="1">
        <f t="array" ref="U205">INDEX(ICL3_classA!$H$2:$H$37,MATCH(MIN(ABS(AI205-ICL3_classA!$F$2:$F$37)),ABS(AI205-ICL3_classA!$F$2:$F$37),0))</f>
        <v>22</v>
      </c>
      <c r="V205" s="1">
        <v>61</v>
      </c>
      <c r="W205" s="1">
        <v>28</v>
      </c>
      <c r="X205" s="1">
        <f>VLOOKUP($B205&amp;"__wt",'SegEnds_Xtal_BW#'!$A:$Z,24,FALSE)</f>
        <v>56</v>
      </c>
      <c r="Y205" s="1">
        <f>VLOOKUP($B205&amp;"__wt",'SegEnds_Xtal_BW#'!$A:$Z,25,FALSE)</f>
        <v>47</v>
      </c>
      <c r="Z205" s="1">
        <f>VLOOKUP($B205&amp;"__wt",'SegEnds_Xtal_BW#'!$A:$Z,26,FALSE)</f>
        <v>58</v>
      </c>
      <c r="AA205" s="27" t="str">
        <f>VLOOKUP(A205,Classification!A:B,2,FALSE)</f>
        <v>A</v>
      </c>
      <c r="AB205" s="1">
        <f>VLOOKUP(A205,'SegEnds_NonXtal_Prot#'!A:AL,10,FALSE)-VLOOKUP(A205,'SegEnds_NonXtal_Prot#'!A:AL,4,FALSE)</f>
        <v>28</v>
      </c>
      <c r="AC205" s="1">
        <f>VLOOKUP(A205,'SegEnds_NonXtal_Prot#'!A:AL,10,FALSE)-VLOOKUP(A205,'SegEnds_NonXtal_Prot#'!A:AL,7,FALSE)</f>
        <v>15</v>
      </c>
      <c r="AD205" s="1">
        <f>VLOOKUP(A205,'SegEnds_NonXtal_Prot#'!A:AL,13,FALSE)-VLOOKUP(A205,'SegEnds_NonXtal_Prot#'!A:AL,10,FALSE)</f>
        <v>20</v>
      </c>
      <c r="AE205" s="1">
        <f>VLOOKUP(A205,'SegEnds_NonXtal_Prot#'!A:AL,16,FALSE)-VLOOKUP(A205,'SegEnds_NonXtal_Prot#'!A:AL,10,FALSE)</f>
        <v>52</v>
      </c>
      <c r="AF205" s="1" t="e">
        <f>VLOOKUP(A205,'SegEnds_NonXtal_Prot#'!A:AL,22,FALSE)-VLOOKUP(A205,'SegEnds_NonXtal_Prot#'!A:AL,19,FALSE)</f>
        <v>#VALUE!</v>
      </c>
      <c r="AG205" s="1">
        <f>VLOOKUP(A205,'SegEnds_NonXtal_Prot#'!A:AL,28,FALSE)-VLOOKUP(A205,'SegEnds_NonXtal_Prot#'!A:AL,25,FALSE)</f>
        <v>25</v>
      </c>
      <c r="AH205" s="1">
        <f>VLOOKUP(A205,'SegEnds_NonXtal_Prot#'!A:AL,28,FALSE)-VLOOKUP(A205,'SegEnds_NonXtal_Prot#'!A:AL,22,FALSE)</f>
        <v>60</v>
      </c>
      <c r="AI205" s="1">
        <f>VLOOKUP(A205,'SegEnds_NonXtal_Prot#'!A:AL,31,FALSE)-VLOOKUP(A205,'SegEnds_NonXtal_Prot#'!A:AL,28,FALSE)</f>
        <v>55</v>
      </c>
      <c r="AJ205" s="1">
        <f>VLOOKUP(A205,'SegEnds_NonXtal_Prot#'!A:AL,34,FALSE)-VLOOKUP(A205,'SegEnds_NonXtal_Prot#'!A:AL,31,FALSE)</f>
        <v>39</v>
      </c>
      <c r="AK205" s="1">
        <f>VLOOKUP(A205,'SegEnds_NonXtal_Prot#'!A:AL,37,FALSE)-VLOOKUP(A205,'SegEnds_NonXtal_Prot#'!A:AL,34,FALSE)</f>
        <v>10</v>
      </c>
      <c r="AL205" s="1" t="str">
        <f>IF(ISERROR(MATCH(A205,'SegEnds_Xtal_Prot#'!B:B, 0)), "NoXtal", "Xtal")</f>
        <v>Xtal</v>
      </c>
    </row>
    <row r="206" spans="1:38" x14ac:dyDescent="0.2">
      <c r="A206" s="1" t="s">
        <v>326</v>
      </c>
      <c r="B206" s="1" t="str">
        <f>VLOOKUP(A206,Xtal_Templ!A:B,2,FALSE)</f>
        <v>ox2r_human</v>
      </c>
      <c r="C206" s="5">
        <f>VLOOKUP($B206&amp;"__wt",'SegEnds_Xtal_BW#'!$A:$Z,3,FALSE)</f>
        <v>31</v>
      </c>
      <c r="D206" s="1">
        <f>VLOOKUP($B206&amp;"__wt",'SegEnds_Xtal_BW#'!$A:$Z,4,FALSE)</f>
        <v>60</v>
      </c>
      <c r="E206" s="1">
        <f>VLOOKUP($B206&amp;"__wt",'SegEnds_Xtal_BW#'!$A:$Z,5,FALSE)</f>
        <v>48</v>
      </c>
      <c r="F206" s="1">
        <f>VLOOKUP($B206&amp;"__wt",'SegEnds_Xtal_BW#'!$A:$Z,6,FALSE)</f>
        <v>51</v>
      </c>
      <c r="G206" s="1">
        <v>37</v>
      </c>
      <c r="H206" s="12">
        <f>VLOOKUP($B206&amp;"__wt",'SegEnds_Xtal_BW#'!$A:$Z,8,FALSE)</f>
        <v>68</v>
      </c>
      <c r="I206" s="1">
        <f>VLOOKUP($B206&amp;"__wt",'SegEnds_Xtal_BW#'!$A:$Z,9,FALSE)</f>
        <v>49</v>
      </c>
      <c r="J206" s="1">
        <f>VLOOKUP($B206&amp;"__wt",'SegEnds_Xtal_BW#'!$A:$Z,10,FALSE)</f>
        <v>52</v>
      </c>
      <c r="K206" s="12">
        <v>18</v>
      </c>
      <c r="L206" s="1">
        <f>VLOOKUP($B206&amp;"__wt",'SegEnds_Xtal_BW#'!$A:$Z,12,FALSE)</f>
        <v>56</v>
      </c>
      <c r="M206" s="1">
        <f>VLOOKUP($B206&amp;"__wt",'SegEnds_Xtal_BW#'!$A:$Z,13,FALSE)</f>
        <v>50</v>
      </c>
      <c r="N206" s="12">
        <v>56</v>
      </c>
      <c r="O206" s="87">
        <f>VLOOKUP($B206&amp;"__wt",'SegEnds_Xtal_BW#'!$A:$Z,15,FALSE)</f>
        <v>38</v>
      </c>
      <c r="P206" s="1">
        <f>VLOOKUP($B206&amp;"__wt",'SegEnds_Xtal_BW#'!$A:$Z,16,FALSE)</f>
        <v>64</v>
      </c>
      <c r="Q206" s="1">
        <f>VLOOKUP($B206&amp;"__wt",'SegEnds_Xtal_BW#'!$A:$Z,17,FALSE)</f>
        <v>50</v>
      </c>
      <c r="R206" s="1">
        <f>VLOOKUP($B206&amp;"__wt",'SegEnds_Xtal_BW#'!$A:$Z,18,FALSE)</f>
        <v>52</v>
      </c>
      <c r="S206" s="1">
        <f>VLOOKUP($B206&amp;"__wt",'SegEnds_Xtal_BW#'!$A:$Z,19,FALSE)</f>
        <v>33</v>
      </c>
      <c r="T206" s="1">
        <f t="array" ref="T206">INDEX(ICL3_classA!$G$2:$G$37,MATCH(MIN(ABS(AI206-ICL3_classA!$F$2:$F$37)),ABS(AI206-ICL3_classA!$F$2:$F$37),0))</f>
        <v>72</v>
      </c>
      <c r="U206" s="1">
        <f t="array" ref="U206">INDEX(ICL3_classA!$H$2:$H$37,MATCH(MIN(ABS(AI206-ICL3_classA!$F$2:$F$37)),ABS(AI206-ICL3_classA!$F$2:$F$37),0))</f>
        <v>24</v>
      </c>
      <c r="V206" s="1">
        <v>61</v>
      </c>
      <c r="W206" s="1">
        <v>28</v>
      </c>
      <c r="X206" s="1">
        <f>VLOOKUP($B206&amp;"__wt",'SegEnds_Xtal_BW#'!$A:$Z,24,FALSE)</f>
        <v>56</v>
      </c>
      <c r="Y206" s="1">
        <f>VLOOKUP($B206&amp;"__wt",'SegEnds_Xtal_BW#'!$A:$Z,25,FALSE)</f>
        <v>47</v>
      </c>
      <c r="Z206" s="1">
        <f>VLOOKUP($B206&amp;"__wt",'SegEnds_Xtal_BW#'!$A:$Z,26,FALSE)</f>
        <v>58</v>
      </c>
      <c r="AA206" s="27" t="str">
        <f>VLOOKUP(A206,Classification!A:B,2,FALSE)</f>
        <v>A</v>
      </c>
      <c r="AB206" s="1">
        <f>VLOOKUP(A206,'SegEnds_NonXtal_Prot#'!A:AL,10,FALSE)-VLOOKUP(A206,'SegEnds_NonXtal_Prot#'!A:AL,4,FALSE)</f>
        <v>28</v>
      </c>
      <c r="AC206" s="1">
        <f>VLOOKUP(A206,'SegEnds_NonXtal_Prot#'!A:AL,10,FALSE)-VLOOKUP(A206,'SegEnds_NonXtal_Prot#'!A:AL,7,FALSE)</f>
        <v>15</v>
      </c>
      <c r="AD206" s="1">
        <f>VLOOKUP(A206,'SegEnds_NonXtal_Prot#'!A:AL,13,FALSE)-VLOOKUP(A206,'SegEnds_NonXtal_Prot#'!A:AL,10,FALSE)</f>
        <v>20</v>
      </c>
      <c r="AE206" s="1">
        <f>VLOOKUP(A206,'SegEnds_NonXtal_Prot#'!A:AL,16,FALSE)-VLOOKUP(A206,'SegEnds_NonXtal_Prot#'!A:AL,10,FALSE)</f>
        <v>52</v>
      </c>
      <c r="AF206" s="1" t="e">
        <f>VLOOKUP(A206,'SegEnds_NonXtal_Prot#'!A:AL,22,FALSE)-VLOOKUP(A206,'SegEnds_NonXtal_Prot#'!A:AL,19,FALSE)</f>
        <v>#VALUE!</v>
      </c>
      <c r="AG206" s="1">
        <f>VLOOKUP(A206,'SegEnds_NonXtal_Prot#'!A:AL,28,FALSE)-VLOOKUP(A206,'SegEnds_NonXtal_Prot#'!A:AL,25,FALSE)</f>
        <v>28</v>
      </c>
      <c r="AH206" s="1">
        <f>VLOOKUP(A206,'SegEnds_NonXtal_Prot#'!A:AL,28,FALSE)-VLOOKUP(A206,'SegEnds_NonXtal_Prot#'!A:AL,22,FALSE)</f>
        <v>58</v>
      </c>
      <c r="AI206" s="1">
        <f>VLOOKUP(A206,'SegEnds_NonXtal_Prot#'!A:AL,31,FALSE)-VLOOKUP(A206,'SegEnds_NonXtal_Prot#'!A:AL,28,FALSE)</f>
        <v>52</v>
      </c>
      <c r="AJ206" s="1">
        <f>VLOOKUP(A206,'SegEnds_NonXtal_Prot#'!A:AL,34,FALSE)-VLOOKUP(A206,'SegEnds_NonXtal_Prot#'!A:AL,31,FALSE)</f>
        <v>39</v>
      </c>
      <c r="AK206" s="1">
        <f>VLOOKUP(A206,'SegEnds_NonXtal_Prot#'!A:AL,37,FALSE)-VLOOKUP(A206,'SegEnds_NonXtal_Prot#'!A:AL,34,FALSE)</f>
        <v>10</v>
      </c>
      <c r="AL206" s="1" t="str">
        <f>IF(ISERROR(MATCH(A206,'SegEnds_Xtal_Prot#'!B:B, 0)), "NoXtal", "Xtal")</f>
        <v>NoXtal</v>
      </c>
    </row>
    <row r="207" spans="1:38" x14ac:dyDescent="0.2">
      <c r="A207" s="1" t="s">
        <v>327</v>
      </c>
      <c r="B207" s="1" t="str">
        <f>VLOOKUP(A207,Xtal_Templ!A:B,2,FALSE)</f>
        <v>npy1r_human</v>
      </c>
      <c r="C207" s="5">
        <f>VLOOKUP($B207&amp;"__wt",'SegEnds_Xtal_BW#'!$A:$Z,3,FALSE)</f>
        <v>28</v>
      </c>
      <c r="D207" s="1">
        <f>VLOOKUP($B207&amp;"__wt",'SegEnds_Xtal_BW#'!$A:$Z,4,FALSE)</f>
        <v>60</v>
      </c>
      <c r="E207" s="1">
        <f>VLOOKUP($B207&amp;"__wt",'SegEnds_Xtal_BW#'!$A:$Z,5,FALSE)</f>
        <v>48</v>
      </c>
      <c r="F207" s="1">
        <f>VLOOKUP($B207&amp;"__wt",'SegEnds_Xtal_BW#'!$A:$Z,6,FALSE)</f>
        <v>51</v>
      </c>
      <c r="G207" s="1">
        <v>37</v>
      </c>
      <c r="H207" s="12">
        <f>VLOOKUP($B207&amp;"__wt",'SegEnds_Xtal_BW#'!$A:$Z,8,FALSE)</f>
        <v>68</v>
      </c>
      <c r="I207" s="1">
        <f>VLOOKUP($B207&amp;"__wt",'SegEnds_Xtal_BW#'!$A:$Z,9,FALSE)</f>
        <v>49</v>
      </c>
      <c r="J207" s="1">
        <f>VLOOKUP($B207&amp;"__wt",'SegEnds_Xtal_BW#'!$A:$Z,10,FALSE)</f>
        <v>52</v>
      </c>
      <c r="K207" s="12">
        <v>18</v>
      </c>
      <c r="L207" s="1">
        <f>VLOOKUP($B207&amp;"__wt",'SegEnds_Xtal_BW#'!$A:$Z,12,FALSE)</f>
        <v>56</v>
      </c>
      <c r="M207" s="1" t="str">
        <f>VLOOKUP($B207&amp;"__wt",'SegEnds_Xtal_BW#'!$A:$Z,13,FALSE)</f>
        <v>-</v>
      </c>
      <c r="N207" s="108" t="s">
        <v>23</v>
      </c>
      <c r="O207" s="87">
        <f>VLOOKUP($B207&amp;"__wt",'SegEnds_Xtal_BW#'!$A:$Z,15,FALSE)</f>
        <v>38</v>
      </c>
      <c r="P207" s="1">
        <f>VLOOKUP($B207&amp;"__wt",'SegEnds_Xtal_BW#'!$A:$Z,16,FALSE)</f>
        <v>64</v>
      </c>
      <c r="Q207" s="1">
        <f>VLOOKUP($B207&amp;"__wt",'SegEnds_Xtal_BW#'!$A:$Z,17,FALSE)</f>
        <v>50</v>
      </c>
      <c r="R207" s="1">
        <f>VLOOKUP($B207&amp;"__wt",'SegEnds_Xtal_BW#'!$A:$Z,18,FALSE)</f>
        <v>52</v>
      </c>
      <c r="S207" s="1">
        <f>VLOOKUP($B207&amp;"__wt",'SegEnds_Xtal_BW#'!$A:$Z,19,FALSE)</f>
        <v>31</v>
      </c>
      <c r="T207" s="1">
        <f t="array" ref="T207">INDEX(ICL3_classA!$G$2:$G$37,MATCH(MIN(ABS(AI207-ICL3_classA!$F$2:$F$37)),ABS(AI207-ICL3_classA!$F$2:$F$37),0))</f>
        <v>72</v>
      </c>
      <c r="U207" s="1">
        <f t="array" ref="U207">INDEX(ICL3_classA!$H$2:$H$37,MATCH(MIN(ABS(AI207-ICL3_classA!$F$2:$F$37)),ABS(AI207-ICL3_classA!$F$2:$F$37),0))</f>
        <v>24</v>
      </c>
      <c r="V207" s="1">
        <v>61</v>
      </c>
      <c r="W207" s="1">
        <v>28</v>
      </c>
      <c r="X207" s="1">
        <f>VLOOKUP($B207&amp;"__wt",'SegEnds_Xtal_BW#'!$A:$Z,24,FALSE)</f>
        <v>56</v>
      </c>
      <c r="Y207" s="1">
        <f>VLOOKUP($B207&amp;"__wt",'SegEnds_Xtal_BW#'!$A:$Z,25,FALSE)</f>
        <v>47</v>
      </c>
      <c r="Z207" s="1">
        <f>VLOOKUP($B207&amp;"__wt",'SegEnds_Xtal_BW#'!$A:$Z,26,FALSE)</f>
        <v>58</v>
      </c>
      <c r="AA207" s="27" t="str">
        <f>VLOOKUP(A207,Classification!A:B,2,FALSE)</f>
        <v>A</v>
      </c>
      <c r="AB207" s="1">
        <f>VLOOKUP(A207,'SegEnds_NonXtal_Prot#'!A:AL,10,FALSE)-VLOOKUP(A207,'SegEnds_NonXtal_Prot#'!A:AL,4,FALSE)</f>
        <v>28</v>
      </c>
      <c r="AC207" s="1">
        <f>VLOOKUP(A207,'SegEnds_NonXtal_Prot#'!A:AL,10,FALSE)-VLOOKUP(A207,'SegEnds_NonXtal_Prot#'!A:AL,7,FALSE)</f>
        <v>15</v>
      </c>
      <c r="AD207" s="1">
        <f>VLOOKUP(A207,'SegEnds_NonXtal_Prot#'!A:AL,13,FALSE)-VLOOKUP(A207,'SegEnds_NonXtal_Prot#'!A:AL,10,FALSE)</f>
        <v>20</v>
      </c>
      <c r="AE207" s="1">
        <f>VLOOKUP(A207,'SegEnds_NonXtal_Prot#'!A:AL,16,FALSE)-VLOOKUP(A207,'SegEnds_NonXtal_Prot#'!A:AL,10,FALSE)</f>
        <v>52</v>
      </c>
      <c r="AF207" s="1" t="e">
        <f>VLOOKUP(A207,'SegEnds_NonXtal_Prot#'!A:AL,22,FALSE)-VLOOKUP(A207,'SegEnds_NonXtal_Prot#'!A:AL,19,FALSE)</f>
        <v>#VALUE!</v>
      </c>
      <c r="AG207" s="1">
        <f>VLOOKUP(A207,'SegEnds_NonXtal_Prot#'!A:AL,28,FALSE)-VLOOKUP(A207,'SegEnds_NonXtal_Prot#'!A:AL,25,FALSE)</f>
        <v>25</v>
      </c>
      <c r="AH207" s="1">
        <f>VLOOKUP(A207,'SegEnds_NonXtal_Prot#'!A:AL,28,FALSE)-VLOOKUP(A207,'SegEnds_NonXtal_Prot#'!A:AL,22,FALSE)</f>
        <v>62</v>
      </c>
      <c r="AI207" s="1">
        <f>VLOOKUP(A207,'SegEnds_NonXtal_Prot#'!A:AL,31,FALSE)-VLOOKUP(A207,'SegEnds_NonXtal_Prot#'!A:AL,28,FALSE)</f>
        <v>54</v>
      </c>
      <c r="AJ207" s="1">
        <f>VLOOKUP(A207,'SegEnds_NonXtal_Prot#'!A:AL,34,FALSE)-VLOOKUP(A207,'SegEnds_NonXtal_Prot#'!A:AL,31,FALSE)</f>
        <v>39</v>
      </c>
      <c r="AK207" s="1">
        <f>VLOOKUP(A207,'SegEnds_NonXtal_Prot#'!A:AL,37,FALSE)-VLOOKUP(A207,'SegEnds_NonXtal_Prot#'!A:AL,34,FALSE)</f>
        <v>10</v>
      </c>
      <c r="AL207" s="1" t="str">
        <f>IF(ISERROR(MATCH(A207,'SegEnds_Xtal_Prot#'!B:B, 0)), "NoXtal", "Xtal")</f>
        <v>NoXtal</v>
      </c>
    </row>
    <row r="208" spans="1:38" x14ac:dyDescent="0.2">
      <c r="A208" s="1" t="s">
        <v>328</v>
      </c>
      <c r="B208" s="1" t="str">
        <f>VLOOKUP(A208,Xtal_Templ!A:B,2,FALSE)</f>
        <v>npy1r_human</v>
      </c>
      <c r="C208" s="5">
        <f>VLOOKUP($B208&amp;"__wt",'SegEnds_Xtal_BW#'!$A:$Z,3,FALSE)</f>
        <v>28</v>
      </c>
      <c r="D208" s="1">
        <f>VLOOKUP($B208&amp;"__wt",'SegEnds_Xtal_BW#'!$A:$Z,4,FALSE)</f>
        <v>60</v>
      </c>
      <c r="E208" s="1">
        <f>VLOOKUP($B208&amp;"__wt",'SegEnds_Xtal_BW#'!$A:$Z,5,FALSE)</f>
        <v>48</v>
      </c>
      <c r="F208" s="1">
        <f>VLOOKUP($B208&amp;"__wt",'SegEnds_Xtal_BW#'!$A:$Z,6,FALSE)</f>
        <v>51</v>
      </c>
      <c r="G208" s="1">
        <v>37</v>
      </c>
      <c r="H208" s="12">
        <f>VLOOKUP($B208&amp;"__wt",'SegEnds_Xtal_BW#'!$A:$Z,8,FALSE)</f>
        <v>68</v>
      </c>
      <c r="I208" s="1">
        <f>VLOOKUP($B208&amp;"__wt",'SegEnds_Xtal_BW#'!$A:$Z,9,FALSE)</f>
        <v>49</v>
      </c>
      <c r="J208" s="1">
        <f>VLOOKUP($B208&amp;"__wt",'SegEnds_Xtal_BW#'!$A:$Z,10,FALSE)</f>
        <v>52</v>
      </c>
      <c r="K208" s="12">
        <v>18</v>
      </c>
      <c r="L208" s="1">
        <f>VLOOKUP($B208&amp;"__wt",'SegEnds_Xtal_BW#'!$A:$Z,12,FALSE)</f>
        <v>56</v>
      </c>
      <c r="M208" s="1" t="str">
        <f>VLOOKUP($B208&amp;"__wt",'SegEnds_Xtal_BW#'!$A:$Z,13,FALSE)</f>
        <v>-</v>
      </c>
      <c r="N208" s="108" t="s">
        <v>23</v>
      </c>
      <c r="O208" s="87">
        <f>VLOOKUP($B208&amp;"__wt",'SegEnds_Xtal_BW#'!$A:$Z,15,FALSE)</f>
        <v>38</v>
      </c>
      <c r="P208" s="1">
        <f>VLOOKUP($B208&amp;"__wt",'SegEnds_Xtal_BW#'!$A:$Z,16,FALSE)</f>
        <v>64</v>
      </c>
      <c r="Q208" s="1">
        <f>VLOOKUP($B208&amp;"__wt",'SegEnds_Xtal_BW#'!$A:$Z,17,FALSE)</f>
        <v>50</v>
      </c>
      <c r="R208" s="1">
        <f>VLOOKUP($B208&amp;"__wt",'SegEnds_Xtal_BW#'!$A:$Z,18,FALSE)</f>
        <v>52</v>
      </c>
      <c r="S208" s="1">
        <f>VLOOKUP($B208&amp;"__wt",'SegEnds_Xtal_BW#'!$A:$Z,19,FALSE)</f>
        <v>31</v>
      </c>
      <c r="T208" s="1">
        <f t="array" ref="T208">INDEX(ICL3_classA!$G$2:$G$37,MATCH(MIN(ABS(AI208-ICL3_classA!$F$2:$F$37)),ABS(AI208-ICL3_classA!$F$2:$F$37),0))</f>
        <v>76</v>
      </c>
      <c r="U208" s="1">
        <f t="array" ref="U208">INDEX(ICL3_classA!$H$2:$H$37,MATCH(MIN(ABS(AI208-ICL3_classA!$F$2:$F$37)),ABS(AI208-ICL3_classA!$F$2:$F$37),0))</f>
        <v>24</v>
      </c>
      <c r="V208" s="1">
        <v>61</v>
      </c>
      <c r="W208" s="1">
        <v>28</v>
      </c>
      <c r="X208" s="1">
        <f>VLOOKUP($B208&amp;"__wt",'SegEnds_Xtal_BW#'!$A:$Z,24,FALSE)</f>
        <v>56</v>
      </c>
      <c r="Y208" s="1">
        <f>VLOOKUP($B208&amp;"__wt",'SegEnds_Xtal_BW#'!$A:$Z,25,FALSE)</f>
        <v>47</v>
      </c>
      <c r="Z208" s="1">
        <f>VLOOKUP($B208&amp;"__wt",'SegEnds_Xtal_BW#'!$A:$Z,26,FALSE)</f>
        <v>58</v>
      </c>
      <c r="AA208" s="27" t="str">
        <f>VLOOKUP(A208,Classification!A:B,2,FALSE)</f>
        <v>A</v>
      </c>
      <c r="AB208" s="1">
        <f>VLOOKUP(A208,'SegEnds_NonXtal_Prot#'!A:AL,10,FALSE)-VLOOKUP(A208,'SegEnds_NonXtal_Prot#'!A:AL,4,FALSE)</f>
        <v>28</v>
      </c>
      <c r="AC208" s="1">
        <f>VLOOKUP(A208,'SegEnds_NonXtal_Prot#'!A:AL,10,FALSE)-VLOOKUP(A208,'SegEnds_NonXtal_Prot#'!A:AL,7,FALSE)</f>
        <v>15</v>
      </c>
      <c r="AD208" s="1">
        <f>VLOOKUP(A208,'SegEnds_NonXtal_Prot#'!A:AL,13,FALSE)-VLOOKUP(A208,'SegEnds_NonXtal_Prot#'!A:AL,10,FALSE)</f>
        <v>20</v>
      </c>
      <c r="AE208" s="1">
        <f>VLOOKUP(A208,'SegEnds_NonXtal_Prot#'!A:AL,16,FALSE)-VLOOKUP(A208,'SegEnds_NonXtal_Prot#'!A:AL,10,FALSE)</f>
        <v>52</v>
      </c>
      <c r="AF208" s="1" t="e">
        <f>VLOOKUP(A208,'SegEnds_NonXtal_Prot#'!A:AL,22,FALSE)-VLOOKUP(A208,'SegEnds_NonXtal_Prot#'!A:AL,19,FALSE)</f>
        <v>#VALUE!</v>
      </c>
      <c r="AG208" s="1">
        <f>VLOOKUP(A208,'SegEnds_NonXtal_Prot#'!A:AL,28,FALSE)-VLOOKUP(A208,'SegEnds_NonXtal_Prot#'!A:AL,25,FALSE)</f>
        <v>25</v>
      </c>
      <c r="AH208" s="1">
        <f>VLOOKUP(A208,'SegEnds_NonXtal_Prot#'!A:AL,28,FALSE)-VLOOKUP(A208,'SegEnds_NonXtal_Prot#'!A:AL,22,FALSE)</f>
        <v>59</v>
      </c>
      <c r="AI208" s="1">
        <f>VLOOKUP(A208,'SegEnds_NonXtal_Prot#'!A:AL,31,FALSE)-VLOOKUP(A208,'SegEnds_NonXtal_Prot#'!A:AL,28,FALSE)</f>
        <v>160</v>
      </c>
      <c r="AJ208" s="1">
        <f>VLOOKUP(A208,'SegEnds_NonXtal_Prot#'!A:AL,34,FALSE)-VLOOKUP(A208,'SegEnds_NonXtal_Prot#'!A:AL,31,FALSE)</f>
        <v>39</v>
      </c>
      <c r="AK208" s="1">
        <f>VLOOKUP(A208,'SegEnds_NonXtal_Prot#'!A:AL,37,FALSE)-VLOOKUP(A208,'SegEnds_NonXtal_Prot#'!A:AL,34,FALSE)</f>
        <v>10</v>
      </c>
      <c r="AL208" s="1" t="str">
        <f>IF(ISERROR(MATCH(A208,'SegEnds_Xtal_Prot#'!B:B, 0)), "NoXtal", "Xtal")</f>
        <v>NoXtal</v>
      </c>
    </row>
    <row r="209" spans="1:38" x14ac:dyDescent="0.2">
      <c r="A209" s="1" t="s">
        <v>127</v>
      </c>
      <c r="B209" s="1" t="str">
        <f>VLOOKUP(A209,Xtal_Templ!A:B,2,FALSE)</f>
        <v>ntr1_rat</v>
      </c>
      <c r="C209" s="5">
        <f>VLOOKUP($B209&amp;"__wt",'SegEnds_Xtal_BW#'!$A:$Z,3,FALSE)</f>
        <v>29</v>
      </c>
      <c r="D209" s="1">
        <f>VLOOKUP($B209&amp;"__wt",'SegEnds_Xtal_BW#'!$A:$Z,4,FALSE)</f>
        <v>60</v>
      </c>
      <c r="E209" s="1">
        <f>VLOOKUP($B209&amp;"__wt",'SegEnds_Xtal_BW#'!$A:$Z,5,FALSE)</f>
        <v>48</v>
      </c>
      <c r="F209" s="1">
        <f>VLOOKUP($B209&amp;"__wt",'SegEnds_Xtal_BW#'!$A:$Z,6,FALSE)</f>
        <v>51</v>
      </c>
      <c r="G209" s="1">
        <v>37</v>
      </c>
      <c r="H209" s="12">
        <f>VLOOKUP($B209&amp;"__wt",'SegEnds_Xtal_BW#'!$A:$Z,8,FALSE)</f>
        <v>68</v>
      </c>
      <c r="I209" s="1">
        <f>VLOOKUP($B209&amp;"__wt",'SegEnds_Xtal_BW#'!$A:$Z,9,FALSE)</f>
        <v>49</v>
      </c>
      <c r="J209" s="1">
        <f>VLOOKUP($B209&amp;"__wt",'SegEnds_Xtal_BW#'!$A:$Z,10,FALSE)</f>
        <v>52</v>
      </c>
      <c r="K209" s="12">
        <v>18</v>
      </c>
      <c r="L209" s="1">
        <f>VLOOKUP($B209&amp;"__wt",'SegEnds_Xtal_BW#'!$A:$Z,12,FALSE)</f>
        <v>56</v>
      </c>
      <c r="M209" s="1">
        <f>VLOOKUP($B209&amp;"__wt",'SegEnds_Xtal_BW#'!$A:$Z,13,FALSE)</f>
        <v>50</v>
      </c>
      <c r="N209" s="12">
        <f>VLOOKUP($B209&amp;"__wt",'SegEnds_Xtal_BW#'!$A:$Z,14,FALSE)</f>
        <v>57</v>
      </c>
      <c r="O209" s="87">
        <f>VLOOKUP($B209&amp;"__wt",'SegEnds_Xtal_BW#'!$A:$Z,15,FALSE)</f>
        <v>38</v>
      </c>
      <c r="P209" s="1">
        <f>VLOOKUP($B209&amp;"__wt",'SegEnds_Xtal_BW#'!$A:$Z,16,FALSE)</f>
        <v>64</v>
      </c>
      <c r="Q209" s="1">
        <f>VLOOKUP($B209&amp;"__wt",'SegEnds_Xtal_BW#'!$A:$Z,17,FALSE)</f>
        <v>50</v>
      </c>
      <c r="R209" s="1">
        <f>VLOOKUP($B209&amp;"__wt",'SegEnds_Xtal_BW#'!$A:$Z,18,FALSE)</f>
        <v>52</v>
      </c>
      <c r="S209" s="1">
        <f>VLOOKUP($B209&amp;"__wt",'SegEnds_Xtal_BW#'!$A:$Z,19,FALSE)</f>
        <v>32</v>
      </c>
      <c r="T209" s="1">
        <f t="array" ref="T209">INDEX(ICL3_classA!$G$2:$G$37,MATCH(MIN(ABS(AI209-ICL3_classA!$F$2:$F$37)),ABS(AI209-ICL3_classA!$F$2:$F$37),0))</f>
        <v>76</v>
      </c>
      <c r="U209" s="1">
        <f t="array" ref="U209">INDEX(ICL3_classA!$H$2:$H$37,MATCH(MIN(ABS(AI209-ICL3_classA!$F$2:$F$37)),ABS(AI209-ICL3_classA!$F$2:$F$37),0))</f>
        <v>24</v>
      </c>
      <c r="V209" s="1">
        <v>61</v>
      </c>
      <c r="W209" s="1">
        <v>24</v>
      </c>
      <c r="X209" s="1">
        <f>VLOOKUP($B209&amp;"__wt",'SegEnds_Xtal_BW#'!$A:$Z,24,FALSE)</f>
        <v>56</v>
      </c>
      <c r="Y209" s="1">
        <f>VLOOKUP($B209&amp;"__wt",'SegEnds_Xtal_BW#'!$A:$Z,25,FALSE)</f>
        <v>47</v>
      </c>
      <c r="Z209" s="1">
        <f>VLOOKUP($B209&amp;"__wt",'SegEnds_Xtal_BW#'!$A:$Z,26,FALSE)</f>
        <v>58</v>
      </c>
      <c r="AA209" s="27" t="str">
        <f>VLOOKUP(A209,Classification!A:B,2,FALSE)</f>
        <v>A</v>
      </c>
      <c r="AB209" s="1">
        <f>VLOOKUP(A209,'SegEnds_NonXtal_Prot#'!A:AL,10,FALSE)-VLOOKUP(A209,'SegEnds_NonXtal_Prot#'!A:AL,4,FALSE)</f>
        <v>31</v>
      </c>
      <c r="AC209" s="1">
        <f>VLOOKUP(A209,'SegEnds_NonXtal_Prot#'!A:AL,10,FALSE)-VLOOKUP(A209,'SegEnds_NonXtal_Prot#'!A:AL,7,FALSE)</f>
        <v>18</v>
      </c>
      <c r="AD209" s="1">
        <f>VLOOKUP(A209,'SegEnds_NonXtal_Prot#'!A:AL,13,FALSE)-VLOOKUP(A209,'SegEnds_NonXtal_Prot#'!A:AL,10,FALSE)</f>
        <v>22</v>
      </c>
      <c r="AE209" s="1">
        <f>VLOOKUP(A209,'SegEnds_NonXtal_Prot#'!A:AL,16,FALSE)-VLOOKUP(A209,'SegEnds_NonXtal_Prot#'!A:AL,10,FALSE)</f>
        <v>54</v>
      </c>
      <c r="AF209" s="1">
        <f>VLOOKUP(A209,'SegEnds_NonXtal_Prot#'!A:AL,22,FALSE)-VLOOKUP(A209,'SegEnds_NonXtal_Prot#'!A:AL,19,FALSE)</f>
        <v>20</v>
      </c>
      <c r="AG209" s="1">
        <f>VLOOKUP(A209,'SegEnds_NonXtal_Prot#'!A:AL,28,FALSE)-VLOOKUP(A209,'SegEnds_NonXtal_Prot#'!A:AL,25,FALSE)</f>
        <v>24</v>
      </c>
      <c r="AH209" s="1">
        <f>VLOOKUP(A209,'SegEnds_NonXtal_Prot#'!A:AL,28,FALSE)-VLOOKUP(A209,'SegEnds_NonXtal_Prot#'!A:AL,22,FALSE)</f>
        <v>55</v>
      </c>
      <c r="AI209" s="1">
        <f>VLOOKUP(A209,'SegEnds_NonXtal_Prot#'!A:AL,31,FALSE)-VLOOKUP(A209,'SegEnds_NonXtal_Prot#'!A:AL,28,FALSE)</f>
        <v>70</v>
      </c>
      <c r="AJ209" s="1">
        <f>VLOOKUP(A209,'SegEnds_NonXtal_Prot#'!A:AL,34,FALSE)-VLOOKUP(A209,'SegEnds_NonXtal_Prot#'!A:AL,31,FALSE)</f>
        <v>43</v>
      </c>
      <c r="AK209" s="1">
        <f>VLOOKUP(A209,'SegEnds_NonXtal_Prot#'!A:AL,37,FALSE)-VLOOKUP(A209,'SegEnds_NonXtal_Prot#'!A:AL,34,FALSE)</f>
        <v>10</v>
      </c>
      <c r="AL209" s="1" t="str">
        <f>IF(ISERROR(MATCH(A209,'SegEnds_Xtal_Prot#'!B:B, 0)), "NoXtal", "Xtal")</f>
        <v>NoXtal</v>
      </c>
    </row>
    <row r="210" spans="1:38" x14ac:dyDescent="0.2">
      <c r="A210" s="1" t="s">
        <v>914</v>
      </c>
      <c r="B210" s="1" t="str">
        <f>VLOOKUP(A210,Xtal_Templ!A:B,2,FALSE)</f>
        <v>ntr1_rat</v>
      </c>
      <c r="C210" s="5">
        <f>VLOOKUP($B210&amp;"__wt",'SegEnds_Xtal_BW#'!$A:$Z,3,FALSE)</f>
        <v>29</v>
      </c>
      <c r="D210" s="1">
        <f>VLOOKUP($B210&amp;"__wt",'SegEnds_Xtal_BW#'!$A:$Z,4,FALSE)</f>
        <v>60</v>
      </c>
      <c r="E210" s="1">
        <f>VLOOKUP($B210&amp;"__wt",'SegEnds_Xtal_BW#'!$A:$Z,5,FALSE)</f>
        <v>48</v>
      </c>
      <c r="F210" s="1">
        <f>VLOOKUP($B210&amp;"__wt",'SegEnds_Xtal_BW#'!$A:$Z,6,FALSE)</f>
        <v>51</v>
      </c>
      <c r="G210" s="1">
        <v>37</v>
      </c>
      <c r="H210" s="12">
        <f>VLOOKUP($B210&amp;"__wt",'SegEnds_Xtal_BW#'!$A:$Z,8,FALSE)</f>
        <v>68</v>
      </c>
      <c r="I210" s="1">
        <f>VLOOKUP($B210&amp;"__wt",'SegEnds_Xtal_BW#'!$A:$Z,9,FALSE)</f>
        <v>49</v>
      </c>
      <c r="J210" s="1">
        <f>VLOOKUP($B210&amp;"__wt",'SegEnds_Xtal_BW#'!$A:$Z,10,FALSE)</f>
        <v>52</v>
      </c>
      <c r="K210" s="12">
        <v>18</v>
      </c>
      <c r="L210" s="1">
        <f>VLOOKUP($B210&amp;"__wt",'SegEnds_Xtal_BW#'!$A:$Z,12,FALSE)</f>
        <v>56</v>
      </c>
      <c r="M210" s="1">
        <f>VLOOKUP($B210&amp;"__wt",'SegEnds_Xtal_BW#'!$A:$Z,13,FALSE)</f>
        <v>50</v>
      </c>
      <c r="N210" s="12">
        <f>VLOOKUP($B210&amp;"__wt",'SegEnds_Xtal_BW#'!$A:$Z,14,FALSE)</f>
        <v>57</v>
      </c>
      <c r="O210" s="87">
        <f>VLOOKUP($B210&amp;"__wt",'SegEnds_Xtal_BW#'!$A:$Z,15,FALSE)</f>
        <v>38</v>
      </c>
      <c r="P210" s="1">
        <f>VLOOKUP($B210&amp;"__wt",'SegEnds_Xtal_BW#'!$A:$Z,16,FALSE)</f>
        <v>64</v>
      </c>
      <c r="Q210" s="1">
        <f>VLOOKUP($B210&amp;"__wt",'SegEnds_Xtal_BW#'!$A:$Z,17,FALSE)</f>
        <v>50</v>
      </c>
      <c r="R210" s="1">
        <f>VLOOKUP($B210&amp;"__wt",'SegEnds_Xtal_BW#'!$A:$Z,18,FALSE)</f>
        <v>52</v>
      </c>
      <c r="S210" s="1">
        <f>VLOOKUP($B210&amp;"__wt",'SegEnds_Xtal_BW#'!$A:$Z,19,FALSE)</f>
        <v>32</v>
      </c>
      <c r="T210" s="1">
        <f t="array" ref="T210">INDEX(ICL3_classA!$G$2:$G$37,MATCH(MIN(ABS(AI210-ICL3_classA!$F$2:$F$37)),ABS(AI210-ICL3_classA!$F$2:$F$37),0))</f>
        <v>76</v>
      </c>
      <c r="U210" s="1">
        <f t="array" ref="U210">INDEX(ICL3_classA!$H$2:$H$37,MATCH(MIN(ABS(AI210-ICL3_classA!$F$2:$F$37)),ABS(AI210-ICL3_classA!$F$2:$F$37),0))</f>
        <v>24</v>
      </c>
      <c r="V210" s="1">
        <v>61</v>
      </c>
      <c r="W210" s="1">
        <v>24</v>
      </c>
      <c r="X210" s="1">
        <f>VLOOKUP($B210&amp;"__wt",'SegEnds_Xtal_BW#'!$A:$Z,24,FALSE)</f>
        <v>56</v>
      </c>
      <c r="Y210" s="1">
        <f>VLOOKUP($B210&amp;"__wt",'SegEnds_Xtal_BW#'!$A:$Z,25,FALSE)</f>
        <v>47</v>
      </c>
      <c r="Z210" s="1">
        <f>VLOOKUP($B210&amp;"__wt",'SegEnds_Xtal_BW#'!$A:$Z,26,FALSE)</f>
        <v>58</v>
      </c>
      <c r="AA210" s="27" t="str">
        <f>VLOOKUP(A210,Classification!A:B,2,FALSE)</f>
        <v>A</v>
      </c>
      <c r="AB210" s="1">
        <f>VLOOKUP(A210,'SegEnds_NonXtal_Prot#'!A:AL,10,FALSE)-VLOOKUP(A210,'SegEnds_NonXtal_Prot#'!A:AL,4,FALSE)</f>
        <v>31</v>
      </c>
      <c r="AC210" s="1">
        <f>VLOOKUP(A210,'SegEnds_NonXtal_Prot#'!A:AL,10,FALSE)-VLOOKUP(A210,'SegEnds_NonXtal_Prot#'!A:AL,7,FALSE)</f>
        <v>18</v>
      </c>
      <c r="AD210" s="1">
        <f>VLOOKUP(A210,'SegEnds_NonXtal_Prot#'!A:AL,13,FALSE)-VLOOKUP(A210,'SegEnds_NonXtal_Prot#'!A:AL,10,FALSE)</f>
        <v>22</v>
      </c>
      <c r="AE210" s="1">
        <f>VLOOKUP(A210,'SegEnds_NonXtal_Prot#'!A:AL,16,FALSE)-VLOOKUP(A210,'SegEnds_NonXtal_Prot#'!A:AL,10,FALSE)</f>
        <v>54</v>
      </c>
      <c r="AF210" s="1">
        <f>VLOOKUP(A210,'SegEnds_NonXtal_Prot#'!A:AL,22,FALSE)-VLOOKUP(A210,'SegEnds_NonXtal_Prot#'!A:AL,19,FALSE)</f>
        <v>20</v>
      </c>
      <c r="AG210" s="1">
        <f>VLOOKUP(A210,'SegEnds_NonXtal_Prot#'!A:AL,28,FALSE)-VLOOKUP(A210,'SegEnds_NonXtal_Prot#'!A:AL,25,FALSE)</f>
        <v>24</v>
      </c>
      <c r="AH210" s="1">
        <f>VLOOKUP(A210,'SegEnds_NonXtal_Prot#'!A:AL,28,FALSE)-VLOOKUP(A210,'SegEnds_NonXtal_Prot#'!A:AL,22,FALSE)</f>
        <v>55</v>
      </c>
      <c r="AI210" s="1">
        <f>VLOOKUP(A210,'SegEnds_NonXtal_Prot#'!A:AL,31,FALSE)-VLOOKUP(A210,'SegEnds_NonXtal_Prot#'!A:AL,28,FALSE)</f>
        <v>74</v>
      </c>
      <c r="AJ210" s="1">
        <f>VLOOKUP(A210,'SegEnds_NonXtal_Prot#'!A:AL,34,FALSE)-VLOOKUP(A210,'SegEnds_NonXtal_Prot#'!A:AL,31,FALSE)</f>
        <v>43</v>
      </c>
      <c r="AK210" s="1">
        <f>VLOOKUP(A210,'SegEnds_NonXtal_Prot#'!A:AL,37,FALSE)-VLOOKUP(A210,'SegEnds_NonXtal_Prot#'!A:AL,34,FALSE)</f>
        <v>10</v>
      </c>
      <c r="AL210" s="1" t="str">
        <f>IF(ISERROR(MATCH(A210,'SegEnds_Xtal_Prot#'!B:B, 0)), "NoXtal", "Xtal")</f>
        <v>Xtal</v>
      </c>
    </row>
    <row r="211" spans="1:38" x14ac:dyDescent="0.2">
      <c r="A211" s="1" t="s">
        <v>330</v>
      </c>
      <c r="B211" s="1" t="str">
        <f>VLOOKUP(A211,Xtal_Templ!A:B,2,FALSE)</f>
        <v>ntr1_rat</v>
      </c>
      <c r="C211" s="5">
        <f>VLOOKUP($B211&amp;"__wt",'SegEnds_Xtal_BW#'!$A:$Z,3,FALSE)</f>
        <v>29</v>
      </c>
      <c r="D211" s="1">
        <f>VLOOKUP($B211&amp;"__wt",'SegEnds_Xtal_BW#'!$A:$Z,4,FALSE)</f>
        <v>60</v>
      </c>
      <c r="E211" s="1">
        <f>VLOOKUP($B211&amp;"__wt",'SegEnds_Xtal_BW#'!$A:$Z,5,FALSE)</f>
        <v>48</v>
      </c>
      <c r="F211" s="1">
        <f>VLOOKUP($B211&amp;"__wt",'SegEnds_Xtal_BW#'!$A:$Z,6,FALSE)</f>
        <v>51</v>
      </c>
      <c r="G211" s="1">
        <v>37</v>
      </c>
      <c r="H211" s="12">
        <f>VLOOKUP($B211&amp;"__wt",'SegEnds_Xtal_BW#'!$A:$Z,8,FALSE)</f>
        <v>68</v>
      </c>
      <c r="I211" s="1">
        <f>VLOOKUP($B211&amp;"__wt",'SegEnds_Xtal_BW#'!$A:$Z,9,FALSE)</f>
        <v>49</v>
      </c>
      <c r="J211" s="1">
        <f>VLOOKUP($B211&amp;"__wt",'SegEnds_Xtal_BW#'!$A:$Z,10,FALSE)</f>
        <v>52</v>
      </c>
      <c r="K211" s="12">
        <v>18</v>
      </c>
      <c r="L211" s="1">
        <f>VLOOKUP($B211&amp;"__wt",'SegEnds_Xtal_BW#'!$A:$Z,12,FALSE)</f>
        <v>56</v>
      </c>
      <c r="M211" s="1">
        <f>VLOOKUP($B211&amp;"__wt",'SegEnds_Xtal_BW#'!$A:$Z,13,FALSE)</f>
        <v>50</v>
      </c>
      <c r="N211" s="12">
        <f>VLOOKUP($B211&amp;"__wt",'SegEnds_Xtal_BW#'!$A:$Z,14,FALSE)</f>
        <v>57</v>
      </c>
      <c r="O211" s="87">
        <f>VLOOKUP($B211&amp;"__wt",'SegEnds_Xtal_BW#'!$A:$Z,15,FALSE)</f>
        <v>38</v>
      </c>
      <c r="P211" s="1">
        <f>VLOOKUP($B211&amp;"__wt",'SegEnds_Xtal_BW#'!$A:$Z,16,FALSE)</f>
        <v>64</v>
      </c>
      <c r="Q211" s="1">
        <f>VLOOKUP($B211&amp;"__wt",'SegEnds_Xtal_BW#'!$A:$Z,17,FALSE)</f>
        <v>50</v>
      </c>
      <c r="R211" s="1">
        <f>VLOOKUP($B211&amp;"__wt",'SegEnds_Xtal_BW#'!$A:$Z,18,FALSE)</f>
        <v>52</v>
      </c>
      <c r="S211" s="1">
        <f>VLOOKUP($B211&amp;"__wt",'SegEnds_Xtal_BW#'!$A:$Z,19,FALSE)</f>
        <v>32</v>
      </c>
      <c r="T211" s="1">
        <f t="array" ref="T211">INDEX(ICL3_classA!$G$2:$G$37,MATCH(MIN(ABS(AI211-ICL3_classA!$F$2:$F$37)),ABS(AI211-ICL3_classA!$F$2:$F$37),0))</f>
        <v>74</v>
      </c>
      <c r="U211" s="1">
        <f t="array" ref="U211">INDEX(ICL3_classA!$H$2:$H$37,MATCH(MIN(ABS(AI211-ICL3_classA!$F$2:$F$37)),ABS(AI211-ICL3_classA!$F$2:$F$37),0))</f>
        <v>24</v>
      </c>
      <c r="V211" s="1">
        <v>61</v>
      </c>
      <c r="W211" s="1">
        <v>24</v>
      </c>
      <c r="X211" s="1">
        <f>VLOOKUP($B211&amp;"__wt",'SegEnds_Xtal_BW#'!$A:$Z,24,FALSE)</f>
        <v>56</v>
      </c>
      <c r="Y211" s="1">
        <f>VLOOKUP($B211&amp;"__wt",'SegEnds_Xtal_BW#'!$A:$Z,25,FALSE)</f>
        <v>47</v>
      </c>
      <c r="Z211" s="1">
        <f>VLOOKUP($B211&amp;"__wt",'SegEnds_Xtal_BW#'!$A:$Z,26,FALSE)</f>
        <v>58</v>
      </c>
      <c r="AA211" s="27" t="str">
        <f>VLOOKUP(A211,Classification!A:B,2,FALSE)</f>
        <v>A</v>
      </c>
      <c r="AB211" s="1">
        <f>VLOOKUP(A211,'SegEnds_NonXtal_Prot#'!A:AL,10,FALSE)-VLOOKUP(A211,'SegEnds_NonXtal_Prot#'!A:AL,4,FALSE)</f>
        <v>29</v>
      </c>
      <c r="AC211" s="1" t="e">
        <f>VLOOKUP(A211,'SegEnds_NonXtal_Prot#'!A:AL,10,FALSE)-VLOOKUP(A211,'SegEnds_NonXtal_Prot#'!A:AL,7,FALSE)</f>
        <v>#VALUE!</v>
      </c>
      <c r="AD211" s="1">
        <f>VLOOKUP(A211,'SegEnds_NonXtal_Prot#'!A:AL,13,FALSE)-VLOOKUP(A211,'SegEnds_NonXtal_Prot#'!A:AL,10,FALSE)</f>
        <v>22</v>
      </c>
      <c r="AE211" s="1">
        <f>VLOOKUP(A211,'SegEnds_NonXtal_Prot#'!A:AL,16,FALSE)-VLOOKUP(A211,'SegEnds_NonXtal_Prot#'!A:AL,10,FALSE)</f>
        <v>54</v>
      </c>
      <c r="AF211" s="1">
        <f>VLOOKUP(A211,'SegEnds_NonXtal_Prot#'!A:AL,22,FALSE)-VLOOKUP(A211,'SegEnds_NonXtal_Prot#'!A:AL,19,FALSE)</f>
        <v>20</v>
      </c>
      <c r="AG211" s="1">
        <f>VLOOKUP(A211,'SegEnds_NonXtal_Prot#'!A:AL,28,FALSE)-VLOOKUP(A211,'SegEnds_NonXtal_Prot#'!A:AL,25,FALSE)</f>
        <v>24</v>
      </c>
      <c r="AH211" s="1">
        <f>VLOOKUP(A211,'SegEnds_NonXtal_Prot#'!A:AL,28,FALSE)-VLOOKUP(A211,'SegEnds_NonXtal_Prot#'!A:AL,22,FALSE)</f>
        <v>58</v>
      </c>
      <c r="AI211" s="1">
        <f>VLOOKUP(A211,'SegEnds_NonXtal_Prot#'!A:AL,31,FALSE)-VLOOKUP(A211,'SegEnds_NonXtal_Prot#'!A:AL,28,FALSE)</f>
        <v>94</v>
      </c>
      <c r="AJ211" s="1">
        <f>VLOOKUP(A211,'SegEnds_NonXtal_Prot#'!A:AL,34,FALSE)-VLOOKUP(A211,'SegEnds_NonXtal_Prot#'!A:AL,31,FALSE)</f>
        <v>43</v>
      </c>
      <c r="AK211" s="1">
        <f>VLOOKUP(A211,'SegEnds_NonXtal_Prot#'!A:AL,37,FALSE)-VLOOKUP(A211,'SegEnds_NonXtal_Prot#'!A:AL,34,FALSE)</f>
        <v>10</v>
      </c>
      <c r="AL211" s="1" t="str">
        <f>IF(ISERROR(MATCH(A211,'SegEnds_Xtal_Prot#'!B:B, 0)), "NoXtal", "Xtal")</f>
        <v>NoXtal</v>
      </c>
    </row>
    <row r="212" spans="1:38" x14ac:dyDescent="0.2">
      <c r="A212" s="1" t="s">
        <v>331</v>
      </c>
      <c r="B212" s="1" t="str">
        <f>VLOOKUP(A212,Xtal_Templ!A:B,2,FALSE)</f>
        <v>agtr2_human</v>
      </c>
      <c r="C212" s="5">
        <f>VLOOKUP($B212&amp;"__wt",'SegEnds_Xtal_BW#'!$A:$Z,3,FALSE)</f>
        <v>33</v>
      </c>
      <c r="D212" s="108">
        <v>60</v>
      </c>
      <c r="E212" s="108">
        <v>48</v>
      </c>
      <c r="F212" s="108">
        <v>51</v>
      </c>
      <c r="G212" s="1">
        <v>37</v>
      </c>
      <c r="H212" s="12">
        <f>VLOOKUP($B212&amp;"__wt",'SegEnds_Xtal_BW#'!$A:$Z,8,FALSE)</f>
        <v>66</v>
      </c>
      <c r="I212" s="1">
        <f>VLOOKUP($B212&amp;"__wt",'SegEnds_Xtal_BW#'!$A:$Z,9,FALSE)</f>
        <v>47</v>
      </c>
      <c r="J212" s="1">
        <f>VLOOKUP($B212&amp;"__wt",'SegEnds_Xtal_BW#'!$A:$Z,10,FALSE)</f>
        <v>52</v>
      </c>
      <c r="K212" s="12">
        <v>18</v>
      </c>
      <c r="L212" s="1">
        <f>VLOOKUP($B212&amp;"__wt",'SegEnds_Xtal_BW#'!$A:$Z,12,FALSE)</f>
        <v>56</v>
      </c>
      <c r="M212" s="1">
        <f>VLOOKUP($B212&amp;"__wt",'SegEnds_Xtal_BW#'!$A:$Z,13,FALSE)</f>
        <v>50</v>
      </c>
      <c r="N212" s="12">
        <v>57</v>
      </c>
      <c r="O212" s="87">
        <f>VLOOKUP($B212&amp;"__wt",'SegEnds_Xtal_BW#'!$A:$Z,15,FALSE)</f>
        <v>38</v>
      </c>
      <c r="P212" s="1">
        <f>VLOOKUP($B212&amp;"__wt",'SegEnds_Xtal_BW#'!$A:$Z,16,FALSE)</f>
        <v>64</v>
      </c>
      <c r="Q212" s="1">
        <f>VLOOKUP($B212&amp;"__wt",'SegEnds_Xtal_BW#'!$A:$Z,17,FALSE)</f>
        <v>50</v>
      </c>
      <c r="R212" s="1">
        <f>VLOOKUP($B212&amp;"__wt",'SegEnds_Xtal_BW#'!$A:$Z,18,FALSE)</f>
        <v>52</v>
      </c>
      <c r="S212" s="1">
        <f>VLOOKUP($B212&amp;"__wt",'SegEnds_Xtal_BW#'!$A:$Z,19,FALSE)</f>
        <v>30</v>
      </c>
      <c r="T212" s="1">
        <f t="array" ref="T212">INDEX(ICL3_classA!$G$2:$G$37,MATCH(MIN(ABS(AI212-ICL3_classA!$F$2:$F$37)),ABS(AI212-ICL3_classA!$F$2:$F$37),0))</f>
        <v>67</v>
      </c>
      <c r="U212" s="1">
        <f t="array" ref="U212">INDEX(ICL3_classA!$H$2:$H$37,MATCH(MIN(ABS(AI212-ICL3_classA!$F$2:$F$37)),ABS(AI212-ICL3_classA!$F$2:$F$37),0))</f>
        <v>26</v>
      </c>
      <c r="V212" s="1">
        <v>61</v>
      </c>
      <c r="W212" s="1">
        <v>28</v>
      </c>
      <c r="X212" s="1">
        <f>VLOOKUP($B212&amp;"__wt",'SegEnds_Xtal_BW#'!$A:$Z,24,FALSE)</f>
        <v>56</v>
      </c>
      <c r="Y212" s="1">
        <f>VLOOKUP($B212&amp;"__wt",'SegEnds_Xtal_BW#'!$A:$Z,25,FALSE)</f>
        <v>47</v>
      </c>
      <c r="Z212" s="1">
        <f>VLOOKUP($B212&amp;"__wt",'SegEnds_Xtal_BW#'!$A:$Z,26,FALSE)</f>
        <v>61</v>
      </c>
      <c r="AA212" s="27" t="str">
        <f>VLOOKUP(A212,Classification!A:B,2,FALSE)</f>
        <v>A</v>
      </c>
      <c r="AB212" s="1">
        <f>VLOOKUP(A212,'SegEnds_NonXtal_Prot#'!A:AL,10,FALSE)-VLOOKUP(A212,'SegEnds_NonXtal_Prot#'!A:AL,4,FALSE)</f>
        <v>28</v>
      </c>
      <c r="AC212" s="1">
        <f>VLOOKUP(A212,'SegEnds_NonXtal_Prot#'!A:AL,10,FALSE)-VLOOKUP(A212,'SegEnds_NonXtal_Prot#'!A:AL,7,FALSE)</f>
        <v>15</v>
      </c>
      <c r="AD212" s="1">
        <f>VLOOKUP(A212,'SegEnds_NonXtal_Prot#'!A:AL,13,FALSE)-VLOOKUP(A212,'SegEnds_NonXtal_Prot#'!A:AL,10,FALSE)</f>
        <v>20</v>
      </c>
      <c r="AE212" s="1">
        <f>VLOOKUP(A212,'SegEnds_NonXtal_Prot#'!A:AL,16,FALSE)-VLOOKUP(A212,'SegEnds_NonXtal_Prot#'!A:AL,10,FALSE)</f>
        <v>52</v>
      </c>
      <c r="AF212" s="1">
        <f>VLOOKUP(A212,'SegEnds_NonXtal_Prot#'!A:AL,22,FALSE)-VLOOKUP(A212,'SegEnds_NonXtal_Prot#'!A:AL,19,FALSE)</f>
        <v>20</v>
      </c>
      <c r="AG212" s="1">
        <f>VLOOKUP(A212,'SegEnds_NonXtal_Prot#'!A:AL,28,FALSE)-VLOOKUP(A212,'SegEnds_NonXtal_Prot#'!A:AL,25,FALSE)</f>
        <v>25</v>
      </c>
      <c r="AH212" s="1">
        <f>VLOOKUP(A212,'SegEnds_NonXtal_Prot#'!A:AL,28,FALSE)-VLOOKUP(A212,'SegEnds_NonXtal_Prot#'!A:AL,22,FALSE)</f>
        <v>51</v>
      </c>
      <c r="AI212" s="1">
        <f>VLOOKUP(A212,'SegEnds_NonXtal_Prot#'!A:AL,31,FALSE)-VLOOKUP(A212,'SegEnds_NonXtal_Prot#'!A:AL,28,FALSE)</f>
        <v>46</v>
      </c>
      <c r="AJ212" s="1">
        <f>VLOOKUP(A212,'SegEnds_NonXtal_Prot#'!A:AL,34,FALSE)-VLOOKUP(A212,'SegEnds_NonXtal_Prot#'!A:AL,31,FALSE)</f>
        <v>40</v>
      </c>
      <c r="AK212" s="1">
        <f>VLOOKUP(A212,'SegEnds_NonXtal_Prot#'!A:AL,37,FALSE)-VLOOKUP(A212,'SegEnds_NonXtal_Prot#'!A:AL,34,FALSE)</f>
        <v>10</v>
      </c>
      <c r="AL212" s="1" t="str">
        <f>IF(ISERROR(MATCH(A212,'SegEnds_Xtal_Prot#'!B:B, 0)), "NoXtal", "Xtal")</f>
        <v>NoXtal</v>
      </c>
    </row>
    <row r="213" spans="1:38" x14ac:dyDescent="0.2">
      <c r="A213" s="1" t="s">
        <v>332</v>
      </c>
      <c r="B213" s="1" t="str">
        <f>VLOOKUP(A213,Xtal_Templ!A:B,2,FALSE)</f>
        <v>opsd_bovin</v>
      </c>
      <c r="C213" s="5">
        <f>VLOOKUP($B213&amp;"__wt",'SegEnds_Xtal_BW#'!$A:$Z,3,FALSE)</f>
        <v>28</v>
      </c>
      <c r="D213" s="1">
        <f>VLOOKUP($B213&amp;"__wt",'SegEnds_Xtal_BW#'!$A:$Z,4,FALSE)</f>
        <v>60</v>
      </c>
      <c r="E213" s="1">
        <f>VLOOKUP($B213&amp;"__wt",'SegEnds_Xtal_BW#'!$A:$Z,5,FALSE)</f>
        <v>48</v>
      </c>
      <c r="F213" s="1">
        <f>VLOOKUP($B213&amp;"__wt",'SegEnds_Xtal_BW#'!$A:$Z,6,FALSE)</f>
        <v>51</v>
      </c>
      <c r="G213" s="1">
        <v>37</v>
      </c>
      <c r="H213" s="12">
        <f>VLOOKUP($B213&amp;"__wt",'SegEnds_Xtal_BW#'!$A:$Z,8,FALSE)</f>
        <v>67</v>
      </c>
      <c r="I213" s="1">
        <f>VLOOKUP($B213&amp;"__wt",'SegEnds_Xtal_BW#'!$A:$Z,9,FALSE)</f>
        <v>49</v>
      </c>
      <c r="J213" s="1">
        <f>VLOOKUP($B213&amp;"__wt",'SegEnds_Xtal_BW#'!$A:$Z,10,FALSE)</f>
        <v>52</v>
      </c>
      <c r="K213" s="12">
        <v>18</v>
      </c>
      <c r="L213" s="1">
        <f>VLOOKUP($B213&amp;"__wt",'SegEnds_Xtal_BW#'!$A:$Z,12,FALSE)</f>
        <v>56</v>
      </c>
      <c r="M213" s="1">
        <f>VLOOKUP($B213&amp;"__wt",'SegEnds_Xtal_BW#'!$A:$Z,13,FALSE)</f>
        <v>50</v>
      </c>
      <c r="N213" s="12">
        <f>VLOOKUP($B213&amp;"__wt",'SegEnds_Xtal_BW#'!$A:$Z,14,FALSE)</f>
        <v>56</v>
      </c>
      <c r="O213" s="87">
        <f>VLOOKUP($B213&amp;"__wt",'SegEnds_Xtal_BW#'!$A:$Z,15,FALSE)</f>
        <v>38</v>
      </c>
      <c r="P213" s="1">
        <f>VLOOKUP($B213&amp;"__wt",'SegEnds_Xtal_BW#'!$A:$Z,16,FALSE)</f>
        <v>62</v>
      </c>
      <c r="Q213" s="1">
        <f>VLOOKUP($B213&amp;"__wt",'SegEnds_Xtal_BW#'!$A:$Z,17,FALSE)</f>
        <v>50</v>
      </c>
      <c r="R213" s="1">
        <f>VLOOKUP($B213&amp;"__wt",'SegEnds_Xtal_BW#'!$A:$Z,18,FALSE)</f>
        <v>52</v>
      </c>
      <c r="S213" s="1">
        <f>VLOOKUP($B213&amp;"__wt",'SegEnds_Xtal_BW#'!$A:$Z,19,FALSE)</f>
        <v>34</v>
      </c>
      <c r="T213" s="1">
        <f t="array" ref="T213">INDEX(ICL3_classA!$G$2:$G$37,MATCH(MIN(ABS(AI213-ICL3_classA!$F$2:$F$37)),ABS(AI213-ICL3_classA!$F$2:$F$37),0))</f>
        <v>73</v>
      </c>
      <c r="U213" s="1">
        <f t="array" ref="U213">INDEX(ICL3_classA!$H$2:$H$37,MATCH(MIN(ABS(AI213-ICL3_classA!$F$2:$F$37)),ABS(AI213-ICL3_classA!$F$2:$F$37),0))</f>
        <v>22</v>
      </c>
      <c r="V213" s="1">
        <v>61</v>
      </c>
      <c r="W213" s="1">
        <v>31</v>
      </c>
      <c r="X213" s="1">
        <f>VLOOKUP($B213&amp;"__wt",'SegEnds_Xtal_BW#'!$A:$Z,24,FALSE)</f>
        <v>56</v>
      </c>
      <c r="Y213" s="1">
        <f>VLOOKUP($B213&amp;"__wt",'SegEnds_Xtal_BW#'!$A:$Z,25,FALSE)</f>
        <v>47</v>
      </c>
      <c r="Z213" s="1">
        <f>VLOOKUP($B213&amp;"__wt",'SegEnds_Xtal_BW#'!$A:$Z,26,FALSE)</f>
        <v>59</v>
      </c>
      <c r="AA213" s="27" t="str">
        <f>VLOOKUP(A213,Classification!A:B,2,FALSE)</f>
        <v>A</v>
      </c>
      <c r="AB213" s="1">
        <f>VLOOKUP(A213,'SegEnds_NonXtal_Prot#'!A:AL,10,FALSE)-VLOOKUP(A213,'SegEnds_NonXtal_Prot#'!A:AL,4,FALSE)</f>
        <v>28</v>
      </c>
      <c r="AC213" s="1">
        <f>VLOOKUP(A213,'SegEnds_NonXtal_Prot#'!A:AL,10,FALSE)-VLOOKUP(A213,'SegEnds_NonXtal_Prot#'!A:AL,7,FALSE)</f>
        <v>15</v>
      </c>
      <c r="AD213" s="1">
        <f>VLOOKUP(A213,'SegEnds_NonXtal_Prot#'!A:AL,13,FALSE)-VLOOKUP(A213,'SegEnds_NonXtal_Prot#'!A:AL,10,FALSE)</f>
        <v>20</v>
      </c>
      <c r="AE213" s="1">
        <f>VLOOKUP(A213,'SegEnds_NonXtal_Prot#'!A:AL,16,FALSE)-VLOOKUP(A213,'SegEnds_NonXtal_Prot#'!A:AL,10,FALSE)</f>
        <v>52</v>
      </c>
      <c r="AF213" s="1" t="e">
        <f>VLOOKUP(A213,'SegEnds_NonXtal_Prot#'!A:AL,22,FALSE)-VLOOKUP(A213,'SegEnds_NonXtal_Prot#'!A:AL,19,FALSE)</f>
        <v>#VALUE!</v>
      </c>
      <c r="AG213" s="1">
        <f>VLOOKUP(A213,'SegEnds_NonXtal_Prot#'!A:AL,28,FALSE)-VLOOKUP(A213,'SegEnds_NonXtal_Prot#'!A:AL,25,FALSE)</f>
        <v>26</v>
      </c>
      <c r="AH213" s="1">
        <f>VLOOKUP(A213,'SegEnds_NonXtal_Prot#'!A:AL,28,FALSE)-VLOOKUP(A213,'SegEnds_NonXtal_Prot#'!A:AL,22,FALSE)</f>
        <v>52</v>
      </c>
      <c r="AI213" s="1">
        <f>VLOOKUP(A213,'SegEnds_NonXtal_Prot#'!A:AL,31,FALSE)-VLOOKUP(A213,'SegEnds_NonXtal_Prot#'!A:AL,28,FALSE)</f>
        <v>56</v>
      </c>
      <c r="AJ213" s="1">
        <f>VLOOKUP(A213,'SegEnds_NonXtal_Prot#'!A:AL,34,FALSE)-VLOOKUP(A213,'SegEnds_NonXtal_Prot#'!A:AL,31,FALSE)</f>
        <v>36</v>
      </c>
      <c r="AK213" s="1">
        <f>VLOOKUP(A213,'SegEnds_NonXtal_Prot#'!A:AL,37,FALSE)-VLOOKUP(A213,'SegEnds_NonXtal_Prot#'!A:AL,34,FALSE)</f>
        <v>10</v>
      </c>
      <c r="AL213" s="1" t="str">
        <f>IF(ISERROR(MATCH(A213,'SegEnds_Xtal_Prot#'!B:B, 0)), "NoXtal", "Xtal")</f>
        <v>NoXtal</v>
      </c>
    </row>
    <row r="214" spans="1:38" x14ac:dyDescent="0.2">
      <c r="A214" s="1" t="s">
        <v>333</v>
      </c>
      <c r="B214" s="1" t="str">
        <f>VLOOKUP(A214,Xtal_Templ!A:B,2,FALSE)</f>
        <v>opsd_human</v>
      </c>
      <c r="C214" s="5">
        <f>VLOOKUP($B214&amp;"__wt",'SegEnds_Xtal_BW#'!$A:$Z,3,FALSE)</f>
        <v>29</v>
      </c>
      <c r="D214" s="1">
        <f>VLOOKUP($B214&amp;"__wt",'SegEnds_Xtal_BW#'!$A:$Z,4,FALSE)</f>
        <v>60</v>
      </c>
      <c r="E214" s="1">
        <f>VLOOKUP($B214&amp;"__wt",'SegEnds_Xtal_BW#'!$A:$Z,5,FALSE)</f>
        <v>48</v>
      </c>
      <c r="F214" s="1">
        <f>VLOOKUP($B214&amp;"__wt",'SegEnds_Xtal_BW#'!$A:$Z,6,FALSE)</f>
        <v>51</v>
      </c>
      <c r="G214" s="1">
        <v>37</v>
      </c>
      <c r="H214" s="12">
        <f>VLOOKUP($B214&amp;"__wt",'SegEnds_Xtal_BW#'!$A:$Z,8,FALSE)</f>
        <v>67</v>
      </c>
      <c r="I214" s="1">
        <f>VLOOKUP($B214&amp;"__wt",'SegEnds_Xtal_BW#'!$A:$Z,9,FALSE)</f>
        <v>49</v>
      </c>
      <c r="J214" s="1">
        <f>VLOOKUP($B214&amp;"__wt",'SegEnds_Xtal_BW#'!$A:$Z,10,FALSE)</f>
        <v>52</v>
      </c>
      <c r="K214" s="12">
        <v>18</v>
      </c>
      <c r="L214" s="1">
        <f>VLOOKUP($B214&amp;"__wt",'SegEnds_Xtal_BW#'!$A:$Z,12,FALSE)</f>
        <v>56</v>
      </c>
      <c r="M214" s="1">
        <f>VLOOKUP($B214&amp;"__wt",'SegEnds_Xtal_BW#'!$A:$Z,13,FALSE)</f>
        <v>50</v>
      </c>
      <c r="N214" s="12">
        <v>57</v>
      </c>
      <c r="O214" s="87">
        <f>VLOOKUP($B214&amp;"__wt",'SegEnds_Xtal_BW#'!$A:$Z,15,FALSE)</f>
        <v>38</v>
      </c>
      <c r="P214" s="1">
        <f>VLOOKUP($B214&amp;"__wt",'SegEnds_Xtal_BW#'!$A:$Z,16,FALSE)</f>
        <v>62</v>
      </c>
      <c r="Q214" s="1">
        <f>VLOOKUP($B214&amp;"__wt",'SegEnds_Xtal_BW#'!$A:$Z,17,FALSE)</f>
        <v>50</v>
      </c>
      <c r="R214" s="1">
        <f>VLOOKUP($B214&amp;"__wt",'SegEnds_Xtal_BW#'!$A:$Z,18,FALSE)</f>
        <v>52</v>
      </c>
      <c r="S214" s="1">
        <f>VLOOKUP($B214&amp;"__wt",'SegEnds_Xtal_BW#'!$A:$Z,19,FALSE)</f>
        <v>34</v>
      </c>
      <c r="T214" s="1">
        <f t="array" ref="T214">INDEX(ICL3_classA!$G$2:$G$37,MATCH(MIN(ABS(AI214-ICL3_classA!$F$2:$F$37)),ABS(AI214-ICL3_classA!$F$2:$F$37),0))</f>
        <v>74</v>
      </c>
      <c r="U214" s="1">
        <f t="array" ref="U214">INDEX(ICL3_classA!$H$2:$H$37,MATCH(MIN(ABS(AI214-ICL3_classA!$F$2:$F$37)),ABS(AI214-ICL3_classA!$F$2:$F$37),0))</f>
        <v>21</v>
      </c>
      <c r="V214" s="1">
        <v>61</v>
      </c>
      <c r="W214" s="1">
        <v>31</v>
      </c>
      <c r="X214" s="1">
        <f>VLOOKUP($B214&amp;"__wt",'SegEnds_Xtal_BW#'!$A:$Z,24,FALSE)</f>
        <v>56</v>
      </c>
      <c r="Y214" s="1">
        <f>VLOOKUP($B214&amp;"__wt",'SegEnds_Xtal_BW#'!$A:$Z,25,FALSE)</f>
        <v>47</v>
      </c>
      <c r="Z214" s="1">
        <f>VLOOKUP($B214&amp;"__wt",'SegEnds_Xtal_BW#'!$A:$Z,26,FALSE)</f>
        <v>59</v>
      </c>
      <c r="AA214" s="27" t="str">
        <f>VLOOKUP(A214,Classification!A:B,2,FALSE)</f>
        <v>A</v>
      </c>
      <c r="AB214" s="1">
        <f>VLOOKUP(A214,'SegEnds_NonXtal_Prot#'!A:AL,10,FALSE)-VLOOKUP(A214,'SegEnds_NonXtal_Prot#'!A:AL,4,FALSE)</f>
        <v>28</v>
      </c>
      <c r="AC214" s="1">
        <f>VLOOKUP(A214,'SegEnds_NonXtal_Prot#'!A:AL,10,FALSE)-VLOOKUP(A214,'SegEnds_NonXtal_Prot#'!A:AL,7,FALSE)</f>
        <v>15</v>
      </c>
      <c r="AD214" s="1">
        <f>VLOOKUP(A214,'SegEnds_NonXtal_Prot#'!A:AL,13,FALSE)-VLOOKUP(A214,'SegEnds_NonXtal_Prot#'!A:AL,10,FALSE)</f>
        <v>20</v>
      </c>
      <c r="AE214" s="1">
        <f>VLOOKUP(A214,'SegEnds_NonXtal_Prot#'!A:AL,16,FALSE)-VLOOKUP(A214,'SegEnds_NonXtal_Prot#'!A:AL,10,FALSE)</f>
        <v>52</v>
      </c>
      <c r="AF214" s="1">
        <f>VLOOKUP(A214,'SegEnds_NonXtal_Prot#'!A:AL,22,FALSE)-VLOOKUP(A214,'SegEnds_NonXtal_Prot#'!A:AL,19,FALSE)</f>
        <v>20</v>
      </c>
      <c r="AG214" s="1">
        <f>VLOOKUP(A214,'SegEnds_NonXtal_Prot#'!A:AL,28,FALSE)-VLOOKUP(A214,'SegEnds_NonXtal_Prot#'!A:AL,25,FALSE)</f>
        <v>26</v>
      </c>
      <c r="AH214" s="1">
        <f>VLOOKUP(A214,'SegEnds_NonXtal_Prot#'!A:AL,28,FALSE)-VLOOKUP(A214,'SegEnds_NonXtal_Prot#'!A:AL,22,FALSE)</f>
        <v>52</v>
      </c>
      <c r="AI214" s="1">
        <f>VLOOKUP(A214,'SegEnds_NonXtal_Prot#'!A:AL,31,FALSE)-VLOOKUP(A214,'SegEnds_NonXtal_Prot#'!A:AL,28,FALSE)</f>
        <v>64</v>
      </c>
      <c r="AJ214" s="1">
        <f>VLOOKUP(A214,'SegEnds_NonXtal_Prot#'!A:AL,34,FALSE)-VLOOKUP(A214,'SegEnds_NonXtal_Prot#'!A:AL,31,FALSE)</f>
        <v>36</v>
      </c>
      <c r="AK214" s="1">
        <f>VLOOKUP(A214,'SegEnds_NonXtal_Prot#'!A:AL,37,FALSE)-VLOOKUP(A214,'SegEnds_NonXtal_Prot#'!A:AL,34,FALSE)</f>
        <v>10</v>
      </c>
      <c r="AL214" s="1" t="str">
        <f>IF(ISERROR(MATCH(A214,'SegEnds_Xtal_Prot#'!B:B, 0)), "NoXtal", "Xtal")</f>
        <v>NoXtal</v>
      </c>
    </row>
    <row r="215" spans="1:38" x14ac:dyDescent="0.2">
      <c r="A215" s="1" t="s">
        <v>334</v>
      </c>
      <c r="B215" s="1" t="str">
        <f>VLOOKUP(A215,Xtal_Templ!A:B,2,FALSE)</f>
        <v>opsd_bovin</v>
      </c>
      <c r="C215" s="5">
        <f>VLOOKUP($B215&amp;"__wt",'SegEnds_Xtal_BW#'!$A:$Z,3,FALSE)</f>
        <v>28</v>
      </c>
      <c r="D215" s="1">
        <f>VLOOKUP($B215&amp;"__wt",'SegEnds_Xtal_BW#'!$A:$Z,4,FALSE)</f>
        <v>60</v>
      </c>
      <c r="E215" s="1">
        <f>VLOOKUP($B215&amp;"__wt",'SegEnds_Xtal_BW#'!$A:$Z,5,FALSE)</f>
        <v>48</v>
      </c>
      <c r="F215" s="1">
        <f>VLOOKUP($B215&amp;"__wt",'SegEnds_Xtal_BW#'!$A:$Z,6,FALSE)</f>
        <v>51</v>
      </c>
      <c r="G215" s="1">
        <v>37</v>
      </c>
      <c r="H215" s="12">
        <f>VLOOKUP($B215&amp;"__wt",'SegEnds_Xtal_BW#'!$A:$Z,8,FALSE)</f>
        <v>67</v>
      </c>
      <c r="I215" s="1">
        <f>VLOOKUP($B215&amp;"__wt",'SegEnds_Xtal_BW#'!$A:$Z,9,FALSE)</f>
        <v>49</v>
      </c>
      <c r="J215" s="1">
        <f>VLOOKUP($B215&amp;"__wt",'SegEnds_Xtal_BW#'!$A:$Z,10,FALSE)</f>
        <v>52</v>
      </c>
      <c r="K215" s="12">
        <v>18</v>
      </c>
      <c r="L215" s="1">
        <f>VLOOKUP($B215&amp;"__wt",'SegEnds_Xtal_BW#'!$A:$Z,12,FALSE)</f>
        <v>56</v>
      </c>
      <c r="M215" s="1">
        <f>VLOOKUP($B215&amp;"__wt",'SegEnds_Xtal_BW#'!$A:$Z,13,FALSE)</f>
        <v>50</v>
      </c>
      <c r="N215" s="108">
        <v>56</v>
      </c>
      <c r="O215" s="87">
        <f>VLOOKUP($B215&amp;"__wt",'SegEnds_Xtal_BW#'!$A:$Z,15,FALSE)</f>
        <v>38</v>
      </c>
      <c r="P215" s="1">
        <f>VLOOKUP($B215&amp;"__wt",'SegEnds_Xtal_BW#'!$A:$Z,16,FALSE)</f>
        <v>62</v>
      </c>
      <c r="Q215" s="1">
        <f>VLOOKUP($B215&amp;"__wt",'SegEnds_Xtal_BW#'!$A:$Z,17,FALSE)</f>
        <v>50</v>
      </c>
      <c r="R215" s="1">
        <f>VLOOKUP($B215&amp;"__wt",'SegEnds_Xtal_BW#'!$A:$Z,18,FALSE)</f>
        <v>52</v>
      </c>
      <c r="S215" s="1">
        <f>VLOOKUP($B215&amp;"__wt",'SegEnds_Xtal_BW#'!$A:$Z,19,FALSE)</f>
        <v>34</v>
      </c>
      <c r="T215" s="1">
        <f t="array" ref="T215">INDEX(ICL3_classA!$G$2:$G$37,MATCH(MIN(ABS(AI215-ICL3_classA!$F$2:$F$37)),ABS(AI215-ICL3_classA!$F$2:$F$37),0))</f>
        <v>73</v>
      </c>
      <c r="U215" s="1">
        <f t="array" ref="U215">INDEX(ICL3_classA!$H$2:$H$37,MATCH(MIN(ABS(AI215-ICL3_classA!$F$2:$F$37)),ABS(AI215-ICL3_classA!$F$2:$F$37),0))</f>
        <v>22</v>
      </c>
      <c r="V215" s="1">
        <v>61</v>
      </c>
      <c r="W215" s="1">
        <v>31</v>
      </c>
      <c r="X215" s="1">
        <f>VLOOKUP($B215&amp;"__wt",'SegEnds_Xtal_BW#'!$A:$Z,24,FALSE)</f>
        <v>56</v>
      </c>
      <c r="Y215" s="1">
        <f>VLOOKUP($B215&amp;"__wt",'SegEnds_Xtal_BW#'!$A:$Z,25,FALSE)</f>
        <v>47</v>
      </c>
      <c r="Z215" s="1">
        <f>VLOOKUP($B215&amp;"__wt",'SegEnds_Xtal_BW#'!$A:$Z,26,FALSE)</f>
        <v>59</v>
      </c>
      <c r="AA215" s="27" t="str">
        <f>VLOOKUP(A215,Classification!A:B,2,FALSE)</f>
        <v>A</v>
      </c>
      <c r="AB215" s="1">
        <f>VLOOKUP(A215,'SegEnds_NonXtal_Prot#'!A:AL,10,FALSE)-VLOOKUP(A215,'SegEnds_NonXtal_Prot#'!A:AL,4,FALSE)</f>
        <v>28</v>
      </c>
      <c r="AC215" s="1">
        <f>VLOOKUP(A215,'SegEnds_NonXtal_Prot#'!A:AL,10,FALSE)-VLOOKUP(A215,'SegEnds_NonXtal_Prot#'!A:AL,7,FALSE)</f>
        <v>14</v>
      </c>
      <c r="AD215" s="1">
        <f>VLOOKUP(A215,'SegEnds_NonXtal_Prot#'!A:AL,13,FALSE)-VLOOKUP(A215,'SegEnds_NonXtal_Prot#'!A:AL,10,FALSE)</f>
        <v>20</v>
      </c>
      <c r="AE215" s="1">
        <f>VLOOKUP(A215,'SegEnds_NonXtal_Prot#'!A:AL,16,FALSE)-VLOOKUP(A215,'SegEnds_NonXtal_Prot#'!A:AL,10,FALSE)</f>
        <v>52</v>
      </c>
      <c r="AF215" s="1">
        <f>VLOOKUP(A215,'SegEnds_NonXtal_Prot#'!A:AL,22,FALSE)-VLOOKUP(A215,'SegEnds_NonXtal_Prot#'!A:AL,19,FALSE)</f>
        <v>19</v>
      </c>
      <c r="AG215" s="1">
        <f>VLOOKUP(A215,'SegEnds_NonXtal_Prot#'!A:AL,28,FALSE)-VLOOKUP(A215,'SegEnds_NonXtal_Prot#'!A:AL,25,FALSE)</f>
        <v>28</v>
      </c>
      <c r="AH215" s="1">
        <f>VLOOKUP(A215,'SegEnds_NonXtal_Prot#'!A:AL,28,FALSE)-VLOOKUP(A215,'SegEnds_NonXtal_Prot#'!A:AL,22,FALSE)</f>
        <v>54</v>
      </c>
      <c r="AI215" s="1">
        <f>VLOOKUP(A215,'SegEnds_NonXtal_Prot#'!A:AL,31,FALSE)-VLOOKUP(A215,'SegEnds_NonXtal_Prot#'!A:AL,28,FALSE)</f>
        <v>56</v>
      </c>
      <c r="AJ215" s="1">
        <f>VLOOKUP(A215,'SegEnds_NonXtal_Prot#'!A:AL,34,FALSE)-VLOOKUP(A215,'SegEnds_NonXtal_Prot#'!A:AL,31,FALSE)</f>
        <v>36</v>
      </c>
      <c r="AK215" s="1">
        <f>VLOOKUP(A215,'SegEnds_NonXtal_Prot#'!A:AL,37,FALSE)-VLOOKUP(A215,'SegEnds_NonXtal_Prot#'!A:AL,34,FALSE)</f>
        <v>10</v>
      </c>
      <c r="AL215" s="1" t="str">
        <f>IF(ISERROR(MATCH(A215,'SegEnds_Xtal_Prot#'!B:B, 0)), "NoXtal", "Xtal")</f>
        <v>NoXtal</v>
      </c>
    </row>
    <row r="216" spans="1:38" x14ac:dyDescent="0.2">
      <c r="A216" s="1" t="s">
        <v>335</v>
      </c>
      <c r="B216" s="1" t="str">
        <f>VLOOKUP(A216,Xtal_Templ!A:B,2,FALSE)</f>
        <v>oprd_human</v>
      </c>
      <c r="C216" s="5">
        <f>VLOOKUP($B216&amp;"__wt",'SegEnds_Xtal_BW#'!$A:$Z,3,FALSE)</f>
        <v>22</v>
      </c>
      <c r="D216" s="1">
        <f>VLOOKUP($B216&amp;"__wt",'SegEnds_Xtal_BW#'!$A:$Z,4,FALSE)</f>
        <v>60</v>
      </c>
      <c r="E216" s="1">
        <f>VLOOKUP($B216&amp;"__wt",'SegEnds_Xtal_BW#'!$A:$Z,5,FALSE)</f>
        <v>48</v>
      </c>
      <c r="F216" s="1">
        <f>VLOOKUP($B216&amp;"__wt",'SegEnds_Xtal_BW#'!$A:$Z,6,FALSE)</f>
        <v>51</v>
      </c>
      <c r="G216" s="1">
        <v>37</v>
      </c>
      <c r="H216" s="12">
        <v>66</v>
      </c>
      <c r="I216" s="1">
        <f>VLOOKUP($B216&amp;"__wt",'SegEnds_Xtal_BW#'!$A:$Z,9,FALSE)</f>
        <v>49</v>
      </c>
      <c r="J216" s="1">
        <f>VLOOKUP($B216&amp;"__wt",'SegEnds_Xtal_BW#'!$A:$Z,10,FALSE)</f>
        <v>52</v>
      </c>
      <c r="K216" s="12">
        <f>VLOOKUP($B216&amp;"__wt",'SegEnds_Xtal_BW#'!$A:$Z,11,FALSE)</f>
        <v>21</v>
      </c>
      <c r="L216" s="1">
        <f>VLOOKUP($B216&amp;"__wt",'SegEnds_Xtal_BW#'!$A:$Z,12,FALSE)</f>
        <v>56</v>
      </c>
      <c r="M216" s="1">
        <f>VLOOKUP($B216&amp;"__wt",'SegEnds_Xtal_BW#'!$A:$Z,13,FALSE)</f>
        <v>50</v>
      </c>
      <c r="N216" s="12">
        <f>VLOOKUP($B216&amp;"__wt",'SegEnds_Xtal_BW#'!$A:$Z,14,FALSE)</f>
        <v>57</v>
      </c>
      <c r="O216" s="87">
        <f>VLOOKUP($B216&amp;"__wt",'SegEnds_Xtal_BW#'!$A:$Z,15,FALSE)</f>
        <v>38</v>
      </c>
      <c r="P216" s="1">
        <f>VLOOKUP($B216&amp;"__wt",'SegEnds_Xtal_BW#'!$A:$Z,16,FALSE)</f>
        <v>64</v>
      </c>
      <c r="Q216" s="1">
        <f>VLOOKUP($B216&amp;"__wt",'SegEnds_Xtal_BW#'!$A:$Z,17,FALSE)</f>
        <v>50</v>
      </c>
      <c r="R216" s="1">
        <f>VLOOKUP($B216&amp;"__wt",'SegEnds_Xtal_BW#'!$A:$Z,18,FALSE)</f>
        <v>52</v>
      </c>
      <c r="S216" s="1">
        <f>VLOOKUP($B216&amp;"__wt",'SegEnds_Xtal_BW#'!$A:$Z,19,FALSE)</f>
        <v>31</v>
      </c>
      <c r="T216" s="1">
        <f t="array" ref="T216">INDEX(ICL3_classA!$G$2:$G$37,MATCH(MIN(ABS(AI216-ICL3_classA!$F$2:$F$37)),ABS(AI216-ICL3_classA!$F$2:$F$37),0))</f>
        <v>68</v>
      </c>
      <c r="U216" s="1">
        <f t="array" ref="U216">INDEX(ICL3_classA!$H$2:$H$37,MATCH(MIN(ABS(AI216-ICL3_classA!$F$2:$F$37)),ABS(AI216-ICL3_classA!$F$2:$F$37),0))</f>
        <v>23</v>
      </c>
      <c r="V216" s="1">
        <v>61</v>
      </c>
      <c r="W216" s="1">
        <v>28</v>
      </c>
      <c r="X216" s="1">
        <f>VLOOKUP($B216&amp;"__wt",'SegEnds_Xtal_BW#'!$A:$Z,24,FALSE)</f>
        <v>56</v>
      </c>
      <c r="Y216" s="1">
        <f>VLOOKUP($B216&amp;"__wt",'SegEnds_Xtal_BW#'!$A:$Z,25,FALSE)</f>
        <v>47</v>
      </c>
      <c r="Z216" s="1">
        <f>VLOOKUP($B216&amp;"__wt",'SegEnds_Xtal_BW#'!$A:$Z,26,FALSE)</f>
        <v>60</v>
      </c>
      <c r="AA216" s="27" t="str">
        <f>VLOOKUP(A216,Classification!A:B,2,FALSE)</f>
        <v>A</v>
      </c>
      <c r="AB216" s="1">
        <f>VLOOKUP(A216,'SegEnds_NonXtal_Prot#'!A:AL,10,FALSE)-VLOOKUP(A216,'SegEnds_NonXtal_Prot#'!A:AL,4,FALSE)</f>
        <v>28</v>
      </c>
      <c r="AC216" s="1">
        <f>VLOOKUP(A216,'SegEnds_NonXtal_Prot#'!A:AL,10,FALSE)-VLOOKUP(A216,'SegEnds_NonXtal_Prot#'!A:AL,7,FALSE)</f>
        <v>15</v>
      </c>
      <c r="AD216" s="1">
        <f>VLOOKUP(A216,'SegEnds_NonXtal_Prot#'!A:AL,13,FALSE)-VLOOKUP(A216,'SegEnds_NonXtal_Prot#'!A:AL,10,FALSE)</f>
        <v>19</v>
      </c>
      <c r="AE216" s="1">
        <f>VLOOKUP(A216,'SegEnds_NonXtal_Prot#'!A:AL,16,FALSE)-VLOOKUP(A216,'SegEnds_NonXtal_Prot#'!A:AL,10,FALSE)</f>
        <v>51</v>
      </c>
      <c r="AF216" s="1">
        <f>VLOOKUP(A216,'SegEnds_NonXtal_Prot#'!A:AL,22,FALSE)-VLOOKUP(A216,'SegEnds_NonXtal_Prot#'!A:AL,19,FALSE)</f>
        <v>20</v>
      </c>
      <c r="AG216" s="1">
        <f>VLOOKUP(A216,'SegEnds_NonXtal_Prot#'!A:AL,28,FALSE)-VLOOKUP(A216,'SegEnds_NonXtal_Prot#'!A:AL,25,FALSE)</f>
        <v>27</v>
      </c>
      <c r="AH216" s="1">
        <f>VLOOKUP(A216,'SegEnds_NonXtal_Prot#'!A:AL,28,FALSE)-VLOOKUP(A216,'SegEnds_NonXtal_Prot#'!A:AL,22,FALSE)</f>
        <v>52</v>
      </c>
      <c r="AI216" s="1">
        <f>VLOOKUP(A216,'SegEnds_NonXtal_Prot#'!A:AL,31,FALSE)-VLOOKUP(A216,'SegEnds_NonXtal_Prot#'!A:AL,28,FALSE)</f>
        <v>51</v>
      </c>
      <c r="AJ216" s="1">
        <f>VLOOKUP(A216,'SegEnds_NonXtal_Prot#'!A:AL,34,FALSE)-VLOOKUP(A216,'SegEnds_NonXtal_Prot#'!A:AL,31,FALSE)</f>
        <v>39</v>
      </c>
      <c r="AK216" s="1">
        <f>VLOOKUP(A216,'SegEnds_NonXtal_Prot#'!A:AL,37,FALSE)-VLOOKUP(A216,'SegEnds_NonXtal_Prot#'!A:AL,34,FALSE)</f>
        <v>10</v>
      </c>
      <c r="AL216" s="1" t="str">
        <f>IF(ISERROR(MATCH(A216,'SegEnds_Xtal_Prot#'!B:B, 0)), "NoXtal", "Xtal")</f>
        <v>Xtal</v>
      </c>
    </row>
    <row r="217" spans="1:38" x14ac:dyDescent="0.2">
      <c r="A217" s="1" t="s">
        <v>916</v>
      </c>
      <c r="B217" s="1" t="str">
        <f>VLOOKUP(A217,Xtal_Templ!A:B,2,FALSE)</f>
        <v>oprd_human</v>
      </c>
      <c r="C217" s="5">
        <f>VLOOKUP($B217&amp;"__wt",'SegEnds_Xtal_BW#'!$A:$Z,3,FALSE)</f>
        <v>22</v>
      </c>
      <c r="D217" s="1">
        <f>VLOOKUP($B217&amp;"__wt",'SegEnds_Xtal_BW#'!$A:$Z,4,FALSE)</f>
        <v>60</v>
      </c>
      <c r="E217" s="1">
        <f>VLOOKUP($B217&amp;"__wt",'SegEnds_Xtal_BW#'!$A:$Z,5,FALSE)</f>
        <v>48</v>
      </c>
      <c r="F217" s="1">
        <f>VLOOKUP($B217&amp;"__wt",'SegEnds_Xtal_BW#'!$A:$Z,6,FALSE)</f>
        <v>51</v>
      </c>
      <c r="G217" s="1">
        <v>37</v>
      </c>
      <c r="H217" s="12">
        <v>66</v>
      </c>
      <c r="I217" s="1">
        <f>VLOOKUP($B217&amp;"__wt",'SegEnds_Xtal_BW#'!$A:$Z,9,FALSE)</f>
        <v>49</v>
      </c>
      <c r="J217" s="1">
        <f>VLOOKUP($B217&amp;"__wt",'SegEnds_Xtal_BW#'!$A:$Z,10,FALSE)</f>
        <v>52</v>
      </c>
      <c r="K217" s="12">
        <f>VLOOKUP($B217&amp;"__wt",'SegEnds_Xtal_BW#'!$A:$Z,11,FALSE)</f>
        <v>21</v>
      </c>
      <c r="L217" s="1">
        <f>VLOOKUP($B217&amp;"__wt",'SegEnds_Xtal_BW#'!$A:$Z,12,FALSE)</f>
        <v>56</v>
      </c>
      <c r="M217" s="1">
        <f>VLOOKUP($B217&amp;"__wt",'SegEnds_Xtal_BW#'!$A:$Z,13,FALSE)</f>
        <v>50</v>
      </c>
      <c r="N217" s="12">
        <f>VLOOKUP($B217&amp;"__wt",'SegEnds_Xtal_BW#'!$A:$Z,14,FALSE)</f>
        <v>57</v>
      </c>
      <c r="O217" s="87">
        <f>VLOOKUP($B217&amp;"__wt",'SegEnds_Xtal_BW#'!$A:$Z,15,FALSE)</f>
        <v>38</v>
      </c>
      <c r="P217" s="1">
        <f>VLOOKUP($B217&amp;"__wt",'SegEnds_Xtal_BW#'!$A:$Z,16,FALSE)</f>
        <v>64</v>
      </c>
      <c r="Q217" s="1">
        <f>VLOOKUP($B217&amp;"__wt",'SegEnds_Xtal_BW#'!$A:$Z,17,FALSE)</f>
        <v>50</v>
      </c>
      <c r="R217" s="1">
        <f>VLOOKUP($B217&amp;"__wt",'SegEnds_Xtal_BW#'!$A:$Z,18,FALSE)</f>
        <v>52</v>
      </c>
      <c r="S217" s="1">
        <f>VLOOKUP($B217&amp;"__wt",'SegEnds_Xtal_BW#'!$A:$Z,19,FALSE)</f>
        <v>31</v>
      </c>
      <c r="T217" s="1">
        <f t="array" ref="T217">INDEX(ICL3_classA!$G$2:$G$37,MATCH(MIN(ABS(AI217-ICL3_classA!$F$2:$F$37)),ABS(AI217-ICL3_classA!$F$2:$F$37),0))</f>
        <v>68</v>
      </c>
      <c r="U217" s="1">
        <f t="array" ref="U217">INDEX(ICL3_classA!$H$2:$H$37,MATCH(MIN(ABS(AI217-ICL3_classA!$F$2:$F$37)),ABS(AI217-ICL3_classA!$F$2:$F$37),0))</f>
        <v>23</v>
      </c>
      <c r="V217" s="1">
        <v>61</v>
      </c>
      <c r="W217" s="1">
        <v>28</v>
      </c>
      <c r="X217" s="1">
        <f>VLOOKUP($B217&amp;"__wt",'SegEnds_Xtal_BW#'!$A:$Z,24,FALSE)</f>
        <v>56</v>
      </c>
      <c r="Y217" s="1">
        <f>VLOOKUP($B217&amp;"__wt",'SegEnds_Xtal_BW#'!$A:$Z,25,FALSE)</f>
        <v>47</v>
      </c>
      <c r="Z217" s="1">
        <f>VLOOKUP($B217&amp;"__wt",'SegEnds_Xtal_BW#'!$A:$Z,26,FALSE)</f>
        <v>60</v>
      </c>
      <c r="AA217" s="27" t="str">
        <f>VLOOKUP(A217,Classification!A:B,2,FALSE)</f>
        <v>A</v>
      </c>
      <c r="AB217" s="1">
        <f>VLOOKUP(A217,'SegEnds_NonXtal_Prot#'!A:AL,10,FALSE)-VLOOKUP(A217,'SegEnds_NonXtal_Prot#'!A:AL,4,FALSE)</f>
        <v>28</v>
      </c>
      <c r="AC217" s="1">
        <f>VLOOKUP(A217,'SegEnds_NonXtal_Prot#'!A:AL,10,FALSE)-VLOOKUP(A217,'SegEnds_NonXtal_Prot#'!A:AL,7,FALSE)</f>
        <v>15</v>
      </c>
      <c r="AD217" s="1">
        <f>VLOOKUP(A217,'SegEnds_NonXtal_Prot#'!A:AL,13,FALSE)-VLOOKUP(A217,'SegEnds_NonXtal_Prot#'!A:AL,10,FALSE)</f>
        <v>19</v>
      </c>
      <c r="AE217" s="1">
        <f>VLOOKUP(A217,'SegEnds_NonXtal_Prot#'!A:AL,16,FALSE)-VLOOKUP(A217,'SegEnds_NonXtal_Prot#'!A:AL,10,FALSE)</f>
        <v>51</v>
      </c>
      <c r="AF217" s="1">
        <f>VLOOKUP(A217,'SegEnds_NonXtal_Prot#'!A:AL,22,FALSE)-VLOOKUP(A217,'SegEnds_NonXtal_Prot#'!A:AL,19,FALSE)</f>
        <v>20</v>
      </c>
      <c r="AG217" s="1">
        <f>VLOOKUP(A217,'SegEnds_NonXtal_Prot#'!A:AL,28,FALSE)-VLOOKUP(A217,'SegEnds_NonXtal_Prot#'!A:AL,25,FALSE)</f>
        <v>27</v>
      </c>
      <c r="AH217" s="1">
        <f>VLOOKUP(A217,'SegEnds_NonXtal_Prot#'!A:AL,28,FALSE)-VLOOKUP(A217,'SegEnds_NonXtal_Prot#'!A:AL,22,FALSE)</f>
        <v>52</v>
      </c>
      <c r="AI217" s="1">
        <f>VLOOKUP(A217,'SegEnds_NonXtal_Prot#'!A:AL,31,FALSE)-VLOOKUP(A217,'SegEnds_NonXtal_Prot#'!A:AL,28,FALSE)</f>
        <v>51</v>
      </c>
      <c r="AJ217" s="1">
        <f>VLOOKUP(A217,'SegEnds_NonXtal_Prot#'!A:AL,34,FALSE)-VLOOKUP(A217,'SegEnds_NonXtal_Prot#'!A:AL,31,FALSE)</f>
        <v>39</v>
      </c>
      <c r="AK217" s="1">
        <f>VLOOKUP(A217,'SegEnds_NonXtal_Prot#'!A:AL,37,FALSE)-VLOOKUP(A217,'SegEnds_NonXtal_Prot#'!A:AL,34,FALSE)</f>
        <v>10</v>
      </c>
      <c r="AL217" s="1" t="str">
        <f>IF(ISERROR(MATCH(A217,'SegEnds_Xtal_Prot#'!B:B, 0)), "NoXtal", "Xtal")</f>
        <v>Xtal</v>
      </c>
    </row>
    <row r="218" spans="1:38" x14ac:dyDescent="0.2">
      <c r="A218" s="1" t="s">
        <v>336</v>
      </c>
      <c r="B218" s="1" t="str">
        <f>VLOOKUP(A218,Xtal_Templ!A:B,2,FALSE)</f>
        <v>oprk_human</v>
      </c>
      <c r="C218" s="5">
        <f>VLOOKUP($B218&amp;"__wt",'SegEnds_Xtal_BW#'!$A:$Z,3,FALSE)</f>
        <v>30</v>
      </c>
      <c r="D218" s="1">
        <f>VLOOKUP($B218&amp;"__wt",'SegEnds_Xtal_BW#'!$A:$Z,4,FALSE)</f>
        <v>60</v>
      </c>
      <c r="E218" s="1">
        <f>VLOOKUP($B218&amp;"__wt",'SegEnds_Xtal_BW#'!$A:$Z,5,FALSE)</f>
        <v>48</v>
      </c>
      <c r="F218" s="1">
        <f>VLOOKUP($B218&amp;"__wt",'SegEnds_Xtal_BW#'!$A:$Z,6,FALSE)</f>
        <v>51</v>
      </c>
      <c r="G218" s="1">
        <v>37</v>
      </c>
      <c r="H218" s="12">
        <v>66</v>
      </c>
      <c r="I218" s="1">
        <f>VLOOKUP($B218&amp;"__wt",'SegEnds_Xtal_BW#'!$A:$Z,9,FALSE)</f>
        <v>49</v>
      </c>
      <c r="J218" s="1">
        <f>VLOOKUP($B218&amp;"__wt",'SegEnds_Xtal_BW#'!$A:$Z,10,FALSE)</f>
        <v>52</v>
      </c>
      <c r="K218" s="12">
        <f>VLOOKUP($B218&amp;"__wt",'SegEnds_Xtal_BW#'!$A:$Z,11,FALSE)</f>
        <v>21</v>
      </c>
      <c r="L218" s="1">
        <f>VLOOKUP($B218&amp;"__wt",'SegEnds_Xtal_BW#'!$A:$Z,12,FALSE)</f>
        <v>56</v>
      </c>
      <c r="M218" s="1">
        <f>VLOOKUP($B218&amp;"__wt",'SegEnds_Xtal_BW#'!$A:$Z,13,FALSE)</f>
        <v>50</v>
      </c>
      <c r="N218" s="12">
        <f>VLOOKUP($B218&amp;"__wt",'SegEnds_Xtal_BW#'!$A:$Z,14,FALSE)</f>
        <v>57</v>
      </c>
      <c r="O218" s="87">
        <f>VLOOKUP($B218&amp;"__wt",'SegEnds_Xtal_BW#'!$A:$Z,15,FALSE)</f>
        <v>38</v>
      </c>
      <c r="P218" s="1">
        <f>VLOOKUP($B218&amp;"__wt",'SegEnds_Xtal_BW#'!$A:$Z,16,FALSE)</f>
        <v>64</v>
      </c>
      <c r="Q218" s="1">
        <f>VLOOKUP($B218&amp;"__wt",'SegEnds_Xtal_BW#'!$A:$Z,17,FALSE)</f>
        <v>50</v>
      </c>
      <c r="R218" s="1">
        <f>VLOOKUP($B218&amp;"__wt",'SegEnds_Xtal_BW#'!$A:$Z,18,FALSE)</f>
        <v>52</v>
      </c>
      <c r="S218" s="1">
        <f>VLOOKUP($B218&amp;"__wt",'SegEnds_Xtal_BW#'!$A:$Z,19,FALSE)</f>
        <v>30</v>
      </c>
      <c r="T218" s="1">
        <f t="array" ref="T218">INDEX(ICL3_classA!$G$2:$G$37,MATCH(MIN(ABS(AI218-ICL3_classA!$F$2:$F$37)),ABS(AI218-ICL3_classA!$F$2:$F$37),0))</f>
        <v>68</v>
      </c>
      <c r="U218" s="1">
        <f t="array" ref="U218">INDEX(ICL3_classA!$H$2:$H$37,MATCH(MIN(ABS(AI218-ICL3_classA!$F$2:$F$37)),ABS(AI218-ICL3_classA!$F$2:$F$37),0))</f>
        <v>23</v>
      </c>
      <c r="V218" s="1">
        <v>61</v>
      </c>
      <c r="W218" s="1">
        <v>28</v>
      </c>
      <c r="X218" s="1">
        <f>VLOOKUP($B218&amp;"__wt",'SegEnds_Xtal_BW#'!$A:$Z,24,FALSE)</f>
        <v>56</v>
      </c>
      <c r="Y218" s="1">
        <f>VLOOKUP($B218&amp;"__wt",'SegEnds_Xtal_BW#'!$A:$Z,25,FALSE)</f>
        <v>47</v>
      </c>
      <c r="Z218" s="1">
        <f>VLOOKUP($B218&amp;"__wt",'SegEnds_Xtal_BW#'!$A:$Z,26,FALSE)</f>
        <v>59</v>
      </c>
      <c r="AA218" s="27" t="str">
        <f>VLOOKUP(A218,Classification!A:B,2,FALSE)</f>
        <v>A</v>
      </c>
      <c r="AB218" s="1">
        <f>VLOOKUP(A218,'SegEnds_NonXtal_Prot#'!A:AL,10,FALSE)-VLOOKUP(A218,'SegEnds_NonXtal_Prot#'!A:AL,4,FALSE)</f>
        <v>28</v>
      </c>
      <c r="AC218" s="1">
        <f>VLOOKUP(A218,'SegEnds_NonXtal_Prot#'!A:AL,10,FALSE)-VLOOKUP(A218,'SegEnds_NonXtal_Prot#'!A:AL,7,FALSE)</f>
        <v>15</v>
      </c>
      <c r="AD218" s="1">
        <f>VLOOKUP(A218,'SegEnds_NonXtal_Prot#'!A:AL,13,FALSE)-VLOOKUP(A218,'SegEnds_NonXtal_Prot#'!A:AL,10,FALSE)</f>
        <v>19</v>
      </c>
      <c r="AE218" s="1">
        <f>VLOOKUP(A218,'SegEnds_NonXtal_Prot#'!A:AL,16,FALSE)-VLOOKUP(A218,'SegEnds_NonXtal_Prot#'!A:AL,10,FALSE)</f>
        <v>51</v>
      </c>
      <c r="AF218" s="1">
        <f>VLOOKUP(A218,'SegEnds_NonXtal_Prot#'!A:AL,22,FALSE)-VLOOKUP(A218,'SegEnds_NonXtal_Prot#'!A:AL,19,FALSE)</f>
        <v>20</v>
      </c>
      <c r="AG218" s="1">
        <f>VLOOKUP(A218,'SegEnds_NonXtal_Prot#'!A:AL,28,FALSE)-VLOOKUP(A218,'SegEnds_NonXtal_Prot#'!A:AL,25,FALSE)</f>
        <v>28</v>
      </c>
      <c r="AH218" s="1">
        <f>VLOOKUP(A218,'SegEnds_NonXtal_Prot#'!A:AL,28,FALSE)-VLOOKUP(A218,'SegEnds_NonXtal_Prot#'!A:AL,22,FALSE)</f>
        <v>55</v>
      </c>
      <c r="AI218" s="1">
        <f>VLOOKUP(A218,'SegEnds_NonXtal_Prot#'!A:AL,31,FALSE)-VLOOKUP(A218,'SegEnds_NonXtal_Prot#'!A:AL,28,FALSE)</f>
        <v>51</v>
      </c>
      <c r="AJ218" s="1">
        <f>VLOOKUP(A218,'SegEnds_NonXtal_Prot#'!A:AL,34,FALSE)-VLOOKUP(A218,'SegEnds_NonXtal_Prot#'!A:AL,31,FALSE)</f>
        <v>38</v>
      </c>
      <c r="AK218" s="1">
        <f>VLOOKUP(A218,'SegEnds_NonXtal_Prot#'!A:AL,37,FALSE)-VLOOKUP(A218,'SegEnds_NonXtal_Prot#'!A:AL,34,FALSE)</f>
        <v>10</v>
      </c>
      <c r="AL218" s="1" t="str">
        <f>IF(ISERROR(MATCH(A218,'SegEnds_Xtal_Prot#'!B:B, 0)), "NoXtal", "Xtal")</f>
        <v>Xtal</v>
      </c>
    </row>
    <row r="219" spans="1:38" x14ac:dyDescent="0.2">
      <c r="A219" s="1" t="s">
        <v>337</v>
      </c>
      <c r="B219" s="1" t="str">
        <f>VLOOKUP(A219,Xtal_Templ!A:B,2,FALSE)</f>
        <v>oprm_mouse</v>
      </c>
      <c r="C219" s="5">
        <f>VLOOKUP($B219&amp;"__wt",'SegEnds_Xtal_BW#'!$A:$Z,3,FALSE)</f>
        <v>29</v>
      </c>
      <c r="D219" s="1">
        <f>VLOOKUP($B219&amp;"__wt",'SegEnds_Xtal_BW#'!$A:$Z,4,FALSE)</f>
        <v>60</v>
      </c>
      <c r="E219" s="1">
        <f>VLOOKUP($B219&amp;"__wt",'SegEnds_Xtal_BW#'!$A:$Z,5,FALSE)</f>
        <v>48</v>
      </c>
      <c r="F219" s="1">
        <f>VLOOKUP($B219&amp;"__wt",'SegEnds_Xtal_BW#'!$A:$Z,6,FALSE)</f>
        <v>51</v>
      </c>
      <c r="G219" s="1">
        <v>37</v>
      </c>
      <c r="H219" s="12">
        <v>66</v>
      </c>
      <c r="I219" s="1">
        <f>VLOOKUP($B219&amp;"__wt",'SegEnds_Xtal_BW#'!$A:$Z,9,FALSE)</f>
        <v>49</v>
      </c>
      <c r="J219" s="1">
        <f>VLOOKUP($B219&amp;"__wt",'SegEnds_Xtal_BW#'!$A:$Z,10,FALSE)</f>
        <v>52</v>
      </c>
      <c r="K219" s="12">
        <v>21</v>
      </c>
      <c r="L219" s="1">
        <f>VLOOKUP($B219&amp;"__wt",'SegEnds_Xtal_BW#'!$A:$Z,12,FALSE)</f>
        <v>56</v>
      </c>
      <c r="M219" s="1">
        <f>VLOOKUP($B219&amp;"__wt",'SegEnds_Xtal_BW#'!$A:$Z,13,FALSE)</f>
        <v>50</v>
      </c>
      <c r="N219" s="12">
        <v>57</v>
      </c>
      <c r="O219" s="87">
        <v>38</v>
      </c>
      <c r="P219" s="1">
        <f>VLOOKUP($B219&amp;"__wt",'SegEnds_Xtal_BW#'!$A:$Z,16,FALSE)</f>
        <v>64</v>
      </c>
      <c r="Q219" s="1">
        <f>VLOOKUP($B219&amp;"__wt",'SegEnds_Xtal_BW#'!$A:$Z,17,FALSE)</f>
        <v>50</v>
      </c>
      <c r="R219" s="1">
        <f>VLOOKUP($B219&amp;"__wt",'SegEnds_Xtal_BW#'!$A:$Z,18,FALSE)</f>
        <v>52</v>
      </c>
      <c r="S219" s="1">
        <f>VLOOKUP($B219&amp;"__wt",'SegEnds_Xtal_BW#'!$A:$Z,19,FALSE)</f>
        <v>31</v>
      </c>
      <c r="T219" s="1">
        <f t="array" ref="T219">INDEX(ICL3_classA!$G$2:$G$37,MATCH(MIN(ABS(AI219-ICL3_classA!$F$2:$F$37)),ABS(AI219-ICL3_classA!$F$2:$F$37),0))</f>
        <v>68</v>
      </c>
      <c r="U219" s="1">
        <f t="array" ref="U219">INDEX(ICL3_classA!$H$2:$H$37,MATCH(MIN(ABS(AI219-ICL3_classA!$F$2:$F$37)),ABS(AI219-ICL3_classA!$F$2:$F$37),0))</f>
        <v>23</v>
      </c>
      <c r="V219" s="1">
        <v>61</v>
      </c>
      <c r="W219" s="1">
        <v>28</v>
      </c>
      <c r="X219" s="128">
        <f>VLOOKUP($B219&amp;"__wt",'SegEnds_Xtal_BW#'!$A:$Z,24,FALSE)</f>
        <v>56</v>
      </c>
      <c r="Y219" s="1">
        <f>VLOOKUP($B219&amp;"__wt",'SegEnds_Xtal_BW#'!$A:$Z,25,FALSE)</f>
        <v>47</v>
      </c>
      <c r="Z219" s="1">
        <f>VLOOKUP($B219&amp;"__wt",'SegEnds_Xtal_BW#'!$A:$Z,26,FALSE)</f>
        <v>59</v>
      </c>
      <c r="AA219" s="27" t="str">
        <f>VLOOKUP(A219,Classification!A:B,2,FALSE)</f>
        <v>A</v>
      </c>
      <c r="AB219" s="1">
        <f>VLOOKUP(A219,'SegEnds_NonXtal_Prot#'!A:AL,10,FALSE)-VLOOKUP(A219,'SegEnds_NonXtal_Prot#'!A:AL,4,FALSE)</f>
        <v>28</v>
      </c>
      <c r="AC219" s="1">
        <f>VLOOKUP(A219,'SegEnds_NonXtal_Prot#'!A:AL,10,FALSE)-VLOOKUP(A219,'SegEnds_NonXtal_Prot#'!A:AL,7,FALSE)</f>
        <v>15</v>
      </c>
      <c r="AD219" s="1">
        <f>VLOOKUP(A219,'SegEnds_NonXtal_Prot#'!A:AL,13,FALSE)-VLOOKUP(A219,'SegEnds_NonXtal_Prot#'!A:AL,10,FALSE)</f>
        <v>19</v>
      </c>
      <c r="AE219" s="1">
        <f>VLOOKUP(A219,'SegEnds_NonXtal_Prot#'!A:AL,16,FALSE)-VLOOKUP(A219,'SegEnds_NonXtal_Prot#'!A:AL,10,FALSE)</f>
        <v>51</v>
      </c>
      <c r="AF219" s="1">
        <f>VLOOKUP(A219,'SegEnds_NonXtal_Prot#'!A:AL,22,FALSE)-VLOOKUP(A219,'SegEnds_NonXtal_Prot#'!A:AL,19,FALSE)</f>
        <v>20</v>
      </c>
      <c r="AG219" s="1">
        <f>VLOOKUP(A219,'SegEnds_NonXtal_Prot#'!A:AL,28,FALSE)-VLOOKUP(A219,'SegEnds_NonXtal_Prot#'!A:AL,25,FALSE)</f>
        <v>27</v>
      </c>
      <c r="AH219" s="1">
        <f>VLOOKUP(A219,'SegEnds_NonXtal_Prot#'!A:AL,28,FALSE)-VLOOKUP(A219,'SegEnds_NonXtal_Prot#'!A:AL,22,FALSE)</f>
        <v>52</v>
      </c>
      <c r="AI219" s="1">
        <f>VLOOKUP(A219,'SegEnds_NonXtal_Prot#'!A:AL,31,FALSE)-VLOOKUP(A219,'SegEnds_NonXtal_Prot#'!A:AL,28,FALSE)</f>
        <v>51</v>
      </c>
      <c r="AJ219" s="1">
        <f>VLOOKUP(A219,'SegEnds_NonXtal_Prot#'!A:AL,34,FALSE)-VLOOKUP(A219,'SegEnds_NonXtal_Prot#'!A:AL,31,FALSE)</f>
        <v>38</v>
      </c>
      <c r="AK219" s="1">
        <f>VLOOKUP(A219,'SegEnds_NonXtal_Prot#'!A:AL,37,FALSE)-VLOOKUP(A219,'SegEnds_NonXtal_Prot#'!A:AL,34,FALSE)</f>
        <v>10</v>
      </c>
      <c r="AL219" s="1" t="str">
        <f>IF(ISERROR(MATCH(A219,'SegEnds_Xtal_Prot#'!B:B, 0)), "NoXtal", "Xtal")</f>
        <v>NoXtal</v>
      </c>
    </row>
    <row r="220" spans="1:38" x14ac:dyDescent="0.2">
      <c r="A220" s="1" t="s">
        <v>918</v>
      </c>
      <c r="B220" s="1" t="str">
        <f>VLOOKUP(A220,Xtal_Templ!A:B,2,FALSE)</f>
        <v>oprm_mouse</v>
      </c>
      <c r="C220" s="5">
        <f>VLOOKUP($B220&amp;"__wt",'SegEnds_Xtal_BW#'!$A:$Z,3,FALSE)</f>
        <v>29</v>
      </c>
      <c r="D220" s="1">
        <f>VLOOKUP($B220&amp;"__wt",'SegEnds_Xtal_BW#'!$A:$Z,4,FALSE)</f>
        <v>60</v>
      </c>
      <c r="E220" s="1">
        <f>VLOOKUP($B220&amp;"__wt",'SegEnds_Xtal_BW#'!$A:$Z,5,FALSE)</f>
        <v>48</v>
      </c>
      <c r="F220" s="1">
        <f>VLOOKUP($B220&amp;"__wt",'SegEnds_Xtal_BW#'!$A:$Z,6,FALSE)</f>
        <v>51</v>
      </c>
      <c r="G220" s="1">
        <v>37</v>
      </c>
      <c r="H220" s="12">
        <v>66</v>
      </c>
      <c r="I220" s="1">
        <f>VLOOKUP($B220&amp;"__wt",'SegEnds_Xtal_BW#'!$A:$Z,9,FALSE)</f>
        <v>49</v>
      </c>
      <c r="J220" s="1">
        <f>VLOOKUP($B220&amp;"__wt",'SegEnds_Xtal_BW#'!$A:$Z,10,FALSE)</f>
        <v>52</v>
      </c>
      <c r="K220" s="12">
        <f>VLOOKUP($B220&amp;"__wt",'SegEnds_Xtal_BW#'!$A:$Z,11,FALSE)</f>
        <v>21</v>
      </c>
      <c r="L220" s="1">
        <f>VLOOKUP($B220&amp;"__wt",'SegEnds_Xtal_BW#'!$A:$Z,12,FALSE)</f>
        <v>56</v>
      </c>
      <c r="M220" s="1">
        <f>VLOOKUP($B220&amp;"__wt",'SegEnds_Xtal_BW#'!$A:$Z,13,FALSE)</f>
        <v>50</v>
      </c>
      <c r="N220" s="12">
        <f>VLOOKUP($B220&amp;"__wt",'SegEnds_Xtal_BW#'!$A:$Z,14,FALSE)</f>
        <v>57</v>
      </c>
      <c r="O220" s="87">
        <f>VLOOKUP($B220&amp;"__wt",'SegEnds_Xtal_BW#'!$A:$Z,15,FALSE)</f>
        <v>38</v>
      </c>
      <c r="P220" s="1">
        <f>VLOOKUP($B220&amp;"__wt",'SegEnds_Xtal_BW#'!$A:$Z,16,FALSE)</f>
        <v>64</v>
      </c>
      <c r="Q220" s="1">
        <f>VLOOKUP($B220&amp;"__wt",'SegEnds_Xtal_BW#'!$A:$Z,17,FALSE)</f>
        <v>50</v>
      </c>
      <c r="R220" s="1">
        <f>VLOOKUP($B220&amp;"__wt",'SegEnds_Xtal_BW#'!$A:$Z,18,FALSE)</f>
        <v>52</v>
      </c>
      <c r="S220" s="1">
        <f>VLOOKUP($B220&amp;"__wt",'SegEnds_Xtal_BW#'!$A:$Z,19,FALSE)</f>
        <v>31</v>
      </c>
      <c r="T220" s="1">
        <f t="array" ref="T220">INDEX(ICL3_classA!$G$2:$G$37,MATCH(MIN(ABS(AI220-ICL3_classA!$F$2:$F$37)),ABS(AI220-ICL3_classA!$F$2:$F$37),0))</f>
        <v>68</v>
      </c>
      <c r="U220" s="1">
        <f t="array" ref="U220">INDEX(ICL3_classA!$H$2:$H$37,MATCH(MIN(ABS(AI220-ICL3_classA!$F$2:$F$37)),ABS(AI220-ICL3_classA!$F$2:$F$37),0))</f>
        <v>23</v>
      </c>
      <c r="V220" s="1">
        <v>61</v>
      </c>
      <c r="W220" s="1">
        <v>28</v>
      </c>
      <c r="X220" s="1">
        <f>VLOOKUP($B220&amp;"__wt",'SegEnds_Xtal_BW#'!$A:$Z,24,FALSE)</f>
        <v>56</v>
      </c>
      <c r="Y220" s="1">
        <f>VLOOKUP($B220&amp;"__wt",'SegEnds_Xtal_BW#'!$A:$Z,25,FALSE)</f>
        <v>47</v>
      </c>
      <c r="Z220" s="1">
        <f>VLOOKUP($B220&amp;"__wt",'SegEnds_Xtal_BW#'!$A:$Z,26,FALSE)</f>
        <v>59</v>
      </c>
      <c r="AA220" s="27" t="str">
        <f>VLOOKUP(A220,Classification!A:B,2,FALSE)</f>
        <v>A</v>
      </c>
      <c r="AB220" s="1">
        <f>VLOOKUP(A220,'SegEnds_NonXtal_Prot#'!A:AL,10,FALSE)-VLOOKUP(A220,'SegEnds_NonXtal_Prot#'!A:AL,4,FALSE)</f>
        <v>28</v>
      </c>
      <c r="AC220" s="1">
        <f>VLOOKUP(A220,'SegEnds_NonXtal_Prot#'!A:AL,10,FALSE)-VLOOKUP(A220,'SegEnds_NonXtal_Prot#'!A:AL,7,FALSE)</f>
        <v>15</v>
      </c>
      <c r="AD220" s="1">
        <f>VLOOKUP(A220,'SegEnds_NonXtal_Prot#'!A:AL,13,FALSE)-VLOOKUP(A220,'SegEnds_NonXtal_Prot#'!A:AL,10,FALSE)</f>
        <v>19</v>
      </c>
      <c r="AE220" s="1">
        <f>VLOOKUP(A220,'SegEnds_NonXtal_Prot#'!A:AL,16,FALSE)-VLOOKUP(A220,'SegEnds_NonXtal_Prot#'!A:AL,10,FALSE)</f>
        <v>51</v>
      </c>
      <c r="AF220" s="1">
        <f>VLOOKUP(A220,'SegEnds_NonXtal_Prot#'!A:AL,22,FALSE)-VLOOKUP(A220,'SegEnds_NonXtal_Prot#'!A:AL,19,FALSE)</f>
        <v>20</v>
      </c>
      <c r="AG220" s="1">
        <f>VLOOKUP(A220,'SegEnds_NonXtal_Prot#'!A:AL,28,FALSE)-VLOOKUP(A220,'SegEnds_NonXtal_Prot#'!A:AL,25,FALSE)</f>
        <v>27</v>
      </c>
      <c r="AH220" s="1">
        <f>VLOOKUP(A220,'SegEnds_NonXtal_Prot#'!A:AL,28,FALSE)-VLOOKUP(A220,'SegEnds_NonXtal_Prot#'!A:AL,22,FALSE)</f>
        <v>52</v>
      </c>
      <c r="AI220" s="1">
        <f>VLOOKUP(A220,'SegEnds_NonXtal_Prot#'!A:AL,31,FALSE)-VLOOKUP(A220,'SegEnds_NonXtal_Prot#'!A:AL,28,FALSE)</f>
        <v>51</v>
      </c>
      <c r="AJ220" s="1">
        <f>VLOOKUP(A220,'SegEnds_NonXtal_Prot#'!A:AL,34,FALSE)-VLOOKUP(A220,'SegEnds_NonXtal_Prot#'!A:AL,31,FALSE)</f>
        <v>38</v>
      </c>
      <c r="AK220" s="1">
        <f>VLOOKUP(A220,'SegEnds_NonXtal_Prot#'!A:AL,37,FALSE)-VLOOKUP(A220,'SegEnds_NonXtal_Prot#'!A:AL,34,FALSE)</f>
        <v>10</v>
      </c>
      <c r="AL220" s="1" t="str">
        <f>IF(ISERROR(MATCH(A220,'SegEnds_Xtal_Prot#'!B:B, 0)), "NoXtal", "Xtal")</f>
        <v>Xtal</v>
      </c>
    </row>
    <row r="221" spans="1:38" x14ac:dyDescent="0.2">
      <c r="A221" s="1" t="s">
        <v>1174</v>
      </c>
      <c r="B221" s="1" t="str">
        <f>VLOOKUP(A221,Xtal_Templ!A:B,2,FALSE)</f>
        <v>oprx_human</v>
      </c>
      <c r="C221" s="5">
        <f>VLOOKUP($B221&amp;"__wt",'SegEnds_Xtal_BW#'!$A:$Z,3,FALSE)</f>
        <v>29</v>
      </c>
      <c r="D221" s="1">
        <f>VLOOKUP($B221&amp;"__wt",'SegEnds_Xtal_BW#'!$A:$Z,4,FALSE)</f>
        <v>60</v>
      </c>
      <c r="E221" s="1">
        <f>VLOOKUP($B221&amp;"__wt",'SegEnds_Xtal_BW#'!$A:$Z,5,FALSE)</f>
        <v>48</v>
      </c>
      <c r="F221" s="1">
        <f>VLOOKUP($B221&amp;"__wt",'SegEnds_Xtal_BW#'!$A:$Z,6,FALSE)</f>
        <v>51</v>
      </c>
      <c r="G221" s="1">
        <v>37</v>
      </c>
      <c r="H221" s="12">
        <v>66</v>
      </c>
      <c r="I221" s="1">
        <f>VLOOKUP($B221&amp;"__wt",'SegEnds_Xtal_BW#'!$A:$Z,9,FALSE)</f>
        <v>49</v>
      </c>
      <c r="J221" s="1">
        <f>VLOOKUP($B221&amp;"__wt",'SegEnds_Xtal_BW#'!$A:$Z,10,FALSE)</f>
        <v>52</v>
      </c>
      <c r="K221" s="12">
        <f>VLOOKUP($B221&amp;"__wt",'SegEnds_Xtal_BW#'!$A:$Z,11,FALSE)</f>
        <v>21</v>
      </c>
      <c r="L221" s="1">
        <f>VLOOKUP($B221&amp;"__wt",'SegEnds_Xtal_BW#'!$A:$Z,12,FALSE)</f>
        <v>56</v>
      </c>
      <c r="M221" s="1">
        <f>VLOOKUP($B221&amp;"__wt",'SegEnds_Xtal_BW#'!$A:$Z,13,FALSE)</f>
        <v>50</v>
      </c>
      <c r="N221" s="12">
        <f>VLOOKUP($B221&amp;"__wt",'SegEnds_Xtal_BW#'!$A:$Z,14,FALSE)</f>
        <v>57</v>
      </c>
      <c r="O221" s="87">
        <f>VLOOKUP($B221&amp;"__wt",'SegEnds_Xtal_BW#'!$A:$Z,15,FALSE)</f>
        <v>38</v>
      </c>
      <c r="P221" s="1">
        <f>VLOOKUP($B221&amp;"__wt",'SegEnds_Xtal_BW#'!$A:$Z,16,FALSE)</f>
        <v>64</v>
      </c>
      <c r="Q221" s="1">
        <f>VLOOKUP($B221&amp;"__wt",'SegEnds_Xtal_BW#'!$A:$Z,17,FALSE)</f>
        <v>50</v>
      </c>
      <c r="R221" s="1">
        <f>VLOOKUP($B221&amp;"__wt",'SegEnds_Xtal_BW#'!$A:$Z,18,FALSE)</f>
        <v>52</v>
      </c>
      <c r="S221" s="1">
        <f>VLOOKUP($B221&amp;"__wt",'SegEnds_Xtal_BW#'!$A:$Z,19,FALSE)</f>
        <v>31</v>
      </c>
      <c r="T221" s="1">
        <f t="array" ref="T221">INDEX(ICL3_classA!$G$2:$G$37,MATCH(MIN(ABS(AI221-ICL3_classA!$F$2:$F$37)),ABS(AI221-ICL3_classA!$F$2:$F$37),0))</f>
        <v>68</v>
      </c>
      <c r="U221" s="1">
        <f t="array" ref="U221">INDEX(ICL3_classA!$H$2:$H$37,MATCH(MIN(ABS(AI221-ICL3_classA!$F$2:$F$37)),ABS(AI221-ICL3_classA!$F$2:$F$37),0))</f>
        <v>23</v>
      </c>
      <c r="V221" s="1">
        <v>61</v>
      </c>
      <c r="W221" s="1">
        <v>28</v>
      </c>
      <c r="X221" s="128">
        <f>VLOOKUP($B221&amp;"__wt",'SegEnds_Xtal_BW#'!$A:$Z,24,FALSE)</f>
        <v>56</v>
      </c>
      <c r="Y221" s="1">
        <f>VLOOKUP($B221&amp;"__wt",'SegEnds_Xtal_BW#'!$A:$Z,25,FALSE)</f>
        <v>47</v>
      </c>
      <c r="Z221" s="1">
        <f>VLOOKUP($B221&amp;"__wt",'SegEnds_Xtal_BW#'!$A:$Z,26,FALSE)</f>
        <v>59</v>
      </c>
      <c r="AA221" s="27" t="str">
        <f>VLOOKUP(A221,Classification!A:B,2,FALSE)</f>
        <v>A</v>
      </c>
      <c r="AB221" s="1">
        <f>VLOOKUP(A221,'SegEnds_NonXtal_Prot#'!A:AL,10,FALSE)-VLOOKUP(A221,'SegEnds_NonXtal_Prot#'!A:AL,4,FALSE)</f>
        <v>28</v>
      </c>
      <c r="AC221" s="1">
        <f>VLOOKUP(A221,'SegEnds_NonXtal_Prot#'!A:AL,10,FALSE)-VLOOKUP(A221,'SegEnds_NonXtal_Prot#'!A:AL,7,FALSE)</f>
        <v>15</v>
      </c>
      <c r="AD221" s="1">
        <f>VLOOKUP(A221,'SegEnds_NonXtal_Prot#'!A:AL,13,FALSE)-VLOOKUP(A221,'SegEnds_NonXtal_Prot#'!A:AL,10,FALSE)</f>
        <v>19</v>
      </c>
      <c r="AE221" s="1">
        <f>VLOOKUP(A221,'SegEnds_NonXtal_Prot#'!A:AL,16,FALSE)-VLOOKUP(A221,'SegEnds_NonXtal_Prot#'!A:AL,10,FALSE)</f>
        <v>51</v>
      </c>
      <c r="AF221" s="1">
        <f>VLOOKUP(A221,'SegEnds_NonXtal_Prot#'!A:AL,22,FALSE)-VLOOKUP(A221,'SegEnds_NonXtal_Prot#'!A:AL,19,FALSE)</f>
        <v>20</v>
      </c>
      <c r="AG221" s="1">
        <f>VLOOKUP(A221,'SegEnds_NonXtal_Prot#'!A:AL,28,FALSE)-VLOOKUP(A221,'SegEnds_NonXtal_Prot#'!A:AL,25,FALSE)</f>
        <v>27</v>
      </c>
      <c r="AH221" s="1">
        <f>VLOOKUP(A221,'SegEnds_NonXtal_Prot#'!A:AL,28,FALSE)-VLOOKUP(A221,'SegEnds_NonXtal_Prot#'!A:AL,22,FALSE)</f>
        <v>52</v>
      </c>
      <c r="AI221" s="1">
        <f>VLOOKUP(A221,'SegEnds_NonXtal_Prot#'!A:AL,31,FALSE)-VLOOKUP(A221,'SegEnds_NonXtal_Prot#'!A:AL,28,FALSE)</f>
        <v>51</v>
      </c>
      <c r="AJ221" s="1">
        <f>VLOOKUP(A221,'SegEnds_NonXtal_Prot#'!A:AL,34,FALSE)-VLOOKUP(A221,'SegEnds_NonXtal_Prot#'!A:AL,31,FALSE)</f>
        <v>38</v>
      </c>
      <c r="AK221" s="1">
        <f>VLOOKUP(A221,'SegEnds_NonXtal_Prot#'!A:AL,37,FALSE)-VLOOKUP(A221,'SegEnds_NonXtal_Prot#'!A:AL,34,FALSE)</f>
        <v>10</v>
      </c>
      <c r="AL221" s="1" t="str">
        <f>IF(ISERROR(MATCH(A221,'SegEnds_Xtal_Prot#'!B:B, 0)), "NoXtal", "Xtal")</f>
        <v>Xtal</v>
      </c>
    </row>
    <row r="222" spans="1:38" x14ac:dyDescent="0.2">
      <c r="A222" s="1" t="s">
        <v>338</v>
      </c>
      <c r="B222" s="1" t="str">
        <f>VLOOKUP(A222,Xtal_Templ!A:B,2,FALSE)</f>
        <v>opsd_human</v>
      </c>
      <c r="C222" s="5">
        <f>VLOOKUP($B222&amp;"__wt",'SegEnds_Xtal_BW#'!$A:$Z,3,FALSE)</f>
        <v>29</v>
      </c>
      <c r="D222" s="1">
        <f>VLOOKUP($B222&amp;"__wt",'SegEnds_Xtal_BW#'!$A:$Z,4,FALSE)</f>
        <v>60</v>
      </c>
      <c r="E222" s="1">
        <f>VLOOKUP($B222&amp;"__wt",'SegEnds_Xtal_BW#'!$A:$Z,5,FALSE)</f>
        <v>48</v>
      </c>
      <c r="F222" s="1">
        <f>VLOOKUP($B222&amp;"__wt",'SegEnds_Xtal_BW#'!$A:$Z,6,FALSE)</f>
        <v>51</v>
      </c>
      <c r="G222" s="1">
        <v>37</v>
      </c>
      <c r="H222" s="12">
        <f>VLOOKUP($B222&amp;"__wt",'SegEnds_Xtal_BW#'!$A:$Z,8,FALSE)</f>
        <v>67</v>
      </c>
      <c r="I222" s="1">
        <f>VLOOKUP($B222&amp;"__wt",'SegEnds_Xtal_BW#'!$A:$Z,9,FALSE)</f>
        <v>49</v>
      </c>
      <c r="J222" s="1">
        <f>VLOOKUP($B222&amp;"__wt",'SegEnds_Xtal_BW#'!$A:$Z,10,FALSE)</f>
        <v>52</v>
      </c>
      <c r="K222" s="12">
        <v>18</v>
      </c>
      <c r="L222" s="1">
        <f>VLOOKUP($B222&amp;"__wt",'SegEnds_Xtal_BW#'!$A:$Z,12,FALSE)</f>
        <v>56</v>
      </c>
      <c r="M222" s="1">
        <f>VLOOKUP($B222&amp;"__wt",'SegEnds_Xtal_BW#'!$A:$Z,13,FALSE)</f>
        <v>50</v>
      </c>
      <c r="N222" s="108">
        <v>56</v>
      </c>
      <c r="O222" s="87">
        <f>VLOOKUP($B222&amp;"__wt",'SegEnds_Xtal_BW#'!$A:$Z,15,FALSE)</f>
        <v>38</v>
      </c>
      <c r="P222" s="1">
        <f>VLOOKUP($B222&amp;"__wt",'SegEnds_Xtal_BW#'!$A:$Z,16,FALSE)</f>
        <v>62</v>
      </c>
      <c r="Q222" s="1">
        <f>VLOOKUP($B222&amp;"__wt",'SegEnds_Xtal_BW#'!$A:$Z,17,FALSE)</f>
        <v>50</v>
      </c>
      <c r="R222" s="1">
        <f>VLOOKUP($B222&amp;"__wt",'SegEnds_Xtal_BW#'!$A:$Z,18,FALSE)</f>
        <v>52</v>
      </c>
      <c r="S222" s="1">
        <f>VLOOKUP($B222&amp;"__wt",'SegEnds_Xtal_BW#'!$A:$Z,19,FALSE)</f>
        <v>34</v>
      </c>
      <c r="T222" s="1">
        <f t="array" ref="T222">INDEX(ICL3_classA!$G$2:$G$37,MATCH(MIN(ABS(AI222-ICL3_classA!$F$2:$F$37)),ABS(AI222-ICL3_classA!$F$2:$F$37),0))</f>
        <v>72</v>
      </c>
      <c r="U222" s="1">
        <f t="array" ref="U222">INDEX(ICL3_classA!$H$2:$H$37,MATCH(MIN(ABS(AI222-ICL3_classA!$F$2:$F$37)),ABS(AI222-ICL3_classA!$F$2:$F$37),0))</f>
        <v>24</v>
      </c>
      <c r="V222" s="1">
        <v>61</v>
      </c>
      <c r="W222" s="1">
        <v>31</v>
      </c>
      <c r="X222" s="1">
        <f>VLOOKUP($B222&amp;"__wt",'SegEnds_Xtal_BW#'!$A:$Z,24,FALSE)</f>
        <v>56</v>
      </c>
      <c r="Y222" s="1">
        <f>VLOOKUP($B222&amp;"__wt",'SegEnds_Xtal_BW#'!$A:$Z,25,FALSE)</f>
        <v>47</v>
      </c>
      <c r="Z222" s="1">
        <f>VLOOKUP($B222&amp;"__wt",'SegEnds_Xtal_BW#'!$A:$Z,26,FALSE)</f>
        <v>59</v>
      </c>
      <c r="AA222" s="27" t="str">
        <f>VLOOKUP(A222,Classification!A:B,2,FALSE)</f>
        <v>A</v>
      </c>
      <c r="AB222" s="1">
        <f>VLOOKUP(A222,'SegEnds_NonXtal_Prot#'!A:AL,10,FALSE)-VLOOKUP(A222,'SegEnds_NonXtal_Prot#'!A:AL,4,FALSE)</f>
        <v>28</v>
      </c>
      <c r="AC222" s="1">
        <f>VLOOKUP(A222,'SegEnds_NonXtal_Prot#'!A:AL,10,FALSE)-VLOOKUP(A222,'SegEnds_NonXtal_Prot#'!A:AL,7,FALSE)</f>
        <v>15</v>
      </c>
      <c r="AD222" s="1">
        <f>VLOOKUP(A222,'SegEnds_NonXtal_Prot#'!A:AL,13,FALSE)-VLOOKUP(A222,'SegEnds_NonXtal_Prot#'!A:AL,10,FALSE)</f>
        <v>20</v>
      </c>
      <c r="AE222" s="1">
        <f>VLOOKUP(A222,'SegEnds_NonXtal_Prot#'!A:AL,16,FALSE)-VLOOKUP(A222,'SegEnds_NonXtal_Prot#'!A:AL,10,FALSE)</f>
        <v>52</v>
      </c>
      <c r="AF222" s="1">
        <f>VLOOKUP(A222,'SegEnds_NonXtal_Prot#'!A:AL,22,FALSE)-VLOOKUP(A222,'SegEnds_NonXtal_Prot#'!A:AL,19,FALSE)</f>
        <v>19</v>
      </c>
      <c r="AG222" s="1">
        <f>VLOOKUP(A222,'SegEnds_NonXtal_Prot#'!A:AL,28,FALSE)-VLOOKUP(A222,'SegEnds_NonXtal_Prot#'!A:AL,25,FALSE)</f>
        <v>28</v>
      </c>
      <c r="AH222" s="1">
        <f>VLOOKUP(A222,'SegEnds_NonXtal_Prot#'!A:AL,28,FALSE)-VLOOKUP(A222,'SegEnds_NonXtal_Prot#'!A:AL,22,FALSE)</f>
        <v>54</v>
      </c>
      <c r="AI222" s="1">
        <f>VLOOKUP(A222,'SegEnds_NonXtal_Prot#'!A:AL,31,FALSE)-VLOOKUP(A222,'SegEnds_NonXtal_Prot#'!A:AL,28,FALSE)</f>
        <v>52</v>
      </c>
      <c r="AJ222" s="1">
        <f>VLOOKUP(A222,'SegEnds_NonXtal_Prot#'!A:AL,34,FALSE)-VLOOKUP(A222,'SegEnds_NonXtal_Prot#'!A:AL,31,FALSE)</f>
        <v>36</v>
      </c>
      <c r="AK222" s="1">
        <f>VLOOKUP(A222,'SegEnds_NonXtal_Prot#'!A:AL,37,FALSE)-VLOOKUP(A222,'SegEnds_NonXtal_Prot#'!A:AL,34,FALSE)</f>
        <v>10</v>
      </c>
      <c r="AL222" s="1" t="str">
        <f>IF(ISERROR(MATCH(A222,'SegEnds_Xtal_Prot#'!B:B, 0)), "NoXtal", "Xtal")</f>
        <v>NoXtal</v>
      </c>
    </row>
    <row r="223" spans="1:38" x14ac:dyDescent="0.2">
      <c r="A223" s="1" t="s">
        <v>920</v>
      </c>
      <c r="B223" s="1" t="str">
        <f>VLOOKUP(A223,Xtal_Templ!A:B,2,FALSE)</f>
        <v>opsd_bovin</v>
      </c>
      <c r="C223" s="5">
        <f>VLOOKUP($B223&amp;"__wt",'SegEnds_Xtal_BW#'!$A:$Z,3,FALSE)</f>
        <v>28</v>
      </c>
      <c r="D223" s="1">
        <f>VLOOKUP($B223&amp;"__wt",'SegEnds_Xtal_BW#'!$A:$Z,4,FALSE)</f>
        <v>60</v>
      </c>
      <c r="E223" s="1">
        <f>VLOOKUP($B223&amp;"__wt",'SegEnds_Xtal_BW#'!$A:$Z,5,FALSE)</f>
        <v>48</v>
      </c>
      <c r="F223" s="1">
        <f>VLOOKUP($B223&amp;"__wt",'SegEnds_Xtal_BW#'!$A:$Z,6,FALSE)</f>
        <v>51</v>
      </c>
      <c r="G223" s="1">
        <v>37</v>
      </c>
      <c r="H223" s="12">
        <f>VLOOKUP($B223&amp;"__wt",'SegEnds_Xtal_BW#'!$A:$Z,8,FALSE)</f>
        <v>67</v>
      </c>
      <c r="I223" s="1">
        <f>VLOOKUP($B223&amp;"__wt",'SegEnds_Xtal_BW#'!$A:$Z,9,FALSE)</f>
        <v>49</v>
      </c>
      <c r="J223" s="1">
        <f>VLOOKUP($B223&amp;"__wt",'SegEnds_Xtal_BW#'!$A:$Z,10,FALSE)</f>
        <v>52</v>
      </c>
      <c r="K223" s="12">
        <v>18</v>
      </c>
      <c r="L223" s="1">
        <f>VLOOKUP($B223&amp;"__wt",'SegEnds_Xtal_BW#'!$A:$Z,12,FALSE)</f>
        <v>56</v>
      </c>
      <c r="M223" s="1">
        <f>VLOOKUP($B223&amp;"__wt",'SegEnds_Xtal_BW#'!$A:$Z,13,FALSE)</f>
        <v>50</v>
      </c>
      <c r="N223" s="108">
        <f>VLOOKUP($B223&amp;"__wt",'SegEnds_Xtal_BW#'!$A:$Z,14,FALSE)</f>
        <v>56</v>
      </c>
      <c r="O223" s="87">
        <f>VLOOKUP($B223&amp;"__wt",'SegEnds_Xtal_BW#'!$A:$Z,15,FALSE)</f>
        <v>38</v>
      </c>
      <c r="P223" s="1">
        <f>VLOOKUP($B223&amp;"__wt",'SegEnds_Xtal_BW#'!$A:$Z,16,FALSE)</f>
        <v>62</v>
      </c>
      <c r="Q223" s="1">
        <f>VLOOKUP($B223&amp;"__wt",'SegEnds_Xtal_BW#'!$A:$Z,17,FALSE)</f>
        <v>50</v>
      </c>
      <c r="R223" s="1">
        <f>VLOOKUP($B223&amp;"__wt",'SegEnds_Xtal_BW#'!$A:$Z,18,FALSE)</f>
        <v>52</v>
      </c>
      <c r="S223" s="1">
        <f>VLOOKUP($B223&amp;"__wt",'SegEnds_Xtal_BW#'!$A:$Z,19,FALSE)</f>
        <v>34</v>
      </c>
      <c r="T223" s="1">
        <f t="array" ref="T223">INDEX(ICL3_classA!$G$2:$G$37,MATCH(MIN(ABS(AI223-ICL3_classA!$F$2:$F$37)),ABS(AI223-ICL3_classA!$F$2:$F$37),0))</f>
        <v>72</v>
      </c>
      <c r="U223" s="1">
        <f t="array" ref="U223">INDEX(ICL3_classA!$H$2:$H$37,MATCH(MIN(ABS(AI223-ICL3_classA!$F$2:$F$37)),ABS(AI223-ICL3_classA!$F$2:$F$37),0))</f>
        <v>24</v>
      </c>
      <c r="V223" s="1">
        <v>61</v>
      </c>
      <c r="W223" s="1">
        <v>31</v>
      </c>
      <c r="X223" s="1">
        <f>VLOOKUP($B223&amp;"__wt",'SegEnds_Xtal_BW#'!$A:$Z,24,FALSE)</f>
        <v>56</v>
      </c>
      <c r="Y223" s="1">
        <f>VLOOKUP($B223&amp;"__wt",'SegEnds_Xtal_BW#'!$A:$Z,25,FALSE)</f>
        <v>47</v>
      </c>
      <c r="Z223" s="1">
        <f>VLOOKUP($B223&amp;"__wt",'SegEnds_Xtal_BW#'!$A:$Z,26,FALSE)</f>
        <v>59</v>
      </c>
      <c r="AA223" s="27" t="str">
        <f>VLOOKUP(A223,Classification!A:B,2,FALSE)</f>
        <v>A</v>
      </c>
      <c r="AB223" s="1">
        <f>VLOOKUP(A223,'SegEnds_NonXtal_Prot#'!A:AL,10,FALSE)-VLOOKUP(A223,'SegEnds_NonXtal_Prot#'!A:AL,4,FALSE)</f>
        <v>28</v>
      </c>
      <c r="AC223" s="1">
        <f>VLOOKUP(A223,'SegEnds_NonXtal_Prot#'!A:AL,10,FALSE)-VLOOKUP(A223,'SegEnds_NonXtal_Prot#'!A:AL,7,FALSE)</f>
        <v>15</v>
      </c>
      <c r="AD223" s="1">
        <f>VLOOKUP(A223,'SegEnds_NonXtal_Prot#'!A:AL,13,FALSE)-VLOOKUP(A223,'SegEnds_NonXtal_Prot#'!A:AL,10,FALSE)</f>
        <v>20</v>
      </c>
      <c r="AE223" s="1">
        <f>VLOOKUP(A223,'SegEnds_NonXtal_Prot#'!A:AL,16,FALSE)-VLOOKUP(A223,'SegEnds_NonXtal_Prot#'!A:AL,10,FALSE)</f>
        <v>52</v>
      </c>
      <c r="AF223" s="1">
        <f>VLOOKUP(A223,'SegEnds_NonXtal_Prot#'!A:AL,22,FALSE)-VLOOKUP(A223,'SegEnds_NonXtal_Prot#'!A:AL,19,FALSE)</f>
        <v>19</v>
      </c>
      <c r="AG223" s="1">
        <f>VLOOKUP(A223,'SegEnds_NonXtal_Prot#'!A:AL,28,FALSE)-VLOOKUP(A223,'SegEnds_NonXtal_Prot#'!A:AL,25,FALSE)</f>
        <v>28</v>
      </c>
      <c r="AH223" s="1">
        <f>VLOOKUP(A223,'SegEnds_NonXtal_Prot#'!A:AL,28,FALSE)-VLOOKUP(A223,'SegEnds_NonXtal_Prot#'!A:AL,22,FALSE)</f>
        <v>54</v>
      </c>
      <c r="AI223" s="1">
        <f>VLOOKUP(A223,'SegEnds_NonXtal_Prot#'!A:AL,31,FALSE)-VLOOKUP(A223,'SegEnds_NonXtal_Prot#'!A:AL,28,FALSE)</f>
        <v>52</v>
      </c>
      <c r="AJ223" s="1">
        <f>VLOOKUP(A223,'SegEnds_NonXtal_Prot#'!A:AL,34,FALSE)-VLOOKUP(A223,'SegEnds_NonXtal_Prot#'!A:AL,31,FALSE)</f>
        <v>36</v>
      </c>
      <c r="AK223" s="1">
        <f>VLOOKUP(A223,'SegEnds_NonXtal_Prot#'!A:AL,37,FALSE)-VLOOKUP(A223,'SegEnds_NonXtal_Prot#'!A:AL,34,FALSE)</f>
        <v>10</v>
      </c>
      <c r="AL223" s="1" t="str">
        <f>IF(ISERROR(MATCH(A223,'SegEnds_Xtal_Prot#'!B:B, 0)), "NoXtal", "Xtal")</f>
        <v>Xtal</v>
      </c>
    </row>
    <row r="224" spans="1:38" x14ac:dyDescent="0.2">
      <c r="A224" s="1" t="s">
        <v>339</v>
      </c>
      <c r="B224" s="1" t="str">
        <f>VLOOKUP(A224,Xtal_Templ!A:B,2,FALSE)</f>
        <v>opsd_human</v>
      </c>
      <c r="C224" s="5">
        <f>VLOOKUP($B224&amp;"__wt",'SegEnds_Xtal_BW#'!$A:$Z,3,FALSE)</f>
        <v>29</v>
      </c>
      <c r="D224" s="1">
        <f>VLOOKUP($B224&amp;"__wt",'SegEnds_Xtal_BW#'!$A:$Z,4,FALSE)</f>
        <v>60</v>
      </c>
      <c r="E224" s="1">
        <f>VLOOKUP($B224&amp;"__wt",'SegEnds_Xtal_BW#'!$A:$Z,5,FALSE)</f>
        <v>48</v>
      </c>
      <c r="F224" s="1">
        <f>VLOOKUP($B224&amp;"__wt",'SegEnds_Xtal_BW#'!$A:$Z,6,FALSE)</f>
        <v>51</v>
      </c>
      <c r="G224" s="1">
        <v>37</v>
      </c>
      <c r="H224" s="12">
        <f>VLOOKUP($B224&amp;"__wt",'SegEnds_Xtal_BW#'!$A:$Z,8,FALSE)</f>
        <v>67</v>
      </c>
      <c r="I224" s="1">
        <f>VLOOKUP($B224&amp;"__wt",'SegEnds_Xtal_BW#'!$A:$Z,9,FALSE)</f>
        <v>49</v>
      </c>
      <c r="J224" s="1">
        <f>VLOOKUP($B224&amp;"__wt",'SegEnds_Xtal_BW#'!$A:$Z,10,FALSE)</f>
        <v>52</v>
      </c>
      <c r="K224" s="12">
        <v>18</v>
      </c>
      <c r="L224" s="1">
        <f>VLOOKUP($B224&amp;"__wt",'SegEnds_Xtal_BW#'!$A:$Z,12,FALSE)</f>
        <v>56</v>
      </c>
      <c r="M224" s="1">
        <f>VLOOKUP($B224&amp;"__wt",'SegEnds_Xtal_BW#'!$A:$Z,13,FALSE)</f>
        <v>50</v>
      </c>
      <c r="N224" s="108">
        <f>VLOOKUP($B224&amp;"__wt",'SegEnds_Xtal_BW#'!$A:$Z,14,FALSE)</f>
        <v>56</v>
      </c>
      <c r="O224" s="87">
        <f>VLOOKUP($B224&amp;"__wt",'SegEnds_Xtal_BW#'!$A:$Z,15,FALSE)</f>
        <v>38</v>
      </c>
      <c r="P224" s="1">
        <f>VLOOKUP($B224&amp;"__wt",'SegEnds_Xtal_BW#'!$A:$Z,16,FALSE)</f>
        <v>62</v>
      </c>
      <c r="Q224" s="1">
        <f>VLOOKUP($B224&amp;"__wt",'SegEnds_Xtal_BW#'!$A:$Z,17,FALSE)</f>
        <v>50</v>
      </c>
      <c r="R224" s="1">
        <f>VLOOKUP($B224&amp;"__wt",'SegEnds_Xtal_BW#'!$A:$Z,18,FALSE)</f>
        <v>52</v>
      </c>
      <c r="S224" s="1">
        <f>VLOOKUP($B224&amp;"__wt",'SegEnds_Xtal_BW#'!$A:$Z,19,FALSE)</f>
        <v>34</v>
      </c>
      <c r="T224" s="1">
        <f t="array" ref="T224">INDEX(ICL3_classA!$G$2:$G$37,MATCH(MIN(ABS(AI224-ICL3_classA!$F$2:$F$37)),ABS(AI224-ICL3_classA!$F$2:$F$37),0))</f>
        <v>72</v>
      </c>
      <c r="U224" s="1">
        <f t="array" ref="U224">INDEX(ICL3_classA!$H$2:$H$37,MATCH(MIN(ABS(AI224-ICL3_classA!$F$2:$F$37)),ABS(AI224-ICL3_classA!$F$2:$F$37),0))</f>
        <v>24</v>
      </c>
      <c r="V224" s="1">
        <v>61</v>
      </c>
      <c r="W224" s="1">
        <v>31</v>
      </c>
      <c r="X224" s="1">
        <f>VLOOKUP($B224&amp;"__wt",'SegEnds_Xtal_BW#'!$A:$Z,24,FALSE)</f>
        <v>56</v>
      </c>
      <c r="Y224" s="1">
        <f>VLOOKUP($B224&amp;"__wt",'SegEnds_Xtal_BW#'!$A:$Z,25,FALSE)</f>
        <v>47</v>
      </c>
      <c r="Z224" s="1">
        <f>VLOOKUP($B224&amp;"__wt",'SegEnds_Xtal_BW#'!$A:$Z,26,FALSE)</f>
        <v>59</v>
      </c>
      <c r="AA224" s="27" t="str">
        <f>VLOOKUP(A224,Classification!A:B,2,FALSE)</f>
        <v>A</v>
      </c>
      <c r="AB224" s="1">
        <f>VLOOKUP(A224,'SegEnds_NonXtal_Prot#'!A:AL,10,FALSE)-VLOOKUP(A224,'SegEnds_NonXtal_Prot#'!A:AL,4,FALSE)</f>
        <v>28</v>
      </c>
      <c r="AC224" s="1">
        <f>VLOOKUP(A224,'SegEnds_NonXtal_Prot#'!A:AL,10,FALSE)-VLOOKUP(A224,'SegEnds_NonXtal_Prot#'!A:AL,7,FALSE)</f>
        <v>15</v>
      </c>
      <c r="AD224" s="1">
        <f>VLOOKUP(A224,'SegEnds_NonXtal_Prot#'!A:AL,13,FALSE)-VLOOKUP(A224,'SegEnds_NonXtal_Prot#'!A:AL,10,FALSE)</f>
        <v>20</v>
      </c>
      <c r="AE224" s="1">
        <f>VLOOKUP(A224,'SegEnds_NonXtal_Prot#'!A:AL,16,FALSE)-VLOOKUP(A224,'SegEnds_NonXtal_Prot#'!A:AL,10,FALSE)</f>
        <v>52</v>
      </c>
      <c r="AF224" s="1">
        <f>VLOOKUP(A224,'SegEnds_NonXtal_Prot#'!A:AL,22,FALSE)-VLOOKUP(A224,'SegEnds_NonXtal_Prot#'!A:AL,19,FALSE)</f>
        <v>19</v>
      </c>
      <c r="AG224" s="1">
        <f>VLOOKUP(A224,'SegEnds_NonXtal_Prot#'!A:AL,28,FALSE)-VLOOKUP(A224,'SegEnds_NonXtal_Prot#'!A:AL,25,FALSE)</f>
        <v>28</v>
      </c>
      <c r="AH224" s="1">
        <f>VLOOKUP(A224,'SegEnds_NonXtal_Prot#'!A:AL,28,FALSE)-VLOOKUP(A224,'SegEnds_NonXtal_Prot#'!A:AL,22,FALSE)</f>
        <v>54</v>
      </c>
      <c r="AI224" s="1">
        <f>VLOOKUP(A224,'SegEnds_NonXtal_Prot#'!A:AL,31,FALSE)-VLOOKUP(A224,'SegEnds_NonXtal_Prot#'!A:AL,28,FALSE)</f>
        <v>52</v>
      </c>
      <c r="AJ224" s="1">
        <f>VLOOKUP(A224,'SegEnds_NonXtal_Prot#'!A:AL,34,FALSE)-VLOOKUP(A224,'SegEnds_NonXtal_Prot#'!A:AL,31,FALSE)</f>
        <v>36</v>
      </c>
      <c r="AK224" s="1">
        <f>VLOOKUP(A224,'SegEnds_NonXtal_Prot#'!A:AL,37,FALSE)-VLOOKUP(A224,'SegEnds_NonXtal_Prot#'!A:AL,34,FALSE)</f>
        <v>10</v>
      </c>
      <c r="AL224" s="1" t="str">
        <f>IF(ISERROR(MATCH(A224,'SegEnds_Xtal_Prot#'!B:B, 0)), "NoXtal", "Xtal")</f>
        <v>Xtal</v>
      </c>
    </row>
    <row r="225" spans="1:38" x14ac:dyDescent="0.2">
      <c r="A225" s="1" t="s">
        <v>922</v>
      </c>
      <c r="B225" s="1" t="str">
        <f>VLOOKUP(A225,Xtal_Templ!A:B,2,FALSE)</f>
        <v>opsd_todpa</v>
      </c>
      <c r="C225" s="5">
        <f>VLOOKUP($B225&amp;"__wt",'SegEnds_Xtal_BW#'!$A:$Z,3,FALSE)</f>
        <v>29</v>
      </c>
      <c r="D225" s="1">
        <f>VLOOKUP($B225&amp;"__wt",'SegEnds_Xtal_BW#'!$A:$Z,4,FALSE)</f>
        <v>60</v>
      </c>
      <c r="E225" s="1">
        <f>VLOOKUP($B225&amp;"__wt",'SegEnds_Xtal_BW#'!$A:$Z,5,FALSE)</f>
        <v>48</v>
      </c>
      <c r="F225" s="1">
        <f>VLOOKUP($B225&amp;"__wt",'SegEnds_Xtal_BW#'!$A:$Z,6,FALSE)</f>
        <v>51</v>
      </c>
      <c r="G225" s="1">
        <v>37</v>
      </c>
      <c r="H225" s="12">
        <f>VLOOKUP($B225&amp;"__wt",'SegEnds_Xtal_BW#'!$A:$Z,8,FALSE)</f>
        <v>69</v>
      </c>
      <c r="I225" s="1">
        <f>VLOOKUP($B225&amp;"__wt",'SegEnds_Xtal_BW#'!$A:$Z,9,FALSE)</f>
        <v>49</v>
      </c>
      <c r="J225" s="1">
        <f>VLOOKUP($B225&amp;"__wt",'SegEnds_Xtal_BW#'!$A:$Z,10,FALSE)</f>
        <v>52</v>
      </c>
      <c r="K225" s="12">
        <v>18</v>
      </c>
      <c r="L225" s="1">
        <f>VLOOKUP($B225&amp;"__wt",'SegEnds_Xtal_BW#'!$A:$Z,12,FALSE)</f>
        <v>56</v>
      </c>
      <c r="M225" s="1">
        <f>VLOOKUP($B225&amp;"__wt",'SegEnds_Xtal_BW#'!$A:$Z,13,FALSE)</f>
        <v>50</v>
      </c>
      <c r="N225" s="12">
        <f>VLOOKUP($B225&amp;"__wt",'SegEnds_Xtal_BW#'!$A:$Z,14,FALSE)</f>
        <v>57</v>
      </c>
      <c r="O225" s="87">
        <f>VLOOKUP($B225&amp;"__wt",'SegEnds_Xtal_BW#'!$A:$Z,15,FALSE)</f>
        <v>38</v>
      </c>
      <c r="P225" s="1">
        <f>VLOOKUP($B225&amp;"__wt",'SegEnds_Xtal_BW#'!$A:$Z,16,FALSE)</f>
        <v>62</v>
      </c>
      <c r="Q225" s="1">
        <f>VLOOKUP($B225&amp;"__wt",'SegEnds_Xtal_BW#'!$A:$Z,17,FALSE)</f>
        <v>50</v>
      </c>
      <c r="R225" s="1">
        <f>VLOOKUP($B225&amp;"__wt",'SegEnds_Xtal_BW#'!$A:$Z,18,FALSE)</f>
        <v>52</v>
      </c>
      <c r="S225" s="1">
        <f>VLOOKUP($B225&amp;"__wt",'SegEnds_Xtal_BW#'!$A:$Z,19,FALSE)</f>
        <v>32</v>
      </c>
      <c r="T225" s="1">
        <f t="array" ref="T225">INDEX(ICL3_classA!$G$2:$G$37,MATCH(MIN(ABS(AI225-ICL3_classA!$F$2:$F$37)),ABS(AI225-ICL3_classA!$F$2:$F$37),0))</f>
        <v>74</v>
      </c>
      <c r="U225" s="1">
        <f t="array" ref="U225">INDEX(ICL3_classA!$H$2:$H$37,MATCH(MIN(ABS(AI225-ICL3_classA!$F$2:$F$37)),ABS(AI225-ICL3_classA!$F$2:$F$37),0))</f>
        <v>21</v>
      </c>
      <c r="V225" s="1">
        <v>61</v>
      </c>
      <c r="W225" s="1">
        <v>31</v>
      </c>
      <c r="X225" s="1">
        <f>VLOOKUP($B225&amp;"__wt",'SegEnds_Xtal_BW#'!$A:$Z,24,FALSE)</f>
        <v>56</v>
      </c>
      <c r="Y225" s="1">
        <f>VLOOKUP($B225&amp;"__wt",'SegEnds_Xtal_BW#'!$A:$Z,25,FALSE)</f>
        <v>47</v>
      </c>
      <c r="Z225" s="1">
        <f>VLOOKUP($B225&amp;"__wt",'SegEnds_Xtal_BW#'!$A:$Z,26,FALSE)</f>
        <v>58</v>
      </c>
      <c r="AA225" s="27" t="str">
        <f>VLOOKUP(A225,Classification!A:B,2,FALSE)</f>
        <v>A</v>
      </c>
      <c r="AB225" s="1">
        <f>VLOOKUP(A225,'SegEnds_NonXtal_Prot#'!A:AL,10,FALSE)-VLOOKUP(A225,'SegEnds_NonXtal_Prot#'!A:AL,4,FALSE)</f>
        <v>28</v>
      </c>
      <c r="AC225" s="1">
        <f>VLOOKUP(A225,'SegEnds_NonXtal_Prot#'!A:AL,10,FALSE)-VLOOKUP(A225,'SegEnds_NonXtal_Prot#'!A:AL,7,FALSE)</f>
        <v>15</v>
      </c>
      <c r="AD225" s="1">
        <f>VLOOKUP(A225,'SegEnds_NonXtal_Prot#'!A:AL,13,FALSE)-VLOOKUP(A225,'SegEnds_NonXtal_Prot#'!A:AL,10,FALSE)</f>
        <v>21</v>
      </c>
      <c r="AE225" s="1">
        <f>VLOOKUP(A225,'SegEnds_NonXtal_Prot#'!A:AL,16,FALSE)-VLOOKUP(A225,'SegEnds_NonXtal_Prot#'!A:AL,10,FALSE)</f>
        <v>53</v>
      </c>
      <c r="AF225" s="1">
        <f>VLOOKUP(A225,'SegEnds_NonXtal_Prot#'!A:AL,22,FALSE)-VLOOKUP(A225,'SegEnds_NonXtal_Prot#'!A:AL,19,FALSE)</f>
        <v>20</v>
      </c>
      <c r="AG225" s="1">
        <f>VLOOKUP(A225,'SegEnds_NonXtal_Prot#'!A:AL,28,FALSE)-VLOOKUP(A225,'SegEnds_NonXtal_Prot#'!A:AL,25,FALSE)</f>
        <v>26</v>
      </c>
      <c r="AH225" s="1">
        <f>VLOOKUP(A225,'SegEnds_NonXtal_Prot#'!A:AL,28,FALSE)-VLOOKUP(A225,'SegEnds_NonXtal_Prot#'!A:AL,22,FALSE)</f>
        <v>52</v>
      </c>
      <c r="AI225" s="1">
        <f>VLOOKUP(A225,'SegEnds_NonXtal_Prot#'!A:AL,31,FALSE)-VLOOKUP(A225,'SegEnds_NonXtal_Prot#'!A:AL,28,FALSE)</f>
        <v>64</v>
      </c>
      <c r="AJ225" s="1">
        <f>VLOOKUP(A225,'SegEnds_NonXtal_Prot#'!A:AL,34,FALSE)-VLOOKUP(A225,'SegEnds_NonXtal_Prot#'!A:AL,31,FALSE)</f>
        <v>36</v>
      </c>
      <c r="AK225" s="1">
        <f>VLOOKUP(A225,'SegEnds_NonXtal_Prot#'!A:AL,37,FALSE)-VLOOKUP(A225,'SegEnds_NonXtal_Prot#'!A:AL,34,FALSE)</f>
        <v>10</v>
      </c>
      <c r="AL225" s="1" t="str">
        <f>IF(ISERROR(MATCH(A225,'SegEnds_Xtal_Prot#'!B:B, 0)), "NoXtal", "Xtal")</f>
        <v>Xtal</v>
      </c>
    </row>
    <row r="226" spans="1:38" x14ac:dyDescent="0.2">
      <c r="A226" s="1" t="s">
        <v>340</v>
      </c>
      <c r="B226" s="1" t="str">
        <f>VLOOKUP(A226,Xtal_Templ!A:B,2,FALSE)</f>
        <v>opsd_human</v>
      </c>
      <c r="C226" s="5">
        <f>VLOOKUP($B226&amp;"__wt",'SegEnds_Xtal_BW#'!$A:$Z,3,FALSE)</f>
        <v>29</v>
      </c>
      <c r="D226" s="1">
        <f>VLOOKUP($B226&amp;"__wt",'SegEnds_Xtal_BW#'!$A:$Z,4,FALSE)</f>
        <v>60</v>
      </c>
      <c r="E226" s="1">
        <f>VLOOKUP($B226&amp;"__wt",'SegEnds_Xtal_BW#'!$A:$Z,5,FALSE)</f>
        <v>48</v>
      </c>
      <c r="F226" s="1">
        <f>VLOOKUP($B226&amp;"__wt",'SegEnds_Xtal_BW#'!$A:$Z,6,FALSE)</f>
        <v>51</v>
      </c>
      <c r="G226" s="1">
        <v>37</v>
      </c>
      <c r="H226" s="12">
        <f>VLOOKUP($B226&amp;"__wt",'SegEnds_Xtal_BW#'!$A:$Z,8,FALSE)</f>
        <v>67</v>
      </c>
      <c r="I226" s="1">
        <f>VLOOKUP($B226&amp;"__wt",'SegEnds_Xtal_BW#'!$A:$Z,9,FALSE)</f>
        <v>49</v>
      </c>
      <c r="J226" s="1">
        <f>VLOOKUP($B226&amp;"__wt",'SegEnds_Xtal_BW#'!$A:$Z,10,FALSE)</f>
        <v>52</v>
      </c>
      <c r="K226" s="12">
        <v>18</v>
      </c>
      <c r="L226" s="1">
        <f>VLOOKUP($B226&amp;"__wt",'SegEnds_Xtal_BW#'!$A:$Z,12,FALSE)</f>
        <v>56</v>
      </c>
      <c r="M226" s="1">
        <f>VLOOKUP($B226&amp;"__wt",'SegEnds_Xtal_BW#'!$A:$Z,13,FALSE)</f>
        <v>50</v>
      </c>
      <c r="N226" s="12">
        <f>VLOOKUP($B226&amp;"__wt",'SegEnds_Xtal_BW#'!$A:$Z,14,FALSE)</f>
        <v>56</v>
      </c>
      <c r="O226" s="87">
        <f>VLOOKUP($B226&amp;"__wt",'SegEnds_Xtal_BW#'!$A:$Z,15,FALSE)</f>
        <v>38</v>
      </c>
      <c r="P226" s="1">
        <f>VLOOKUP($B226&amp;"__wt",'SegEnds_Xtal_BW#'!$A:$Z,16,FALSE)</f>
        <v>62</v>
      </c>
      <c r="Q226" s="1">
        <f>VLOOKUP($B226&amp;"__wt",'SegEnds_Xtal_BW#'!$A:$Z,17,FALSE)</f>
        <v>50</v>
      </c>
      <c r="R226" s="1">
        <f>VLOOKUP($B226&amp;"__wt",'SegEnds_Xtal_BW#'!$A:$Z,18,FALSE)</f>
        <v>52</v>
      </c>
      <c r="S226" s="1">
        <f>VLOOKUP($B226&amp;"__wt",'SegEnds_Xtal_BW#'!$A:$Z,19,FALSE)</f>
        <v>34</v>
      </c>
      <c r="T226" s="1">
        <f t="array" ref="T226">INDEX(ICL3_classA!$G$2:$G$37,MATCH(MIN(ABS(AI226-ICL3_classA!$F$2:$F$37)),ABS(AI226-ICL3_classA!$F$2:$F$37),0))</f>
        <v>72</v>
      </c>
      <c r="U226" s="1">
        <f t="array" ref="U226">INDEX(ICL3_classA!$H$2:$H$37,MATCH(MIN(ABS(AI226-ICL3_classA!$F$2:$F$37)),ABS(AI226-ICL3_classA!$F$2:$F$37),0))</f>
        <v>24</v>
      </c>
      <c r="V226" s="1">
        <v>61</v>
      </c>
      <c r="W226" s="1">
        <v>31</v>
      </c>
      <c r="X226" s="1">
        <f>VLOOKUP($B226&amp;"__wt",'SegEnds_Xtal_BW#'!$A:$Z,24,FALSE)</f>
        <v>56</v>
      </c>
      <c r="Y226" s="1">
        <f>VLOOKUP($B226&amp;"__wt",'SegEnds_Xtal_BW#'!$A:$Z,25,FALSE)</f>
        <v>47</v>
      </c>
      <c r="Z226" s="1">
        <f>VLOOKUP($B226&amp;"__wt",'SegEnds_Xtal_BW#'!$A:$Z,26,FALSE)</f>
        <v>59</v>
      </c>
      <c r="AA226" s="27" t="str">
        <f>VLOOKUP(A226,Classification!A:B,2,FALSE)</f>
        <v>A</v>
      </c>
      <c r="AB226" s="1">
        <f>VLOOKUP(A226,'SegEnds_NonXtal_Prot#'!A:AL,10,FALSE)-VLOOKUP(A226,'SegEnds_NonXtal_Prot#'!A:AL,4,FALSE)</f>
        <v>28</v>
      </c>
      <c r="AC226" s="1">
        <f>VLOOKUP(A226,'SegEnds_NonXtal_Prot#'!A:AL,10,FALSE)-VLOOKUP(A226,'SegEnds_NonXtal_Prot#'!A:AL,7,FALSE)</f>
        <v>15</v>
      </c>
      <c r="AD226" s="1">
        <f>VLOOKUP(A226,'SegEnds_NonXtal_Prot#'!A:AL,13,FALSE)-VLOOKUP(A226,'SegEnds_NonXtal_Prot#'!A:AL,10,FALSE)</f>
        <v>20</v>
      </c>
      <c r="AE226" s="1">
        <f>VLOOKUP(A226,'SegEnds_NonXtal_Prot#'!A:AL,16,FALSE)-VLOOKUP(A226,'SegEnds_NonXtal_Prot#'!A:AL,10,FALSE)</f>
        <v>52</v>
      </c>
      <c r="AF226" s="1">
        <f>VLOOKUP(A226,'SegEnds_NonXtal_Prot#'!A:AL,22,FALSE)-VLOOKUP(A226,'SegEnds_NonXtal_Prot#'!A:AL,19,FALSE)</f>
        <v>19</v>
      </c>
      <c r="AG226" s="1">
        <f>VLOOKUP(A226,'SegEnds_NonXtal_Prot#'!A:AL,28,FALSE)-VLOOKUP(A226,'SegEnds_NonXtal_Prot#'!A:AL,25,FALSE)</f>
        <v>28</v>
      </c>
      <c r="AH226" s="1">
        <f>VLOOKUP(A226,'SegEnds_NonXtal_Prot#'!A:AL,28,FALSE)-VLOOKUP(A226,'SegEnds_NonXtal_Prot#'!A:AL,22,FALSE)</f>
        <v>54</v>
      </c>
      <c r="AI226" s="1">
        <f>VLOOKUP(A226,'SegEnds_NonXtal_Prot#'!A:AL,31,FALSE)-VLOOKUP(A226,'SegEnds_NonXtal_Prot#'!A:AL,28,FALSE)</f>
        <v>52</v>
      </c>
      <c r="AJ226" s="1">
        <f>VLOOKUP(A226,'SegEnds_NonXtal_Prot#'!A:AL,34,FALSE)-VLOOKUP(A226,'SegEnds_NonXtal_Prot#'!A:AL,31,FALSE)</f>
        <v>36</v>
      </c>
      <c r="AK226" s="1">
        <f>VLOOKUP(A226,'SegEnds_NonXtal_Prot#'!A:AL,37,FALSE)-VLOOKUP(A226,'SegEnds_NonXtal_Prot#'!A:AL,34,FALSE)</f>
        <v>10</v>
      </c>
      <c r="AL226" s="1" t="str">
        <f>IF(ISERROR(MATCH(A226,'SegEnds_Xtal_Prot#'!B:B, 0)), "NoXtal", "Xtal")</f>
        <v>NoXtal</v>
      </c>
    </row>
    <row r="227" spans="1:38" x14ac:dyDescent="0.2">
      <c r="A227" s="1" t="s">
        <v>341</v>
      </c>
      <c r="B227" s="1" t="str">
        <f>VLOOKUP(A227,Xtal_Templ!A:B,2,FALSE)</f>
        <v>opsd_human</v>
      </c>
      <c r="C227" s="5">
        <f>VLOOKUP($B227&amp;"__wt",'SegEnds_Xtal_BW#'!$A:$Z,3,FALSE)</f>
        <v>29</v>
      </c>
      <c r="D227" s="1">
        <f>VLOOKUP($B227&amp;"__wt",'SegEnds_Xtal_BW#'!$A:$Z,4,FALSE)</f>
        <v>60</v>
      </c>
      <c r="E227" s="1">
        <f>VLOOKUP($B227&amp;"__wt",'SegEnds_Xtal_BW#'!$A:$Z,5,FALSE)</f>
        <v>48</v>
      </c>
      <c r="F227" s="1">
        <f>VLOOKUP($B227&amp;"__wt",'SegEnds_Xtal_BW#'!$A:$Z,6,FALSE)</f>
        <v>51</v>
      </c>
      <c r="G227" s="1">
        <v>37</v>
      </c>
      <c r="H227" s="12">
        <f>VLOOKUP($B227&amp;"__wt",'SegEnds_Xtal_BW#'!$A:$Z,8,FALSE)</f>
        <v>67</v>
      </c>
      <c r="I227" s="1">
        <f>VLOOKUP($B227&amp;"__wt",'SegEnds_Xtal_BW#'!$A:$Z,9,FALSE)</f>
        <v>49</v>
      </c>
      <c r="J227" s="1">
        <f>VLOOKUP($B227&amp;"__wt",'SegEnds_Xtal_BW#'!$A:$Z,10,FALSE)</f>
        <v>52</v>
      </c>
      <c r="K227" s="12">
        <v>18</v>
      </c>
      <c r="L227" s="1">
        <f>VLOOKUP($B227&amp;"__wt",'SegEnds_Xtal_BW#'!$A:$Z,12,FALSE)</f>
        <v>56</v>
      </c>
      <c r="M227" s="1">
        <f>VLOOKUP($B227&amp;"__wt",'SegEnds_Xtal_BW#'!$A:$Z,13,FALSE)</f>
        <v>50</v>
      </c>
      <c r="N227" s="12">
        <f>VLOOKUP($B227&amp;"__wt",'SegEnds_Xtal_BW#'!$A:$Z,14,FALSE)</f>
        <v>56</v>
      </c>
      <c r="O227" s="87">
        <f>VLOOKUP($B227&amp;"__wt",'SegEnds_Xtal_BW#'!$A:$Z,15,FALSE)</f>
        <v>38</v>
      </c>
      <c r="P227" s="1">
        <f>VLOOKUP($B227&amp;"__wt",'SegEnds_Xtal_BW#'!$A:$Z,16,FALSE)</f>
        <v>62</v>
      </c>
      <c r="Q227" s="1">
        <f>VLOOKUP($B227&amp;"__wt",'SegEnds_Xtal_BW#'!$A:$Z,17,FALSE)</f>
        <v>50</v>
      </c>
      <c r="R227" s="1">
        <f>VLOOKUP($B227&amp;"__wt",'SegEnds_Xtal_BW#'!$A:$Z,18,FALSE)</f>
        <v>52</v>
      </c>
      <c r="S227" s="1">
        <f>VLOOKUP($B227&amp;"__wt",'SegEnds_Xtal_BW#'!$A:$Z,19,FALSE)</f>
        <v>34</v>
      </c>
      <c r="T227" s="1">
        <f t="array" ref="T227">INDEX(ICL3_classA!$G$2:$G$37,MATCH(MIN(ABS(AI227-ICL3_classA!$F$2:$F$37)),ABS(AI227-ICL3_classA!$F$2:$F$37),0))</f>
        <v>72</v>
      </c>
      <c r="U227" s="1">
        <f t="array" ref="U227">INDEX(ICL3_classA!$H$2:$H$37,MATCH(MIN(ABS(AI227-ICL3_classA!$F$2:$F$37)),ABS(AI227-ICL3_classA!$F$2:$F$37),0))</f>
        <v>24</v>
      </c>
      <c r="V227" s="1">
        <v>61</v>
      </c>
      <c r="W227" s="1">
        <v>31</v>
      </c>
      <c r="X227" s="1">
        <f>VLOOKUP($B227&amp;"__wt",'SegEnds_Xtal_BW#'!$A:$Z,24,FALSE)</f>
        <v>56</v>
      </c>
      <c r="Y227" s="1">
        <f>VLOOKUP($B227&amp;"__wt",'SegEnds_Xtal_BW#'!$A:$Z,25,FALSE)</f>
        <v>47</v>
      </c>
      <c r="Z227" s="1">
        <f>VLOOKUP($B227&amp;"__wt",'SegEnds_Xtal_BW#'!$A:$Z,26,FALSE)</f>
        <v>59</v>
      </c>
      <c r="AA227" s="27" t="str">
        <f>VLOOKUP(A227,Classification!A:B,2,FALSE)</f>
        <v>A</v>
      </c>
      <c r="AB227" s="1">
        <f>VLOOKUP(A227,'SegEnds_NonXtal_Prot#'!A:AL,10,FALSE)-VLOOKUP(A227,'SegEnds_NonXtal_Prot#'!A:AL,4,FALSE)</f>
        <v>28</v>
      </c>
      <c r="AC227" s="1">
        <f>VLOOKUP(A227,'SegEnds_NonXtal_Prot#'!A:AL,10,FALSE)-VLOOKUP(A227,'SegEnds_NonXtal_Prot#'!A:AL,7,FALSE)</f>
        <v>15</v>
      </c>
      <c r="AD227" s="1">
        <f>VLOOKUP(A227,'SegEnds_NonXtal_Prot#'!A:AL,13,FALSE)-VLOOKUP(A227,'SegEnds_NonXtal_Prot#'!A:AL,10,FALSE)</f>
        <v>19</v>
      </c>
      <c r="AE227" s="1">
        <f>VLOOKUP(A227,'SegEnds_NonXtal_Prot#'!A:AL,16,FALSE)-VLOOKUP(A227,'SegEnds_NonXtal_Prot#'!A:AL,10,FALSE)</f>
        <v>52</v>
      </c>
      <c r="AF227" s="1">
        <f>VLOOKUP(A227,'SegEnds_NonXtal_Prot#'!A:AL,22,FALSE)-VLOOKUP(A227,'SegEnds_NonXtal_Prot#'!A:AL,19,FALSE)</f>
        <v>19</v>
      </c>
      <c r="AG227" s="1">
        <f>VLOOKUP(A227,'SegEnds_NonXtal_Prot#'!A:AL,28,FALSE)-VLOOKUP(A227,'SegEnds_NonXtal_Prot#'!A:AL,25,FALSE)</f>
        <v>28</v>
      </c>
      <c r="AH227" s="1">
        <f>VLOOKUP(A227,'SegEnds_NonXtal_Prot#'!A:AL,28,FALSE)-VLOOKUP(A227,'SegEnds_NonXtal_Prot#'!A:AL,22,FALSE)</f>
        <v>54</v>
      </c>
      <c r="AI227" s="1">
        <f>VLOOKUP(A227,'SegEnds_NonXtal_Prot#'!A:AL,31,FALSE)-VLOOKUP(A227,'SegEnds_NonXtal_Prot#'!A:AL,28,FALSE)</f>
        <v>52</v>
      </c>
      <c r="AJ227" s="1">
        <f>VLOOKUP(A227,'SegEnds_NonXtal_Prot#'!A:AL,34,FALSE)-VLOOKUP(A227,'SegEnds_NonXtal_Prot#'!A:AL,31,FALSE)</f>
        <v>36</v>
      </c>
      <c r="AK227" s="1">
        <f>VLOOKUP(A227,'SegEnds_NonXtal_Prot#'!A:AL,37,FALSE)-VLOOKUP(A227,'SegEnds_NonXtal_Prot#'!A:AL,34,FALSE)</f>
        <v>10</v>
      </c>
      <c r="AL227" s="1" t="str">
        <f>IF(ISERROR(MATCH(A227,'SegEnds_Xtal_Prot#'!B:B, 0)), "NoXtal", "Xtal")</f>
        <v>NoXtal</v>
      </c>
    </row>
    <row r="228" spans="1:38" x14ac:dyDescent="0.2">
      <c r="A228" s="1" t="s">
        <v>1175</v>
      </c>
      <c r="B228" s="1" t="str">
        <f>VLOOKUP(A228,Xtal_Templ!A:B,2,FALSE)</f>
        <v>ox1r_human</v>
      </c>
      <c r="C228" s="5">
        <f>VLOOKUP($B228&amp;"__wt",'SegEnds_Xtal_BW#'!$A:$Z,3,FALSE)</f>
        <v>32</v>
      </c>
      <c r="D228" s="1">
        <f>VLOOKUP($B228&amp;"__wt",'SegEnds_Xtal_BW#'!$A:$Z,4,FALSE)</f>
        <v>60</v>
      </c>
      <c r="E228" s="1">
        <f>VLOOKUP($B228&amp;"__wt",'SegEnds_Xtal_BW#'!$A:$Z,5,FALSE)</f>
        <v>48</v>
      </c>
      <c r="F228" s="1">
        <f>VLOOKUP($B228&amp;"__wt",'SegEnds_Xtal_BW#'!$A:$Z,6,FALSE)</f>
        <v>51</v>
      </c>
      <c r="G228" s="1">
        <v>37</v>
      </c>
      <c r="H228" s="12">
        <f>VLOOKUP($B228&amp;"__wt",'SegEnds_Xtal_BW#'!$A:$Z,8,FALSE)</f>
        <v>67</v>
      </c>
      <c r="I228" s="1">
        <f>VLOOKUP($B228&amp;"__wt",'SegEnds_Xtal_BW#'!$A:$Z,9,FALSE)</f>
        <v>49</v>
      </c>
      <c r="J228" s="1">
        <f>VLOOKUP($B228&amp;"__wt",'SegEnds_Xtal_BW#'!$A:$Z,10,FALSE)</f>
        <v>52</v>
      </c>
      <c r="K228" s="12">
        <v>18</v>
      </c>
      <c r="L228" s="1">
        <f>VLOOKUP($B228&amp;"__wt",'SegEnds_Xtal_BW#'!$A:$Z,12,FALSE)</f>
        <v>56</v>
      </c>
      <c r="M228" s="1">
        <f>VLOOKUP($B228&amp;"__wt",'SegEnds_Xtal_BW#'!$A:$Z,13,FALSE)</f>
        <v>50</v>
      </c>
      <c r="N228" s="12">
        <f>VLOOKUP($B228&amp;"__wt",'SegEnds_Xtal_BW#'!$A:$Z,14,FALSE)</f>
        <v>53</v>
      </c>
      <c r="O228" s="87">
        <f>VLOOKUP($B228&amp;"__wt",'SegEnds_Xtal_BW#'!$A:$Z,15,FALSE)</f>
        <v>38</v>
      </c>
      <c r="P228" s="1">
        <f>VLOOKUP($B228&amp;"__wt",'SegEnds_Xtal_BW#'!$A:$Z,16,FALSE)</f>
        <v>64</v>
      </c>
      <c r="Q228" s="1">
        <f>VLOOKUP($B228&amp;"__wt",'SegEnds_Xtal_BW#'!$A:$Z,17,FALSE)</f>
        <v>50</v>
      </c>
      <c r="R228" s="1">
        <f>VLOOKUP($B228&amp;"__wt",'SegEnds_Xtal_BW#'!$A:$Z,18,FALSE)</f>
        <v>52</v>
      </c>
      <c r="S228" s="1">
        <f>VLOOKUP($B228&amp;"__wt",'SegEnds_Xtal_BW#'!$A:$Z,19,FALSE)</f>
        <v>32</v>
      </c>
      <c r="T228" s="1">
        <f t="array" ref="T228">INDEX(ICL3_classA!$G$2:$G$37,MATCH(MIN(ABS(AI228-ICL3_classA!$F$2:$F$37)),ABS(AI228-ICL3_classA!$F$2:$F$37),0))</f>
        <v>76</v>
      </c>
      <c r="U228" s="1">
        <v>20</v>
      </c>
      <c r="V228" s="1">
        <v>61</v>
      </c>
      <c r="W228" s="1">
        <v>28</v>
      </c>
      <c r="X228" s="1">
        <f>VLOOKUP($B228&amp;"__wt",'SegEnds_Xtal_BW#'!$A:$Z,24,FALSE)</f>
        <v>56</v>
      </c>
      <c r="Y228" s="1">
        <f>VLOOKUP($B228&amp;"__wt",'SegEnds_Xtal_BW#'!$A:$Z,25,FALSE)</f>
        <v>47</v>
      </c>
      <c r="Z228" s="1">
        <f>VLOOKUP($B228&amp;"__wt",'SegEnds_Xtal_BW#'!$A:$Z,26,FALSE)</f>
        <v>58</v>
      </c>
      <c r="AA228" s="27" t="str">
        <f>VLOOKUP(A228,Classification!A:B,2,FALSE)</f>
        <v>A</v>
      </c>
      <c r="AB228" s="1">
        <f>VLOOKUP(A228,'SegEnds_NonXtal_Prot#'!A:AL,10,FALSE)-VLOOKUP(A228,'SegEnds_NonXtal_Prot#'!A:AL,4,FALSE)</f>
        <v>28</v>
      </c>
      <c r="AC228" s="1">
        <f>VLOOKUP(A228,'SegEnds_NonXtal_Prot#'!A:AL,10,FALSE)-VLOOKUP(A228,'SegEnds_NonXtal_Prot#'!A:AL,7,FALSE)</f>
        <v>15</v>
      </c>
      <c r="AD228" s="1">
        <f>VLOOKUP(A228,'SegEnds_NonXtal_Prot#'!A:AL,13,FALSE)-VLOOKUP(A228,'SegEnds_NonXtal_Prot#'!A:AL,10,FALSE)</f>
        <v>20</v>
      </c>
      <c r="AE228" s="1">
        <f>VLOOKUP(A228,'SegEnds_NonXtal_Prot#'!A:AL,16,FALSE)-VLOOKUP(A228,'SegEnds_NonXtal_Prot#'!A:AL,10,FALSE)</f>
        <v>52</v>
      </c>
      <c r="AF228" s="1">
        <f>VLOOKUP(A228,'SegEnds_NonXtal_Prot#'!A:AL,22,FALSE)-VLOOKUP(A228,'SegEnds_NonXtal_Prot#'!A:AL,19,FALSE)</f>
        <v>18</v>
      </c>
      <c r="AG228" s="1">
        <f>VLOOKUP(A228,'SegEnds_NonXtal_Prot#'!A:AL,28,FALSE)-VLOOKUP(A228,'SegEnds_NonXtal_Prot#'!A:AL,25,FALSE)</f>
        <v>25</v>
      </c>
      <c r="AH228" s="1">
        <f>VLOOKUP(A228,'SegEnds_NonXtal_Prot#'!A:AL,28,FALSE)-VLOOKUP(A228,'SegEnds_NonXtal_Prot#'!A:AL,22,FALSE)</f>
        <v>58</v>
      </c>
      <c r="AI228" s="12">
        <f>VLOOKUP(A228,'SegEnds_NonXtal_Prot#'!A:AL,31,FALSE)-VLOOKUP(A228,'SegEnds_NonXtal_Prot#'!A:AL,28,FALSE)</f>
        <v>86</v>
      </c>
      <c r="AJ228" s="1">
        <f>VLOOKUP(A228,'SegEnds_NonXtal_Prot#'!A:AL,34,FALSE)-VLOOKUP(A228,'SegEnds_NonXtal_Prot#'!A:AL,31,FALSE)</f>
        <v>42</v>
      </c>
      <c r="AK228" s="1">
        <f>VLOOKUP(A228,'SegEnds_NonXtal_Prot#'!A:AL,37,FALSE)-VLOOKUP(A228,'SegEnds_NonXtal_Prot#'!A:AL,34,FALSE)</f>
        <v>10</v>
      </c>
      <c r="AL228" s="12" t="str">
        <f>IF(ISERROR(MATCH(A228,'SegEnds_Xtal_Prot#'!B:B, 0)), "NoXtal", "Xtal")</f>
        <v>Xtal</v>
      </c>
    </row>
    <row r="229" spans="1:38" x14ac:dyDescent="0.2">
      <c r="A229" s="1" t="s">
        <v>1176</v>
      </c>
      <c r="B229" s="1" t="str">
        <f>VLOOKUP(A229,Xtal_Templ!A:B,2,FALSE)</f>
        <v>ox2r_human</v>
      </c>
      <c r="C229" s="5">
        <f>VLOOKUP($B229&amp;"__wt",'SegEnds_Xtal_BW#'!$A:$Z,3,FALSE)</f>
        <v>31</v>
      </c>
      <c r="D229" s="1">
        <f>VLOOKUP($B229&amp;"__wt",'SegEnds_Xtal_BW#'!$A:$Z,4,FALSE)</f>
        <v>60</v>
      </c>
      <c r="E229" s="1">
        <f>VLOOKUP($B229&amp;"__wt",'SegEnds_Xtal_BW#'!$A:$Z,5,FALSE)</f>
        <v>48</v>
      </c>
      <c r="F229" s="1">
        <f>VLOOKUP($B229&amp;"__wt",'SegEnds_Xtal_BW#'!$A:$Z,6,FALSE)</f>
        <v>51</v>
      </c>
      <c r="G229" s="1">
        <v>37</v>
      </c>
      <c r="H229" s="12">
        <f>VLOOKUP($B229&amp;"__wt",'SegEnds_Xtal_BW#'!$A:$Z,8,FALSE)</f>
        <v>68</v>
      </c>
      <c r="I229" s="1">
        <f>VLOOKUP($B229&amp;"__wt",'SegEnds_Xtal_BW#'!$A:$Z,9,FALSE)</f>
        <v>49</v>
      </c>
      <c r="J229" s="1">
        <f>VLOOKUP($B229&amp;"__wt",'SegEnds_Xtal_BW#'!$A:$Z,10,FALSE)</f>
        <v>52</v>
      </c>
      <c r="K229" s="12">
        <v>18</v>
      </c>
      <c r="L229" s="1">
        <f>VLOOKUP($B229&amp;"__wt",'SegEnds_Xtal_BW#'!$A:$Z,12,FALSE)</f>
        <v>56</v>
      </c>
      <c r="M229" s="1">
        <f>VLOOKUP($B229&amp;"__wt",'SegEnds_Xtal_BW#'!$A:$Z,13,FALSE)</f>
        <v>50</v>
      </c>
      <c r="N229" s="12">
        <f>VLOOKUP($B229&amp;"__wt",'SegEnds_Xtal_BW#'!$A:$Z,14,FALSE)</f>
        <v>53</v>
      </c>
      <c r="O229" s="87">
        <f>VLOOKUP($B229&amp;"__wt",'SegEnds_Xtal_BW#'!$A:$Z,15,FALSE)</f>
        <v>38</v>
      </c>
      <c r="P229" s="1">
        <f>VLOOKUP($B229&amp;"__wt",'SegEnds_Xtal_BW#'!$A:$Z,16,FALSE)</f>
        <v>64</v>
      </c>
      <c r="Q229" s="1">
        <f>VLOOKUP($B229&amp;"__wt",'SegEnds_Xtal_BW#'!$A:$Z,17,FALSE)</f>
        <v>50</v>
      </c>
      <c r="R229" s="1">
        <f>VLOOKUP($B229&amp;"__wt",'SegEnds_Xtal_BW#'!$A:$Z,18,FALSE)</f>
        <v>52</v>
      </c>
      <c r="S229" s="1">
        <f>VLOOKUP($B229&amp;"__wt",'SegEnds_Xtal_BW#'!$A:$Z,19,FALSE)</f>
        <v>33</v>
      </c>
      <c r="T229" s="1">
        <f t="array" ref="T229">INDEX(ICL3_classA!$G$2:$G$37,MATCH(MIN(ABS(AI229-ICL3_classA!$F$2:$F$37)),ABS(AI229-ICL3_classA!$F$2:$F$37),0))</f>
        <v>76</v>
      </c>
      <c r="U229" s="1">
        <v>20</v>
      </c>
      <c r="V229" s="1">
        <v>61</v>
      </c>
      <c r="W229" s="108">
        <v>27</v>
      </c>
      <c r="X229" s="1">
        <f>VLOOKUP($B229&amp;"__wt",'SegEnds_Xtal_BW#'!$A:$Z,24,FALSE)</f>
        <v>56</v>
      </c>
      <c r="Y229" s="1">
        <f>VLOOKUP($B229&amp;"__wt",'SegEnds_Xtal_BW#'!$A:$Z,25,FALSE)</f>
        <v>47</v>
      </c>
      <c r="Z229" s="1">
        <f>VLOOKUP($B229&amp;"__wt",'SegEnds_Xtal_BW#'!$A:$Z,26,FALSE)</f>
        <v>58</v>
      </c>
      <c r="AA229" s="27" t="str">
        <f>VLOOKUP(A229,Classification!A:B,2,FALSE)</f>
        <v>A</v>
      </c>
      <c r="AB229" s="1">
        <f>VLOOKUP(A229,'SegEnds_NonXtal_Prot#'!A:AL,10,FALSE)-VLOOKUP(A229,'SegEnds_NonXtal_Prot#'!A:AL,4,FALSE)</f>
        <v>28</v>
      </c>
      <c r="AC229" s="1">
        <f>VLOOKUP(A229,'SegEnds_NonXtal_Prot#'!A:AL,10,FALSE)-VLOOKUP(A229,'SegEnds_NonXtal_Prot#'!A:AL,7,FALSE)</f>
        <v>15</v>
      </c>
      <c r="AD229" s="1">
        <f>VLOOKUP(A229,'SegEnds_NonXtal_Prot#'!A:AL,13,FALSE)-VLOOKUP(A229,'SegEnds_NonXtal_Prot#'!A:AL,10,FALSE)</f>
        <v>20</v>
      </c>
      <c r="AE229" s="1">
        <f>VLOOKUP(A229,'SegEnds_NonXtal_Prot#'!A:AL,16,FALSE)-VLOOKUP(A229,'SegEnds_NonXtal_Prot#'!A:AL,10,FALSE)</f>
        <v>52</v>
      </c>
      <c r="AF229" s="1">
        <f>VLOOKUP(A229,'SegEnds_NonXtal_Prot#'!A:AL,22,FALSE)-VLOOKUP(A229,'SegEnds_NonXtal_Prot#'!A:AL,19,FALSE)</f>
        <v>18</v>
      </c>
      <c r="AG229" s="1">
        <f>VLOOKUP(A229,'SegEnds_NonXtal_Prot#'!A:AL,28,FALSE)-VLOOKUP(A229,'SegEnds_NonXtal_Prot#'!A:AL,25,FALSE)</f>
        <v>25</v>
      </c>
      <c r="AH229" s="1">
        <f>VLOOKUP(A229,'SegEnds_NonXtal_Prot#'!A:AL,28,FALSE)-VLOOKUP(A229,'SegEnds_NonXtal_Prot#'!A:AL,22,FALSE)</f>
        <v>58</v>
      </c>
      <c r="AI229" s="12">
        <f>VLOOKUP(A229,'SegEnds_NonXtal_Prot#'!A:AL,31,FALSE)-VLOOKUP(A229,'SegEnds_NonXtal_Prot#'!A:AL,28,FALSE)</f>
        <v>84</v>
      </c>
      <c r="AJ229" s="1">
        <f>VLOOKUP(A229,'SegEnds_NonXtal_Prot#'!A:AL,34,FALSE)-VLOOKUP(A229,'SegEnds_NonXtal_Prot#'!A:AL,31,FALSE)</f>
        <v>42</v>
      </c>
      <c r="AK229" s="1">
        <f>VLOOKUP(A229,'SegEnds_NonXtal_Prot#'!A:AL,37,FALSE)-VLOOKUP(A229,'SegEnds_NonXtal_Prot#'!A:AL,34,FALSE)</f>
        <v>10</v>
      </c>
      <c r="AL229" s="12" t="str">
        <f>IF(ISERROR(MATCH(A229,'SegEnds_Xtal_Prot#'!B:B, 0)), "NoXtal", "Xtal")</f>
        <v>Xtal</v>
      </c>
    </row>
    <row r="230" spans="1:38" x14ac:dyDescent="0.2">
      <c r="A230" s="1" t="s">
        <v>342</v>
      </c>
      <c r="B230" s="1" t="str">
        <f>VLOOKUP(A230,Xtal_Templ!A:B,2,FALSE)</f>
        <v>pd2r2_human</v>
      </c>
      <c r="C230" s="5">
        <f>VLOOKUP($B230&amp;"__wt",'SegEnds_Xtal_BW#'!$A:$Z,3,FALSE)</f>
        <v>32</v>
      </c>
      <c r="D230" s="1">
        <f>VLOOKUP($B230&amp;"__wt",'SegEnds_Xtal_BW#'!$A:$Z,4,FALSE)</f>
        <v>60</v>
      </c>
      <c r="E230" s="1" t="str">
        <f>VLOOKUP($B230&amp;"__wt",'SegEnds_Xtal_BW#'!$A:$Z,5,FALSE)</f>
        <v>-</v>
      </c>
      <c r="F230" s="1" t="str">
        <f>VLOOKUP($B230&amp;"__wt",'SegEnds_Xtal_BW#'!$A:$Z,6,FALSE)</f>
        <v>-</v>
      </c>
      <c r="G230" s="1">
        <v>37</v>
      </c>
      <c r="H230" s="12">
        <f>VLOOKUP($B230&amp;"__wt",'SegEnds_Xtal_BW#'!$A:$Z,8,FALSE)</f>
        <v>67</v>
      </c>
      <c r="I230" s="1">
        <f>VLOOKUP($B230&amp;"__wt",'SegEnds_Xtal_BW#'!$A:$Z,9,FALSE)</f>
        <v>49</v>
      </c>
      <c r="J230" s="1">
        <f>VLOOKUP($B230&amp;"__wt",'SegEnds_Xtal_BW#'!$A:$Z,10,FALSE)</f>
        <v>52</v>
      </c>
      <c r="K230" s="12">
        <v>18</v>
      </c>
      <c r="L230" s="1">
        <f>VLOOKUP($B230&amp;"__wt",'SegEnds_Xtal_BW#'!$A:$Z,12,FALSE)</f>
        <v>56</v>
      </c>
      <c r="M230" s="1">
        <f>VLOOKUP($B230&amp;"__wt",'SegEnds_Xtal_BW#'!$A:$Z,13,FALSE)</f>
        <v>50</v>
      </c>
      <c r="N230" s="12">
        <f>VLOOKUP($B230&amp;"__wt",'SegEnds_Xtal_BW#'!$A:$Z,14,FALSE)</f>
        <v>57</v>
      </c>
      <c r="O230" s="87">
        <f>VLOOKUP($B230&amp;"__wt",'SegEnds_Xtal_BW#'!$A:$Z,15,FALSE)</f>
        <v>38</v>
      </c>
      <c r="P230" s="1">
        <f>VLOOKUP($B230&amp;"__wt",'SegEnds_Xtal_BW#'!$A:$Z,16,FALSE)</f>
        <v>64</v>
      </c>
      <c r="Q230" s="1">
        <f>VLOOKUP($B230&amp;"__wt",'SegEnds_Xtal_BW#'!$A:$Z,17,FALSE)</f>
        <v>50</v>
      </c>
      <c r="R230" s="1">
        <f>VLOOKUP($B230&amp;"__wt",'SegEnds_Xtal_BW#'!$A:$Z,18,FALSE)</f>
        <v>52</v>
      </c>
      <c r="S230" s="1">
        <f>VLOOKUP($B230&amp;"__wt",'SegEnds_Xtal_BW#'!$A:$Z,19,FALSE)</f>
        <v>26</v>
      </c>
      <c r="T230" s="1">
        <f t="array" ref="T230">INDEX(ICL3_classA!$G$2:$G$37,MATCH(MIN(ABS(AI230-ICL3_classA!$F$2:$F$37)),ABS(AI230-ICL3_classA!$F$2:$F$37),0))</f>
        <v>67</v>
      </c>
      <c r="U230" s="1">
        <f t="array" ref="U230">INDEX(ICL3_classA!$H$2:$H$37,MATCH(MIN(ABS(AI230-ICL3_classA!$F$2:$F$37)),ABS(AI230-ICL3_classA!$F$2:$F$37),0))</f>
        <v>26</v>
      </c>
      <c r="V230" s="1">
        <v>61</v>
      </c>
      <c r="W230" s="1">
        <v>28</v>
      </c>
      <c r="X230" s="1">
        <f>VLOOKUP($B230&amp;"__wt",'SegEnds_Xtal_BW#'!$A:$Z,24,FALSE)</f>
        <v>56</v>
      </c>
      <c r="Y230" s="1">
        <f>VLOOKUP($B230&amp;"__wt",'SegEnds_Xtal_BW#'!$A:$Z,25,FALSE)</f>
        <v>47</v>
      </c>
      <c r="Z230" s="1">
        <f>VLOOKUP($B230&amp;"__wt",'SegEnds_Xtal_BW#'!$A:$Z,26,FALSE)</f>
        <v>64</v>
      </c>
      <c r="AA230" s="27" t="str">
        <f>VLOOKUP(A230,Classification!A:B,2,FALSE)</f>
        <v>A</v>
      </c>
      <c r="AB230" s="1">
        <f>VLOOKUP(A230,'SegEnds_NonXtal_Prot#'!A:AL,10,FALSE)-VLOOKUP(A230,'SegEnds_NonXtal_Prot#'!A:AL,4,FALSE)</f>
        <v>28</v>
      </c>
      <c r="AC230" s="1">
        <f>VLOOKUP(A230,'SegEnds_NonXtal_Prot#'!A:AL,10,FALSE)-VLOOKUP(A230,'SegEnds_NonXtal_Prot#'!A:AL,7,FALSE)</f>
        <v>15</v>
      </c>
      <c r="AD230" s="1">
        <f>VLOOKUP(A230,'SegEnds_NonXtal_Prot#'!A:AL,13,FALSE)-VLOOKUP(A230,'SegEnds_NonXtal_Prot#'!A:AL,10,FALSE)</f>
        <v>20</v>
      </c>
      <c r="AE230" s="1">
        <f>VLOOKUP(A230,'SegEnds_NonXtal_Prot#'!A:AL,16,FALSE)-VLOOKUP(A230,'SegEnds_NonXtal_Prot#'!A:AL,10,FALSE)</f>
        <v>52</v>
      </c>
      <c r="AF230" s="1">
        <f>VLOOKUP(A230,'SegEnds_NonXtal_Prot#'!A:AL,22,FALSE)-VLOOKUP(A230,'SegEnds_NonXtal_Prot#'!A:AL,19,FALSE)</f>
        <v>20</v>
      </c>
      <c r="AG230" s="1">
        <f>VLOOKUP(A230,'SegEnds_NonXtal_Prot#'!A:AL,28,FALSE)-VLOOKUP(A230,'SegEnds_NonXtal_Prot#'!A:AL,25,FALSE)</f>
        <v>27</v>
      </c>
      <c r="AH230" s="1">
        <f>VLOOKUP(A230,'SegEnds_NonXtal_Prot#'!A:AL,28,FALSE)-VLOOKUP(A230,'SegEnds_NonXtal_Prot#'!A:AL,22,FALSE)</f>
        <v>47</v>
      </c>
      <c r="AI230" s="1">
        <f>VLOOKUP(A230,'SegEnds_NonXtal_Prot#'!A:AL,31,FALSE)-VLOOKUP(A230,'SegEnds_NonXtal_Prot#'!A:AL,28,FALSE)</f>
        <v>46</v>
      </c>
      <c r="AJ230" s="1">
        <f>VLOOKUP(A230,'SegEnds_NonXtal_Prot#'!A:AL,34,FALSE)-VLOOKUP(A230,'SegEnds_NonXtal_Prot#'!A:AL,31,FALSE)</f>
        <v>42</v>
      </c>
      <c r="AK230" s="1">
        <f>VLOOKUP(A230,'SegEnds_NonXtal_Prot#'!A:AL,37,FALSE)-VLOOKUP(A230,'SegEnds_NonXtal_Prot#'!A:AL,34,FALSE)</f>
        <v>10</v>
      </c>
      <c r="AL230" s="1" t="str">
        <f>IF(ISERROR(MATCH(A230,'SegEnds_Xtal_Prot#'!B:B, 0)), "NoXtal", "Xtal")</f>
        <v>NoXtal</v>
      </c>
    </row>
    <row r="231" spans="1:38" x14ac:dyDescent="0.2">
      <c r="A231" s="1" t="s">
        <v>343</v>
      </c>
      <c r="B231" s="1" t="str">
        <f>VLOOKUP(A231,Xtal_Templ!A:B,2,FALSE)</f>
        <v>p2ry1_human</v>
      </c>
      <c r="C231" s="5">
        <f>VLOOKUP($B231&amp;"__wt",'SegEnds_Xtal_BW#'!$A:$Z,3,FALSE)</f>
        <v>30</v>
      </c>
      <c r="D231" s="1">
        <f>VLOOKUP($B231&amp;"__wt",'SegEnds_Xtal_BW#'!$A:$Z,4,FALSE)</f>
        <v>60</v>
      </c>
      <c r="E231" s="1" t="str">
        <f>VLOOKUP($B231&amp;"__wt",'SegEnds_Xtal_BW#'!$A:$Z,5,FALSE)</f>
        <v>-</v>
      </c>
      <c r="F231" s="1" t="str">
        <f>VLOOKUP($B231&amp;"__wt",'SegEnds_Xtal_BW#'!$A:$Z,6,FALSE)</f>
        <v>-</v>
      </c>
      <c r="G231" s="1">
        <v>37</v>
      </c>
      <c r="H231" s="12">
        <f>VLOOKUP($B231&amp;"__wt",'SegEnds_Xtal_BW#'!$A:$Z,8,FALSE)</f>
        <v>66</v>
      </c>
      <c r="I231" s="1">
        <f>VLOOKUP($B231&amp;"__wt",'SegEnds_Xtal_BW#'!$A:$Z,9,FALSE)</f>
        <v>49</v>
      </c>
      <c r="J231" s="1">
        <f>VLOOKUP($B231&amp;"__wt",'SegEnds_Xtal_BW#'!$A:$Z,10,FALSE)</f>
        <v>52</v>
      </c>
      <c r="K231" s="12">
        <v>18</v>
      </c>
      <c r="L231" s="1">
        <f>VLOOKUP($B231&amp;"__wt",'SegEnds_Xtal_BW#'!$A:$Z,12,FALSE)</f>
        <v>56</v>
      </c>
      <c r="M231" s="1">
        <f>VLOOKUP($B231&amp;"__wt",'SegEnds_Xtal_BW#'!$A:$Z,13,FALSE)</f>
        <v>50</v>
      </c>
      <c r="N231" s="12">
        <f>VLOOKUP($B231&amp;"__wt",'SegEnds_Xtal_BW#'!$A:$Z,14,FALSE)</f>
        <v>57</v>
      </c>
      <c r="O231" s="87">
        <f>VLOOKUP($B231&amp;"__wt",'SegEnds_Xtal_BW#'!$A:$Z,15,FALSE)</f>
        <v>38</v>
      </c>
      <c r="P231" s="1">
        <f>VLOOKUP($B231&amp;"__wt",'SegEnds_Xtal_BW#'!$A:$Z,16,FALSE)</f>
        <v>64</v>
      </c>
      <c r="Q231" s="1">
        <f>VLOOKUP($B231&amp;"__wt",'SegEnds_Xtal_BW#'!$A:$Z,17,FALSE)</f>
        <v>50</v>
      </c>
      <c r="R231" s="1">
        <f>VLOOKUP($B231&amp;"__wt",'SegEnds_Xtal_BW#'!$A:$Z,18,FALSE)</f>
        <v>52</v>
      </c>
      <c r="S231" s="1">
        <f>VLOOKUP($B231&amp;"__wt",'SegEnds_Xtal_BW#'!$A:$Z,19,FALSE)</f>
        <v>32</v>
      </c>
      <c r="T231" s="1">
        <f t="array" ref="T231">INDEX(ICL3_classA!$G$2:$G$37,MATCH(MIN(ABS(AI231-ICL3_classA!$F$2:$F$37)),ABS(AI231-ICL3_classA!$F$2:$F$37),0))</f>
        <v>67</v>
      </c>
      <c r="U231" s="1">
        <f t="array" ref="U231">INDEX(ICL3_classA!$H$2:$H$37,MATCH(MIN(ABS(AI231-ICL3_classA!$F$2:$F$37)),ABS(AI231-ICL3_classA!$F$2:$F$37),0))</f>
        <v>26</v>
      </c>
      <c r="V231" s="1">
        <v>61</v>
      </c>
      <c r="W231" s="1">
        <v>24</v>
      </c>
      <c r="X231" s="1">
        <f>VLOOKUP($B231&amp;"__wt",'SegEnds_Xtal_BW#'!$A:$Z,24,FALSE)</f>
        <v>56</v>
      </c>
      <c r="Y231" s="1">
        <f>VLOOKUP($B231&amp;"__wt",'SegEnds_Xtal_BW#'!$A:$Z,25,FALSE)</f>
        <v>47</v>
      </c>
      <c r="Z231" s="1">
        <f>VLOOKUP($B231&amp;"__wt",'SegEnds_Xtal_BW#'!$A:$Z,26,FALSE)</f>
        <v>59</v>
      </c>
      <c r="AA231" s="27" t="str">
        <f>VLOOKUP(A231,Classification!A:B,2,FALSE)</f>
        <v>A</v>
      </c>
      <c r="AB231" s="1">
        <f>VLOOKUP(A231,'SegEnds_NonXtal_Prot#'!A:AL,10,FALSE)-VLOOKUP(A231,'SegEnds_NonXtal_Prot#'!A:AL,4,FALSE)</f>
        <v>28</v>
      </c>
      <c r="AC231" s="1" t="e">
        <f>VLOOKUP(A231,'SegEnds_NonXtal_Prot#'!A:AL,10,FALSE)-VLOOKUP(A231,'SegEnds_NonXtal_Prot#'!A:AL,7,FALSE)</f>
        <v>#VALUE!</v>
      </c>
      <c r="AD231" s="1">
        <f>VLOOKUP(A231,'SegEnds_NonXtal_Prot#'!A:AL,13,FALSE)-VLOOKUP(A231,'SegEnds_NonXtal_Prot#'!A:AL,10,FALSE)</f>
        <v>20</v>
      </c>
      <c r="AE231" s="1">
        <f>VLOOKUP(A231,'SegEnds_NonXtal_Prot#'!A:AL,16,FALSE)-VLOOKUP(A231,'SegEnds_NonXtal_Prot#'!A:AL,10,FALSE)</f>
        <v>52</v>
      </c>
      <c r="AF231" s="1">
        <f>VLOOKUP(A231,'SegEnds_NonXtal_Prot#'!A:AL,22,FALSE)-VLOOKUP(A231,'SegEnds_NonXtal_Prot#'!A:AL,19,FALSE)</f>
        <v>20</v>
      </c>
      <c r="AG231" s="1">
        <f>VLOOKUP(A231,'SegEnds_NonXtal_Prot#'!A:AL,28,FALSE)-VLOOKUP(A231,'SegEnds_NonXtal_Prot#'!A:AL,25,FALSE)</f>
        <v>27</v>
      </c>
      <c r="AH231" s="1">
        <f>VLOOKUP(A231,'SegEnds_NonXtal_Prot#'!A:AL,28,FALSE)-VLOOKUP(A231,'SegEnds_NonXtal_Prot#'!A:AL,22,FALSE)</f>
        <v>52</v>
      </c>
      <c r="AI231" s="1">
        <f>VLOOKUP(A231,'SegEnds_NonXtal_Prot#'!A:AL,31,FALSE)-VLOOKUP(A231,'SegEnds_NonXtal_Prot#'!A:AL,28,FALSE)</f>
        <v>46</v>
      </c>
      <c r="AJ231" s="1">
        <f>VLOOKUP(A231,'SegEnds_NonXtal_Prot#'!A:AL,34,FALSE)-VLOOKUP(A231,'SegEnds_NonXtal_Prot#'!A:AL,31,FALSE)</f>
        <v>43</v>
      </c>
      <c r="AK231" s="1">
        <f>VLOOKUP(A231,'SegEnds_NonXtal_Prot#'!A:AL,37,FALSE)-VLOOKUP(A231,'SegEnds_NonXtal_Prot#'!A:AL,34,FALSE)</f>
        <v>10</v>
      </c>
      <c r="AL231" s="1" t="str">
        <f>IF(ISERROR(MATCH(A231,'SegEnds_Xtal_Prot#'!B:B, 0)), "NoXtal", "Xtal")</f>
        <v>NoXtal</v>
      </c>
    </row>
    <row r="232" spans="1:38" x14ac:dyDescent="0.2">
      <c r="A232" s="4" t="s">
        <v>344</v>
      </c>
      <c r="B232" s="4" t="str">
        <f>VLOOKUP(A232,Xtal_Templ!A:B,2,FALSE)</f>
        <v>ox2r_human</v>
      </c>
      <c r="C232" s="5">
        <f>VLOOKUP($B232&amp;"__wt",'SegEnds_Xtal_BW#'!$A:$Z,3,FALSE)</f>
        <v>31</v>
      </c>
      <c r="D232" s="4">
        <f>VLOOKUP($B232&amp;"__wt",'SegEnds_Xtal_BW#'!$A:$Z,4,FALSE)</f>
        <v>60</v>
      </c>
      <c r="E232" s="4">
        <f>VLOOKUP($B232&amp;"__wt",'SegEnds_Xtal_BW#'!$A:$Z,5,FALSE)</f>
        <v>48</v>
      </c>
      <c r="F232" s="4">
        <f>VLOOKUP($B232&amp;"__wt",'SegEnds_Xtal_BW#'!$A:$Z,6,FALSE)</f>
        <v>51</v>
      </c>
      <c r="G232" s="4">
        <v>37</v>
      </c>
      <c r="H232" s="11">
        <v>66</v>
      </c>
      <c r="I232" s="4">
        <f>VLOOKUP($B232&amp;"__wt",'SegEnds_Xtal_BW#'!$A:$Z,9,FALSE)</f>
        <v>49</v>
      </c>
      <c r="J232" s="4">
        <f>VLOOKUP($B232&amp;"__wt",'SegEnds_Xtal_BW#'!$A:$Z,10,FALSE)</f>
        <v>52</v>
      </c>
      <c r="K232" s="11">
        <v>18</v>
      </c>
      <c r="L232" s="4">
        <f>VLOOKUP($B232&amp;"__wt",'SegEnds_Xtal_BW#'!$A:$Z,12,FALSE)</f>
        <v>56</v>
      </c>
      <c r="M232" s="4">
        <f>VLOOKUP($B232&amp;"__wt",'SegEnds_Xtal_BW#'!$A:$Z,13,FALSE)</f>
        <v>50</v>
      </c>
      <c r="N232" s="11">
        <v>55</v>
      </c>
      <c r="O232" s="88">
        <v>38</v>
      </c>
      <c r="P232" s="4">
        <f>VLOOKUP($B232&amp;"__wt",'SegEnds_Xtal_BW#'!$A:$Z,16,FALSE)</f>
        <v>64</v>
      </c>
      <c r="Q232" s="4">
        <f>VLOOKUP($B232&amp;"__wt",'SegEnds_Xtal_BW#'!$A:$Z,17,FALSE)</f>
        <v>50</v>
      </c>
      <c r="R232" s="4">
        <f>VLOOKUP($B232&amp;"__wt",'SegEnds_Xtal_BW#'!$A:$Z,18,FALSE)</f>
        <v>52</v>
      </c>
      <c r="S232" s="4">
        <f>VLOOKUP($B232&amp;"__wt",'SegEnds_Xtal_BW#'!$A:$Z,19,FALSE)</f>
        <v>33</v>
      </c>
      <c r="T232" s="4">
        <f t="array" ref="T232">INDEX(ICL3_classA!$G$2:$G$37,MATCH(MIN(ABS(AI232-ICL3_classA!$F$2:$F$37)),ABS(AI232-ICL3_classA!$F$2:$F$37),0))</f>
        <v>76</v>
      </c>
      <c r="U232" s="4">
        <f t="array" ref="U232">INDEX(ICL3_classA!$H$2:$H$37,MATCH(MIN(ABS(AI232-ICL3_classA!$F$2:$F$37)),ABS(AI232-ICL3_classA!$F$2:$F$37),0))</f>
        <v>24</v>
      </c>
      <c r="V232" s="4">
        <v>61</v>
      </c>
      <c r="W232" s="4">
        <v>31</v>
      </c>
      <c r="X232" s="4">
        <f>VLOOKUP($B232&amp;"__wt",'SegEnds_Xtal_BW#'!$A:$Z,24,FALSE)</f>
        <v>56</v>
      </c>
      <c r="Y232" s="4">
        <f>VLOOKUP($B232&amp;"__wt",'SegEnds_Xtal_BW#'!$A:$Z,25,FALSE)</f>
        <v>47</v>
      </c>
      <c r="Z232" s="4">
        <f>VLOOKUP($B232&amp;"__wt",'SegEnds_Xtal_BW#'!$A:$Z,26,FALSE)</f>
        <v>58</v>
      </c>
      <c r="AA232" s="27" t="str">
        <f>VLOOKUP(A232,Classification!A:B,2,FALSE)</f>
        <v>A</v>
      </c>
      <c r="AB232" s="1">
        <f>VLOOKUP(A232,'SegEnds_NonXtal_Prot#'!A:AL,10,FALSE)-VLOOKUP(A232,'SegEnds_NonXtal_Prot#'!A:AL,4,FALSE)</f>
        <v>28</v>
      </c>
      <c r="AC232" s="4">
        <f>VLOOKUP(A232,'SegEnds_NonXtal_Prot#'!A:AL,10,FALSE)-VLOOKUP(A232,'SegEnds_NonXtal_Prot#'!A:AL,7,FALSE)</f>
        <v>15</v>
      </c>
      <c r="AD232" s="4">
        <f>VLOOKUP(A232,'SegEnds_NonXtal_Prot#'!A:AL,13,FALSE)-VLOOKUP(A232,'SegEnds_NonXtal_Prot#'!A:AL,10,FALSE)</f>
        <v>18</v>
      </c>
      <c r="AE232" s="4">
        <f>VLOOKUP(A232,'SegEnds_NonXtal_Prot#'!A:AL,16,FALSE)-VLOOKUP(A232,'SegEnds_NonXtal_Prot#'!A:AL,10,FALSE)</f>
        <v>52</v>
      </c>
      <c r="AF232" s="1" t="e">
        <f>VLOOKUP(A232,'SegEnds_NonXtal_Prot#'!A:AL,22,FALSE)-VLOOKUP(A232,'SegEnds_NonXtal_Prot#'!A:AL,19,FALSE)</f>
        <v>#VALUE!</v>
      </c>
      <c r="AG232" s="4">
        <f>VLOOKUP(A232,'SegEnds_NonXtal_Prot#'!A:AL,28,FALSE)-VLOOKUP(A232,'SegEnds_NonXtal_Prot#'!A:AL,25,FALSE)</f>
        <v>25</v>
      </c>
      <c r="AH232" s="1">
        <f>VLOOKUP(A232,'SegEnds_NonXtal_Prot#'!A:AL,28,FALSE)-VLOOKUP(A232,'SegEnds_NonXtal_Prot#'!A:AL,22,FALSE)</f>
        <v>51</v>
      </c>
      <c r="AI232" s="4">
        <f>VLOOKUP(A232,'SegEnds_NonXtal_Prot#'!A:AL,31,FALSE)-VLOOKUP(A232,'SegEnds_NonXtal_Prot#'!A:AL,28,FALSE)</f>
        <v>78</v>
      </c>
      <c r="AJ232" s="4">
        <f>VLOOKUP(A232,'SegEnds_NonXtal_Prot#'!A:AL,34,FALSE)-VLOOKUP(A232,'SegEnds_NonXtal_Prot#'!A:AL,31,FALSE)</f>
        <v>36</v>
      </c>
      <c r="AK232" s="1">
        <f>VLOOKUP(A232,'SegEnds_NonXtal_Prot#'!A:AL,37,FALSE)-VLOOKUP(A232,'SegEnds_NonXtal_Prot#'!A:AL,34,FALSE)</f>
        <v>10</v>
      </c>
      <c r="AL232" s="1" t="str">
        <f>IF(ISERROR(MATCH(A232,'SegEnds_Xtal_Prot#'!B:B, 0)), "NoXtal", "Xtal")</f>
        <v>NoXtal</v>
      </c>
    </row>
    <row r="233" spans="1:38" x14ac:dyDescent="0.2">
      <c r="A233" s="1" t="s">
        <v>345</v>
      </c>
      <c r="B233" s="1" t="str">
        <f>VLOOKUP(A233,Xtal_Templ!A:B,2,FALSE)</f>
        <v>p2ry1_human</v>
      </c>
      <c r="C233" s="5">
        <f>VLOOKUP($B233&amp;"__wt",'SegEnds_Xtal_BW#'!$A:$Z,3,FALSE)</f>
        <v>30</v>
      </c>
      <c r="D233" s="1">
        <f>VLOOKUP($B233&amp;"__wt",'SegEnds_Xtal_BW#'!$A:$Z,4,FALSE)</f>
        <v>60</v>
      </c>
      <c r="E233" s="1" t="str">
        <f>VLOOKUP($B233&amp;"__wt",'SegEnds_Xtal_BW#'!$A:$Z,5,FALSE)</f>
        <v>-</v>
      </c>
      <c r="F233" s="1" t="str">
        <f>VLOOKUP($B233&amp;"__wt",'SegEnds_Xtal_BW#'!$A:$Z,6,FALSE)</f>
        <v>-</v>
      </c>
      <c r="G233" s="1">
        <v>37</v>
      </c>
      <c r="H233" s="12">
        <f>VLOOKUP($B233&amp;"__wt",'SegEnds_Xtal_BW#'!$A:$Z,8,FALSE)</f>
        <v>66</v>
      </c>
      <c r="I233" s="1">
        <f>VLOOKUP($B233&amp;"__wt",'SegEnds_Xtal_BW#'!$A:$Z,9,FALSE)</f>
        <v>49</v>
      </c>
      <c r="J233" s="1">
        <f>VLOOKUP($B233&amp;"__wt",'SegEnds_Xtal_BW#'!$A:$Z,10,FALSE)</f>
        <v>52</v>
      </c>
      <c r="K233" s="12">
        <v>18</v>
      </c>
      <c r="L233" s="1">
        <f>VLOOKUP($B233&amp;"__wt",'SegEnds_Xtal_BW#'!$A:$Z,12,FALSE)</f>
        <v>56</v>
      </c>
      <c r="M233" s="1">
        <f>VLOOKUP($B233&amp;"__wt",'SegEnds_Xtal_BW#'!$A:$Z,13,FALSE)</f>
        <v>50</v>
      </c>
      <c r="N233" s="12">
        <f>VLOOKUP($B233&amp;"__wt",'SegEnds_Xtal_BW#'!$A:$Z,14,FALSE)</f>
        <v>57</v>
      </c>
      <c r="O233" s="87">
        <f>VLOOKUP($B233&amp;"__wt",'SegEnds_Xtal_BW#'!$A:$Z,15,FALSE)</f>
        <v>38</v>
      </c>
      <c r="P233" s="1">
        <f>VLOOKUP($B233&amp;"__wt",'SegEnds_Xtal_BW#'!$A:$Z,16,FALSE)</f>
        <v>64</v>
      </c>
      <c r="Q233" s="1">
        <f>VLOOKUP($B233&amp;"__wt",'SegEnds_Xtal_BW#'!$A:$Z,17,FALSE)</f>
        <v>50</v>
      </c>
      <c r="R233" s="1">
        <f>VLOOKUP($B233&amp;"__wt",'SegEnds_Xtal_BW#'!$A:$Z,18,FALSE)</f>
        <v>52</v>
      </c>
      <c r="S233" s="1">
        <f>VLOOKUP($B233&amp;"__wt",'SegEnds_Xtal_BW#'!$A:$Z,19,FALSE)</f>
        <v>32</v>
      </c>
      <c r="T233" s="1">
        <v>68</v>
      </c>
      <c r="U233" s="1">
        <v>28</v>
      </c>
      <c r="V233" s="1">
        <v>64</v>
      </c>
      <c r="W233" s="1">
        <v>24</v>
      </c>
      <c r="X233" s="1">
        <f>VLOOKUP($B233&amp;"__wt",'SegEnds_Xtal_BW#'!$A:$Z,24,FALSE)</f>
        <v>56</v>
      </c>
      <c r="Y233" s="1">
        <f>VLOOKUP($B233&amp;"__wt",'SegEnds_Xtal_BW#'!$A:$Z,25,FALSE)</f>
        <v>47</v>
      </c>
      <c r="Z233" s="1">
        <f>VLOOKUP($B233&amp;"__wt",'SegEnds_Xtal_BW#'!$A:$Z,26,FALSE)</f>
        <v>59</v>
      </c>
      <c r="AA233" s="27" t="str">
        <f>VLOOKUP(A233,Classification!A:B,2,FALSE)</f>
        <v>A</v>
      </c>
      <c r="AB233" s="1">
        <f>VLOOKUP(A233,'SegEnds_NonXtal_Prot#'!A:AL,10,FALSE)-VLOOKUP(A233,'SegEnds_NonXtal_Prot#'!A:AL,4,FALSE)</f>
        <v>28</v>
      </c>
      <c r="AC233" s="1" t="e">
        <f>VLOOKUP(A233,'SegEnds_NonXtal_Prot#'!A:AL,10,FALSE)-VLOOKUP(A233,'SegEnds_NonXtal_Prot#'!A:AL,7,FALSE)</f>
        <v>#VALUE!</v>
      </c>
      <c r="AD233" s="1">
        <f>VLOOKUP(A233,'SegEnds_NonXtal_Prot#'!A:AL,13,FALSE)-VLOOKUP(A233,'SegEnds_NonXtal_Prot#'!A:AL,10,FALSE)</f>
        <v>20</v>
      </c>
      <c r="AE233" s="1">
        <f>VLOOKUP(A233,'SegEnds_NonXtal_Prot#'!A:AL,16,FALSE)-VLOOKUP(A233,'SegEnds_NonXtal_Prot#'!A:AL,10,FALSE)</f>
        <v>52</v>
      </c>
      <c r="AF233" s="1">
        <f>VLOOKUP(A233,'SegEnds_NonXtal_Prot#'!A:AL,22,FALSE)-VLOOKUP(A233,'SegEnds_NonXtal_Prot#'!A:AL,19,FALSE)</f>
        <v>20</v>
      </c>
      <c r="AG233" s="1">
        <f>VLOOKUP(A233,'SegEnds_NonXtal_Prot#'!A:AL,28,FALSE)-VLOOKUP(A233,'SegEnds_NonXtal_Prot#'!A:AL,25,FALSE)</f>
        <v>27</v>
      </c>
      <c r="AH233" s="1">
        <f>VLOOKUP(A233,'SegEnds_NonXtal_Prot#'!A:AL,28,FALSE)-VLOOKUP(A233,'SegEnds_NonXtal_Prot#'!A:AL,22,FALSE)</f>
        <v>53</v>
      </c>
      <c r="AI233" s="1">
        <f>VLOOKUP(A233,'SegEnds_NonXtal_Prot#'!A:AL,31,FALSE)-VLOOKUP(A233,'SegEnds_NonXtal_Prot#'!A:AL,28,FALSE)</f>
        <v>46</v>
      </c>
      <c r="AJ233" s="1">
        <f>VLOOKUP(A233,'SegEnds_NonXtal_Prot#'!A:AL,34,FALSE)-VLOOKUP(A233,'SegEnds_NonXtal_Prot#'!A:AL,31,FALSE)</f>
        <v>46</v>
      </c>
      <c r="AK233" s="1">
        <f>VLOOKUP(A233,'SegEnds_NonXtal_Prot#'!A:AL,37,FALSE)-VLOOKUP(A233,'SegEnds_NonXtal_Prot#'!A:AL,34,FALSE)</f>
        <v>10</v>
      </c>
      <c r="AL233" s="1" t="str">
        <f>IF(ISERROR(MATCH(A233,'SegEnds_Xtal_Prot#'!B:B, 0)), "NoXtal", "Xtal")</f>
        <v>Xtal</v>
      </c>
    </row>
    <row r="234" spans="1:38" x14ac:dyDescent="0.2">
      <c r="A234" s="1" t="s">
        <v>346</v>
      </c>
      <c r="B234" s="1" t="str">
        <f>VLOOKUP(A234,Xtal_Templ!A:B,2,FALSE)</f>
        <v>p2ry1_human</v>
      </c>
      <c r="C234" s="5">
        <f>VLOOKUP($B234&amp;"__wt",'SegEnds_Xtal_BW#'!$A:$Z,3,FALSE)</f>
        <v>30</v>
      </c>
      <c r="D234" s="1">
        <f>VLOOKUP($B234&amp;"__wt",'SegEnds_Xtal_BW#'!$A:$Z,4,FALSE)</f>
        <v>60</v>
      </c>
      <c r="E234" s="1" t="str">
        <f>VLOOKUP($B234&amp;"__wt",'SegEnds_Xtal_BW#'!$A:$Z,5,FALSE)</f>
        <v>-</v>
      </c>
      <c r="F234" s="1" t="str">
        <f>VLOOKUP($B234&amp;"__wt",'SegEnds_Xtal_BW#'!$A:$Z,6,FALSE)</f>
        <v>-</v>
      </c>
      <c r="G234" s="1">
        <v>37</v>
      </c>
      <c r="H234" s="12">
        <f>VLOOKUP($B234&amp;"__wt",'SegEnds_Xtal_BW#'!$A:$Z,8,FALSE)</f>
        <v>66</v>
      </c>
      <c r="I234" s="1">
        <f>VLOOKUP($B234&amp;"__wt",'SegEnds_Xtal_BW#'!$A:$Z,9,FALSE)</f>
        <v>49</v>
      </c>
      <c r="J234" s="1">
        <f>VLOOKUP($B234&amp;"__wt",'SegEnds_Xtal_BW#'!$A:$Z,10,FALSE)</f>
        <v>52</v>
      </c>
      <c r="K234" s="12">
        <v>18</v>
      </c>
      <c r="L234" s="1">
        <f>VLOOKUP($B234&amp;"__wt",'SegEnds_Xtal_BW#'!$A:$Z,12,FALSE)</f>
        <v>56</v>
      </c>
      <c r="M234" s="1">
        <f>VLOOKUP($B234&amp;"__wt",'SegEnds_Xtal_BW#'!$A:$Z,13,FALSE)</f>
        <v>50</v>
      </c>
      <c r="N234" s="12">
        <f>VLOOKUP($B234&amp;"__wt",'SegEnds_Xtal_BW#'!$A:$Z,14,FALSE)</f>
        <v>57</v>
      </c>
      <c r="O234" s="87">
        <f>VLOOKUP($B234&amp;"__wt",'SegEnds_Xtal_BW#'!$A:$Z,15,FALSE)</f>
        <v>38</v>
      </c>
      <c r="P234" s="1">
        <f>VLOOKUP($B234&amp;"__wt",'SegEnds_Xtal_BW#'!$A:$Z,16,FALSE)</f>
        <v>64</v>
      </c>
      <c r="Q234" s="1">
        <f>VLOOKUP($B234&amp;"__wt",'SegEnds_Xtal_BW#'!$A:$Z,17,FALSE)</f>
        <v>50</v>
      </c>
      <c r="R234" s="1">
        <f>VLOOKUP($B234&amp;"__wt",'SegEnds_Xtal_BW#'!$A:$Z,18,FALSE)</f>
        <v>52</v>
      </c>
      <c r="S234" s="1">
        <f>VLOOKUP($B234&amp;"__wt",'SegEnds_Xtal_BW#'!$A:$Z,19,FALSE)</f>
        <v>32</v>
      </c>
      <c r="T234" s="1">
        <f t="array" ref="T234">INDEX(ICL3_classA!$G$2:$G$37,MATCH(MIN(ABS(AI234-ICL3_classA!$F$2:$F$37)),ABS(AI234-ICL3_classA!$F$2:$F$37),0))</f>
        <v>72</v>
      </c>
      <c r="U234" s="1">
        <f t="array" ref="U234">INDEX(ICL3_classA!$H$2:$H$37,MATCH(MIN(ABS(AI234-ICL3_classA!$F$2:$F$37)),ABS(AI234-ICL3_classA!$F$2:$F$37),0))</f>
        <v>29</v>
      </c>
      <c r="V234" s="1">
        <v>61</v>
      </c>
      <c r="W234" s="1">
        <v>24</v>
      </c>
      <c r="X234" s="1">
        <f>VLOOKUP($B234&amp;"__wt",'SegEnds_Xtal_BW#'!$A:$Z,24,FALSE)</f>
        <v>56</v>
      </c>
      <c r="Y234" s="1">
        <f>VLOOKUP($B234&amp;"__wt",'SegEnds_Xtal_BW#'!$A:$Z,25,FALSE)</f>
        <v>47</v>
      </c>
      <c r="Z234" s="1">
        <f>VLOOKUP($B234&amp;"__wt",'SegEnds_Xtal_BW#'!$A:$Z,26,FALSE)</f>
        <v>59</v>
      </c>
      <c r="AA234" s="27" t="str">
        <f>VLOOKUP(A234,Classification!A:B,2,FALSE)</f>
        <v>A</v>
      </c>
      <c r="AB234" s="1">
        <f>VLOOKUP(A234,'SegEnds_NonXtal_Prot#'!A:AL,10,FALSE)-VLOOKUP(A234,'SegEnds_NonXtal_Prot#'!A:AL,4,FALSE)</f>
        <v>28</v>
      </c>
      <c r="AC234" s="1" t="e">
        <f>VLOOKUP(A234,'SegEnds_NonXtal_Prot#'!A:AL,10,FALSE)-VLOOKUP(A234,'SegEnds_NonXtal_Prot#'!A:AL,7,FALSE)</f>
        <v>#VALUE!</v>
      </c>
      <c r="AD234" s="1">
        <f>VLOOKUP(A234,'SegEnds_NonXtal_Prot#'!A:AL,13,FALSE)-VLOOKUP(A234,'SegEnds_NonXtal_Prot#'!A:AL,10,FALSE)</f>
        <v>20</v>
      </c>
      <c r="AE234" s="1">
        <f>VLOOKUP(A234,'SegEnds_NonXtal_Prot#'!A:AL,16,FALSE)-VLOOKUP(A234,'SegEnds_NonXtal_Prot#'!A:AL,10,FALSE)</f>
        <v>52</v>
      </c>
      <c r="AF234" s="1">
        <f>VLOOKUP(A234,'SegEnds_NonXtal_Prot#'!A:AL,22,FALSE)-VLOOKUP(A234,'SegEnds_NonXtal_Prot#'!A:AL,19,FALSE)</f>
        <v>20</v>
      </c>
      <c r="AG234" s="1">
        <f>VLOOKUP(A234,'SegEnds_NonXtal_Prot#'!A:AL,28,FALSE)-VLOOKUP(A234,'SegEnds_NonXtal_Prot#'!A:AL,25,FALSE)</f>
        <v>27</v>
      </c>
      <c r="AH234" s="1">
        <f>VLOOKUP(A234,'SegEnds_NonXtal_Prot#'!A:AL,28,FALSE)-VLOOKUP(A234,'SegEnds_NonXtal_Prot#'!A:AL,22,FALSE)</f>
        <v>52</v>
      </c>
      <c r="AI234" s="1">
        <f>VLOOKUP(A234,'SegEnds_NonXtal_Prot#'!A:AL,31,FALSE)-VLOOKUP(A234,'SegEnds_NonXtal_Prot#'!A:AL,28,FALSE)</f>
        <v>50</v>
      </c>
      <c r="AJ234" s="1">
        <f>VLOOKUP(A234,'SegEnds_NonXtal_Prot#'!A:AL,34,FALSE)-VLOOKUP(A234,'SegEnds_NonXtal_Prot#'!A:AL,31,FALSE)</f>
        <v>43</v>
      </c>
      <c r="AK234" s="1">
        <f>VLOOKUP(A234,'SegEnds_NonXtal_Prot#'!A:AL,37,FALSE)-VLOOKUP(A234,'SegEnds_NonXtal_Prot#'!A:AL,34,FALSE)</f>
        <v>10</v>
      </c>
      <c r="AL234" s="1" t="str">
        <f>IF(ISERROR(MATCH(A234,'SegEnds_Xtal_Prot#'!B:B, 0)), "NoXtal", "Xtal")</f>
        <v>NoXtal</v>
      </c>
    </row>
    <row r="235" spans="1:38" x14ac:dyDescent="0.2">
      <c r="A235" s="1" t="s">
        <v>347</v>
      </c>
      <c r="B235" s="1" t="str">
        <f>VLOOKUP(A235,Xtal_Templ!A:B,2,FALSE)</f>
        <v>p2ry1_human</v>
      </c>
      <c r="C235" s="5">
        <f>VLOOKUP($B235&amp;"__wt",'SegEnds_Xtal_BW#'!$A:$Z,3,FALSE)</f>
        <v>30</v>
      </c>
      <c r="D235" s="1">
        <f>VLOOKUP($B235&amp;"__wt",'SegEnds_Xtal_BW#'!$A:$Z,4,FALSE)</f>
        <v>60</v>
      </c>
      <c r="E235" s="1" t="str">
        <f>VLOOKUP($B235&amp;"__wt",'SegEnds_Xtal_BW#'!$A:$Z,5,FALSE)</f>
        <v>-</v>
      </c>
      <c r="F235" s="1" t="str">
        <f>VLOOKUP($B235&amp;"__wt",'SegEnds_Xtal_BW#'!$A:$Z,6,FALSE)</f>
        <v>-</v>
      </c>
      <c r="G235" s="1">
        <v>37</v>
      </c>
      <c r="H235" s="12">
        <f>VLOOKUP($B235&amp;"__wt",'SegEnds_Xtal_BW#'!$A:$Z,8,FALSE)</f>
        <v>66</v>
      </c>
      <c r="I235" s="1">
        <f>VLOOKUP($B235&amp;"__wt",'SegEnds_Xtal_BW#'!$A:$Z,9,FALSE)</f>
        <v>49</v>
      </c>
      <c r="J235" s="1">
        <f>VLOOKUP($B235&amp;"__wt",'SegEnds_Xtal_BW#'!$A:$Z,10,FALSE)</f>
        <v>52</v>
      </c>
      <c r="K235" s="12">
        <v>18</v>
      </c>
      <c r="L235" s="1">
        <f>VLOOKUP($B235&amp;"__wt",'SegEnds_Xtal_BW#'!$A:$Z,12,FALSE)</f>
        <v>56</v>
      </c>
      <c r="M235" s="1">
        <f>VLOOKUP($B235&amp;"__wt",'SegEnds_Xtal_BW#'!$A:$Z,13,FALSE)</f>
        <v>50</v>
      </c>
      <c r="N235" s="12">
        <f>VLOOKUP($B235&amp;"__wt",'SegEnds_Xtal_BW#'!$A:$Z,14,FALSE)</f>
        <v>57</v>
      </c>
      <c r="O235" s="87">
        <f>VLOOKUP($B235&amp;"__wt",'SegEnds_Xtal_BW#'!$A:$Z,15,FALSE)</f>
        <v>38</v>
      </c>
      <c r="P235" s="1">
        <f>VLOOKUP($B235&amp;"__wt",'SegEnds_Xtal_BW#'!$A:$Z,16,FALSE)</f>
        <v>64</v>
      </c>
      <c r="Q235" s="1">
        <f>VLOOKUP($B235&amp;"__wt",'SegEnds_Xtal_BW#'!$A:$Z,17,FALSE)</f>
        <v>50</v>
      </c>
      <c r="R235" s="1">
        <f>VLOOKUP($B235&amp;"__wt",'SegEnds_Xtal_BW#'!$A:$Z,18,FALSE)</f>
        <v>52</v>
      </c>
      <c r="S235" s="1">
        <f>VLOOKUP($B235&amp;"__wt",'SegEnds_Xtal_BW#'!$A:$Z,19,FALSE)</f>
        <v>32</v>
      </c>
      <c r="T235" s="1">
        <f t="array" ref="T235">INDEX(ICL3_classA!$G$2:$G$37,MATCH(MIN(ABS(AI235-ICL3_classA!$F$2:$F$37)),ABS(AI235-ICL3_classA!$F$2:$F$37),0))</f>
        <v>68</v>
      </c>
      <c r="U235" s="1">
        <f t="array" ref="U235">INDEX(ICL3_classA!$H$2:$H$37,MATCH(MIN(ABS(AI235-ICL3_classA!$F$2:$F$37)),ABS(AI235-ICL3_classA!$F$2:$F$37),0))</f>
        <v>24</v>
      </c>
      <c r="V235" s="1">
        <v>61</v>
      </c>
      <c r="W235" s="1">
        <v>24</v>
      </c>
      <c r="X235" s="1">
        <f>VLOOKUP($B235&amp;"__wt",'SegEnds_Xtal_BW#'!$A:$Z,24,FALSE)</f>
        <v>56</v>
      </c>
      <c r="Y235" s="1">
        <f>VLOOKUP($B235&amp;"__wt",'SegEnds_Xtal_BW#'!$A:$Z,25,FALSE)</f>
        <v>47</v>
      </c>
      <c r="Z235" s="1">
        <f>VLOOKUP($B235&amp;"__wt",'SegEnds_Xtal_BW#'!$A:$Z,26,FALSE)</f>
        <v>59</v>
      </c>
      <c r="AA235" s="27" t="str">
        <f>VLOOKUP(A235,Classification!A:B,2,FALSE)</f>
        <v>A</v>
      </c>
      <c r="AB235" s="1">
        <f>VLOOKUP(A235,'SegEnds_NonXtal_Prot#'!A:AL,10,FALSE)-VLOOKUP(A235,'SegEnds_NonXtal_Prot#'!A:AL,4,FALSE)</f>
        <v>28</v>
      </c>
      <c r="AC235" s="1" t="e">
        <f>VLOOKUP(A235,'SegEnds_NonXtal_Prot#'!A:AL,10,FALSE)-VLOOKUP(A235,'SegEnds_NonXtal_Prot#'!A:AL,7,FALSE)</f>
        <v>#VALUE!</v>
      </c>
      <c r="AD235" s="1">
        <f>VLOOKUP(A235,'SegEnds_NonXtal_Prot#'!A:AL,13,FALSE)-VLOOKUP(A235,'SegEnds_NonXtal_Prot#'!A:AL,10,FALSE)</f>
        <v>20</v>
      </c>
      <c r="AE235" s="1">
        <f>VLOOKUP(A235,'SegEnds_NonXtal_Prot#'!A:AL,16,FALSE)-VLOOKUP(A235,'SegEnds_NonXtal_Prot#'!A:AL,10,FALSE)</f>
        <v>52</v>
      </c>
      <c r="AF235" s="1">
        <f>VLOOKUP(A235,'SegEnds_NonXtal_Prot#'!A:AL,22,FALSE)-VLOOKUP(A235,'SegEnds_NonXtal_Prot#'!A:AL,19,FALSE)</f>
        <v>20</v>
      </c>
      <c r="AG235" s="1">
        <f>VLOOKUP(A235,'SegEnds_NonXtal_Prot#'!A:AL,28,FALSE)-VLOOKUP(A235,'SegEnds_NonXtal_Prot#'!A:AL,25,FALSE)</f>
        <v>27</v>
      </c>
      <c r="AH235" s="1">
        <f>VLOOKUP(A235,'SegEnds_NonXtal_Prot#'!A:AL,28,FALSE)-VLOOKUP(A235,'SegEnds_NonXtal_Prot#'!A:AL,22,FALSE)</f>
        <v>52</v>
      </c>
      <c r="AI235" s="1">
        <f>VLOOKUP(A235,'SegEnds_NonXtal_Prot#'!A:AL,31,FALSE)-VLOOKUP(A235,'SegEnds_NonXtal_Prot#'!A:AL,28,FALSE)</f>
        <v>48</v>
      </c>
      <c r="AJ235" s="1">
        <f>VLOOKUP(A235,'SegEnds_NonXtal_Prot#'!A:AL,34,FALSE)-VLOOKUP(A235,'SegEnds_NonXtal_Prot#'!A:AL,31,FALSE)</f>
        <v>43</v>
      </c>
      <c r="AK235" s="1">
        <f>VLOOKUP(A235,'SegEnds_NonXtal_Prot#'!A:AL,37,FALSE)-VLOOKUP(A235,'SegEnds_NonXtal_Prot#'!A:AL,34,FALSE)</f>
        <v>10</v>
      </c>
      <c r="AL235" s="1" t="str">
        <f>IF(ISERROR(MATCH(A235,'SegEnds_Xtal_Prot#'!B:B, 0)), "NoXtal", "Xtal")</f>
        <v>NoXtal</v>
      </c>
    </row>
    <row r="236" spans="1:38" x14ac:dyDescent="0.2">
      <c r="A236" s="1" t="s">
        <v>348</v>
      </c>
      <c r="B236" s="1" t="str">
        <f>VLOOKUP(A236,Xtal_Templ!A:B,2,FALSE)</f>
        <v>p2ry1_human</v>
      </c>
      <c r="C236" s="5">
        <f>VLOOKUP($B236&amp;"__wt",'SegEnds_Xtal_BW#'!$A:$Z,3,FALSE)</f>
        <v>30</v>
      </c>
      <c r="D236" s="1">
        <f>VLOOKUP($B236&amp;"__wt",'SegEnds_Xtal_BW#'!$A:$Z,4,FALSE)</f>
        <v>60</v>
      </c>
      <c r="E236" s="1" t="str">
        <f>VLOOKUP($B236&amp;"__wt",'SegEnds_Xtal_BW#'!$A:$Z,5,FALSE)</f>
        <v>-</v>
      </c>
      <c r="F236" s="1" t="str">
        <f>VLOOKUP($B236&amp;"__wt",'SegEnds_Xtal_BW#'!$A:$Z,6,FALSE)</f>
        <v>-</v>
      </c>
      <c r="G236" s="1">
        <v>37</v>
      </c>
      <c r="H236" s="12">
        <f>VLOOKUP($B236&amp;"__wt",'SegEnds_Xtal_BW#'!$A:$Z,8,FALSE)</f>
        <v>66</v>
      </c>
      <c r="I236" s="1">
        <f>VLOOKUP($B236&amp;"__wt",'SegEnds_Xtal_BW#'!$A:$Z,9,FALSE)</f>
        <v>49</v>
      </c>
      <c r="J236" s="1">
        <f>VLOOKUP($B236&amp;"__wt",'SegEnds_Xtal_BW#'!$A:$Z,10,FALSE)</f>
        <v>52</v>
      </c>
      <c r="K236" s="12">
        <v>18</v>
      </c>
      <c r="L236" s="1">
        <f>VLOOKUP($B236&amp;"__wt",'SegEnds_Xtal_BW#'!$A:$Z,12,FALSE)</f>
        <v>56</v>
      </c>
      <c r="M236" s="1">
        <f>VLOOKUP($B236&amp;"__wt",'SegEnds_Xtal_BW#'!$A:$Z,13,FALSE)</f>
        <v>50</v>
      </c>
      <c r="N236" s="12">
        <v>58</v>
      </c>
      <c r="O236" s="87">
        <f>VLOOKUP($B236&amp;"__wt",'SegEnds_Xtal_BW#'!$A:$Z,15,FALSE)</f>
        <v>38</v>
      </c>
      <c r="P236" s="1">
        <f>VLOOKUP($B236&amp;"__wt",'SegEnds_Xtal_BW#'!$A:$Z,16,FALSE)</f>
        <v>64</v>
      </c>
      <c r="Q236" s="1">
        <f>VLOOKUP($B236&amp;"__wt",'SegEnds_Xtal_BW#'!$A:$Z,17,FALSE)</f>
        <v>50</v>
      </c>
      <c r="R236" s="1">
        <f>VLOOKUP($B236&amp;"__wt",'SegEnds_Xtal_BW#'!$A:$Z,18,FALSE)</f>
        <v>52</v>
      </c>
      <c r="S236" s="1">
        <f>VLOOKUP($B236&amp;"__wt",'SegEnds_Xtal_BW#'!$A:$Z,19,FALSE)</f>
        <v>32</v>
      </c>
      <c r="T236" s="1">
        <f t="array" ref="T236">INDEX(ICL3_classA!$G$2:$G$37,MATCH(MIN(ABS(AI236-ICL3_classA!$F$2:$F$37)),ABS(AI236-ICL3_classA!$F$2:$F$37),0))</f>
        <v>72</v>
      </c>
      <c r="U236" s="1">
        <f t="array" ref="U236">INDEX(ICL3_classA!$H$2:$H$37,MATCH(MIN(ABS(AI236-ICL3_classA!$F$2:$F$37)),ABS(AI236-ICL3_classA!$F$2:$F$37),0))</f>
        <v>29</v>
      </c>
      <c r="V236" s="1">
        <v>64</v>
      </c>
      <c r="W236" s="1">
        <v>24</v>
      </c>
      <c r="X236" s="1">
        <f>VLOOKUP($B236&amp;"__wt",'SegEnds_Xtal_BW#'!$A:$Z,24,FALSE)</f>
        <v>56</v>
      </c>
      <c r="Y236" s="1">
        <f>VLOOKUP($B236&amp;"__wt",'SegEnds_Xtal_BW#'!$A:$Z,25,FALSE)</f>
        <v>47</v>
      </c>
      <c r="Z236" s="1">
        <f>VLOOKUP($B236&amp;"__wt",'SegEnds_Xtal_BW#'!$A:$Z,26,FALSE)</f>
        <v>59</v>
      </c>
      <c r="AA236" s="27" t="str">
        <f>VLOOKUP(A236,Classification!A:B,2,FALSE)</f>
        <v>A</v>
      </c>
      <c r="AB236" s="1">
        <f>VLOOKUP(A236,'SegEnds_NonXtal_Prot#'!A:AL,10,FALSE)-VLOOKUP(A236,'SegEnds_NonXtal_Prot#'!A:AL,4,FALSE)</f>
        <v>28</v>
      </c>
      <c r="AC236" s="1">
        <f>VLOOKUP(A236,'SegEnds_NonXtal_Prot#'!A:AL,10,FALSE)-VLOOKUP(A236,'SegEnds_NonXtal_Prot#'!A:AL,7,FALSE)</f>
        <v>15</v>
      </c>
      <c r="AD236" s="1">
        <f>VLOOKUP(A236,'SegEnds_NonXtal_Prot#'!A:AL,13,FALSE)-VLOOKUP(A236,'SegEnds_NonXtal_Prot#'!A:AL,10,FALSE)</f>
        <v>20</v>
      </c>
      <c r="AE236" s="1">
        <f>VLOOKUP(A236,'SegEnds_NonXtal_Prot#'!A:AL,16,FALSE)-VLOOKUP(A236,'SegEnds_NonXtal_Prot#'!A:AL,10,FALSE)</f>
        <v>52</v>
      </c>
      <c r="AF236" s="1">
        <f>VLOOKUP(A236,'SegEnds_NonXtal_Prot#'!A:AL,22,FALSE)-VLOOKUP(A236,'SegEnds_NonXtal_Prot#'!A:AL,19,FALSE)</f>
        <v>21</v>
      </c>
      <c r="AG236" s="1">
        <f>VLOOKUP(A236,'SegEnds_NonXtal_Prot#'!A:AL,28,FALSE)-VLOOKUP(A236,'SegEnds_NonXtal_Prot#'!A:AL,25,FALSE)</f>
        <v>27</v>
      </c>
      <c r="AH236" s="1">
        <f>VLOOKUP(A236,'SegEnds_NonXtal_Prot#'!A:AL,28,FALSE)-VLOOKUP(A236,'SegEnds_NonXtal_Prot#'!A:AL,22,FALSE)</f>
        <v>52</v>
      </c>
      <c r="AI236" s="1">
        <f>VLOOKUP(A236,'SegEnds_NonXtal_Prot#'!A:AL,31,FALSE)-VLOOKUP(A236,'SegEnds_NonXtal_Prot#'!A:AL,28,FALSE)</f>
        <v>50</v>
      </c>
      <c r="AJ236" s="1">
        <f>VLOOKUP(A236,'SegEnds_NonXtal_Prot#'!A:AL,34,FALSE)-VLOOKUP(A236,'SegEnds_NonXtal_Prot#'!A:AL,31,FALSE)</f>
        <v>44</v>
      </c>
      <c r="AK236" s="1">
        <f>VLOOKUP(A236,'SegEnds_NonXtal_Prot#'!A:AL,37,FALSE)-VLOOKUP(A236,'SegEnds_NonXtal_Prot#'!A:AL,34,FALSE)</f>
        <v>10</v>
      </c>
      <c r="AL236" s="1" t="str">
        <f>IF(ISERROR(MATCH(A236,'SegEnds_Xtal_Prot#'!B:B, 0)), "NoXtal", "Xtal")</f>
        <v>NoXtal</v>
      </c>
    </row>
    <row r="237" spans="1:38" x14ac:dyDescent="0.2">
      <c r="A237" s="1" t="s">
        <v>349</v>
      </c>
      <c r="B237" s="1" t="str">
        <f>VLOOKUP(A237,Xtal_Templ!A:B,2,FALSE)</f>
        <v>par1_human</v>
      </c>
      <c r="C237" s="5">
        <f>VLOOKUP($B237&amp;"__wt",'SegEnds_Xtal_BW#'!$A:$Z,3,FALSE)</f>
        <v>29</v>
      </c>
      <c r="D237" s="1">
        <f>VLOOKUP($B237&amp;"__wt",'SegEnds_Xtal_BW#'!$A:$Z,4,FALSE)</f>
        <v>60</v>
      </c>
      <c r="E237" s="1">
        <f>VLOOKUP($B237&amp;"__wt",'SegEnds_Xtal_BW#'!$A:$Z,5,FALSE)</f>
        <v>48</v>
      </c>
      <c r="F237" s="1">
        <f>VLOOKUP($B237&amp;"__wt",'SegEnds_Xtal_BW#'!$A:$Z,6,FALSE)</f>
        <v>51</v>
      </c>
      <c r="G237" s="1">
        <v>37</v>
      </c>
      <c r="H237" s="12">
        <f>VLOOKUP($B237&amp;"__wt",'SegEnds_Xtal_BW#'!$A:$Z,8,FALSE)</f>
        <v>66</v>
      </c>
      <c r="I237" s="1">
        <f>VLOOKUP($B237&amp;"__wt",'SegEnds_Xtal_BW#'!$A:$Z,9,FALSE)</f>
        <v>49</v>
      </c>
      <c r="J237" s="1">
        <f>VLOOKUP($B237&amp;"__wt",'SegEnds_Xtal_BW#'!$A:$Z,10,FALSE)</f>
        <v>52</v>
      </c>
      <c r="K237" s="12">
        <v>18</v>
      </c>
      <c r="L237" s="1">
        <f>VLOOKUP($B237&amp;"__wt",'SegEnds_Xtal_BW#'!$A:$Z,12,FALSE)</f>
        <v>56</v>
      </c>
      <c r="M237" s="1">
        <f>VLOOKUP($B237&amp;"__wt",'SegEnds_Xtal_BW#'!$A:$Z,13,FALSE)</f>
        <v>50</v>
      </c>
      <c r="N237" s="12">
        <v>57</v>
      </c>
      <c r="O237" s="87">
        <f>VLOOKUP($B237&amp;"__wt",'SegEnds_Xtal_BW#'!$A:$Z,15,FALSE)</f>
        <v>38</v>
      </c>
      <c r="P237" s="1">
        <f>VLOOKUP($B237&amp;"__wt",'SegEnds_Xtal_BW#'!$A:$Z,16,FALSE)</f>
        <v>63</v>
      </c>
      <c r="Q237" s="1">
        <f>VLOOKUP($B237&amp;"__wt",'SegEnds_Xtal_BW#'!$A:$Z,17,FALSE)</f>
        <v>50</v>
      </c>
      <c r="R237" s="1">
        <f>VLOOKUP($B237&amp;"__wt",'SegEnds_Xtal_BW#'!$A:$Z,18,FALSE)</f>
        <v>52</v>
      </c>
      <c r="S237" s="1">
        <f>VLOOKUP($B237&amp;"__wt",'SegEnds_Xtal_BW#'!$A:$Z,19,FALSE)</f>
        <v>32</v>
      </c>
      <c r="T237" s="1">
        <f t="array" ref="T237">INDEX(ICL3_classA!$G$2:$G$37,MATCH(MIN(ABS(AI237-ICL3_classA!$F$2:$F$37)),ABS(AI237-ICL3_classA!$F$2:$F$37),0))</f>
        <v>67</v>
      </c>
      <c r="U237" s="1">
        <f t="array" ref="U237">INDEX(ICL3_classA!$H$2:$H$37,MATCH(MIN(ABS(AI237-ICL3_classA!$F$2:$F$37)),ABS(AI237-ICL3_classA!$F$2:$F$37),0))</f>
        <v>26</v>
      </c>
      <c r="V237" s="1">
        <v>61</v>
      </c>
      <c r="W237" s="1">
        <v>28</v>
      </c>
      <c r="X237" s="1">
        <f>VLOOKUP($B237&amp;"__wt",'SegEnds_Xtal_BW#'!$A:$Z,24,FALSE)</f>
        <v>56</v>
      </c>
      <c r="Y237" s="1">
        <f>VLOOKUP($B237&amp;"__wt",'SegEnds_Xtal_BW#'!$A:$Z,25,FALSE)</f>
        <v>47</v>
      </c>
      <c r="Z237" s="1">
        <f>VLOOKUP($B237&amp;"__wt",'SegEnds_Xtal_BW#'!$A:$Z,26,FALSE)</f>
        <v>61</v>
      </c>
      <c r="AA237" s="27" t="str">
        <f>VLOOKUP(A237,Classification!A:B,2,FALSE)</f>
        <v>A</v>
      </c>
      <c r="AB237" s="1">
        <f>VLOOKUP(A237,'SegEnds_NonXtal_Prot#'!A:AL,10,FALSE)-VLOOKUP(A237,'SegEnds_NonXtal_Prot#'!A:AL,4,FALSE)</f>
        <v>28</v>
      </c>
      <c r="AC237" s="1" t="e">
        <f>VLOOKUP(A237,'SegEnds_NonXtal_Prot#'!A:AL,10,FALSE)-VLOOKUP(A237,'SegEnds_NonXtal_Prot#'!A:AL,7,FALSE)</f>
        <v>#VALUE!</v>
      </c>
      <c r="AD237" s="1">
        <f>VLOOKUP(A237,'SegEnds_NonXtal_Prot#'!A:AL,13,FALSE)-VLOOKUP(A237,'SegEnds_NonXtal_Prot#'!A:AL,10,FALSE)</f>
        <v>20</v>
      </c>
      <c r="AE237" s="1">
        <f>VLOOKUP(A237,'SegEnds_NonXtal_Prot#'!A:AL,16,FALSE)-VLOOKUP(A237,'SegEnds_NonXtal_Prot#'!A:AL,10,FALSE)</f>
        <v>52</v>
      </c>
      <c r="AF237" s="1">
        <f>VLOOKUP(A237,'SegEnds_NonXtal_Prot#'!A:AL,22,FALSE)-VLOOKUP(A237,'SegEnds_NonXtal_Prot#'!A:AL,19,FALSE)</f>
        <v>20</v>
      </c>
      <c r="AG237" s="1">
        <f>VLOOKUP(A237,'SegEnds_NonXtal_Prot#'!A:AL,28,FALSE)-VLOOKUP(A237,'SegEnds_NonXtal_Prot#'!A:AL,25,FALSE)</f>
        <v>30</v>
      </c>
      <c r="AH237" s="1">
        <f>VLOOKUP(A237,'SegEnds_NonXtal_Prot#'!A:AL,28,FALSE)-VLOOKUP(A237,'SegEnds_NonXtal_Prot#'!A:AL,22,FALSE)</f>
        <v>57</v>
      </c>
      <c r="AI237" s="1">
        <f>VLOOKUP(A237,'SegEnds_NonXtal_Prot#'!A:AL,31,FALSE)-VLOOKUP(A237,'SegEnds_NonXtal_Prot#'!A:AL,28,FALSE)</f>
        <v>47</v>
      </c>
      <c r="AJ237" s="1">
        <f>VLOOKUP(A237,'SegEnds_NonXtal_Prot#'!A:AL,34,FALSE)-VLOOKUP(A237,'SegEnds_NonXtal_Prot#'!A:AL,31,FALSE)</f>
        <v>38</v>
      </c>
      <c r="AK237" s="1">
        <f>VLOOKUP(A237,'SegEnds_NonXtal_Prot#'!A:AL,37,FALSE)-VLOOKUP(A237,'SegEnds_NonXtal_Prot#'!A:AL,34,FALSE)</f>
        <v>10</v>
      </c>
      <c r="AL237" s="1" t="str">
        <f>IF(ISERROR(MATCH(A237,'SegEnds_Xtal_Prot#'!B:B, 0)), "NoXtal", "Xtal")</f>
        <v>NoXtal</v>
      </c>
    </row>
    <row r="238" spans="1:38" x14ac:dyDescent="0.2">
      <c r="A238" s="4" t="s">
        <v>350</v>
      </c>
      <c r="B238" s="4" t="str">
        <f>VLOOKUP(A238,Xtal_Templ!A:B,2,FALSE)</f>
        <v>ptafr_human</v>
      </c>
      <c r="C238" s="5">
        <f>VLOOKUP($B238&amp;"__wt",'SegEnds_Xtal_BW#'!$A:$Z,3,FALSE)</f>
        <v>27</v>
      </c>
      <c r="D238" s="4">
        <f>VLOOKUP($B238&amp;"__wt",'SegEnds_Xtal_BW#'!$A:$Z,4,FALSE)</f>
        <v>61</v>
      </c>
      <c r="E238" s="4" t="str">
        <f>VLOOKUP($B238&amp;"__wt",'SegEnds_Xtal_BW#'!$A:$Z,5,FALSE)</f>
        <v>-</v>
      </c>
      <c r="F238" s="4" t="str">
        <f>VLOOKUP($B238&amp;"__wt",'SegEnds_Xtal_BW#'!$A:$Z,6,FALSE)</f>
        <v>-</v>
      </c>
      <c r="G238" s="4">
        <v>37</v>
      </c>
      <c r="H238" s="11">
        <v>66</v>
      </c>
      <c r="I238" s="4">
        <f>VLOOKUP($B238&amp;"__wt",'SegEnds_Xtal_BW#'!$A:$Z,9,FALSE)</f>
        <v>49</v>
      </c>
      <c r="J238" s="4">
        <f>VLOOKUP($B238&amp;"__wt",'SegEnds_Xtal_BW#'!$A:$Z,10,FALSE)</f>
        <v>52</v>
      </c>
      <c r="K238" s="11">
        <v>21</v>
      </c>
      <c r="L238" s="4">
        <f>VLOOKUP($B238&amp;"__wt",'SegEnds_Xtal_BW#'!$A:$Z,12,FALSE)</f>
        <v>56</v>
      </c>
      <c r="M238" s="4">
        <f>VLOOKUP($B238&amp;"__wt",'SegEnds_Xtal_BW#'!$A:$Z,13,FALSE)</f>
        <v>50</v>
      </c>
      <c r="N238" s="108">
        <v>56</v>
      </c>
      <c r="O238" s="87">
        <f>VLOOKUP($B238&amp;"__wt",'SegEnds_Xtal_BW#'!$A:$Z,15,FALSE)</f>
        <v>38</v>
      </c>
      <c r="P238" s="4">
        <f>VLOOKUP($B238&amp;"__wt",'SegEnds_Xtal_BW#'!$A:$Z,16,FALSE)</f>
        <v>63</v>
      </c>
      <c r="Q238" s="4">
        <f>VLOOKUP($B238&amp;"__wt",'SegEnds_Xtal_BW#'!$A:$Z,17,FALSE)</f>
        <v>50</v>
      </c>
      <c r="R238" s="4">
        <f>VLOOKUP($B238&amp;"__wt",'SegEnds_Xtal_BW#'!$A:$Z,18,FALSE)</f>
        <v>52</v>
      </c>
      <c r="S238" s="4">
        <f>VLOOKUP($B238&amp;"__wt",'SegEnds_Xtal_BW#'!$A:$Z,19,FALSE)</f>
        <v>33</v>
      </c>
      <c r="T238" s="4">
        <f t="array" ref="T238">INDEX(ICL3_classA!$G$2:$G$37,MATCH(MIN(ABS(AI238-ICL3_classA!$F$2:$F$37)),ABS(AI238-ICL3_classA!$F$2:$F$37),0))</f>
        <v>68</v>
      </c>
      <c r="U238" s="4">
        <f t="array" ref="U238">INDEX(ICL3_classA!$H$2:$H$37,MATCH(MIN(ABS(AI238-ICL3_classA!$F$2:$F$37)),ABS(AI238-ICL3_classA!$F$2:$F$37),0))</f>
        <v>24</v>
      </c>
      <c r="V238" s="4">
        <v>64</v>
      </c>
      <c r="W238" s="4">
        <v>24</v>
      </c>
      <c r="X238" s="4">
        <f>VLOOKUP($B238&amp;"__wt",'SegEnds_Xtal_BW#'!$A:$Z,24,FALSE)</f>
        <v>59</v>
      </c>
      <c r="Y238" s="4">
        <f>VLOOKUP($B238&amp;"__wt",'SegEnds_Xtal_BW#'!$A:$Z,25,FALSE)</f>
        <v>50</v>
      </c>
      <c r="Z238" s="4">
        <f>VLOOKUP($B238&amp;"__wt",'SegEnds_Xtal_BW#'!$A:$Z,26,FALSE)</f>
        <v>63</v>
      </c>
      <c r="AA238" s="27" t="str">
        <f>VLOOKUP(A238,Classification!A:B,2,FALSE)</f>
        <v>A</v>
      </c>
      <c r="AB238" s="1">
        <f>VLOOKUP(A238,'SegEnds_NonXtal_Prot#'!A:AL,10,FALSE)-VLOOKUP(A238,'SegEnds_NonXtal_Prot#'!A:AL,4,FALSE)</f>
        <v>28</v>
      </c>
      <c r="AC238" s="4" t="e">
        <f>VLOOKUP(A238,'SegEnds_NonXtal_Prot#'!A:AL,10,FALSE)-VLOOKUP(A238,'SegEnds_NonXtal_Prot#'!A:AL,7,FALSE)</f>
        <v>#VALUE!</v>
      </c>
      <c r="AD238" s="4">
        <f>VLOOKUP(A238,'SegEnds_NonXtal_Prot#'!A:AL,13,FALSE)-VLOOKUP(A238,'SegEnds_NonXtal_Prot#'!A:AL,10,FALSE)</f>
        <v>19</v>
      </c>
      <c r="AE238" s="4">
        <f>VLOOKUP(A238,'SegEnds_NonXtal_Prot#'!A:AL,16,FALSE)-VLOOKUP(A238,'SegEnds_NonXtal_Prot#'!A:AL,10,FALSE)</f>
        <v>51</v>
      </c>
      <c r="AF238" s="1">
        <f>VLOOKUP(A238,'SegEnds_NonXtal_Prot#'!A:AL,22,FALSE)-VLOOKUP(A238,'SegEnds_NonXtal_Prot#'!A:AL,19,FALSE)</f>
        <v>19</v>
      </c>
      <c r="AG238" s="4">
        <f>VLOOKUP(A238,'SegEnds_NonXtal_Prot#'!A:AL,28,FALSE)-VLOOKUP(A238,'SegEnds_NonXtal_Prot#'!A:AL,25,FALSE)</f>
        <v>29</v>
      </c>
      <c r="AH238" s="1">
        <f>VLOOKUP(A238,'SegEnds_NonXtal_Prot#'!A:AL,28,FALSE)-VLOOKUP(A238,'SegEnds_NonXtal_Prot#'!A:AL,22,FALSE)</f>
        <v>53</v>
      </c>
      <c r="AI238" s="4">
        <f>VLOOKUP(A238,'SegEnds_NonXtal_Prot#'!A:AL,31,FALSE)-VLOOKUP(A238,'SegEnds_NonXtal_Prot#'!A:AL,28,FALSE)</f>
        <v>48</v>
      </c>
      <c r="AJ238" s="4">
        <f>VLOOKUP(A238,'SegEnds_NonXtal_Prot#'!A:AL,34,FALSE)-VLOOKUP(A238,'SegEnds_NonXtal_Prot#'!A:AL,31,FALSE)</f>
        <v>44</v>
      </c>
      <c r="AK238" s="1">
        <f>VLOOKUP(A238,'SegEnds_NonXtal_Prot#'!A:AL,37,FALSE)-VLOOKUP(A238,'SegEnds_NonXtal_Prot#'!A:AL,34,FALSE)</f>
        <v>10</v>
      </c>
      <c r="AL238" s="1" t="str">
        <f>IF(ISERROR(MATCH(A238,'SegEnds_Xtal_Prot#'!B:B, 0)), "NoXtal", "Xtal")</f>
        <v>NoXtal</v>
      </c>
    </row>
    <row r="239" spans="1:38" x14ac:dyDescent="0.2">
      <c r="A239" s="1" t="s">
        <v>351</v>
      </c>
      <c r="B239" s="1" t="str">
        <f>VLOOKUP(A239,Xtal_Templ!A:B,2,FALSE)</f>
        <v>p2ry1_human</v>
      </c>
      <c r="C239" s="5">
        <f>VLOOKUP($B239&amp;"__wt",'SegEnds_Xtal_BW#'!$A:$Z,3,FALSE)</f>
        <v>30</v>
      </c>
      <c r="D239" s="1">
        <f>VLOOKUP($B239&amp;"__wt",'SegEnds_Xtal_BW#'!$A:$Z,4,FALSE)</f>
        <v>60</v>
      </c>
      <c r="E239" s="1" t="str">
        <f>VLOOKUP($B239&amp;"__wt",'SegEnds_Xtal_BW#'!$A:$Z,5,FALSE)</f>
        <v>-</v>
      </c>
      <c r="F239" s="1" t="str">
        <f>VLOOKUP($B239&amp;"__wt",'SegEnds_Xtal_BW#'!$A:$Z,6,FALSE)</f>
        <v>-</v>
      </c>
      <c r="G239" s="1">
        <v>37</v>
      </c>
      <c r="H239" s="12">
        <f>VLOOKUP($B239&amp;"__wt",'SegEnds_Xtal_BW#'!$A:$Z,8,FALSE)</f>
        <v>66</v>
      </c>
      <c r="I239" s="1">
        <f>VLOOKUP($B239&amp;"__wt",'SegEnds_Xtal_BW#'!$A:$Z,9,FALSE)</f>
        <v>49</v>
      </c>
      <c r="J239" s="1">
        <f>VLOOKUP($B239&amp;"__wt",'SegEnds_Xtal_BW#'!$A:$Z,10,FALSE)</f>
        <v>52</v>
      </c>
      <c r="K239" s="12">
        <v>18</v>
      </c>
      <c r="L239" s="1">
        <f>VLOOKUP($B239&amp;"__wt",'SegEnds_Xtal_BW#'!$A:$Z,12,FALSE)</f>
        <v>56</v>
      </c>
      <c r="M239" s="1">
        <f>VLOOKUP($B239&amp;"__wt",'SegEnds_Xtal_BW#'!$A:$Z,13,FALSE)</f>
        <v>50</v>
      </c>
      <c r="N239" s="12">
        <v>57</v>
      </c>
      <c r="O239" s="87">
        <f>VLOOKUP($B239&amp;"__wt",'SegEnds_Xtal_BW#'!$A:$Z,15,FALSE)</f>
        <v>38</v>
      </c>
      <c r="P239" s="1">
        <f>VLOOKUP($B239&amp;"__wt",'SegEnds_Xtal_BW#'!$A:$Z,16,FALSE)</f>
        <v>64</v>
      </c>
      <c r="Q239" s="1">
        <f>VLOOKUP($B239&amp;"__wt",'SegEnds_Xtal_BW#'!$A:$Z,17,FALSE)</f>
        <v>50</v>
      </c>
      <c r="R239" s="1">
        <f>VLOOKUP($B239&amp;"__wt",'SegEnds_Xtal_BW#'!$A:$Z,18,FALSE)</f>
        <v>52</v>
      </c>
      <c r="S239" s="1">
        <f>VLOOKUP($B239&amp;"__wt",'SegEnds_Xtal_BW#'!$A:$Z,19,FALSE)</f>
        <v>32</v>
      </c>
      <c r="T239" s="1">
        <f t="array" ref="T239">INDEX(ICL3_classA!$G$2:$G$37,MATCH(MIN(ABS(AI239-ICL3_classA!$F$2:$F$37)),ABS(AI239-ICL3_classA!$F$2:$F$37),0))</f>
        <v>67</v>
      </c>
      <c r="U239" s="1">
        <f t="array" ref="U239">INDEX(ICL3_classA!$H$2:$H$37,MATCH(MIN(ABS(AI239-ICL3_classA!$F$2:$F$37)),ABS(AI239-ICL3_classA!$F$2:$F$37),0))</f>
        <v>26</v>
      </c>
      <c r="V239" s="1">
        <v>64</v>
      </c>
      <c r="W239" s="1">
        <v>24</v>
      </c>
      <c r="X239" s="1">
        <f>VLOOKUP($B239&amp;"__wt",'SegEnds_Xtal_BW#'!$A:$Z,24,FALSE)</f>
        <v>56</v>
      </c>
      <c r="Y239" s="1">
        <f>VLOOKUP($B239&amp;"__wt",'SegEnds_Xtal_BW#'!$A:$Z,25,FALSE)</f>
        <v>47</v>
      </c>
      <c r="Z239" s="1">
        <f>VLOOKUP($B239&amp;"__wt",'SegEnds_Xtal_BW#'!$A:$Z,26,FALSE)</f>
        <v>59</v>
      </c>
      <c r="AA239" s="27" t="str">
        <f>VLOOKUP(A239,Classification!A:B,2,FALSE)</f>
        <v>A</v>
      </c>
      <c r="AB239" s="1">
        <f>VLOOKUP(A239,'SegEnds_NonXtal_Prot#'!A:AL,10,FALSE)-VLOOKUP(A239,'SegEnds_NonXtal_Prot#'!A:AL,4,FALSE)</f>
        <v>29</v>
      </c>
      <c r="AC239" s="1" t="e">
        <f>VLOOKUP(A239,'SegEnds_NonXtal_Prot#'!A:AL,10,FALSE)-VLOOKUP(A239,'SegEnds_NonXtal_Prot#'!A:AL,7,FALSE)</f>
        <v>#VALUE!</v>
      </c>
      <c r="AD239" s="1">
        <f>VLOOKUP(A239,'SegEnds_NonXtal_Prot#'!A:AL,13,FALSE)-VLOOKUP(A239,'SegEnds_NonXtal_Prot#'!A:AL,10,FALSE)</f>
        <v>20</v>
      </c>
      <c r="AE239" s="1">
        <f>VLOOKUP(A239,'SegEnds_NonXtal_Prot#'!A:AL,16,FALSE)-VLOOKUP(A239,'SegEnds_NonXtal_Prot#'!A:AL,10,FALSE)</f>
        <v>52</v>
      </c>
      <c r="AF239" s="1">
        <f>VLOOKUP(A239,'SegEnds_NonXtal_Prot#'!A:AL,22,FALSE)-VLOOKUP(A239,'SegEnds_NonXtal_Prot#'!A:AL,19,FALSE)</f>
        <v>20</v>
      </c>
      <c r="AG239" s="1">
        <f>VLOOKUP(A239,'SegEnds_NonXtal_Prot#'!A:AL,28,FALSE)-VLOOKUP(A239,'SegEnds_NonXtal_Prot#'!A:AL,25,FALSE)</f>
        <v>26</v>
      </c>
      <c r="AH239" s="1">
        <f>VLOOKUP(A239,'SegEnds_NonXtal_Prot#'!A:AL,28,FALSE)-VLOOKUP(A239,'SegEnds_NonXtal_Prot#'!A:AL,22,FALSE)</f>
        <v>63</v>
      </c>
      <c r="AI239" s="1">
        <f>VLOOKUP(A239,'SegEnds_NonXtal_Prot#'!A:AL,31,FALSE)-VLOOKUP(A239,'SegEnds_NonXtal_Prot#'!A:AL,28,FALSE)</f>
        <v>46</v>
      </c>
      <c r="AJ239" s="1">
        <f>VLOOKUP(A239,'SegEnds_NonXtal_Prot#'!A:AL,34,FALSE)-VLOOKUP(A239,'SegEnds_NonXtal_Prot#'!A:AL,31,FALSE)</f>
        <v>55</v>
      </c>
      <c r="AK239" s="1">
        <f>VLOOKUP(A239,'SegEnds_NonXtal_Prot#'!A:AL,37,FALSE)-VLOOKUP(A239,'SegEnds_NonXtal_Prot#'!A:AL,34,FALSE)</f>
        <v>10</v>
      </c>
      <c r="AL239" s="1" t="str">
        <f>IF(ISERROR(MATCH(A239,'SegEnds_Xtal_Prot#'!B:B, 0)), "NoXtal", "Xtal")</f>
        <v>NoXtal</v>
      </c>
    </row>
    <row r="240" spans="1:38" x14ac:dyDescent="0.2">
      <c r="A240" s="1" t="s">
        <v>352</v>
      </c>
      <c r="B240" s="1" t="str">
        <f>VLOOKUP(A240,Xtal_Templ!A:B,2,FALSE)</f>
        <v>p2y12_human</v>
      </c>
      <c r="C240" s="5">
        <f>VLOOKUP($B240&amp;"__wt",'SegEnds_Xtal_BW#'!$A:$Z,3,FALSE)</f>
        <v>28</v>
      </c>
      <c r="D240" s="1">
        <f>VLOOKUP($B240&amp;"__wt",'SegEnds_Xtal_BW#'!$A:$Z,4,FALSE)</f>
        <v>60</v>
      </c>
      <c r="E240" s="1" t="str">
        <f>VLOOKUP($B240&amp;"__wt",'SegEnds_Xtal_BW#'!$A:$Z,5,FALSE)</f>
        <v>-</v>
      </c>
      <c r="F240" s="1" t="str">
        <f>VLOOKUP($B240&amp;"__wt",'SegEnds_Xtal_BW#'!$A:$Z,6,FALSE)</f>
        <v>-</v>
      </c>
      <c r="G240" s="1">
        <v>37</v>
      </c>
      <c r="H240" s="12">
        <f>VLOOKUP($B240&amp;"__wt",'SegEnds_Xtal_BW#'!$A:$Z,8,FALSE)</f>
        <v>66</v>
      </c>
      <c r="I240" s="1" t="str">
        <f>VLOOKUP($B240&amp;"__wt",'SegEnds_Xtal_BW#'!$A:$Z,9,FALSE)</f>
        <v>-</v>
      </c>
      <c r="J240" s="1" t="str">
        <f>VLOOKUP($B240&amp;"__wt",'SegEnds_Xtal_BW#'!$A:$Z,10,FALSE)</f>
        <v>-</v>
      </c>
      <c r="K240" s="12">
        <v>18</v>
      </c>
      <c r="L240" s="1">
        <f>VLOOKUP($B240&amp;"__wt",'SegEnds_Xtal_BW#'!$A:$Z,12,FALSE)</f>
        <v>56</v>
      </c>
      <c r="M240" s="1">
        <f>VLOOKUP($B240&amp;"__wt",'SegEnds_Xtal_BW#'!$A:$Z,13,FALSE)</f>
        <v>50</v>
      </c>
      <c r="N240" s="12">
        <f>VLOOKUP($B240&amp;"__wt",'SegEnds_Xtal_BW#'!$A:$Z,14,FALSE)</f>
        <v>57</v>
      </c>
      <c r="O240" s="87">
        <f>VLOOKUP($B240&amp;"__wt",'SegEnds_Xtal_BW#'!$A:$Z,15,FALSE)</f>
        <v>38</v>
      </c>
      <c r="P240" s="1">
        <f>VLOOKUP($B240&amp;"__wt",'SegEnds_Xtal_BW#'!$A:$Z,16,FALSE)</f>
        <v>64</v>
      </c>
      <c r="Q240" s="1">
        <f>VLOOKUP($B240&amp;"__wt",'SegEnds_Xtal_BW#'!$A:$Z,17,FALSE)</f>
        <v>50</v>
      </c>
      <c r="R240" s="1">
        <f>VLOOKUP($B240&amp;"__wt",'SegEnds_Xtal_BW#'!$A:$Z,18,FALSE)</f>
        <v>52</v>
      </c>
      <c r="S240" s="1">
        <f>VLOOKUP($B240&amp;"__wt",'SegEnds_Xtal_BW#'!$A:$Z,19,FALSE)</f>
        <v>30</v>
      </c>
      <c r="T240" s="1">
        <f t="array" ref="T240">INDEX(ICL3_classA!$G$2:$G$37,MATCH(MIN(ABS(AI240-ICL3_classA!$F$2:$F$37)),ABS(AI240-ICL3_classA!$F$2:$F$37),0))</f>
        <v>72</v>
      </c>
      <c r="U240" s="1">
        <f t="array" ref="U240">INDEX(ICL3_classA!$H$2:$H$37,MATCH(MIN(ABS(AI240-ICL3_classA!$F$2:$F$37)),ABS(AI240-ICL3_classA!$F$2:$F$37),0))</f>
        <v>29</v>
      </c>
      <c r="V240" s="1">
        <v>64</v>
      </c>
      <c r="W240" s="1">
        <v>24</v>
      </c>
      <c r="X240" s="1">
        <f>VLOOKUP($B240&amp;"__wt",'SegEnds_Xtal_BW#'!$A:$Z,24,FALSE)</f>
        <v>56</v>
      </c>
      <c r="Y240" s="1">
        <f>VLOOKUP($B240&amp;"__wt",'SegEnds_Xtal_BW#'!$A:$Z,25,FALSE)</f>
        <v>47</v>
      </c>
      <c r="Z240" s="1">
        <f>VLOOKUP($B240&amp;"__wt",'SegEnds_Xtal_BW#'!$A:$Z,26,FALSE)</f>
        <v>57</v>
      </c>
      <c r="AA240" s="27" t="str">
        <f>VLOOKUP(A240,Classification!A:B,2,FALSE)</f>
        <v>A</v>
      </c>
      <c r="AB240" s="1">
        <f>VLOOKUP(A240,'SegEnds_NonXtal_Prot#'!A:AL,10,FALSE)-VLOOKUP(A240,'SegEnds_NonXtal_Prot#'!A:AL,4,FALSE)</f>
        <v>27</v>
      </c>
      <c r="AC240" s="1" t="e">
        <f>VLOOKUP(A240,'SegEnds_NonXtal_Prot#'!A:AL,10,FALSE)-VLOOKUP(A240,'SegEnds_NonXtal_Prot#'!A:AL,7,FALSE)</f>
        <v>#VALUE!</v>
      </c>
      <c r="AD240" s="1" t="e">
        <f>VLOOKUP(A240,'SegEnds_NonXtal_Prot#'!A:AL,13,FALSE)-VLOOKUP(A240,'SegEnds_NonXtal_Prot#'!A:AL,10,FALSE)</f>
        <v>#VALUE!</v>
      </c>
      <c r="AE240" s="1">
        <f>VLOOKUP(A240,'SegEnds_NonXtal_Prot#'!A:AL,16,FALSE)-VLOOKUP(A240,'SegEnds_NonXtal_Prot#'!A:AL,10,FALSE)</f>
        <v>52</v>
      </c>
      <c r="AF240" s="1">
        <f>VLOOKUP(A240,'SegEnds_NonXtal_Prot#'!A:AL,22,FALSE)-VLOOKUP(A240,'SegEnds_NonXtal_Prot#'!A:AL,19,FALSE)</f>
        <v>20</v>
      </c>
      <c r="AG240" s="1">
        <f>VLOOKUP(A240,'SegEnds_NonXtal_Prot#'!A:AL,28,FALSE)-VLOOKUP(A240,'SegEnds_NonXtal_Prot#'!A:AL,25,FALSE)</f>
        <v>26</v>
      </c>
      <c r="AH240" s="1">
        <f>VLOOKUP(A240,'SegEnds_NonXtal_Prot#'!A:AL,28,FALSE)-VLOOKUP(A240,'SegEnds_NonXtal_Prot#'!A:AL,22,FALSE)</f>
        <v>52</v>
      </c>
      <c r="AI240" s="1">
        <f>VLOOKUP(A240,'SegEnds_NonXtal_Prot#'!A:AL,31,FALSE)-VLOOKUP(A240,'SegEnds_NonXtal_Prot#'!A:AL,28,FALSE)</f>
        <v>50</v>
      </c>
      <c r="AJ240" s="1">
        <f>VLOOKUP(A240,'SegEnds_NonXtal_Prot#'!A:AL,34,FALSE)-VLOOKUP(A240,'SegEnds_NonXtal_Prot#'!A:AL,31,FALSE)</f>
        <v>44</v>
      </c>
      <c r="AK240" s="1">
        <f>VLOOKUP(A240,'SegEnds_NonXtal_Prot#'!A:AL,37,FALSE)-VLOOKUP(A240,'SegEnds_NonXtal_Prot#'!A:AL,34,FALSE)</f>
        <v>10</v>
      </c>
      <c r="AL240" s="1" t="str">
        <f>IF(ISERROR(MATCH(A240,'SegEnds_Xtal_Prot#'!B:B, 0)), "NoXtal", "Xtal")</f>
        <v>Xtal</v>
      </c>
    </row>
    <row r="241" spans="1:38" x14ac:dyDescent="0.2">
      <c r="A241" s="1" t="s">
        <v>353</v>
      </c>
      <c r="B241" s="1" t="str">
        <f>VLOOKUP(A241,Xtal_Templ!A:B,2,FALSE)</f>
        <v>p2y12_human</v>
      </c>
      <c r="C241" s="5">
        <f>VLOOKUP($B241&amp;"__wt",'SegEnds_Xtal_BW#'!$A:$Z,3,FALSE)</f>
        <v>28</v>
      </c>
      <c r="D241" s="1">
        <f>VLOOKUP($B241&amp;"__wt",'SegEnds_Xtal_BW#'!$A:$Z,4,FALSE)</f>
        <v>60</v>
      </c>
      <c r="E241" s="1" t="str">
        <f>VLOOKUP($B241&amp;"__wt",'SegEnds_Xtal_BW#'!$A:$Z,5,FALSE)</f>
        <v>-</v>
      </c>
      <c r="F241" s="1" t="str">
        <f>VLOOKUP($B241&amp;"__wt",'SegEnds_Xtal_BW#'!$A:$Z,6,FALSE)</f>
        <v>-</v>
      </c>
      <c r="G241" s="1">
        <v>37</v>
      </c>
      <c r="H241" s="12">
        <f>VLOOKUP($B241&amp;"__wt",'SegEnds_Xtal_BW#'!$A:$Z,8,FALSE)</f>
        <v>66</v>
      </c>
      <c r="I241" s="1" t="str">
        <f>VLOOKUP($B241&amp;"__wt",'SegEnds_Xtal_BW#'!$A:$Z,9,FALSE)</f>
        <v>-</v>
      </c>
      <c r="J241" s="1" t="str">
        <f>VLOOKUP($B241&amp;"__wt",'SegEnds_Xtal_BW#'!$A:$Z,10,FALSE)</f>
        <v>-</v>
      </c>
      <c r="K241" s="12">
        <v>18</v>
      </c>
      <c r="L241" s="1">
        <f>VLOOKUP($B241&amp;"__wt",'SegEnds_Xtal_BW#'!$A:$Z,12,FALSE)</f>
        <v>56</v>
      </c>
      <c r="M241" s="1">
        <f>VLOOKUP($B241&amp;"__wt",'SegEnds_Xtal_BW#'!$A:$Z,13,FALSE)</f>
        <v>50</v>
      </c>
      <c r="N241" s="12">
        <v>57</v>
      </c>
      <c r="O241" s="87">
        <f>VLOOKUP($B241&amp;"__wt",'SegEnds_Xtal_BW#'!$A:$Z,15,FALSE)</f>
        <v>38</v>
      </c>
      <c r="P241" s="1">
        <f>VLOOKUP($B241&amp;"__wt",'SegEnds_Xtal_BW#'!$A:$Z,16,FALSE)</f>
        <v>64</v>
      </c>
      <c r="Q241" s="1">
        <f>VLOOKUP($B241&amp;"__wt",'SegEnds_Xtal_BW#'!$A:$Z,17,FALSE)</f>
        <v>50</v>
      </c>
      <c r="R241" s="1">
        <f>VLOOKUP($B241&amp;"__wt",'SegEnds_Xtal_BW#'!$A:$Z,18,FALSE)</f>
        <v>52</v>
      </c>
      <c r="S241" s="1">
        <f>VLOOKUP($B241&amp;"__wt",'SegEnds_Xtal_BW#'!$A:$Z,19,FALSE)</f>
        <v>30</v>
      </c>
      <c r="T241" s="1">
        <f t="array" ref="T241">INDEX(ICL3_classA!$G$2:$G$37,MATCH(MIN(ABS(AI241-ICL3_classA!$F$2:$F$37)),ABS(AI241-ICL3_classA!$F$2:$F$37),0))</f>
        <v>72</v>
      </c>
      <c r="U241" s="1">
        <f t="array" ref="U241">INDEX(ICL3_classA!$H$2:$H$37,MATCH(MIN(ABS(AI241-ICL3_classA!$F$2:$F$37)),ABS(AI241-ICL3_classA!$F$2:$F$37),0))</f>
        <v>29</v>
      </c>
      <c r="V241" s="1">
        <v>64</v>
      </c>
      <c r="W241" s="1">
        <v>24</v>
      </c>
      <c r="X241" s="1">
        <f>VLOOKUP($B241&amp;"__wt",'SegEnds_Xtal_BW#'!$A:$Z,24,FALSE)</f>
        <v>56</v>
      </c>
      <c r="Y241" s="1">
        <f>VLOOKUP($B241&amp;"__wt",'SegEnds_Xtal_BW#'!$A:$Z,25,FALSE)</f>
        <v>47</v>
      </c>
      <c r="Z241" s="1">
        <f>VLOOKUP($B241&amp;"__wt",'SegEnds_Xtal_BW#'!$A:$Z,26,FALSE)</f>
        <v>57</v>
      </c>
      <c r="AA241" s="27" t="str">
        <f>VLOOKUP(A241,Classification!A:B,2,FALSE)</f>
        <v>A</v>
      </c>
      <c r="AB241" s="1">
        <f>VLOOKUP(A241,'SegEnds_NonXtal_Prot#'!A:AL,10,FALSE)-VLOOKUP(A241,'SegEnds_NonXtal_Prot#'!A:AL,4,FALSE)</f>
        <v>27</v>
      </c>
      <c r="AC241" s="1" t="e">
        <f>VLOOKUP(A241,'SegEnds_NonXtal_Prot#'!A:AL,10,FALSE)-VLOOKUP(A241,'SegEnds_NonXtal_Prot#'!A:AL,7,FALSE)</f>
        <v>#VALUE!</v>
      </c>
      <c r="AD241" s="1" t="e">
        <f>VLOOKUP(A241,'SegEnds_NonXtal_Prot#'!A:AL,13,FALSE)-VLOOKUP(A241,'SegEnds_NonXtal_Prot#'!A:AL,10,FALSE)</f>
        <v>#VALUE!</v>
      </c>
      <c r="AE241" s="1">
        <f>VLOOKUP(A241,'SegEnds_NonXtal_Prot#'!A:AL,16,FALSE)-VLOOKUP(A241,'SegEnds_NonXtal_Prot#'!A:AL,10,FALSE)</f>
        <v>52</v>
      </c>
      <c r="AF241" s="1">
        <f>VLOOKUP(A241,'SegEnds_NonXtal_Prot#'!A:AL,22,FALSE)-VLOOKUP(A241,'SegEnds_NonXtal_Prot#'!A:AL,19,FALSE)</f>
        <v>20</v>
      </c>
      <c r="AG241" s="1">
        <f>VLOOKUP(A241,'SegEnds_NonXtal_Prot#'!A:AL,28,FALSE)-VLOOKUP(A241,'SegEnds_NonXtal_Prot#'!A:AL,25,FALSE)</f>
        <v>26</v>
      </c>
      <c r="AH241" s="1">
        <f>VLOOKUP(A241,'SegEnds_NonXtal_Prot#'!A:AL,28,FALSE)-VLOOKUP(A241,'SegEnds_NonXtal_Prot#'!A:AL,22,FALSE)</f>
        <v>52</v>
      </c>
      <c r="AI241" s="1">
        <f>VLOOKUP(A241,'SegEnds_NonXtal_Prot#'!A:AL,31,FALSE)-VLOOKUP(A241,'SegEnds_NonXtal_Prot#'!A:AL,28,FALSE)</f>
        <v>50</v>
      </c>
      <c r="AJ241" s="1">
        <f>VLOOKUP(A241,'SegEnds_NonXtal_Prot#'!A:AL,34,FALSE)-VLOOKUP(A241,'SegEnds_NonXtal_Prot#'!A:AL,31,FALSE)</f>
        <v>44</v>
      </c>
      <c r="AK241" s="1">
        <f>VLOOKUP(A241,'SegEnds_NonXtal_Prot#'!A:AL,37,FALSE)-VLOOKUP(A241,'SegEnds_NonXtal_Prot#'!A:AL,34,FALSE)</f>
        <v>10</v>
      </c>
      <c r="AL241" s="1" t="str">
        <f>IF(ISERROR(MATCH(A241,'SegEnds_Xtal_Prot#'!B:B, 0)), "NoXtal", "Xtal")</f>
        <v>NoXtal</v>
      </c>
    </row>
    <row r="242" spans="1:38" x14ac:dyDescent="0.2">
      <c r="A242" s="1" t="s">
        <v>354</v>
      </c>
      <c r="B242" s="1" t="str">
        <f>VLOOKUP(A242,Xtal_Templ!A:B,2,FALSE)</f>
        <v>p2y12_human</v>
      </c>
      <c r="C242" s="5">
        <f>VLOOKUP($B242&amp;"__wt",'SegEnds_Xtal_BW#'!$A:$Z,3,FALSE)</f>
        <v>28</v>
      </c>
      <c r="D242" s="1">
        <f>VLOOKUP($B242&amp;"__wt",'SegEnds_Xtal_BW#'!$A:$Z,4,FALSE)</f>
        <v>60</v>
      </c>
      <c r="E242" s="1" t="str">
        <f>VLOOKUP($B242&amp;"__wt",'SegEnds_Xtal_BW#'!$A:$Z,5,FALSE)</f>
        <v>-</v>
      </c>
      <c r="F242" s="1" t="str">
        <f>VLOOKUP($B242&amp;"__wt",'SegEnds_Xtal_BW#'!$A:$Z,6,FALSE)</f>
        <v>-</v>
      </c>
      <c r="G242" s="1">
        <v>37</v>
      </c>
      <c r="H242" s="12">
        <f>VLOOKUP($B242&amp;"__wt",'SegEnds_Xtal_BW#'!$A:$Z,8,FALSE)</f>
        <v>66</v>
      </c>
      <c r="I242" s="1" t="str">
        <f>VLOOKUP($B242&amp;"__wt",'SegEnds_Xtal_BW#'!$A:$Z,9,FALSE)</f>
        <v>-</v>
      </c>
      <c r="J242" s="1" t="str">
        <f>VLOOKUP($B242&amp;"__wt",'SegEnds_Xtal_BW#'!$A:$Z,10,FALSE)</f>
        <v>-</v>
      </c>
      <c r="K242" s="12">
        <v>18</v>
      </c>
      <c r="L242" s="1">
        <f>VLOOKUP($B242&amp;"__wt",'SegEnds_Xtal_BW#'!$A:$Z,12,FALSE)</f>
        <v>56</v>
      </c>
      <c r="M242" s="1">
        <f>VLOOKUP($B242&amp;"__wt",'SegEnds_Xtal_BW#'!$A:$Z,13,FALSE)</f>
        <v>50</v>
      </c>
      <c r="N242" s="12">
        <v>57</v>
      </c>
      <c r="O242" s="87">
        <f>VLOOKUP($B242&amp;"__wt",'SegEnds_Xtal_BW#'!$A:$Z,15,FALSE)</f>
        <v>38</v>
      </c>
      <c r="P242" s="1">
        <f>VLOOKUP($B242&amp;"__wt",'SegEnds_Xtal_BW#'!$A:$Z,16,FALSE)</f>
        <v>64</v>
      </c>
      <c r="Q242" s="1">
        <f>VLOOKUP($B242&amp;"__wt",'SegEnds_Xtal_BW#'!$A:$Z,17,FALSE)</f>
        <v>50</v>
      </c>
      <c r="R242" s="1">
        <f>VLOOKUP($B242&amp;"__wt",'SegEnds_Xtal_BW#'!$A:$Z,18,FALSE)</f>
        <v>52</v>
      </c>
      <c r="S242" s="1">
        <f>VLOOKUP($B242&amp;"__wt",'SegEnds_Xtal_BW#'!$A:$Z,19,FALSE)</f>
        <v>30</v>
      </c>
      <c r="T242" s="1">
        <f t="array" ref="T242">INDEX(ICL3_classA!$G$2:$G$37,MATCH(MIN(ABS(AI242-ICL3_classA!$F$2:$F$37)),ABS(AI242-ICL3_classA!$F$2:$F$37),0))</f>
        <v>72</v>
      </c>
      <c r="U242" s="1">
        <f t="array" ref="U242">INDEX(ICL3_classA!$H$2:$H$37,MATCH(MIN(ABS(AI242-ICL3_classA!$F$2:$F$37)),ABS(AI242-ICL3_classA!$F$2:$F$37),0))</f>
        <v>29</v>
      </c>
      <c r="V242" s="1">
        <v>64</v>
      </c>
      <c r="W242" s="1">
        <v>24</v>
      </c>
      <c r="X242" s="1">
        <f>VLOOKUP($B242&amp;"__wt",'SegEnds_Xtal_BW#'!$A:$Z,24,FALSE)</f>
        <v>56</v>
      </c>
      <c r="Y242" s="1">
        <f>VLOOKUP($B242&amp;"__wt",'SegEnds_Xtal_BW#'!$A:$Z,25,FALSE)</f>
        <v>47</v>
      </c>
      <c r="Z242" s="1">
        <f>VLOOKUP($B242&amp;"__wt",'SegEnds_Xtal_BW#'!$A:$Z,26,FALSE)</f>
        <v>57</v>
      </c>
      <c r="AA242" s="27" t="str">
        <f>VLOOKUP(A242,Classification!A:B,2,FALSE)</f>
        <v>A</v>
      </c>
      <c r="AB242" s="1">
        <f>VLOOKUP(A242,'SegEnds_NonXtal_Prot#'!A:AL,10,FALSE)-VLOOKUP(A242,'SegEnds_NonXtal_Prot#'!A:AL,4,FALSE)</f>
        <v>27</v>
      </c>
      <c r="AC242" s="1" t="e">
        <f>VLOOKUP(A242,'SegEnds_NonXtal_Prot#'!A:AL,10,FALSE)-VLOOKUP(A242,'SegEnds_NonXtal_Prot#'!A:AL,7,FALSE)</f>
        <v>#VALUE!</v>
      </c>
      <c r="AD242" s="1" t="e">
        <f>VLOOKUP(A242,'SegEnds_NonXtal_Prot#'!A:AL,13,FALSE)-VLOOKUP(A242,'SegEnds_NonXtal_Prot#'!A:AL,10,FALSE)</f>
        <v>#VALUE!</v>
      </c>
      <c r="AE242" s="1">
        <f>VLOOKUP(A242,'SegEnds_NonXtal_Prot#'!A:AL,16,FALSE)-VLOOKUP(A242,'SegEnds_NonXtal_Prot#'!A:AL,10,FALSE)</f>
        <v>52</v>
      </c>
      <c r="AF242" s="1">
        <f>VLOOKUP(A242,'SegEnds_NonXtal_Prot#'!A:AL,22,FALSE)-VLOOKUP(A242,'SegEnds_NonXtal_Prot#'!A:AL,19,FALSE)</f>
        <v>20</v>
      </c>
      <c r="AG242" s="1">
        <f>VLOOKUP(A242,'SegEnds_NonXtal_Prot#'!A:AL,28,FALSE)-VLOOKUP(A242,'SegEnds_NonXtal_Prot#'!A:AL,25,FALSE)</f>
        <v>26</v>
      </c>
      <c r="AH242" s="1">
        <f>VLOOKUP(A242,'SegEnds_NonXtal_Prot#'!A:AL,28,FALSE)-VLOOKUP(A242,'SegEnds_NonXtal_Prot#'!A:AL,22,FALSE)</f>
        <v>52</v>
      </c>
      <c r="AI242" s="1">
        <f>VLOOKUP(A242,'SegEnds_NonXtal_Prot#'!A:AL,31,FALSE)-VLOOKUP(A242,'SegEnds_NonXtal_Prot#'!A:AL,28,FALSE)</f>
        <v>50</v>
      </c>
      <c r="AJ242" s="1">
        <f>VLOOKUP(A242,'SegEnds_NonXtal_Prot#'!A:AL,34,FALSE)-VLOOKUP(A242,'SegEnds_NonXtal_Prot#'!A:AL,31,FALSE)</f>
        <v>44</v>
      </c>
      <c r="AK242" s="1">
        <f>VLOOKUP(A242,'SegEnds_NonXtal_Prot#'!A:AL,37,FALSE)-VLOOKUP(A242,'SegEnds_NonXtal_Prot#'!A:AL,34,FALSE)</f>
        <v>10</v>
      </c>
      <c r="AL242" s="1" t="str">
        <f>IF(ISERROR(MATCH(A242,'SegEnds_Xtal_Prot#'!B:B, 0)), "NoXtal", "Xtal")</f>
        <v>NoXtal</v>
      </c>
    </row>
    <row r="243" spans="1:38" x14ac:dyDescent="0.2">
      <c r="A243" s="1" t="s">
        <v>355</v>
      </c>
      <c r="B243" s="1" t="str">
        <f>VLOOKUP(A243,Xtal_Templ!A:B,2,FALSE)</f>
        <v>par1_human</v>
      </c>
      <c r="C243" s="5">
        <f>VLOOKUP($B243&amp;"__wt",'SegEnds_Xtal_BW#'!$A:$Z,3,FALSE)</f>
        <v>29</v>
      </c>
      <c r="D243" s="1">
        <f>VLOOKUP($B243&amp;"__wt",'SegEnds_Xtal_BW#'!$A:$Z,4,FALSE)</f>
        <v>60</v>
      </c>
      <c r="E243" s="1">
        <f>VLOOKUP($B243&amp;"__wt",'SegEnds_Xtal_BW#'!$A:$Z,5,FALSE)</f>
        <v>48</v>
      </c>
      <c r="F243" s="1">
        <f>VLOOKUP($B243&amp;"__wt",'SegEnds_Xtal_BW#'!$A:$Z,6,FALSE)</f>
        <v>51</v>
      </c>
      <c r="G243" s="1">
        <v>37</v>
      </c>
      <c r="H243" s="12">
        <f>VLOOKUP($B243&amp;"__wt",'SegEnds_Xtal_BW#'!$A:$Z,8,FALSE)</f>
        <v>66</v>
      </c>
      <c r="I243" s="1">
        <f>VLOOKUP($B243&amp;"__wt",'SegEnds_Xtal_BW#'!$A:$Z,9,FALSE)</f>
        <v>49</v>
      </c>
      <c r="J243" s="1">
        <f>VLOOKUP($B243&amp;"__wt",'SegEnds_Xtal_BW#'!$A:$Z,10,FALSE)</f>
        <v>52</v>
      </c>
      <c r="K243" s="12">
        <v>18</v>
      </c>
      <c r="L243" s="1">
        <f>VLOOKUP($B243&amp;"__wt",'SegEnds_Xtal_BW#'!$A:$Z,12,FALSE)</f>
        <v>56</v>
      </c>
      <c r="M243" s="1">
        <f>VLOOKUP($B243&amp;"__wt",'SegEnds_Xtal_BW#'!$A:$Z,13,FALSE)</f>
        <v>50</v>
      </c>
      <c r="N243" s="12">
        <f>VLOOKUP($B243&amp;"__wt",'SegEnds_Xtal_BW#'!$A:$Z,14,FALSE)</f>
        <v>57</v>
      </c>
      <c r="O243" s="87">
        <f>VLOOKUP($B243&amp;"__wt",'SegEnds_Xtal_BW#'!$A:$Z,15,FALSE)</f>
        <v>38</v>
      </c>
      <c r="P243" s="1">
        <f>VLOOKUP($B243&amp;"__wt",'SegEnds_Xtal_BW#'!$A:$Z,16,FALSE)</f>
        <v>63</v>
      </c>
      <c r="Q243" s="1">
        <f>VLOOKUP($B243&amp;"__wt",'SegEnds_Xtal_BW#'!$A:$Z,17,FALSE)</f>
        <v>50</v>
      </c>
      <c r="R243" s="1">
        <f>VLOOKUP($B243&amp;"__wt",'SegEnds_Xtal_BW#'!$A:$Z,18,FALSE)</f>
        <v>52</v>
      </c>
      <c r="S243" s="1">
        <f>VLOOKUP($B243&amp;"__wt",'SegEnds_Xtal_BW#'!$A:$Z,19,FALSE)</f>
        <v>32</v>
      </c>
      <c r="T243" s="1">
        <f t="array" ref="T243">INDEX(ICL3_classA!$G$2:$G$37,MATCH(MIN(ABS(AI243-ICL3_classA!$F$2:$F$37)),ABS(AI243-ICL3_classA!$F$2:$F$37),0))</f>
        <v>67</v>
      </c>
      <c r="U243" s="1">
        <f t="array" ref="U243">INDEX(ICL3_classA!$H$2:$H$37,MATCH(MIN(ABS(AI243-ICL3_classA!$F$2:$F$37)),ABS(AI243-ICL3_classA!$F$2:$F$37),0))</f>
        <v>26</v>
      </c>
      <c r="V243" s="1">
        <v>62</v>
      </c>
      <c r="W243" s="1">
        <v>28</v>
      </c>
      <c r="X243" s="1">
        <f>VLOOKUP($B243&amp;"__wt",'SegEnds_Xtal_BW#'!$A:$Z,24,FALSE)</f>
        <v>56</v>
      </c>
      <c r="Y243" s="1">
        <f>VLOOKUP($B243&amp;"__wt",'SegEnds_Xtal_BW#'!$A:$Z,25,FALSE)</f>
        <v>47</v>
      </c>
      <c r="Z243" s="1">
        <f>VLOOKUP($B243&amp;"__wt",'SegEnds_Xtal_BW#'!$A:$Z,26,FALSE)</f>
        <v>61</v>
      </c>
      <c r="AA243" s="27" t="str">
        <f>VLOOKUP(A243,Classification!A:B,2,FALSE)</f>
        <v>A</v>
      </c>
      <c r="AB243" s="1">
        <f>VLOOKUP(A243,'SegEnds_NonXtal_Prot#'!A:AL,10,FALSE)-VLOOKUP(A243,'SegEnds_NonXtal_Prot#'!A:AL,4,FALSE)</f>
        <v>28</v>
      </c>
      <c r="AC243" s="1">
        <f>VLOOKUP(A243,'SegEnds_NonXtal_Prot#'!A:AL,10,FALSE)-VLOOKUP(A243,'SegEnds_NonXtal_Prot#'!A:AL,7,FALSE)</f>
        <v>15</v>
      </c>
      <c r="AD243" s="1">
        <f>VLOOKUP(A243,'SegEnds_NonXtal_Prot#'!A:AL,13,FALSE)-VLOOKUP(A243,'SegEnds_NonXtal_Prot#'!A:AL,10,FALSE)</f>
        <v>20</v>
      </c>
      <c r="AE243" s="1">
        <f>VLOOKUP(A243,'SegEnds_NonXtal_Prot#'!A:AL,16,FALSE)-VLOOKUP(A243,'SegEnds_NonXtal_Prot#'!A:AL,10,FALSE)</f>
        <v>52</v>
      </c>
      <c r="AF243" s="1">
        <f>VLOOKUP(A243,'SegEnds_NonXtal_Prot#'!A:AL,22,FALSE)-VLOOKUP(A243,'SegEnds_NonXtal_Prot#'!A:AL,19,FALSE)</f>
        <v>20</v>
      </c>
      <c r="AG243" s="1">
        <f>VLOOKUP(A243,'SegEnds_NonXtal_Prot#'!A:AL,28,FALSE)-VLOOKUP(A243,'SegEnds_NonXtal_Prot#'!A:AL,25,FALSE)</f>
        <v>28</v>
      </c>
      <c r="AH243" s="1">
        <f>VLOOKUP(A243,'SegEnds_NonXtal_Prot#'!A:AL,28,FALSE)-VLOOKUP(A243,'SegEnds_NonXtal_Prot#'!A:AL,22,FALSE)</f>
        <v>55</v>
      </c>
      <c r="AI243" s="1">
        <f>VLOOKUP(A243,'SegEnds_NonXtal_Prot#'!A:AL,31,FALSE)-VLOOKUP(A243,'SegEnds_NonXtal_Prot#'!A:AL,28,FALSE)</f>
        <v>46</v>
      </c>
      <c r="AJ243" s="1">
        <f>VLOOKUP(A243,'SegEnds_NonXtal_Prot#'!A:AL,34,FALSE)-VLOOKUP(A243,'SegEnds_NonXtal_Prot#'!A:AL,31,FALSE)</f>
        <v>40</v>
      </c>
      <c r="AK243" s="1">
        <f>VLOOKUP(A243,'SegEnds_NonXtal_Prot#'!A:AL,37,FALSE)-VLOOKUP(A243,'SegEnds_NonXtal_Prot#'!A:AL,34,FALSE)</f>
        <v>10</v>
      </c>
      <c r="AL243" s="1" t="str">
        <f>IF(ISERROR(MATCH(A243,'SegEnds_Xtal_Prot#'!B:B, 0)), "NoXtal", "Xtal")</f>
        <v>Xtal</v>
      </c>
    </row>
    <row r="244" spans="1:38" x14ac:dyDescent="0.2">
      <c r="A244" s="1" t="s">
        <v>356</v>
      </c>
      <c r="B244" s="1" t="str">
        <f>VLOOKUP(A244,Xtal_Templ!A:B,2,FALSE)</f>
        <v>par2_human</v>
      </c>
      <c r="C244" s="5">
        <f>VLOOKUP($B244&amp;"__wt",'SegEnds_Xtal_BW#'!$A:$Z,3,FALSE)</f>
        <v>28</v>
      </c>
      <c r="D244" s="1">
        <f>VLOOKUP($B244&amp;"__wt",'SegEnds_Xtal_BW#'!$A:$Z,4,FALSE)</f>
        <v>60</v>
      </c>
      <c r="E244" s="1" t="str">
        <f>VLOOKUP($B244&amp;"__wt",'SegEnds_Xtal_BW#'!$A:$Z,5,FALSE)</f>
        <v>-</v>
      </c>
      <c r="F244" s="1" t="str">
        <f>VLOOKUP($B244&amp;"__wt",'SegEnds_Xtal_BW#'!$A:$Z,6,FALSE)</f>
        <v>-</v>
      </c>
      <c r="G244" s="1">
        <v>37</v>
      </c>
      <c r="H244" s="12">
        <f>VLOOKUP($B244&amp;"__wt",'SegEnds_Xtal_BW#'!$A:$Z,8,FALSE)</f>
        <v>66</v>
      </c>
      <c r="I244" s="1">
        <f>VLOOKUP($B244&amp;"__wt",'SegEnds_Xtal_BW#'!$A:$Z,9,FALSE)</f>
        <v>47</v>
      </c>
      <c r="J244" s="1">
        <f>VLOOKUP($B244&amp;"__wt",'SegEnds_Xtal_BW#'!$A:$Z,10,FALSE)</f>
        <v>52</v>
      </c>
      <c r="K244" s="12">
        <v>18</v>
      </c>
      <c r="L244" s="1">
        <f>VLOOKUP($B244&amp;"__wt",'SegEnds_Xtal_BW#'!$A:$Z,12,FALSE)</f>
        <v>56</v>
      </c>
      <c r="M244" s="1">
        <f>VLOOKUP($B244&amp;"__wt",'SegEnds_Xtal_BW#'!$A:$Z,13,FALSE)</f>
        <v>50</v>
      </c>
      <c r="N244" s="12">
        <f>VLOOKUP($B244&amp;"__wt",'SegEnds_Xtal_BW#'!$A:$Z,14,FALSE)</f>
        <v>56</v>
      </c>
      <c r="O244" s="87">
        <f>VLOOKUP($B244&amp;"__wt",'SegEnds_Xtal_BW#'!$A:$Z,15,FALSE)</f>
        <v>38</v>
      </c>
      <c r="P244" s="1">
        <f>VLOOKUP($B244&amp;"__wt",'SegEnds_Xtal_BW#'!$A:$Z,16,FALSE)</f>
        <v>62</v>
      </c>
      <c r="Q244" s="1">
        <f>VLOOKUP($B244&amp;"__wt",'SegEnds_Xtal_BW#'!$A:$Z,17,FALSE)</f>
        <v>50</v>
      </c>
      <c r="R244" s="1">
        <f>VLOOKUP($B244&amp;"__wt",'SegEnds_Xtal_BW#'!$A:$Z,18,FALSE)</f>
        <v>52</v>
      </c>
      <c r="S244" s="1">
        <f>VLOOKUP($B244&amp;"__wt",'SegEnds_Xtal_BW#'!$A:$Z,19,FALSE)</f>
        <v>31</v>
      </c>
      <c r="T244" s="1">
        <f t="array" ref="T244">INDEX(ICL3_classA!$G$2:$G$37,MATCH(MIN(ABS(AI244-ICL3_classA!$F$2:$F$37)),ABS(AI244-ICL3_classA!$F$2:$F$37),0))</f>
        <v>68</v>
      </c>
      <c r="U244" s="1">
        <f t="array" ref="U244">INDEX(ICL3_classA!$H$2:$H$37,MATCH(MIN(ABS(AI244-ICL3_classA!$F$2:$F$37)),ABS(AI244-ICL3_classA!$F$2:$F$37),0))</f>
        <v>24</v>
      </c>
      <c r="V244" s="1">
        <v>62</v>
      </c>
      <c r="W244" s="1">
        <v>28</v>
      </c>
      <c r="X244" s="1">
        <f>VLOOKUP($B244&amp;"__wt",'SegEnds_Xtal_BW#'!$A:$Z,24,FALSE)</f>
        <v>56</v>
      </c>
      <c r="Y244" s="1">
        <f>VLOOKUP($B244&amp;"__wt",'SegEnds_Xtal_BW#'!$A:$Z,25,FALSE)</f>
        <v>47</v>
      </c>
      <c r="Z244" s="1">
        <f>VLOOKUP($B244&amp;"__wt",'SegEnds_Xtal_BW#'!$A:$Z,26,FALSE)</f>
        <v>61</v>
      </c>
      <c r="AA244" s="27" t="str">
        <f>VLOOKUP(A244,Classification!A:B,2,FALSE)</f>
        <v>A</v>
      </c>
      <c r="AB244" s="1">
        <f>VLOOKUP(A244,'SegEnds_NonXtal_Prot#'!A:AL,10,FALSE)-VLOOKUP(A244,'SegEnds_NonXtal_Prot#'!A:AL,4,FALSE)</f>
        <v>28</v>
      </c>
      <c r="AC244" s="1" t="e">
        <f>VLOOKUP(A244,'SegEnds_NonXtal_Prot#'!A:AL,10,FALSE)-VLOOKUP(A244,'SegEnds_NonXtal_Prot#'!A:AL,7,FALSE)</f>
        <v>#VALUE!</v>
      </c>
      <c r="AD244" s="1">
        <f>VLOOKUP(A244,'SegEnds_NonXtal_Prot#'!A:AL,13,FALSE)-VLOOKUP(A244,'SegEnds_NonXtal_Prot#'!A:AL,10,FALSE)</f>
        <v>20</v>
      </c>
      <c r="AE244" s="1">
        <f>VLOOKUP(A244,'SegEnds_NonXtal_Prot#'!A:AL,16,FALSE)-VLOOKUP(A244,'SegEnds_NonXtal_Prot#'!A:AL,10,FALSE)</f>
        <v>52</v>
      </c>
      <c r="AF244" s="1">
        <f>VLOOKUP(A244,'SegEnds_NonXtal_Prot#'!A:AL,22,FALSE)-VLOOKUP(A244,'SegEnds_NonXtal_Prot#'!A:AL,19,FALSE)</f>
        <v>19</v>
      </c>
      <c r="AG244" s="1">
        <f>VLOOKUP(A244,'SegEnds_NonXtal_Prot#'!A:AL,28,FALSE)-VLOOKUP(A244,'SegEnds_NonXtal_Prot#'!A:AL,25,FALSE)</f>
        <v>28</v>
      </c>
      <c r="AH244" s="1">
        <f>VLOOKUP(A244,'SegEnds_NonXtal_Prot#'!A:AL,28,FALSE)-VLOOKUP(A244,'SegEnds_NonXtal_Prot#'!A:AL,22,FALSE)</f>
        <v>55</v>
      </c>
      <c r="AI244" s="1">
        <f>VLOOKUP(A244,'SegEnds_NonXtal_Prot#'!A:AL,31,FALSE)-VLOOKUP(A244,'SegEnds_NonXtal_Prot#'!A:AL,28,FALSE)</f>
        <v>48</v>
      </c>
      <c r="AJ244" s="1">
        <f>VLOOKUP(A244,'SegEnds_NonXtal_Prot#'!A:AL,34,FALSE)-VLOOKUP(A244,'SegEnds_NonXtal_Prot#'!A:AL,31,FALSE)</f>
        <v>39</v>
      </c>
      <c r="AK244" s="1">
        <f>VLOOKUP(A244,'SegEnds_NonXtal_Prot#'!A:AL,37,FALSE)-VLOOKUP(A244,'SegEnds_NonXtal_Prot#'!A:AL,34,FALSE)</f>
        <v>10</v>
      </c>
      <c r="AL244" s="1" t="str">
        <f>IF(ISERROR(MATCH(A244,'SegEnds_Xtal_Prot#'!B:B, 0)), "NoXtal", "Xtal")</f>
        <v>Xtal</v>
      </c>
    </row>
    <row r="245" spans="1:38" x14ac:dyDescent="0.2">
      <c r="A245" s="1" t="s">
        <v>358</v>
      </c>
      <c r="B245" s="1" t="str">
        <f>VLOOKUP(A245,Xtal_Templ!A:B,2,FALSE)</f>
        <v>par2_human</v>
      </c>
      <c r="C245" s="5">
        <f>VLOOKUP($B245&amp;"__wt",'SegEnds_Xtal_BW#'!$A:$Z,3,FALSE)</f>
        <v>28</v>
      </c>
      <c r="D245" s="1">
        <f>VLOOKUP($B245&amp;"__wt",'SegEnds_Xtal_BW#'!$A:$Z,4,FALSE)</f>
        <v>60</v>
      </c>
      <c r="E245" s="1" t="str">
        <f>VLOOKUP($B245&amp;"__wt",'SegEnds_Xtal_BW#'!$A:$Z,5,FALSE)</f>
        <v>-</v>
      </c>
      <c r="F245" s="1" t="str">
        <f>VLOOKUP($B245&amp;"__wt",'SegEnds_Xtal_BW#'!$A:$Z,6,FALSE)</f>
        <v>-</v>
      </c>
      <c r="G245" s="1">
        <v>37</v>
      </c>
      <c r="H245" s="12">
        <f>VLOOKUP($B245&amp;"__wt",'SegEnds_Xtal_BW#'!$A:$Z,8,FALSE)</f>
        <v>66</v>
      </c>
      <c r="I245" s="1">
        <f>VLOOKUP($B245&amp;"__wt",'SegEnds_Xtal_BW#'!$A:$Z,9,FALSE)</f>
        <v>47</v>
      </c>
      <c r="J245" s="1">
        <f>VLOOKUP($B245&amp;"__wt",'SegEnds_Xtal_BW#'!$A:$Z,10,FALSE)</f>
        <v>52</v>
      </c>
      <c r="K245" s="12">
        <v>18</v>
      </c>
      <c r="L245" s="1">
        <f>VLOOKUP($B245&amp;"__wt",'SegEnds_Xtal_BW#'!$A:$Z,12,FALSE)</f>
        <v>56</v>
      </c>
      <c r="M245" s="1">
        <f>VLOOKUP($B245&amp;"__wt",'SegEnds_Xtal_BW#'!$A:$Z,13,FALSE)</f>
        <v>50</v>
      </c>
      <c r="N245" s="12">
        <v>57</v>
      </c>
      <c r="O245" s="87">
        <f>VLOOKUP($B245&amp;"__wt",'SegEnds_Xtal_BW#'!$A:$Z,15,FALSE)</f>
        <v>38</v>
      </c>
      <c r="P245" s="1">
        <f>VLOOKUP($B245&amp;"__wt",'SegEnds_Xtal_BW#'!$A:$Z,16,FALSE)</f>
        <v>62</v>
      </c>
      <c r="Q245" s="1">
        <f>VLOOKUP($B245&amp;"__wt",'SegEnds_Xtal_BW#'!$A:$Z,17,FALSE)</f>
        <v>50</v>
      </c>
      <c r="R245" s="1">
        <f>VLOOKUP($B245&amp;"__wt",'SegEnds_Xtal_BW#'!$A:$Z,18,FALSE)</f>
        <v>52</v>
      </c>
      <c r="S245" s="1">
        <f>VLOOKUP($B245&amp;"__wt",'SegEnds_Xtal_BW#'!$A:$Z,19,FALSE)</f>
        <v>31</v>
      </c>
      <c r="T245" s="1">
        <f t="array" ref="T245">INDEX(ICL3_classA!$G$2:$G$37,MATCH(MIN(ABS(AI245-ICL3_classA!$F$2:$F$37)),ABS(AI245-ICL3_classA!$F$2:$F$37),0))</f>
        <v>68</v>
      </c>
      <c r="U245" s="1">
        <f t="array" ref="U245">INDEX(ICL3_classA!$H$2:$H$37,MATCH(MIN(ABS(AI245-ICL3_classA!$F$2:$F$37)),ABS(AI245-ICL3_classA!$F$2:$F$37),0))</f>
        <v>30</v>
      </c>
      <c r="V245" s="1">
        <v>62</v>
      </c>
      <c r="W245" s="1">
        <v>28</v>
      </c>
      <c r="X245" s="1">
        <f>VLOOKUP($B245&amp;"__wt",'SegEnds_Xtal_BW#'!$A:$Z,24,FALSE)</f>
        <v>56</v>
      </c>
      <c r="Y245" s="1">
        <f>VLOOKUP($B245&amp;"__wt",'SegEnds_Xtal_BW#'!$A:$Z,25,FALSE)</f>
        <v>47</v>
      </c>
      <c r="Z245" s="1">
        <f>VLOOKUP($B245&amp;"__wt",'SegEnds_Xtal_BW#'!$A:$Z,26,FALSE)</f>
        <v>61</v>
      </c>
      <c r="AA245" s="27" t="str">
        <f>VLOOKUP(A245,Classification!A:B,2,FALSE)</f>
        <v>A</v>
      </c>
      <c r="AB245" s="1">
        <f>VLOOKUP(A245,'SegEnds_NonXtal_Prot#'!A:AL,10,FALSE)-VLOOKUP(A245,'SegEnds_NonXtal_Prot#'!A:AL,4,FALSE)</f>
        <v>27</v>
      </c>
      <c r="AC245" s="1" t="e">
        <f>VLOOKUP(A245,'SegEnds_NonXtal_Prot#'!A:AL,10,FALSE)-VLOOKUP(A245,'SegEnds_NonXtal_Prot#'!A:AL,7,FALSE)</f>
        <v>#VALUE!</v>
      </c>
      <c r="AD245" s="1">
        <f>VLOOKUP(A245,'SegEnds_NonXtal_Prot#'!A:AL,13,FALSE)-VLOOKUP(A245,'SegEnds_NonXtal_Prot#'!A:AL,10,FALSE)</f>
        <v>20</v>
      </c>
      <c r="AE245" s="1">
        <f>VLOOKUP(A245,'SegEnds_NonXtal_Prot#'!A:AL,16,FALSE)-VLOOKUP(A245,'SegEnds_NonXtal_Prot#'!A:AL,10,FALSE)</f>
        <v>52</v>
      </c>
      <c r="AF245" s="1">
        <f>VLOOKUP(A245,'SegEnds_NonXtal_Prot#'!A:AL,22,FALSE)-VLOOKUP(A245,'SegEnds_NonXtal_Prot#'!A:AL,19,FALSE)</f>
        <v>20</v>
      </c>
      <c r="AG245" s="1">
        <f>VLOOKUP(A245,'SegEnds_NonXtal_Prot#'!A:AL,28,FALSE)-VLOOKUP(A245,'SegEnds_NonXtal_Prot#'!A:AL,25,FALSE)</f>
        <v>28</v>
      </c>
      <c r="AH245" s="1">
        <f>VLOOKUP(A245,'SegEnds_NonXtal_Prot#'!A:AL,28,FALSE)-VLOOKUP(A245,'SegEnds_NonXtal_Prot#'!A:AL,22,FALSE)</f>
        <v>55</v>
      </c>
      <c r="AI245" s="1">
        <f>VLOOKUP(A245,'SegEnds_NonXtal_Prot#'!A:AL,31,FALSE)-VLOOKUP(A245,'SegEnds_NonXtal_Prot#'!A:AL,28,FALSE)</f>
        <v>42</v>
      </c>
      <c r="AJ245" s="1">
        <f>VLOOKUP(A245,'SegEnds_NonXtal_Prot#'!A:AL,34,FALSE)-VLOOKUP(A245,'SegEnds_NonXtal_Prot#'!A:AL,31,FALSE)</f>
        <v>39</v>
      </c>
      <c r="AK245" s="1">
        <f>VLOOKUP(A245,'SegEnds_NonXtal_Prot#'!A:AL,37,FALSE)-VLOOKUP(A245,'SegEnds_NonXtal_Prot#'!A:AL,34,FALSE)</f>
        <v>10</v>
      </c>
      <c r="AL245" s="1" t="str">
        <f>IF(ISERROR(MATCH(A245,'SegEnds_Xtal_Prot#'!B:B, 0)), "NoXtal", "Xtal")</f>
        <v>NoXtal</v>
      </c>
    </row>
    <row r="246" spans="1:38" x14ac:dyDescent="0.2">
      <c r="A246" s="1" t="s">
        <v>359</v>
      </c>
      <c r="B246" s="1" t="str">
        <f>VLOOKUP(A246,Xtal_Templ!A:B,2,FALSE)</f>
        <v>pe2r4_human</v>
      </c>
      <c r="C246" s="5">
        <f>VLOOKUP($B246&amp;"__wt",'SegEnds_Xtal_BW#'!$A:$Z,3,FALSE)</f>
        <v>33</v>
      </c>
      <c r="D246" s="1">
        <f>VLOOKUP($B246&amp;"__wt",'SegEnds_Xtal_BW#'!$A:$Z,4,FALSE)</f>
        <v>58</v>
      </c>
      <c r="E246" s="1" t="str">
        <f>VLOOKUP($B246&amp;"__wt",'SegEnds_Xtal_BW#'!$A:$Z,5,FALSE)</f>
        <v>-</v>
      </c>
      <c r="F246" s="1" t="str">
        <f>VLOOKUP($B246&amp;"__wt",'SegEnds_Xtal_BW#'!$A:$Z,6,FALSE)</f>
        <v>-</v>
      </c>
      <c r="G246" s="1">
        <v>37</v>
      </c>
      <c r="H246" s="12">
        <f>VLOOKUP($B246&amp;"__wt",'SegEnds_Xtal_BW#'!$A:$Z,8,FALSE)</f>
        <v>67</v>
      </c>
      <c r="I246" s="1" t="str">
        <f>VLOOKUP($B246&amp;"__wt",'SegEnds_Xtal_BW#'!$A:$Z,9,FALSE)</f>
        <v>-</v>
      </c>
      <c r="J246" s="1" t="str">
        <f>VLOOKUP($B246&amp;"__wt",'SegEnds_Xtal_BW#'!$A:$Z,10,FALSE)</f>
        <v>-</v>
      </c>
      <c r="K246" s="12">
        <v>18</v>
      </c>
      <c r="L246" s="1">
        <f>VLOOKUP($B246&amp;"__wt",'SegEnds_Xtal_BW#'!$A:$Z,12,FALSE)</f>
        <v>56</v>
      </c>
      <c r="M246" s="1">
        <f>VLOOKUP($B246&amp;"__wt",'SegEnds_Xtal_BW#'!$A:$Z,13,FALSE)</f>
        <v>50</v>
      </c>
      <c r="N246" s="12">
        <v>57</v>
      </c>
      <c r="O246" s="87">
        <f>VLOOKUP($B246&amp;"__wt",'SegEnds_Xtal_BW#'!$A:$Z,15,FALSE)</f>
        <v>38</v>
      </c>
      <c r="P246" s="1">
        <f>VLOOKUP($B246&amp;"__wt",'SegEnds_Xtal_BW#'!$A:$Z,16,FALSE)</f>
        <v>63</v>
      </c>
      <c r="Q246" s="1">
        <f>VLOOKUP($B246&amp;"__wt",'SegEnds_Xtal_BW#'!$A:$Z,17,FALSE)</f>
        <v>50</v>
      </c>
      <c r="R246" s="1">
        <f>VLOOKUP($B246&amp;"__wt",'SegEnds_Xtal_BW#'!$A:$Z,18,FALSE)</f>
        <v>52</v>
      </c>
      <c r="S246" s="1">
        <f>VLOOKUP($B246&amp;"__wt",'SegEnds_Xtal_BW#'!$A:$Z,19,FALSE)</f>
        <v>31</v>
      </c>
      <c r="T246" s="1">
        <f t="array" ref="T246">INDEX(ICL3_classA!$G$2:$G$37,MATCH(MIN(ABS(AI246-ICL3_classA!$F$2:$F$37)),ABS(AI246-ICL3_classA!$F$2:$F$37),0))</f>
        <v>76</v>
      </c>
      <c r="U246" s="1">
        <f t="array" ref="U246">INDEX(ICL3_classA!$H$2:$H$37,MATCH(MIN(ABS(AI246-ICL3_classA!$F$2:$F$37)),ABS(AI246-ICL3_classA!$F$2:$F$37),0))</f>
        <v>24</v>
      </c>
      <c r="V246" s="1">
        <v>61</v>
      </c>
      <c r="W246" s="1">
        <v>28</v>
      </c>
      <c r="X246" s="128">
        <f>VLOOKUP($B246&amp;"__wt",'SegEnds_Xtal_BW#'!$A:$Z,24,FALSE)</f>
        <v>56</v>
      </c>
      <c r="Y246" s="1">
        <f>VLOOKUP($B246&amp;"__wt",'SegEnds_Xtal_BW#'!$A:$Z,25,FALSE)</f>
        <v>47</v>
      </c>
      <c r="Z246" s="1">
        <f>VLOOKUP($B246&amp;"__wt",'SegEnds_Xtal_BW#'!$A:$Z,26,FALSE)</f>
        <v>60</v>
      </c>
      <c r="AA246" s="27" t="str">
        <f>VLOOKUP(A246,Classification!A:B,2,FALSE)</f>
        <v>A</v>
      </c>
      <c r="AB246" s="1">
        <f>VLOOKUP(A246,'SegEnds_NonXtal_Prot#'!A:AL,10,FALSE)-VLOOKUP(A246,'SegEnds_NonXtal_Prot#'!A:AL,4,FALSE)</f>
        <v>38</v>
      </c>
      <c r="AC246" s="1" t="e">
        <f>VLOOKUP(A246,'SegEnds_NonXtal_Prot#'!A:AL,10,FALSE)-VLOOKUP(A246,'SegEnds_NonXtal_Prot#'!A:AL,7,FALSE)</f>
        <v>#VALUE!</v>
      </c>
      <c r="AD246" s="1" t="e">
        <f>VLOOKUP(A246,'SegEnds_NonXtal_Prot#'!A:AL,13,FALSE)-VLOOKUP(A246,'SegEnds_NonXtal_Prot#'!A:AL,10,FALSE)</f>
        <v>#VALUE!</v>
      </c>
      <c r="AE246" s="1">
        <f>VLOOKUP(A246,'SegEnds_NonXtal_Prot#'!A:AL,16,FALSE)-VLOOKUP(A246,'SegEnds_NonXtal_Prot#'!A:AL,10,FALSE)</f>
        <v>58</v>
      </c>
      <c r="AF246" s="1">
        <f>VLOOKUP(A246,'SegEnds_NonXtal_Prot#'!A:AL,22,FALSE)-VLOOKUP(A246,'SegEnds_NonXtal_Prot#'!A:AL,19,FALSE)</f>
        <v>20</v>
      </c>
      <c r="AG246" s="1">
        <f>VLOOKUP(A246,'SegEnds_NonXtal_Prot#'!A:AL,28,FALSE)-VLOOKUP(A246,'SegEnds_NonXtal_Prot#'!A:AL,25,FALSE)</f>
        <v>29</v>
      </c>
      <c r="AH246" s="1">
        <f>VLOOKUP(A246,'SegEnds_NonXtal_Prot#'!A:AL,28,FALSE)-VLOOKUP(A246,'SegEnds_NonXtal_Prot#'!A:AL,22,FALSE)</f>
        <v>55</v>
      </c>
      <c r="AI246" s="1">
        <f>VLOOKUP(A246,'SegEnds_NonXtal_Prot#'!A:AL,31,FALSE)-VLOOKUP(A246,'SegEnds_NonXtal_Prot#'!A:AL,28,FALSE)</f>
        <v>68</v>
      </c>
      <c r="AJ246" s="1">
        <f>VLOOKUP(A246,'SegEnds_NonXtal_Prot#'!A:AL,34,FALSE)-VLOOKUP(A246,'SegEnds_NonXtal_Prot#'!A:AL,31,FALSE)</f>
        <v>40</v>
      </c>
      <c r="AK246" s="1">
        <f>VLOOKUP(A246,'SegEnds_NonXtal_Prot#'!A:AL,37,FALSE)-VLOOKUP(A246,'SegEnds_NonXtal_Prot#'!A:AL,34,FALSE)</f>
        <v>10</v>
      </c>
      <c r="AL246" s="1" t="str">
        <f>IF(ISERROR(MATCH(A246,'SegEnds_Xtal_Prot#'!B:B, 0)), "NoXtal", "Xtal")</f>
        <v>NoXtal</v>
      </c>
    </row>
    <row r="247" spans="1:38" x14ac:dyDescent="0.2">
      <c r="A247" s="1" t="s">
        <v>360</v>
      </c>
      <c r="B247" s="1" t="str">
        <f>VLOOKUP(A247,Xtal_Templ!A:B,2,FALSE)</f>
        <v>pd2r2_human</v>
      </c>
      <c r="C247" s="5">
        <f>VLOOKUP($B247&amp;"__wt",'SegEnds_Xtal_BW#'!$A:$Z,3,FALSE)</f>
        <v>32</v>
      </c>
      <c r="D247" s="1">
        <f>VLOOKUP($B247&amp;"__wt",'SegEnds_Xtal_BW#'!$A:$Z,4,FALSE)</f>
        <v>60</v>
      </c>
      <c r="E247" s="1" t="str">
        <f>VLOOKUP($B247&amp;"__wt",'SegEnds_Xtal_BW#'!$A:$Z,5,FALSE)</f>
        <v>-</v>
      </c>
      <c r="F247" s="1" t="str">
        <f>VLOOKUP($B247&amp;"__wt",'SegEnds_Xtal_BW#'!$A:$Z,6,FALSE)</f>
        <v>-</v>
      </c>
      <c r="G247" s="1">
        <v>37</v>
      </c>
      <c r="H247" s="12">
        <f>VLOOKUP($B247&amp;"__wt",'SegEnds_Xtal_BW#'!$A:$Z,8,FALSE)</f>
        <v>67</v>
      </c>
      <c r="I247" s="1">
        <f>VLOOKUP($B247&amp;"__wt",'SegEnds_Xtal_BW#'!$A:$Z,9,FALSE)</f>
        <v>49</v>
      </c>
      <c r="J247" s="1">
        <f>VLOOKUP($B247&amp;"__wt",'SegEnds_Xtal_BW#'!$A:$Z,10,FALSE)</f>
        <v>52</v>
      </c>
      <c r="K247" s="12">
        <v>18</v>
      </c>
      <c r="L247" s="1">
        <f>VLOOKUP($B247&amp;"__wt",'SegEnds_Xtal_BW#'!$A:$Z,12,FALSE)</f>
        <v>56</v>
      </c>
      <c r="M247" s="1">
        <f>VLOOKUP($B247&amp;"__wt",'SegEnds_Xtal_BW#'!$A:$Z,13,FALSE)</f>
        <v>50</v>
      </c>
      <c r="N247" s="12">
        <v>57</v>
      </c>
      <c r="O247" s="87">
        <f>VLOOKUP($B247&amp;"__wt",'SegEnds_Xtal_BW#'!$A:$Z,15,FALSE)</f>
        <v>38</v>
      </c>
      <c r="P247" s="1">
        <f>VLOOKUP($B247&amp;"__wt",'SegEnds_Xtal_BW#'!$A:$Z,16,FALSE)</f>
        <v>64</v>
      </c>
      <c r="Q247" s="1">
        <f>VLOOKUP($B247&amp;"__wt",'SegEnds_Xtal_BW#'!$A:$Z,17,FALSE)</f>
        <v>50</v>
      </c>
      <c r="R247" s="1">
        <f>VLOOKUP($B247&amp;"__wt",'SegEnds_Xtal_BW#'!$A:$Z,18,FALSE)</f>
        <v>52</v>
      </c>
      <c r="S247" s="1">
        <f>VLOOKUP($B247&amp;"__wt",'SegEnds_Xtal_BW#'!$A:$Z,19,FALSE)</f>
        <v>26</v>
      </c>
      <c r="T247" s="1">
        <f t="array" ref="T247">INDEX(ICL3_classA!$G$2:$G$37,MATCH(MIN(ABS(AI247-ICL3_classA!$F$2:$F$37)),ABS(AI247-ICL3_classA!$F$2:$F$37),0))</f>
        <v>68</v>
      </c>
      <c r="U247" s="1">
        <f t="array" ref="U247">INDEX(ICL3_classA!$H$2:$H$37,MATCH(MIN(ABS(AI247-ICL3_classA!$F$2:$F$37)),ABS(AI247-ICL3_classA!$F$2:$F$37),0))</f>
        <v>30</v>
      </c>
      <c r="V247" s="1">
        <v>61</v>
      </c>
      <c r="W247" s="108">
        <v>27</v>
      </c>
      <c r="X247" s="128">
        <f>VLOOKUP($B247&amp;"__wt",'SegEnds_Xtal_BW#'!$A:$Z,24,FALSE)</f>
        <v>56</v>
      </c>
      <c r="Y247" s="1">
        <f>VLOOKUP($B247&amp;"__wt",'SegEnds_Xtal_BW#'!$A:$Z,25,FALSE)</f>
        <v>47</v>
      </c>
      <c r="Z247" s="1">
        <f>VLOOKUP($B247&amp;"__wt",'SegEnds_Xtal_BW#'!$A:$Z,26,FALSE)</f>
        <v>64</v>
      </c>
      <c r="AA247" s="27" t="str">
        <f>VLOOKUP(A247,Classification!A:B,2,FALSE)</f>
        <v>A</v>
      </c>
      <c r="AB247" s="1">
        <f>VLOOKUP(A247,'SegEnds_NonXtal_Prot#'!A:AL,10,FALSE)-VLOOKUP(A247,'SegEnds_NonXtal_Prot#'!A:AL,4,FALSE)</f>
        <v>27</v>
      </c>
      <c r="AC247" s="1" t="e">
        <f>VLOOKUP(A247,'SegEnds_NonXtal_Prot#'!A:AL,10,FALSE)-VLOOKUP(A247,'SegEnds_NonXtal_Prot#'!A:AL,7,FALSE)</f>
        <v>#VALUE!</v>
      </c>
      <c r="AD247" s="1">
        <f>VLOOKUP(A247,'SegEnds_NonXtal_Prot#'!A:AL,13,FALSE)-VLOOKUP(A247,'SegEnds_NonXtal_Prot#'!A:AL,10,FALSE)</f>
        <v>20</v>
      </c>
      <c r="AE247" s="1">
        <f>VLOOKUP(A247,'SegEnds_NonXtal_Prot#'!A:AL,16,FALSE)-VLOOKUP(A247,'SegEnds_NonXtal_Prot#'!A:AL,10,FALSE)</f>
        <v>52</v>
      </c>
      <c r="AF247" s="1">
        <f>VLOOKUP(A247,'SegEnds_NonXtal_Prot#'!A:AL,22,FALSE)-VLOOKUP(A247,'SegEnds_NonXtal_Prot#'!A:AL,19,FALSE)</f>
        <v>20</v>
      </c>
      <c r="AG247" s="1">
        <f>VLOOKUP(A247,'SegEnds_NonXtal_Prot#'!A:AL,28,FALSE)-VLOOKUP(A247,'SegEnds_NonXtal_Prot#'!A:AL,25,FALSE)</f>
        <v>36</v>
      </c>
      <c r="AH247" s="1">
        <f>VLOOKUP(A247,'SegEnds_NonXtal_Prot#'!A:AL,28,FALSE)-VLOOKUP(A247,'SegEnds_NonXtal_Prot#'!A:AL,22,FALSE)</f>
        <v>62</v>
      </c>
      <c r="AI247" s="1">
        <f>VLOOKUP(A247,'SegEnds_NonXtal_Prot#'!A:AL,31,FALSE)-VLOOKUP(A247,'SegEnds_NonXtal_Prot#'!A:AL,28,FALSE)</f>
        <v>43</v>
      </c>
      <c r="AJ247" s="1">
        <f>VLOOKUP(A247,'SegEnds_NonXtal_Prot#'!A:AL,34,FALSE)-VLOOKUP(A247,'SegEnds_NonXtal_Prot#'!A:AL,31,FALSE)</f>
        <v>40</v>
      </c>
      <c r="AK247" s="1">
        <f>VLOOKUP(A247,'SegEnds_NonXtal_Prot#'!A:AL,37,FALSE)-VLOOKUP(A247,'SegEnds_NonXtal_Prot#'!A:AL,34,FALSE)</f>
        <v>10</v>
      </c>
      <c r="AL247" s="1" t="str">
        <f>IF(ISERROR(MATCH(A247,'SegEnds_Xtal_Prot#'!B:B, 0)), "NoXtal", "Xtal")</f>
        <v>Xtal</v>
      </c>
    </row>
    <row r="248" spans="1:38" x14ac:dyDescent="0.2">
      <c r="A248" s="1" t="s">
        <v>361</v>
      </c>
      <c r="B248" s="1" t="str">
        <f>VLOOKUP(A248,Xtal_Templ!A:B,2,FALSE)</f>
        <v>pe2r3_human</v>
      </c>
      <c r="C248" s="5">
        <f>VLOOKUP($B248&amp;"__wt",'SegEnds_Xtal_BW#'!$A:$Z,3,FALSE)</f>
        <v>36</v>
      </c>
      <c r="D248" s="108">
        <v>61</v>
      </c>
      <c r="E248" s="1" t="str">
        <f>VLOOKUP($B248&amp;"__wt",'SegEnds_Xtal_BW#'!$A:$Z,5,FALSE)</f>
        <v>-</v>
      </c>
      <c r="F248" s="1" t="str">
        <f>VLOOKUP($B248&amp;"__wt",'SegEnds_Xtal_BW#'!$A:$Z,6,FALSE)</f>
        <v>-</v>
      </c>
      <c r="G248" s="1">
        <v>37</v>
      </c>
      <c r="H248" s="12">
        <v>66</v>
      </c>
      <c r="I248" s="1">
        <f>VLOOKUP($B248&amp;"__wt",'SegEnds_Xtal_BW#'!$A:$Z,9,FALSE)</f>
        <v>48</v>
      </c>
      <c r="J248" s="1">
        <f>VLOOKUP($B248&amp;"__wt",'SegEnds_Xtal_BW#'!$A:$Z,10,FALSE)</f>
        <v>56</v>
      </c>
      <c r="K248" s="12">
        <v>21</v>
      </c>
      <c r="L248" s="1">
        <f>VLOOKUP($B248&amp;"__wt",'SegEnds_Xtal_BW#'!$A:$Z,12,FALSE)</f>
        <v>56</v>
      </c>
      <c r="M248" s="1">
        <f>VLOOKUP($B248&amp;"__wt",'SegEnds_Xtal_BW#'!$A:$Z,13,FALSE)</f>
        <v>50</v>
      </c>
      <c r="N248" s="12">
        <v>57</v>
      </c>
      <c r="O248" s="87">
        <f>VLOOKUP($B248&amp;"__wt",'SegEnds_Xtal_BW#'!$A:$Z,15,FALSE)</f>
        <v>38</v>
      </c>
      <c r="P248" s="1">
        <f>VLOOKUP($B248&amp;"__wt",'SegEnds_Xtal_BW#'!$A:$Z,16,FALSE)</f>
        <v>63</v>
      </c>
      <c r="Q248" s="108">
        <v>50</v>
      </c>
      <c r="R248" s="108">
        <v>52</v>
      </c>
      <c r="S248" s="1">
        <f>VLOOKUP($B248&amp;"__wt",'SegEnds_Xtal_BW#'!$A:$Z,19,FALSE)</f>
        <v>32</v>
      </c>
      <c r="T248" s="1">
        <f t="array" ref="T248">INDEX(ICL3_classA!$G$2:$G$37,MATCH(MIN(ABS(AI248-ICL3_classA!$F$2:$F$37)),ABS(AI248-ICL3_classA!$F$2:$F$37),0))</f>
        <v>74</v>
      </c>
      <c r="U248" s="1">
        <f t="array" ref="U248">INDEX(ICL3_classA!$H$2:$H$37,MATCH(MIN(ABS(AI248-ICL3_classA!$F$2:$F$37)),ABS(AI248-ICL3_classA!$F$2:$F$37),0))</f>
        <v>24</v>
      </c>
      <c r="V248" s="1">
        <v>61</v>
      </c>
      <c r="W248" s="1">
        <v>31</v>
      </c>
      <c r="X248" s="1">
        <f>VLOOKUP($B248&amp;"__wt",'SegEnds_Xtal_BW#'!$A:$Z,24,FALSE)</f>
        <v>53</v>
      </c>
      <c r="Y248" s="1">
        <f>VLOOKUP($B248&amp;"__wt",'SegEnds_Xtal_BW#'!$A:$Z,25,FALSE)</f>
        <v>44</v>
      </c>
      <c r="Z248" s="1">
        <f>VLOOKUP($B248&amp;"__wt",'SegEnds_Xtal_BW#'!$A:$Z,26,FALSE)</f>
        <v>66</v>
      </c>
      <c r="AA248" s="27" t="str">
        <f>VLOOKUP(A248,Classification!A:B,2,FALSE)</f>
        <v>A</v>
      </c>
      <c r="AB248" s="1">
        <f>VLOOKUP(A248,'SegEnds_NonXtal_Prot#'!A:AL,10,FALSE)-VLOOKUP(A248,'SegEnds_NonXtal_Prot#'!A:AL,4,FALSE)</f>
        <v>34</v>
      </c>
      <c r="AC248" s="1">
        <f>VLOOKUP(A248,'SegEnds_NonXtal_Prot#'!A:AL,10,FALSE)-VLOOKUP(A248,'SegEnds_NonXtal_Prot#'!A:AL,7,FALSE)</f>
        <v>20</v>
      </c>
      <c r="AD248" s="1">
        <f>VLOOKUP(A248,'SegEnds_NonXtal_Prot#'!A:AL,13,FALSE)-VLOOKUP(A248,'SegEnds_NonXtal_Prot#'!A:AL,10,FALSE)</f>
        <v>20</v>
      </c>
      <c r="AE248" s="1">
        <f>VLOOKUP(A248,'SegEnds_NonXtal_Prot#'!A:AL,16,FALSE)-VLOOKUP(A248,'SegEnds_NonXtal_Prot#'!A:AL,10,FALSE)</f>
        <v>51</v>
      </c>
      <c r="AF248" s="1">
        <f>VLOOKUP(A248,'SegEnds_NonXtal_Prot#'!A:AL,22,FALSE)-VLOOKUP(A248,'SegEnds_NonXtal_Prot#'!A:AL,19,FALSE)</f>
        <v>20</v>
      </c>
      <c r="AG248" s="1">
        <f>VLOOKUP(A248,'SegEnds_NonXtal_Prot#'!A:AL,28,FALSE)-VLOOKUP(A248,'SegEnds_NonXtal_Prot#'!A:AL,25,FALSE)</f>
        <v>28</v>
      </c>
      <c r="AH248" s="1">
        <f>VLOOKUP(A248,'SegEnds_NonXtal_Prot#'!A:AL,28,FALSE)-VLOOKUP(A248,'SegEnds_NonXtal_Prot#'!A:AL,22,FALSE)</f>
        <v>54</v>
      </c>
      <c r="AI248" s="1">
        <f>VLOOKUP(A248,'SegEnds_NonXtal_Prot#'!A:AL,31,FALSE)-VLOOKUP(A248,'SegEnds_NonXtal_Prot#'!A:AL,28,FALSE)</f>
        <v>96</v>
      </c>
      <c r="AJ248" s="1">
        <f>VLOOKUP(A248,'SegEnds_NonXtal_Prot#'!A:AL,34,FALSE)-VLOOKUP(A248,'SegEnds_NonXtal_Prot#'!A:AL,31,FALSE)</f>
        <v>36</v>
      </c>
      <c r="AK248" s="1">
        <f>VLOOKUP(A248,'SegEnds_NonXtal_Prot#'!A:AL,37,FALSE)-VLOOKUP(A248,'SegEnds_NonXtal_Prot#'!A:AL,34,FALSE)</f>
        <v>10</v>
      </c>
      <c r="AL248" s="1" t="str">
        <f>IF(ISERROR(MATCH(A248,'SegEnds_Xtal_Prot#'!B:B, 0)), "NoXtal", "Xtal")</f>
        <v>NoXtal</v>
      </c>
    </row>
    <row r="249" spans="1:38" x14ac:dyDescent="0.2">
      <c r="A249" s="1" t="s">
        <v>362</v>
      </c>
      <c r="B249" s="1" t="str">
        <f>VLOOKUP(A249,Xtal_Templ!A:B,2,FALSE)</f>
        <v>pe2r4_human</v>
      </c>
      <c r="C249" s="5">
        <f>VLOOKUP($B249&amp;"__wt",'SegEnds_Xtal_BW#'!$A:$Z,3,FALSE)</f>
        <v>33</v>
      </c>
      <c r="D249" s="1">
        <f>VLOOKUP($B249&amp;"__wt",'SegEnds_Xtal_BW#'!$A:$Z,4,FALSE)</f>
        <v>58</v>
      </c>
      <c r="E249" s="1" t="str">
        <f>VLOOKUP($B249&amp;"__wt",'SegEnds_Xtal_BW#'!$A:$Z,5,FALSE)</f>
        <v>-</v>
      </c>
      <c r="F249" s="1" t="str">
        <f>VLOOKUP($B249&amp;"__wt",'SegEnds_Xtal_BW#'!$A:$Z,6,FALSE)</f>
        <v>-</v>
      </c>
      <c r="G249" s="1">
        <v>37</v>
      </c>
      <c r="H249" s="12">
        <f>VLOOKUP($B249&amp;"__wt",'SegEnds_Xtal_BW#'!$A:$Z,8,FALSE)</f>
        <v>67</v>
      </c>
      <c r="I249" s="1" t="str">
        <f>VLOOKUP($B249&amp;"__wt",'SegEnds_Xtal_BW#'!$A:$Z,9,FALSE)</f>
        <v>-</v>
      </c>
      <c r="J249" s="1" t="str">
        <f>VLOOKUP($B249&amp;"__wt",'SegEnds_Xtal_BW#'!$A:$Z,10,FALSE)</f>
        <v>-</v>
      </c>
      <c r="K249" s="12">
        <v>18</v>
      </c>
      <c r="L249" s="1">
        <f>VLOOKUP($B249&amp;"__wt",'SegEnds_Xtal_BW#'!$A:$Z,12,FALSE)</f>
        <v>56</v>
      </c>
      <c r="M249" s="1">
        <f>VLOOKUP($B249&amp;"__wt",'SegEnds_Xtal_BW#'!$A:$Z,13,FALSE)</f>
        <v>50</v>
      </c>
      <c r="N249" s="12">
        <v>57</v>
      </c>
      <c r="O249" s="87">
        <f>VLOOKUP($B249&amp;"__wt",'SegEnds_Xtal_BW#'!$A:$Z,15,FALSE)</f>
        <v>38</v>
      </c>
      <c r="P249" s="1">
        <f>VLOOKUP($B249&amp;"__wt",'SegEnds_Xtal_BW#'!$A:$Z,16,FALSE)</f>
        <v>63</v>
      </c>
      <c r="Q249" s="1">
        <f>VLOOKUP($B249&amp;"__wt",'SegEnds_Xtal_BW#'!$A:$Z,17,FALSE)</f>
        <v>50</v>
      </c>
      <c r="R249" s="1">
        <f>VLOOKUP($B249&amp;"__wt",'SegEnds_Xtal_BW#'!$A:$Z,18,FALSE)</f>
        <v>52</v>
      </c>
      <c r="S249" s="1">
        <v>35</v>
      </c>
      <c r="T249" s="1">
        <f t="array" ref="T249">INDEX(ICL3_classA!$G$2:$G$37,MATCH(MIN(ABS(AI249-ICL3_classA!$F$2:$F$37)),ABS(AI249-ICL3_classA!$F$2:$F$37),0))</f>
        <v>76</v>
      </c>
      <c r="U249" s="1">
        <f t="array" ref="U249">INDEX(ICL3_classA!$H$2:$H$37,MATCH(MIN(ABS(AI249-ICL3_classA!$F$2:$F$37)),ABS(AI249-ICL3_classA!$F$2:$F$37),0))</f>
        <v>24</v>
      </c>
      <c r="V249" s="1">
        <v>61</v>
      </c>
      <c r="W249" s="1">
        <v>33</v>
      </c>
      <c r="X249" s="1">
        <f>VLOOKUP($B249&amp;"__wt",'SegEnds_Xtal_BW#'!$A:$Z,24,FALSE)</f>
        <v>56</v>
      </c>
      <c r="Y249" s="1">
        <f>VLOOKUP($B249&amp;"__wt",'SegEnds_Xtal_BW#'!$A:$Z,25,FALSE)</f>
        <v>47</v>
      </c>
      <c r="Z249" s="1">
        <f>VLOOKUP($B249&amp;"__wt",'SegEnds_Xtal_BW#'!$A:$Z,26,FALSE)</f>
        <v>60</v>
      </c>
      <c r="AA249" s="27" t="str">
        <f>VLOOKUP(A249,Classification!A:B,2,FALSE)</f>
        <v>A</v>
      </c>
      <c r="AB249" s="1">
        <f>VLOOKUP(A249,'SegEnds_NonXtal_Prot#'!A:AL,10,FALSE)-VLOOKUP(A249,'SegEnds_NonXtal_Prot#'!A:AL,4,FALSE)</f>
        <v>39</v>
      </c>
      <c r="AC249" s="1">
        <f>VLOOKUP(A249,'SegEnds_NonXtal_Prot#'!A:AL,10,FALSE)-VLOOKUP(A249,'SegEnds_NonXtal_Prot#'!A:AL,7,FALSE)</f>
        <v>20</v>
      </c>
      <c r="AD249" s="1" t="e">
        <f>VLOOKUP(A249,'SegEnds_NonXtal_Prot#'!A:AL,13,FALSE)-VLOOKUP(A249,'SegEnds_NonXtal_Prot#'!A:AL,10,FALSE)</f>
        <v>#VALUE!</v>
      </c>
      <c r="AE249" s="1">
        <f>VLOOKUP(A249,'SegEnds_NonXtal_Prot#'!A:AL,16,FALSE)-VLOOKUP(A249,'SegEnds_NonXtal_Prot#'!A:AL,10,FALSE)</f>
        <v>56</v>
      </c>
      <c r="AF249" s="1">
        <f>VLOOKUP(A249,'SegEnds_NonXtal_Prot#'!A:AL,22,FALSE)-VLOOKUP(A249,'SegEnds_NonXtal_Prot#'!A:AL,19,FALSE)</f>
        <v>20</v>
      </c>
      <c r="AG249" s="1">
        <f>VLOOKUP(A249,'SegEnds_NonXtal_Prot#'!A:AL,28,FALSE)-VLOOKUP(A249,'SegEnds_NonXtal_Prot#'!A:AL,25,FALSE)</f>
        <v>22</v>
      </c>
      <c r="AH249" s="1">
        <f>VLOOKUP(A249,'SegEnds_NonXtal_Prot#'!A:AL,28,FALSE)-VLOOKUP(A249,'SegEnds_NonXtal_Prot#'!A:AL,22,FALSE)</f>
        <v>48</v>
      </c>
      <c r="AI249" s="1">
        <f>VLOOKUP(A249,'SegEnds_NonXtal_Prot#'!A:AL,31,FALSE)-VLOOKUP(A249,'SegEnds_NonXtal_Prot#'!A:AL,28,FALSE)</f>
        <v>70</v>
      </c>
      <c r="AJ249" s="1">
        <f>VLOOKUP(A249,'SegEnds_NonXtal_Prot#'!A:AL,34,FALSE)-VLOOKUP(A249,'SegEnds_NonXtal_Prot#'!A:AL,31,FALSE)</f>
        <v>33</v>
      </c>
      <c r="AK249" s="1">
        <f>VLOOKUP(A249,'SegEnds_NonXtal_Prot#'!A:AL,37,FALSE)-VLOOKUP(A249,'SegEnds_NonXtal_Prot#'!A:AL,34,FALSE)</f>
        <v>10</v>
      </c>
      <c r="AL249" s="1" t="str">
        <f>IF(ISERROR(MATCH(A249,'SegEnds_Xtal_Prot#'!B:B, 0)), "NoXtal", "Xtal")</f>
        <v>NoXtal</v>
      </c>
    </row>
    <row r="250" spans="1:38" x14ac:dyDescent="0.2">
      <c r="A250" s="1" t="s">
        <v>363</v>
      </c>
      <c r="B250" s="1" t="str">
        <f>VLOOKUP(A250,Xtal_Templ!A:B,2,FALSE)</f>
        <v>pe2r3_human</v>
      </c>
      <c r="C250" s="5">
        <f>VLOOKUP($B250&amp;"__wt",'SegEnds_Xtal_BW#'!$A:$Z,3,FALSE)</f>
        <v>36</v>
      </c>
      <c r="D250" s="1">
        <f>VLOOKUP($B250&amp;"__wt",'SegEnds_Xtal_BW#'!$A:$Z,4,FALSE)</f>
        <v>62</v>
      </c>
      <c r="E250" s="1" t="str">
        <f>VLOOKUP($B250&amp;"__wt",'SegEnds_Xtal_BW#'!$A:$Z,5,FALSE)</f>
        <v>-</v>
      </c>
      <c r="F250" s="1" t="str">
        <f>VLOOKUP($B250&amp;"__wt",'SegEnds_Xtal_BW#'!$A:$Z,6,FALSE)</f>
        <v>-</v>
      </c>
      <c r="G250" s="1">
        <v>37</v>
      </c>
      <c r="H250" s="12">
        <f>VLOOKUP($B250&amp;"__wt",'SegEnds_Xtal_BW#'!$A:$Z,8,FALSE)</f>
        <v>68</v>
      </c>
      <c r="I250" s="1">
        <v>49</v>
      </c>
      <c r="J250" s="1">
        <f>VLOOKUP($B250&amp;"__wt",'SegEnds_Xtal_BW#'!$A:$Z,10,FALSE)</f>
        <v>56</v>
      </c>
      <c r="K250" s="12">
        <v>18</v>
      </c>
      <c r="L250" s="1">
        <f>VLOOKUP($B250&amp;"__wt",'SegEnds_Xtal_BW#'!$A:$Z,12,FALSE)</f>
        <v>56</v>
      </c>
      <c r="M250" s="1">
        <f>VLOOKUP($B250&amp;"__wt",'SegEnds_Xtal_BW#'!$A:$Z,13,FALSE)</f>
        <v>50</v>
      </c>
      <c r="N250" s="12">
        <v>57</v>
      </c>
      <c r="O250" s="87">
        <f>VLOOKUP($B250&amp;"__wt",'SegEnds_Xtal_BW#'!$A:$Z,15,FALSE)</f>
        <v>38</v>
      </c>
      <c r="P250" s="1">
        <f>VLOOKUP($B250&amp;"__wt",'SegEnds_Xtal_BW#'!$A:$Z,16,FALSE)</f>
        <v>63</v>
      </c>
      <c r="Q250" s="1">
        <f>VLOOKUP($B250&amp;"__wt",'SegEnds_Xtal_BW#'!$A:$Z,17,FALSE)</f>
        <v>50</v>
      </c>
      <c r="R250" s="1">
        <f>VLOOKUP($B250&amp;"__wt",'SegEnds_Xtal_BW#'!$A:$Z,18,FALSE)</f>
        <v>52</v>
      </c>
      <c r="S250" s="1">
        <f>VLOOKUP($B250&amp;"__wt",'SegEnds_Xtal_BW#'!$A:$Z,19,FALSE)</f>
        <v>32</v>
      </c>
      <c r="T250" s="1">
        <f t="array" ref="T250">INDEX(ICL3_classA!$G$2:$G$37,MATCH(MIN(ABS(AI250-ICL3_classA!$F$2:$F$37)),ABS(AI250-ICL3_classA!$F$2:$F$37),0))</f>
        <v>72</v>
      </c>
      <c r="U250" s="1">
        <f t="array" ref="U250">INDEX(ICL3_classA!$H$2:$H$37,MATCH(MIN(ABS(AI250-ICL3_classA!$F$2:$F$37)),ABS(AI250-ICL3_classA!$F$2:$F$37),0))</f>
        <v>24</v>
      </c>
      <c r="V250" s="1">
        <v>64</v>
      </c>
      <c r="W250" s="1">
        <v>24</v>
      </c>
      <c r="X250" s="1">
        <f>VLOOKUP($B250&amp;"__wt",'SegEnds_Xtal_BW#'!$A:$Z,24,FALSE)</f>
        <v>53</v>
      </c>
      <c r="Y250" s="1">
        <f>VLOOKUP($B250&amp;"__wt",'SegEnds_Xtal_BW#'!$A:$Z,25,FALSE)</f>
        <v>44</v>
      </c>
      <c r="Z250" s="1">
        <f>VLOOKUP($B250&amp;"__wt",'SegEnds_Xtal_BW#'!$A:$Z,26,FALSE)</f>
        <v>66</v>
      </c>
      <c r="AA250" s="27" t="str">
        <f>VLOOKUP(A250,Classification!A:B,2,FALSE)</f>
        <v>A</v>
      </c>
      <c r="AB250" s="1">
        <f>VLOOKUP(A250,'SegEnds_NonXtal_Prot#'!A:AL,10,FALSE)-VLOOKUP(A250,'SegEnds_NonXtal_Prot#'!A:AL,4,FALSE)</f>
        <v>33</v>
      </c>
      <c r="AC250" s="1" t="e">
        <f>VLOOKUP(A250,'SegEnds_NonXtal_Prot#'!A:AL,10,FALSE)-VLOOKUP(A250,'SegEnds_NonXtal_Prot#'!A:AL,7,FALSE)</f>
        <v>#VALUE!</v>
      </c>
      <c r="AD250" s="1">
        <f>VLOOKUP(A250,'SegEnds_NonXtal_Prot#'!A:AL,13,FALSE)-VLOOKUP(A250,'SegEnds_NonXtal_Prot#'!A:AL,10,FALSE)</f>
        <v>21</v>
      </c>
      <c r="AE250" s="1">
        <f>VLOOKUP(A250,'SegEnds_NonXtal_Prot#'!A:AL,16,FALSE)-VLOOKUP(A250,'SegEnds_NonXtal_Prot#'!A:AL,10,FALSE)</f>
        <v>56</v>
      </c>
      <c r="AF250" s="1">
        <f>VLOOKUP(A250,'SegEnds_NonXtal_Prot#'!A:AL,22,FALSE)-VLOOKUP(A250,'SegEnds_NonXtal_Prot#'!A:AL,19,FALSE)</f>
        <v>20</v>
      </c>
      <c r="AG250" s="1">
        <f>VLOOKUP(A250,'SegEnds_NonXtal_Prot#'!A:AL,28,FALSE)-VLOOKUP(A250,'SegEnds_NonXtal_Prot#'!A:AL,25,FALSE)</f>
        <v>35</v>
      </c>
      <c r="AH250" s="1">
        <f>VLOOKUP(A250,'SegEnds_NonXtal_Prot#'!A:AL,28,FALSE)-VLOOKUP(A250,'SegEnds_NonXtal_Prot#'!A:AL,22,FALSE)</f>
        <v>61</v>
      </c>
      <c r="AI250" s="1">
        <f>VLOOKUP(A250,'SegEnds_NonXtal_Prot#'!A:AL,31,FALSE)-VLOOKUP(A250,'SegEnds_NonXtal_Prot#'!A:AL,28,FALSE)</f>
        <v>54</v>
      </c>
      <c r="AJ250" s="1">
        <f>VLOOKUP(A250,'SegEnds_NonXtal_Prot#'!A:AL,34,FALSE)-VLOOKUP(A250,'SegEnds_NonXtal_Prot#'!A:AL,31,FALSE)</f>
        <v>46</v>
      </c>
      <c r="AK250" s="1">
        <f>VLOOKUP(A250,'SegEnds_NonXtal_Prot#'!A:AL,37,FALSE)-VLOOKUP(A250,'SegEnds_NonXtal_Prot#'!A:AL,34,FALSE)</f>
        <v>10</v>
      </c>
      <c r="AL250" s="1" t="str">
        <f>IF(ISERROR(MATCH(A250,'SegEnds_Xtal_Prot#'!B:B, 0)), "NoXtal", "Xtal")</f>
        <v>Xtal</v>
      </c>
    </row>
    <row r="251" spans="1:38" x14ac:dyDescent="0.2">
      <c r="A251" s="1" t="s">
        <v>364</v>
      </c>
      <c r="B251" s="1" t="str">
        <f>VLOOKUP(A251,Xtal_Templ!A:B,2,FALSE)</f>
        <v>pe2r4_human</v>
      </c>
      <c r="C251" s="5">
        <f>VLOOKUP($B251&amp;"__wt",'SegEnds_Xtal_BW#'!$A:$Z,3,FALSE)</f>
        <v>33</v>
      </c>
      <c r="D251" s="1">
        <f>VLOOKUP($B251&amp;"__wt",'SegEnds_Xtal_BW#'!$A:$Z,4,FALSE)</f>
        <v>58</v>
      </c>
      <c r="E251" s="1" t="str">
        <f>VLOOKUP($B251&amp;"__wt",'SegEnds_Xtal_BW#'!$A:$Z,5,FALSE)</f>
        <v>-</v>
      </c>
      <c r="F251" s="1" t="str">
        <f>VLOOKUP($B251&amp;"__wt",'SegEnds_Xtal_BW#'!$A:$Z,6,FALSE)</f>
        <v>-</v>
      </c>
      <c r="G251" s="1">
        <v>37</v>
      </c>
      <c r="H251" s="12">
        <f>VLOOKUP($B251&amp;"__wt",'SegEnds_Xtal_BW#'!$A:$Z,8,FALSE)</f>
        <v>67</v>
      </c>
      <c r="I251" s="1" t="str">
        <f>VLOOKUP($B251&amp;"__wt",'SegEnds_Xtal_BW#'!$A:$Z,9,FALSE)</f>
        <v>-</v>
      </c>
      <c r="J251" s="1" t="str">
        <f>VLOOKUP($B251&amp;"__wt",'SegEnds_Xtal_BW#'!$A:$Z,10,FALSE)</f>
        <v>-</v>
      </c>
      <c r="K251" s="12">
        <v>21</v>
      </c>
      <c r="L251" s="1">
        <f>VLOOKUP($B251&amp;"__wt",'SegEnds_Xtal_BW#'!$A:$Z,12,FALSE)</f>
        <v>56</v>
      </c>
      <c r="M251" s="1">
        <f>VLOOKUP($B251&amp;"__wt",'SegEnds_Xtal_BW#'!$A:$Z,13,FALSE)</f>
        <v>50</v>
      </c>
      <c r="N251" s="12">
        <f>VLOOKUP($B251&amp;"__wt",'SegEnds_Xtal_BW#'!$A:$Z,14,FALSE)</f>
        <v>57</v>
      </c>
      <c r="O251" s="87">
        <v>38</v>
      </c>
      <c r="P251" s="1">
        <f>VLOOKUP($B251&amp;"__wt",'SegEnds_Xtal_BW#'!$A:$Z,16,FALSE)</f>
        <v>63</v>
      </c>
      <c r="Q251" s="1">
        <f>VLOOKUP($B251&amp;"__wt",'SegEnds_Xtal_BW#'!$A:$Z,17,FALSE)</f>
        <v>50</v>
      </c>
      <c r="R251" s="1">
        <f>VLOOKUP($B251&amp;"__wt",'SegEnds_Xtal_BW#'!$A:$Z,18,FALSE)</f>
        <v>52</v>
      </c>
      <c r="S251" s="1">
        <f>VLOOKUP($B251&amp;"__wt",'SegEnds_Xtal_BW#'!$A:$Z,19,FALSE)</f>
        <v>31</v>
      </c>
      <c r="T251" s="1">
        <f t="array" ref="T251">INDEX(ICL3_classA!$G$2:$G$37,MATCH(MIN(ABS(AI251-ICL3_classA!$F$2:$F$37)),ABS(AI251-ICL3_classA!$F$2:$F$37),0))</f>
        <v>76</v>
      </c>
      <c r="U251" s="1">
        <f t="array" ref="U251">INDEX(ICL3_classA!$H$2:$H$37,MATCH(MIN(ABS(AI251-ICL3_classA!$F$2:$F$37)),ABS(AI251-ICL3_classA!$F$2:$F$37),0))</f>
        <v>24</v>
      </c>
      <c r="V251" s="1">
        <v>61</v>
      </c>
      <c r="W251" s="1">
        <v>28</v>
      </c>
      <c r="X251" s="1">
        <f>VLOOKUP($B251&amp;"__wt",'SegEnds_Xtal_BW#'!$A:$Z,24,FALSE)</f>
        <v>56</v>
      </c>
      <c r="Y251" s="1">
        <f>VLOOKUP($B251&amp;"__wt",'SegEnds_Xtal_BW#'!$A:$Z,25,FALSE)</f>
        <v>47</v>
      </c>
      <c r="Z251" s="1">
        <f>VLOOKUP($B251&amp;"__wt",'SegEnds_Xtal_BW#'!$A:$Z,26,FALSE)</f>
        <v>60</v>
      </c>
      <c r="AA251" s="27" t="str">
        <f>VLOOKUP(A251,Classification!A:B,2,FALSE)</f>
        <v>A</v>
      </c>
      <c r="AB251" s="1">
        <f>VLOOKUP(A251,'SegEnds_NonXtal_Prot#'!A:AL,10,FALSE)-VLOOKUP(A251,'SegEnds_NonXtal_Prot#'!A:AL,4,FALSE)</f>
        <v>30</v>
      </c>
      <c r="AC251" s="1" t="e">
        <f>VLOOKUP(A251,'SegEnds_NonXtal_Prot#'!A:AL,10,FALSE)-VLOOKUP(A251,'SegEnds_NonXtal_Prot#'!A:AL,7,FALSE)</f>
        <v>#VALUE!</v>
      </c>
      <c r="AD251" s="1" t="e">
        <f>VLOOKUP(A251,'SegEnds_NonXtal_Prot#'!A:AL,13,FALSE)-VLOOKUP(A251,'SegEnds_NonXtal_Prot#'!A:AL,10,FALSE)</f>
        <v>#VALUE!</v>
      </c>
      <c r="AE251" s="1">
        <f>VLOOKUP(A251,'SegEnds_NonXtal_Prot#'!A:AL,16,FALSE)-VLOOKUP(A251,'SegEnds_NonXtal_Prot#'!A:AL,10,FALSE)</f>
        <v>52</v>
      </c>
      <c r="AF251" s="1">
        <f>VLOOKUP(A251,'SegEnds_NonXtal_Prot#'!A:AL,22,FALSE)-VLOOKUP(A251,'SegEnds_NonXtal_Prot#'!A:AL,19,FALSE)</f>
        <v>20</v>
      </c>
      <c r="AG251" s="1">
        <f>VLOOKUP(A251,'SegEnds_NonXtal_Prot#'!A:AL,28,FALSE)-VLOOKUP(A251,'SegEnds_NonXtal_Prot#'!A:AL,25,FALSE)</f>
        <v>27</v>
      </c>
      <c r="AH251" s="1">
        <f>VLOOKUP(A251,'SegEnds_NonXtal_Prot#'!A:AL,28,FALSE)-VLOOKUP(A251,'SegEnds_NonXtal_Prot#'!A:AL,22,FALSE)</f>
        <v>53</v>
      </c>
      <c r="AI251" s="1">
        <f>VLOOKUP(A251,'SegEnds_NonXtal_Prot#'!A:AL,31,FALSE)-VLOOKUP(A251,'SegEnds_NonXtal_Prot#'!A:AL,28,FALSE)</f>
        <v>90</v>
      </c>
      <c r="AJ251" s="1">
        <f>VLOOKUP(A251,'SegEnds_NonXtal_Prot#'!A:AL,34,FALSE)-VLOOKUP(A251,'SegEnds_NonXtal_Prot#'!A:AL,31,FALSE)</f>
        <v>39</v>
      </c>
      <c r="AK251" s="1">
        <f>VLOOKUP(A251,'SegEnds_NonXtal_Prot#'!A:AL,37,FALSE)-VLOOKUP(A251,'SegEnds_NonXtal_Prot#'!A:AL,34,FALSE)</f>
        <v>10</v>
      </c>
      <c r="AL251" s="1" t="str">
        <f>IF(ISERROR(MATCH(A251,'SegEnds_Xtal_Prot#'!B:B, 0)), "NoXtal", "Xtal")</f>
        <v>Xtal</v>
      </c>
    </row>
    <row r="252" spans="1:38" x14ac:dyDescent="0.2">
      <c r="A252" s="1" t="s">
        <v>365</v>
      </c>
      <c r="B252" s="1" t="str">
        <f>VLOOKUP(A252,Xtal_Templ!A:B,2,FALSE)</f>
        <v>pe2r3_human</v>
      </c>
      <c r="C252" s="5">
        <f>VLOOKUP($B252&amp;"__wt",'SegEnds_Xtal_BW#'!$A:$Z,3,FALSE)</f>
        <v>36</v>
      </c>
      <c r="D252" s="108">
        <v>61</v>
      </c>
      <c r="E252" s="1" t="str">
        <f>VLOOKUP($B252&amp;"__wt",'SegEnds_Xtal_BW#'!$A:$Z,5,FALSE)</f>
        <v>-</v>
      </c>
      <c r="F252" s="1" t="str">
        <f>VLOOKUP($B252&amp;"__wt",'SegEnds_Xtal_BW#'!$A:$Z,6,FALSE)</f>
        <v>-</v>
      </c>
      <c r="G252" s="1">
        <v>37</v>
      </c>
      <c r="H252" s="12">
        <f>VLOOKUP($B252&amp;"__wt",'SegEnds_Xtal_BW#'!$A:$Z,8,FALSE)</f>
        <v>68</v>
      </c>
      <c r="I252" s="1">
        <f>VLOOKUP($B252&amp;"__wt",'SegEnds_Xtal_BW#'!$A:$Z,9,FALSE)</f>
        <v>48</v>
      </c>
      <c r="J252" s="1">
        <f>VLOOKUP($B252&amp;"__wt",'SegEnds_Xtal_BW#'!$A:$Z,10,FALSE)</f>
        <v>56</v>
      </c>
      <c r="K252" s="12">
        <v>18</v>
      </c>
      <c r="L252" s="1">
        <f>VLOOKUP($B252&amp;"__wt",'SegEnds_Xtal_BW#'!$A:$Z,12,FALSE)</f>
        <v>56</v>
      </c>
      <c r="M252" s="1">
        <f>VLOOKUP($B252&amp;"__wt",'SegEnds_Xtal_BW#'!$A:$Z,13,FALSE)</f>
        <v>50</v>
      </c>
      <c r="N252" s="12">
        <v>57</v>
      </c>
      <c r="O252" s="87">
        <f>VLOOKUP($B252&amp;"__wt",'SegEnds_Xtal_BW#'!$A:$Z,15,FALSE)</f>
        <v>38</v>
      </c>
      <c r="P252" s="1">
        <f>VLOOKUP($B252&amp;"__wt",'SegEnds_Xtal_BW#'!$A:$Z,16,FALSE)</f>
        <v>63</v>
      </c>
      <c r="Q252" s="108">
        <v>50</v>
      </c>
      <c r="R252" s="108">
        <v>52</v>
      </c>
      <c r="S252" s="1">
        <v>35</v>
      </c>
      <c r="T252" s="1">
        <f t="array" ref="T252">INDEX(ICL3_classA!$G$2:$G$37,MATCH(MIN(ABS(AI252-ICL3_classA!$F$2:$F$37)),ABS(AI252-ICL3_classA!$F$2:$F$37),0))</f>
        <v>72</v>
      </c>
      <c r="U252" s="1">
        <f t="array" ref="U252">INDEX(ICL3_classA!$H$2:$H$37,MATCH(MIN(ABS(AI252-ICL3_classA!$F$2:$F$37)),ABS(AI252-ICL3_classA!$F$2:$F$37),0))</f>
        <v>29</v>
      </c>
      <c r="V252" s="1">
        <v>61</v>
      </c>
      <c r="W252" s="1">
        <v>31</v>
      </c>
      <c r="X252" s="108">
        <v>56</v>
      </c>
      <c r="Y252" s="108">
        <v>47</v>
      </c>
      <c r="Z252" s="1">
        <f>VLOOKUP($B252&amp;"__wt",'SegEnds_Xtal_BW#'!$A:$Z,26,FALSE)</f>
        <v>66</v>
      </c>
      <c r="AA252" s="27" t="str">
        <f>VLOOKUP(A252,Classification!A:B,2,FALSE)</f>
        <v>A</v>
      </c>
      <c r="AB252" s="1">
        <f>VLOOKUP(A252,'SegEnds_NonXtal_Prot#'!A:AL,10,FALSE)-VLOOKUP(A252,'SegEnds_NonXtal_Prot#'!A:AL,4,FALSE)</f>
        <v>33</v>
      </c>
      <c r="AC252" s="1">
        <f>VLOOKUP(A252,'SegEnds_NonXtal_Prot#'!A:AL,10,FALSE)-VLOOKUP(A252,'SegEnds_NonXtal_Prot#'!A:AL,7,FALSE)</f>
        <v>19</v>
      </c>
      <c r="AD252" s="1">
        <f>VLOOKUP(A252,'SegEnds_NonXtal_Prot#'!A:AL,13,FALSE)-VLOOKUP(A252,'SegEnds_NonXtal_Prot#'!A:AL,10,FALSE)</f>
        <v>21</v>
      </c>
      <c r="AE252" s="1">
        <f>VLOOKUP(A252,'SegEnds_NonXtal_Prot#'!A:AL,16,FALSE)-VLOOKUP(A252,'SegEnds_NonXtal_Prot#'!A:AL,10,FALSE)</f>
        <v>56</v>
      </c>
      <c r="AF252" s="1">
        <f>VLOOKUP(A252,'SegEnds_NonXtal_Prot#'!A:AL,22,FALSE)-VLOOKUP(A252,'SegEnds_NonXtal_Prot#'!A:AL,19,FALSE)</f>
        <v>20</v>
      </c>
      <c r="AG252" s="1">
        <f>VLOOKUP(A252,'SegEnds_NonXtal_Prot#'!A:AL,28,FALSE)-VLOOKUP(A252,'SegEnds_NonXtal_Prot#'!A:AL,25,FALSE)</f>
        <v>28</v>
      </c>
      <c r="AH252" s="1">
        <f>VLOOKUP(A252,'SegEnds_NonXtal_Prot#'!A:AL,28,FALSE)-VLOOKUP(A252,'SegEnds_NonXtal_Prot#'!A:AL,22,FALSE)</f>
        <v>54</v>
      </c>
      <c r="AI252" s="1">
        <f>VLOOKUP(A252,'SegEnds_NonXtal_Prot#'!A:AL,31,FALSE)-VLOOKUP(A252,'SegEnds_NonXtal_Prot#'!A:AL,28,FALSE)</f>
        <v>50</v>
      </c>
      <c r="AJ252" s="1">
        <f>VLOOKUP(A252,'SegEnds_NonXtal_Prot#'!A:AL,34,FALSE)-VLOOKUP(A252,'SegEnds_NonXtal_Prot#'!A:AL,31,FALSE)</f>
        <v>37</v>
      </c>
      <c r="AK252" s="1">
        <f>VLOOKUP(A252,'SegEnds_NonXtal_Prot#'!A:AL,37,FALSE)-VLOOKUP(A252,'SegEnds_NonXtal_Prot#'!A:AL,34,FALSE)</f>
        <v>10</v>
      </c>
      <c r="AL252" s="1" t="str">
        <f>IF(ISERROR(MATCH(A252,'SegEnds_Xtal_Prot#'!B:B, 0)), "NoXtal", "Xtal")</f>
        <v>NoXtal</v>
      </c>
    </row>
    <row r="253" spans="1:38" x14ac:dyDescent="0.2">
      <c r="A253" s="1" t="s">
        <v>366</v>
      </c>
      <c r="B253" s="1" t="str">
        <f>VLOOKUP(A253,Xtal_Templ!A:B,2,FALSE)</f>
        <v>pe2r4_human</v>
      </c>
      <c r="C253" s="5">
        <f>VLOOKUP($B253&amp;"__wt",'SegEnds_Xtal_BW#'!$A:$Z,3,FALSE)</f>
        <v>33</v>
      </c>
      <c r="D253" s="1">
        <f>VLOOKUP($B253&amp;"__wt",'SegEnds_Xtal_BW#'!$A:$Z,4,FALSE)</f>
        <v>58</v>
      </c>
      <c r="E253" s="1" t="str">
        <f>VLOOKUP($B253&amp;"__wt",'SegEnds_Xtal_BW#'!$A:$Z,5,FALSE)</f>
        <v>-</v>
      </c>
      <c r="F253" s="1" t="str">
        <f>VLOOKUP($B253&amp;"__wt",'SegEnds_Xtal_BW#'!$A:$Z,6,FALSE)</f>
        <v>-</v>
      </c>
      <c r="G253" s="1">
        <v>37</v>
      </c>
      <c r="H253" s="12">
        <v>67</v>
      </c>
      <c r="I253" s="1" t="str">
        <f>VLOOKUP($B253&amp;"__wt",'SegEnds_Xtal_BW#'!$A:$Z,9,FALSE)</f>
        <v>-</v>
      </c>
      <c r="J253" s="1" t="str">
        <f>VLOOKUP($B253&amp;"__wt",'SegEnds_Xtal_BW#'!$A:$Z,10,FALSE)</f>
        <v>-</v>
      </c>
      <c r="K253" s="12">
        <v>18</v>
      </c>
      <c r="L253" s="1">
        <f>VLOOKUP($B253&amp;"__wt",'SegEnds_Xtal_BW#'!$A:$Z,12,FALSE)</f>
        <v>56</v>
      </c>
      <c r="M253" s="1">
        <f>VLOOKUP($B253&amp;"__wt",'SegEnds_Xtal_BW#'!$A:$Z,13,FALSE)</f>
        <v>50</v>
      </c>
      <c r="N253" s="12">
        <v>57</v>
      </c>
      <c r="O253" s="87">
        <f>VLOOKUP($B253&amp;"__wt",'SegEnds_Xtal_BW#'!$A:$Z,15,FALSE)</f>
        <v>38</v>
      </c>
      <c r="P253" s="1">
        <f>VLOOKUP($B253&amp;"__wt",'SegEnds_Xtal_BW#'!$A:$Z,16,FALSE)</f>
        <v>63</v>
      </c>
      <c r="Q253" s="1">
        <f>VLOOKUP($B253&amp;"__wt",'SegEnds_Xtal_BW#'!$A:$Z,17,FALSE)</f>
        <v>50</v>
      </c>
      <c r="R253" s="1">
        <f>VLOOKUP($B253&amp;"__wt",'SegEnds_Xtal_BW#'!$A:$Z,18,FALSE)</f>
        <v>52</v>
      </c>
      <c r="S253" s="1">
        <f>VLOOKUP($B253&amp;"__wt",'SegEnds_Xtal_BW#'!$A:$Z,19,FALSE)</f>
        <v>31</v>
      </c>
      <c r="T253" s="1">
        <f t="array" ref="T253">INDEX(ICL3_classA!$G$2:$G$37,MATCH(MIN(ABS(AI253-ICL3_classA!$F$2:$F$37)),ABS(AI253-ICL3_classA!$F$2:$F$37),0))</f>
        <v>73</v>
      </c>
      <c r="U253" s="1">
        <f t="array" ref="U253">INDEX(ICL3_classA!$H$2:$H$37,MATCH(MIN(ABS(AI253-ICL3_classA!$F$2:$F$37)),ABS(AI253-ICL3_classA!$F$2:$F$37),0))</f>
        <v>22</v>
      </c>
      <c r="V253" s="1">
        <v>61</v>
      </c>
      <c r="W253" s="1">
        <v>31</v>
      </c>
      <c r="X253" s="108">
        <v>56</v>
      </c>
      <c r="Y253" s="1">
        <f>VLOOKUP($B253&amp;"__wt",'SegEnds_Xtal_BW#'!$A:$Z,25,FALSE)</f>
        <v>47</v>
      </c>
      <c r="Z253" s="1">
        <f>VLOOKUP($B253&amp;"__wt",'SegEnds_Xtal_BW#'!$A:$Z,26,FALSE)</f>
        <v>60</v>
      </c>
      <c r="AA253" s="27" t="str">
        <f>VLOOKUP(A253,Classification!A:B,2,FALSE)</f>
        <v>A</v>
      </c>
      <c r="AB253" s="1">
        <f>VLOOKUP(A253,'SegEnds_NonXtal_Prot#'!A:AL,10,FALSE)-VLOOKUP(A253,'SegEnds_NonXtal_Prot#'!A:AL,4,FALSE)</f>
        <v>29</v>
      </c>
      <c r="AC253" s="1" t="e">
        <f>VLOOKUP(A253,'SegEnds_NonXtal_Prot#'!A:AL,10,FALSE)-VLOOKUP(A253,'SegEnds_NonXtal_Prot#'!A:AL,7,FALSE)</f>
        <v>#VALUE!</v>
      </c>
      <c r="AD253" s="1" t="e">
        <f>VLOOKUP(A253,'SegEnds_NonXtal_Prot#'!A:AL,13,FALSE)-VLOOKUP(A253,'SegEnds_NonXtal_Prot#'!A:AL,10,FALSE)</f>
        <v>#VALUE!</v>
      </c>
      <c r="AE253" s="1">
        <f>VLOOKUP(A253,'SegEnds_NonXtal_Prot#'!A:AL,16,FALSE)-VLOOKUP(A253,'SegEnds_NonXtal_Prot#'!A:AL,10,FALSE)</f>
        <v>57</v>
      </c>
      <c r="AF253" s="1">
        <f>VLOOKUP(A253,'SegEnds_NonXtal_Prot#'!A:AL,22,FALSE)-VLOOKUP(A253,'SegEnds_NonXtal_Prot#'!A:AL,19,FALSE)</f>
        <v>20</v>
      </c>
      <c r="AG253" s="1">
        <f>VLOOKUP(A253,'SegEnds_NonXtal_Prot#'!A:AL,28,FALSE)-VLOOKUP(A253,'SegEnds_NonXtal_Prot#'!A:AL,25,FALSE)</f>
        <v>27</v>
      </c>
      <c r="AH253" s="1">
        <f>VLOOKUP(A253,'SegEnds_NonXtal_Prot#'!A:AL,28,FALSE)-VLOOKUP(A253,'SegEnds_NonXtal_Prot#'!A:AL,22,FALSE)</f>
        <v>53</v>
      </c>
      <c r="AI253" s="1">
        <f>VLOOKUP(A253,'SegEnds_NonXtal_Prot#'!A:AL,31,FALSE)-VLOOKUP(A253,'SegEnds_NonXtal_Prot#'!A:AL,28,FALSE)</f>
        <v>57</v>
      </c>
      <c r="AJ253" s="1">
        <f>VLOOKUP(A253,'SegEnds_NonXtal_Prot#'!A:AL,34,FALSE)-VLOOKUP(A253,'SegEnds_NonXtal_Prot#'!A:AL,31,FALSE)</f>
        <v>35</v>
      </c>
      <c r="AK253" s="1">
        <f>VLOOKUP(A253,'SegEnds_NonXtal_Prot#'!A:AL,37,FALSE)-VLOOKUP(A253,'SegEnds_NonXtal_Prot#'!A:AL,34,FALSE)</f>
        <v>10</v>
      </c>
      <c r="AL253" s="1" t="str">
        <f>IF(ISERROR(MATCH(A253,'SegEnds_Xtal_Prot#'!B:B, 0)), "NoXtal", "Xtal")</f>
        <v>NoXtal</v>
      </c>
    </row>
    <row r="254" spans="1:38" x14ac:dyDescent="0.2">
      <c r="A254" s="4" t="s">
        <v>369</v>
      </c>
      <c r="B254" s="4" t="str">
        <f>VLOOKUP(A254,Xtal_Templ!A:B,2,FALSE)</f>
        <v>ox2r_human</v>
      </c>
      <c r="C254" s="5">
        <f>VLOOKUP($B254&amp;"__wt",'SegEnds_Xtal_BW#'!$A:$Z,3,FALSE)</f>
        <v>31</v>
      </c>
      <c r="D254" s="4">
        <f>VLOOKUP($B254&amp;"__wt",'SegEnds_Xtal_BW#'!$A:$Z,4,FALSE)</f>
        <v>60</v>
      </c>
      <c r="E254" s="4">
        <f>VLOOKUP($B254&amp;"__wt",'SegEnds_Xtal_BW#'!$A:$Z,5,FALSE)</f>
        <v>48</v>
      </c>
      <c r="F254" s="4">
        <f>VLOOKUP($B254&amp;"__wt",'SegEnds_Xtal_BW#'!$A:$Z,6,FALSE)</f>
        <v>51</v>
      </c>
      <c r="G254" s="4">
        <v>37</v>
      </c>
      <c r="H254" s="11">
        <f>VLOOKUP($B254&amp;"__wt",'SegEnds_Xtal_BW#'!$A:$Z,8,FALSE)</f>
        <v>68</v>
      </c>
      <c r="I254" s="4">
        <f>VLOOKUP($B254&amp;"__wt",'SegEnds_Xtal_BW#'!$A:$Z,9,FALSE)</f>
        <v>49</v>
      </c>
      <c r="J254" s="4">
        <f>VLOOKUP($B254&amp;"__wt",'SegEnds_Xtal_BW#'!$A:$Z,10,FALSE)</f>
        <v>52</v>
      </c>
      <c r="K254" s="11">
        <v>18</v>
      </c>
      <c r="L254" s="4">
        <f>VLOOKUP($B254&amp;"__wt",'SegEnds_Xtal_BW#'!$A:$Z,12,FALSE)</f>
        <v>56</v>
      </c>
      <c r="M254" s="4">
        <f>VLOOKUP($B254&amp;"__wt",'SegEnds_Xtal_BW#'!$A:$Z,13,FALSE)</f>
        <v>50</v>
      </c>
      <c r="N254" s="11">
        <v>53</v>
      </c>
      <c r="O254" s="87">
        <f>VLOOKUP($B254&amp;"__wt",'SegEnds_Xtal_BW#'!$A:$Z,15,FALSE)</f>
        <v>38</v>
      </c>
      <c r="P254" s="4">
        <f>VLOOKUP($B254&amp;"__wt",'SegEnds_Xtal_BW#'!$A:$Z,16,FALSE)</f>
        <v>64</v>
      </c>
      <c r="Q254" s="4">
        <f>VLOOKUP($B254&amp;"__wt",'SegEnds_Xtal_BW#'!$A:$Z,17,FALSE)</f>
        <v>50</v>
      </c>
      <c r="R254" s="4">
        <f>VLOOKUP($B254&amp;"__wt",'SegEnds_Xtal_BW#'!$A:$Z,18,FALSE)</f>
        <v>52</v>
      </c>
      <c r="S254" s="4">
        <f>VLOOKUP($B254&amp;"__wt",'SegEnds_Xtal_BW#'!$A:$Z,19,FALSE)</f>
        <v>33</v>
      </c>
      <c r="T254" s="4">
        <f t="array" ref="T254">INDEX(ICL3_classA!$G$2:$G$37,MATCH(MIN(ABS(AI254-ICL3_classA!$F$2:$F$37)),ABS(AI254-ICL3_classA!$F$2:$F$37),0))</f>
        <v>73</v>
      </c>
      <c r="U254" s="4">
        <f t="array" ref="U254">INDEX(ICL3_classA!$H$2:$H$37,MATCH(MIN(ABS(AI254-ICL3_classA!$F$2:$F$37)),ABS(AI254-ICL3_classA!$F$2:$F$37),0))</f>
        <v>22</v>
      </c>
      <c r="V254" s="4">
        <v>61</v>
      </c>
      <c r="W254" s="4">
        <v>28</v>
      </c>
      <c r="X254" s="4">
        <f>VLOOKUP($B254&amp;"__wt",'SegEnds_Xtal_BW#'!$A:$Z,24,FALSE)</f>
        <v>56</v>
      </c>
      <c r="Y254" s="4">
        <f>VLOOKUP($B254&amp;"__wt",'SegEnds_Xtal_BW#'!$A:$Z,25,FALSE)</f>
        <v>47</v>
      </c>
      <c r="Z254" s="4">
        <f>VLOOKUP($B254&amp;"__wt",'SegEnds_Xtal_BW#'!$A:$Z,26,FALSE)</f>
        <v>58</v>
      </c>
      <c r="AA254" s="27" t="str">
        <f>VLOOKUP(A254,Classification!A:B,2,FALSE)</f>
        <v>A</v>
      </c>
      <c r="AB254" s="1">
        <f>VLOOKUP(A254,'SegEnds_NonXtal_Prot#'!A:AL,10,FALSE)-VLOOKUP(A254,'SegEnds_NonXtal_Prot#'!A:AL,4,FALSE)</f>
        <v>28</v>
      </c>
      <c r="AC254" s="4">
        <f>VLOOKUP(A254,'SegEnds_NonXtal_Prot#'!A:AL,10,FALSE)-VLOOKUP(A254,'SegEnds_NonXtal_Prot#'!A:AL,7,FALSE)</f>
        <v>15</v>
      </c>
      <c r="AD254" s="4">
        <f>VLOOKUP(A254,'SegEnds_NonXtal_Prot#'!A:AL,13,FALSE)-VLOOKUP(A254,'SegEnds_NonXtal_Prot#'!A:AL,10,FALSE)</f>
        <v>21</v>
      </c>
      <c r="AE254" s="4">
        <f>VLOOKUP(A254,'SegEnds_NonXtal_Prot#'!A:AL,16,FALSE)-VLOOKUP(A254,'SegEnds_NonXtal_Prot#'!A:AL,10,FALSE)</f>
        <v>53</v>
      </c>
      <c r="AF254" s="1">
        <f>VLOOKUP(A254,'SegEnds_NonXtal_Prot#'!A:AL,22,FALSE)-VLOOKUP(A254,'SegEnds_NonXtal_Prot#'!A:AL,19,FALSE)</f>
        <v>18</v>
      </c>
      <c r="AG254" s="4">
        <f>VLOOKUP(A254,'SegEnds_NonXtal_Prot#'!A:AL,28,FALSE)-VLOOKUP(A254,'SegEnds_NonXtal_Prot#'!A:AL,25,FALSE)</f>
        <v>26</v>
      </c>
      <c r="AH254" s="1">
        <f>VLOOKUP(A254,'SegEnds_NonXtal_Prot#'!A:AL,28,FALSE)-VLOOKUP(A254,'SegEnds_NonXtal_Prot#'!A:AL,22,FALSE)</f>
        <v>53</v>
      </c>
      <c r="AI254" s="4">
        <f>VLOOKUP(A254,'SegEnds_NonXtal_Prot#'!A:AL,31,FALSE)-VLOOKUP(A254,'SegEnds_NonXtal_Prot#'!A:AL,28,FALSE)</f>
        <v>56</v>
      </c>
      <c r="AJ254" s="4">
        <f>VLOOKUP(A254,'SegEnds_NonXtal_Prot#'!A:AL,34,FALSE)-VLOOKUP(A254,'SegEnds_NonXtal_Prot#'!A:AL,31,FALSE)</f>
        <v>39</v>
      </c>
      <c r="AK254" s="1">
        <f>VLOOKUP(A254,'SegEnds_NonXtal_Prot#'!A:AL,37,FALSE)-VLOOKUP(A254,'SegEnds_NonXtal_Prot#'!A:AL,34,FALSE)</f>
        <v>10</v>
      </c>
      <c r="AL254" s="1" t="str">
        <f>IF(ISERROR(MATCH(A254,'SegEnds_Xtal_Prot#'!B:B, 0)), "NoXtal", "Xtal")</f>
        <v>NoXtal</v>
      </c>
    </row>
    <row r="255" spans="1:38" x14ac:dyDescent="0.2">
      <c r="A255" s="1" t="s">
        <v>370</v>
      </c>
      <c r="B255" s="1" t="str">
        <f>VLOOKUP(A255,Xtal_Templ!A:B,2,FALSE)</f>
        <v>p2ry1_human</v>
      </c>
      <c r="C255" s="5">
        <f>VLOOKUP($B255&amp;"__wt",'SegEnds_Xtal_BW#'!$A:$Z,3,FALSE)</f>
        <v>30</v>
      </c>
      <c r="D255" s="1">
        <f>VLOOKUP($B255&amp;"__wt",'SegEnds_Xtal_BW#'!$A:$Z,4,FALSE)</f>
        <v>60</v>
      </c>
      <c r="E255" s="1" t="str">
        <f>VLOOKUP($B255&amp;"__wt",'SegEnds_Xtal_BW#'!$A:$Z,5,FALSE)</f>
        <v>-</v>
      </c>
      <c r="F255" s="1" t="str">
        <f>VLOOKUP($B255&amp;"__wt",'SegEnds_Xtal_BW#'!$A:$Z,6,FALSE)</f>
        <v>-</v>
      </c>
      <c r="G255" s="1">
        <v>37</v>
      </c>
      <c r="H255" s="12">
        <f>VLOOKUP($B255&amp;"__wt",'SegEnds_Xtal_BW#'!$A:$Z,8,FALSE)</f>
        <v>66</v>
      </c>
      <c r="I255" s="1">
        <f>VLOOKUP($B255&amp;"__wt",'SegEnds_Xtal_BW#'!$A:$Z,9,FALSE)</f>
        <v>49</v>
      </c>
      <c r="J255" s="1">
        <f>VLOOKUP($B255&amp;"__wt",'SegEnds_Xtal_BW#'!$A:$Z,10,FALSE)</f>
        <v>52</v>
      </c>
      <c r="K255" s="12">
        <v>18</v>
      </c>
      <c r="L255" s="1">
        <f>VLOOKUP($B255&amp;"__wt",'SegEnds_Xtal_BW#'!$A:$Z,12,FALSE)</f>
        <v>56</v>
      </c>
      <c r="M255" s="1">
        <f>VLOOKUP($B255&amp;"__wt",'SegEnds_Xtal_BW#'!$A:$Z,13,FALSE)</f>
        <v>50</v>
      </c>
      <c r="N255" s="12">
        <v>57</v>
      </c>
      <c r="O255" s="87">
        <f>VLOOKUP($B255&amp;"__wt",'SegEnds_Xtal_BW#'!$A:$Z,15,FALSE)</f>
        <v>38</v>
      </c>
      <c r="P255" s="1">
        <f>VLOOKUP($B255&amp;"__wt",'SegEnds_Xtal_BW#'!$A:$Z,16,FALSE)</f>
        <v>64</v>
      </c>
      <c r="Q255" s="1">
        <f>VLOOKUP($B255&amp;"__wt",'SegEnds_Xtal_BW#'!$A:$Z,17,FALSE)</f>
        <v>50</v>
      </c>
      <c r="R255" s="1">
        <f>VLOOKUP($B255&amp;"__wt",'SegEnds_Xtal_BW#'!$A:$Z,18,FALSE)</f>
        <v>52</v>
      </c>
      <c r="S255" s="1">
        <f>VLOOKUP($B255&amp;"__wt",'SegEnds_Xtal_BW#'!$A:$Z,19,FALSE)</f>
        <v>32</v>
      </c>
      <c r="T255" s="1">
        <f t="array" ref="T255">INDEX(ICL3_classA!$G$2:$G$37,MATCH(MIN(ABS(AI255-ICL3_classA!$F$2:$F$37)),ABS(AI255-ICL3_classA!$F$2:$F$37),0))</f>
        <v>67</v>
      </c>
      <c r="U255" s="1">
        <f t="array" ref="U255">INDEX(ICL3_classA!$H$2:$H$37,MATCH(MIN(ABS(AI255-ICL3_classA!$F$2:$F$37)),ABS(AI255-ICL3_classA!$F$2:$F$37),0))</f>
        <v>26</v>
      </c>
      <c r="V255" s="1">
        <v>64</v>
      </c>
      <c r="W255" s="1">
        <v>24</v>
      </c>
      <c r="X255" s="1">
        <f>VLOOKUP($B255&amp;"__wt",'SegEnds_Xtal_BW#'!$A:$Z,24,FALSE)</f>
        <v>56</v>
      </c>
      <c r="Y255" s="1">
        <f>VLOOKUP($B255&amp;"__wt",'SegEnds_Xtal_BW#'!$A:$Z,25,FALSE)</f>
        <v>47</v>
      </c>
      <c r="Z255" s="1">
        <f>VLOOKUP($B255&amp;"__wt",'SegEnds_Xtal_BW#'!$A:$Z,26,FALSE)</f>
        <v>59</v>
      </c>
      <c r="AA255" s="27" t="str">
        <f>VLOOKUP(A255,Classification!A:B,2,FALSE)</f>
        <v>A</v>
      </c>
      <c r="AB255" s="1">
        <f>VLOOKUP(A255,'SegEnds_NonXtal_Prot#'!A:AL,10,FALSE)-VLOOKUP(A255,'SegEnds_NonXtal_Prot#'!A:AL,4,FALSE)</f>
        <v>28</v>
      </c>
      <c r="AC255" s="1" t="e">
        <f>VLOOKUP(A255,'SegEnds_NonXtal_Prot#'!A:AL,10,FALSE)-VLOOKUP(A255,'SegEnds_NonXtal_Prot#'!A:AL,7,FALSE)</f>
        <v>#VALUE!</v>
      </c>
      <c r="AD255" s="1">
        <f>VLOOKUP(A255,'SegEnds_NonXtal_Prot#'!A:AL,13,FALSE)-VLOOKUP(A255,'SegEnds_NonXtal_Prot#'!A:AL,10,FALSE)</f>
        <v>20</v>
      </c>
      <c r="AE255" s="1">
        <f>VLOOKUP(A255,'SegEnds_NonXtal_Prot#'!A:AL,16,FALSE)-VLOOKUP(A255,'SegEnds_NonXtal_Prot#'!A:AL,10,FALSE)</f>
        <v>52</v>
      </c>
      <c r="AF255" s="1">
        <f>VLOOKUP(A255,'SegEnds_NonXtal_Prot#'!A:AL,22,FALSE)-VLOOKUP(A255,'SegEnds_NonXtal_Prot#'!A:AL,19,FALSE)</f>
        <v>20</v>
      </c>
      <c r="AG255" s="1">
        <f>VLOOKUP(A255,'SegEnds_NonXtal_Prot#'!A:AL,28,FALSE)-VLOOKUP(A255,'SegEnds_NonXtal_Prot#'!A:AL,25,FALSE)</f>
        <v>25</v>
      </c>
      <c r="AH255" s="1">
        <f>VLOOKUP(A255,'SegEnds_NonXtal_Prot#'!A:AL,28,FALSE)-VLOOKUP(A255,'SegEnds_NonXtal_Prot#'!A:AL,22,FALSE)</f>
        <v>56</v>
      </c>
      <c r="AI255" s="1">
        <f>VLOOKUP(A255,'SegEnds_NonXtal_Prot#'!A:AL,31,FALSE)-VLOOKUP(A255,'SegEnds_NonXtal_Prot#'!A:AL,28,FALSE)</f>
        <v>46</v>
      </c>
      <c r="AJ255" s="1">
        <f>VLOOKUP(A255,'SegEnds_NonXtal_Prot#'!A:AL,34,FALSE)-VLOOKUP(A255,'SegEnds_NonXtal_Prot#'!A:AL,31,FALSE)</f>
        <v>46</v>
      </c>
      <c r="AK255" s="1">
        <f>VLOOKUP(A255,'SegEnds_NonXtal_Prot#'!A:AL,37,FALSE)-VLOOKUP(A255,'SegEnds_NonXtal_Prot#'!A:AL,34,FALSE)</f>
        <v>10</v>
      </c>
      <c r="AL255" s="1" t="str">
        <f>IF(ISERROR(MATCH(A255,'SegEnds_Xtal_Prot#'!B:B, 0)), "NoXtal", "Xtal")</f>
        <v>NoXtal</v>
      </c>
    </row>
    <row r="256" spans="1:38" x14ac:dyDescent="0.2">
      <c r="A256" s="1" t="s">
        <v>371</v>
      </c>
      <c r="B256" s="1" t="str">
        <f>VLOOKUP(A256,Xtal_Templ!A:B,2,FALSE)</f>
        <v>ptafr_human</v>
      </c>
      <c r="C256" s="5">
        <f>VLOOKUP($B256&amp;"__wt",'SegEnds_Xtal_BW#'!$A:$Z,3,FALSE)</f>
        <v>27</v>
      </c>
      <c r="D256" s="1">
        <f>VLOOKUP($B256&amp;"__wt",'SegEnds_Xtal_BW#'!$A:$Z,4,FALSE)</f>
        <v>61</v>
      </c>
      <c r="E256" s="1" t="str">
        <f>VLOOKUP($B256&amp;"__wt",'SegEnds_Xtal_BW#'!$A:$Z,5,FALSE)</f>
        <v>-</v>
      </c>
      <c r="F256" s="1" t="str">
        <f>VLOOKUP($B256&amp;"__wt",'SegEnds_Xtal_BW#'!$A:$Z,6,FALSE)</f>
        <v>-</v>
      </c>
      <c r="G256" s="108">
        <v>36</v>
      </c>
      <c r="H256" s="12">
        <f>VLOOKUP($B256&amp;"__wt",'SegEnds_Xtal_BW#'!$A:$Z,8,FALSE)</f>
        <v>67</v>
      </c>
      <c r="I256" s="1">
        <f>VLOOKUP($B256&amp;"__wt",'SegEnds_Xtal_BW#'!$A:$Z,9,FALSE)</f>
        <v>49</v>
      </c>
      <c r="J256" s="1">
        <f>VLOOKUP($B256&amp;"__wt",'SegEnds_Xtal_BW#'!$A:$Z,10,FALSE)</f>
        <v>52</v>
      </c>
      <c r="K256" s="12">
        <v>18</v>
      </c>
      <c r="L256" s="1">
        <f>VLOOKUP($B256&amp;"__wt",'SegEnds_Xtal_BW#'!$A:$Z,12,FALSE)</f>
        <v>56</v>
      </c>
      <c r="M256" s="1">
        <f>VLOOKUP($B256&amp;"__wt",'SegEnds_Xtal_BW#'!$A:$Z,13,FALSE)</f>
        <v>50</v>
      </c>
      <c r="N256" s="12">
        <f>VLOOKUP($B256&amp;"__wt",'SegEnds_Xtal_BW#'!$A:$Z,14,FALSE)</f>
        <v>57</v>
      </c>
      <c r="O256" s="87">
        <v>38</v>
      </c>
      <c r="P256" s="1">
        <f>VLOOKUP($B256&amp;"__wt",'SegEnds_Xtal_BW#'!$A:$Z,16,FALSE)</f>
        <v>63</v>
      </c>
      <c r="Q256" s="1">
        <f>VLOOKUP($B256&amp;"__wt",'SegEnds_Xtal_BW#'!$A:$Z,17,FALSE)</f>
        <v>50</v>
      </c>
      <c r="R256" s="1">
        <f>VLOOKUP($B256&amp;"__wt",'SegEnds_Xtal_BW#'!$A:$Z,18,FALSE)</f>
        <v>52</v>
      </c>
      <c r="S256" s="1">
        <f>VLOOKUP($B256&amp;"__wt",'SegEnds_Xtal_BW#'!$A:$Z,19,FALSE)</f>
        <v>33</v>
      </c>
      <c r="T256" s="1">
        <f t="array" ref="T256">INDEX(ICL3_classA!$G$2:$G$37,MATCH(MIN(ABS(AI256-ICL3_classA!$F$2:$F$37)),ABS(AI256-ICL3_classA!$F$2:$F$37),0))</f>
        <v>68</v>
      </c>
      <c r="U256" s="1">
        <f t="array" ref="U256">INDEX(ICL3_classA!$H$2:$H$37,MATCH(MIN(ABS(AI256-ICL3_classA!$F$2:$F$37)),ABS(AI256-ICL3_classA!$F$2:$F$37),0))</f>
        <v>24</v>
      </c>
      <c r="V256" s="108">
        <v>64</v>
      </c>
      <c r="W256" s="1">
        <v>24</v>
      </c>
      <c r="X256" s="1">
        <f>VLOOKUP($B256&amp;"__wt",'SegEnds_Xtal_BW#'!$A:$Z,24,FALSE)</f>
        <v>59</v>
      </c>
      <c r="Y256" s="1">
        <f>VLOOKUP($B256&amp;"__wt",'SegEnds_Xtal_BW#'!$A:$Z,25,FALSE)</f>
        <v>50</v>
      </c>
      <c r="Z256" s="1">
        <f>VLOOKUP($B256&amp;"__wt",'SegEnds_Xtal_BW#'!$A:$Z,26,FALSE)</f>
        <v>63</v>
      </c>
      <c r="AA256" s="27" t="str">
        <f>VLOOKUP(A256,Classification!A:B,2,FALSE)</f>
        <v>A</v>
      </c>
      <c r="AB256" s="1">
        <f>VLOOKUP(A256,'SegEnds_NonXtal_Prot#'!A:AL,10,FALSE)-VLOOKUP(A256,'SegEnds_NonXtal_Prot#'!A:AL,4,FALSE)</f>
        <v>30</v>
      </c>
      <c r="AC256" s="1" t="e">
        <f>VLOOKUP(A256,'SegEnds_NonXtal_Prot#'!A:AL,10,FALSE)-VLOOKUP(A256,'SegEnds_NonXtal_Prot#'!A:AL,7,FALSE)</f>
        <v>#VALUE!</v>
      </c>
      <c r="AD256" s="1">
        <f>VLOOKUP(A256,'SegEnds_NonXtal_Prot#'!A:AL,13,FALSE)-VLOOKUP(A256,'SegEnds_NonXtal_Prot#'!A:AL,10,FALSE)</f>
        <v>20</v>
      </c>
      <c r="AE256" s="1">
        <f>VLOOKUP(A256,'SegEnds_NonXtal_Prot#'!A:AL,16,FALSE)-VLOOKUP(A256,'SegEnds_NonXtal_Prot#'!A:AL,10,FALSE)</f>
        <v>52</v>
      </c>
      <c r="AF256" s="1">
        <f>VLOOKUP(A256,'SegEnds_NonXtal_Prot#'!A:AL,22,FALSE)-VLOOKUP(A256,'SegEnds_NonXtal_Prot#'!A:AL,19,FALSE)</f>
        <v>20</v>
      </c>
      <c r="AG256" s="1">
        <f>VLOOKUP(A256,'SegEnds_NonXtal_Prot#'!A:AL,28,FALSE)-VLOOKUP(A256,'SegEnds_NonXtal_Prot#'!A:AL,25,FALSE)</f>
        <v>25</v>
      </c>
      <c r="AH256" s="1">
        <f>VLOOKUP(A256,'SegEnds_NonXtal_Prot#'!A:AL,28,FALSE)-VLOOKUP(A256,'SegEnds_NonXtal_Prot#'!A:AL,22,FALSE)</f>
        <v>56</v>
      </c>
      <c r="AI256" s="1">
        <f>VLOOKUP(A256,'SegEnds_NonXtal_Prot#'!A:AL,31,FALSE)-VLOOKUP(A256,'SegEnds_NonXtal_Prot#'!A:AL,28,FALSE)</f>
        <v>49</v>
      </c>
      <c r="AJ256" s="1">
        <f>VLOOKUP(A256,'SegEnds_NonXtal_Prot#'!A:AL,34,FALSE)-VLOOKUP(A256,'SegEnds_NonXtal_Prot#'!A:AL,31,FALSE)</f>
        <v>43</v>
      </c>
      <c r="AK256" s="1">
        <f>VLOOKUP(A256,'SegEnds_NonXtal_Prot#'!A:AL,37,FALSE)-VLOOKUP(A256,'SegEnds_NonXtal_Prot#'!A:AL,34,FALSE)</f>
        <v>10</v>
      </c>
      <c r="AL256" s="1" t="str">
        <f>IF(ISERROR(MATCH(A256,'SegEnds_Xtal_Prot#'!B:B, 0)), "NoXtal", "Xtal")</f>
        <v>Xtal</v>
      </c>
    </row>
    <row r="257" spans="1:38" x14ac:dyDescent="0.2">
      <c r="A257" s="1" t="s">
        <v>1451</v>
      </c>
      <c r="B257" s="1" t="str">
        <f>VLOOKUP(A257,Xtal_Templ!A:B,2,FALSE)</f>
        <v>q08bg4_danre</v>
      </c>
      <c r="C257" s="5">
        <f>VLOOKUP($B257&amp;"__wt",'SegEnds_Xtal_BW#'!$A:$Z,3,FALSE)</f>
        <v>31</v>
      </c>
      <c r="D257" s="1">
        <f>VLOOKUP($B257&amp;"__wt",'SegEnds_Xtal_BW#'!$A:$Z,4,FALSE)</f>
        <v>60</v>
      </c>
      <c r="E257" s="1">
        <f>VLOOKUP($B257&amp;"__wt",'SegEnds_Xtal_BW#'!$A:$Z,5,FALSE)</f>
        <v>48</v>
      </c>
      <c r="F257" s="1">
        <f>VLOOKUP($B257&amp;"__wt",'SegEnds_Xtal_BW#'!$A:$Z,6,FALSE)</f>
        <v>51</v>
      </c>
      <c r="G257" s="1">
        <v>37</v>
      </c>
      <c r="H257" s="12">
        <f>VLOOKUP($B257&amp;"__wt",'SegEnds_Xtal_BW#'!$A:$Z,8,FALSE)</f>
        <v>66</v>
      </c>
      <c r="I257" s="1">
        <f>VLOOKUP($B257&amp;"__wt",'SegEnds_Xtal_BW#'!$A:$Z,9,FALSE)</f>
        <v>49</v>
      </c>
      <c r="J257" s="1">
        <f>VLOOKUP($B257&amp;"__wt",'SegEnds_Xtal_BW#'!$A:$Z,10,FALSE)</f>
        <v>52</v>
      </c>
      <c r="K257" s="12">
        <f>VLOOKUP($B257&amp;"__wt",'SegEnds_Xtal_BW#'!$A:$Z,11,FALSE)</f>
        <v>21</v>
      </c>
      <c r="L257" s="1">
        <f>VLOOKUP($B257&amp;"__wt",'SegEnds_Xtal_BW#'!$A:$Z,12,FALSE)</f>
        <v>56</v>
      </c>
      <c r="M257" s="1">
        <f>VLOOKUP($B257&amp;"__wt",'SegEnds_Xtal_BW#'!$A:$Z,13,FALSE)</f>
        <v>50</v>
      </c>
      <c r="N257" s="108">
        <f>VLOOKUP($B257&amp;"__wt",'SegEnds_Xtal_BW#'!$A:$Z,14,FALSE)</f>
        <v>57</v>
      </c>
      <c r="O257" s="108">
        <f>VLOOKUP($B257&amp;"__wt",'SegEnds_Xtal_BW#'!$A:$Z,15,FALSE)</f>
        <v>38</v>
      </c>
      <c r="P257" s="1">
        <f>VLOOKUP($B257&amp;"__wt",'SegEnds_Xtal_BW#'!$A:$Z,16,FALSE)</f>
        <v>65</v>
      </c>
      <c r="Q257" s="1">
        <f>VLOOKUP($B257&amp;"__wt",'SegEnds_Xtal_BW#'!$A:$Z,17,FALSE)</f>
        <v>50</v>
      </c>
      <c r="R257" s="1">
        <f>VLOOKUP($B257&amp;"__wt",'SegEnds_Xtal_BW#'!$A:$Z,18,FALSE)</f>
        <v>52</v>
      </c>
      <c r="S257" s="1">
        <f>VLOOKUP($B257&amp;"__wt",'SegEnds_Xtal_BW#'!$A:$Z,19,FALSE)</f>
        <v>31</v>
      </c>
      <c r="T257" s="1">
        <f t="array" ref="T257">INDEX(ICL3_classA!$G$2:$G$37,MATCH(MIN(ABS(AI257-ICL3_classA!$F$2:$F$37)),ABS(AI257-ICL3_classA!$F$2:$F$37),0))</f>
        <v>68</v>
      </c>
      <c r="U257" s="1">
        <f t="array" ref="U257">INDEX(ICL3_classA!$H$2:$H$37,MATCH(MIN(ABS(AI257-ICL3_classA!$F$2:$F$37)),ABS(AI257-ICL3_classA!$F$2:$F$37),0))</f>
        <v>24</v>
      </c>
      <c r="V257" s="108">
        <v>64</v>
      </c>
      <c r="W257" s="1">
        <v>24</v>
      </c>
      <c r="X257" s="1">
        <f>VLOOKUP($B257&amp;"__wt",'SegEnds_Xtal_BW#'!$A:$Z,24,FALSE)</f>
        <v>56</v>
      </c>
      <c r="Y257" s="1">
        <f>VLOOKUP($B257&amp;"__wt",'SegEnds_Xtal_BW#'!$A:$Z,25,FALSE)</f>
        <v>47</v>
      </c>
      <c r="Z257" s="1">
        <f>VLOOKUP($B257&amp;"__wt",'SegEnds_Xtal_BW#'!$A:$Z,26,FALSE)</f>
        <v>61</v>
      </c>
      <c r="AA257" s="27" t="str">
        <f>VLOOKUP(A257,Classification!A:B,2,FALSE)</f>
        <v>A</v>
      </c>
      <c r="AB257" s="1">
        <f>VLOOKUP(A257,'SegEnds_NonXtal_Prot#'!A:AL,10,FALSE)-VLOOKUP(A257,'SegEnds_NonXtal_Prot#'!A:AL,4,FALSE)</f>
        <v>28</v>
      </c>
      <c r="AC257" s="1">
        <f>VLOOKUP(A257,'SegEnds_NonXtal_Prot#'!A:AL,10,FALSE)-VLOOKUP(A257,'SegEnds_NonXtal_Prot#'!A:AL,7,FALSE)</f>
        <v>15</v>
      </c>
      <c r="AD257" s="1">
        <f>VLOOKUP(A257,'SegEnds_NonXtal_Prot#'!A:AL,13,FALSE)-VLOOKUP(A257,'SegEnds_NonXtal_Prot#'!A:AL,10,FALSE)</f>
        <v>19</v>
      </c>
      <c r="AE257" s="1">
        <f>VLOOKUP(A257,'SegEnds_NonXtal_Prot#'!A:AL,16,FALSE)-VLOOKUP(A257,'SegEnds_NonXtal_Prot#'!A:AL,10,FALSE)</f>
        <v>51</v>
      </c>
      <c r="AF257" s="1">
        <f>VLOOKUP(A257,'SegEnds_NonXtal_Prot#'!A:AL,22,FALSE)-VLOOKUP(A257,'SegEnds_NonXtal_Prot#'!A:AL,19,FALSE)</f>
        <v>20</v>
      </c>
      <c r="AG257" s="1">
        <f>VLOOKUP(A257,'SegEnds_NonXtal_Prot#'!A:AL,28,FALSE)-VLOOKUP(A257,'SegEnds_NonXtal_Prot#'!A:AL,25,FALSE)</f>
        <v>28</v>
      </c>
      <c r="AH257" s="1">
        <f>VLOOKUP(A257,'SegEnds_NonXtal_Prot#'!A:AL,28,FALSE)-VLOOKUP(A257,'SegEnds_NonXtal_Prot#'!A:AL,22,FALSE)</f>
        <v>55</v>
      </c>
      <c r="AI257" s="1">
        <f>VLOOKUP(A257,'SegEnds_NonXtal_Prot#'!A:AL,31,FALSE)-VLOOKUP(A257,'SegEnds_NonXtal_Prot#'!A:AL,28,FALSE)</f>
        <v>49</v>
      </c>
      <c r="AJ257" s="1">
        <f>VLOOKUP(A257,'SegEnds_NonXtal_Prot#'!A:AL,34,FALSE)-VLOOKUP(A257,'SegEnds_NonXtal_Prot#'!A:AL,31,FALSE)</f>
        <v>44</v>
      </c>
      <c r="AK257" s="1">
        <f>VLOOKUP(A257,'SegEnds_NonXtal_Prot#'!A:AL,37,FALSE)-VLOOKUP(A257,'SegEnds_NonXtal_Prot#'!A:AL,34,FALSE)</f>
        <v>10</v>
      </c>
      <c r="AL257" s="1" t="str">
        <f>IF(ISERROR(MATCH(A257,'SegEnds_Xtal_Prot#'!B:B, 0)), "NoXtal", "Xtal")</f>
        <v>Xtal</v>
      </c>
    </row>
    <row r="258" spans="1:38" x14ac:dyDescent="0.2">
      <c r="A258" s="1" t="s">
        <v>1524</v>
      </c>
      <c r="B258" s="1" t="str">
        <f>VLOOKUP(A258,Xtal_Templ!A:B,2,FALSE)</f>
        <v>q80km9_hcmv</v>
      </c>
      <c r="C258" s="5">
        <f>VLOOKUP($B258&amp;"__wt",'SegEnds_Xtal_BW#'!$A:$Z,3,FALSE)</f>
        <v>24</v>
      </c>
      <c r="D258" s="1">
        <f>VLOOKUP($B258&amp;"__wt",'SegEnds_Xtal_BW#'!$A:$Z,4,FALSE)</f>
        <v>60</v>
      </c>
      <c r="E258" s="1">
        <f>VLOOKUP($B258&amp;"__wt",'SegEnds_Xtal_BW#'!$A:$Z,5,FALSE)</f>
        <v>48</v>
      </c>
      <c r="F258" s="1">
        <f>VLOOKUP($B258&amp;"__wt",'SegEnds_Xtal_BW#'!$A:$Z,6,FALSE)</f>
        <v>51</v>
      </c>
      <c r="G258" s="1">
        <v>37</v>
      </c>
      <c r="H258" s="12">
        <v>66</v>
      </c>
      <c r="I258" s="1" t="str">
        <f>VLOOKUP($B258&amp;"__wt",'SegEnds_Xtal_BW#'!$A:$Z,9,FALSE)</f>
        <v>-</v>
      </c>
      <c r="J258" s="1" t="str">
        <f>VLOOKUP($B258&amp;"__wt",'SegEnds_Xtal_BW#'!$A:$Z,10,FALSE)</f>
        <v>-</v>
      </c>
      <c r="K258" s="108">
        <v>21</v>
      </c>
      <c r="L258" s="1">
        <f>VLOOKUP($B258&amp;"__wt",'SegEnds_Xtal_BW#'!$A:$Z,12,FALSE)</f>
        <v>55</v>
      </c>
      <c r="M258" s="1" t="str">
        <f>VLOOKUP($B258&amp;"__wt",'SegEnds_Xtal_BW#'!$A:$Z,13,FALSE)</f>
        <v>-</v>
      </c>
      <c r="N258" s="12" t="str">
        <f>VLOOKUP($B258&amp;"__wt",'SegEnds_Xtal_BW#'!$A:$Z,14,FALSE)</f>
        <v>-</v>
      </c>
      <c r="O258" s="87">
        <f>VLOOKUP($B258&amp;"__wt",'SegEnds_Xtal_BW#'!$A:$Z,15,FALSE)</f>
        <v>38</v>
      </c>
      <c r="P258" s="1">
        <f>VLOOKUP($B258&amp;"__wt",'SegEnds_Xtal_BW#'!$A:$Z,16,FALSE)</f>
        <v>62</v>
      </c>
      <c r="Q258" s="1">
        <f>VLOOKUP($B258&amp;"__wt",'SegEnds_Xtal_BW#'!$A:$Z,17,FALSE)</f>
        <v>50</v>
      </c>
      <c r="R258" s="1">
        <f>VLOOKUP($B258&amp;"__wt",'SegEnds_Xtal_BW#'!$A:$Z,18,FALSE)</f>
        <v>52</v>
      </c>
      <c r="S258" s="1">
        <f>VLOOKUP($B258&amp;"__wt",'SegEnds_Xtal_BW#'!$A:$Z,19,FALSE)</f>
        <v>33</v>
      </c>
      <c r="T258" s="1">
        <f t="array" ref="T258">INDEX(ICL3_classA!$G$2:$G$37,MATCH(MIN(ABS(AI258-ICL3_classA!$F$2:$F$37)),ABS(AI258-ICL3_classA!$F$2:$F$37),0))</f>
        <v>68</v>
      </c>
      <c r="U258" s="1">
        <v>29</v>
      </c>
      <c r="V258" s="1">
        <v>64</v>
      </c>
      <c r="W258" s="1">
        <v>24</v>
      </c>
      <c r="X258" s="1">
        <f>VLOOKUP($B258&amp;"__wt",'SegEnds_Xtal_BW#'!$A:$Z,24,FALSE)</f>
        <v>56</v>
      </c>
      <c r="Y258" s="1">
        <f>VLOOKUP($B258&amp;"__wt",'SegEnds_Xtal_BW#'!$A:$Z,25,FALSE)</f>
        <v>47</v>
      </c>
      <c r="Z258" s="1">
        <f>VLOOKUP($B258&amp;"__wt",'SegEnds_Xtal_BW#'!$A:$Z,26,FALSE)</f>
        <v>62</v>
      </c>
      <c r="AA258" s="27" t="str">
        <f>VLOOKUP(A258,Classification!A:B,2,FALSE)</f>
        <v>A</v>
      </c>
      <c r="AB258" s="1">
        <f>VLOOKUP(A258,'SegEnds_NonXtal_Prot#'!A:AL,10,FALSE)-VLOOKUP(A258,'SegEnds_NonXtal_Prot#'!A:AL,4,FALSE)</f>
        <v>28</v>
      </c>
      <c r="AC258" s="1">
        <f>VLOOKUP(A258,'SegEnds_NonXtal_Prot#'!A:AL,10,FALSE)-VLOOKUP(A258,'SegEnds_NonXtal_Prot#'!A:AL,7,FALSE)</f>
        <v>15</v>
      </c>
      <c r="AD258" s="1" t="e">
        <f>VLOOKUP(A258,'SegEnds_NonXtal_Prot#'!A:AL,13,FALSE)-VLOOKUP(A258,'SegEnds_NonXtal_Prot#'!A:AL,10,FALSE)</f>
        <v>#VALUE!</v>
      </c>
      <c r="AE258" s="1">
        <f>VLOOKUP(A258,'SegEnds_NonXtal_Prot#'!A:AL,16,FALSE)-VLOOKUP(A258,'SegEnds_NonXtal_Prot#'!A:AL,10,FALSE)</f>
        <v>50</v>
      </c>
      <c r="AF258" s="1" t="e">
        <f>VLOOKUP(A258,'SegEnds_NonXtal_Prot#'!A:AL,22,FALSE)-VLOOKUP(A258,'SegEnds_NonXtal_Prot#'!A:AL,19,FALSE)</f>
        <v>#VALUE!</v>
      </c>
      <c r="AG258" s="1">
        <f>VLOOKUP(A258,'SegEnds_NonXtal_Prot#'!A:AL,28,FALSE)-VLOOKUP(A258,'SegEnds_NonXtal_Prot#'!A:AL,25,FALSE)</f>
        <v>27</v>
      </c>
      <c r="AH258" s="1">
        <f>VLOOKUP(A258,'SegEnds_NonXtal_Prot#'!A:AL,28,FALSE)-VLOOKUP(A258,'SegEnds_NonXtal_Prot#'!A:AL,22,FALSE)</f>
        <v>48</v>
      </c>
      <c r="AI258" s="1">
        <f>VLOOKUP(A258,'SegEnds_NonXtal_Prot#'!A:AL,31,FALSE)-VLOOKUP(A258,'SegEnds_NonXtal_Prot#'!A:AL,28,FALSE)</f>
        <v>43</v>
      </c>
      <c r="AJ258" s="1">
        <f>VLOOKUP(A258,'SegEnds_NonXtal_Prot#'!A:AL,34,FALSE)-VLOOKUP(A258,'SegEnds_NonXtal_Prot#'!A:AL,31,FALSE)</f>
        <v>45</v>
      </c>
      <c r="AK258" s="1">
        <f>VLOOKUP(A258,'SegEnds_NonXtal_Prot#'!A:AL,37,FALSE)-VLOOKUP(A258,'SegEnds_NonXtal_Prot#'!A:AL,34,FALSE)</f>
        <v>10</v>
      </c>
      <c r="AL258" s="1" t="str">
        <f>IF(ISERROR(MATCH(A258,'SegEnds_Xtal_Prot#'!B:B, 0)), "NoXtal", "Xtal")</f>
        <v>Xtal</v>
      </c>
    </row>
    <row r="259" spans="1:38" x14ac:dyDescent="0.2">
      <c r="A259" s="1" t="s">
        <v>1463</v>
      </c>
      <c r="B259" s="1" t="s">
        <v>1463</v>
      </c>
      <c r="C259" s="5">
        <f>VLOOKUP($B259&amp;"__wt",'SegEnds_Xtal_BW#'!$A:$Z,3,FALSE)</f>
        <v>29</v>
      </c>
      <c r="D259" s="1">
        <f>VLOOKUP($B259&amp;"__wt",'SegEnds_Xtal_BW#'!$A:$Z,4,FALSE)</f>
        <v>60</v>
      </c>
      <c r="E259" s="1">
        <f>VLOOKUP($B259&amp;"__wt",'SegEnds_Xtal_BW#'!$A:$Z,5,FALSE)</f>
        <v>48</v>
      </c>
      <c r="F259" s="1">
        <f>VLOOKUP($B259&amp;"__wt",'SegEnds_Xtal_BW#'!$A:$Z,6,FALSE)</f>
        <v>51</v>
      </c>
      <c r="G259" s="1">
        <v>37</v>
      </c>
      <c r="H259" s="12">
        <f>VLOOKUP($B259&amp;"__wt",'SegEnds_Xtal_BW#'!$A:$Z,8,FALSE)</f>
        <v>67</v>
      </c>
      <c r="I259" s="1">
        <f>VLOOKUP($B259&amp;"__wt",'SegEnds_Xtal_BW#'!$A:$Z,9,FALSE)</f>
        <v>49</v>
      </c>
      <c r="J259" s="1">
        <f>VLOOKUP($B259&amp;"__wt",'SegEnds_Xtal_BW#'!$A:$Z,10,FALSE)</f>
        <v>52</v>
      </c>
      <c r="K259" s="12">
        <f>VLOOKUP($B259&amp;"__wt",'SegEnds_Xtal_BW#'!$A:$Z,11,FALSE)</f>
        <v>21</v>
      </c>
      <c r="L259" s="1">
        <f>VLOOKUP($B259&amp;"__wt",'SegEnds_Xtal_BW#'!$A:$Z,12,FALSE)</f>
        <v>56</v>
      </c>
      <c r="M259" s="1">
        <f>VLOOKUP($B259&amp;"__wt",'SegEnds_Xtal_BW#'!$A:$Z,13,FALSE)</f>
        <v>50</v>
      </c>
      <c r="N259" s="12">
        <f>VLOOKUP($B259&amp;"__wt",'SegEnds_Xtal_BW#'!$A:$Z,14,FALSE)</f>
        <v>57</v>
      </c>
      <c r="O259" s="87">
        <f>VLOOKUP($B259&amp;"__wt",'SegEnds_Xtal_BW#'!$A:$Z,15,FALSE)</f>
        <v>38</v>
      </c>
      <c r="P259" s="1">
        <f>VLOOKUP($B259&amp;"__wt",'SegEnds_Xtal_BW#'!$A:$Z,16,FALSE)</f>
        <v>64</v>
      </c>
      <c r="Q259" s="1">
        <f>VLOOKUP($B259&amp;"__wt",'SegEnds_Xtal_BW#'!$A:$Z,17,FALSE)</f>
        <v>50</v>
      </c>
      <c r="R259" s="1">
        <f>VLOOKUP($B259&amp;"__wt",'SegEnds_Xtal_BW#'!$A:$Z,18,FALSE)</f>
        <v>52</v>
      </c>
      <c r="S259" s="1">
        <f>VLOOKUP($B259&amp;"__wt",'SegEnds_Xtal_BW#'!$A:$Z,19,FALSE)</f>
        <v>31</v>
      </c>
      <c r="T259" s="1">
        <f t="array" ref="T259">INDEX(ICL3_classA!$G$2:$G$37,MATCH(MIN(ABS(AI259-ICL3_classA!$F$2:$F$37)),ABS(AI259-ICL3_classA!$F$2:$F$37),0))</f>
        <v>68</v>
      </c>
      <c r="U259" s="1">
        <f t="array" ref="U259">INDEX(ICL3_classA!$H$2:$H$37,MATCH(MIN(ABS(AI259-ICL3_classA!$F$2:$F$37)),ABS(AI259-ICL3_classA!$F$2:$F$37),0))</f>
        <v>30</v>
      </c>
      <c r="V259" s="1">
        <v>64</v>
      </c>
      <c r="W259" s="1">
        <v>24</v>
      </c>
      <c r="X259" s="1">
        <f>VLOOKUP($B259&amp;"__wt",'SegEnds_Xtal_BW#'!$A:$Z,24,FALSE)</f>
        <v>56</v>
      </c>
      <c r="Y259" s="1">
        <f>VLOOKUP($B259&amp;"__wt",'SegEnds_Xtal_BW#'!$A:$Z,25,FALSE)</f>
        <v>47</v>
      </c>
      <c r="Z259" s="1">
        <f>VLOOKUP($B259&amp;"__wt",'SegEnds_Xtal_BW#'!$A:$Z,26,FALSE)</f>
        <v>61</v>
      </c>
      <c r="AA259" s="27" t="str">
        <f>VLOOKUP(A259,Classification!A:B,2,FALSE)</f>
        <v>A</v>
      </c>
      <c r="AB259" s="1">
        <f>VLOOKUP(A259,'SegEnds_NonXtal_Prot#'!A:AL,10,FALSE)-VLOOKUP(A259,'SegEnds_NonXtal_Prot#'!A:AL,4,FALSE)</f>
        <v>28</v>
      </c>
      <c r="AC259" s="1">
        <f>VLOOKUP(A259,'SegEnds_NonXtal_Prot#'!A:AL,10,FALSE)-VLOOKUP(A259,'SegEnds_NonXtal_Prot#'!A:AL,7,FALSE)</f>
        <v>15</v>
      </c>
      <c r="AD259" s="1">
        <f>VLOOKUP(A259,'SegEnds_NonXtal_Prot#'!A:AL,13,FALSE)-VLOOKUP(A259,'SegEnds_NonXtal_Prot#'!A:AL,10,FALSE)</f>
        <v>19</v>
      </c>
      <c r="AE259" s="1">
        <f>VLOOKUP(A259,'SegEnds_NonXtal_Prot#'!A:AL,16,FALSE)-VLOOKUP(A259,'SegEnds_NonXtal_Prot#'!A:AL,10,FALSE)</f>
        <v>51</v>
      </c>
      <c r="AF259" s="1">
        <f>VLOOKUP(A259,'SegEnds_NonXtal_Prot#'!A:AL,22,FALSE)-VLOOKUP(A259,'SegEnds_NonXtal_Prot#'!A:AL,19,FALSE)</f>
        <v>20</v>
      </c>
      <c r="AG259" s="1">
        <f>VLOOKUP(A259,'SegEnds_NonXtal_Prot#'!A:AL,28,FALSE)-VLOOKUP(A259,'SegEnds_NonXtal_Prot#'!A:AL,25,FALSE)</f>
        <v>25</v>
      </c>
      <c r="AH259" s="1">
        <f>VLOOKUP(A259,'SegEnds_NonXtal_Prot#'!A:AL,28,FALSE)-VLOOKUP(A259,'SegEnds_NonXtal_Prot#'!A:AL,22,FALSE)</f>
        <v>51</v>
      </c>
      <c r="AI259" s="1">
        <f>VLOOKUP(A259,'SegEnds_NonXtal_Prot#'!A:AL,31,FALSE)-VLOOKUP(A259,'SegEnds_NonXtal_Prot#'!A:AL,28,FALSE)</f>
        <v>43</v>
      </c>
      <c r="AJ259" s="1">
        <f>VLOOKUP(A259,'SegEnds_NonXtal_Prot#'!A:AL,34,FALSE)-VLOOKUP(A259,'SegEnds_NonXtal_Prot#'!A:AL,31,FALSE)</f>
        <v>43</v>
      </c>
      <c r="AK259" s="1">
        <f>VLOOKUP(A259,'SegEnds_NonXtal_Prot#'!A:AL,37,FALSE)-VLOOKUP(A259,'SegEnds_NonXtal_Prot#'!A:AL,34,FALSE)</f>
        <v>10</v>
      </c>
      <c r="AL259" s="1" t="str">
        <f>IF(ISERROR(MATCH(A259,'SegEnds_Xtal_Prot#'!B:B, 0)), "NoXtal", "Xtal")</f>
        <v>Xtal</v>
      </c>
    </row>
    <row r="260" spans="1:38" x14ac:dyDescent="0.2">
      <c r="A260" s="1" t="s">
        <v>372</v>
      </c>
      <c r="B260" s="1" t="str">
        <f>VLOOKUP(A260,Xtal_Templ!A:B,2,FALSE)</f>
        <v>ox2r_human</v>
      </c>
      <c r="C260" s="5">
        <f>VLOOKUP($B260&amp;"__wt",'SegEnds_Xtal_BW#'!$A:$Z,3,FALSE)</f>
        <v>31</v>
      </c>
      <c r="D260" s="1">
        <f>VLOOKUP($B260&amp;"__wt",'SegEnds_Xtal_BW#'!$A:$Z,4,FALSE)</f>
        <v>60</v>
      </c>
      <c r="E260" s="1">
        <f>VLOOKUP($B260&amp;"__wt",'SegEnds_Xtal_BW#'!$A:$Z,5,FALSE)</f>
        <v>48</v>
      </c>
      <c r="F260" s="1">
        <f>VLOOKUP($B260&amp;"__wt",'SegEnds_Xtal_BW#'!$A:$Z,6,FALSE)</f>
        <v>51</v>
      </c>
      <c r="G260" s="1">
        <v>37</v>
      </c>
      <c r="H260" s="12">
        <f>VLOOKUP($B260&amp;"__wt",'SegEnds_Xtal_BW#'!$A:$Z,8,FALSE)</f>
        <v>68</v>
      </c>
      <c r="I260" s="1">
        <f>VLOOKUP($B260&amp;"__wt",'SegEnds_Xtal_BW#'!$A:$Z,9,FALSE)</f>
        <v>49</v>
      </c>
      <c r="J260" s="1">
        <f>VLOOKUP($B260&amp;"__wt",'SegEnds_Xtal_BW#'!$A:$Z,10,FALSE)</f>
        <v>52</v>
      </c>
      <c r="K260" s="12">
        <v>18</v>
      </c>
      <c r="L260" s="1">
        <f>VLOOKUP($B260&amp;"__wt",'SegEnds_Xtal_BW#'!$A:$Z,12,FALSE)</f>
        <v>56</v>
      </c>
      <c r="M260" s="1">
        <f>VLOOKUP($B260&amp;"__wt",'SegEnds_Xtal_BW#'!$A:$Z,13,FALSE)</f>
        <v>50</v>
      </c>
      <c r="N260" s="12">
        <v>57</v>
      </c>
      <c r="O260" s="87">
        <f>VLOOKUP($B260&amp;"__wt",'SegEnds_Xtal_BW#'!$A:$Z,15,FALSE)</f>
        <v>38</v>
      </c>
      <c r="P260" s="1">
        <f>VLOOKUP($B260&amp;"__wt",'SegEnds_Xtal_BW#'!$A:$Z,16,FALSE)</f>
        <v>64</v>
      </c>
      <c r="Q260" s="1">
        <f>VLOOKUP($B260&amp;"__wt",'SegEnds_Xtal_BW#'!$A:$Z,17,FALSE)</f>
        <v>50</v>
      </c>
      <c r="R260" s="1">
        <f>VLOOKUP($B260&amp;"__wt",'SegEnds_Xtal_BW#'!$A:$Z,18,FALSE)</f>
        <v>52</v>
      </c>
      <c r="S260" s="1">
        <f>VLOOKUP($B260&amp;"__wt",'SegEnds_Xtal_BW#'!$A:$Z,19,FALSE)</f>
        <v>33</v>
      </c>
      <c r="T260" s="1">
        <f t="array" ref="T260">INDEX(ICL3_classA!$G$2:$G$37,MATCH(MIN(ABS(AI260-ICL3_classA!$F$2:$F$37)),ABS(AI260-ICL3_classA!$F$2:$F$37),0))</f>
        <v>74</v>
      </c>
      <c r="U260" s="1">
        <f t="array" ref="U260">INDEX(ICL3_classA!$H$2:$H$37,MATCH(MIN(ABS(AI260-ICL3_classA!$F$2:$F$37)),ABS(AI260-ICL3_classA!$F$2:$F$37),0))</f>
        <v>21</v>
      </c>
      <c r="V260" s="1">
        <v>61</v>
      </c>
      <c r="W260" s="1">
        <v>28</v>
      </c>
      <c r="X260" s="1">
        <f>VLOOKUP($B260&amp;"__wt",'SegEnds_Xtal_BW#'!$A:$Z,24,FALSE)</f>
        <v>56</v>
      </c>
      <c r="Y260" s="1">
        <f>VLOOKUP($B260&amp;"__wt",'SegEnds_Xtal_BW#'!$A:$Z,25,FALSE)</f>
        <v>47</v>
      </c>
      <c r="Z260" s="1">
        <f>VLOOKUP($B260&amp;"__wt",'SegEnds_Xtal_BW#'!$A:$Z,26,FALSE)</f>
        <v>58</v>
      </c>
      <c r="AA260" s="27" t="str">
        <f>VLOOKUP(A260,Classification!A:B,2,FALSE)</f>
        <v>A</v>
      </c>
      <c r="AB260" s="1">
        <f>VLOOKUP(A260,'SegEnds_NonXtal_Prot#'!A:AL,10,FALSE)-VLOOKUP(A260,'SegEnds_NonXtal_Prot#'!A:AL,4,FALSE)</f>
        <v>28</v>
      </c>
      <c r="AC260" s="1">
        <f>VLOOKUP(A260,'SegEnds_NonXtal_Prot#'!A:AL,10,FALSE)-VLOOKUP(A260,'SegEnds_NonXtal_Prot#'!A:AL,7,FALSE)</f>
        <v>15</v>
      </c>
      <c r="AD260" s="1">
        <f>VLOOKUP(A260,'SegEnds_NonXtal_Prot#'!A:AL,13,FALSE)-VLOOKUP(A260,'SegEnds_NonXtal_Prot#'!A:AL,10,FALSE)</f>
        <v>20</v>
      </c>
      <c r="AE260" s="1">
        <f>VLOOKUP(A260,'SegEnds_NonXtal_Prot#'!A:AL,16,FALSE)-VLOOKUP(A260,'SegEnds_NonXtal_Prot#'!A:AL,10,FALSE)</f>
        <v>52</v>
      </c>
      <c r="AF260" s="1">
        <f>VLOOKUP(A260,'SegEnds_NonXtal_Prot#'!A:AL,22,FALSE)-VLOOKUP(A260,'SegEnds_NonXtal_Prot#'!A:AL,19,FALSE)</f>
        <v>20</v>
      </c>
      <c r="AG260" s="1">
        <f>VLOOKUP(A260,'SegEnds_NonXtal_Prot#'!A:AL,28,FALSE)-VLOOKUP(A260,'SegEnds_NonXtal_Prot#'!A:AL,25,FALSE)</f>
        <v>25</v>
      </c>
      <c r="AH260" s="1">
        <f>VLOOKUP(A260,'SegEnds_NonXtal_Prot#'!A:AL,28,FALSE)-VLOOKUP(A260,'SegEnds_NonXtal_Prot#'!A:AL,22,FALSE)</f>
        <v>56</v>
      </c>
      <c r="AI260" s="1">
        <f>VLOOKUP(A260,'SegEnds_NonXtal_Prot#'!A:AL,31,FALSE)-VLOOKUP(A260,'SegEnds_NonXtal_Prot#'!A:AL,28,FALSE)</f>
        <v>62</v>
      </c>
      <c r="AJ260" s="1">
        <f>VLOOKUP(A260,'SegEnds_NonXtal_Prot#'!A:AL,34,FALSE)-VLOOKUP(A260,'SegEnds_NonXtal_Prot#'!A:AL,31,FALSE)</f>
        <v>41</v>
      </c>
      <c r="AK260" s="1">
        <f>VLOOKUP(A260,'SegEnds_NonXtal_Prot#'!A:AL,37,FALSE)-VLOOKUP(A260,'SegEnds_NonXtal_Prot#'!A:AL,34,FALSE)</f>
        <v>10</v>
      </c>
      <c r="AL260" s="1" t="str">
        <f>IF(ISERROR(MATCH(A260,'SegEnds_Xtal_Prot#'!B:B, 0)), "NoXtal", "Xtal")</f>
        <v>NoXtal</v>
      </c>
    </row>
    <row r="261" spans="1:38" x14ac:dyDescent="0.2">
      <c r="A261" s="1" t="s">
        <v>373</v>
      </c>
      <c r="B261" s="1" t="str">
        <f>VLOOKUP(A261,Xtal_Templ!A:B,2,FALSE)</f>
        <v>agtr1_human</v>
      </c>
      <c r="C261" s="5">
        <f>VLOOKUP($B261&amp;"__wt",'SegEnds_Xtal_BW#'!$A:$Z,3,FALSE)</f>
        <v>30</v>
      </c>
      <c r="D261" s="1">
        <f>VLOOKUP($B261&amp;"__wt",'SegEnds_Xtal_BW#'!$A:$Z,4,FALSE)</f>
        <v>60</v>
      </c>
      <c r="E261" s="1">
        <f>VLOOKUP($B261&amp;"__wt",'SegEnds_Xtal_BW#'!$A:$Z,5,FALSE)</f>
        <v>48</v>
      </c>
      <c r="F261" s="1">
        <f>VLOOKUP($B261&amp;"__wt",'SegEnds_Xtal_BW#'!$A:$Z,6,FALSE)</f>
        <v>51</v>
      </c>
      <c r="G261" s="1">
        <v>37</v>
      </c>
      <c r="H261" s="12">
        <f>VLOOKUP($B261&amp;"__wt",'SegEnds_Xtal_BW#'!$A:$Z,8,FALSE)</f>
        <v>66</v>
      </c>
      <c r="I261" s="1">
        <f>VLOOKUP($B261&amp;"__wt",'SegEnds_Xtal_BW#'!$A:$Z,9,FALSE)</f>
        <v>49</v>
      </c>
      <c r="J261" s="1">
        <f>VLOOKUP($B261&amp;"__wt",'SegEnds_Xtal_BW#'!$A:$Z,10,FALSE)</f>
        <v>52</v>
      </c>
      <c r="K261" s="12">
        <v>18</v>
      </c>
      <c r="L261" s="1">
        <f>VLOOKUP($B261&amp;"__wt",'SegEnds_Xtal_BW#'!$A:$Z,12,FALSE)</f>
        <v>56</v>
      </c>
      <c r="M261" s="1">
        <f>VLOOKUP($B261&amp;"__wt",'SegEnds_Xtal_BW#'!$A:$Z,13,FALSE)</f>
        <v>50</v>
      </c>
      <c r="N261" s="12">
        <v>58</v>
      </c>
      <c r="O261" s="87">
        <f>VLOOKUP($B261&amp;"__wt",'SegEnds_Xtal_BW#'!$A:$Z,15,FALSE)</f>
        <v>38</v>
      </c>
      <c r="P261" s="1">
        <f>VLOOKUP($B261&amp;"__wt",'SegEnds_Xtal_BW#'!$A:$Z,16,FALSE)</f>
        <v>64</v>
      </c>
      <c r="Q261" s="1">
        <f>VLOOKUP($B261&amp;"__wt",'SegEnds_Xtal_BW#'!$A:$Z,17,FALSE)</f>
        <v>50</v>
      </c>
      <c r="R261" s="1">
        <f>VLOOKUP($B261&amp;"__wt",'SegEnds_Xtal_BW#'!$A:$Z,18,FALSE)</f>
        <v>52</v>
      </c>
      <c r="S261" s="1">
        <f>VLOOKUP($B261&amp;"__wt",'SegEnds_Xtal_BW#'!$A:$Z,19,FALSE)</f>
        <v>34</v>
      </c>
      <c r="T261" s="1">
        <f t="array" ref="T261">INDEX(ICL3_classA!$G$2:$G$37,MATCH(MIN(ABS(AI261-ICL3_classA!$F$2:$F$37)),ABS(AI261-ICL3_classA!$F$2:$F$37),0))</f>
        <v>74</v>
      </c>
      <c r="U261" s="1">
        <f t="array" ref="U261">INDEX(ICL3_classA!$H$2:$H$37,MATCH(MIN(ABS(AI261-ICL3_classA!$F$2:$F$37)),ABS(AI261-ICL3_classA!$F$2:$F$37),0))</f>
        <v>21</v>
      </c>
      <c r="V261" s="1">
        <v>64</v>
      </c>
      <c r="W261" s="1">
        <v>24</v>
      </c>
      <c r="X261" s="1">
        <f>VLOOKUP($B261&amp;"__wt",'SegEnds_Xtal_BW#'!$A:$Z,24,FALSE)</f>
        <v>56</v>
      </c>
      <c r="Y261" s="1">
        <f>VLOOKUP($B261&amp;"__wt",'SegEnds_Xtal_BW#'!$A:$Z,25,FALSE)</f>
        <v>47</v>
      </c>
      <c r="Z261" s="1">
        <f>VLOOKUP($B261&amp;"__wt",'SegEnds_Xtal_BW#'!$A:$Z,26,FALSE)</f>
        <v>61</v>
      </c>
      <c r="AA261" s="27" t="str">
        <f>VLOOKUP(A261,Classification!A:B,2,FALSE)</f>
        <v>A</v>
      </c>
      <c r="AB261" s="1">
        <f>VLOOKUP(A261,'SegEnds_NonXtal_Prot#'!A:AL,10,FALSE)-VLOOKUP(A261,'SegEnds_NonXtal_Prot#'!A:AL,4,FALSE)</f>
        <v>29</v>
      </c>
      <c r="AC261" s="1">
        <f>VLOOKUP(A261,'SegEnds_NonXtal_Prot#'!A:AL,10,FALSE)-VLOOKUP(A261,'SegEnds_NonXtal_Prot#'!A:AL,7,FALSE)</f>
        <v>16</v>
      </c>
      <c r="AD261" s="1">
        <f>VLOOKUP(A261,'SegEnds_NonXtal_Prot#'!A:AL,13,FALSE)-VLOOKUP(A261,'SegEnds_NonXtal_Prot#'!A:AL,10,FALSE)</f>
        <v>20</v>
      </c>
      <c r="AE261" s="1">
        <f>VLOOKUP(A261,'SegEnds_NonXtal_Prot#'!A:AL,16,FALSE)-VLOOKUP(A261,'SegEnds_NonXtal_Prot#'!A:AL,10,FALSE)</f>
        <v>52</v>
      </c>
      <c r="AF261" s="1" t="e">
        <f>VLOOKUP(A261,'SegEnds_NonXtal_Prot#'!A:AL,22,FALSE)-VLOOKUP(A261,'SegEnds_NonXtal_Prot#'!A:AL,19,FALSE)</f>
        <v>#VALUE!</v>
      </c>
      <c r="AG261" s="1">
        <f>VLOOKUP(A261,'SegEnds_NonXtal_Prot#'!A:AL,28,FALSE)-VLOOKUP(A261,'SegEnds_NonXtal_Prot#'!A:AL,25,FALSE)</f>
        <v>32</v>
      </c>
      <c r="AH261" s="1">
        <f>VLOOKUP(A261,'SegEnds_NonXtal_Prot#'!A:AL,28,FALSE)-VLOOKUP(A261,'SegEnds_NonXtal_Prot#'!A:AL,22,FALSE)</f>
        <v>57</v>
      </c>
      <c r="AI261" s="1">
        <f>VLOOKUP(A261,'SegEnds_NonXtal_Prot#'!A:AL,31,FALSE)-VLOOKUP(A261,'SegEnds_NonXtal_Prot#'!A:AL,28,FALSE)</f>
        <v>62</v>
      </c>
      <c r="AJ261" s="1">
        <f>VLOOKUP(A261,'SegEnds_NonXtal_Prot#'!A:AL,34,FALSE)-VLOOKUP(A261,'SegEnds_NonXtal_Prot#'!A:AL,31,FALSE)</f>
        <v>45</v>
      </c>
      <c r="AK261" s="1">
        <f>VLOOKUP(A261,'SegEnds_NonXtal_Prot#'!A:AL,37,FALSE)-VLOOKUP(A261,'SegEnds_NonXtal_Prot#'!A:AL,34,FALSE)</f>
        <v>10</v>
      </c>
      <c r="AL261" s="1" t="str">
        <f>IF(ISERROR(MATCH(A261,'SegEnds_Xtal_Prot#'!B:B, 0)), "NoXtal", "Xtal")</f>
        <v>NoXtal</v>
      </c>
    </row>
    <row r="262" spans="1:38" x14ac:dyDescent="0.2">
      <c r="A262" s="1" t="s">
        <v>374</v>
      </c>
      <c r="B262" s="1" t="str">
        <f>VLOOKUP(A262,Xtal_Templ!A:B,2,FALSE)</f>
        <v>agtr1_human</v>
      </c>
      <c r="C262" s="5">
        <f>VLOOKUP($B262&amp;"__wt",'SegEnds_Xtal_BW#'!$A:$Z,3,FALSE)</f>
        <v>30</v>
      </c>
      <c r="D262" s="1">
        <f>VLOOKUP($B262&amp;"__wt",'SegEnds_Xtal_BW#'!$A:$Z,4,FALSE)</f>
        <v>60</v>
      </c>
      <c r="E262" s="1">
        <f>VLOOKUP($B262&amp;"__wt",'SegEnds_Xtal_BW#'!$A:$Z,5,FALSE)</f>
        <v>48</v>
      </c>
      <c r="F262" s="1">
        <f>VLOOKUP($B262&amp;"__wt",'SegEnds_Xtal_BW#'!$A:$Z,6,FALSE)</f>
        <v>51</v>
      </c>
      <c r="G262" s="1">
        <v>37</v>
      </c>
      <c r="H262" s="12">
        <f>VLOOKUP($B262&amp;"__wt",'SegEnds_Xtal_BW#'!$A:$Z,8,FALSE)</f>
        <v>66</v>
      </c>
      <c r="I262" s="1">
        <f>VLOOKUP($B262&amp;"__wt",'SegEnds_Xtal_BW#'!$A:$Z,9,FALSE)</f>
        <v>49</v>
      </c>
      <c r="J262" s="1">
        <f>VLOOKUP($B262&amp;"__wt",'SegEnds_Xtal_BW#'!$A:$Z,10,FALSE)</f>
        <v>52</v>
      </c>
      <c r="K262" s="12">
        <v>18</v>
      </c>
      <c r="L262" s="1">
        <f>VLOOKUP($B262&amp;"__wt",'SegEnds_Xtal_BW#'!$A:$Z,12,FALSE)</f>
        <v>56</v>
      </c>
      <c r="M262" s="1">
        <f>VLOOKUP($B262&amp;"__wt",'SegEnds_Xtal_BW#'!$A:$Z,13,FALSE)</f>
        <v>50</v>
      </c>
      <c r="N262" s="12">
        <v>57</v>
      </c>
      <c r="O262" s="87">
        <f>VLOOKUP($B262&amp;"__wt",'SegEnds_Xtal_BW#'!$A:$Z,15,FALSE)</f>
        <v>38</v>
      </c>
      <c r="P262" s="1">
        <f>VLOOKUP($B262&amp;"__wt",'SegEnds_Xtal_BW#'!$A:$Z,16,FALSE)</f>
        <v>64</v>
      </c>
      <c r="Q262" s="1">
        <f>VLOOKUP($B262&amp;"__wt",'SegEnds_Xtal_BW#'!$A:$Z,17,FALSE)</f>
        <v>50</v>
      </c>
      <c r="R262" s="1">
        <f>VLOOKUP($B262&amp;"__wt",'SegEnds_Xtal_BW#'!$A:$Z,18,FALSE)</f>
        <v>52</v>
      </c>
      <c r="S262" s="1">
        <f>VLOOKUP($B262&amp;"__wt",'SegEnds_Xtal_BW#'!$A:$Z,19,FALSE)</f>
        <v>34</v>
      </c>
      <c r="T262" s="1">
        <f t="array" ref="T262">INDEX(ICL3_classA!$G$2:$G$37,MATCH(MIN(ABS(AI262-ICL3_classA!$F$2:$F$37)),ABS(AI262-ICL3_classA!$F$2:$F$37),0))</f>
        <v>67</v>
      </c>
      <c r="U262" s="1">
        <f t="array" ref="U262">INDEX(ICL3_classA!$H$2:$H$37,MATCH(MIN(ABS(AI262-ICL3_classA!$F$2:$F$37)),ABS(AI262-ICL3_classA!$F$2:$F$37),0))</f>
        <v>28</v>
      </c>
      <c r="V262" s="1">
        <v>64</v>
      </c>
      <c r="W262" s="1">
        <v>24</v>
      </c>
      <c r="X262" s="1">
        <f>VLOOKUP($B262&amp;"__wt",'SegEnds_Xtal_BW#'!$A:$Z,24,FALSE)</f>
        <v>56</v>
      </c>
      <c r="Y262" s="1">
        <f>VLOOKUP($B262&amp;"__wt",'SegEnds_Xtal_BW#'!$A:$Z,25,FALSE)</f>
        <v>47</v>
      </c>
      <c r="Z262" s="1">
        <f>VLOOKUP($B262&amp;"__wt",'SegEnds_Xtal_BW#'!$A:$Z,26,FALSE)</f>
        <v>61</v>
      </c>
      <c r="AA262" s="27" t="str">
        <f>VLOOKUP(A262,Classification!A:B,2,FALSE)</f>
        <v>A</v>
      </c>
      <c r="AB262" s="1">
        <f>VLOOKUP(A262,'SegEnds_NonXtal_Prot#'!A:AL,10,FALSE)-VLOOKUP(A262,'SegEnds_NonXtal_Prot#'!A:AL,4,FALSE)</f>
        <v>30</v>
      </c>
      <c r="AC262" s="1">
        <f>VLOOKUP(A262,'SegEnds_NonXtal_Prot#'!A:AL,10,FALSE)-VLOOKUP(A262,'SegEnds_NonXtal_Prot#'!A:AL,7,FALSE)</f>
        <v>16</v>
      </c>
      <c r="AD262" s="1">
        <f>VLOOKUP(A262,'SegEnds_NonXtal_Prot#'!A:AL,13,FALSE)-VLOOKUP(A262,'SegEnds_NonXtal_Prot#'!A:AL,10,FALSE)</f>
        <v>20</v>
      </c>
      <c r="AE262" s="1">
        <f>VLOOKUP(A262,'SegEnds_NonXtal_Prot#'!A:AL,16,FALSE)-VLOOKUP(A262,'SegEnds_NonXtal_Prot#'!A:AL,10,FALSE)</f>
        <v>52</v>
      </c>
      <c r="AF262" s="1">
        <f>VLOOKUP(A262,'SegEnds_NonXtal_Prot#'!A:AL,22,FALSE)-VLOOKUP(A262,'SegEnds_NonXtal_Prot#'!A:AL,19,FALSE)</f>
        <v>20</v>
      </c>
      <c r="AG262" s="1">
        <f>VLOOKUP(A262,'SegEnds_NonXtal_Prot#'!A:AL,28,FALSE)-VLOOKUP(A262,'SegEnds_NonXtal_Prot#'!A:AL,25,FALSE)</f>
        <v>25</v>
      </c>
      <c r="AH262" s="1">
        <f>VLOOKUP(A262,'SegEnds_NonXtal_Prot#'!A:AL,28,FALSE)-VLOOKUP(A262,'SegEnds_NonXtal_Prot#'!A:AL,22,FALSE)</f>
        <v>50</v>
      </c>
      <c r="AI262" s="1">
        <f>VLOOKUP(A262,'SegEnds_NonXtal_Prot#'!A:AL,31,FALSE)-VLOOKUP(A262,'SegEnds_NonXtal_Prot#'!A:AL,28,FALSE)</f>
        <v>45</v>
      </c>
      <c r="AJ262" s="1">
        <f>VLOOKUP(A262,'SegEnds_NonXtal_Prot#'!A:AL,34,FALSE)-VLOOKUP(A262,'SegEnds_NonXtal_Prot#'!A:AL,31,FALSE)</f>
        <v>45</v>
      </c>
      <c r="AK262" s="1">
        <f>VLOOKUP(A262,'SegEnds_NonXtal_Prot#'!A:AL,37,FALSE)-VLOOKUP(A262,'SegEnds_NonXtal_Prot#'!A:AL,34,FALSE)</f>
        <v>10</v>
      </c>
      <c r="AL262" s="1" t="str">
        <f>IF(ISERROR(MATCH(A262,'SegEnds_Xtal_Prot#'!B:B, 0)), "NoXtal", "Xtal")</f>
        <v>NoXtal</v>
      </c>
    </row>
    <row r="263" spans="1:38" x14ac:dyDescent="0.2">
      <c r="A263" s="1" t="s">
        <v>375</v>
      </c>
      <c r="B263" s="1" t="str">
        <f>VLOOKUP(A263,Xtal_Templ!A:B,2,FALSE)</f>
        <v>aa1r_human</v>
      </c>
      <c r="C263" s="5">
        <f>VLOOKUP($B263&amp;"__wt",'SegEnds_Xtal_BW#'!$A:$Z,3,FALSE)</f>
        <v>29</v>
      </c>
      <c r="D263" s="1">
        <f>VLOOKUP($B263&amp;"__wt",'SegEnds_Xtal_BW#'!$A:$Z,4,FALSE)</f>
        <v>60</v>
      </c>
      <c r="E263" s="1">
        <f>VLOOKUP($B263&amp;"__wt",'SegEnds_Xtal_BW#'!$A:$Z,5,FALSE)</f>
        <v>48</v>
      </c>
      <c r="F263" s="1">
        <f>VLOOKUP($B263&amp;"__wt",'SegEnds_Xtal_BW#'!$A:$Z,6,FALSE)</f>
        <v>51</v>
      </c>
      <c r="G263" s="1">
        <v>37</v>
      </c>
      <c r="H263" s="12">
        <f>VLOOKUP($B263&amp;"__wt",'SegEnds_Xtal_BW#'!$A:$Z,8,FALSE)</f>
        <v>67</v>
      </c>
      <c r="I263" s="1">
        <f>VLOOKUP($B263&amp;"__wt",'SegEnds_Xtal_BW#'!$A:$Z,9,FALSE)</f>
        <v>50</v>
      </c>
      <c r="J263" s="1">
        <f>VLOOKUP($B263&amp;"__wt",'SegEnds_Xtal_BW#'!$A:$Z,10,FALSE)</f>
        <v>52</v>
      </c>
      <c r="K263" s="12">
        <v>18</v>
      </c>
      <c r="L263" s="1">
        <f>VLOOKUP($B263&amp;"__wt",'SegEnds_Xtal_BW#'!$A:$Z,12,FALSE)</f>
        <v>56</v>
      </c>
      <c r="M263" s="1">
        <f>VLOOKUP($B263&amp;"__wt",'SegEnds_Xtal_BW#'!$A:$Z,13,FALSE)</f>
        <v>50</v>
      </c>
      <c r="N263" s="108">
        <v>56</v>
      </c>
      <c r="O263" s="87">
        <f>VLOOKUP($B263&amp;"__wt",'SegEnds_Xtal_BW#'!$A:$Z,15,FALSE)</f>
        <v>38</v>
      </c>
      <c r="P263" s="1">
        <f>VLOOKUP($B263&amp;"__wt",'SegEnds_Xtal_BW#'!$A:$Z,16,FALSE)</f>
        <v>63</v>
      </c>
      <c r="Q263" s="1">
        <f>VLOOKUP($B263&amp;"__wt",'SegEnds_Xtal_BW#'!$A:$Z,17,FALSE)</f>
        <v>50</v>
      </c>
      <c r="R263" s="1">
        <f>VLOOKUP($B263&amp;"__wt",'SegEnds_Xtal_BW#'!$A:$Z,18,FALSE)</f>
        <v>52</v>
      </c>
      <c r="S263" s="1">
        <v>35</v>
      </c>
      <c r="T263" s="1">
        <f t="array" ref="T263">INDEX(ICL3_classA!$G$2:$G$37,MATCH(MIN(ABS(AI263-ICL3_classA!$F$2:$F$37)),ABS(AI263-ICL3_classA!$F$2:$F$37),0))</f>
        <v>72</v>
      </c>
      <c r="U263" s="1">
        <f t="array" ref="U263">INDEX(ICL3_classA!$H$2:$H$37,MATCH(MIN(ABS(AI263-ICL3_classA!$F$2:$F$37)),ABS(AI263-ICL3_classA!$F$2:$F$37),0))</f>
        <v>24</v>
      </c>
      <c r="V263" s="1">
        <v>61</v>
      </c>
      <c r="W263" s="1">
        <v>31</v>
      </c>
      <c r="X263" s="1">
        <f>VLOOKUP($B263&amp;"__wt",'SegEnds_Xtal_BW#'!$A:$Z,24,FALSE)</f>
        <v>56</v>
      </c>
      <c r="Y263" s="1">
        <f>VLOOKUP($B263&amp;"__wt",'SegEnds_Xtal_BW#'!$A:$Z,25,FALSE)</f>
        <v>47</v>
      </c>
      <c r="Z263" s="1">
        <f>VLOOKUP($B263&amp;"__wt",'SegEnds_Xtal_BW#'!$A:$Z,26,FALSE)</f>
        <v>69</v>
      </c>
      <c r="AA263" s="27" t="str">
        <f>VLOOKUP(A263,Classification!A:B,2,FALSE)</f>
        <v>A</v>
      </c>
      <c r="AB263" s="1">
        <f>VLOOKUP(A263,'SegEnds_NonXtal_Prot#'!A:AL,10,FALSE)-VLOOKUP(A263,'SegEnds_NonXtal_Prot#'!A:AL,4,FALSE)</f>
        <v>28</v>
      </c>
      <c r="AC263" s="1">
        <f>VLOOKUP(A263,'SegEnds_NonXtal_Prot#'!A:AL,10,FALSE)-VLOOKUP(A263,'SegEnds_NonXtal_Prot#'!A:AL,7,FALSE)</f>
        <v>15</v>
      </c>
      <c r="AD263" s="1" t="e">
        <f>VLOOKUP(A263,'SegEnds_NonXtal_Prot#'!A:AL,13,FALSE)-VLOOKUP(A263,'SegEnds_NonXtal_Prot#'!A:AL,10,FALSE)</f>
        <v>#VALUE!</v>
      </c>
      <c r="AE263" s="1">
        <f>VLOOKUP(A263,'SegEnds_NonXtal_Prot#'!A:AL,16,FALSE)-VLOOKUP(A263,'SegEnds_NonXtal_Prot#'!A:AL,10,FALSE)</f>
        <v>59</v>
      </c>
      <c r="AF263" s="1">
        <f>VLOOKUP(A263,'SegEnds_NonXtal_Prot#'!A:AL,22,FALSE)-VLOOKUP(A263,'SegEnds_NonXtal_Prot#'!A:AL,19,FALSE)</f>
        <v>19</v>
      </c>
      <c r="AG263" s="1">
        <f>VLOOKUP(A263,'SegEnds_NonXtal_Prot#'!A:AL,28,FALSE)-VLOOKUP(A263,'SegEnds_NonXtal_Prot#'!A:AL,25,FALSE)</f>
        <v>28</v>
      </c>
      <c r="AH263" s="1">
        <f>VLOOKUP(A263,'SegEnds_NonXtal_Prot#'!A:AL,28,FALSE)-VLOOKUP(A263,'SegEnds_NonXtal_Prot#'!A:AL,22,FALSE)</f>
        <v>55</v>
      </c>
      <c r="AI263" s="1">
        <f>VLOOKUP(A263,'SegEnds_NonXtal_Prot#'!A:AL,31,FALSE)-VLOOKUP(A263,'SegEnds_NonXtal_Prot#'!A:AL,28,FALSE)</f>
        <v>52</v>
      </c>
      <c r="AJ263" s="1">
        <f>VLOOKUP(A263,'SegEnds_NonXtal_Prot#'!A:AL,34,FALSE)-VLOOKUP(A263,'SegEnds_NonXtal_Prot#'!A:AL,31,FALSE)</f>
        <v>35</v>
      </c>
      <c r="AK263" s="1">
        <f>VLOOKUP(A263,'SegEnds_NonXtal_Prot#'!A:AL,37,FALSE)-VLOOKUP(A263,'SegEnds_NonXtal_Prot#'!A:AL,34,FALSE)</f>
        <v>10</v>
      </c>
      <c r="AL263" s="1" t="str">
        <f>IF(ISERROR(MATCH(A263,'SegEnds_Xtal_Prot#'!B:B, 0)), "NoXtal", "Xtal")</f>
        <v>NoXtal</v>
      </c>
    </row>
    <row r="264" spans="1:38" x14ac:dyDescent="0.2">
      <c r="A264" s="1" t="s">
        <v>376</v>
      </c>
      <c r="B264" s="1" t="str">
        <f>VLOOKUP(A264,Xtal_Templ!A:B,2,FALSE)</f>
        <v>aa1r_human</v>
      </c>
      <c r="C264" s="5">
        <f>VLOOKUP($B264&amp;"__wt",'SegEnds_Xtal_BW#'!$A:$Z,3,FALSE)</f>
        <v>29</v>
      </c>
      <c r="D264" s="1">
        <f>VLOOKUP($B264&amp;"__wt",'SegEnds_Xtal_BW#'!$A:$Z,4,FALSE)</f>
        <v>60</v>
      </c>
      <c r="E264" s="1">
        <f>VLOOKUP($B264&amp;"__wt",'SegEnds_Xtal_BW#'!$A:$Z,5,FALSE)</f>
        <v>48</v>
      </c>
      <c r="F264" s="1">
        <f>VLOOKUP($B264&amp;"__wt",'SegEnds_Xtal_BW#'!$A:$Z,6,FALSE)</f>
        <v>51</v>
      </c>
      <c r="G264" s="1">
        <v>37</v>
      </c>
      <c r="H264" s="12">
        <f>VLOOKUP($B264&amp;"__wt",'SegEnds_Xtal_BW#'!$A:$Z,8,FALSE)</f>
        <v>67</v>
      </c>
      <c r="I264" s="1">
        <f>VLOOKUP($B264&amp;"__wt",'SegEnds_Xtal_BW#'!$A:$Z,9,FALSE)</f>
        <v>50</v>
      </c>
      <c r="J264" s="1">
        <f>VLOOKUP($B264&amp;"__wt",'SegEnds_Xtal_BW#'!$A:$Z,10,FALSE)</f>
        <v>52</v>
      </c>
      <c r="K264" s="12">
        <v>18</v>
      </c>
      <c r="L264" s="1">
        <f>VLOOKUP($B264&amp;"__wt",'SegEnds_Xtal_BW#'!$A:$Z,12,FALSE)</f>
        <v>56</v>
      </c>
      <c r="M264" s="1">
        <f>VLOOKUP($B264&amp;"__wt",'SegEnds_Xtal_BW#'!$A:$Z,13,FALSE)</f>
        <v>50</v>
      </c>
      <c r="N264" s="108">
        <v>56</v>
      </c>
      <c r="O264" s="87">
        <f>VLOOKUP($B264&amp;"__wt",'SegEnds_Xtal_BW#'!$A:$Z,15,FALSE)</f>
        <v>38</v>
      </c>
      <c r="P264" s="1">
        <f>VLOOKUP($B264&amp;"__wt",'SegEnds_Xtal_BW#'!$A:$Z,16,FALSE)</f>
        <v>63</v>
      </c>
      <c r="Q264" s="1">
        <f>VLOOKUP($B264&amp;"__wt",'SegEnds_Xtal_BW#'!$A:$Z,17,FALSE)</f>
        <v>50</v>
      </c>
      <c r="R264" s="1">
        <f>VLOOKUP($B264&amp;"__wt",'SegEnds_Xtal_BW#'!$A:$Z,18,FALSE)</f>
        <v>52</v>
      </c>
      <c r="S264" s="1">
        <v>35</v>
      </c>
      <c r="T264" s="1">
        <f t="array" ref="T264">INDEX(ICL3_classA!$G$2:$G$37,MATCH(MIN(ABS(AI264-ICL3_classA!$F$2:$F$37)),ABS(AI264-ICL3_classA!$F$2:$F$37),0))</f>
        <v>72</v>
      </c>
      <c r="U264" s="1">
        <f t="array" ref="U264">INDEX(ICL3_classA!$H$2:$H$37,MATCH(MIN(ABS(AI264-ICL3_classA!$F$2:$F$37)),ABS(AI264-ICL3_classA!$F$2:$F$37),0))</f>
        <v>24</v>
      </c>
      <c r="V264" s="1">
        <v>61</v>
      </c>
      <c r="W264" s="1">
        <v>31</v>
      </c>
      <c r="X264" s="1">
        <f>VLOOKUP($B264&amp;"__wt",'SegEnds_Xtal_BW#'!$A:$Z,24,FALSE)</f>
        <v>56</v>
      </c>
      <c r="Y264" s="1">
        <f>VLOOKUP($B264&amp;"__wt",'SegEnds_Xtal_BW#'!$A:$Z,25,FALSE)</f>
        <v>47</v>
      </c>
      <c r="Z264" s="1">
        <f>VLOOKUP($B264&amp;"__wt",'SegEnds_Xtal_BW#'!$A:$Z,26,FALSE)</f>
        <v>69</v>
      </c>
      <c r="AA264" s="27" t="str">
        <f>VLOOKUP(A264,Classification!A:B,2,FALSE)</f>
        <v>A</v>
      </c>
      <c r="AB264" s="1">
        <f>VLOOKUP(A264,'SegEnds_NonXtal_Prot#'!A:AL,10,FALSE)-VLOOKUP(A264,'SegEnds_NonXtal_Prot#'!A:AL,4,FALSE)</f>
        <v>28</v>
      </c>
      <c r="AC264" s="1">
        <f>VLOOKUP(A264,'SegEnds_NonXtal_Prot#'!A:AL,10,FALSE)-VLOOKUP(A264,'SegEnds_NonXtal_Prot#'!A:AL,7,FALSE)</f>
        <v>15</v>
      </c>
      <c r="AD264" s="1">
        <f>VLOOKUP(A264,'SegEnds_NonXtal_Prot#'!A:AL,13,FALSE)-VLOOKUP(A264,'SegEnds_NonXtal_Prot#'!A:AL,10,FALSE)</f>
        <v>24</v>
      </c>
      <c r="AE264" s="1">
        <f>VLOOKUP(A264,'SegEnds_NonXtal_Prot#'!A:AL,16,FALSE)-VLOOKUP(A264,'SegEnds_NonXtal_Prot#'!A:AL,10,FALSE)</f>
        <v>59</v>
      </c>
      <c r="AF264" s="1">
        <f>VLOOKUP(A264,'SegEnds_NonXtal_Prot#'!A:AL,22,FALSE)-VLOOKUP(A264,'SegEnds_NonXtal_Prot#'!A:AL,19,FALSE)</f>
        <v>19</v>
      </c>
      <c r="AG264" s="1">
        <f>VLOOKUP(A264,'SegEnds_NonXtal_Prot#'!A:AL,28,FALSE)-VLOOKUP(A264,'SegEnds_NonXtal_Prot#'!A:AL,25,FALSE)</f>
        <v>28</v>
      </c>
      <c r="AH264" s="1">
        <f>VLOOKUP(A264,'SegEnds_NonXtal_Prot#'!A:AL,28,FALSE)-VLOOKUP(A264,'SegEnds_NonXtal_Prot#'!A:AL,22,FALSE)</f>
        <v>55</v>
      </c>
      <c r="AI264" s="1">
        <f>VLOOKUP(A264,'SegEnds_NonXtal_Prot#'!A:AL,31,FALSE)-VLOOKUP(A264,'SegEnds_NonXtal_Prot#'!A:AL,28,FALSE)</f>
        <v>52</v>
      </c>
      <c r="AJ264" s="1">
        <f>VLOOKUP(A264,'SegEnds_NonXtal_Prot#'!A:AL,34,FALSE)-VLOOKUP(A264,'SegEnds_NonXtal_Prot#'!A:AL,31,FALSE)</f>
        <v>35</v>
      </c>
      <c r="AK264" s="1">
        <f>VLOOKUP(A264,'SegEnds_NonXtal_Prot#'!A:AL,37,FALSE)-VLOOKUP(A264,'SegEnds_NonXtal_Prot#'!A:AL,34,FALSE)</f>
        <v>10</v>
      </c>
      <c r="AL264" s="1" t="str">
        <f>IF(ISERROR(MATCH(A264,'SegEnds_Xtal_Prot#'!B:B, 0)), "NoXtal", "Xtal")</f>
        <v>NoXtal</v>
      </c>
    </row>
    <row r="265" spans="1:38" x14ac:dyDescent="0.2">
      <c r="A265" s="4" t="s">
        <v>104</v>
      </c>
      <c r="B265" s="4" t="str">
        <f>VLOOKUP(A265,Xtal_Templ!A:B,2,FALSE)</f>
        <v>s1pr1_human</v>
      </c>
      <c r="C265" s="5">
        <f>VLOOKUP($B265&amp;"__wt",'SegEnds_Xtal_BW#'!$A:$Z,3,FALSE)</f>
        <v>29</v>
      </c>
      <c r="D265" s="4">
        <f>VLOOKUP($B265&amp;"__wt",'SegEnds_Xtal_BW#'!$A:$Z,4,FALSE)</f>
        <v>60</v>
      </c>
      <c r="E265" s="4">
        <f>VLOOKUP($B265&amp;"__wt",'SegEnds_Xtal_BW#'!$A:$Z,5,FALSE)</f>
        <v>48</v>
      </c>
      <c r="F265" s="4">
        <f>VLOOKUP($B265&amp;"__wt",'SegEnds_Xtal_BW#'!$A:$Z,6,FALSE)</f>
        <v>51</v>
      </c>
      <c r="G265" s="4">
        <v>37</v>
      </c>
      <c r="H265" s="11">
        <v>63</v>
      </c>
      <c r="I265" s="4">
        <f>VLOOKUP($B265&amp;"__wt",'SegEnds_Xtal_BW#'!$A:$Z,9,FALSE)</f>
        <v>47</v>
      </c>
      <c r="J265" s="4">
        <f>VLOOKUP($B265&amp;"__wt",'SegEnds_Xtal_BW#'!$A:$Z,10,FALSE)</f>
        <v>53</v>
      </c>
      <c r="K265" s="11">
        <f>VLOOKUP($B265&amp;"__wt",'SegEnds_Xtal_BW#'!$A:$Z,11,FALSE)</f>
        <v>21</v>
      </c>
      <c r="L265" s="4">
        <f>VLOOKUP($B265&amp;"__wt",'SegEnds_Xtal_BW#'!$A:$Z,12,FALSE)</f>
        <v>56</v>
      </c>
      <c r="M265" s="4">
        <f>VLOOKUP($B265&amp;"__wt",'SegEnds_Xtal_BW#'!$A:$Z,13,FALSE)</f>
        <v>50</v>
      </c>
      <c r="N265" s="108">
        <f>VLOOKUP($B265&amp;"__wt",'SegEnds_Xtal_BW#'!$A:$Z,14,FALSE)</f>
        <v>56</v>
      </c>
      <c r="O265" s="87">
        <f>VLOOKUP($B265&amp;"__wt",'SegEnds_Xtal_BW#'!$A:$Z,15,FALSE)</f>
        <v>38</v>
      </c>
      <c r="P265" s="4">
        <f>VLOOKUP($B265&amp;"__wt",'SegEnds_Xtal_BW#'!$A:$Z,16,FALSE)</f>
        <v>63</v>
      </c>
      <c r="Q265" s="4" t="str">
        <f>VLOOKUP($B265&amp;"__wt",'SegEnds_Xtal_BW#'!$A:$Z,17,FALSE)</f>
        <v>-</v>
      </c>
      <c r="R265" s="4" t="str">
        <f>VLOOKUP($B265&amp;"__wt",'SegEnds_Xtal_BW#'!$A:$Z,18,FALSE)</f>
        <v>-</v>
      </c>
      <c r="S265" s="4">
        <f>VLOOKUP($B265&amp;"__wt",'SegEnds_Xtal_BW#'!$A:$Z,19,FALSE)</f>
        <v>36</v>
      </c>
      <c r="T265" s="4">
        <f t="array" ref="T265">INDEX(ICL3_classA!$G$2:$G$37,MATCH(MIN(ABS(AI265-ICL3_classA!$F$2:$F$37)),ABS(AI265-ICL3_classA!$F$2:$F$37),0))</f>
        <v>73</v>
      </c>
      <c r="U265" s="4">
        <f t="array" ref="U265">INDEX(ICL3_classA!$H$2:$H$37,MATCH(MIN(ABS(AI265-ICL3_classA!$F$2:$F$37)),ABS(AI265-ICL3_classA!$F$2:$F$37),0))</f>
        <v>24</v>
      </c>
      <c r="V265" s="4">
        <v>61</v>
      </c>
      <c r="W265" s="4">
        <v>30</v>
      </c>
      <c r="X265" s="1">
        <f>VLOOKUP($B265&amp;"__wt",'SegEnds_Xtal_BW#'!$A:$Z,24,FALSE)</f>
        <v>56</v>
      </c>
      <c r="Y265" s="4">
        <f>VLOOKUP($B265&amp;"__wt",'SegEnds_Xtal_BW#'!$A:$Z,25,FALSE)</f>
        <v>47</v>
      </c>
      <c r="Z265" s="4">
        <f>VLOOKUP($B265&amp;"__wt",'SegEnds_Xtal_BW#'!$A:$Z,26,FALSE)</f>
        <v>59</v>
      </c>
      <c r="AA265" s="27" t="str">
        <f>VLOOKUP(A265,Classification!A:B,2,FALSE)</f>
        <v>A</v>
      </c>
      <c r="AB265" s="1">
        <f>VLOOKUP(A265,'SegEnds_NonXtal_Prot#'!A:AL,10,FALSE)-VLOOKUP(A265,'SegEnds_NonXtal_Prot#'!A:AL,4,FALSE)</f>
        <v>28</v>
      </c>
      <c r="AC265" s="4">
        <f>VLOOKUP(A265,'SegEnds_NonXtal_Prot#'!A:AL,10,FALSE)-VLOOKUP(A265,'SegEnds_NonXtal_Prot#'!A:AL,7,FALSE)</f>
        <v>15</v>
      </c>
      <c r="AD265" s="4">
        <f>VLOOKUP(A265,'SegEnds_NonXtal_Prot#'!A:AL,13,FALSE)-VLOOKUP(A265,'SegEnds_NonXtal_Prot#'!A:AL,10,FALSE)</f>
        <v>18</v>
      </c>
      <c r="AE265" s="4">
        <f>VLOOKUP(A265,'SegEnds_NonXtal_Prot#'!A:AL,16,FALSE)-VLOOKUP(A265,'SegEnds_NonXtal_Prot#'!A:AL,10,FALSE)</f>
        <v>51</v>
      </c>
      <c r="AF265" s="1">
        <f>VLOOKUP(A265,'SegEnds_NonXtal_Prot#'!A:AL,22,FALSE)-VLOOKUP(A265,'SegEnds_NonXtal_Prot#'!A:AL,19,FALSE)</f>
        <v>19</v>
      </c>
      <c r="AG265" s="4" t="e">
        <f>VLOOKUP(A265,'SegEnds_NonXtal_Prot#'!A:AL,28,FALSE)-VLOOKUP(A265,'SegEnds_NonXtal_Prot#'!A:AL,25,FALSE)</f>
        <v>#VALUE!</v>
      </c>
      <c r="AH265" s="1">
        <f>VLOOKUP(A265,'SegEnds_NonXtal_Prot#'!A:AL,28,FALSE)-VLOOKUP(A265,'SegEnds_NonXtal_Prot#'!A:AL,22,FALSE)</f>
        <v>45</v>
      </c>
      <c r="AI265" s="4">
        <f>VLOOKUP(A265,'SegEnds_NonXtal_Prot#'!A:AL,31,FALSE)-VLOOKUP(A265,'SegEnds_NonXtal_Prot#'!A:AL,28,FALSE)</f>
        <v>58</v>
      </c>
      <c r="AJ265" s="4">
        <f>VLOOKUP(A265,'SegEnds_NonXtal_Prot#'!A:AL,34,FALSE)-VLOOKUP(A265,'SegEnds_NonXtal_Prot#'!A:AL,31,FALSE)</f>
        <v>37</v>
      </c>
      <c r="AK265" s="1">
        <f>VLOOKUP(A265,'SegEnds_NonXtal_Prot#'!A:AL,37,FALSE)-VLOOKUP(A265,'SegEnds_NonXtal_Prot#'!A:AL,34,FALSE)</f>
        <v>10</v>
      </c>
      <c r="AL265" s="1" t="str">
        <f>IF(ISERROR(MATCH(A265,'SegEnds_Xtal_Prot#'!B:B, 0)), "NoXtal", "Xtal")</f>
        <v>Xtal</v>
      </c>
    </row>
    <row r="266" spans="1:38" x14ac:dyDescent="0.2">
      <c r="A266" s="1" t="s">
        <v>377</v>
      </c>
      <c r="B266" s="1" t="str">
        <f>VLOOKUP(A266,Xtal_Templ!A:B,2,FALSE)</f>
        <v>s1pr1_human</v>
      </c>
      <c r="C266" s="5">
        <f>VLOOKUP($B266&amp;"__wt",'SegEnds_Xtal_BW#'!$A:$Z,3,FALSE)</f>
        <v>29</v>
      </c>
      <c r="D266" s="1">
        <f>VLOOKUP($B266&amp;"__wt",'SegEnds_Xtal_BW#'!$A:$Z,4,FALSE)</f>
        <v>60</v>
      </c>
      <c r="E266" s="1">
        <f>VLOOKUP($B266&amp;"__wt",'SegEnds_Xtal_BW#'!$A:$Z,5,FALSE)</f>
        <v>48</v>
      </c>
      <c r="F266" s="1">
        <f>VLOOKUP($B266&amp;"__wt",'SegEnds_Xtal_BW#'!$A:$Z,6,FALSE)</f>
        <v>51</v>
      </c>
      <c r="G266" s="1">
        <v>37</v>
      </c>
      <c r="H266" s="12">
        <v>63</v>
      </c>
      <c r="I266" s="1">
        <f>VLOOKUP($B266&amp;"__wt",'SegEnds_Xtal_BW#'!$A:$Z,9,FALSE)</f>
        <v>47</v>
      </c>
      <c r="J266" s="1">
        <f>VLOOKUP($B266&amp;"__wt",'SegEnds_Xtal_BW#'!$A:$Z,10,FALSE)</f>
        <v>53</v>
      </c>
      <c r="K266" s="12">
        <v>21</v>
      </c>
      <c r="L266" s="1">
        <f>VLOOKUP($B266&amp;"__wt",'SegEnds_Xtal_BW#'!$A:$Z,12,FALSE)</f>
        <v>56</v>
      </c>
      <c r="M266" s="1">
        <f>VLOOKUP($B266&amp;"__wt",'SegEnds_Xtal_BW#'!$A:$Z,13,FALSE)</f>
        <v>50</v>
      </c>
      <c r="N266" s="108">
        <v>56</v>
      </c>
      <c r="O266" s="87">
        <f>VLOOKUP($B266&amp;"__wt",'SegEnds_Xtal_BW#'!$A:$Z,15,FALSE)</f>
        <v>38</v>
      </c>
      <c r="P266" s="1">
        <f>VLOOKUP($B266&amp;"__wt",'SegEnds_Xtal_BW#'!$A:$Z,16,FALSE)</f>
        <v>63</v>
      </c>
      <c r="Q266" s="1" t="str">
        <f>VLOOKUP($B266&amp;"__wt",'SegEnds_Xtal_BW#'!$A:$Z,17,FALSE)</f>
        <v>-</v>
      </c>
      <c r="R266" s="1" t="str">
        <f>VLOOKUP($B266&amp;"__wt",'SegEnds_Xtal_BW#'!$A:$Z,18,FALSE)</f>
        <v>-</v>
      </c>
      <c r="S266" s="1">
        <f>VLOOKUP($B266&amp;"__wt",'SegEnds_Xtal_BW#'!$A:$Z,19,FALSE)</f>
        <v>36</v>
      </c>
      <c r="T266" s="1">
        <f t="array" ref="T266">INDEX(ICL3_classA!$G$2:$G$37,MATCH(MIN(ABS(AI266-ICL3_classA!$F$2:$F$37)),ABS(AI266-ICL3_classA!$F$2:$F$37),0))</f>
        <v>67</v>
      </c>
      <c r="U266" s="1">
        <f t="array" ref="U266">INDEX(ICL3_classA!$H$2:$H$37,MATCH(MIN(ABS(AI266-ICL3_classA!$F$2:$F$37)),ABS(AI266-ICL3_classA!$F$2:$F$37),0))</f>
        <v>26</v>
      </c>
      <c r="V266" s="1">
        <v>61</v>
      </c>
      <c r="W266" s="1">
        <v>30</v>
      </c>
      <c r="X266" s="1">
        <f>VLOOKUP($B266&amp;"__wt",'SegEnds_Xtal_BW#'!$A:$Z,24,FALSE)</f>
        <v>56</v>
      </c>
      <c r="Y266" s="1">
        <f>VLOOKUP($B266&amp;"__wt",'SegEnds_Xtal_BW#'!$A:$Z,25,FALSE)</f>
        <v>47</v>
      </c>
      <c r="Z266" s="1">
        <f>VLOOKUP($B266&amp;"__wt",'SegEnds_Xtal_BW#'!$A:$Z,26,FALSE)</f>
        <v>59</v>
      </c>
      <c r="AA266" s="27" t="str">
        <f>VLOOKUP(A266,Classification!A:B,2,FALSE)</f>
        <v>A</v>
      </c>
      <c r="AB266" s="1">
        <f>VLOOKUP(A266,'SegEnds_NonXtal_Prot#'!A:AL,10,FALSE)-VLOOKUP(A266,'SegEnds_NonXtal_Prot#'!A:AL,4,FALSE)</f>
        <v>28</v>
      </c>
      <c r="AC266" s="1">
        <f>VLOOKUP(A266,'SegEnds_NonXtal_Prot#'!A:AL,10,FALSE)-VLOOKUP(A266,'SegEnds_NonXtal_Prot#'!A:AL,7,FALSE)</f>
        <v>15</v>
      </c>
      <c r="AD266" s="1">
        <f>VLOOKUP(A266,'SegEnds_NonXtal_Prot#'!A:AL,13,FALSE)-VLOOKUP(A266,'SegEnds_NonXtal_Prot#'!A:AL,10,FALSE)</f>
        <v>18</v>
      </c>
      <c r="AE266" s="1">
        <f>VLOOKUP(A266,'SegEnds_NonXtal_Prot#'!A:AL,16,FALSE)-VLOOKUP(A266,'SegEnds_NonXtal_Prot#'!A:AL,10,FALSE)</f>
        <v>51</v>
      </c>
      <c r="AF266" s="1">
        <f>VLOOKUP(A266,'SegEnds_NonXtal_Prot#'!A:AL,22,FALSE)-VLOOKUP(A266,'SegEnds_NonXtal_Prot#'!A:AL,19,FALSE)</f>
        <v>19</v>
      </c>
      <c r="AG266" s="1" t="e">
        <f>VLOOKUP(A266,'SegEnds_NonXtal_Prot#'!A:AL,28,FALSE)-VLOOKUP(A266,'SegEnds_NonXtal_Prot#'!A:AL,25,FALSE)</f>
        <v>#VALUE!</v>
      </c>
      <c r="AH266" s="1">
        <f>VLOOKUP(A266,'SegEnds_NonXtal_Prot#'!A:AL,28,FALSE)-VLOOKUP(A266,'SegEnds_NonXtal_Prot#'!A:AL,22,FALSE)</f>
        <v>45</v>
      </c>
      <c r="AI266" s="1">
        <f>VLOOKUP(A266,'SegEnds_NonXtal_Prot#'!A:AL,31,FALSE)-VLOOKUP(A266,'SegEnds_NonXtal_Prot#'!A:AL,28,FALSE)</f>
        <v>47</v>
      </c>
      <c r="AJ266" s="1">
        <f>VLOOKUP(A266,'SegEnds_NonXtal_Prot#'!A:AL,34,FALSE)-VLOOKUP(A266,'SegEnds_NonXtal_Prot#'!A:AL,31,FALSE)</f>
        <v>37</v>
      </c>
      <c r="AK266" s="1">
        <f>VLOOKUP(A266,'SegEnds_NonXtal_Prot#'!A:AL,37,FALSE)-VLOOKUP(A266,'SegEnds_NonXtal_Prot#'!A:AL,34,FALSE)</f>
        <v>10</v>
      </c>
      <c r="AL266" s="1" t="str">
        <f>IF(ISERROR(MATCH(A266,'SegEnds_Xtal_Prot#'!B:B, 0)), "NoXtal", "Xtal")</f>
        <v>NoXtal</v>
      </c>
    </row>
    <row r="267" spans="1:38" x14ac:dyDescent="0.2">
      <c r="A267" s="1" t="s">
        <v>378</v>
      </c>
      <c r="B267" s="1" t="str">
        <f>VLOOKUP(A267,Xtal_Templ!A:B,2,FALSE)</f>
        <v>s1pr1_human</v>
      </c>
      <c r="C267" s="5">
        <f>VLOOKUP($B267&amp;"__wt",'SegEnds_Xtal_BW#'!$A:$Z,3,FALSE)</f>
        <v>29</v>
      </c>
      <c r="D267" s="1">
        <f>VLOOKUP($B267&amp;"__wt",'SegEnds_Xtal_BW#'!$A:$Z,4,FALSE)</f>
        <v>60</v>
      </c>
      <c r="E267" s="1">
        <f>VLOOKUP($B267&amp;"__wt",'SegEnds_Xtal_BW#'!$A:$Z,5,FALSE)</f>
        <v>48</v>
      </c>
      <c r="F267" s="1">
        <f>VLOOKUP($B267&amp;"__wt",'SegEnds_Xtal_BW#'!$A:$Z,6,FALSE)</f>
        <v>51</v>
      </c>
      <c r="G267" s="1">
        <v>37</v>
      </c>
      <c r="H267" s="12">
        <v>63</v>
      </c>
      <c r="I267" s="1">
        <f>VLOOKUP($B267&amp;"__wt",'SegEnds_Xtal_BW#'!$A:$Z,9,FALSE)</f>
        <v>47</v>
      </c>
      <c r="J267" s="1">
        <f>VLOOKUP($B267&amp;"__wt",'SegEnds_Xtal_BW#'!$A:$Z,10,FALSE)</f>
        <v>53</v>
      </c>
      <c r="K267" s="12">
        <v>21</v>
      </c>
      <c r="L267" s="1">
        <f>VLOOKUP($B267&amp;"__wt",'SegEnds_Xtal_BW#'!$A:$Z,12,FALSE)</f>
        <v>56</v>
      </c>
      <c r="M267" s="1">
        <f>VLOOKUP($B267&amp;"__wt",'SegEnds_Xtal_BW#'!$A:$Z,13,FALSE)</f>
        <v>50</v>
      </c>
      <c r="N267" s="108">
        <v>56</v>
      </c>
      <c r="O267" s="87">
        <f>VLOOKUP($B267&amp;"__wt",'SegEnds_Xtal_BW#'!$A:$Z,15,FALSE)</f>
        <v>38</v>
      </c>
      <c r="P267" s="1">
        <f>VLOOKUP($B267&amp;"__wt",'SegEnds_Xtal_BW#'!$A:$Z,16,FALSE)</f>
        <v>63</v>
      </c>
      <c r="Q267" s="1" t="str">
        <f>VLOOKUP($B267&amp;"__wt",'SegEnds_Xtal_BW#'!$A:$Z,17,FALSE)</f>
        <v>-</v>
      </c>
      <c r="R267" s="1" t="str">
        <f>VLOOKUP($B267&amp;"__wt",'SegEnds_Xtal_BW#'!$A:$Z,18,FALSE)</f>
        <v>-</v>
      </c>
      <c r="S267" s="1">
        <f>VLOOKUP($B267&amp;"__wt",'SegEnds_Xtal_BW#'!$A:$Z,19,FALSE)</f>
        <v>36</v>
      </c>
      <c r="T267" s="1">
        <f t="array" ref="T267">INDEX(ICL3_classA!$G$2:$G$37,MATCH(MIN(ABS(AI267-ICL3_classA!$F$2:$F$37)),ABS(AI267-ICL3_classA!$F$2:$F$37),0))</f>
        <v>68</v>
      </c>
      <c r="U267" s="1">
        <f t="array" ref="U267">INDEX(ICL3_classA!$H$2:$H$37,MATCH(MIN(ABS(AI267-ICL3_classA!$F$2:$F$37)),ABS(AI267-ICL3_classA!$F$2:$F$37),0))</f>
        <v>23</v>
      </c>
      <c r="V267" s="1">
        <v>61</v>
      </c>
      <c r="W267" s="1">
        <v>30</v>
      </c>
      <c r="X267" s="1">
        <f>VLOOKUP($B267&amp;"__wt",'SegEnds_Xtal_BW#'!$A:$Z,24,FALSE)</f>
        <v>56</v>
      </c>
      <c r="Y267" s="1">
        <f>VLOOKUP($B267&amp;"__wt",'SegEnds_Xtal_BW#'!$A:$Z,25,FALSE)</f>
        <v>47</v>
      </c>
      <c r="Z267" s="1">
        <f>VLOOKUP($B267&amp;"__wt",'SegEnds_Xtal_BW#'!$A:$Z,26,FALSE)</f>
        <v>59</v>
      </c>
      <c r="AA267" s="27" t="str">
        <f>VLOOKUP(A267,Classification!A:B,2,FALSE)</f>
        <v>A</v>
      </c>
      <c r="AB267" s="1">
        <f>VLOOKUP(A267,'SegEnds_NonXtal_Prot#'!A:AL,10,FALSE)-VLOOKUP(A267,'SegEnds_NonXtal_Prot#'!A:AL,4,FALSE)</f>
        <v>28</v>
      </c>
      <c r="AC267" s="1">
        <f>VLOOKUP(A267,'SegEnds_NonXtal_Prot#'!A:AL,10,FALSE)-VLOOKUP(A267,'SegEnds_NonXtal_Prot#'!A:AL,7,FALSE)</f>
        <v>15</v>
      </c>
      <c r="AD267" s="1">
        <f>VLOOKUP(A267,'SegEnds_NonXtal_Prot#'!A:AL,13,FALSE)-VLOOKUP(A267,'SegEnds_NonXtal_Prot#'!A:AL,10,FALSE)</f>
        <v>18</v>
      </c>
      <c r="AE267" s="1">
        <f>VLOOKUP(A267,'SegEnds_NonXtal_Prot#'!A:AL,16,FALSE)-VLOOKUP(A267,'SegEnds_NonXtal_Prot#'!A:AL,10,FALSE)</f>
        <v>51</v>
      </c>
      <c r="AF267" s="1">
        <f>VLOOKUP(A267,'SegEnds_NonXtal_Prot#'!A:AL,22,FALSE)-VLOOKUP(A267,'SegEnds_NonXtal_Prot#'!A:AL,19,FALSE)</f>
        <v>19</v>
      </c>
      <c r="AG267" s="1" t="e">
        <f>VLOOKUP(A267,'SegEnds_NonXtal_Prot#'!A:AL,28,FALSE)-VLOOKUP(A267,'SegEnds_NonXtal_Prot#'!A:AL,25,FALSE)</f>
        <v>#VALUE!</v>
      </c>
      <c r="AH267" s="1">
        <f>VLOOKUP(A267,'SegEnds_NonXtal_Prot#'!A:AL,28,FALSE)-VLOOKUP(A267,'SegEnds_NonXtal_Prot#'!A:AL,22,FALSE)</f>
        <v>45</v>
      </c>
      <c r="AI267" s="1">
        <f>VLOOKUP(A267,'SegEnds_NonXtal_Prot#'!A:AL,31,FALSE)-VLOOKUP(A267,'SegEnds_NonXtal_Prot#'!A:AL,28,FALSE)</f>
        <v>51</v>
      </c>
      <c r="AJ267" s="1">
        <f>VLOOKUP(A267,'SegEnds_NonXtal_Prot#'!A:AL,34,FALSE)-VLOOKUP(A267,'SegEnds_NonXtal_Prot#'!A:AL,31,FALSE)</f>
        <v>37</v>
      </c>
      <c r="AK267" s="1">
        <f>VLOOKUP(A267,'SegEnds_NonXtal_Prot#'!A:AL,37,FALSE)-VLOOKUP(A267,'SegEnds_NonXtal_Prot#'!A:AL,34,FALSE)</f>
        <v>10</v>
      </c>
      <c r="AL267" s="1" t="str">
        <f>IF(ISERROR(MATCH(A267,'SegEnds_Xtal_Prot#'!B:B, 0)), "NoXtal", "Xtal")</f>
        <v>NoXtal</v>
      </c>
    </row>
    <row r="268" spans="1:38" x14ac:dyDescent="0.2">
      <c r="A268" s="1" t="s">
        <v>379</v>
      </c>
      <c r="B268" s="1" t="str">
        <f>VLOOKUP(A268,Xtal_Templ!A:B,2,FALSE)</f>
        <v>s1pr1_human</v>
      </c>
      <c r="C268" s="5">
        <f>VLOOKUP($B268&amp;"__wt",'SegEnds_Xtal_BW#'!$A:$Z,3,FALSE)</f>
        <v>29</v>
      </c>
      <c r="D268" s="1">
        <f>VLOOKUP($B268&amp;"__wt",'SegEnds_Xtal_BW#'!$A:$Z,4,FALSE)</f>
        <v>60</v>
      </c>
      <c r="E268" s="1">
        <f>VLOOKUP($B268&amp;"__wt",'SegEnds_Xtal_BW#'!$A:$Z,5,FALSE)</f>
        <v>48</v>
      </c>
      <c r="F268" s="1">
        <f>VLOOKUP($B268&amp;"__wt",'SegEnds_Xtal_BW#'!$A:$Z,6,FALSE)</f>
        <v>51</v>
      </c>
      <c r="G268" s="1">
        <v>37</v>
      </c>
      <c r="H268" s="12">
        <v>63</v>
      </c>
      <c r="I268" s="1">
        <f>VLOOKUP($B268&amp;"__wt",'SegEnds_Xtal_BW#'!$A:$Z,9,FALSE)</f>
        <v>47</v>
      </c>
      <c r="J268" s="1">
        <f>VLOOKUP($B268&amp;"__wt",'SegEnds_Xtal_BW#'!$A:$Z,10,FALSE)</f>
        <v>53</v>
      </c>
      <c r="K268" s="12">
        <v>21</v>
      </c>
      <c r="L268" s="1">
        <f>VLOOKUP($B268&amp;"__wt",'SegEnds_Xtal_BW#'!$A:$Z,12,FALSE)</f>
        <v>56</v>
      </c>
      <c r="M268" s="1">
        <f>VLOOKUP($B268&amp;"__wt",'SegEnds_Xtal_BW#'!$A:$Z,13,FALSE)</f>
        <v>50</v>
      </c>
      <c r="N268" s="12">
        <v>57</v>
      </c>
      <c r="O268" s="87">
        <v>38</v>
      </c>
      <c r="P268" s="1">
        <f>VLOOKUP($B268&amp;"__wt",'SegEnds_Xtal_BW#'!$A:$Z,16,FALSE)</f>
        <v>63</v>
      </c>
      <c r="Q268" s="1" t="str">
        <f>VLOOKUP($B268&amp;"__wt",'SegEnds_Xtal_BW#'!$A:$Z,17,FALSE)</f>
        <v>-</v>
      </c>
      <c r="R268" s="1" t="str">
        <f>VLOOKUP($B268&amp;"__wt",'SegEnds_Xtal_BW#'!$A:$Z,18,FALSE)</f>
        <v>-</v>
      </c>
      <c r="S268" s="1">
        <f>VLOOKUP($B268&amp;"__wt",'SegEnds_Xtal_BW#'!$A:$Z,19,FALSE)</f>
        <v>36</v>
      </c>
      <c r="T268" s="1">
        <f t="array" ref="T268">INDEX(ICL3_classA!$G$2:$G$37,MATCH(MIN(ABS(AI268-ICL3_classA!$F$2:$F$37)),ABS(AI268-ICL3_classA!$F$2:$F$37),0))</f>
        <v>68</v>
      </c>
      <c r="U268" s="1">
        <f t="array" ref="U268">INDEX(ICL3_classA!$H$2:$H$37,MATCH(MIN(ABS(AI268-ICL3_classA!$F$2:$F$37)),ABS(AI268-ICL3_classA!$F$2:$F$37),0))</f>
        <v>23</v>
      </c>
      <c r="V268" s="1">
        <v>61</v>
      </c>
      <c r="W268" s="1">
        <v>30</v>
      </c>
      <c r="X268" s="1">
        <f>VLOOKUP($B268&amp;"__wt",'SegEnds_Xtal_BW#'!$A:$Z,24,FALSE)</f>
        <v>56</v>
      </c>
      <c r="Y268" s="1">
        <f>VLOOKUP($B268&amp;"__wt",'SegEnds_Xtal_BW#'!$A:$Z,25,FALSE)</f>
        <v>47</v>
      </c>
      <c r="Z268" s="1">
        <f>VLOOKUP($B268&amp;"__wt",'SegEnds_Xtal_BW#'!$A:$Z,26,FALSE)</f>
        <v>59</v>
      </c>
      <c r="AA268" s="27" t="str">
        <f>VLOOKUP(A268,Classification!A:B,2,FALSE)</f>
        <v>A</v>
      </c>
      <c r="AB268" s="1">
        <f>VLOOKUP(A268,'SegEnds_NonXtal_Prot#'!A:AL,10,FALSE)-VLOOKUP(A268,'SegEnds_NonXtal_Prot#'!A:AL,4,FALSE)</f>
        <v>28</v>
      </c>
      <c r="AC268" s="1">
        <f>VLOOKUP(A268,'SegEnds_NonXtal_Prot#'!A:AL,10,FALSE)-VLOOKUP(A268,'SegEnds_NonXtal_Prot#'!A:AL,7,FALSE)</f>
        <v>15</v>
      </c>
      <c r="AD268" s="1">
        <f>VLOOKUP(A268,'SegEnds_NonXtal_Prot#'!A:AL,13,FALSE)-VLOOKUP(A268,'SegEnds_NonXtal_Prot#'!A:AL,10,FALSE)</f>
        <v>18</v>
      </c>
      <c r="AE268" s="1">
        <f>VLOOKUP(A268,'SegEnds_NonXtal_Prot#'!A:AL,16,FALSE)-VLOOKUP(A268,'SegEnds_NonXtal_Prot#'!A:AL,10,FALSE)</f>
        <v>51</v>
      </c>
      <c r="AF268" s="1">
        <f>VLOOKUP(A268,'SegEnds_NonXtal_Prot#'!A:AL,22,FALSE)-VLOOKUP(A268,'SegEnds_NonXtal_Prot#'!A:AL,19,FALSE)</f>
        <v>20</v>
      </c>
      <c r="AG268" s="1" t="e">
        <f>VLOOKUP(A268,'SegEnds_NonXtal_Prot#'!A:AL,28,FALSE)-VLOOKUP(A268,'SegEnds_NonXtal_Prot#'!A:AL,25,FALSE)</f>
        <v>#VALUE!</v>
      </c>
      <c r="AH268" s="1">
        <f>VLOOKUP(A268,'SegEnds_NonXtal_Prot#'!A:AL,28,FALSE)-VLOOKUP(A268,'SegEnds_NonXtal_Prot#'!A:AL,22,FALSE)</f>
        <v>45</v>
      </c>
      <c r="AI268" s="1">
        <f>VLOOKUP(A268,'SegEnds_NonXtal_Prot#'!A:AL,31,FALSE)-VLOOKUP(A268,'SegEnds_NonXtal_Prot#'!A:AL,28,FALSE)</f>
        <v>51</v>
      </c>
      <c r="AJ268" s="1">
        <f>VLOOKUP(A268,'SegEnds_NonXtal_Prot#'!A:AL,34,FALSE)-VLOOKUP(A268,'SegEnds_NonXtal_Prot#'!A:AL,31,FALSE)</f>
        <v>38</v>
      </c>
      <c r="AK268" s="1">
        <f>VLOOKUP(A268,'SegEnds_NonXtal_Prot#'!A:AL,37,FALSE)-VLOOKUP(A268,'SegEnds_NonXtal_Prot#'!A:AL,34,FALSE)</f>
        <v>10</v>
      </c>
      <c r="AL268" s="1" t="str">
        <f>IF(ISERROR(MATCH(A268,'SegEnds_Xtal_Prot#'!B:B, 0)), "NoXtal", "Xtal")</f>
        <v>NoXtal</v>
      </c>
    </row>
    <row r="269" spans="1:38" x14ac:dyDescent="0.2">
      <c r="A269" s="1" t="s">
        <v>380</v>
      </c>
      <c r="B269" s="1" t="str">
        <f>VLOOKUP(A269,Xtal_Templ!A:B,2,FALSE)</f>
        <v>s1pr1_human</v>
      </c>
      <c r="C269" s="5">
        <f>VLOOKUP($B269&amp;"__wt",'SegEnds_Xtal_BW#'!$A:$Z,3,FALSE)</f>
        <v>29</v>
      </c>
      <c r="D269" s="1">
        <f>VLOOKUP($B269&amp;"__wt",'SegEnds_Xtal_BW#'!$A:$Z,4,FALSE)</f>
        <v>60</v>
      </c>
      <c r="E269" s="1">
        <f>VLOOKUP($B269&amp;"__wt",'SegEnds_Xtal_BW#'!$A:$Z,5,FALSE)</f>
        <v>48</v>
      </c>
      <c r="F269" s="1">
        <f>VLOOKUP($B269&amp;"__wt",'SegEnds_Xtal_BW#'!$A:$Z,6,FALSE)</f>
        <v>51</v>
      </c>
      <c r="G269" s="1">
        <v>37</v>
      </c>
      <c r="H269" s="12">
        <v>63</v>
      </c>
      <c r="I269" s="1">
        <f>VLOOKUP($B269&amp;"__wt",'SegEnds_Xtal_BW#'!$A:$Z,9,FALSE)</f>
        <v>47</v>
      </c>
      <c r="J269" s="1">
        <f>VLOOKUP($B269&amp;"__wt",'SegEnds_Xtal_BW#'!$A:$Z,10,FALSE)</f>
        <v>53</v>
      </c>
      <c r="K269" s="12">
        <v>21</v>
      </c>
      <c r="L269" s="1">
        <f>VLOOKUP($B269&amp;"__wt",'SegEnds_Xtal_BW#'!$A:$Z,12,FALSE)</f>
        <v>56</v>
      </c>
      <c r="M269" s="1">
        <f>VLOOKUP($B269&amp;"__wt",'SegEnds_Xtal_BW#'!$A:$Z,13,FALSE)</f>
        <v>50</v>
      </c>
      <c r="N269" s="108">
        <v>56</v>
      </c>
      <c r="O269" s="87">
        <f>VLOOKUP($B269&amp;"__wt",'SegEnds_Xtal_BW#'!$A:$Z,15,FALSE)</f>
        <v>38</v>
      </c>
      <c r="P269" s="1">
        <f>VLOOKUP($B269&amp;"__wt",'SegEnds_Xtal_BW#'!$A:$Z,16,FALSE)</f>
        <v>63</v>
      </c>
      <c r="Q269" s="1" t="str">
        <f>VLOOKUP($B269&amp;"__wt",'SegEnds_Xtal_BW#'!$A:$Z,17,FALSE)</f>
        <v>-</v>
      </c>
      <c r="R269" s="1" t="str">
        <f>VLOOKUP($B269&amp;"__wt",'SegEnds_Xtal_BW#'!$A:$Z,18,FALSE)</f>
        <v>-</v>
      </c>
      <c r="S269" s="1">
        <f>VLOOKUP($B269&amp;"__wt",'SegEnds_Xtal_BW#'!$A:$Z,19,FALSE)</f>
        <v>36</v>
      </c>
      <c r="T269" s="1">
        <f t="array" ref="T269">INDEX(ICL3_classA!$G$2:$G$37,MATCH(MIN(ABS(AI269-ICL3_classA!$F$2:$F$37)),ABS(AI269-ICL3_classA!$F$2:$F$37),0))</f>
        <v>74</v>
      </c>
      <c r="U269" s="1">
        <f t="array" ref="U269">INDEX(ICL3_classA!$H$2:$H$37,MATCH(MIN(ABS(AI269-ICL3_classA!$F$2:$F$37)),ABS(AI269-ICL3_classA!$F$2:$F$37),0))</f>
        <v>21</v>
      </c>
      <c r="V269" s="1">
        <v>61</v>
      </c>
      <c r="W269" s="1">
        <v>30</v>
      </c>
      <c r="X269" s="1">
        <f>VLOOKUP($B269&amp;"__wt",'SegEnds_Xtal_BW#'!$A:$Z,24,FALSE)</f>
        <v>56</v>
      </c>
      <c r="Y269" s="1">
        <f>VLOOKUP($B269&amp;"__wt",'SegEnds_Xtal_BW#'!$A:$Z,25,FALSE)</f>
        <v>47</v>
      </c>
      <c r="Z269" s="1">
        <f>VLOOKUP($B269&amp;"__wt",'SegEnds_Xtal_BW#'!$A:$Z,26,FALSE)</f>
        <v>59</v>
      </c>
      <c r="AA269" s="27" t="str">
        <f>VLOOKUP(A269,Classification!A:B,2,FALSE)</f>
        <v>A</v>
      </c>
      <c r="AB269" s="1">
        <f>VLOOKUP(A269,'SegEnds_NonXtal_Prot#'!A:AL,10,FALSE)-VLOOKUP(A269,'SegEnds_NonXtal_Prot#'!A:AL,4,FALSE)</f>
        <v>28</v>
      </c>
      <c r="AC269" s="1">
        <f>VLOOKUP(A269,'SegEnds_NonXtal_Prot#'!A:AL,10,FALSE)-VLOOKUP(A269,'SegEnds_NonXtal_Prot#'!A:AL,7,FALSE)</f>
        <v>15</v>
      </c>
      <c r="AD269" s="1">
        <f>VLOOKUP(A269,'SegEnds_NonXtal_Prot#'!A:AL,13,FALSE)-VLOOKUP(A269,'SegEnds_NonXtal_Prot#'!A:AL,10,FALSE)</f>
        <v>18</v>
      </c>
      <c r="AE269" s="1">
        <f>VLOOKUP(A269,'SegEnds_NonXtal_Prot#'!A:AL,16,FALSE)-VLOOKUP(A269,'SegEnds_NonXtal_Prot#'!A:AL,10,FALSE)</f>
        <v>51</v>
      </c>
      <c r="AF269" s="1">
        <f>VLOOKUP(A269,'SegEnds_NonXtal_Prot#'!A:AL,22,FALSE)-VLOOKUP(A269,'SegEnds_NonXtal_Prot#'!A:AL,19,FALSE)</f>
        <v>19</v>
      </c>
      <c r="AG269" s="1" t="e">
        <f>VLOOKUP(A269,'SegEnds_NonXtal_Prot#'!A:AL,28,FALSE)-VLOOKUP(A269,'SegEnds_NonXtal_Prot#'!A:AL,25,FALSE)</f>
        <v>#VALUE!</v>
      </c>
      <c r="AH269" s="1">
        <f>VLOOKUP(A269,'SegEnds_NonXtal_Prot#'!A:AL,28,FALSE)-VLOOKUP(A269,'SegEnds_NonXtal_Prot#'!A:AL,22,FALSE)</f>
        <v>45</v>
      </c>
      <c r="AI269" s="1">
        <f>VLOOKUP(A269,'SegEnds_NonXtal_Prot#'!A:AL,31,FALSE)-VLOOKUP(A269,'SegEnds_NonXtal_Prot#'!A:AL,28,FALSE)</f>
        <v>62</v>
      </c>
      <c r="AJ269" s="1">
        <f>VLOOKUP(A269,'SegEnds_NonXtal_Prot#'!A:AL,34,FALSE)-VLOOKUP(A269,'SegEnds_NonXtal_Prot#'!A:AL,31,FALSE)</f>
        <v>37</v>
      </c>
      <c r="AK269" s="1">
        <f>VLOOKUP(A269,'SegEnds_NonXtal_Prot#'!A:AL,37,FALSE)-VLOOKUP(A269,'SegEnds_NonXtal_Prot#'!A:AL,34,FALSE)</f>
        <v>10</v>
      </c>
      <c r="AL269" s="1" t="str">
        <f>IF(ISERROR(MATCH(A269,'SegEnds_Xtal_Prot#'!B:B, 0)), "NoXtal", "Xtal")</f>
        <v>NoXtal</v>
      </c>
    </row>
    <row r="270" spans="1:38" x14ac:dyDescent="0.2">
      <c r="A270" s="1" t="s">
        <v>381</v>
      </c>
      <c r="B270" s="1" t="str">
        <f>VLOOKUP(A270,Xtal_Templ!A:B,2,FALSE)</f>
        <v>oprk_human</v>
      </c>
      <c r="C270" s="5">
        <f>VLOOKUP($B270&amp;"__wt",'SegEnds_Xtal_BW#'!$A:$Z,3,FALSE)</f>
        <v>30</v>
      </c>
      <c r="D270" s="1">
        <f>VLOOKUP($B270&amp;"__wt",'SegEnds_Xtal_BW#'!$A:$Z,4,FALSE)</f>
        <v>60</v>
      </c>
      <c r="E270" s="1">
        <f>VLOOKUP($B270&amp;"__wt",'SegEnds_Xtal_BW#'!$A:$Z,5,FALSE)</f>
        <v>48</v>
      </c>
      <c r="F270" s="1">
        <f>VLOOKUP($B270&amp;"__wt",'SegEnds_Xtal_BW#'!$A:$Z,6,FALSE)</f>
        <v>51</v>
      </c>
      <c r="G270" s="1">
        <v>37</v>
      </c>
      <c r="H270" s="12">
        <v>66</v>
      </c>
      <c r="I270" s="1">
        <f>VLOOKUP($B270&amp;"__wt",'SegEnds_Xtal_BW#'!$A:$Z,9,FALSE)</f>
        <v>49</v>
      </c>
      <c r="J270" s="1">
        <f>VLOOKUP($B270&amp;"__wt",'SegEnds_Xtal_BW#'!$A:$Z,10,FALSE)</f>
        <v>52</v>
      </c>
      <c r="K270" s="12">
        <v>21</v>
      </c>
      <c r="L270" s="1">
        <f>VLOOKUP($B270&amp;"__wt",'SegEnds_Xtal_BW#'!$A:$Z,12,FALSE)</f>
        <v>56</v>
      </c>
      <c r="M270" s="1">
        <f>VLOOKUP($B270&amp;"__wt",'SegEnds_Xtal_BW#'!$A:$Z,13,FALSE)</f>
        <v>50</v>
      </c>
      <c r="N270" s="12">
        <v>57</v>
      </c>
      <c r="O270" s="87">
        <v>38</v>
      </c>
      <c r="P270" s="1">
        <f>VLOOKUP($B270&amp;"__wt",'SegEnds_Xtal_BW#'!$A:$Z,16,FALSE)</f>
        <v>64</v>
      </c>
      <c r="Q270" s="1">
        <f>VLOOKUP($B270&amp;"__wt",'SegEnds_Xtal_BW#'!$A:$Z,17,FALSE)</f>
        <v>50</v>
      </c>
      <c r="R270" s="1">
        <f>VLOOKUP($B270&amp;"__wt",'SegEnds_Xtal_BW#'!$A:$Z,18,FALSE)</f>
        <v>52</v>
      </c>
      <c r="S270" s="1">
        <f>VLOOKUP($B270&amp;"__wt",'SegEnds_Xtal_BW#'!$A:$Z,19,FALSE)</f>
        <v>30</v>
      </c>
      <c r="T270" s="1">
        <f t="array" ref="T270">INDEX(ICL3_classA!$G$2:$G$37,MATCH(MIN(ABS(AI270-ICL3_classA!$F$2:$F$37)),ABS(AI270-ICL3_classA!$F$2:$F$37),0))</f>
        <v>68</v>
      </c>
      <c r="U270" s="1">
        <f t="array" ref="U270">INDEX(ICL3_classA!$H$2:$H$37,MATCH(MIN(ABS(AI270-ICL3_classA!$F$2:$F$37)),ABS(AI270-ICL3_classA!$F$2:$F$37),0))</f>
        <v>23</v>
      </c>
      <c r="V270" s="1">
        <v>61</v>
      </c>
      <c r="W270" s="1">
        <v>32</v>
      </c>
      <c r="X270" s="1">
        <f>VLOOKUP($B270&amp;"__wt",'SegEnds_Xtal_BW#'!$A:$Z,24,FALSE)</f>
        <v>56</v>
      </c>
      <c r="Y270" s="1">
        <f>VLOOKUP($B270&amp;"__wt",'SegEnds_Xtal_BW#'!$A:$Z,25,FALSE)</f>
        <v>47</v>
      </c>
      <c r="Z270" s="1">
        <f>VLOOKUP($B270&amp;"__wt",'SegEnds_Xtal_BW#'!$A:$Z,26,FALSE)</f>
        <v>59</v>
      </c>
      <c r="AA270" s="27" t="str">
        <f>VLOOKUP(A270,Classification!A:B,2,FALSE)</f>
        <v>A</v>
      </c>
      <c r="AB270" s="1">
        <f>VLOOKUP(A270,'SegEnds_NonXtal_Prot#'!A:AL,10,FALSE)-VLOOKUP(A270,'SegEnds_NonXtal_Prot#'!A:AL,4,FALSE)</f>
        <v>28</v>
      </c>
      <c r="AC270" s="1">
        <f>VLOOKUP(A270,'SegEnds_NonXtal_Prot#'!A:AL,10,FALSE)-VLOOKUP(A270,'SegEnds_NonXtal_Prot#'!A:AL,7,FALSE)</f>
        <v>15</v>
      </c>
      <c r="AD270" s="1">
        <f>VLOOKUP(A270,'SegEnds_NonXtal_Prot#'!A:AL,13,FALSE)-VLOOKUP(A270,'SegEnds_NonXtal_Prot#'!A:AL,10,FALSE)</f>
        <v>19</v>
      </c>
      <c r="AE270" s="1">
        <f>VLOOKUP(A270,'SegEnds_NonXtal_Prot#'!A:AL,16,FALSE)-VLOOKUP(A270,'SegEnds_NonXtal_Prot#'!A:AL,10,FALSE)</f>
        <v>51</v>
      </c>
      <c r="AF270" s="1">
        <f>VLOOKUP(A270,'SegEnds_NonXtal_Prot#'!A:AL,22,FALSE)-VLOOKUP(A270,'SegEnds_NonXtal_Prot#'!A:AL,19,FALSE)</f>
        <v>20</v>
      </c>
      <c r="AG270" s="1">
        <f>VLOOKUP(A270,'SegEnds_NonXtal_Prot#'!A:AL,28,FALSE)-VLOOKUP(A270,'SegEnds_NonXtal_Prot#'!A:AL,25,FALSE)</f>
        <v>27</v>
      </c>
      <c r="AH270" s="1">
        <f>VLOOKUP(A270,'SegEnds_NonXtal_Prot#'!A:AL,28,FALSE)-VLOOKUP(A270,'SegEnds_NonXtal_Prot#'!A:AL,22,FALSE)</f>
        <v>53</v>
      </c>
      <c r="AI270" s="1">
        <f>VLOOKUP(A270,'SegEnds_NonXtal_Prot#'!A:AL,31,FALSE)-VLOOKUP(A270,'SegEnds_NonXtal_Prot#'!A:AL,28,FALSE)</f>
        <v>51</v>
      </c>
      <c r="AJ270" s="1">
        <f>VLOOKUP(A270,'SegEnds_NonXtal_Prot#'!A:AL,34,FALSE)-VLOOKUP(A270,'SegEnds_NonXtal_Prot#'!A:AL,31,FALSE)</f>
        <v>34</v>
      </c>
      <c r="AK270" s="1">
        <f>VLOOKUP(A270,'SegEnds_NonXtal_Prot#'!A:AL,37,FALSE)-VLOOKUP(A270,'SegEnds_NonXtal_Prot#'!A:AL,34,FALSE)</f>
        <v>10</v>
      </c>
      <c r="AL270" s="1" t="str">
        <f>IF(ISERROR(MATCH(A270,'SegEnds_Xtal_Prot#'!B:B, 0)), "NoXtal", "Xtal")</f>
        <v>NoXtal</v>
      </c>
    </row>
    <row r="271" spans="1:38" x14ac:dyDescent="0.2">
      <c r="A271" s="1" t="s">
        <v>382</v>
      </c>
      <c r="B271" s="1" t="str">
        <f>VLOOKUP(A271,Xtal_Templ!A:B,2,FALSE)</f>
        <v>oprk_human</v>
      </c>
      <c r="C271" s="5">
        <f>VLOOKUP($B271&amp;"__wt",'SegEnds_Xtal_BW#'!$A:$Z,3,FALSE)</f>
        <v>30</v>
      </c>
      <c r="D271" s="1">
        <f>VLOOKUP($B271&amp;"__wt",'SegEnds_Xtal_BW#'!$A:$Z,4,FALSE)</f>
        <v>60</v>
      </c>
      <c r="E271" s="1">
        <f>VLOOKUP($B271&amp;"__wt",'SegEnds_Xtal_BW#'!$A:$Z,5,FALSE)</f>
        <v>48</v>
      </c>
      <c r="F271" s="1">
        <f>VLOOKUP($B271&amp;"__wt",'SegEnds_Xtal_BW#'!$A:$Z,6,FALSE)</f>
        <v>51</v>
      </c>
      <c r="G271" s="1">
        <v>37</v>
      </c>
      <c r="H271" s="12">
        <v>66</v>
      </c>
      <c r="I271" s="1">
        <f>VLOOKUP($B271&amp;"__wt",'SegEnds_Xtal_BW#'!$A:$Z,9,FALSE)</f>
        <v>49</v>
      </c>
      <c r="J271" s="1">
        <f>VLOOKUP($B271&amp;"__wt",'SegEnds_Xtal_BW#'!$A:$Z,10,FALSE)</f>
        <v>52</v>
      </c>
      <c r="K271" s="12">
        <v>21</v>
      </c>
      <c r="L271" s="1">
        <f>VLOOKUP($B271&amp;"__wt",'SegEnds_Xtal_BW#'!$A:$Z,12,FALSE)</f>
        <v>56</v>
      </c>
      <c r="M271" s="1">
        <f>VLOOKUP($B271&amp;"__wt",'SegEnds_Xtal_BW#'!$A:$Z,13,FALSE)</f>
        <v>50</v>
      </c>
      <c r="N271" s="12">
        <v>57</v>
      </c>
      <c r="O271" s="87">
        <v>38</v>
      </c>
      <c r="P271" s="1">
        <f>VLOOKUP($B271&amp;"__wt",'SegEnds_Xtal_BW#'!$A:$Z,16,FALSE)</f>
        <v>64</v>
      </c>
      <c r="Q271" s="1">
        <f>VLOOKUP($B271&amp;"__wt",'SegEnds_Xtal_BW#'!$A:$Z,17,FALSE)</f>
        <v>50</v>
      </c>
      <c r="R271" s="1">
        <f>VLOOKUP($B271&amp;"__wt",'SegEnds_Xtal_BW#'!$A:$Z,18,FALSE)</f>
        <v>52</v>
      </c>
      <c r="S271" s="1">
        <f>VLOOKUP($B271&amp;"__wt",'SegEnds_Xtal_BW#'!$A:$Z,19,FALSE)</f>
        <v>30</v>
      </c>
      <c r="T271" s="1">
        <f t="array" ref="T271">INDEX(ICL3_classA!$G$2:$G$37,MATCH(MIN(ABS(AI271-ICL3_classA!$F$2:$F$37)),ABS(AI271-ICL3_classA!$F$2:$F$37),0))</f>
        <v>68</v>
      </c>
      <c r="U271" s="1">
        <f t="array" ref="U271">INDEX(ICL3_classA!$H$2:$H$37,MATCH(MIN(ABS(AI271-ICL3_classA!$F$2:$F$37)),ABS(AI271-ICL3_classA!$F$2:$F$37),0))</f>
        <v>23</v>
      </c>
      <c r="V271" s="1">
        <v>61</v>
      </c>
      <c r="W271" s="1">
        <v>28</v>
      </c>
      <c r="X271" s="1">
        <f>VLOOKUP($B271&amp;"__wt",'SegEnds_Xtal_BW#'!$A:$Z,24,FALSE)</f>
        <v>56</v>
      </c>
      <c r="Y271" s="1">
        <f>VLOOKUP($B271&amp;"__wt",'SegEnds_Xtal_BW#'!$A:$Z,25,FALSE)</f>
        <v>47</v>
      </c>
      <c r="Z271" s="1">
        <f>VLOOKUP($B271&amp;"__wt",'SegEnds_Xtal_BW#'!$A:$Z,26,FALSE)</f>
        <v>59</v>
      </c>
      <c r="AA271" s="27" t="str">
        <f>VLOOKUP(A271,Classification!A:B,2,FALSE)</f>
        <v>A</v>
      </c>
      <c r="AB271" s="1">
        <f>VLOOKUP(A271,'SegEnds_NonXtal_Prot#'!A:AL,10,FALSE)-VLOOKUP(A271,'SegEnds_NonXtal_Prot#'!A:AL,4,FALSE)</f>
        <v>28</v>
      </c>
      <c r="AC271" s="1">
        <f>VLOOKUP(A271,'SegEnds_NonXtal_Prot#'!A:AL,10,FALSE)-VLOOKUP(A271,'SegEnds_NonXtal_Prot#'!A:AL,7,FALSE)</f>
        <v>15</v>
      </c>
      <c r="AD271" s="1">
        <f>VLOOKUP(A271,'SegEnds_NonXtal_Prot#'!A:AL,13,FALSE)-VLOOKUP(A271,'SegEnds_NonXtal_Prot#'!A:AL,10,FALSE)</f>
        <v>19</v>
      </c>
      <c r="AE271" s="1">
        <f>VLOOKUP(A271,'SegEnds_NonXtal_Prot#'!A:AL,16,FALSE)-VLOOKUP(A271,'SegEnds_NonXtal_Prot#'!A:AL,10,FALSE)</f>
        <v>51</v>
      </c>
      <c r="AF271" s="1">
        <f>VLOOKUP(A271,'SegEnds_NonXtal_Prot#'!A:AL,22,FALSE)-VLOOKUP(A271,'SegEnds_NonXtal_Prot#'!A:AL,19,FALSE)</f>
        <v>20</v>
      </c>
      <c r="AG271" s="1">
        <f>VLOOKUP(A271,'SegEnds_NonXtal_Prot#'!A:AL,28,FALSE)-VLOOKUP(A271,'SegEnds_NonXtal_Prot#'!A:AL,25,FALSE)</f>
        <v>27</v>
      </c>
      <c r="AH271" s="1">
        <f>VLOOKUP(A271,'SegEnds_NonXtal_Prot#'!A:AL,28,FALSE)-VLOOKUP(A271,'SegEnds_NonXtal_Prot#'!A:AL,22,FALSE)</f>
        <v>53</v>
      </c>
      <c r="AI271" s="1">
        <f>VLOOKUP(A271,'SegEnds_NonXtal_Prot#'!A:AL,31,FALSE)-VLOOKUP(A271,'SegEnds_NonXtal_Prot#'!A:AL,28,FALSE)</f>
        <v>51</v>
      </c>
      <c r="AJ271" s="1">
        <f>VLOOKUP(A271,'SegEnds_NonXtal_Prot#'!A:AL,34,FALSE)-VLOOKUP(A271,'SegEnds_NonXtal_Prot#'!A:AL,31,FALSE)</f>
        <v>38</v>
      </c>
      <c r="AK271" s="1">
        <f>VLOOKUP(A271,'SegEnds_NonXtal_Prot#'!A:AL,37,FALSE)-VLOOKUP(A271,'SegEnds_NonXtal_Prot#'!A:AL,34,FALSE)</f>
        <v>10</v>
      </c>
      <c r="AL271" s="1" t="str">
        <f>IF(ISERROR(MATCH(A271,'SegEnds_Xtal_Prot#'!B:B, 0)), "NoXtal", "Xtal")</f>
        <v>NoXtal</v>
      </c>
    </row>
    <row r="272" spans="1:38" x14ac:dyDescent="0.2">
      <c r="A272" s="1" t="s">
        <v>383</v>
      </c>
      <c r="B272" s="1" t="str">
        <f>VLOOKUP(A272,Xtal_Templ!A:B,2,FALSE)</f>
        <v>oprk_human</v>
      </c>
      <c r="C272" s="5">
        <f>VLOOKUP($B272&amp;"__wt",'SegEnds_Xtal_BW#'!$A:$Z,3,FALSE)</f>
        <v>30</v>
      </c>
      <c r="D272" s="1">
        <f>VLOOKUP($B272&amp;"__wt",'SegEnds_Xtal_BW#'!$A:$Z,4,FALSE)</f>
        <v>60</v>
      </c>
      <c r="E272" s="1">
        <f>VLOOKUP($B272&amp;"__wt",'SegEnds_Xtal_BW#'!$A:$Z,5,FALSE)</f>
        <v>48</v>
      </c>
      <c r="F272" s="1">
        <f>VLOOKUP($B272&amp;"__wt",'SegEnds_Xtal_BW#'!$A:$Z,6,FALSE)</f>
        <v>51</v>
      </c>
      <c r="G272" s="1">
        <v>37</v>
      </c>
      <c r="H272" s="12">
        <v>66</v>
      </c>
      <c r="I272" s="1">
        <f>VLOOKUP($B272&amp;"__wt",'SegEnds_Xtal_BW#'!$A:$Z,9,FALSE)</f>
        <v>49</v>
      </c>
      <c r="J272" s="1">
        <f>VLOOKUP($B272&amp;"__wt",'SegEnds_Xtal_BW#'!$A:$Z,10,FALSE)</f>
        <v>52</v>
      </c>
      <c r="K272" s="12">
        <v>21</v>
      </c>
      <c r="L272" s="1">
        <f>VLOOKUP($B272&amp;"__wt",'SegEnds_Xtal_BW#'!$A:$Z,12,FALSE)</f>
        <v>56</v>
      </c>
      <c r="M272" s="1">
        <f>VLOOKUP($B272&amp;"__wt",'SegEnds_Xtal_BW#'!$A:$Z,13,FALSE)</f>
        <v>50</v>
      </c>
      <c r="N272" s="12">
        <v>57</v>
      </c>
      <c r="O272" s="87">
        <v>38</v>
      </c>
      <c r="P272" s="1">
        <f>VLOOKUP($B272&amp;"__wt",'SegEnds_Xtal_BW#'!$A:$Z,16,FALSE)</f>
        <v>64</v>
      </c>
      <c r="Q272" s="1">
        <f>VLOOKUP($B272&amp;"__wt",'SegEnds_Xtal_BW#'!$A:$Z,17,FALSE)</f>
        <v>50</v>
      </c>
      <c r="R272" s="1">
        <f>VLOOKUP($B272&amp;"__wt",'SegEnds_Xtal_BW#'!$A:$Z,18,FALSE)</f>
        <v>52</v>
      </c>
      <c r="S272" s="1">
        <f>VLOOKUP($B272&amp;"__wt",'SegEnds_Xtal_BW#'!$A:$Z,19,FALSE)</f>
        <v>30</v>
      </c>
      <c r="T272" s="1">
        <f t="array" ref="T272">INDEX(ICL3_classA!$G$2:$G$37,MATCH(MIN(ABS(AI272-ICL3_classA!$F$2:$F$37)),ABS(AI272-ICL3_classA!$F$2:$F$37),0))</f>
        <v>72</v>
      </c>
      <c r="U272" s="1">
        <f t="array" ref="U272">INDEX(ICL3_classA!$H$2:$H$37,MATCH(MIN(ABS(AI272-ICL3_classA!$F$2:$F$37)),ABS(AI272-ICL3_classA!$F$2:$F$37),0))</f>
        <v>24</v>
      </c>
      <c r="V272" s="1">
        <v>61</v>
      </c>
      <c r="W272" s="1">
        <v>28</v>
      </c>
      <c r="X272" s="1">
        <f>VLOOKUP($B272&amp;"__wt",'SegEnds_Xtal_BW#'!$A:$Z,24,FALSE)</f>
        <v>56</v>
      </c>
      <c r="Y272" s="1">
        <f>VLOOKUP($B272&amp;"__wt",'SegEnds_Xtal_BW#'!$A:$Z,25,FALSE)</f>
        <v>47</v>
      </c>
      <c r="Z272" s="1">
        <f>VLOOKUP($B272&amp;"__wt",'SegEnds_Xtal_BW#'!$A:$Z,26,FALSE)</f>
        <v>59</v>
      </c>
      <c r="AA272" s="27" t="str">
        <f>VLOOKUP(A272,Classification!A:B,2,FALSE)</f>
        <v>A</v>
      </c>
      <c r="AB272" s="1">
        <f>VLOOKUP(A272,'SegEnds_NonXtal_Prot#'!A:AL,10,FALSE)-VLOOKUP(A272,'SegEnds_NonXtal_Prot#'!A:AL,4,FALSE)</f>
        <v>28</v>
      </c>
      <c r="AC272" s="1">
        <f>VLOOKUP(A272,'SegEnds_NonXtal_Prot#'!A:AL,10,FALSE)-VLOOKUP(A272,'SegEnds_NonXtal_Prot#'!A:AL,7,FALSE)</f>
        <v>15</v>
      </c>
      <c r="AD272" s="1">
        <f>VLOOKUP(A272,'SegEnds_NonXtal_Prot#'!A:AL,13,FALSE)-VLOOKUP(A272,'SegEnds_NonXtal_Prot#'!A:AL,10,FALSE)</f>
        <v>19</v>
      </c>
      <c r="AE272" s="1">
        <f>VLOOKUP(A272,'SegEnds_NonXtal_Prot#'!A:AL,16,FALSE)-VLOOKUP(A272,'SegEnds_NonXtal_Prot#'!A:AL,10,FALSE)</f>
        <v>51</v>
      </c>
      <c r="AF272" s="1">
        <f>VLOOKUP(A272,'SegEnds_NonXtal_Prot#'!A:AL,22,FALSE)-VLOOKUP(A272,'SegEnds_NonXtal_Prot#'!A:AL,19,FALSE)</f>
        <v>20</v>
      </c>
      <c r="AG272" s="1">
        <f>VLOOKUP(A272,'SegEnds_NonXtal_Prot#'!A:AL,28,FALSE)-VLOOKUP(A272,'SegEnds_NonXtal_Prot#'!A:AL,25,FALSE)</f>
        <v>27</v>
      </c>
      <c r="AH272" s="1">
        <f>VLOOKUP(A272,'SegEnds_NonXtal_Prot#'!A:AL,28,FALSE)-VLOOKUP(A272,'SegEnds_NonXtal_Prot#'!A:AL,22,FALSE)</f>
        <v>50</v>
      </c>
      <c r="AI272" s="1">
        <f>VLOOKUP(A272,'SegEnds_NonXtal_Prot#'!A:AL,31,FALSE)-VLOOKUP(A272,'SegEnds_NonXtal_Prot#'!A:AL,28,FALSE)</f>
        <v>54</v>
      </c>
      <c r="AJ272" s="1">
        <f>VLOOKUP(A272,'SegEnds_NonXtal_Prot#'!A:AL,34,FALSE)-VLOOKUP(A272,'SegEnds_NonXtal_Prot#'!A:AL,31,FALSE)</f>
        <v>38</v>
      </c>
      <c r="AK272" s="1">
        <f>VLOOKUP(A272,'SegEnds_NonXtal_Prot#'!A:AL,37,FALSE)-VLOOKUP(A272,'SegEnds_NonXtal_Prot#'!A:AL,34,FALSE)</f>
        <v>10</v>
      </c>
      <c r="AL272" s="1" t="str">
        <f>IF(ISERROR(MATCH(A272,'SegEnds_Xtal_Prot#'!B:B, 0)), "NoXtal", "Xtal")</f>
        <v>NoXtal</v>
      </c>
    </row>
    <row r="273" spans="1:38" x14ac:dyDescent="0.2">
      <c r="A273" s="1" t="s">
        <v>384</v>
      </c>
      <c r="B273" s="1" t="str">
        <f>VLOOKUP(A273,Xtal_Templ!A:B,2,FALSE)</f>
        <v>oprd_human</v>
      </c>
      <c r="C273" s="5">
        <f>VLOOKUP($B273&amp;"__wt",'SegEnds_Xtal_BW#'!$A:$Z,3,FALSE)</f>
        <v>22</v>
      </c>
      <c r="D273" s="1">
        <f>VLOOKUP($B273&amp;"__wt",'SegEnds_Xtal_BW#'!$A:$Z,4,FALSE)</f>
        <v>60</v>
      </c>
      <c r="E273" s="1">
        <f>VLOOKUP($B273&amp;"__wt",'SegEnds_Xtal_BW#'!$A:$Z,5,FALSE)</f>
        <v>48</v>
      </c>
      <c r="F273" s="1">
        <f>VLOOKUP($B273&amp;"__wt",'SegEnds_Xtal_BW#'!$A:$Z,6,FALSE)</f>
        <v>51</v>
      </c>
      <c r="G273" s="1">
        <v>37</v>
      </c>
      <c r="H273" s="12">
        <v>66</v>
      </c>
      <c r="I273" s="1">
        <f>VLOOKUP($B273&amp;"__wt",'SegEnds_Xtal_BW#'!$A:$Z,9,FALSE)</f>
        <v>49</v>
      </c>
      <c r="J273" s="1">
        <f>VLOOKUP($B273&amp;"__wt",'SegEnds_Xtal_BW#'!$A:$Z,10,FALSE)</f>
        <v>52</v>
      </c>
      <c r="K273" s="12">
        <v>21</v>
      </c>
      <c r="L273" s="1">
        <f>VLOOKUP($B273&amp;"__wt",'SegEnds_Xtal_BW#'!$A:$Z,12,FALSE)</f>
        <v>56</v>
      </c>
      <c r="M273" s="1">
        <f>VLOOKUP($B273&amp;"__wt",'SegEnds_Xtal_BW#'!$A:$Z,13,FALSE)</f>
        <v>50</v>
      </c>
      <c r="N273" s="12">
        <v>57</v>
      </c>
      <c r="O273" s="87">
        <v>38</v>
      </c>
      <c r="P273" s="1">
        <f>VLOOKUP($B273&amp;"__wt",'SegEnds_Xtal_BW#'!$A:$Z,16,FALSE)</f>
        <v>64</v>
      </c>
      <c r="Q273" s="1">
        <f>VLOOKUP($B273&amp;"__wt",'SegEnds_Xtal_BW#'!$A:$Z,17,FALSE)</f>
        <v>50</v>
      </c>
      <c r="R273" s="1">
        <f>VLOOKUP($B273&amp;"__wt",'SegEnds_Xtal_BW#'!$A:$Z,18,FALSE)</f>
        <v>52</v>
      </c>
      <c r="S273" s="1">
        <f>VLOOKUP($B273&amp;"__wt",'SegEnds_Xtal_BW#'!$A:$Z,19,FALSE)</f>
        <v>31</v>
      </c>
      <c r="T273" s="1">
        <f t="array" ref="T273">INDEX(ICL3_classA!$G$2:$G$37,MATCH(MIN(ABS(AI273-ICL3_classA!$F$2:$F$37)),ABS(AI273-ICL3_classA!$F$2:$F$37),0))</f>
        <v>68</v>
      </c>
      <c r="U273" s="1">
        <f t="array" ref="U273">INDEX(ICL3_classA!$H$2:$H$37,MATCH(MIN(ABS(AI273-ICL3_classA!$F$2:$F$37)),ABS(AI273-ICL3_classA!$F$2:$F$37),0))</f>
        <v>23</v>
      </c>
      <c r="V273" s="1">
        <v>61</v>
      </c>
      <c r="W273" s="1">
        <v>32</v>
      </c>
      <c r="X273" s="1">
        <f>VLOOKUP($B273&amp;"__wt",'SegEnds_Xtal_BW#'!$A:$Z,24,FALSE)</f>
        <v>56</v>
      </c>
      <c r="Y273" s="1">
        <f>VLOOKUP($B273&amp;"__wt",'SegEnds_Xtal_BW#'!$A:$Z,25,FALSE)</f>
        <v>47</v>
      </c>
      <c r="Z273" s="1">
        <f>VLOOKUP($B273&amp;"__wt",'SegEnds_Xtal_BW#'!$A:$Z,26,FALSE)</f>
        <v>60</v>
      </c>
      <c r="AA273" s="27" t="str">
        <f>VLOOKUP(A273,Classification!A:B,2,FALSE)</f>
        <v>A</v>
      </c>
      <c r="AB273" s="1">
        <f>VLOOKUP(A273,'SegEnds_NonXtal_Prot#'!A:AL,10,FALSE)-VLOOKUP(A273,'SegEnds_NonXtal_Prot#'!A:AL,4,FALSE)</f>
        <v>28</v>
      </c>
      <c r="AC273" s="1">
        <f>VLOOKUP(A273,'SegEnds_NonXtal_Prot#'!A:AL,10,FALSE)-VLOOKUP(A273,'SegEnds_NonXtal_Prot#'!A:AL,7,FALSE)</f>
        <v>15</v>
      </c>
      <c r="AD273" s="1">
        <f>VLOOKUP(A273,'SegEnds_NonXtal_Prot#'!A:AL,13,FALSE)-VLOOKUP(A273,'SegEnds_NonXtal_Prot#'!A:AL,10,FALSE)</f>
        <v>19</v>
      </c>
      <c r="AE273" s="1">
        <f>VLOOKUP(A273,'SegEnds_NonXtal_Prot#'!A:AL,16,FALSE)-VLOOKUP(A273,'SegEnds_NonXtal_Prot#'!A:AL,10,FALSE)</f>
        <v>51</v>
      </c>
      <c r="AF273" s="1">
        <f>VLOOKUP(A273,'SegEnds_NonXtal_Prot#'!A:AL,22,FALSE)-VLOOKUP(A273,'SegEnds_NonXtal_Prot#'!A:AL,19,FALSE)</f>
        <v>20</v>
      </c>
      <c r="AG273" s="1">
        <f>VLOOKUP(A273,'SegEnds_NonXtal_Prot#'!A:AL,28,FALSE)-VLOOKUP(A273,'SegEnds_NonXtal_Prot#'!A:AL,25,FALSE)</f>
        <v>25</v>
      </c>
      <c r="AH273" s="1">
        <f>VLOOKUP(A273,'SegEnds_NonXtal_Prot#'!A:AL,28,FALSE)-VLOOKUP(A273,'SegEnds_NonXtal_Prot#'!A:AL,22,FALSE)</f>
        <v>52</v>
      </c>
      <c r="AI273" s="1">
        <f>VLOOKUP(A273,'SegEnds_NonXtal_Prot#'!A:AL,31,FALSE)-VLOOKUP(A273,'SegEnds_NonXtal_Prot#'!A:AL,28,FALSE)</f>
        <v>51</v>
      </c>
      <c r="AJ273" s="1">
        <f>VLOOKUP(A273,'SegEnds_NonXtal_Prot#'!A:AL,34,FALSE)-VLOOKUP(A273,'SegEnds_NonXtal_Prot#'!A:AL,31,FALSE)</f>
        <v>34</v>
      </c>
      <c r="AK273" s="1">
        <f>VLOOKUP(A273,'SegEnds_NonXtal_Prot#'!A:AL,37,FALSE)-VLOOKUP(A273,'SegEnds_NonXtal_Prot#'!A:AL,34,FALSE)</f>
        <v>10</v>
      </c>
      <c r="AL273" s="1" t="str">
        <f>IF(ISERROR(MATCH(A273,'SegEnds_Xtal_Prot#'!B:B, 0)), "NoXtal", "Xtal")</f>
        <v>NoXtal</v>
      </c>
    </row>
    <row r="274" spans="1:38" x14ac:dyDescent="0.2">
      <c r="A274" s="1" t="s">
        <v>385</v>
      </c>
      <c r="B274" s="1" t="str">
        <f>VLOOKUP(A274,Xtal_Templ!A:B,2,FALSE)</f>
        <v>oprk_human</v>
      </c>
      <c r="C274" s="5">
        <f>VLOOKUP($B274&amp;"__wt",'SegEnds_Xtal_BW#'!$A:$Z,3,FALSE)</f>
        <v>30</v>
      </c>
      <c r="D274" s="1">
        <f>VLOOKUP($B274&amp;"__wt",'SegEnds_Xtal_BW#'!$A:$Z,4,FALSE)</f>
        <v>60</v>
      </c>
      <c r="E274" s="1">
        <f>VLOOKUP($B274&amp;"__wt",'SegEnds_Xtal_BW#'!$A:$Z,5,FALSE)</f>
        <v>48</v>
      </c>
      <c r="F274" s="1">
        <f>VLOOKUP($B274&amp;"__wt",'SegEnds_Xtal_BW#'!$A:$Z,6,FALSE)</f>
        <v>51</v>
      </c>
      <c r="G274" s="1">
        <v>37</v>
      </c>
      <c r="H274" s="12">
        <v>66</v>
      </c>
      <c r="I274" s="1">
        <f>VLOOKUP($B274&amp;"__wt",'SegEnds_Xtal_BW#'!$A:$Z,9,FALSE)</f>
        <v>49</v>
      </c>
      <c r="J274" s="1">
        <f>VLOOKUP($B274&amp;"__wt",'SegEnds_Xtal_BW#'!$A:$Z,10,FALSE)</f>
        <v>52</v>
      </c>
      <c r="K274" s="12">
        <v>21</v>
      </c>
      <c r="L274" s="1">
        <f>VLOOKUP($B274&amp;"__wt",'SegEnds_Xtal_BW#'!$A:$Z,12,FALSE)</f>
        <v>56</v>
      </c>
      <c r="M274" s="1">
        <f>VLOOKUP($B274&amp;"__wt",'SegEnds_Xtal_BW#'!$A:$Z,13,FALSE)</f>
        <v>50</v>
      </c>
      <c r="N274" s="12">
        <v>57</v>
      </c>
      <c r="O274" s="87">
        <v>38</v>
      </c>
      <c r="P274" s="1">
        <f>VLOOKUP($B274&amp;"__wt",'SegEnds_Xtal_BW#'!$A:$Z,16,FALSE)</f>
        <v>64</v>
      </c>
      <c r="Q274" s="1">
        <f>VLOOKUP($B274&amp;"__wt",'SegEnds_Xtal_BW#'!$A:$Z,17,FALSE)</f>
        <v>50</v>
      </c>
      <c r="R274" s="1">
        <f>VLOOKUP($B274&amp;"__wt",'SegEnds_Xtal_BW#'!$A:$Z,18,FALSE)</f>
        <v>52</v>
      </c>
      <c r="S274" s="1">
        <f>VLOOKUP($B274&amp;"__wt",'SegEnds_Xtal_BW#'!$A:$Z,19,FALSE)</f>
        <v>30</v>
      </c>
      <c r="T274" s="1">
        <f t="array" ref="T274">INDEX(ICL3_classA!$G$2:$G$37,MATCH(MIN(ABS(AI274-ICL3_classA!$F$2:$F$37)),ABS(AI274-ICL3_classA!$F$2:$F$37),0))</f>
        <v>72</v>
      </c>
      <c r="U274" s="1">
        <f t="array" ref="U274">INDEX(ICL3_classA!$H$2:$H$37,MATCH(MIN(ABS(AI274-ICL3_classA!$F$2:$F$37)),ABS(AI274-ICL3_classA!$F$2:$F$37),0))</f>
        <v>29</v>
      </c>
      <c r="V274" s="1">
        <v>61</v>
      </c>
      <c r="W274" s="1">
        <v>28</v>
      </c>
      <c r="X274" s="1">
        <f>VLOOKUP($B274&amp;"__wt",'SegEnds_Xtal_BW#'!$A:$Z,24,FALSE)</f>
        <v>56</v>
      </c>
      <c r="Y274" s="1">
        <f>VLOOKUP($B274&amp;"__wt",'SegEnds_Xtal_BW#'!$A:$Z,25,FALSE)</f>
        <v>47</v>
      </c>
      <c r="Z274" s="1">
        <f>VLOOKUP($B274&amp;"__wt",'SegEnds_Xtal_BW#'!$A:$Z,26,FALSE)</f>
        <v>59</v>
      </c>
      <c r="AA274" s="27" t="str">
        <f>VLOOKUP(A274,Classification!A:B,2,FALSE)</f>
        <v>A</v>
      </c>
      <c r="AB274" s="1">
        <f>VLOOKUP(A274,'SegEnds_NonXtal_Prot#'!A:AL,10,FALSE)-VLOOKUP(A274,'SegEnds_NonXtal_Prot#'!A:AL,4,FALSE)</f>
        <v>28</v>
      </c>
      <c r="AC274" s="1">
        <f>VLOOKUP(A274,'SegEnds_NonXtal_Prot#'!A:AL,10,FALSE)-VLOOKUP(A274,'SegEnds_NonXtal_Prot#'!A:AL,7,FALSE)</f>
        <v>15</v>
      </c>
      <c r="AD274" s="1">
        <f>VLOOKUP(A274,'SegEnds_NonXtal_Prot#'!A:AL,13,FALSE)-VLOOKUP(A274,'SegEnds_NonXtal_Prot#'!A:AL,10,FALSE)</f>
        <v>19</v>
      </c>
      <c r="AE274" s="1">
        <f>VLOOKUP(A274,'SegEnds_NonXtal_Prot#'!A:AL,16,FALSE)-VLOOKUP(A274,'SegEnds_NonXtal_Prot#'!A:AL,10,FALSE)</f>
        <v>51</v>
      </c>
      <c r="AF274" s="1">
        <f>VLOOKUP(A274,'SegEnds_NonXtal_Prot#'!A:AL,22,FALSE)-VLOOKUP(A274,'SegEnds_NonXtal_Prot#'!A:AL,19,FALSE)</f>
        <v>20</v>
      </c>
      <c r="AG274" s="1">
        <f>VLOOKUP(A274,'SegEnds_NonXtal_Prot#'!A:AL,28,FALSE)-VLOOKUP(A274,'SegEnds_NonXtal_Prot#'!A:AL,25,FALSE)</f>
        <v>27</v>
      </c>
      <c r="AH274" s="1">
        <f>VLOOKUP(A274,'SegEnds_NonXtal_Prot#'!A:AL,28,FALSE)-VLOOKUP(A274,'SegEnds_NonXtal_Prot#'!A:AL,22,FALSE)</f>
        <v>49</v>
      </c>
      <c r="AI274" s="1">
        <f>VLOOKUP(A274,'SegEnds_NonXtal_Prot#'!A:AL,31,FALSE)-VLOOKUP(A274,'SegEnds_NonXtal_Prot#'!A:AL,28,FALSE)</f>
        <v>50</v>
      </c>
      <c r="AJ274" s="1">
        <f>VLOOKUP(A274,'SegEnds_NonXtal_Prot#'!A:AL,34,FALSE)-VLOOKUP(A274,'SegEnds_NonXtal_Prot#'!A:AL,31,FALSE)</f>
        <v>38</v>
      </c>
      <c r="AK274" s="1">
        <f>VLOOKUP(A274,'SegEnds_NonXtal_Prot#'!A:AL,37,FALSE)-VLOOKUP(A274,'SegEnds_NonXtal_Prot#'!A:AL,34,FALSE)</f>
        <v>10</v>
      </c>
      <c r="AL274" s="1" t="str">
        <f>IF(ISERROR(MATCH(A274,'SegEnds_Xtal_Prot#'!B:B, 0)), "NoXtal", "Xtal")</f>
        <v>NoXtal</v>
      </c>
    </row>
    <row r="275" spans="1:38" s="12" customFormat="1" x14ac:dyDescent="0.2">
      <c r="A275" s="1" t="s">
        <v>386</v>
      </c>
      <c r="B275" s="1" t="str">
        <f>VLOOKUP(A275,Xtal_Templ!A:B,2,FALSE)</f>
        <v>p2ry1_human</v>
      </c>
      <c r="C275" s="5">
        <f>VLOOKUP($B275&amp;"__wt",'SegEnds_Xtal_BW#'!$A:$Z,3,FALSE)</f>
        <v>30</v>
      </c>
      <c r="D275" s="1">
        <f>VLOOKUP($B275&amp;"__wt",'SegEnds_Xtal_BW#'!$A:$Z,4,FALSE)</f>
        <v>60</v>
      </c>
      <c r="E275" s="1" t="str">
        <f>VLOOKUP($B275&amp;"__wt",'SegEnds_Xtal_BW#'!$A:$Z,5,FALSE)</f>
        <v>-</v>
      </c>
      <c r="F275" s="1" t="str">
        <f>VLOOKUP($B275&amp;"__wt",'SegEnds_Xtal_BW#'!$A:$Z,6,FALSE)</f>
        <v>-</v>
      </c>
      <c r="G275" s="1">
        <v>37</v>
      </c>
      <c r="H275" s="12">
        <v>66</v>
      </c>
      <c r="I275" s="1">
        <f>VLOOKUP($B275&amp;"__wt",'SegEnds_Xtal_BW#'!$A:$Z,9,FALSE)</f>
        <v>49</v>
      </c>
      <c r="J275" s="1">
        <f>VLOOKUP($B275&amp;"__wt",'SegEnds_Xtal_BW#'!$A:$Z,10,FALSE)</f>
        <v>52</v>
      </c>
      <c r="K275" s="12">
        <v>21</v>
      </c>
      <c r="L275" s="1">
        <f>VLOOKUP($B275&amp;"__wt",'SegEnds_Xtal_BW#'!$A:$Z,12,FALSE)</f>
        <v>56</v>
      </c>
      <c r="M275" s="1">
        <f>VLOOKUP($B275&amp;"__wt",'SegEnds_Xtal_BW#'!$A:$Z,13,FALSE)</f>
        <v>50</v>
      </c>
      <c r="N275" s="12">
        <v>57</v>
      </c>
      <c r="O275" s="87">
        <f>VLOOKUP($B275&amp;"__wt",'SegEnds_Xtal_BW#'!$A:$Z,15,FALSE)</f>
        <v>38</v>
      </c>
      <c r="P275" s="1">
        <f>VLOOKUP($B275&amp;"__wt",'SegEnds_Xtal_BW#'!$A:$Z,16,FALSE)</f>
        <v>64</v>
      </c>
      <c r="Q275" s="1">
        <f>VLOOKUP($B275&amp;"__wt",'SegEnds_Xtal_BW#'!$A:$Z,17,FALSE)</f>
        <v>50</v>
      </c>
      <c r="R275" s="1">
        <f>VLOOKUP($B275&amp;"__wt",'SegEnds_Xtal_BW#'!$A:$Z,18,FALSE)</f>
        <v>52</v>
      </c>
      <c r="S275" s="1">
        <f>VLOOKUP($B275&amp;"__wt",'SegEnds_Xtal_BW#'!$A:$Z,19,FALSE)</f>
        <v>32</v>
      </c>
      <c r="T275" s="1">
        <f t="array" ref="T275">INDEX(ICL3_classA!$G$2:$G$37,MATCH(MIN(ABS(AI275-ICL3_classA!$F$2:$F$37)),ABS(AI275-ICL3_classA!$F$2:$F$37),0))</f>
        <v>68</v>
      </c>
      <c r="U275" s="1">
        <f t="array" ref="U275">INDEX(ICL3_classA!$H$2:$H$37,MATCH(MIN(ABS(AI275-ICL3_classA!$F$2:$F$37)),ABS(AI275-ICL3_classA!$F$2:$F$37),0))</f>
        <v>24</v>
      </c>
      <c r="V275" s="1">
        <v>64</v>
      </c>
      <c r="W275" s="1">
        <v>24</v>
      </c>
      <c r="X275" s="128">
        <f>VLOOKUP($B275&amp;"__wt",'SegEnds_Xtal_BW#'!$A:$Z,24,FALSE)</f>
        <v>56</v>
      </c>
      <c r="Y275" s="1">
        <f>VLOOKUP($B275&amp;"__wt",'SegEnds_Xtal_BW#'!$A:$Z,25,FALSE)</f>
        <v>47</v>
      </c>
      <c r="Z275" s="1">
        <f>VLOOKUP($B275&amp;"__wt",'SegEnds_Xtal_BW#'!$A:$Z,26,FALSE)</f>
        <v>59</v>
      </c>
      <c r="AA275" s="27" t="str">
        <f>VLOOKUP(A275,Classification!A:B,2,FALSE)</f>
        <v>A</v>
      </c>
      <c r="AB275" s="1">
        <f>VLOOKUP(A275,'SegEnds_NonXtal_Prot#'!A:AL,10,FALSE)-VLOOKUP(A275,'SegEnds_NonXtal_Prot#'!A:AL,4,FALSE)</f>
        <v>28</v>
      </c>
      <c r="AC275" s="1" t="e">
        <f>VLOOKUP(A275,'SegEnds_NonXtal_Prot#'!A:AL,10,FALSE)-VLOOKUP(A275,'SegEnds_NonXtal_Prot#'!A:AL,7,FALSE)</f>
        <v>#VALUE!</v>
      </c>
      <c r="AD275" s="1">
        <f>VLOOKUP(A275,'SegEnds_NonXtal_Prot#'!A:AL,13,FALSE)-VLOOKUP(A275,'SegEnds_NonXtal_Prot#'!A:AL,10,FALSE)</f>
        <v>19</v>
      </c>
      <c r="AE275" s="1">
        <f>VLOOKUP(A275,'SegEnds_NonXtal_Prot#'!A:AL,16,FALSE)-VLOOKUP(A275,'SegEnds_NonXtal_Prot#'!A:AL,10,FALSE)</f>
        <v>51</v>
      </c>
      <c r="AF275" s="1">
        <f>VLOOKUP(A275,'SegEnds_NonXtal_Prot#'!A:AL,22,FALSE)-VLOOKUP(A275,'SegEnds_NonXtal_Prot#'!A:AL,19,FALSE)</f>
        <v>20</v>
      </c>
      <c r="AG275" s="1">
        <f>VLOOKUP(A275,'SegEnds_NonXtal_Prot#'!A:AL,28,FALSE)-VLOOKUP(A275,'SegEnds_NonXtal_Prot#'!A:AL,25,FALSE)</f>
        <v>27</v>
      </c>
      <c r="AH275" s="1">
        <f>VLOOKUP(A275,'SegEnds_NonXtal_Prot#'!A:AL,28,FALSE)-VLOOKUP(A275,'SegEnds_NonXtal_Prot#'!A:AL,22,FALSE)</f>
        <v>52</v>
      </c>
      <c r="AI275" s="1">
        <f>VLOOKUP(A275,'SegEnds_NonXtal_Prot#'!A:AL,31,FALSE)-VLOOKUP(A275,'SegEnds_NonXtal_Prot#'!A:AL,28,FALSE)</f>
        <v>48</v>
      </c>
      <c r="AJ275" s="1">
        <f>VLOOKUP(A275,'SegEnds_NonXtal_Prot#'!A:AL,34,FALSE)-VLOOKUP(A275,'SegEnds_NonXtal_Prot#'!A:AL,31,FALSE)</f>
        <v>45</v>
      </c>
      <c r="AK275" s="1">
        <f>VLOOKUP(A275,'SegEnds_NonXtal_Prot#'!A:AL,37,FALSE)-VLOOKUP(A275,'SegEnds_NonXtal_Prot#'!A:AL,34,FALSE)</f>
        <v>10</v>
      </c>
      <c r="AL275" s="1" t="str">
        <f>IF(ISERROR(MATCH(A275,'SegEnds_Xtal_Prot#'!B:B, 0)), "NoXtal", "Xtal")</f>
        <v>NoXtal</v>
      </c>
    </row>
    <row r="276" spans="1:38" s="12" customFormat="1" x14ac:dyDescent="0.2">
      <c r="A276" s="1" t="s">
        <v>473</v>
      </c>
      <c r="B276" s="1" t="str">
        <f>VLOOKUP(A276,Xtal_Templ!A:B,2,FALSE)</f>
        <v>pe2r3_human</v>
      </c>
      <c r="C276" s="5">
        <f>VLOOKUP($B276&amp;"__wt",'SegEnds_Xtal_BW#'!$A:$Z,3,FALSE)</f>
        <v>36</v>
      </c>
      <c r="D276" s="1">
        <f>VLOOKUP($B276&amp;"__wt",'SegEnds_Xtal_BW#'!$A:$Z,4,FALSE)</f>
        <v>62</v>
      </c>
      <c r="E276" s="1" t="str">
        <f>VLOOKUP($B276&amp;"__wt",'SegEnds_Xtal_BW#'!$A:$Z,5,FALSE)</f>
        <v>-</v>
      </c>
      <c r="F276" s="1" t="str">
        <f>VLOOKUP($B276&amp;"__wt",'SegEnds_Xtal_BW#'!$A:$Z,6,FALSE)</f>
        <v>-</v>
      </c>
      <c r="G276" s="1">
        <v>37</v>
      </c>
      <c r="H276" s="12">
        <v>67</v>
      </c>
      <c r="I276" s="1">
        <f>VLOOKUP($B276&amp;"__wt",'SegEnds_Xtal_BW#'!$A:$Z,9,FALSE)</f>
        <v>48</v>
      </c>
      <c r="J276" s="1">
        <f>VLOOKUP($B276&amp;"__wt",'SegEnds_Xtal_BW#'!$A:$Z,10,FALSE)</f>
        <v>56</v>
      </c>
      <c r="K276" s="12">
        <v>18</v>
      </c>
      <c r="L276" s="1">
        <f>VLOOKUP($B276&amp;"__wt",'SegEnds_Xtal_BW#'!$A:$Z,12,FALSE)</f>
        <v>56</v>
      </c>
      <c r="M276" s="1">
        <f>VLOOKUP($B276&amp;"__wt",'SegEnds_Xtal_BW#'!$A:$Z,13,FALSE)</f>
        <v>50</v>
      </c>
      <c r="N276" s="12">
        <v>57</v>
      </c>
      <c r="O276" s="87">
        <f>VLOOKUP($B276&amp;"__wt",'SegEnds_Xtal_BW#'!$A:$Z,15,FALSE)</f>
        <v>38</v>
      </c>
      <c r="P276" s="1">
        <f>VLOOKUP($B276&amp;"__wt",'SegEnds_Xtal_BW#'!$A:$Z,16,FALSE)</f>
        <v>63</v>
      </c>
      <c r="Q276" s="1">
        <f>VLOOKUP($B276&amp;"__wt",'SegEnds_Xtal_BW#'!$A:$Z,17,FALSE)</f>
        <v>50</v>
      </c>
      <c r="R276" s="1">
        <f>VLOOKUP($B276&amp;"__wt",'SegEnds_Xtal_BW#'!$A:$Z,18,FALSE)</f>
        <v>52</v>
      </c>
      <c r="S276" s="1">
        <f>VLOOKUP($B276&amp;"__wt",'SegEnds_Xtal_BW#'!$A:$Z,19,FALSE)</f>
        <v>32</v>
      </c>
      <c r="T276" s="1">
        <f t="array" ref="T276">INDEX(ICL3_classA!$G$2:$G$37,MATCH(MIN(ABS(AI276-ICL3_classA!$F$2:$F$37)),ABS(AI276-ICL3_classA!$F$2:$F$37),0))</f>
        <v>68</v>
      </c>
      <c r="U276" s="1">
        <f t="array" ref="U276">INDEX(ICL3_classA!$H$2:$H$37,MATCH(MIN(ABS(AI276-ICL3_classA!$F$2:$F$37)),ABS(AI276-ICL3_classA!$F$2:$F$37),0))</f>
        <v>30</v>
      </c>
      <c r="V276" s="1">
        <v>64</v>
      </c>
      <c r="W276" s="1">
        <v>24</v>
      </c>
      <c r="X276" s="1">
        <f>VLOOKUP($B276&amp;"__wt",'SegEnds_Xtal_BW#'!$A:$Z,24,FALSE)</f>
        <v>53</v>
      </c>
      <c r="Y276" s="1">
        <f>VLOOKUP($B276&amp;"__wt",'SegEnds_Xtal_BW#'!$A:$Z,25,FALSE)</f>
        <v>44</v>
      </c>
      <c r="Z276" s="1">
        <f>VLOOKUP($B276&amp;"__wt",'SegEnds_Xtal_BW#'!$A:$Z,26,FALSE)</f>
        <v>66</v>
      </c>
      <c r="AA276" s="27" t="str">
        <f>VLOOKUP(A276,Classification!A:B,2,FALSE)</f>
        <v>A</v>
      </c>
      <c r="AB276" s="1">
        <f>VLOOKUP(A276,'SegEnds_NonXtal_Prot#'!A:AL,10,FALSE)-VLOOKUP(A276,'SegEnds_NonXtal_Prot#'!A:AL,4,FALSE)</f>
        <v>32</v>
      </c>
      <c r="AC276" s="1" t="e">
        <f>VLOOKUP(A276,'SegEnds_NonXtal_Prot#'!A:AL,10,FALSE)-VLOOKUP(A276,'SegEnds_NonXtal_Prot#'!A:AL,7,FALSE)</f>
        <v>#VALUE!</v>
      </c>
      <c r="AD276" s="1">
        <f>VLOOKUP(A276,'SegEnds_NonXtal_Prot#'!A:AL,13,FALSE)-VLOOKUP(A276,'SegEnds_NonXtal_Prot#'!A:AL,10,FALSE)</f>
        <v>21</v>
      </c>
      <c r="AE276" s="1">
        <f>VLOOKUP(A276,'SegEnds_NonXtal_Prot#'!A:AL,16,FALSE)-VLOOKUP(A276,'SegEnds_NonXtal_Prot#'!A:AL,10,FALSE)</f>
        <v>56</v>
      </c>
      <c r="AF276" s="1">
        <f>VLOOKUP(A276,'SegEnds_NonXtal_Prot#'!A:AL,22,FALSE)-VLOOKUP(A276,'SegEnds_NonXtal_Prot#'!A:AL,19,FALSE)</f>
        <v>20</v>
      </c>
      <c r="AG276" s="1">
        <f>VLOOKUP(A276,'SegEnds_NonXtal_Prot#'!A:AL,28,FALSE)-VLOOKUP(A276,'SegEnds_NonXtal_Prot#'!A:AL,25,FALSE)</f>
        <v>35</v>
      </c>
      <c r="AH276" s="1">
        <f>VLOOKUP(A276,'SegEnds_NonXtal_Prot#'!A:AL,28,FALSE)-VLOOKUP(A276,'SegEnds_NonXtal_Prot#'!A:AL,22,FALSE)</f>
        <v>61</v>
      </c>
      <c r="AI276" s="1">
        <f>VLOOKUP(A276,'SegEnds_NonXtal_Prot#'!A:AL,31,FALSE)-VLOOKUP(A276,'SegEnds_NonXtal_Prot#'!A:AL,28,FALSE)</f>
        <v>42</v>
      </c>
      <c r="AJ276" s="1">
        <f>VLOOKUP(A276,'SegEnds_NonXtal_Prot#'!A:AL,34,FALSE)-VLOOKUP(A276,'SegEnds_NonXtal_Prot#'!A:AL,31,FALSE)</f>
        <v>45</v>
      </c>
      <c r="AK276" s="1">
        <f>VLOOKUP(A276,'SegEnds_NonXtal_Prot#'!A:AL,37,FALSE)-VLOOKUP(A276,'SegEnds_NonXtal_Prot#'!A:AL,34,FALSE)</f>
        <v>10</v>
      </c>
      <c r="AL276" s="1" t="str">
        <f>IF(ISERROR(MATCH(A276,'SegEnds_Xtal_Prot#'!B:B, 0)), "NoXtal", "Xtal")</f>
        <v>NoXtal</v>
      </c>
    </row>
    <row r="277" spans="1:38" s="12" customFormat="1" x14ac:dyDescent="0.2">
      <c r="A277" s="1" t="s">
        <v>387</v>
      </c>
      <c r="B277" s="1" t="str">
        <f>VLOOKUP(A277,Xtal_Templ!A:B,2,FALSE)</f>
        <v>drd2_human</v>
      </c>
      <c r="C277" s="5">
        <f>VLOOKUP($B277&amp;"__wt",'SegEnds_Xtal_BW#'!$A:$Z,3,FALSE)</f>
        <v>29</v>
      </c>
      <c r="D277" s="1">
        <f>VLOOKUP($B277&amp;"__wt",'SegEnds_Xtal_BW#'!$A:$Z,4,FALSE)</f>
        <v>60</v>
      </c>
      <c r="E277" s="1">
        <f>VLOOKUP($B277&amp;"__wt",'SegEnds_Xtal_BW#'!$A:$Z,5,FALSE)</f>
        <v>48</v>
      </c>
      <c r="F277" s="1">
        <f>VLOOKUP($B277&amp;"__wt",'SegEnds_Xtal_BW#'!$A:$Z,6,FALSE)</f>
        <v>51</v>
      </c>
      <c r="G277" s="1">
        <v>37</v>
      </c>
      <c r="H277" s="12">
        <f>VLOOKUP($B277&amp;"__wt",'SegEnds_Xtal_BW#'!$A:$Z,8,FALSE)</f>
        <v>68</v>
      </c>
      <c r="I277" s="1">
        <f>VLOOKUP($B277&amp;"__wt",'SegEnds_Xtal_BW#'!$A:$Z,9,FALSE)</f>
        <v>49</v>
      </c>
      <c r="J277" s="1">
        <f>VLOOKUP($B277&amp;"__wt",'SegEnds_Xtal_BW#'!$A:$Z,10,FALSE)</f>
        <v>52</v>
      </c>
      <c r="K277" s="12">
        <v>18</v>
      </c>
      <c r="L277" s="1">
        <f>VLOOKUP($B277&amp;"__wt",'SegEnds_Xtal_BW#'!$A:$Z,12,FALSE)</f>
        <v>56</v>
      </c>
      <c r="M277" s="1">
        <f>VLOOKUP($B277&amp;"__wt",'SegEnds_Xtal_BW#'!$A:$Z,13,FALSE)</f>
        <v>50</v>
      </c>
      <c r="N277" s="12">
        <v>57</v>
      </c>
      <c r="O277" s="87">
        <v>38</v>
      </c>
      <c r="P277" s="1">
        <f>VLOOKUP($B277&amp;"__wt",'SegEnds_Xtal_BW#'!$A:$Z,16,FALSE)</f>
        <v>62</v>
      </c>
      <c r="Q277" s="1">
        <f>VLOOKUP($B277&amp;"__wt",'SegEnds_Xtal_BW#'!$A:$Z,17,FALSE)</f>
        <v>50</v>
      </c>
      <c r="R277" s="1">
        <f>VLOOKUP($B277&amp;"__wt",'SegEnds_Xtal_BW#'!$A:$Z,18,FALSE)</f>
        <v>52</v>
      </c>
      <c r="S277" s="1">
        <v>35</v>
      </c>
      <c r="T277" s="1">
        <f t="array" ref="T277">INDEX(ICL3_classA!$G$2:$G$37,MATCH(MIN(ABS(AI277-ICL3_classA!$F$2:$F$37)),ABS(AI277-ICL3_classA!$F$2:$F$37),0))</f>
        <v>74</v>
      </c>
      <c r="U277" s="1">
        <f t="array" ref="U277">INDEX(ICL3_classA!$H$2:$H$37,MATCH(MIN(ABS(AI277-ICL3_classA!$F$2:$F$37)),ABS(AI277-ICL3_classA!$F$2:$F$37),0))</f>
        <v>21</v>
      </c>
      <c r="V277" s="1">
        <v>61</v>
      </c>
      <c r="W277" s="1">
        <v>31</v>
      </c>
      <c r="X277" s="1">
        <f>VLOOKUP($B277&amp;"__wt",'SegEnds_Xtal_BW#'!$A:$Z,24,FALSE)</f>
        <v>56</v>
      </c>
      <c r="Y277" s="1">
        <f>VLOOKUP($B277&amp;"__wt",'SegEnds_Xtal_BW#'!$A:$Z,25,FALSE)</f>
        <v>47</v>
      </c>
      <c r="Z277" s="1">
        <f>VLOOKUP($B277&amp;"__wt",'SegEnds_Xtal_BW#'!$A:$Z,26,FALSE)</f>
        <v>59</v>
      </c>
      <c r="AA277" s="27" t="str">
        <f>VLOOKUP(A277,Classification!A:B,2,FALSE)</f>
        <v>A</v>
      </c>
      <c r="AB277" s="1">
        <f>VLOOKUP(A277,'SegEnds_NonXtal_Prot#'!A:AL,10,FALSE)-VLOOKUP(A277,'SegEnds_NonXtal_Prot#'!A:AL,4,FALSE)</f>
        <v>28</v>
      </c>
      <c r="AC277" s="1">
        <f>VLOOKUP(A277,'SegEnds_NonXtal_Prot#'!A:AL,10,FALSE)-VLOOKUP(A277,'SegEnds_NonXtal_Prot#'!A:AL,7,FALSE)</f>
        <v>15</v>
      </c>
      <c r="AD277" s="1">
        <f>VLOOKUP(A277,'SegEnds_NonXtal_Prot#'!A:AL,13,FALSE)-VLOOKUP(A277,'SegEnds_NonXtal_Prot#'!A:AL,10,FALSE)</f>
        <v>20</v>
      </c>
      <c r="AE277" s="1">
        <f>VLOOKUP(A277,'SegEnds_NonXtal_Prot#'!A:AL,16,FALSE)-VLOOKUP(A277,'SegEnds_NonXtal_Prot#'!A:AL,10,FALSE)</f>
        <v>52</v>
      </c>
      <c r="AF277" s="1">
        <f>VLOOKUP(A277,'SegEnds_NonXtal_Prot#'!A:AL,22,FALSE)-VLOOKUP(A277,'SegEnds_NonXtal_Prot#'!A:AL,19,FALSE)</f>
        <v>20</v>
      </c>
      <c r="AG277" s="1">
        <f>VLOOKUP(A277,'SegEnds_NonXtal_Prot#'!A:AL,28,FALSE)-VLOOKUP(A277,'SegEnds_NonXtal_Prot#'!A:AL,25,FALSE)</f>
        <v>20</v>
      </c>
      <c r="AH277" s="1">
        <f>VLOOKUP(A277,'SegEnds_NonXtal_Prot#'!A:AL,28,FALSE)-VLOOKUP(A277,'SegEnds_NonXtal_Prot#'!A:AL,22,FALSE)</f>
        <v>54</v>
      </c>
      <c r="AI277" s="1">
        <f>VLOOKUP(A277,'SegEnds_NonXtal_Prot#'!A:AL,31,FALSE)-VLOOKUP(A277,'SegEnds_NonXtal_Prot#'!A:AL,28,FALSE)</f>
        <v>64</v>
      </c>
      <c r="AJ277" s="1">
        <f>VLOOKUP(A277,'SegEnds_NonXtal_Prot#'!A:AL,34,FALSE)-VLOOKUP(A277,'SegEnds_NonXtal_Prot#'!A:AL,31,FALSE)</f>
        <v>35</v>
      </c>
      <c r="AK277" s="1">
        <f>VLOOKUP(A277,'SegEnds_NonXtal_Prot#'!A:AL,37,FALSE)-VLOOKUP(A277,'SegEnds_NonXtal_Prot#'!A:AL,34,FALSE)</f>
        <v>10</v>
      </c>
      <c r="AL277" s="1" t="str">
        <f>IF(ISERROR(MATCH(A277,'SegEnds_Xtal_Prot#'!B:B, 0)), "NoXtal", "Xtal")</f>
        <v>NoXtal</v>
      </c>
    </row>
    <row r="278" spans="1:38" s="12" customFormat="1" x14ac:dyDescent="0.2">
      <c r="A278" s="1" t="s">
        <v>388</v>
      </c>
      <c r="B278" s="1" t="str">
        <f>VLOOKUP(A278,Xtal_Templ!A:B,2,FALSE)</f>
        <v>drd2_human</v>
      </c>
      <c r="C278" s="5">
        <f>VLOOKUP($B278&amp;"__wt",'SegEnds_Xtal_BW#'!$A:$Z,3,FALSE)</f>
        <v>29</v>
      </c>
      <c r="D278" s="1">
        <f>VLOOKUP($B278&amp;"__wt",'SegEnds_Xtal_BW#'!$A:$Z,4,FALSE)</f>
        <v>60</v>
      </c>
      <c r="E278" s="1">
        <f>VLOOKUP($B278&amp;"__wt",'SegEnds_Xtal_BW#'!$A:$Z,5,FALSE)</f>
        <v>48</v>
      </c>
      <c r="F278" s="1">
        <f>VLOOKUP($B278&amp;"__wt",'SegEnds_Xtal_BW#'!$A:$Z,6,FALSE)</f>
        <v>51</v>
      </c>
      <c r="G278" s="1">
        <v>37</v>
      </c>
      <c r="H278" s="12">
        <f>VLOOKUP($B278&amp;"__wt",'SegEnds_Xtal_BW#'!$A:$Z,8,FALSE)</f>
        <v>68</v>
      </c>
      <c r="I278" s="1">
        <f>VLOOKUP($B278&amp;"__wt",'SegEnds_Xtal_BW#'!$A:$Z,9,FALSE)</f>
        <v>49</v>
      </c>
      <c r="J278" s="1">
        <f>VLOOKUP($B278&amp;"__wt",'SegEnds_Xtal_BW#'!$A:$Z,10,FALSE)</f>
        <v>52</v>
      </c>
      <c r="K278" s="12">
        <v>18</v>
      </c>
      <c r="L278" s="1">
        <f>VLOOKUP($B278&amp;"__wt",'SegEnds_Xtal_BW#'!$A:$Z,12,FALSE)</f>
        <v>56</v>
      </c>
      <c r="M278" s="1">
        <f>VLOOKUP($B278&amp;"__wt",'SegEnds_Xtal_BW#'!$A:$Z,13,FALSE)</f>
        <v>50</v>
      </c>
      <c r="N278" s="12">
        <v>57</v>
      </c>
      <c r="O278" s="87">
        <f>VLOOKUP($B278&amp;"__wt",'SegEnds_Xtal_BW#'!$A:$Z,15,FALSE)</f>
        <v>38</v>
      </c>
      <c r="P278" s="1">
        <f>VLOOKUP($B278&amp;"__wt",'SegEnds_Xtal_BW#'!$A:$Z,16,FALSE)</f>
        <v>62</v>
      </c>
      <c r="Q278" s="1">
        <f>VLOOKUP($B278&amp;"__wt",'SegEnds_Xtal_BW#'!$A:$Z,17,FALSE)</f>
        <v>50</v>
      </c>
      <c r="R278" s="1">
        <f>VLOOKUP($B278&amp;"__wt",'SegEnds_Xtal_BW#'!$A:$Z,18,FALSE)</f>
        <v>52</v>
      </c>
      <c r="S278" s="1">
        <v>35</v>
      </c>
      <c r="T278" s="1">
        <f t="array" ref="T278">INDEX(ICL3_classA!$G$2:$G$37,MATCH(MIN(ABS(AI278-ICL3_classA!$F$2:$F$37)),ABS(AI278-ICL3_classA!$F$2:$F$37),0))</f>
        <v>73</v>
      </c>
      <c r="U278" s="1">
        <f t="array" ref="U278">INDEX(ICL3_classA!$H$2:$H$37,MATCH(MIN(ABS(AI278-ICL3_classA!$F$2:$F$37)),ABS(AI278-ICL3_classA!$F$2:$F$37),0))</f>
        <v>22</v>
      </c>
      <c r="V278" s="1">
        <v>61</v>
      </c>
      <c r="W278" s="1">
        <v>31</v>
      </c>
      <c r="X278" s="108">
        <v>56</v>
      </c>
      <c r="Y278" s="1">
        <f>VLOOKUP($B278&amp;"__wt",'SegEnds_Xtal_BW#'!$A:$Z,25,FALSE)</f>
        <v>47</v>
      </c>
      <c r="Z278" s="1">
        <f>VLOOKUP($B278&amp;"__wt",'SegEnds_Xtal_BW#'!$A:$Z,26,FALSE)</f>
        <v>59</v>
      </c>
      <c r="AA278" s="27" t="str">
        <f>VLOOKUP(A278,Classification!A:B,2,FALSE)</f>
        <v>A</v>
      </c>
      <c r="AB278" s="1">
        <f>VLOOKUP(A278,'SegEnds_NonXtal_Prot#'!A:AL,10,FALSE)-VLOOKUP(A278,'SegEnds_NonXtal_Prot#'!A:AL,4,FALSE)</f>
        <v>28</v>
      </c>
      <c r="AC278" s="1">
        <f>VLOOKUP(A278,'SegEnds_NonXtal_Prot#'!A:AL,10,FALSE)-VLOOKUP(A278,'SegEnds_NonXtal_Prot#'!A:AL,7,FALSE)</f>
        <v>15</v>
      </c>
      <c r="AD278" s="1">
        <f>VLOOKUP(A278,'SegEnds_NonXtal_Prot#'!A:AL,13,FALSE)-VLOOKUP(A278,'SegEnds_NonXtal_Prot#'!A:AL,10,FALSE)</f>
        <v>20</v>
      </c>
      <c r="AE278" s="1">
        <f>VLOOKUP(A278,'SegEnds_NonXtal_Prot#'!A:AL,16,FALSE)-VLOOKUP(A278,'SegEnds_NonXtal_Prot#'!A:AL,10,FALSE)</f>
        <v>52</v>
      </c>
      <c r="AF278" s="1">
        <f>VLOOKUP(A278,'SegEnds_NonXtal_Prot#'!A:AL,22,FALSE)-VLOOKUP(A278,'SegEnds_NonXtal_Prot#'!A:AL,19,FALSE)</f>
        <v>20</v>
      </c>
      <c r="AG278" s="1">
        <f>VLOOKUP(A278,'SegEnds_NonXtal_Prot#'!A:AL,28,FALSE)-VLOOKUP(A278,'SegEnds_NonXtal_Prot#'!A:AL,25,FALSE)</f>
        <v>20</v>
      </c>
      <c r="AH278" s="1">
        <f>VLOOKUP(A278,'SegEnds_NonXtal_Prot#'!A:AL,28,FALSE)-VLOOKUP(A278,'SegEnds_NonXtal_Prot#'!A:AL,22,FALSE)</f>
        <v>53</v>
      </c>
      <c r="AI278" s="1">
        <f>VLOOKUP(A278,'SegEnds_NonXtal_Prot#'!A:AL,31,FALSE)-VLOOKUP(A278,'SegEnds_NonXtal_Prot#'!A:AL,28,FALSE)</f>
        <v>56</v>
      </c>
      <c r="AJ278" s="1">
        <f>VLOOKUP(A278,'SegEnds_NonXtal_Prot#'!A:AL,34,FALSE)-VLOOKUP(A278,'SegEnds_NonXtal_Prot#'!A:AL,31,FALSE)</f>
        <v>35</v>
      </c>
      <c r="AK278" s="1">
        <f>VLOOKUP(A278,'SegEnds_NonXtal_Prot#'!A:AL,37,FALSE)-VLOOKUP(A278,'SegEnds_NonXtal_Prot#'!A:AL,34,FALSE)</f>
        <v>10</v>
      </c>
      <c r="AL278" s="1" t="str">
        <f>IF(ISERROR(MATCH(A278,'SegEnds_Xtal_Prot#'!B:B, 0)), "NoXtal", "Xtal")</f>
        <v>NoXtal</v>
      </c>
    </row>
    <row r="279" spans="1:38" x14ac:dyDescent="0.2">
      <c r="A279" s="1" t="s">
        <v>389</v>
      </c>
      <c r="B279" s="1" t="str">
        <f>VLOOKUP(A279,Xtal_Templ!A:B,2,FALSE)</f>
        <v>drd2_human</v>
      </c>
      <c r="C279" s="5">
        <f>VLOOKUP($B279&amp;"__wt",'SegEnds_Xtal_BW#'!$A:$Z,3,FALSE)</f>
        <v>29</v>
      </c>
      <c r="D279" s="1">
        <f>VLOOKUP($B279&amp;"__wt",'SegEnds_Xtal_BW#'!$A:$Z,4,FALSE)</f>
        <v>60</v>
      </c>
      <c r="E279" s="1">
        <f>VLOOKUP($B279&amp;"__wt",'SegEnds_Xtal_BW#'!$A:$Z,5,FALSE)</f>
        <v>48</v>
      </c>
      <c r="F279" s="1">
        <f>VLOOKUP($B279&amp;"__wt",'SegEnds_Xtal_BW#'!$A:$Z,6,FALSE)</f>
        <v>51</v>
      </c>
      <c r="G279" s="1">
        <v>37</v>
      </c>
      <c r="H279" s="12">
        <f>VLOOKUP($B279&amp;"__wt",'SegEnds_Xtal_BW#'!$A:$Z,8,FALSE)</f>
        <v>68</v>
      </c>
      <c r="I279" s="1">
        <f>VLOOKUP($B279&amp;"__wt",'SegEnds_Xtal_BW#'!$A:$Z,9,FALSE)</f>
        <v>49</v>
      </c>
      <c r="J279" s="1">
        <f>VLOOKUP($B279&amp;"__wt",'SegEnds_Xtal_BW#'!$A:$Z,10,FALSE)</f>
        <v>52</v>
      </c>
      <c r="K279" s="12">
        <v>18</v>
      </c>
      <c r="L279" s="1">
        <f>VLOOKUP($B279&amp;"__wt",'SegEnds_Xtal_BW#'!$A:$Z,12,FALSE)</f>
        <v>56</v>
      </c>
      <c r="M279" s="1">
        <f>VLOOKUP($B279&amp;"__wt",'SegEnds_Xtal_BW#'!$A:$Z,13,FALSE)</f>
        <v>50</v>
      </c>
      <c r="N279" s="12">
        <v>57</v>
      </c>
      <c r="O279" s="87">
        <f>VLOOKUP($B279&amp;"__wt",'SegEnds_Xtal_BW#'!$A:$Z,15,FALSE)</f>
        <v>38</v>
      </c>
      <c r="P279" s="1">
        <f>VLOOKUP($B279&amp;"__wt",'SegEnds_Xtal_BW#'!$A:$Z,16,FALSE)</f>
        <v>62</v>
      </c>
      <c r="Q279" s="1">
        <f>VLOOKUP($B279&amp;"__wt",'SegEnds_Xtal_BW#'!$A:$Z,17,FALSE)</f>
        <v>50</v>
      </c>
      <c r="R279" s="1">
        <f>VLOOKUP($B279&amp;"__wt",'SegEnds_Xtal_BW#'!$A:$Z,18,FALSE)</f>
        <v>52</v>
      </c>
      <c r="S279" s="1">
        <v>35</v>
      </c>
      <c r="T279" s="1">
        <f t="array" ref="T279">INDEX(ICL3_classA!$G$2:$G$37,MATCH(MIN(ABS(AI279-ICL3_classA!$F$2:$F$37)),ABS(AI279-ICL3_classA!$F$2:$F$37),0))</f>
        <v>74</v>
      </c>
      <c r="U279" s="1">
        <f t="array" ref="U279">INDEX(ICL3_classA!$H$2:$H$37,MATCH(MIN(ABS(AI279-ICL3_classA!$F$2:$F$37)),ABS(AI279-ICL3_classA!$F$2:$F$37),0))</f>
        <v>21</v>
      </c>
      <c r="V279" s="1">
        <v>61</v>
      </c>
      <c r="W279" s="1">
        <v>31</v>
      </c>
      <c r="X279" s="108">
        <v>56</v>
      </c>
      <c r="Y279" s="1">
        <f>VLOOKUP($B279&amp;"__wt",'SegEnds_Xtal_BW#'!$A:$Z,25,FALSE)</f>
        <v>47</v>
      </c>
      <c r="Z279" s="1">
        <f>VLOOKUP($B279&amp;"__wt",'SegEnds_Xtal_BW#'!$A:$Z,26,FALSE)</f>
        <v>59</v>
      </c>
      <c r="AA279" s="27" t="str">
        <f>VLOOKUP(A279,Classification!A:B,2,FALSE)</f>
        <v>A</v>
      </c>
      <c r="AB279" s="1">
        <f>VLOOKUP(A279,'SegEnds_NonXtal_Prot#'!A:AL,10,FALSE)-VLOOKUP(A279,'SegEnds_NonXtal_Prot#'!A:AL,4,FALSE)</f>
        <v>28</v>
      </c>
      <c r="AC279" s="1">
        <f>VLOOKUP(A279,'SegEnds_NonXtal_Prot#'!A:AL,10,FALSE)-VLOOKUP(A279,'SegEnds_NonXtal_Prot#'!A:AL,7,FALSE)</f>
        <v>15</v>
      </c>
      <c r="AD279" s="1">
        <f>VLOOKUP(A279,'SegEnds_NonXtal_Prot#'!A:AL,13,FALSE)-VLOOKUP(A279,'SegEnds_NonXtal_Prot#'!A:AL,10,FALSE)</f>
        <v>20</v>
      </c>
      <c r="AE279" s="1">
        <f>VLOOKUP(A279,'SegEnds_NonXtal_Prot#'!A:AL,16,FALSE)-VLOOKUP(A279,'SegEnds_NonXtal_Prot#'!A:AL,10,FALSE)</f>
        <v>52</v>
      </c>
      <c r="AF279" s="1">
        <f>VLOOKUP(A279,'SegEnds_NonXtal_Prot#'!A:AL,22,FALSE)-VLOOKUP(A279,'SegEnds_NonXtal_Prot#'!A:AL,19,FALSE)</f>
        <v>20</v>
      </c>
      <c r="AG279" s="1">
        <f>VLOOKUP(A279,'SegEnds_NonXtal_Prot#'!A:AL,28,FALSE)-VLOOKUP(A279,'SegEnds_NonXtal_Prot#'!A:AL,25,FALSE)</f>
        <v>20</v>
      </c>
      <c r="AH279" s="1">
        <f>VLOOKUP(A279,'SegEnds_NonXtal_Prot#'!A:AL,28,FALSE)-VLOOKUP(A279,'SegEnds_NonXtal_Prot#'!A:AL,22,FALSE)</f>
        <v>53</v>
      </c>
      <c r="AI279" s="1">
        <f>VLOOKUP(A279,'SegEnds_NonXtal_Prot#'!A:AL,31,FALSE)-VLOOKUP(A279,'SegEnds_NonXtal_Prot#'!A:AL,28,FALSE)</f>
        <v>62</v>
      </c>
      <c r="AJ279" s="1">
        <f>VLOOKUP(A279,'SegEnds_NonXtal_Prot#'!A:AL,34,FALSE)-VLOOKUP(A279,'SegEnds_NonXtal_Prot#'!A:AL,31,FALSE)</f>
        <v>35</v>
      </c>
      <c r="AK279" s="1">
        <f>VLOOKUP(A279,'SegEnds_NonXtal_Prot#'!A:AL,37,FALSE)-VLOOKUP(A279,'SegEnds_NonXtal_Prot#'!A:AL,34,FALSE)</f>
        <v>10</v>
      </c>
      <c r="AL279" s="1" t="str">
        <f>IF(ISERROR(MATCH(A279,'SegEnds_Xtal_Prot#'!B:B, 0)), "NoXtal", "Xtal")</f>
        <v>NoXtal</v>
      </c>
    </row>
    <row r="280" spans="1:38" x14ac:dyDescent="0.2">
      <c r="A280" s="1" t="s">
        <v>390</v>
      </c>
      <c r="B280" s="1" t="str">
        <f>VLOOKUP(A280,Xtal_Templ!A:B,2,FALSE)</f>
        <v>5ht1b_human</v>
      </c>
      <c r="C280" s="5">
        <f>VLOOKUP($B280&amp;"__wt",'SegEnds_Xtal_BW#'!$A:$Z,3,FALSE)</f>
        <v>28</v>
      </c>
      <c r="D280" s="1">
        <f>VLOOKUP($B280&amp;"__wt",'SegEnds_Xtal_BW#'!$A:$Z,4,FALSE)</f>
        <v>60</v>
      </c>
      <c r="E280" s="1">
        <f>VLOOKUP($B280&amp;"__wt",'SegEnds_Xtal_BW#'!$A:$Z,5,FALSE)</f>
        <v>48</v>
      </c>
      <c r="F280" s="1">
        <f>VLOOKUP($B280&amp;"__wt",'SegEnds_Xtal_BW#'!$A:$Z,6,FALSE)</f>
        <v>51</v>
      </c>
      <c r="G280" s="1">
        <v>37</v>
      </c>
      <c r="H280" s="12">
        <f>VLOOKUP($B280&amp;"__wt",'SegEnds_Xtal_BW#'!$A:$Z,8,FALSE)</f>
        <v>68</v>
      </c>
      <c r="I280" s="1">
        <f>VLOOKUP($B280&amp;"__wt",'SegEnds_Xtal_BW#'!$A:$Z,9,FALSE)</f>
        <v>49</v>
      </c>
      <c r="J280" s="1">
        <f>VLOOKUP($B280&amp;"__wt",'SegEnds_Xtal_BW#'!$A:$Z,10,FALSE)</f>
        <v>52</v>
      </c>
      <c r="K280" s="12">
        <v>18</v>
      </c>
      <c r="L280" s="1">
        <f>VLOOKUP($B280&amp;"__wt",'SegEnds_Xtal_BW#'!$A:$Z,12,FALSE)</f>
        <v>56</v>
      </c>
      <c r="M280" s="1">
        <f>VLOOKUP($B280&amp;"__wt",'SegEnds_Xtal_BW#'!$A:$Z,13,FALSE)</f>
        <v>50</v>
      </c>
      <c r="N280" s="12">
        <v>57</v>
      </c>
      <c r="O280" s="87">
        <v>38</v>
      </c>
      <c r="P280" s="1">
        <f>VLOOKUP($B280&amp;"__wt",'SegEnds_Xtal_BW#'!$A:$Z,16,FALSE)</f>
        <v>63</v>
      </c>
      <c r="Q280" s="1">
        <f>VLOOKUP($B280&amp;"__wt",'SegEnds_Xtal_BW#'!$A:$Z,17,FALSE)</f>
        <v>50</v>
      </c>
      <c r="R280" s="1">
        <f>VLOOKUP($B280&amp;"__wt",'SegEnds_Xtal_BW#'!$A:$Z,18,FALSE)</f>
        <v>52</v>
      </c>
      <c r="S280" s="1">
        <v>35</v>
      </c>
      <c r="T280" s="1">
        <f t="array" ref="T280">INDEX(ICL3_classA!$G$2:$G$37,MATCH(MIN(ABS(AI280-ICL3_classA!$F$2:$F$37)),ABS(AI280-ICL3_classA!$F$2:$F$37),0))</f>
        <v>73</v>
      </c>
      <c r="U280" s="1">
        <f t="array" ref="U280">INDEX(ICL3_classA!$H$2:$H$37,MATCH(MIN(ABS(AI280-ICL3_classA!$F$2:$F$37)),ABS(AI280-ICL3_classA!$F$2:$F$37),0))</f>
        <v>22</v>
      </c>
      <c r="V280" s="1">
        <v>61</v>
      </c>
      <c r="W280" s="1">
        <v>31</v>
      </c>
      <c r="X280" s="1">
        <f>VLOOKUP($B280&amp;"__wt",'SegEnds_Xtal_BW#'!$A:$Z,24,FALSE)</f>
        <v>56</v>
      </c>
      <c r="Y280" s="1">
        <f>VLOOKUP($B280&amp;"__wt",'SegEnds_Xtal_BW#'!$A:$Z,25,FALSE)</f>
        <v>47</v>
      </c>
      <c r="Z280" s="1">
        <f>VLOOKUP($B280&amp;"__wt",'SegEnds_Xtal_BW#'!$A:$Z,26,FALSE)</f>
        <v>58</v>
      </c>
      <c r="AA280" s="27" t="str">
        <f>VLOOKUP(A280,Classification!A:B,2,FALSE)</f>
        <v>A</v>
      </c>
      <c r="AB280" s="1">
        <f>VLOOKUP(A280,'SegEnds_NonXtal_Prot#'!A:AL,10,FALSE)-VLOOKUP(A280,'SegEnds_NonXtal_Prot#'!A:AL,4,FALSE)</f>
        <v>28</v>
      </c>
      <c r="AC280" s="1">
        <f>VLOOKUP(A280,'SegEnds_NonXtal_Prot#'!A:AL,10,FALSE)-VLOOKUP(A280,'SegEnds_NonXtal_Prot#'!A:AL,7,FALSE)</f>
        <v>15</v>
      </c>
      <c r="AD280" s="1">
        <f>VLOOKUP(A280,'SegEnds_NonXtal_Prot#'!A:AL,13,FALSE)-VLOOKUP(A280,'SegEnds_NonXtal_Prot#'!A:AL,10,FALSE)</f>
        <v>20</v>
      </c>
      <c r="AE280" s="1">
        <f>VLOOKUP(A280,'SegEnds_NonXtal_Prot#'!A:AL,16,FALSE)-VLOOKUP(A280,'SegEnds_NonXtal_Prot#'!A:AL,10,FALSE)</f>
        <v>52</v>
      </c>
      <c r="AF280" s="1">
        <f>VLOOKUP(A280,'SegEnds_NonXtal_Prot#'!A:AL,22,FALSE)-VLOOKUP(A280,'SegEnds_NonXtal_Prot#'!A:AL,19,FALSE)</f>
        <v>20</v>
      </c>
      <c r="AG280" s="1">
        <f>VLOOKUP(A280,'SegEnds_NonXtal_Prot#'!A:AL,28,FALSE)-VLOOKUP(A280,'SegEnds_NonXtal_Prot#'!A:AL,25,FALSE)</f>
        <v>19</v>
      </c>
      <c r="AH280" s="1">
        <f>VLOOKUP(A280,'SegEnds_NonXtal_Prot#'!A:AL,28,FALSE)-VLOOKUP(A280,'SegEnds_NonXtal_Prot#'!A:AL,22,FALSE)</f>
        <v>52</v>
      </c>
      <c r="AI280" s="1">
        <f>VLOOKUP(A280,'SegEnds_NonXtal_Prot#'!A:AL,31,FALSE)-VLOOKUP(A280,'SegEnds_NonXtal_Prot#'!A:AL,28,FALSE)</f>
        <v>56</v>
      </c>
      <c r="AJ280" s="1">
        <f>VLOOKUP(A280,'SegEnds_NonXtal_Prot#'!A:AL,34,FALSE)-VLOOKUP(A280,'SegEnds_NonXtal_Prot#'!A:AL,31,FALSE)</f>
        <v>35</v>
      </c>
      <c r="AK280" s="1">
        <f>VLOOKUP(A280,'SegEnds_NonXtal_Prot#'!A:AL,37,FALSE)-VLOOKUP(A280,'SegEnds_NonXtal_Prot#'!A:AL,34,FALSE)</f>
        <v>10</v>
      </c>
      <c r="AL280" s="1" t="str">
        <f>IF(ISERROR(MATCH(A280,'SegEnds_Xtal_Prot#'!B:B, 0)), "NoXtal", "Xtal")</f>
        <v>NoXtal</v>
      </c>
    </row>
    <row r="281" spans="1:38" x14ac:dyDescent="0.2">
      <c r="A281" s="1" t="s">
        <v>391</v>
      </c>
      <c r="B281" s="1" t="str">
        <f>VLOOKUP(A281,Xtal_Templ!A:B,2,FALSE)</f>
        <v>5ht1b_human</v>
      </c>
      <c r="C281" s="5">
        <f>VLOOKUP($B281&amp;"__wt",'SegEnds_Xtal_BW#'!$A:$Z,3,FALSE)</f>
        <v>28</v>
      </c>
      <c r="D281" s="1">
        <f>VLOOKUP($B281&amp;"__wt",'SegEnds_Xtal_BW#'!$A:$Z,4,FALSE)</f>
        <v>60</v>
      </c>
      <c r="E281" s="1">
        <f>VLOOKUP($B281&amp;"__wt",'SegEnds_Xtal_BW#'!$A:$Z,5,FALSE)</f>
        <v>48</v>
      </c>
      <c r="F281" s="1">
        <f>VLOOKUP($B281&amp;"__wt",'SegEnds_Xtal_BW#'!$A:$Z,6,FALSE)</f>
        <v>51</v>
      </c>
      <c r="G281" s="1">
        <v>37</v>
      </c>
      <c r="H281" s="12">
        <f>VLOOKUP($B281&amp;"__wt",'SegEnds_Xtal_BW#'!$A:$Z,8,FALSE)</f>
        <v>68</v>
      </c>
      <c r="I281" s="1">
        <f>VLOOKUP($B281&amp;"__wt",'SegEnds_Xtal_BW#'!$A:$Z,9,FALSE)</f>
        <v>49</v>
      </c>
      <c r="J281" s="1">
        <f>VLOOKUP($B281&amp;"__wt",'SegEnds_Xtal_BW#'!$A:$Z,10,FALSE)</f>
        <v>52</v>
      </c>
      <c r="K281" s="12">
        <v>18</v>
      </c>
      <c r="L281" s="1">
        <f>VLOOKUP($B281&amp;"__wt",'SegEnds_Xtal_BW#'!$A:$Z,12,FALSE)</f>
        <v>56</v>
      </c>
      <c r="M281" s="1">
        <f>VLOOKUP($B281&amp;"__wt",'SegEnds_Xtal_BW#'!$A:$Z,13,FALSE)</f>
        <v>50</v>
      </c>
      <c r="N281" s="12">
        <v>57</v>
      </c>
      <c r="O281" s="87">
        <v>38</v>
      </c>
      <c r="P281" s="1">
        <f>VLOOKUP($B281&amp;"__wt",'SegEnds_Xtal_BW#'!$A:$Z,16,FALSE)</f>
        <v>63</v>
      </c>
      <c r="Q281" s="1">
        <f>VLOOKUP($B281&amp;"__wt",'SegEnds_Xtal_BW#'!$A:$Z,17,FALSE)</f>
        <v>50</v>
      </c>
      <c r="R281" s="1">
        <f>VLOOKUP($B281&amp;"__wt",'SegEnds_Xtal_BW#'!$A:$Z,18,FALSE)</f>
        <v>52</v>
      </c>
      <c r="S281" s="1">
        <v>35</v>
      </c>
      <c r="T281" s="1">
        <f t="array" ref="T281">INDEX(ICL3_classA!$G$2:$G$37,MATCH(MIN(ABS(AI281-ICL3_classA!$F$2:$F$37)),ABS(AI281-ICL3_classA!$F$2:$F$37),0))</f>
        <v>74</v>
      </c>
      <c r="U281" s="1">
        <f t="array" ref="U281">INDEX(ICL3_classA!$H$2:$H$37,MATCH(MIN(ABS(AI281-ICL3_classA!$F$2:$F$37)),ABS(AI281-ICL3_classA!$F$2:$F$37),0))</f>
        <v>21</v>
      </c>
      <c r="V281" s="1">
        <v>61</v>
      </c>
      <c r="W281" s="1">
        <v>31</v>
      </c>
      <c r="X281" s="1">
        <f>VLOOKUP($B281&amp;"__wt",'SegEnds_Xtal_BW#'!$A:$Z,24,FALSE)</f>
        <v>56</v>
      </c>
      <c r="Y281" s="1">
        <f>VLOOKUP($B281&amp;"__wt",'SegEnds_Xtal_BW#'!$A:$Z,25,FALSE)</f>
        <v>47</v>
      </c>
      <c r="Z281" s="1">
        <f>VLOOKUP($B281&amp;"__wt",'SegEnds_Xtal_BW#'!$A:$Z,26,FALSE)</f>
        <v>58</v>
      </c>
      <c r="AA281" s="27" t="str">
        <f>VLOOKUP(A281,Classification!A:B,2,FALSE)</f>
        <v>A</v>
      </c>
      <c r="AB281" s="1">
        <f>VLOOKUP(A281,'SegEnds_NonXtal_Prot#'!A:AL,10,FALSE)-VLOOKUP(A281,'SegEnds_NonXtal_Prot#'!A:AL,4,FALSE)</f>
        <v>28</v>
      </c>
      <c r="AC281" s="1">
        <f>VLOOKUP(A281,'SegEnds_NonXtal_Prot#'!A:AL,10,FALSE)-VLOOKUP(A281,'SegEnds_NonXtal_Prot#'!A:AL,7,FALSE)</f>
        <v>15</v>
      </c>
      <c r="AD281" s="1">
        <f>VLOOKUP(A281,'SegEnds_NonXtal_Prot#'!A:AL,13,FALSE)-VLOOKUP(A281,'SegEnds_NonXtal_Prot#'!A:AL,10,FALSE)</f>
        <v>20</v>
      </c>
      <c r="AE281" s="1">
        <f>VLOOKUP(A281,'SegEnds_NonXtal_Prot#'!A:AL,16,FALSE)-VLOOKUP(A281,'SegEnds_NonXtal_Prot#'!A:AL,10,FALSE)</f>
        <v>52</v>
      </c>
      <c r="AF281" s="1">
        <f>VLOOKUP(A281,'SegEnds_NonXtal_Prot#'!A:AL,22,FALSE)-VLOOKUP(A281,'SegEnds_NonXtal_Prot#'!A:AL,19,FALSE)</f>
        <v>20</v>
      </c>
      <c r="AG281" s="1">
        <f>VLOOKUP(A281,'SegEnds_NonXtal_Prot#'!A:AL,28,FALSE)-VLOOKUP(A281,'SegEnds_NonXtal_Prot#'!A:AL,25,FALSE)</f>
        <v>19</v>
      </c>
      <c r="AH281" s="1">
        <f>VLOOKUP(A281,'SegEnds_NonXtal_Prot#'!A:AL,28,FALSE)-VLOOKUP(A281,'SegEnds_NonXtal_Prot#'!A:AL,22,FALSE)</f>
        <v>52</v>
      </c>
      <c r="AI281" s="1">
        <f>VLOOKUP(A281,'SegEnds_NonXtal_Prot#'!A:AL,31,FALSE)-VLOOKUP(A281,'SegEnds_NonXtal_Prot#'!A:AL,28,FALSE)</f>
        <v>64</v>
      </c>
      <c r="AJ281" s="1">
        <f>VLOOKUP(A281,'SegEnds_NonXtal_Prot#'!A:AL,34,FALSE)-VLOOKUP(A281,'SegEnds_NonXtal_Prot#'!A:AL,31,FALSE)</f>
        <v>35</v>
      </c>
      <c r="AK281" s="1">
        <f>VLOOKUP(A281,'SegEnds_NonXtal_Prot#'!A:AL,37,FALSE)-VLOOKUP(A281,'SegEnds_NonXtal_Prot#'!A:AL,34,FALSE)</f>
        <v>10</v>
      </c>
      <c r="AL281" s="1" t="str">
        <f>IF(ISERROR(MATCH(A281,'SegEnds_Xtal_Prot#'!B:B, 0)), "NoXtal", "Xtal")</f>
        <v>NoXtal</v>
      </c>
    </row>
    <row r="282" spans="1:38" x14ac:dyDescent="0.2">
      <c r="A282" s="1" t="s">
        <v>392</v>
      </c>
      <c r="B282" s="1" t="str">
        <f>VLOOKUP(A282,Xtal_Templ!A:B,2,FALSE)</f>
        <v>5ht1b_human</v>
      </c>
      <c r="C282" s="5">
        <f>VLOOKUP($B282&amp;"__wt",'SegEnds_Xtal_BW#'!$A:$Z,3,FALSE)</f>
        <v>28</v>
      </c>
      <c r="D282" s="1">
        <f>VLOOKUP($B282&amp;"__wt",'SegEnds_Xtal_BW#'!$A:$Z,4,FALSE)</f>
        <v>60</v>
      </c>
      <c r="E282" s="1">
        <f>VLOOKUP($B282&amp;"__wt",'SegEnds_Xtal_BW#'!$A:$Z,5,FALSE)</f>
        <v>48</v>
      </c>
      <c r="F282" s="1">
        <f>VLOOKUP($B282&amp;"__wt",'SegEnds_Xtal_BW#'!$A:$Z,6,FALSE)</f>
        <v>51</v>
      </c>
      <c r="G282" s="1">
        <v>37</v>
      </c>
      <c r="H282" s="12">
        <f>VLOOKUP($B282&amp;"__wt",'SegEnds_Xtal_BW#'!$A:$Z,8,FALSE)</f>
        <v>68</v>
      </c>
      <c r="I282" s="1">
        <f>VLOOKUP($B282&amp;"__wt",'SegEnds_Xtal_BW#'!$A:$Z,9,FALSE)</f>
        <v>49</v>
      </c>
      <c r="J282" s="1">
        <f>VLOOKUP($B282&amp;"__wt",'SegEnds_Xtal_BW#'!$A:$Z,10,FALSE)</f>
        <v>52</v>
      </c>
      <c r="K282" s="12">
        <v>18</v>
      </c>
      <c r="L282" s="1">
        <f>VLOOKUP($B282&amp;"__wt",'SegEnds_Xtal_BW#'!$A:$Z,12,FALSE)</f>
        <v>56</v>
      </c>
      <c r="M282" s="1">
        <f>VLOOKUP($B282&amp;"__wt",'SegEnds_Xtal_BW#'!$A:$Z,13,FALSE)</f>
        <v>50</v>
      </c>
      <c r="N282" s="12">
        <v>57</v>
      </c>
      <c r="O282" s="87">
        <v>38</v>
      </c>
      <c r="P282" s="1">
        <f>VLOOKUP($B282&amp;"__wt",'SegEnds_Xtal_BW#'!$A:$Z,16,FALSE)</f>
        <v>63</v>
      </c>
      <c r="Q282" s="1">
        <f>VLOOKUP($B282&amp;"__wt",'SegEnds_Xtal_BW#'!$A:$Z,17,FALSE)</f>
        <v>50</v>
      </c>
      <c r="R282" s="1">
        <f>VLOOKUP($B282&amp;"__wt",'SegEnds_Xtal_BW#'!$A:$Z,18,FALSE)</f>
        <v>52</v>
      </c>
      <c r="S282" s="1">
        <v>35</v>
      </c>
      <c r="T282" s="1">
        <f t="array" ref="T282">INDEX(ICL3_classA!$G$2:$G$37,MATCH(MIN(ABS(AI282-ICL3_classA!$F$2:$F$37)),ABS(AI282-ICL3_classA!$F$2:$F$37),0))</f>
        <v>74</v>
      </c>
      <c r="U282" s="1">
        <f t="array" ref="U282">INDEX(ICL3_classA!$H$2:$H$37,MATCH(MIN(ABS(AI282-ICL3_classA!$F$2:$F$37)),ABS(AI282-ICL3_classA!$F$2:$F$37),0))</f>
        <v>21</v>
      </c>
      <c r="V282" s="1">
        <v>61</v>
      </c>
      <c r="W282" s="1">
        <v>31</v>
      </c>
      <c r="X282" s="1">
        <f>VLOOKUP($B282&amp;"__wt",'SegEnds_Xtal_BW#'!$A:$Z,24,FALSE)</f>
        <v>56</v>
      </c>
      <c r="Y282" s="1">
        <f>VLOOKUP($B282&amp;"__wt",'SegEnds_Xtal_BW#'!$A:$Z,25,FALSE)</f>
        <v>47</v>
      </c>
      <c r="Z282" s="1">
        <f>VLOOKUP($B282&amp;"__wt",'SegEnds_Xtal_BW#'!$A:$Z,26,FALSE)</f>
        <v>58</v>
      </c>
      <c r="AA282" s="27" t="str">
        <f>VLOOKUP(A282,Classification!A:B,2,FALSE)</f>
        <v>A</v>
      </c>
      <c r="AB282" s="1">
        <f>VLOOKUP(A282,'SegEnds_NonXtal_Prot#'!A:AL,10,FALSE)-VLOOKUP(A282,'SegEnds_NonXtal_Prot#'!A:AL,4,FALSE)</f>
        <v>28</v>
      </c>
      <c r="AC282" s="1">
        <f>VLOOKUP(A282,'SegEnds_NonXtal_Prot#'!A:AL,10,FALSE)-VLOOKUP(A282,'SegEnds_NonXtal_Prot#'!A:AL,7,FALSE)</f>
        <v>15</v>
      </c>
      <c r="AD282" s="1">
        <f>VLOOKUP(A282,'SegEnds_NonXtal_Prot#'!A:AL,13,FALSE)-VLOOKUP(A282,'SegEnds_NonXtal_Prot#'!A:AL,10,FALSE)</f>
        <v>20</v>
      </c>
      <c r="AE282" s="1">
        <f>VLOOKUP(A282,'SegEnds_NonXtal_Prot#'!A:AL,16,FALSE)-VLOOKUP(A282,'SegEnds_NonXtal_Prot#'!A:AL,10,FALSE)</f>
        <v>52</v>
      </c>
      <c r="AF282" s="1">
        <f>VLOOKUP(A282,'SegEnds_NonXtal_Prot#'!A:AL,22,FALSE)-VLOOKUP(A282,'SegEnds_NonXtal_Prot#'!A:AL,19,FALSE)</f>
        <v>20</v>
      </c>
      <c r="AG282" s="1">
        <f>VLOOKUP(A282,'SegEnds_NonXtal_Prot#'!A:AL,28,FALSE)-VLOOKUP(A282,'SegEnds_NonXtal_Prot#'!A:AL,25,FALSE)</f>
        <v>19</v>
      </c>
      <c r="AH282" s="1">
        <f>VLOOKUP(A282,'SegEnds_NonXtal_Prot#'!A:AL,28,FALSE)-VLOOKUP(A282,'SegEnds_NonXtal_Prot#'!A:AL,22,FALSE)</f>
        <v>52</v>
      </c>
      <c r="AI282" s="1">
        <f>VLOOKUP(A282,'SegEnds_NonXtal_Prot#'!A:AL,31,FALSE)-VLOOKUP(A282,'SegEnds_NonXtal_Prot#'!A:AL,28,FALSE)</f>
        <v>64</v>
      </c>
      <c r="AJ282" s="1">
        <f>VLOOKUP(A282,'SegEnds_NonXtal_Prot#'!A:AL,34,FALSE)-VLOOKUP(A282,'SegEnds_NonXtal_Prot#'!A:AL,31,FALSE)</f>
        <v>35</v>
      </c>
      <c r="AK282" s="1">
        <f>VLOOKUP(A282,'SegEnds_NonXtal_Prot#'!A:AL,37,FALSE)-VLOOKUP(A282,'SegEnds_NonXtal_Prot#'!A:AL,34,FALSE)</f>
        <v>10</v>
      </c>
      <c r="AL282" s="1" t="str">
        <f>IF(ISERROR(MATCH(A282,'SegEnds_Xtal_Prot#'!B:B, 0)), "NoXtal", "Xtal")</f>
        <v>NoXtal</v>
      </c>
    </row>
    <row r="283" spans="1:38" x14ac:dyDescent="0.2">
      <c r="A283" s="1" t="s">
        <v>393</v>
      </c>
      <c r="B283" s="1" t="str">
        <f>VLOOKUP(A283,Xtal_Templ!A:B,2,FALSE)</f>
        <v>5ht1b_human</v>
      </c>
      <c r="C283" s="5">
        <f>VLOOKUP($B283&amp;"__wt",'SegEnds_Xtal_BW#'!$A:$Z,3,FALSE)</f>
        <v>28</v>
      </c>
      <c r="D283" s="1">
        <f>VLOOKUP($B283&amp;"__wt",'SegEnds_Xtal_BW#'!$A:$Z,4,FALSE)</f>
        <v>60</v>
      </c>
      <c r="E283" s="1">
        <f>VLOOKUP($B283&amp;"__wt",'SegEnds_Xtal_BW#'!$A:$Z,5,FALSE)</f>
        <v>48</v>
      </c>
      <c r="F283" s="1">
        <f>VLOOKUP($B283&amp;"__wt",'SegEnds_Xtal_BW#'!$A:$Z,6,FALSE)</f>
        <v>51</v>
      </c>
      <c r="G283" s="1">
        <v>37</v>
      </c>
      <c r="H283" s="12">
        <f>VLOOKUP($B283&amp;"__wt",'SegEnds_Xtal_BW#'!$A:$Z,8,FALSE)</f>
        <v>68</v>
      </c>
      <c r="I283" s="1">
        <f>VLOOKUP($B283&amp;"__wt",'SegEnds_Xtal_BW#'!$A:$Z,9,FALSE)</f>
        <v>49</v>
      </c>
      <c r="J283" s="1">
        <f>VLOOKUP($B283&amp;"__wt",'SegEnds_Xtal_BW#'!$A:$Z,10,FALSE)</f>
        <v>52</v>
      </c>
      <c r="K283" s="12">
        <v>18</v>
      </c>
      <c r="L283" s="1">
        <f>VLOOKUP($B283&amp;"__wt",'SegEnds_Xtal_BW#'!$A:$Z,12,FALSE)</f>
        <v>56</v>
      </c>
      <c r="M283" s="1">
        <f>VLOOKUP($B283&amp;"__wt",'SegEnds_Xtal_BW#'!$A:$Z,13,FALSE)</f>
        <v>50</v>
      </c>
      <c r="N283" s="12">
        <v>57</v>
      </c>
      <c r="O283" s="87">
        <v>38</v>
      </c>
      <c r="P283" s="1">
        <f>VLOOKUP($B283&amp;"__wt",'SegEnds_Xtal_BW#'!$A:$Z,16,FALSE)</f>
        <v>63</v>
      </c>
      <c r="Q283" s="1">
        <f>VLOOKUP($B283&amp;"__wt",'SegEnds_Xtal_BW#'!$A:$Z,17,FALSE)</f>
        <v>50</v>
      </c>
      <c r="R283" s="1">
        <f>VLOOKUP($B283&amp;"__wt",'SegEnds_Xtal_BW#'!$A:$Z,18,FALSE)</f>
        <v>52</v>
      </c>
      <c r="S283" s="1">
        <v>35</v>
      </c>
      <c r="T283" s="1">
        <f t="array" ref="T283">INDEX(ICL3_classA!$G$2:$G$37,MATCH(MIN(ABS(AI283-ICL3_classA!$F$2:$F$37)),ABS(AI283-ICL3_classA!$F$2:$F$37),0))</f>
        <v>74</v>
      </c>
      <c r="U283" s="1">
        <f t="array" ref="U283">INDEX(ICL3_classA!$H$2:$H$37,MATCH(MIN(ABS(AI283-ICL3_classA!$F$2:$F$37)),ABS(AI283-ICL3_classA!$F$2:$F$37),0))</f>
        <v>21</v>
      </c>
      <c r="V283" s="1">
        <v>61</v>
      </c>
      <c r="W283" s="1">
        <v>31</v>
      </c>
      <c r="X283" s="1">
        <f>VLOOKUP($B283&amp;"__wt",'SegEnds_Xtal_BW#'!$A:$Z,24,FALSE)</f>
        <v>56</v>
      </c>
      <c r="Y283" s="1">
        <f>VLOOKUP($B283&amp;"__wt",'SegEnds_Xtal_BW#'!$A:$Z,25,FALSE)</f>
        <v>47</v>
      </c>
      <c r="Z283" s="1">
        <f>VLOOKUP($B283&amp;"__wt",'SegEnds_Xtal_BW#'!$A:$Z,26,FALSE)</f>
        <v>58</v>
      </c>
      <c r="AA283" s="27" t="str">
        <f>VLOOKUP(A283,Classification!A:B,2,FALSE)</f>
        <v>A</v>
      </c>
      <c r="AB283" s="1">
        <f>VLOOKUP(A283,'SegEnds_NonXtal_Prot#'!A:AL,10,FALSE)-VLOOKUP(A283,'SegEnds_NonXtal_Prot#'!A:AL,4,FALSE)</f>
        <v>28</v>
      </c>
      <c r="AC283" s="1">
        <f>VLOOKUP(A283,'SegEnds_NonXtal_Prot#'!A:AL,10,FALSE)-VLOOKUP(A283,'SegEnds_NonXtal_Prot#'!A:AL,7,FALSE)</f>
        <v>15</v>
      </c>
      <c r="AD283" s="1">
        <f>VLOOKUP(A283,'SegEnds_NonXtal_Prot#'!A:AL,13,FALSE)-VLOOKUP(A283,'SegEnds_NonXtal_Prot#'!A:AL,10,FALSE)</f>
        <v>20</v>
      </c>
      <c r="AE283" s="1">
        <f>VLOOKUP(A283,'SegEnds_NonXtal_Prot#'!A:AL,16,FALSE)-VLOOKUP(A283,'SegEnds_NonXtal_Prot#'!A:AL,10,FALSE)</f>
        <v>52</v>
      </c>
      <c r="AF283" s="1">
        <f>VLOOKUP(A283,'SegEnds_NonXtal_Prot#'!A:AL,22,FALSE)-VLOOKUP(A283,'SegEnds_NonXtal_Prot#'!A:AL,19,FALSE)</f>
        <v>20</v>
      </c>
      <c r="AG283" s="1">
        <f>VLOOKUP(A283,'SegEnds_NonXtal_Prot#'!A:AL,28,FALSE)-VLOOKUP(A283,'SegEnds_NonXtal_Prot#'!A:AL,25,FALSE)</f>
        <v>19</v>
      </c>
      <c r="AH283" s="1">
        <f>VLOOKUP(A283,'SegEnds_NonXtal_Prot#'!A:AL,28,FALSE)-VLOOKUP(A283,'SegEnds_NonXtal_Prot#'!A:AL,22,FALSE)</f>
        <v>52</v>
      </c>
      <c r="AI283" s="1">
        <f>VLOOKUP(A283,'SegEnds_NonXtal_Prot#'!A:AL,31,FALSE)-VLOOKUP(A283,'SegEnds_NonXtal_Prot#'!A:AL,28,FALSE)</f>
        <v>64</v>
      </c>
      <c r="AJ283" s="1">
        <f>VLOOKUP(A283,'SegEnds_NonXtal_Prot#'!A:AL,34,FALSE)-VLOOKUP(A283,'SegEnds_NonXtal_Prot#'!A:AL,31,FALSE)</f>
        <v>35</v>
      </c>
      <c r="AK283" s="1">
        <f>VLOOKUP(A283,'SegEnds_NonXtal_Prot#'!A:AL,37,FALSE)-VLOOKUP(A283,'SegEnds_NonXtal_Prot#'!A:AL,34,FALSE)</f>
        <v>10</v>
      </c>
      <c r="AL283" s="1" t="str">
        <f>IF(ISERROR(MATCH(A283,'SegEnds_Xtal_Prot#'!B:B, 0)), "NoXtal", "Xtal")</f>
        <v>NoXtal</v>
      </c>
    </row>
    <row r="284" spans="1:38" x14ac:dyDescent="0.2">
      <c r="A284" s="1" t="s">
        <v>394</v>
      </c>
      <c r="B284" s="1" t="str">
        <f>VLOOKUP(A284,Xtal_Templ!A:B,2,FALSE)</f>
        <v>oprx_human</v>
      </c>
      <c r="C284" s="5">
        <f>VLOOKUP($B284&amp;"__wt",'SegEnds_Xtal_BW#'!$A:$Z,3,FALSE)</f>
        <v>29</v>
      </c>
      <c r="D284" s="1">
        <f>VLOOKUP($B284&amp;"__wt",'SegEnds_Xtal_BW#'!$A:$Z,4,FALSE)</f>
        <v>60</v>
      </c>
      <c r="E284" s="1">
        <f>VLOOKUP($B284&amp;"__wt",'SegEnds_Xtal_BW#'!$A:$Z,5,FALSE)</f>
        <v>48</v>
      </c>
      <c r="F284" s="1">
        <f>VLOOKUP($B284&amp;"__wt",'SegEnds_Xtal_BW#'!$A:$Z,6,FALSE)</f>
        <v>51</v>
      </c>
      <c r="G284" s="1">
        <v>37</v>
      </c>
      <c r="H284" s="12">
        <f>VLOOKUP($B284&amp;"__wt",'SegEnds_Xtal_BW#'!$A:$Z,8,FALSE)</f>
        <v>66</v>
      </c>
      <c r="I284" s="1">
        <f>VLOOKUP($B284&amp;"__wt",'SegEnds_Xtal_BW#'!$A:$Z,9,FALSE)</f>
        <v>49</v>
      </c>
      <c r="J284" s="1">
        <f>VLOOKUP($B284&amp;"__wt",'SegEnds_Xtal_BW#'!$A:$Z,10,FALSE)</f>
        <v>52</v>
      </c>
      <c r="K284" s="12">
        <v>18</v>
      </c>
      <c r="L284" s="1">
        <f>VLOOKUP($B284&amp;"__wt",'SegEnds_Xtal_BW#'!$A:$Z,12,FALSE)</f>
        <v>56</v>
      </c>
      <c r="M284" s="1">
        <f>VLOOKUP($B284&amp;"__wt",'SegEnds_Xtal_BW#'!$A:$Z,13,FALSE)</f>
        <v>50</v>
      </c>
      <c r="N284" s="12">
        <v>57</v>
      </c>
      <c r="O284" s="87">
        <f>VLOOKUP($B284&amp;"__wt",'SegEnds_Xtal_BW#'!$A:$Z,15,FALSE)</f>
        <v>38</v>
      </c>
      <c r="P284" s="1">
        <f>VLOOKUP($B284&amp;"__wt",'SegEnds_Xtal_BW#'!$A:$Z,16,FALSE)</f>
        <v>64</v>
      </c>
      <c r="Q284" s="1">
        <f>VLOOKUP($B284&amp;"__wt",'SegEnds_Xtal_BW#'!$A:$Z,17,FALSE)</f>
        <v>50</v>
      </c>
      <c r="R284" s="1">
        <f>VLOOKUP($B284&amp;"__wt",'SegEnds_Xtal_BW#'!$A:$Z,18,FALSE)</f>
        <v>52</v>
      </c>
      <c r="S284" s="1">
        <f>VLOOKUP($B284&amp;"__wt",'SegEnds_Xtal_BW#'!$A:$Z,19,FALSE)</f>
        <v>31</v>
      </c>
      <c r="T284" s="1">
        <f t="array" ref="T284">INDEX(ICL3_classA!$G$2:$G$37,MATCH(MIN(ABS(AI284-ICL3_classA!$F$2:$F$37)),ABS(AI284-ICL3_classA!$F$2:$F$37),0))</f>
        <v>76</v>
      </c>
      <c r="U284" s="1">
        <f t="array" ref="U284">INDEX(ICL3_classA!$H$2:$H$37,MATCH(MIN(ABS(AI284-ICL3_classA!$F$2:$F$37)),ABS(AI284-ICL3_classA!$F$2:$F$37),0))</f>
        <v>24</v>
      </c>
      <c r="V284" s="1">
        <v>61</v>
      </c>
      <c r="W284" s="1">
        <v>31</v>
      </c>
      <c r="X284" s="1">
        <f>VLOOKUP($B284&amp;"__wt",'SegEnds_Xtal_BW#'!$A:$Z,24,FALSE)</f>
        <v>56</v>
      </c>
      <c r="Y284" s="1">
        <f>VLOOKUP($B284&amp;"__wt",'SegEnds_Xtal_BW#'!$A:$Z,25,FALSE)</f>
        <v>47</v>
      </c>
      <c r="Z284" s="1">
        <f>VLOOKUP($B284&amp;"__wt",'SegEnds_Xtal_BW#'!$A:$Z,26,FALSE)</f>
        <v>59</v>
      </c>
      <c r="AA284" s="27" t="str">
        <f>VLOOKUP(A284,Classification!A:B,2,FALSE)</f>
        <v>A</v>
      </c>
      <c r="AB284" s="1">
        <f>VLOOKUP(A284,'SegEnds_NonXtal_Prot#'!A:AL,10,FALSE)-VLOOKUP(A284,'SegEnds_NonXtal_Prot#'!A:AL,4,FALSE)</f>
        <v>28</v>
      </c>
      <c r="AC284" s="1">
        <f>VLOOKUP(A284,'SegEnds_NonXtal_Prot#'!A:AL,10,FALSE)-VLOOKUP(A284,'SegEnds_NonXtal_Prot#'!A:AL,7,FALSE)</f>
        <v>15</v>
      </c>
      <c r="AD284" s="1">
        <f>VLOOKUP(A284,'SegEnds_NonXtal_Prot#'!A:AL,13,FALSE)-VLOOKUP(A284,'SegEnds_NonXtal_Prot#'!A:AL,10,FALSE)</f>
        <v>20</v>
      </c>
      <c r="AE284" s="1">
        <f>VLOOKUP(A284,'SegEnds_NonXtal_Prot#'!A:AL,16,FALSE)-VLOOKUP(A284,'SegEnds_NonXtal_Prot#'!A:AL,10,FALSE)</f>
        <v>52</v>
      </c>
      <c r="AF284" s="1">
        <f>VLOOKUP(A284,'SegEnds_NonXtal_Prot#'!A:AL,22,FALSE)-VLOOKUP(A284,'SegEnds_NonXtal_Prot#'!A:AL,19,FALSE)</f>
        <v>20</v>
      </c>
      <c r="AG284" s="1">
        <f>VLOOKUP(A284,'SegEnds_NonXtal_Prot#'!A:AL,28,FALSE)-VLOOKUP(A284,'SegEnds_NonXtal_Prot#'!A:AL,25,FALSE)</f>
        <v>24</v>
      </c>
      <c r="AH284" s="1">
        <f>VLOOKUP(A284,'SegEnds_NonXtal_Prot#'!A:AL,28,FALSE)-VLOOKUP(A284,'SegEnds_NonXtal_Prot#'!A:AL,22,FALSE)</f>
        <v>53</v>
      </c>
      <c r="AI284" s="1">
        <f>VLOOKUP(A284,'SegEnds_NonXtal_Prot#'!A:AL,31,FALSE)-VLOOKUP(A284,'SegEnds_NonXtal_Prot#'!A:AL,28,FALSE)</f>
        <v>78</v>
      </c>
      <c r="AJ284" s="1">
        <f>VLOOKUP(A284,'SegEnds_NonXtal_Prot#'!A:AL,34,FALSE)-VLOOKUP(A284,'SegEnds_NonXtal_Prot#'!A:AL,31,FALSE)</f>
        <v>36</v>
      </c>
      <c r="AK284" s="1">
        <f>VLOOKUP(A284,'SegEnds_NonXtal_Prot#'!A:AL,37,FALSE)-VLOOKUP(A284,'SegEnds_NonXtal_Prot#'!A:AL,34,FALSE)</f>
        <v>10</v>
      </c>
      <c r="AL284" s="1" t="str">
        <f>IF(ISERROR(MATCH(A284,'SegEnds_Xtal_Prot#'!B:B, 0)), "NoXtal", "Xtal")</f>
        <v>NoXtal</v>
      </c>
    </row>
    <row r="285" spans="1:38" x14ac:dyDescent="0.2">
      <c r="A285" s="1" t="s">
        <v>395</v>
      </c>
      <c r="B285" s="1" t="str">
        <f>VLOOKUP(A285,Xtal_Templ!A:B,2,FALSE)</f>
        <v>aa2ar_human</v>
      </c>
      <c r="C285" s="5">
        <f>VLOOKUP($B285&amp;"__wt",'SegEnds_Xtal_BW#'!$A:$Z,3,FALSE)</f>
        <v>27</v>
      </c>
      <c r="D285" s="1">
        <f>VLOOKUP($B285&amp;"__wt",'SegEnds_Xtal_BW#'!$A:$Z,4,FALSE)</f>
        <v>60</v>
      </c>
      <c r="E285" s="1">
        <f>VLOOKUP($B285&amp;"__wt",'SegEnds_Xtal_BW#'!$A:$Z,5,FALSE)</f>
        <v>48</v>
      </c>
      <c r="F285" s="1">
        <f>VLOOKUP($B285&amp;"__wt",'SegEnds_Xtal_BW#'!$A:$Z,6,FALSE)</f>
        <v>51</v>
      </c>
      <c r="G285" s="1">
        <v>37</v>
      </c>
      <c r="H285" s="12">
        <f>VLOOKUP($B285&amp;"__wt",'SegEnds_Xtal_BW#'!$A:$Z,8,FALSE)</f>
        <v>67</v>
      </c>
      <c r="I285" s="1">
        <v>49</v>
      </c>
      <c r="J285" s="1">
        <f>VLOOKUP($B285&amp;"__wt",'SegEnds_Xtal_BW#'!$A:$Z,10,FALSE)</f>
        <v>52</v>
      </c>
      <c r="K285" s="12">
        <v>18</v>
      </c>
      <c r="L285" s="1">
        <f>VLOOKUP($B285&amp;"__wt",'SegEnds_Xtal_BW#'!$A:$Z,12,FALSE)</f>
        <v>56</v>
      </c>
      <c r="M285" s="1">
        <f>VLOOKUP($B285&amp;"__wt",'SegEnds_Xtal_BW#'!$A:$Z,13,FALSE)</f>
        <v>50</v>
      </c>
      <c r="N285" s="12">
        <v>57</v>
      </c>
      <c r="O285" s="87">
        <f>VLOOKUP($B285&amp;"__wt",'SegEnds_Xtal_BW#'!$A:$Z,15,FALSE)</f>
        <v>38</v>
      </c>
      <c r="P285" s="1">
        <f>VLOOKUP($B285&amp;"__wt",'SegEnds_Xtal_BW#'!$A:$Z,16,FALSE)</f>
        <v>63</v>
      </c>
      <c r="Q285" s="1">
        <f>VLOOKUP($B285&amp;"__wt",'SegEnds_Xtal_BW#'!$A:$Z,17,FALSE)</f>
        <v>50</v>
      </c>
      <c r="R285" s="1">
        <f>VLOOKUP($B285&amp;"__wt",'SegEnds_Xtal_BW#'!$A:$Z,18,FALSE)</f>
        <v>52</v>
      </c>
      <c r="S285" s="1">
        <f>VLOOKUP($B285&amp;"__wt",'SegEnds_Xtal_BW#'!$A:$Z,19,FALSE)</f>
        <v>34</v>
      </c>
      <c r="T285" s="1">
        <f t="array" ref="T285">INDEX(ICL3_classA!$G$2:$G$37,MATCH(MIN(ABS(AI285-ICL3_classA!$F$2:$F$37)),ABS(AI285-ICL3_classA!$F$2:$F$37),0))</f>
        <v>67</v>
      </c>
      <c r="U285" s="1">
        <f t="array" ref="U285">INDEX(ICL3_classA!$H$2:$H$37,MATCH(MIN(ABS(AI285-ICL3_classA!$F$2:$F$37)),ABS(AI285-ICL3_classA!$F$2:$F$37),0))</f>
        <v>26</v>
      </c>
      <c r="V285" s="1">
        <v>61</v>
      </c>
      <c r="W285" s="1">
        <v>31</v>
      </c>
      <c r="X285" s="1">
        <f>VLOOKUP($B285&amp;"__wt",'SegEnds_Xtal_BW#'!$A:$Z,24,FALSE)</f>
        <v>56</v>
      </c>
      <c r="Y285" s="1">
        <f>VLOOKUP($B285&amp;"__wt",'SegEnds_Xtal_BW#'!$A:$Z,25,FALSE)</f>
        <v>47</v>
      </c>
      <c r="Z285" s="1">
        <f>VLOOKUP($B285&amp;"__wt",'SegEnds_Xtal_BW#'!$A:$Z,26,FALSE)</f>
        <v>69</v>
      </c>
      <c r="AA285" s="27" t="str">
        <f>VLOOKUP(A285,Classification!A:B,2,FALSE)</f>
        <v>A</v>
      </c>
      <c r="AB285" s="1">
        <f>VLOOKUP(A285,'SegEnds_NonXtal_Prot#'!A:AL,10,FALSE)-VLOOKUP(A285,'SegEnds_NonXtal_Prot#'!A:AL,4,FALSE)</f>
        <v>28</v>
      </c>
      <c r="AC285" s="1">
        <f>VLOOKUP(A285,'SegEnds_NonXtal_Prot#'!A:AL,10,FALSE)-VLOOKUP(A285,'SegEnds_NonXtal_Prot#'!A:AL,7,FALSE)</f>
        <v>14</v>
      </c>
      <c r="AD285" s="1">
        <f>VLOOKUP(A285,'SegEnds_NonXtal_Prot#'!A:AL,13,FALSE)-VLOOKUP(A285,'SegEnds_NonXtal_Prot#'!A:AL,10,FALSE)</f>
        <v>28</v>
      </c>
      <c r="AE285" s="1">
        <f>VLOOKUP(A285,'SegEnds_NonXtal_Prot#'!A:AL,16,FALSE)-VLOOKUP(A285,'SegEnds_NonXtal_Prot#'!A:AL,10,FALSE)</f>
        <v>59</v>
      </c>
      <c r="AF285" s="1">
        <f>VLOOKUP(A285,'SegEnds_NonXtal_Prot#'!A:AL,22,FALSE)-VLOOKUP(A285,'SegEnds_NonXtal_Prot#'!A:AL,19,FALSE)</f>
        <v>20</v>
      </c>
      <c r="AG285" s="1">
        <f>VLOOKUP(A285,'SegEnds_NonXtal_Prot#'!A:AL,28,FALSE)-VLOOKUP(A285,'SegEnds_NonXtal_Prot#'!A:AL,25,FALSE)</f>
        <v>24</v>
      </c>
      <c r="AH285" s="1">
        <f>VLOOKUP(A285,'SegEnds_NonXtal_Prot#'!A:AL,28,FALSE)-VLOOKUP(A285,'SegEnds_NonXtal_Prot#'!A:AL,22,FALSE)</f>
        <v>47</v>
      </c>
      <c r="AI285" s="1">
        <f>VLOOKUP(A285,'SegEnds_NonXtal_Prot#'!A:AL,31,FALSE)-VLOOKUP(A285,'SegEnds_NonXtal_Prot#'!A:AL,28,FALSE)</f>
        <v>46</v>
      </c>
      <c r="AJ285" s="1">
        <f>VLOOKUP(A285,'SegEnds_NonXtal_Prot#'!A:AL,34,FALSE)-VLOOKUP(A285,'SegEnds_NonXtal_Prot#'!A:AL,31,FALSE)</f>
        <v>36</v>
      </c>
      <c r="AK285" s="1">
        <f>VLOOKUP(A285,'SegEnds_NonXtal_Prot#'!A:AL,37,FALSE)-VLOOKUP(A285,'SegEnds_NonXtal_Prot#'!A:AL,34,FALSE)</f>
        <v>10</v>
      </c>
      <c r="AL285" s="1" t="str">
        <f>IF(ISERROR(MATCH(A285,'SegEnds_Xtal_Prot#'!B:B, 0)), "NoXtal", "Xtal")</f>
        <v>NoXtal</v>
      </c>
    </row>
    <row r="286" spans="1:38" x14ac:dyDescent="0.2">
      <c r="A286" s="1" t="s">
        <v>396</v>
      </c>
      <c r="B286" s="1" t="str">
        <f>VLOOKUP(A286,Xtal_Templ!A:B,2,FALSE)</f>
        <v>adrb2_human</v>
      </c>
      <c r="C286" s="5">
        <f>VLOOKUP($B286&amp;"__wt",'SegEnds_Xtal_BW#'!$A:$Z,3,FALSE)</f>
        <v>25</v>
      </c>
      <c r="D286" s="1">
        <f>VLOOKUP($B286&amp;"__wt",'SegEnds_Xtal_BW#'!$A:$Z,4,FALSE)</f>
        <v>60</v>
      </c>
      <c r="E286" s="1">
        <f>VLOOKUP($B286&amp;"__wt",'SegEnds_Xtal_BW#'!$A:$Z,5,FALSE)</f>
        <v>48</v>
      </c>
      <c r="F286" s="1">
        <f>VLOOKUP($B286&amp;"__wt",'SegEnds_Xtal_BW#'!$A:$Z,6,FALSE)</f>
        <v>51</v>
      </c>
      <c r="G286" s="1">
        <v>37</v>
      </c>
      <c r="H286" s="12">
        <v>66</v>
      </c>
      <c r="I286" s="1">
        <f>VLOOKUP($B286&amp;"__wt",'SegEnds_Xtal_BW#'!$A:$Z,9,FALSE)</f>
        <v>49</v>
      </c>
      <c r="J286" s="1">
        <f>VLOOKUP($B286&amp;"__wt",'SegEnds_Xtal_BW#'!$A:$Z,10,FALSE)</f>
        <v>52</v>
      </c>
      <c r="K286" s="12">
        <v>21</v>
      </c>
      <c r="L286" s="1">
        <f>VLOOKUP($B286&amp;"__wt",'SegEnds_Xtal_BW#'!$A:$Z,12,FALSE)</f>
        <v>56</v>
      </c>
      <c r="M286" s="1">
        <f>VLOOKUP($B286&amp;"__wt",'SegEnds_Xtal_BW#'!$A:$Z,13,FALSE)</f>
        <v>50</v>
      </c>
      <c r="N286" s="108">
        <v>56</v>
      </c>
      <c r="O286" s="87">
        <f>VLOOKUP($B286&amp;"__wt",'SegEnds_Xtal_BW#'!$A:$Z,15,FALSE)</f>
        <v>38</v>
      </c>
      <c r="P286" s="1">
        <f>VLOOKUP($B286&amp;"__wt",'SegEnds_Xtal_BW#'!$A:$Z,16,FALSE)</f>
        <v>64</v>
      </c>
      <c r="Q286" s="1">
        <f>VLOOKUP($B286&amp;"__wt",'SegEnds_Xtal_BW#'!$A:$Z,17,FALSE)</f>
        <v>50</v>
      </c>
      <c r="R286" s="1">
        <f>VLOOKUP($B286&amp;"__wt",'SegEnds_Xtal_BW#'!$A:$Z,18,FALSE)</f>
        <v>52</v>
      </c>
      <c r="S286" s="1">
        <f>VLOOKUP($B286&amp;"__wt",'SegEnds_Xtal_BW#'!$A:$Z,19,FALSE)</f>
        <v>35</v>
      </c>
      <c r="T286" s="1">
        <f t="array" ref="T286">INDEX(ICL3_classA!$G$2:$G$37,MATCH(MIN(ABS(AI286-ICL3_classA!$F$2:$F$37)),ABS(AI286-ICL3_classA!$F$2:$F$37),0))</f>
        <v>72</v>
      </c>
      <c r="U286" s="1">
        <f t="array" ref="U286">INDEX(ICL3_classA!$H$2:$H$37,MATCH(MIN(ABS(AI286-ICL3_classA!$F$2:$F$37)),ABS(AI286-ICL3_classA!$F$2:$F$37),0))</f>
        <v>29</v>
      </c>
      <c r="V286" s="1">
        <v>61</v>
      </c>
      <c r="W286" s="1">
        <v>28</v>
      </c>
      <c r="X286" s="108">
        <v>56</v>
      </c>
      <c r="Y286" s="1">
        <f>VLOOKUP($B286&amp;"__wt",'SegEnds_Xtal_BW#'!$A:$Z,25,FALSE)</f>
        <v>47</v>
      </c>
      <c r="Z286" s="1">
        <f>VLOOKUP($B286&amp;"__wt",'SegEnds_Xtal_BW#'!$A:$Z,26,FALSE)</f>
        <v>59</v>
      </c>
      <c r="AA286" s="27" t="str">
        <f>VLOOKUP(A286,Classification!A:B,2,FALSE)</f>
        <v>A</v>
      </c>
      <c r="AB286" s="1">
        <f>VLOOKUP(A286,'SegEnds_NonXtal_Prot#'!A:AL,10,FALSE)-VLOOKUP(A286,'SegEnds_NonXtal_Prot#'!A:AL,4,FALSE)</f>
        <v>28</v>
      </c>
      <c r="AC286" s="1">
        <f>VLOOKUP(A286,'SegEnds_NonXtal_Prot#'!A:AL,10,FALSE)-VLOOKUP(A286,'SegEnds_NonXtal_Prot#'!A:AL,7,FALSE)</f>
        <v>15</v>
      </c>
      <c r="AD286" s="1">
        <f>VLOOKUP(A286,'SegEnds_NonXtal_Prot#'!A:AL,13,FALSE)-VLOOKUP(A286,'SegEnds_NonXtal_Prot#'!A:AL,10,FALSE)</f>
        <v>19</v>
      </c>
      <c r="AE286" s="1">
        <f>VLOOKUP(A286,'SegEnds_NonXtal_Prot#'!A:AL,16,FALSE)-VLOOKUP(A286,'SegEnds_NonXtal_Prot#'!A:AL,10,FALSE)</f>
        <v>51</v>
      </c>
      <c r="AF286" s="1">
        <f>VLOOKUP(A286,'SegEnds_NonXtal_Prot#'!A:AL,22,FALSE)-VLOOKUP(A286,'SegEnds_NonXtal_Prot#'!A:AL,19,FALSE)</f>
        <v>19</v>
      </c>
      <c r="AG286" s="1">
        <f>VLOOKUP(A286,'SegEnds_NonXtal_Prot#'!A:AL,28,FALSE)-VLOOKUP(A286,'SegEnds_NonXtal_Prot#'!A:AL,25,FALSE)</f>
        <v>24</v>
      </c>
      <c r="AH286" s="1">
        <f>VLOOKUP(A286,'SegEnds_NonXtal_Prot#'!A:AL,28,FALSE)-VLOOKUP(A286,'SegEnds_NonXtal_Prot#'!A:AL,22,FALSE)</f>
        <v>49</v>
      </c>
      <c r="AI286" s="1">
        <f>VLOOKUP(A286,'SegEnds_NonXtal_Prot#'!A:AL,31,FALSE)-VLOOKUP(A286,'SegEnds_NonXtal_Prot#'!A:AL,28,FALSE)</f>
        <v>50</v>
      </c>
      <c r="AJ286" s="1">
        <f>VLOOKUP(A286,'SegEnds_NonXtal_Prot#'!A:AL,34,FALSE)-VLOOKUP(A286,'SegEnds_NonXtal_Prot#'!A:AL,31,FALSE)</f>
        <v>39</v>
      </c>
      <c r="AK286" s="1">
        <f>VLOOKUP(A286,'SegEnds_NonXtal_Prot#'!A:AL,37,FALSE)-VLOOKUP(A286,'SegEnds_NonXtal_Prot#'!A:AL,34,FALSE)</f>
        <v>10</v>
      </c>
      <c r="AL286" s="1" t="str">
        <f>IF(ISERROR(MATCH(A286,'SegEnds_Xtal_Prot#'!B:B, 0)), "NoXtal", "Xtal")</f>
        <v>NoXtal</v>
      </c>
    </row>
    <row r="287" spans="1:38" x14ac:dyDescent="0.2">
      <c r="A287" s="1" t="s">
        <v>924</v>
      </c>
      <c r="B287" s="1" t="str">
        <f>VLOOKUP(A287,Xtal_Templ!A:B,2,FALSE)</f>
        <v>us28_hcmva</v>
      </c>
      <c r="C287" s="5">
        <f>VLOOKUP($B287&amp;"__wt",'SegEnds_Xtal_BW#'!$A:$Z,3,FALSE)</f>
        <v>24</v>
      </c>
      <c r="D287" s="1">
        <f>VLOOKUP($B287&amp;"__wt",'SegEnds_Xtal_BW#'!$A:$Z,4,FALSE)</f>
        <v>60</v>
      </c>
      <c r="E287" s="1">
        <f>VLOOKUP($B287&amp;"__wt",'SegEnds_Xtal_BW#'!$A:$Z,5,FALSE)</f>
        <v>48</v>
      </c>
      <c r="F287" s="1">
        <f>VLOOKUP($B287&amp;"__wt",'SegEnds_Xtal_BW#'!$A:$Z,6,FALSE)</f>
        <v>51</v>
      </c>
      <c r="G287" s="1">
        <v>37</v>
      </c>
      <c r="H287" s="12">
        <v>66</v>
      </c>
      <c r="I287" s="1" t="str">
        <f>VLOOKUP($B287&amp;"__wt",'SegEnds_Xtal_BW#'!$A:$Z,9,FALSE)</f>
        <v>-</v>
      </c>
      <c r="J287" s="1" t="str">
        <f>VLOOKUP($B287&amp;"__wt",'SegEnds_Xtal_BW#'!$A:$Z,10,FALSE)</f>
        <v>-</v>
      </c>
      <c r="K287" s="108">
        <v>21</v>
      </c>
      <c r="L287" s="1">
        <f>VLOOKUP($B287&amp;"__wt",'SegEnds_Xtal_BW#'!$A:$Z,12,FALSE)</f>
        <v>55</v>
      </c>
      <c r="M287" s="1" t="str">
        <f>VLOOKUP($B287&amp;"__wt",'SegEnds_Xtal_BW#'!$A:$Z,13,FALSE)</f>
        <v>-</v>
      </c>
      <c r="N287" s="12" t="str">
        <f>VLOOKUP($B287&amp;"__wt",'SegEnds_Xtal_BW#'!$A:$Z,14,FALSE)</f>
        <v>-</v>
      </c>
      <c r="O287" s="87">
        <f>VLOOKUP($B287&amp;"__wt",'SegEnds_Xtal_BW#'!$A:$Z,15,FALSE)</f>
        <v>38</v>
      </c>
      <c r="P287" s="1">
        <f>VLOOKUP($B287&amp;"__wt",'SegEnds_Xtal_BW#'!$A:$Z,16,FALSE)</f>
        <v>62</v>
      </c>
      <c r="Q287" s="1">
        <f>VLOOKUP($B287&amp;"__wt",'SegEnds_Xtal_BW#'!$A:$Z,17,FALSE)</f>
        <v>50</v>
      </c>
      <c r="R287" s="1">
        <f>VLOOKUP($B287&amp;"__wt",'SegEnds_Xtal_BW#'!$A:$Z,18,FALSE)</f>
        <v>52</v>
      </c>
      <c r="S287" s="1">
        <f>VLOOKUP($B287&amp;"__wt",'SegEnds_Xtal_BW#'!$A:$Z,19,FALSE)</f>
        <v>33</v>
      </c>
      <c r="T287" s="1">
        <f t="array" ref="T287">INDEX(ICL3_classA!$G$2:$G$37,MATCH(MIN(ABS(AI287-ICL3_classA!$F$2:$F$37)),ABS(AI287-ICL3_classA!$F$2:$F$37),0))</f>
        <v>68</v>
      </c>
      <c r="U287" s="1">
        <v>29</v>
      </c>
      <c r="V287" s="1">
        <v>64</v>
      </c>
      <c r="W287" s="1">
        <v>24</v>
      </c>
      <c r="X287" s="1">
        <f>VLOOKUP($B287&amp;"__wt",'SegEnds_Xtal_BW#'!$A:$Z,24,FALSE)</f>
        <v>56</v>
      </c>
      <c r="Y287" s="1">
        <f>VLOOKUP($B287&amp;"__wt",'SegEnds_Xtal_BW#'!$A:$Z,25,FALSE)</f>
        <v>47</v>
      </c>
      <c r="Z287" s="1">
        <f>VLOOKUP($B287&amp;"__wt",'SegEnds_Xtal_BW#'!$A:$Z,26,FALSE)</f>
        <v>62</v>
      </c>
      <c r="AA287" s="27" t="str">
        <f>VLOOKUP(A287,Classification!A:B,2,FALSE)</f>
        <v>A</v>
      </c>
      <c r="AB287" s="1">
        <f>VLOOKUP(A287,'SegEnds_NonXtal_Prot#'!A:AL,10,FALSE)-VLOOKUP(A287,'SegEnds_NonXtal_Prot#'!A:AL,4,FALSE)</f>
        <v>28</v>
      </c>
      <c r="AC287" s="1">
        <f>VLOOKUP(A287,'SegEnds_NonXtal_Prot#'!A:AL,10,FALSE)-VLOOKUP(A287,'SegEnds_NonXtal_Prot#'!A:AL,7,FALSE)</f>
        <v>15</v>
      </c>
      <c r="AD287" s="1" t="e">
        <f>VLOOKUP(A287,'SegEnds_NonXtal_Prot#'!A:AL,13,FALSE)-VLOOKUP(A287,'SegEnds_NonXtal_Prot#'!A:AL,10,FALSE)</f>
        <v>#VALUE!</v>
      </c>
      <c r="AE287" s="1">
        <f>VLOOKUP(A287,'SegEnds_NonXtal_Prot#'!A:AL,16,FALSE)-VLOOKUP(A287,'SegEnds_NonXtal_Prot#'!A:AL,10,FALSE)</f>
        <v>50</v>
      </c>
      <c r="AF287" s="1" t="e">
        <f>VLOOKUP(A287,'SegEnds_NonXtal_Prot#'!A:AL,22,FALSE)-VLOOKUP(A287,'SegEnds_NonXtal_Prot#'!A:AL,19,FALSE)</f>
        <v>#VALUE!</v>
      </c>
      <c r="AG287" s="1">
        <f>VLOOKUP(A287,'SegEnds_NonXtal_Prot#'!A:AL,28,FALSE)-VLOOKUP(A287,'SegEnds_NonXtal_Prot#'!A:AL,25,FALSE)</f>
        <v>27</v>
      </c>
      <c r="AH287" s="1">
        <f>VLOOKUP(A287,'SegEnds_NonXtal_Prot#'!A:AL,28,FALSE)-VLOOKUP(A287,'SegEnds_NonXtal_Prot#'!A:AL,22,FALSE)</f>
        <v>48</v>
      </c>
      <c r="AI287" s="1">
        <f>VLOOKUP(A287,'SegEnds_NonXtal_Prot#'!A:AL,31,FALSE)-VLOOKUP(A287,'SegEnds_NonXtal_Prot#'!A:AL,28,FALSE)</f>
        <v>43</v>
      </c>
      <c r="AJ287" s="1">
        <f>VLOOKUP(A287,'SegEnds_NonXtal_Prot#'!A:AL,34,FALSE)-VLOOKUP(A287,'SegEnds_NonXtal_Prot#'!A:AL,31,FALSE)</f>
        <v>45</v>
      </c>
      <c r="AK287" s="1">
        <f>VLOOKUP(A287,'SegEnds_NonXtal_Prot#'!A:AL,37,FALSE)-VLOOKUP(A287,'SegEnds_NonXtal_Prot#'!A:AL,34,FALSE)</f>
        <v>10</v>
      </c>
      <c r="AL287" s="1" t="str">
        <f>IF(ISERROR(MATCH(A287,'SegEnds_Xtal_Prot#'!B:B, 0)), "NoXtal", "Xtal")</f>
        <v>Xtal</v>
      </c>
    </row>
    <row r="288" spans="1:38" x14ac:dyDescent="0.2">
      <c r="A288" s="1" t="s">
        <v>397</v>
      </c>
      <c r="B288" s="1" t="str">
        <f>VLOOKUP(A288,Xtal_Templ!A:B,2,FALSE)</f>
        <v>ox2r_human</v>
      </c>
      <c r="C288" s="5">
        <f>VLOOKUP($B288&amp;"__wt",'SegEnds_Xtal_BW#'!$A:$Z,3,FALSE)</f>
        <v>31</v>
      </c>
      <c r="D288" s="1">
        <f>VLOOKUP($B288&amp;"__wt",'SegEnds_Xtal_BW#'!$A:$Z,4,FALSE)</f>
        <v>60</v>
      </c>
      <c r="E288" s="1">
        <f>VLOOKUP($B288&amp;"__wt",'SegEnds_Xtal_BW#'!$A:$Z,5,FALSE)</f>
        <v>48</v>
      </c>
      <c r="F288" s="1">
        <f>VLOOKUP($B288&amp;"__wt",'SegEnds_Xtal_BW#'!$A:$Z,6,FALSE)</f>
        <v>51</v>
      </c>
      <c r="G288" s="1">
        <v>37</v>
      </c>
      <c r="H288" s="108">
        <v>66</v>
      </c>
      <c r="I288" s="1">
        <f>VLOOKUP($B288&amp;"__wt",'SegEnds_Xtal_BW#'!$A:$Z,9,FALSE)</f>
        <v>49</v>
      </c>
      <c r="J288" s="1">
        <f>VLOOKUP($B288&amp;"__wt",'SegEnds_Xtal_BW#'!$A:$Z,10,FALSE)</f>
        <v>52</v>
      </c>
      <c r="K288" s="12">
        <v>18</v>
      </c>
      <c r="L288" s="1">
        <f>VLOOKUP($B288&amp;"__wt",'SegEnds_Xtal_BW#'!$A:$Z,12,FALSE)</f>
        <v>56</v>
      </c>
      <c r="M288" s="1">
        <f>VLOOKUP($B288&amp;"__wt",'SegEnds_Xtal_BW#'!$A:$Z,13,FALSE)</f>
        <v>50</v>
      </c>
      <c r="N288" s="108">
        <v>56</v>
      </c>
      <c r="O288" s="87">
        <f>VLOOKUP($B288&amp;"__wt",'SegEnds_Xtal_BW#'!$A:$Z,15,FALSE)</f>
        <v>38</v>
      </c>
      <c r="P288" s="1">
        <f>VLOOKUP($B288&amp;"__wt",'SegEnds_Xtal_BW#'!$A:$Z,16,FALSE)</f>
        <v>64</v>
      </c>
      <c r="Q288" s="1">
        <f>VLOOKUP($B288&amp;"__wt",'SegEnds_Xtal_BW#'!$A:$Z,17,FALSE)</f>
        <v>50</v>
      </c>
      <c r="R288" s="1">
        <f>VLOOKUP($B288&amp;"__wt",'SegEnds_Xtal_BW#'!$A:$Z,18,FALSE)</f>
        <v>52</v>
      </c>
      <c r="S288" s="1">
        <f>VLOOKUP($B288&amp;"__wt",'SegEnds_Xtal_BW#'!$A:$Z,19,FALSE)</f>
        <v>33</v>
      </c>
      <c r="T288" s="1">
        <f t="array" ref="T288">INDEX(ICL3_classA!$G$2:$G$37,MATCH(MIN(ABS(AI288-ICL3_classA!$F$2:$F$37)),ABS(AI288-ICL3_classA!$F$2:$F$37),0))</f>
        <v>76</v>
      </c>
      <c r="U288" s="1">
        <f t="array" ref="U288">INDEX(ICL3_classA!$H$2:$H$37,MATCH(MIN(ABS(AI288-ICL3_classA!$F$2:$F$37)),ABS(AI288-ICL3_classA!$F$2:$F$37),0))</f>
        <v>24</v>
      </c>
      <c r="V288" s="1">
        <v>61</v>
      </c>
      <c r="W288" s="1">
        <v>28</v>
      </c>
      <c r="X288" s="1">
        <f>VLOOKUP($B288&amp;"__wt",'SegEnds_Xtal_BW#'!$A:$Z,24,FALSE)</f>
        <v>56</v>
      </c>
      <c r="Y288" s="1">
        <f>VLOOKUP($B288&amp;"__wt",'SegEnds_Xtal_BW#'!$A:$Z,25,FALSE)</f>
        <v>47</v>
      </c>
      <c r="Z288" s="1">
        <f>VLOOKUP($B288&amp;"__wt",'SegEnds_Xtal_BW#'!$A:$Z,26,FALSE)</f>
        <v>58</v>
      </c>
      <c r="AA288" s="27" t="str">
        <f>VLOOKUP(A288,Classification!A:B,2,FALSE)</f>
        <v>A</v>
      </c>
      <c r="AB288" s="1">
        <f>VLOOKUP(A288,'SegEnds_NonXtal_Prot#'!A:AL,10,FALSE)-VLOOKUP(A288,'SegEnds_NonXtal_Prot#'!A:AL,4,FALSE)</f>
        <v>28</v>
      </c>
      <c r="AC288" s="1">
        <f>VLOOKUP(A288,'SegEnds_NonXtal_Prot#'!A:AL,10,FALSE)-VLOOKUP(A288,'SegEnds_NonXtal_Prot#'!A:AL,7,FALSE)</f>
        <v>15</v>
      </c>
      <c r="AD288" s="1">
        <f>VLOOKUP(A288,'SegEnds_NonXtal_Prot#'!A:AL,13,FALSE)-VLOOKUP(A288,'SegEnds_NonXtal_Prot#'!A:AL,10,FALSE)</f>
        <v>18</v>
      </c>
      <c r="AE288" s="1">
        <f>VLOOKUP(A288,'SegEnds_NonXtal_Prot#'!A:AL,16,FALSE)-VLOOKUP(A288,'SegEnds_NonXtal_Prot#'!A:AL,10,FALSE)</f>
        <v>52</v>
      </c>
      <c r="AF288" s="1">
        <f>VLOOKUP(A288,'SegEnds_NonXtal_Prot#'!A:AL,22,FALSE)-VLOOKUP(A288,'SegEnds_NonXtal_Prot#'!A:AL,19,FALSE)</f>
        <v>19</v>
      </c>
      <c r="AG288" s="1">
        <f>VLOOKUP(A288,'SegEnds_NonXtal_Prot#'!A:AL,28,FALSE)-VLOOKUP(A288,'SegEnds_NonXtal_Prot#'!A:AL,25,FALSE)</f>
        <v>25</v>
      </c>
      <c r="AH288" s="1">
        <f>VLOOKUP(A288,'SegEnds_NonXtal_Prot#'!A:AL,28,FALSE)-VLOOKUP(A288,'SegEnds_NonXtal_Prot#'!A:AL,22,FALSE)</f>
        <v>53</v>
      </c>
      <c r="AI288" s="1">
        <f>VLOOKUP(A288,'SegEnds_NonXtal_Prot#'!A:AL,31,FALSE)-VLOOKUP(A288,'SegEnds_NonXtal_Prot#'!A:AL,28,FALSE)</f>
        <v>78</v>
      </c>
      <c r="AJ288" s="1">
        <f>VLOOKUP(A288,'SegEnds_NonXtal_Prot#'!A:AL,34,FALSE)-VLOOKUP(A288,'SegEnds_NonXtal_Prot#'!A:AL,31,FALSE)</f>
        <v>39</v>
      </c>
      <c r="AK288" s="1">
        <f>VLOOKUP(A288,'SegEnds_NonXtal_Prot#'!A:AL,37,FALSE)-VLOOKUP(A288,'SegEnds_NonXtal_Prot#'!A:AL,34,FALSE)</f>
        <v>10</v>
      </c>
      <c r="AL288" s="1" t="str">
        <f>IF(ISERROR(MATCH(A288,'SegEnds_Xtal_Prot#'!B:B, 0)), "NoXtal", "Xtal")</f>
        <v>NoXtal</v>
      </c>
    </row>
    <row r="289" spans="1:38" x14ac:dyDescent="0.2">
      <c r="A289" s="1" t="s">
        <v>398</v>
      </c>
      <c r="B289" s="1" t="str">
        <f>VLOOKUP(A289,Xtal_Templ!A:B,2,FALSE)</f>
        <v>ntr1_rat</v>
      </c>
      <c r="C289" s="5">
        <f>VLOOKUP($B289&amp;"__wt",'SegEnds_Xtal_BW#'!$A:$Z,3,FALSE)</f>
        <v>29</v>
      </c>
      <c r="D289" s="1">
        <f>VLOOKUP($B289&amp;"__wt",'SegEnds_Xtal_BW#'!$A:$Z,4,FALSE)</f>
        <v>60</v>
      </c>
      <c r="E289" s="1">
        <f>VLOOKUP($B289&amp;"__wt",'SegEnds_Xtal_BW#'!$A:$Z,5,FALSE)</f>
        <v>48</v>
      </c>
      <c r="F289" s="1">
        <f>VLOOKUP($B289&amp;"__wt",'SegEnds_Xtal_BW#'!$A:$Z,6,FALSE)</f>
        <v>51</v>
      </c>
      <c r="G289" s="1">
        <v>37</v>
      </c>
      <c r="H289" s="108">
        <v>66</v>
      </c>
      <c r="I289" s="1">
        <f>VLOOKUP($B289&amp;"__wt",'SegEnds_Xtal_BW#'!$A:$Z,9,FALSE)</f>
        <v>49</v>
      </c>
      <c r="J289" s="1">
        <f>VLOOKUP($B289&amp;"__wt",'SegEnds_Xtal_BW#'!$A:$Z,10,FALSE)</f>
        <v>52</v>
      </c>
      <c r="K289" s="12">
        <v>18</v>
      </c>
      <c r="L289" s="1">
        <f>VLOOKUP($B289&amp;"__wt",'SegEnds_Xtal_BW#'!$A:$Z,12,FALSE)</f>
        <v>56</v>
      </c>
      <c r="M289" s="1">
        <f>VLOOKUP($B289&amp;"__wt",'SegEnds_Xtal_BW#'!$A:$Z,13,FALSE)</f>
        <v>50</v>
      </c>
      <c r="N289" s="108">
        <v>56</v>
      </c>
      <c r="O289" s="87">
        <f>VLOOKUP($B289&amp;"__wt",'SegEnds_Xtal_BW#'!$A:$Z,15,FALSE)</f>
        <v>38</v>
      </c>
      <c r="P289" s="1">
        <f>VLOOKUP($B289&amp;"__wt",'SegEnds_Xtal_BW#'!$A:$Z,16,FALSE)</f>
        <v>64</v>
      </c>
      <c r="Q289" s="1">
        <f>VLOOKUP($B289&amp;"__wt",'SegEnds_Xtal_BW#'!$A:$Z,17,FALSE)</f>
        <v>50</v>
      </c>
      <c r="R289" s="1">
        <f>VLOOKUP($B289&amp;"__wt",'SegEnds_Xtal_BW#'!$A:$Z,18,FALSE)</f>
        <v>52</v>
      </c>
      <c r="S289" s="1">
        <f>VLOOKUP($B289&amp;"__wt",'SegEnds_Xtal_BW#'!$A:$Z,19,FALSE)</f>
        <v>32</v>
      </c>
      <c r="T289" s="1">
        <f t="array" ref="T289">INDEX(ICL3_classA!$G$2:$G$37,MATCH(MIN(ABS(AI289-ICL3_classA!$F$2:$F$37)),ABS(AI289-ICL3_classA!$F$2:$F$37),0))</f>
        <v>76</v>
      </c>
      <c r="U289" s="1">
        <f t="array" ref="U289">INDEX(ICL3_classA!$H$2:$H$37,MATCH(MIN(ABS(AI289-ICL3_classA!$F$2:$F$37)),ABS(AI289-ICL3_classA!$F$2:$F$37),0))</f>
        <v>24</v>
      </c>
      <c r="V289" s="1">
        <v>61</v>
      </c>
      <c r="W289" s="1">
        <v>28</v>
      </c>
      <c r="X289" s="1">
        <f>VLOOKUP($B289&amp;"__wt",'SegEnds_Xtal_BW#'!$A:$Z,24,FALSE)</f>
        <v>56</v>
      </c>
      <c r="Y289" s="1">
        <f>VLOOKUP($B289&amp;"__wt",'SegEnds_Xtal_BW#'!$A:$Z,25,FALSE)</f>
        <v>47</v>
      </c>
      <c r="Z289" s="1">
        <f>VLOOKUP($B289&amp;"__wt",'SegEnds_Xtal_BW#'!$A:$Z,26,FALSE)</f>
        <v>58</v>
      </c>
      <c r="AA289" s="27" t="str">
        <f>VLOOKUP(A289,Classification!A:B,2,FALSE)</f>
        <v>A</v>
      </c>
      <c r="AB289" s="1">
        <f>VLOOKUP(A289,'SegEnds_NonXtal_Prot#'!A:AL,10,FALSE)-VLOOKUP(A289,'SegEnds_NonXtal_Prot#'!A:AL,4,FALSE)</f>
        <v>28</v>
      </c>
      <c r="AC289" s="1">
        <f>VLOOKUP(A289,'SegEnds_NonXtal_Prot#'!A:AL,10,FALSE)-VLOOKUP(A289,'SegEnds_NonXtal_Prot#'!A:AL,7,FALSE)</f>
        <v>15</v>
      </c>
      <c r="AD289" s="1">
        <f>VLOOKUP(A289,'SegEnds_NonXtal_Prot#'!A:AL,13,FALSE)-VLOOKUP(A289,'SegEnds_NonXtal_Prot#'!A:AL,10,FALSE)</f>
        <v>18</v>
      </c>
      <c r="AE289" s="1">
        <f>VLOOKUP(A289,'SegEnds_NonXtal_Prot#'!A:AL,16,FALSE)-VLOOKUP(A289,'SegEnds_NonXtal_Prot#'!A:AL,10,FALSE)</f>
        <v>52</v>
      </c>
      <c r="AF289" s="1">
        <f>VLOOKUP(A289,'SegEnds_NonXtal_Prot#'!A:AL,22,FALSE)-VLOOKUP(A289,'SegEnds_NonXtal_Prot#'!A:AL,19,FALSE)</f>
        <v>19</v>
      </c>
      <c r="AG289" s="1">
        <f>VLOOKUP(A289,'SegEnds_NonXtal_Prot#'!A:AL,28,FALSE)-VLOOKUP(A289,'SegEnds_NonXtal_Prot#'!A:AL,25,FALSE)</f>
        <v>25</v>
      </c>
      <c r="AH289" s="1">
        <f>VLOOKUP(A289,'SegEnds_NonXtal_Prot#'!A:AL,28,FALSE)-VLOOKUP(A289,'SegEnds_NonXtal_Prot#'!A:AL,22,FALSE)</f>
        <v>53</v>
      </c>
      <c r="AI289" s="1">
        <f>VLOOKUP(A289,'SegEnds_NonXtal_Prot#'!A:AL,31,FALSE)-VLOOKUP(A289,'SegEnds_NonXtal_Prot#'!A:AL,28,FALSE)</f>
        <v>85</v>
      </c>
      <c r="AJ289" s="1">
        <f>VLOOKUP(A289,'SegEnds_NonXtal_Prot#'!A:AL,34,FALSE)-VLOOKUP(A289,'SegEnds_NonXtal_Prot#'!A:AL,31,FALSE)</f>
        <v>39</v>
      </c>
      <c r="AK289" s="1">
        <f>VLOOKUP(A289,'SegEnds_NonXtal_Prot#'!A:AL,37,FALSE)-VLOOKUP(A289,'SegEnds_NonXtal_Prot#'!A:AL,34,FALSE)</f>
        <v>10</v>
      </c>
      <c r="AL289" s="1" t="str">
        <f>IF(ISERROR(MATCH(A289,'SegEnds_Xtal_Prot#'!B:B, 0)), "NoXtal", "Xtal")</f>
        <v>NoXtal</v>
      </c>
    </row>
    <row r="290" spans="1:38" x14ac:dyDescent="0.2">
      <c r="A290" s="1" t="s">
        <v>399</v>
      </c>
      <c r="B290" s="1" t="str">
        <f>VLOOKUP(A290,Xtal_Templ!A:B,2,FALSE)</f>
        <v>ntr1_rat</v>
      </c>
      <c r="C290" s="5">
        <f>VLOOKUP($B290&amp;"__wt",'SegEnds_Xtal_BW#'!$A:$Z,3,FALSE)</f>
        <v>29</v>
      </c>
      <c r="D290" s="1">
        <f>VLOOKUP($B290&amp;"__wt",'SegEnds_Xtal_BW#'!$A:$Z,4,FALSE)</f>
        <v>60</v>
      </c>
      <c r="E290" s="1">
        <f>VLOOKUP($B290&amp;"__wt",'SegEnds_Xtal_BW#'!$A:$Z,5,FALSE)</f>
        <v>48</v>
      </c>
      <c r="F290" s="1">
        <f>VLOOKUP($B290&amp;"__wt",'SegEnds_Xtal_BW#'!$A:$Z,6,FALSE)</f>
        <v>51</v>
      </c>
      <c r="G290" s="1">
        <v>37</v>
      </c>
      <c r="H290" s="108">
        <v>66</v>
      </c>
      <c r="I290" s="1">
        <f>VLOOKUP($B290&amp;"__wt",'SegEnds_Xtal_BW#'!$A:$Z,9,FALSE)</f>
        <v>49</v>
      </c>
      <c r="J290" s="1">
        <f>VLOOKUP($B290&amp;"__wt",'SegEnds_Xtal_BW#'!$A:$Z,10,FALSE)</f>
        <v>52</v>
      </c>
      <c r="K290" s="12">
        <v>18</v>
      </c>
      <c r="L290" s="1">
        <f>VLOOKUP($B290&amp;"__wt",'SegEnds_Xtal_BW#'!$A:$Z,12,FALSE)</f>
        <v>56</v>
      </c>
      <c r="M290" s="1">
        <f>VLOOKUP($B290&amp;"__wt",'SegEnds_Xtal_BW#'!$A:$Z,13,FALSE)</f>
        <v>50</v>
      </c>
      <c r="N290" s="12">
        <v>57</v>
      </c>
      <c r="O290" s="87">
        <f>VLOOKUP($B290&amp;"__wt",'SegEnds_Xtal_BW#'!$A:$Z,15,FALSE)</f>
        <v>38</v>
      </c>
      <c r="P290" s="1">
        <f>VLOOKUP($B290&amp;"__wt",'SegEnds_Xtal_BW#'!$A:$Z,16,FALSE)</f>
        <v>64</v>
      </c>
      <c r="Q290" s="1">
        <f>VLOOKUP($B290&amp;"__wt",'SegEnds_Xtal_BW#'!$A:$Z,17,FALSE)</f>
        <v>50</v>
      </c>
      <c r="R290" s="1">
        <f>VLOOKUP($B290&amp;"__wt",'SegEnds_Xtal_BW#'!$A:$Z,18,FALSE)</f>
        <v>52</v>
      </c>
      <c r="S290" s="1">
        <f>VLOOKUP($B290&amp;"__wt",'SegEnds_Xtal_BW#'!$A:$Z,19,FALSE)</f>
        <v>32</v>
      </c>
      <c r="T290" s="1">
        <f t="array" ref="T290">INDEX(ICL3_classA!$G$2:$G$37,MATCH(MIN(ABS(AI290-ICL3_classA!$F$2:$F$37)),ABS(AI290-ICL3_classA!$F$2:$F$37),0))</f>
        <v>76</v>
      </c>
      <c r="U290" s="1">
        <f t="array" ref="U290">INDEX(ICL3_classA!$H$2:$H$37,MATCH(MIN(ABS(AI290-ICL3_classA!$F$2:$F$37)),ABS(AI290-ICL3_classA!$F$2:$F$37),0))</f>
        <v>24</v>
      </c>
      <c r="V290" s="1">
        <v>61</v>
      </c>
      <c r="W290" s="1">
        <v>31</v>
      </c>
      <c r="X290" s="1">
        <f>VLOOKUP($B290&amp;"__wt",'SegEnds_Xtal_BW#'!$A:$Z,24,FALSE)</f>
        <v>56</v>
      </c>
      <c r="Y290" s="1">
        <f>VLOOKUP($B290&amp;"__wt",'SegEnds_Xtal_BW#'!$A:$Z,25,FALSE)</f>
        <v>47</v>
      </c>
      <c r="Z290" s="1">
        <f>VLOOKUP($B290&amp;"__wt",'SegEnds_Xtal_BW#'!$A:$Z,26,FALSE)</f>
        <v>58</v>
      </c>
      <c r="AA290" s="27" t="str">
        <f>VLOOKUP(A290,Classification!A:B,2,FALSE)</f>
        <v>A</v>
      </c>
      <c r="AB290" s="1">
        <f>VLOOKUP(A290,'SegEnds_NonXtal_Prot#'!A:AL,10,FALSE)-VLOOKUP(A290,'SegEnds_NonXtal_Prot#'!A:AL,4,FALSE)</f>
        <v>30</v>
      </c>
      <c r="AC290" s="1">
        <f>VLOOKUP(A290,'SegEnds_NonXtal_Prot#'!A:AL,10,FALSE)-VLOOKUP(A290,'SegEnds_NonXtal_Prot#'!A:AL,7,FALSE)</f>
        <v>16</v>
      </c>
      <c r="AD290" s="1">
        <f>VLOOKUP(A290,'SegEnds_NonXtal_Prot#'!A:AL,13,FALSE)-VLOOKUP(A290,'SegEnds_NonXtal_Prot#'!A:AL,10,FALSE)</f>
        <v>18</v>
      </c>
      <c r="AE290" s="1">
        <f>VLOOKUP(A290,'SegEnds_NonXtal_Prot#'!A:AL,16,FALSE)-VLOOKUP(A290,'SegEnds_NonXtal_Prot#'!A:AL,10,FALSE)</f>
        <v>52</v>
      </c>
      <c r="AF290" s="1">
        <f>VLOOKUP(A290,'SegEnds_NonXtal_Prot#'!A:AL,22,FALSE)-VLOOKUP(A290,'SegEnds_NonXtal_Prot#'!A:AL,19,FALSE)</f>
        <v>20</v>
      </c>
      <c r="AG290" s="1">
        <f>VLOOKUP(A290,'SegEnds_NonXtal_Prot#'!A:AL,28,FALSE)-VLOOKUP(A290,'SegEnds_NonXtal_Prot#'!A:AL,25,FALSE)</f>
        <v>25</v>
      </c>
      <c r="AH290" s="1">
        <f>VLOOKUP(A290,'SegEnds_NonXtal_Prot#'!A:AL,28,FALSE)-VLOOKUP(A290,'SegEnds_NonXtal_Prot#'!A:AL,22,FALSE)</f>
        <v>53</v>
      </c>
      <c r="AI290" s="1">
        <f>VLOOKUP(A290,'SegEnds_NonXtal_Prot#'!A:AL,31,FALSE)-VLOOKUP(A290,'SegEnds_NonXtal_Prot#'!A:AL,28,FALSE)</f>
        <v>69</v>
      </c>
      <c r="AJ290" s="1">
        <f>VLOOKUP(A290,'SegEnds_NonXtal_Prot#'!A:AL,34,FALSE)-VLOOKUP(A290,'SegEnds_NonXtal_Prot#'!A:AL,31,FALSE)</f>
        <v>36</v>
      </c>
      <c r="AK290" s="1">
        <f>VLOOKUP(A290,'SegEnds_NonXtal_Prot#'!A:AL,37,FALSE)-VLOOKUP(A290,'SegEnds_NonXtal_Prot#'!A:AL,34,FALSE)</f>
        <v>10</v>
      </c>
      <c r="AL290" s="1" t="str">
        <f>IF(ISERROR(MATCH(A290,'SegEnds_Xtal_Prot#'!B:B, 0)), "NoXtal", "Xtal")</f>
        <v>NoXtal</v>
      </c>
    </row>
    <row r="291" spans="1:38" x14ac:dyDescent="0.2">
      <c r="A291" s="1" t="s">
        <v>400</v>
      </c>
      <c r="B291" s="1" t="str">
        <f>VLOOKUP(A291,Xtal_Templ!A:B,2,FALSE)</f>
        <v>ccr5_human</v>
      </c>
      <c r="C291" s="5">
        <f>VLOOKUP($B291&amp;"__wt",'SegEnds_Xtal_BW#'!$A:$Z,3,FALSE)</f>
        <v>24</v>
      </c>
      <c r="D291" s="1">
        <f>VLOOKUP($B291&amp;"__wt",'SegEnds_Xtal_BW#'!$A:$Z,4,FALSE)</f>
        <v>60</v>
      </c>
      <c r="E291" s="1">
        <f>VLOOKUP($B291&amp;"__wt",'SegEnds_Xtal_BW#'!$A:$Z,5,FALSE)</f>
        <v>48</v>
      </c>
      <c r="F291" s="1">
        <f>VLOOKUP($B291&amp;"__wt",'SegEnds_Xtal_BW#'!$A:$Z,6,FALSE)</f>
        <v>51</v>
      </c>
      <c r="G291" s="1">
        <v>37</v>
      </c>
      <c r="H291" s="12">
        <v>66</v>
      </c>
      <c r="I291" s="1">
        <f>VLOOKUP($B291&amp;"__wt",'SegEnds_Xtal_BW#'!$A:$Z,9,FALSE)</f>
        <v>49</v>
      </c>
      <c r="J291" s="1">
        <f>VLOOKUP($B291&amp;"__wt",'SegEnds_Xtal_BW#'!$A:$Z,10,FALSE)</f>
        <v>52</v>
      </c>
      <c r="K291" s="12">
        <v>24</v>
      </c>
      <c r="L291" s="1">
        <f>VLOOKUP($B291&amp;"__wt",'SegEnds_Xtal_BW#'!$A:$Z,12,FALSE)</f>
        <v>56</v>
      </c>
      <c r="M291" s="1">
        <f>VLOOKUP($B291&amp;"__wt",'SegEnds_Xtal_BW#'!$A:$Z,13,FALSE)</f>
        <v>50</v>
      </c>
      <c r="N291" s="12">
        <v>57</v>
      </c>
      <c r="O291" s="87">
        <v>38</v>
      </c>
      <c r="P291" s="1">
        <f>VLOOKUP($B291&amp;"__wt",'SegEnds_Xtal_BW#'!$A:$Z,16,FALSE)</f>
        <v>64</v>
      </c>
      <c r="Q291" s="1">
        <f>VLOOKUP($B291&amp;"__wt",'SegEnds_Xtal_BW#'!$A:$Z,17,FALSE)</f>
        <v>50</v>
      </c>
      <c r="R291" s="1">
        <f>VLOOKUP($B291&amp;"__wt",'SegEnds_Xtal_BW#'!$A:$Z,18,FALSE)</f>
        <v>52</v>
      </c>
      <c r="S291" s="1">
        <v>35</v>
      </c>
      <c r="T291" s="1">
        <f t="array" ref="T291">INDEX(ICL3_classA!$G$2:$G$37,MATCH(MIN(ABS(AI291-ICL3_classA!$F$2:$F$37)),ABS(AI291-ICL3_classA!$F$2:$F$37),0))</f>
        <v>68</v>
      </c>
      <c r="U291" s="1">
        <f t="array" ref="U291">INDEX(ICL3_classA!$H$2:$H$37,MATCH(MIN(ABS(AI291-ICL3_classA!$F$2:$F$37)),ABS(AI291-ICL3_classA!$F$2:$F$37),0))</f>
        <v>30</v>
      </c>
      <c r="V291" s="1">
        <v>64</v>
      </c>
      <c r="W291" s="1">
        <v>24</v>
      </c>
      <c r="X291" s="1">
        <f>VLOOKUP($B291&amp;"__wt",'SegEnds_Xtal_BW#'!$A:$Z,24,FALSE)</f>
        <v>56</v>
      </c>
      <c r="Y291" s="1">
        <f>VLOOKUP($B291&amp;"__wt",'SegEnds_Xtal_BW#'!$A:$Z,25,FALSE)</f>
        <v>47</v>
      </c>
      <c r="Z291" s="1">
        <f>VLOOKUP($B291&amp;"__wt",'SegEnds_Xtal_BW#'!$A:$Z,26,FALSE)</f>
        <v>59</v>
      </c>
      <c r="AA291" s="27" t="str">
        <f>VLOOKUP(A291,Classification!A:B,2,FALSE)</f>
        <v>A</v>
      </c>
      <c r="AB291" s="1">
        <f>VLOOKUP(A291,'SegEnds_NonXtal_Prot#'!A:AL,10,FALSE)-VLOOKUP(A291,'SegEnds_NonXtal_Prot#'!A:AL,4,FALSE)</f>
        <v>28</v>
      </c>
      <c r="AC291" s="1">
        <f>VLOOKUP(A291,'SegEnds_NonXtal_Prot#'!A:AL,10,FALSE)-VLOOKUP(A291,'SegEnds_NonXtal_Prot#'!A:AL,7,FALSE)</f>
        <v>15</v>
      </c>
      <c r="AD291" s="1">
        <f>VLOOKUP(A291,'SegEnds_NonXtal_Prot#'!A:AL,13,FALSE)-VLOOKUP(A291,'SegEnds_NonXtal_Prot#'!A:AL,10,FALSE)</f>
        <v>18</v>
      </c>
      <c r="AE291" s="1">
        <f>VLOOKUP(A291,'SegEnds_NonXtal_Prot#'!A:AL,16,FALSE)-VLOOKUP(A291,'SegEnds_NonXtal_Prot#'!A:AL,10,FALSE)</f>
        <v>50</v>
      </c>
      <c r="AF291" s="1">
        <f>VLOOKUP(A291,'SegEnds_NonXtal_Prot#'!A:AL,22,FALSE)-VLOOKUP(A291,'SegEnds_NonXtal_Prot#'!A:AL,19,FALSE)</f>
        <v>20</v>
      </c>
      <c r="AG291" s="1">
        <f>VLOOKUP(A291,'SegEnds_NonXtal_Prot#'!A:AL,28,FALSE)-VLOOKUP(A291,'SegEnds_NonXtal_Prot#'!A:AL,25,FALSE)</f>
        <v>22</v>
      </c>
      <c r="AH291" s="1">
        <f>VLOOKUP(A291,'SegEnds_NonXtal_Prot#'!A:AL,28,FALSE)-VLOOKUP(A291,'SegEnds_NonXtal_Prot#'!A:AL,22,FALSE)</f>
        <v>43</v>
      </c>
      <c r="AI291" s="1">
        <f>VLOOKUP(A291,'SegEnds_NonXtal_Prot#'!A:AL,31,FALSE)-VLOOKUP(A291,'SegEnds_NonXtal_Prot#'!A:AL,28,FALSE)</f>
        <v>43</v>
      </c>
      <c r="AJ291" s="1">
        <f>VLOOKUP(A291,'SegEnds_NonXtal_Prot#'!A:AL,34,FALSE)-VLOOKUP(A291,'SegEnds_NonXtal_Prot#'!A:AL,31,FALSE)</f>
        <v>44</v>
      </c>
      <c r="AK291" s="1">
        <f>VLOOKUP(A291,'SegEnds_NonXtal_Prot#'!A:AL,37,FALSE)-VLOOKUP(A291,'SegEnds_NonXtal_Prot#'!A:AL,34,FALSE)</f>
        <v>10</v>
      </c>
      <c r="AL291" s="1" t="str">
        <f>IF(ISERROR(MATCH(A291,'SegEnds_Xtal_Prot#'!B:B, 0)), "NoXtal", "Xtal")</f>
        <v>NoXtal</v>
      </c>
    </row>
    <row r="292" spans="1:38" x14ac:dyDescent="0.2">
      <c r="A292" s="1" t="s">
        <v>217</v>
      </c>
      <c r="B292" s="1" t="str">
        <f>VLOOKUP(A292,Xtal_Templ!A:B,2,FALSE)</f>
        <v>hrh1_human</v>
      </c>
      <c r="C292" s="5">
        <f>VLOOKUP($B292&amp;"__wt",'SegEnds_Xtal_BW#'!$A:$Z,3,FALSE)</f>
        <v>34</v>
      </c>
      <c r="D292" s="1">
        <f>VLOOKUP($B292&amp;"__wt",'SegEnds_Xtal_BW#'!$A:$Z,4,FALSE)</f>
        <v>60</v>
      </c>
      <c r="E292" s="1">
        <f>VLOOKUP($B292&amp;"__wt",'SegEnds_Xtal_BW#'!$A:$Z,5,FALSE)</f>
        <v>48</v>
      </c>
      <c r="F292" s="1">
        <f>VLOOKUP($B292&amp;"__wt",'SegEnds_Xtal_BW#'!$A:$Z,6,FALSE)</f>
        <v>51</v>
      </c>
      <c r="G292" s="1">
        <v>37</v>
      </c>
      <c r="H292" s="12">
        <v>66</v>
      </c>
      <c r="I292" s="1">
        <f>VLOOKUP($B292&amp;"__wt",'SegEnds_Xtal_BW#'!$A:$Z,9,FALSE)</f>
        <v>49</v>
      </c>
      <c r="J292" s="1">
        <f>VLOOKUP($B292&amp;"__wt",'SegEnds_Xtal_BW#'!$A:$Z,10,FALSE)</f>
        <v>52</v>
      </c>
      <c r="K292" s="12">
        <v>21</v>
      </c>
      <c r="L292" s="1">
        <f>VLOOKUP($B292&amp;"__wt",'SegEnds_Xtal_BW#'!$A:$Z,12,FALSE)</f>
        <v>56</v>
      </c>
      <c r="M292" s="1">
        <f>VLOOKUP($B292&amp;"__wt",'SegEnds_Xtal_BW#'!$A:$Z,13,FALSE)</f>
        <v>50</v>
      </c>
      <c r="N292" s="12">
        <v>57</v>
      </c>
      <c r="O292" s="87">
        <v>38</v>
      </c>
      <c r="P292" s="1">
        <f>VLOOKUP($B292&amp;"__wt",'SegEnds_Xtal_BW#'!$A:$Z,16,FALSE)</f>
        <v>62</v>
      </c>
      <c r="Q292" s="1">
        <f>VLOOKUP($B292&amp;"__wt",'SegEnds_Xtal_BW#'!$A:$Z,17,FALSE)</f>
        <v>50</v>
      </c>
      <c r="R292" s="1">
        <f>VLOOKUP($B292&amp;"__wt",'SegEnds_Xtal_BW#'!$A:$Z,18,FALSE)</f>
        <v>52</v>
      </c>
      <c r="S292" s="1">
        <f>VLOOKUP($B292&amp;"__wt",'SegEnds_Xtal_BW#'!$A:$Z,19,FALSE)</f>
        <v>35</v>
      </c>
      <c r="T292" s="1">
        <f t="array" ref="T292">INDEX(ICL3_classA!$G$2:$G$37,MATCH(MIN(ABS(AI292-ICL3_classA!$F$2:$F$37)),ABS(AI292-ICL3_classA!$F$2:$F$37),0))</f>
        <v>68</v>
      </c>
      <c r="U292" s="1">
        <f t="array" ref="U292">INDEX(ICL3_classA!$H$2:$H$37,MATCH(MIN(ABS(AI292-ICL3_classA!$F$2:$F$37)),ABS(AI292-ICL3_classA!$F$2:$F$37),0))</f>
        <v>28</v>
      </c>
      <c r="V292" s="1">
        <v>61</v>
      </c>
      <c r="W292" s="1">
        <v>28</v>
      </c>
      <c r="X292" s="1">
        <f>VLOOKUP($B292&amp;"__wt",'SegEnds_Xtal_BW#'!$A:$Z,24,FALSE)</f>
        <v>56</v>
      </c>
      <c r="Y292" s="1">
        <f>VLOOKUP($B292&amp;"__wt",'SegEnds_Xtal_BW#'!$A:$Z,25,FALSE)</f>
        <v>47</v>
      </c>
      <c r="Z292" s="1">
        <f>VLOOKUP($B292&amp;"__wt",'SegEnds_Xtal_BW#'!$A:$Z,26,FALSE)</f>
        <v>59</v>
      </c>
      <c r="AA292" s="27" t="str">
        <f>VLOOKUP(A292,Classification!A:B,2,FALSE)</f>
        <v>A</v>
      </c>
      <c r="AB292" s="1">
        <f>VLOOKUP(A292,'SegEnds_NonXtal_Prot#'!A:AL,10,FALSE)-VLOOKUP(A292,'SegEnds_NonXtal_Prot#'!A:AL,4,FALSE)</f>
        <v>28</v>
      </c>
      <c r="AC292" s="1">
        <f>VLOOKUP(A292,'SegEnds_NonXtal_Prot#'!A:AL,10,FALSE)-VLOOKUP(A292,'SegEnds_NonXtal_Prot#'!A:AL,7,FALSE)</f>
        <v>15</v>
      </c>
      <c r="AD292" s="1">
        <f>VLOOKUP(A292,'SegEnds_NonXtal_Prot#'!A:AL,13,FALSE)-VLOOKUP(A292,'SegEnds_NonXtal_Prot#'!A:AL,10,FALSE)</f>
        <v>19</v>
      </c>
      <c r="AE292" s="1">
        <f>VLOOKUP(A292,'SegEnds_NonXtal_Prot#'!A:AL,16,FALSE)-VLOOKUP(A292,'SegEnds_NonXtal_Prot#'!A:AL,10,FALSE)</f>
        <v>51</v>
      </c>
      <c r="AF292" s="1">
        <f>VLOOKUP(A292,'SegEnds_NonXtal_Prot#'!A:AL,22,FALSE)-VLOOKUP(A292,'SegEnds_NonXtal_Prot#'!A:AL,19,FALSE)</f>
        <v>20</v>
      </c>
      <c r="AG292" s="1">
        <f>VLOOKUP(A292,'SegEnds_NonXtal_Prot#'!A:AL,28,FALSE)-VLOOKUP(A292,'SegEnds_NonXtal_Prot#'!A:AL,25,FALSE)</f>
        <v>30</v>
      </c>
      <c r="AH292" s="1">
        <f>VLOOKUP(A292,'SegEnds_NonXtal_Prot#'!A:AL,28,FALSE)-VLOOKUP(A292,'SegEnds_NonXtal_Prot#'!A:AL,22,FALSE)</f>
        <v>56</v>
      </c>
      <c r="AI292" s="1">
        <f>VLOOKUP(A292,'SegEnds_NonXtal_Prot#'!A:AL,31,FALSE)-VLOOKUP(A292,'SegEnds_NonXtal_Prot#'!A:AL,28,FALSE)</f>
        <v>44</v>
      </c>
      <c r="AJ292" s="1">
        <f>VLOOKUP(A292,'SegEnds_NonXtal_Prot#'!A:AL,34,FALSE)-VLOOKUP(A292,'SegEnds_NonXtal_Prot#'!A:AL,31,FALSE)</f>
        <v>40</v>
      </c>
      <c r="AK292" s="1">
        <f>VLOOKUP(A292,'SegEnds_NonXtal_Prot#'!A:AL,37,FALSE)-VLOOKUP(A292,'SegEnds_NonXtal_Prot#'!A:AL,34,FALSE)</f>
        <v>11</v>
      </c>
      <c r="AL292" s="1" t="str">
        <f>IF(ISERROR(MATCH(A292,'SegEnds_Xtal_Prot#'!B:B, 0)), "NoXtal", "Xtal")</f>
        <v>NoXtal</v>
      </c>
    </row>
    <row r="293" spans="1:38" x14ac:dyDescent="0.2">
      <c r="A293" s="1" t="s">
        <v>220</v>
      </c>
      <c r="B293" s="1" t="str">
        <f>VLOOKUP(A293,Xtal_Templ!A:B,2,FALSE)</f>
        <v>aa1r_human</v>
      </c>
      <c r="C293" s="5">
        <f>VLOOKUP($B293&amp;"__wt",'SegEnds_Xtal_BW#'!$A:$Z,3,FALSE)</f>
        <v>29</v>
      </c>
      <c r="D293" s="1">
        <f>VLOOKUP($B293&amp;"__wt",'SegEnds_Xtal_BW#'!$A:$Z,4,FALSE)</f>
        <v>60</v>
      </c>
      <c r="E293" s="1">
        <f>VLOOKUP($B293&amp;"__wt",'SegEnds_Xtal_BW#'!$A:$Z,5,FALSE)</f>
        <v>48</v>
      </c>
      <c r="F293" s="1">
        <f>VLOOKUP($B293&amp;"__wt",'SegEnds_Xtal_BW#'!$A:$Z,6,FALSE)</f>
        <v>51</v>
      </c>
      <c r="G293" s="1">
        <v>37</v>
      </c>
      <c r="H293" s="12">
        <v>66</v>
      </c>
      <c r="I293" s="1">
        <f>VLOOKUP($B293&amp;"__wt",'SegEnds_Xtal_BW#'!$A:$Z,9,FALSE)</f>
        <v>50</v>
      </c>
      <c r="J293" s="1">
        <f>VLOOKUP($B293&amp;"__wt",'SegEnds_Xtal_BW#'!$A:$Z,10,FALSE)</f>
        <v>52</v>
      </c>
      <c r="K293" s="12">
        <v>24</v>
      </c>
      <c r="L293" s="1">
        <f>VLOOKUP($B293&amp;"__wt",'SegEnds_Xtal_BW#'!$A:$Z,12,FALSE)</f>
        <v>56</v>
      </c>
      <c r="M293" s="1">
        <f>VLOOKUP($B293&amp;"__wt",'SegEnds_Xtal_BW#'!$A:$Z,13,FALSE)</f>
        <v>50</v>
      </c>
      <c r="N293" s="12">
        <v>57</v>
      </c>
      <c r="O293" s="87">
        <v>38</v>
      </c>
      <c r="P293" s="1">
        <f>VLOOKUP($B293&amp;"__wt",'SegEnds_Xtal_BW#'!$A:$Z,16,FALSE)</f>
        <v>63</v>
      </c>
      <c r="Q293" s="1">
        <f>VLOOKUP($B293&amp;"__wt",'SegEnds_Xtal_BW#'!$A:$Z,17,FALSE)</f>
        <v>50</v>
      </c>
      <c r="R293" s="1">
        <f>VLOOKUP($B293&amp;"__wt",'SegEnds_Xtal_BW#'!$A:$Z,18,FALSE)</f>
        <v>52</v>
      </c>
      <c r="S293" s="1">
        <v>35</v>
      </c>
      <c r="T293" s="1">
        <f t="array" ref="T293">INDEX(ICL3_classA!$G$2:$G$37,MATCH(MIN(ABS(AI293-ICL3_classA!$F$2:$F$37)),ABS(AI293-ICL3_classA!$F$2:$F$37),0))</f>
        <v>76</v>
      </c>
      <c r="U293" s="1">
        <f t="array" ref="U293">INDEX(ICL3_classA!$H$2:$H$37,MATCH(MIN(ABS(AI293-ICL3_classA!$F$2:$F$37)),ABS(AI293-ICL3_classA!$F$2:$F$37),0))</f>
        <v>24</v>
      </c>
      <c r="V293" s="1">
        <v>58</v>
      </c>
      <c r="W293" s="1">
        <v>36</v>
      </c>
      <c r="X293" s="1">
        <f>VLOOKUP($B293&amp;"__wt",'SegEnds_Xtal_BW#'!$A:$Z,24,FALSE)</f>
        <v>56</v>
      </c>
      <c r="Y293" s="1">
        <f>VLOOKUP($B293&amp;"__wt",'SegEnds_Xtal_BW#'!$A:$Z,25,FALSE)</f>
        <v>47</v>
      </c>
      <c r="Z293" s="1">
        <f>VLOOKUP($B293&amp;"__wt",'SegEnds_Xtal_BW#'!$A:$Z,26,FALSE)</f>
        <v>69</v>
      </c>
      <c r="AA293" s="27" t="str">
        <f>VLOOKUP(A293,Classification!A:B,2,FALSE)</f>
        <v>A</v>
      </c>
      <c r="AB293" s="1">
        <f>VLOOKUP(A293,'SegEnds_NonXtal_Prot#'!A:AL,10,FALSE)-VLOOKUP(A293,'SegEnds_NonXtal_Prot#'!A:AL,4,FALSE)</f>
        <v>29</v>
      </c>
      <c r="AC293" s="1">
        <f>VLOOKUP(A293,'SegEnds_NonXtal_Prot#'!A:AL,10,FALSE)-VLOOKUP(A293,'SegEnds_NonXtal_Prot#'!A:AL,7,FALSE)</f>
        <v>16</v>
      </c>
      <c r="AD293" s="1">
        <f>VLOOKUP(A293,'SegEnds_NonXtal_Prot#'!A:AL,13,FALSE)-VLOOKUP(A293,'SegEnds_NonXtal_Prot#'!A:AL,10,FALSE)</f>
        <v>18</v>
      </c>
      <c r="AE293" s="1">
        <f>VLOOKUP(A293,'SegEnds_NonXtal_Prot#'!A:AL,16,FALSE)-VLOOKUP(A293,'SegEnds_NonXtal_Prot#'!A:AL,10,FALSE)</f>
        <v>50</v>
      </c>
      <c r="AF293" s="1">
        <f>VLOOKUP(A293,'SegEnds_NonXtal_Prot#'!A:AL,22,FALSE)-VLOOKUP(A293,'SegEnds_NonXtal_Prot#'!A:AL,19,FALSE)</f>
        <v>20</v>
      </c>
      <c r="AG293" s="1" t="e">
        <f>VLOOKUP(A293,'SegEnds_NonXtal_Prot#'!A:AL,28,FALSE)-VLOOKUP(A293,'SegEnds_NonXtal_Prot#'!A:AL,25,FALSE)</f>
        <v>#VALUE!</v>
      </c>
      <c r="AH293" s="1">
        <f>VLOOKUP(A293,'SegEnds_NonXtal_Prot#'!A:AL,28,FALSE)-VLOOKUP(A293,'SegEnds_NonXtal_Prot#'!A:AL,22,FALSE)</f>
        <v>38</v>
      </c>
      <c r="AI293" s="1">
        <f>VLOOKUP(A293,'SegEnds_NonXtal_Prot#'!A:AL,31,FALSE)-VLOOKUP(A293,'SegEnds_NonXtal_Prot#'!A:AL,28,FALSE)</f>
        <v>68</v>
      </c>
      <c r="AJ293" s="1">
        <f>VLOOKUP(A293,'SegEnds_NonXtal_Prot#'!A:AL,34,FALSE)-VLOOKUP(A293,'SegEnds_NonXtal_Prot#'!A:AL,31,FALSE)</f>
        <v>30</v>
      </c>
      <c r="AK293" s="1">
        <f>VLOOKUP(A293,'SegEnds_NonXtal_Prot#'!A:AL,37,FALSE)-VLOOKUP(A293,'SegEnds_NonXtal_Prot#'!A:AL,34,FALSE)</f>
        <v>11</v>
      </c>
      <c r="AL293" s="1" t="str">
        <f>IF(ISERROR(MATCH(A293,'SegEnds_Xtal_Prot#'!B:B, 0)), "NoXtal", "Xtal")</f>
        <v>NoXtal</v>
      </c>
    </row>
    <row r="294" spans="1:38" x14ac:dyDescent="0.2">
      <c r="A294" s="1" t="s">
        <v>367</v>
      </c>
      <c r="B294" s="1" t="str">
        <f>VLOOKUP(A294,Xtal_Templ!A:B,2,FALSE)</f>
        <v>ox1r_human</v>
      </c>
      <c r="C294" s="5">
        <f>VLOOKUP($B294&amp;"__wt",'SegEnds_Xtal_BW#'!$A:$Z,3,FALSE)</f>
        <v>32</v>
      </c>
      <c r="D294" s="1">
        <f>VLOOKUP($B294&amp;"__wt",'SegEnds_Xtal_BW#'!$A:$Z,4,FALSE)</f>
        <v>60</v>
      </c>
      <c r="E294" s="1">
        <f>VLOOKUP($B294&amp;"__wt",'SegEnds_Xtal_BW#'!$A:$Z,5,FALSE)</f>
        <v>48</v>
      </c>
      <c r="F294" s="1">
        <f>VLOOKUP($B294&amp;"__wt",'SegEnds_Xtal_BW#'!$A:$Z,6,FALSE)</f>
        <v>51</v>
      </c>
      <c r="G294" s="1">
        <v>37</v>
      </c>
      <c r="H294" s="12">
        <f>VLOOKUP($B294&amp;"__wt",'SegEnds_Xtal_BW#'!$A:$Z,8,FALSE)</f>
        <v>67</v>
      </c>
      <c r="I294" s="1">
        <f>VLOOKUP($B294&amp;"__wt",'SegEnds_Xtal_BW#'!$A:$Z,9,FALSE)</f>
        <v>49</v>
      </c>
      <c r="J294" s="1">
        <f>VLOOKUP($B294&amp;"__wt",'SegEnds_Xtal_BW#'!$A:$Z,10,FALSE)</f>
        <v>52</v>
      </c>
      <c r="K294" s="12">
        <v>18</v>
      </c>
      <c r="L294" s="1">
        <f>VLOOKUP($B294&amp;"__wt",'SegEnds_Xtal_BW#'!$A:$Z,12,FALSE)</f>
        <v>56</v>
      </c>
      <c r="M294" s="1">
        <f>VLOOKUP($B294&amp;"__wt",'SegEnds_Xtal_BW#'!$A:$Z,13,FALSE)</f>
        <v>50</v>
      </c>
      <c r="N294" s="108" t="s">
        <v>23</v>
      </c>
      <c r="O294" s="87">
        <f>VLOOKUP($B294&amp;"__wt",'SegEnds_Xtal_BW#'!$A:$Z,15,FALSE)</f>
        <v>38</v>
      </c>
      <c r="P294" s="1">
        <f>VLOOKUP($B294&amp;"__wt",'SegEnds_Xtal_BW#'!$A:$Z,16,FALSE)</f>
        <v>64</v>
      </c>
      <c r="Q294" s="1">
        <f>VLOOKUP($B294&amp;"__wt",'SegEnds_Xtal_BW#'!$A:$Z,17,FALSE)</f>
        <v>50</v>
      </c>
      <c r="R294" s="1">
        <f>VLOOKUP($B294&amp;"__wt",'SegEnds_Xtal_BW#'!$A:$Z,18,FALSE)</f>
        <v>52</v>
      </c>
      <c r="S294" s="1">
        <f>VLOOKUP($B294&amp;"__wt",'SegEnds_Xtal_BW#'!$A:$Z,19,FALSE)</f>
        <v>32</v>
      </c>
      <c r="T294" s="1">
        <f t="array" ref="T294">INDEX(ICL3_classA!$G$2:$G$37,MATCH(MIN(ABS(AI294-ICL3_classA!$F$2:$F$37)),ABS(AI294-ICL3_classA!$F$2:$F$37),0))</f>
        <v>73</v>
      </c>
      <c r="U294" s="1">
        <f t="array" ref="U294">INDEX(ICL3_classA!$H$2:$H$37,MATCH(MIN(ABS(AI294-ICL3_classA!$F$2:$F$37)),ABS(AI294-ICL3_classA!$F$2:$F$37),0))</f>
        <v>22</v>
      </c>
      <c r="V294" s="1">
        <v>61</v>
      </c>
      <c r="W294" s="1">
        <v>28</v>
      </c>
      <c r="X294" s="1">
        <f>VLOOKUP($B294&amp;"__wt",'SegEnds_Xtal_BW#'!$A:$Z,24,FALSE)</f>
        <v>56</v>
      </c>
      <c r="Y294" s="1">
        <f>VLOOKUP($B294&amp;"__wt",'SegEnds_Xtal_BW#'!$A:$Z,25,FALSE)</f>
        <v>47</v>
      </c>
      <c r="Z294" s="1">
        <f>VLOOKUP($B294&amp;"__wt",'SegEnds_Xtal_BW#'!$A:$Z,26,FALSE)</f>
        <v>58</v>
      </c>
      <c r="AA294" s="27" t="str">
        <f>VLOOKUP(A294,Classification!A:B,2,FALSE)</f>
        <v>A</v>
      </c>
      <c r="AB294" s="1">
        <f>VLOOKUP(A294,'SegEnds_NonXtal_Prot#'!A:AL,10,FALSE)-VLOOKUP(A294,'SegEnds_NonXtal_Prot#'!A:AL,4,FALSE)</f>
        <v>28</v>
      </c>
      <c r="AC294" s="1">
        <f>VLOOKUP(A294,'SegEnds_NonXtal_Prot#'!A:AL,10,FALSE)-VLOOKUP(A294,'SegEnds_NonXtal_Prot#'!A:AL,7,FALSE)</f>
        <v>15</v>
      </c>
      <c r="AD294" s="1">
        <f>VLOOKUP(A294,'SegEnds_NonXtal_Prot#'!A:AL,13,FALSE)-VLOOKUP(A294,'SegEnds_NonXtal_Prot#'!A:AL,10,FALSE)</f>
        <v>22</v>
      </c>
      <c r="AE294" s="1">
        <f>VLOOKUP(A294,'SegEnds_NonXtal_Prot#'!A:AL,16,FALSE)-VLOOKUP(A294,'SegEnds_NonXtal_Prot#'!A:AL,10,FALSE)</f>
        <v>54</v>
      </c>
      <c r="AF294" s="1" t="e">
        <f>VLOOKUP(A294,'SegEnds_NonXtal_Prot#'!A:AL,22,FALSE)-VLOOKUP(A294,'SegEnds_NonXtal_Prot#'!A:AL,19,FALSE)</f>
        <v>#VALUE!</v>
      </c>
      <c r="AG294" s="1">
        <f>VLOOKUP(A294,'SegEnds_NonXtal_Prot#'!A:AL,28,FALSE)-VLOOKUP(A294,'SegEnds_NonXtal_Prot#'!A:AL,25,FALSE)</f>
        <v>27</v>
      </c>
      <c r="AH294" s="1">
        <f>VLOOKUP(A294,'SegEnds_NonXtal_Prot#'!A:AL,28,FALSE)-VLOOKUP(A294,'SegEnds_NonXtal_Prot#'!A:AL,22,FALSE)</f>
        <v>57</v>
      </c>
      <c r="AI294" s="1">
        <f>VLOOKUP(A294,'SegEnds_NonXtal_Prot#'!A:AL,31,FALSE)-VLOOKUP(A294,'SegEnds_NonXtal_Prot#'!A:AL,28,FALSE)</f>
        <v>55</v>
      </c>
      <c r="AJ294" s="1">
        <f>VLOOKUP(A294,'SegEnds_NonXtal_Prot#'!A:AL,34,FALSE)-VLOOKUP(A294,'SegEnds_NonXtal_Prot#'!A:AL,31,FALSE)</f>
        <v>40</v>
      </c>
      <c r="AK294" s="1">
        <f>VLOOKUP(A294,'SegEnds_NonXtal_Prot#'!A:AL,37,FALSE)-VLOOKUP(A294,'SegEnds_NonXtal_Prot#'!A:AL,34,FALSE)</f>
        <v>11</v>
      </c>
      <c r="AL294" s="1" t="str">
        <f>IF(ISERROR(MATCH(A294,'SegEnds_Xtal_Prot#'!B:B, 0)), "NoXtal", "Xtal")</f>
        <v>NoXtal</v>
      </c>
    </row>
    <row r="295" spans="1:38" x14ac:dyDescent="0.2">
      <c r="A295" s="1" t="s">
        <v>368</v>
      </c>
      <c r="B295" s="1" t="str">
        <f>VLOOKUP(A295,Xtal_Templ!A:B,2,FALSE)</f>
        <v>ox2r_human</v>
      </c>
      <c r="C295" s="5">
        <f>VLOOKUP($B295&amp;"__wt",'SegEnds_Xtal_BW#'!$A:$Z,3,FALSE)</f>
        <v>31</v>
      </c>
      <c r="D295" s="1">
        <f>VLOOKUP($B295&amp;"__wt",'SegEnds_Xtal_BW#'!$A:$Z,4,FALSE)</f>
        <v>60</v>
      </c>
      <c r="E295" s="1">
        <f>VLOOKUP($B295&amp;"__wt",'SegEnds_Xtal_BW#'!$A:$Z,5,FALSE)</f>
        <v>48</v>
      </c>
      <c r="F295" s="1">
        <f>VLOOKUP($B295&amp;"__wt",'SegEnds_Xtal_BW#'!$A:$Z,6,FALSE)</f>
        <v>51</v>
      </c>
      <c r="G295" s="1">
        <v>37</v>
      </c>
      <c r="H295" s="12">
        <f>VLOOKUP($B295&amp;"__wt",'SegEnds_Xtal_BW#'!$A:$Z,8,FALSE)</f>
        <v>68</v>
      </c>
      <c r="I295" s="1">
        <f>VLOOKUP($B295&amp;"__wt",'SegEnds_Xtal_BW#'!$A:$Z,9,FALSE)</f>
        <v>49</v>
      </c>
      <c r="J295" s="1">
        <f>VLOOKUP($B295&amp;"__wt",'SegEnds_Xtal_BW#'!$A:$Z,10,FALSE)</f>
        <v>52</v>
      </c>
      <c r="K295" s="12">
        <v>18</v>
      </c>
      <c r="L295" s="1">
        <f>VLOOKUP($B295&amp;"__wt",'SegEnds_Xtal_BW#'!$A:$Z,12,FALSE)</f>
        <v>56</v>
      </c>
      <c r="M295" s="1">
        <f>VLOOKUP($B295&amp;"__wt",'SegEnds_Xtal_BW#'!$A:$Z,13,FALSE)</f>
        <v>50</v>
      </c>
      <c r="N295" s="108" t="s">
        <v>23</v>
      </c>
      <c r="O295" s="87">
        <f>VLOOKUP($B295&amp;"__wt",'SegEnds_Xtal_BW#'!$A:$Z,15,FALSE)</f>
        <v>38</v>
      </c>
      <c r="P295" s="1">
        <f>VLOOKUP($B295&amp;"__wt",'SegEnds_Xtal_BW#'!$A:$Z,16,FALSE)</f>
        <v>64</v>
      </c>
      <c r="Q295" s="1">
        <f>VLOOKUP($B295&amp;"__wt",'SegEnds_Xtal_BW#'!$A:$Z,17,FALSE)</f>
        <v>50</v>
      </c>
      <c r="R295" s="1">
        <f>VLOOKUP($B295&amp;"__wt",'SegEnds_Xtal_BW#'!$A:$Z,18,FALSE)</f>
        <v>52</v>
      </c>
      <c r="S295" s="1">
        <f>VLOOKUP($B295&amp;"__wt",'SegEnds_Xtal_BW#'!$A:$Z,19,FALSE)</f>
        <v>33</v>
      </c>
      <c r="T295" s="1">
        <f t="array" ref="T295">INDEX(ICL3_classA!$G$2:$G$37,MATCH(MIN(ABS(AI295-ICL3_classA!$F$2:$F$37)),ABS(AI295-ICL3_classA!$F$2:$F$37),0))</f>
        <v>73</v>
      </c>
      <c r="U295" s="1">
        <f t="array" ref="U295">INDEX(ICL3_classA!$H$2:$H$37,MATCH(MIN(ABS(AI295-ICL3_classA!$F$2:$F$37)),ABS(AI295-ICL3_classA!$F$2:$F$37),0))</f>
        <v>22</v>
      </c>
      <c r="V295" s="1">
        <v>61</v>
      </c>
      <c r="W295" s="1">
        <v>28</v>
      </c>
      <c r="X295" s="1">
        <f>VLOOKUP($B295&amp;"__wt",'SegEnds_Xtal_BW#'!$A:$Z,24,FALSE)</f>
        <v>56</v>
      </c>
      <c r="Y295" s="1">
        <f>VLOOKUP($B295&amp;"__wt",'SegEnds_Xtal_BW#'!$A:$Z,25,FALSE)</f>
        <v>47</v>
      </c>
      <c r="Z295" s="1">
        <f>VLOOKUP($B295&amp;"__wt",'SegEnds_Xtal_BW#'!$A:$Z,26,FALSE)</f>
        <v>58</v>
      </c>
      <c r="AA295" s="27" t="str">
        <f>VLOOKUP(A295,Classification!A:B,2,FALSE)</f>
        <v>A</v>
      </c>
      <c r="AB295" s="1">
        <f>VLOOKUP(A295,'SegEnds_NonXtal_Prot#'!A:AL,10,FALSE)-VLOOKUP(A295,'SegEnds_NonXtal_Prot#'!A:AL,4,FALSE)</f>
        <v>28</v>
      </c>
      <c r="AC295" s="1">
        <f>VLOOKUP(A295,'SegEnds_NonXtal_Prot#'!A:AL,10,FALSE)-VLOOKUP(A295,'SegEnds_NonXtal_Prot#'!A:AL,7,FALSE)</f>
        <v>15</v>
      </c>
      <c r="AD295" s="1">
        <f>VLOOKUP(A295,'SegEnds_NonXtal_Prot#'!A:AL,13,FALSE)-VLOOKUP(A295,'SegEnds_NonXtal_Prot#'!A:AL,10,FALSE)</f>
        <v>22</v>
      </c>
      <c r="AE295" s="1">
        <f>VLOOKUP(A295,'SegEnds_NonXtal_Prot#'!A:AL,16,FALSE)-VLOOKUP(A295,'SegEnds_NonXtal_Prot#'!A:AL,10,FALSE)</f>
        <v>54</v>
      </c>
      <c r="AF295" s="1" t="e">
        <f>VLOOKUP(A295,'SegEnds_NonXtal_Prot#'!A:AL,22,FALSE)-VLOOKUP(A295,'SegEnds_NonXtal_Prot#'!A:AL,19,FALSE)</f>
        <v>#VALUE!</v>
      </c>
      <c r="AG295" s="1">
        <f>VLOOKUP(A295,'SegEnds_NonXtal_Prot#'!A:AL,28,FALSE)-VLOOKUP(A295,'SegEnds_NonXtal_Prot#'!A:AL,25,FALSE)</f>
        <v>27</v>
      </c>
      <c r="AH295" s="1">
        <f>VLOOKUP(A295,'SegEnds_NonXtal_Prot#'!A:AL,28,FALSE)-VLOOKUP(A295,'SegEnds_NonXtal_Prot#'!A:AL,22,FALSE)</f>
        <v>57</v>
      </c>
      <c r="AI295" s="1">
        <f>VLOOKUP(A295,'SegEnds_NonXtal_Prot#'!A:AL,31,FALSE)-VLOOKUP(A295,'SegEnds_NonXtal_Prot#'!A:AL,28,FALSE)</f>
        <v>55</v>
      </c>
      <c r="AJ295" s="1">
        <f>VLOOKUP(A295,'SegEnds_NonXtal_Prot#'!A:AL,34,FALSE)-VLOOKUP(A295,'SegEnds_NonXtal_Prot#'!A:AL,31,FALSE)</f>
        <v>40</v>
      </c>
      <c r="AK295" s="1">
        <f>VLOOKUP(A295,'SegEnds_NonXtal_Prot#'!A:AL,37,FALSE)-VLOOKUP(A295,'SegEnds_NonXtal_Prot#'!A:AL,34,FALSE)</f>
        <v>11</v>
      </c>
      <c r="AL295" s="1" t="str">
        <f>IF(ISERROR(MATCH(A295,'SegEnds_Xtal_Prot#'!B:B, 0)), "NoXtal", "Xtal")</f>
        <v>NoXtal</v>
      </c>
    </row>
    <row r="296" spans="1:38" x14ac:dyDescent="0.2">
      <c r="A296" s="1" t="s">
        <v>210</v>
      </c>
      <c r="B296" s="1" t="str">
        <f>VLOOKUP(A296,Xtal_Templ!A:B,2,FALSE)</f>
        <v>apj_human</v>
      </c>
      <c r="C296" s="5">
        <f>VLOOKUP($B296&amp;"__wt",'SegEnds_Xtal_BW#'!$A:$Z,3,FALSE)</f>
        <v>33</v>
      </c>
      <c r="D296" s="1">
        <f>VLOOKUP($B296&amp;"__wt",'SegEnds_Xtal_BW#'!$A:$Z,4,FALSE)</f>
        <v>60</v>
      </c>
      <c r="E296" s="1">
        <f>VLOOKUP($B296&amp;"__wt",'SegEnds_Xtal_BW#'!$A:$Z,5,FALSE)</f>
        <v>48</v>
      </c>
      <c r="F296" s="1">
        <f>VLOOKUP($B296&amp;"__wt",'SegEnds_Xtal_BW#'!$A:$Z,6,FALSE)</f>
        <v>52</v>
      </c>
      <c r="G296" s="1">
        <v>37</v>
      </c>
      <c r="H296" s="12">
        <v>66</v>
      </c>
      <c r="I296" s="1">
        <f>VLOOKUP($B296&amp;"__wt",'SegEnds_Xtal_BW#'!$A:$Z,9,FALSE)</f>
        <v>49</v>
      </c>
      <c r="J296" s="1">
        <f>VLOOKUP($B296&amp;"__wt",'SegEnds_Xtal_BW#'!$A:$Z,10,FALSE)</f>
        <v>52</v>
      </c>
      <c r="K296" s="12">
        <v>21</v>
      </c>
      <c r="L296" s="1">
        <f>VLOOKUP($B296&amp;"__wt",'SegEnds_Xtal_BW#'!$A:$Z,12,FALSE)</f>
        <v>56</v>
      </c>
      <c r="M296" s="1">
        <f>VLOOKUP($B296&amp;"__wt",'SegEnds_Xtal_BW#'!$A:$Z,13,FALSE)</f>
        <v>50</v>
      </c>
      <c r="N296" s="12">
        <v>53</v>
      </c>
      <c r="O296" s="87">
        <v>38</v>
      </c>
      <c r="P296" s="1">
        <f>VLOOKUP($B296&amp;"__wt",'SegEnds_Xtal_BW#'!$A:$Z,16,FALSE)</f>
        <v>64</v>
      </c>
      <c r="Q296" s="1">
        <f>VLOOKUP($B296&amp;"__wt",'SegEnds_Xtal_BW#'!$A:$Z,17,FALSE)</f>
        <v>50</v>
      </c>
      <c r="R296" s="1">
        <f>VLOOKUP($B296&amp;"__wt",'SegEnds_Xtal_BW#'!$A:$Z,18,FALSE)</f>
        <v>52</v>
      </c>
      <c r="S296" s="1">
        <f>VLOOKUP($B296&amp;"__wt",'SegEnds_Xtal_BW#'!$A:$Z,19,FALSE)</f>
        <v>30</v>
      </c>
      <c r="T296" s="1">
        <f t="array" ref="T296">INDEX(ICL3_classA!$G$2:$G$37,MATCH(MIN(ABS(AI296-ICL3_classA!$F$2:$F$37)),ABS(AI296-ICL3_classA!$F$2:$F$37),0))</f>
        <v>74</v>
      </c>
      <c r="U296" s="1">
        <f t="array" ref="U296">INDEX(ICL3_classA!$H$2:$H$37,MATCH(MIN(ABS(AI296-ICL3_classA!$F$2:$F$37)),ABS(AI296-ICL3_classA!$F$2:$F$37),0))</f>
        <v>21</v>
      </c>
      <c r="V296" s="1">
        <v>61</v>
      </c>
      <c r="W296" s="1">
        <v>28</v>
      </c>
      <c r="X296" s="1">
        <f>VLOOKUP($B296&amp;"__wt",'SegEnds_Xtal_BW#'!$A:$Z,24,FALSE)</f>
        <v>56</v>
      </c>
      <c r="Y296" s="1">
        <f>VLOOKUP($B296&amp;"__wt",'SegEnds_Xtal_BW#'!$A:$Z,25,FALSE)</f>
        <v>47</v>
      </c>
      <c r="Z296" s="1">
        <f>VLOOKUP($B296&amp;"__wt",'SegEnds_Xtal_BW#'!$A:$Z,26,FALSE)</f>
        <v>61</v>
      </c>
      <c r="AA296" s="27" t="str">
        <f>VLOOKUP(A296,Classification!A:B,2,FALSE)</f>
        <v>A</v>
      </c>
      <c r="AB296" s="1">
        <f>VLOOKUP(A296,'SegEnds_NonXtal_Prot#'!A:AL,10,FALSE)-VLOOKUP(A296,'SegEnds_NonXtal_Prot#'!A:AL,4,FALSE)</f>
        <v>34</v>
      </c>
      <c r="AC296" s="1">
        <f>VLOOKUP(A296,'SegEnds_NonXtal_Prot#'!A:AL,10,FALSE)-VLOOKUP(A296,'SegEnds_NonXtal_Prot#'!A:AL,7,FALSE)</f>
        <v>14</v>
      </c>
      <c r="AD296" s="1">
        <f>VLOOKUP(A296,'SegEnds_NonXtal_Prot#'!A:AL,13,FALSE)-VLOOKUP(A296,'SegEnds_NonXtal_Prot#'!A:AL,10,FALSE)</f>
        <v>20</v>
      </c>
      <c r="AE296" s="1">
        <f>VLOOKUP(A296,'SegEnds_NonXtal_Prot#'!A:AL,16,FALSE)-VLOOKUP(A296,'SegEnds_NonXtal_Prot#'!A:AL,10,FALSE)</f>
        <v>52</v>
      </c>
      <c r="AF296" s="1">
        <f>VLOOKUP(A296,'SegEnds_NonXtal_Prot#'!A:AL,22,FALSE)-VLOOKUP(A296,'SegEnds_NonXtal_Prot#'!A:AL,19,FALSE)</f>
        <v>18</v>
      </c>
      <c r="AG296" s="1">
        <f>VLOOKUP(A296,'SegEnds_NonXtal_Prot#'!A:AL,28,FALSE)-VLOOKUP(A296,'SegEnds_NonXtal_Prot#'!A:AL,25,FALSE)</f>
        <v>23</v>
      </c>
      <c r="AH296" s="1">
        <f>VLOOKUP(A296,'SegEnds_NonXtal_Prot#'!A:AL,28,FALSE)-VLOOKUP(A296,'SegEnds_NonXtal_Prot#'!A:AL,22,FALSE)</f>
        <v>59</v>
      </c>
      <c r="AI296" s="1">
        <f>VLOOKUP(A296,'SegEnds_NonXtal_Prot#'!A:AL,31,FALSE)-VLOOKUP(A296,'SegEnds_NonXtal_Prot#'!A:AL,28,FALSE)</f>
        <v>59</v>
      </c>
      <c r="AJ296" s="1">
        <f>VLOOKUP(A296,'SegEnds_NonXtal_Prot#'!A:AL,34,FALSE)-VLOOKUP(A296,'SegEnds_NonXtal_Prot#'!A:AL,31,FALSE)</f>
        <v>38</v>
      </c>
      <c r="AK296" s="1" t="e">
        <f>VLOOKUP(A296,'SegEnds_NonXtal_Prot#'!A:AL,37,FALSE)-VLOOKUP(A296,'SegEnds_NonXtal_Prot#'!A:AL,34,FALSE)</f>
        <v>#VALUE!</v>
      </c>
      <c r="AL296" s="1" t="str">
        <f>IF(ISERROR(MATCH(A296,'SegEnds_Xtal_Prot#'!B:B, 0)), "NoXtal", "Xtal")</f>
        <v>NoXtal</v>
      </c>
    </row>
    <row r="297" spans="1:38" x14ac:dyDescent="0.2">
      <c r="A297" s="1" t="s">
        <v>329</v>
      </c>
      <c r="B297" s="1" t="str">
        <f>VLOOKUP(A297,Xtal_Templ!A:B,2,FALSE)</f>
        <v>npy1r_human</v>
      </c>
      <c r="C297" s="5">
        <f>VLOOKUP($B297&amp;"__wt",'SegEnds_Xtal_BW#'!$A:$Z,3,FALSE)</f>
        <v>28</v>
      </c>
      <c r="D297" s="1">
        <f>VLOOKUP($B297&amp;"__wt",'SegEnds_Xtal_BW#'!$A:$Z,4,FALSE)</f>
        <v>60</v>
      </c>
      <c r="E297" s="1">
        <f>VLOOKUP($B297&amp;"__wt",'SegEnds_Xtal_BW#'!$A:$Z,5,FALSE)</f>
        <v>48</v>
      </c>
      <c r="F297" s="1">
        <f>VLOOKUP($B297&amp;"__wt",'SegEnds_Xtal_BW#'!$A:$Z,6,FALSE)</f>
        <v>51</v>
      </c>
      <c r="G297" s="1">
        <v>37</v>
      </c>
      <c r="H297" s="12">
        <f>VLOOKUP($B297&amp;"__wt",'SegEnds_Xtal_BW#'!$A:$Z,8,FALSE)</f>
        <v>68</v>
      </c>
      <c r="I297" s="1">
        <f>VLOOKUP($B297&amp;"__wt",'SegEnds_Xtal_BW#'!$A:$Z,9,FALSE)</f>
        <v>49</v>
      </c>
      <c r="J297" s="1">
        <f>VLOOKUP($B297&amp;"__wt",'SegEnds_Xtal_BW#'!$A:$Z,10,FALSE)</f>
        <v>52</v>
      </c>
      <c r="K297" s="12">
        <v>18</v>
      </c>
      <c r="L297" s="1">
        <f>VLOOKUP($B297&amp;"__wt",'SegEnds_Xtal_BW#'!$A:$Z,12,FALSE)</f>
        <v>56</v>
      </c>
      <c r="M297" s="1" t="str">
        <f>VLOOKUP($B297&amp;"__wt",'SegEnds_Xtal_BW#'!$A:$Z,13,FALSE)</f>
        <v>-</v>
      </c>
      <c r="N297" s="12" t="str">
        <f>VLOOKUP($B297&amp;"__wt",'SegEnds_Xtal_BW#'!$A:$Z,14,FALSE)</f>
        <v>-</v>
      </c>
      <c r="O297" s="87">
        <f>VLOOKUP($B297&amp;"__wt",'SegEnds_Xtal_BW#'!$A:$Z,15,FALSE)</f>
        <v>38</v>
      </c>
      <c r="P297" s="1">
        <f>VLOOKUP($B297&amp;"__wt",'SegEnds_Xtal_BW#'!$A:$Z,16,FALSE)</f>
        <v>64</v>
      </c>
      <c r="Q297" s="1">
        <f>VLOOKUP($B297&amp;"__wt",'SegEnds_Xtal_BW#'!$A:$Z,17,FALSE)</f>
        <v>50</v>
      </c>
      <c r="R297" s="1">
        <f>VLOOKUP($B297&amp;"__wt",'SegEnds_Xtal_BW#'!$A:$Z,18,FALSE)</f>
        <v>52</v>
      </c>
      <c r="S297" s="1">
        <f>VLOOKUP($B297&amp;"__wt",'SegEnds_Xtal_BW#'!$A:$Z,19,FALSE)</f>
        <v>31</v>
      </c>
      <c r="T297" s="1">
        <f t="array" ref="T297">INDEX(ICL3_classA!$G$2:$G$37,MATCH(MIN(ABS(AI297-ICL3_classA!$F$2:$F$37)),ABS(AI297-ICL3_classA!$F$2:$F$37),0))</f>
        <v>73</v>
      </c>
      <c r="U297" s="1">
        <f t="array" ref="U297">INDEX(ICL3_classA!$H$2:$H$37,MATCH(MIN(ABS(AI297-ICL3_classA!$F$2:$F$37)),ABS(AI297-ICL3_classA!$F$2:$F$37),0))</f>
        <v>22</v>
      </c>
      <c r="V297" s="1">
        <v>61</v>
      </c>
      <c r="W297" s="1">
        <v>24</v>
      </c>
      <c r="X297" s="1">
        <f>VLOOKUP($B297&amp;"__wt",'SegEnds_Xtal_BW#'!$A:$Z,24,FALSE)</f>
        <v>56</v>
      </c>
      <c r="Y297" s="1">
        <f>VLOOKUP($B297&amp;"__wt",'SegEnds_Xtal_BW#'!$A:$Z,25,FALSE)</f>
        <v>47</v>
      </c>
      <c r="Z297" s="1">
        <f>VLOOKUP($B297&amp;"__wt",'SegEnds_Xtal_BW#'!$A:$Z,26,FALSE)</f>
        <v>58</v>
      </c>
      <c r="AA297" s="27" t="str">
        <f>VLOOKUP(A297,Classification!A:B,2,FALSE)</f>
        <v>A</v>
      </c>
      <c r="AB297" s="1">
        <f>VLOOKUP(A297,'SegEnds_NonXtal_Prot#'!A:AL,10,FALSE)-VLOOKUP(A297,'SegEnds_NonXtal_Prot#'!A:AL,4,FALSE)</f>
        <v>29</v>
      </c>
      <c r="AC297" s="1">
        <f>VLOOKUP(A297,'SegEnds_NonXtal_Prot#'!A:AL,10,FALSE)-VLOOKUP(A297,'SegEnds_NonXtal_Prot#'!A:AL,7,FALSE)</f>
        <v>15</v>
      </c>
      <c r="AD297" s="1">
        <f>VLOOKUP(A297,'SegEnds_NonXtal_Prot#'!A:AL,13,FALSE)-VLOOKUP(A297,'SegEnds_NonXtal_Prot#'!A:AL,10,FALSE)</f>
        <v>20</v>
      </c>
      <c r="AE297" s="1">
        <f>VLOOKUP(A297,'SegEnds_NonXtal_Prot#'!A:AL,16,FALSE)-VLOOKUP(A297,'SegEnds_NonXtal_Prot#'!A:AL,10,FALSE)</f>
        <v>52</v>
      </c>
      <c r="AF297" s="1" t="e">
        <f>VLOOKUP(A297,'SegEnds_NonXtal_Prot#'!A:AL,22,FALSE)-VLOOKUP(A297,'SegEnds_NonXtal_Prot#'!A:AL,19,FALSE)</f>
        <v>#VALUE!</v>
      </c>
      <c r="AG297" s="1" t="e">
        <f>VLOOKUP(A297,'SegEnds_NonXtal_Prot#'!A:AL,28,FALSE)-VLOOKUP(A297,'SegEnds_NonXtal_Prot#'!A:AL,25,FALSE)</f>
        <v>#VALUE!</v>
      </c>
      <c r="AH297" s="1">
        <f>VLOOKUP(A297,'SegEnds_NonXtal_Prot#'!A:AL,28,FALSE)-VLOOKUP(A297,'SegEnds_NonXtal_Prot#'!A:AL,22,FALSE)</f>
        <v>62</v>
      </c>
      <c r="AI297" s="1">
        <f>VLOOKUP(A297,'SegEnds_NonXtal_Prot#'!A:AL,31,FALSE)-VLOOKUP(A297,'SegEnds_NonXtal_Prot#'!A:AL,28,FALSE)</f>
        <v>55</v>
      </c>
      <c r="AJ297" s="1" t="e">
        <f>VLOOKUP(A297,'SegEnds_NonXtal_Prot#'!A:AL,34,FALSE)-VLOOKUP(A297,'SegEnds_NonXtal_Prot#'!A:AL,31,FALSE)</f>
        <v>#VALUE!</v>
      </c>
      <c r="AK297" s="1" t="e">
        <f>VLOOKUP(A297,'SegEnds_NonXtal_Prot#'!A:AL,37,FALSE)-VLOOKUP(A297,'SegEnds_NonXtal_Prot#'!A:AL,34,FALSE)</f>
        <v>#VALUE!</v>
      </c>
      <c r="AL297" s="1" t="str">
        <f>IF(ISERROR(MATCH(A297,'SegEnds_Xtal_Prot#'!B:B, 0)), "NoXtal", "Xtal")</f>
        <v>NoXtal</v>
      </c>
    </row>
    <row r="298" spans="1:38" x14ac:dyDescent="0.2">
      <c r="A298" s="1" t="s">
        <v>357</v>
      </c>
      <c r="B298" s="1" t="str">
        <f>VLOOKUP(A298,Xtal_Templ!A:B,2,FALSE)</f>
        <v>par2_human</v>
      </c>
      <c r="C298" s="5">
        <f>VLOOKUP($B298&amp;"__wt",'SegEnds_Xtal_BW#'!$A:$Z,3,FALSE)</f>
        <v>28</v>
      </c>
      <c r="D298" s="1">
        <f>VLOOKUP($B298&amp;"__wt",'SegEnds_Xtal_BW#'!$A:$Z,4,FALSE)</f>
        <v>60</v>
      </c>
      <c r="E298" s="1" t="str">
        <f>VLOOKUP($B298&amp;"__wt",'SegEnds_Xtal_BW#'!$A:$Z,5,FALSE)</f>
        <v>-</v>
      </c>
      <c r="F298" s="1" t="str">
        <f>VLOOKUP($B298&amp;"__wt",'SegEnds_Xtal_BW#'!$A:$Z,6,FALSE)</f>
        <v>-</v>
      </c>
      <c r="G298" s="1">
        <v>37</v>
      </c>
      <c r="H298" s="12">
        <f>VLOOKUP($B298&amp;"__wt",'SegEnds_Xtal_BW#'!$A:$Z,8,FALSE)</f>
        <v>66</v>
      </c>
      <c r="I298" s="1">
        <f>VLOOKUP($B298&amp;"__wt",'SegEnds_Xtal_BW#'!$A:$Z,9,FALSE)</f>
        <v>47</v>
      </c>
      <c r="J298" s="1">
        <f>VLOOKUP($B298&amp;"__wt",'SegEnds_Xtal_BW#'!$A:$Z,10,FALSE)</f>
        <v>52</v>
      </c>
      <c r="K298" s="12">
        <v>18</v>
      </c>
      <c r="L298" s="1">
        <f>VLOOKUP($B298&amp;"__wt",'SegEnds_Xtal_BW#'!$A:$Z,12,FALSE)</f>
        <v>56</v>
      </c>
      <c r="M298" s="1">
        <f>VLOOKUP($B298&amp;"__wt",'SegEnds_Xtal_BW#'!$A:$Z,13,FALSE)</f>
        <v>50</v>
      </c>
      <c r="N298" s="12">
        <v>57</v>
      </c>
      <c r="O298" s="87">
        <f>VLOOKUP($B298&amp;"__wt",'SegEnds_Xtal_BW#'!$A:$Z,15,FALSE)</f>
        <v>38</v>
      </c>
      <c r="P298" s="1">
        <f>VLOOKUP($B298&amp;"__wt",'SegEnds_Xtal_BW#'!$A:$Z,16,FALSE)</f>
        <v>62</v>
      </c>
      <c r="Q298" s="1">
        <f>VLOOKUP($B298&amp;"__wt",'SegEnds_Xtal_BW#'!$A:$Z,17,FALSE)</f>
        <v>50</v>
      </c>
      <c r="R298" s="1">
        <f>VLOOKUP($B298&amp;"__wt",'SegEnds_Xtal_BW#'!$A:$Z,18,FALSE)</f>
        <v>52</v>
      </c>
      <c r="S298" s="1">
        <v>35</v>
      </c>
      <c r="T298" s="1">
        <f t="array" ref="T298">INDEX(ICL3_classA!$G$2:$G$37,MATCH(MIN(ABS(AI298-ICL3_classA!$F$2:$F$37)),ABS(AI298-ICL3_classA!$F$2:$F$37),0))</f>
        <v>68</v>
      </c>
      <c r="U298" s="1">
        <f t="array" ref="U298">INDEX(ICL3_classA!$H$2:$H$37,MATCH(MIN(ABS(AI298-ICL3_classA!$F$2:$F$37)),ABS(AI298-ICL3_classA!$F$2:$F$37),0))</f>
        <v>30</v>
      </c>
      <c r="V298" s="1">
        <v>62</v>
      </c>
      <c r="W298" s="1">
        <v>28</v>
      </c>
      <c r="X298" s="1">
        <f>VLOOKUP($B298&amp;"__wt",'SegEnds_Xtal_BW#'!$A:$Z,24,FALSE)</f>
        <v>56</v>
      </c>
      <c r="Y298" s="1">
        <f>VLOOKUP($B298&amp;"__wt",'SegEnds_Xtal_BW#'!$A:$Z,25,FALSE)</f>
        <v>47</v>
      </c>
      <c r="Z298" s="1">
        <f>VLOOKUP($B298&amp;"__wt",'SegEnds_Xtal_BW#'!$A:$Z,26,FALSE)</f>
        <v>61</v>
      </c>
      <c r="AA298" s="27" t="str">
        <f>VLOOKUP(A298,Classification!A:B,2,FALSE)</f>
        <v>A</v>
      </c>
      <c r="AB298" s="1">
        <f>VLOOKUP(A298,'SegEnds_NonXtal_Prot#'!A:AL,10,FALSE)-VLOOKUP(A298,'SegEnds_NonXtal_Prot#'!A:AL,4,FALSE)</f>
        <v>27</v>
      </c>
      <c r="AC298" s="1" t="e">
        <f>VLOOKUP(A298,'SegEnds_NonXtal_Prot#'!A:AL,10,FALSE)-VLOOKUP(A298,'SegEnds_NonXtal_Prot#'!A:AL,7,FALSE)</f>
        <v>#VALUE!</v>
      </c>
      <c r="AD298" s="1">
        <f>VLOOKUP(A298,'SegEnds_NonXtal_Prot#'!A:AL,13,FALSE)-VLOOKUP(A298,'SegEnds_NonXtal_Prot#'!A:AL,10,FALSE)</f>
        <v>20</v>
      </c>
      <c r="AE298" s="1">
        <f>VLOOKUP(A298,'SegEnds_NonXtal_Prot#'!A:AL,16,FALSE)-VLOOKUP(A298,'SegEnds_NonXtal_Prot#'!A:AL,10,FALSE)</f>
        <v>52</v>
      </c>
      <c r="AF298" s="1">
        <f>VLOOKUP(A298,'SegEnds_NonXtal_Prot#'!A:AL,22,FALSE)-VLOOKUP(A298,'SegEnds_NonXtal_Prot#'!A:AL,19,FALSE)</f>
        <v>20</v>
      </c>
      <c r="AG298" s="1">
        <f>VLOOKUP(A298,'SegEnds_NonXtal_Prot#'!A:AL,28,FALSE)-VLOOKUP(A298,'SegEnds_NonXtal_Prot#'!A:AL,25,FALSE)</f>
        <v>22</v>
      </c>
      <c r="AH298" s="1">
        <f>VLOOKUP(A298,'SegEnds_NonXtal_Prot#'!A:AL,28,FALSE)-VLOOKUP(A298,'SegEnds_NonXtal_Prot#'!A:AL,22,FALSE)</f>
        <v>56</v>
      </c>
      <c r="AI298" s="1">
        <f>VLOOKUP(A298,'SegEnds_NonXtal_Prot#'!A:AL,31,FALSE)-VLOOKUP(A298,'SegEnds_NonXtal_Prot#'!A:AL,28,FALSE)</f>
        <v>42</v>
      </c>
      <c r="AJ298" s="1">
        <f>VLOOKUP(A298,'SegEnds_NonXtal_Prot#'!A:AL,34,FALSE)-VLOOKUP(A298,'SegEnds_NonXtal_Prot#'!A:AL,31,FALSE)</f>
        <v>39</v>
      </c>
      <c r="AK298" s="1" t="e">
        <f>VLOOKUP(A298,'SegEnds_NonXtal_Prot#'!A:AL,37,FALSE)-VLOOKUP(A298,'SegEnds_NonXtal_Prot#'!A:AL,34,FALSE)</f>
        <v>#VALUE!</v>
      </c>
      <c r="AL298" s="1" t="str">
        <f>IF(ISERROR(MATCH(A298,'SegEnds_Xtal_Prot#'!B:B, 0)), "NoXtal", "Xtal")</f>
        <v>NoXtal</v>
      </c>
    </row>
    <row r="299" spans="1:38" s="42" customFormat="1" x14ac:dyDescent="0.2">
      <c r="A299" s="42" t="s">
        <v>401</v>
      </c>
      <c r="B299" s="42" t="str">
        <f>VLOOKUP(A299,Xtal_Templ!A:B,2,FALSE)</f>
        <v>calcr_human</v>
      </c>
      <c r="C299" s="43">
        <f>VLOOKUP($B299&amp;"__wt",'SegEnds_Xtal_BW#'!$A:$Z,3,FALSE)</f>
        <v>19</v>
      </c>
      <c r="D299" s="42">
        <f>VLOOKUP($B299&amp;"__wt",'SegEnds_Xtal_BW#'!$A:$Z,4,FALSE)</f>
        <v>60</v>
      </c>
      <c r="E299" s="42">
        <f>VLOOKUP($B299&amp;"__wt",'SegEnds_Xtal_BW#'!$A:$Z,5,FALSE)</f>
        <v>48</v>
      </c>
      <c r="F299" s="42">
        <f>VLOOKUP($B299&amp;"__wt",'SegEnds_Xtal_BW#'!$A:$Z,6,FALSE)</f>
        <v>51</v>
      </c>
      <c r="G299" s="42">
        <v>37</v>
      </c>
      <c r="H299" s="116">
        <v>64</v>
      </c>
      <c r="I299" s="42" t="str">
        <f>VLOOKUP($B299&amp;"__wt",'SegEnds_Xtal_BW#'!$A:$Z,9,FALSE)</f>
        <v>-</v>
      </c>
      <c r="J299" s="42" t="str">
        <f>VLOOKUP($B299&amp;"__wt",'SegEnds_Xtal_BW#'!$A:$Z,10,FALSE)</f>
        <v>-</v>
      </c>
      <c r="K299" s="116">
        <v>23</v>
      </c>
      <c r="L299" s="42">
        <f>VLOOKUP($B299&amp;"__wt",'SegEnds_Xtal_BW#'!$A:$Z,12,FALSE)</f>
        <v>56</v>
      </c>
      <c r="M299" s="42" t="str">
        <f>VLOOKUP($B299&amp;"__wt",'SegEnds_Xtal_BW#'!$A:$Z,13,FALSE)</f>
        <v>-</v>
      </c>
      <c r="N299" s="101" t="str">
        <f>VLOOKUP($B299&amp;"__wt",'SegEnds_Xtal_BW#'!$A:$Z,14,FALSE)</f>
        <v>-</v>
      </c>
      <c r="O299" s="89">
        <f>VLOOKUP($B299&amp;"__wt",'SegEnds_Xtal_BW#'!$A:$Z,15,FALSE)</f>
        <v>41</v>
      </c>
      <c r="P299" s="42">
        <f>VLOOKUP($B299&amp;"__wt",'SegEnds_Xtal_BW#'!$A:$Z,16,FALSE)</f>
        <v>68</v>
      </c>
      <c r="Q299" s="42">
        <f>VLOOKUP($B299&amp;"__wt",'SegEnds_Xtal_BW#'!$A:$Z,17,FALSE)</f>
        <v>50</v>
      </c>
      <c r="R299" s="42">
        <f>VLOOKUP($B299&amp;"__wt",'SegEnds_Xtal_BW#'!$A:$Z,18,FALSE)</f>
        <v>52</v>
      </c>
      <c r="S299" s="116">
        <v>40</v>
      </c>
      <c r="T299" s="42">
        <f>VLOOKUP($B299&amp;"__wt",'SegEnds_Xtal_BW#'!$A:$Z,20,FALSE)</f>
        <v>70</v>
      </c>
      <c r="U299" s="42">
        <f>VLOOKUP($B299&amp;"__wt",'SegEnds_Xtal_BW#'!$A:$Z,21,FALSE)</f>
        <v>30</v>
      </c>
      <c r="V299" s="4">
        <f>VLOOKUP($B299&amp;"__wt",'SegEnds_Xtal_BW#'!$A:$Z,22,FALSE)</f>
        <v>53</v>
      </c>
      <c r="W299" s="116">
        <v>28</v>
      </c>
      <c r="X299" s="42">
        <f>VLOOKUP($B299&amp;"__wt",'SegEnds_Xtal_BW#'!$A:$Z,24,FALSE)</f>
        <v>56</v>
      </c>
      <c r="Y299" s="42">
        <f>VLOOKUP($B299&amp;"__wt",'SegEnds_Xtal_BW#'!$A:$Z,25,FALSE)</f>
        <v>47</v>
      </c>
      <c r="Z299" s="42">
        <f>VLOOKUP($B299&amp;"__wt",'SegEnds_Xtal_BW#'!$A:$Z,26,FALSE)</f>
        <v>72</v>
      </c>
      <c r="AA299" s="44" t="str">
        <f>VLOOKUP(A299,Classification!A:B,2,FALSE)</f>
        <v>B1</v>
      </c>
      <c r="AB299" s="1">
        <f>VLOOKUP(A299,'SegEnds_NonXtal_Prot#'!A:AL,10,FALSE)-VLOOKUP(A299,'SegEnds_NonXtal_Prot#'!A:AL,4,FALSE)</f>
        <v>28</v>
      </c>
      <c r="AC299" s="42">
        <f>VLOOKUP(A299,'SegEnds_NonXtal_Prot#'!A:AL,10,FALSE)-VLOOKUP(A299,'SegEnds_NonXtal_Prot#'!A:AL,7,FALSE)</f>
        <v>15</v>
      </c>
      <c r="AD299" s="42" t="e">
        <f>VLOOKUP(A299,'SegEnds_NonXtal_Prot#'!A:AL,13,FALSE)-VLOOKUP(A299,'SegEnds_NonXtal_Prot#'!A:AL,10,FALSE)</f>
        <v>#VALUE!</v>
      </c>
      <c r="AE299" s="42">
        <f>VLOOKUP(A299,'SegEnds_NonXtal_Prot#'!A:AL,16,FALSE)-VLOOKUP(A299,'SegEnds_NonXtal_Prot#'!A:AL,10,FALSE)</f>
        <v>53</v>
      </c>
      <c r="AF299" s="1" t="e">
        <f>VLOOKUP(A299,'SegEnds_NonXtal_Prot#'!A:AL,22,FALSE)-VLOOKUP(A299,'SegEnds_NonXtal_Prot#'!A:AL,19,FALSE)</f>
        <v>#VALUE!</v>
      </c>
      <c r="AG299" s="42">
        <f>VLOOKUP(A299,'SegEnds_NonXtal_Prot#'!A:AL,28,FALSE)-VLOOKUP(A299,'SegEnds_NonXtal_Prot#'!A:AL,25,FALSE)</f>
        <v>19</v>
      </c>
      <c r="AH299" s="1">
        <f>VLOOKUP(A299,'SegEnds_NonXtal_Prot#'!A:AL,28,FALSE)-VLOOKUP(A299,'SegEnds_NonXtal_Prot#'!A:AL,22,FALSE)</f>
        <v>41</v>
      </c>
      <c r="AI299" s="42">
        <f>VLOOKUP(A299,'SegEnds_NonXtal_Prot#'!A:AL,31,FALSE)-VLOOKUP(A299,'SegEnds_NonXtal_Prot#'!A:AL,28,FALSE)</f>
        <v>50</v>
      </c>
      <c r="AJ299" s="42">
        <f>VLOOKUP(A299,'SegEnds_NonXtal_Prot#'!A:AL,34,FALSE)-VLOOKUP(A299,'SegEnds_NonXtal_Prot#'!A:AL,31,FALSE)</f>
        <v>30</v>
      </c>
      <c r="AK299" s="1">
        <f>VLOOKUP(A299,'SegEnds_NonXtal_Prot#'!A:AL,37,FALSE)-VLOOKUP(A299,'SegEnds_NonXtal_Prot#'!A:AL,34,FALSE)</f>
        <v>10</v>
      </c>
      <c r="AL299" s="1" t="str">
        <f>IF(ISERROR(MATCH(A299,'SegEnds_Xtal_Prot#'!B:B, 0)), "NoXtal", "Xtal")</f>
        <v>Xtal</v>
      </c>
    </row>
    <row r="300" spans="1:38" x14ac:dyDescent="0.2">
      <c r="A300" s="1" t="s">
        <v>402</v>
      </c>
      <c r="B300" s="1" t="str">
        <f>VLOOKUP(A300,Xtal_Templ!A:B,2,FALSE)</f>
        <v>calrl_human</v>
      </c>
      <c r="C300" s="5">
        <f>VLOOKUP($B300&amp;"__wt",'SegEnds_Xtal_BW#'!$A:$Z,3,FALSE)</f>
        <v>24</v>
      </c>
      <c r="D300" s="1">
        <f>VLOOKUP($B300&amp;"__wt",'SegEnds_Xtal_BW#'!$A:$Z,4,FALSE)</f>
        <v>60</v>
      </c>
      <c r="E300" s="1">
        <f>VLOOKUP($B300&amp;"__wt",'SegEnds_Xtal_BW#'!$A:$Z,5,FALSE)</f>
        <v>48</v>
      </c>
      <c r="F300" s="1">
        <f>VLOOKUP($B300&amp;"__wt",'SegEnds_Xtal_BW#'!$A:$Z,6,FALSE)</f>
        <v>51</v>
      </c>
      <c r="G300" s="1">
        <v>37</v>
      </c>
      <c r="H300" s="115">
        <v>64</v>
      </c>
      <c r="I300" s="1" t="str">
        <f>VLOOKUP($B300&amp;"__wt",'SegEnds_Xtal_BW#'!$A:$Z,9,FALSE)</f>
        <v>-</v>
      </c>
      <c r="J300" s="1" t="str">
        <f>VLOOKUP($B300&amp;"__wt",'SegEnds_Xtal_BW#'!$A:$Z,10,FALSE)</f>
        <v>-</v>
      </c>
      <c r="K300" s="108">
        <v>23</v>
      </c>
      <c r="L300" s="1">
        <f>VLOOKUP($B300&amp;"__wt",'SegEnds_Xtal_BW#'!$A:$Z,12,FALSE)</f>
        <v>56</v>
      </c>
      <c r="M300" s="1" t="str">
        <f>VLOOKUP($B300&amp;"__wt",'SegEnds_Xtal_BW#'!$A:$Z,13,FALSE)</f>
        <v>-</v>
      </c>
      <c r="N300" s="12" t="str">
        <f>VLOOKUP($B300&amp;"__wt",'SegEnds_Xtal_BW#'!$A:$Z,14,FALSE)</f>
        <v>-</v>
      </c>
      <c r="O300" s="87">
        <f>VLOOKUP($B300&amp;"__wt",'SegEnds_Xtal_BW#'!$A:$Z,15,FALSE)</f>
        <v>41</v>
      </c>
      <c r="P300" s="1">
        <f>VLOOKUP($B300&amp;"__wt",'SegEnds_Xtal_BW#'!$A:$Z,16,FALSE)</f>
        <v>67</v>
      </c>
      <c r="Q300" s="1">
        <f>VLOOKUP($B300&amp;"__wt",'SegEnds_Xtal_BW#'!$A:$Z,17,FALSE)</f>
        <v>50</v>
      </c>
      <c r="R300" s="1">
        <f>VLOOKUP($B300&amp;"__wt",'SegEnds_Xtal_BW#'!$A:$Z,18,FALSE)</f>
        <v>52</v>
      </c>
      <c r="S300" s="108">
        <v>39</v>
      </c>
      <c r="T300" s="1">
        <f>VLOOKUP($B300&amp;"__wt",'SegEnds_Xtal_BW#'!$A:$Z,20,FALSE)</f>
        <v>70</v>
      </c>
      <c r="U300" s="1">
        <f>VLOOKUP($B300&amp;"__wt",'SegEnds_Xtal_BW#'!$A:$Z,21,FALSE)</f>
        <v>30</v>
      </c>
      <c r="V300" s="1">
        <f>VLOOKUP($B300&amp;"__wt",'SegEnds_Xtal_BW#'!$A:$Z,22,FALSE)</f>
        <v>53</v>
      </c>
      <c r="W300" s="108">
        <v>28</v>
      </c>
      <c r="X300" s="1">
        <f>VLOOKUP($B300&amp;"__wt",'SegEnds_Xtal_BW#'!$A:$Z,24,FALSE)</f>
        <v>56</v>
      </c>
      <c r="Y300" s="1">
        <f>VLOOKUP($B300&amp;"__wt",'SegEnds_Xtal_BW#'!$A:$Z,25,FALSE)</f>
        <v>47</v>
      </c>
      <c r="Z300" s="1">
        <f>VLOOKUP($B300&amp;"__wt",'SegEnds_Xtal_BW#'!$A:$Z,26,FALSE)</f>
        <v>72</v>
      </c>
      <c r="AA300" s="27" t="str">
        <f>VLOOKUP(A300,Classification!A:B,2,FALSE)</f>
        <v>B1</v>
      </c>
      <c r="AB300" s="1">
        <f>VLOOKUP(A300,'SegEnds_NonXtal_Prot#'!A:AL,10,FALSE)-VLOOKUP(A300,'SegEnds_NonXtal_Prot#'!A:AL,4,FALSE)</f>
        <v>28</v>
      </c>
      <c r="AC300" s="1">
        <f>VLOOKUP(A300,'SegEnds_NonXtal_Prot#'!A:AL,10,FALSE)-VLOOKUP(A300,'SegEnds_NonXtal_Prot#'!A:AL,7,FALSE)</f>
        <v>15</v>
      </c>
      <c r="AD300" s="1" t="e">
        <f>VLOOKUP(A300,'SegEnds_NonXtal_Prot#'!A:AL,13,FALSE)-VLOOKUP(A300,'SegEnds_NonXtal_Prot#'!A:AL,10,FALSE)</f>
        <v>#VALUE!</v>
      </c>
      <c r="AE300" s="1">
        <f>VLOOKUP(A300,'SegEnds_NonXtal_Prot#'!A:AL,16,FALSE)-VLOOKUP(A300,'SegEnds_NonXtal_Prot#'!A:AL,10,FALSE)</f>
        <v>53</v>
      </c>
      <c r="AF300" s="1" t="e">
        <f>VLOOKUP(A300,'SegEnds_NonXtal_Prot#'!A:AL,22,FALSE)-VLOOKUP(A300,'SegEnds_NonXtal_Prot#'!A:AL,19,FALSE)</f>
        <v>#VALUE!</v>
      </c>
      <c r="AG300" s="1">
        <f>VLOOKUP(A300,'SegEnds_NonXtal_Prot#'!A:AL,28,FALSE)-VLOOKUP(A300,'SegEnds_NonXtal_Prot#'!A:AL,25,FALSE)</f>
        <v>19</v>
      </c>
      <c r="AH300" s="1">
        <f>VLOOKUP(A300,'SegEnds_NonXtal_Prot#'!A:AL,28,FALSE)-VLOOKUP(A300,'SegEnds_NonXtal_Prot#'!A:AL,22,FALSE)</f>
        <v>41</v>
      </c>
      <c r="AI300" s="1">
        <f>VLOOKUP(A300,'SegEnds_NonXtal_Prot#'!A:AL,31,FALSE)-VLOOKUP(A300,'SegEnds_NonXtal_Prot#'!A:AL,28,FALSE)</f>
        <v>50</v>
      </c>
      <c r="AJ300" s="1">
        <f>VLOOKUP(A300,'SegEnds_NonXtal_Prot#'!A:AL,34,FALSE)-VLOOKUP(A300,'SegEnds_NonXtal_Prot#'!A:AL,31,FALSE)</f>
        <v>30</v>
      </c>
      <c r="AK300" s="1">
        <f>VLOOKUP(A300,'SegEnds_NonXtal_Prot#'!A:AL,37,FALSE)-VLOOKUP(A300,'SegEnds_NonXtal_Prot#'!A:AL,34,FALSE)</f>
        <v>10</v>
      </c>
      <c r="AL300" s="1" t="str">
        <f>IF(ISERROR(MATCH(A300,'SegEnds_Xtal_Prot#'!B:B, 0)), "NoXtal", "Xtal")</f>
        <v>Xtal</v>
      </c>
    </row>
    <row r="301" spans="1:38" x14ac:dyDescent="0.2">
      <c r="A301" s="4" t="s">
        <v>38</v>
      </c>
      <c r="B301" s="4" t="str">
        <f>VLOOKUP(A301,Xtal_Templ!A:B,2,FALSE)</f>
        <v>crfr1_human</v>
      </c>
      <c r="C301" s="5">
        <f>VLOOKUP($B301&amp;"__wt",'SegEnds_Xtal_BW#'!$A:$Z,3,FALSE)</f>
        <v>19</v>
      </c>
      <c r="D301" s="4">
        <f>VLOOKUP($B301&amp;"__wt",'SegEnds_Xtal_BW#'!$A:$Z,4,FALSE)</f>
        <v>60</v>
      </c>
      <c r="E301" s="4">
        <f>VLOOKUP($B301&amp;"__wt",'SegEnds_Xtal_BW#'!$A:$Z,5,FALSE)</f>
        <v>48</v>
      </c>
      <c r="F301" s="4">
        <f>VLOOKUP($B301&amp;"__wt",'SegEnds_Xtal_BW#'!$A:$Z,6,FALSE)</f>
        <v>51</v>
      </c>
      <c r="G301" s="4">
        <v>37</v>
      </c>
      <c r="H301" s="11">
        <v>63</v>
      </c>
      <c r="I301" s="4" t="str">
        <f>VLOOKUP($B301&amp;"__wt",'SegEnds_Xtal_BW#'!$A:$Z,9,FALSE)</f>
        <v>-</v>
      </c>
      <c r="J301" s="4" t="str">
        <f>VLOOKUP($B301&amp;"__wt",'SegEnds_Xtal_BW#'!$A:$Z,10,FALSE)</f>
        <v>-</v>
      </c>
      <c r="K301" s="115">
        <v>22</v>
      </c>
      <c r="L301" s="4">
        <f>VLOOKUP($B301&amp;"__wt",'SegEnds_Xtal_BW#'!$A:$Z,12,FALSE)</f>
        <v>56</v>
      </c>
      <c r="M301" s="4" t="str">
        <f>VLOOKUP($B301&amp;"__wt",'SegEnds_Xtal_BW#'!$A:$Z,13,FALSE)</f>
        <v>-</v>
      </c>
      <c r="N301" s="11" t="str">
        <f>VLOOKUP($B301&amp;"__wt",'SegEnds_Xtal_BW#'!$A:$Z,14,FALSE)</f>
        <v>-</v>
      </c>
      <c r="O301" s="88">
        <f>VLOOKUP($B301&amp;"__wt",'SegEnds_Xtal_BW#'!$A:$Z,15,FALSE)</f>
        <v>40</v>
      </c>
      <c r="P301" s="4">
        <f>VLOOKUP($B301&amp;"__wt",'SegEnds_Xtal_BW#'!$A:$Z,16,FALSE)</f>
        <v>68</v>
      </c>
      <c r="Q301" s="4">
        <f>VLOOKUP($B301&amp;"__wt",'SegEnds_Xtal_BW#'!$A:$Z,17,FALSE)</f>
        <v>50</v>
      </c>
      <c r="R301" s="4">
        <f>VLOOKUP($B301&amp;"__wt",'SegEnds_Xtal_BW#'!$A:$Z,18,FALSE)</f>
        <v>52</v>
      </c>
      <c r="S301" s="108">
        <v>39</v>
      </c>
      <c r="T301" s="4">
        <f>VLOOKUP($B301&amp;"__wt",'SegEnds_Xtal_BW#'!$A:$Z,20,FALSE)</f>
        <v>69</v>
      </c>
      <c r="U301" s="4">
        <f>VLOOKUP($B301&amp;"__wt",'SegEnds_Xtal_BW#'!$A:$Z,21,FALSE)</f>
        <v>25</v>
      </c>
      <c r="V301" s="4">
        <f>VLOOKUP($B301&amp;"__wt",'SegEnds_Xtal_BW#'!$A:$Z,22,FALSE)</f>
        <v>53</v>
      </c>
      <c r="W301" s="4">
        <v>29</v>
      </c>
      <c r="X301" s="4">
        <f>VLOOKUP($B301&amp;"__wt",'SegEnds_Xtal_BW#'!$A:$Z,24,FALSE)</f>
        <v>56</v>
      </c>
      <c r="Y301" s="4">
        <f>VLOOKUP($B301&amp;"__wt",'SegEnds_Xtal_BW#'!$A:$Z,25,FALSE)</f>
        <v>47</v>
      </c>
      <c r="Z301" s="4">
        <f>VLOOKUP($B301&amp;"__wt",'SegEnds_Xtal_BW#'!$A:$Z,26,FALSE)</f>
        <v>72</v>
      </c>
      <c r="AA301" s="27" t="str">
        <f>VLOOKUP(A301,Classification!A:B,2,FALSE)</f>
        <v>B1</v>
      </c>
      <c r="AB301" s="1">
        <f>VLOOKUP(A301,'SegEnds_NonXtal_Prot#'!A:AL,10,FALSE)-VLOOKUP(A301,'SegEnds_NonXtal_Prot#'!A:AL,4,FALSE)</f>
        <v>28</v>
      </c>
      <c r="AC301" s="4">
        <f>VLOOKUP(A301,'SegEnds_NonXtal_Prot#'!A:AL,10,FALSE)-VLOOKUP(A301,'SegEnds_NonXtal_Prot#'!A:AL,7,FALSE)</f>
        <v>15</v>
      </c>
      <c r="AD301" s="4" t="e">
        <f>VLOOKUP(A301,'SegEnds_NonXtal_Prot#'!A:AL,13,FALSE)-VLOOKUP(A301,'SegEnds_NonXtal_Prot#'!A:AL,10,FALSE)</f>
        <v>#VALUE!</v>
      </c>
      <c r="AE301" s="4">
        <f>VLOOKUP(A301,'SegEnds_NonXtal_Prot#'!A:AL,16,FALSE)-VLOOKUP(A301,'SegEnds_NonXtal_Prot#'!A:AL,10,FALSE)</f>
        <v>51</v>
      </c>
      <c r="AF301" s="1" t="e">
        <f>VLOOKUP(A301,'SegEnds_NonXtal_Prot#'!A:AL,22,FALSE)-VLOOKUP(A301,'SegEnds_NonXtal_Prot#'!A:AL,19,FALSE)</f>
        <v>#VALUE!</v>
      </c>
      <c r="AG301" s="4">
        <f>VLOOKUP(A301,'SegEnds_NonXtal_Prot#'!A:AL,28,FALSE)-VLOOKUP(A301,'SegEnds_NonXtal_Prot#'!A:AL,25,FALSE)</f>
        <v>21</v>
      </c>
      <c r="AH301" s="1">
        <f>VLOOKUP(A301,'SegEnds_NonXtal_Prot#'!A:AL,28,FALSE)-VLOOKUP(A301,'SegEnds_NonXtal_Prot#'!A:AL,22,FALSE)</f>
        <v>43</v>
      </c>
      <c r="AI301" s="4">
        <f>VLOOKUP(A301,'SegEnds_NonXtal_Prot#'!A:AL,31,FALSE)-VLOOKUP(A301,'SegEnds_NonXtal_Prot#'!A:AL,28,FALSE)</f>
        <v>50</v>
      </c>
      <c r="AJ301" s="4">
        <f>VLOOKUP(A301,'SegEnds_NonXtal_Prot#'!A:AL,34,FALSE)-VLOOKUP(A301,'SegEnds_NonXtal_Prot#'!A:AL,31,FALSE)</f>
        <v>31</v>
      </c>
      <c r="AK301" s="1">
        <f>VLOOKUP(A301,'SegEnds_NonXtal_Prot#'!A:AL,37,FALSE)-VLOOKUP(A301,'SegEnds_NonXtal_Prot#'!A:AL,34,FALSE)</f>
        <v>10</v>
      </c>
      <c r="AL301" s="1" t="str">
        <f>IF(ISERROR(MATCH(A301,'SegEnds_Xtal_Prot#'!B:B, 0)), "NoXtal", "Xtal")</f>
        <v>Xtal</v>
      </c>
    </row>
    <row r="302" spans="1:38" x14ac:dyDescent="0.2">
      <c r="A302" s="4" t="s">
        <v>403</v>
      </c>
      <c r="B302" s="4" t="str">
        <f>VLOOKUP(A302,Xtal_Templ!A:B,2,FALSE)</f>
        <v>crfr1_human</v>
      </c>
      <c r="C302" s="5">
        <f>VLOOKUP($B302&amp;"__wt",'SegEnds_Xtal_BW#'!$A:$Z,3,FALSE)</f>
        <v>19</v>
      </c>
      <c r="D302" s="4">
        <f>VLOOKUP($B302&amp;"__wt",'SegEnds_Xtal_BW#'!$A:$Z,4,FALSE)</f>
        <v>60</v>
      </c>
      <c r="E302" s="4">
        <f>VLOOKUP($B302&amp;"__wt",'SegEnds_Xtal_BW#'!$A:$Z,5,FALSE)</f>
        <v>48</v>
      </c>
      <c r="F302" s="4">
        <f>VLOOKUP($B302&amp;"__wt",'SegEnds_Xtal_BW#'!$A:$Z,6,FALSE)</f>
        <v>51</v>
      </c>
      <c r="G302" s="4">
        <v>37</v>
      </c>
      <c r="H302" s="11">
        <v>63</v>
      </c>
      <c r="I302" s="4" t="str">
        <f>VLOOKUP($B302&amp;"__wt",'SegEnds_Xtal_BW#'!$A:$Z,9,FALSE)</f>
        <v>-</v>
      </c>
      <c r="J302" s="4" t="str">
        <f>VLOOKUP($B302&amp;"__wt",'SegEnds_Xtal_BW#'!$A:$Z,10,FALSE)</f>
        <v>-</v>
      </c>
      <c r="K302" s="115">
        <v>22</v>
      </c>
      <c r="L302" s="4">
        <f>VLOOKUP($B302&amp;"__wt",'SegEnds_Xtal_BW#'!$A:$Z,12,FALSE)</f>
        <v>56</v>
      </c>
      <c r="M302" s="4" t="str">
        <f>VLOOKUP($B302&amp;"__wt",'SegEnds_Xtal_BW#'!$A:$Z,13,FALSE)</f>
        <v>-</v>
      </c>
      <c r="N302" s="11" t="str">
        <f>VLOOKUP($B302&amp;"__wt",'SegEnds_Xtal_BW#'!$A:$Z,14,FALSE)</f>
        <v>-</v>
      </c>
      <c r="O302" s="88">
        <f>VLOOKUP($B302&amp;"__wt",'SegEnds_Xtal_BW#'!$A:$Z,15,FALSE)</f>
        <v>40</v>
      </c>
      <c r="P302" s="4">
        <f>VLOOKUP($B302&amp;"__wt",'SegEnds_Xtal_BW#'!$A:$Z,16,FALSE)</f>
        <v>68</v>
      </c>
      <c r="Q302" s="4">
        <f>VLOOKUP($B302&amp;"__wt",'SegEnds_Xtal_BW#'!$A:$Z,17,FALSE)</f>
        <v>50</v>
      </c>
      <c r="R302" s="4">
        <f>VLOOKUP($B302&amp;"__wt",'SegEnds_Xtal_BW#'!$A:$Z,18,FALSE)</f>
        <v>52</v>
      </c>
      <c r="S302" s="115">
        <v>39</v>
      </c>
      <c r="T302" s="4">
        <f>VLOOKUP($B302&amp;"__wt",'SegEnds_Xtal_BW#'!$A:$Z,20,FALSE)</f>
        <v>69</v>
      </c>
      <c r="U302" s="4">
        <f>VLOOKUP($B302&amp;"__wt",'SegEnds_Xtal_BW#'!$A:$Z,21,FALSE)</f>
        <v>25</v>
      </c>
      <c r="V302" s="4">
        <f>VLOOKUP($B302&amp;"__wt",'SegEnds_Xtal_BW#'!$A:$Z,22,FALSE)</f>
        <v>53</v>
      </c>
      <c r="W302" s="4">
        <v>29</v>
      </c>
      <c r="X302" s="4">
        <f>VLOOKUP($B302&amp;"__wt",'SegEnds_Xtal_BW#'!$A:$Z,24,FALSE)</f>
        <v>56</v>
      </c>
      <c r="Y302" s="4">
        <f>VLOOKUP($B302&amp;"__wt",'SegEnds_Xtal_BW#'!$A:$Z,25,FALSE)</f>
        <v>47</v>
      </c>
      <c r="Z302" s="4">
        <f>VLOOKUP($B302&amp;"__wt",'SegEnds_Xtal_BW#'!$A:$Z,26,FALSE)</f>
        <v>72</v>
      </c>
      <c r="AA302" s="27" t="str">
        <f>VLOOKUP(A302,Classification!A:B,2,FALSE)</f>
        <v>B1</v>
      </c>
      <c r="AB302" s="1">
        <f>VLOOKUP(A302,'SegEnds_NonXtal_Prot#'!A:AL,10,FALSE)-VLOOKUP(A302,'SegEnds_NonXtal_Prot#'!A:AL,4,FALSE)</f>
        <v>28</v>
      </c>
      <c r="AC302" s="4">
        <f>VLOOKUP(A302,'SegEnds_NonXtal_Prot#'!A:AL,10,FALSE)-VLOOKUP(A302,'SegEnds_NonXtal_Prot#'!A:AL,7,FALSE)</f>
        <v>15</v>
      </c>
      <c r="AD302" s="4" t="e">
        <f>VLOOKUP(A302,'SegEnds_NonXtal_Prot#'!A:AL,13,FALSE)-VLOOKUP(A302,'SegEnds_NonXtal_Prot#'!A:AL,10,FALSE)</f>
        <v>#VALUE!</v>
      </c>
      <c r="AE302" s="4">
        <f>VLOOKUP(A302,'SegEnds_NonXtal_Prot#'!A:AL,16,FALSE)-VLOOKUP(A302,'SegEnds_NonXtal_Prot#'!A:AL,10,FALSE)</f>
        <v>50</v>
      </c>
      <c r="AF302" s="4" t="e">
        <f>VLOOKUP(A302,'SegEnds_NonXtal_Prot#'!A:AL,22,FALSE)-VLOOKUP(A302,'SegEnds_NonXtal_Prot#'!A:AL,19,FALSE)</f>
        <v>#VALUE!</v>
      </c>
      <c r="AG302" s="4">
        <f>VLOOKUP(A302,'SegEnds_NonXtal_Prot#'!A:AL,28,FALSE)-VLOOKUP(A302,'SegEnds_NonXtal_Prot#'!A:AL,25,FALSE)</f>
        <v>21</v>
      </c>
      <c r="AH302" s="4">
        <f>VLOOKUP(A302,'SegEnds_NonXtal_Prot#'!A:AL,28,FALSE)-VLOOKUP(A302,'SegEnds_NonXtal_Prot#'!A:AL,22,FALSE)</f>
        <v>43</v>
      </c>
      <c r="AI302" s="4">
        <f>VLOOKUP(A302,'SegEnds_NonXtal_Prot#'!A:AL,31,FALSE)-VLOOKUP(A302,'SegEnds_NonXtal_Prot#'!A:AL,28,FALSE)</f>
        <v>50</v>
      </c>
      <c r="AJ302" s="4">
        <f>VLOOKUP(A302,'SegEnds_NonXtal_Prot#'!A:AL,34,FALSE)-VLOOKUP(A302,'SegEnds_NonXtal_Prot#'!A:AL,31,FALSE)</f>
        <v>31</v>
      </c>
      <c r="AK302" s="1">
        <f>VLOOKUP(A302,'SegEnds_NonXtal_Prot#'!A:AL,37,FALSE)-VLOOKUP(A302,'SegEnds_NonXtal_Prot#'!A:AL,34,FALSE)</f>
        <v>10</v>
      </c>
      <c r="AL302" s="4" t="str">
        <f>IF(ISERROR(MATCH(A302,'SegEnds_Xtal_Prot#'!B:B, 0)), "NoXtal", "Xtal")</f>
        <v>NoXtal</v>
      </c>
    </row>
    <row r="303" spans="1:38" x14ac:dyDescent="0.2">
      <c r="A303" s="4" t="s">
        <v>1430</v>
      </c>
      <c r="B303" s="4" t="str">
        <f>VLOOKUP(A303,Xtal_Templ!A:B,2,FALSE)</f>
        <v>g1sgd4_rabit</v>
      </c>
      <c r="C303" s="5">
        <f>VLOOKUP($B303&amp;"__wt",'SegEnds_Xtal_BW#'!$A:$Z,3,FALSE)</f>
        <v>28</v>
      </c>
      <c r="D303" s="4">
        <f>VLOOKUP($B303&amp;"__wt",'SegEnds_Xtal_BW#'!$A:$Z,4,FALSE)</f>
        <v>60</v>
      </c>
      <c r="E303" s="4">
        <f>VLOOKUP($B303&amp;"__wt",'SegEnds_Xtal_BW#'!$A:$Z,5,FALSE)</f>
        <v>48</v>
      </c>
      <c r="F303" s="4">
        <f>VLOOKUP($B303&amp;"__wt",'SegEnds_Xtal_BW#'!$A:$Z,6,FALSE)</f>
        <v>51</v>
      </c>
      <c r="G303" s="4">
        <v>37</v>
      </c>
      <c r="H303" s="115">
        <v>74</v>
      </c>
      <c r="I303" s="4" t="str">
        <f>VLOOKUP($B303&amp;"__wt",'SegEnds_Xtal_BW#'!$A:$Z,9,FALSE)</f>
        <v>-</v>
      </c>
      <c r="J303" s="4" t="str">
        <f>VLOOKUP($B303&amp;"__wt",'SegEnds_Xtal_BW#'!$A:$Z,10,FALSE)</f>
        <v>-</v>
      </c>
      <c r="K303" s="115">
        <v>23</v>
      </c>
      <c r="L303" s="4">
        <f>VLOOKUP($B303&amp;"__wt",'SegEnds_Xtal_BW#'!$A:$Z,12,FALSE)</f>
        <v>56</v>
      </c>
      <c r="M303" s="4" t="str">
        <f>VLOOKUP($B303&amp;"__wt",'SegEnds_Xtal_BW#'!$A:$Z,13,FALSE)</f>
        <v>-</v>
      </c>
      <c r="N303" s="11" t="str">
        <f>VLOOKUP($B303&amp;"__wt",'SegEnds_Xtal_BW#'!$A:$Z,14,FALSE)</f>
        <v>-</v>
      </c>
      <c r="O303" s="88">
        <f>VLOOKUP($B303&amp;"__wt",'SegEnds_Xtal_BW#'!$A:$Z,15,FALSE)</f>
        <v>37</v>
      </c>
      <c r="P303" s="4">
        <f>VLOOKUP($B303&amp;"__wt",'SegEnds_Xtal_BW#'!$A:$Z,16,FALSE)</f>
        <v>68</v>
      </c>
      <c r="Q303" s="4">
        <f>VLOOKUP($B303&amp;"__wt",'SegEnds_Xtal_BW#'!$A:$Z,17,FALSE)</f>
        <v>50</v>
      </c>
      <c r="R303" s="4">
        <f>VLOOKUP($B303&amp;"__wt",'SegEnds_Xtal_BW#'!$A:$Z,18,FALSE)</f>
        <v>52</v>
      </c>
      <c r="S303" s="115">
        <v>39</v>
      </c>
      <c r="T303" s="4">
        <f>VLOOKUP($B303&amp;"__wt",'SegEnds_Xtal_BW#'!$A:$Z,20,FALSE)</f>
        <v>71</v>
      </c>
      <c r="U303" s="4">
        <f>VLOOKUP($B303&amp;"__wt",'SegEnds_Xtal_BW#'!$A:$Z,21,FALSE)</f>
        <v>30</v>
      </c>
      <c r="V303" s="4">
        <f>VLOOKUP($B303&amp;"__wt",'SegEnds_Xtal_BW#'!$A:$Z,22,FALSE)</f>
        <v>53</v>
      </c>
      <c r="W303" s="115">
        <v>30</v>
      </c>
      <c r="X303" s="4">
        <f>VLOOKUP($B303&amp;"__wt",'SegEnds_Xtal_BW#'!$A:$Z,24,FALSE)</f>
        <v>56</v>
      </c>
      <c r="Y303" s="4">
        <f>VLOOKUP($B303&amp;"__wt",'SegEnds_Xtal_BW#'!$A:$Z,25,FALSE)</f>
        <v>47</v>
      </c>
      <c r="Z303" s="4">
        <f>VLOOKUP($B303&amp;"__wt",'SegEnds_Xtal_BW#'!$A:$Z,26,FALSE)</f>
        <v>72</v>
      </c>
      <c r="AA303" s="27" t="str">
        <f>VLOOKUP(A303,Classification!A:B,2,FALSE)</f>
        <v>B1</v>
      </c>
      <c r="AB303" s="1">
        <f>VLOOKUP(A303,'SegEnds_NonXtal_Prot#'!A:AL,10,FALSE)-VLOOKUP(A303,'SegEnds_NonXtal_Prot#'!A:AL,4,FALSE)</f>
        <v>28</v>
      </c>
      <c r="AC303" s="4">
        <f>VLOOKUP(A303,'SegEnds_NonXtal_Prot#'!A:AL,10,FALSE)-VLOOKUP(A303,'SegEnds_NonXtal_Prot#'!A:AL,7,FALSE)</f>
        <v>15</v>
      </c>
      <c r="AD303" s="4" t="e">
        <f>VLOOKUP(A303,'SegEnds_NonXtal_Prot#'!A:AL,13,FALSE)-VLOOKUP(A303,'SegEnds_NonXtal_Prot#'!A:AL,10,FALSE)</f>
        <v>#VALUE!</v>
      </c>
      <c r="AE303" s="4">
        <f>VLOOKUP(A303,'SegEnds_NonXtal_Prot#'!A:AL,16,FALSE)-VLOOKUP(A303,'SegEnds_NonXtal_Prot#'!A:AL,10,FALSE)</f>
        <v>64</v>
      </c>
      <c r="AF303" s="4" t="e">
        <f>VLOOKUP(A303,'SegEnds_NonXtal_Prot#'!A:AL,22,FALSE)-VLOOKUP(A303,'SegEnds_NonXtal_Prot#'!A:AL,19,FALSE)</f>
        <v>#VALUE!</v>
      </c>
      <c r="AG303" s="4">
        <f>VLOOKUP(A303,'SegEnds_NonXtal_Prot#'!A:AL,28,FALSE)-VLOOKUP(A303,'SegEnds_NonXtal_Prot#'!A:AL,25,FALSE)</f>
        <v>20</v>
      </c>
      <c r="AH303" s="4">
        <f>VLOOKUP(A303,'SegEnds_NonXtal_Prot#'!A:AL,28,FALSE)-VLOOKUP(A303,'SegEnds_NonXtal_Prot#'!A:AL,22,FALSE)</f>
        <v>42</v>
      </c>
      <c r="AI303" s="4">
        <f>VLOOKUP(A303,'SegEnds_NonXtal_Prot#'!A:AL,31,FALSE)-VLOOKUP(A303,'SegEnds_NonXtal_Prot#'!A:AL,28,FALSE)</f>
        <v>50</v>
      </c>
      <c r="AJ303" s="4">
        <f>VLOOKUP(A303,'SegEnds_NonXtal_Prot#'!A:AL,34,FALSE)-VLOOKUP(A303,'SegEnds_NonXtal_Prot#'!A:AL,31,FALSE)</f>
        <v>33</v>
      </c>
      <c r="AK303" s="1">
        <f>VLOOKUP(A303,'SegEnds_NonXtal_Prot#'!A:AL,37,FALSE)-VLOOKUP(A303,'SegEnds_NonXtal_Prot#'!A:AL,34,FALSE)</f>
        <v>10</v>
      </c>
      <c r="AL303" s="4" t="str">
        <f>IF(ISERROR(MATCH(A303,'SegEnds_Xtal_Prot#'!B:B, 0)), "NoXtal", "Xtal")</f>
        <v>Xtal</v>
      </c>
    </row>
    <row r="304" spans="1:38" x14ac:dyDescent="0.2">
      <c r="A304" s="4" t="s">
        <v>404</v>
      </c>
      <c r="B304" s="4" t="str">
        <f>VLOOKUP(A304,Xtal_Templ!A:B,2,FALSE)</f>
        <v>pth1r_human</v>
      </c>
      <c r="C304" s="5">
        <f>VLOOKUP($B304&amp;"__wt",'SegEnds_Xtal_BW#'!$A:$Z,3,FALSE)</f>
        <v>27</v>
      </c>
      <c r="D304" s="4">
        <f>VLOOKUP($B304&amp;"__wt",'SegEnds_Xtal_BW#'!$A:$Z,4,FALSE)</f>
        <v>60</v>
      </c>
      <c r="E304" s="4">
        <f>VLOOKUP($B304&amp;"__wt",'SegEnds_Xtal_BW#'!$A:$Z,5,FALSE)</f>
        <v>48</v>
      </c>
      <c r="F304" s="4">
        <f>VLOOKUP($B304&amp;"__wt",'SegEnds_Xtal_BW#'!$A:$Z,6,FALSE)</f>
        <v>51</v>
      </c>
      <c r="G304" s="4">
        <v>37</v>
      </c>
      <c r="H304" s="115">
        <v>64</v>
      </c>
      <c r="I304" s="4" t="str">
        <f>VLOOKUP($B304&amp;"__wt",'SegEnds_Xtal_BW#'!$A:$Z,9,FALSE)</f>
        <v>-</v>
      </c>
      <c r="J304" s="4" t="str">
        <f>VLOOKUP($B304&amp;"__wt",'SegEnds_Xtal_BW#'!$A:$Z,10,FALSE)</f>
        <v>-</v>
      </c>
      <c r="K304" s="115">
        <v>23</v>
      </c>
      <c r="L304" s="4">
        <f>VLOOKUP($B304&amp;"__wt",'SegEnds_Xtal_BW#'!$A:$Z,12,FALSE)</f>
        <v>56</v>
      </c>
      <c r="M304" s="4" t="str">
        <f>VLOOKUP($B304&amp;"__wt",'SegEnds_Xtal_BW#'!$A:$Z,13,FALSE)</f>
        <v>-</v>
      </c>
      <c r="N304" s="11" t="str">
        <f>VLOOKUP($B304&amp;"__wt",'SegEnds_Xtal_BW#'!$A:$Z,14,FALSE)</f>
        <v>-</v>
      </c>
      <c r="O304" s="88">
        <f>VLOOKUP($B304&amp;"__wt",'SegEnds_Xtal_BW#'!$A:$Z,15,FALSE)</f>
        <v>37</v>
      </c>
      <c r="P304" s="4">
        <f>VLOOKUP($B304&amp;"__wt",'SegEnds_Xtal_BW#'!$A:$Z,16,FALSE)</f>
        <v>68</v>
      </c>
      <c r="Q304" s="4">
        <f>VLOOKUP($B304&amp;"__wt",'SegEnds_Xtal_BW#'!$A:$Z,17,FALSE)</f>
        <v>50</v>
      </c>
      <c r="R304" s="4">
        <f>VLOOKUP($B304&amp;"__wt",'SegEnds_Xtal_BW#'!$A:$Z,18,FALSE)</f>
        <v>52</v>
      </c>
      <c r="S304" s="108">
        <v>39</v>
      </c>
      <c r="T304" s="4">
        <v>69</v>
      </c>
      <c r="U304" s="4">
        <v>25</v>
      </c>
      <c r="V304" s="4">
        <f>VLOOKUP($B304&amp;"__wt",'SegEnds_Xtal_BW#'!$A:$Z,22,FALSE)</f>
        <v>54</v>
      </c>
      <c r="W304" s="4">
        <v>31</v>
      </c>
      <c r="X304" s="4">
        <f>VLOOKUP($B304&amp;"__wt",'SegEnds_Xtal_BW#'!$A:$Z,24,FALSE)</f>
        <v>56</v>
      </c>
      <c r="Y304" s="4">
        <f>VLOOKUP($B304&amp;"__wt",'SegEnds_Xtal_BW#'!$A:$Z,25,FALSE)</f>
        <v>47</v>
      </c>
      <c r="Z304" s="4">
        <f>VLOOKUP($B304&amp;"__wt",'SegEnds_Xtal_BW#'!$A:$Z,26,FALSE)</f>
        <v>72</v>
      </c>
      <c r="AA304" s="27" t="str">
        <f>VLOOKUP(A304,Classification!A:B,2,FALSE)</f>
        <v>B1</v>
      </c>
      <c r="AB304" s="1">
        <f>VLOOKUP(A304,'SegEnds_NonXtal_Prot#'!A:AL,10,FALSE)-VLOOKUP(A304,'SegEnds_NonXtal_Prot#'!A:AL,4,FALSE)</f>
        <v>28</v>
      </c>
      <c r="AC304" s="4">
        <f>VLOOKUP(A304,'SegEnds_NonXtal_Prot#'!A:AL,10,FALSE)-VLOOKUP(A304,'SegEnds_NonXtal_Prot#'!A:AL,7,FALSE)</f>
        <v>15</v>
      </c>
      <c r="AD304" s="4" t="e">
        <f>VLOOKUP(A304,'SegEnds_NonXtal_Prot#'!A:AL,13,FALSE)-VLOOKUP(A304,'SegEnds_NonXtal_Prot#'!A:AL,10,FALSE)</f>
        <v>#VALUE!</v>
      </c>
      <c r="AE304" s="4">
        <f>VLOOKUP(A304,'SegEnds_NonXtal_Prot#'!A:AL,16,FALSE)-VLOOKUP(A304,'SegEnds_NonXtal_Prot#'!A:AL,10,FALSE)</f>
        <v>55</v>
      </c>
      <c r="AF304" s="1" t="e">
        <f>VLOOKUP(A304,'SegEnds_NonXtal_Prot#'!A:AL,22,FALSE)-VLOOKUP(A304,'SegEnds_NonXtal_Prot#'!A:AL,19,FALSE)</f>
        <v>#VALUE!</v>
      </c>
      <c r="AG304" s="4">
        <f>VLOOKUP(A304,'SegEnds_NonXtal_Prot#'!A:AL,28,FALSE)-VLOOKUP(A304,'SegEnds_NonXtal_Prot#'!A:AL,25,FALSE)</f>
        <v>20</v>
      </c>
      <c r="AH304" s="1">
        <f>VLOOKUP(A304,'SegEnds_NonXtal_Prot#'!A:AL,28,FALSE)-VLOOKUP(A304,'SegEnds_NonXtal_Prot#'!A:AL,22,FALSE)</f>
        <v>42</v>
      </c>
      <c r="AI304" s="4">
        <f>VLOOKUP(A304,'SegEnds_NonXtal_Prot#'!A:AL,31,FALSE)-VLOOKUP(A304,'SegEnds_NonXtal_Prot#'!A:AL,28,FALSE)</f>
        <v>52</v>
      </c>
      <c r="AJ304" s="4">
        <f>VLOOKUP(A304,'SegEnds_NonXtal_Prot#'!A:AL,34,FALSE)-VLOOKUP(A304,'SegEnds_NonXtal_Prot#'!A:AL,31,FALSE)</f>
        <v>29</v>
      </c>
      <c r="AK304" s="1">
        <f>VLOOKUP(A304,'SegEnds_NonXtal_Prot#'!A:AL,37,FALSE)-VLOOKUP(A304,'SegEnds_NonXtal_Prot#'!A:AL,34,FALSE)</f>
        <v>10</v>
      </c>
      <c r="AL304" s="1" t="str">
        <f>IF(ISERROR(MATCH(A304,'SegEnds_Xtal_Prot#'!B:B, 0)), "NoXtal", "Xtal")</f>
        <v>NoXtal</v>
      </c>
    </row>
    <row r="305" spans="1:38" x14ac:dyDescent="0.2">
      <c r="A305" s="4" t="s">
        <v>405</v>
      </c>
      <c r="B305" s="4" t="str">
        <f>VLOOKUP(A305,Xtal_Templ!A:B,2,FALSE)</f>
        <v>glr_human</v>
      </c>
      <c r="C305" s="5">
        <f>VLOOKUP($B305&amp;"__wt",'SegEnds_Xtal_BW#'!$A:$Z,3,FALSE)</f>
        <v>25</v>
      </c>
      <c r="D305" s="4">
        <f>VLOOKUP($B305&amp;"__wt",'SegEnds_Xtal_BW#'!$A:$Z,4,FALSE)</f>
        <v>60</v>
      </c>
      <c r="E305" s="4">
        <f>VLOOKUP($B305&amp;"__wt",'SegEnds_Xtal_BW#'!$A:$Z,5,FALSE)</f>
        <v>48</v>
      </c>
      <c r="F305" s="4">
        <f>VLOOKUP($B305&amp;"__wt",'SegEnds_Xtal_BW#'!$A:$Z,6,FALSE)</f>
        <v>51</v>
      </c>
      <c r="G305" s="4">
        <v>37</v>
      </c>
      <c r="H305" s="115">
        <v>64</v>
      </c>
      <c r="I305" s="4" t="str">
        <f>VLOOKUP($B305&amp;"__wt",'SegEnds_Xtal_BW#'!$A:$Z,9,FALSE)</f>
        <v>-</v>
      </c>
      <c r="J305" s="4" t="str">
        <f>VLOOKUP($B305&amp;"__wt",'SegEnds_Xtal_BW#'!$A:$Z,10,FALSE)</f>
        <v>-</v>
      </c>
      <c r="K305" s="115">
        <v>23</v>
      </c>
      <c r="L305" s="4">
        <f>VLOOKUP($B305&amp;"__wt",'SegEnds_Xtal_BW#'!$A:$Z,12,FALSE)</f>
        <v>56</v>
      </c>
      <c r="M305" s="4" t="str">
        <f>VLOOKUP($B305&amp;"__wt",'SegEnds_Xtal_BW#'!$A:$Z,13,FALSE)</f>
        <v>-</v>
      </c>
      <c r="N305" s="11" t="str">
        <f>VLOOKUP($B305&amp;"__wt",'SegEnds_Xtal_BW#'!$A:$Z,14,FALSE)</f>
        <v>-</v>
      </c>
      <c r="O305" s="88">
        <f>VLOOKUP($B305&amp;"__wt",'SegEnds_Xtal_BW#'!$A:$Z,15,FALSE)</f>
        <v>40</v>
      </c>
      <c r="P305" s="4">
        <f>VLOOKUP($B305&amp;"__wt",'SegEnds_Xtal_BW#'!$A:$Z,16,FALSE)</f>
        <v>68</v>
      </c>
      <c r="Q305" s="4">
        <f>VLOOKUP($B305&amp;"__wt",'SegEnds_Xtal_BW#'!$A:$Z,17,FALSE)</f>
        <v>50</v>
      </c>
      <c r="R305" s="4">
        <f>VLOOKUP($B305&amp;"__wt",'SegEnds_Xtal_BW#'!$A:$Z,18,FALSE)</f>
        <v>52</v>
      </c>
      <c r="S305" s="108">
        <v>39</v>
      </c>
      <c r="T305" s="4">
        <f>VLOOKUP($B305&amp;"__wt",'SegEnds_Xtal_BW#'!$A:$Z,20,FALSE)</f>
        <v>71</v>
      </c>
      <c r="U305" s="115">
        <v>28</v>
      </c>
      <c r="V305" s="4">
        <f>VLOOKUP($B305&amp;"__wt",'SegEnds_Xtal_BW#'!$A:$Z,22,FALSE)</f>
        <v>53</v>
      </c>
      <c r="W305" s="4">
        <v>28</v>
      </c>
      <c r="X305" s="4">
        <f>VLOOKUP($B305&amp;"__wt",'SegEnds_Xtal_BW#'!$A:$Z,24,FALSE)</f>
        <v>56</v>
      </c>
      <c r="Y305" s="4">
        <f>VLOOKUP($B305&amp;"__wt",'SegEnds_Xtal_BW#'!$A:$Z,25,FALSE)</f>
        <v>47</v>
      </c>
      <c r="Z305" s="4">
        <f>VLOOKUP($B305&amp;"__wt",'SegEnds_Xtal_BW#'!$A:$Z,26,FALSE)</f>
        <v>72</v>
      </c>
      <c r="AA305" s="27" t="str">
        <f>VLOOKUP(A305,Classification!A:B,2,FALSE)</f>
        <v>B1</v>
      </c>
      <c r="AB305" s="1">
        <f>VLOOKUP(A305,'SegEnds_NonXtal_Prot#'!A:AL,10,FALSE)-VLOOKUP(A305,'SegEnds_NonXtal_Prot#'!A:AL,4,FALSE)</f>
        <v>28</v>
      </c>
      <c r="AC305" s="4">
        <f>VLOOKUP(A305,'SegEnds_NonXtal_Prot#'!A:AL,10,FALSE)-VLOOKUP(A305,'SegEnds_NonXtal_Prot#'!A:AL,7,FALSE)</f>
        <v>15</v>
      </c>
      <c r="AD305" s="4" t="e">
        <f>VLOOKUP(A305,'SegEnds_NonXtal_Prot#'!A:AL,13,FALSE)-VLOOKUP(A305,'SegEnds_NonXtal_Prot#'!A:AL,10,FALSE)</f>
        <v>#VALUE!</v>
      </c>
      <c r="AE305" s="4">
        <f>VLOOKUP(A305,'SegEnds_NonXtal_Prot#'!A:AL,16,FALSE)-VLOOKUP(A305,'SegEnds_NonXtal_Prot#'!A:AL,10,FALSE)</f>
        <v>61</v>
      </c>
      <c r="AF305" s="1" t="e">
        <f>VLOOKUP(A305,'SegEnds_NonXtal_Prot#'!A:AL,22,FALSE)-VLOOKUP(A305,'SegEnds_NonXtal_Prot#'!A:AL,19,FALSE)</f>
        <v>#VALUE!</v>
      </c>
      <c r="AG305" s="4">
        <f>VLOOKUP(A305,'SegEnds_NonXtal_Prot#'!A:AL,28,FALSE)-VLOOKUP(A305,'SegEnds_NonXtal_Prot#'!A:AL,25,FALSE)</f>
        <v>20</v>
      </c>
      <c r="AH305" s="1">
        <f>VLOOKUP(A305,'SegEnds_NonXtal_Prot#'!A:AL,28,FALSE)-VLOOKUP(A305,'SegEnds_NonXtal_Prot#'!A:AL,22,FALSE)</f>
        <v>42</v>
      </c>
      <c r="AI305" s="4">
        <f>VLOOKUP(A305,'SegEnds_NonXtal_Prot#'!A:AL,31,FALSE)-VLOOKUP(A305,'SegEnds_NonXtal_Prot#'!A:AL,28,FALSE)</f>
        <v>50</v>
      </c>
      <c r="AJ305" s="4">
        <f>VLOOKUP(A305,'SegEnds_NonXtal_Prot#'!A:AL,34,FALSE)-VLOOKUP(A305,'SegEnds_NonXtal_Prot#'!A:AL,31,FALSE)</f>
        <v>33</v>
      </c>
      <c r="AK305" s="1">
        <f>VLOOKUP(A305,'SegEnds_NonXtal_Prot#'!A:AL,37,FALSE)-VLOOKUP(A305,'SegEnds_NonXtal_Prot#'!A:AL,34,FALSE)</f>
        <v>10</v>
      </c>
      <c r="AL305" s="1" t="str">
        <f>IF(ISERROR(MATCH(A305,'SegEnds_Xtal_Prot#'!B:B, 0)), "NoXtal", "Xtal")</f>
        <v>NoXtal</v>
      </c>
    </row>
    <row r="306" spans="1:38" x14ac:dyDescent="0.2">
      <c r="A306" s="1" t="s">
        <v>406</v>
      </c>
      <c r="B306" s="1" t="str">
        <f>VLOOKUP(A306,Xtal_Templ!A:B,2,FALSE)</f>
        <v>glp1r_human</v>
      </c>
      <c r="C306" s="5">
        <f>VLOOKUP($B306&amp;"__wt",'SegEnds_Xtal_BW#'!$A:$Z,3,FALSE)</f>
        <v>29</v>
      </c>
      <c r="D306" s="1">
        <f>VLOOKUP($B306&amp;"__wt",'SegEnds_Xtal_BW#'!$A:$Z,4,FALSE)</f>
        <v>60</v>
      </c>
      <c r="E306" s="1">
        <f>VLOOKUP($B306&amp;"__wt",'SegEnds_Xtal_BW#'!$A:$Z,5,FALSE)</f>
        <v>48</v>
      </c>
      <c r="F306" s="1">
        <f>VLOOKUP($B306&amp;"__wt",'SegEnds_Xtal_BW#'!$A:$Z,6,FALSE)</f>
        <v>51</v>
      </c>
      <c r="G306" s="1">
        <v>37</v>
      </c>
      <c r="H306" s="108">
        <v>64</v>
      </c>
      <c r="I306" s="1" t="str">
        <f>VLOOKUP($B306&amp;"__wt",'SegEnds_Xtal_BW#'!$A:$Z,9,FALSE)</f>
        <v>-</v>
      </c>
      <c r="J306" s="1" t="str">
        <f>VLOOKUP($B306&amp;"__wt",'SegEnds_Xtal_BW#'!$A:$Z,10,FALSE)</f>
        <v>-</v>
      </c>
      <c r="K306" s="108">
        <v>23</v>
      </c>
      <c r="L306" s="1">
        <f>VLOOKUP($B306&amp;"__wt",'SegEnds_Xtal_BW#'!$A:$Z,12,FALSE)</f>
        <v>56</v>
      </c>
      <c r="M306" s="1" t="str">
        <f>VLOOKUP($B306&amp;"__wt",'SegEnds_Xtal_BW#'!$A:$Z,13,FALSE)</f>
        <v>-</v>
      </c>
      <c r="N306" s="12" t="str">
        <f>VLOOKUP($B306&amp;"__wt",'SegEnds_Xtal_BW#'!$A:$Z,14,FALSE)</f>
        <v>-</v>
      </c>
      <c r="O306" s="87">
        <f>VLOOKUP($B306&amp;"__wt",'SegEnds_Xtal_BW#'!$A:$Z,15,FALSE)</f>
        <v>38</v>
      </c>
      <c r="P306" s="1">
        <f>VLOOKUP($B306&amp;"__wt",'SegEnds_Xtal_BW#'!$A:$Z,16,FALSE)</f>
        <v>68</v>
      </c>
      <c r="Q306" s="1">
        <f>VLOOKUP($B306&amp;"__wt",'SegEnds_Xtal_BW#'!$A:$Z,17,FALSE)</f>
        <v>50</v>
      </c>
      <c r="R306" s="1">
        <f>VLOOKUP($B306&amp;"__wt",'SegEnds_Xtal_BW#'!$A:$Z,18,FALSE)</f>
        <v>52</v>
      </c>
      <c r="S306" s="108">
        <v>39</v>
      </c>
      <c r="T306" s="1">
        <f>VLOOKUP($B306&amp;"__wt",'SegEnds_Xtal_BW#'!$A:$Z,20,FALSE)</f>
        <v>71</v>
      </c>
      <c r="U306" s="1">
        <f>VLOOKUP($B306&amp;"__wt",'SegEnds_Xtal_BW#'!$A:$Z,21,FALSE)</f>
        <v>28</v>
      </c>
      <c r="V306" s="1">
        <f>VLOOKUP($B306&amp;"__wt",'SegEnds_Xtal_BW#'!$A:$Z,22,FALSE)</f>
        <v>53</v>
      </c>
      <c r="W306" s="1">
        <v>28</v>
      </c>
      <c r="X306" s="1">
        <f>VLOOKUP($B306&amp;"__wt",'SegEnds_Xtal_BW#'!$A:$Z,24,FALSE)</f>
        <v>56</v>
      </c>
      <c r="Y306" s="1">
        <f>VLOOKUP($B306&amp;"__wt",'SegEnds_Xtal_BW#'!$A:$Z,25,FALSE)</f>
        <v>47</v>
      </c>
      <c r="Z306" s="1">
        <f>VLOOKUP($B306&amp;"__wt",'SegEnds_Xtal_BW#'!$A:$Z,26,FALSE)</f>
        <v>72</v>
      </c>
      <c r="AA306" s="27" t="str">
        <f>VLOOKUP(A306,Classification!A:B,2,FALSE)</f>
        <v>B1</v>
      </c>
      <c r="AB306" s="1">
        <f>VLOOKUP(A306,'SegEnds_NonXtal_Prot#'!A:AL,10,FALSE)-VLOOKUP(A306,'SegEnds_NonXtal_Prot#'!A:AL,4,FALSE)</f>
        <v>28</v>
      </c>
      <c r="AC306" s="1">
        <f>VLOOKUP(A306,'SegEnds_NonXtal_Prot#'!A:AL,10,FALSE)-VLOOKUP(A306,'SegEnds_NonXtal_Prot#'!A:AL,7,FALSE)</f>
        <v>15</v>
      </c>
      <c r="AD306" s="1" t="e">
        <f>VLOOKUP(A306,'SegEnds_NonXtal_Prot#'!A:AL,13,FALSE)-VLOOKUP(A306,'SegEnds_NonXtal_Prot#'!A:AL,10,FALSE)</f>
        <v>#VALUE!</v>
      </c>
      <c r="AE306" s="1">
        <f>VLOOKUP(A306,'SegEnds_NonXtal_Prot#'!A:AL,16,FALSE)-VLOOKUP(A306,'SegEnds_NonXtal_Prot#'!A:AL,10,FALSE)</f>
        <v>64</v>
      </c>
      <c r="AF306" s="1" t="e">
        <f>VLOOKUP(A306,'SegEnds_NonXtal_Prot#'!A:AL,22,FALSE)-VLOOKUP(A306,'SegEnds_NonXtal_Prot#'!A:AL,19,FALSE)</f>
        <v>#VALUE!</v>
      </c>
      <c r="AG306" s="1">
        <f>VLOOKUP(A306,'SegEnds_NonXtal_Prot#'!A:AL,28,FALSE)-VLOOKUP(A306,'SegEnds_NonXtal_Prot#'!A:AL,25,FALSE)</f>
        <v>20</v>
      </c>
      <c r="AH306" s="1">
        <f>VLOOKUP(A306,'SegEnds_NonXtal_Prot#'!A:AL,28,FALSE)-VLOOKUP(A306,'SegEnds_NonXtal_Prot#'!A:AL,22,FALSE)</f>
        <v>42</v>
      </c>
      <c r="AI306" s="1">
        <f>VLOOKUP(A306,'SegEnds_NonXtal_Prot#'!A:AL,31,FALSE)-VLOOKUP(A306,'SegEnds_NonXtal_Prot#'!A:AL,28,FALSE)</f>
        <v>50</v>
      </c>
      <c r="AJ306" s="1">
        <f>VLOOKUP(A306,'SegEnds_NonXtal_Prot#'!A:AL,34,FALSE)-VLOOKUP(A306,'SegEnds_NonXtal_Prot#'!A:AL,31,FALSE)</f>
        <v>33</v>
      </c>
      <c r="AK306" s="1">
        <f>VLOOKUP(A306,'SegEnds_NonXtal_Prot#'!A:AL,37,FALSE)-VLOOKUP(A306,'SegEnds_NonXtal_Prot#'!A:AL,34,FALSE)</f>
        <v>10</v>
      </c>
      <c r="AL306" s="1" t="str">
        <f>IF(ISERROR(MATCH(A306,'SegEnds_Xtal_Prot#'!B:B, 0)), "NoXtal", "Xtal")</f>
        <v>Xtal</v>
      </c>
    </row>
    <row r="307" spans="1:38" x14ac:dyDescent="0.2">
      <c r="A307" s="4" t="s">
        <v>407</v>
      </c>
      <c r="B307" s="4" t="str">
        <f>VLOOKUP(A307,Xtal_Templ!A:B,2,FALSE)</f>
        <v>glr_human</v>
      </c>
      <c r="C307" s="5">
        <f>VLOOKUP($B307&amp;"__wt",'SegEnds_Xtal_BW#'!$A:$Z,3,FALSE)</f>
        <v>25</v>
      </c>
      <c r="D307" s="4">
        <f>VLOOKUP($B307&amp;"__wt",'SegEnds_Xtal_BW#'!$A:$Z,4,FALSE)</f>
        <v>60</v>
      </c>
      <c r="E307" s="4">
        <f>VLOOKUP($B307&amp;"__wt",'SegEnds_Xtal_BW#'!$A:$Z,5,FALSE)</f>
        <v>48</v>
      </c>
      <c r="F307" s="4">
        <f>VLOOKUP($B307&amp;"__wt",'SegEnds_Xtal_BW#'!$A:$Z,6,FALSE)</f>
        <v>51</v>
      </c>
      <c r="G307" s="4">
        <v>37</v>
      </c>
      <c r="H307" s="115">
        <v>64</v>
      </c>
      <c r="I307" s="4" t="str">
        <f>VLOOKUP($B307&amp;"__wt",'SegEnds_Xtal_BW#'!$A:$Z,9,FALSE)</f>
        <v>-</v>
      </c>
      <c r="J307" s="4" t="str">
        <f>VLOOKUP($B307&amp;"__wt",'SegEnds_Xtal_BW#'!$A:$Z,10,FALSE)</f>
        <v>-</v>
      </c>
      <c r="K307" s="115">
        <v>23</v>
      </c>
      <c r="L307" s="4">
        <f>VLOOKUP($B307&amp;"__wt",'SegEnds_Xtal_BW#'!$A:$Z,12,FALSE)</f>
        <v>56</v>
      </c>
      <c r="M307" s="4" t="str">
        <f>VLOOKUP($B307&amp;"__wt",'SegEnds_Xtal_BW#'!$A:$Z,13,FALSE)</f>
        <v>-</v>
      </c>
      <c r="N307" s="11" t="str">
        <f>VLOOKUP($B307&amp;"__wt",'SegEnds_Xtal_BW#'!$A:$Z,14,FALSE)</f>
        <v>-</v>
      </c>
      <c r="O307" s="88">
        <f>VLOOKUP($B307&amp;"__wt",'SegEnds_Xtal_BW#'!$A:$Z,15,FALSE)</f>
        <v>40</v>
      </c>
      <c r="P307" s="4">
        <f>VLOOKUP($B307&amp;"__wt",'SegEnds_Xtal_BW#'!$A:$Z,16,FALSE)</f>
        <v>68</v>
      </c>
      <c r="Q307" s="4">
        <f>VLOOKUP($B307&amp;"__wt",'SegEnds_Xtal_BW#'!$A:$Z,17,FALSE)</f>
        <v>50</v>
      </c>
      <c r="R307" s="4">
        <f>VLOOKUP($B307&amp;"__wt",'SegEnds_Xtal_BW#'!$A:$Z,18,FALSE)</f>
        <v>52</v>
      </c>
      <c r="S307" s="108">
        <v>39</v>
      </c>
      <c r="T307" s="4">
        <f>VLOOKUP($B307&amp;"__wt",'SegEnds_Xtal_BW#'!$A:$Z,20,FALSE)</f>
        <v>71</v>
      </c>
      <c r="U307" s="115">
        <v>28</v>
      </c>
      <c r="V307" s="4">
        <f>VLOOKUP($B307&amp;"__wt",'SegEnds_Xtal_BW#'!$A:$Z,22,FALSE)</f>
        <v>53</v>
      </c>
      <c r="W307" s="4">
        <v>28</v>
      </c>
      <c r="X307" s="4">
        <f>VLOOKUP($B307&amp;"__wt",'SegEnds_Xtal_BW#'!$A:$Z,24,FALSE)</f>
        <v>56</v>
      </c>
      <c r="Y307" s="4">
        <f>VLOOKUP($B307&amp;"__wt",'SegEnds_Xtal_BW#'!$A:$Z,25,FALSE)</f>
        <v>47</v>
      </c>
      <c r="Z307" s="4">
        <f>VLOOKUP($B307&amp;"__wt",'SegEnds_Xtal_BW#'!$A:$Z,26,FALSE)</f>
        <v>72</v>
      </c>
      <c r="AA307" s="27" t="str">
        <f>VLOOKUP(A307,Classification!A:B,2,FALSE)</f>
        <v>B1</v>
      </c>
      <c r="AB307" s="1">
        <f>VLOOKUP(A307,'SegEnds_NonXtal_Prot#'!A:AL,10,FALSE)-VLOOKUP(A307,'SegEnds_NonXtal_Prot#'!A:AL,4,FALSE)</f>
        <v>28</v>
      </c>
      <c r="AC307" s="4">
        <f>VLOOKUP(A307,'SegEnds_NonXtal_Prot#'!A:AL,10,FALSE)-VLOOKUP(A307,'SegEnds_NonXtal_Prot#'!A:AL,7,FALSE)</f>
        <v>15</v>
      </c>
      <c r="AD307" s="4" t="e">
        <f>VLOOKUP(A307,'SegEnds_NonXtal_Prot#'!A:AL,13,FALSE)-VLOOKUP(A307,'SegEnds_NonXtal_Prot#'!A:AL,10,FALSE)</f>
        <v>#VALUE!</v>
      </c>
      <c r="AE307" s="4">
        <f>VLOOKUP(A307,'SegEnds_NonXtal_Prot#'!A:AL,16,FALSE)-VLOOKUP(A307,'SegEnds_NonXtal_Prot#'!A:AL,10,FALSE)</f>
        <v>64</v>
      </c>
      <c r="AF307" s="1" t="e">
        <f>VLOOKUP(A307,'SegEnds_NonXtal_Prot#'!A:AL,22,FALSE)-VLOOKUP(A307,'SegEnds_NonXtal_Prot#'!A:AL,19,FALSE)</f>
        <v>#VALUE!</v>
      </c>
      <c r="AG307" s="4">
        <f>VLOOKUP(A307,'SegEnds_NonXtal_Prot#'!A:AL,28,FALSE)-VLOOKUP(A307,'SegEnds_NonXtal_Prot#'!A:AL,25,FALSE)</f>
        <v>20</v>
      </c>
      <c r="AH307" s="1">
        <f>VLOOKUP(A307,'SegEnds_NonXtal_Prot#'!A:AL,28,FALSE)-VLOOKUP(A307,'SegEnds_NonXtal_Prot#'!A:AL,22,FALSE)</f>
        <v>42</v>
      </c>
      <c r="AI307" s="4">
        <f>VLOOKUP(A307,'SegEnds_NonXtal_Prot#'!A:AL,31,FALSE)-VLOOKUP(A307,'SegEnds_NonXtal_Prot#'!A:AL,28,FALSE)</f>
        <v>50</v>
      </c>
      <c r="AJ307" s="4">
        <f>VLOOKUP(A307,'SegEnds_NonXtal_Prot#'!A:AL,34,FALSE)-VLOOKUP(A307,'SegEnds_NonXtal_Prot#'!A:AL,31,FALSE)</f>
        <v>33</v>
      </c>
      <c r="AK307" s="1">
        <f>VLOOKUP(A307,'SegEnds_NonXtal_Prot#'!A:AL,37,FALSE)-VLOOKUP(A307,'SegEnds_NonXtal_Prot#'!A:AL,34,FALSE)</f>
        <v>10</v>
      </c>
      <c r="AL307" s="1" t="str">
        <f>IF(ISERROR(MATCH(A307,'SegEnds_Xtal_Prot#'!B:B, 0)), "NoXtal", "Xtal")</f>
        <v>NoXtal</v>
      </c>
    </row>
    <row r="308" spans="1:38" x14ac:dyDescent="0.2">
      <c r="A308" s="4" t="s">
        <v>32</v>
      </c>
      <c r="B308" s="4" t="str">
        <f>VLOOKUP(A308,Xtal_Templ!A:B,2,FALSE)</f>
        <v>glr_human</v>
      </c>
      <c r="C308" s="5">
        <f>VLOOKUP($B308&amp;"__wt",'SegEnds_Xtal_BW#'!$A:$Z,3,FALSE)</f>
        <v>25</v>
      </c>
      <c r="D308" s="4">
        <f>VLOOKUP($B308&amp;"__wt",'SegEnds_Xtal_BW#'!$A:$Z,4,FALSE)</f>
        <v>60</v>
      </c>
      <c r="E308" s="4">
        <f>VLOOKUP($B308&amp;"__wt",'SegEnds_Xtal_BW#'!$A:$Z,5,FALSE)</f>
        <v>48</v>
      </c>
      <c r="F308" s="4">
        <f>VLOOKUP($B308&amp;"__wt",'SegEnds_Xtal_BW#'!$A:$Z,6,FALSE)</f>
        <v>51</v>
      </c>
      <c r="G308" s="4">
        <v>37</v>
      </c>
      <c r="H308" s="115">
        <v>69</v>
      </c>
      <c r="I308" s="4" t="str">
        <f>VLOOKUP($B308&amp;"__wt",'SegEnds_Xtal_BW#'!$A:$Z,9,FALSE)</f>
        <v>-</v>
      </c>
      <c r="J308" s="4" t="str">
        <f>VLOOKUP($B308&amp;"__wt",'SegEnds_Xtal_BW#'!$A:$Z,10,FALSE)</f>
        <v>-</v>
      </c>
      <c r="K308" s="115">
        <v>21</v>
      </c>
      <c r="L308" s="4">
        <f>VLOOKUP($B308&amp;"__wt",'SegEnds_Xtal_BW#'!$A:$Z,12,FALSE)</f>
        <v>56</v>
      </c>
      <c r="M308" s="4" t="str">
        <f>VLOOKUP($B308&amp;"__wt",'SegEnds_Xtal_BW#'!$A:$Z,13,FALSE)</f>
        <v>-</v>
      </c>
      <c r="N308" s="11" t="str">
        <f>VLOOKUP($B308&amp;"__wt",'SegEnds_Xtal_BW#'!$A:$Z,14,FALSE)</f>
        <v>-</v>
      </c>
      <c r="O308" s="88">
        <f>VLOOKUP($B308&amp;"__wt",'SegEnds_Xtal_BW#'!$A:$Z,15,FALSE)</f>
        <v>40</v>
      </c>
      <c r="P308" s="4">
        <f>VLOOKUP($B308&amp;"__wt",'SegEnds_Xtal_BW#'!$A:$Z,16,FALSE)</f>
        <v>68</v>
      </c>
      <c r="Q308" s="4">
        <f>VLOOKUP($B308&amp;"__wt",'SegEnds_Xtal_BW#'!$A:$Z,17,FALSE)</f>
        <v>50</v>
      </c>
      <c r="R308" s="4">
        <f>VLOOKUP($B308&amp;"__wt",'SegEnds_Xtal_BW#'!$A:$Z,18,FALSE)</f>
        <v>52</v>
      </c>
      <c r="S308" s="1">
        <v>36</v>
      </c>
      <c r="T308" s="4">
        <f>VLOOKUP($B308&amp;"__wt",'SegEnds_Xtal_BW#'!$A:$Z,20,FALSE)</f>
        <v>71</v>
      </c>
      <c r="U308" s="4">
        <f>VLOOKUP($B308&amp;"__wt",'SegEnds_Xtal_BW#'!$A:$Z,21,FALSE)</f>
        <v>28</v>
      </c>
      <c r="V308" s="4">
        <f>VLOOKUP($B308&amp;"__wt",'SegEnds_Xtal_BW#'!$A:$Z,22,FALSE)</f>
        <v>53</v>
      </c>
      <c r="W308" s="115">
        <v>27</v>
      </c>
      <c r="X308" s="4">
        <f>VLOOKUP($B308&amp;"__wt",'SegEnds_Xtal_BW#'!$A:$Z,24,FALSE)</f>
        <v>56</v>
      </c>
      <c r="Y308" s="4">
        <f>VLOOKUP($B308&amp;"__wt",'SegEnds_Xtal_BW#'!$A:$Z,25,FALSE)</f>
        <v>47</v>
      </c>
      <c r="Z308" s="4">
        <f>VLOOKUP($B308&amp;"__wt",'SegEnds_Xtal_BW#'!$A:$Z,26,FALSE)</f>
        <v>72</v>
      </c>
      <c r="AA308" s="27" t="str">
        <f>VLOOKUP(A308,Classification!A:B,2,FALSE)</f>
        <v>B1</v>
      </c>
      <c r="AB308" s="1">
        <f>VLOOKUP(A308,'SegEnds_NonXtal_Prot#'!A:AL,10,FALSE)-VLOOKUP(A308,'SegEnds_NonXtal_Prot#'!A:AL,4,FALSE)</f>
        <v>28</v>
      </c>
      <c r="AC308" s="4">
        <f>VLOOKUP(A308,'SegEnds_NonXtal_Prot#'!A:AL,10,FALSE)-VLOOKUP(A308,'SegEnds_NonXtal_Prot#'!A:AL,7,FALSE)</f>
        <v>15</v>
      </c>
      <c r="AD308" s="4" t="e">
        <f>VLOOKUP(A308,'SegEnds_NonXtal_Prot#'!A:AL,13,FALSE)-VLOOKUP(A308,'SegEnds_NonXtal_Prot#'!A:AL,10,FALSE)</f>
        <v>#VALUE!</v>
      </c>
      <c r="AE308" s="4">
        <f>VLOOKUP(A308,'SegEnds_NonXtal_Prot#'!A:AL,16,FALSE)-VLOOKUP(A308,'SegEnds_NonXtal_Prot#'!A:AL,10,FALSE)</f>
        <v>65</v>
      </c>
      <c r="AF308" s="1" t="e">
        <f>VLOOKUP(A308,'SegEnds_NonXtal_Prot#'!A:AL,22,FALSE)-VLOOKUP(A308,'SegEnds_NonXtal_Prot#'!A:AL,19,FALSE)</f>
        <v>#VALUE!</v>
      </c>
      <c r="AG308" s="4">
        <f>VLOOKUP(A308,'SegEnds_NonXtal_Prot#'!A:AL,28,FALSE)-VLOOKUP(A308,'SegEnds_NonXtal_Prot#'!A:AL,25,FALSE)</f>
        <v>20</v>
      </c>
      <c r="AH308" s="1">
        <f>VLOOKUP(A308,'SegEnds_NonXtal_Prot#'!A:AL,28,FALSE)-VLOOKUP(A308,'SegEnds_NonXtal_Prot#'!A:AL,22,FALSE)</f>
        <v>42</v>
      </c>
      <c r="AI308" s="4">
        <f>VLOOKUP(A308,'SegEnds_NonXtal_Prot#'!A:AL,31,FALSE)-VLOOKUP(A308,'SegEnds_NonXtal_Prot#'!A:AL,28,FALSE)</f>
        <v>50</v>
      </c>
      <c r="AJ308" s="4">
        <f>VLOOKUP(A308,'SegEnds_NonXtal_Prot#'!A:AL,34,FALSE)-VLOOKUP(A308,'SegEnds_NonXtal_Prot#'!A:AL,31,FALSE)</f>
        <v>33</v>
      </c>
      <c r="AK308" s="1">
        <f>VLOOKUP(A308,'SegEnds_NonXtal_Prot#'!A:AL,37,FALSE)-VLOOKUP(A308,'SegEnds_NonXtal_Prot#'!A:AL,34,FALSE)</f>
        <v>10</v>
      </c>
      <c r="AL308" s="1" t="str">
        <f>IF(ISERROR(MATCH(A308,'SegEnds_Xtal_Prot#'!B:B, 0)), "NoXtal", "Xtal")</f>
        <v>Xtal</v>
      </c>
    </row>
    <row r="309" spans="1:38" x14ac:dyDescent="0.2">
      <c r="A309" s="1" t="s">
        <v>408</v>
      </c>
      <c r="B309" s="1" t="str">
        <f>VLOOKUP(A309,Xtal_Templ!A:B,2,FALSE)</f>
        <v>pth1r_human</v>
      </c>
      <c r="C309" s="5">
        <f>VLOOKUP($B309&amp;"__wt",'SegEnds_Xtal_BW#'!$A:$Z,3,FALSE)</f>
        <v>27</v>
      </c>
      <c r="D309" s="1">
        <f>VLOOKUP($B309&amp;"__wt",'SegEnds_Xtal_BW#'!$A:$Z,4,FALSE)</f>
        <v>60</v>
      </c>
      <c r="E309" s="1">
        <f>VLOOKUP($B309&amp;"__wt",'SegEnds_Xtal_BW#'!$A:$Z,5,FALSE)</f>
        <v>48</v>
      </c>
      <c r="F309" s="1">
        <f>VLOOKUP($B309&amp;"__wt",'SegEnds_Xtal_BW#'!$A:$Z,6,FALSE)</f>
        <v>51</v>
      </c>
      <c r="G309" s="1">
        <v>37</v>
      </c>
      <c r="H309" s="115">
        <v>64</v>
      </c>
      <c r="I309" s="1" t="str">
        <f>VLOOKUP($B309&amp;"__wt",'SegEnds_Xtal_BW#'!$A:$Z,9,FALSE)</f>
        <v>-</v>
      </c>
      <c r="J309" s="1" t="str">
        <f>VLOOKUP($B309&amp;"__wt",'SegEnds_Xtal_BW#'!$A:$Z,10,FALSE)</f>
        <v>-</v>
      </c>
      <c r="K309" s="108">
        <v>23</v>
      </c>
      <c r="L309" s="1">
        <f>VLOOKUP($B309&amp;"__wt",'SegEnds_Xtal_BW#'!$A:$Z,12,FALSE)</f>
        <v>56</v>
      </c>
      <c r="M309" s="1" t="str">
        <f>VLOOKUP($B309&amp;"__wt",'SegEnds_Xtal_BW#'!$A:$Z,13,FALSE)</f>
        <v>-</v>
      </c>
      <c r="N309" s="12" t="str">
        <f>VLOOKUP($B309&amp;"__wt",'SegEnds_Xtal_BW#'!$A:$Z,14,FALSE)</f>
        <v>-</v>
      </c>
      <c r="O309" s="87">
        <f>VLOOKUP($B309&amp;"__wt",'SegEnds_Xtal_BW#'!$A:$Z,15,FALSE)</f>
        <v>37</v>
      </c>
      <c r="P309" s="1">
        <f>VLOOKUP($B309&amp;"__wt",'SegEnds_Xtal_BW#'!$A:$Z,16,FALSE)</f>
        <v>68</v>
      </c>
      <c r="Q309" s="1">
        <f>VLOOKUP($B309&amp;"__wt",'SegEnds_Xtal_BW#'!$A:$Z,17,FALSE)</f>
        <v>50</v>
      </c>
      <c r="R309" s="1">
        <f>VLOOKUP($B309&amp;"__wt",'SegEnds_Xtal_BW#'!$A:$Z,18,FALSE)</f>
        <v>52</v>
      </c>
      <c r="S309" s="108">
        <v>39</v>
      </c>
      <c r="T309" s="1">
        <v>69</v>
      </c>
      <c r="U309" s="1">
        <v>25</v>
      </c>
      <c r="V309" s="1">
        <f>VLOOKUP($B309&amp;"__wt",'SegEnds_Xtal_BW#'!$A:$Z,22,FALSE)</f>
        <v>54</v>
      </c>
      <c r="W309" s="1">
        <v>31</v>
      </c>
      <c r="X309" s="1">
        <f>VLOOKUP($B309&amp;"__wt",'SegEnds_Xtal_BW#'!$A:$Z,24,FALSE)</f>
        <v>56</v>
      </c>
      <c r="Y309" s="1">
        <f>VLOOKUP($B309&amp;"__wt",'SegEnds_Xtal_BW#'!$A:$Z,25,FALSE)</f>
        <v>47</v>
      </c>
      <c r="Z309" s="1">
        <f>VLOOKUP($B309&amp;"__wt",'SegEnds_Xtal_BW#'!$A:$Z,26,FALSE)</f>
        <v>72</v>
      </c>
      <c r="AA309" s="27" t="str">
        <f>VLOOKUP(A309,Classification!A:B,2,FALSE)</f>
        <v>B1</v>
      </c>
      <c r="AB309" s="1">
        <f>VLOOKUP(A309,'SegEnds_NonXtal_Prot#'!A:AL,10,FALSE)-VLOOKUP(A309,'SegEnds_NonXtal_Prot#'!A:AL,4,FALSE)</f>
        <v>28</v>
      </c>
      <c r="AC309" s="1">
        <f>VLOOKUP(A309,'SegEnds_NonXtal_Prot#'!A:AL,10,FALSE)-VLOOKUP(A309,'SegEnds_NonXtal_Prot#'!A:AL,7,FALSE)</f>
        <v>15</v>
      </c>
      <c r="AD309" s="1" t="e">
        <f>VLOOKUP(A309,'SegEnds_NonXtal_Prot#'!A:AL,13,FALSE)-VLOOKUP(A309,'SegEnds_NonXtal_Prot#'!A:AL,10,FALSE)</f>
        <v>#VALUE!</v>
      </c>
      <c r="AE309" s="1">
        <f>VLOOKUP(A309,'SegEnds_NonXtal_Prot#'!A:AL,16,FALSE)-VLOOKUP(A309,'SegEnds_NonXtal_Prot#'!A:AL,10,FALSE)</f>
        <v>55</v>
      </c>
      <c r="AF309" s="1" t="e">
        <f>VLOOKUP(A309,'SegEnds_NonXtal_Prot#'!A:AL,22,FALSE)-VLOOKUP(A309,'SegEnds_NonXtal_Prot#'!A:AL,19,FALSE)</f>
        <v>#VALUE!</v>
      </c>
      <c r="AG309" s="1">
        <f>VLOOKUP(A309,'SegEnds_NonXtal_Prot#'!A:AL,28,FALSE)-VLOOKUP(A309,'SegEnds_NonXtal_Prot#'!A:AL,25,FALSE)</f>
        <v>20</v>
      </c>
      <c r="AH309" s="1">
        <f>VLOOKUP(A309,'SegEnds_NonXtal_Prot#'!A:AL,28,FALSE)-VLOOKUP(A309,'SegEnds_NonXtal_Prot#'!A:AL,22,FALSE)</f>
        <v>42</v>
      </c>
      <c r="AI309" s="1">
        <f>VLOOKUP(A309,'SegEnds_NonXtal_Prot#'!A:AL,31,FALSE)-VLOOKUP(A309,'SegEnds_NonXtal_Prot#'!A:AL,28,FALSE)</f>
        <v>52</v>
      </c>
      <c r="AJ309" s="1">
        <f>VLOOKUP(A309,'SegEnds_NonXtal_Prot#'!A:AL,34,FALSE)-VLOOKUP(A309,'SegEnds_NonXtal_Prot#'!A:AL,31,FALSE)</f>
        <v>29</v>
      </c>
      <c r="AK309" s="1">
        <f>VLOOKUP(A309,'SegEnds_NonXtal_Prot#'!A:AL,37,FALSE)-VLOOKUP(A309,'SegEnds_NonXtal_Prot#'!A:AL,34,FALSE)</f>
        <v>10</v>
      </c>
      <c r="AL309" s="1" t="str">
        <f>IF(ISERROR(MATCH(A309,'SegEnds_Xtal_Prot#'!B:B, 0)), "NoXtal", "Xtal")</f>
        <v>NoXtal</v>
      </c>
    </row>
    <row r="310" spans="1:38" x14ac:dyDescent="0.2">
      <c r="A310" s="4" t="s">
        <v>409</v>
      </c>
      <c r="B310" s="4" t="str">
        <f>VLOOKUP(A310,Xtal_Templ!A:B,2,FALSE)</f>
        <v>pth1r_human</v>
      </c>
      <c r="C310" s="5">
        <f>VLOOKUP($B310&amp;"__wt",'SegEnds_Xtal_BW#'!$A:$Z,3,FALSE)</f>
        <v>27</v>
      </c>
      <c r="D310" s="4">
        <f>VLOOKUP($B310&amp;"__wt",'SegEnds_Xtal_BW#'!$A:$Z,4,FALSE)</f>
        <v>60</v>
      </c>
      <c r="E310" s="4">
        <f>VLOOKUP($B310&amp;"__wt",'SegEnds_Xtal_BW#'!$A:$Z,5,FALSE)</f>
        <v>48</v>
      </c>
      <c r="F310" s="4">
        <f>VLOOKUP($B310&amp;"__wt",'SegEnds_Xtal_BW#'!$A:$Z,6,FALSE)</f>
        <v>51</v>
      </c>
      <c r="G310" s="4">
        <v>37</v>
      </c>
      <c r="H310" s="115">
        <v>69</v>
      </c>
      <c r="I310" s="4" t="str">
        <f>VLOOKUP($B310&amp;"__wt",'SegEnds_Xtal_BW#'!$A:$Z,9,FALSE)</f>
        <v>-</v>
      </c>
      <c r="J310" s="4" t="str">
        <f>VLOOKUP($B310&amp;"__wt",'SegEnds_Xtal_BW#'!$A:$Z,10,FALSE)</f>
        <v>-</v>
      </c>
      <c r="K310" s="115">
        <v>21</v>
      </c>
      <c r="L310" s="4">
        <f>VLOOKUP($B310&amp;"__wt",'SegEnds_Xtal_BW#'!$A:$Z,12,FALSE)</f>
        <v>56</v>
      </c>
      <c r="M310" s="4" t="str">
        <f>VLOOKUP($B310&amp;"__wt",'SegEnds_Xtal_BW#'!$A:$Z,13,FALSE)</f>
        <v>-</v>
      </c>
      <c r="N310" s="11" t="str">
        <f>VLOOKUP($B310&amp;"__wt",'SegEnds_Xtal_BW#'!$A:$Z,14,FALSE)</f>
        <v>-</v>
      </c>
      <c r="O310" s="88">
        <f>VLOOKUP($B310&amp;"__wt",'SegEnds_Xtal_BW#'!$A:$Z,15,FALSE)</f>
        <v>37</v>
      </c>
      <c r="P310" s="4">
        <f>VLOOKUP($B310&amp;"__wt",'SegEnds_Xtal_BW#'!$A:$Z,16,FALSE)</f>
        <v>68</v>
      </c>
      <c r="Q310" s="4">
        <f>VLOOKUP($B310&amp;"__wt",'SegEnds_Xtal_BW#'!$A:$Z,17,FALSE)</f>
        <v>50</v>
      </c>
      <c r="R310" s="4">
        <f>VLOOKUP($B310&amp;"__wt",'SegEnds_Xtal_BW#'!$A:$Z,18,FALSE)</f>
        <v>52</v>
      </c>
      <c r="S310" s="115">
        <v>39</v>
      </c>
      <c r="T310" s="4">
        <v>69</v>
      </c>
      <c r="U310" s="4">
        <v>25</v>
      </c>
      <c r="V310" s="4">
        <f>VLOOKUP($B310&amp;"__wt",'SegEnds_Xtal_BW#'!$A:$Z,22,FALSE)</f>
        <v>54</v>
      </c>
      <c r="W310" s="4">
        <v>28</v>
      </c>
      <c r="X310" s="4">
        <f>VLOOKUP($B310&amp;"__wt",'SegEnds_Xtal_BW#'!$A:$Z,24,FALSE)</f>
        <v>56</v>
      </c>
      <c r="Y310" s="4">
        <f>VLOOKUP($B310&amp;"__wt",'SegEnds_Xtal_BW#'!$A:$Z,25,FALSE)</f>
        <v>47</v>
      </c>
      <c r="Z310" s="4">
        <f>VLOOKUP($B310&amp;"__wt",'SegEnds_Xtal_BW#'!$A:$Z,26,FALSE)</f>
        <v>72</v>
      </c>
      <c r="AA310" s="27" t="str">
        <f>VLOOKUP(A310,Classification!A:B,2,FALSE)</f>
        <v>B1</v>
      </c>
      <c r="AB310" s="1">
        <f>VLOOKUP(A310,'SegEnds_NonXtal_Prot#'!A:AL,10,FALSE)-VLOOKUP(A310,'SegEnds_NonXtal_Prot#'!A:AL,4,FALSE)</f>
        <v>28</v>
      </c>
      <c r="AC310" s="4">
        <f>VLOOKUP(A310,'SegEnds_NonXtal_Prot#'!A:AL,10,FALSE)-VLOOKUP(A310,'SegEnds_NonXtal_Prot#'!A:AL,7,FALSE)</f>
        <v>15</v>
      </c>
      <c r="AD310" s="4" t="e">
        <f>VLOOKUP(A310,'SegEnds_NonXtal_Prot#'!A:AL,13,FALSE)-VLOOKUP(A310,'SegEnds_NonXtal_Prot#'!A:AL,10,FALSE)</f>
        <v>#VALUE!</v>
      </c>
      <c r="AE310" s="4">
        <f>VLOOKUP(A310,'SegEnds_NonXtal_Prot#'!A:AL,16,FALSE)-VLOOKUP(A310,'SegEnds_NonXtal_Prot#'!A:AL,10,FALSE)</f>
        <v>76</v>
      </c>
      <c r="AF310" s="4" t="e">
        <f>VLOOKUP(A310,'SegEnds_NonXtal_Prot#'!A:AL,22,FALSE)-VLOOKUP(A310,'SegEnds_NonXtal_Prot#'!A:AL,19,FALSE)</f>
        <v>#VALUE!</v>
      </c>
      <c r="AG310" s="4">
        <f>VLOOKUP(A310,'SegEnds_NonXtal_Prot#'!A:AL,28,FALSE)-VLOOKUP(A310,'SegEnds_NonXtal_Prot#'!A:AL,25,FALSE)</f>
        <v>19</v>
      </c>
      <c r="AH310" s="4">
        <f>VLOOKUP(A310,'SegEnds_NonXtal_Prot#'!A:AL,28,FALSE)-VLOOKUP(A310,'SegEnds_NonXtal_Prot#'!A:AL,22,FALSE)</f>
        <v>41</v>
      </c>
      <c r="AI310" s="4">
        <f>VLOOKUP(A310,'SegEnds_NonXtal_Prot#'!A:AL,31,FALSE)-VLOOKUP(A310,'SegEnds_NonXtal_Prot#'!A:AL,28,FALSE)</f>
        <v>53</v>
      </c>
      <c r="AJ310" s="4">
        <f>VLOOKUP(A310,'SegEnds_NonXtal_Prot#'!A:AL,34,FALSE)-VLOOKUP(A310,'SegEnds_NonXtal_Prot#'!A:AL,31,FALSE)</f>
        <v>33</v>
      </c>
      <c r="AK310" s="1">
        <f>VLOOKUP(A310,'SegEnds_NonXtal_Prot#'!A:AL,37,FALSE)-VLOOKUP(A310,'SegEnds_NonXtal_Prot#'!A:AL,34,FALSE)</f>
        <v>10</v>
      </c>
      <c r="AL310" s="4" t="str">
        <f>IF(ISERROR(MATCH(A310,'SegEnds_Xtal_Prot#'!B:B, 0)), "NoXtal", "Xtal")</f>
        <v>Xtal</v>
      </c>
    </row>
    <row r="311" spans="1:38" x14ac:dyDescent="0.2">
      <c r="A311" s="4" t="s">
        <v>410</v>
      </c>
      <c r="B311" s="4" t="str">
        <f>VLOOKUP(A311,Xtal_Templ!A:B,2,FALSE)</f>
        <v>pth1r_human</v>
      </c>
      <c r="C311" s="5">
        <f>VLOOKUP($B311&amp;"__wt",'SegEnds_Xtal_BW#'!$A:$Z,3,FALSE)</f>
        <v>27</v>
      </c>
      <c r="D311" s="4">
        <f>VLOOKUP($B311&amp;"__wt",'SegEnds_Xtal_BW#'!$A:$Z,4,FALSE)</f>
        <v>60</v>
      </c>
      <c r="E311" s="4">
        <f>VLOOKUP($B311&amp;"__wt",'SegEnds_Xtal_BW#'!$A:$Z,5,FALSE)</f>
        <v>48</v>
      </c>
      <c r="F311" s="4">
        <f>VLOOKUP($B311&amp;"__wt",'SegEnds_Xtal_BW#'!$A:$Z,6,FALSE)</f>
        <v>51</v>
      </c>
      <c r="G311" s="4">
        <v>37</v>
      </c>
      <c r="H311" s="115">
        <v>69</v>
      </c>
      <c r="I311" s="4" t="str">
        <f>VLOOKUP($B311&amp;"__wt",'SegEnds_Xtal_BW#'!$A:$Z,9,FALSE)</f>
        <v>-</v>
      </c>
      <c r="J311" s="4" t="str">
        <f>VLOOKUP($B311&amp;"__wt",'SegEnds_Xtal_BW#'!$A:$Z,10,FALSE)</f>
        <v>-</v>
      </c>
      <c r="K311" s="115">
        <v>21</v>
      </c>
      <c r="L311" s="4">
        <f>VLOOKUP($B311&amp;"__wt",'SegEnds_Xtal_BW#'!$A:$Z,12,FALSE)</f>
        <v>56</v>
      </c>
      <c r="M311" s="4" t="str">
        <f>VLOOKUP($B311&amp;"__wt",'SegEnds_Xtal_BW#'!$A:$Z,13,FALSE)</f>
        <v>-</v>
      </c>
      <c r="N311" s="11" t="str">
        <f>VLOOKUP($B311&amp;"__wt",'SegEnds_Xtal_BW#'!$A:$Z,14,FALSE)</f>
        <v>-</v>
      </c>
      <c r="O311" s="88">
        <f>VLOOKUP($B311&amp;"__wt",'SegEnds_Xtal_BW#'!$A:$Z,15,FALSE)</f>
        <v>37</v>
      </c>
      <c r="P311" s="4">
        <f>VLOOKUP($B311&amp;"__wt",'SegEnds_Xtal_BW#'!$A:$Z,16,FALSE)</f>
        <v>68</v>
      </c>
      <c r="Q311" s="4">
        <f>VLOOKUP($B311&amp;"__wt",'SegEnds_Xtal_BW#'!$A:$Z,17,FALSE)</f>
        <v>50</v>
      </c>
      <c r="R311" s="4">
        <f>VLOOKUP($B311&amp;"__wt",'SegEnds_Xtal_BW#'!$A:$Z,18,FALSE)</f>
        <v>52</v>
      </c>
      <c r="S311" s="115">
        <v>39</v>
      </c>
      <c r="T311" s="4">
        <v>69</v>
      </c>
      <c r="U311" s="4">
        <v>25</v>
      </c>
      <c r="V311" s="4">
        <f>VLOOKUP($B311&amp;"__wt",'SegEnds_Xtal_BW#'!$A:$Z,22,FALSE)</f>
        <v>54</v>
      </c>
      <c r="W311" s="4">
        <v>28</v>
      </c>
      <c r="X311" s="4">
        <f>VLOOKUP($B311&amp;"__wt",'SegEnds_Xtal_BW#'!$A:$Z,24,FALSE)</f>
        <v>56</v>
      </c>
      <c r="Y311" s="4">
        <f>VLOOKUP($B311&amp;"__wt",'SegEnds_Xtal_BW#'!$A:$Z,25,FALSE)</f>
        <v>47</v>
      </c>
      <c r="Z311" s="4">
        <f>VLOOKUP($B311&amp;"__wt",'SegEnds_Xtal_BW#'!$A:$Z,26,FALSE)</f>
        <v>72</v>
      </c>
      <c r="AA311" s="27" t="str">
        <f>VLOOKUP(A311,Classification!A:B,2,FALSE)</f>
        <v>B1</v>
      </c>
      <c r="AB311" s="1">
        <f>VLOOKUP(A311,'SegEnds_NonXtal_Prot#'!A:AL,10,FALSE)-VLOOKUP(A311,'SegEnds_NonXtal_Prot#'!A:AL,4,FALSE)</f>
        <v>28</v>
      </c>
      <c r="AC311" s="4">
        <f>VLOOKUP(A311,'SegEnds_NonXtal_Prot#'!A:AL,10,FALSE)-VLOOKUP(A311,'SegEnds_NonXtal_Prot#'!A:AL,7,FALSE)</f>
        <v>15</v>
      </c>
      <c r="AD311" s="4" t="e">
        <f>VLOOKUP(A311,'SegEnds_NonXtal_Prot#'!A:AL,13,FALSE)-VLOOKUP(A311,'SegEnds_NonXtal_Prot#'!A:AL,10,FALSE)</f>
        <v>#VALUE!</v>
      </c>
      <c r="AE311" s="4">
        <f>VLOOKUP(A311,'SegEnds_NonXtal_Prot#'!A:AL,16,FALSE)-VLOOKUP(A311,'SegEnds_NonXtal_Prot#'!A:AL,10,FALSE)</f>
        <v>74</v>
      </c>
      <c r="AF311" s="4" t="e">
        <f>VLOOKUP(A311,'SegEnds_NonXtal_Prot#'!A:AL,22,FALSE)-VLOOKUP(A311,'SegEnds_NonXtal_Prot#'!A:AL,19,FALSE)</f>
        <v>#VALUE!</v>
      </c>
      <c r="AG311" s="4">
        <f>VLOOKUP(A311,'SegEnds_NonXtal_Prot#'!A:AL,28,FALSE)-VLOOKUP(A311,'SegEnds_NonXtal_Prot#'!A:AL,25,FALSE)</f>
        <v>19</v>
      </c>
      <c r="AH311" s="4">
        <f>VLOOKUP(A311,'SegEnds_NonXtal_Prot#'!A:AL,28,FALSE)-VLOOKUP(A311,'SegEnds_NonXtal_Prot#'!A:AL,22,FALSE)</f>
        <v>41</v>
      </c>
      <c r="AI311" s="4">
        <f>VLOOKUP(A311,'SegEnds_NonXtal_Prot#'!A:AL,31,FALSE)-VLOOKUP(A311,'SegEnds_NonXtal_Prot#'!A:AL,28,FALSE)</f>
        <v>53</v>
      </c>
      <c r="AJ311" s="4">
        <f>VLOOKUP(A311,'SegEnds_NonXtal_Prot#'!A:AL,34,FALSE)-VLOOKUP(A311,'SegEnds_NonXtal_Prot#'!A:AL,31,FALSE)</f>
        <v>32</v>
      </c>
      <c r="AK311" s="1">
        <f>VLOOKUP(A311,'SegEnds_NonXtal_Prot#'!A:AL,37,FALSE)-VLOOKUP(A311,'SegEnds_NonXtal_Prot#'!A:AL,34,FALSE)</f>
        <v>10</v>
      </c>
      <c r="AL311" s="4" t="str">
        <f>IF(ISERROR(MATCH(A311,'SegEnds_Xtal_Prot#'!B:B, 0)), "NoXtal", "Xtal")</f>
        <v>NoXtal</v>
      </c>
    </row>
    <row r="312" spans="1:38" x14ac:dyDescent="0.2">
      <c r="A312" s="4" t="s">
        <v>411</v>
      </c>
      <c r="B312" s="4" t="str">
        <f>VLOOKUP(A312,Xtal_Templ!A:B,2,FALSE)</f>
        <v>pth1r_human</v>
      </c>
      <c r="C312" s="5">
        <f>VLOOKUP($B312&amp;"__wt",'SegEnds_Xtal_BW#'!$A:$Z,3,FALSE)</f>
        <v>27</v>
      </c>
      <c r="D312" s="4">
        <f>VLOOKUP($B312&amp;"__wt",'SegEnds_Xtal_BW#'!$A:$Z,4,FALSE)</f>
        <v>60</v>
      </c>
      <c r="E312" s="4">
        <f>VLOOKUP($B312&amp;"__wt",'SegEnds_Xtal_BW#'!$A:$Z,5,FALSE)</f>
        <v>48</v>
      </c>
      <c r="F312" s="4">
        <f>VLOOKUP($B312&amp;"__wt",'SegEnds_Xtal_BW#'!$A:$Z,6,FALSE)</f>
        <v>51</v>
      </c>
      <c r="G312" s="4">
        <v>37</v>
      </c>
      <c r="H312" s="115">
        <v>64</v>
      </c>
      <c r="I312" s="4" t="str">
        <f>VLOOKUP($B312&amp;"__wt",'SegEnds_Xtal_BW#'!$A:$Z,9,FALSE)</f>
        <v>-</v>
      </c>
      <c r="J312" s="4" t="str">
        <f>VLOOKUP($B312&amp;"__wt",'SegEnds_Xtal_BW#'!$A:$Z,10,FALSE)</f>
        <v>-</v>
      </c>
      <c r="K312" s="115">
        <v>23</v>
      </c>
      <c r="L312" s="4">
        <f>VLOOKUP($B312&amp;"__wt",'SegEnds_Xtal_BW#'!$A:$Z,12,FALSE)</f>
        <v>56</v>
      </c>
      <c r="M312" s="4" t="str">
        <f>VLOOKUP($B312&amp;"__wt",'SegEnds_Xtal_BW#'!$A:$Z,13,FALSE)</f>
        <v>-</v>
      </c>
      <c r="N312" s="11" t="str">
        <f>VLOOKUP($B312&amp;"__wt",'SegEnds_Xtal_BW#'!$A:$Z,14,FALSE)</f>
        <v>-</v>
      </c>
      <c r="O312" s="88">
        <f>VLOOKUP($B312&amp;"__wt",'SegEnds_Xtal_BW#'!$A:$Z,15,FALSE)</f>
        <v>37</v>
      </c>
      <c r="P312" s="4">
        <f>VLOOKUP($B312&amp;"__wt",'SegEnds_Xtal_BW#'!$A:$Z,16,FALSE)</f>
        <v>68</v>
      </c>
      <c r="Q312" s="4">
        <f>VLOOKUP($B312&amp;"__wt",'SegEnds_Xtal_BW#'!$A:$Z,17,FALSE)</f>
        <v>50</v>
      </c>
      <c r="R312" s="4">
        <f>VLOOKUP($B312&amp;"__wt",'SegEnds_Xtal_BW#'!$A:$Z,18,FALSE)</f>
        <v>52</v>
      </c>
      <c r="S312" s="115">
        <v>39</v>
      </c>
      <c r="T312" s="4">
        <v>69</v>
      </c>
      <c r="U312" s="4">
        <v>25</v>
      </c>
      <c r="V312" s="4">
        <f>VLOOKUP($B312&amp;"__wt",'SegEnds_Xtal_BW#'!$A:$Z,22,FALSE)</f>
        <v>54</v>
      </c>
      <c r="W312" s="4">
        <v>31</v>
      </c>
      <c r="X312" s="4">
        <f>VLOOKUP($B312&amp;"__wt",'SegEnds_Xtal_BW#'!$A:$Z,24,FALSE)</f>
        <v>56</v>
      </c>
      <c r="Y312" s="4">
        <f>VLOOKUP($B312&amp;"__wt",'SegEnds_Xtal_BW#'!$A:$Z,25,FALSE)</f>
        <v>47</v>
      </c>
      <c r="Z312" s="4">
        <f>VLOOKUP($B312&amp;"__wt",'SegEnds_Xtal_BW#'!$A:$Z,26,FALSE)</f>
        <v>72</v>
      </c>
      <c r="AA312" s="27" t="str">
        <f>VLOOKUP(A312,Classification!A:B,2,FALSE)</f>
        <v>B1</v>
      </c>
      <c r="AB312" s="1">
        <f>VLOOKUP(A312,'SegEnds_NonXtal_Prot#'!A:AL,10,FALSE)-VLOOKUP(A312,'SegEnds_NonXtal_Prot#'!A:AL,4,FALSE)</f>
        <v>28</v>
      </c>
      <c r="AC312" s="4">
        <f>VLOOKUP(A312,'SegEnds_NonXtal_Prot#'!A:AL,10,FALSE)-VLOOKUP(A312,'SegEnds_NonXtal_Prot#'!A:AL,7,FALSE)</f>
        <v>15</v>
      </c>
      <c r="AD312" s="4" t="e">
        <f>VLOOKUP(A312,'SegEnds_NonXtal_Prot#'!A:AL,13,FALSE)-VLOOKUP(A312,'SegEnds_NonXtal_Prot#'!A:AL,10,FALSE)</f>
        <v>#VALUE!</v>
      </c>
      <c r="AE312" s="4">
        <f>VLOOKUP(A312,'SegEnds_NonXtal_Prot#'!A:AL,16,FALSE)-VLOOKUP(A312,'SegEnds_NonXtal_Prot#'!A:AL,10,FALSE)</f>
        <v>55</v>
      </c>
      <c r="AF312" s="1" t="e">
        <f>VLOOKUP(A312,'SegEnds_NonXtal_Prot#'!A:AL,22,FALSE)-VLOOKUP(A312,'SegEnds_NonXtal_Prot#'!A:AL,19,FALSE)</f>
        <v>#VALUE!</v>
      </c>
      <c r="AG312" s="4">
        <f>VLOOKUP(A312,'SegEnds_NonXtal_Prot#'!A:AL,28,FALSE)-VLOOKUP(A312,'SegEnds_NonXtal_Prot#'!A:AL,25,FALSE)</f>
        <v>20</v>
      </c>
      <c r="AH312" s="1">
        <f>VLOOKUP(A312,'SegEnds_NonXtal_Prot#'!A:AL,28,FALSE)-VLOOKUP(A312,'SegEnds_NonXtal_Prot#'!A:AL,22,FALSE)</f>
        <v>42</v>
      </c>
      <c r="AI312" s="4">
        <f>VLOOKUP(A312,'SegEnds_NonXtal_Prot#'!A:AL,31,FALSE)-VLOOKUP(A312,'SegEnds_NonXtal_Prot#'!A:AL,28,FALSE)</f>
        <v>52</v>
      </c>
      <c r="AJ312" s="4">
        <f>VLOOKUP(A312,'SegEnds_NonXtal_Prot#'!A:AL,34,FALSE)-VLOOKUP(A312,'SegEnds_NonXtal_Prot#'!A:AL,31,FALSE)</f>
        <v>28</v>
      </c>
      <c r="AK312" s="1">
        <f>VLOOKUP(A312,'SegEnds_NonXtal_Prot#'!A:AL,37,FALSE)-VLOOKUP(A312,'SegEnds_NonXtal_Prot#'!A:AL,34,FALSE)</f>
        <v>10</v>
      </c>
      <c r="AL312" s="1" t="str">
        <f>IF(ISERROR(MATCH(A312,'SegEnds_Xtal_Prot#'!B:B, 0)), "NoXtal", "Xtal")</f>
        <v>NoXtal</v>
      </c>
    </row>
    <row r="313" spans="1:38" s="4" customFormat="1" x14ac:dyDescent="0.2">
      <c r="A313" s="4" t="s">
        <v>412</v>
      </c>
      <c r="B313" s="4" t="str">
        <f>VLOOKUP(A313,Xtal_Templ!A:B,2,FALSE)</f>
        <v>pth1r_human</v>
      </c>
      <c r="C313" s="4">
        <f>VLOOKUP($B313&amp;"__wt",'SegEnds_Xtal_BW#'!$A:$Z,3,FALSE)</f>
        <v>27</v>
      </c>
      <c r="D313" s="4">
        <f>VLOOKUP($B313&amp;"__wt",'SegEnds_Xtal_BW#'!$A:$Z,4,FALSE)</f>
        <v>60</v>
      </c>
      <c r="E313" s="4">
        <f>VLOOKUP($B313&amp;"__wt",'SegEnds_Xtal_BW#'!$A:$Z,5,FALSE)</f>
        <v>48</v>
      </c>
      <c r="F313" s="4">
        <f>VLOOKUP($B313&amp;"__wt",'SegEnds_Xtal_BW#'!$A:$Z,6,FALSE)</f>
        <v>51</v>
      </c>
      <c r="G313" s="4">
        <v>37</v>
      </c>
      <c r="H313" s="115">
        <v>64</v>
      </c>
      <c r="I313" s="4" t="str">
        <f>VLOOKUP($B313&amp;"__wt",'SegEnds_Xtal_BW#'!$A:$Z,9,FALSE)</f>
        <v>-</v>
      </c>
      <c r="J313" s="4" t="str">
        <f>VLOOKUP($B313&amp;"__wt",'SegEnds_Xtal_BW#'!$A:$Z,10,FALSE)</f>
        <v>-</v>
      </c>
      <c r="K313" s="115">
        <v>23</v>
      </c>
      <c r="L313" s="4">
        <f>VLOOKUP($B313&amp;"__wt",'SegEnds_Xtal_BW#'!$A:$Z,12,FALSE)</f>
        <v>56</v>
      </c>
      <c r="M313" s="4" t="str">
        <f>VLOOKUP($B313&amp;"__wt",'SegEnds_Xtal_BW#'!$A:$Z,13,FALSE)</f>
        <v>-</v>
      </c>
      <c r="N313" s="11" t="str">
        <f>VLOOKUP($B313&amp;"__wt",'SegEnds_Xtal_BW#'!$A:$Z,14,FALSE)</f>
        <v>-</v>
      </c>
      <c r="O313" s="88">
        <f>VLOOKUP($B313&amp;"__wt",'SegEnds_Xtal_BW#'!$A:$Z,15,FALSE)</f>
        <v>37</v>
      </c>
      <c r="P313" s="4">
        <f>VLOOKUP($B313&amp;"__wt",'SegEnds_Xtal_BW#'!$A:$Z,16,FALSE)</f>
        <v>68</v>
      </c>
      <c r="Q313" s="4">
        <f>VLOOKUP($B313&amp;"__wt",'SegEnds_Xtal_BW#'!$A:$Z,17,FALSE)</f>
        <v>50</v>
      </c>
      <c r="R313" s="4">
        <f>VLOOKUP($B313&amp;"__wt",'SegEnds_Xtal_BW#'!$A:$Z,18,FALSE)</f>
        <v>52</v>
      </c>
      <c r="S313" s="108">
        <v>39</v>
      </c>
      <c r="T313" s="4">
        <v>69</v>
      </c>
      <c r="U313" s="4">
        <v>25</v>
      </c>
      <c r="V313" s="1">
        <f>VLOOKUP($B313&amp;"__wt",'SegEnds_Xtal_BW#'!$A:$Z,22,FALSE)</f>
        <v>54</v>
      </c>
      <c r="W313" s="4">
        <v>31</v>
      </c>
      <c r="X313" s="4">
        <f>VLOOKUP($B313&amp;"__wt",'SegEnds_Xtal_BW#'!$A:$Z,24,FALSE)</f>
        <v>56</v>
      </c>
      <c r="Y313" s="4">
        <f>VLOOKUP($B313&amp;"__wt",'SegEnds_Xtal_BW#'!$A:$Z,25,FALSE)</f>
        <v>47</v>
      </c>
      <c r="Z313" s="4">
        <f>VLOOKUP($B313&amp;"__wt",'SegEnds_Xtal_BW#'!$A:$Z,26,FALSE)</f>
        <v>72</v>
      </c>
      <c r="AA313" s="50" t="str">
        <f>VLOOKUP(A313,Classification!A:B,2,FALSE)</f>
        <v>B1</v>
      </c>
      <c r="AB313" s="1">
        <f>VLOOKUP(A313,'SegEnds_NonXtal_Prot#'!A:AL,10,FALSE)-VLOOKUP(A313,'SegEnds_NonXtal_Prot#'!A:AL,4,FALSE)</f>
        <v>28</v>
      </c>
      <c r="AC313" s="4">
        <f>VLOOKUP(A313,'SegEnds_NonXtal_Prot#'!A:AL,10,FALSE)-VLOOKUP(A313,'SegEnds_NonXtal_Prot#'!A:AL,7,FALSE)</f>
        <v>15</v>
      </c>
      <c r="AD313" s="4" t="e">
        <f>VLOOKUP(A313,'SegEnds_NonXtal_Prot#'!A:AL,13,FALSE)-VLOOKUP(A313,'SegEnds_NonXtal_Prot#'!A:AL,10,FALSE)</f>
        <v>#VALUE!</v>
      </c>
      <c r="AE313" s="4">
        <f>VLOOKUP(A313,'SegEnds_NonXtal_Prot#'!A:AL,16,FALSE)-VLOOKUP(A313,'SegEnds_NonXtal_Prot#'!A:AL,10,FALSE)</f>
        <v>55</v>
      </c>
      <c r="AF313" s="1" t="e">
        <f>VLOOKUP(A313,'SegEnds_NonXtal_Prot#'!A:AL,22,FALSE)-VLOOKUP(A313,'SegEnds_NonXtal_Prot#'!A:AL,19,FALSE)</f>
        <v>#VALUE!</v>
      </c>
      <c r="AG313" s="4">
        <f>VLOOKUP(A313,'SegEnds_NonXtal_Prot#'!A:AL,28,FALSE)-VLOOKUP(A313,'SegEnds_NonXtal_Prot#'!A:AL,25,FALSE)</f>
        <v>19</v>
      </c>
      <c r="AH313" s="1">
        <f>VLOOKUP(A313,'SegEnds_NonXtal_Prot#'!A:AL,28,FALSE)-VLOOKUP(A313,'SegEnds_NonXtal_Prot#'!A:AL,22,FALSE)</f>
        <v>41</v>
      </c>
      <c r="AI313" s="4">
        <f>VLOOKUP(A313,'SegEnds_NonXtal_Prot#'!A:AL,31,FALSE)-VLOOKUP(A313,'SegEnds_NonXtal_Prot#'!A:AL,28,FALSE)</f>
        <v>52</v>
      </c>
      <c r="AJ313" s="4">
        <f>VLOOKUP(A313,'SegEnds_NonXtal_Prot#'!A:AL,34,FALSE)-VLOOKUP(A313,'SegEnds_NonXtal_Prot#'!A:AL,31,FALSE)</f>
        <v>29</v>
      </c>
      <c r="AK313" s="1">
        <f>VLOOKUP(A313,'SegEnds_NonXtal_Prot#'!A:AL,37,FALSE)-VLOOKUP(A313,'SegEnds_NonXtal_Prot#'!A:AL,34,FALSE)</f>
        <v>10</v>
      </c>
      <c r="AL313" s="1" t="str">
        <f>IF(ISERROR(MATCH(A313,'SegEnds_Xtal_Prot#'!B:B, 0)), "NoXtal", "Xtal")</f>
        <v>NoXtal</v>
      </c>
    </row>
    <row r="314" spans="1:38" s="45" customFormat="1" x14ac:dyDescent="0.2">
      <c r="A314" s="45" t="s">
        <v>413</v>
      </c>
      <c r="B314" s="45" t="str">
        <f>VLOOKUP(A314,Xtal_Templ!A:B,2,FALSE)</f>
        <v>pth1r_human</v>
      </c>
      <c r="C314" s="46">
        <f>VLOOKUP($B314&amp;"__wt",'SegEnds_Xtal_BW#'!$A:$Z,3,FALSE)</f>
        <v>27</v>
      </c>
      <c r="D314" s="45">
        <f>VLOOKUP($B314&amp;"__wt",'SegEnds_Xtal_BW#'!$A:$Z,4,FALSE)</f>
        <v>60</v>
      </c>
      <c r="E314" s="45">
        <f>VLOOKUP($B314&amp;"__wt",'SegEnds_Xtal_BW#'!$A:$Z,5,FALSE)</f>
        <v>48</v>
      </c>
      <c r="F314" s="45">
        <f>VLOOKUP($B314&amp;"__wt",'SegEnds_Xtal_BW#'!$A:$Z,6,FALSE)</f>
        <v>51</v>
      </c>
      <c r="G314" s="45">
        <v>37</v>
      </c>
      <c r="H314" s="117">
        <v>64</v>
      </c>
      <c r="I314" s="45" t="str">
        <f>VLOOKUP($B314&amp;"__wt",'SegEnds_Xtal_BW#'!$A:$Z,9,FALSE)</f>
        <v>-</v>
      </c>
      <c r="J314" s="45" t="str">
        <f>VLOOKUP($B314&amp;"__wt",'SegEnds_Xtal_BW#'!$A:$Z,10,FALSE)</f>
        <v>-</v>
      </c>
      <c r="K314" s="115">
        <v>23</v>
      </c>
      <c r="L314" s="45">
        <f>VLOOKUP($B314&amp;"__wt",'SegEnds_Xtal_BW#'!$A:$Z,12,FALSE)</f>
        <v>56</v>
      </c>
      <c r="M314" s="45" t="str">
        <f>VLOOKUP($B314&amp;"__wt",'SegEnds_Xtal_BW#'!$A:$Z,13,FALSE)</f>
        <v>-</v>
      </c>
      <c r="N314" s="102" t="str">
        <f>VLOOKUP($B314&amp;"__wt",'SegEnds_Xtal_BW#'!$A:$Z,14,FALSE)</f>
        <v>-</v>
      </c>
      <c r="O314" s="90">
        <f>VLOOKUP($B314&amp;"__wt",'SegEnds_Xtal_BW#'!$A:$Z,15,FALSE)</f>
        <v>37</v>
      </c>
      <c r="P314" s="45">
        <f>VLOOKUP($B314&amp;"__wt",'SegEnds_Xtal_BW#'!$A:$Z,16,FALSE)</f>
        <v>68</v>
      </c>
      <c r="Q314" s="45">
        <f>VLOOKUP($B314&amp;"__wt",'SegEnds_Xtal_BW#'!$A:$Z,17,FALSE)</f>
        <v>50</v>
      </c>
      <c r="R314" s="45">
        <f>VLOOKUP($B314&amp;"__wt",'SegEnds_Xtal_BW#'!$A:$Z,18,FALSE)</f>
        <v>52</v>
      </c>
      <c r="S314" s="117">
        <v>39</v>
      </c>
      <c r="T314" s="45">
        <v>69</v>
      </c>
      <c r="U314" s="45">
        <v>25</v>
      </c>
      <c r="V314" s="45">
        <f>VLOOKUP($B314&amp;"__wt",'SegEnds_Xtal_BW#'!$A:$Z,22,FALSE)</f>
        <v>54</v>
      </c>
      <c r="W314" s="45">
        <v>31</v>
      </c>
      <c r="X314" s="45">
        <f>VLOOKUP($B314&amp;"__wt",'SegEnds_Xtal_BW#'!$A:$Z,24,FALSE)</f>
        <v>56</v>
      </c>
      <c r="Y314" s="45">
        <f>VLOOKUP($B314&amp;"__wt",'SegEnds_Xtal_BW#'!$A:$Z,25,FALSE)</f>
        <v>47</v>
      </c>
      <c r="Z314" s="45">
        <f>VLOOKUP($B314&amp;"__wt",'SegEnds_Xtal_BW#'!$A:$Z,26,FALSE)</f>
        <v>72</v>
      </c>
      <c r="AA314" s="47" t="str">
        <f>VLOOKUP(A314,Classification!A:B,2,FALSE)</f>
        <v>B1</v>
      </c>
      <c r="AB314" s="1">
        <f>VLOOKUP(A314,'SegEnds_NonXtal_Prot#'!A:AL,10,FALSE)-VLOOKUP(A314,'SegEnds_NonXtal_Prot#'!A:AL,4,FALSE)</f>
        <v>28</v>
      </c>
      <c r="AC314" s="45">
        <f>VLOOKUP(A314,'SegEnds_NonXtal_Prot#'!A:AL,10,FALSE)-VLOOKUP(A314,'SegEnds_NonXtal_Prot#'!A:AL,7,FALSE)</f>
        <v>15</v>
      </c>
      <c r="AD314" s="45" t="e">
        <f>VLOOKUP(A314,'SegEnds_NonXtal_Prot#'!A:AL,13,FALSE)-VLOOKUP(A314,'SegEnds_NonXtal_Prot#'!A:AL,10,FALSE)</f>
        <v>#VALUE!</v>
      </c>
      <c r="AE314" s="45">
        <f>VLOOKUP(A314,'SegEnds_NonXtal_Prot#'!A:AL,16,FALSE)-VLOOKUP(A314,'SegEnds_NonXtal_Prot#'!A:AL,10,FALSE)</f>
        <v>58</v>
      </c>
      <c r="AF314" s="45" t="e">
        <f>VLOOKUP(A314,'SegEnds_NonXtal_Prot#'!A:AL,22,FALSE)-VLOOKUP(A314,'SegEnds_NonXtal_Prot#'!A:AL,19,FALSE)</f>
        <v>#VALUE!</v>
      </c>
      <c r="AG314" s="45">
        <f>VLOOKUP(A314,'SegEnds_NonXtal_Prot#'!A:AL,28,FALSE)-VLOOKUP(A314,'SegEnds_NonXtal_Prot#'!A:AL,25,FALSE)</f>
        <v>20</v>
      </c>
      <c r="AH314" s="45">
        <f>VLOOKUP(A314,'SegEnds_NonXtal_Prot#'!A:AL,28,FALSE)-VLOOKUP(A314,'SegEnds_NonXtal_Prot#'!A:AL,22,FALSE)</f>
        <v>42</v>
      </c>
      <c r="AI314" s="45">
        <f>VLOOKUP(A314,'SegEnds_NonXtal_Prot#'!A:AL,31,FALSE)-VLOOKUP(A314,'SegEnds_NonXtal_Prot#'!A:AL,28,FALSE)</f>
        <v>52</v>
      </c>
      <c r="AJ314" s="45">
        <f>VLOOKUP(A314,'SegEnds_NonXtal_Prot#'!A:AL,34,FALSE)-VLOOKUP(A314,'SegEnds_NonXtal_Prot#'!A:AL,31,FALSE)</f>
        <v>29</v>
      </c>
      <c r="AK314" s="1">
        <f>VLOOKUP(A314,'SegEnds_NonXtal_Prot#'!A:AL,37,FALSE)-VLOOKUP(A314,'SegEnds_NonXtal_Prot#'!A:AL,34,FALSE)</f>
        <v>10</v>
      </c>
      <c r="AL314" s="45" t="str">
        <f>IF(ISERROR(MATCH(A314,'SegEnds_Xtal_Prot#'!B:B, 0)), "NoXtal", "Xtal")</f>
        <v>NoXtal</v>
      </c>
    </row>
    <row r="315" spans="1:38" x14ac:dyDescent="0.2">
      <c r="A315" s="1" t="s">
        <v>1177</v>
      </c>
      <c r="B315" s="1" t="str">
        <f>VLOOKUP(A315,Xtal_Templ!A:B,2,FALSE)</f>
        <v>crfr1_human</v>
      </c>
      <c r="C315" s="5">
        <v>23</v>
      </c>
      <c r="D315" s="1">
        <f>VLOOKUP($B315&amp;"__wt",'SegEnds_Xtal_BW#'!$A:$Z,4,FALSE)</f>
        <v>60</v>
      </c>
      <c r="E315" s="1">
        <f>VLOOKUP($B315&amp;"__wt",'SegEnds_Xtal_BW#'!$A:$Z,5,FALSE)</f>
        <v>48</v>
      </c>
      <c r="F315" s="1">
        <f>VLOOKUP($B315&amp;"__wt",'SegEnds_Xtal_BW#'!$A:$Z,6,FALSE)</f>
        <v>51</v>
      </c>
      <c r="G315" s="1">
        <v>37</v>
      </c>
      <c r="H315" s="12">
        <v>63</v>
      </c>
      <c r="I315" s="1" t="str">
        <f>VLOOKUP($B315&amp;"__wt",'SegEnds_Xtal_BW#'!$A:$Z,9,FALSE)</f>
        <v>-</v>
      </c>
      <c r="J315" s="1" t="str">
        <f>VLOOKUP($B315&amp;"__wt",'SegEnds_Xtal_BW#'!$A:$Z,10,FALSE)</f>
        <v>-</v>
      </c>
      <c r="K315" s="12">
        <v>23</v>
      </c>
      <c r="L315" s="1">
        <f>VLOOKUP($B315&amp;"__wt",'SegEnds_Xtal_BW#'!$A:$Z,12,FALSE)</f>
        <v>56</v>
      </c>
      <c r="M315" s="1" t="str">
        <f>VLOOKUP($B315&amp;"__wt",'SegEnds_Xtal_BW#'!$A:$Z,13,FALSE)</f>
        <v>-</v>
      </c>
      <c r="N315" s="12" t="str">
        <f>VLOOKUP($B315&amp;"__wt",'SegEnds_Xtal_BW#'!$A:$Z,14,FALSE)</f>
        <v>-</v>
      </c>
      <c r="O315" s="87">
        <f>VLOOKUP($B315&amp;"__wt",'SegEnds_Xtal_BW#'!$A:$Z,15,FALSE)</f>
        <v>40</v>
      </c>
      <c r="P315" s="1">
        <f>VLOOKUP($B315&amp;"__wt",'SegEnds_Xtal_BW#'!$A:$Z,16,FALSE)</f>
        <v>68</v>
      </c>
      <c r="Q315" s="1">
        <f>VLOOKUP($B315&amp;"__wt",'SegEnds_Xtal_BW#'!$A:$Z,17,FALSE)</f>
        <v>50</v>
      </c>
      <c r="R315" s="1">
        <f>VLOOKUP($B315&amp;"__wt",'SegEnds_Xtal_BW#'!$A:$Z,18,FALSE)</f>
        <v>52</v>
      </c>
      <c r="S315" s="1">
        <v>36</v>
      </c>
      <c r="T315" s="1">
        <v>69</v>
      </c>
      <c r="U315" s="1">
        <v>29</v>
      </c>
      <c r="V315" s="1">
        <f>VLOOKUP($B315&amp;"__wt",'SegEnds_Xtal_BW#'!$A:$Z,22,FALSE)</f>
        <v>53</v>
      </c>
      <c r="W315" s="1">
        <v>29</v>
      </c>
      <c r="X315" s="1">
        <f>VLOOKUP($B315&amp;"__wt",'SegEnds_Xtal_BW#'!$A:$Z,24,FALSE)</f>
        <v>56</v>
      </c>
      <c r="Y315" s="1">
        <f>VLOOKUP($B315&amp;"__wt",'SegEnds_Xtal_BW#'!$A:$Z,25,FALSE)</f>
        <v>47</v>
      </c>
      <c r="Z315" s="1">
        <v>63</v>
      </c>
      <c r="AA315" s="27" t="str">
        <f>VLOOKUP(A315,Classification!A:B,2,FALSE)</f>
        <v>B2</v>
      </c>
      <c r="AB315" s="1">
        <f>VLOOKUP(A315,'SegEnds_NonXtal_Prot#'!A:AL,10,FALSE)-VLOOKUP(A315,'SegEnds_NonXtal_Prot#'!A:AL,4,FALSE)</f>
        <v>26</v>
      </c>
      <c r="AC315" s="1" t="e">
        <f>VLOOKUP(A315,'SegEnds_NonXtal_Prot#'!A:AL,10,FALSE)-VLOOKUP(A315,'SegEnds_NonXtal_Prot#'!A:AL,7,FALSE)</f>
        <v>#VALUE!</v>
      </c>
      <c r="AD315" s="1" t="e">
        <f>VLOOKUP(A315,'SegEnds_NonXtal_Prot#'!A:AL,13,FALSE)-VLOOKUP(A315,'SegEnds_NonXtal_Prot#'!A:AL,10,FALSE)</f>
        <v>#VALUE!</v>
      </c>
      <c r="AE315" s="1">
        <f>VLOOKUP(A315,'SegEnds_NonXtal_Prot#'!A:AL,16,FALSE)-VLOOKUP(A315,'SegEnds_NonXtal_Prot#'!A:AL,10,FALSE)</f>
        <v>47</v>
      </c>
      <c r="AF315" s="1" t="e">
        <f>VLOOKUP(A315,'SegEnds_NonXtal_Prot#'!A:AL,22,FALSE)-VLOOKUP(A315,'SegEnds_NonXtal_Prot#'!A:AL,19,FALSE)</f>
        <v>#VALUE!</v>
      </c>
      <c r="AG315" s="1">
        <f>VLOOKUP(A315,'SegEnds_NonXtal_Prot#'!A:AL,28,FALSE)-VLOOKUP(A315,'SegEnds_NonXtal_Prot#'!A:AL,25,FALSE)</f>
        <v>18</v>
      </c>
      <c r="AH315" s="1">
        <f>VLOOKUP(A315,'SegEnds_NonXtal_Prot#'!A:AL,28,FALSE)-VLOOKUP(A315,'SegEnds_NonXtal_Prot#'!A:AL,22,FALSE)</f>
        <v>46</v>
      </c>
      <c r="AI315" s="1">
        <f>VLOOKUP(A315,'SegEnds_NonXtal_Prot#'!A:AL,31,FALSE)-VLOOKUP(A315,'SegEnds_NonXtal_Prot#'!A:AL,28,FALSE)</f>
        <v>86</v>
      </c>
      <c r="AJ315" s="1">
        <f>VLOOKUP(A315,'SegEnds_NonXtal_Prot#'!A:AL,34,FALSE)-VLOOKUP(A315,'SegEnds_NonXtal_Prot#'!A:AL,31,FALSE)</f>
        <v>31</v>
      </c>
      <c r="AK315" s="1">
        <f>VLOOKUP(A315,'SegEnds_NonXtal_Prot#'!A:AL,37,FALSE)-VLOOKUP(A315,'SegEnds_NonXtal_Prot#'!A:AL,34,FALSE)</f>
        <v>10</v>
      </c>
      <c r="AL315" s="1" t="str">
        <f>IF(ISERROR(MATCH(A315,'SegEnds_Xtal_Prot#'!B:B, 0)), "NoXtal", "Xtal")</f>
        <v>NoXtal</v>
      </c>
    </row>
    <row r="316" spans="1:38" x14ac:dyDescent="0.2">
      <c r="A316" s="4" t="s">
        <v>1178</v>
      </c>
      <c r="B316" s="4" t="str">
        <f>VLOOKUP(A316,Xtal_Templ!A:B,2,FALSE)</f>
        <v>crfr1_human</v>
      </c>
      <c r="C316" s="5">
        <v>23</v>
      </c>
      <c r="D316" s="4">
        <f>VLOOKUP($B316&amp;"__wt",'SegEnds_Xtal_BW#'!$A:$Z,4,FALSE)</f>
        <v>60</v>
      </c>
      <c r="E316" s="4">
        <f>VLOOKUP($B316&amp;"__wt",'SegEnds_Xtal_BW#'!$A:$Z,5,FALSE)</f>
        <v>48</v>
      </c>
      <c r="F316" s="4">
        <f>VLOOKUP($B316&amp;"__wt",'SegEnds_Xtal_BW#'!$A:$Z,6,FALSE)</f>
        <v>51</v>
      </c>
      <c r="G316" s="4">
        <v>37</v>
      </c>
      <c r="H316" s="11">
        <v>63</v>
      </c>
      <c r="I316" s="4" t="str">
        <f>VLOOKUP($B316&amp;"__wt",'SegEnds_Xtal_BW#'!$A:$Z,9,FALSE)</f>
        <v>-</v>
      </c>
      <c r="J316" s="4" t="str">
        <f>VLOOKUP($B316&amp;"__wt",'SegEnds_Xtal_BW#'!$A:$Z,10,FALSE)</f>
        <v>-</v>
      </c>
      <c r="K316" s="11">
        <v>23</v>
      </c>
      <c r="L316" s="4">
        <f>VLOOKUP($B316&amp;"__wt",'SegEnds_Xtal_BW#'!$A:$Z,12,FALSE)</f>
        <v>56</v>
      </c>
      <c r="M316" s="4" t="str">
        <f>VLOOKUP($B316&amp;"__wt",'SegEnds_Xtal_BW#'!$A:$Z,13,FALSE)</f>
        <v>-</v>
      </c>
      <c r="N316" s="11" t="str">
        <f>VLOOKUP($B316&amp;"__wt",'SegEnds_Xtal_BW#'!$A:$Z,14,FALSE)</f>
        <v>-</v>
      </c>
      <c r="O316" s="88">
        <f>VLOOKUP($B316&amp;"__wt",'SegEnds_Xtal_BW#'!$A:$Z,15,FALSE)</f>
        <v>40</v>
      </c>
      <c r="P316" s="4">
        <f>VLOOKUP($B316&amp;"__wt",'SegEnds_Xtal_BW#'!$A:$Z,16,FALSE)</f>
        <v>68</v>
      </c>
      <c r="Q316" s="4">
        <f>VLOOKUP($B316&amp;"__wt",'SegEnds_Xtal_BW#'!$A:$Z,17,FALSE)</f>
        <v>50</v>
      </c>
      <c r="R316" s="4">
        <f>VLOOKUP($B316&amp;"__wt",'SegEnds_Xtal_BW#'!$A:$Z,18,FALSE)</f>
        <v>52</v>
      </c>
      <c r="S316" s="4">
        <v>36</v>
      </c>
      <c r="T316" s="4">
        <v>69</v>
      </c>
      <c r="U316" s="4">
        <v>29</v>
      </c>
      <c r="V316" s="4">
        <f>VLOOKUP($B316&amp;"__wt",'SegEnds_Xtal_BW#'!$A:$Z,22,FALSE)</f>
        <v>53</v>
      </c>
      <c r="W316" s="4">
        <v>29</v>
      </c>
      <c r="X316" s="4">
        <f>VLOOKUP($B316&amp;"__wt",'SegEnds_Xtal_BW#'!$A:$Z,24,FALSE)</f>
        <v>56</v>
      </c>
      <c r="Y316" s="4">
        <f>VLOOKUP($B316&amp;"__wt",'SegEnds_Xtal_BW#'!$A:$Z,25,FALSE)</f>
        <v>47</v>
      </c>
      <c r="Z316" s="4">
        <v>63</v>
      </c>
      <c r="AA316" s="27" t="str">
        <f>VLOOKUP(A316,Classification!A:B,2,FALSE)</f>
        <v>B2</v>
      </c>
      <c r="AB316" s="1">
        <f>VLOOKUP(A316,'SegEnds_NonXtal_Prot#'!A:AL,10,FALSE)-VLOOKUP(A316,'SegEnds_NonXtal_Prot#'!A:AL,4,FALSE)</f>
        <v>26</v>
      </c>
      <c r="AC316" s="4" t="e">
        <f>VLOOKUP(A316,'SegEnds_NonXtal_Prot#'!A:AL,10,FALSE)-VLOOKUP(A316,'SegEnds_NonXtal_Prot#'!A:AL,7,FALSE)</f>
        <v>#VALUE!</v>
      </c>
      <c r="AD316" s="4" t="e">
        <f>VLOOKUP(A316,'SegEnds_NonXtal_Prot#'!A:AL,13,FALSE)-VLOOKUP(A316,'SegEnds_NonXtal_Prot#'!A:AL,10,FALSE)</f>
        <v>#VALUE!</v>
      </c>
      <c r="AE316" s="4">
        <f>VLOOKUP(A316,'SegEnds_NonXtal_Prot#'!A:AL,16,FALSE)-VLOOKUP(A316,'SegEnds_NonXtal_Prot#'!A:AL,10,FALSE)</f>
        <v>47</v>
      </c>
      <c r="AF316" s="1" t="e">
        <f>VLOOKUP(A316,'SegEnds_NonXtal_Prot#'!A:AL,22,FALSE)-VLOOKUP(A316,'SegEnds_NonXtal_Prot#'!A:AL,19,FALSE)</f>
        <v>#VALUE!</v>
      </c>
      <c r="AG316" s="4">
        <f>VLOOKUP(A316,'SegEnds_NonXtal_Prot#'!A:AL,28,FALSE)-VLOOKUP(A316,'SegEnds_NonXtal_Prot#'!A:AL,25,FALSE)</f>
        <v>18</v>
      </c>
      <c r="AH316" s="1">
        <f>VLOOKUP(A316,'SegEnds_NonXtal_Prot#'!A:AL,28,FALSE)-VLOOKUP(A316,'SegEnds_NonXtal_Prot#'!A:AL,22,FALSE)</f>
        <v>43</v>
      </c>
      <c r="AI316" s="4">
        <f>VLOOKUP(A316,'SegEnds_NonXtal_Prot#'!A:AL,31,FALSE)-VLOOKUP(A316,'SegEnds_NonXtal_Prot#'!A:AL,28,FALSE)</f>
        <v>100</v>
      </c>
      <c r="AJ316" s="4">
        <f>VLOOKUP(A316,'SegEnds_NonXtal_Prot#'!A:AL,34,FALSE)-VLOOKUP(A316,'SegEnds_NonXtal_Prot#'!A:AL,31,FALSE)</f>
        <v>31</v>
      </c>
      <c r="AK316" s="1">
        <f>VLOOKUP(A316,'SegEnds_NonXtal_Prot#'!A:AL,37,FALSE)-VLOOKUP(A316,'SegEnds_NonXtal_Prot#'!A:AL,34,FALSE)</f>
        <v>10</v>
      </c>
      <c r="AL316" s="1" t="str">
        <f>IF(ISERROR(MATCH(A316,'SegEnds_Xtal_Prot#'!B:B, 0)), "NoXtal", "Xtal")</f>
        <v>NoXtal</v>
      </c>
    </row>
    <row r="317" spans="1:38" x14ac:dyDescent="0.2">
      <c r="A317" s="1" t="s">
        <v>1179</v>
      </c>
      <c r="B317" s="1" t="str">
        <f>VLOOKUP(A317,Xtal_Templ!A:B,2,FALSE)</f>
        <v>crfr1_human</v>
      </c>
      <c r="C317" s="5">
        <v>23</v>
      </c>
      <c r="D317" s="1">
        <f>VLOOKUP($B317&amp;"__wt",'SegEnds_Xtal_BW#'!$A:$Z,4,FALSE)</f>
        <v>60</v>
      </c>
      <c r="E317" s="1">
        <f>VLOOKUP($B317&amp;"__wt",'SegEnds_Xtal_BW#'!$A:$Z,5,FALSE)</f>
        <v>48</v>
      </c>
      <c r="F317" s="1">
        <f>VLOOKUP($B317&amp;"__wt",'SegEnds_Xtal_BW#'!$A:$Z,6,FALSE)</f>
        <v>51</v>
      </c>
      <c r="G317" s="1">
        <v>37</v>
      </c>
      <c r="H317" s="12">
        <v>63</v>
      </c>
      <c r="I317" s="1" t="str">
        <f>VLOOKUP($B317&amp;"__wt",'SegEnds_Xtal_BW#'!$A:$Z,9,FALSE)</f>
        <v>-</v>
      </c>
      <c r="J317" s="1" t="str">
        <f>VLOOKUP($B317&amp;"__wt",'SegEnds_Xtal_BW#'!$A:$Z,10,FALSE)</f>
        <v>-</v>
      </c>
      <c r="K317" s="12">
        <v>23</v>
      </c>
      <c r="L317" s="1">
        <f>VLOOKUP($B317&amp;"__wt",'SegEnds_Xtal_BW#'!$A:$Z,12,FALSE)</f>
        <v>56</v>
      </c>
      <c r="M317" s="1" t="str">
        <f>VLOOKUP($B317&amp;"__wt",'SegEnds_Xtal_BW#'!$A:$Z,13,FALSE)</f>
        <v>-</v>
      </c>
      <c r="N317" s="12" t="str">
        <f>VLOOKUP($B317&amp;"__wt",'SegEnds_Xtal_BW#'!$A:$Z,14,FALSE)</f>
        <v>-</v>
      </c>
      <c r="O317" s="87">
        <f>VLOOKUP($B317&amp;"__wt",'SegEnds_Xtal_BW#'!$A:$Z,15,FALSE)</f>
        <v>40</v>
      </c>
      <c r="P317" s="1">
        <f>VLOOKUP($B317&amp;"__wt",'SegEnds_Xtal_BW#'!$A:$Z,16,FALSE)</f>
        <v>68</v>
      </c>
      <c r="Q317" s="1">
        <f>VLOOKUP($B317&amp;"__wt",'SegEnds_Xtal_BW#'!$A:$Z,17,FALSE)</f>
        <v>50</v>
      </c>
      <c r="R317" s="1">
        <f>VLOOKUP($B317&amp;"__wt",'SegEnds_Xtal_BW#'!$A:$Z,18,FALSE)</f>
        <v>52</v>
      </c>
      <c r="S317" s="1">
        <v>36</v>
      </c>
      <c r="T317" s="1">
        <v>69</v>
      </c>
      <c r="U317" s="1">
        <v>29</v>
      </c>
      <c r="V317" s="1">
        <f>VLOOKUP($B317&amp;"__wt",'SegEnds_Xtal_BW#'!$A:$Z,22,FALSE)</f>
        <v>53</v>
      </c>
      <c r="W317" s="1">
        <v>29</v>
      </c>
      <c r="X317" s="1">
        <f>VLOOKUP($B317&amp;"__wt",'SegEnds_Xtal_BW#'!$A:$Z,24,FALSE)</f>
        <v>56</v>
      </c>
      <c r="Y317" s="1">
        <f>VLOOKUP($B317&amp;"__wt",'SegEnds_Xtal_BW#'!$A:$Z,25,FALSE)</f>
        <v>47</v>
      </c>
      <c r="Z317" s="1">
        <v>63</v>
      </c>
      <c r="AA317" s="27" t="str">
        <f>VLOOKUP(A317,Classification!A:B,2,FALSE)</f>
        <v>B2</v>
      </c>
      <c r="AB317" s="1">
        <f>VLOOKUP(A317,'SegEnds_NonXtal_Prot#'!A:AL,10,FALSE)-VLOOKUP(A317,'SegEnds_NonXtal_Prot#'!A:AL,4,FALSE)</f>
        <v>26</v>
      </c>
      <c r="AC317" s="1" t="e">
        <f>VLOOKUP(A317,'SegEnds_NonXtal_Prot#'!A:AL,10,FALSE)-VLOOKUP(A317,'SegEnds_NonXtal_Prot#'!A:AL,7,FALSE)</f>
        <v>#VALUE!</v>
      </c>
      <c r="AD317" s="1" t="e">
        <f>VLOOKUP(A317,'SegEnds_NonXtal_Prot#'!A:AL,13,FALSE)-VLOOKUP(A317,'SegEnds_NonXtal_Prot#'!A:AL,10,FALSE)</f>
        <v>#VALUE!</v>
      </c>
      <c r="AE317" s="1">
        <f>VLOOKUP(A317,'SegEnds_NonXtal_Prot#'!A:AL,16,FALSE)-VLOOKUP(A317,'SegEnds_NonXtal_Prot#'!A:AL,10,FALSE)</f>
        <v>47</v>
      </c>
      <c r="AF317" s="1" t="e">
        <f>VLOOKUP(A317,'SegEnds_NonXtal_Prot#'!A:AL,22,FALSE)-VLOOKUP(A317,'SegEnds_NonXtal_Prot#'!A:AL,19,FALSE)</f>
        <v>#VALUE!</v>
      </c>
      <c r="AG317" s="1">
        <f>VLOOKUP(A317,'SegEnds_NonXtal_Prot#'!A:AL,28,FALSE)-VLOOKUP(A317,'SegEnds_NonXtal_Prot#'!A:AL,25,FALSE)</f>
        <v>18</v>
      </c>
      <c r="AH317" s="1">
        <f>VLOOKUP(A317,'SegEnds_NonXtal_Prot#'!A:AL,28,FALSE)-VLOOKUP(A317,'SegEnds_NonXtal_Prot#'!A:AL,22,FALSE)</f>
        <v>45</v>
      </c>
      <c r="AI317" s="1">
        <f>VLOOKUP(A317,'SegEnds_NonXtal_Prot#'!A:AL,31,FALSE)-VLOOKUP(A317,'SegEnds_NonXtal_Prot#'!A:AL,28,FALSE)</f>
        <v>85</v>
      </c>
      <c r="AJ317" s="1">
        <f>VLOOKUP(A317,'SegEnds_NonXtal_Prot#'!A:AL,34,FALSE)-VLOOKUP(A317,'SegEnds_NonXtal_Prot#'!A:AL,31,FALSE)</f>
        <v>31</v>
      </c>
      <c r="AK317" s="1">
        <f>VLOOKUP(A317,'SegEnds_NonXtal_Prot#'!A:AL,37,FALSE)-VLOOKUP(A317,'SegEnds_NonXtal_Prot#'!A:AL,34,FALSE)</f>
        <v>10</v>
      </c>
      <c r="AL317" s="1" t="str">
        <f>IF(ISERROR(MATCH(A317,'SegEnds_Xtal_Prot#'!B:B, 0)), "NoXtal", "Xtal")</f>
        <v>NoXtal</v>
      </c>
    </row>
    <row r="318" spans="1:38" x14ac:dyDescent="0.2">
      <c r="A318" s="1" t="s">
        <v>1180</v>
      </c>
      <c r="B318" s="1" t="str">
        <f>VLOOKUP(A318,Xtal_Templ!A:B,2,FALSE)</f>
        <v>crfr1_human</v>
      </c>
      <c r="C318" s="5">
        <v>23</v>
      </c>
      <c r="D318" s="1">
        <f>VLOOKUP($B318&amp;"__wt",'SegEnds_Xtal_BW#'!$A:$Z,4,FALSE)</f>
        <v>60</v>
      </c>
      <c r="E318" s="1">
        <f>VLOOKUP($B318&amp;"__wt",'SegEnds_Xtal_BW#'!$A:$Z,5,FALSE)</f>
        <v>48</v>
      </c>
      <c r="F318" s="1">
        <f>VLOOKUP($B318&amp;"__wt",'SegEnds_Xtal_BW#'!$A:$Z,6,FALSE)</f>
        <v>51</v>
      </c>
      <c r="G318" s="1">
        <v>37</v>
      </c>
      <c r="H318" s="12">
        <v>63</v>
      </c>
      <c r="I318" s="1" t="str">
        <f>VLOOKUP($B318&amp;"__wt",'SegEnds_Xtal_BW#'!$A:$Z,9,FALSE)</f>
        <v>-</v>
      </c>
      <c r="J318" s="1" t="str">
        <f>VLOOKUP($B318&amp;"__wt",'SegEnds_Xtal_BW#'!$A:$Z,10,FALSE)</f>
        <v>-</v>
      </c>
      <c r="K318" s="12">
        <v>23</v>
      </c>
      <c r="L318" s="1">
        <f>VLOOKUP($B318&amp;"__wt",'SegEnds_Xtal_BW#'!$A:$Z,12,FALSE)</f>
        <v>56</v>
      </c>
      <c r="M318" s="1" t="str">
        <f>VLOOKUP($B318&amp;"__wt",'SegEnds_Xtal_BW#'!$A:$Z,13,FALSE)</f>
        <v>-</v>
      </c>
      <c r="N318" s="12" t="str">
        <f>VLOOKUP($B318&amp;"__wt",'SegEnds_Xtal_BW#'!$A:$Z,14,FALSE)</f>
        <v>-</v>
      </c>
      <c r="O318" s="87">
        <f>VLOOKUP($B318&amp;"__wt",'SegEnds_Xtal_BW#'!$A:$Z,15,FALSE)</f>
        <v>40</v>
      </c>
      <c r="P318" s="1">
        <f>VLOOKUP($B318&amp;"__wt",'SegEnds_Xtal_BW#'!$A:$Z,16,FALSE)</f>
        <v>68</v>
      </c>
      <c r="Q318" s="1">
        <f>VLOOKUP($B318&amp;"__wt",'SegEnds_Xtal_BW#'!$A:$Z,17,FALSE)</f>
        <v>50</v>
      </c>
      <c r="R318" s="1">
        <f>VLOOKUP($B318&amp;"__wt",'SegEnds_Xtal_BW#'!$A:$Z,18,FALSE)</f>
        <v>52</v>
      </c>
      <c r="S318" s="1">
        <v>36</v>
      </c>
      <c r="T318" s="1">
        <v>69</v>
      </c>
      <c r="U318" s="1">
        <v>29</v>
      </c>
      <c r="V318" s="1">
        <f>VLOOKUP($B318&amp;"__wt",'SegEnds_Xtal_BW#'!$A:$Z,22,FALSE)</f>
        <v>53</v>
      </c>
      <c r="W318" s="1">
        <v>31</v>
      </c>
      <c r="X318" s="1">
        <f>VLOOKUP($B318&amp;"__wt",'SegEnds_Xtal_BW#'!$A:$Z,24,FALSE)</f>
        <v>56</v>
      </c>
      <c r="Y318" s="1">
        <f>VLOOKUP($B318&amp;"__wt",'SegEnds_Xtal_BW#'!$A:$Z,25,FALSE)</f>
        <v>47</v>
      </c>
      <c r="Z318" s="1">
        <v>63</v>
      </c>
      <c r="AA318" s="27" t="str">
        <f>VLOOKUP(A318,Classification!A:B,2,FALSE)</f>
        <v>B2</v>
      </c>
      <c r="AB318" s="1">
        <f>VLOOKUP(A318,'SegEnds_NonXtal_Prot#'!A:AL,10,FALSE)-VLOOKUP(A318,'SegEnds_NonXtal_Prot#'!A:AL,4,FALSE)</f>
        <v>29</v>
      </c>
      <c r="AC318" s="1" t="e">
        <f>VLOOKUP(A318,'SegEnds_NonXtal_Prot#'!A:AL,10,FALSE)-VLOOKUP(A318,'SegEnds_NonXtal_Prot#'!A:AL,7,FALSE)</f>
        <v>#VALUE!</v>
      </c>
      <c r="AD318" s="1" t="e">
        <f>VLOOKUP(A318,'SegEnds_NonXtal_Prot#'!A:AL,13,FALSE)-VLOOKUP(A318,'SegEnds_NonXtal_Prot#'!A:AL,10,FALSE)</f>
        <v>#VALUE!</v>
      </c>
      <c r="AE318" s="1">
        <f>VLOOKUP(A318,'SegEnds_NonXtal_Prot#'!A:AL,16,FALSE)-VLOOKUP(A318,'SegEnds_NonXtal_Prot#'!A:AL,10,FALSE)</f>
        <v>45</v>
      </c>
      <c r="AF318" s="1" t="e">
        <f>VLOOKUP(A318,'SegEnds_NonXtal_Prot#'!A:AL,22,FALSE)-VLOOKUP(A318,'SegEnds_NonXtal_Prot#'!A:AL,19,FALSE)</f>
        <v>#VALUE!</v>
      </c>
      <c r="AG318" s="1">
        <f>VLOOKUP(A318,'SegEnds_NonXtal_Prot#'!A:AL,28,FALSE)-VLOOKUP(A318,'SegEnds_NonXtal_Prot#'!A:AL,25,FALSE)</f>
        <v>19</v>
      </c>
      <c r="AH318" s="1">
        <f>VLOOKUP(A318,'SegEnds_NonXtal_Prot#'!A:AL,28,FALSE)-VLOOKUP(A318,'SegEnds_NonXtal_Prot#'!A:AL,22,FALSE)</f>
        <v>44</v>
      </c>
      <c r="AI318" s="1">
        <f>VLOOKUP(A318,'SegEnds_NonXtal_Prot#'!A:AL,31,FALSE)-VLOOKUP(A318,'SegEnds_NonXtal_Prot#'!A:AL,28,FALSE)</f>
        <v>83</v>
      </c>
      <c r="AJ318" s="1">
        <f>VLOOKUP(A318,'SegEnds_NonXtal_Prot#'!A:AL,34,FALSE)-VLOOKUP(A318,'SegEnds_NonXtal_Prot#'!A:AL,31,FALSE)</f>
        <v>29</v>
      </c>
      <c r="AK318" s="1">
        <f>VLOOKUP(A318,'SegEnds_NonXtal_Prot#'!A:AL,37,FALSE)-VLOOKUP(A318,'SegEnds_NonXtal_Prot#'!A:AL,34,FALSE)</f>
        <v>10</v>
      </c>
      <c r="AL318" s="1" t="str">
        <f>IF(ISERROR(MATCH(A318,'SegEnds_Xtal_Prot#'!B:B, 0)), "NoXtal", "Xtal")</f>
        <v>NoXtal</v>
      </c>
    </row>
    <row r="319" spans="1:38" x14ac:dyDescent="0.2">
      <c r="A319" s="1" t="s">
        <v>1181</v>
      </c>
      <c r="B319" s="1" t="str">
        <f>VLOOKUP(A319,Xtal_Templ!A:B,2,FALSE)</f>
        <v>crfr1_human</v>
      </c>
      <c r="C319" s="5">
        <v>23</v>
      </c>
      <c r="D319" s="1">
        <f>VLOOKUP($B319&amp;"__wt",'SegEnds_Xtal_BW#'!$A:$Z,4,FALSE)</f>
        <v>60</v>
      </c>
      <c r="E319" s="1">
        <f>VLOOKUP($B319&amp;"__wt",'SegEnds_Xtal_BW#'!$A:$Z,5,FALSE)</f>
        <v>48</v>
      </c>
      <c r="F319" s="1">
        <f>VLOOKUP($B319&amp;"__wt",'SegEnds_Xtal_BW#'!$A:$Z,6,FALSE)</f>
        <v>51</v>
      </c>
      <c r="G319" s="1">
        <v>37</v>
      </c>
      <c r="H319" s="12">
        <v>63</v>
      </c>
      <c r="I319" s="1" t="str">
        <f>VLOOKUP($B319&amp;"__wt",'SegEnds_Xtal_BW#'!$A:$Z,9,FALSE)</f>
        <v>-</v>
      </c>
      <c r="J319" s="1" t="str">
        <f>VLOOKUP($B319&amp;"__wt",'SegEnds_Xtal_BW#'!$A:$Z,10,FALSE)</f>
        <v>-</v>
      </c>
      <c r="K319" s="12">
        <v>23</v>
      </c>
      <c r="L319" s="1">
        <f>VLOOKUP($B319&amp;"__wt",'SegEnds_Xtal_BW#'!$A:$Z,12,FALSE)</f>
        <v>56</v>
      </c>
      <c r="M319" s="1" t="str">
        <f>VLOOKUP($B319&amp;"__wt",'SegEnds_Xtal_BW#'!$A:$Z,13,FALSE)</f>
        <v>-</v>
      </c>
      <c r="N319" s="12" t="str">
        <f>VLOOKUP($B319&amp;"__wt",'SegEnds_Xtal_BW#'!$A:$Z,14,FALSE)</f>
        <v>-</v>
      </c>
      <c r="O319" s="87">
        <f>VLOOKUP($B319&amp;"__wt",'SegEnds_Xtal_BW#'!$A:$Z,15,FALSE)</f>
        <v>40</v>
      </c>
      <c r="P319" s="1">
        <f>VLOOKUP($B319&amp;"__wt",'SegEnds_Xtal_BW#'!$A:$Z,16,FALSE)</f>
        <v>68</v>
      </c>
      <c r="Q319" s="1">
        <f>VLOOKUP($B319&amp;"__wt",'SegEnds_Xtal_BW#'!$A:$Z,17,FALSE)</f>
        <v>50</v>
      </c>
      <c r="R319" s="1">
        <f>VLOOKUP($B319&amp;"__wt",'SegEnds_Xtal_BW#'!$A:$Z,18,FALSE)</f>
        <v>52</v>
      </c>
      <c r="S319" s="1">
        <v>36</v>
      </c>
      <c r="T319" s="1">
        <v>69</v>
      </c>
      <c r="U319" s="1">
        <v>29</v>
      </c>
      <c r="V319" s="1">
        <f>VLOOKUP($B319&amp;"__wt",'SegEnds_Xtal_BW#'!$A:$Z,22,FALSE)</f>
        <v>53</v>
      </c>
      <c r="W319" s="1">
        <v>31</v>
      </c>
      <c r="X319" s="1">
        <f>VLOOKUP($B319&amp;"__wt",'SegEnds_Xtal_BW#'!$A:$Z,24,FALSE)</f>
        <v>56</v>
      </c>
      <c r="Y319" s="1">
        <f>VLOOKUP($B319&amp;"__wt",'SegEnds_Xtal_BW#'!$A:$Z,25,FALSE)</f>
        <v>47</v>
      </c>
      <c r="Z319" s="1">
        <v>63</v>
      </c>
      <c r="AA319" s="27" t="str">
        <f>VLOOKUP(A319,Classification!A:B,2,FALSE)</f>
        <v>B2</v>
      </c>
      <c r="AB319" s="1">
        <f>VLOOKUP(A319,'SegEnds_NonXtal_Prot#'!A:AL,10,FALSE)-VLOOKUP(A319,'SegEnds_NonXtal_Prot#'!A:AL,4,FALSE)</f>
        <v>29</v>
      </c>
      <c r="AC319" s="1" t="e">
        <f>VLOOKUP(A319,'SegEnds_NonXtal_Prot#'!A:AL,10,FALSE)-VLOOKUP(A319,'SegEnds_NonXtal_Prot#'!A:AL,7,FALSE)</f>
        <v>#VALUE!</v>
      </c>
      <c r="AD319" s="1" t="e">
        <f>VLOOKUP(A319,'SegEnds_NonXtal_Prot#'!A:AL,13,FALSE)-VLOOKUP(A319,'SegEnds_NonXtal_Prot#'!A:AL,10,FALSE)</f>
        <v>#VALUE!</v>
      </c>
      <c r="AE319" s="1">
        <f>VLOOKUP(A319,'SegEnds_NonXtal_Prot#'!A:AL,16,FALSE)-VLOOKUP(A319,'SegEnds_NonXtal_Prot#'!A:AL,10,FALSE)</f>
        <v>45</v>
      </c>
      <c r="AF319" s="1" t="e">
        <f>VLOOKUP(A319,'SegEnds_NonXtal_Prot#'!A:AL,22,FALSE)-VLOOKUP(A319,'SegEnds_NonXtal_Prot#'!A:AL,19,FALSE)</f>
        <v>#VALUE!</v>
      </c>
      <c r="AG319" s="1">
        <f>VLOOKUP(A319,'SegEnds_NonXtal_Prot#'!A:AL,28,FALSE)-VLOOKUP(A319,'SegEnds_NonXtal_Prot#'!A:AL,25,FALSE)</f>
        <v>19</v>
      </c>
      <c r="AH319" s="1">
        <f>VLOOKUP(A319,'SegEnds_NonXtal_Prot#'!A:AL,28,FALSE)-VLOOKUP(A319,'SegEnds_NonXtal_Prot#'!A:AL,22,FALSE)</f>
        <v>44</v>
      </c>
      <c r="AI319" s="1">
        <f>VLOOKUP(A319,'SegEnds_NonXtal_Prot#'!A:AL,31,FALSE)-VLOOKUP(A319,'SegEnds_NonXtal_Prot#'!A:AL,28,FALSE)</f>
        <v>83</v>
      </c>
      <c r="AJ319" s="1">
        <f>VLOOKUP(A319,'SegEnds_NonXtal_Prot#'!A:AL,34,FALSE)-VLOOKUP(A319,'SegEnds_NonXtal_Prot#'!A:AL,31,FALSE)</f>
        <v>29</v>
      </c>
      <c r="AK319" s="1">
        <f>VLOOKUP(A319,'SegEnds_NonXtal_Prot#'!A:AL,37,FALSE)-VLOOKUP(A319,'SegEnds_NonXtal_Prot#'!A:AL,34,FALSE)</f>
        <v>10</v>
      </c>
      <c r="AL319" s="1" t="str">
        <f>IF(ISERROR(MATCH(A319,'SegEnds_Xtal_Prot#'!B:B, 0)), "NoXtal", "Xtal")</f>
        <v>NoXtal</v>
      </c>
    </row>
    <row r="320" spans="1:38" x14ac:dyDescent="0.2">
      <c r="A320" s="1" t="s">
        <v>1182</v>
      </c>
      <c r="B320" s="1" t="str">
        <f>VLOOKUP(A320,Xtal_Templ!A:B,2,FALSE)</f>
        <v>crfr1_human</v>
      </c>
      <c r="C320" s="5">
        <v>23</v>
      </c>
      <c r="D320" s="1">
        <f>VLOOKUP($B320&amp;"__wt",'SegEnds_Xtal_BW#'!$A:$Z,4,FALSE)</f>
        <v>60</v>
      </c>
      <c r="E320" s="1">
        <f>VLOOKUP($B320&amp;"__wt",'SegEnds_Xtal_BW#'!$A:$Z,5,FALSE)</f>
        <v>48</v>
      </c>
      <c r="F320" s="1">
        <f>VLOOKUP($B320&amp;"__wt",'SegEnds_Xtal_BW#'!$A:$Z,6,FALSE)</f>
        <v>51</v>
      </c>
      <c r="G320" s="1">
        <v>37</v>
      </c>
      <c r="H320" s="12">
        <v>63</v>
      </c>
      <c r="I320" s="1" t="str">
        <f>VLOOKUP($B320&amp;"__wt",'SegEnds_Xtal_BW#'!$A:$Z,9,FALSE)</f>
        <v>-</v>
      </c>
      <c r="J320" s="1" t="str">
        <f>VLOOKUP($B320&amp;"__wt",'SegEnds_Xtal_BW#'!$A:$Z,10,FALSE)</f>
        <v>-</v>
      </c>
      <c r="K320" s="12">
        <v>23</v>
      </c>
      <c r="L320" s="1">
        <f>VLOOKUP($B320&amp;"__wt",'SegEnds_Xtal_BW#'!$A:$Z,12,FALSE)</f>
        <v>56</v>
      </c>
      <c r="M320" s="1" t="str">
        <f>VLOOKUP($B320&amp;"__wt",'SegEnds_Xtal_BW#'!$A:$Z,13,FALSE)</f>
        <v>-</v>
      </c>
      <c r="N320" s="12" t="str">
        <f>VLOOKUP($B320&amp;"__wt",'SegEnds_Xtal_BW#'!$A:$Z,14,FALSE)</f>
        <v>-</v>
      </c>
      <c r="O320" s="87">
        <f>VLOOKUP($B320&amp;"__wt",'SegEnds_Xtal_BW#'!$A:$Z,15,FALSE)</f>
        <v>40</v>
      </c>
      <c r="P320" s="1">
        <f>VLOOKUP($B320&amp;"__wt",'SegEnds_Xtal_BW#'!$A:$Z,16,FALSE)</f>
        <v>68</v>
      </c>
      <c r="Q320" s="1">
        <f>VLOOKUP($B320&amp;"__wt",'SegEnds_Xtal_BW#'!$A:$Z,17,FALSE)</f>
        <v>50</v>
      </c>
      <c r="R320" s="1">
        <f>VLOOKUP($B320&amp;"__wt",'SegEnds_Xtal_BW#'!$A:$Z,18,FALSE)</f>
        <v>52</v>
      </c>
      <c r="S320" s="1">
        <v>36</v>
      </c>
      <c r="T320" s="1">
        <v>69</v>
      </c>
      <c r="U320" s="1">
        <v>29</v>
      </c>
      <c r="V320" s="1">
        <f>VLOOKUP($B320&amp;"__wt",'SegEnds_Xtal_BW#'!$A:$Z,22,FALSE)</f>
        <v>53</v>
      </c>
      <c r="W320" s="1">
        <v>31</v>
      </c>
      <c r="X320" s="1">
        <f>VLOOKUP($B320&amp;"__wt",'SegEnds_Xtal_BW#'!$A:$Z,24,FALSE)</f>
        <v>56</v>
      </c>
      <c r="Y320" s="1">
        <f>VLOOKUP($B320&amp;"__wt",'SegEnds_Xtal_BW#'!$A:$Z,25,FALSE)</f>
        <v>47</v>
      </c>
      <c r="Z320" s="1">
        <v>63</v>
      </c>
      <c r="AA320" s="27" t="str">
        <f>VLOOKUP(A320,Classification!A:B,2,FALSE)</f>
        <v>B2</v>
      </c>
      <c r="AB320" s="1">
        <f>VLOOKUP(A320,'SegEnds_NonXtal_Prot#'!A:AL,10,FALSE)-VLOOKUP(A320,'SegEnds_NonXtal_Prot#'!A:AL,4,FALSE)</f>
        <v>31</v>
      </c>
      <c r="AC320" s="1">
        <f>VLOOKUP(A320,'SegEnds_NonXtal_Prot#'!A:AL,10,FALSE)-VLOOKUP(A320,'SegEnds_NonXtal_Prot#'!A:AL,7,FALSE)</f>
        <v>18</v>
      </c>
      <c r="AD320" s="1" t="e">
        <f>VLOOKUP(A320,'SegEnds_NonXtal_Prot#'!A:AL,13,FALSE)-VLOOKUP(A320,'SegEnds_NonXtal_Prot#'!A:AL,10,FALSE)</f>
        <v>#VALUE!</v>
      </c>
      <c r="AE320" s="1">
        <f>VLOOKUP(A320,'SegEnds_NonXtal_Prot#'!A:AL,16,FALSE)-VLOOKUP(A320,'SegEnds_NonXtal_Prot#'!A:AL,10,FALSE)</f>
        <v>45</v>
      </c>
      <c r="AF320" s="1" t="e">
        <f>VLOOKUP(A320,'SegEnds_NonXtal_Prot#'!A:AL,22,FALSE)-VLOOKUP(A320,'SegEnds_NonXtal_Prot#'!A:AL,19,FALSE)</f>
        <v>#VALUE!</v>
      </c>
      <c r="AG320" s="1">
        <f>VLOOKUP(A320,'SegEnds_NonXtal_Prot#'!A:AL,28,FALSE)-VLOOKUP(A320,'SegEnds_NonXtal_Prot#'!A:AL,25,FALSE)</f>
        <v>19</v>
      </c>
      <c r="AH320" s="1">
        <f>VLOOKUP(A320,'SegEnds_NonXtal_Prot#'!A:AL,28,FALSE)-VLOOKUP(A320,'SegEnds_NonXtal_Prot#'!A:AL,22,FALSE)</f>
        <v>43</v>
      </c>
      <c r="AI320" s="1">
        <f>VLOOKUP(A320,'SegEnds_NonXtal_Prot#'!A:AL,31,FALSE)-VLOOKUP(A320,'SegEnds_NonXtal_Prot#'!A:AL,28,FALSE)</f>
        <v>52</v>
      </c>
      <c r="AJ320" s="1">
        <f>VLOOKUP(A320,'SegEnds_NonXtal_Prot#'!A:AL,34,FALSE)-VLOOKUP(A320,'SegEnds_NonXtal_Prot#'!A:AL,31,FALSE)</f>
        <v>28</v>
      </c>
      <c r="AK320" s="1">
        <f>VLOOKUP(A320,'SegEnds_NonXtal_Prot#'!A:AL,37,FALSE)-VLOOKUP(A320,'SegEnds_NonXtal_Prot#'!A:AL,34,FALSE)</f>
        <v>10</v>
      </c>
      <c r="AL320" s="1" t="str">
        <f>IF(ISERROR(MATCH(A320,'SegEnds_Xtal_Prot#'!B:B, 0)), "NoXtal", "Xtal")</f>
        <v>NoXtal</v>
      </c>
    </row>
    <row r="321" spans="1:38" x14ac:dyDescent="0.2">
      <c r="A321" s="1" t="s">
        <v>1183</v>
      </c>
      <c r="B321" s="1" t="str">
        <f>VLOOKUP(A321,Xtal_Templ!A:B,2,FALSE)</f>
        <v>crfr1_human</v>
      </c>
      <c r="C321" s="5">
        <v>23</v>
      </c>
      <c r="D321" s="1">
        <f>VLOOKUP($B321&amp;"__wt",'SegEnds_Xtal_BW#'!$A:$Z,4,FALSE)</f>
        <v>60</v>
      </c>
      <c r="E321" s="1">
        <f>VLOOKUP($B321&amp;"__wt",'SegEnds_Xtal_BW#'!$A:$Z,5,FALSE)</f>
        <v>48</v>
      </c>
      <c r="F321" s="1">
        <f>VLOOKUP($B321&amp;"__wt",'SegEnds_Xtal_BW#'!$A:$Z,6,FALSE)</f>
        <v>51</v>
      </c>
      <c r="G321" s="1">
        <v>37</v>
      </c>
      <c r="H321" s="12">
        <v>63</v>
      </c>
      <c r="I321" s="1" t="str">
        <f>VLOOKUP($B321&amp;"__wt",'SegEnds_Xtal_BW#'!$A:$Z,9,FALSE)</f>
        <v>-</v>
      </c>
      <c r="J321" s="1" t="str">
        <f>VLOOKUP($B321&amp;"__wt",'SegEnds_Xtal_BW#'!$A:$Z,10,FALSE)</f>
        <v>-</v>
      </c>
      <c r="K321" s="12">
        <v>23</v>
      </c>
      <c r="L321" s="1">
        <f>VLOOKUP($B321&amp;"__wt",'SegEnds_Xtal_BW#'!$A:$Z,12,FALSE)</f>
        <v>56</v>
      </c>
      <c r="M321" s="1" t="str">
        <f>VLOOKUP($B321&amp;"__wt",'SegEnds_Xtal_BW#'!$A:$Z,13,FALSE)</f>
        <v>-</v>
      </c>
      <c r="N321" s="12" t="str">
        <f>VLOOKUP($B321&amp;"__wt",'SegEnds_Xtal_BW#'!$A:$Z,14,FALSE)</f>
        <v>-</v>
      </c>
      <c r="O321" s="87">
        <f>VLOOKUP($B321&amp;"__wt",'SegEnds_Xtal_BW#'!$A:$Z,15,FALSE)</f>
        <v>40</v>
      </c>
      <c r="P321" s="1">
        <f>VLOOKUP($B321&amp;"__wt",'SegEnds_Xtal_BW#'!$A:$Z,16,FALSE)</f>
        <v>68</v>
      </c>
      <c r="Q321" s="1">
        <f>VLOOKUP($B321&amp;"__wt",'SegEnds_Xtal_BW#'!$A:$Z,17,FALSE)</f>
        <v>50</v>
      </c>
      <c r="R321" s="1">
        <f>VLOOKUP($B321&amp;"__wt",'SegEnds_Xtal_BW#'!$A:$Z,18,FALSE)</f>
        <v>52</v>
      </c>
      <c r="S321" s="1">
        <v>36</v>
      </c>
      <c r="T321" s="1">
        <v>69</v>
      </c>
      <c r="U321" s="1">
        <v>29</v>
      </c>
      <c r="V321" s="1">
        <v>50</v>
      </c>
      <c r="W321" s="1">
        <v>33</v>
      </c>
      <c r="X321" s="1">
        <f>VLOOKUP($B321&amp;"__wt",'SegEnds_Xtal_BW#'!$A:$Z,24,FALSE)</f>
        <v>56</v>
      </c>
      <c r="Y321" s="1">
        <f>VLOOKUP($B321&amp;"__wt",'SegEnds_Xtal_BW#'!$A:$Z,25,FALSE)</f>
        <v>47</v>
      </c>
      <c r="Z321" s="1">
        <v>63</v>
      </c>
      <c r="AA321" s="27" t="str">
        <f>VLOOKUP(A321,Classification!A:B,2,FALSE)</f>
        <v>B2</v>
      </c>
      <c r="AB321" s="1">
        <f>VLOOKUP(A321,'SegEnds_NonXtal_Prot#'!A:AL,10,FALSE)-VLOOKUP(A321,'SegEnds_NonXtal_Prot#'!A:AL,4,FALSE)</f>
        <v>28</v>
      </c>
      <c r="AC321" s="1" t="e">
        <f>VLOOKUP(A321,'SegEnds_NonXtal_Prot#'!A:AL,10,FALSE)-VLOOKUP(A321,'SegEnds_NonXtal_Prot#'!A:AL,7,FALSE)</f>
        <v>#VALUE!</v>
      </c>
      <c r="AD321" s="1" t="e">
        <f>VLOOKUP(A321,'SegEnds_NonXtal_Prot#'!A:AL,13,FALSE)-VLOOKUP(A321,'SegEnds_NonXtal_Prot#'!A:AL,10,FALSE)</f>
        <v>#VALUE!</v>
      </c>
      <c r="AE321" s="1">
        <f>VLOOKUP(A321,'SegEnds_NonXtal_Prot#'!A:AL,16,FALSE)-VLOOKUP(A321,'SegEnds_NonXtal_Prot#'!A:AL,10,FALSE)</f>
        <v>45</v>
      </c>
      <c r="AF321" s="1" t="e">
        <f>VLOOKUP(A321,'SegEnds_NonXtal_Prot#'!A:AL,22,FALSE)-VLOOKUP(A321,'SegEnds_NonXtal_Prot#'!A:AL,19,FALSE)</f>
        <v>#VALUE!</v>
      </c>
      <c r="AG321" s="1">
        <f>VLOOKUP(A321,'SegEnds_NonXtal_Prot#'!A:AL,28,FALSE)-VLOOKUP(A321,'SegEnds_NonXtal_Prot#'!A:AL,25,FALSE)</f>
        <v>19</v>
      </c>
      <c r="AH321" s="1">
        <f>VLOOKUP(A321,'SegEnds_NonXtal_Prot#'!A:AL,28,FALSE)-VLOOKUP(A321,'SegEnds_NonXtal_Prot#'!A:AL,22,FALSE)</f>
        <v>43</v>
      </c>
      <c r="AI321" s="1">
        <f>VLOOKUP(A321,'SegEnds_NonXtal_Prot#'!A:AL,31,FALSE)-VLOOKUP(A321,'SegEnds_NonXtal_Prot#'!A:AL,28,FALSE)</f>
        <v>66</v>
      </c>
      <c r="AJ321" s="1">
        <f>VLOOKUP(A321,'SegEnds_NonXtal_Prot#'!A:AL,34,FALSE)-VLOOKUP(A321,'SegEnds_NonXtal_Prot#'!A:AL,31,FALSE)</f>
        <v>20</v>
      </c>
      <c r="AK321" s="1">
        <f>VLOOKUP(A321,'SegEnds_NonXtal_Prot#'!A:AL,37,FALSE)-VLOOKUP(A321,'SegEnds_NonXtal_Prot#'!A:AL,34,FALSE)</f>
        <v>10</v>
      </c>
      <c r="AL321" s="1" t="str">
        <f>IF(ISERROR(MATCH(A321,'SegEnds_Xtal_Prot#'!B:B, 0)), "NoXtal", "Xtal")</f>
        <v>NoXtal</v>
      </c>
    </row>
    <row r="322" spans="1:38" x14ac:dyDescent="0.2">
      <c r="A322" s="4" t="s">
        <v>1184</v>
      </c>
      <c r="B322" s="4" t="str">
        <f>VLOOKUP(A322,Xtal_Templ!A:B,2,FALSE)</f>
        <v>pth1r_human</v>
      </c>
      <c r="C322" s="5">
        <v>23</v>
      </c>
      <c r="D322" s="4">
        <f>VLOOKUP($B322&amp;"__wt",'SegEnds_Xtal_BW#'!$A:$Z,4,FALSE)</f>
        <v>60</v>
      </c>
      <c r="E322" s="4">
        <f>VLOOKUP($B322&amp;"__wt",'SegEnds_Xtal_BW#'!$A:$Z,5,FALSE)</f>
        <v>48</v>
      </c>
      <c r="F322" s="4">
        <f>VLOOKUP($B322&amp;"__wt",'SegEnds_Xtal_BW#'!$A:$Z,6,FALSE)</f>
        <v>51</v>
      </c>
      <c r="G322" s="4">
        <v>37</v>
      </c>
      <c r="H322" s="11">
        <v>63</v>
      </c>
      <c r="I322" s="4" t="str">
        <f>VLOOKUP($B322&amp;"__wt",'SegEnds_Xtal_BW#'!$A:$Z,9,FALSE)</f>
        <v>-</v>
      </c>
      <c r="J322" s="4" t="str">
        <f>VLOOKUP($B322&amp;"__wt",'SegEnds_Xtal_BW#'!$A:$Z,10,FALSE)</f>
        <v>-</v>
      </c>
      <c r="K322" s="11">
        <v>23</v>
      </c>
      <c r="L322" s="4">
        <f>VLOOKUP($B322&amp;"__wt",'SegEnds_Xtal_BW#'!$A:$Z,12,FALSE)</f>
        <v>56</v>
      </c>
      <c r="M322" s="4" t="str">
        <f>VLOOKUP($B322&amp;"__wt",'SegEnds_Xtal_BW#'!$A:$Z,13,FALSE)</f>
        <v>-</v>
      </c>
      <c r="N322" s="11" t="str">
        <f>VLOOKUP($B322&amp;"__wt",'SegEnds_Xtal_BW#'!$A:$Z,14,FALSE)</f>
        <v>-</v>
      </c>
      <c r="O322" s="88">
        <f>VLOOKUP($B322&amp;"__wt",'SegEnds_Xtal_BW#'!$A:$Z,15,FALSE)</f>
        <v>37</v>
      </c>
      <c r="P322" s="4">
        <f>VLOOKUP($B322&amp;"__wt",'SegEnds_Xtal_BW#'!$A:$Z,16,FALSE)</f>
        <v>68</v>
      </c>
      <c r="Q322" s="4">
        <f>VLOOKUP($B322&amp;"__wt",'SegEnds_Xtal_BW#'!$A:$Z,17,FALSE)</f>
        <v>50</v>
      </c>
      <c r="R322" s="4">
        <f>VLOOKUP($B322&amp;"__wt",'SegEnds_Xtal_BW#'!$A:$Z,18,FALSE)</f>
        <v>52</v>
      </c>
      <c r="S322" s="4">
        <v>36</v>
      </c>
      <c r="T322" s="4">
        <v>69</v>
      </c>
      <c r="U322" s="4">
        <v>29</v>
      </c>
      <c r="V322" s="4">
        <f>VLOOKUP($B322&amp;"__wt",'SegEnds_Xtal_BW#'!$A:$Z,22,FALSE)</f>
        <v>54</v>
      </c>
      <c r="W322" s="4">
        <v>31</v>
      </c>
      <c r="X322" s="4">
        <f>VLOOKUP($B322&amp;"__wt",'SegEnds_Xtal_BW#'!$A:$Z,24,FALSE)</f>
        <v>56</v>
      </c>
      <c r="Y322" s="4">
        <f>VLOOKUP($B322&amp;"__wt",'SegEnds_Xtal_BW#'!$A:$Z,25,FALSE)</f>
        <v>47</v>
      </c>
      <c r="Z322" s="4">
        <v>63</v>
      </c>
      <c r="AA322" s="27" t="str">
        <f>VLOOKUP(A322,Classification!A:B,2,FALSE)</f>
        <v>B2</v>
      </c>
      <c r="AB322" s="1">
        <f>VLOOKUP(A322,'SegEnds_NonXtal_Prot#'!A:AL,10,FALSE)-VLOOKUP(A322,'SegEnds_NonXtal_Prot#'!A:AL,4,FALSE)</f>
        <v>28</v>
      </c>
      <c r="AC322" s="4" t="e">
        <f>VLOOKUP(A322,'SegEnds_NonXtal_Prot#'!A:AL,10,FALSE)-VLOOKUP(A322,'SegEnds_NonXtal_Prot#'!A:AL,7,FALSE)</f>
        <v>#VALUE!</v>
      </c>
      <c r="AD322" s="4" t="e">
        <f>VLOOKUP(A322,'SegEnds_NonXtal_Prot#'!A:AL,13,FALSE)-VLOOKUP(A322,'SegEnds_NonXtal_Prot#'!A:AL,10,FALSE)</f>
        <v>#VALUE!</v>
      </c>
      <c r="AE322" s="4">
        <f>VLOOKUP(A322,'SegEnds_NonXtal_Prot#'!A:AL,16,FALSE)-VLOOKUP(A322,'SegEnds_NonXtal_Prot#'!A:AL,10,FALSE)</f>
        <v>45</v>
      </c>
      <c r="AF322" s="1" t="e">
        <f>VLOOKUP(A322,'SegEnds_NonXtal_Prot#'!A:AL,22,FALSE)-VLOOKUP(A322,'SegEnds_NonXtal_Prot#'!A:AL,19,FALSE)</f>
        <v>#VALUE!</v>
      </c>
      <c r="AG322" s="4">
        <f>VLOOKUP(A322,'SegEnds_NonXtal_Prot#'!A:AL,28,FALSE)-VLOOKUP(A322,'SegEnds_NonXtal_Prot#'!A:AL,25,FALSE)</f>
        <v>19</v>
      </c>
      <c r="AH322" s="1">
        <f>VLOOKUP(A322,'SegEnds_NonXtal_Prot#'!A:AL,28,FALSE)-VLOOKUP(A322,'SegEnds_NonXtal_Prot#'!A:AL,22,FALSE)</f>
        <v>43</v>
      </c>
      <c r="AI322" s="4">
        <f>VLOOKUP(A322,'SegEnds_NonXtal_Prot#'!A:AL,31,FALSE)-VLOOKUP(A322,'SegEnds_NonXtal_Prot#'!A:AL,28,FALSE)</f>
        <v>52</v>
      </c>
      <c r="AJ322" s="4">
        <f>VLOOKUP(A322,'SegEnds_NonXtal_Prot#'!A:AL,34,FALSE)-VLOOKUP(A322,'SegEnds_NonXtal_Prot#'!A:AL,31,FALSE)</f>
        <v>28</v>
      </c>
      <c r="AK322" s="1">
        <f>VLOOKUP(A322,'SegEnds_NonXtal_Prot#'!A:AL,37,FALSE)-VLOOKUP(A322,'SegEnds_NonXtal_Prot#'!A:AL,34,FALSE)</f>
        <v>10</v>
      </c>
      <c r="AL322" s="1" t="str">
        <f>IF(ISERROR(MATCH(A322,'SegEnds_Xtal_Prot#'!B:B, 0)), "NoXtal", "Xtal")</f>
        <v>NoXtal</v>
      </c>
    </row>
    <row r="323" spans="1:38" x14ac:dyDescent="0.2">
      <c r="A323" s="1" t="s">
        <v>1185</v>
      </c>
      <c r="B323" s="1" t="str">
        <f>VLOOKUP(A323,Xtal_Templ!A:B,2,FALSE)</f>
        <v>glp1r_human</v>
      </c>
      <c r="C323" s="5">
        <v>23</v>
      </c>
      <c r="D323" s="1">
        <f>VLOOKUP($B323&amp;"__wt",'SegEnds_Xtal_BW#'!$A:$Z,4,FALSE)</f>
        <v>60</v>
      </c>
      <c r="E323" s="1">
        <f>VLOOKUP($B323&amp;"__wt",'SegEnds_Xtal_BW#'!$A:$Z,5,FALSE)</f>
        <v>48</v>
      </c>
      <c r="F323" s="1">
        <f>VLOOKUP($B323&amp;"__wt",'SegEnds_Xtal_BW#'!$A:$Z,6,FALSE)</f>
        <v>51</v>
      </c>
      <c r="G323" s="1">
        <v>37</v>
      </c>
      <c r="H323" s="12">
        <v>63</v>
      </c>
      <c r="I323" s="1" t="str">
        <f>VLOOKUP($B323&amp;"__wt",'SegEnds_Xtal_BW#'!$A:$Z,9,FALSE)</f>
        <v>-</v>
      </c>
      <c r="J323" s="1" t="str">
        <f>VLOOKUP($B323&amp;"__wt",'SegEnds_Xtal_BW#'!$A:$Z,10,FALSE)</f>
        <v>-</v>
      </c>
      <c r="K323" s="12">
        <v>23</v>
      </c>
      <c r="L323" s="1">
        <f>VLOOKUP($B323&amp;"__wt",'SegEnds_Xtal_BW#'!$A:$Z,12,FALSE)</f>
        <v>56</v>
      </c>
      <c r="M323" s="1" t="str">
        <f>VLOOKUP($B323&amp;"__wt",'SegEnds_Xtal_BW#'!$A:$Z,13,FALSE)</f>
        <v>-</v>
      </c>
      <c r="N323" s="12" t="str">
        <f>VLOOKUP($B323&amp;"__wt",'SegEnds_Xtal_BW#'!$A:$Z,14,FALSE)</f>
        <v>-</v>
      </c>
      <c r="O323" s="87">
        <f>VLOOKUP($B323&amp;"__wt",'SegEnds_Xtal_BW#'!$A:$Z,15,FALSE)</f>
        <v>38</v>
      </c>
      <c r="P323" s="1">
        <f>VLOOKUP($B323&amp;"__wt",'SegEnds_Xtal_BW#'!$A:$Z,16,FALSE)</f>
        <v>68</v>
      </c>
      <c r="Q323" s="1">
        <f>VLOOKUP($B323&amp;"__wt",'SegEnds_Xtal_BW#'!$A:$Z,17,FALSE)</f>
        <v>50</v>
      </c>
      <c r="R323" s="1">
        <f>VLOOKUP($B323&amp;"__wt",'SegEnds_Xtal_BW#'!$A:$Z,18,FALSE)</f>
        <v>52</v>
      </c>
      <c r="S323" s="1">
        <v>36</v>
      </c>
      <c r="T323" s="1">
        <v>69</v>
      </c>
      <c r="U323" s="1">
        <v>29</v>
      </c>
      <c r="V323" s="1">
        <f>VLOOKUP($B323&amp;"__wt",'SegEnds_Xtal_BW#'!$A:$Z,22,FALSE)</f>
        <v>53</v>
      </c>
      <c r="W323" s="1">
        <v>31</v>
      </c>
      <c r="X323" s="1">
        <f>VLOOKUP($B323&amp;"__wt",'SegEnds_Xtal_BW#'!$A:$Z,24,FALSE)</f>
        <v>56</v>
      </c>
      <c r="Y323" s="1">
        <f>VLOOKUP($B323&amp;"__wt",'SegEnds_Xtal_BW#'!$A:$Z,25,FALSE)</f>
        <v>47</v>
      </c>
      <c r="Z323" s="1">
        <v>63</v>
      </c>
      <c r="AA323" s="27" t="str">
        <f>VLOOKUP(A323,Classification!A:B,2,FALSE)</f>
        <v>B2</v>
      </c>
      <c r="AB323" s="1">
        <f>VLOOKUP(A323,'SegEnds_NonXtal_Prot#'!A:AL,10,FALSE)-VLOOKUP(A323,'SegEnds_NonXtal_Prot#'!A:AL,4,FALSE)</f>
        <v>28</v>
      </c>
      <c r="AC323" s="1">
        <f>VLOOKUP(A323,'SegEnds_NonXtal_Prot#'!A:AL,10,FALSE)-VLOOKUP(A323,'SegEnds_NonXtal_Prot#'!A:AL,7,FALSE)</f>
        <v>15</v>
      </c>
      <c r="AD323" s="1" t="e">
        <f>VLOOKUP(A323,'SegEnds_NonXtal_Prot#'!A:AL,13,FALSE)-VLOOKUP(A323,'SegEnds_NonXtal_Prot#'!A:AL,10,FALSE)</f>
        <v>#VALUE!</v>
      </c>
      <c r="AE323" s="1">
        <f>VLOOKUP(A323,'SegEnds_NonXtal_Prot#'!A:AL,16,FALSE)-VLOOKUP(A323,'SegEnds_NonXtal_Prot#'!A:AL,10,FALSE)</f>
        <v>45</v>
      </c>
      <c r="AF323" s="1" t="e">
        <f>VLOOKUP(A323,'SegEnds_NonXtal_Prot#'!A:AL,22,FALSE)-VLOOKUP(A323,'SegEnds_NonXtal_Prot#'!A:AL,19,FALSE)</f>
        <v>#VALUE!</v>
      </c>
      <c r="AG323" s="1">
        <f>VLOOKUP(A323,'SegEnds_NonXtal_Prot#'!A:AL,28,FALSE)-VLOOKUP(A323,'SegEnds_NonXtal_Prot#'!A:AL,25,FALSE)</f>
        <v>19</v>
      </c>
      <c r="AH323" s="1">
        <f>VLOOKUP(A323,'SegEnds_NonXtal_Prot#'!A:AL,28,FALSE)-VLOOKUP(A323,'SegEnds_NonXtal_Prot#'!A:AL,22,FALSE)</f>
        <v>43</v>
      </c>
      <c r="AI323" s="1">
        <f>VLOOKUP(A323,'SegEnds_NonXtal_Prot#'!A:AL,31,FALSE)-VLOOKUP(A323,'SegEnds_NonXtal_Prot#'!A:AL,28,FALSE)</f>
        <v>52</v>
      </c>
      <c r="AJ323" s="1">
        <f>VLOOKUP(A323,'SegEnds_NonXtal_Prot#'!A:AL,34,FALSE)-VLOOKUP(A323,'SegEnds_NonXtal_Prot#'!A:AL,31,FALSE)</f>
        <v>28</v>
      </c>
      <c r="AK323" s="1">
        <f>VLOOKUP(A323,'SegEnds_NonXtal_Prot#'!A:AL,37,FALSE)-VLOOKUP(A323,'SegEnds_NonXtal_Prot#'!A:AL,34,FALSE)</f>
        <v>10</v>
      </c>
      <c r="AL323" s="1" t="str">
        <f>IF(ISERROR(MATCH(A323,'SegEnds_Xtal_Prot#'!B:B, 0)), "NoXtal", "Xtal")</f>
        <v>NoXtal</v>
      </c>
    </row>
    <row r="324" spans="1:38" x14ac:dyDescent="0.2">
      <c r="A324" s="1" t="s">
        <v>1186</v>
      </c>
      <c r="B324" s="1" t="str">
        <f>VLOOKUP(A324,Xtal_Templ!A:B,2,FALSE)</f>
        <v>pth1r_human</v>
      </c>
      <c r="C324" s="5">
        <v>23</v>
      </c>
      <c r="D324" s="1">
        <f>VLOOKUP($B324&amp;"__wt",'SegEnds_Xtal_BW#'!$A:$Z,4,FALSE)</f>
        <v>60</v>
      </c>
      <c r="E324" s="1">
        <f>VLOOKUP($B324&amp;"__wt",'SegEnds_Xtal_BW#'!$A:$Z,5,FALSE)</f>
        <v>48</v>
      </c>
      <c r="F324" s="1">
        <f>VLOOKUP($B324&amp;"__wt",'SegEnds_Xtal_BW#'!$A:$Z,6,FALSE)</f>
        <v>51</v>
      </c>
      <c r="G324" s="1">
        <v>37</v>
      </c>
      <c r="H324" s="12">
        <v>63</v>
      </c>
      <c r="I324" s="1" t="str">
        <f>VLOOKUP($B324&amp;"__wt",'SegEnds_Xtal_BW#'!$A:$Z,9,FALSE)</f>
        <v>-</v>
      </c>
      <c r="J324" s="1" t="str">
        <f>VLOOKUP($B324&amp;"__wt",'SegEnds_Xtal_BW#'!$A:$Z,10,FALSE)</f>
        <v>-</v>
      </c>
      <c r="K324" s="12">
        <v>23</v>
      </c>
      <c r="L324" s="1">
        <f>VLOOKUP($B324&amp;"__wt",'SegEnds_Xtal_BW#'!$A:$Z,12,FALSE)</f>
        <v>56</v>
      </c>
      <c r="M324" s="1" t="str">
        <f>VLOOKUP($B324&amp;"__wt",'SegEnds_Xtal_BW#'!$A:$Z,13,FALSE)</f>
        <v>-</v>
      </c>
      <c r="N324" s="12" t="str">
        <f>VLOOKUP($B324&amp;"__wt",'SegEnds_Xtal_BW#'!$A:$Z,14,FALSE)</f>
        <v>-</v>
      </c>
      <c r="O324" s="87">
        <f>VLOOKUP($B324&amp;"__wt",'SegEnds_Xtal_BW#'!$A:$Z,15,FALSE)</f>
        <v>37</v>
      </c>
      <c r="P324" s="1">
        <f>VLOOKUP($B324&amp;"__wt",'SegEnds_Xtal_BW#'!$A:$Z,16,FALSE)</f>
        <v>68</v>
      </c>
      <c r="Q324" s="1">
        <f>VLOOKUP($B324&amp;"__wt",'SegEnds_Xtal_BW#'!$A:$Z,17,FALSE)</f>
        <v>50</v>
      </c>
      <c r="R324" s="1">
        <f>VLOOKUP($B324&amp;"__wt",'SegEnds_Xtal_BW#'!$A:$Z,18,FALSE)</f>
        <v>52</v>
      </c>
      <c r="S324" s="1">
        <v>36</v>
      </c>
      <c r="T324" s="1">
        <v>69</v>
      </c>
      <c r="U324" s="1">
        <v>29</v>
      </c>
      <c r="V324" s="1">
        <f>VLOOKUP($B324&amp;"__wt",'SegEnds_Xtal_BW#'!$A:$Z,22,FALSE)</f>
        <v>54</v>
      </c>
      <c r="W324" s="1">
        <v>31</v>
      </c>
      <c r="X324" s="1">
        <f>VLOOKUP($B324&amp;"__wt",'SegEnds_Xtal_BW#'!$A:$Z,24,FALSE)</f>
        <v>56</v>
      </c>
      <c r="Y324" s="1">
        <f>VLOOKUP($B324&amp;"__wt",'SegEnds_Xtal_BW#'!$A:$Z,25,FALSE)</f>
        <v>47</v>
      </c>
      <c r="Z324" s="1">
        <v>63</v>
      </c>
      <c r="AA324" s="27" t="str">
        <f>VLOOKUP(A324,Classification!A:B,2,FALSE)</f>
        <v>B2</v>
      </c>
      <c r="AB324" s="1">
        <f>VLOOKUP(A324,'SegEnds_NonXtal_Prot#'!A:AL,10,FALSE)-VLOOKUP(A324,'SegEnds_NonXtal_Prot#'!A:AL,4,FALSE)</f>
        <v>28</v>
      </c>
      <c r="AC324" s="1">
        <f>VLOOKUP(A324,'SegEnds_NonXtal_Prot#'!A:AL,10,FALSE)-VLOOKUP(A324,'SegEnds_NonXtal_Prot#'!A:AL,7,FALSE)</f>
        <v>15</v>
      </c>
      <c r="AD324" s="1" t="e">
        <f>VLOOKUP(A324,'SegEnds_NonXtal_Prot#'!A:AL,13,FALSE)-VLOOKUP(A324,'SegEnds_NonXtal_Prot#'!A:AL,10,FALSE)</f>
        <v>#VALUE!</v>
      </c>
      <c r="AE324" s="1">
        <f>VLOOKUP(A324,'SegEnds_NonXtal_Prot#'!A:AL,16,FALSE)-VLOOKUP(A324,'SegEnds_NonXtal_Prot#'!A:AL,10,FALSE)</f>
        <v>45</v>
      </c>
      <c r="AF324" s="1" t="e">
        <f>VLOOKUP(A324,'SegEnds_NonXtal_Prot#'!A:AL,22,FALSE)-VLOOKUP(A324,'SegEnds_NonXtal_Prot#'!A:AL,19,FALSE)</f>
        <v>#VALUE!</v>
      </c>
      <c r="AG324" s="1">
        <f>VLOOKUP(A324,'SegEnds_NonXtal_Prot#'!A:AL,28,FALSE)-VLOOKUP(A324,'SegEnds_NonXtal_Prot#'!A:AL,25,FALSE)</f>
        <v>19</v>
      </c>
      <c r="AH324" s="1">
        <f>VLOOKUP(A324,'SegEnds_NonXtal_Prot#'!A:AL,28,FALSE)-VLOOKUP(A324,'SegEnds_NonXtal_Prot#'!A:AL,22,FALSE)</f>
        <v>43</v>
      </c>
      <c r="AI324" s="1">
        <f>VLOOKUP(A324,'SegEnds_NonXtal_Prot#'!A:AL,31,FALSE)-VLOOKUP(A324,'SegEnds_NonXtal_Prot#'!A:AL,28,FALSE)</f>
        <v>52</v>
      </c>
      <c r="AJ324" s="1">
        <f>VLOOKUP(A324,'SegEnds_NonXtal_Prot#'!A:AL,34,FALSE)-VLOOKUP(A324,'SegEnds_NonXtal_Prot#'!A:AL,31,FALSE)</f>
        <v>28</v>
      </c>
      <c r="AK324" s="1">
        <f>VLOOKUP(A324,'SegEnds_NonXtal_Prot#'!A:AL,37,FALSE)-VLOOKUP(A324,'SegEnds_NonXtal_Prot#'!A:AL,34,FALSE)</f>
        <v>10</v>
      </c>
      <c r="AL324" s="1" t="str">
        <f>IF(ISERROR(MATCH(A324,'SegEnds_Xtal_Prot#'!B:B, 0)), "NoXtal", "Xtal")</f>
        <v>NoXtal</v>
      </c>
    </row>
    <row r="325" spans="1:38" x14ac:dyDescent="0.2">
      <c r="A325" s="1" t="s">
        <v>1187</v>
      </c>
      <c r="B325" s="1" t="str">
        <f>VLOOKUP(A325,Xtal_Templ!A:B,2,FALSE)</f>
        <v>glp1r_human</v>
      </c>
      <c r="C325" s="5">
        <v>23</v>
      </c>
      <c r="D325" s="1">
        <f>VLOOKUP($B325&amp;"__wt",'SegEnds_Xtal_BW#'!$A:$Z,4,FALSE)</f>
        <v>60</v>
      </c>
      <c r="E325" s="1">
        <f>VLOOKUP($B325&amp;"__wt",'SegEnds_Xtal_BW#'!$A:$Z,5,FALSE)</f>
        <v>48</v>
      </c>
      <c r="F325" s="1">
        <f>VLOOKUP($B325&amp;"__wt",'SegEnds_Xtal_BW#'!$A:$Z,6,FALSE)</f>
        <v>51</v>
      </c>
      <c r="G325" s="1">
        <v>37</v>
      </c>
      <c r="H325" s="12">
        <v>63</v>
      </c>
      <c r="I325" s="1" t="str">
        <f>VLOOKUP($B325&amp;"__wt",'SegEnds_Xtal_BW#'!$A:$Z,9,FALSE)</f>
        <v>-</v>
      </c>
      <c r="J325" s="1" t="str">
        <f>VLOOKUP($B325&amp;"__wt",'SegEnds_Xtal_BW#'!$A:$Z,10,FALSE)</f>
        <v>-</v>
      </c>
      <c r="K325" s="12">
        <v>23</v>
      </c>
      <c r="L325" s="1">
        <f>VLOOKUP($B325&amp;"__wt",'SegEnds_Xtal_BW#'!$A:$Z,12,FALSE)</f>
        <v>56</v>
      </c>
      <c r="M325" s="1" t="str">
        <f>VLOOKUP($B325&amp;"__wt",'SegEnds_Xtal_BW#'!$A:$Z,13,FALSE)</f>
        <v>-</v>
      </c>
      <c r="N325" s="12" t="str">
        <f>VLOOKUP($B325&amp;"__wt",'SegEnds_Xtal_BW#'!$A:$Z,14,FALSE)</f>
        <v>-</v>
      </c>
      <c r="O325" s="87">
        <f>VLOOKUP($B325&amp;"__wt",'SegEnds_Xtal_BW#'!$A:$Z,15,FALSE)</f>
        <v>38</v>
      </c>
      <c r="P325" s="1">
        <f>VLOOKUP($B325&amp;"__wt",'SegEnds_Xtal_BW#'!$A:$Z,16,FALSE)</f>
        <v>68</v>
      </c>
      <c r="Q325" s="1">
        <f>VLOOKUP($B325&amp;"__wt",'SegEnds_Xtal_BW#'!$A:$Z,17,FALSE)</f>
        <v>50</v>
      </c>
      <c r="R325" s="1">
        <f>VLOOKUP($B325&amp;"__wt",'SegEnds_Xtal_BW#'!$A:$Z,18,FALSE)</f>
        <v>52</v>
      </c>
      <c r="S325" s="1">
        <v>36</v>
      </c>
      <c r="T325" s="1">
        <v>69</v>
      </c>
      <c r="U325" s="1">
        <v>29</v>
      </c>
      <c r="V325" s="1">
        <f>VLOOKUP($B325&amp;"__wt",'SegEnds_Xtal_BW#'!$A:$Z,22,FALSE)</f>
        <v>53</v>
      </c>
      <c r="W325" s="1">
        <v>28</v>
      </c>
      <c r="X325" s="1">
        <f>VLOOKUP($B325&amp;"__wt",'SegEnds_Xtal_BW#'!$A:$Z,24,FALSE)</f>
        <v>56</v>
      </c>
      <c r="Y325" s="1">
        <f>VLOOKUP($B325&amp;"__wt",'SegEnds_Xtal_BW#'!$A:$Z,25,FALSE)</f>
        <v>47</v>
      </c>
      <c r="Z325" s="1">
        <v>63</v>
      </c>
      <c r="AA325" s="27" t="str">
        <f>VLOOKUP(A325,Classification!A:B,2,FALSE)</f>
        <v>B2</v>
      </c>
      <c r="AB325" s="1">
        <f>VLOOKUP(A325,'SegEnds_NonXtal_Prot#'!A:AL,10,FALSE)-VLOOKUP(A325,'SegEnds_NonXtal_Prot#'!A:AL,4,FALSE)</f>
        <v>28</v>
      </c>
      <c r="AC325" s="1">
        <f>VLOOKUP(A325,'SegEnds_NonXtal_Prot#'!A:AL,10,FALSE)-VLOOKUP(A325,'SegEnds_NonXtal_Prot#'!A:AL,7,FALSE)</f>
        <v>15</v>
      </c>
      <c r="AD325" s="1" t="e">
        <f>VLOOKUP(A325,'SegEnds_NonXtal_Prot#'!A:AL,13,FALSE)-VLOOKUP(A325,'SegEnds_NonXtal_Prot#'!A:AL,10,FALSE)</f>
        <v>#VALUE!</v>
      </c>
      <c r="AE325" s="1">
        <f>VLOOKUP(A325,'SegEnds_NonXtal_Prot#'!A:AL,16,FALSE)-VLOOKUP(A325,'SegEnds_NonXtal_Prot#'!A:AL,10,FALSE)</f>
        <v>45</v>
      </c>
      <c r="AF325" s="1" t="e">
        <f>VLOOKUP(A325,'SegEnds_NonXtal_Prot#'!A:AL,22,FALSE)-VLOOKUP(A325,'SegEnds_NonXtal_Prot#'!A:AL,19,FALSE)</f>
        <v>#VALUE!</v>
      </c>
      <c r="AG325" s="1">
        <f>VLOOKUP(A325,'SegEnds_NonXtal_Prot#'!A:AL,28,FALSE)-VLOOKUP(A325,'SegEnds_NonXtal_Prot#'!A:AL,25,FALSE)</f>
        <v>19</v>
      </c>
      <c r="AH325" s="1">
        <f>VLOOKUP(A325,'SegEnds_NonXtal_Prot#'!A:AL,28,FALSE)-VLOOKUP(A325,'SegEnds_NonXtal_Prot#'!A:AL,22,FALSE)</f>
        <v>42</v>
      </c>
      <c r="AI325" s="1">
        <f>VLOOKUP(A325,'SegEnds_NonXtal_Prot#'!A:AL,31,FALSE)-VLOOKUP(A325,'SegEnds_NonXtal_Prot#'!A:AL,28,FALSE)</f>
        <v>52</v>
      </c>
      <c r="AJ325" s="1">
        <f>VLOOKUP(A325,'SegEnds_NonXtal_Prot#'!A:AL,34,FALSE)-VLOOKUP(A325,'SegEnds_NonXtal_Prot#'!A:AL,31,FALSE)</f>
        <v>32</v>
      </c>
      <c r="AK325" s="1">
        <f>VLOOKUP(A325,'SegEnds_NonXtal_Prot#'!A:AL,37,FALSE)-VLOOKUP(A325,'SegEnds_NonXtal_Prot#'!A:AL,34,FALSE)</f>
        <v>10</v>
      </c>
      <c r="AL325" s="1" t="str">
        <f>IF(ISERROR(MATCH(A325,'SegEnds_Xtal_Prot#'!B:B, 0)), "NoXtal", "Xtal")</f>
        <v>NoXtal</v>
      </c>
    </row>
    <row r="326" spans="1:38" x14ac:dyDescent="0.2">
      <c r="A326" s="1" t="s">
        <v>1188</v>
      </c>
      <c r="B326" s="1" t="str">
        <f>VLOOKUP(A326,Xtal_Templ!A:B,2,FALSE)</f>
        <v>pth1r_human</v>
      </c>
      <c r="C326" s="5">
        <v>23</v>
      </c>
      <c r="D326" s="1">
        <f>VLOOKUP($B326&amp;"__wt",'SegEnds_Xtal_BW#'!$A:$Z,4,FALSE)</f>
        <v>60</v>
      </c>
      <c r="E326" s="1">
        <f>VLOOKUP($B326&amp;"__wt",'SegEnds_Xtal_BW#'!$A:$Z,5,FALSE)</f>
        <v>48</v>
      </c>
      <c r="F326" s="1">
        <f>VLOOKUP($B326&amp;"__wt",'SegEnds_Xtal_BW#'!$A:$Z,6,FALSE)</f>
        <v>51</v>
      </c>
      <c r="G326" s="1">
        <v>37</v>
      </c>
      <c r="H326" s="12">
        <v>63</v>
      </c>
      <c r="I326" s="1" t="str">
        <f>VLOOKUP($B326&amp;"__wt",'SegEnds_Xtal_BW#'!$A:$Z,9,FALSE)</f>
        <v>-</v>
      </c>
      <c r="J326" s="1" t="str">
        <f>VLOOKUP($B326&amp;"__wt",'SegEnds_Xtal_BW#'!$A:$Z,10,FALSE)</f>
        <v>-</v>
      </c>
      <c r="K326" s="12">
        <v>23</v>
      </c>
      <c r="L326" s="1">
        <f>VLOOKUP($B326&amp;"__wt",'SegEnds_Xtal_BW#'!$A:$Z,12,FALSE)</f>
        <v>56</v>
      </c>
      <c r="M326" s="1" t="str">
        <f>VLOOKUP($B326&amp;"__wt",'SegEnds_Xtal_BW#'!$A:$Z,13,FALSE)</f>
        <v>-</v>
      </c>
      <c r="N326" s="12" t="str">
        <f>VLOOKUP($B326&amp;"__wt",'SegEnds_Xtal_BW#'!$A:$Z,14,FALSE)</f>
        <v>-</v>
      </c>
      <c r="O326" s="87">
        <f>VLOOKUP($B326&amp;"__wt",'SegEnds_Xtal_BW#'!$A:$Z,15,FALSE)</f>
        <v>37</v>
      </c>
      <c r="P326" s="1">
        <f>VLOOKUP($B326&amp;"__wt",'SegEnds_Xtal_BW#'!$A:$Z,16,FALSE)</f>
        <v>68</v>
      </c>
      <c r="Q326" s="1">
        <f>VLOOKUP($B326&amp;"__wt",'SegEnds_Xtal_BW#'!$A:$Z,17,FALSE)</f>
        <v>50</v>
      </c>
      <c r="R326" s="1">
        <f>VLOOKUP($B326&amp;"__wt",'SegEnds_Xtal_BW#'!$A:$Z,18,FALSE)</f>
        <v>52</v>
      </c>
      <c r="S326" s="1">
        <v>36</v>
      </c>
      <c r="T326" s="1">
        <v>69</v>
      </c>
      <c r="U326" s="1">
        <v>29</v>
      </c>
      <c r="V326" s="1">
        <f>VLOOKUP($B326&amp;"__wt",'SegEnds_Xtal_BW#'!$A:$Z,22,FALSE)</f>
        <v>54</v>
      </c>
      <c r="W326" s="1">
        <v>31</v>
      </c>
      <c r="X326" s="1">
        <f>VLOOKUP($B326&amp;"__wt",'SegEnds_Xtal_BW#'!$A:$Z,24,FALSE)</f>
        <v>56</v>
      </c>
      <c r="Y326" s="1">
        <f>VLOOKUP($B326&amp;"__wt",'SegEnds_Xtal_BW#'!$A:$Z,25,FALSE)</f>
        <v>47</v>
      </c>
      <c r="Z326" s="1">
        <v>63</v>
      </c>
      <c r="AA326" s="27" t="str">
        <f>VLOOKUP(A326,Classification!A:B,2,FALSE)</f>
        <v>B2</v>
      </c>
      <c r="AB326" s="1">
        <f>VLOOKUP(A326,'SegEnds_NonXtal_Prot#'!A:AL,10,FALSE)-VLOOKUP(A326,'SegEnds_NonXtal_Prot#'!A:AL,4,FALSE)</f>
        <v>31</v>
      </c>
      <c r="AC326" s="1" t="e">
        <f>VLOOKUP(A326,'SegEnds_NonXtal_Prot#'!A:AL,10,FALSE)-VLOOKUP(A326,'SegEnds_NonXtal_Prot#'!A:AL,7,FALSE)</f>
        <v>#VALUE!</v>
      </c>
      <c r="AD326" s="1" t="e">
        <f>VLOOKUP(A326,'SegEnds_NonXtal_Prot#'!A:AL,13,FALSE)-VLOOKUP(A326,'SegEnds_NonXtal_Prot#'!A:AL,10,FALSE)</f>
        <v>#VALUE!</v>
      </c>
      <c r="AE326" s="1">
        <f>VLOOKUP(A326,'SegEnds_NonXtal_Prot#'!A:AL,16,FALSE)-VLOOKUP(A326,'SegEnds_NonXtal_Prot#'!A:AL,10,FALSE)</f>
        <v>51</v>
      </c>
      <c r="AF326" s="1" t="e">
        <f>VLOOKUP(A326,'SegEnds_NonXtal_Prot#'!A:AL,22,FALSE)-VLOOKUP(A326,'SegEnds_NonXtal_Prot#'!A:AL,19,FALSE)</f>
        <v>#VALUE!</v>
      </c>
      <c r="AG326" s="1">
        <f>VLOOKUP(A326,'SegEnds_NonXtal_Prot#'!A:AL,28,FALSE)-VLOOKUP(A326,'SegEnds_NonXtal_Prot#'!A:AL,25,FALSE)</f>
        <v>21</v>
      </c>
      <c r="AH326" s="1">
        <f>VLOOKUP(A326,'SegEnds_NonXtal_Prot#'!A:AL,28,FALSE)-VLOOKUP(A326,'SegEnds_NonXtal_Prot#'!A:AL,22,FALSE)</f>
        <v>47</v>
      </c>
      <c r="AI326" s="1">
        <f>VLOOKUP(A326,'SegEnds_NonXtal_Prot#'!A:AL,31,FALSE)-VLOOKUP(A326,'SegEnds_NonXtal_Prot#'!A:AL,28,FALSE)</f>
        <v>52</v>
      </c>
      <c r="AJ326" s="1">
        <f>VLOOKUP(A326,'SegEnds_NonXtal_Prot#'!A:AL,34,FALSE)-VLOOKUP(A326,'SegEnds_NonXtal_Prot#'!A:AL,31,FALSE)</f>
        <v>29</v>
      </c>
      <c r="AK326" s="1">
        <f>VLOOKUP(A326,'SegEnds_NonXtal_Prot#'!A:AL,37,FALSE)-VLOOKUP(A326,'SegEnds_NonXtal_Prot#'!A:AL,34,FALSE)</f>
        <v>10</v>
      </c>
      <c r="AL326" s="1" t="str">
        <f>IF(ISERROR(MATCH(A326,'SegEnds_Xtal_Prot#'!B:B, 0)), "NoXtal", "Xtal")</f>
        <v>NoXtal</v>
      </c>
    </row>
    <row r="327" spans="1:38" x14ac:dyDescent="0.2">
      <c r="A327" s="1" t="s">
        <v>1190</v>
      </c>
      <c r="B327" s="1" t="str">
        <f>VLOOKUP(A327,Xtal_Templ!A:B,2,FALSE)</f>
        <v>calrl_human</v>
      </c>
      <c r="C327" s="5">
        <v>23</v>
      </c>
      <c r="D327" s="1">
        <f>VLOOKUP($B327&amp;"__wt",'SegEnds_Xtal_BW#'!$A:$Z,4,FALSE)</f>
        <v>60</v>
      </c>
      <c r="E327" s="1">
        <f>VLOOKUP($B327&amp;"__wt",'SegEnds_Xtal_BW#'!$A:$Z,5,FALSE)</f>
        <v>48</v>
      </c>
      <c r="F327" s="1">
        <f>VLOOKUP($B327&amp;"__wt",'SegEnds_Xtal_BW#'!$A:$Z,6,FALSE)</f>
        <v>51</v>
      </c>
      <c r="G327" s="1">
        <v>37</v>
      </c>
      <c r="H327" s="12">
        <v>63</v>
      </c>
      <c r="I327" s="1" t="str">
        <f>VLOOKUP($B327&amp;"__wt",'SegEnds_Xtal_BW#'!$A:$Z,9,FALSE)</f>
        <v>-</v>
      </c>
      <c r="J327" s="1" t="str">
        <f>VLOOKUP($B327&amp;"__wt",'SegEnds_Xtal_BW#'!$A:$Z,10,FALSE)</f>
        <v>-</v>
      </c>
      <c r="K327" s="12">
        <v>23</v>
      </c>
      <c r="L327" s="1">
        <f>VLOOKUP($B327&amp;"__wt",'SegEnds_Xtal_BW#'!$A:$Z,12,FALSE)</f>
        <v>56</v>
      </c>
      <c r="M327" s="1" t="str">
        <f>VLOOKUP($B327&amp;"__wt",'SegEnds_Xtal_BW#'!$A:$Z,13,FALSE)</f>
        <v>-</v>
      </c>
      <c r="N327" s="12" t="str">
        <f>VLOOKUP($B327&amp;"__wt",'SegEnds_Xtal_BW#'!$A:$Z,14,FALSE)</f>
        <v>-</v>
      </c>
      <c r="O327" s="87">
        <f>VLOOKUP($B327&amp;"__wt",'SegEnds_Xtal_BW#'!$A:$Z,15,FALSE)</f>
        <v>41</v>
      </c>
      <c r="P327" s="1">
        <f>VLOOKUP($B327&amp;"__wt",'SegEnds_Xtal_BW#'!$A:$Z,16,FALSE)</f>
        <v>67</v>
      </c>
      <c r="Q327" s="1">
        <f>VLOOKUP($B327&amp;"__wt",'SegEnds_Xtal_BW#'!$A:$Z,17,FALSE)</f>
        <v>50</v>
      </c>
      <c r="R327" s="1">
        <f>VLOOKUP($B327&amp;"__wt",'SegEnds_Xtal_BW#'!$A:$Z,18,FALSE)</f>
        <v>52</v>
      </c>
      <c r="S327" s="1">
        <v>36</v>
      </c>
      <c r="T327" s="1">
        <v>69</v>
      </c>
      <c r="U327" s="1">
        <v>29</v>
      </c>
      <c r="V327" s="1">
        <f>VLOOKUP($B327&amp;"__wt",'SegEnds_Xtal_BW#'!$A:$Z,22,FALSE)</f>
        <v>53</v>
      </c>
      <c r="W327" s="1">
        <v>31</v>
      </c>
      <c r="X327" s="1">
        <f>VLOOKUP($B327&amp;"__wt",'SegEnds_Xtal_BW#'!$A:$Z,24,FALSE)</f>
        <v>56</v>
      </c>
      <c r="Y327" s="1">
        <f>VLOOKUP($B327&amp;"__wt",'SegEnds_Xtal_BW#'!$A:$Z,25,FALSE)</f>
        <v>47</v>
      </c>
      <c r="Z327" s="1">
        <v>63</v>
      </c>
      <c r="AA327" s="27" t="str">
        <f>VLOOKUP(A327,Classification!A:B,2,FALSE)</f>
        <v>B2</v>
      </c>
      <c r="AB327" s="1">
        <f>VLOOKUP(A327,'SegEnds_NonXtal_Prot#'!A:AL,10,FALSE)-VLOOKUP(A327,'SegEnds_NonXtal_Prot#'!A:AL,4,FALSE)</f>
        <v>31</v>
      </c>
      <c r="AC327" s="1" t="e">
        <f>VLOOKUP(A327,'SegEnds_NonXtal_Prot#'!A:AL,10,FALSE)-VLOOKUP(A327,'SegEnds_NonXtal_Prot#'!A:AL,7,FALSE)</f>
        <v>#VALUE!</v>
      </c>
      <c r="AD327" s="1" t="e">
        <f>VLOOKUP(A327,'SegEnds_NonXtal_Prot#'!A:AL,13,FALSE)-VLOOKUP(A327,'SegEnds_NonXtal_Prot#'!A:AL,10,FALSE)</f>
        <v>#VALUE!</v>
      </c>
      <c r="AE327" s="1">
        <f>VLOOKUP(A327,'SegEnds_NonXtal_Prot#'!A:AL,16,FALSE)-VLOOKUP(A327,'SegEnds_NonXtal_Prot#'!A:AL,10,FALSE)</f>
        <v>50</v>
      </c>
      <c r="AF327" s="1" t="e">
        <f>VLOOKUP(A327,'SegEnds_NonXtal_Prot#'!A:AL,22,FALSE)-VLOOKUP(A327,'SegEnds_NonXtal_Prot#'!A:AL,19,FALSE)</f>
        <v>#VALUE!</v>
      </c>
      <c r="AG327" s="1">
        <f>VLOOKUP(A327,'SegEnds_NonXtal_Prot#'!A:AL,28,FALSE)-VLOOKUP(A327,'SegEnds_NonXtal_Prot#'!A:AL,25,FALSE)</f>
        <v>19</v>
      </c>
      <c r="AH327" s="1">
        <f>VLOOKUP(A327,'SegEnds_NonXtal_Prot#'!A:AL,28,FALSE)-VLOOKUP(A327,'SegEnds_NonXtal_Prot#'!A:AL,22,FALSE)</f>
        <v>45</v>
      </c>
      <c r="AI327" s="1">
        <f>VLOOKUP(A327,'SegEnds_NonXtal_Prot#'!A:AL,31,FALSE)-VLOOKUP(A327,'SegEnds_NonXtal_Prot#'!A:AL,28,FALSE)</f>
        <v>52</v>
      </c>
      <c r="AJ327" s="1">
        <f>VLOOKUP(A327,'SegEnds_NonXtal_Prot#'!A:AL,34,FALSE)-VLOOKUP(A327,'SegEnds_NonXtal_Prot#'!A:AL,31,FALSE)</f>
        <v>29</v>
      </c>
      <c r="AK327" s="1">
        <f>VLOOKUP(A327,'SegEnds_NonXtal_Prot#'!A:AL,37,FALSE)-VLOOKUP(A327,'SegEnds_NonXtal_Prot#'!A:AL,34,FALSE)</f>
        <v>10</v>
      </c>
      <c r="AL327" s="1" t="str">
        <f>IF(ISERROR(MATCH(A327,'SegEnds_Xtal_Prot#'!B:B, 0)), "NoXtal", "Xtal")</f>
        <v>NoXtal</v>
      </c>
    </row>
    <row r="328" spans="1:38" x14ac:dyDescent="0.2">
      <c r="A328" s="1" t="s">
        <v>1191</v>
      </c>
      <c r="B328" s="1" t="str">
        <f>VLOOKUP(A328,Xtal_Templ!A:B,2,FALSE)</f>
        <v>crfr1_human</v>
      </c>
      <c r="C328" s="5">
        <v>23</v>
      </c>
      <c r="D328" s="1">
        <f>VLOOKUP($B328&amp;"__wt",'SegEnds_Xtal_BW#'!$A:$Z,4,FALSE)</f>
        <v>60</v>
      </c>
      <c r="E328" s="1">
        <f>VLOOKUP($B328&amp;"__wt",'SegEnds_Xtal_BW#'!$A:$Z,5,FALSE)</f>
        <v>48</v>
      </c>
      <c r="F328" s="1">
        <f>VLOOKUP($B328&amp;"__wt",'SegEnds_Xtal_BW#'!$A:$Z,6,FALSE)</f>
        <v>51</v>
      </c>
      <c r="G328" s="1">
        <v>37</v>
      </c>
      <c r="H328" s="12">
        <v>63</v>
      </c>
      <c r="I328" s="1" t="str">
        <f>VLOOKUP($B328&amp;"__wt",'SegEnds_Xtal_BW#'!$A:$Z,9,FALSE)</f>
        <v>-</v>
      </c>
      <c r="J328" s="1" t="str">
        <f>VLOOKUP($B328&amp;"__wt",'SegEnds_Xtal_BW#'!$A:$Z,10,FALSE)</f>
        <v>-</v>
      </c>
      <c r="K328" s="12">
        <v>23</v>
      </c>
      <c r="L328" s="1">
        <f>VLOOKUP($B328&amp;"__wt",'SegEnds_Xtal_BW#'!$A:$Z,12,FALSE)</f>
        <v>56</v>
      </c>
      <c r="M328" s="1" t="str">
        <f>VLOOKUP($B328&amp;"__wt",'SegEnds_Xtal_BW#'!$A:$Z,13,FALSE)</f>
        <v>-</v>
      </c>
      <c r="N328" s="12" t="str">
        <f>VLOOKUP($B328&amp;"__wt",'SegEnds_Xtal_BW#'!$A:$Z,14,FALSE)</f>
        <v>-</v>
      </c>
      <c r="O328" s="87">
        <f>VLOOKUP($B328&amp;"__wt",'SegEnds_Xtal_BW#'!$A:$Z,15,FALSE)</f>
        <v>40</v>
      </c>
      <c r="P328" s="1">
        <f>VLOOKUP($B328&amp;"__wt",'SegEnds_Xtal_BW#'!$A:$Z,16,FALSE)</f>
        <v>68</v>
      </c>
      <c r="Q328" s="1">
        <f>VLOOKUP($B328&amp;"__wt",'SegEnds_Xtal_BW#'!$A:$Z,17,FALSE)</f>
        <v>50</v>
      </c>
      <c r="R328" s="1">
        <f>VLOOKUP($B328&amp;"__wt",'SegEnds_Xtal_BW#'!$A:$Z,18,FALSE)</f>
        <v>52</v>
      </c>
      <c r="S328" s="1">
        <v>36</v>
      </c>
      <c r="T328" s="1">
        <v>69</v>
      </c>
      <c r="U328" s="1">
        <v>29</v>
      </c>
      <c r="V328" s="1">
        <f>VLOOKUP($B328&amp;"__wt",'SegEnds_Xtal_BW#'!$A:$Z,22,FALSE)</f>
        <v>53</v>
      </c>
      <c r="W328" s="1">
        <v>31</v>
      </c>
      <c r="X328" s="1">
        <f>VLOOKUP($B328&amp;"__wt",'SegEnds_Xtal_BW#'!$A:$Z,24,FALSE)</f>
        <v>56</v>
      </c>
      <c r="Y328" s="1">
        <f>VLOOKUP($B328&amp;"__wt",'SegEnds_Xtal_BW#'!$A:$Z,25,FALSE)</f>
        <v>47</v>
      </c>
      <c r="Z328" s="1">
        <v>63</v>
      </c>
      <c r="AA328" s="27" t="str">
        <f>VLOOKUP(A328,Classification!A:B,2,FALSE)</f>
        <v>B2</v>
      </c>
      <c r="AB328" s="1">
        <f>VLOOKUP(A328,'SegEnds_NonXtal_Prot#'!A:AL,10,FALSE)-VLOOKUP(A328,'SegEnds_NonXtal_Prot#'!A:AL,4,FALSE)</f>
        <v>31</v>
      </c>
      <c r="AC328" s="1" t="e">
        <f>VLOOKUP(A328,'SegEnds_NonXtal_Prot#'!A:AL,10,FALSE)-VLOOKUP(A328,'SegEnds_NonXtal_Prot#'!A:AL,7,FALSE)</f>
        <v>#VALUE!</v>
      </c>
      <c r="AD328" s="1" t="e">
        <f>VLOOKUP(A328,'SegEnds_NonXtal_Prot#'!A:AL,13,FALSE)-VLOOKUP(A328,'SegEnds_NonXtal_Prot#'!A:AL,10,FALSE)</f>
        <v>#VALUE!</v>
      </c>
      <c r="AE328" s="1">
        <f>VLOOKUP(A328,'SegEnds_NonXtal_Prot#'!A:AL,16,FALSE)-VLOOKUP(A328,'SegEnds_NonXtal_Prot#'!A:AL,10,FALSE)</f>
        <v>51</v>
      </c>
      <c r="AF328" s="1" t="e">
        <f>VLOOKUP(A328,'SegEnds_NonXtal_Prot#'!A:AL,22,FALSE)-VLOOKUP(A328,'SegEnds_NonXtal_Prot#'!A:AL,19,FALSE)</f>
        <v>#VALUE!</v>
      </c>
      <c r="AG328" s="1">
        <f>VLOOKUP(A328,'SegEnds_NonXtal_Prot#'!A:AL,28,FALSE)-VLOOKUP(A328,'SegEnds_NonXtal_Prot#'!A:AL,25,FALSE)</f>
        <v>20</v>
      </c>
      <c r="AH328" s="1">
        <f>VLOOKUP(A328,'SegEnds_NonXtal_Prot#'!A:AL,28,FALSE)-VLOOKUP(A328,'SegEnds_NonXtal_Prot#'!A:AL,22,FALSE)</f>
        <v>46</v>
      </c>
      <c r="AI328" s="1">
        <f>VLOOKUP(A328,'SegEnds_NonXtal_Prot#'!A:AL,31,FALSE)-VLOOKUP(A328,'SegEnds_NonXtal_Prot#'!A:AL,28,FALSE)</f>
        <v>51</v>
      </c>
      <c r="AJ328" s="1">
        <f>VLOOKUP(A328,'SegEnds_NonXtal_Prot#'!A:AL,34,FALSE)-VLOOKUP(A328,'SegEnds_NonXtal_Prot#'!A:AL,31,FALSE)</f>
        <v>29</v>
      </c>
      <c r="AK328" s="1">
        <f>VLOOKUP(A328,'SegEnds_NonXtal_Prot#'!A:AL,37,FALSE)-VLOOKUP(A328,'SegEnds_NonXtal_Prot#'!A:AL,34,FALSE)</f>
        <v>10</v>
      </c>
      <c r="AL328" s="1" t="str">
        <f>IF(ISERROR(MATCH(A328,'SegEnds_Xtal_Prot#'!B:B, 0)), "NoXtal", "Xtal")</f>
        <v>NoXtal</v>
      </c>
    </row>
    <row r="329" spans="1:38" x14ac:dyDescent="0.2">
      <c r="A329" s="1" t="s">
        <v>1192</v>
      </c>
      <c r="B329" s="1" t="str">
        <f>VLOOKUP(A329,Xtal_Templ!A:B,2,FALSE)</f>
        <v>crfr1_human</v>
      </c>
      <c r="C329" s="5">
        <v>23</v>
      </c>
      <c r="D329" s="1">
        <f>VLOOKUP($B329&amp;"__wt",'SegEnds_Xtal_BW#'!$A:$Z,4,FALSE)</f>
        <v>60</v>
      </c>
      <c r="E329" s="1">
        <f>VLOOKUP($B329&amp;"__wt",'SegEnds_Xtal_BW#'!$A:$Z,5,FALSE)</f>
        <v>48</v>
      </c>
      <c r="F329" s="1">
        <f>VLOOKUP($B329&amp;"__wt",'SegEnds_Xtal_BW#'!$A:$Z,6,FALSE)</f>
        <v>51</v>
      </c>
      <c r="G329" s="1">
        <v>37</v>
      </c>
      <c r="H329" s="12">
        <v>63</v>
      </c>
      <c r="I329" s="1" t="str">
        <f>VLOOKUP($B329&amp;"__wt",'SegEnds_Xtal_BW#'!$A:$Z,9,FALSE)</f>
        <v>-</v>
      </c>
      <c r="J329" s="1" t="str">
        <f>VLOOKUP($B329&amp;"__wt",'SegEnds_Xtal_BW#'!$A:$Z,10,FALSE)</f>
        <v>-</v>
      </c>
      <c r="K329" s="12">
        <v>23</v>
      </c>
      <c r="L329" s="1">
        <f>VLOOKUP($B329&amp;"__wt",'SegEnds_Xtal_BW#'!$A:$Z,12,FALSE)</f>
        <v>56</v>
      </c>
      <c r="M329" s="1" t="str">
        <f>VLOOKUP($B329&amp;"__wt",'SegEnds_Xtal_BW#'!$A:$Z,13,FALSE)</f>
        <v>-</v>
      </c>
      <c r="N329" s="12" t="str">
        <f>VLOOKUP($B329&amp;"__wt",'SegEnds_Xtal_BW#'!$A:$Z,14,FALSE)</f>
        <v>-</v>
      </c>
      <c r="O329" s="87">
        <f>VLOOKUP($B329&amp;"__wt",'SegEnds_Xtal_BW#'!$A:$Z,15,FALSE)</f>
        <v>40</v>
      </c>
      <c r="P329" s="1">
        <f>VLOOKUP($B329&amp;"__wt",'SegEnds_Xtal_BW#'!$A:$Z,16,FALSE)</f>
        <v>68</v>
      </c>
      <c r="Q329" s="1">
        <f>VLOOKUP($B329&amp;"__wt",'SegEnds_Xtal_BW#'!$A:$Z,17,FALSE)</f>
        <v>50</v>
      </c>
      <c r="R329" s="1">
        <f>VLOOKUP($B329&amp;"__wt",'SegEnds_Xtal_BW#'!$A:$Z,18,FALSE)</f>
        <v>52</v>
      </c>
      <c r="S329" s="1">
        <v>36</v>
      </c>
      <c r="T329" s="1">
        <v>69</v>
      </c>
      <c r="U329" s="1">
        <v>29</v>
      </c>
      <c r="V329" s="1">
        <f>VLOOKUP($B329&amp;"__wt",'SegEnds_Xtal_BW#'!$A:$Z,22,FALSE)</f>
        <v>53</v>
      </c>
      <c r="W329" s="1">
        <v>31</v>
      </c>
      <c r="X329" s="1">
        <f>VLOOKUP($B329&amp;"__wt",'SegEnds_Xtal_BW#'!$A:$Z,24,FALSE)</f>
        <v>56</v>
      </c>
      <c r="Y329" s="1">
        <f>VLOOKUP($B329&amp;"__wt",'SegEnds_Xtal_BW#'!$A:$Z,25,FALSE)</f>
        <v>47</v>
      </c>
      <c r="Z329" s="1">
        <v>63</v>
      </c>
      <c r="AA329" s="27" t="str">
        <f>VLOOKUP(A329,Classification!A:B,2,FALSE)</f>
        <v>B2</v>
      </c>
      <c r="AB329" s="1">
        <f>VLOOKUP(A329,'SegEnds_NonXtal_Prot#'!A:AL,10,FALSE)-VLOOKUP(A329,'SegEnds_NonXtal_Prot#'!A:AL,4,FALSE)</f>
        <v>31</v>
      </c>
      <c r="AC329" s="1">
        <f>VLOOKUP(A329,'SegEnds_NonXtal_Prot#'!A:AL,10,FALSE)-VLOOKUP(A329,'SegEnds_NonXtal_Prot#'!A:AL,7,FALSE)</f>
        <v>17</v>
      </c>
      <c r="AD329" s="1" t="e">
        <f>VLOOKUP(A329,'SegEnds_NonXtal_Prot#'!A:AL,13,FALSE)-VLOOKUP(A329,'SegEnds_NonXtal_Prot#'!A:AL,10,FALSE)</f>
        <v>#VALUE!</v>
      </c>
      <c r="AE329" s="1">
        <f>VLOOKUP(A329,'SegEnds_NonXtal_Prot#'!A:AL,16,FALSE)-VLOOKUP(A329,'SegEnds_NonXtal_Prot#'!A:AL,10,FALSE)</f>
        <v>53</v>
      </c>
      <c r="AF329" s="1" t="e">
        <f>VLOOKUP(A329,'SegEnds_NonXtal_Prot#'!A:AL,22,FALSE)-VLOOKUP(A329,'SegEnds_NonXtal_Prot#'!A:AL,19,FALSE)</f>
        <v>#VALUE!</v>
      </c>
      <c r="AG329" s="1">
        <f>VLOOKUP(A329,'SegEnds_NonXtal_Prot#'!A:AL,28,FALSE)-VLOOKUP(A329,'SegEnds_NonXtal_Prot#'!A:AL,25,FALSE)</f>
        <v>20</v>
      </c>
      <c r="AH329" s="1">
        <f>VLOOKUP(A329,'SegEnds_NonXtal_Prot#'!A:AL,28,FALSE)-VLOOKUP(A329,'SegEnds_NonXtal_Prot#'!A:AL,22,FALSE)</f>
        <v>46</v>
      </c>
      <c r="AI329" s="1">
        <f>VLOOKUP(A329,'SegEnds_NonXtal_Prot#'!A:AL,31,FALSE)-VLOOKUP(A329,'SegEnds_NonXtal_Prot#'!A:AL,28,FALSE)</f>
        <v>52</v>
      </c>
      <c r="AJ329" s="1">
        <f>VLOOKUP(A329,'SegEnds_NonXtal_Prot#'!A:AL,34,FALSE)-VLOOKUP(A329,'SegEnds_NonXtal_Prot#'!A:AL,31,FALSE)</f>
        <v>29</v>
      </c>
      <c r="AK329" s="1">
        <f>VLOOKUP(A329,'SegEnds_NonXtal_Prot#'!A:AL,37,FALSE)-VLOOKUP(A329,'SegEnds_NonXtal_Prot#'!A:AL,34,FALSE)</f>
        <v>10</v>
      </c>
      <c r="AL329" s="1" t="str">
        <f>IF(ISERROR(MATCH(A329,'SegEnds_Xtal_Prot#'!B:B, 0)), "NoXtal", "Xtal")</f>
        <v>NoXtal</v>
      </c>
    </row>
    <row r="330" spans="1:38" x14ac:dyDescent="0.2">
      <c r="A330" s="4" t="s">
        <v>1193</v>
      </c>
      <c r="B330" s="4" t="str">
        <f>VLOOKUP(A330,Xtal_Templ!A:B,2,FALSE)</f>
        <v>crfr1_human</v>
      </c>
      <c r="C330" s="5">
        <v>23</v>
      </c>
      <c r="D330" s="4">
        <f>VLOOKUP($B330&amp;"__wt",'SegEnds_Xtal_BW#'!$A:$Z,4,FALSE)</f>
        <v>60</v>
      </c>
      <c r="E330" s="4">
        <f>VLOOKUP($B330&amp;"__wt",'SegEnds_Xtal_BW#'!$A:$Z,5,FALSE)</f>
        <v>48</v>
      </c>
      <c r="F330" s="4">
        <f>VLOOKUP($B330&amp;"__wt",'SegEnds_Xtal_BW#'!$A:$Z,6,FALSE)</f>
        <v>51</v>
      </c>
      <c r="G330" s="4">
        <v>37</v>
      </c>
      <c r="H330" s="11">
        <v>63</v>
      </c>
      <c r="I330" s="4" t="str">
        <f>VLOOKUP($B330&amp;"__wt",'SegEnds_Xtal_BW#'!$A:$Z,9,FALSE)</f>
        <v>-</v>
      </c>
      <c r="J330" s="4" t="str">
        <f>VLOOKUP($B330&amp;"__wt",'SegEnds_Xtal_BW#'!$A:$Z,10,FALSE)</f>
        <v>-</v>
      </c>
      <c r="K330" s="11">
        <v>23</v>
      </c>
      <c r="L330" s="4">
        <f>VLOOKUP($B330&amp;"__wt",'SegEnds_Xtal_BW#'!$A:$Z,12,FALSE)</f>
        <v>56</v>
      </c>
      <c r="M330" s="4" t="str">
        <f>VLOOKUP($B330&amp;"__wt",'SegEnds_Xtal_BW#'!$A:$Z,13,FALSE)</f>
        <v>-</v>
      </c>
      <c r="N330" s="11" t="str">
        <f>VLOOKUP($B330&amp;"__wt",'SegEnds_Xtal_BW#'!$A:$Z,14,FALSE)</f>
        <v>-</v>
      </c>
      <c r="O330" s="88">
        <f>VLOOKUP($B330&amp;"__wt",'SegEnds_Xtal_BW#'!$A:$Z,15,FALSE)</f>
        <v>40</v>
      </c>
      <c r="P330" s="4">
        <f>VLOOKUP($B330&amp;"__wt",'SegEnds_Xtal_BW#'!$A:$Z,16,FALSE)</f>
        <v>68</v>
      </c>
      <c r="Q330" s="4">
        <f>VLOOKUP($B330&amp;"__wt",'SegEnds_Xtal_BW#'!$A:$Z,17,FALSE)</f>
        <v>50</v>
      </c>
      <c r="R330" s="4">
        <f>VLOOKUP($B330&amp;"__wt",'SegEnds_Xtal_BW#'!$A:$Z,18,FALSE)</f>
        <v>52</v>
      </c>
      <c r="S330" s="4">
        <v>36</v>
      </c>
      <c r="T330" s="4">
        <v>69</v>
      </c>
      <c r="U330" s="4">
        <v>29</v>
      </c>
      <c r="V330" s="4">
        <f>VLOOKUP($B330&amp;"__wt",'SegEnds_Xtal_BW#'!$A:$Z,22,FALSE)</f>
        <v>53</v>
      </c>
      <c r="W330" s="115">
        <v>28</v>
      </c>
      <c r="X330" s="4">
        <f>VLOOKUP($B330&amp;"__wt",'SegEnds_Xtal_BW#'!$A:$Z,24,FALSE)</f>
        <v>56</v>
      </c>
      <c r="Y330" s="4">
        <f>VLOOKUP($B330&amp;"__wt",'SegEnds_Xtal_BW#'!$A:$Z,25,FALSE)</f>
        <v>47</v>
      </c>
      <c r="Z330" s="4">
        <v>63</v>
      </c>
      <c r="AA330" s="27" t="str">
        <f>VLOOKUP(A330,Classification!A:B,2,FALSE)</f>
        <v>B2</v>
      </c>
      <c r="AB330" s="1">
        <f>VLOOKUP(A330,'SegEnds_NonXtal_Prot#'!A:AL,10,FALSE)-VLOOKUP(A330,'SegEnds_NonXtal_Prot#'!A:AL,4,FALSE)</f>
        <v>35</v>
      </c>
      <c r="AC330" s="4">
        <f>VLOOKUP(A330,'SegEnds_NonXtal_Prot#'!A:AL,10,FALSE)-VLOOKUP(A330,'SegEnds_NonXtal_Prot#'!A:AL,7,FALSE)</f>
        <v>21</v>
      </c>
      <c r="AD330" s="4" t="e">
        <f>VLOOKUP(A330,'SegEnds_NonXtal_Prot#'!A:AL,13,FALSE)-VLOOKUP(A330,'SegEnds_NonXtal_Prot#'!A:AL,10,FALSE)</f>
        <v>#VALUE!</v>
      </c>
      <c r="AE330" s="4">
        <f>VLOOKUP(A330,'SegEnds_NonXtal_Prot#'!A:AL,16,FALSE)-VLOOKUP(A330,'SegEnds_NonXtal_Prot#'!A:AL,10,FALSE)</f>
        <v>47</v>
      </c>
      <c r="AF330" s="1" t="e">
        <f>VLOOKUP(A330,'SegEnds_NonXtal_Prot#'!A:AL,22,FALSE)-VLOOKUP(A330,'SegEnds_NonXtal_Prot#'!A:AL,19,FALSE)</f>
        <v>#VALUE!</v>
      </c>
      <c r="AG330" s="4">
        <f>VLOOKUP(A330,'SegEnds_NonXtal_Prot#'!A:AL,28,FALSE)-VLOOKUP(A330,'SegEnds_NonXtal_Prot#'!A:AL,25,FALSE)</f>
        <v>19</v>
      </c>
      <c r="AH330" s="1">
        <f>VLOOKUP(A330,'SegEnds_NonXtal_Prot#'!A:AL,28,FALSE)-VLOOKUP(A330,'SegEnds_NonXtal_Prot#'!A:AL,22,FALSE)</f>
        <v>57</v>
      </c>
      <c r="AI330" s="4">
        <f>VLOOKUP(A330,'SegEnds_NonXtal_Prot#'!A:AL,31,FALSE)-VLOOKUP(A330,'SegEnds_NonXtal_Prot#'!A:AL,28,FALSE)</f>
        <v>44</v>
      </c>
      <c r="AJ330" s="4">
        <f>VLOOKUP(A330,'SegEnds_NonXtal_Prot#'!A:AL,34,FALSE)-VLOOKUP(A330,'SegEnds_NonXtal_Prot#'!A:AL,31,FALSE)</f>
        <v>30</v>
      </c>
      <c r="AK330" s="1">
        <f>VLOOKUP(A330,'SegEnds_NonXtal_Prot#'!A:AL,37,FALSE)-VLOOKUP(A330,'SegEnds_NonXtal_Prot#'!A:AL,34,FALSE)</f>
        <v>10</v>
      </c>
      <c r="AL330" s="1" t="str">
        <f>IF(ISERROR(MATCH(A330,'SegEnds_Xtal_Prot#'!B:B, 0)), "NoXtal", "Xtal")</f>
        <v>NoXtal</v>
      </c>
    </row>
    <row r="331" spans="1:38" x14ac:dyDescent="0.2">
      <c r="A331" s="4" t="s">
        <v>1194</v>
      </c>
      <c r="B331" s="4" t="str">
        <f>VLOOKUP(A331,Xtal_Templ!A:B,2,FALSE)</f>
        <v>pth1r_human</v>
      </c>
      <c r="C331" s="5">
        <v>23</v>
      </c>
      <c r="D331" s="4">
        <f>VLOOKUP($B331&amp;"__wt",'SegEnds_Xtal_BW#'!$A:$Z,4,FALSE)</f>
        <v>60</v>
      </c>
      <c r="E331" s="4">
        <f>VLOOKUP($B331&amp;"__wt",'SegEnds_Xtal_BW#'!$A:$Z,5,FALSE)</f>
        <v>48</v>
      </c>
      <c r="F331" s="4">
        <f>VLOOKUP($B331&amp;"__wt",'SegEnds_Xtal_BW#'!$A:$Z,6,FALSE)</f>
        <v>51</v>
      </c>
      <c r="G331" s="4">
        <v>37</v>
      </c>
      <c r="H331" s="11">
        <v>63</v>
      </c>
      <c r="I331" s="4" t="str">
        <f>VLOOKUP($B331&amp;"__wt",'SegEnds_Xtal_BW#'!$A:$Z,9,FALSE)</f>
        <v>-</v>
      </c>
      <c r="J331" s="4" t="str">
        <f>VLOOKUP($B331&amp;"__wt",'SegEnds_Xtal_BW#'!$A:$Z,10,FALSE)</f>
        <v>-</v>
      </c>
      <c r="K331" s="11">
        <v>23</v>
      </c>
      <c r="L331" s="4">
        <f>VLOOKUP($B331&amp;"__wt",'SegEnds_Xtal_BW#'!$A:$Z,12,FALSE)</f>
        <v>56</v>
      </c>
      <c r="M331" s="4" t="str">
        <f>VLOOKUP($B331&amp;"__wt",'SegEnds_Xtal_BW#'!$A:$Z,13,FALSE)</f>
        <v>-</v>
      </c>
      <c r="N331" s="11" t="str">
        <f>VLOOKUP($B331&amp;"__wt",'SegEnds_Xtal_BW#'!$A:$Z,14,FALSE)</f>
        <v>-</v>
      </c>
      <c r="O331" s="88">
        <f>VLOOKUP($B331&amp;"__wt",'SegEnds_Xtal_BW#'!$A:$Z,15,FALSE)</f>
        <v>37</v>
      </c>
      <c r="P331" s="4">
        <f>VLOOKUP($B331&amp;"__wt",'SegEnds_Xtal_BW#'!$A:$Z,16,FALSE)</f>
        <v>68</v>
      </c>
      <c r="Q331" s="4">
        <f>VLOOKUP($B331&amp;"__wt",'SegEnds_Xtal_BW#'!$A:$Z,17,FALSE)</f>
        <v>50</v>
      </c>
      <c r="R331" s="4">
        <f>VLOOKUP($B331&amp;"__wt",'SegEnds_Xtal_BW#'!$A:$Z,18,FALSE)</f>
        <v>52</v>
      </c>
      <c r="S331" s="4">
        <v>36</v>
      </c>
      <c r="T331" s="4">
        <v>69</v>
      </c>
      <c r="U331" s="4">
        <v>29</v>
      </c>
      <c r="V331" s="4">
        <f>VLOOKUP($B331&amp;"__wt",'SegEnds_Xtal_BW#'!$A:$Z,22,FALSE)</f>
        <v>54</v>
      </c>
      <c r="W331" s="4">
        <v>31</v>
      </c>
      <c r="X331" s="4">
        <f>VLOOKUP($B331&amp;"__wt",'SegEnds_Xtal_BW#'!$A:$Z,24,FALSE)</f>
        <v>56</v>
      </c>
      <c r="Y331" s="4">
        <f>VLOOKUP($B331&amp;"__wt",'SegEnds_Xtal_BW#'!$A:$Z,25,FALSE)</f>
        <v>47</v>
      </c>
      <c r="Z331" s="4">
        <v>63</v>
      </c>
      <c r="AA331" s="27" t="str">
        <f>VLOOKUP(A331,Classification!A:B,2,FALSE)</f>
        <v>B2</v>
      </c>
      <c r="AB331" s="1">
        <f>VLOOKUP(A331,'SegEnds_NonXtal_Prot#'!A:AL,10,FALSE)-VLOOKUP(A331,'SegEnds_NonXtal_Prot#'!A:AL,4,FALSE)</f>
        <v>29</v>
      </c>
      <c r="AC331" s="4" t="e">
        <f>VLOOKUP(A331,'SegEnds_NonXtal_Prot#'!A:AL,10,FALSE)-VLOOKUP(A331,'SegEnds_NonXtal_Prot#'!A:AL,7,FALSE)</f>
        <v>#VALUE!</v>
      </c>
      <c r="AD331" s="4" t="e">
        <f>VLOOKUP(A331,'SegEnds_NonXtal_Prot#'!A:AL,13,FALSE)-VLOOKUP(A331,'SegEnds_NonXtal_Prot#'!A:AL,10,FALSE)</f>
        <v>#VALUE!</v>
      </c>
      <c r="AE331" s="4">
        <f>VLOOKUP(A331,'SegEnds_NonXtal_Prot#'!A:AL,16,FALSE)-VLOOKUP(A331,'SegEnds_NonXtal_Prot#'!A:AL,10,FALSE)</f>
        <v>47</v>
      </c>
      <c r="AF331" s="1" t="e">
        <f>VLOOKUP(A331,'SegEnds_NonXtal_Prot#'!A:AL,22,FALSE)-VLOOKUP(A331,'SegEnds_NonXtal_Prot#'!A:AL,19,FALSE)</f>
        <v>#VALUE!</v>
      </c>
      <c r="AG331" s="4">
        <f>VLOOKUP(A331,'SegEnds_NonXtal_Prot#'!A:AL,28,FALSE)-VLOOKUP(A331,'SegEnds_NonXtal_Prot#'!A:AL,25,FALSE)</f>
        <v>19</v>
      </c>
      <c r="AH331" s="1">
        <f>VLOOKUP(A331,'SegEnds_NonXtal_Prot#'!A:AL,28,FALSE)-VLOOKUP(A331,'SegEnds_NonXtal_Prot#'!A:AL,22,FALSE)</f>
        <v>54</v>
      </c>
      <c r="AI331" s="4">
        <f>VLOOKUP(A331,'SegEnds_NonXtal_Prot#'!A:AL,31,FALSE)-VLOOKUP(A331,'SegEnds_NonXtal_Prot#'!A:AL,28,FALSE)</f>
        <v>51</v>
      </c>
      <c r="AJ331" s="4">
        <f>VLOOKUP(A331,'SegEnds_NonXtal_Prot#'!A:AL,34,FALSE)-VLOOKUP(A331,'SegEnds_NonXtal_Prot#'!A:AL,31,FALSE)</f>
        <v>28</v>
      </c>
      <c r="AK331" s="1">
        <f>VLOOKUP(A331,'SegEnds_NonXtal_Prot#'!A:AL,37,FALSE)-VLOOKUP(A331,'SegEnds_NonXtal_Prot#'!A:AL,34,FALSE)</f>
        <v>10</v>
      </c>
      <c r="AL331" s="1" t="str">
        <f>IF(ISERROR(MATCH(A331,'SegEnds_Xtal_Prot#'!B:B, 0)), "NoXtal", "Xtal")</f>
        <v>NoXtal</v>
      </c>
    </row>
    <row r="332" spans="1:38" x14ac:dyDescent="0.2">
      <c r="A332" s="1" t="s">
        <v>1195</v>
      </c>
      <c r="B332" s="1" t="str">
        <f>VLOOKUP(A332,Xtal_Templ!A:B,2,FALSE)</f>
        <v>pth1r_human</v>
      </c>
      <c r="C332" s="5">
        <v>23</v>
      </c>
      <c r="D332" s="1">
        <f>VLOOKUP($B332&amp;"__wt",'SegEnds_Xtal_BW#'!$A:$Z,4,FALSE)</f>
        <v>60</v>
      </c>
      <c r="E332" s="1">
        <f>VLOOKUP($B332&amp;"__wt",'SegEnds_Xtal_BW#'!$A:$Z,5,FALSE)</f>
        <v>48</v>
      </c>
      <c r="F332" s="1">
        <f>VLOOKUP($B332&amp;"__wt",'SegEnds_Xtal_BW#'!$A:$Z,6,FALSE)</f>
        <v>51</v>
      </c>
      <c r="G332" s="1">
        <v>37</v>
      </c>
      <c r="H332" s="12">
        <v>63</v>
      </c>
      <c r="I332" s="1" t="str">
        <f>VLOOKUP($B332&amp;"__wt",'SegEnds_Xtal_BW#'!$A:$Z,9,FALSE)</f>
        <v>-</v>
      </c>
      <c r="J332" s="1" t="str">
        <f>VLOOKUP($B332&amp;"__wt",'SegEnds_Xtal_BW#'!$A:$Z,10,FALSE)</f>
        <v>-</v>
      </c>
      <c r="K332" s="12">
        <v>23</v>
      </c>
      <c r="L332" s="1">
        <f>VLOOKUP($B332&amp;"__wt",'SegEnds_Xtal_BW#'!$A:$Z,12,FALSE)</f>
        <v>56</v>
      </c>
      <c r="M332" s="1" t="str">
        <f>VLOOKUP($B332&amp;"__wt",'SegEnds_Xtal_BW#'!$A:$Z,13,FALSE)</f>
        <v>-</v>
      </c>
      <c r="N332" s="12" t="str">
        <f>VLOOKUP($B332&amp;"__wt",'SegEnds_Xtal_BW#'!$A:$Z,14,FALSE)</f>
        <v>-</v>
      </c>
      <c r="O332" s="87">
        <f>VLOOKUP($B332&amp;"__wt",'SegEnds_Xtal_BW#'!$A:$Z,15,FALSE)</f>
        <v>37</v>
      </c>
      <c r="P332" s="1">
        <f>VLOOKUP($B332&amp;"__wt",'SegEnds_Xtal_BW#'!$A:$Z,16,FALSE)</f>
        <v>68</v>
      </c>
      <c r="Q332" s="1">
        <f>VLOOKUP($B332&amp;"__wt",'SegEnds_Xtal_BW#'!$A:$Z,17,FALSE)</f>
        <v>50</v>
      </c>
      <c r="R332" s="1">
        <f>VLOOKUP($B332&amp;"__wt",'SegEnds_Xtal_BW#'!$A:$Z,18,FALSE)</f>
        <v>52</v>
      </c>
      <c r="S332" s="1">
        <v>36</v>
      </c>
      <c r="T332" s="1">
        <v>69</v>
      </c>
      <c r="U332" s="1">
        <v>29</v>
      </c>
      <c r="V332" s="1">
        <v>50</v>
      </c>
      <c r="W332" s="1">
        <v>31</v>
      </c>
      <c r="X332" s="1">
        <f>VLOOKUP($B332&amp;"__wt",'SegEnds_Xtal_BW#'!$A:$Z,24,FALSE)</f>
        <v>56</v>
      </c>
      <c r="Y332" s="1">
        <f>VLOOKUP($B332&amp;"__wt",'SegEnds_Xtal_BW#'!$A:$Z,25,FALSE)</f>
        <v>47</v>
      </c>
      <c r="Z332" s="1">
        <v>63</v>
      </c>
      <c r="AA332" s="27" t="str">
        <f>VLOOKUP(A332,Classification!A:B,2,FALSE)</f>
        <v>B2</v>
      </c>
      <c r="AB332" s="1">
        <f>VLOOKUP(A332,'SegEnds_NonXtal_Prot#'!A:AL,10,FALSE)-VLOOKUP(A332,'SegEnds_NonXtal_Prot#'!A:AL,4,FALSE)</f>
        <v>33</v>
      </c>
      <c r="AC332" s="1" t="e">
        <f>VLOOKUP(A332,'SegEnds_NonXtal_Prot#'!A:AL,10,FALSE)-VLOOKUP(A332,'SegEnds_NonXtal_Prot#'!A:AL,7,FALSE)</f>
        <v>#VALUE!</v>
      </c>
      <c r="AD332" s="1" t="e">
        <f>VLOOKUP(A332,'SegEnds_NonXtal_Prot#'!A:AL,13,FALSE)-VLOOKUP(A332,'SegEnds_NonXtal_Prot#'!A:AL,10,FALSE)</f>
        <v>#VALUE!</v>
      </c>
      <c r="AE332" s="1">
        <f>VLOOKUP(A332,'SegEnds_NonXtal_Prot#'!A:AL,16,FALSE)-VLOOKUP(A332,'SegEnds_NonXtal_Prot#'!A:AL,10,FALSE)</f>
        <v>47</v>
      </c>
      <c r="AF332" s="1" t="e">
        <f>VLOOKUP(A332,'SegEnds_NonXtal_Prot#'!A:AL,22,FALSE)-VLOOKUP(A332,'SegEnds_NonXtal_Prot#'!A:AL,19,FALSE)</f>
        <v>#VALUE!</v>
      </c>
      <c r="AG332" s="1">
        <f>VLOOKUP(A332,'SegEnds_NonXtal_Prot#'!A:AL,28,FALSE)-VLOOKUP(A332,'SegEnds_NonXtal_Prot#'!A:AL,25,FALSE)</f>
        <v>18</v>
      </c>
      <c r="AH332" s="1">
        <f>VLOOKUP(A332,'SegEnds_NonXtal_Prot#'!A:AL,28,FALSE)-VLOOKUP(A332,'SegEnds_NonXtal_Prot#'!A:AL,22,FALSE)</f>
        <v>51</v>
      </c>
      <c r="AI332" s="1">
        <f>VLOOKUP(A332,'SegEnds_NonXtal_Prot#'!A:AL,31,FALSE)-VLOOKUP(A332,'SegEnds_NonXtal_Prot#'!A:AL,28,FALSE)</f>
        <v>54</v>
      </c>
      <c r="AJ332" s="1">
        <f>VLOOKUP(A332,'SegEnds_NonXtal_Prot#'!A:AL,34,FALSE)-VLOOKUP(A332,'SegEnds_NonXtal_Prot#'!A:AL,31,FALSE)</f>
        <v>26</v>
      </c>
      <c r="AK332" s="1">
        <f>VLOOKUP(A332,'SegEnds_NonXtal_Prot#'!A:AL,37,FALSE)-VLOOKUP(A332,'SegEnds_NonXtal_Prot#'!A:AL,34,FALSE)</f>
        <v>10</v>
      </c>
      <c r="AL332" s="1" t="str">
        <f>IF(ISERROR(MATCH(A332,'SegEnds_Xtal_Prot#'!B:B, 0)), "NoXtal", "Xtal")</f>
        <v>NoXtal</v>
      </c>
    </row>
    <row r="333" spans="1:38" x14ac:dyDescent="0.2">
      <c r="A333" s="4" t="s">
        <v>1196</v>
      </c>
      <c r="B333" s="4" t="str">
        <f>VLOOKUP(A333,Xtal_Templ!A:B,2,FALSE)</f>
        <v>pth1r_human</v>
      </c>
      <c r="C333" s="5">
        <v>23</v>
      </c>
      <c r="D333" s="4">
        <f>VLOOKUP($B333&amp;"__wt",'SegEnds_Xtal_BW#'!$A:$Z,4,FALSE)</f>
        <v>60</v>
      </c>
      <c r="E333" s="4">
        <f>VLOOKUP($B333&amp;"__wt",'SegEnds_Xtal_BW#'!$A:$Z,5,FALSE)</f>
        <v>48</v>
      </c>
      <c r="F333" s="4">
        <f>VLOOKUP($B333&amp;"__wt",'SegEnds_Xtal_BW#'!$A:$Z,6,FALSE)</f>
        <v>51</v>
      </c>
      <c r="G333" s="4">
        <v>37</v>
      </c>
      <c r="H333" s="11">
        <v>63</v>
      </c>
      <c r="I333" s="4" t="str">
        <f>VLOOKUP($B333&amp;"__wt",'SegEnds_Xtal_BW#'!$A:$Z,9,FALSE)</f>
        <v>-</v>
      </c>
      <c r="J333" s="4" t="str">
        <f>VLOOKUP($B333&amp;"__wt",'SegEnds_Xtal_BW#'!$A:$Z,10,FALSE)</f>
        <v>-</v>
      </c>
      <c r="K333" s="11">
        <v>23</v>
      </c>
      <c r="L333" s="4">
        <f>VLOOKUP($B333&amp;"__wt",'SegEnds_Xtal_BW#'!$A:$Z,12,FALSE)</f>
        <v>56</v>
      </c>
      <c r="M333" s="4" t="str">
        <f>VLOOKUP($B333&amp;"__wt",'SegEnds_Xtal_BW#'!$A:$Z,13,FALSE)</f>
        <v>-</v>
      </c>
      <c r="N333" s="11" t="str">
        <f>VLOOKUP($B333&amp;"__wt",'SegEnds_Xtal_BW#'!$A:$Z,14,FALSE)</f>
        <v>-</v>
      </c>
      <c r="O333" s="88">
        <f>VLOOKUP($B333&amp;"__wt",'SegEnds_Xtal_BW#'!$A:$Z,15,FALSE)</f>
        <v>37</v>
      </c>
      <c r="P333" s="4">
        <f>VLOOKUP($B333&amp;"__wt",'SegEnds_Xtal_BW#'!$A:$Z,16,FALSE)</f>
        <v>68</v>
      </c>
      <c r="Q333" s="4">
        <f>VLOOKUP($B333&amp;"__wt",'SegEnds_Xtal_BW#'!$A:$Z,17,FALSE)</f>
        <v>50</v>
      </c>
      <c r="R333" s="4">
        <f>VLOOKUP($B333&amp;"__wt",'SegEnds_Xtal_BW#'!$A:$Z,18,FALSE)</f>
        <v>52</v>
      </c>
      <c r="S333" s="4">
        <v>36</v>
      </c>
      <c r="T333" s="4">
        <v>69</v>
      </c>
      <c r="U333" s="4">
        <v>29</v>
      </c>
      <c r="V333" s="4">
        <f>VLOOKUP($B333&amp;"__wt",'SegEnds_Xtal_BW#'!$A:$Z,22,FALSE)</f>
        <v>54</v>
      </c>
      <c r="W333" s="4">
        <v>31</v>
      </c>
      <c r="X333" s="4">
        <f>VLOOKUP($B333&amp;"__wt",'SegEnds_Xtal_BW#'!$A:$Z,24,FALSE)</f>
        <v>56</v>
      </c>
      <c r="Y333" s="4">
        <f>VLOOKUP($B333&amp;"__wt",'SegEnds_Xtal_BW#'!$A:$Z,25,FALSE)</f>
        <v>47</v>
      </c>
      <c r="Z333" s="4">
        <v>63</v>
      </c>
      <c r="AA333" s="27" t="str">
        <f>VLOOKUP(A333,Classification!A:B,2,FALSE)</f>
        <v>B2</v>
      </c>
      <c r="AB333" s="1">
        <f>VLOOKUP(A333,'SegEnds_NonXtal_Prot#'!A:AL,10,FALSE)-VLOOKUP(A333,'SegEnds_NonXtal_Prot#'!A:AL,4,FALSE)</f>
        <v>29</v>
      </c>
      <c r="AC333" s="4" t="e">
        <f>VLOOKUP(A333,'SegEnds_NonXtal_Prot#'!A:AL,10,FALSE)-VLOOKUP(A333,'SegEnds_NonXtal_Prot#'!A:AL,7,FALSE)</f>
        <v>#VALUE!</v>
      </c>
      <c r="AD333" s="4" t="e">
        <f>VLOOKUP(A333,'SegEnds_NonXtal_Prot#'!A:AL,13,FALSE)-VLOOKUP(A333,'SegEnds_NonXtal_Prot#'!A:AL,10,FALSE)</f>
        <v>#VALUE!</v>
      </c>
      <c r="AE333" s="4">
        <f>VLOOKUP(A333,'SegEnds_NonXtal_Prot#'!A:AL,16,FALSE)-VLOOKUP(A333,'SegEnds_NonXtal_Prot#'!A:AL,10,FALSE)</f>
        <v>47</v>
      </c>
      <c r="AF333" s="1" t="e">
        <f>VLOOKUP(A333,'SegEnds_NonXtal_Prot#'!A:AL,22,FALSE)-VLOOKUP(A333,'SegEnds_NonXtal_Prot#'!A:AL,19,FALSE)</f>
        <v>#VALUE!</v>
      </c>
      <c r="AG333" s="4">
        <f>VLOOKUP(A333,'SegEnds_NonXtal_Prot#'!A:AL,28,FALSE)-VLOOKUP(A333,'SegEnds_NonXtal_Prot#'!A:AL,25,FALSE)</f>
        <v>19</v>
      </c>
      <c r="AH333" s="1">
        <f>VLOOKUP(A333,'SegEnds_NonXtal_Prot#'!A:AL,28,FALSE)-VLOOKUP(A333,'SegEnds_NonXtal_Prot#'!A:AL,22,FALSE)</f>
        <v>47</v>
      </c>
      <c r="AI333" s="4">
        <f>VLOOKUP(A333,'SegEnds_NonXtal_Prot#'!A:AL,31,FALSE)-VLOOKUP(A333,'SegEnds_NonXtal_Prot#'!A:AL,28,FALSE)</f>
        <v>50</v>
      </c>
      <c r="AJ333" s="4">
        <f>VLOOKUP(A333,'SegEnds_NonXtal_Prot#'!A:AL,34,FALSE)-VLOOKUP(A333,'SegEnds_NonXtal_Prot#'!A:AL,31,FALSE)</f>
        <v>28</v>
      </c>
      <c r="AK333" s="1">
        <f>VLOOKUP(A333,'SegEnds_NonXtal_Prot#'!A:AL,37,FALSE)-VLOOKUP(A333,'SegEnds_NonXtal_Prot#'!A:AL,34,FALSE)</f>
        <v>10</v>
      </c>
      <c r="AL333" s="1" t="str">
        <f>IF(ISERROR(MATCH(A333,'SegEnds_Xtal_Prot#'!B:B, 0)), "NoXtal", "Xtal")</f>
        <v>NoXtal</v>
      </c>
    </row>
    <row r="334" spans="1:38" x14ac:dyDescent="0.2">
      <c r="A334" s="1" t="s">
        <v>1197</v>
      </c>
      <c r="B334" s="1" t="str">
        <f>VLOOKUP(A334,Xtal_Templ!A:B,2,FALSE)</f>
        <v>pth1r_human</v>
      </c>
      <c r="C334" s="5">
        <v>23</v>
      </c>
      <c r="D334" s="1">
        <f>VLOOKUP($B334&amp;"__wt",'SegEnds_Xtal_BW#'!$A:$Z,4,FALSE)</f>
        <v>60</v>
      </c>
      <c r="E334" s="1">
        <f>VLOOKUP($B334&amp;"__wt",'SegEnds_Xtal_BW#'!$A:$Z,5,FALSE)</f>
        <v>48</v>
      </c>
      <c r="F334" s="1">
        <f>VLOOKUP($B334&amp;"__wt",'SegEnds_Xtal_BW#'!$A:$Z,6,FALSE)</f>
        <v>51</v>
      </c>
      <c r="G334" s="1">
        <v>37</v>
      </c>
      <c r="H334" s="12">
        <v>63</v>
      </c>
      <c r="I334" s="1" t="str">
        <f>VLOOKUP($B334&amp;"__wt",'SegEnds_Xtal_BW#'!$A:$Z,9,FALSE)</f>
        <v>-</v>
      </c>
      <c r="J334" s="1" t="str">
        <f>VLOOKUP($B334&amp;"__wt",'SegEnds_Xtal_BW#'!$A:$Z,10,FALSE)</f>
        <v>-</v>
      </c>
      <c r="K334" s="12">
        <v>23</v>
      </c>
      <c r="L334" s="1">
        <f>VLOOKUP($B334&amp;"__wt",'SegEnds_Xtal_BW#'!$A:$Z,12,FALSE)</f>
        <v>56</v>
      </c>
      <c r="M334" s="1" t="str">
        <f>VLOOKUP($B334&amp;"__wt",'SegEnds_Xtal_BW#'!$A:$Z,13,FALSE)</f>
        <v>-</v>
      </c>
      <c r="N334" s="12" t="str">
        <f>VLOOKUP($B334&amp;"__wt",'SegEnds_Xtal_BW#'!$A:$Z,14,FALSE)</f>
        <v>-</v>
      </c>
      <c r="O334" s="87">
        <f>VLOOKUP($B334&amp;"__wt",'SegEnds_Xtal_BW#'!$A:$Z,15,FALSE)</f>
        <v>37</v>
      </c>
      <c r="P334" s="1">
        <f>VLOOKUP($B334&amp;"__wt",'SegEnds_Xtal_BW#'!$A:$Z,16,FALSE)</f>
        <v>68</v>
      </c>
      <c r="Q334" s="1">
        <f>VLOOKUP($B334&amp;"__wt",'SegEnds_Xtal_BW#'!$A:$Z,17,FALSE)</f>
        <v>50</v>
      </c>
      <c r="R334" s="1">
        <f>VLOOKUP($B334&amp;"__wt",'SegEnds_Xtal_BW#'!$A:$Z,18,FALSE)</f>
        <v>52</v>
      </c>
      <c r="S334" s="1">
        <v>36</v>
      </c>
      <c r="T334" s="1">
        <v>69</v>
      </c>
      <c r="U334" s="1">
        <v>29</v>
      </c>
      <c r="V334" s="1">
        <f>VLOOKUP($B334&amp;"__wt",'SegEnds_Xtal_BW#'!$A:$Z,22,FALSE)</f>
        <v>54</v>
      </c>
      <c r="W334" s="1">
        <v>31</v>
      </c>
      <c r="X334" s="1">
        <f>VLOOKUP($B334&amp;"__wt",'SegEnds_Xtal_BW#'!$A:$Z,24,FALSE)</f>
        <v>56</v>
      </c>
      <c r="Y334" s="1">
        <f>VLOOKUP($B334&amp;"__wt",'SegEnds_Xtal_BW#'!$A:$Z,25,FALSE)</f>
        <v>47</v>
      </c>
      <c r="Z334" s="1">
        <v>63</v>
      </c>
      <c r="AA334" s="27" t="str">
        <f>VLOOKUP(A334,Classification!A:B,2,FALSE)</f>
        <v>B2</v>
      </c>
      <c r="AB334" s="1">
        <f>VLOOKUP(A334,'SegEnds_NonXtal_Prot#'!A:AL,10,FALSE)-VLOOKUP(A334,'SegEnds_NonXtal_Prot#'!A:AL,4,FALSE)</f>
        <v>28</v>
      </c>
      <c r="AC334" s="1" t="e">
        <f>VLOOKUP(A334,'SegEnds_NonXtal_Prot#'!A:AL,10,FALSE)-VLOOKUP(A334,'SegEnds_NonXtal_Prot#'!A:AL,7,FALSE)</f>
        <v>#VALUE!</v>
      </c>
      <c r="AD334" s="1" t="e">
        <f>VLOOKUP(A334,'SegEnds_NonXtal_Prot#'!A:AL,13,FALSE)-VLOOKUP(A334,'SegEnds_NonXtal_Prot#'!A:AL,10,FALSE)</f>
        <v>#VALUE!</v>
      </c>
      <c r="AE334" s="1">
        <f>VLOOKUP(A334,'SegEnds_NonXtal_Prot#'!A:AL,16,FALSE)-VLOOKUP(A334,'SegEnds_NonXtal_Prot#'!A:AL,10,FALSE)</f>
        <v>48</v>
      </c>
      <c r="AF334" s="1" t="e">
        <f>VLOOKUP(A334,'SegEnds_NonXtal_Prot#'!A:AL,22,FALSE)-VLOOKUP(A334,'SegEnds_NonXtal_Prot#'!A:AL,19,FALSE)</f>
        <v>#VALUE!</v>
      </c>
      <c r="AG334" s="1">
        <f>VLOOKUP(A334,'SegEnds_NonXtal_Prot#'!A:AL,28,FALSE)-VLOOKUP(A334,'SegEnds_NonXtal_Prot#'!A:AL,25,FALSE)</f>
        <v>19</v>
      </c>
      <c r="AH334" s="1">
        <f>VLOOKUP(A334,'SegEnds_NonXtal_Prot#'!A:AL,28,FALSE)-VLOOKUP(A334,'SegEnds_NonXtal_Prot#'!A:AL,22,FALSE)</f>
        <v>60</v>
      </c>
      <c r="AI334" s="1">
        <f>VLOOKUP(A334,'SegEnds_NonXtal_Prot#'!A:AL,31,FALSE)-VLOOKUP(A334,'SegEnds_NonXtal_Prot#'!A:AL,28,FALSE)</f>
        <v>49</v>
      </c>
      <c r="AJ334" s="1">
        <f>VLOOKUP(A334,'SegEnds_NonXtal_Prot#'!A:AL,34,FALSE)-VLOOKUP(A334,'SegEnds_NonXtal_Prot#'!A:AL,31,FALSE)</f>
        <v>28</v>
      </c>
      <c r="AK334" s="1">
        <f>VLOOKUP(A334,'SegEnds_NonXtal_Prot#'!A:AL,37,FALSE)-VLOOKUP(A334,'SegEnds_NonXtal_Prot#'!A:AL,34,FALSE)</f>
        <v>10</v>
      </c>
      <c r="AL334" s="1" t="str">
        <f>IF(ISERROR(MATCH(A334,'SegEnds_Xtal_Prot#'!B:B, 0)), "NoXtal", "Xtal")</f>
        <v>NoXtal</v>
      </c>
    </row>
    <row r="335" spans="1:38" x14ac:dyDescent="0.2">
      <c r="A335" s="1" t="s">
        <v>1423</v>
      </c>
      <c r="B335" s="1" t="str">
        <f>VLOOKUP(A335,Xtal_Templ!A:B,2,FALSE)</f>
        <v>crfr1_human</v>
      </c>
      <c r="C335" s="5">
        <v>23</v>
      </c>
      <c r="D335" s="1">
        <f>VLOOKUP($B335&amp;"__wt",'SegEnds_Xtal_BW#'!$A:$Z,4,FALSE)</f>
        <v>60</v>
      </c>
      <c r="E335" s="1">
        <f>VLOOKUP($B335&amp;"__wt",'SegEnds_Xtal_BW#'!$A:$Z,5,FALSE)</f>
        <v>48</v>
      </c>
      <c r="F335" s="1">
        <f>VLOOKUP($B335&amp;"__wt",'SegEnds_Xtal_BW#'!$A:$Z,6,FALSE)</f>
        <v>51</v>
      </c>
      <c r="G335" s="1">
        <v>37</v>
      </c>
      <c r="H335" s="12">
        <v>63</v>
      </c>
      <c r="I335" s="1" t="str">
        <f>VLOOKUP($B335&amp;"__wt",'SegEnds_Xtal_BW#'!$A:$Z,9,FALSE)</f>
        <v>-</v>
      </c>
      <c r="J335" s="1" t="str">
        <f>VLOOKUP($B335&amp;"__wt",'SegEnds_Xtal_BW#'!$A:$Z,10,FALSE)</f>
        <v>-</v>
      </c>
      <c r="K335" s="12">
        <v>23</v>
      </c>
      <c r="L335" s="1">
        <f>VLOOKUP($B335&amp;"__wt",'SegEnds_Xtal_BW#'!$A:$Z,12,FALSE)</f>
        <v>56</v>
      </c>
      <c r="M335" s="1" t="str">
        <f>VLOOKUP($B335&amp;"__wt",'SegEnds_Xtal_BW#'!$A:$Z,13,FALSE)</f>
        <v>-</v>
      </c>
      <c r="N335" s="12" t="str">
        <f>VLOOKUP($B335&amp;"__wt",'SegEnds_Xtal_BW#'!$A:$Z,14,FALSE)</f>
        <v>-</v>
      </c>
      <c r="O335" s="87">
        <f>VLOOKUP($B335&amp;"__wt",'SegEnds_Xtal_BW#'!$A:$Z,15,FALSE)</f>
        <v>40</v>
      </c>
      <c r="P335" s="1">
        <f>VLOOKUP($B335&amp;"__wt",'SegEnds_Xtal_BW#'!$A:$Z,16,FALSE)</f>
        <v>68</v>
      </c>
      <c r="Q335" s="1">
        <f>VLOOKUP($B335&amp;"__wt",'SegEnds_Xtal_BW#'!$A:$Z,17,FALSE)</f>
        <v>50</v>
      </c>
      <c r="R335" s="1">
        <f>VLOOKUP($B335&amp;"__wt",'SegEnds_Xtal_BW#'!$A:$Z,18,FALSE)</f>
        <v>52</v>
      </c>
      <c r="S335" s="1">
        <v>36</v>
      </c>
      <c r="T335" s="1">
        <v>69</v>
      </c>
      <c r="U335" s="1">
        <v>29</v>
      </c>
      <c r="V335" s="1">
        <f>VLOOKUP($B335&amp;"__wt",'SegEnds_Xtal_BW#'!$A:$Z,22,FALSE)</f>
        <v>53</v>
      </c>
      <c r="W335" s="1">
        <v>31</v>
      </c>
      <c r="X335" s="1">
        <f>VLOOKUP($B335&amp;"__wt",'SegEnds_Xtal_BW#'!$A:$Z,24,FALSE)</f>
        <v>56</v>
      </c>
      <c r="Y335" s="1">
        <f>VLOOKUP($B335&amp;"__wt",'SegEnds_Xtal_BW#'!$A:$Z,25,FALSE)</f>
        <v>47</v>
      </c>
      <c r="Z335" s="1">
        <v>63</v>
      </c>
      <c r="AA335" s="27" t="str">
        <f>VLOOKUP(A335,Classification!A:B,2,FALSE)</f>
        <v>B2</v>
      </c>
      <c r="AB335" s="1">
        <f>VLOOKUP(A335,'SegEnds_NonXtal_Prot#'!A:AL,10,FALSE)-VLOOKUP(A335,'SegEnds_NonXtal_Prot#'!A:AL,4,FALSE)</f>
        <v>29</v>
      </c>
      <c r="AC335" s="1">
        <f>VLOOKUP(A335,'SegEnds_NonXtal_Prot#'!A:AL,10,FALSE)-VLOOKUP(A335,'SegEnds_NonXtal_Prot#'!A:AL,7,FALSE)</f>
        <v>16</v>
      </c>
      <c r="AD335" s="1" t="e">
        <f>VLOOKUP(A335,'SegEnds_NonXtal_Prot#'!A:AL,13,FALSE)-VLOOKUP(A335,'SegEnds_NonXtal_Prot#'!A:AL,10,FALSE)</f>
        <v>#VALUE!</v>
      </c>
      <c r="AE335" s="1">
        <f>VLOOKUP(A335,'SegEnds_NonXtal_Prot#'!A:AL,16,FALSE)-VLOOKUP(A335,'SegEnds_NonXtal_Prot#'!A:AL,10,FALSE)</f>
        <v>47</v>
      </c>
      <c r="AF335" s="1" t="e">
        <f>VLOOKUP(A335,'SegEnds_NonXtal_Prot#'!A:AL,22,FALSE)-VLOOKUP(A335,'SegEnds_NonXtal_Prot#'!A:AL,19,FALSE)</f>
        <v>#VALUE!</v>
      </c>
      <c r="AG335" s="1">
        <f>VLOOKUP(A335,'SegEnds_NonXtal_Prot#'!A:AL,28,FALSE)-VLOOKUP(A335,'SegEnds_NonXtal_Prot#'!A:AL,25,FALSE)</f>
        <v>19</v>
      </c>
      <c r="AH335" s="1">
        <f>VLOOKUP(A335,'SegEnds_NonXtal_Prot#'!A:AL,28,FALSE)-VLOOKUP(A335,'SegEnds_NonXtal_Prot#'!A:AL,22,FALSE)</f>
        <v>53</v>
      </c>
      <c r="AI335" s="1">
        <f>VLOOKUP(A335,'SegEnds_NonXtal_Prot#'!A:AL,31,FALSE)-VLOOKUP(A335,'SegEnds_NonXtal_Prot#'!A:AL,28,FALSE)</f>
        <v>51</v>
      </c>
      <c r="AJ335" s="1">
        <f>VLOOKUP(A335,'SegEnds_NonXtal_Prot#'!A:AL,34,FALSE)-VLOOKUP(A335,'SegEnds_NonXtal_Prot#'!A:AL,31,FALSE)</f>
        <v>28</v>
      </c>
      <c r="AK335" s="1">
        <f>VLOOKUP(A335,'SegEnds_NonXtal_Prot#'!A:AL,37,FALSE)-VLOOKUP(A335,'SegEnds_NonXtal_Prot#'!A:AL,34,FALSE)</f>
        <v>10</v>
      </c>
      <c r="AL335" s="1" t="str">
        <f>IF(ISERROR(MATCH(A335,'SegEnds_Xtal_Prot#'!B:B, 0)), "NoXtal", "Xtal")</f>
        <v>NoXtal</v>
      </c>
    </row>
    <row r="336" spans="1:38" x14ac:dyDescent="0.2">
      <c r="A336" s="1" t="s">
        <v>1198</v>
      </c>
      <c r="B336" s="1" t="str">
        <f>VLOOKUP(A336,Xtal_Templ!A:B,2,FALSE)</f>
        <v>pth1r_human</v>
      </c>
      <c r="C336" s="5">
        <v>23</v>
      </c>
      <c r="D336" s="1">
        <f>VLOOKUP($B336&amp;"__wt",'SegEnds_Xtal_BW#'!$A:$Z,4,FALSE)</f>
        <v>60</v>
      </c>
      <c r="E336" s="1">
        <f>VLOOKUP($B336&amp;"__wt",'SegEnds_Xtal_BW#'!$A:$Z,5,FALSE)</f>
        <v>48</v>
      </c>
      <c r="F336" s="1">
        <f>VLOOKUP($B336&amp;"__wt",'SegEnds_Xtal_BW#'!$A:$Z,6,FALSE)</f>
        <v>51</v>
      </c>
      <c r="G336" s="1">
        <v>37</v>
      </c>
      <c r="H336" s="12">
        <v>65</v>
      </c>
      <c r="I336" s="1" t="str">
        <f>VLOOKUP($B336&amp;"__wt",'SegEnds_Xtal_BW#'!$A:$Z,9,FALSE)</f>
        <v>-</v>
      </c>
      <c r="J336" s="1" t="str">
        <f>VLOOKUP($B336&amp;"__wt",'SegEnds_Xtal_BW#'!$A:$Z,10,FALSE)</f>
        <v>-</v>
      </c>
      <c r="K336" s="12">
        <v>18</v>
      </c>
      <c r="L336" s="1">
        <f>VLOOKUP($B336&amp;"__wt",'SegEnds_Xtal_BW#'!$A:$Z,12,FALSE)</f>
        <v>56</v>
      </c>
      <c r="M336" s="1" t="str">
        <f>VLOOKUP($B336&amp;"__wt",'SegEnds_Xtal_BW#'!$A:$Z,13,FALSE)</f>
        <v>-</v>
      </c>
      <c r="N336" s="12" t="str">
        <f>VLOOKUP($B336&amp;"__wt",'SegEnds_Xtal_BW#'!$A:$Z,14,FALSE)</f>
        <v>-</v>
      </c>
      <c r="O336" s="87">
        <f>VLOOKUP($B336&amp;"__wt",'SegEnds_Xtal_BW#'!$A:$Z,15,FALSE)</f>
        <v>37</v>
      </c>
      <c r="P336" s="1">
        <f>VLOOKUP($B336&amp;"__wt",'SegEnds_Xtal_BW#'!$A:$Z,16,FALSE)</f>
        <v>68</v>
      </c>
      <c r="Q336" s="1">
        <f>VLOOKUP($B336&amp;"__wt",'SegEnds_Xtal_BW#'!$A:$Z,17,FALSE)</f>
        <v>50</v>
      </c>
      <c r="R336" s="1">
        <f>VLOOKUP($B336&amp;"__wt",'SegEnds_Xtal_BW#'!$A:$Z,18,FALSE)</f>
        <v>52</v>
      </c>
      <c r="S336" s="1">
        <v>36</v>
      </c>
      <c r="T336" s="1">
        <v>69</v>
      </c>
      <c r="U336" s="1">
        <v>29</v>
      </c>
      <c r="V336" s="1">
        <f>VLOOKUP($B336&amp;"__wt",'SegEnds_Xtal_BW#'!$A:$Z,22,FALSE)</f>
        <v>54</v>
      </c>
      <c r="W336" s="1">
        <v>29</v>
      </c>
      <c r="X336" s="1">
        <f>VLOOKUP($B336&amp;"__wt",'SegEnds_Xtal_BW#'!$A:$Z,24,FALSE)</f>
        <v>56</v>
      </c>
      <c r="Y336" s="1">
        <f>VLOOKUP($B336&amp;"__wt",'SegEnds_Xtal_BW#'!$A:$Z,25,FALSE)</f>
        <v>47</v>
      </c>
      <c r="Z336" s="1">
        <v>63</v>
      </c>
      <c r="AA336" s="27" t="str">
        <f>VLOOKUP(A336,Classification!A:B,2,FALSE)</f>
        <v>B2</v>
      </c>
      <c r="AB336" s="1">
        <f>VLOOKUP(A336,'SegEnds_NonXtal_Prot#'!A:AL,10,FALSE)-VLOOKUP(A336,'SegEnds_NonXtal_Prot#'!A:AL,4,FALSE)</f>
        <v>29</v>
      </c>
      <c r="AC336" s="1" t="e">
        <f>VLOOKUP(A336,'SegEnds_NonXtal_Prot#'!A:AL,10,FALSE)-VLOOKUP(A336,'SegEnds_NonXtal_Prot#'!A:AL,7,FALSE)</f>
        <v>#VALUE!</v>
      </c>
      <c r="AD336" s="1" t="e">
        <f>VLOOKUP(A336,'SegEnds_NonXtal_Prot#'!A:AL,13,FALSE)-VLOOKUP(A336,'SegEnds_NonXtal_Prot#'!A:AL,10,FALSE)</f>
        <v>#VALUE!</v>
      </c>
      <c r="AE336" s="1">
        <f>VLOOKUP(A336,'SegEnds_NonXtal_Prot#'!A:AL,16,FALSE)-VLOOKUP(A336,'SegEnds_NonXtal_Prot#'!A:AL,10,FALSE)</f>
        <v>73</v>
      </c>
      <c r="AF336" s="1" t="e">
        <f>VLOOKUP(A336,'SegEnds_NonXtal_Prot#'!A:AL,22,FALSE)-VLOOKUP(A336,'SegEnds_NonXtal_Prot#'!A:AL,19,FALSE)</f>
        <v>#VALUE!</v>
      </c>
      <c r="AG336" s="1">
        <f>VLOOKUP(A336,'SegEnds_NonXtal_Prot#'!A:AL,28,FALSE)-VLOOKUP(A336,'SegEnds_NonXtal_Prot#'!A:AL,25,FALSE)</f>
        <v>26</v>
      </c>
      <c r="AH336" s="1">
        <f>VLOOKUP(A336,'SegEnds_NonXtal_Prot#'!A:AL,28,FALSE)-VLOOKUP(A336,'SegEnds_NonXtal_Prot#'!A:AL,22,FALSE)</f>
        <v>60</v>
      </c>
      <c r="AI336" s="1">
        <f>VLOOKUP(A336,'SegEnds_NonXtal_Prot#'!A:AL,31,FALSE)-VLOOKUP(A336,'SegEnds_NonXtal_Prot#'!A:AL,28,FALSE)</f>
        <v>51</v>
      </c>
      <c r="AJ336" s="1">
        <f>VLOOKUP(A336,'SegEnds_NonXtal_Prot#'!A:AL,34,FALSE)-VLOOKUP(A336,'SegEnds_NonXtal_Prot#'!A:AL,31,FALSE)</f>
        <v>31</v>
      </c>
      <c r="AK336" s="1">
        <f>VLOOKUP(A336,'SegEnds_NonXtal_Prot#'!A:AL,37,FALSE)-VLOOKUP(A336,'SegEnds_NonXtal_Prot#'!A:AL,34,FALSE)</f>
        <v>10</v>
      </c>
      <c r="AL336" s="1" t="str">
        <f>IF(ISERROR(MATCH(A336,'SegEnds_Xtal_Prot#'!B:B, 0)), "NoXtal", "Xtal")</f>
        <v>NoXtal</v>
      </c>
    </row>
    <row r="337" spans="1:38" x14ac:dyDescent="0.2">
      <c r="A337" s="1" t="s">
        <v>1199</v>
      </c>
      <c r="B337" s="1" t="str">
        <f>VLOOKUP(A337,Xtal_Templ!A:B,2,FALSE)</f>
        <v>calcr_human</v>
      </c>
      <c r="C337" s="5">
        <v>23</v>
      </c>
      <c r="D337" s="1">
        <f>VLOOKUP($B337&amp;"__wt",'SegEnds_Xtal_BW#'!$A:$Z,4,FALSE)</f>
        <v>60</v>
      </c>
      <c r="E337" s="1">
        <f>VLOOKUP($B337&amp;"__wt",'SegEnds_Xtal_BW#'!$A:$Z,5,FALSE)</f>
        <v>48</v>
      </c>
      <c r="F337" s="1">
        <f>VLOOKUP($B337&amp;"__wt",'SegEnds_Xtal_BW#'!$A:$Z,6,FALSE)</f>
        <v>51</v>
      </c>
      <c r="G337" s="1">
        <v>37</v>
      </c>
      <c r="H337" s="12">
        <v>63</v>
      </c>
      <c r="I337" s="1" t="str">
        <f>VLOOKUP($B337&amp;"__wt",'SegEnds_Xtal_BW#'!$A:$Z,9,FALSE)</f>
        <v>-</v>
      </c>
      <c r="J337" s="1" t="str">
        <f>VLOOKUP($B337&amp;"__wt",'SegEnds_Xtal_BW#'!$A:$Z,10,FALSE)</f>
        <v>-</v>
      </c>
      <c r="K337" s="12">
        <v>23</v>
      </c>
      <c r="L337" s="1">
        <f>VLOOKUP($B337&amp;"__wt",'SegEnds_Xtal_BW#'!$A:$Z,12,FALSE)</f>
        <v>56</v>
      </c>
      <c r="M337" s="1" t="str">
        <f>VLOOKUP($B337&amp;"__wt",'SegEnds_Xtal_BW#'!$A:$Z,13,FALSE)</f>
        <v>-</v>
      </c>
      <c r="N337" s="12" t="str">
        <f>VLOOKUP($B337&amp;"__wt",'SegEnds_Xtal_BW#'!$A:$Z,14,FALSE)</f>
        <v>-</v>
      </c>
      <c r="O337" s="87">
        <f>VLOOKUP($B337&amp;"__wt",'SegEnds_Xtal_BW#'!$A:$Z,15,FALSE)</f>
        <v>41</v>
      </c>
      <c r="P337" s="1">
        <f>VLOOKUP($B337&amp;"__wt",'SegEnds_Xtal_BW#'!$A:$Z,16,FALSE)</f>
        <v>68</v>
      </c>
      <c r="Q337" s="1">
        <f>VLOOKUP($B337&amp;"__wt",'SegEnds_Xtal_BW#'!$A:$Z,17,FALSE)</f>
        <v>50</v>
      </c>
      <c r="R337" s="1">
        <f>VLOOKUP($B337&amp;"__wt",'SegEnds_Xtal_BW#'!$A:$Z,18,FALSE)</f>
        <v>52</v>
      </c>
      <c r="S337" s="1">
        <v>36</v>
      </c>
      <c r="T337" s="1">
        <v>69</v>
      </c>
      <c r="U337" s="1">
        <v>29</v>
      </c>
      <c r="V337" s="1">
        <f>VLOOKUP($B337&amp;"__wt",'SegEnds_Xtal_BW#'!$A:$Z,22,FALSE)</f>
        <v>53</v>
      </c>
      <c r="W337" s="1">
        <v>31</v>
      </c>
      <c r="X337" s="1">
        <f>VLOOKUP($B337&amp;"__wt",'SegEnds_Xtal_BW#'!$A:$Z,24,FALSE)</f>
        <v>56</v>
      </c>
      <c r="Y337" s="1">
        <f>VLOOKUP($B337&amp;"__wt",'SegEnds_Xtal_BW#'!$A:$Z,25,FALSE)</f>
        <v>47</v>
      </c>
      <c r="Z337" s="1">
        <v>63</v>
      </c>
      <c r="AA337" s="27" t="str">
        <f>VLOOKUP(A337,Classification!A:B,2,FALSE)</f>
        <v>B2</v>
      </c>
      <c r="AB337" s="1">
        <f>VLOOKUP(A337,'SegEnds_NonXtal_Prot#'!A:AL,10,FALSE)-VLOOKUP(A337,'SegEnds_NonXtal_Prot#'!A:AL,4,FALSE)</f>
        <v>28</v>
      </c>
      <c r="AC337" s="1">
        <f>VLOOKUP(A337,'SegEnds_NonXtal_Prot#'!A:AL,10,FALSE)-VLOOKUP(A337,'SegEnds_NonXtal_Prot#'!A:AL,7,FALSE)</f>
        <v>15</v>
      </c>
      <c r="AD337" s="1" t="e">
        <f>VLOOKUP(A337,'SegEnds_NonXtal_Prot#'!A:AL,13,FALSE)-VLOOKUP(A337,'SegEnds_NonXtal_Prot#'!A:AL,10,FALSE)</f>
        <v>#VALUE!</v>
      </c>
      <c r="AE337" s="1">
        <f>VLOOKUP(A337,'SegEnds_NonXtal_Prot#'!A:AL,16,FALSE)-VLOOKUP(A337,'SegEnds_NonXtal_Prot#'!A:AL,10,FALSE)</f>
        <v>45</v>
      </c>
      <c r="AF337" s="1" t="e">
        <f>VLOOKUP(A337,'SegEnds_NonXtal_Prot#'!A:AL,22,FALSE)-VLOOKUP(A337,'SegEnds_NonXtal_Prot#'!A:AL,19,FALSE)</f>
        <v>#VALUE!</v>
      </c>
      <c r="AG337" s="1">
        <f>VLOOKUP(A337,'SegEnds_NonXtal_Prot#'!A:AL,28,FALSE)-VLOOKUP(A337,'SegEnds_NonXtal_Prot#'!A:AL,25,FALSE)</f>
        <v>19</v>
      </c>
      <c r="AH337" s="1">
        <f>VLOOKUP(A337,'SegEnds_NonXtal_Prot#'!A:AL,28,FALSE)-VLOOKUP(A337,'SegEnds_NonXtal_Prot#'!A:AL,22,FALSE)</f>
        <v>43</v>
      </c>
      <c r="AI337" s="1">
        <f>VLOOKUP(A337,'SegEnds_NonXtal_Prot#'!A:AL,31,FALSE)-VLOOKUP(A337,'SegEnds_NonXtal_Prot#'!A:AL,28,FALSE)</f>
        <v>52</v>
      </c>
      <c r="AJ337" s="1">
        <f>VLOOKUP(A337,'SegEnds_NonXtal_Prot#'!A:AL,34,FALSE)-VLOOKUP(A337,'SegEnds_NonXtal_Prot#'!A:AL,31,FALSE)</f>
        <v>28</v>
      </c>
      <c r="AK337" s="1">
        <f>VLOOKUP(A337,'SegEnds_NonXtal_Prot#'!A:AL,37,FALSE)-VLOOKUP(A337,'SegEnds_NonXtal_Prot#'!A:AL,34,FALSE)</f>
        <v>10</v>
      </c>
      <c r="AL337" s="1" t="str">
        <f>IF(ISERROR(MATCH(A337,'SegEnds_Xtal_Prot#'!B:B, 0)), "NoXtal", "Xtal")</f>
        <v>NoXtal</v>
      </c>
    </row>
    <row r="338" spans="1:38" x14ac:dyDescent="0.2">
      <c r="A338" s="1" t="s">
        <v>1200</v>
      </c>
      <c r="B338" s="1" t="str">
        <f>VLOOKUP(A338,Xtal_Templ!A:B,2,FALSE)</f>
        <v>calcr_human</v>
      </c>
      <c r="C338" s="5">
        <v>23</v>
      </c>
      <c r="D338" s="1">
        <f>VLOOKUP($B338&amp;"__wt",'SegEnds_Xtal_BW#'!$A:$Z,4,FALSE)</f>
        <v>60</v>
      </c>
      <c r="E338" s="1">
        <f>VLOOKUP($B338&amp;"__wt",'SegEnds_Xtal_BW#'!$A:$Z,5,FALSE)</f>
        <v>48</v>
      </c>
      <c r="F338" s="1">
        <f>VLOOKUP($B338&amp;"__wt",'SegEnds_Xtal_BW#'!$A:$Z,6,FALSE)</f>
        <v>51</v>
      </c>
      <c r="G338" s="1">
        <v>37</v>
      </c>
      <c r="H338" s="12">
        <v>63</v>
      </c>
      <c r="I338" s="1" t="str">
        <f>VLOOKUP($B338&amp;"__wt",'SegEnds_Xtal_BW#'!$A:$Z,9,FALSE)</f>
        <v>-</v>
      </c>
      <c r="J338" s="1" t="str">
        <f>VLOOKUP($B338&amp;"__wt",'SegEnds_Xtal_BW#'!$A:$Z,10,FALSE)</f>
        <v>-</v>
      </c>
      <c r="K338" s="12">
        <v>23</v>
      </c>
      <c r="L338" s="1">
        <f>VLOOKUP($B338&amp;"__wt",'SegEnds_Xtal_BW#'!$A:$Z,12,FALSE)</f>
        <v>56</v>
      </c>
      <c r="M338" s="1" t="str">
        <f>VLOOKUP($B338&amp;"__wt",'SegEnds_Xtal_BW#'!$A:$Z,13,FALSE)</f>
        <v>-</v>
      </c>
      <c r="N338" s="12" t="str">
        <f>VLOOKUP($B338&amp;"__wt",'SegEnds_Xtal_BW#'!$A:$Z,14,FALSE)</f>
        <v>-</v>
      </c>
      <c r="O338" s="87">
        <f>VLOOKUP($B338&amp;"__wt",'SegEnds_Xtal_BW#'!$A:$Z,15,FALSE)</f>
        <v>41</v>
      </c>
      <c r="P338" s="1">
        <f>VLOOKUP($B338&amp;"__wt",'SegEnds_Xtal_BW#'!$A:$Z,16,FALSE)</f>
        <v>68</v>
      </c>
      <c r="Q338" s="1">
        <f>VLOOKUP($B338&amp;"__wt",'SegEnds_Xtal_BW#'!$A:$Z,17,FALSE)</f>
        <v>50</v>
      </c>
      <c r="R338" s="1">
        <f>VLOOKUP($B338&amp;"__wt",'SegEnds_Xtal_BW#'!$A:$Z,18,FALSE)</f>
        <v>52</v>
      </c>
      <c r="S338" s="1">
        <v>36</v>
      </c>
      <c r="T338" s="1">
        <v>69</v>
      </c>
      <c r="U338" s="1">
        <v>29</v>
      </c>
      <c r="V338" s="1">
        <f>VLOOKUP($B338&amp;"__wt",'SegEnds_Xtal_BW#'!$A:$Z,22,FALSE)</f>
        <v>53</v>
      </c>
      <c r="W338" s="1">
        <v>31</v>
      </c>
      <c r="X338" s="1">
        <f>VLOOKUP($B338&amp;"__wt",'SegEnds_Xtal_BW#'!$A:$Z,24,FALSE)</f>
        <v>56</v>
      </c>
      <c r="Y338" s="1">
        <f>VLOOKUP($B338&amp;"__wt",'SegEnds_Xtal_BW#'!$A:$Z,25,FALSE)</f>
        <v>47</v>
      </c>
      <c r="Z338" s="1">
        <v>63</v>
      </c>
      <c r="AA338" s="27" t="str">
        <f>VLOOKUP(A338,Classification!A:B,2,FALSE)</f>
        <v>B2</v>
      </c>
      <c r="AB338" s="1">
        <f>VLOOKUP(A338,'SegEnds_NonXtal_Prot#'!A:AL,10,FALSE)-VLOOKUP(A338,'SegEnds_NonXtal_Prot#'!A:AL,4,FALSE)</f>
        <v>28</v>
      </c>
      <c r="AC338" s="1" t="e">
        <f>VLOOKUP(A338,'SegEnds_NonXtal_Prot#'!A:AL,10,FALSE)-VLOOKUP(A338,'SegEnds_NonXtal_Prot#'!A:AL,7,FALSE)</f>
        <v>#VALUE!</v>
      </c>
      <c r="AD338" s="1" t="e">
        <f>VLOOKUP(A338,'SegEnds_NonXtal_Prot#'!A:AL,13,FALSE)-VLOOKUP(A338,'SegEnds_NonXtal_Prot#'!A:AL,10,FALSE)</f>
        <v>#VALUE!</v>
      </c>
      <c r="AE338" s="1">
        <f>VLOOKUP(A338,'SegEnds_NonXtal_Prot#'!A:AL,16,FALSE)-VLOOKUP(A338,'SegEnds_NonXtal_Prot#'!A:AL,10,FALSE)</f>
        <v>45</v>
      </c>
      <c r="AF338" s="1" t="e">
        <f>VLOOKUP(A338,'SegEnds_NonXtal_Prot#'!A:AL,22,FALSE)-VLOOKUP(A338,'SegEnds_NonXtal_Prot#'!A:AL,19,FALSE)</f>
        <v>#VALUE!</v>
      </c>
      <c r="AG338" s="1">
        <f>VLOOKUP(A338,'SegEnds_NonXtal_Prot#'!A:AL,28,FALSE)-VLOOKUP(A338,'SegEnds_NonXtal_Prot#'!A:AL,25,FALSE)</f>
        <v>19</v>
      </c>
      <c r="AH338" s="1">
        <f>VLOOKUP(A338,'SegEnds_NonXtal_Prot#'!A:AL,28,FALSE)-VLOOKUP(A338,'SegEnds_NonXtal_Prot#'!A:AL,22,FALSE)</f>
        <v>43</v>
      </c>
      <c r="AI338" s="1">
        <f>VLOOKUP(A338,'SegEnds_NonXtal_Prot#'!A:AL,31,FALSE)-VLOOKUP(A338,'SegEnds_NonXtal_Prot#'!A:AL,28,FALSE)</f>
        <v>52</v>
      </c>
      <c r="AJ338" s="1">
        <f>VLOOKUP(A338,'SegEnds_NonXtal_Prot#'!A:AL,34,FALSE)-VLOOKUP(A338,'SegEnds_NonXtal_Prot#'!A:AL,31,FALSE)</f>
        <v>28</v>
      </c>
      <c r="AK338" s="1">
        <f>VLOOKUP(A338,'SegEnds_NonXtal_Prot#'!A:AL,37,FALSE)-VLOOKUP(A338,'SegEnds_NonXtal_Prot#'!A:AL,34,FALSE)</f>
        <v>10</v>
      </c>
      <c r="AL338" s="1" t="str">
        <f>IF(ISERROR(MATCH(A338,'SegEnds_Xtal_Prot#'!B:B, 0)), "NoXtal", "Xtal")</f>
        <v>NoXtal</v>
      </c>
    </row>
    <row r="339" spans="1:38" x14ac:dyDescent="0.2">
      <c r="A339" s="1" t="s">
        <v>1201</v>
      </c>
      <c r="B339" s="1" t="str">
        <f>VLOOKUP(A339,Xtal_Templ!A:B,2,FALSE)</f>
        <v>crfr1_human</v>
      </c>
      <c r="C339" s="5">
        <v>23</v>
      </c>
      <c r="D339" s="1">
        <f>VLOOKUP($B339&amp;"__wt",'SegEnds_Xtal_BW#'!$A:$Z,4,FALSE)</f>
        <v>60</v>
      </c>
      <c r="E339" s="1">
        <f>VLOOKUP($B339&amp;"__wt",'SegEnds_Xtal_BW#'!$A:$Z,5,FALSE)</f>
        <v>48</v>
      </c>
      <c r="F339" s="1">
        <f>VLOOKUP($B339&amp;"__wt",'SegEnds_Xtal_BW#'!$A:$Z,6,FALSE)</f>
        <v>51</v>
      </c>
      <c r="G339" s="1">
        <v>37</v>
      </c>
      <c r="H339" s="12">
        <v>63</v>
      </c>
      <c r="I339" s="1" t="str">
        <f>VLOOKUP($B339&amp;"__wt",'SegEnds_Xtal_BW#'!$A:$Z,9,FALSE)</f>
        <v>-</v>
      </c>
      <c r="J339" s="1" t="str">
        <f>VLOOKUP($B339&amp;"__wt",'SegEnds_Xtal_BW#'!$A:$Z,10,FALSE)</f>
        <v>-</v>
      </c>
      <c r="K339" s="12">
        <v>23</v>
      </c>
      <c r="L339" s="1">
        <f>VLOOKUP($B339&amp;"__wt",'SegEnds_Xtal_BW#'!$A:$Z,12,FALSE)</f>
        <v>56</v>
      </c>
      <c r="M339" s="1" t="str">
        <f>VLOOKUP($B339&amp;"__wt",'SegEnds_Xtal_BW#'!$A:$Z,13,FALSE)</f>
        <v>-</v>
      </c>
      <c r="N339" s="12" t="str">
        <f>VLOOKUP($B339&amp;"__wt",'SegEnds_Xtal_BW#'!$A:$Z,14,FALSE)</f>
        <v>-</v>
      </c>
      <c r="O339" s="87">
        <f>VLOOKUP($B339&amp;"__wt",'SegEnds_Xtal_BW#'!$A:$Z,15,FALSE)</f>
        <v>40</v>
      </c>
      <c r="P339" s="1">
        <f>VLOOKUP($B339&amp;"__wt",'SegEnds_Xtal_BW#'!$A:$Z,16,FALSE)</f>
        <v>68</v>
      </c>
      <c r="Q339" s="1">
        <f>VLOOKUP($B339&amp;"__wt",'SegEnds_Xtal_BW#'!$A:$Z,17,FALSE)</f>
        <v>50</v>
      </c>
      <c r="R339" s="1">
        <f>VLOOKUP($B339&amp;"__wt",'SegEnds_Xtal_BW#'!$A:$Z,18,FALSE)</f>
        <v>52</v>
      </c>
      <c r="S339" s="1">
        <v>36</v>
      </c>
      <c r="T339" s="1">
        <v>69</v>
      </c>
      <c r="U339" s="1">
        <v>29</v>
      </c>
      <c r="V339" s="1">
        <f>VLOOKUP($B339&amp;"__wt",'SegEnds_Xtal_BW#'!$A:$Z,22,FALSE)</f>
        <v>53</v>
      </c>
      <c r="W339" s="1">
        <v>31</v>
      </c>
      <c r="X339" s="1">
        <f>VLOOKUP($B339&amp;"__wt",'SegEnds_Xtal_BW#'!$A:$Z,24,FALSE)</f>
        <v>56</v>
      </c>
      <c r="Y339" s="1">
        <f>VLOOKUP($B339&amp;"__wt",'SegEnds_Xtal_BW#'!$A:$Z,25,FALSE)</f>
        <v>47</v>
      </c>
      <c r="Z339" s="1">
        <v>63</v>
      </c>
      <c r="AA339" s="27" t="str">
        <f>VLOOKUP(A339,Classification!A:B,2,FALSE)</f>
        <v>B2</v>
      </c>
      <c r="AB339" s="1">
        <f>VLOOKUP(A339,'SegEnds_NonXtal_Prot#'!A:AL,10,FALSE)-VLOOKUP(A339,'SegEnds_NonXtal_Prot#'!A:AL,4,FALSE)</f>
        <v>28</v>
      </c>
      <c r="AC339" s="1">
        <f>VLOOKUP(A339,'SegEnds_NonXtal_Prot#'!A:AL,10,FALSE)-VLOOKUP(A339,'SegEnds_NonXtal_Prot#'!A:AL,7,FALSE)</f>
        <v>15</v>
      </c>
      <c r="AD339" s="1" t="e">
        <f>VLOOKUP(A339,'SegEnds_NonXtal_Prot#'!A:AL,13,FALSE)-VLOOKUP(A339,'SegEnds_NonXtal_Prot#'!A:AL,10,FALSE)</f>
        <v>#VALUE!</v>
      </c>
      <c r="AE339" s="1">
        <f>VLOOKUP(A339,'SegEnds_NonXtal_Prot#'!A:AL,16,FALSE)-VLOOKUP(A339,'SegEnds_NonXtal_Prot#'!A:AL,10,FALSE)</f>
        <v>45</v>
      </c>
      <c r="AF339" s="1" t="e">
        <f>VLOOKUP(A339,'SegEnds_NonXtal_Prot#'!A:AL,22,FALSE)-VLOOKUP(A339,'SegEnds_NonXtal_Prot#'!A:AL,19,FALSE)</f>
        <v>#VALUE!</v>
      </c>
      <c r="AG339" s="1">
        <f>VLOOKUP(A339,'SegEnds_NonXtal_Prot#'!A:AL,28,FALSE)-VLOOKUP(A339,'SegEnds_NonXtal_Prot#'!A:AL,25,FALSE)</f>
        <v>19</v>
      </c>
      <c r="AH339" s="1">
        <f>VLOOKUP(A339,'SegEnds_NonXtal_Prot#'!A:AL,28,FALSE)-VLOOKUP(A339,'SegEnds_NonXtal_Prot#'!A:AL,22,FALSE)</f>
        <v>43</v>
      </c>
      <c r="AI339" s="1">
        <f>VLOOKUP(A339,'SegEnds_NonXtal_Prot#'!A:AL,31,FALSE)-VLOOKUP(A339,'SegEnds_NonXtal_Prot#'!A:AL,28,FALSE)</f>
        <v>52</v>
      </c>
      <c r="AJ339" s="1">
        <f>VLOOKUP(A339,'SegEnds_NonXtal_Prot#'!A:AL,34,FALSE)-VLOOKUP(A339,'SegEnds_NonXtal_Prot#'!A:AL,31,FALSE)</f>
        <v>28</v>
      </c>
      <c r="AK339" s="1">
        <f>VLOOKUP(A339,'SegEnds_NonXtal_Prot#'!A:AL,37,FALSE)-VLOOKUP(A339,'SegEnds_NonXtal_Prot#'!A:AL,34,FALSE)</f>
        <v>10</v>
      </c>
      <c r="AL339" s="1" t="str">
        <f>IF(ISERROR(MATCH(A339,'SegEnds_Xtal_Prot#'!B:B, 0)), "NoXtal", "Xtal")</f>
        <v>NoXtal</v>
      </c>
    </row>
    <row r="340" spans="1:38" x14ac:dyDescent="0.2">
      <c r="A340" s="1" t="s">
        <v>1202</v>
      </c>
      <c r="B340" s="1" t="str">
        <f>VLOOKUP(A340,Xtal_Templ!A:B,2,FALSE)</f>
        <v>crfr1_human</v>
      </c>
      <c r="C340" s="5">
        <v>23</v>
      </c>
      <c r="D340" s="1">
        <f>VLOOKUP($B340&amp;"__wt",'SegEnds_Xtal_BW#'!$A:$Z,4,FALSE)</f>
        <v>60</v>
      </c>
      <c r="E340" s="1">
        <f>VLOOKUP($B340&amp;"__wt",'SegEnds_Xtal_BW#'!$A:$Z,5,FALSE)</f>
        <v>48</v>
      </c>
      <c r="F340" s="1">
        <f>VLOOKUP($B340&amp;"__wt",'SegEnds_Xtal_BW#'!$A:$Z,6,FALSE)</f>
        <v>51</v>
      </c>
      <c r="G340" s="1">
        <v>37</v>
      </c>
      <c r="H340" s="12">
        <v>63</v>
      </c>
      <c r="I340" s="1" t="str">
        <f>VLOOKUP($B340&amp;"__wt",'SegEnds_Xtal_BW#'!$A:$Z,9,FALSE)</f>
        <v>-</v>
      </c>
      <c r="J340" s="1" t="str">
        <f>VLOOKUP($B340&amp;"__wt",'SegEnds_Xtal_BW#'!$A:$Z,10,FALSE)</f>
        <v>-</v>
      </c>
      <c r="K340" s="12">
        <v>23</v>
      </c>
      <c r="L340" s="1">
        <f>VLOOKUP($B340&amp;"__wt",'SegEnds_Xtal_BW#'!$A:$Z,12,FALSE)</f>
        <v>56</v>
      </c>
      <c r="M340" s="1" t="str">
        <f>VLOOKUP($B340&amp;"__wt",'SegEnds_Xtal_BW#'!$A:$Z,13,FALSE)</f>
        <v>-</v>
      </c>
      <c r="N340" s="12" t="str">
        <f>VLOOKUP($B340&amp;"__wt",'SegEnds_Xtal_BW#'!$A:$Z,14,FALSE)</f>
        <v>-</v>
      </c>
      <c r="O340" s="87">
        <f>VLOOKUP($B340&amp;"__wt",'SegEnds_Xtal_BW#'!$A:$Z,15,FALSE)</f>
        <v>40</v>
      </c>
      <c r="P340" s="1">
        <f>VLOOKUP($B340&amp;"__wt",'SegEnds_Xtal_BW#'!$A:$Z,16,FALSE)</f>
        <v>68</v>
      </c>
      <c r="Q340" s="1">
        <f>VLOOKUP($B340&amp;"__wt",'SegEnds_Xtal_BW#'!$A:$Z,17,FALSE)</f>
        <v>50</v>
      </c>
      <c r="R340" s="1">
        <f>VLOOKUP($B340&amp;"__wt",'SegEnds_Xtal_BW#'!$A:$Z,18,FALSE)</f>
        <v>52</v>
      </c>
      <c r="S340" s="1">
        <v>36</v>
      </c>
      <c r="T340" s="1">
        <v>69</v>
      </c>
      <c r="U340" s="1">
        <v>29</v>
      </c>
      <c r="V340" s="1">
        <f>VLOOKUP($B340&amp;"__wt",'SegEnds_Xtal_BW#'!$A:$Z,22,FALSE)</f>
        <v>53</v>
      </c>
      <c r="W340" s="1">
        <v>31</v>
      </c>
      <c r="X340" s="1">
        <f>VLOOKUP($B340&amp;"__wt",'SegEnds_Xtal_BW#'!$A:$Z,24,FALSE)</f>
        <v>56</v>
      </c>
      <c r="Y340" s="1">
        <f>VLOOKUP($B340&amp;"__wt",'SegEnds_Xtal_BW#'!$A:$Z,25,FALSE)</f>
        <v>47</v>
      </c>
      <c r="Z340" s="1">
        <v>63</v>
      </c>
      <c r="AA340" s="27" t="str">
        <f>VLOOKUP(A340,Classification!A:B,2,FALSE)</f>
        <v>B2</v>
      </c>
      <c r="AB340" s="1">
        <f>VLOOKUP(A340,'SegEnds_NonXtal_Prot#'!A:AL,10,FALSE)-VLOOKUP(A340,'SegEnds_NonXtal_Prot#'!A:AL,4,FALSE)</f>
        <v>28</v>
      </c>
      <c r="AC340" s="1" t="e">
        <f>VLOOKUP(A340,'SegEnds_NonXtal_Prot#'!A:AL,10,FALSE)-VLOOKUP(A340,'SegEnds_NonXtal_Prot#'!A:AL,7,FALSE)</f>
        <v>#VALUE!</v>
      </c>
      <c r="AD340" s="1" t="e">
        <f>VLOOKUP(A340,'SegEnds_NonXtal_Prot#'!A:AL,13,FALSE)-VLOOKUP(A340,'SegEnds_NonXtal_Prot#'!A:AL,10,FALSE)</f>
        <v>#VALUE!</v>
      </c>
      <c r="AE340" s="1">
        <f>VLOOKUP(A340,'SegEnds_NonXtal_Prot#'!A:AL,16,FALSE)-VLOOKUP(A340,'SegEnds_NonXtal_Prot#'!A:AL,10,FALSE)</f>
        <v>45</v>
      </c>
      <c r="AF340" s="1" t="e">
        <f>VLOOKUP(A340,'SegEnds_NonXtal_Prot#'!A:AL,22,FALSE)-VLOOKUP(A340,'SegEnds_NonXtal_Prot#'!A:AL,19,FALSE)</f>
        <v>#VALUE!</v>
      </c>
      <c r="AG340" s="1">
        <f>VLOOKUP(A340,'SegEnds_NonXtal_Prot#'!A:AL,28,FALSE)-VLOOKUP(A340,'SegEnds_NonXtal_Prot#'!A:AL,25,FALSE)</f>
        <v>19</v>
      </c>
      <c r="AH340" s="1">
        <f>VLOOKUP(A340,'SegEnds_NonXtal_Prot#'!A:AL,28,FALSE)-VLOOKUP(A340,'SegEnds_NonXtal_Prot#'!A:AL,22,FALSE)</f>
        <v>43</v>
      </c>
      <c r="AI340" s="1">
        <f>VLOOKUP(A340,'SegEnds_NonXtal_Prot#'!A:AL,31,FALSE)-VLOOKUP(A340,'SegEnds_NonXtal_Prot#'!A:AL,28,FALSE)</f>
        <v>52</v>
      </c>
      <c r="AJ340" s="1">
        <f>VLOOKUP(A340,'SegEnds_NonXtal_Prot#'!A:AL,34,FALSE)-VLOOKUP(A340,'SegEnds_NonXtal_Prot#'!A:AL,31,FALSE)</f>
        <v>28</v>
      </c>
      <c r="AK340" s="1">
        <f>VLOOKUP(A340,'SegEnds_NonXtal_Prot#'!A:AL,37,FALSE)-VLOOKUP(A340,'SegEnds_NonXtal_Prot#'!A:AL,34,FALSE)</f>
        <v>10</v>
      </c>
      <c r="AL340" s="1" t="str">
        <f>IF(ISERROR(MATCH(A340,'SegEnds_Xtal_Prot#'!B:B, 0)), "NoXtal", "Xtal")</f>
        <v>NoXtal</v>
      </c>
    </row>
    <row r="341" spans="1:38" x14ac:dyDescent="0.2">
      <c r="A341" s="1" t="s">
        <v>414</v>
      </c>
      <c r="B341" s="1" t="str">
        <f>VLOOKUP(A341,Xtal_Templ!A:B,2,FALSE)</f>
        <v>crfr1_human</v>
      </c>
      <c r="C341" s="5">
        <v>23</v>
      </c>
      <c r="D341" s="1">
        <f>VLOOKUP($B341&amp;"__wt",'SegEnds_Xtal_BW#'!$A:$Z,4,FALSE)</f>
        <v>60</v>
      </c>
      <c r="E341" s="1">
        <f>VLOOKUP($B341&amp;"__wt",'SegEnds_Xtal_BW#'!$A:$Z,5,FALSE)</f>
        <v>48</v>
      </c>
      <c r="F341" s="1">
        <f>VLOOKUP($B341&amp;"__wt",'SegEnds_Xtal_BW#'!$A:$Z,6,FALSE)</f>
        <v>51</v>
      </c>
      <c r="G341" s="1">
        <v>37</v>
      </c>
      <c r="H341" s="12">
        <v>63</v>
      </c>
      <c r="I341" s="1" t="str">
        <f>VLOOKUP($B341&amp;"__wt",'SegEnds_Xtal_BW#'!$A:$Z,9,FALSE)</f>
        <v>-</v>
      </c>
      <c r="J341" s="1" t="str">
        <f>VLOOKUP($B341&amp;"__wt",'SegEnds_Xtal_BW#'!$A:$Z,10,FALSE)</f>
        <v>-</v>
      </c>
      <c r="K341" s="12">
        <v>23</v>
      </c>
      <c r="L341" s="1">
        <f>VLOOKUP($B341&amp;"__wt",'SegEnds_Xtal_BW#'!$A:$Z,12,FALSE)</f>
        <v>56</v>
      </c>
      <c r="M341" s="1" t="str">
        <f>VLOOKUP($B341&amp;"__wt",'SegEnds_Xtal_BW#'!$A:$Z,13,FALSE)</f>
        <v>-</v>
      </c>
      <c r="N341" s="12" t="str">
        <f>VLOOKUP($B341&amp;"__wt",'SegEnds_Xtal_BW#'!$A:$Z,14,FALSE)</f>
        <v>-</v>
      </c>
      <c r="O341" s="87">
        <f>VLOOKUP($B341&amp;"__wt",'SegEnds_Xtal_BW#'!$A:$Z,15,FALSE)</f>
        <v>40</v>
      </c>
      <c r="P341" s="1">
        <f>VLOOKUP($B341&amp;"__wt",'SegEnds_Xtal_BW#'!$A:$Z,16,FALSE)</f>
        <v>68</v>
      </c>
      <c r="Q341" s="1">
        <f>VLOOKUP($B341&amp;"__wt",'SegEnds_Xtal_BW#'!$A:$Z,17,FALSE)</f>
        <v>50</v>
      </c>
      <c r="R341" s="1">
        <f>VLOOKUP($B341&amp;"__wt",'SegEnds_Xtal_BW#'!$A:$Z,18,FALSE)</f>
        <v>52</v>
      </c>
      <c r="S341" s="1">
        <v>36</v>
      </c>
      <c r="T341" s="1">
        <v>69</v>
      </c>
      <c r="U341" s="1">
        <v>29</v>
      </c>
      <c r="V341" s="1">
        <f>VLOOKUP($B341&amp;"__wt",'SegEnds_Xtal_BW#'!$A:$Z,22,FALSE)</f>
        <v>53</v>
      </c>
      <c r="W341" s="1">
        <v>31</v>
      </c>
      <c r="X341" s="1">
        <f>VLOOKUP($B341&amp;"__wt",'SegEnds_Xtal_BW#'!$A:$Z,24,FALSE)</f>
        <v>56</v>
      </c>
      <c r="Y341" s="1">
        <f>VLOOKUP($B341&amp;"__wt",'SegEnds_Xtal_BW#'!$A:$Z,25,FALSE)</f>
        <v>47</v>
      </c>
      <c r="Z341" s="1">
        <v>63</v>
      </c>
      <c r="AA341" s="27" t="str">
        <f>VLOOKUP(A341,Classification!A:B,2,FALSE)</f>
        <v>B2</v>
      </c>
      <c r="AB341" s="1">
        <f>VLOOKUP(A341,'SegEnds_NonXtal_Prot#'!A:AL,10,FALSE)-VLOOKUP(A341,'SegEnds_NonXtal_Prot#'!A:AL,4,FALSE)</f>
        <v>29</v>
      </c>
      <c r="AC341" s="1" t="e">
        <f>VLOOKUP(A341,'SegEnds_NonXtal_Prot#'!A:AL,10,FALSE)-VLOOKUP(A341,'SegEnds_NonXtal_Prot#'!A:AL,7,FALSE)</f>
        <v>#VALUE!</v>
      </c>
      <c r="AD341" s="1" t="e">
        <f>VLOOKUP(A341,'SegEnds_NonXtal_Prot#'!A:AL,13,FALSE)-VLOOKUP(A341,'SegEnds_NonXtal_Prot#'!A:AL,10,FALSE)</f>
        <v>#VALUE!</v>
      </c>
      <c r="AE341" s="1">
        <f>VLOOKUP(A341,'SegEnds_NonXtal_Prot#'!A:AL,16,FALSE)-VLOOKUP(A341,'SegEnds_NonXtal_Prot#'!A:AL,10,FALSE)</f>
        <v>45</v>
      </c>
      <c r="AF341" s="1" t="e">
        <f>VLOOKUP(A341,'SegEnds_NonXtal_Prot#'!A:AL,22,FALSE)-VLOOKUP(A341,'SegEnds_NonXtal_Prot#'!A:AL,19,FALSE)</f>
        <v>#VALUE!</v>
      </c>
      <c r="AG341" s="1">
        <f>VLOOKUP(A341,'SegEnds_NonXtal_Prot#'!A:AL,28,FALSE)-VLOOKUP(A341,'SegEnds_NonXtal_Prot#'!A:AL,25,FALSE)</f>
        <v>19</v>
      </c>
      <c r="AH341" s="1">
        <f>VLOOKUP(A341,'SegEnds_NonXtal_Prot#'!A:AL,28,FALSE)-VLOOKUP(A341,'SegEnds_NonXtal_Prot#'!A:AL,22,FALSE)</f>
        <v>44</v>
      </c>
      <c r="AI341" s="1">
        <f>VLOOKUP(A341,'SegEnds_NonXtal_Prot#'!A:AL,31,FALSE)-VLOOKUP(A341,'SegEnds_NonXtal_Prot#'!A:AL,28,FALSE)</f>
        <v>50</v>
      </c>
      <c r="AJ341" s="1">
        <f>VLOOKUP(A341,'SegEnds_NonXtal_Prot#'!A:AL,34,FALSE)-VLOOKUP(A341,'SegEnds_NonXtal_Prot#'!A:AL,31,FALSE)</f>
        <v>29</v>
      </c>
      <c r="AK341" s="1">
        <f>VLOOKUP(A341,'SegEnds_NonXtal_Prot#'!A:AL,37,FALSE)-VLOOKUP(A341,'SegEnds_NonXtal_Prot#'!A:AL,34,FALSE)</f>
        <v>10</v>
      </c>
      <c r="AL341" s="1" t="str">
        <f>IF(ISERROR(MATCH(A341,'SegEnds_Xtal_Prot#'!B:B, 0)), "NoXtal", "Xtal")</f>
        <v>NoXtal</v>
      </c>
    </row>
    <row r="342" spans="1:38" x14ac:dyDescent="0.2">
      <c r="A342" s="4" t="s">
        <v>417</v>
      </c>
      <c r="B342" s="4" t="str">
        <f>VLOOKUP(A342,Xtal_Templ!A:B,2,FALSE)</f>
        <v>glp1r_human</v>
      </c>
      <c r="C342" s="5">
        <v>23</v>
      </c>
      <c r="D342" s="4">
        <f>VLOOKUP($B342&amp;"__wt",'SegEnds_Xtal_BW#'!$A:$Z,4,FALSE)</f>
        <v>60</v>
      </c>
      <c r="E342" s="4">
        <f>VLOOKUP($B342&amp;"__wt",'SegEnds_Xtal_BW#'!$A:$Z,5,FALSE)</f>
        <v>48</v>
      </c>
      <c r="F342" s="4">
        <f>VLOOKUP($B342&amp;"__wt",'SegEnds_Xtal_BW#'!$A:$Z,6,FALSE)</f>
        <v>51</v>
      </c>
      <c r="G342" s="4">
        <v>37</v>
      </c>
      <c r="H342" s="11">
        <v>63</v>
      </c>
      <c r="I342" s="4" t="str">
        <f>VLOOKUP($B342&amp;"__wt",'SegEnds_Xtal_BW#'!$A:$Z,9,FALSE)</f>
        <v>-</v>
      </c>
      <c r="J342" s="4" t="str">
        <f>VLOOKUP($B342&amp;"__wt",'SegEnds_Xtal_BW#'!$A:$Z,10,FALSE)</f>
        <v>-</v>
      </c>
      <c r="K342" s="11">
        <v>23</v>
      </c>
      <c r="L342" s="4">
        <f>VLOOKUP($B342&amp;"__wt",'SegEnds_Xtal_BW#'!$A:$Z,12,FALSE)</f>
        <v>56</v>
      </c>
      <c r="M342" s="4" t="str">
        <f>VLOOKUP($B342&amp;"__wt",'SegEnds_Xtal_BW#'!$A:$Z,13,FALSE)</f>
        <v>-</v>
      </c>
      <c r="N342" s="11" t="str">
        <f>VLOOKUP($B342&amp;"__wt",'SegEnds_Xtal_BW#'!$A:$Z,14,FALSE)</f>
        <v>-</v>
      </c>
      <c r="O342" s="88">
        <f>VLOOKUP($B342&amp;"__wt",'SegEnds_Xtal_BW#'!$A:$Z,15,FALSE)</f>
        <v>38</v>
      </c>
      <c r="P342" s="4">
        <f>VLOOKUP($B342&amp;"__wt",'SegEnds_Xtal_BW#'!$A:$Z,16,FALSE)</f>
        <v>68</v>
      </c>
      <c r="Q342" s="4">
        <f>VLOOKUP($B342&amp;"__wt",'SegEnds_Xtal_BW#'!$A:$Z,17,FALSE)</f>
        <v>50</v>
      </c>
      <c r="R342" s="4">
        <f>VLOOKUP($B342&amp;"__wt",'SegEnds_Xtal_BW#'!$A:$Z,18,FALSE)</f>
        <v>52</v>
      </c>
      <c r="S342" s="4">
        <v>36</v>
      </c>
      <c r="T342" s="4">
        <v>69</v>
      </c>
      <c r="U342" s="4">
        <v>29</v>
      </c>
      <c r="V342" s="4">
        <f>VLOOKUP($B342&amp;"__wt",'SegEnds_Xtal_BW#'!$A:$Z,22,FALSE)</f>
        <v>53</v>
      </c>
      <c r="W342" s="4">
        <v>31</v>
      </c>
      <c r="X342" s="4">
        <f>VLOOKUP($B342&amp;"__wt",'SegEnds_Xtal_BW#'!$A:$Z,24,FALSE)</f>
        <v>56</v>
      </c>
      <c r="Y342" s="4">
        <f>VLOOKUP($B342&amp;"__wt",'SegEnds_Xtal_BW#'!$A:$Z,25,FALSE)</f>
        <v>47</v>
      </c>
      <c r="Z342" s="4">
        <v>63</v>
      </c>
      <c r="AA342" s="27" t="str">
        <f>VLOOKUP(A342,Classification!A:B,2,FALSE)</f>
        <v>B2</v>
      </c>
      <c r="AB342" s="1">
        <f>VLOOKUP(A342,'SegEnds_NonXtal_Prot#'!A:AL,10,FALSE)-VLOOKUP(A342,'SegEnds_NonXtal_Prot#'!A:AL,4,FALSE)</f>
        <v>28</v>
      </c>
      <c r="AC342" s="4" t="e">
        <f>VLOOKUP(A342,'SegEnds_NonXtal_Prot#'!A:AL,10,FALSE)-VLOOKUP(A342,'SegEnds_NonXtal_Prot#'!A:AL,7,FALSE)</f>
        <v>#VALUE!</v>
      </c>
      <c r="AD342" s="4" t="e">
        <f>VLOOKUP(A342,'SegEnds_NonXtal_Prot#'!A:AL,13,FALSE)-VLOOKUP(A342,'SegEnds_NonXtal_Prot#'!A:AL,10,FALSE)</f>
        <v>#VALUE!</v>
      </c>
      <c r="AE342" s="4">
        <f>VLOOKUP(A342,'SegEnds_NonXtal_Prot#'!A:AL,16,FALSE)-VLOOKUP(A342,'SegEnds_NonXtal_Prot#'!A:AL,10,FALSE)</f>
        <v>47</v>
      </c>
      <c r="AF342" s="1" t="e">
        <f>VLOOKUP(A342,'SegEnds_NonXtal_Prot#'!A:AL,22,FALSE)-VLOOKUP(A342,'SegEnds_NonXtal_Prot#'!A:AL,19,FALSE)</f>
        <v>#VALUE!</v>
      </c>
      <c r="AG342" s="4">
        <f>VLOOKUP(A342,'SegEnds_NonXtal_Prot#'!A:AL,28,FALSE)-VLOOKUP(A342,'SegEnds_NonXtal_Prot#'!A:AL,25,FALSE)</f>
        <v>19</v>
      </c>
      <c r="AH342" s="1">
        <f>VLOOKUP(A342,'SegEnds_NonXtal_Prot#'!A:AL,28,FALSE)-VLOOKUP(A342,'SegEnds_NonXtal_Prot#'!A:AL,22,FALSE)</f>
        <v>43</v>
      </c>
      <c r="AI342" s="4">
        <f>VLOOKUP(A342,'SegEnds_NonXtal_Prot#'!A:AL,31,FALSE)-VLOOKUP(A342,'SegEnds_NonXtal_Prot#'!A:AL,28,FALSE)</f>
        <v>52</v>
      </c>
      <c r="AJ342" s="4">
        <f>VLOOKUP(A342,'SegEnds_NonXtal_Prot#'!A:AL,34,FALSE)-VLOOKUP(A342,'SegEnds_NonXtal_Prot#'!A:AL,31,FALSE)</f>
        <v>28</v>
      </c>
      <c r="AK342" s="1">
        <f>VLOOKUP(A342,'SegEnds_NonXtal_Prot#'!A:AL,37,FALSE)-VLOOKUP(A342,'SegEnds_NonXtal_Prot#'!A:AL,34,FALSE)</f>
        <v>10</v>
      </c>
      <c r="AL342" s="1" t="str">
        <f>IF(ISERROR(MATCH(A342,'SegEnds_Xtal_Prot#'!B:B, 0)), "NoXtal", "Xtal")</f>
        <v>NoXtal</v>
      </c>
    </row>
    <row r="343" spans="1:38" x14ac:dyDescent="0.2">
      <c r="A343" s="1" t="s">
        <v>418</v>
      </c>
      <c r="B343" s="1" t="str">
        <f>VLOOKUP(A343,Xtal_Templ!A:B,2,FALSE)</f>
        <v>pth1r_human</v>
      </c>
      <c r="C343" s="5">
        <v>23</v>
      </c>
      <c r="D343" s="1">
        <f>VLOOKUP($B343&amp;"__wt",'SegEnds_Xtal_BW#'!$A:$Z,4,FALSE)</f>
        <v>60</v>
      </c>
      <c r="E343" s="1">
        <f>VLOOKUP($B343&amp;"__wt",'SegEnds_Xtal_BW#'!$A:$Z,5,FALSE)</f>
        <v>48</v>
      </c>
      <c r="F343" s="1">
        <f>VLOOKUP($B343&amp;"__wt",'SegEnds_Xtal_BW#'!$A:$Z,6,FALSE)</f>
        <v>51</v>
      </c>
      <c r="G343" s="1">
        <v>37</v>
      </c>
      <c r="H343" s="12">
        <v>63</v>
      </c>
      <c r="I343" s="1" t="str">
        <f>VLOOKUP($B343&amp;"__wt",'SegEnds_Xtal_BW#'!$A:$Z,9,FALSE)</f>
        <v>-</v>
      </c>
      <c r="J343" s="1" t="str">
        <f>VLOOKUP($B343&amp;"__wt",'SegEnds_Xtal_BW#'!$A:$Z,10,FALSE)</f>
        <v>-</v>
      </c>
      <c r="K343" s="12">
        <v>23</v>
      </c>
      <c r="L343" s="1">
        <f>VLOOKUP($B343&amp;"__wt",'SegEnds_Xtal_BW#'!$A:$Z,12,FALSE)</f>
        <v>56</v>
      </c>
      <c r="M343" s="1" t="str">
        <f>VLOOKUP($B343&amp;"__wt",'SegEnds_Xtal_BW#'!$A:$Z,13,FALSE)</f>
        <v>-</v>
      </c>
      <c r="N343" s="12" t="str">
        <f>VLOOKUP($B343&amp;"__wt",'SegEnds_Xtal_BW#'!$A:$Z,14,FALSE)</f>
        <v>-</v>
      </c>
      <c r="O343" s="87">
        <f>VLOOKUP($B343&amp;"__wt",'SegEnds_Xtal_BW#'!$A:$Z,15,FALSE)</f>
        <v>37</v>
      </c>
      <c r="P343" s="1">
        <f>VLOOKUP($B343&amp;"__wt",'SegEnds_Xtal_BW#'!$A:$Z,16,FALSE)</f>
        <v>68</v>
      </c>
      <c r="Q343" s="1">
        <f>VLOOKUP($B343&amp;"__wt",'SegEnds_Xtal_BW#'!$A:$Z,17,FALSE)</f>
        <v>50</v>
      </c>
      <c r="R343" s="1">
        <f>VLOOKUP($B343&amp;"__wt",'SegEnds_Xtal_BW#'!$A:$Z,18,FALSE)</f>
        <v>52</v>
      </c>
      <c r="S343" s="1">
        <v>36</v>
      </c>
      <c r="T343" s="1">
        <v>69</v>
      </c>
      <c r="U343" s="1">
        <v>29</v>
      </c>
      <c r="V343" s="1">
        <f>VLOOKUP($B343&amp;"__wt",'SegEnds_Xtal_BW#'!$A:$Z,22,FALSE)</f>
        <v>54</v>
      </c>
      <c r="W343" s="1">
        <v>31</v>
      </c>
      <c r="X343" s="1">
        <f>VLOOKUP($B343&amp;"__wt",'SegEnds_Xtal_BW#'!$A:$Z,24,FALSE)</f>
        <v>56</v>
      </c>
      <c r="Y343" s="1">
        <f>VLOOKUP($B343&amp;"__wt",'SegEnds_Xtal_BW#'!$A:$Z,25,FALSE)</f>
        <v>47</v>
      </c>
      <c r="Z343" s="1">
        <v>63</v>
      </c>
      <c r="AA343" s="27" t="str">
        <f>VLOOKUP(A343,Classification!A:B,2,FALSE)</f>
        <v>B2</v>
      </c>
      <c r="AB343" s="1">
        <f>VLOOKUP(A343,'SegEnds_NonXtal_Prot#'!A:AL,10,FALSE)-VLOOKUP(A343,'SegEnds_NonXtal_Prot#'!A:AL,4,FALSE)</f>
        <v>28</v>
      </c>
      <c r="AC343" s="1">
        <f>VLOOKUP(A343,'SegEnds_NonXtal_Prot#'!A:AL,10,FALSE)-VLOOKUP(A343,'SegEnds_NonXtal_Prot#'!A:AL,7,FALSE)</f>
        <v>15</v>
      </c>
      <c r="AD343" s="1" t="e">
        <f>VLOOKUP(A343,'SegEnds_NonXtal_Prot#'!A:AL,13,FALSE)-VLOOKUP(A343,'SegEnds_NonXtal_Prot#'!A:AL,10,FALSE)</f>
        <v>#VALUE!</v>
      </c>
      <c r="AE343" s="1">
        <f>VLOOKUP(A343,'SegEnds_NonXtal_Prot#'!A:AL,16,FALSE)-VLOOKUP(A343,'SegEnds_NonXtal_Prot#'!A:AL,10,FALSE)</f>
        <v>45</v>
      </c>
      <c r="AF343" s="1" t="e">
        <f>VLOOKUP(A343,'SegEnds_NonXtal_Prot#'!A:AL,22,FALSE)-VLOOKUP(A343,'SegEnds_NonXtal_Prot#'!A:AL,19,FALSE)</f>
        <v>#VALUE!</v>
      </c>
      <c r="AG343" s="1">
        <f>VLOOKUP(A343,'SegEnds_NonXtal_Prot#'!A:AL,28,FALSE)-VLOOKUP(A343,'SegEnds_NonXtal_Prot#'!A:AL,25,FALSE)</f>
        <v>19</v>
      </c>
      <c r="AH343" s="1">
        <f>VLOOKUP(A343,'SegEnds_NonXtal_Prot#'!A:AL,28,FALSE)-VLOOKUP(A343,'SegEnds_NonXtal_Prot#'!A:AL,22,FALSE)</f>
        <v>43</v>
      </c>
      <c r="AI343" s="1">
        <f>VLOOKUP(A343,'SegEnds_NonXtal_Prot#'!A:AL,31,FALSE)-VLOOKUP(A343,'SegEnds_NonXtal_Prot#'!A:AL,28,FALSE)</f>
        <v>48</v>
      </c>
      <c r="AJ343" s="1">
        <f>VLOOKUP(A343,'SegEnds_NonXtal_Prot#'!A:AL,34,FALSE)-VLOOKUP(A343,'SegEnds_NonXtal_Prot#'!A:AL,31,FALSE)</f>
        <v>28</v>
      </c>
      <c r="AK343" s="1">
        <f>VLOOKUP(A343,'SegEnds_NonXtal_Prot#'!A:AL,37,FALSE)-VLOOKUP(A343,'SegEnds_NonXtal_Prot#'!A:AL,34,FALSE)</f>
        <v>10</v>
      </c>
      <c r="AL343" s="1" t="str">
        <f>IF(ISERROR(MATCH(A343,'SegEnds_Xtal_Prot#'!B:B, 0)), "NoXtal", "Xtal")</f>
        <v>NoXtal</v>
      </c>
    </row>
    <row r="344" spans="1:38" x14ac:dyDescent="0.2">
      <c r="A344" s="4" t="s">
        <v>419</v>
      </c>
      <c r="B344" s="4" t="str">
        <f>VLOOKUP(A344,Xtal_Templ!A:B,2,FALSE)</f>
        <v>calrl_human</v>
      </c>
      <c r="C344" s="5">
        <v>23</v>
      </c>
      <c r="D344" s="4">
        <f>VLOOKUP($B344&amp;"__wt",'SegEnds_Xtal_BW#'!$A:$Z,4,FALSE)</f>
        <v>60</v>
      </c>
      <c r="E344" s="4">
        <f>VLOOKUP($B344&amp;"__wt",'SegEnds_Xtal_BW#'!$A:$Z,5,FALSE)</f>
        <v>48</v>
      </c>
      <c r="F344" s="4">
        <f>VLOOKUP($B344&amp;"__wt",'SegEnds_Xtal_BW#'!$A:$Z,6,FALSE)</f>
        <v>51</v>
      </c>
      <c r="G344" s="4">
        <v>37</v>
      </c>
      <c r="H344" s="11">
        <v>63</v>
      </c>
      <c r="I344" s="4" t="str">
        <f>VLOOKUP($B344&amp;"__wt",'SegEnds_Xtal_BW#'!$A:$Z,9,FALSE)</f>
        <v>-</v>
      </c>
      <c r="J344" s="4" t="str">
        <f>VLOOKUP($B344&amp;"__wt",'SegEnds_Xtal_BW#'!$A:$Z,10,FALSE)</f>
        <v>-</v>
      </c>
      <c r="K344" s="11">
        <v>23</v>
      </c>
      <c r="L344" s="4">
        <f>VLOOKUP($B344&amp;"__wt",'SegEnds_Xtal_BW#'!$A:$Z,12,FALSE)</f>
        <v>56</v>
      </c>
      <c r="M344" s="4" t="str">
        <f>VLOOKUP($B344&amp;"__wt",'SegEnds_Xtal_BW#'!$A:$Z,13,FALSE)</f>
        <v>-</v>
      </c>
      <c r="N344" s="11" t="str">
        <f>VLOOKUP($B344&amp;"__wt",'SegEnds_Xtal_BW#'!$A:$Z,14,FALSE)</f>
        <v>-</v>
      </c>
      <c r="O344" s="88">
        <f>VLOOKUP($B344&amp;"__wt",'SegEnds_Xtal_BW#'!$A:$Z,15,FALSE)</f>
        <v>41</v>
      </c>
      <c r="P344" s="4">
        <f>VLOOKUP($B344&amp;"__wt",'SegEnds_Xtal_BW#'!$A:$Z,16,FALSE)</f>
        <v>67</v>
      </c>
      <c r="Q344" s="4">
        <f>VLOOKUP($B344&amp;"__wt",'SegEnds_Xtal_BW#'!$A:$Z,17,FALSE)</f>
        <v>50</v>
      </c>
      <c r="R344" s="4">
        <f>VLOOKUP($B344&amp;"__wt",'SegEnds_Xtal_BW#'!$A:$Z,18,FALSE)</f>
        <v>52</v>
      </c>
      <c r="S344" s="4">
        <v>36</v>
      </c>
      <c r="T344" s="4">
        <v>69</v>
      </c>
      <c r="U344" s="4">
        <v>29</v>
      </c>
      <c r="V344" s="4">
        <f>VLOOKUP($B344&amp;"__wt",'SegEnds_Xtal_BW#'!$A:$Z,22,FALSE)</f>
        <v>53</v>
      </c>
      <c r="W344" s="4">
        <v>31</v>
      </c>
      <c r="X344" s="4">
        <f>VLOOKUP($B344&amp;"__wt",'SegEnds_Xtal_BW#'!$A:$Z,24,FALSE)</f>
        <v>56</v>
      </c>
      <c r="Y344" s="4">
        <f>VLOOKUP($B344&amp;"__wt",'SegEnds_Xtal_BW#'!$A:$Z,25,FALSE)</f>
        <v>47</v>
      </c>
      <c r="Z344" s="4">
        <v>63</v>
      </c>
      <c r="AA344" s="27" t="str">
        <f>VLOOKUP(A344,Classification!A:B,2,FALSE)</f>
        <v>B2</v>
      </c>
      <c r="AB344" s="1">
        <f>VLOOKUP(A344,'SegEnds_NonXtal_Prot#'!A:AL,10,FALSE)-VLOOKUP(A344,'SegEnds_NonXtal_Prot#'!A:AL,4,FALSE)</f>
        <v>28</v>
      </c>
      <c r="AC344" s="4">
        <f>VLOOKUP(A344,'SegEnds_NonXtal_Prot#'!A:AL,10,FALSE)-VLOOKUP(A344,'SegEnds_NonXtal_Prot#'!A:AL,7,FALSE)</f>
        <v>15</v>
      </c>
      <c r="AD344" s="4" t="e">
        <f>VLOOKUP(A344,'SegEnds_NonXtal_Prot#'!A:AL,13,FALSE)-VLOOKUP(A344,'SegEnds_NonXtal_Prot#'!A:AL,10,FALSE)</f>
        <v>#VALUE!</v>
      </c>
      <c r="AE344" s="4">
        <f>VLOOKUP(A344,'SegEnds_NonXtal_Prot#'!A:AL,16,FALSE)-VLOOKUP(A344,'SegEnds_NonXtal_Prot#'!A:AL,10,FALSE)</f>
        <v>45</v>
      </c>
      <c r="AF344" s="1" t="e">
        <f>VLOOKUP(A344,'SegEnds_NonXtal_Prot#'!A:AL,22,FALSE)-VLOOKUP(A344,'SegEnds_NonXtal_Prot#'!A:AL,19,FALSE)</f>
        <v>#VALUE!</v>
      </c>
      <c r="AG344" s="4">
        <f>VLOOKUP(A344,'SegEnds_NonXtal_Prot#'!A:AL,28,FALSE)-VLOOKUP(A344,'SegEnds_NonXtal_Prot#'!A:AL,25,FALSE)</f>
        <v>19</v>
      </c>
      <c r="AH344" s="1">
        <f>VLOOKUP(A344,'SegEnds_NonXtal_Prot#'!A:AL,28,FALSE)-VLOOKUP(A344,'SegEnds_NonXtal_Prot#'!A:AL,22,FALSE)</f>
        <v>43</v>
      </c>
      <c r="AI344" s="4">
        <f>VLOOKUP(A344,'SegEnds_NonXtal_Prot#'!A:AL,31,FALSE)-VLOOKUP(A344,'SegEnds_NonXtal_Prot#'!A:AL,28,FALSE)</f>
        <v>48</v>
      </c>
      <c r="AJ344" s="4">
        <f>VLOOKUP(A344,'SegEnds_NonXtal_Prot#'!A:AL,34,FALSE)-VLOOKUP(A344,'SegEnds_NonXtal_Prot#'!A:AL,31,FALSE)</f>
        <v>28</v>
      </c>
      <c r="AK344" s="1">
        <f>VLOOKUP(A344,'SegEnds_NonXtal_Prot#'!A:AL,37,FALSE)-VLOOKUP(A344,'SegEnds_NonXtal_Prot#'!A:AL,34,FALSE)</f>
        <v>10</v>
      </c>
      <c r="AL344" s="1" t="str">
        <f>IF(ISERROR(MATCH(A344,'SegEnds_Xtal_Prot#'!B:B, 0)), "NoXtal", "Xtal")</f>
        <v>NoXtal</v>
      </c>
    </row>
    <row r="345" spans="1:38" x14ac:dyDescent="0.2">
      <c r="A345" s="1" t="s">
        <v>420</v>
      </c>
      <c r="B345" s="1" t="str">
        <f>VLOOKUP(A345,Xtal_Templ!A:B,2,FALSE)</f>
        <v>crfr1_human</v>
      </c>
      <c r="C345" s="5">
        <v>23</v>
      </c>
      <c r="D345" s="1">
        <f>VLOOKUP($B345&amp;"__wt",'SegEnds_Xtal_BW#'!$A:$Z,4,FALSE)</f>
        <v>60</v>
      </c>
      <c r="E345" s="1">
        <f>VLOOKUP($B345&amp;"__wt",'SegEnds_Xtal_BW#'!$A:$Z,5,FALSE)</f>
        <v>48</v>
      </c>
      <c r="F345" s="1">
        <f>VLOOKUP($B345&amp;"__wt",'SegEnds_Xtal_BW#'!$A:$Z,6,FALSE)</f>
        <v>51</v>
      </c>
      <c r="G345" s="1">
        <v>37</v>
      </c>
      <c r="H345" s="12">
        <v>63</v>
      </c>
      <c r="I345" s="1" t="str">
        <f>VLOOKUP($B345&amp;"__wt",'SegEnds_Xtal_BW#'!$A:$Z,9,FALSE)</f>
        <v>-</v>
      </c>
      <c r="J345" s="1" t="str">
        <f>VLOOKUP($B345&amp;"__wt",'SegEnds_Xtal_BW#'!$A:$Z,10,FALSE)</f>
        <v>-</v>
      </c>
      <c r="K345" s="12">
        <v>23</v>
      </c>
      <c r="L345" s="1">
        <f>VLOOKUP($B345&amp;"__wt",'SegEnds_Xtal_BW#'!$A:$Z,12,FALSE)</f>
        <v>56</v>
      </c>
      <c r="M345" s="1" t="str">
        <f>VLOOKUP($B345&amp;"__wt",'SegEnds_Xtal_BW#'!$A:$Z,13,FALSE)</f>
        <v>-</v>
      </c>
      <c r="N345" s="12" t="str">
        <f>VLOOKUP($B345&amp;"__wt",'SegEnds_Xtal_BW#'!$A:$Z,14,FALSE)</f>
        <v>-</v>
      </c>
      <c r="O345" s="87">
        <f>VLOOKUP($B345&amp;"__wt",'SegEnds_Xtal_BW#'!$A:$Z,15,FALSE)</f>
        <v>40</v>
      </c>
      <c r="P345" s="1">
        <f>VLOOKUP($B345&amp;"__wt",'SegEnds_Xtal_BW#'!$A:$Z,16,FALSE)</f>
        <v>68</v>
      </c>
      <c r="Q345" s="1">
        <f>VLOOKUP($B345&amp;"__wt",'SegEnds_Xtal_BW#'!$A:$Z,17,FALSE)</f>
        <v>50</v>
      </c>
      <c r="R345" s="1">
        <f>VLOOKUP($B345&amp;"__wt",'SegEnds_Xtal_BW#'!$A:$Z,18,FALSE)</f>
        <v>52</v>
      </c>
      <c r="S345" s="1">
        <v>36</v>
      </c>
      <c r="T345" s="1">
        <v>69</v>
      </c>
      <c r="U345" s="1">
        <v>29</v>
      </c>
      <c r="V345" s="1">
        <f>VLOOKUP($B345&amp;"__wt",'SegEnds_Xtal_BW#'!$A:$Z,22,FALSE)</f>
        <v>53</v>
      </c>
      <c r="W345" s="1">
        <v>31</v>
      </c>
      <c r="X345" s="1">
        <f>VLOOKUP($B345&amp;"__wt",'SegEnds_Xtal_BW#'!$A:$Z,24,FALSE)</f>
        <v>56</v>
      </c>
      <c r="Y345" s="1">
        <f>VLOOKUP($B345&amp;"__wt",'SegEnds_Xtal_BW#'!$A:$Z,25,FALSE)</f>
        <v>47</v>
      </c>
      <c r="Z345" s="1">
        <v>63</v>
      </c>
      <c r="AA345" s="27" t="str">
        <f>VLOOKUP(A345,Classification!A:B,2,FALSE)</f>
        <v>B2</v>
      </c>
      <c r="AB345" s="1">
        <f>VLOOKUP(A345,'SegEnds_NonXtal_Prot#'!A:AL,10,FALSE)-VLOOKUP(A345,'SegEnds_NonXtal_Prot#'!A:AL,4,FALSE)</f>
        <v>28</v>
      </c>
      <c r="AC345" s="1">
        <f>VLOOKUP(A345,'SegEnds_NonXtal_Prot#'!A:AL,10,FALSE)-VLOOKUP(A345,'SegEnds_NonXtal_Prot#'!A:AL,7,FALSE)</f>
        <v>15</v>
      </c>
      <c r="AD345" s="1" t="e">
        <f>VLOOKUP(A345,'SegEnds_NonXtal_Prot#'!A:AL,13,FALSE)-VLOOKUP(A345,'SegEnds_NonXtal_Prot#'!A:AL,10,FALSE)</f>
        <v>#VALUE!</v>
      </c>
      <c r="AE345" s="1">
        <f>VLOOKUP(A345,'SegEnds_NonXtal_Prot#'!A:AL,16,FALSE)-VLOOKUP(A345,'SegEnds_NonXtal_Prot#'!A:AL,10,FALSE)</f>
        <v>45</v>
      </c>
      <c r="AF345" s="1" t="e">
        <f>VLOOKUP(A345,'SegEnds_NonXtal_Prot#'!A:AL,22,FALSE)-VLOOKUP(A345,'SegEnds_NonXtal_Prot#'!A:AL,19,FALSE)</f>
        <v>#VALUE!</v>
      </c>
      <c r="AG345" s="1">
        <f>VLOOKUP(A345,'SegEnds_NonXtal_Prot#'!A:AL,28,FALSE)-VLOOKUP(A345,'SegEnds_NonXtal_Prot#'!A:AL,25,FALSE)</f>
        <v>19</v>
      </c>
      <c r="AH345" s="1">
        <f>VLOOKUP(A345,'SegEnds_NonXtal_Prot#'!A:AL,28,FALSE)-VLOOKUP(A345,'SegEnds_NonXtal_Prot#'!A:AL,22,FALSE)</f>
        <v>43</v>
      </c>
      <c r="AI345" s="1">
        <f>VLOOKUP(A345,'SegEnds_NonXtal_Prot#'!A:AL,31,FALSE)-VLOOKUP(A345,'SegEnds_NonXtal_Prot#'!A:AL,28,FALSE)</f>
        <v>47</v>
      </c>
      <c r="AJ345" s="1">
        <f>VLOOKUP(A345,'SegEnds_NonXtal_Prot#'!A:AL,34,FALSE)-VLOOKUP(A345,'SegEnds_NonXtal_Prot#'!A:AL,31,FALSE)</f>
        <v>28</v>
      </c>
      <c r="AK345" s="1">
        <f>VLOOKUP(A345,'SegEnds_NonXtal_Prot#'!A:AL,37,FALSE)-VLOOKUP(A345,'SegEnds_NonXtal_Prot#'!A:AL,34,FALSE)</f>
        <v>10</v>
      </c>
      <c r="AL345" s="1" t="str">
        <f>IF(ISERROR(MATCH(A345,'SegEnds_Xtal_Prot#'!B:B, 0)), "NoXtal", "Xtal")</f>
        <v>NoXtal</v>
      </c>
    </row>
    <row r="346" spans="1:38" x14ac:dyDescent="0.2">
      <c r="A346" s="1" t="s">
        <v>442</v>
      </c>
      <c r="B346" s="1" t="str">
        <f>VLOOKUP(A346,Xtal_Templ!A:B,2,FALSE)</f>
        <v>crfr1_human</v>
      </c>
      <c r="C346" s="5">
        <v>23</v>
      </c>
      <c r="D346" s="1">
        <f>VLOOKUP($B346&amp;"__wt",'SegEnds_Xtal_BW#'!$A:$Z,4,FALSE)</f>
        <v>60</v>
      </c>
      <c r="E346" s="1">
        <f>VLOOKUP($B346&amp;"__wt",'SegEnds_Xtal_BW#'!$A:$Z,5,FALSE)</f>
        <v>48</v>
      </c>
      <c r="F346" s="1">
        <f>VLOOKUP($B346&amp;"__wt",'SegEnds_Xtal_BW#'!$A:$Z,6,FALSE)</f>
        <v>51</v>
      </c>
      <c r="G346" s="1">
        <v>37</v>
      </c>
      <c r="H346" s="12">
        <v>63</v>
      </c>
      <c r="I346" s="1" t="str">
        <f>VLOOKUP($B346&amp;"__wt",'SegEnds_Xtal_BW#'!$A:$Z,9,FALSE)</f>
        <v>-</v>
      </c>
      <c r="J346" s="1" t="str">
        <f>VLOOKUP($B346&amp;"__wt",'SegEnds_Xtal_BW#'!$A:$Z,10,FALSE)</f>
        <v>-</v>
      </c>
      <c r="K346" s="12">
        <v>23</v>
      </c>
      <c r="L346" s="1">
        <f>VLOOKUP($B346&amp;"__wt",'SegEnds_Xtal_BW#'!$A:$Z,12,FALSE)</f>
        <v>56</v>
      </c>
      <c r="M346" s="1" t="str">
        <f>VLOOKUP($B346&amp;"__wt",'SegEnds_Xtal_BW#'!$A:$Z,13,FALSE)</f>
        <v>-</v>
      </c>
      <c r="N346" s="12" t="str">
        <f>VLOOKUP($B346&amp;"__wt",'SegEnds_Xtal_BW#'!$A:$Z,14,FALSE)</f>
        <v>-</v>
      </c>
      <c r="O346" s="87">
        <f>VLOOKUP($B346&amp;"__wt",'SegEnds_Xtal_BW#'!$A:$Z,15,FALSE)</f>
        <v>40</v>
      </c>
      <c r="P346" s="1">
        <f>VLOOKUP($B346&amp;"__wt",'SegEnds_Xtal_BW#'!$A:$Z,16,FALSE)</f>
        <v>68</v>
      </c>
      <c r="Q346" s="1">
        <f>VLOOKUP($B346&amp;"__wt",'SegEnds_Xtal_BW#'!$A:$Z,17,FALSE)</f>
        <v>50</v>
      </c>
      <c r="R346" s="1">
        <f>VLOOKUP($B346&amp;"__wt",'SegEnds_Xtal_BW#'!$A:$Z,18,FALSE)</f>
        <v>52</v>
      </c>
      <c r="S346" s="1">
        <v>36</v>
      </c>
      <c r="T346" s="1">
        <v>69</v>
      </c>
      <c r="U346" s="1">
        <v>29</v>
      </c>
      <c r="V346" s="1">
        <f>VLOOKUP($B346&amp;"__wt",'SegEnds_Xtal_BW#'!$A:$Z,22,FALSE)</f>
        <v>53</v>
      </c>
      <c r="W346" s="1">
        <v>31</v>
      </c>
      <c r="X346" s="1">
        <f>VLOOKUP($B346&amp;"__wt",'SegEnds_Xtal_BW#'!$A:$Z,24,FALSE)</f>
        <v>56</v>
      </c>
      <c r="Y346" s="1">
        <f>VLOOKUP($B346&amp;"__wt",'SegEnds_Xtal_BW#'!$A:$Z,25,FALSE)</f>
        <v>47</v>
      </c>
      <c r="Z346" s="1">
        <v>63</v>
      </c>
      <c r="AA346" s="27" t="str">
        <f>VLOOKUP(A346,Classification!A:B,2,FALSE)</f>
        <v>B2</v>
      </c>
      <c r="AB346" s="1">
        <f>VLOOKUP(A346,'SegEnds_NonXtal_Prot#'!A:AL,10,FALSE)-VLOOKUP(A346,'SegEnds_NonXtal_Prot#'!A:AL,4,FALSE)</f>
        <v>26</v>
      </c>
      <c r="AC346" s="1" t="e">
        <f>VLOOKUP(A346,'SegEnds_NonXtal_Prot#'!A:AL,10,FALSE)-VLOOKUP(A346,'SegEnds_NonXtal_Prot#'!A:AL,7,FALSE)</f>
        <v>#VALUE!</v>
      </c>
      <c r="AD346" s="1" t="e">
        <f>VLOOKUP(A346,'SegEnds_NonXtal_Prot#'!A:AL,13,FALSE)-VLOOKUP(A346,'SegEnds_NonXtal_Prot#'!A:AL,10,FALSE)</f>
        <v>#VALUE!</v>
      </c>
      <c r="AE346" s="1">
        <f>VLOOKUP(A346,'SegEnds_NonXtal_Prot#'!A:AL,16,FALSE)-VLOOKUP(A346,'SegEnds_NonXtal_Prot#'!A:AL,10,FALSE)</f>
        <v>47</v>
      </c>
      <c r="AF346" s="1" t="e">
        <f>VLOOKUP(A346,'SegEnds_NonXtal_Prot#'!A:AL,22,FALSE)-VLOOKUP(A346,'SegEnds_NonXtal_Prot#'!A:AL,19,FALSE)</f>
        <v>#VALUE!</v>
      </c>
      <c r="AG346" s="1">
        <f>VLOOKUP(A346,'SegEnds_NonXtal_Prot#'!A:AL,28,FALSE)-VLOOKUP(A346,'SegEnds_NonXtal_Prot#'!A:AL,25,FALSE)</f>
        <v>20</v>
      </c>
      <c r="AH346" s="1">
        <f>VLOOKUP(A346,'SegEnds_NonXtal_Prot#'!A:AL,28,FALSE)-VLOOKUP(A346,'SegEnds_NonXtal_Prot#'!A:AL,22,FALSE)</f>
        <v>54</v>
      </c>
      <c r="AI346" s="1">
        <f>VLOOKUP(A346,'SegEnds_NonXtal_Prot#'!A:AL,31,FALSE)-VLOOKUP(A346,'SegEnds_NonXtal_Prot#'!A:AL,28,FALSE)</f>
        <v>49</v>
      </c>
      <c r="AJ346" s="1">
        <f>VLOOKUP(A346,'SegEnds_NonXtal_Prot#'!A:AL,34,FALSE)-VLOOKUP(A346,'SegEnds_NonXtal_Prot#'!A:AL,31,FALSE)</f>
        <v>28</v>
      </c>
      <c r="AK346" s="1">
        <f>VLOOKUP(A346,'SegEnds_NonXtal_Prot#'!A:AL,37,FALSE)-VLOOKUP(A346,'SegEnds_NonXtal_Prot#'!A:AL,34,FALSE)</f>
        <v>10</v>
      </c>
      <c r="AL346" s="1" t="str">
        <f>IF(ISERROR(MATCH(A346,'SegEnds_Xtal_Prot#'!B:B, 0)), "NoXtal", "Xtal")</f>
        <v>NoXtal</v>
      </c>
    </row>
    <row r="347" spans="1:38" x14ac:dyDescent="0.2">
      <c r="A347" s="1" t="s">
        <v>1189</v>
      </c>
      <c r="B347" s="1" t="str">
        <f>VLOOKUP(A347,Xtal_Templ!A:B,2,FALSE)</f>
        <v>calrl_human</v>
      </c>
      <c r="C347" s="5">
        <v>23</v>
      </c>
      <c r="D347" s="1">
        <f>VLOOKUP($B347&amp;"__wt",'SegEnds_Xtal_BW#'!$A:$Z,4,FALSE)</f>
        <v>60</v>
      </c>
      <c r="E347" s="1">
        <f>VLOOKUP($B347&amp;"__wt",'SegEnds_Xtal_BW#'!$A:$Z,5,FALSE)</f>
        <v>48</v>
      </c>
      <c r="F347" s="1">
        <f>VLOOKUP($B347&amp;"__wt",'SegEnds_Xtal_BW#'!$A:$Z,6,FALSE)</f>
        <v>51</v>
      </c>
      <c r="G347" s="1">
        <v>37</v>
      </c>
      <c r="H347" s="12">
        <v>63</v>
      </c>
      <c r="I347" s="1" t="str">
        <f>VLOOKUP($B347&amp;"__wt",'SegEnds_Xtal_BW#'!$A:$Z,9,FALSE)</f>
        <v>-</v>
      </c>
      <c r="J347" s="1" t="str">
        <f>VLOOKUP($B347&amp;"__wt",'SegEnds_Xtal_BW#'!$A:$Z,10,FALSE)</f>
        <v>-</v>
      </c>
      <c r="K347" s="12">
        <v>23</v>
      </c>
      <c r="L347" s="1">
        <f>VLOOKUP($B347&amp;"__wt",'SegEnds_Xtal_BW#'!$A:$Z,12,FALSE)</f>
        <v>56</v>
      </c>
      <c r="M347" s="1" t="str">
        <f>VLOOKUP($B347&amp;"__wt",'SegEnds_Xtal_BW#'!$A:$Z,13,FALSE)</f>
        <v>-</v>
      </c>
      <c r="N347" s="12" t="str">
        <f>VLOOKUP($B347&amp;"__wt",'SegEnds_Xtal_BW#'!$A:$Z,14,FALSE)</f>
        <v>-</v>
      </c>
      <c r="O347" s="87">
        <f>VLOOKUP($B347&amp;"__wt",'SegEnds_Xtal_BW#'!$A:$Z,15,FALSE)</f>
        <v>41</v>
      </c>
      <c r="P347" s="1">
        <f>VLOOKUP($B347&amp;"__wt",'SegEnds_Xtal_BW#'!$A:$Z,16,FALSE)</f>
        <v>67</v>
      </c>
      <c r="Q347" s="1">
        <f>VLOOKUP($B347&amp;"__wt",'SegEnds_Xtal_BW#'!$A:$Z,17,FALSE)</f>
        <v>50</v>
      </c>
      <c r="R347" s="1">
        <f>VLOOKUP($B347&amp;"__wt",'SegEnds_Xtal_BW#'!$A:$Z,18,FALSE)</f>
        <v>52</v>
      </c>
      <c r="S347" s="1">
        <v>36</v>
      </c>
      <c r="T347" s="1">
        <v>69</v>
      </c>
      <c r="U347" s="1">
        <v>29</v>
      </c>
      <c r="V347" s="108">
        <v>50</v>
      </c>
      <c r="W347" s="1">
        <v>31</v>
      </c>
      <c r="X347" s="1">
        <f>VLOOKUP($B347&amp;"__wt",'SegEnds_Xtal_BW#'!$A:$Z,24,FALSE)</f>
        <v>56</v>
      </c>
      <c r="Y347" s="1">
        <f>VLOOKUP($B347&amp;"__wt",'SegEnds_Xtal_BW#'!$A:$Z,25,FALSE)</f>
        <v>47</v>
      </c>
      <c r="Z347" s="1">
        <v>63</v>
      </c>
      <c r="AA347" s="27" t="str">
        <f>VLOOKUP(A347,Classification!A:B,2,FALSE)</f>
        <v>B2</v>
      </c>
      <c r="AB347" s="1">
        <f>VLOOKUP(A347,'SegEnds_NonXtal_Prot#'!A:AL,10,FALSE)-VLOOKUP(A347,'SegEnds_NonXtal_Prot#'!A:AL,4,FALSE)</f>
        <v>31</v>
      </c>
      <c r="AC347" s="1" t="e">
        <f>VLOOKUP(A347,'SegEnds_NonXtal_Prot#'!A:AL,10,FALSE)-VLOOKUP(A347,'SegEnds_NonXtal_Prot#'!A:AL,7,FALSE)</f>
        <v>#VALUE!</v>
      </c>
      <c r="AD347" s="1" t="e">
        <f>VLOOKUP(A347,'SegEnds_NonXtal_Prot#'!A:AL,13,FALSE)-VLOOKUP(A347,'SegEnds_NonXtal_Prot#'!A:AL,10,FALSE)</f>
        <v>#VALUE!</v>
      </c>
      <c r="AE347" s="1">
        <f>VLOOKUP(A347,'SegEnds_NonXtal_Prot#'!A:AL,16,FALSE)-VLOOKUP(A347,'SegEnds_NonXtal_Prot#'!A:AL,10,FALSE)</f>
        <v>51</v>
      </c>
      <c r="AF347" s="1" t="e">
        <f>VLOOKUP(A347,'SegEnds_NonXtal_Prot#'!A:AL,22,FALSE)-VLOOKUP(A347,'SegEnds_NonXtal_Prot#'!A:AL,19,FALSE)</f>
        <v>#VALUE!</v>
      </c>
      <c r="AG347" s="1">
        <f>VLOOKUP(A347,'SegEnds_NonXtal_Prot#'!A:AL,28,FALSE)-VLOOKUP(A347,'SegEnds_NonXtal_Prot#'!A:AL,25,FALSE)</f>
        <v>20</v>
      </c>
      <c r="AH347" s="1">
        <f>VLOOKUP(A347,'SegEnds_NonXtal_Prot#'!A:AL,28,FALSE)-VLOOKUP(A347,'SegEnds_NonXtal_Prot#'!A:AL,22,FALSE)</f>
        <v>46</v>
      </c>
      <c r="AI347" s="1">
        <f>VLOOKUP(A347,'SegEnds_NonXtal_Prot#'!A:AL,31,FALSE)-VLOOKUP(A347,'SegEnds_NonXtal_Prot#'!A:AL,28,FALSE)</f>
        <v>57</v>
      </c>
      <c r="AJ347" s="1">
        <f>VLOOKUP(A347,'SegEnds_NonXtal_Prot#'!A:AL,34,FALSE)-VLOOKUP(A347,'SegEnds_NonXtal_Prot#'!A:AL,31,FALSE)</f>
        <v>23</v>
      </c>
      <c r="AK347" s="1" t="e">
        <f>VLOOKUP(A347,'SegEnds_NonXtal_Prot#'!A:AL,37,FALSE)-VLOOKUP(A347,'SegEnds_NonXtal_Prot#'!A:AL,34,FALSE)</f>
        <v>#VALUE!</v>
      </c>
      <c r="AL347" s="1" t="str">
        <f>IF(ISERROR(MATCH(A347,'SegEnds_Xtal_Prot#'!B:B, 0)), "NoXtal", "Xtal")</f>
        <v>NoXtal</v>
      </c>
    </row>
    <row r="348" spans="1:38" s="42" customFormat="1" x14ac:dyDescent="0.2">
      <c r="A348" s="42" t="s">
        <v>105</v>
      </c>
      <c r="B348" s="42" t="str">
        <f>VLOOKUP(A348,Xtal_Templ!A:B,2,FALSE)</f>
        <v>grm5_human</v>
      </c>
      <c r="C348" s="43">
        <f>VLOOKUP($B348&amp;"__wt",'SegEnds_Xtal_BW#'!$A:$Z,3,FALSE)</f>
        <v>34</v>
      </c>
      <c r="D348" s="42">
        <f>VLOOKUP($B348&amp;"__wt",'SegEnds_Xtal_BW#'!$A:$Z,4,FALSE)</f>
        <v>60</v>
      </c>
      <c r="E348" s="42">
        <f>VLOOKUP($B348&amp;"__wt",'SegEnds_Xtal_BW#'!$A:$Z,5,FALSE)</f>
        <v>47</v>
      </c>
      <c r="F348" s="42">
        <f>VLOOKUP($B348&amp;"__wt",'SegEnds_Xtal_BW#'!$A:$Z,6,FALSE)</f>
        <v>53</v>
      </c>
      <c r="G348" s="42">
        <v>39</v>
      </c>
      <c r="H348" s="101">
        <f>VLOOKUP($B348&amp;"__wt",'SegEnds_Xtal_BW#'!$A:$Z,8,FALSE)</f>
        <v>61</v>
      </c>
      <c r="I348" s="42" t="str">
        <f>VLOOKUP($B348&amp;"__wt",'SegEnds_Xtal_BW#'!$A:$Z,9,FALSE)</f>
        <v>-</v>
      </c>
      <c r="J348" s="42" t="str">
        <f>VLOOKUP($B348&amp;"__wt",'SegEnds_Xtal_BW#'!$A:$Z,10,FALSE)</f>
        <v>-</v>
      </c>
      <c r="K348" s="101">
        <f>VLOOKUP($B348&amp;"__wt",'SegEnds_Xtal_BW#'!$A:$Z,11,FALSE)</f>
        <v>22</v>
      </c>
      <c r="L348" s="42">
        <f>VLOOKUP($B348&amp;"__wt",'SegEnds_Xtal_BW#'!$A:$Z,12,FALSE)</f>
        <v>54</v>
      </c>
      <c r="M348" s="42" t="str">
        <f>VLOOKUP($B348&amp;"__wt",'SegEnds_Xtal_BW#'!$A:$Z,13,FALSE)</f>
        <v>-</v>
      </c>
      <c r="N348" s="101" t="str">
        <f>VLOOKUP($B348&amp;"__wt",'SegEnds_Xtal_BW#'!$A:$Z,14,FALSE)</f>
        <v>-</v>
      </c>
      <c r="O348" s="89">
        <f>VLOOKUP($B348&amp;"__wt",'SegEnds_Xtal_BW#'!$A:$Z,15,FALSE)</f>
        <v>38</v>
      </c>
      <c r="P348" s="42">
        <f>VLOOKUP($B348&amp;"__wt",'SegEnds_Xtal_BW#'!$A:$Z,16,FALSE)</f>
        <v>64</v>
      </c>
      <c r="Q348" s="42">
        <f>VLOOKUP($B348&amp;"__wt",'SegEnds_Xtal_BW#'!$A:$Z,17,FALSE)</f>
        <v>50</v>
      </c>
      <c r="R348" s="42">
        <f>VLOOKUP($B348&amp;"__wt",'SegEnds_Xtal_BW#'!$A:$Z,18,FALSE)</f>
        <v>52</v>
      </c>
      <c r="S348" s="42">
        <f>VLOOKUP($B348&amp;"__wt",'SegEnds_Xtal_BW#'!$A:$Z,19,FALSE)</f>
        <v>36</v>
      </c>
      <c r="T348" s="42">
        <f>VLOOKUP($B348&amp;"__wt",'SegEnds_Xtal_BW#'!$A:$Z,20,FALSE)</f>
        <v>61</v>
      </c>
      <c r="U348" s="42">
        <f>VLOOKUP($B348&amp;"__wt",'SegEnds_Xtal_BW#'!$A:$Z,21,FALSE)</f>
        <v>33</v>
      </c>
      <c r="V348" s="42">
        <f>VLOOKUP($B348&amp;"__wt",'SegEnds_Xtal_BW#'!$A:$Z,22,FALSE)</f>
        <v>57</v>
      </c>
      <c r="W348" s="42">
        <f>VLOOKUP($B348&amp;"__wt",'SegEnds_Xtal_BW#'!$A:$Z,23,FALSE)</f>
        <v>33</v>
      </c>
      <c r="X348" s="42">
        <f>VLOOKUP($B348&amp;"__wt",'SegEnds_Xtal_BW#'!$A:$Z,24,FALSE)</f>
        <v>64</v>
      </c>
      <c r="Y348" s="42">
        <f>VLOOKUP($B348&amp;"__wt",'SegEnds_Xtal_BW#'!$A:$Z,25,FALSE)</f>
        <v>46</v>
      </c>
      <c r="Z348" s="42">
        <f>VLOOKUP($B348&amp;"__wt",'SegEnds_Xtal_BW#'!$A:$Z,26,FALSE)</f>
        <v>57</v>
      </c>
      <c r="AA348" s="44" t="str">
        <f>VLOOKUP(A348,Classification!A:B,2,FALSE)</f>
        <v>C</v>
      </c>
      <c r="AB348" s="1">
        <f>VLOOKUP(A348,'SegEnds_NonXtal_Prot#'!A:AL,10,FALSE)-VLOOKUP(A348,'SegEnds_NonXtal_Prot#'!A:AL,4,FALSE)</f>
        <v>31</v>
      </c>
      <c r="AC348" s="42">
        <f>VLOOKUP(A348,'SegEnds_NonXtal_Prot#'!A:AL,10,FALSE)-VLOOKUP(A348,'SegEnds_NonXtal_Prot#'!A:AL,7,FALSE)</f>
        <v>15</v>
      </c>
      <c r="AD348" s="42" t="e">
        <f>VLOOKUP(A348,'SegEnds_NonXtal_Prot#'!A:AL,13,FALSE)-VLOOKUP(A348,'SegEnds_NonXtal_Prot#'!A:AL,10,FALSE)</f>
        <v>#VALUE!</v>
      </c>
      <c r="AE348" s="42">
        <f>VLOOKUP(A348,'SegEnds_NonXtal_Prot#'!A:AL,16,FALSE)-VLOOKUP(A348,'SegEnds_NonXtal_Prot#'!A:AL,10,FALSE)</f>
        <v>44</v>
      </c>
      <c r="AF348" s="1" t="e">
        <f>VLOOKUP(A348,'SegEnds_NonXtal_Prot#'!A:AL,22,FALSE)-VLOOKUP(A348,'SegEnds_NonXtal_Prot#'!A:AL,19,FALSE)</f>
        <v>#VALUE!</v>
      </c>
      <c r="AG348" s="42">
        <f>VLOOKUP(A348,'SegEnds_NonXtal_Prot#'!A:AL,28,FALSE)-VLOOKUP(A348,'SegEnds_NonXtal_Prot#'!A:AL,25,FALSE)</f>
        <v>18</v>
      </c>
      <c r="AH348" s="1">
        <f>VLOOKUP(A348,'SegEnds_NonXtal_Prot#'!A:AL,28,FALSE)-VLOOKUP(A348,'SegEnds_NonXtal_Prot#'!A:AL,22,FALSE)</f>
        <v>51</v>
      </c>
      <c r="AI348" s="42">
        <f>VLOOKUP(A348,'SegEnds_NonXtal_Prot#'!A:AL,31,FALSE)-VLOOKUP(A348,'SegEnds_NonXtal_Prot#'!A:AL,28,FALSE)</f>
        <v>37</v>
      </c>
      <c r="AJ348" s="42">
        <f>VLOOKUP(A348,'SegEnds_NonXtal_Prot#'!A:AL,34,FALSE)-VLOOKUP(A348,'SegEnds_NonXtal_Prot#'!A:AL,31,FALSE)</f>
        <v>29</v>
      </c>
      <c r="AK348" s="1">
        <f>VLOOKUP(A348,'SegEnds_NonXtal_Prot#'!A:AL,37,FALSE)-VLOOKUP(A348,'SegEnds_NonXtal_Prot#'!A:AL,34,FALSE)</f>
        <v>19</v>
      </c>
      <c r="AL348" s="1" t="str">
        <f>IF(ISERROR(MATCH(A348,'SegEnds_Xtal_Prot#'!B:B, 0)), "NoXtal", "Xtal")</f>
        <v>NoXtal</v>
      </c>
    </row>
    <row r="349" spans="1:38" x14ac:dyDescent="0.2">
      <c r="A349" s="4" t="s">
        <v>106</v>
      </c>
      <c r="B349" s="4" t="str">
        <f>VLOOKUP(A349,Xtal_Templ!A:B,2,FALSE)</f>
        <v>grm5_human</v>
      </c>
      <c r="C349" s="5">
        <f>VLOOKUP($B349&amp;"__wt",'SegEnds_Xtal_BW#'!$A:$Z,3,FALSE)</f>
        <v>34</v>
      </c>
      <c r="D349" s="4">
        <f>VLOOKUP($B349&amp;"__wt",'SegEnds_Xtal_BW#'!$A:$Z,4,FALSE)</f>
        <v>60</v>
      </c>
      <c r="E349" s="4">
        <f>VLOOKUP($B349&amp;"__wt",'SegEnds_Xtal_BW#'!$A:$Z,5,FALSE)</f>
        <v>47</v>
      </c>
      <c r="F349" s="4">
        <f>VLOOKUP($B349&amp;"__wt",'SegEnds_Xtal_BW#'!$A:$Z,6,FALSE)</f>
        <v>53</v>
      </c>
      <c r="G349" s="4">
        <v>39</v>
      </c>
      <c r="H349" s="11">
        <f>VLOOKUP($B349&amp;"__wt",'SegEnds_Xtal_BW#'!$A:$Z,8,FALSE)</f>
        <v>61</v>
      </c>
      <c r="I349" s="4" t="str">
        <f>VLOOKUP($B349&amp;"__wt",'SegEnds_Xtal_BW#'!$A:$Z,9,FALSE)</f>
        <v>-</v>
      </c>
      <c r="J349" s="4" t="str">
        <f>VLOOKUP($B349&amp;"__wt",'SegEnds_Xtal_BW#'!$A:$Z,10,FALSE)</f>
        <v>-</v>
      </c>
      <c r="K349" s="11">
        <f>VLOOKUP($B349&amp;"__wt",'SegEnds_Xtal_BW#'!$A:$Z,11,FALSE)</f>
        <v>22</v>
      </c>
      <c r="L349" s="4">
        <f>VLOOKUP($B349&amp;"__wt",'SegEnds_Xtal_BW#'!$A:$Z,12,FALSE)</f>
        <v>54</v>
      </c>
      <c r="M349" s="4" t="str">
        <f>VLOOKUP($B349&amp;"__wt",'SegEnds_Xtal_BW#'!$A:$Z,13,FALSE)</f>
        <v>-</v>
      </c>
      <c r="N349" s="11" t="str">
        <f>VLOOKUP($B349&amp;"__wt",'SegEnds_Xtal_BW#'!$A:$Z,14,FALSE)</f>
        <v>-</v>
      </c>
      <c r="O349" s="88">
        <f>VLOOKUP($B349&amp;"__wt",'SegEnds_Xtal_BW#'!$A:$Z,15,FALSE)</f>
        <v>38</v>
      </c>
      <c r="P349" s="4">
        <f>VLOOKUP($B349&amp;"__wt",'SegEnds_Xtal_BW#'!$A:$Z,16,FALSE)</f>
        <v>64</v>
      </c>
      <c r="Q349" s="4">
        <f>VLOOKUP($B349&amp;"__wt",'SegEnds_Xtal_BW#'!$A:$Z,17,FALSE)</f>
        <v>50</v>
      </c>
      <c r="R349" s="4">
        <f>VLOOKUP($B349&amp;"__wt",'SegEnds_Xtal_BW#'!$A:$Z,18,FALSE)</f>
        <v>52</v>
      </c>
      <c r="S349" s="4">
        <f>VLOOKUP($B349&amp;"__wt",'SegEnds_Xtal_BW#'!$A:$Z,19,FALSE)</f>
        <v>36</v>
      </c>
      <c r="T349" s="4">
        <f>VLOOKUP($B349&amp;"__wt",'SegEnds_Xtal_BW#'!$A:$Z,20,FALSE)</f>
        <v>61</v>
      </c>
      <c r="U349" s="4">
        <f>VLOOKUP($B349&amp;"__wt",'SegEnds_Xtal_BW#'!$A:$Z,21,FALSE)</f>
        <v>33</v>
      </c>
      <c r="V349" s="4">
        <f>VLOOKUP($B349&amp;"__wt",'SegEnds_Xtal_BW#'!$A:$Z,22,FALSE)</f>
        <v>57</v>
      </c>
      <c r="W349" s="4">
        <f>VLOOKUP($B349&amp;"__wt",'SegEnds_Xtal_BW#'!$A:$Z,23,FALSE)</f>
        <v>33</v>
      </c>
      <c r="X349" s="4">
        <f>VLOOKUP($B349&amp;"__wt",'SegEnds_Xtal_BW#'!$A:$Z,24,FALSE)</f>
        <v>64</v>
      </c>
      <c r="Y349" s="4">
        <f>VLOOKUP($B349&amp;"__wt",'SegEnds_Xtal_BW#'!$A:$Z,25,FALSE)</f>
        <v>46</v>
      </c>
      <c r="Z349" s="4">
        <f>VLOOKUP($B349&amp;"__wt",'SegEnds_Xtal_BW#'!$A:$Z,26,FALSE)</f>
        <v>57</v>
      </c>
      <c r="AA349" s="27" t="str">
        <f>VLOOKUP(A349,Classification!A:B,2,FALSE)</f>
        <v>C</v>
      </c>
      <c r="AB349" s="1">
        <f>VLOOKUP(A349,'SegEnds_NonXtal_Prot#'!A:AL,10,FALSE)-VLOOKUP(A349,'SegEnds_NonXtal_Prot#'!A:AL,4,FALSE)</f>
        <v>31</v>
      </c>
      <c r="AC349" s="4">
        <f>VLOOKUP(A349,'SegEnds_NonXtal_Prot#'!A:AL,10,FALSE)-VLOOKUP(A349,'SegEnds_NonXtal_Prot#'!A:AL,7,FALSE)</f>
        <v>15</v>
      </c>
      <c r="AD349" s="4" t="e">
        <f>VLOOKUP(A349,'SegEnds_NonXtal_Prot#'!A:AL,13,FALSE)-VLOOKUP(A349,'SegEnds_NonXtal_Prot#'!A:AL,10,FALSE)</f>
        <v>#VALUE!</v>
      </c>
      <c r="AE349" s="4">
        <f>VLOOKUP(A349,'SegEnds_NonXtal_Prot#'!A:AL,16,FALSE)-VLOOKUP(A349,'SegEnds_NonXtal_Prot#'!A:AL,10,FALSE)</f>
        <v>51</v>
      </c>
      <c r="AF349" s="1" t="e">
        <f>VLOOKUP(A349,'SegEnds_NonXtal_Prot#'!A:AL,22,FALSE)-VLOOKUP(A349,'SegEnds_NonXtal_Prot#'!A:AL,19,FALSE)</f>
        <v>#VALUE!</v>
      </c>
      <c r="AG349" s="4">
        <f>VLOOKUP(A349,'SegEnds_NonXtal_Prot#'!A:AL,28,FALSE)-VLOOKUP(A349,'SegEnds_NonXtal_Prot#'!A:AL,25,FALSE)</f>
        <v>19</v>
      </c>
      <c r="AH349" s="1">
        <f>VLOOKUP(A349,'SegEnds_NonXtal_Prot#'!A:AL,28,FALSE)-VLOOKUP(A349,'SegEnds_NonXtal_Prot#'!A:AL,22,FALSE)</f>
        <v>62</v>
      </c>
      <c r="AI349" s="4">
        <f>VLOOKUP(A349,'SegEnds_NonXtal_Prot#'!A:AL,31,FALSE)-VLOOKUP(A349,'SegEnds_NonXtal_Prot#'!A:AL,28,FALSE)</f>
        <v>38</v>
      </c>
      <c r="AJ349" s="4">
        <f>VLOOKUP(A349,'SegEnds_NonXtal_Prot#'!A:AL,34,FALSE)-VLOOKUP(A349,'SegEnds_NonXtal_Prot#'!A:AL,31,FALSE)</f>
        <v>31</v>
      </c>
      <c r="AK349" s="1">
        <f>VLOOKUP(A349,'SegEnds_NonXtal_Prot#'!A:AL,37,FALSE)-VLOOKUP(A349,'SegEnds_NonXtal_Prot#'!A:AL,34,FALSE)</f>
        <v>19</v>
      </c>
      <c r="AL349" s="1" t="str">
        <f>IF(ISERROR(MATCH(A349,'SegEnds_Xtal_Prot#'!B:B, 0)), "NoXtal", "Xtal")</f>
        <v>NoXtal</v>
      </c>
    </row>
    <row r="350" spans="1:38" x14ac:dyDescent="0.2">
      <c r="A350" s="1" t="s">
        <v>107</v>
      </c>
      <c r="B350" s="1" t="str">
        <f>VLOOKUP(A350,Xtal_Templ!A:B,2,FALSE)</f>
        <v>grm5_human</v>
      </c>
      <c r="C350" s="5">
        <f>VLOOKUP($B350&amp;"__wt",'SegEnds_Xtal_BW#'!$A:$Z,3,FALSE)</f>
        <v>34</v>
      </c>
      <c r="D350" s="1">
        <f>VLOOKUP($B350&amp;"__wt",'SegEnds_Xtal_BW#'!$A:$Z,4,FALSE)</f>
        <v>60</v>
      </c>
      <c r="E350" s="1">
        <f>VLOOKUP($B350&amp;"__wt",'SegEnds_Xtal_BW#'!$A:$Z,5,FALSE)</f>
        <v>47</v>
      </c>
      <c r="F350" s="1">
        <f>VLOOKUP($B350&amp;"__wt",'SegEnds_Xtal_BW#'!$A:$Z,6,FALSE)</f>
        <v>53</v>
      </c>
      <c r="G350" s="1">
        <v>39</v>
      </c>
      <c r="H350" s="12">
        <f>VLOOKUP($B350&amp;"__wt",'SegEnds_Xtal_BW#'!$A:$Z,8,FALSE)</f>
        <v>61</v>
      </c>
      <c r="I350" s="1" t="str">
        <f>VLOOKUP($B350&amp;"__wt",'SegEnds_Xtal_BW#'!$A:$Z,9,FALSE)</f>
        <v>-</v>
      </c>
      <c r="J350" s="1" t="str">
        <f>VLOOKUP($B350&amp;"__wt",'SegEnds_Xtal_BW#'!$A:$Z,10,FALSE)</f>
        <v>-</v>
      </c>
      <c r="K350" s="12">
        <f>VLOOKUP($B350&amp;"__wt",'SegEnds_Xtal_BW#'!$A:$Z,11,FALSE)</f>
        <v>22</v>
      </c>
      <c r="L350" s="1">
        <f>VLOOKUP($B350&amp;"__wt",'SegEnds_Xtal_BW#'!$A:$Z,12,FALSE)</f>
        <v>54</v>
      </c>
      <c r="M350" s="1" t="str">
        <f>VLOOKUP($B350&amp;"__wt",'SegEnds_Xtal_BW#'!$A:$Z,13,FALSE)</f>
        <v>-</v>
      </c>
      <c r="N350" s="12" t="str">
        <f>VLOOKUP($B350&amp;"__wt",'SegEnds_Xtal_BW#'!$A:$Z,14,FALSE)</f>
        <v>-</v>
      </c>
      <c r="O350" s="87">
        <f>VLOOKUP($B350&amp;"__wt",'SegEnds_Xtal_BW#'!$A:$Z,15,FALSE)</f>
        <v>38</v>
      </c>
      <c r="P350" s="1">
        <f>VLOOKUP($B350&amp;"__wt",'SegEnds_Xtal_BW#'!$A:$Z,16,FALSE)</f>
        <v>64</v>
      </c>
      <c r="Q350" s="1">
        <f>VLOOKUP($B350&amp;"__wt",'SegEnds_Xtal_BW#'!$A:$Z,17,FALSE)</f>
        <v>50</v>
      </c>
      <c r="R350" s="1">
        <f>VLOOKUP($B350&amp;"__wt",'SegEnds_Xtal_BW#'!$A:$Z,18,FALSE)</f>
        <v>52</v>
      </c>
      <c r="S350" s="1">
        <f>VLOOKUP($B350&amp;"__wt",'SegEnds_Xtal_BW#'!$A:$Z,19,FALSE)</f>
        <v>36</v>
      </c>
      <c r="T350" s="1">
        <f>VLOOKUP($B350&amp;"__wt",'SegEnds_Xtal_BW#'!$A:$Z,20,FALSE)</f>
        <v>61</v>
      </c>
      <c r="U350" s="1">
        <f>VLOOKUP($B350&amp;"__wt",'SegEnds_Xtal_BW#'!$A:$Z,21,FALSE)</f>
        <v>33</v>
      </c>
      <c r="V350" s="1">
        <f>VLOOKUP($B350&amp;"__wt",'SegEnds_Xtal_BW#'!$A:$Z,22,FALSE)</f>
        <v>57</v>
      </c>
      <c r="W350" s="1">
        <f>VLOOKUP($B350&amp;"__wt",'SegEnds_Xtal_BW#'!$A:$Z,23,FALSE)</f>
        <v>33</v>
      </c>
      <c r="X350" s="1">
        <f>VLOOKUP($B350&amp;"__wt",'SegEnds_Xtal_BW#'!$A:$Z,24,FALSE)</f>
        <v>64</v>
      </c>
      <c r="Y350" s="1">
        <f>VLOOKUP($B350&amp;"__wt",'SegEnds_Xtal_BW#'!$A:$Z,25,FALSE)</f>
        <v>46</v>
      </c>
      <c r="Z350" s="1">
        <f>VLOOKUP($B350&amp;"__wt",'SegEnds_Xtal_BW#'!$A:$Z,26,FALSE)</f>
        <v>57</v>
      </c>
      <c r="AA350" s="27" t="str">
        <f>VLOOKUP(A350,Classification!A:B,2,FALSE)</f>
        <v>C</v>
      </c>
      <c r="AB350" s="1">
        <f>VLOOKUP(A350,'SegEnds_NonXtal_Prot#'!A:AL,10,FALSE)-VLOOKUP(A350,'SegEnds_NonXtal_Prot#'!A:AL,4,FALSE)</f>
        <v>31</v>
      </c>
      <c r="AC350" s="1">
        <f>VLOOKUP(A350,'SegEnds_NonXtal_Prot#'!A:AL,10,FALSE)-VLOOKUP(A350,'SegEnds_NonXtal_Prot#'!A:AL,7,FALSE)</f>
        <v>15</v>
      </c>
      <c r="AD350" s="1" t="e">
        <f>VLOOKUP(A350,'SegEnds_NonXtal_Prot#'!A:AL,13,FALSE)-VLOOKUP(A350,'SegEnds_NonXtal_Prot#'!A:AL,10,FALSE)</f>
        <v>#VALUE!</v>
      </c>
      <c r="AE350" s="1">
        <f>VLOOKUP(A350,'SegEnds_NonXtal_Prot#'!A:AL,16,FALSE)-VLOOKUP(A350,'SegEnds_NonXtal_Prot#'!A:AL,10,FALSE)</f>
        <v>51</v>
      </c>
      <c r="AF350" s="1" t="e">
        <f>VLOOKUP(A350,'SegEnds_NonXtal_Prot#'!A:AL,22,FALSE)-VLOOKUP(A350,'SegEnds_NonXtal_Prot#'!A:AL,19,FALSE)</f>
        <v>#VALUE!</v>
      </c>
      <c r="AG350" s="1">
        <f>VLOOKUP(A350,'SegEnds_NonXtal_Prot#'!A:AL,28,FALSE)-VLOOKUP(A350,'SegEnds_NonXtal_Prot#'!A:AL,25,FALSE)</f>
        <v>19</v>
      </c>
      <c r="AH350" s="1">
        <f>VLOOKUP(A350,'SegEnds_NonXtal_Prot#'!A:AL,28,FALSE)-VLOOKUP(A350,'SegEnds_NonXtal_Prot#'!A:AL,22,FALSE)</f>
        <v>62</v>
      </c>
      <c r="AI350" s="1">
        <f>VLOOKUP(A350,'SegEnds_NonXtal_Prot#'!A:AL,31,FALSE)-VLOOKUP(A350,'SegEnds_NonXtal_Prot#'!A:AL,28,FALSE)</f>
        <v>38</v>
      </c>
      <c r="AJ350" s="1">
        <f>VLOOKUP(A350,'SegEnds_NonXtal_Prot#'!A:AL,34,FALSE)-VLOOKUP(A350,'SegEnds_NonXtal_Prot#'!A:AL,31,FALSE)</f>
        <v>31</v>
      </c>
      <c r="AK350" s="1">
        <f>VLOOKUP(A350,'SegEnds_NonXtal_Prot#'!A:AL,37,FALSE)-VLOOKUP(A350,'SegEnds_NonXtal_Prot#'!A:AL,34,FALSE)</f>
        <v>19</v>
      </c>
      <c r="AL350" s="1" t="str">
        <f>IF(ISERROR(MATCH(A350,'SegEnds_Xtal_Prot#'!B:B, 0)), "NoXtal", "Xtal")</f>
        <v>NoXtal</v>
      </c>
    </row>
    <row r="351" spans="1:38" x14ac:dyDescent="0.2">
      <c r="A351" s="1" t="s">
        <v>108</v>
      </c>
      <c r="B351" s="1" t="str">
        <f>VLOOKUP(A351,Xtal_Templ!A:B,2,FALSE)</f>
        <v>grm1_human</v>
      </c>
      <c r="C351" s="5">
        <f>VLOOKUP($B351&amp;"__wt",'SegEnds_Xtal_BW#'!$A:$Z,3,FALSE)</f>
        <v>34</v>
      </c>
      <c r="D351" s="1">
        <f>VLOOKUP($B351&amp;"__wt",'SegEnds_Xtal_BW#'!$A:$Z,4,FALSE)</f>
        <v>60</v>
      </c>
      <c r="E351" s="1">
        <f>VLOOKUP($B351&amp;"__wt",'SegEnds_Xtal_BW#'!$A:$Z,5,FALSE)</f>
        <v>47</v>
      </c>
      <c r="F351" s="1">
        <f>VLOOKUP($B351&amp;"__wt",'SegEnds_Xtal_BW#'!$A:$Z,6,FALSE)</f>
        <v>53</v>
      </c>
      <c r="G351" s="1">
        <v>39</v>
      </c>
      <c r="H351" s="12">
        <f>VLOOKUP($B351&amp;"__wt",'SegEnds_Xtal_BW#'!$A:$Z,8,FALSE)</f>
        <v>61</v>
      </c>
      <c r="I351" s="1" t="str">
        <f>VLOOKUP($B351&amp;"__wt",'SegEnds_Xtal_BW#'!$A:$Z,9,FALSE)</f>
        <v>-</v>
      </c>
      <c r="J351" s="1" t="str">
        <f>VLOOKUP($B351&amp;"__wt",'SegEnds_Xtal_BW#'!$A:$Z,10,FALSE)</f>
        <v>-</v>
      </c>
      <c r="K351" s="12">
        <f>VLOOKUP($B351&amp;"__wt",'SegEnds_Xtal_BW#'!$A:$Z,11,FALSE)</f>
        <v>22</v>
      </c>
      <c r="L351" s="1">
        <f>VLOOKUP($B351&amp;"__wt",'SegEnds_Xtal_BW#'!$A:$Z,12,FALSE)</f>
        <v>54</v>
      </c>
      <c r="M351" s="1" t="str">
        <f>VLOOKUP($B351&amp;"__wt",'SegEnds_Xtal_BW#'!$A:$Z,13,FALSE)</f>
        <v>-</v>
      </c>
      <c r="N351" s="12" t="str">
        <f>VLOOKUP($B351&amp;"__wt",'SegEnds_Xtal_BW#'!$A:$Z,14,FALSE)</f>
        <v>-</v>
      </c>
      <c r="O351" s="87">
        <f>VLOOKUP($B351&amp;"__wt",'SegEnds_Xtal_BW#'!$A:$Z,15,FALSE)</f>
        <v>38</v>
      </c>
      <c r="P351" s="1">
        <f>VLOOKUP($B351&amp;"__wt",'SegEnds_Xtal_BW#'!$A:$Z,16,FALSE)</f>
        <v>64</v>
      </c>
      <c r="Q351" s="1">
        <f>VLOOKUP($B351&amp;"__wt",'SegEnds_Xtal_BW#'!$A:$Z,17,FALSE)</f>
        <v>50</v>
      </c>
      <c r="R351" s="1">
        <f>VLOOKUP($B351&amp;"__wt",'SegEnds_Xtal_BW#'!$A:$Z,18,FALSE)</f>
        <v>52</v>
      </c>
      <c r="S351" s="1">
        <f>VLOOKUP($B351&amp;"__wt",'SegEnds_Xtal_BW#'!$A:$Z,19,FALSE)</f>
        <v>36</v>
      </c>
      <c r="T351" s="1">
        <f>VLOOKUP($B351&amp;"__wt",'SegEnds_Xtal_BW#'!$A:$Z,20,FALSE)</f>
        <v>61</v>
      </c>
      <c r="U351" s="1">
        <f>VLOOKUP($B351&amp;"__wt",'SegEnds_Xtal_BW#'!$A:$Z,21,FALSE)</f>
        <v>33</v>
      </c>
      <c r="V351" s="1">
        <f>VLOOKUP($B351&amp;"__wt",'SegEnds_Xtal_BW#'!$A:$Z,22,FALSE)</f>
        <v>57</v>
      </c>
      <c r="W351" s="1">
        <f>VLOOKUP($B351&amp;"__wt",'SegEnds_Xtal_BW#'!$A:$Z,23,FALSE)</f>
        <v>33</v>
      </c>
      <c r="X351" s="1">
        <f>VLOOKUP($B351&amp;"__wt",'SegEnds_Xtal_BW#'!$A:$Z,24,FALSE)</f>
        <v>64</v>
      </c>
      <c r="Y351" s="1">
        <f>VLOOKUP($B351&amp;"__wt",'SegEnds_Xtal_BW#'!$A:$Z,25,FALSE)</f>
        <v>46</v>
      </c>
      <c r="Z351" s="1">
        <f>VLOOKUP($B351&amp;"__wt",'SegEnds_Xtal_BW#'!$A:$Z,26,FALSE)</f>
        <v>57</v>
      </c>
      <c r="AA351" s="27" t="str">
        <f>VLOOKUP(A351,Classification!A:B,2,FALSE)</f>
        <v>C</v>
      </c>
      <c r="AB351" s="1">
        <f>VLOOKUP(A351,'SegEnds_NonXtal_Prot#'!A:AL,10,FALSE)-VLOOKUP(A351,'SegEnds_NonXtal_Prot#'!A:AL,4,FALSE)</f>
        <v>31</v>
      </c>
      <c r="AC351" s="1">
        <f>VLOOKUP(A351,'SegEnds_NonXtal_Prot#'!A:AL,10,FALSE)-VLOOKUP(A351,'SegEnds_NonXtal_Prot#'!A:AL,7,FALSE)</f>
        <v>15</v>
      </c>
      <c r="AD351" s="1" t="e">
        <f>VLOOKUP(A351,'SegEnds_NonXtal_Prot#'!A:AL,13,FALSE)-VLOOKUP(A351,'SegEnds_NonXtal_Prot#'!A:AL,10,FALSE)</f>
        <v>#VALUE!</v>
      </c>
      <c r="AE351" s="1">
        <f>VLOOKUP(A351,'SegEnds_NonXtal_Prot#'!A:AL,16,FALSE)-VLOOKUP(A351,'SegEnds_NonXtal_Prot#'!A:AL,10,FALSE)</f>
        <v>50</v>
      </c>
      <c r="AF351" s="1" t="e">
        <f>VLOOKUP(A351,'SegEnds_NonXtal_Prot#'!A:AL,22,FALSE)-VLOOKUP(A351,'SegEnds_NonXtal_Prot#'!A:AL,19,FALSE)</f>
        <v>#VALUE!</v>
      </c>
      <c r="AG351" s="1">
        <f>VLOOKUP(A351,'SegEnds_NonXtal_Prot#'!A:AL,28,FALSE)-VLOOKUP(A351,'SegEnds_NonXtal_Prot#'!A:AL,25,FALSE)</f>
        <v>19</v>
      </c>
      <c r="AH351" s="1">
        <f>VLOOKUP(A351,'SegEnds_NonXtal_Prot#'!A:AL,28,FALSE)-VLOOKUP(A351,'SegEnds_NonXtal_Prot#'!A:AL,22,FALSE)</f>
        <v>62</v>
      </c>
      <c r="AI351" s="1">
        <f>VLOOKUP(A351,'SegEnds_NonXtal_Prot#'!A:AL,31,FALSE)-VLOOKUP(A351,'SegEnds_NonXtal_Prot#'!A:AL,28,FALSE)</f>
        <v>39</v>
      </c>
      <c r="AJ351" s="1">
        <f>VLOOKUP(A351,'SegEnds_NonXtal_Prot#'!A:AL,34,FALSE)-VLOOKUP(A351,'SegEnds_NonXtal_Prot#'!A:AL,31,FALSE)</f>
        <v>30</v>
      </c>
      <c r="AK351" s="1">
        <f>VLOOKUP(A351,'SegEnds_NonXtal_Prot#'!A:AL,37,FALSE)-VLOOKUP(A351,'SegEnds_NonXtal_Prot#'!A:AL,34,FALSE)</f>
        <v>19</v>
      </c>
      <c r="AL351" s="1" t="str">
        <f>IF(ISERROR(MATCH(A351,'SegEnds_Xtal_Prot#'!B:B, 0)), "NoXtal", "Xtal")</f>
        <v>NoXtal</v>
      </c>
    </row>
    <row r="352" spans="1:38" x14ac:dyDescent="0.2">
      <c r="A352" s="4" t="s">
        <v>109</v>
      </c>
      <c r="B352" s="4" t="str">
        <f>VLOOKUP(A352,Xtal_Templ!A:B,2,FALSE)</f>
        <v>grm1_human</v>
      </c>
      <c r="C352" s="5">
        <f>VLOOKUP($B352&amp;"__wt",'SegEnds_Xtal_BW#'!$A:$Z,3,FALSE)</f>
        <v>34</v>
      </c>
      <c r="D352" s="4">
        <f>VLOOKUP($B352&amp;"__wt",'SegEnds_Xtal_BW#'!$A:$Z,4,FALSE)</f>
        <v>60</v>
      </c>
      <c r="E352" s="4">
        <f>VLOOKUP($B352&amp;"__wt",'SegEnds_Xtal_BW#'!$A:$Z,5,FALSE)</f>
        <v>47</v>
      </c>
      <c r="F352" s="4">
        <f>VLOOKUP($B352&amp;"__wt",'SegEnds_Xtal_BW#'!$A:$Z,6,FALSE)</f>
        <v>53</v>
      </c>
      <c r="G352" s="4">
        <v>39</v>
      </c>
      <c r="H352" s="11">
        <f>VLOOKUP($B352&amp;"__wt",'SegEnds_Xtal_BW#'!$A:$Z,8,FALSE)</f>
        <v>61</v>
      </c>
      <c r="I352" s="4" t="str">
        <f>VLOOKUP($B352&amp;"__wt",'SegEnds_Xtal_BW#'!$A:$Z,9,FALSE)</f>
        <v>-</v>
      </c>
      <c r="J352" s="4" t="str">
        <f>VLOOKUP($B352&amp;"__wt",'SegEnds_Xtal_BW#'!$A:$Z,10,FALSE)</f>
        <v>-</v>
      </c>
      <c r="K352" s="11">
        <f>VLOOKUP($B352&amp;"__wt",'SegEnds_Xtal_BW#'!$A:$Z,11,FALSE)</f>
        <v>22</v>
      </c>
      <c r="L352" s="4">
        <f>VLOOKUP($B352&amp;"__wt",'SegEnds_Xtal_BW#'!$A:$Z,12,FALSE)</f>
        <v>54</v>
      </c>
      <c r="M352" s="4" t="str">
        <f>VLOOKUP($B352&amp;"__wt",'SegEnds_Xtal_BW#'!$A:$Z,13,FALSE)</f>
        <v>-</v>
      </c>
      <c r="N352" s="11" t="str">
        <f>VLOOKUP($B352&amp;"__wt",'SegEnds_Xtal_BW#'!$A:$Z,14,FALSE)</f>
        <v>-</v>
      </c>
      <c r="O352" s="88">
        <f>VLOOKUP($B352&amp;"__wt",'SegEnds_Xtal_BW#'!$A:$Z,15,FALSE)</f>
        <v>38</v>
      </c>
      <c r="P352" s="4">
        <f>VLOOKUP($B352&amp;"__wt",'SegEnds_Xtal_BW#'!$A:$Z,16,FALSE)</f>
        <v>64</v>
      </c>
      <c r="Q352" s="4">
        <f>VLOOKUP($B352&amp;"__wt",'SegEnds_Xtal_BW#'!$A:$Z,17,FALSE)</f>
        <v>50</v>
      </c>
      <c r="R352" s="4">
        <f>VLOOKUP($B352&amp;"__wt",'SegEnds_Xtal_BW#'!$A:$Z,18,FALSE)</f>
        <v>52</v>
      </c>
      <c r="S352" s="4">
        <f>VLOOKUP($B352&amp;"__wt",'SegEnds_Xtal_BW#'!$A:$Z,19,FALSE)</f>
        <v>36</v>
      </c>
      <c r="T352" s="4">
        <f>VLOOKUP($B352&amp;"__wt",'SegEnds_Xtal_BW#'!$A:$Z,20,FALSE)</f>
        <v>61</v>
      </c>
      <c r="U352" s="4">
        <f>VLOOKUP($B352&amp;"__wt",'SegEnds_Xtal_BW#'!$A:$Z,21,FALSE)</f>
        <v>33</v>
      </c>
      <c r="V352" s="4">
        <f>VLOOKUP($B352&amp;"__wt",'SegEnds_Xtal_BW#'!$A:$Z,22,FALSE)</f>
        <v>57</v>
      </c>
      <c r="W352" s="4">
        <f>VLOOKUP($B352&amp;"__wt",'SegEnds_Xtal_BW#'!$A:$Z,23,FALSE)</f>
        <v>33</v>
      </c>
      <c r="X352" s="4">
        <f>VLOOKUP($B352&amp;"__wt",'SegEnds_Xtal_BW#'!$A:$Z,24,FALSE)</f>
        <v>64</v>
      </c>
      <c r="Y352" s="4">
        <f>VLOOKUP($B352&amp;"__wt",'SegEnds_Xtal_BW#'!$A:$Z,25,FALSE)</f>
        <v>46</v>
      </c>
      <c r="Z352" s="4">
        <f>VLOOKUP($B352&amp;"__wt",'SegEnds_Xtal_BW#'!$A:$Z,26,FALSE)</f>
        <v>57</v>
      </c>
      <c r="AA352" s="27" t="str">
        <f>VLOOKUP(A352,Classification!A:B,2,FALSE)</f>
        <v>C</v>
      </c>
      <c r="AB352" s="1">
        <f>VLOOKUP(A352,'SegEnds_NonXtal_Prot#'!A:AL,10,FALSE)-VLOOKUP(A352,'SegEnds_NonXtal_Prot#'!A:AL,4,FALSE)</f>
        <v>31</v>
      </c>
      <c r="AC352" s="4">
        <f>VLOOKUP(A352,'SegEnds_NonXtal_Prot#'!A:AL,10,FALSE)-VLOOKUP(A352,'SegEnds_NonXtal_Prot#'!A:AL,7,FALSE)</f>
        <v>15</v>
      </c>
      <c r="AD352" s="4" t="e">
        <f>VLOOKUP(A352,'SegEnds_NonXtal_Prot#'!A:AL,13,FALSE)-VLOOKUP(A352,'SegEnds_NonXtal_Prot#'!A:AL,10,FALSE)</f>
        <v>#VALUE!</v>
      </c>
      <c r="AE352" s="4">
        <f>VLOOKUP(A352,'SegEnds_NonXtal_Prot#'!A:AL,16,FALSE)-VLOOKUP(A352,'SegEnds_NonXtal_Prot#'!A:AL,10,FALSE)</f>
        <v>44</v>
      </c>
      <c r="AF352" s="1" t="e">
        <f>VLOOKUP(A352,'SegEnds_NonXtal_Prot#'!A:AL,22,FALSE)-VLOOKUP(A352,'SegEnds_NonXtal_Prot#'!A:AL,19,FALSE)</f>
        <v>#VALUE!</v>
      </c>
      <c r="AG352" s="4">
        <f>VLOOKUP(A352,'SegEnds_NonXtal_Prot#'!A:AL,28,FALSE)-VLOOKUP(A352,'SegEnds_NonXtal_Prot#'!A:AL,25,FALSE)</f>
        <v>16</v>
      </c>
      <c r="AH352" s="1">
        <f>VLOOKUP(A352,'SegEnds_NonXtal_Prot#'!A:AL,28,FALSE)-VLOOKUP(A352,'SegEnds_NonXtal_Prot#'!A:AL,22,FALSE)</f>
        <v>65</v>
      </c>
      <c r="AI352" s="4">
        <f>VLOOKUP(A352,'SegEnds_NonXtal_Prot#'!A:AL,31,FALSE)-VLOOKUP(A352,'SegEnds_NonXtal_Prot#'!A:AL,28,FALSE)</f>
        <v>37</v>
      </c>
      <c r="AJ352" s="4">
        <f>VLOOKUP(A352,'SegEnds_NonXtal_Prot#'!A:AL,34,FALSE)-VLOOKUP(A352,'SegEnds_NonXtal_Prot#'!A:AL,31,FALSE)</f>
        <v>33</v>
      </c>
      <c r="AK352" s="1">
        <f>VLOOKUP(A352,'SegEnds_NonXtal_Prot#'!A:AL,37,FALSE)-VLOOKUP(A352,'SegEnds_NonXtal_Prot#'!A:AL,34,FALSE)</f>
        <v>19</v>
      </c>
      <c r="AL352" s="1" t="str">
        <f>IF(ISERROR(MATCH(A352,'SegEnds_Xtal_Prot#'!B:B, 0)), "NoXtal", "Xtal")</f>
        <v>NoXtal</v>
      </c>
    </row>
    <row r="353" spans="1:38" x14ac:dyDescent="0.2">
      <c r="A353" s="1" t="s">
        <v>110</v>
      </c>
      <c r="B353" s="1" t="str">
        <f>VLOOKUP(A353,Xtal_Templ!A:B,2,FALSE)</f>
        <v>grm1_human</v>
      </c>
      <c r="C353" s="5">
        <f>VLOOKUP($B353&amp;"__wt",'SegEnds_Xtal_BW#'!$A:$Z,3,FALSE)</f>
        <v>34</v>
      </c>
      <c r="D353" s="1">
        <f>VLOOKUP($B353&amp;"__wt",'SegEnds_Xtal_BW#'!$A:$Z,4,FALSE)</f>
        <v>60</v>
      </c>
      <c r="E353" s="1">
        <f>VLOOKUP($B353&amp;"__wt",'SegEnds_Xtal_BW#'!$A:$Z,5,FALSE)</f>
        <v>47</v>
      </c>
      <c r="F353" s="1">
        <f>VLOOKUP($B353&amp;"__wt",'SegEnds_Xtal_BW#'!$A:$Z,6,FALSE)</f>
        <v>53</v>
      </c>
      <c r="G353" s="1">
        <v>39</v>
      </c>
      <c r="H353" s="12">
        <f>VLOOKUP($B353&amp;"__wt",'SegEnds_Xtal_BW#'!$A:$Z,8,FALSE)</f>
        <v>61</v>
      </c>
      <c r="I353" s="1" t="str">
        <f>VLOOKUP($B353&amp;"__wt",'SegEnds_Xtal_BW#'!$A:$Z,9,FALSE)</f>
        <v>-</v>
      </c>
      <c r="J353" s="1" t="str">
        <f>VLOOKUP($B353&amp;"__wt",'SegEnds_Xtal_BW#'!$A:$Z,10,FALSE)</f>
        <v>-</v>
      </c>
      <c r="K353" s="12">
        <f>VLOOKUP($B353&amp;"__wt",'SegEnds_Xtal_BW#'!$A:$Z,11,FALSE)</f>
        <v>22</v>
      </c>
      <c r="L353" s="1">
        <f>VLOOKUP($B353&amp;"__wt",'SegEnds_Xtal_BW#'!$A:$Z,12,FALSE)</f>
        <v>54</v>
      </c>
      <c r="M353" s="1" t="str">
        <f>VLOOKUP($B353&amp;"__wt",'SegEnds_Xtal_BW#'!$A:$Z,13,FALSE)</f>
        <v>-</v>
      </c>
      <c r="N353" s="12" t="str">
        <f>VLOOKUP($B353&amp;"__wt",'SegEnds_Xtal_BW#'!$A:$Z,14,FALSE)</f>
        <v>-</v>
      </c>
      <c r="O353" s="87">
        <f>VLOOKUP($B353&amp;"__wt",'SegEnds_Xtal_BW#'!$A:$Z,15,FALSE)</f>
        <v>38</v>
      </c>
      <c r="P353" s="1">
        <f>VLOOKUP($B353&amp;"__wt",'SegEnds_Xtal_BW#'!$A:$Z,16,FALSE)</f>
        <v>64</v>
      </c>
      <c r="Q353" s="1">
        <f>VLOOKUP($B353&amp;"__wt",'SegEnds_Xtal_BW#'!$A:$Z,17,FALSE)</f>
        <v>50</v>
      </c>
      <c r="R353" s="1">
        <f>VLOOKUP($B353&amp;"__wt",'SegEnds_Xtal_BW#'!$A:$Z,18,FALSE)</f>
        <v>52</v>
      </c>
      <c r="S353" s="1">
        <f>VLOOKUP($B353&amp;"__wt",'SegEnds_Xtal_BW#'!$A:$Z,19,FALSE)</f>
        <v>36</v>
      </c>
      <c r="T353" s="1">
        <f>VLOOKUP($B353&amp;"__wt",'SegEnds_Xtal_BW#'!$A:$Z,20,FALSE)</f>
        <v>61</v>
      </c>
      <c r="U353" s="1">
        <f>VLOOKUP($B353&amp;"__wt",'SegEnds_Xtal_BW#'!$A:$Z,21,FALSE)</f>
        <v>33</v>
      </c>
      <c r="V353" s="1">
        <f>VLOOKUP($B353&amp;"__wt",'SegEnds_Xtal_BW#'!$A:$Z,22,FALSE)</f>
        <v>57</v>
      </c>
      <c r="W353" s="1">
        <f>VLOOKUP($B353&amp;"__wt",'SegEnds_Xtal_BW#'!$A:$Z,23,FALSE)</f>
        <v>33</v>
      </c>
      <c r="X353" s="1">
        <f>VLOOKUP($B353&amp;"__wt",'SegEnds_Xtal_BW#'!$A:$Z,24,FALSE)</f>
        <v>64</v>
      </c>
      <c r="Y353" s="1">
        <f>VLOOKUP($B353&amp;"__wt",'SegEnds_Xtal_BW#'!$A:$Z,25,FALSE)</f>
        <v>46</v>
      </c>
      <c r="Z353" s="1">
        <f>VLOOKUP($B353&amp;"__wt",'SegEnds_Xtal_BW#'!$A:$Z,26,FALSE)</f>
        <v>57</v>
      </c>
      <c r="AA353" s="27" t="str">
        <f>VLOOKUP(A353,Classification!A:B,2,FALSE)</f>
        <v>C</v>
      </c>
      <c r="AB353" s="1">
        <f>VLOOKUP(A353,'SegEnds_NonXtal_Prot#'!A:AL,10,FALSE)-VLOOKUP(A353,'SegEnds_NonXtal_Prot#'!A:AL,4,FALSE)</f>
        <v>31</v>
      </c>
      <c r="AC353" s="1">
        <f>VLOOKUP(A353,'SegEnds_NonXtal_Prot#'!A:AL,10,FALSE)-VLOOKUP(A353,'SegEnds_NonXtal_Prot#'!A:AL,7,FALSE)</f>
        <v>15</v>
      </c>
      <c r="AD353" s="1" t="e">
        <f>VLOOKUP(A353,'SegEnds_NonXtal_Prot#'!A:AL,13,FALSE)-VLOOKUP(A353,'SegEnds_NonXtal_Prot#'!A:AL,10,FALSE)</f>
        <v>#VALUE!</v>
      </c>
      <c r="AE353" s="1">
        <f>VLOOKUP(A353,'SegEnds_NonXtal_Prot#'!A:AL,16,FALSE)-VLOOKUP(A353,'SegEnds_NonXtal_Prot#'!A:AL,10,FALSE)</f>
        <v>44</v>
      </c>
      <c r="AF353" s="1" t="e">
        <f>VLOOKUP(A353,'SegEnds_NonXtal_Prot#'!A:AL,22,FALSE)-VLOOKUP(A353,'SegEnds_NonXtal_Prot#'!A:AL,19,FALSE)</f>
        <v>#VALUE!</v>
      </c>
      <c r="AG353" s="1">
        <f>VLOOKUP(A353,'SegEnds_NonXtal_Prot#'!A:AL,28,FALSE)-VLOOKUP(A353,'SegEnds_NonXtal_Prot#'!A:AL,25,FALSE)</f>
        <v>16</v>
      </c>
      <c r="AH353" s="1">
        <f>VLOOKUP(A353,'SegEnds_NonXtal_Prot#'!A:AL,28,FALSE)-VLOOKUP(A353,'SegEnds_NonXtal_Prot#'!A:AL,22,FALSE)</f>
        <v>65</v>
      </c>
      <c r="AI353" s="1">
        <f>VLOOKUP(A353,'SegEnds_NonXtal_Prot#'!A:AL,31,FALSE)-VLOOKUP(A353,'SegEnds_NonXtal_Prot#'!A:AL,28,FALSE)</f>
        <v>37</v>
      </c>
      <c r="AJ353" s="1">
        <f>VLOOKUP(A353,'SegEnds_NonXtal_Prot#'!A:AL,34,FALSE)-VLOOKUP(A353,'SegEnds_NonXtal_Prot#'!A:AL,31,FALSE)</f>
        <v>33</v>
      </c>
      <c r="AK353" s="1">
        <f>VLOOKUP(A353,'SegEnds_NonXtal_Prot#'!A:AL,37,FALSE)-VLOOKUP(A353,'SegEnds_NonXtal_Prot#'!A:AL,34,FALSE)</f>
        <v>19</v>
      </c>
      <c r="AL353" s="1" t="str">
        <f>IF(ISERROR(MATCH(A353,'SegEnds_Xtal_Prot#'!B:B, 0)), "NoXtal", "Xtal")</f>
        <v>NoXtal</v>
      </c>
    </row>
    <row r="354" spans="1:38" x14ac:dyDescent="0.2">
      <c r="A354" s="4" t="s">
        <v>114</v>
      </c>
      <c r="B354" s="4" t="str">
        <f>VLOOKUP(A354,Xtal_Templ!A:B,2,FALSE)</f>
        <v>grm1_human</v>
      </c>
      <c r="C354" s="5">
        <f>VLOOKUP($B354&amp;"__wt",'SegEnds_Xtal_BW#'!$A:$Z,3,FALSE)</f>
        <v>34</v>
      </c>
      <c r="D354" s="4">
        <f>VLOOKUP($B354&amp;"__wt",'SegEnds_Xtal_BW#'!$A:$Z,4,FALSE)</f>
        <v>60</v>
      </c>
      <c r="E354" s="4">
        <f>VLOOKUP($B354&amp;"__wt",'SegEnds_Xtal_BW#'!$A:$Z,5,FALSE)</f>
        <v>47</v>
      </c>
      <c r="F354" s="4">
        <f>VLOOKUP($B354&amp;"__wt",'SegEnds_Xtal_BW#'!$A:$Z,6,FALSE)</f>
        <v>53</v>
      </c>
      <c r="G354" s="4">
        <v>39</v>
      </c>
      <c r="H354" s="11">
        <f>VLOOKUP($B354&amp;"__wt",'SegEnds_Xtal_BW#'!$A:$Z,8,FALSE)</f>
        <v>61</v>
      </c>
      <c r="I354" s="4" t="str">
        <f>VLOOKUP($B354&amp;"__wt",'SegEnds_Xtal_BW#'!$A:$Z,9,FALSE)</f>
        <v>-</v>
      </c>
      <c r="J354" s="4" t="str">
        <f>VLOOKUP($B354&amp;"__wt",'SegEnds_Xtal_BW#'!$A:$Z,10,FALSE)</f>
        <v>-</v>
      </c>
      <c r="K354" s="11">
        <f>VLOOKUP($B354&amp;"__wt",'SegEnds_Xtal_BW#'!$A:$Z,11,FALSE)</f>
        <v>22</v>
      </c>
      <c r="L354" s="4">
        <f>VLOOKUP($B354&amp;"__wt",'SegEnds_Xtal_BW#'!$A:$Z,12,FALSE)</f>
        <v>54</v>
      </c>
      <c r="M354" s="4" t="str">
        <f>VLOOKUP($B354&amp;"__wt",'SegEnds_Xtal_BW#'!$A:$Z,13,FALSE)</f>
        <v>-</v>
      </c>
      <c r="N354" s="11" t="str">
        <f>VLOOKUP($B354&amp;"__wt",'SegEnds_Xtal_BW#'!$A:$Z,14,FALSE)</f>
        <v>-</v>
      </c>
      <c r="O354" s="88">
        <f>VLOOKUP($B354&amp;"__wt",'SegEnds_Xtal_BW#'!$A:$Z,15,FALSE)</f>
        <v>38</v>
      </c>
      <c r="P354" s="4">
        <f>VLOOKUP($B354&amp;"__wt",'SegEnds_Xtal_BW#'!$A:$Z,16,FALSE)</f>
        <v>64</v>
      </c>
      <c r="Q354" s="4">
        <f>VLOOKUP($B354&amp;"__wt",'SegEnds_Xtal_BW#'!$A:$Z,17,FALSE)</f>
        <v>50</v>
      </c>
      <c r="R354" s="4">
        <f>VLOOKUP($B354&amp;"__wt",'SegEnds_Xtal_BW#'!$A:$Z,18,FALSE)</f>
        <v>52</v>
      </c>
      <c r="S354" s="4">
        <f>VLOOKUP($B354&amp;"__wt",'SegEnds_Xtal_BW#'!$A:$Z,19,FALSE)</f>
        <v>36</v>
      </c>
      <c r="T354" s="4">
        <f>VLOOKUP($B354&amp;"__wt",'SegEnds_Xtal_BW#'!$A:$Z,20,FALSE)</f>
        <v>61</v>
      </c>
      <c r="U354" s="4">
        <f>VLOOKUP($B354&amp;"__wt",'SegEnds_Xtal_BW#'!$A:$Z,21,FALSE)</f>
        <v>33</v>
      </c>
      <c r="V354" s="4">
        <f>VLOOKUP($B354&amp;"__wt",'SegEnds_Xtal_BW#'!$A:$Z,22,FALSE)</f>
        <v>57</v>
      </c>
      <c r="W354" s="4">
        <f>VLOOKUP($B354&amp;"__wt",'SegEnds_Xtal_BW#'!$A:$Z,23,FALSE)</f>
        <v>33</v>
      </c>
      <c r="X354" s="4">
        <f>VLOOKUP($B354&amp;"__wt",'SegEnds_Xtal_BW#'!$A:$Z,24,FALSE)</f>
        <v>64</v>
      </c>
      <c r="Y354" s="4">
        <f>VLOOKUP($B354&amp;"__wt",'SegEnds_Xtal_BW#'!$A:$Z,25,FALSE)</f>
        <v>46</v>
      </c>
      <c r="Z354" s="4">
        <f>VLOOKUP($B354&amp;"__wt",'SegEnds_Xtal_BW#'!$A:$Z,26,FALSE)</f>
        <v>57</v>
      </c>
      <c r="AA354" s="27" t="str">
        <f>VLOOKUP(A354,Classification!A:B,2,FALSE)</f>
        <v>C</v>
      </c>
      <c r="AB354" s="1">
        <f>VLOOKUP(A354,'SegEnds_NonXtal_Prot#'!A:AL,10,FALSE)-VLOOKUP(A354,'SegEnds_NonXtal_Prot#'!A:AL,4,FALSE)</f>
        <v>32</v>
      </c>
      <c r="AC354" s="4">
        <f>VLOOKUP(A354,'SegEnds_NonXtal_Prot#'!A:AL,10,FALSE)-VLOOKUP(A354,'SegEnds_NonXtal_Prot#'!A:AL,7,FALSE)</f>
        <v>16</v>
      </c>
      <c r="AD354" s="4" t="e">
        <f>VLOOKUP(A354,'SegEnds_NonXtal_Prot#'!A:AL,13,FALSE)-VLOOKUP(A354,'SegEnds_NonXtal_Prot#'!A:AL,10,FALSE)</f>
        <v>#VALUE!</v>
      </c>
      <c r="AE354" s="4">
        <f>VLOOKUP(A354,'SegEnds_NonXtal_Prot#'!A:AL,16,FALSE)-VLOOKUP(A354,'SegEnds_NonXtal_Prot#'!A:AL,10,FALSE)</f>
        <v>44</v>
      </c>
      <c r="AF354" s="1" t="e">
        <f>VLOOKUP(A354,'SegEnds_NonXtal_Prot#'!A:AL,22,FALSE)-VLOOKUP(A354,'SegEnds_NonXtal_Prot#'!A:AL,19,FALSE)</f>
        <v>#VALUE!</v>
      </c>
      <c r="AG354" s="4">
        <f>VLOOKUP(A354,'SegEnds_NonXtal_Prot#'!A:AL,28,FALSE)-VLOOKUP(A354,'SegEnds_NonXtal_Prot#'!A:AL,25,FALSE)</f>
        <v>18</v>
      </c>
      <c r="AH354" s="1">
        <f>VLOOKUP(A354,'SegEnds_NonXtal_Prot#'!A:AL,28,FALSE)-VLOOKUP(A354,'SegEnds_NonXtal_Prot#'!A:AL,22,FALSE)</f>
        <v>50</v>
      </c>
      <c r="AI354" s="4">
        <f>VLOOKUP(A354,'SegEnds_NonXtal_Prot#'!A:AL,31,FALSE)-VLOOKUP(A354,'SegEnds_NonXtal_Prot#'!A:AL,28,FALSE)</f>
        <v>35</v>
      </c>
      <c r="AJ354" s="4">
        <f>VLOOKUP(A354,'SegEnds_NonXtal_Prot#'!A:AL,34,FALSE)-VLOOKUP(A354,'SegEnds_NonXtal_Prot#'!A:AL,31,FALSE)</f>
        <v>29</v>
      </c>
      <c r="AK354" s="1">
        <f>VLOOKUP(A354,'SegEnds_NonXtal_Prot#'!A:AL,37,FALSE)-VLOOKUP(A354,'SegEnds_NonXtal_Prot#'!A:AL,34,FALSE)</f>
        <v>19</v>
      </c>
      <c r="AL354" s="1" t="str">
        <f>IF(ISERROR(MATCH(A354,'SegEnds_Xtal_Prot#'!B:B, 0)), "NoXtal", "Xtal")</f>
        <v>NoXtal</v>
      </c>
    </row>
    <row r="355" spans="1:38" x14ac:dyDescent="0.2">
      <c r="A355" s="4" t="s">
        <v>40</v>
      </c>
      <c r="B355" s="4" t="str">
        <f>VLOOKUP(A355,Xtal_Templ!A:B,2,FALSE)</f>
        <v>grm1_human</v>
      </c>
      <c r="C355" s="5">
        <f>VLOOKUP($B355&amp;"__wt",'SegEnds_Xtal_BW#'!$A:$Z,3,FALSE)</f>
        <v>34</v>
      </c>
      <c r="D355" s="4">
        <f>VLOOKUP($B355&amp;"__wt",'SegEnds_Xtal_BW#'!$A:$Z,4,FALSE)</f>
        <v>60</v>
      </c>
      <c r="E355" s="4">
        <f>VLOOKUP($B355&amp;"__wt",'SegEnds_Xtal_BW#'!$A:$Z,5,FALSE)</f>
        <v>47</v>
      </c>
      <c r="F355" s="4">
        <f>VLOOKUP($B355&amp;"__wt",'SegEnds_Xtal_BW#'!$A:$Z,6,FALSE)</f>
        <v>53</v>
      </c>
      <c r="G355" s="4">
        <v>39</v>
      </c>
      <c r="H355" s="11">
        <f>VLOOKUP($B355&amp;"__wt",'SegEnds_Xtal_BW#'!$A:$Z,8,FALSE)</f>
        <v>61</v>
      </c>
      <c r="I355" s="4" t="str">
        <f>VLOOKUP($B355&amp;"__wt",'SegEnds_Xtal_BW#'!$A:$Z,9,FALSE)</f>
        <v>-</v>
      </c>
      <c r="J355" s="4" t="str">
        <f>VLOOKUP($B355&amp;"__wt",'SegEnds_Xtal_BW#'!$A:$Z,10,FALSE)</f>
        <v>-</v>
      </c>
      <c r="K355" s="11">
        <f>VLOOKUP($B355&amp;"__wt",'SegEnds_Xtal_BW#'!$A:$Z,11,FALSE)</f>
        <v>22</v>
      </c>
      <c r="L355" s="4">
        <f>VLOOKUP($B355&amp;"__wt",'SegEnds_Xtal_BW#'!$A:$Z,12,FALSE)</f>
        <v>54</v>
      </c>
      <c r="M355" s="4" t="str">
        <f>VLOOKUP($B355&amp;"__wt",'SegEnds_Xtal_BW#'!$A:$Z,13,FALSE)</f>
        <v>-</v>
      </c>
      <c r="N355" s="11" t="str">
        <f>VLOOKUP($B355&amp;"__wt",'SegEnds_Xtal_BW#'!$A:$Z,14,FALSE)</f>
        <v>-</v>
      </c>
      <c r="O355" s="88">
        <f>VLOOKUP($B355&amp;"__wt",'SegEnds_Xtal_BW#'!$A:$Z,15,FALSE)</f>
        <v>38</v>
      </c>
      <c r="P355" s="4">
        <f>VLOOKUP($B355&amp;"__wt",'SegEnds_Xtal_BW#'!$A:$Z,16,FALSE)</f>
        <v>64</v>
      </c>
      <c r="Q355" s="4">
        <f>VLOOKUP($B355&amp;"__wt",'SegEnds_Xtal_BW#'!$A:$Z,17,FALSE)</f>
        <v>50</v>
      </c>
      <c r="R355" s="4">
        <f>VLOOKUP($B355&amp;"__wt",'SegEnds_Xtal_BW#'!$A:$Z,18,FALSE)</f>
        <v>52</v>
      </c>
      <c r="S355" s="4">
        <f>VLOOKUP($B355&amp;"__wt",'SegEnds_Xtal_BW#'!$A:$Z,19,FALSE)</f>
        <v>36</v>
      </c>
      <c r="T355" s="4">
        <f>VLOOKUP($B355&amp;"__wt",'SegEnds_Xtal_BW#'!$A:$Z,20,FALSE)</f>
        <v>61</v>
      </c>
      <c r="U355" s="4">
        <f>VLOOKUP($B355&amp;"__wt",'SegEnds_Xtal_BW#'!$A:$Z,21,FALSE)</f>
        <v>33</v>
      </c>
      <c r="V355" s="4">
        <f>VLOOKUP($B355&amp;"__wt",'SegEnds_Xtal_BW#'!$A:$Z,22,FALSE)</f>
        <v>57</v>
      </c>
      <c r="W355" s="4">
        <f>VLOOKUP($B355&amp;"__wt",'SegEnds_Xtal_BW#'!$A:$Z,23,FALSE)</f>
        <v>33</v>
      </c>
      <c r="X355" s="4">
        <f>VLOOKUP($B355&amp;"__wt",'SegEnds_Xtal_BW#'!$A:$Z,24,FALSE)</f>
        <v>64</v>
      </c>
      <c r="Y355" s="4">
        <f>VLOOKUP($B355&amp;"__wt",'SegEnds_Xtal_BW#'!$A:$Z,25,FALSE)</f>
        <v>46</v>
      </c>
      <c r="Z355" s="4">
        <f>VLOOKUP($B355&amp;"__wt",'SegEnds_Xtal_BW#'!$A:$Z,26,FALSE)</f>
        <v>57</v>
      </c>
      <c r="AA355" s="27" t="str">
        <f>VLOOKUP(A355,Classification!A:B,2,FALSE)</f>
        <v>C</v>
      </c>
      <c r="AB355" s="1">
        <f>VLOOKUP(A355,'SegEnds_NonXtal_Prot#'!A:AL,10,FALSE)-VLOOKUP(A355,'SegEnds_NonXtal_Prot#'!A:AL,4,FALSE)</f>
        <v>31</v>
      </c>
      <c r="AC355" s="4">
        <f>VLOOKUP(A355,'SegEnds_NonXtal_Prot#'!A:AL,10,FALSE)-VLOOKUP(A355,'SegEnds_NonXtal_Prot#'!A:AL,7,FALSE)</f>
        <v>15</v>
      </c>
      <c r="AD355" s="4" t="e">
        <f>VLOOKUP(A355,'SegEnds_NonXtal_Prot#'!A:AL,13,FALSE)-VLOOKUP(A355,'SegEnds_NonXtal_Prot#'!A:AL,10,FALSE)</f>
        <v>#VALUE!</v>
      </c>
      <c r="AE355" s="4">
        <f>VLOOKUP(A355,'SegEnds_NonXtal_Prot#'!A:AL,16,FALSE)-VLOOKUP(A355,'SegEnds_NonXtal_Prot#'!A:AL,10,FALSE)</f>
        <v>44</v>
      </c>
      <c r="AF355" s="1" t="e">
        <f>VLOOKUP(A355,'SegEnds_NonXtal_Prot#'!A:AL,22,FALSE)-VLOOKUP(A355,'SegEnds_NonXtal_Prot#'!A:AL,19,FALSE)</f>
        <v>#VALUE!</v>
      </c>
      <c r="AG355" s="4">
        <f>VLOOKUP(A355,'SegEnds_NonXtal_Prot#'!A:AL,28,FALSE)-VLOOKUP(A355,'SegEnds_NonXtal_Prot#'!A:AL,25,FALSE)</f>
        <v>17</v>
      </c>
      <c r="AH355" s="1">
        <f>VLOOKUP(A355,'SegEnds_NonXtal_Prot#'!A:AL,28,FALSE)-VLOOKUP(A355,'SegEnds_NonXtal_Prot#'!A:AL,22,FALSE)</f>
        <v>49</v>
      </c>
      <c r="AI355" s="4">
        <f>VLOOKUP(A355,'SegEnds_NonXtal_Prot#'!A:AL,31,FALSE)-VLOOKUP(A355,'SegEnds_NonXtal_Prot#'!A:AL,28,FALSE)</f>
        <v>37</v>
      </c>
      <c r="AJ355" s="4">
        <f>VLOOKUP(A355,'SegEnds_NonXtal_Prot#'!A:AL,34,FALSE)-VLOOKUP(A355,'SegEnds_NonXtal_Prot#'!A:AL,31,FALSE)</f>
        <v>27</v>
      </c>
      <c r="AK355" s="1">
        <f>VLOOKUP(A355,'SegEnds_NonXtal_Prot#'!A:AL,37,FALSE)-VLOOKUP(A355,'SegEnds_NonXtal_Prot#'!A:AL,34,FALSE)</f>
        <v>19</v>
      </c>
      <c r="AL355" s="1" t="str">
        <f>IF(ISERROR(MATCH(A355,'SegEnds_Xtal_Prot#'!B:B, 0)), "NoXtal", "Xtal")</f>
        <v>Xtal</v>
      </c>
    </row>
    <row r="356" spans="1:38" x14ac:dyDescent="0.2">
      <c r="A356" s="1" t="s">
        <v>115</v>
      </c>
      <c r="B356" s="1" t="str">
        <f>VLOOKUP(A356,Xtal_Templ!A:B,2,FALSE)</f>
        <v>grm1_human</v>
      </c>
      <c r="C356" s="5">
        <f>VLOOKUP($B356&amp;"__wt",'SegEnds_Xtal_BW#'!$A:$Z,3,FALSE)</f>
        <v>34</v>
      </c>
      <c r="D356" s="1">
        <f>VLOOKUP($B356&amp;"__wt",'SegEnds_Xtal_BW#'!$A:$Z,4,FALSE)</f>
        <v>60</v>
      </c>
      <c r="E356" s="1">
        <f>VLOOKUP($B356&amp;"__wt",'SegEnds_Xtal_BW#'!$A:$Z,5,FALSE)</f>
        <v>47</v>
      </c>
      <c r="F356" s="1">
        <f>VLOOKUP($B356&amp;"__wt",'SegEnds_Xtal_BW#'!$A:$Z,6,FALSE)</f>
        <v>53</v>
      </c>
      <c r="G356" s="1">
        <v>39</v>
      </c>
      <c r="H356" s="12">
        <f>VLOOKUP($B356&amp;"__wt",'SegEnds_Xtal_BW#'!$A:$Z,8,FALSE)</f>
        <v>61</v>
      </c>
      <c r="I356" s="1" t="str">
        <f>VLOOKUP($B356&amp;"__wt",'SegEnds_Xtal_BW#'!$A:$Z,9,FALSE)</f>
        <v>-</v>
      </c>
      <c r="J356" s="1" t="str">
        <f>VLOOKUP($B356&amp;"__wt",'SegEnds_Xtal_BW#'!$A:$Z,10,FALSE)</f>
        <v>-</v>
      </c>
      <c r="K356" s="12">
        <f>VLOOKUP($B356&amp;"__wt",'SegEnds_Xtal_BW#'!$A:$Z,11,FALSE)</f>
        <v>22</v>
      </c>
      <c r="L356" s="1">
        <f>VLOOKUP($B356&amp;"__wt",'SegEnds_Xtal_BW#'!$A:$Z,12,FALSE)</f>
        <v>54</v>
      </c>
      <c r="M356" s="1" t="str">
        <f>VLOOKUP($B356&amp;"__wt",'SegEnds_Xtal_BW#'!$A:$Z,13,FALSE)</f>
        <v>-</v>
      </c>
      <c r="N356" s="12" t="str">
        <f>VLOOKUP($B356&amp;"__wt",'SegEnds_Xtal_BW#'!$A:$Z,14,FALSE)</f>
        <v>-</v>
      </c>
      <c r="O356" s="87">
        <f>VLOOKUP($B356&amp;"__wt",'SegEnds_Xtal_BW#'!$A:$Z,15,FALSE)</f>
        <v>38</v>
      </c>
      <c r="P356" s="1">
        <f>VLOOKUP($B356&amp;"__wt",'SegEnds_Xtal_BW#'!$A:$Z,16,FALSE)</f>
        <v>64</v>
      </c>
      <c r="Q356" s="1">
        <f>VLOOKUP($B356&amp;"__wt",'SegEnds_Xtal_BW#'!$A:$Z,17,FALSE)</f>
        <v>50</v>
      </c>
      <c r="R356" s="1">
        <f>VLOOKUP($B356&amp;"__wt",'SegEnds_Xtal_BW#'!$A:$Z,18,FALSE)</f>
        <v>52</v>
      </c>
      <c r="S356" s="1">
        <f>VLOOKUP($B356&amp;"__wt",'SegEnds_Xtal_BW#'!$A:$Z,19,FALSE)</f>
        <v>36</v>
      </c>
      <c r="T356" s="1">
        <f>VLOOKUP($B356&amp;"__wt",'SegEnds_Xtal_BW#'!$A:$Z,20,FALSE)</f>
        <v>61</v>
      </c>
      <c r="U356" s="1">
        <f>VLOOKUP($B356&amp;"__wt",'SegEnds_Xtal_BW#'!$A:$Z,21,FALSE)</f>
        <v>33</v>
      </c>
      <c r="V356" s="1">
        <f>VLOOKUP($B356&amp;"__wt",'SegEnds_Xtal_BW#'!$A:$Z,22,FALSE)</f>
        <v>57</v>
      </c>
      <c r="W356" s="1">
        <f>VLOOKUP($B356&amp;"__wt",'SegEnds_Xtal_BW#'!$A:$Z,23,FALSE)</f>
        <v>33</v>
      </c>
      <c r="X356" s="1">
        <f>VLOOKUP($B356&amp;"__wt",'SegEnds_Xtal_BW#'!$A:$Z,24,FALSE)</f>
        <v>64</v>
      </c>
      <c r="Y356" s="1">
        <f>VLOOKUP($B356&amp;"__wt",'SegEnds_Xtal_BW#'!$A:$Z,25,FALSE)</f>
        <v>46</v>
      </c>
      <c r="Z356" s="1">
        <f>VLOOKUP($B356&amp;"__wt",'SegEnds_Xtal_BW#'!$A:$Z,26,FALSE)</f>
        <v>57</v>
      </c>
      <c r="AA356" s="27" t="str">
        <f>VLOOKUP(A356,Classification!A:B,2,FALSE)</f>
        <v>C</v>
      </c>
      <c r="AB356" s="1">
        <f>VLOOKUP(A356,'SegEnds_NonXtal_Prot#'!A:AL,10,FALSE)-VLOOKUP(A356,'SegEnds_NonXtal_Prot#'!A:AL,4,FALSE)</f>
        <v>31</v>
      </c>
      <c r="AC356" s="1">
        <f>VLOOKUP(A356,'SegEnds_NonXtal_Prot#'!A:AL,10,FALSE)-VLOOKUP(A356,'SegEnds_NonXtal_Prot#'!A:AL,7,FALSE)</f>
        <v>15</v>
      </c>
      <c r="AD356" s="1" t="e">
        <f>VLOOKUP(A356,'SegEnds_NonXtal_Prot#'!A:AL,13,FALSE)-VLOOKUP(A356,'SegEnds_NonXtal_Prot#'!A:AL,10,FALSE)</f>
        <v>#VALUE!</v>
      </c>
      <c r="AE356" s="1">
        <f>VLOOKUP(A356,'SegEnds_NonXtal_Prot#'!A:AL,16,FALSE)-VLOOKUP(A356,'SegEnds_NonXtal_Prot#'!A:AL,10,FALSE)</f>
        <v>44</v>
      </c>
      <c r="AF356" s="1" t="e">
        <f>VLOOKUP(A356,'SegEnds_NonXtal_Prot#'!A:AL,22,FALSE)-VLOOKUP(A356,'SegEnds_NonXtal_Prot#'!A:AL,19,FALSE)</f>
        <v>#VALUE!</v>
      </c>
      <c r="AG356" s="1">
        <f>VLOOKUP(A356,'SegEnds_NonXtal_Prot#'!A:AL,28,FALSE)-VLOOKUP(A356,'SegEnds_NonXtal_Prot#'!A:AL,25,FALSE)</f>
        <v>17</v>
      </c>
      <c r="AH356" s="1">
        <f>VLOOKUP(A356,'SegEnds_NonXtal_Prot#'!A:AL,28,FALSE)-VLOOKUP(A356,'SegEnds_NonXtal_Prot#'!A:AL,22,FALSE)</f>
        <v>51</v>
      </c>
      <c r="AI356" s="1">
        <f>VLOOKUP(A356,'SegEnds_NonXtal_Prot#'!A:AL,31,FALSE)-VLOOKUP(A356,'SegEnds_NonXtal_Prot#'!A:AL,28,FALSE)</f>
        <v>37</v>
      </c>
      <c r="AJ356" s="1">
        <f>VLOOKUP(A356,'SegEnds_NonXtal_Prot#'!A:AL,34,FALSE)-VLOOKUP(A356,'SegEnds_NonXtal_Prot#'!A:AL,31,FALSE)</f>
        <v>31</v>
      </c>
      <c r="AK356" s="1">
        <f>VLOOKUP(A356,'SegEnds_NonXtal_Prot#'!A:AL,37,FALSE)-VLOOKUP(A356,'SegEnds_NonXtal_Prot#'!A:AL,34,FALSE)</f>
        <v>19</v>
      </c>
      <c r="AL356" s="1" t="str">
        <f>IF(ISERROR(MATCH(A356,'SegEnds_Xtal_Prot#'!B:B, 0)), "NoXtal", "Xtal")</f>
        <v>NoXtal</v>
      </c>
    </row>
    <row r="357" spans="1:38" x14ac:dyDescent="0.2">
      <c r="A357" s="1" t="s">
        <v>116</v>
      </c>
      <c r="B357" s="1" t="str">
        <f>VLOOKUP(A357,Xtal_Templ!A:B,2,FALSE)</f>
        <v>grm5_human</v>
      </c>
      <c r="C357" s="5">
        <f>VLOOKUP($B357&amp;"__wt",'SegEnds_Xtal_BW#'!$A:$Z,3,FALSE)</f>
        <v>34</v>
      </c>
      <c r="D357" s="1">
        <f>VLOOKUP($B357&amp;"__wt",'SegEnds_Xtal_BW#'!$A:$Z,4,FALSE)</f>
        <v>60</v>
      </c>
      <c r="E357" s="1">
        <f>VLOOKUP($B357&amp;"__wt",'SegEnds_Xtal_BW#'!$A:$Z,5,FALSE)</f>
        <v>47</v>
      </c>
      <c r="F357" s="1">
        <f>VLOOKUP($B357&amp;"__wt",'SegEnds_Xtal_BW#'!$A:$Z,6,FALSE)</f>
        <v>53</v>
      </c>
      <c r="G357" s="1">
        <v>39</v>
      </c>
      <c r="H357" s="12">
        <f>VLOOKUP($B357&amp;"__wt",'SegEnds_Xtal_BW#'!$A:$Z,8,FALSE)</f>
        <v>61</v>
      </c>
      <c r="I357" s="1" t="str">
        <f>VLOOKUP($B357&amp;"__wt",'SegEnds_Xtal_BW#'!$A:$Z,9,FALSE)</f>
        <v>-</v>
      </c>
      <c r="J357" s="1" t="str">
        <f>VLOOKUP($B357&amp;"__wt",'SegEnds_Xtal_BW#'!$A:$Z,10,FALSE)</f>
        <v>-</v>
      </c>
      <c r="K357" s="12">
        <f>VLOOKUP($B357&amp;"__wt",'SegEnds_Xtal_BW#'!$A:$Z,11,FALSE)</f>
        <v>22</v>
      </c>
      <c r="L357" s="1">
        <f>VLOOKUP($B357&amp;"__wt",'SegEnds_Xtal_BW#'!$A:$Z,12,FALSE)</f>
        <v>54</v>
      </c>
      <c r="M357" s="1" t="str">
        <f>VLOOKUP($B357&amp;"__wt",'SegEnds_Xtal_BW#'!$A:$Z,13,FALSE)</f>
        <v>-</v>
      </c>
      <c r="N357" s="12" t="str">
        <f>VLOOKUP($B357&amp;"__wt",'SegEnds_Xtal_BW#'!$A:$Z,14,FALSE)</f>
        <v>-</v>
      </c>
      <c r="O357" s="87">
        <f>VLOOKUP($B357&amp;"__wt",'SegEnds_Xtal_BW#'!$A:$Z,15,FALSE)</f>
        <v>38</v>
      </c>
      <c r="P357" s="1">
        <f>VLOOKUP($B357&amp;"__wt",'SegEnds_Xtal_BW#'!$A:$Z,16,FALSE)</f>
        <v>64</v>
      </c>
      <c r="Q357" s="1">
        <f>VLOOKUP($B357&amp;"__wt",'SegEnds_Xtal_BW#'!$A:$Z,17,FALSE)</f>
        <v>50</v>
      </c>
      <c r="R357" s="1">
        <f>VLOOKUP($B357&amp;"__wt",'SegEnds_Xtal_BW#'!$A:$Z,18,FALSE)</f>
        <v>52</v>
      </c>
      <c r="S357" s="1">
        <f>VLOOKUP($B357&amp;"__wt",'SegEnds_Xtal_BW#'!$A:$Z,19,FALSE)</f>
        <v>36</v>
      </c>
      <c r="T357" s="1">
        <f>VLOOKUP($B357&amp;"__wt",'SegEnds_Xtal_BW#'!$A:$Z,20,FALSE)</f>
        <v>61</v>
      </c>
      <c r="U357" s="1">
        <f>VLOOKUP($B357&amp;"__wt",'SegEnds_Xtal_BW#'!$A:$Z,21,FALSE)</f>
        <v>33</v>
      </c>
      <c r="V357" s="1">
        <f>VLOOKUP($B357&amp;"__wt",'SegEnds_Xtal_BW#'!$A:$Z,22,FALSE)</f>
        <v>57</v>
      </c>
      <c r="W357" s="1">
        <f>VLOOKUP($B357&amp;"__wt",'SegEnds_Xtal_BW#'!$A:$Z,23,FALSE)</f>
        <v>33</v>
      </c>
      <c r="X357" s="1">
        <f>VLOOKUP($B357&amp;"__wt",'SegEnds_Xtal_BW#'!$A:$Z,24,FALSE)</f>
        <v>64</v>
      </c>
      <c r="Y357" s="1">
        <f>VLOOKUP($B357&amp;"__wt",'SegEnds_Xtal_BW#'!$A:$Z,25,FALSE)</f>
        <v>46</v>
      </c>
      <c r="Z357" s="1">
        <f>VLOOKUP($B357&amp;"__wt",'SegEnds_Xtal_BW#'!$A:$Z,26,FALSE)</f>
        <v>57</v>
      </c>
      <c r="AA357" s="27" t="str">
        <f>VLOOKUP(A357,Classification!A:B,2,FALSE)</f>
        <v>C</v>
      </c>
      <c r="AB357" s="1">
        <f>VLOOKUP(A357,'SegEnds_NonXtal_Prot#'!A:AL,10,FALSE)-VLOOKUP(A357,'SegEnds_NonXtal_Prot#'!A:AL,4,FALSE)</f>
        <v>31</v>
      </c>
      <c r="AC357" s="1">
        <f>VLOOKUP(A357,'SegEnds_NonXtal_Prot#'!A:AL,10,FALSE)-VLOOKUP(A357,'SegEnds_NonXtal_Prot#'!A:AL,7,FALSE)</f>
        <v>15</v>
      </c>
      <c r="AD357" s="1" t="e">
        <f>VLOOKUP(A357,'SegEnds_NonXtal_Prot#'!A:AL,13,FALSE)-VLOOKUP(A357,'SegEnds_NonXtal_Prot#'!A:AL,10,FALSE)</f>
        <v>#VALUE!</v>
      </c>
      <c r="AE357" s="1">
        <f>VLOOKUP(A357,'SegEnds_NonXtal_Prot#'!A:AL,16,FALSE)-VLOOKUP(A357,'SegEnds_NonXtal_Prot#'!A:AL,10,FALSE)</f>
        <v>44</v>
      </c>
      <c r="AF357" s="1" t="e">
        <f>VLOOKUP(A357,'SegEnds_NonXtal_Prot#'!A:AL,22,FALSE)-VLOOKUP(A357,'SegEnds_NonXtal_Prot#'!A:AL,19,FALSE)</f>
        <v>#VALUE!</v>
      </c>
      <c r="AG357" s="1">
        <f>VLOOKUP(A357,'SegEnds_NonXtal_Prot#'!A:AL,28,FALSE)-VLOOKUP(A357,'SegEnds_NonXtal_Prot#'!A:AL,25,FALSE)</f>
        <v>17</v>
      </c>
      <c r="AH357" s="1">
        <f>VLOOKUP(A357,'SegEnds_NonXtal_Prot#'!A:AL,28,FALSE)-VLOOKUP(A357,'SegEnds_NonXtal_Prot#'!A:AL,22,FALSE)</f>
        <v>51</v>
      </c>
      <c r="AI357" s="1">
        <f>VLOOKUP(A357,'SegEnds_NonXtal_Prot#'!A:AL,31,FALSE)-VLOOKUP(A357,'SegEnds_NonXtal_Prot#'!A:AL,28,FALSE)</f>
        <v>37</v>
      </c>
      <c r="AJ357" s="1">
        <f>VLOOKUP(A357,'SegEnds_NonXtal_Prot#'!A:AL,34,FALSE)-VLOOKUP(A357,'SegEnds_NonXtal_Prot#'!A:AL,31,FALSE)</f>
        <v>31</v>
      </c>
      <c r="AK357" s="1">
        <f>VLOOKUP(A357,'SegEnds_NonXtal_Prot#'!A:AL,37,FALSE)-VLOOKUP(A357,'SegEnds_NonXtal_Prot#'!A:AL,34,FALSE)</f>
        <v>19</v>
      </c>
      <c r="AL357" s="1" t="str">
        <f>IF(ISERROR(MATCH(A357,'SegEnds_Xtal_Prot#'!B:B, 0)), "NoXtal", "Xtal")</f>
        <v>NoXtal</v>
      </c>
    </row>
    <row r="358" spans="1:38" x14ac:dyDescent="0.2">
      <c r="A358" s="1" t="s">
        <v>117</v>
      </c>
      <c r="B358" s="1" t="str">
        <f>VLOOKUP(A358,Xtal_Templ!A:B,2,FALSE)</f>
        <v>grm5_human</v>
      </c>
      <c r="C358" s="5">
        <f>VLOOKUP($B358&amp;"__wt",'SegEnds_Xtal_BW#'!$A:$Z,3,FALSE)</f>
        <v>34</v>
      </c>
      <c r="D358" s="1">
        <f>VLOOKUP($B358&amp;"__wt",'SegEnds_Xtal_BW#'!$A:$Z,4,FALSE)</f>
        <v>60</v>
      </c>
      <c r="E358" s="1">
        <f>VLOOKUP($B358&amp;"__wt",'SegEnds_Xtal_BW#'!$A:$Z,5,FALSE)</f>
        <v>47</v>
      </c>
      <c r="F358" s="1">
        <f>VLOOKUP($B358&amp;"__wt",'SegEnds_Xtal_BW#'!$A:$Z,6,FALSE)</f>
        <v>53</v>
      </c>
      <c r="G358" s="1">
        <v>39</v>
      </c>
      <c r="H358" s="12">
        <f>VLOOKUP($B358&amp;"__wt",'SegEnds_Xtal_BW#'!$A:$Z,8,FALSE)</f>
        <v>61</v>
      </c>
      <c r="I358" s="1" t="str">
        <f>VLOOKUP($B358&amp;"__wt",'SegEnds_Xtal_BW#'!$A:$Z,9,FALSE)</f>
        <v>-</v>
      </c>
      <c r="J358" s="1" t="str">
        <f>VLOOKUP($B358&amp;"__wt",'SegEnds_Xtal_BW#'!$A:$Z,10,FALSE)</f>
        <v>-</v>
      </c>
      <c r="K358" s="12">
        <f>VLOOKUP($B358&amp;"__wt",'SegEnds_Xtal_BW#'!$A:$Z,11,FALSE)</f>
        <v>22</v>
      </c>
      <c r="L358" s="1">
        <f>VLOOKUP($B358&amp;"__wt",'SegEnds_Xtal_BW#'!$A:$Z,12,FALSE)</f>
        <v>54</v>
      </c>
      <c r="M358" s="1" t="str">
        <f>VLOOKUP($B358&amp;"__wt",'SegEnds_Xtal_BW#'!$A:$Z,13,FALSE)</f>
        <v>-</v>
      </c>
      <c r="N358" s="12" t="str">
        <f>VLOOKUP($B358&amp;"__wt",'SegEnds_Xtal_BW#'!$A:$Z,14,FALSE)</f>
        <v>-</v>
      </c>
      <c r="O358" s="87">
        <f>VLOOKUP($B358&amp;"__wt",'SegEnds_Xtal_BW#'!$A:$Z,15,FALSE)</f>
        <v>38</v>
      </c>
      <c r="P358" s="1">
        <f>VLOOKUP($B358&amp;"__wt",'SegEnds_Xtal_BW#'!$A:$Z,16,FALSE)</f>
        <v>64</v>
      </c>
      <c r="Q358" s="1">
        <f>VLOOKUP($B358&amp;"__wt",'SegEnds_Xtal_BW#'!$A:$Z,17,FALSE)</f>
        <v>50</v>
      </c>
      <c r="R358" s="1">
        <f>VLOOKUP($B358&amp;"__wt",'SegEnds_Xtal_BW#'!$A:$Z,18,FALSE)</f>
        <v>52</v>
      </c>
      <c r="S358" s="1">
        <f>VLOOKUP($B358&amp;"__wt",'SegEnds_Xtal_BW#'!$A:$Z,19,FALSE)</f>
        <v>36</v>
      </c>
      <c r="T358" s="1">
        <f>VLOOKUP($B358&amp;"__wt",'SegEnds_Xtal_BW#'!$A:$Z,20,FALSE)</f>
        <v>61</v>
      </c>
      <c r="U358" s="1">
        <f>VLOOKUP($B358&amp;"__wt",'SegEnds_Xtal_BW#'!$A:$Z,21,FALSE)</f>
        <v>33</v>
      </c>
      <c r="V358" s="1">
        <f>VLOOKUP($B358&amp;"__wt",'SegEnds_Xtal_BW#'!$A:$Z,22,FALSE)</f>
        <v>57</v>
      </c>
      <c r="W358" s="1">
        <f>VLOOKUP($B358&amp;"__wt",'SegEnds_Xtal_BW#'!$A:$Z,23,FALSE)</f>
        <v>33</v>
      </c>
      <c r="X358" s="1">
        <f>VLOOKUP($B358&amp;"__wt",'SegEnds_Xtal_BW#'!$A:$Z,24,FALSE)</f>
        <v>64</v>
      </c>
      <c r="Y358" s="1">
        <f>VLOOKUP($B358&amp;"__wt",'SegEnds_Xtal_BW#'!$A:$Z,25,FALSE)</f>
        <v>46</v>
      </c>
      <c r="Z358" s="1">
        <f>VLOOKUP($B358&amp;"__wt",'SegEnds_Xtal_BW#'!$A:$Z,26,FALSE)</f>
        <v>57</v>
      </c>
      <c r="AA358" s="27" t="str">
        <f>VLOOKUP(A358,Classification!A:B,2,FALSE)</f>
        <v>C</v>
      </c>
      <c r="AB358" s="1">
        <f>VLOOKUP(A358,'SegEnds_NonXtal_Prot#'!A:AL,10,FALSE)-VLOOKUP(A358,'SegEnds_NonXtal_Prot#'!A:AL,4,FALSE)</f>
        <v>31</v>
      </c>
      <c r="AC358" s="1">
        <f>VLOOKUP(A358,'SegEnds_NonXtal_Prot#'!A:AL,10,FALSE)-VLOOKUP(A358,'SegEnds_NonXtal_Prot#'!A:AL,7,FALSE)</f>
        <v>15</v>
      </c>
      <c r="AD358" s="1" t="e">
        <f>VLOOKUP(A358,'SegEnds_NonXtal_Prot#'!A:AL,13,FALSE)-VLOOKUP(A358,'SegEnds_NonXtal_Prot#'!A:AL,10,FALSE)</f>
        <v>#VALUE!</v>
      </c>
      <c r="AE358" s="1">
        <f>VLOOKUP(A358,'SegEnds_NonXtal_Prot#'!A:AL,16,FALSE)-VLOOKUP(A358,'SegEnds_NonXtal_Prot#'!A:AL,10,FALSE)</f>
        <v>44</v>
      </c>
      <c r="AF358" s="1" t="e">
        <f>VLOOKUP(A358,'SegEnds_NonXtal_Prot#'!A:AL,22,FALSE)-VLOOKUP(A358,'SegEnds_NonXtal_Prot#'!A:AL,19,FALSE)</f>
        <v>#VALUE!</v>
      </c>
      <c r="AG358" s="1">
        <f>VLOOKUP(A358,'SegEnds_NonXtal_Prot#'!A:AL,28,FALSE)-VLOOKUP(A358,'SegEnds_NonXtal_Prot#'!A:AL,25,FALSE)</f>
        <v>17</v>
      </c>
      <c r="AH358" s="1">
        <f>VLOOKUP(A358,'SegEnds_NonXtal_Prot#'!A:AL,28,FALSE)-VLOOKUP(A358,'SegEnds_NonXtal_Prot#'!A:AL,22,FALSE)</f>
        <v>56</v>
      </c>
      <c r="AI358" s="1">
        <f>VLOOKUP(A358,'SegEnds_NonXtal_Prot#'!A:AL,31,FALSE)-VLOOKUP(A358,'SegEnds_NonXtal_Prot#'!A:AL,28,FALSE)</f>
        <v>37</v>
      </c>
      <c r="AJ358" s="1">
        <f>VLOOKUP(A358,'SegEnds_NonXtal_Prot#'!A:AL,34,FALSE)-VLOOKUP(A358,'SegEnds_NonXtal_Prot#'!A:AL,31,FALSE)</f>
        <v>34</v>
      </c>
      <c r="AK358" s="1">
        <f>VLOOKUP(A358,'SegEnds_NonXtal_Prot#'!A:AL,37,FALSE)-VLOOKUP(A358,'SegEnds_NonXtal_Prot#'!A:AL,34,FALSE)</f>
        <v>19</v>
      </c>
      <c r="AL358" s="1" t="str">
        <f>IF(ISERROR(MATCH(A358,'SegEnds_Xtal_Prot#'!B:B, 0)), "NoXtal", "Xtal")</f>
        <v>NoXtal</v>
      </c>
    </row>
    <row r="359" spans="1:38" x14ac:dyDescent="0.2">
      <c r="A359" s="1" t="s">
        <v>41</v>
      </c>
      <c r="B359" s="1" t="str">
        <f>VLOOKUP(A359,Xtal_Templ!A:B,2,FALSE)</f>
        <v>grm5_human</v>
      </c>
      <c r="C359" s="5">
        <f>VLOOKUP($B359&amp;"__wt",'SegEnds_Xtal_BW#'!$A:$Z,3,FALSE)</f>
        <v>34</v>
      </c>
      <c r="D359" s="1">
        <f>VLOOKUP($B359&amp;"__wt",'SegEnds_Xtal_BW#'!$A:$Z,4,FALSE)</f>
        <v>60</v>
      </c>
      <c r="E359" s="1">
        <f>VLOOKUP($B359&amp;"__wt",'SegEnds_Xtal_BW#'!$A:$Z,5,FALSE)</f>
        <v>47</v>
      </c>
      <c r="F359" s="1">
        <f>VLOOKUP($B359&amp;"__wt",'SegEnds_Xtal_BW#'!$A:$Z,6,FALSE)</f>
        <v>53</v>
      </c>
      <c r="G359" s="1">
        <v>39</v>
      </c>
      <c r="H359" s="12">
        <f>VLOOKUP($B359&amp;"__wt",'SegEnds_Xtal_BW#'!$A:$Z,8,FALSE)</f>
        <v>61</v>
      </c>
      <c r="I359" s="1" t="str">
        <f>VLOOKUP($B359&amp;"__wt",'SegEnds_Xtal_BW#'!$A:$Z,9,FALSE)</f>
        <v>-</v>
      </c>
      <c r="J359" s="1" t="str">
        <f>VLOOKUP($B359&amp;"__wt",'SegEnds_Xtal_BW#'!$A:$Z,10,FALSE)</f>
        <v>-</v>
      </c>
      <c r="K359" s="12">
        <f>VLOOKUP($B359&amp;"__wt",'SegEnds_Xtal_BW#'!$A:$Z,11,FALSE)</f>
        <v>22</v>
      </c>
      <c r="L359" s="1">
        <f>VLOOKUP($B359&amp;"__wt",'SegEnds_Xtal_BW#'!$A:$Z,12,FALSE)</f>
        <v>54</v>
      </c>
      <c r="M359" s="1" t="str">
        <f>VLOOKUP($B359&amp;"__wt",'SegEnds_Xtal_BW#'!$A:$Z,13,FALSE)</f>
        <v>-</v>
      </c>
      <c r="N359" s="12" t="str">
        <f>VLOOKUP($B359&amp;"__wt",'SegEnds_Xtal_BW#'!$A:$Z,14,FALSE)</f>
        <v>-</v>
      </c>
      <c r="O359" s="87">
        <f>VLOOKUP($B359&amp;"__wt",'SegEnds_Xtal_BW#'!$A:$Z,15,FALSE)</f>
        <v>38</v>
      </c>
      <c r="P359" s="1">
        <f>VLOOKUP($B359&amp;"__wt",'SegEnds_Xtal_BW#'!$A:$Z,16,FALSE)</f>
        <v>64</v>
      </c>
      <c r="Q359" s="1">
        <f>VLOOKUP($B359&amp;"__wt",'SegEnds_Xtal_BW#'!$A:$Z,17,FALSE)</f>
        <v>50</v>
      </c>
      <c r="R359" s="1">
        <f>VLOOKUP($B359&amp;"__wt",'SegEnds_Xtal_BW#'!$A:$Z,18,FALSE)</f>
        <v>52</v>
      </c>
      <c r="S359" s="1">
        <f>VLOOKUP($B359&amp;"__wt",'SegEnds_Xtal_BW#'!$A:$Z,19,FALSE)</f>
        <v>36</v>
      </c>
      <c r="T359" s="1">
        <f>VLOOKUP($B359&amp;"__wt",'SegEnds_Xtal_BW#'!$A:$Z,20,FALSE)</f>
        <v>61</v>
      </c>
      <c r="U359" s="1">
        <f>VLOOKUP($B359&amp;"__wt",'SegEnds_Xtal_BW#'!$A:$Z,21,FALSE)</f>
        <v>33</v>
      </c>
      <c r="V359" s="1">
        <f>VLOOKUP($B359&amp;"__wt",'SegEnds_Xtal_BW#'!$A:$Z,22,FALSE)</f>
        <v>57</v>
      </c>
      <c r="W359" s="1">
        <f>VLOOKUP($B359&amp;"__wt",'SegEnds_Xtal_BW#'!$A:$Z,23,FALSE)</f>
        <v>33</v>
      </c>
      <c r="X359" s="1">
        <f>VLOOKUP($B359&amp;"__wt",'SegEnds_Xtal_BW#'!$A:$Z,24,FALSE)</f>
        <v>64</v>
      </c>
      <c r="Y359" s="1">
        <f>VLOOKUP($B359&amp;"__wt",'SegEnds_Xtal_BW#'!$A:$Z,25,FALSE)</f>
        <v>46</v>
      </c>
      <c r="Z359" s="1">
        <f>VLOOKUP($B359&amp;"__wt",'SegEnds_Xtal_BW#'!$A:$Z,26,FALSE)</f>
        <v>57</v>
      </c>
      <c r="AA359" s="27" t="str">
        <f>VLOOKUP(A359,Classification!A:B,2,FALSE)</f>
        <v>C</v>
      </c>
      <c r="AB359" s="1">
        <f>VLOOKUP(A359,'SegEnds_NonXtal_Prot#'!A:AL,10,FALSE)-VLOOKUP(A359,'SegEnds_NonXtal_Prot#'!A:AL,4,FALSE)</f>
        <v>31</v>
      </c>
      <c r="AC359" s="1">
        <f>VLOOKUP(A359,'SegEnds_NonXtal_Prot#'!A:AL,10,FALSE)-VLOOKUP(A359,'SegEnds_NonXtal_Prot#'!A:AL,7,FALSE)</f>
        <v>15</v>
      </c>
      <c r="AD359" s="1" t="e">
        <f>VLOOKUP(A359,'SegEnds_NonXtal_Prot#'!A:AL,13,FALSE)-VLOOKUP(A359,'SegEnds_NonXtal_Prot#'!A:AL,10,FALSE)</f>
        <v>#VALUE!</v>
      </c>
      <c r="AE359" s="1">
        <f>VLOOKUP(A359,'SegEnds_NonXtal_Prot#'!A:AL,16,FALSE)-VLOOKUP(A359,'SegEnds_NonXtal_Prot#'!A:AL,10,FALSE)</f>
        <v>44</v>
      </c>
      <c r="AF359" s="1" t="e">
        <f>VLOOKUP(A359,'SegEnds_NonXtal_Prot#'!A:AL,22,FALSE)-VLOOKUP(A359,'SegEnds_NonXtal_Prot#'!A:AL,19,FALSE)</f>
        <v>#VALUE!</v>
      </c>
      <c r="AG359" s="1">
        <f>VLOOKUP(A359,'SegEnds_NonXtal_Prot#'!A:AL,28,FALSE)-VLOOKUP(A359,'SegEnds_NonXtal_Prot#'!A:AL,25,FALSE)</f>
        <v>17</v>
      </c>
      <c r="AH359" s="1">
        <f>VLOOKUP(A359,'SegEnds_NonXtal_Prot#'!A:AL,28,FALSE)-VLOOKUP(A359,'SegEnds_NonXtal_Prot#'!A:AL,22,FALSE)</f>
        <v>49</v>
      </c>
      <c r="AI359" s="1">
        <f>VLOOKUP(A359,'SegEnds_NonXtal_Prot#'!A:AL,31,FALSE)-VLOOKUP(A359,'SegEnds_NonXtal_Prot#'!A:AL,28,FALSE)</f>
        <v>37</v>
      </c>
      <c r="AJ359" s="1">
        <f>VLOOKUP(A359,'SegEnds_NonXtal_Prot#'!A:AL,34,FALSE)-VLOOKUP(A359,'SegEnds_NonXtal_Prot#'!A:AL,31,FALSE)</f>
        <v>27</v>
      </c>
      <c r="AK359" s="1">
        <f>VLOOKUP(A359,'SegEnds_NonXtal_Prot#'!A:AL,37,FALSE)-VLOOKUP(A359,'SegEnds_NonXtal_Prot#'!A:AL,34,FALSE)</f>
        <v>19</v>
      </c>
      <c r="AL359" s="1" t="str">
        <f>IF(ISERROR(MATCH(A359,'SegEnds_Xtal_Prot#'!B:B, 0)), "NoXtal", "Xtal")</f>
        <v>Xtal</v>
      </c>
    </row>
    <row r="360" spans="1:38" x14ac:dyDescent="0.2">
      <c r="A360" s="1" t="s">
        <v>118</v>
      </c>
      <c r="B360" s="1" t="str">
        <f>VLOOKUP(A360,Xtal_Templ!A:B,2,FALSE)</f>
        <v>grm5_human</v>
      </c>
      <c r="C360" s="5">
        <f>VLOOKUP($B360&amp;"__wt",'SegEnds_Xtal_BW#'!$A:$Z,3,FALSE)</f>
        <v>34</v>
      </c>
      <c r="D360" s="1">
        <f>VLOOKUP($B360&amp;"__wt",'SegEnds_Xtal_BW#'!$A:$Z,4,FALSE)</f>
        <v>60</v>
      </c>
      <c r="E360" s="1">
        <f>VLOOKUP($B360&amp;"__wt",'SegEnds_Xtal_BW#'!$A:$Z,5,FALSE)</f>
        <v>47</v>
      </c>
      <c r="F360" s="1">
        <f>VLOOKUP($B360&amp;"__wt",'SegEnds_Xtal_BW#'!$A:$Z,6,FALSE)</f>
        <v>53</v>
      </c>
      <c r="G360" s="1">
        <v>39</v>
      </c>
      <c r="H360" s="12">
        <f>VLOOKUP($B360&amp;"__wt",'SegEnds_Xtal_BW#'!$A:$Z,8,FALSE)</f>
        <v>61</v>
      </c>
      <c r="I360" s="1" t="str">
        <f>VLOOKUP($B360&amp;"__wt",'SegEnds_Xtal_BW#'!$A:$Z,9,FALSE)</f>
        <v>-</v>
      </c>
      <c r="J360" s="1" t="str">
        <f>VLOOKUP($B360&amp;"__wt",'SegEnds_Xtal_BW#'!$A:$Z,10,FALSE)</f>
        <v>-</v>
      </c>
      <c r="K360" s="12">
        <f>VLOOKUP($B360&amp;"__wt",'SegEnds_Xtal_BW#'!$A:$Z,11,FALSE)</f>
        <v>22</v>
      </c>
      <c r="L360" s="1">
        <f>VLOOKUP($B360&amp;"__wt",'SegEnds_Xtal_BW#'!$A:$Z,12,FALSE)</f>
        <v>54</v>
      </c>
      <c r="M360" s="1" t="str">
        <f>VLOOKUP($B360&amp;"__wt",'SegEnds_Xtal_BW#'!$A:$Z,13,FALSE)</f>
        <v>-</v>
      </c>
      <c r="N360" s="12" t="str">
        <f>VLOOKUP($B360&amp;"__wt",'SegEnds_Xtal_BW#'!$A:$Z,14,FALSE)</f>
        <v>-</v>
      </c>
      <c r="O360" s="87">
        <f>VLOOKUP($B360&amp;"__wt",'SegEnds_Xtal_BW#'!$A:$Z,15,FALSE)</f>
        <v>38</v>
      </c>
      <c r="P360" s="1">
        <f>VLOOKUP($B360&amp;"__wt",'SegEnds_Xtal_BW#'!$A:$Z,16,FALSE)</f>
        <v>64</v>
      </c>
      <c r="Q360" s="1">
        <f>VLOOKUP($B360&amp;"__wt",'SegEnds_Xtal_BW#'!$A:$Z,17,FALSE)</f>
        <v>50</v>
      </c>
      <c r="R360" s="1">
        <f>VLOOKUP($B360&amp;"__wt",'SegEnds_Xtal_BW#'!$A:$Z,18,FALSE)</f>
        <v>52</v>
      </c>
      <c r="S360" s="1">
        <f>VLOOKUP($B360&amp;"__wt",'SegEnds_Xtal_BW#'!$A:$Z,19,FALSE)</f>
        <v>36</v>
      </c>
      <c r="T360" s="1">
        <f>VLOOKUP($B360&amp;"__wt",'SegEnds_Xtal_BW#'!$A:$Z,20,FALSE)</f>
        <v>61</v>
      </c>
      <c r="U360" s="1">
        <f>VLOOKUP($B360&amp;"__wt",'SegEnds_Xtal_BW#'!$A:$Z,21,FALSE)</f>
        <v>33</v>
      </c>
      <c r="V360" s="1">
        <f>VLOOKUP($B360&amp;"__wt",'SegEnds_Xtal_BW#'!$A:$Z,22,FALSE)</f>
        <v>57</v>
      </c>
      <c r="W360" s="1">
        <f>VLOOKUP($B360&amp;"__wt",'SegEnds_Xtal_BW#'!$A:$Z,23,FALSE)</f>
        <v>33</v>
      </c>
      <c r="X360" s="1">
        <f>VLOOKUP($B360&amp;"__wt",'SegEnds_Xtal_BW#'!$A:$Z,24,FALSE)</f>
        <v>64</v>
      </c>
      <c r="Y360" s="1">
        <f>VLOOKUP($B360&amp;"__wt",'SegEnds_Xtal_BW#'!$A:$Z,25,FALSE)</f>
        <v>46</v>
      </c>
      <c r="Z360" s="1">
        <f>VLOOKUP($B360&amp;"__wt",'SegEnds_Xtal_BW#'!$A:$Z,26,FALSE)</f>
        <v>57</v>
      </c>
      <c r="AA360" s="27" t="str">
        <f>VLOOKUP(A360,Classification!A:B,2,FALSE)</f>
        <v>C</v>
      </c>
      <c r="AB360" s="1">
        <f>VLOOKUP(A360,'SegEnds_NonXtal_Prot#'!A:AL,10,FALSE)-VLOOKUP(A360,'SegEnds_NonXtal_Prot#'!A:AL,4,FALSE)</f>
        <v>31</v>
      </c>
      <c r="AC360" s="1">
        <f>VLOOKUP(A360,'SegEnds_NonXtal_Prot#'!A:AL,10,FALSE)-VLOOKUP(A360,'SegEnds_NonXtal_Prot#'!A:AL,7,FALSE)</f>
        <v>15</v>
      </c>
      <c r="AD360" s="1" t="e">
        <f>VLOOKUP(A360,'SegEnds_NonXtal_Prot#'!A:AL,13,FALSE)-VLOOKUP(A360,'SegEnds_NonXtal_Prot#'!A:AL,10,FALSE)</f>
        <v>#VALUE!</v>
      </c>
      <c r="AE360" s="1">
        <f>VLOOKUP(A360,'SegEnds_NonXtal_Prot#'!A:AL,16,FALSE)-VLOOKUP(A360,'SegEnds_NonXtal_Prot#'!A:AL,10,FALSE)</f>
        <v>44</v>
      </c>
      <c r="AF360" s="1" t="e">
        <f>VLOOKUP(A360,'SegEnds_NonXtal_Prot#'!A:AL,22,FALSE)-VLOOKUP(A360,'SegEnds_NonXtal_Prot#'!A:AL,19,FALSE)</f>
        <v>#VALUE!</v>
      </c>
      <c r="AG360" s="1">
        <f>VLOOKUP(A360,'SegEnds_NonXtal_Prot#'!A:AL,28,FALSE)-VLOOKUP(A360,'SegEnds_NonXtal_Prot#'!A:AL,25,FALSE)</f>
        <v>17</v>
      </c>
      <c r="AH360" s="1">
        <f>VLOOKUP(A360,'SegEnds_NonXtal_Prot#'!A:AL,28,FALSE)-VLOOKUP(A360,'SegEnds_NonXtal_Prot#'!A:AL,22,FALSE)</f>
        <v>56</v>
      </c>
      <c r="AI360" s="1">
        <f>VLOOKUP(A360,'SegEnds_NonXtal_Prot#'!A:AL,31,FALSE)-VLOOKUP(A360,'SegEnds_NonXtal_Prot#'!A:AL,28,FALSE)</f>
        <v>37</v>
      </c>
      <c r="AJ360" s="1">
        <f>VLOOKUP(A360,'SegEnds_NonXtal_Prot#'!A:AL,34,FALSE)-VLOOKUP(A360,'SegEnds_NonXtal_Prot#'!A:AL,31,FALSE)</f>
        <v>34</v>
      </c>
      <c r="AK360" s="1">
        <f>VLOOKUP(A360,'SegEnds_NonXtal_Prot#'!A:AL,37,FALSE)-VLOOKUP(A360,'SegEnds_NonXtal_Prot#'!A:AL,34,FALSE)</f>
        <v>19</v>
      </c>
      <c r="AL360" s="1" t="str">
        <f>IF(ISERROR(MATCH(A360,'SegEnds_Xtal_Prot#'!B:B, 0)), "NoXtal", "Xtal")</f>
        <v>NoXtal</v>
      </c>
    </row>
    <row r="361" spans="1:38" x14ac:dyDescent="0.2">
      <c r="A361" s="1" t="s">
        <v>119</v>
      </c>
      <c r="B361" s="1" t="str">
        <f>VLOOKUP(A361,Xtal_Templ!A:B,2,FALSE)</f>
        <v>grm5_human</v>
      </c>
      <c r="C361" s="5">
        <f>VLOOKUP($B361&amp;"__wt",'SegEnds_Xtal_BW#'!$A:$Z,3,FALSE)</f>
        <v>34</v>
      </c>
      <c r="D361" s="1">
        <f>VLOOKUP($B361&amp;"__wt",'SegEnds_Xtal_BW#'!$A:$Z,4,FALSE)</f>
        <v>60</v>
      </c>
      <c r="E361" s="1">
        <f>VLOOKUP($B361&amp;"__wt",'SegEnds_Xtal_BW#'!$A:$Z,5,FALSE)</f>
        <v>47</v>
      </c>
      <c r="F361" s="1">
        <f>VLOOKUP($B361&amp;"__wt",'SegEnds_Xtal_BW#'!$A:$Z,6,FALSE)</f>
        <v>53</v>
      </c>
      <c r="G361" s="1">
        <v>39</v>
      </c>
      <c r="H361" s="12">
        <f>VLOOKUP($B361&amp;"__wt",'SegEnds_Xtal_BW#'!$A:$Z,8,FALSE)</f>
        <v>61</v>
      </c>
      <c r="I361" s="1" t="str">
        <f>VLOOKUP($B361&amp;"__wt",'SegEnds_Xtal_BW#'!$A:$Z,9,FALSE)</f>
        <v>-</v>
      </c>
      <c r="J361" s="1" t="str">
        <f>VLOOKUP($B361&amp;"__wt",'SegEnds_Xtal_BW#'!$A:$Z,10,FALSE)</f>
        <v>-</v>
      </c>
      <c r="K361" s="12">
        <f>VLOOKUP($B361&amp;"__wt",'SegEnds_Xtal_BW#'!$A:$Z,11,FALSE)</f>
        <v>22</v>
      </c>
      <c r="L361" s="1">
        <f>VLOOKUP($B361&amp;"__wt",'SegEnds_Xtal_BW#'!$A:$Z,12,FALSE)</f>
        <v>54</v>
      </c>
      <c r="M361" s="1" t="str">
        <f>VLOOKUP($B361&amp;"__wt",'SegEnds_Xtal_BW#'!$A:$Z,13,FALSE)</f>
        <v>-</v>
      </c>
      <c r="N361" s="12" t="str">
        <f>VLOOKUP($B361&amp;"__wt",'SegEnds_Xtal_BW#'!$A:$Z,14,FALSE)</f>
        <v>-</v>
      </c>
      <c r="O361" s="87">
        <f>VLOOKUP($B361&amp;"__wt",'SegEnds_Xtal_BW#'!$A:$Z,15,FALSE)</f>
        <v>38</v>
      </c>
      <c r="P361" s="1">
        <f>VLOOKUP($B361&amp;"__wt",'SegEnds_Xtal_BW#'!$A:$Z,16,FALSE)</f>
        <v>64</v>
      </c>
      <c r="Q361" s="1">
        <f>VLOOKUP($B361&amp;"__wt",'SegEnds_Xtal_BW#'!$A:$Z,17,FALSE)</f>
        <v>50</v>
      </c>
      <c r="R361" s="1">
        <f>VLOOKUP($B361&amp;"__wt",'SegEnds_Xtal_BW#'!$A:$Z,18,FALSE)</f>
        <v>52</v>
      </c>
      <c r="S361" s="1">
        <f>VLOOKUP($B361&amp;"__wt",'SegEnds_Xtal_BW#'!$A:$Z,19,FALSE)</f>
        <v>36</v>
      </c>
      <c r="T361" s="1">
        <f>VLOOKUP($B361&amp;"__wt",'SegEnds_Xtal_BW#'!$A:$Z,20,FALSE)</f>
        <v>61</v>
      </c>
      <c r="U361" s="1">
        <f>VLOOKUP($B361&amp;"__wt",'SegEnds_Xtal_BW#'!$A:$Z,21,FALSE)</f>
        <v>33</v>
      </c>
      <c r="V361" s="1">
        <f>VLOOKUP($B361&amp;"__wt",'SegEnds_Xtal_BW#'!$A:$Z,22,FALSE)</f>
        <v>57</v>
      </c>
      <c r="W361" s="1">
        <f>VLOOKUP($B361&amp;"__wt",'SegEnds_Xtal_BW#'!$A:$Z,23,FALSE)</f>
        <v>33</v>
      </c>
      <c r="X361" s="1">
        <f>VLOOKUP($B361&amp;"__wt",'SegEnds_Xtal_BW#'!$A:$Z,24,FALSE)</f>
        <v>64</v>
      </c>
      <c r="Y361" s="1">
        <f>VLOOKUP($B361&amp;"__wt",'SegEnds_Xtal_BW#'!$A:$Z,25,FALSE)</f>
        <v>46</v>
      </c>
      <c r="Z361" s="1">
        <f>VLOOKUP($B361&amp;"__wt",'SegEnds_Xtal_BW#'!$A:$Z,26,FALSE)</f>
        <v>57</v>
      </c>
      <c r="AA361" s="27" t="str">
        <f>VLOOKUP(A361,Classification!A:B,2,FALSE)</f>
        <v>C</v>
      </c>
      <c r="AB361" s="1">
        <f>VLOOKUP(A361,'SegEnds_NonXtal_Prot#'!A:AL,10,FALSE)-VLOOKUP(A361,'SegEnds_NonXtal_Prot#'!A:AL,4,FALSE)</f>
        <v>31</v>
      </c>
      <c r="AC361" s="1">
        <f>VLOOKUP(A361,'SegEnds_NonXtal_Prot#'!A:AL,10,FALSE)-VLOOKUP(A361,'SegEnds_NonXtal_Prot#'!A:AL,7,FALSE)</f>
        <v>15</v>
      </c>
      <c r="AD361" s="1" t="e">
        <f>VLOOKUP(A361,'SegEnds_NonXtal_Prot#'!A:AL,13,FALSE)-VLOOKUP(A361,'SegEnds_NonXtal_Prot#'!A:AL,10,FALSE)</f>
        <v>#VALUE!</v>
      </c>
      <c r="AE361" s="1">
        <f>VLOOKUP(A361,'SegEnds_NonXtal_Prot#'!A:AL,16,FALSE)-VLOOKUP(A361,'SegEnds_NonXtal_Prot#'!A:AL,10,FALSE)</f>
        <v>44</v>
      </c>
      <c r="AF361" s="1" t="e">
        <f>VLOOKUP(A361,'SegEnds_NonXtal_Prot#'!A:AL,22,FALSE)-VLOOKUP(A361,'SegEnds_NonXtal_Prot#'!A:AL,19,FALSE)</f>
        <v>#VALUE!</v>
      </c>
      <c r="AG361" s="1">
        <f>VLOOKUP(A361,'SegEnds_NonXtal_Prot#'!A:AL,28,FALSE)-VLOOKUP(A361,'SegEnds_NonXtal_Prot#'!A:AL,25,FALSE)</f>
        <v>17</v>
      </c>
      <c r="AH361" s="1">
        <f>VLOOKUP(A361,'SegEnds_NonXtal_Prot#'!A:AL,28,FALSE)-VLOOKUP(A361,'SegEnds_NonXtal_Prot#'!A:AL,22,FALSE)</f>
        <v>56</v>
      </c>
      <c r="AI361" s="1">
        <f>VLOOKUP(A361,'SegEnds_NonXtal_Prot#'!A:AL,31,FALSE)-VLOOKUP(A361,'SegEnds_NonXtal_Prot#'!A:AL,28,FALSE)</f>
        <v>37</v>
      </c>
      <c r="AJ361" s="1">
        <f>VLOOKUP(A361,'SegEnds_NonXtal_Prot#'!A:AL,34,FALSE)-VLOOKUP(A361,'SegEnds_NonXtal_Prot#'!A:AL,31,FALSE)</f>
        <v>34</v>
      </c>
      <c r="AK361" s="1">
        <f>VLOOKUP(A361,'SegEnds_NonXtal_Prot#'!A:AL,37,FALSE)-VLOOKUP(A361,'SegEnds_NonXtal_Prot#'!A:AL,34,FALSE)</f>
        <v>19</v>
      </c>
      <c r="AL361" s="1" t="str">
        <f>IF(ISERROR(MATCH(A361,'SegEnds_Xtal_Prot#'!B:B, 0)), "NoXtal", "Xtal")</f>
        <v>NoXtal</v>
      </c>
    </row>
    <row r="362" spans="1:38" x14ac:dyDescent="0.2">
      <c r="A362" s="1" t="s">
        <v>120</v>
      </c>
      <c r="B362" s="1" t="str">
        <f>VLOOKUP(A362,Xtal_Templ!A:B,2,FALSE)</f>
        <v>grm5_human</v>
      </c>
      <c r="C362" s="5">
        <f>VLOOKUP($B362&amp;"__wt",'SegEnds_Xtal_BW#'!$A:$Z,3,FALSE)</f>
        <v>34</v>
      </c>
      <c r="D362" s="1">
        <f>VLOOKUP($B362&amp;"__wt",'SegEnds_Xtal_BW#'!$A:$Z,4,FALSE)</f>
        <v>60</v>
      </c>
      <c r="E362" s="1">
        <f>VLOOKUP($B362&amp;"__wt",'SegEnds_Xtal_BW#'!$A:$Z,5,FALSE)</f>
        <v>47</v>
      </c>
      <c r="F362" s="1">
        <f>VLOOKUP($B362&amp;"__wt",'SegEnds_Xtal_BW#'!$A:$Z,6,FALSE)</f>
        <v>53</v>
      </c>
      <c r="G362" s="1">
        <v>39</v>
      </c>
      <c r="H362" s="12">
        <f>VLOOKUP($B362&amp;"__wt",'SegEnds_Xtal_BW#'!$A:$Z,8,FALSE)</f>
        <v>61</v>
      </c>
      <c r="I362" s="1" t="str">
        <f>VLOOKUP($B362&amp;"__wt",'SegEnds_Xtal_BW#'!$A:$Z,9,FALSE)</f>
        <v>-</v>
      </c>
      <c r="J362" s="1" t="str">
        <f>VLOOKUP($B362&amp;"__wt",'SegEnds_Xtal_BW#'!$A:$Z,10,FALSE)</f>
        <v>-</v>
      </c>
      <c r="K362" s="12">
        <f>VLOOKUP($B362&amp;"__wt",'SegEnds_Xtal_BW#'!$A:$Z,11,FALSE)</f>
        <v>22</v>
      </c>
      <c r="L362" s="1">
        <f>VLOOKUP($B362&amp;"__wt",'SegEnds_Xtal_BW#'!$A:$Z,12,FALSE)</f>
        <v>54</v>
      </c>
      <c r="M362" s="1" t="str">
        <f>VLOOKUP($B362&amp;"__wt",'SegEnds_Xtal_BW#'!$A:$Z,13,FALSE)</f>
        <v>-</v>
      </c>
      <c r="N362" s="12" t="str">
        <f>VLOOKUP($B362&amp;"__wt",'SegEnds_Xtal_BW#'!$A:$Z,14,FALSE)</f>
        <v>-</v>
      </c>
      <c r="O362" s="87">
        <f>VLOOKUP($B362&amp;"__wt",'SegEnds_Xtal_BW#'!$A:$Z,15,FALSE)</f>
        <v>38</v>
      </c>
      <c r="P362" s="1">
        <f>VLOOKUP($B362&amp;"__wt",'SegEnds_Xtal_BW#'!$A:$Z,16,FALSE)</f>
        <v>64</v>
      </c>
      <c r="Q362" s="1">
        <f>VLOOKUP($B362&amp;"__wt",'SegEnds_Xtal_BW#'!$A:$Z,17,FALSE)</f>
        <v>50</v>
      </c>
      <c r="R362" s="1">
        <f>VLOOKUP($B362&amp;"__wt",'SegEnds_Xtal_BW#'!$A:$Z,18,FALSE)</f>
        <v>52</v>
      </c>
      <c r="S362" s="1">
        <f>VLOOKUP($B362&amp;"__wt",'SegEnds_Xtal_BW#'!$A:$Z,19,FALSE)</f>
        <v>36</v>
      </c>
      <c r="T362" s="1">
        <f>VLOOKUP($B362&amp;"__wt",'SegEnds_Xtal_BW#'!$A:$Z,20,FALSE)</f>
        <v>61</v>
      </c>
      <c r="U362" s="1">
        <f>VLOOKUP($B362&amp;"__wt",'SegEnds_Xtal_BW#'!$A:$Z,21,FALSE)</f>
        <v>33</v>
      </c>
      <c r="V362" s="1">
        <f>VLOOKUP($B362&amp;"__wt",'SegEnds_Xtal_BW#'!$A:$Z,22,FALSE)</f>
        <v>57</v>
      </c>
      <c r="W362" s="1">
        <f>VLOOKUP($B362&amp;"__wt",'SegEnds_Xtal_BW#'!$A:$Z,23,FALSE)</f>
        <v>33</v>
      </c>
      <c r="X362" s="1">
        <f>VLOOKUP($B362&amp;"__wt",'SegEnds_Xtal_BW#'!$A:$Z,24,FALSE)</f>
        <v>64</v>
      </c>
      <c r="Y362" s="1">
        <f>VLOOKUP($B362&amp;"__wt",'SegEnds_Xtal_BW#'!$A:$Z,25,FALSE)</f>
        <v>46</v>
      </c>
      <c r="Z362" s="1">
        <f>VLOOKUP($B362&amp;"__wt",'SegEnds_Xtal_BW#'!$A:$Z,26,FALSE)</f>
        <v>57</v>
      </c>
      <c r="AA362" s="27" t="str">
        <f>VLOOKUP(A362,Classification!A:B,2,FALSE)</f>
        <v>C</v>
      </c>
      <c r="AB362" s="1">
        <f>VLOOKUP(A362,'SegEnds_NonXtal_Prot#'!A:AL,10,FALSE)-VLOOKUP(A362,'SegEnds_NonXtal_Prot#'!A:AL,4,FALSE)</f>
        <v>31</v>
      </c>
      <c r="AC362" s="1">
        <f>VLOOKUP(A362,'SegEnds_NonXtal_Prot#'!A:AL,10,FALSE)-VLOOKUP(A362,'SegEnds_NonXtal_Prot#'!A:AL,7,FALSE)</f>
        <v>15</v>
      </c>
      <c r="AD362" s="1" t="e">
        <f>VLOOKUP(A362,'SegEnds_NonXtal_Prot#'!A:AL,13,FALSE)-VLOOKUP(A362,'SegEnds_NonXtal_Prot#'!A:AL,10,FALSE)</f>
        <v>#VALUE!</v>
      </c>
      <c r="AE362" s="1">
        <f>VLOOKUP(A362,'SegEnds_NonXtal_Prot#'!A:AL,16,FALSE)-VLOOKUP(A362,'SegEnds_NonXtal_Prot#'!A:AL,10,FALSE)</f>
        <v>44</v>
      </c>
      <c r="AF362" s="1" t="e">
        <f>VLOOKUP(A362,'SegEnds_NonXtal_Prot#'!A:AL,22,FALSE)-VLOOKUP(A362,'SegEnds_NonXtal_Prot#'!A:AL,19,FALSE)</f>
        <v>#VALUE!</v>
      </c>
      <c r="AG362" s="1">
        <f>VLOOKUP(A362,'SegEnds_NonXtal_Prot#'!A:AL,28,FALSE)-VLOOKUP(A362,'SegEnds_NonXtal_Prot#'!A:AL,25,FALSE)</f>
        <v>17</v>
      </c>
      <c r="AH362" s="1">
        <f>VLOOKUP(A362,'SegEnds_NonXtal_Prot#'!A:AL,28,FALSE)-VLOOKUP(A362,'SegEnds_NonXtal_Prot#'!A:AL,22,FALSE)</f>
        <v>56</v>
      </c>
      <c r="AI362" s="1">
        <f>VLOOKUP(A362,'SegEnds_NonXtal_Prot#'!A:AL,31,FALSE)-VLOOKUP(A362,'SegEnds_NonXtal_Prot#'!A:AL,28,FALSE)</f>
        <v>37</v>
      </c>
      <c r="AJ362" s="1">
        <f>VLOOKUP(A362,'SegEnds_NonXtal_Prot#'!A:AL,34,FALSE)-VLOOKUP(A362,'SegEnds_NonXtal_Prot#'!A:AL,31,FALSE)</f>
        <v>34</v>
      </c>
      <c r="AK362" s="1">
        <f>VLOOKUP(A362,'SegEnds_NonXtal_Prot#'!A:AL,37,FALSE)-VLOOKUP(A362,'SegEnds_NonXtal_Prot#'!A:AL,34,FALSE)</f>
        <v>19</v>
      </c>
      <c r="AL362" s="1" t="str">
        <f>IF(ISERROR(MATCH(A362,'SegEnds_Xtal_Prot#'!B:B, 0)), "NoXtal", "Xtal")</f>
        <v>NoXtal</v>
      </c>
    </row>
    <row r="363" spans="1:38" x14ac:dyDescent="0.2">
      <c r="A363" s="1" t="s">
        <v>122</v>
      </c>
      <c r="B363" s="1" t="str">
        <f>VLOOKUP(A363,Xtal_Templ!A:B,2,FALSE)</f>
        <v>grm1_human</v>
      </c>
      <c r="C363" s="5">
        <f>VLOOKUP($B363&amp;"__wt",'SegEnds_Xtal_BW#'!$A:$Z,3,FALSE)</f>
        <v>34</v>
      </c>
      <c r="D363" s="1">
        <f>VLOOKUP($B363&amp;"__wt",'SegEnds_Xtal_BW#'!$A:$Z,4,FALSE)</f>
        <v>60</v>
      </c>
      <c r="E363" s="1">
        <f>VLOOKUP($B363&amp;"__wt",'SegEnds_Xtal_BW#'!$A:$Z,5,FALSE)</f>
        <v>47</v>
      </c>
      <c r="F363" s="1">
        <f>VLOOKUP($B363&amp;"__wt",'SegEnds_Xtal_BW#'!$A:$Z,6,FALSE)</f>
        <v>53</v>
      </c>
      <c r="G363" s="1">
        <v>39</v>
      </c>
      <c r="H363" s="12">
        <f>VLOOKUP($B363&amp;"__wt",'SegEnds_Xtal_BW#'!$A:$Z,8,FALSE)</f>
        <v>61</v>
      </c>
      <c r="I363" s="1" t="str">
        <f>VLOOKUP($B363&amp;"__wt",'SegEnds_Xtal_BW#'!$A:$Z,9,FALSE)</f>
        <v>-</v>
      </c>
      <c r="J363" s="1" t="str">
        <f>VLOOKUP($B363&amp;"__wt",'SegEnds_Xtal_BW#'!$A:$Z,10,FALSE)</f>
        <v>-</v>
      </c>
      <c r="K363" s="12">
        <f>VLOOKUP($B363&amp;"__wt",'SegEnds_Xtal_BW#'!$A:$Z,11,FALSE)</f>
        <v>22</v>
      </c>
      <c r="L363" s="1">
        <f>VLOOKUP($B363&amp;"__wt",'SegEnds_Xtal_BW#'!$A:$Z,12,FALSE)</f>
        <v>54</v>
      </c>
      <c r="M363" s="1" t="str">
        <f>VLOOKUP($B363&amp;"__wt",'SegEnds_Xtal_BW#'!$A:$Z,13,FALSE)</f>
        <v>-</v>
      </c>
      <c r="N363" s="12" t="str">
        <f>VLOOKUP($B363&amp;"__wt",'SegEnds_Xtal_BW#'!$A:$Z,14,FALSE)</f>
        <v>-</v>
      </c>
      <c r="O363" s="87">
        <f>VLOOKUP($B363&amp;"__wt",'SegEnds_Xtal_BW#'!$A:$Z,15,FALSE)</f>
        <v>38</v>
      </c>
      <c r="P363" s="1">
        <f>VLOOKUP($B363&amp;"__wt",'SegEnds_Xtal_BW#'!$A:$Z,16,FALSE)</f>
        <v>64</v>
      </c>
      <c r="Q363" s="1">
        <f>VLOOKUP($B363&amp;"__wt",'SegEnds_Xtal_BW#'!$A:$Z,17,FALSE)</f>
        <v>50</v>
      </c>
      <c r="R363" s="1">
        <f>VLOOKUP($B363&amp;"__wt",'SegEnds_Xtal_BW#'!$A:$Z,18,FALSE)</f>
        <v>52</v>
      </c>
      <c r="S363" s="1">
        <f>VLOOKUP($B363&amp;"__wt",'SegEnds_Xtal_BW#'!$A:$Z,19,FALSE)</f>
        <v>36</v>
      </c>
      <c r="T363" s="1">
        <f>VLOOKUP($B363&amp;"__wt",'SegEnds_Xtal_BW#'!$A:$Z,20,FALSE)</f>
        <v>61</v>
      </c>
      <c r="U363" s="1">
        <f>VLOOKUP($B363&amp;"__wt",'SegEnds_Xtal_BW#'!$A:$Z,21,FALSE)</f>
        <v>33</v>
      </c>
      <c r="V363" s="1">
        <f>VLOOKUP($B363&amp;"__wt",'SegEnds_Xtal_BW#'!$A:$Z,22,FALSE)</f>
        <v>57</v>
      </c>
      <c r="W363" s="1">
        <f>VLOOKUP($B363&amp;"__wt",'SegEnds_Xtal_BW#'!$A:$Z,23,FALSE)</f>
        <v>33</v>
      </c>
      <c r="X363" s="1">
        <f>VLOOKUP($B363&amp;"__wt",'SegEnds_Xtal_BW#'!$A:$Z,24,FALSE)</f>
        <v>64</v>
      </c>
      <c r="Y363" s="1">
        <f>VLOOKUP($B363&amp;"__wt",'SegEnds_Xtal_BW#'!$A:$Z,25,FALSE)</f>
        <v>46</v>
      </c>
      <c r="Z363" s="1">
        <f>VLOOKUP($B363&amp;"__wt",'SegEnds_Xtal_BW#'!$A:$Z,26,FALSE)</f>
        <v>57</v>
      </c>
      <c r="AA363" s="27" t="str">
        <f>VLOOKUP(A363,Classification!A:B,2,FALSE)</f>
        <v>C</v>
      </c>
      <c r="AB363" s="1">
        <f>VLOOKUP(A363,'SegEnds_NonXtal_Prot#'!A:AL,10,FALSE)-VLOOKUP(A363,'SegEnds_NonXtal_Prot#'!A:AL,4,FALSE)</f>
        <v>31</v>
      </c>
      <c r="AC363" s="1">
        <f>VLOOKUP(A363,'SegEnds_NonXtal_Prot#'!A:AL,10,FALSE)-VLOOKUP(A363,'SegEnds_NonXtal_Prot#'!A:AL,7,FALSE)</f>
        <v>15</v>
      </c>
      <c r="AD363" s="1" t="e">
        <f>VLOOKUP(A363,'SegEnds_NonXtal_Prot#'!A:AL,13,FALSE)-VLOOKUP(A363,'SegEnds_NonXtal_Prot#'!A:AL,10,FALSE)</f>
        <v>#VALUE!</v>
      </c>
      <c r="AE363" s="1">
        <f>VLOOKUP(A363,'SegEnds_NonXtal_Prot#'!A:AL,16,FALSE)-VLOOKUP(A363,'SegEnds_NonXtal_Prot#'!A:AL,10,FALSE)</f>
        <v>44</v>
      </c>
      <c r="AF363" s="1" t="e">
        <f>VLOOKUP(A363,'SegEnds_NonXtal_Prot#'!A:AL,22,FALSE)-VLOOKUP(A363,'SegEnds_NonXtal_Prot#'!A:AL,19,FALSE)</f>
        <v>#VALUE!</v>
      </c>
      <c r="AG363" s="1">
        <f>VLOOKUP(A363,'SegEnds_NonXtal_Prot#'!A:AL,28,FALSE)-VLOOKUP(A363,'SegEnds_NonXtal_Prot#'!A:AL,25,FALSE)</f>
        <v>18</v>
      </c>
      <c r="AH363" s="1">
        <f>VLOOKUP(A363,'SegEnds_NonXtal_Prot#'!A:AL,28,FALSE)-VLOOKUP(A363,'SegEnds_NonXtal_Prot#'!A:AL,22,FALSE)</f>
        <v>51</v>
      </c>
      <c r="AI363" s="1">
        <f>VLOOKUP(A363,'SegEnds_NonXtal_Prot#'!A:AL,31,FALSE)-VLOOKUP(A363,'SegEnds_NonXtal_Prot#'!A:AL,28,FALSE)</f>
        <v>37</v>
      </c>
      <c r="AJ363" s="1">
        <f>VLOOKUP(A363,'SegEnds_NonXtal_Prot#'!A:AL,34,FALSE)-VLOOKUP(A363,'SegEnds_NonXtal_Prot#'!A:AL,31,FALSE)</f>
        <v>29</v>
      </c>
      <c r="AK363" s="1">
        <f>VLOOKUP(A363,'SegEnds_NonXtal_Prot#'!A:AL,37,FALSE)-VLOOKUP(A363,'SegEnds_NonXtal_Prot#'!A:AL,34,FALSE)</f>
        <v>19</v>
      </c>
      <c r="AL363" s="1" t="str">
        <f>IF(ISERROR(MATCH(A363,'SegEnds_Xtal_Prot#'!B:B, 0)), "NoXtal", "Xtal")</f>
        <v>NoXtal</v>
      </c>
    </row>
    <row r="364" spans="1:38" x14ac:dyDescent="0.2">
      <c r="A364" s="1" t="s">
        <v>123</v>
      </c>
      <c r="B364" s="1" t="str">
        <f>VLOOKUP(A364,Xtal_Templ!A:B,2,FALSE)</f>
        <v>grm1_human</v>
      </c>
      <c r="C364" s="5">
        <f>VLOOKUP($B364&amp;"__wt",'SegEnds_Xtal_BW#'!$A:$Z,3,FALSE)</f>
        <v>34</v>
      </c>
      <c r="D364" s="1">
        <f>VLOOKUP($B364&amp;"__wt",'SegEnds_Xtal_BW#'!$A:$Z,4,FALSE)</f>
        <v>60</v>
      </c>
      <c r="E364" s="1">
        <f>VLOOKUP($B364&amp;"__wt",'SegEnds_Xtal_BW#'!$A:$Z,5,FALSE)</f>
        <v>47</v>
      </c>
      <c r="F364" s="1">
        <f>VLOOKUP($B364&amp;"__wt",'SegEnds_Xtal_BW#'!$A:$Z,6,FALSE)</f>
        <v>53</v>
      </c>
      <c r="G364" s="1">
        <v>39</v>
      </c>
      <c r="H364" s="12">
        <f>VLOOKUP($B364&amp;"__wt",'SegEnds_Xtal_BW#'!$A:$Z,8,FALSE)</f>
        <v>61</v>
      </c>
      <c r="I364" s="1" t="str">
        <f>VLOOKUP($B364&amp;"__wt",'SegEnds_Xtal_BW#'!$A:$Z,9,FALSE)</f>
        <v>-</v>
      </c>
      <c r="J364" s="1" t="str">
        <f>VLOOKUP($B364&amp;"__wt",'SegEnds_Xtal_BW#'!$A:$Z,10,FALSE)</f>
        <v>-</v>
      </c>
      <c r="K364" s="12">
        <f>VLOOKUP($B364&amp;"__wt",'SegEnds_Xtal_BW#'!$A:$Z,11,FALSE)</f>
        <v>22</v>
      </c>
      <c r="L364" s="1">
        <f>VLOOKUP($B364&amp;"__wt",'SegEnds_Xtal_BW#'!$A:$Z,12,FALSE)</f>
        <v>54</v>
      </c>
      <c r="M364" s="1" t="str">
        <f>VLOOKUP($B364&amp;"__wt",'SegEnds_Xtal_BW#'!$A:$Z,13,FALSE)</f>
        <v>-</v>
      </c>
      <c r="N364" s="12" t="str">
        <f>VLOOKUP($B364&amp;"__wt",'SegEnds_Xtal_BW#'!$A:$Z,14,FALSE)</f>
        <v>-</v>
      </c>
      <c r="O364" s="87">
        <f>VLOOKUP($B364&amp;"__wt",'SegEnds_Xtal_BW#'!$A:$Z,15,FALSE)</f>
        <v>38</v>
      </c>
      <c r="P364" s="1">
        <f>VLOOKUP($B364&amp;"__wt",'SegEnds_Xtal_BW#'!$A:$Z,16,FALSE)</f>
        <v>64</v>
      </c>
      <c r="Q364" s="1">
        <f>VLOOKUP($B364&amp;"__wt",'SegEnds_Xtal_BW#'!$A:$Z,17,FALSE)</f>
        <v>50</v>
      </c>
      <c r="R364" s="1">
        <f>VLOOKUP($B364&amp;"__wt",'SegEnds_Xtal_BW#'!$A:$Z,18,FALSE)</f>
        <v>52</v>
      </c>
      <c r="S364" s="1">
        <f>VLOOKUP($B364&amp;"__wt",'SegEnds_Xtal_BW#'!$A:$Z,19,FALSE)</f>
        <v>36</v>
      </c>
      <c r="T364" s="1">
        <f>VLOOKUP($B364&amp;"__wt",'SegEnds_Xtal_BW#'!$A:$Z,20,FALSE)</f>
        <v>61</v>
      </c>
      <c r="U364" s="1">
        <f>VLOOKUP($B364&amp;"__wt",'SegEnds_Xtal_BW#'!$A:$Z,21,FALSE)</f>
        <v>33</v>
      </c>
      <c r="V364" s="1">
        <f>VLOOKUP($B364&amp;"__wt",'SegEnds_Xtal_BW#'!$A:$Z,22,FALSE)</f>
        <v>57</v>
      </c>
      <c r="W364" s="1">
        <f>VLOOKUP($B364&amp;"__wt",'SegEnds_Xtal_BW#'!$A:$Z,23,FALSE)</f>
        <v>33</v>
      </c>
      <c r="X364" s="1">
        <f>VLOOKUP($B364&amp;"__wt",'SegEnds_Xtal_BW#'!$A:$Z,24,FALSE)</f>
        <v>64</v>
      </c>
      <c r="Y364" s="1">
        <f>VLOOKUP($B364&amp;"__wt",'SegEnds_Xtal_BW#'!$A:$Z,25,FALSE)</f>
        <v>46</v>
      </c>
      <c r="Z364" s="1">
        <f>VLOOKUP($B364&amp;"__wt",'SegEnds_Xtal_BW#'!$A:$Z,26,FALSE)</f>
        <v>57</v>
      </c>
      <c r="AA364" s="27" t="str">
        <f>VLOOKUP(A364,Classification!A:B,2,FALSE)</f>
        <v>C</v>
      </c>
      <c r="AB364" s="1">
        <f>VLOOKUP(A364,'SegEnds_NonXtal_Prot#'!A:AL,10,FALSE)-VLOOKUP(A364,'SegEnds_NonXtal_Prot#'!A:AL,4,FALSE)</f>
        <v>31</v>
      </c>
      <c r="AC364" s="1">
        <f>VLOOKUP(A364,'SegEnds_NonXtal_Prot#'!A:AL,10,FALSE)-VLOOKUP(A364,'SegEnds_NonXtal_Prot#'!A:AL,7,FALSE)</f>
        <v>15</v>
      </c>
      <c r="AD364" s="1" t="e">
        <f>VLOOKUP(A364,'SegEnds_NonXtal_Prot#'!A:AL,13,FALSE)-VLOOKUP(A364,'SegEnds_NonXtal_Prot#'!A:AL,10,FALSE)</f>
        <v>#VALUE!</v>
      </c>
      <c r="AE364" s="1">
        <f>VLOOKUP(A364,'SegEnds_NonXtal_Prot#'!A:AL,16,FALSE)-VLOOKUP(A364,'SegEnds_NonXtal_Prot#'!A:AL,10,FALSE)</f>
        <v>44</v>
      </c>
      <c r="AF364" s="1" t="e">
        <f>VLOOKUP(A364,'SegEnds_NonXtal_Prot#'!A:AL,22,FALSE)-VLOOKUP(A364,'SegEnds_NonXtal_Prot#'!A:AL,19,FALSE)</f>
        <v>#VALUE!</v>
      </c>
      <c r="AG364" s="1">
        <f>VLOOKUP(A364,'SegEnds_NonXtal_Prot#'!A:AL,28,FALSE)-VLOOKUP(A364,'SegEnds_NonXtal_Prot#'!A:AL,25,FALSE)</f>
        <v>18</v>
      </c>
      <c r="AH364" s="1">
        <f>VLOOKUP(A364,'SegEnds_NonXtal_Prot#'!A:AL,28,FALSE)-VLOOKUP(A364,'SegEnds_NonXtal_Prot#'!A:AL,22,FALSE)</f>
        <v>52</v>
      </c>
      <c r="AI364" s="1">
        <f>VLOOKUP(A364,'SegEnds_NonXtal_Prot#'!A:AL,31,FALSE)-VLOOKUP(A364,'SegEnds_NonXtal_Prot#'!A:AL,28,FALSE)</f>
        <v>37</v>
      </c>
      <c r="AJ364" s="1">
        <f>VLOOKUP(A364,'SegEnds_NonXtal_Prot#'!A:AL,34,FALSE)-VLOOKUP(A364,'SegEnds_NonXtal_Prot#'!A:AL,31,FALSE)</f>
        <v>29</v>
      </c>
      <c r="AK364" s="1">
        <f>VLOOKUP(A364,'SegEnds_NonXtal_Prot#'!A:AL,37,FALSE)-VLOOKUP(A364,'SegEnds_NonXtal_Prot#'!A:AL,34,FALSE)</f>
        <v>19</v>
      </c>
      <c r="AL364" s="1" t="str">
        <f>IF(ISERROR(MATCH(A364,'SegEnds_Xtal_Prot#'!B:B, 0)), "NoXtal", "Xtal")</f>
        <v>NoXtal</v>
      </c>
    </row>
    <row r="365" spans="1:38" x14ac:dyDescent="0.2">
      <c r="A365" s="1" t="s">
        <v>124</v>
      </c>
      <c r="B365" s="1" t="str">
        <f>VLOOKUP(A365,Xtal_Templ!A:B,2,FALSE)</f>
        <v>grm1_human</v>
      </c>
      <c r="C365" s="5">
        <f>VLOOKUP($B365&amp;"__wt",'SegEnds_Xtal_BW#'!$A:$Z,3,FALSE)</f>
        <v>34</v>
      </c>
      <c r="D365" s="1">
        <f>VLOOKUP($B365&amp;"__wt",'SegEnds_Xtal_BW#'!$A:$Z,4,FALSE)</f>
        <v>60</v>
      </c>
      <c r="E365" s="1">
        <f>VLOOKUP($B365&amp;"__wt",'SegEnds_Xtal_BW#'!$A:$Z,5,FALSE)</f>
        <v>47</v>
      </c>
      <c r="F365" s="1">
        <f>VLOOKUP($B365&amp;"__wt",'SegEnds_Xtal_BW#'!$A:$Z,6,FALSE)</f>
        <v>53</v>
      </c>
      <c r="G365" s="1">
        <v>39</v>
      </c>
      <c r="H365" s="12">
        <f>VLOOKUP($B365&amp;"__wt",'SegEnds_Xtal_BW#'!$A:$Z,8,FALSE)</f>
        <v>61</v>
      </c>
      <c r="I365" s="1" t="str">
        <f>VLOOKUP($B365&amp;"__wt",'SegEnds_Xtal_BW#'!$A:$Z,9,FALSE)</f>
        <v>-</v>
      </c>
      <c r="J365" s="1" t="str">
        <f>VLOOKUP($B365&amp;"__wt",'SegEnds_Xtal_BW#'!$A:$Z,10,FALSE)</f>
        <v>-</v>
      </c>
      <c r="K365" s="12">
        <f>VLOOKUP($B365&amp;"__wt",'SegEnds_Xtal_BW#'!$A:$Z,11,FALSE)</f>
        <v>22</v>
      </c>
      <c r="L365" s="1">
        <f>VLOOKUP($B365&amp;"__wt",'SegEnds_Xtal_BW#'!$A:$Z,12,FALSE)</f>
        <v>54</v>
      </c>
      <c r="M365" s="1" t="str">
        <f>VLOOKUP($B365&amp;"__wt",'SegEnds_Xtal_BW#'!$A:$Z,13,FALSE)</f>
        <v>-</v>
      </c>
      <c r="N365" s="12" t="str">
        <f>VLOOKUP($B365&amp;"__wt",'SegEnds_Xtal_BW#'!$A:$Z,14,FALSE)</f>
        <v>-</v>
      </c>
      <c r="O365" s="87">
        <f>VLOOKUP($B365&amp;"__wt",'SegEnds_Xtal_BW#'!$A:$Z,15,FALSE)</f>
        <v>38</v>
      </c>
      <c r="P365" s="1">
        <f>VLOOKUP($B365&amp;"__wt",'SegEnds_Xtal_BW#'!$A:$Z,16,FALSE)</f>
        <v>64</v>
      </c>
      <c r="Q365" s="1">
        <f>VLOOKUP($B365&amp;"__wt",'SegEnds_Xtal_BW#'!$A:$Z,17,FALSE)</f>
        <v>50</v>
      </c>
      <c r="R365" s="1">
        <f>VLOOKUP($B365&amp;"__wt",'SegEnds_Xtal_BW#'!$A:$Z,18,FALSE)</f>
        <v>52</v>
      </c>
      <c r="S365" s="1">
        <f>VLOOKUP($B365&amp;"__wt",'SegEnds_Xtal_BW#'!$A:$Z,19,FALSE)</f>
        <v>36</v>
      </c>
      <c r="T365" s="1">
        <f>VLOOKUP($B365&amp;"__wt",'SegEnds_Xtal_BW#'!$A:$Z,20,FALSE)</f>
        <v>61</v>
      </c>
      <c r="U365" s="1">
        <f>VLOOKUP($B365&amp;"__wt",'SegEnds_Xtal_BW#'!$A:$Z,21,FALSE)</f>
        <v>33</v>
      </c>
      <c r="V365" s="1">
        <f>VLOOKUP($B365&amp;"__wt",'SegEnds_Xtal_BW#'!$A:$Z,22,FALSE)</f>
        <v>57</v>
      </c>
      <c r="W365" s="1">
        <f>VLOOKUP($B365&amp;"__wt",'SegEnds_Xtal_BW#'!$A:$Z,23,FALSE)</f>
        <v>33</v>
      </c>
      <c r="X365" s="1">
        <f>VLOOKUP($B365&amp;"__wt",'SegEnds_Xtal_BW#'!$A:$Z,24,FALSE)</f>
        <v>64</v>
      </c>
      <c r="Y365" s="1">
        <f>VLOOKUP($B365&amp;"__wt",'SegEnds_Xtal_BW#'!$A:$Z,25,FALSE)</f>
        <v>46</v>
      </c>
      <c r="Z365" s="1">
        <f>VLOOKUP($B365&amp;"__wt",'SegEnds_Xtal_BW#'!$A:$Z,26,FALSE)</f>
        <v>57</v>
      </c>
      <c r="AA365" s="27" t="str">
        <f>VLOOKUP(A365,Classification!A:B,2,FALSE)</f>
        <v>C</v>
      </c>
      <c r="AB365" s="1">
        <f>VLOOKUP(A365,'SegEnds_NonXtal_Prot#'!A:AL,10,FALSE)-VLOOKUP(A365,'SegEnds_NonXtal_Prot#'!A:AL,4,FALSE)</f>
        <v>31</v>
      </c>
      <c r="AC365" s="1">
        <f>VLOOKUP(A365,'SegEnds_NonXtal_Prot#'!A:AL,10,FALSE)-VLOOKUP(A365,'SegEnds_NonXtal_Prot#'!A:AL,7,FALSE)</f>
        <v>15</v>
      </c>
      <c r="AD365" s="1" t="e">
        <f>VLOOKUP(A365,'SegEnds_NonXtal_Prot#'!A:AL,13,FALSE)-VLOOKUP(A365,'SegEnds_NonXtal_Prot#'!A:AL,10,FALSE)</f>
        <v>#VALUE!</v>
      </c>
      <c r="AE365" s="1">
        <f>VLOOKUP(A365,'SegEnds_NonXtal_Prot#'!A:AL,16,FALSE)-VLOOKUP(A365,'SegEnds_NonXtal_Prot#'!A:AL,10,FALSE)</f>
        <v>44</v>
      </c>
      <c r="AF365" s="1" t="e">
        <f>VLOOKUP(A365,'SegEnds_NonXtal_Prot#'!A:AL,22,FALSE)-VLOOKUP(A365,'SegEnds_NonXtal_Prot#'!A:AL,19,FALSE)</f>
        <v>#VALUE!</v>
      </c>
      <c r="AG365" s="1">
        <f>VLOOKUP(A365,'SegEnds_NonXtal_Prot#'!A:AL,28,FALSE)-VLOOKUP(A365,'SegEnds_NonXtal_Prot#'!A:AL,25,FALSE)</f>
        <v>18</v>
      </c>
      <c r="AH365" s="1">
        <f>VLOOKUP(A365,'SegEnds_NonXtal_Prot#'!A:AL,28,FALSE)-VLOOKUP(A365,'SegEnds_NonXtal_Prot#'!A:AL,22,FALSE)</f>
        <v>51</v>
      </c>
      <c r="AI365" s="1">
        <f>VLOOKUP(A365,'SegEnds_NonXtal_Prot#'!A:AL,31,FALSE)-VLOOKUP(A365,'SegEnds_NonXtal_Prot#'!A:AL,28,FALSE)</f>
        <v>37</v>
      </c>
      <c r="AJ365" s="1">
        <f>VLOOKUP(A365,'SegEnds_NonXtal_Prot#'!A:AL,34,FALSE)-VLOOKUP(A365,'SegEnds_NonXtal_Prot#'!A:AL,31,FALSE)</f>
        <v>29</v>
      </c>
      <c r="AK365" s="1">
        <f>VLOOKUP(A365,'SegEnds_NonXtal_Prot#'!A:AL,37,FALSE)-VLOOKUP(A365,'SegEnds_NonXtal_Prot#'!A:AL,34,FALSE)</f>
        <v>19</v>
      </c>
      <c r="AL365" s="1" t="str">
        <f>IF(ISERROR(MATCH(A365,'SegEnds_Xtal_Prot#'!B:B, 0)), "NoXtal", "Xtal")</f>
        <v>NoXtal</v>
      </c>
    </row>
    <row r="366" spans="1:38" x14ac:dyDescent="0.2">
      <c r="A366" s="4" t="s">
        <v>111</v>
      </c>
      <c r="B366" s="4" t="str">
        <f>VLOOKUP(A366,Xtal_Templ!A:B,2,FALSE)</f>
        <v>grm1_human</v>
      </c>
      <c r="C366" s="5">
        <f>VLOOKUP($B366&amp;"__wt",'SegEnds_Xtal_BW#'!$A:$Z,3,FALSE)</f>
        <v>34</v>
      </c>
      <c r="D366" s="4">
        <f>VLOOKUP($B366&amp;"__wt",'SegEnds_Xtal_BW#'!$A:$Z,4,FALSE)</f>
        <v>60</v>
      </c>
      <c r="E366" s="4">
        <f>VLOOKUP($B366&amp;"__wt",'SegEnds_Xtal_BW#'!$A:$Z,5,FALSE)</f>
        <v>47</v>
      </c>
      <c r="F366" s="4">
        <f>VLOOKUP($B366&amp;"__wt",'SegEnds_Xtal_BW#'!$A:$Z,6,FALSE)</f>
        <v>53</v>
      </c>
      <c r="G366" s="4">
        <v>39</v>
      </c>
      <c r="H366" s="11">
        <f>VLOOKUP($B366&amp;"__wt",'SegEnds_Xtal_BW#'!$A:$Z,8,FALSE)</f>
        <v>61</v>
      </c>
      <c r="I366" s="4" t="str">
        <f>VLOOKUP($B366&amp;"__wt",'SegEnds_Xtal_BW#'!$A:$Z,9,FALSE)</f>
        <v>-</v>
      </c>
      <c r="J366" s="4" t="str">
        <f>VLOOKUP($B366&amp;"__wt",'SegEnds_Xtal_BW#'!$A:$Z,10,FALSE)</f>
        <v>-</v>
      </c>
      <c r="K366" s="11">
        <f>VLOOKUP($B366&amp;"__wt",'SegEnds_Xtal_BW#'!$A:$Z,11,FALSE)</f>
        <v>22</v>
      </c>
      <c r="L366" s="4">
        <f>VLOOKUP($B366&amp;"__wt",'SegEnds_Xtal_BW#'!$A:$Z,12,FALSE)</f>
        <v>54</v>
      </c>
      <c r="M366" s="4" t="str">
        <f>VLOOKUP($B366&amp;"__wt",'SegEnds_Xtal_BW#'!$A:$Z,13,FALSE)</f>
        <v>-</v>
      </c>
      <c r="N366" s="11" t="str">
        <f>VLOOKUP($B366&amp;"__wt",'SegEnds_Xtal_BW#'!$A:$Z,14,FALSE)</f>
        <v>-</v>
      </c>
      <c r="O366" s="88">
        <f>VLOOKUP($B366&amp;"__wt",'SegEnds_Xtal_BW#'!$A:$Z,15,FALSE)</f>
        <v>38</v>
      </c>
      <c r="P366" s="4">
        <f>VLOOKUP($B366&amp;"__wt",'SegEnds_Xtal_BW#'!$A:$Z,16,FALSE)</f>
        <v>64</v>
      </c>
      <c r="Q366" s="4">
        <f>VLOOKUP($B366&amp;"__wt",'SegEnds_Xtal_BW#'!$A:$Z,17,FALSE)</f>
        <v>50</v>
      </c>
      <c r="R366" s="4">
        <f>VLOOKUP($B366&amp;"__wt",'SegEnds_Xtal_BW#'!$A:$Z,18,FALSE)</f>
        <v>52</v>
      </c>
      <c r="S366" s="4">
        <f>VLOOKUP($B366&amp;"__wt",'SegEnds_Xtal_BW#'!$A:$Z,19,FALSE)</f>
        <v>36</v>
      </c>
      <c r="T366" s="4">
        <f>VLOOKUP($B366&amp;"__wt",'SegEnds_Xtal_BW#'!$A:$Z,20,FALSE)</f>
        <v>61</v>
      </c>
      <c r="U366" s="4">
        <f>VLOOKUP($B366&amp;"__wt",'SegEnds_Xtal_BW#'!$A:$Z,21,FALSE)</f>
        <v>33</v>
      </c>
      <c r="V366" s="4">
        <f>VLOOKUP($B366&amp;"__wt",'SegEnds_Xtal_BW#'!$A:$Z,22,FALSE)</f>
        <v>57</v>
      </c>
      <c r="W366" s="4">
        <f>VLOOKUP($B366&amp;"__wt",'SegEnds_Xtal_BW#'!$A:$Z,23,FALSE)</f>
        <v>33</v>
      </c>
      <c r="X366" s="4">
        <f>VLOOKUP($B366&amp;"__wt",'SegEnds_Xtal_BW#'!$A:$Z,24,FALSE)</f>
        <v>64</v>
      </c>
      <c r="Y366" s="4">
        <f>VLOOKUP($B366&amp;"__wt",'SegEnds_Xtal_BW#'!$A:$Z,25,FALSE)</f>
        <v>46</v>
      </c>
      <c r="Z366" s="4">
        <f>VLOOKUP($B366&amp;"__wt",'SegEnds_Xtal_BW#'!$A:$Z,26,FALSE)</f>
        <v>57</v>
      </c>
      <c r="AA366" s="27" t="str">
        <f>VLOOKUP(A366,Classification!A:B,2,FALSE)</f>
        <v>C</v>
      </c>
      <c r="AB366" s="1">
        <f>VLOOKUP(A366,'SegEnds_NonXtal_Prot#'!A:AL,10,FALSE)-VLOOKUP(A366,'SegEnds_NonXtal_Prot#'!A:AL,4,FALSE)</f>
        <v>33</v>
      </c>
      <c r="AC366" s="4">
        <f>VLOOKUP(A366,'SegEnds_NonXtal_Prot#'!A:AL,10,FALSE)-VLOOKUP(A366,'SegEnds_NonXtal_Prot#'!A:AL,7,FALSE)</f>
        <v>19</v>
      </c>
      <c r="AD366" s="4" t="e">
        <f>VLOOKUP(A366,'SegEnds_NonXtal_Prot#'!A:AL,13,FALSE)-VLOOKUP(A366,'SegEnds_NonXtal_Prot#'!A:AL,10,FALSE)</f>
        <v>#VALUE!</v>
      </c>
      <c r="AE366" s="4">
        <f>VLOOKUP(A366,'SegEnds_NonXtal_Prot#'!A:AL,16,FALSE)-VLOOKUP(A366,'SegEnds_NonXtal_Prot#'!A:AL,10,FALSE)</f>
        <v>44</v>
      </c>
      <c r="AF366" s="1" t="e">
        <f>VLOOKUP(A366,'SegEnds_NonXtal_Prot#'!A:AL,22,FALSE)-VLOOKUP(A366,'SegEnds_NonXtal_Prot#'!A:AL,19,FALSE)</f>
        <v>#VALUE!</v>
      </c>
      <c r="AG366" s="4">
        <f>VLOOKUP(A366,'SegEnds_NonXtal_Prot#'!A:AL,28,FALSE)-VLOOKUP(A366,'SegEnds_NonXtal_Prot#'!A:AL,25,FALSE)</f>
        <v>17</v>
      </c>
      <c r="AH366" s="1">
        <f>VLOOKUP(A366,'SegEnds_NonXtal_Prot#'!A:AL,28,FALSE)-VLOOKUP(A366,'SegEnds_NonXtal_Prot#'!A:AL,22,FALSE)</f>
        <v>40</v>
      </c>
      <c r="AI366" s="4">
        <f>VLOOKUP(A366,'SegEnds_NonXtal_Prot#'!A:AL,31,FALSE)-VLOOKUP(A366,'SegEnds_NonXtal_Prot#'!A:AL,28,FALSE)</f>
        <v>39</v>
      </c>
      <c r="AJ366" s="4">
        <f>VLOOKUP(A366,'SegEnds_NonXtal_Prot#'!A:AL,34,FALSE)-VLOOKUP(A366,'SegEnds_NonXtal_Prot#'!A:AL,31,FALSE)</f>
        <v>35</v>
      </c>
      <c r="AK366" s="1">
        <f>VLOOKUP(A366,'SegEnds_NonXtal_Prot#'!A:AL,37,FALSE)-VLOOKUP(A366,'SegEnds_NonXtal_Prot#'!A:AL,34,FALSE)</f>
        <v>20</v>
      </c>
      <c r="AL366" s="1" t="str">
        <f>IF(ISERROR(MATCH(A366,'SegEnds_Xtal_Prot#'!B:B, 0)), "NoXtal", "Xtal")</f>
        <v>NoXtal</v>
      </c>
    </row>
    <row r="367" spans="1:38" x14ac:dyDescent="0.2">
      <c r="A367" s="1" t="s">
        <v>112</v>
      </c>
      <c r="B367" s="1" t="str">
        <f>VLOOKUP(A367,Xtal_Templ!A:B,2,FALSE)</f>
        <v>grm1_human</v>
      </c>
      <c r="C367" s="5">
        <f>VLOOKUP($B367&amp;"__wt",'SegEnds_Xtal_BW#'!$A:$Z,3,FALSE)</f>
        <v>34</v>
      </c>
      <c r="D367" s="1">
        <f>VLOOKUP($B367&amp;"__wt",'SegEnds_Xtal_BW#'!$A:$Z,4,FALSE)</f>
        <v>60</v>
      </c>
      <c r="E367" s="1">
        <f>VLOOKUP($B367&amp;"__wt",'SegEnds_Xtal_BW#'!$A:$Z,5,FALSE)</f>
        <v>47</v>
      </c>
      <c r="F367" s="1">
        <f>VLOOKUP($B367&amp;"__wt",'SegEnds_Xtal_BW#'!$A:$Z,6,FALSE)</f>
        <v>53</v>
      </c>
      <c r="G367" s="1">
        <v>39</v>
      </c>
      <c r="H367" s="12">
        <f>VLOOKUP($B367&amp;"__wt",'SegEnds_Xtal_BW#'!$A:$Z,8,FALSE)</f>
        <v>61</v>
      </c>
      <c r="I367" s="1" t="str">
        <f>VLOOKUP($B367&amp;"__wt",'SegEnds_Xtal_BW#'!$A:$Z,9,FALSE)</f>
        <v>-</v>
      </c>
      <c r="J367" s="1" t="str">
        <f>VLOOKUP($B367&amp;"__wt",'SegEnds_Xtal_BW#'!$A:$Z,10,FALSE)</f>
        <v>-</v>
      </c>
      <c r="K367" s="12">
        <f>VLOOKUP($B367&amp;"__wt",'SegEnds_Xtal_BW#'!$A:$Z,11,FALSE)</f>
        <v>22</v>
      </c>
      <c r="L367" s="1">
        <f>VLOOKUP($B367&amp;"__wt",'SegEnds_Xtal_BW#'!$A:$Z,12,FALSE)</f>
        <v>54</v>
      </c>
      <c r="M367" s="1" t="str">
        <f>VLOOKUP($B367&amp;"__wt",'SegEnds_Xtal_BW#'!$A:$Z,13,FALSE)</f>
        <v>-</v>
      </c>
      <c r="N367" s="12" t="str">
        <f>VLOOKUP($B367&amp;"__wt",'SegEnds_Xtal_BW#'!$A:$Z,14,FALSE)</f>
        <v>-</v>
      </c>
      <c r="O367" s="87">
        <f>VLOOKUP($B367&amp;"__wt",'SegEnds_Xtal_BW#'!$A:$Z,15,FALSE)</f>
        <v>38</v>
      </c>
      <c r="P367" s="1">
        <f>VLOOKUP($B367&amp;"__wt",'SegEnds_Xtal_BW#'!$A:$Z,16,FALSE)</f>
        <v>64</v>
      </c>
      <c r="Q367" s="1">
        <f>VLOOKUP($B367&amp;"__wt",'SegEnds_Xtal_BW#'!$A:$Z,17,FALSE)</f>
        <v>50</v>
      </c>
      <c r="R367" s="1">
        <f>VLOOKUP($B367&amp;"__wt",'SegEnds_Xtal_BW#'!$A:$Z,18,FALSE)</f>
        <v>52</v>
      </c>
      <c r="S367" s="1">
        <f>VLOOKUP($B367&amp;"__wt",'SegEnds_Xtal_BW#'!$A:$Z,19,FALSE)</f>
        <v>36</v>
      </c>
      <c r="T367" s="1">
        <f>VLOOKUP($B367&amp;"__wt",'SegEnds_Xtal_BW#'!$A:$Z,20,FALSE)</f>
        <v>61</v>
      </c>
      <c r="U367" s="1">
        <f>VLOOKUP($B367&amp;"__wt",'SegEnds_Xtal_BW#'!$A:$Z,21,FALSE)</f>
        <v>33</v>
      </c>
      <c r="V367" s="1">
        <f>VLOOKUP($B367&amp;"__wt",'SegEnds_Xtal_BW#'!$A:$Z,22,FALSE)</f>
        <v>57</v>
      </c>
      <c r="W367" s="1">
        <f>VLOOKUP($B367&amp;"__wt",'SegEnds_Xtal_BW#'!$A:$Z,23,FALSE)</f>
        <v>33</v>
      </c>
      <c r="X367" s="1">
        <f>VLOOKUP($B367&amp;"__wt",'SegEnds_Xtal_BW#'!$A:$Z,24,FALSE)</f>
        <v>64</v>
      </c>
      <c r="Y367" s="1">
        <f>VLOOKUP($B367&amp;"__wt",'SegEnds_Xtal_BW#'!$A:$Z,25,FALSE)</f>
        <v>46</v>
      </c>
      <c r="Z367" s="1">
        <f>VLOOKUP($B367&amp;"__wt",'SegEnds_Xtal_BW#'!$A:$Z,26,FALSE)</f>
        <v>57</v>
      </c>
      <c r="AA367" s="27" t="str">
        <f>VLOOKUP(A367,Classification!A:B,2,FALSE)</f>
        <v>C</v>
      </c>
      <c r="AB367" s="1">
        <f>VLOOKUP(A367,'SegEnds_NonXtal_Prot#'!A:AL,10,FALSE)-VLOOKUP(A367,'SegEnds_NonXtal_Prot#'!A:AL,4,FALSE)</f>
        <v>33</v>
      </c>
      <c r="AC367" s="1">
        <f>VLOOKUP(A367,'SegEnds_NonXtal_Prot#'!A:AL,10,FALSE)-VLOOKUP(A367,'SegEnds_NonXtal_Prot#'!A:AL,7,FALSE)</f>
        <v>19</v>
      </c>
      <c r="AD367" s="1" t="e">
        <f>VLOOKUP(A367,'SegEnds_NonXtal_Prot#'!A:AL,13,FALSE)-VLOOKUP(A367,'SegEnds_NonXtal_Prot#'!A:AL,10,FALSE)</f>
        <v>#VALUE!</v>
      </c>
      <c r="AE367" s="1">
        <f>VLOOKUP(A367,'SegEnds_NonXtal_Prot#'!A:AL,16,FALSE)-VLOOKUP(A367,'SegEnds_NonXtal_Prot#'!A:AL,10,FALSE)</f>
        <v>44</v>
      </c>
      <c r="AF367" s="1" t="e">
        <f>VLOOKUP(A367,'SegEnds_NonXtal_Prot#'!A:AL,22,FALSE)-VLOOKUP(A367,'SegEnds_NonXtal_Prot#'!A:AL,19,FALSE)</f>
        <v>#VALUE!</v>
      </c>
      <c r="AG367" s="1">
        <f>VLOOKUP(A367,'SegEnds_NonXtal_Prot#'!A:AL,28,FALSE)-VLOOKUP(A367,'SegEnds_NonXtal_Prot#'!A:AL,25,FALSE)</f>
        <v>17</v>
      </c>
      <c r="AH367" s="1">
        <f>VLOOKUP(A367,'SegEnds_NonXtal_Prot#'!A:AL,28,FALSE)-VLOOKUP(A367,'SegEnds_NonXtal_Prot#'!A:AL,22,FALSE)</f>
        <v>55</v>
      </c>
      <c r="AI367" s="1">
        <f>VLOOKUP(A367,'SegEnds_NonXtal_Prot#'!A:AL,31,FALSE)-VLOOKUP(A367,'SegEnds_NonXtal_Prot#'!A:AL,28,FALSE)</f>
        <v>39</v>
      </c>
      <c r="AJ367" s="1">
        <f>VLOOKUP(A367,'SegEnds_NonXtal_Prot#'!A:AL,34,FALSE)-VLOOKUP(A367,'SegEnds_NonXtal_Prot#'!A:AL,31,FALSE)</f>
        <v>34</v>
      </c>
      <c r="AK367" s="1">
        <f>VLOOKUP(A367,'SegEnds_NonXtal_Prot#'!A:AL,37,FALSE)-VLOOKUP(A367,'SegEnds_NonXtal_Prot#'!A:AL,34,FALSE)</f>
        <v>20</v>
      </c>
      <c r="AL367" s="1" t="str">
        <f>IF(ISERROR(MATCH(A367,'SegEnds_Xtal_Prot#'!B:B, 0)), "NoXtal", "Xtal")</f>
        <v>NoXtal</v>
      </c>
    </row>
    <row r="368" spans="1:38" x14ac:dyDescent="0.2">
      <c r="A368" s="4" t="s">
        <v>113</v>
      </c>
      <c r="B368" s="4" t="str">
        <f>VLOOKUP(A368,Xtal_Templ!A:B,2,FALSE)</f>
        <v>grm1_human</v>
      </c>
      <c r="C368" s="5">
        <f>VLOOKUP($B368&amp;"__wt",'SegEnds_Xtal_BW#'!$A:$Z,3,FALSE)</f>
        <v>34</v>
      </c>
      <c r="D368" s="4">
        <f>VLOOKUP($B368&amp;"__wt",'SegEnds_Xtal_BW#'!$A:$Z,4,FALSE)</f>
        <v>60</v>
      </c>
      <c r="E368" s="4">
        <f>VLOOKUP($B368&amp;"__wt",'SegEnds_Xtal_BW#'!$A:$Z,5,FALSE)</f>
        <v>47</v>
      </c>
      <c r="F368" s="4">
        <f>VLOOKUP($B368&amp;"__wt",'SegEnds_Xtal_BW#'!$A:$Z,6,FALSE)</f>
        <v>53</v>
      </c>
      <c r="G368" s="4">
        <v>39</v>
      </c>
      <c r="H368" s="11">
        <f>VLOOKUP($B368&amp;"__wt",'SegEnds_Xtal_BW#'!$A:$Z,8,FALSE)</f>
        <v>61</v>
      </c>
      <c r="I368" s="4" t="str">
        <f>VLOOKUP($B368&amp;"__wt",'SegEnds_Xtal_BW#'!$A:$Z,9,FALSE)</f>
        <v>-</v>
      </c>
      <c r="J368" s="4" t="str">
        <f>VLOOKUP($B368&amp;"__wt",'SegEnds_Xtal_BW#'!$A:$Z,10,FALSE)</f>
        <v>-</v>
      </c>
      <c r="K368" s="11">
        <f>VLOOKUP($B368&amp;"__wt",'SegEnds_Xtal_BW#'!$A:$Z,11,FALSE)</f>
        <v>22</v>
      </c>
      <c r="L368" s="4">
        <f>VLOOKUP($B368&amp;"__wt",'SegEnds_Xtal_BW#'!$A:$Z,12,FALSE)</f>
        <v>54</v>
      </c>
      <c r="M368" s="4" t="str">
        <f>VLOOKUP($B368&amp;"__wt",'SegEnds_Xtal_BW#'!$A:$Z,13,FALSE)</f>
        <v>-</v>
      </c>
      <c r="N368" s="11" t="str">
        <f>VLOOKUP($B368&amp;"__wt",'SegEnds_Xtal_BW#'!$A:$Z,14,FALSE)</f>
        <v>-</v>
      </c>
      <c r="O368" s="88">
        <f>VLOOKUP($B368&amp;"__wt",'SegEnds_Xtal_BW#'!$A:$Z,15,FALSE)</f>
        <v>38</v>
      </c>
      <c r="P368" s="4">
        <f>VLOOKUP($B368&amp;"__wt",'SegEnds_Xtal_BW#'!$A:$Z,16,FALSE)</f>
        <v>64</v>
      </c>
      <c r="Q368" s="4">
        <f>VLOOKUP($B368&amp;"__wt",'SegEnds_Xtal_BW#'!$A:$Z,17,FALSE)</f>
        <v>50</v>
      </c>
      <c r="R368" s="4">
        <f>VLOOKUP($B368&amp;"__wt",'SegEnds_Xtal_BW#'!$A:$Z,18,FALSE)</f>
        <v>52</v>
      </c>
      <c r="S368" s="4">
        <f>VLOOKUP($B368&amp;"__wt",'SegEnds_Xtal_BW#'!$A:$Z,19,FALSE)</f>
        <v>36</v>
      </c>
      <c r="T368" s="4">
        <f>VLOOKUP($B368&amp;"__wt",'SegEnds_Xtal_BW#'!$A:$Z,20,FALSE)</f>
        <v>61</v>
      </c>
      <c r="U368" s="4">
        <f>VLOOKUP($B368&amp;"__wt",'SegEnds_Xtal_BW#'!$A:$Z,21,FALSE)</f>
        <v>33</v>
      </c>
      <c r="V368" s="4">
        <f>VLOOKUP($B368&amp;"__wt",'SegEnds_Xtal_BW#'!$A:$Z,22,FALSE)</f>
        <v>57</v>
      </c>
      <c r="W368" s="4">
        <f>VLOOKUP($B368&amp;"__wt",'SegEnds_Xtal_BW#'!$A:$Z,23,FALSE)</f>
        <v>33</v>
      </c>
      <c r="X368" s="4">
        <f>VLOOKUP($B368&amp;"__wt",'SegEnds_Xtal_BW#'!$A:$Z,24,FALSE)</f>
        <v>64</v>
      </c>
      <c r="Y368" s="4">
        <f>VLOOKUP($B368&amp;"__wt",'SegEnds_Xtal_BW#'!$A:$Z,25,FALSE)</f>
        <v>46</v>
      </c>
      <c r="Z368" s="4">
        <f>VLOOKUP($B368&amp;"__wt",'SegEnds_Xtal_BW#'!$A:$Z,26,FALSE)</f>
        <v>57</v>
      </c>
      <c r="AA368" s="27" t="str">
        <f>VLOOKUP(A368,Classification!A:B,2,FALSE)</f>
        <v>C</v>
      </c>
      <c r="AB368" s="1">
        <f>VLOOKUP(A368,'SegEnds_NonXtal_Prot#'!A:AL,10,FALSE)-VLOOKUP(A368,'SegEnds_NonXtal_Prot#'!A:AL,4,FALSE)</f>
        <v>33</v>
      </c>
      <c r="AC368" s="4">
        <f>VLOOKUP(A368,'SegEnds_NonXtal_Prot#'!A:AL,10,FALSE)-VLOOKUP(A368,'SegEnds_NonXtal_Prot#'!A:AL,7,FALSE)</f>
        <v>19</v>
      </c>
      <c r="AD368" s="4" t="e">
        <f>VLOOKUP(A368,'SegEnds_NonXtal_Prot#'!A:AL,13,FALSE)-VLOOKUP(A368,'SegEnds_NonXtal_Prot#'!A:AL,10,FALSE)</f>
        <v>#VALUE!</v>
      </c>
      <c r="AE368" s="4">
        <f>VLOOKUP(A368,'SegEnds_NonXtal_Prot#'!A:AL,16,FALSE)-VLOOKUP(A368,'SegEnds_NonXtal_Prot#'!A:AL,10,FALSE)</f>
        <v>44</v>
      </c>
      <c r="AF368" s="1" t="e">
        <f>VLOOKUP(A368,'SegEnds_NonXtal_Prot#'!A:AL,22,FALSE)-VLOOKUP(A368,'SegEnds_NonXtal_Prot#'!A:AL,19,FALSE)</f>
        <v>#VALUE!</v>
      </c>
      <c r="AG368" s="4">
        <f>VLOOKUP(A368,'SegEnds_NonXtal_Prot#'!A:AL,28,FALSE)-VLOOKUP(A368,'SegEnds_NonXtal_Prot#'!A:AL,25,FALSE)</f>
        <v>16</v>
      </c>
      <c r="AH368" s="1">
        <f>VLOOKUP(A368,'SegEnds_NonXtal_Prot#'!A:AL,28,FALSE)-VLOOKUP(A368,'SegEnds_NonXtal_Prot#'!A:AL,22,FALSE)</f>
        <v>43</v>
      </c>
      <c r="AI368" s="4">
        <f>VLOOKUP(A368,'SegEnds_NonXtal_Prot#'!A:AL,31,FALSE)-VLOOKUP(A368,'SegEnds_NonXtal_Prot#'!A:AL,28,FALSE)</f>
        <v>39</v>
      </c>
      <c r="AJ368" s="4">
        <f>VLOOKUP(A368,'SegEnds_NonXtal_Prot#'!A:AL,34,FALSE)-VLOOKUP(A368,'SegEnds_NonXtal_Prot#'!A:AL,31,FALSE)</f>
        <v>35</v>
      </c>
      <c r="AK368" s="1">
        <f>VLOOKUP(A368,'SegEnds_NonXtal_Prot#'!A:AL,37,FALSE)-VLOOKUP(A368,'SegEnds_NonXtal_Prot#'!A:AL,34,FALSE)</f>
        <v>21</v>
      </c>
      <c r="AL368" s="1" t="str">
        <f>IF(ISERROR(MATCH(A368,'SegEnds_Xtal_Prot#'!B:B, 0)), "NoXtal", "Xtal")</f>
        <v>NoXtal</v>
      </c>
    </row>
    <row r="369" spans="1:38" x14ac:dyDescent="0.2">
      <c r="A369" s="1" t="s">
        <v>121</v>
      </c>
      <c r="B369" s="1" t="str">
        <f>VLOOKUP(A369,Xtal_Templ!A:B,2,FALSE)</f>
        <v>grm1_human</v>
      </c>
      <c r="C369" s="5">
        <f>VLOOKUP($B369&amp;"__wt",'SegEnds_Xtal_BW#'!$A:$Z,3,FALSE)</f>
        <v>34</v>
      </c>
      <c r="D369" s="1">
        <f>VLOOKUP($B369&amp;"__wt",'SegEnds_Xtal_BW#'!$A:$Z,4,FALSE)</f>
        <v>60</v>
      </c>
      <c r="E369" s="1">
        <f>VLOOKUP($B369&amp;"__wt",'SegEnds_Xtal_BW#'!$A:$Z,5,FALSE)</f>
        <v>47</v>
      </c>
      <c r="F369" s="1">
        <f>VLOOKUP($B369&amp;"__wt",'SegEnds_Xtal_BW#'!$A:$Z,6,FALSE)</f>
        <v>53</v>
      </c>
      <c r="G369" s="1">
        <v>39</v>
      </c>
      <c r="H369" s="12">
        <f>VLOOKUP($B369&amp;"__wt",'SegEnds_Xtal_BW#'!$A:$Z,8,FALSE)</f>
        <v>61</v>
      </c>
      <c r="I369" s="1" t="str">
        <f>VLOOKUP($B369&amp;"__wt",'SegEnds_Xtal_BW#'!$A:$Z,9,FALSE)</f>
        <v>-</v>
      </c>
      <c r="J369" s="1" t="str">
        <f>VLOOKUP($B369&amp;"__wt",'SegEnds_Xtal_BW#'!$A:$Z,10,FALSE)</f>
        <v>-</v>
      </c>
      <c r="K369" s="12">
        <f>VLOOKUP($B369&amp;"__wt",'SegEnds_Xtal_BW#'!$A:$Z,11,FALSE)</f>
        <v>22</v>
      </c>
      <c r="L369" s="1">
        <f>VLOOKUP($B369&amp;"__wt",'SegEnds_Xtal_BW#'!$A:$Z,12,FALSE)</f>
        <v>54</v>
      </c>
      <c r="M369" s="1" t="str">
        <f>VLOOKUP($B369&amp;"__wt",'SegEnds_Xtal_BW#'!$A:$Z,13,FALSE)</f>
        <v>-</v>
      </c>
      <c r="N369" s="12" t="str">
        <f>VLOOKUP($B369&amp;"__wt",'SegEnds_Xtal_BW#'!$A:$Z,14,FALSE)</f>
        <v>-</v>
      </c>
      <c r="O369" s="87">
        <f>VLOOKUP($B369&amp;"__wt",'SegEnds_Xtal_BW#'!$A:$Z,15,FALSE)</f>
        <v>38</v>
      </c>
      <c r="P369" s="1">
        <f>VLOOKUP($B369&amp;"__wt",'SegEnds_Xtal_BW#'!$A:$Z,16,FALSE)</f>
        <v>64</v>
      </c>
      <c r="Q369" s="1">
        <f>VLOOKUP($B369&amp;"__wt",'SegEnds_Xtal_BW#'!$A:$Z,17,FALSE)</f>
        <v>50</v>
      </c>
      <c r="R369" s="1">
        <f>VLOOKUP($B369&amp;"__wt",'SegEnds_Xtal_BW#'!$A:$Z,18,FALSE)</f>
        <v>52</v>
      </c>
      <c r="S369" s="1">
        <f>VLOOKUP($B369&amp;"__wt",'SegEnds_Xtal_BW#'!$A:$Z,19,FALSE)</f>
        <v>36</v>
      </c>
      <c r="T369" s="1">
        <f>VLOOKUP($B369&amp;"__wt",'SegEnds_Xtal_BW#'!$A:$Z,20,FALSE)</f>
        <v>61</v>
      </c>
      <c r="U369" s="1">
        <f>VLOOKUP($B369&amp;"__wt",'SegEnds_Xtal_BW#'!$A:$Z,21,FALSE)</f>
        <v>33</v>
      </c>
      <c r="V369" s="1">
        <f>VLOOKUP($B369&amp;"__wt",'SegEnds_Xtal_BW#'!$A:$Z,22,FALSE)</f>
        <v>57</v>
      </c>
      <c r="W369" s="1">
        <f>VLOOKUP($B369&amp;"__wt",'SegEnds_Xtal_BW#'!$A:$Z,23,FALSE)</f>
        <v>33</v>
      </c>
      <c r="X369" s="1">
        <f>VLOOKUP($B369&amp;"__wt",'SegEnds_Xtal_BW#'!$A:$Z,24,FALSE)</f>
        <v>64</v>
      </c>
      <c r="Y369" s="1">
        <f>VLOOKUP($B369&amp;"__wt",'SegEnds_Xtal_BW#'!$A:$Z,25,FALSE)</f>
        <v>46</v>
      </c>
      <c r="Z369" s="1">
        <f>VLOOKUP($B369&amp;"__wt",'SegEnds_Xtal_BW#'!$A:$Z,26,FALSE)</f>
        <v>57</v>
      </c>
      <c r="AA369" s="27" t="str">
        <f>VLOOKUP(A369,Classification!A:B,2,FALSE)</f>
        <v>C</v>
      </c>
      <c r="AB369" s="1">
        <f>VLOOKUP(A369,'SegEnds_NonXtal_Prot#'!A:AL,10,FALSE)-VLOOKUP(A369,'SegEnds_NonXtal_Prot#'!A:AL,4,FALSE)</f>
        <v>33</v>
      </c>
      <c r="AC369" s="1">
        <f>VLOOKUP(A369,'SegEnds_NonXtal_Prot#'!A:AL,10,FALSE)-VLOOKUP(A369,'SegEnds_NonXtal_Prot#'!A:AL,7,FALSE)</f>
        <v>19</v>
      </c>
      <c r="AD369" s="1" t="e">
        <f>VLOOKUP(A369,'SegEnds_NonXtal_Prot#'!A:AL,13,FALSE)-VLOOKUP(A369,'SegEnds_NonXtal_Prot#'!A:AL,10,FALSE)</f>
        <v>#VALUE!</v>
      </c>
      <c r="AE369" s="1">
        <f>VLOOKUP(A369,'SegEnds_NonXtal_Prot#'!A:AL,16,FALSE)-VLOOKUP(A369,'SegEnds_NonXtal_Prot#'!A:AL,10,FALSE)</f>
        <v>44</v>
      </c>
      <c r="AF369" s="1" t="e">
        <f>VLOOKUP(A369,'SegEnds_NonXtal_Prot#'!A:AL,22,FALSE)-VLOOKUP(A369,'SegEnds_NonXtal_Prot#'!A:AL,19,FALSE)</f>
        <v>#VALUE!</v>
      </c>
      <c r="AG369" s="1" t="e">
        <f>VLOOKUP(A369,'SegEnds_NonXtal_Prot#'!A:AL,28,FALSE)-VLOOKUP(A369,'SegEnds_NonXtal_Prot#'!A:AL,25,FALSE)</f>
        <v>#VALUE!</v>
      </c>
      <c r="AH369" s="1">
        <f>VLOOKUP(A369,'SegEnds_NonXtal_Prot#'!A:AL,28,FALSE)-VLOOKUP(A369,'SegEnds_NonXtal_Prot#'!A:AL,22,FALSE)</f>
        <v>45</v>
      </c>
      <c r="AI369" s="1">
        <f>VLOOKUP(A369,'SegEnds_NonXtal_Prot#'!A:AL,31,FALSE)-VLOOKUP(A369,'SegEnds_NonXtal_Prot#'!A:AL,28,FALSE)</f>
        <v>39</v>
      </c>
      <c r="AJ369" s="1">
        <f>VLOOKUP(A369,'SegEnds_NonXtal_Prot#'!A:AL,34,FALSE)-VLOOKUP(A369,'SegEnds_NonXtal_Prot#'!A:AL,31,FALSE)</f>
        <v>31</v>
      </c>
      <c r="AK369" s="1">
        <f>VLOOKUP(A369,'SegEnds_NonXtal_Prot#'!A:AL,37,FALSE)-VLOOKUP(A369,'SegEnds_NonXtal_Prot#'!A:AL,34,FALSE)</f>
        <v>21</v>
      </c>
      <c r="AL369" s="1" t="str">
        <f>IF(ISERROR(MATCH(A369,'SegEnds_Xtal_Prot#'!B:B, 0)), "NoXtal", "Xtal")</f>
        <v>NoXtal</v>
      </c>
    </row>
    <row r="370" spans="1:38" x14ac:dyDescent="0.2">
      <c r="A370" s="1" t="s">
        <v>446</v>
      </c>
      <c r="B370" s="1" t="str">
        <f>VLOOKUP(A370,Xtal_Templ!A:B,2,FALSE)</f>
        <v>smo_human</v>
      </c>
      <c r="C370" s="5">
        <f>VLOOKUP($B370&amp;"__wt",'SegEnds_Xtal_BW#'!$A:$Z,3,FALSE)</f>
        <v>28</v>
      </c>
      <c r="D370" s="1">
        <f>VLOOKUP($B370&amp;"__wt",'SegEnds_Xtal_BW#'!$A:$Z,4,FALSE)</f>
        <v>60</v>
      </c>
      <c r="E370" s="1">
        <f>VLOOKUP($B370&amp;"__wt",'SegEnds_Xtal_BW#'!$A:$Z,5,FALSE)</f>
        <v>47</v>
      </c>
      <c r="F370" s="1">
        <f>VLOOKUP($B370&amp;"__wt",'SegEnds_Xtal_BW#'!$A:$Z,6,FALSE)</f>
        <v>51</v>
      </c>
      <c r="G370" s="1">
        <v>39</v>
      </c>
      <c r="H370" s="12">
        <f>VLOOKUP($B370&amp;"__wt",'SegEnds_Xtal_BW#'!$A:$Z,8,FALSE)</f>
        <v>63</v>
      </c>
      <c r="I370" s="1" t="str">
        <f>VLOOKUP($B370&amp;"__wt",'SegEnds_Xtal_BW#'!$A:$Z,9,FALSE)</f>
        <v>-</v>
      </c>
      <c r="J370" s="1" t="str">
        <f>VLOOKUP($B370&amp;"__wt",'SegEnds_Xtal_BW#'!$A:$Z,10,FALSE)</f>
        <v>-</v>
      </c>
      <c r="K370" s="12">
        <f>VLOOKUP($B370&amp;"__wt",'SegEnds_Xtal_BW#'!$A:$Z,11,FALSE)</f>
        <v>23</v>
      </c>
      <c r="L370" s="1">
        <f>VLOOKUP($B370&amp;"__wt",'SegEnds_Xtal_BW#'!$A:$Z,12,FALSE)</f>
        <v>59</v>
      </c>
      <c r="M370" s="1" t="str">
        <f>VLOOKUP($B370&amp;"__wt",'SegEnds_Xtal_BW#'!$A:$Z,13,FALSE)</f>
        <v>-</v>
      </c>
      <c r="N370" s="12" t="str">
        <f>VLOOKUP($B370&amp;"__wt",'SegEnds_Xtal_BW#'!$A:$Z,14,FALSE)</f>
        <v>-</v>
      </c>
      <c r="O370" s="87">
        <f>VLOOKUP($B370&amp;"__wt",'SegEnds_Xtal_BW#'!$A:$Z,15,FALSE)</f>
        <v>38</v>
      </c>
      <c r="P370" s="1">
        <f>VLOOKUP($B370&amp;"__wt",'SegEnds_Xtal_BW#'!$A:$Z,16,FALSE)</f>
        <v>63</v>
      </c>
      <c r="Q370" s="1">
        <f>VLOOKUP($B370&amp;"__wt",'SegEnds_Xtal_BW#'!$A:$Z,17,FALSE)</f>
        <v>50</v>
      </c>
      <c r="R370" s="1">
        <f>VLOOKUP($B370&amp;"__wt",'SegEnds_Xtal_BW#'!$A:$Z,18,FALSE)</f>
        <v>52</v>
      </c>
      <c r="S370" s="1">
        <f>VLOOKUP($B370&amp;"__wt",'SegEnds_Xtal_BW#'!$A:$Z,19,FALSE)</f>
        <v>35</v>
      </c>
      <c r="T370" s="1">
        <f>VLOOKUP($B370&amp;"__wt",'SegEnds_Xtal_BW#'!$A:$Z,20,FALSE)</f>
        <v>72</v>
      </c>
      <c r="U370" s="1">
        <f>VLOOKUP($B370&amp;"__wt",'SegEnds_Xtal_BW#'!$A:$Z,21,FALSE)</f>
        <v>24</v>
      </c>
      <c r="V370" s="1">
        <f>VLOOKUP($B370&amp;"__wt",'SegEnds_Xtal_BW#'!$A:$Z,22,FALSE)</f>
        <v>78</v>
      </c>
      <c r="W370" s="1">
        <f>VLOOKUP($B370&amp;"__wt",'SegEnds_Xtal_BW#'!$A:$Z,23,FALSE)</f>
        <v>34</v>
      </c>
      <c r="X370" s="1">
        <f>VLOOKUP($B370&amp;"__wt",'SegEnds_Xtal_BW#'!$A:$Z,24,FALSE)</f>
        <v>57</v>
      </c>
      <c r="Y370" s="1">
        <f>VLOOKUP($B370&amp;"__wt",'SegEnds_Xtal_BW#'!$A:$Z,25,FALSE)</f>
        <v>47</v>
      </c>
      <c r="Z370" s="1">
        <f>VLOOKUP($B370&amp;"__wt",'SegEnds_Xtal_BW#'!$A:$Z,26,FALSE)</f>
        <v>62</v>
      </c>
      <c r="AA370" s="27" t="str">
        <f>VLOOKUP(A370,Classification!A:B,2,FALSE)</f>
        <v>F</v>
      </c>
      <c r="AB370" s="1">
        <f>VLOOKUP(A370,'SegEnds_NonXtal_Prot#'!A:AL,10,FALSE)-VLOOKUP(A370,'SegEnds_NonXtal_Prot#'!A:AL,4,FALSE)</f>
        <v>26</v>
      </c>
      <c r="AC370" s="1">
        <f>VLOOKUP(A370,'SegEnds_NonXtal_Prot#'!A:AL,10,FALSE)-VLOOKUP(A370,'SegEnds_NonXtal_Prot#'!A:AL,7,FALSE)</f>
        <v>12</v>
      </c>
      <c r="AD370" s="1" t="e">
        <f>VLOOKUP(A370,'SegEnds_NonXtal_Prot#'!A:AL,13,FALSE)-VLOOKUP(A370,'SegEnds_NonXtal_Prot#'!A:AL,10,FALSE)</f>
        <v>#VALUE!</v>
      </c>
      <c r="AE370" s="1">
        <f>VLOOKUP(A370,'SegEnds_NonXtal_Prot#'!A:AL,16,FALSE)-VLOOKUP(A370,'SegEnds_NonXtal_Prot#'!A:AL,10,FALSE)</f>
        <v>67</v>
      </c>
      <c r="AF370" s="1" t="e">
        <f>VLOOKUP(A370,'SegEnds_NonXtal_Prot#'!A:AL,22,FALSE)-VLOOKUP(A370,'SegEnds_NonXtal_Prot#'!A:AL,19,FALSE)</f>
        <v>#VALUE!</v>
      </c>
      <c r="AG370" s="1">
        <f>VLOOKUP(A370,'SegEnds_NonXtal_Prot#'!A:AL,28,FALSE)-VLOOKUP(A370,'SegEnds_NonXtal_Prot#'!A:AL,25,FALSE)</f>
        <v>21</v>
      </c>
      <c r="AH370" s="1">
        <f>VLOOKUP(A370,'SegEnds_NonXtal_Prot#'!A:AL,28,FALSE)-VLOOKUP(A370,'SegEnds_NonXtal_Prot#'!A:AL,22,FALSE)</f>
        <v>46</v>
      </c>
      <c r="AI370" s="1">
        <f>VLOOKUP(A370,'SegEnds_NonXtal_Prot#'!A:AL,31,FALSE)-VLOOKUP(A370,'SegEnds_NonXtal_Prot#'!A:AL,28,FALSE)</f>
        <v>55</v>
      </c>
      <c r="AJ370" s="1">
        <f>VLOOKUP(A370,'SegEnds_NonXtal_Prot#'!A:AL,34,FALSE)-VLOOKUP(A370,'SegEnds_NonXtal_Prot#'!A:AL,31,FALSE)</f>
        <v>62</v>
      </c>
      <c r="AK370" s="1">
        <f>VLOOKUP(A370,'SegEnds_NonXtal_Prot#'!A:AL,37,FALSE)-VLOOKUP(A370,'SegEnds_NonXtal_Prot#'!A:AL,34,FALSE)</f>
        <v>11</v>
      </c>
      <c r="AL370" s="1" t="str">
        <f>IF(ISERROR(MATCH(A370,'SegEnds_Xtal_Prot#'!B:B, 0)), "NoXtal", "Xtal")</f>
        <v>NoXtal</v>
      </c>
    </row>
    <row r="371" spans="1:38" x14ac:dyDescent="0.2">
      <c r="A371" s="1" t="s">
        <v>447</v>
      </c>
      <c r="B371" s="1" t="str">
        <f>VLOOKUP(A371,Xtal_Templ!A:B,2,FALSE)</f>
        <v>smo_human</v>
      </c>
      <c r="C371" s="5">
        <f>VLOOKUP($B371&amp;"__wt",'SegEnds_Xtal_BW#'!$A:$Z,3,FALSE)</f>
        <v>28</v>
      </c>
      <c r="D371" s="1">
        <f>VLOOKUP($B371&amp;"__wt",'SegEnds_Xtal_BW#'!$A:$Z,4,FALSE)</f>
        <v>60</v>
      </c>
      <c r="E371" s="1">
        <f>VLOOKUP($B371&amp;"__wt",'SegEnds_Xtal_BW#'!$A:$Z,5,FALSE)</f>
        <v>47</v>
      </c>
      <c r="F371" s="1">
        <f>VLOOKUP($B371&amp;"__wt",'SegEnds_Xtal_BW#'!$A:$Z,6,FALSE)</f>
        <v>51</v>
      </c>
      <c r="G371" s="1">
        <v>39</v>
      </c>
      <c r="H371" s="12">
        <f>VLOOKUP($B371&amp;"__wt",'SegEnds_Xtal_BW#'!$A:$Z,8,FALSE)</f>
        <v>63</v>
      </c>
      <c r="I371" s="1" t="str">
        <f>VLOOKUP($B371&amp;"__wt",'SegEnds_Xtal_BW#'!$A:$Z,9,FALSE)</f>
        <v>-</v>
      </c>
      <c r="J371" s="1" t="str">
        <f>VLOOKUP($B371&amp;"__wt",'SegEnds_Xtal_BW#'!$A:$Z,10,FALSE)</f>
        <v>-</v>
      </c>
      <c r="K371" s="12">
        <f>VLOOKUP($B371&amp;"__wt",'SegEnds_Xtal_BW#'!$A:$Z,11,FALSE)</f>
        <v>23</v>
      </c>
      <c r="L371" s="1">
        <f>VLOOKUP($B371&amp;"__wt",'SegEnds_Xtal_BW#'!$A:$Z,12,FALSE)</f>
        <v>59</v>
      </c>
      <c r="M371" s="1" t="str">
        <f>VLOOKUP($B371&amp;"__wt",'SegEnds_Xtal_BW#'!$A:$Z,13,FALSE)</f>
        <v>-</v>
      </c>
      <c r="N371" s="12" t="str">
        <f>VLOOKUP($B371&amp;"__wt",'SegEnds_Xtal_BW#'!$A:$Z,14,FALSE)</f>
        <v>-</v>
      </c>
      <c r="O371" s="87">
        <f>VLOOKUP($B371&amp;"__wt",'SegEnds_Xtal_BW#'!$A:$Z,15,FALSE)</f>
        <v>38</v>
      </c>
      <c r="P371" s="1">
        <f>VLOOKUP($B371&amp;"__wt",'SegEnds_Xtal_BW#'!$A:$Z,16,FALSE)</f>
        <v>63</v>
      </c>
      <c r="Q371" s="1">
        <f>VLOOKUP($B371&amp;"__wt",'SegEnds_Xtal_BW#'!$A:$Z,17,FALSE)</f>
        <v>50</v>
      </c>
      <c r="R371" s="1">
        <f>VLOOKUP($B371&amp;"__wt",'SegEnds_Xtal_BW#'!$A:$Z,18,FALSE)</f>
        <v>52</v>
      </c>
      <c r="S371" s="1">
        <f>VLOOKUP($B371&amp;"__wt",'SegEnds_Xtal_BW#'!$A:$Z,19,FALSE)</f>
        <v>35</v>
      </c>
      <c r="T371" s="1">
        <f>VLOOKUP($B371&amp;"__wt",'SegEnds_Xtal_BW#'!$A:$Z,20,FALSE)</f>
        <v>72</v>
      </c>
      <c r="U371" s="1">
        <f>VLOOKUP($B371&amp;"__wt",'SegEnds_Xtal_BW#'!$A:$Z,21,FALSE)</f>
        <v>24</v>
      </c>
      <c r="V371" s="1">
        <f>VLOOKUP($B371&amp;"__wt",'SegEnds_Xtal_BW#'!$A:$Z,22,FALSE)</f>
        <v>78</v>
      </c>
      <c r="W371" s="1">
        <f>VLOOKUP($B371&amp;"__wt",'SegEnds_Xtal_BW#'!$A:$Z,23,FALSE)</f>
        <v>34</v>
      </c>
      <c r="X371" s="1">
        <f>VLOOKUP($B371&amp;"__wt",'SegEnds_Xtal_BW#'!$A:$Z,24,FALSE)</f>
        <v>57</v>
      </c>
      <c r="Y371" s="1">
        <f>VLOOKUP($B371&amp;"__wt",'SegEnds_Xtal_BW#'!$A:$Z,25,FALSE)</f>
        <v>47</v>
      </c>
      <c r="Z371" s="1">
        <f>VLOOKUP($B371&amp;"__wt",'SegEnds_Xtal_BW#'!$A:$Z,26,FALSE)</f>
        <v>62</v>
      </c>
      <c r="AA371" s="27" t="str">
        <f>VLOOKUP(A371,Classification!A:B,2,FALSE)</f>
        <v>F</v>
      </c>
      <c r="AB371" s="1">
        <f>VLOOKUP(A371,'SegEnds_NonXtal_Prot#'!A:AL,10,FALSE)-VLOOKUP(A371,'SegEnds_NonXtal_Prot#'!A:AL,4,FALSE)</f>
        <v>26</v>
      </c>
      <c r="AC371" s="1">
        <f>VLOOKUP(A371,'SegEnds_NonXtal_Prot#'!A:AL,10,FALSE)-VLOOKUP(A371,'SegEnds_NonXtal_Prot#'!A:AL,7,FALSE)</f>
        <v>12</v>
      </c>
      <c r="AD371" s="1" t="e">
        <f>VLOOKUP(A371,'SegEnds_NonXtal_Prot#'!A:AL,13,FALSE)-VLOOKUP(A371,'SegEnds_NonXtal_Prot#'!A:AL,10,FALSE)</f>
        <v>#VALUE!</v>
      </c>
      <c r="AE371" s="1">
        <f>VLOOKUP(A371,'SegEnds_NonXtal_Prot#'!A:AL,16,FALSE)-VLOOKUP(A371,'SegEnds_NonXtal_Prot#'!A:AL,10,FALSE)</f>
        <v>66</v>
      </c>
      <c r="AF371" s="1" t="e">
        <f>VLOOKUP(A371,'SegEnds_NonXtal_Prot#'!A:AL,22,FALSE)-VLOOKUP(A371,'SegEnds_NonXtal_Prot#'!A:AL,19,FALSE)</f>
        <v>#VALUE!</v>
      </c>
      <c r="AG371" s="1">
        <f>VLOOKUP(A371,'SegEnds_NonXtal_Prot#'!A:AL,28,FALSE)-VLOOKUP(A371,'SegEnds_NonXtal_Prot#'!A:AL,25,FALSE)</f>
        <v>21</v>
      </c>
      <c r="AH371" s="1">
        <f>VLOOKUP(A371,'SegEnds_NonXtal_Prot#'!A:AL,28,FALSE)-VLOOKUP(A371,'SegEnds_NonXtal_Prot#'!A:AL,22,FALSE)</f>
        <v>46</v>
      </c>
      <c r="AI371" s="1">
        <f>VLOOKUP(A371,'SegEnds_NonXtal_Prot#'!A:AL,31,FALSE)-VLOOKUP(A371,'SegEnds_NonXtal_Prot#'!A:AL,28,FALSE)</f>
        <v>55</v>
      </c>
      <c r="AJ371" s="1">
        <f>VLOOKUP(A371,'SegEnds_NonXtal_Prot#'!A:AL,34,FALSE)-VLOOKUP(A371,'SegEnds_NonXtal_Prot#'!A:AL,31,FALSE)</f>
        <v>56</v>
      </c>
      <c r="AK371" s="1">
        <f>VLOOKUP(A371,'SegEnds_NonXtal_Prot#'!A:AL,37,FALSE)-VLOOKUP(A371,'SegEnds_NonXtal_Prot#'!A:AL,34,FALSE)</f>
        <v>11</v>
      </c>
      <c r="AL371" s="1" t="str">
        <f>IF(ISERROR(MATCH(A371,'SegEnds_Xtal_Prot#'!B:B, 0)), "NoXtal", "Xtal")</f>
        <v>NoXtal</v>
      </c>
    </row>
    <row r="372" spans="1:38" x14ac:dyDescent="0.2">
      <c r="A372" s="1" t="s">
        <v>448</v>
      </c>
      <c r="B372" s="1" t="str">
        <f>VLOOKUP(A372,Xtal_Templ!A:B,2,FALSE)</f>
        <v>smo_human</v>
      </c>
      <c r="C372" s="5">
        <f>VLOOKUP($B372&amp;"__wt",'SegEnds_Xtal_BW#'!$A:$Z,3,FALSE)</f>
        <v>28</v>
      </c>
      <c r="D372" s="1">
        <f>VLOOKUP($B372&amp;"__wt",'SegEnds_Xtal_BW#'!$A:$Z,4,FALSE)</f>
        <v>60</v>
      </c>
      <c r="E372" s="1">
        <f>VLOOKUP($B372&amp;"__wt",'SegEnds_Xtal_BW#'!$A:$Z,5,FALSE)</f>
        <v>47</v>
      </c>
      <c r="F372" s="1">
        <f>VLOOKUP($B372&amp;"__wt",'SegEnds_Xtal_BW#'!$A:$Z,6,FALSE)</f>
        <v>51</v>
      </c>
      <c r="G372" s="1">
        <v>39</v>
      </c>
      <c r="H372" s="12">
        <f>VLOOKUP($B372&amp;"__wt",'SegEnds_Xtal_BW#'!$A:$Z,8,FALSE)</f>
        <v>63</v>
      </c>
      <c r="I372" s="1" t="str">
        <f>VLOOKUP($B372&amp;"__wt",'SegEnds_Xtal_BW#'!$A:$Z,9,FALSE)</f>
        <v>-</v>
      </c>
      <c r="J372" s="1" t="str">
        <f>VLOOKUP($B372&amp;"__wt",'SegEnds_Xtal_BW#'!$A:$Z,10,FALSE)</f>
        <v>-</v>
      </c>
      <c r="K372" s="12">
        <f>VLOOKUP($B372&amp;"__wt",'SegEnds_Xtal_BW#'!$A:$Z,11,FALSE)</f>
        <v>23</v>
      </c>
      <c r="L372" s="1">
        <f>VLOOKUP($B372&amp;"__wt",'SegEnds_Xtal_BW#'!$A:$Z,12,FALSE)</f>
        <v>59</v>
      </c>
      <c r="M372" s="1" t="str">
        <f>VLOOKUP($B372&amp;"__wt",'SegEnds_Xtal_BW#'!$A:$Z,13,FALSE)</f>
        <v>-</v>
      </c>
      <c r="N372" s="12" t="str">
        <f>VLOOKUP($B372&amp;"__wt",'SegEnds_Xtal_BW#'!$A:$Z,14,FALSE)</f>
        <v>-</v>
      </c>
      <c r="O372" s="87">
        <f>VLOOKUP($B372&amp;"__wt",'SegEnds_Xtal_BW#'!$A:$Z,15,FALSE)</f>
        <v>38</v>
      </c>
      <c r="P372" s="1">
        <f>VLOOKUP($B372&amp;"__wt",'SegEnds_Xtal_BW#'!$A:$Z,16,FALSE)</f>
        <v>63</v>
      </c>
      <c r="Q372" s="1">
        <f>VLOOKUP($B372&amp;"__wt",'SegEnds_Xtal_BW#'!$A:$Z,17,FALSE)</f>
        <v>50</v>
      </c>
      <c r="R372" s="1">
        <f>VLOOKUP($B372&amp;"__wt",'SegEnds_Xtal_BW#'!$A:$Z,18,FALSE)</f>
        <v>52</v>
      </c>
      <c r="S372" s="1">
        <f>VLOOKUP($B372&amp;"__wt",'SegEnds_Xtal_BW#'!$A:$Z,19,FALSE)</f>
        <v>35</v>
      </c>
      <c r="T372" s="1">
        <f>VLOOKUP($B372&amp;"__wt",'SegEnds_Xtal_BW#'!$A:$Z,20,FALSE)</f>
        <v>72</v>
      </c>
      <c r="U372" s="1">
        <f>VLOOKUP($B372&amp;"__wt",'SegEnds_Xtal_BW#'!$A:$Z,21,FALSE)</f>
        <v>24</v>
      </c>
      <c r="V372" s="1">
        <f>VLOOKUP($B372&amp;"__wt",'SegEnds_Xtal_BW#'!$A:$Z,22,FALSE)</f>
        <v>78</v>
      </c>
      <c r="W372" s="1">
        <f>VLOOKUP($B372&amp;"__wt",'SegEnds_Xtal_BW#'!$A:$Z,23,FALSE)</f>
        <v>34</v>
      </c>
      <c r="X372" s="1">
        <f>VLOOKUP($B372&amp;"__wt",'SegEnds_Xtal_BW#'!$A:$Z,24,FALSE)</f>
        <v>57</v>
      </c>
      <c r="Y372" s="1">
        <f>VLOOKUP($B372&amp;"__wt",'SegEnds_Xtal_BW#'!$A:$Z,25,FALSE)</f>
        <v>47</v>
      </c>
      <c r="Z372" s="1">
        <f>VLOOKUP($B372&amp;"__wt",'SegEnds_Xtal_BW#'!$A:$Z,26,FALSE)</f>
        <v>62</v>
      </c>
      <c r="AA372" s="27" t="str">
        <f>VLOOKUP(A372,Classification!A:B,2,FALSE)</f>
        <v>F</v>
      </c>
      <c r="AB372" s="1">
        <f>VLOOKUP(A372,'SegEnds_NonXtal_Prot#'!A:AL,10,FALSE)-VLOOKUP(A372,'SegEnds_NonXtal_Prot#'!A:AL,4,FALSE)</f>
        <v>26</v>
      </c>
      <c r="AC372" s="1">
        <f>VLOOKUP(A372,'SegEnds_NonXtal_Prot#'!A:AL,10,FALSE)-VLOOKUP(A372,'SegEnds_NonXtal_Prot#'!A:AL,7,FALSE)</f>
        <v>12</v>
      </c>
      <c r="AD372" s="1" t="e">
        <f>VLOOKUP(A372,'SegEnds_NonXtal_Prot#'!A:AL,13,FALSE)-VLOOKUP(A372,'SegEnds_NonXtal_Prot#'!A:AL,10,FALSE)</f>
        <v>#VALUE!</v>
      </c>
      <c r="AE372" s="1">
        <f>VLOOKUP(A372,'SegEnds_NonXtal_Prot#'!A:AL,16,FALSE)-VLOOKUP(A372,'SegEnds_NonXtal_Prot#'!A:AL,10,FALSE)</f>
        <v>67</v>
      </c>
      <c r="AF372" s="1" t="e">
        <f>VLOOKUP(A372,'SegEnds_NonXtal_Prot#'!A:AL,22,FALSE)-VLOOKUP(A372,'SegEnds_NonXtal_Prot#'!A:AL,19,FALSE)</f>
        <v>#VALUE!</v>
      </c>
      <c r="AG372" s="1">
        <f>VLOOKUP(A372,'SegEnds_NonXtal_Prot#'!A:AL,28,FALSE)-VLOOKUP(A372,'SegEnds_NonXtal_Prot#'!A:AL,25,FALSE)</f>
        <v>21</v>
      </c>
      <c r="AH372" s="1">
        <f>VLOOKUP(A372,'SegEnds_NonXtal_Prot#'!A:AL,28,FALSE)-VLOOKUP(A372,'SegEnds_NonXtal_Prot#'!A:AL,22,FALSE)</f>
        <v>46</v>
      </c>
      <c r="AI372" s="1">
        <f>VLOOKUP(A372,'SegEnds_NonXtal_Prot#'!A:AL,31,FALSE)-VLOOKUP(A372,'SegEnds_NonXtal_Prot#'!A:AL,28,FALSE)</f>
        <v>55</v>
      </c>
      <c r="AJ372" s="1">
        <f>VLOOKUP(A372,'SegEnds_NonXtal_Prot#'!A:AL,34,FALSE)-VLOOKUP(A372,'SegEnds_NonXtal_Prot#'!A:AL,31,FALSE)</f>
        <v>55</v>
      </c>
      <c r="AK372" s="1">
        <f>VLOOKUP(A372,'SegEnds_NonXtal_Prot#'!A:AL,37,FALSE)-VLOOKUP(A372,'SegEnds_NonXtal_Prot#'!A:AL,34,FALSE)</f>
        <v>11</v>
      </c>
      <c r="AL372" s="1" t="str">
        <f>IF(ISERROR(MATCH(A372,'SegEnds_Xtal_Prot#'!B:B, 0)), "NoXtal", "Xtal")</f>
        <v>NoXtal</v>
      </c>
    </row>
    <row r="373" spans="1:38" x14ac:dyDescent="0.2">
      <c r="A373" s="1" t="s">
        <v>449</v>
      </c>
      <c r="B373" s="1" t="str">
        <f>VLOOKUP(A373,Xtal_Templ!A:B,2,FALSE)</f>
        <v>smo_human</v>
      </c>
      <c r="C373" s="5">
        <f>VLOOKUP($B373&amp;"__wt",'SegEnds_Xtal_BW#'!$A:$Z,3,FALSE)</f>
        <v>28</v>
      </c>
      <c r="D373" s="1">
        <f>VLOOKUP($B373&amp;"__wt",'SegEnds_Xtal_BW#'!$A:$Z,4,FALSE)</f>
        <v>60</v>
      </c>
      <c r="E373" s="1">
        <f>VLOOKUP($B373&amp;"__wt",'SegEnds_Xtal_BW#'!$A:$Z,5,FALSE)</f>
        <v>47</v>
      </c>
      <c r="F373" s="1">
        <f>VLOOKUP($B373&amp;"__wt",'SegEnds_Xtal_BW#'!$A:$Z,6,FALSE)</f>
        <v>51</v>
      </c>
      <c r="G373" s="1">
        <v>39</v>
      </c>
      <c r="H373" s="12">
        <f>VLOOKUP($B373&amp;"__wt",'SegEnds_Xtal_BW#'!$A:$Z,8,FALSE)</f>
        <v>63</v>
      </c>
      <c r="I373" s="1" t="str">
        <f>VLOOKUP($B373&amp;"__wt",'SegEnds_Xtal_BW#'!$A:$Z,9,FALSE)</f>
        <v>-</v>
      </c>
      <c r="J373" s="1" t="str">
        <f>VLOOKUP($B373&amp;"__wt",'SegEnds_Xtal_BW#'!$A:$Z,10,FALSE)</f>
        <v>-</v>
      </c>
      <c r="K373" s="12">
        <f>VLOOKUP($B373&amp;"__wt",'SegEnds_Xtal_BW#'!$A:$Z,11,FALSE)</f>
        <v>23</v>
      </c>
      <c r="L373" s="1">
        <f>VLOOKUP($B373&amp;"__wt",'SegEnds_Xtal_BW#'!$A:$Z,12,FALSE)</f>
        <v>59</v>
      </c>
      <c r="M373" s="1" t="str">
        <f>VLOOKUP($B373&amp;"__wt",'SegEnds_Xtal_BW#'!$A:$Z,13,FALSE)</f>
        <v>-</v>
      </c>
      <c r="N373" s="12" t="str">
        <f>VLOOKUP($B373&amp;"__wt",'SegEnds_Xtal_BW#'!$A:$Z,14,FALSE)</f>
        <v>-</v>
      </c>
      <c r="O373" s="87">
        <f>VLOOKUP($B373&amp;"__wt",'SegEnds_Xtal_BW#'!$A:$Z,15,FALSE)</f>
        <v>38</v>
      </c>
      <c r="P373" s="1">
        <f>VLOOKUP($B373&amp;"__wt",'SegEnds_Xtal_BW#'!$A:$Z,16,FALSE)</f>
        <v>63</v>
      </c>
      <c r="Q373" s="1">
        <f>VLOOKUP($B373&amp;"__wt",'SegEnds_Xtal_BW#'!$A:$Z,17,FALSE)</f>
        <v>50</v>
      </c>
      <c r="R373" s="1">
        <f>VLOOKUP($B373&amp;"__wt",'SegEnds_Xtal_BW#'!$A:$Z,18,FALSE)</f>
        <v>52</v>
      </c>
      <c r="S373" s="1">
        <f>VLOOKUP($B373&amp;"__wt",'SegEnds_Xtal_BW#'!$A:$Z,19,FALSE)</f>
        <v>35</v>
      </c>
      <c r="T373" s="1">
        <f>VLOOKUP($B373&amp;"__wt",'SegEnds_Xtal_BW#'!$A:$Z,20,FALSE)</f>
        <v>72</v>
      </c>
      <c r="U373" s="1">
        <f>VLOOKUP($B373&amp;"__wt",'SegEnds_Xtal_BW#'!$A:$Z,21,FALSE)</f>
        <v>24</v>
      </c>
      <c r="V373" s="1">
        <f>VLOOKUP($B373&amp;"__wt",'SegEnds_Xtal_BW#'!$A:$Z,22,FALSE)</f>
        <v>78</v>
      </c>
      <c r="W373" s="1">
        <f>VLOOKUP($B373&amp;"__wt",'SegEnds_Xtal_BW#'!$A:$Z,23,FALSE)</f>
        <v>34</v>
      </c>
      <c r="X373" s="1">
        <f>VLOOKUP($B373&amp;"__wt",'SegEnds_Xtal_BW#'!$A:$Z,24,FALSE)</f>
        <v>57</v>
      </c>
      <c r="Y373" s="1">
        <f>VLOOKUP($B373&amp;"__wt",'SegEnds_Xtal_BW#'!$A:$Z,25,FALSE)</f>
        <v>47</v>
      </c>
      <c r="Z373" s="1">
        <f>VLOOKUP($B373&amp;"__wt",'SegEnds_Xtal_BW#'!$A:$Z,26,FALSE)</f>
        <v>62</v>
      </c>
      <c r="AA373" s="27" t="str">
        <f>VLOOKUP(A373,Classification!A:B,2,FALSE)</f>
        <v>F</v>
      </c>
      <c r="AB373" s="1">
        <f>VLOOKUP(A373,'SegEnds_NonXtal_Prot#'!A:AL,10,FALSE)-VLOOKUP(A373,'SegEnds_NonXtal_Prot#'!A:AL,4,FALSE)</f>
        <v>26</v>
      </c>
      <c r="AC373" s="1">
        <f>VLOOKUP(A373,'SegEnds_NonXtal_Prot#'!A:AL,10,FALSE)-VLOOKUP(A373,'SegEnds_NonXtal_Prot#'!A:AL,7,FALSE)</f>
        <v>12</v>
      </c>
      <c r="AD373" s="1" t="e">
        <f>VLOOKUP(A373,'SegEnds_NonXtal_Prot#'!A:AL,13,FALSE)-VLOOKUP(A373,'SegEnds_NonXtal_Prot#'!A:AL,10,FALSE)</f>
        <v>#VALUE!</v>
      </c>
      <c r="AE373" s="1">
        <f>VLOOKUP(A373,'SegEnds_NonXtal_Prot#'!A:AL,16,FALSE)-VLOOKUP(A373,'SegEnds_NonXtal_Prot#'!A:AL,10,FALSE)</f>
        <v>68</v>
      </c>
      <c r="AF373" s="1" t="e">
        <f>VLOOKUP(A373,'SegEnds_NonXtal_Prot#'!A:AL,22,FALSE)-VLOOKUP(A373,'SegEnds_NonXtal_Prot#'!A:AL,19,FALSE)</f>
        <v>#VALUE!</v>
      </c>
      <c r="AG373" s="1">
        <f>VLOOKUP(A373,'SegEnds_NonXtal_Prot#'!A:AL,28,FALSE)-VLOOKUP(A373,'SegEnds_NonXtal_Prot#'!A:AL,25,FALSE)</f>
        <v>21</v>
      </c>
      <c r="AH373" s="1">
        <f>VLOOKUP(A373,'SegEnds_NonXtal_Prot#'!A:AL,28,FALSE)-VLOOKUP(A373,'SegEnds_NonXtal_Prot#'!A:AL,22,FALSE)</f>
        <v>46</v>
      </c>
      <c r="AI373" s="1">
        <f>VLOOKUP(A373,'SegEnds_NonXtal_Prot#'!A:AL,31,FALSE)-VLOOKUP(A373,'SegEnds_NonXtal_Prot#'!A:AL,28,FALSE)</f>
        <v>55</v>
      </c>
      <c r="AJ373" s="1">
        <f>VLOOKUP(A373,'SegEnds_NonXtal_Prot#'!A:AL,34,FALSE)-VLOOKUP(A373,'SegEnds_NonXtal_Prot#'!A:AL,31,FALSE)</f>
        <v>55</v>
      </c>
      <c r="AK373" s="1">
        <f>VLOOKUP(A373,'SegEnds_NonXtal_Prot#'!A:AL,37,FALSE)-VLOOKUP(A373,'SegEnds_NonXtal_Prot#'!A:AL,34,FALSE)</f>
        <v>11</v>
      </c>
      <c r="AL373" s="1" t="str">
        <f>IF(ISERROR(MATCH(A373,'SegEnds_Xtal_Prot#'!B:B, 0)), "NoXtal", "Xtal")</f>
        <v>NoXtal</v>
      </c>
    </row>
    <row r="374" spans="1:38" x14ac:dyDescent="0.2">
      <c r="A374" s="1" t="s">
        <v>450</v>
      </c>
      <c r="B374" s="1" t="str">
        <f>VLOOKUP(A374,Xtal_Templ!A:B,2,FALSE)</f>
        <v>smo_human</v>
      </c>
      <c r="C374" s="5">
        <f>VLOOKUP($B374&amp;"__wt",'SegEnds_Xtal_BW#'!$A:$Z,3,FALSE)</f>
        <v>28</v>
      </c>
      <c r="D374" s="1">
        <f>VLOOKUP($B374&amp;"__wt",'SegEnds_Xtal_BW#'!$A:$Z,4,FALSE)</f>
        <v>60</v>
      </c>
      <c r="E374" s="1">
        <f>VLOOKUP($B374&amp;"__wt",'SegEnds_Xtal_BW#'!$A:$Z,5,FALSE)</f>
        <v>47</v>
      </c>
      <c r="F374" s="1">
        <f>VLOOKUP($B374&amp;"__wt",'SegEnds_Xtal_BW#'!$A:$Z,6,FALSE)</f>
        <v>51</v>
      </c>
      <c r="G374" s="1">
        <v>39</v>
      </c>
      <c r="H374" s="12">
        <f>VLOOKUP($B374&amp;"__wt",'SegEnds_Xtal_BW#'!$A:$Z,8,FALSE)</f>
        <v>63</v>
      </c>
      <c r="I374" s="1" t="str">
        <f>VLOOKUP($B374&amp;"__wt",'SegEnds_Xtal_BW#'!$A:$Z,9,FALSE)</f>
        <v>-</v>
      </c>
      <c r="J374" s="1" t="str">
        <f>VLOOKUP($B374&amp;"__wt",'SegEnds_Xtal_BW#'!$A:$Z,10,FALSE)</f>
        <v>-</v>
      </c>
      <c r="K374" s="12">
        <f>VLOOKUP($B374&amp;"__wt",'SegEnds_Xtal_BW#'!$A:$Z,11,FALSE)</f>
        <v>23</v>
      </c>
      <c r="L374" s="1">
        <f>VLOOKUP($B374&amp;"__wt",'SegEnds_Xtal_BW#'!$A:$Z,12,FALSE)</f>
        <v>59</v>
      </c>
      <c r="M374" s="1" t="str">
        <f>VLOOKUP($B374&amp;"__wt",'SegEnds_Xtal_BW#'!$A:$Z,13,FALSE)</f>
        <v>-</v>
      </c>
      <c r="N374" s="12" t="str">
        <f>VLOOKUP($B374&amp;"__wt",'SegEnds_Xtal_BW#'!$A:$Z,14,FALSE)</f>
        <v>-</v>
      </c>
      <c r="O374" s="87">
        <f>VLOOKUP($B374&amp;"__wt",'SegEnds_Xtal_BW#'!$A:$Z,15,FALSE)</f>
        <v>38</v>
      </c>
      <c r="P374" s="1">
        <f>VLOOKUP($B374&amp;"__wt",'SegEnds_Xtal_BW#'!$A:$Z,16,FALSE)</f>
        <v>63</v>
      </c>
      <c r="Q374" s="1">
        <f>VLOOKUP($B374&amp;"__wt",'SegEnds_Xtal_BW#'!$A:$Z,17,FALSE)</f>
        <v>50</v>
      </c>
      <c r="R374" s="1">
        <f>VLOOKUP($B374&amp;"__wt",'SegEnds_Xtal_BW#'!$A:$Z,18,FALSE)</f>
        <v>52</v>
      </c>
      <c r="S374" s="1">
        <f>VLOOKUP($B374&amp;"__wt",'SegEnds_Xtal_BW#'!$A:$Z,19,FALSE)</f>
        <v>35</v>
      </c>
      <c r="T374" s="1">
        <f>VLOOKUP($B374&amp;"__wt",'SegEnds_Xtal_BW#'!$A:$Z,20,FALSE)</f>
        <v>72</v>
      </c>
      <c r="U374" s="1">
        <f>VLOOKUP($B374&amp;"__wt",'SegEnds_Xtal_BW#'!$A:$Z,21,FALSE)</f>
        <v>24</v>
      </c>
      <c r="V374" s="1">
        <v>66</v>
      </c>
      <c r="W374" s="1">
        <f>VLOOKUP($B374&amp;"__wt",'SegEnds_Xtal_BW#'!$A:$Z,23,FALSE)</f>
        <v>34</v>
      </c>
      <c r="X374" s="1">
        <f>VLOOKUP($B374&amp;"__wt",'SegEnds_Xtal_BW#'!$A:$Z,24,FALSE)</f>
        <v>57</v>
      </c>
      <c r="Y374" s="1">
        <f>VLOOKUP($B374&amp;"__wt",'SegEnds_Xtal_BW#'!$A:$Z,25,FALSE)</f>
        <v>47</v>
      </c>
      <c r="Z374" s="1">
        <f>VLOOKUP($B374&amp;"__wt",'SegEnds_Xtal_BW#'!$A:$Z,26,FALSE)</f>
        <v>62</v>
      </c>
      <c r="AA374" s="27" t="str">
        <f>VLOOKUP(A374,Classification!A:B,2,FALSE)</f>
        <v>F</v>
      </c>
      <c r="AB374" s="1">
        <f>VLOOKUP(A374,'SegEnds_NonXtal_Prot#'!A:AL,10,FALSE)-VLOOKUP(A374,'SegEnds_NonXtal_Prot#'!A:AL,4,FALSE)</f>
        <v>26</v>
      </c>
      <c r="AC374" s="1">
        <f>VLOOKUP(A374,'SegEnds_NonXtal_Prot#'!A:AL,10,FALSE)-VLOOKUP(A374,'SegEnds_NonXtal_Prot#'!A:AL,7,FALSE)</f>
        <v>12</v>
      </c>
      <c r="AD374" s="1" t="e">
        <f>VLOOKUP(A374,'SegEnds_NonXtal_Prot#'!A:AL,13,FALSE)-VLOOKUP(A374,'SegEnds_NonXtal_Prot#'!A:AL,10,FALSE)</f>
        <v>#VALUE!</v>
      </c>
      <c r="AE374" s="1">
        <f>VLOOKUP(A374,'SegEnds_NonXtal_Prot#'!A:AL,16,FALSE)-VLOOKUP(A374,'SegEnds_NonXtal_Prot#'!A:AL,10,FALSE)</f>
        <v>67</v>
      </c>
      <c r="AF374" s="1" t="e">
        <f>VLOOKUP(A374,'SegEnds_NonXtal_Prot#'!A:AL,22,FALSE)-VLOOKUP(A374,'SegEnds_NonXtal_Prot#'!A:AL,19,FALSE)</f>
        <v>#VALUE!</v>
      </c>
      <c r="AG374" s="1">
        <f>VLOOKUP(A374,'SegEnds_NonXtal_Prot#'!A:AL,28,FALSE)-VLOOKUP(A374,'SegEnds_NonXtal_Prot#'!A:AL,25,FALSE)</f>
        <v>21</v>
      </c>
      <c r="AH374" s="1">
        <f>VLOOKUP(A374,'SegEnds_NonXtal_Prot#'!A:AL,28,FALSE)-VLOOKUP(A374,'SegEnds_NonXtal_Prot#'!A:AL,22,FALSE)</f>
        <v>46</v>
      </c>
      <c r="AI374" s="1">
        <f>VLOOKUP(A374,'SegEnds_NonXtal_Prot#'!A:AL,31,FALSE)-VLOOKUP(A374,'SegEnds_NonXtal_Prot#'!A:AL,28,FALSE)</f>
        <v>55</v>
      </c>
      <c r="AJ374" s="1">
        <f>VLOOKUP(A374,'SegEnds_NonXtal_Prot#'!A:AL,34,FALSE)-VLOOKUP(A374,'SegEnds_NonXtal_Prot#'!A:AL,31,FALSE)</f>
        <v>36</v>
      </c>
      <c r="AK374" s="1">
        <f>VLOOKUP(A374,'SegEnds_NonXtal_Prot#'!A:AL,37,FALSE)-VLOOKUP(A374,'SegEnds_NonXtal_Prot#'!A:AL,34,FALSE)</f>
        <v>11</v>
      </c>
      <c r="AL374" s="1" t="str">
        <f>IF(ISERROR(MATCH(A374,'SegEnds_Xtal_Prot#'!B:B, 0)), "NoXtal", "Xtal")</f>
        <v>NoXtal</v>
      </c>
    </row>
    <row r="375" spans="1:38" x14ac:dyDescent="0.2">
      <c r="A375" s="1" t="s">
        <v>451</v>
      </c>
      <c r="B375" s="1" t="str">
        <f>VLOOKUP(A375,Xtal_Templ!A:B,2,FALSE)</f>
        <v>smo_human</v>
      </c>
      <c r="C375" s="5">
        <f>VLOOKUP($B375&amp;"__wt",'SegEnds_Xtal_BW#'!$A:$Z,3,FALSE)</f>
        <v>28</v>
      </c>
      <c r="D375" s="1">
        <f>VLOOKUP($B375&amp;"__wt",'SegEnds_Xtal_BW#'!$A:$Z,4,FALSE)</f>
        <v>60</v>
      </c>
      <c r="E375" s="1">
        <f>VLOOKUP($B375&amp;"__wt",'SegEnds_Xtal_BW#'!$A:$Z,5,FALSE)</f>
        <v>47</v>
      </c>
      <c r="F375" s="1">
        <f>VLOOKUP($B375&amp;"__wt",'SegEnds_Xtal_BW#'!$A:$Z,6,FALSE)</f>
        <v>51</v>
      </c>
      <c r="G375" s="1">
        <v>39</v>
      </c>
      <c r="H375" s="12">
        <f>VLOOKUP($B375&amp;"__wt",'SegEnds_Xtal_BW#'!$A:$Z,8,FALSE)</f>
        <v>63</v>
      </c>
      <c r="I375" s="1" t="str">
        <f>VLOOKUP($B375&amp;"__wt",'SegEnds_Xtal_BW#'!$A:$Z,9,FALSE)</f>
        <v>-</v>
      </c>
      <c r="J375" s="1" t="str">
        <f>VLOOKUP($B375&amp;"__wt",'SegEnds_Xtal_BW#'!$A:$Z,10,FALSE)</f>
        <v>-</v>
      </c>
      <c r="K375" s="12">
        <f>VLOOKUP($B375&amp;"__wt",'SegEnds_Xtal_BW#'!$A:$Z,11,FALSE)</f>
        <v>23</v>
      </c>
      <c r="L375" s="1">
        <f>VLOOKUP($B375&amp;"__wt",'SegEnds_Xtal_BW#'!$A:$Z,12,FALSE)</f>
        <v>59</v>
      </c>
      <c r="M375" s="1" t="str">
        <f>VLOOKUP($B375&amp;"__wt",'SegEnds_Xtal_BW#'!$A:$Z,13,FALSE)</f>
        <v>-</v>
      </c>
      <c r="N375" s="12" t="str">
        <f>VLOOKUP($B375&amp;"__wt",'SegEnds_Xtal_BW#'!$A:$Z,14,FALSE)</f>
        <v>-</v>
      </c>
      <c r="O375" s="87">
        <f>VLOOKUP($B375&amp;"__wt",'SegEnds_Xtal_BW#'!$A:$Z,15,FALSE)</f>
        <v>38</v>
      </c>
      <c r="P375" s="1">
        <f>VLOOKUP($B375&amp;"__wt",'SegEnds_Xtal_BW#'!$A:$Z,16,FALSE)</f>
        <v>63</v>
      </c>
      <c r="Q375" s="1">
        <f>VLOOKUP($B375&amp;"__wt",'SegEnds_Xtal_BW#'!$A:$Z,17,FALSE)</f>
        <v>50</v>
      </c>
      <c r="R375" s="1">
        <f>VLOOKUP($B375&amp;"__wt",'SegEnds_Xtal_BW#'!$A:$Z,18,FALSE)</f>
        <v>52</v>
      </c>
      <c r="S375" s="1">
        <f>VLOOKUP($B375&amp;"__wt",'SegEnds_Xtal_BW#'!$A:$Z,19,FALSE)</f>
        <v>35</v>
      </c>
      <c r="T375" s="1">
        <f>VLOOKUP($B375&amp;"__wt",'SegEnds_Xtal_BW#'!$A:$Z,20,FALSE)</f>
        <v>72</v>
      </c>
      <c r="U375" s="1">
        <f>VLOOKUP($B375&amp;"__wt",'SegEnds_Xtal_BW#'!$A:$Z,21,FALSE)</f>
        <v>24</v>
      </c>
      <c r="V375" s="1">
        <f>VLOOKUP($B375&amp;"__wt",'SegEnds_Xtal_BW#'!$A:$Z,22,FALSE)</f>
        <v>78</v>
      </c>
      <c r="W375" s="1">
        <f>VLOOKUP($B375&amp;"__wt",'SegEnds_Xtal_BW#'!$A:$Z,23,FALSE)</f>
        <v>34</v>
      </c>
      <c r="X375" s="1">
        <f>VLOOKUP($B375&amp;"__wt",'SegEnds_Xtal_BW#'!$A:$Z,24,FALSE)</f>
        <v>57</v>
      </c>
      <c r="Y375" s="1">
        <f>VLOOKUP($B375&amp;"__wt",'SegEnds_Xtal_BW#'!$A:$Z,25,FALSE)</f>
        <v>47</v>
      </c>
      <c r="Z375" s="1">
        <f>VLOOKUP($B375&amp;"__wt",'SegEnds_Xtal_BW#'!$A:$Z,26,FALSE)</f>
        <v>62</v>
      </c>
      <c r="AA375" s="27" t="str">
        <f>VLOOKUP(A375,Classification!A:B,2,FALSE)</f>
        <v>F</v>
      </c>
      <c r="AB375" s="1">
        <f>VLOOKUP(A375,'SegEnds_NonXtal_Prot#'!A:AL,10,FALSE)-VLOOKUP(A375,'SegEnds_NonXtal_Prot#'!A:AL,4,FALSE)</f>
        <v>26</v>
      </c>
      <c r="AC375" s="1">
        <f>VLOOKUP(A375,'SegEnds_NonXtal_Prot#'!A:AL,10,FALSE)-VLOOKUP(A375,'SegEnds_NonXtal_Prot#'!A:AL,7,FALSE)</f>
        <v>12</v>
      </c>
      <c r="AD375" s="1" t="e">
        <f>VLOOKUP(A375,'SegEnds_NonXtal_Prot#'!A:AL,13,FALSE)-VLOOKUP(A375,'SegEnds_NonXtal_Prot#'!A:AL,10,FALSE)</f>
        <v>#VALUE!</v>
      </c>
      <c r="AE375" s="1">
        <f>VLOOKUP(A375,'SegEnds_NonXtal_Prot#'!A:AL,16,FALSE)-VLOOKUP(A375,'SegEnds_NonXtal_Prot#'!A:AL,10,FALSE)</f>
        <v>64</v>
      </c>
      <c r="AF375" s="1" t="e">
        <f>VLOOKUP(A375,'SegEnds_NonXtal_Prot#'!A:AL,22,FALSE)-VLOOKUP(A375,'SegEnds_NonXtal_Prot#'!A:AL,19,FALSE)</f>
        <v>#VALUE!</v>
      </c>
      <c r="AG375" s="1">
        <f>VLOOKUP(A375,'SegEnds_NonXtal_Prot#'!A:AL,28,FALSE)-VLOOKUP(A375,'SegEnds_NonXtal_Prot#'!A:AL,25,FALSE)</f>
        <v>21</v>
      </c>
      <c r="AH375" s="1">
        <f>VLOOKUP(A375,'SegEnds_NonXtal_Prot#'!A:AL,28,FALSE)-VLOOKUP(A375,'SegEnds_NonXtal_Prot#'!A:AL,22,FALSE)</f>
        <v>46</v>
      </c>
      <c r="AI375" s="1">
        <f>VLOOKUP(A375,'SegEnds_NonXtal_Prot#'!A:AL,31,FALSE)-VLOOKUP(A375,'SegEnds_NonXtal_Prot#'!A:AL,28,FALSE)</f>
        <v>55</v>
      </c>
      <c r="AJ375" s="1">
        <f>VLOOKUP(A375,'SegEnds_NonXtal_Prot#'!A:AL,34,FALSE)-VLOOKUP(A375,'SegEnds_NonXtal_Prot#'!A:AL,31,FALSE)</f>
        <v>49</v>
      </c>
      <c r="AK375" s="1">
        <f>VLOOKUP(A375,'SegEnds_NonXtal_Prot#'!A:AL,37,FALSE)-VLOOKUP(A375,'SegEnds_NonXtal_Prot#'!A:AL,34,FALSE)</f>
        <v>11</v>
      </c>
      <c r="AL375" s="1" t="str">
        <f>IF(ISERROR(MATCH(A375,'SegEnds_Xtal_Prot#'!B:B, 0)), "NoXtal", "Xtal")</f>
        <v>NoXtal</v>
      </c>
    </row>
    <row r="376" spans="1:38" x14ac:dyDescent="0.2">
      <c r="A376" s="1" t="s">
        <v>452</v>
      </c>
      <c r="B376" s="1" t="str">
        <f>VLOOKUP(A376,Xtal_Templ!A:B,2,FALSE)</f>
        <v>smo_human</v>
      </c>
      <c r="C376" s="5">
        <f>VLOOKUP($B376&amp;"__wt",'SegEnds_Xtal_BW#'!$A:$Z,3,FALSE)</f>
        <v>28</v>
      </c>
      <c r="D376" s="1">
        <f>VLOOKUP($B376&amp;"__wt",'SegEnds_Xtal_BW#'!$A:$Z,4,FALSE)</f>
        <v>60</v>
      </c>
      <c r="E376" s="1">
        <f>VLOOKUP($B376&amp;"__wt",'SegEnds_Xtal_BW#'!$A:$Z,5,FALSE)</f>
        <v>47</v>
      </c>
      <c r="F376" s="1">
        <f>VLOOKUP($B376&amp;"__wt",'SegEnds_Xtal_BW#'!$A:$Z,6,FALSE)</f>
        <v>51</v>
      </c>
      <c r="G376" s="1">
        <v>39</v>
      </c>
      <c r="H376" s="12">
        <f>VLOOKUP($B376&amp;"__wt",'SegEnds_Xtal_BW#'!$A:$Z,8,FALSE)</f>
        <v>63</v>
      </c>
      <c r="I376" s="1" t="str">
        <f>VLOOKUP($B376&amp;"__wt",'SegEnds_Xtal_BW#'!$A:$Z,9,FALSE)</f>
        <v>-</v>
      </c>
      <c r="J376" s="1" t="str">
        <f>VLOOKUP($B376&amp;"__wt",'SegEnds_Xtal_BW#'!$A:$Z,10,FALSE)</f>
        <v>-</v>
      </c>
      <c r="K376" s="12">
        <f>VLOOKUP($B376&amp;"__wt",'SegEnds_Xtal_BW#'!$A:$Z,11,FALSE)</f>
        <v>23</v>
      </c>
      <c r="L376" s="1">
        <f>VLOOKUP($B376&amp;"__wt",'SegEnds_Xtal_BW#'!$A:$Z,12,FALSE)</f>
        <v>59</v>
      </c>
      <c r="M376" s="1" t="str">
        <f>VLOOKUP($B376&amp;"__wt",'SegEnds_Xtal_BW#'!$A:$Z,13,FALSE)</f>
        <v>-</v>
      </c>
      <c r="N376" s="12" t="str">
        <f>VLOOKUP($B376&amp;"__wt",'SegEnds_Xtal_BW#'!$A:$Z,14,FALSE)</f>
        <v>-</v>
      </c>
      <c r="O376" s="87">
        <f>VLOOKUP($B376&amp;"__wt",'SegEnds_Xtal_BW#'!$A:$Z,15,FALSE)</f>
        <v>38</v>
      </c>
      <c r="P376" s="1">
        <f>VLOOKUP($B376&amp;"__wt",'SegEnds_Xtal_BW#'!$A:$Z,16,FALSE)</f>
        <v>63</v>
      </c>
      <c r="Q376" s="1">
        <f>VLOOKUP($B376&amp;"__wt",'SegEnds_Xtal_BW#'!$A:$Z,17,FALSE)</f>
        <v>50</v>
      </c>
      <c r="R376" s="1">
        <f>VLOOKUP($B376&amp;"__wt",'SegEnds_Xtal_BW#'!$A:$Z,18,FALSE)</f>
        <v>52</v>
      </c>
      <c r="S376" s="1">
        <f>VLOOKUP($B376&amp;"__wt",'SegEnds_Xtal_BW#'!$A:$Z,19,FALSE)</f>
        <v>35</v>
      </c>
      <c r="T376" s="1">
        <f>VLOOKUP($B376&amp;"__wt",'SegEnds_Xtal_BW#'!$A:$Z,20,FALSE)</f>
        <v>72</v>
      </c>
      <c r="U376" s="1">
        <f>VLOOKUP($B376&amp;"__wt",'SegEnds_Xtal_BW#'!$A:$Z,21,FALSE)</f>
        <v>24</v>
      </c>
      <c r="V376" s="1">
        <f>VLOOKUP($B376&amp;"__wt",'SegEnds_Xtal_BW#'!$A:$Z,22,FALSE)</f>
        <v>78</v>
      </c>
      <c r="W376" s="1">
        <f>VLOOKUP($B376&amp;"__wt",'SegEnds_Xtal_BW#'!$A:$Z,23,FALSE)</f>
        <v>34</v>
      </c>
      <c r="X376" s="1">
        <f>VLOOKUP($B376&amp;"__wt",'SegEnds_Xtal_BW#'!$A:$Z,24,FALSE)</f>
        <v>57</v>
      </c>
      <c r="Y376" s="1">
        <f>VLOOKUP($B376&amp;"__wt",'SegEnds_Xtal_BW#'!$A:$Z,25,FALSE)</f>
        <v>47</v>
      </c>
      <c r="Z376" s="1">
        <f>VLOOKUP($B376&amp;"__wt",'SegEnds_Xtal_BW#'!$A:$Z,26,FALSE)</f>
        <v>62</v>
      </c>
      <c r="AA376" s="27" t="str">
        <f>VLOOKUP(A376,Classification!A:B,2,FALSE)</f>
        <v>F</v>
      </c>
      <c r="AB376" s="1">
        <f>VLOOKUP(A376,'SegEnds_NonXtal_Prot#'!A:AL,10,FALSE)-VLOOKUP(A376,'SegEnds_NonXtal_Prot#'!A:AL,4,FALSE)</f>
        <v>26</v>
      </c>
      <c r="AC376" s="1">
        <f>VLOOKUP(A376,'SegEnds_NonXtal_Prot#'!A:AL,10,FALSE)-VLOOKUP(A376,'SegEnds_NonXtal_Prot#'!A:AL,7,FALSE)</f>
        <v>12</v>
      </c>
      <c r="AD376" s="1" t="e">
        <f>VLOOKUP(A376,'SegEnds_NonXtal_Prot#'!A:AL,13,FALSE)-VLOOKUP(A376,'SegEnds_NonXtal_Prot#'!A:AL,10,FALSE)</f>
        <v>#VALUE!</v>
      </c>
      <c r="AE376" s="1">
        <f>VLOOKUP(A376,'SegEnds_NonXtal_Prot#'!A:AL,16,FALSE)-VLOOKUP(A376,'SegEnds_NonXtal_Prot#'!A:AL,10,FALSE)</f>
        <v>68</v>
      </c>
      <c r="AF376" s="1" t="e">
        <f>VLOOKUP(A376,'SegEnds_NonXtal_Prot#'!A:AL,22,FALSE)-VLOOKUP(A376,'SegEnds_NonXtal_Prot#'!A:AL,19,FALSE)</f>
        <v>#VALUE!</v>
      </c>
      <c r="AG376" s="1">
        <f>VLOOKUP(A376,'SegEnds_NonXtal_Prot#'!A:AL,28,FALSE)-VLOOKUP(A376,'SegEnds_NonXtal_Prot#'!A:AL,25,FALSE)</f>
        <v>21</v>
      </c>
      <c r="AH376" s="1">
        <f>VLOOKUP(A376,'SegEnds_NonXtal_Prot#'!A:AL,28,FALSE)-VLOOKUP(A376,'SegEnds_NonXtal_Prot#'!A:AL,22,FALSE)</f>
        <v>46</v>
      </c>
      <c r="AI376" s="1">
        <f>VLOOKUP(A376,'SegEnds_NonXtal_Prot#'!A:AL,31,FALSE)-VLOOKUP(A376,'SegEnds_NonXtal_Prot#'!A:AL,28,FALSE)</f>
        <v>55</v>
      </c>
      <c r="AJ376" s="1">
        <f>VLOOKUP(A376,'SegEnds_NonXtal_Prot#'!A:AL,34,FALSE)-VLOOKUP(A376,'SegEnds_NonXtal_Prot#'!A:AL,31,FALSE)</f>
        <v>55</v>
      </c>
      <c r="AK376" s="1">
        <f>VLOOKUP(A376,'SegEnds_NonXtal_Prot#'!A:AL,37,FALSE)-VLOOKUP(A376,'SegEnds_NonXtal_Prot#'!A:AL,34,FALSE)</f>
        <v>11</v>
      </c>
      <c r="AL376" s="1" t="str">
        <f>IF(ISERROR(MATCH(A376,'SegEnds_Xtal_Prot#'!B:B, 0)), "NoXtal", "Xtal")</f>
        <v>NoXtal</v>
      </c>
    </row>
    <row r="377" spans="1:38" x14ac:dyDescent="0.2">
      <c r="A377" s="1" t="s">
        <v>453</v>
      </c>
      <c r="B377" s="1" t="str">
        <f>VLOOKUP(A377,Xtal_Templ!A:B,2,FALSE)</f>
        <v>smo_human</v>
      </c>
      <c r="C377" s="5">
        <f>VLOOKUP($B377&amp;"__wt",'SegEnds_Xtal_BW#'!$A:$Z,3,FALSE)</f>
        <v>28</v>
      </c>
      <c r="D377" s="1">
        <f>VLOOKUP($B377&amp;"__wt",'SegEnds_Xtal_BW#'!$A:$Z,4,FALSE)</f>
        <v>60</v>
      </c>
      <c r="E377" s="1">
        <f>VLOOKUP($B377&amp;"__wt",'SegEnds_Xtal_BW#'!$A:$Z,5,FALSE)</f>
        <v>47</v>
      </c>
      <c r="F377" s="1">
        <f>VLOOKUP($B377&amp;"__wt",'SegEnds_Xtal_BW#'!$A:$Z,6,FALSE)</f>
        <v>51</v>
      </c>
      <c r="G377" s="1">
        <v>39</v>
      </c>
      <c r="H377" s="12">
        <f>VLOOKUP($B377&amp;"__wt",'SegEnds_Xtal_BW#'!$A:$Z,8,FALSE)</f>
        <v>63</v>
      </c>
      <c r="I377" s="1" t="str">
        <f>VLOOKUP($B377&amp;"__wt",'SegEnds_Xtal_BW#'!$A:$Z,9,FALSE)</f>
        <v>-</v>
      </c>
      <c r="J377" s="1" t="str">
        <f>VLOOKUP($B377&amp;"__wt",'SegEnds_Xtal_BW#'!$A:$Z,10,FALSE)</f>
        <v>-</v>
      </c>
      <c r="K377" s="12">
        <f>VLOOKUP($B377&amp;"__wt",'SegEnds_Xtal_BW#'!$A:$Z,11,FALSE)</f>
        <v>23</v>
      </c>
      <c r="L377" s="1">
        <f>VLOOKUP($B377&amp;"__wt",'SegEnds_Xtal_BW#'!$A:$Z,12,FALSE)</f>
        <v>59</v>
      </c>
      <c r="M377" s="1" t="str">
        <f>VLOOKUP($B377&amp;"__wt",'SegEnds_Xtal_BW#'!$A:$Z,13,FALSE)</f>
        <v>-</v>
      </c>
      <c r="N377" s="12" t="str">
        <f>VLOOKUP($B377&amp;"__wt",'SegEnds_Xtal_BW#'!$A:$Z,14,FALSE)</f>
        <v>-</v>
      </c>
      <c r="O377" s="87">
        <f>VLOOKUP($B377&amp;"__wt",'SegEnds_Xtal_BW#'!$A:$Z,15,FALSE)</f>
        <v>38</v>
      </c>
      <c r="P377" s="1">
        <f>VLOOKUP($B377&amp;"__wt",'SegEnds_Xtal_BW#'!$A:$Z,16,FALSE)</f>
        <v>63</v>
      </c>
      <c r="Q377" s="1">
        <f>VLOOKUP($B377&amp;"__wt",'SegEnds_Xtal_BW#'!$A:$Z,17,FALSE)</f>
        <v>50</v>
      </c>
      <c r="R377" s="1">
        <f>VLOOKUP($B377&amp;"__wt",'SegEnds_Xtal_BW#'!$A:$Z,18,FALSE)</f>
        <v>52</v>
      </c>
      <c r="S377" s="1">
        <f>VLOOKUP($B377&amp;"__wt",'SegEnds_Xtal_BW#'!$A:$Z,19,FALSE)</f>
        <v>35</v>
      </c>
      <c r="T377" s="1">
        <f>VLOOKUP($B377&amp;"__wt",'SegEnds_Xtal_BW#'!$A:$Z,20,FALSE)</f>
        <v>72</v>
      </c>
      <c r="U377" s="1">
        <f>VLOOKUP($B377&amp;"__wt",'SegEnds_Xtal_BW#'!$A:$Z,21,FALSE)</f>
        <v>24</v>
      </c>
      <c r="V377" s="1">
        <f>VLOOKUP($B377&amp;"__wt",'SegEnds_Xtal_BW#'!$A:$Z,22,FALSE)</f>
        <v>78</v>
      </c>
      <c r="W377" s="1">
        <f>VLOOKUP($B377&amp;"__wt",'SegEnds_Xtal_BW#'!$A:$Z,23,FALSE)</f>
        <v>34</v>
      </c>
      <c r="X377" s="1">
        <f>VLOOKUP($B377&amp;"__wt",'SegEnds_Xtal_BW#'!$A:$Z,24,FALSE)</f>
        <v>57</v>
      </c>
      <c r="Y377" s="1">
        <f>VLOOKUP($B377&amp;"__wt",'SegEnds_Xtal_BW#'!$A:$Z,25,FALSE)</f>
        <v>47</v>
      </c>
      <c r="Z377" s="1">
        <f>VLOOKUP($B377&amp;"__wt",'SegEnds_Xtal_BW#'!$A:$Z,26,FALSE)</f>
        <v>62</v>
      </c>
      <c r="AA377" s="27" t="str">
        <f>VLOOKUP(A377,Classification!A:B,2,FALSE)</f>
        <v>F</v>
      </c>
      <c r="AB377" s="1">
        <f>VLOOKUP(A377,'SegEnds_NonXtal_Prot#'!A:AL,10,FALSE)-VLOOKUP(A377,'SegEnds_NonXtal_Prot#'!A:AL,4,FALSE)</f>
        <v>26</v>
      </c>
      <c r="AC377" s="1">
        <f>VLOOKUP(A377,'SegEnds_NonXtal_Prot#'!A:AL,10,FALSE)-VLOOKUP(A377,'SegEnds_NonXtal_Prot#'!A:AL,7,FALSE)</f>
        <v>12</v>
      </c>
      <c r="AD377" s="1" t="e">
        <f>VLOOKUP(A377,'SegEnds_NonXtal_Prot#'!A:AL,13,FALSE)-VLOOKUP(A377,'SegEnds_NonXtal_Prot#'!A:AL,10,FALSE)</f>
        <v>#VALUE!</v>
      </c>
      <c r="AE377" s="1">
        <f>VLOOKUP(A377,'SegEnds_NonXtal_Prot#'!A:AL,16,FALSE)-VLOOKUP(A377,'SegEnds_NonXtal_Prot#'!A:AL,10,FALSE)</f>
        <v>67</v>
      </c>
      <c r="AF377" s="1" t="e">
        <f>VLOOKUP(A377,'SegEnds_NonXtal_Prot#'!A:AL,22,FALSE)-VLOOKUP(A377,'SegEnds_NonXtal_Prot#'!A:AL,19,FALSE)</f>
        <v>#VALUE!</v>
      </c>
      <c r="AG377" s="1">
        <f>VLOOKUP(A377,'SegEnds_NonXtal_Prot#'!A:AL,28,FALSE)-VLOOKUP(A377,'SegEnds_NonXtal_Prot#'!A:AL,25,FALSE)</f>
        <v>21</v>
      </c>
      <c r="AH377" s="1">
        <f>VLOOKUP(A377,'SegEnds_NonXtal_Prot#'!A:AL,28,FALSE)-VLOOKUP(A377,'SegEnds_NonXtal_Prot#'!A:AL,22,FALSE)</f>
        <v>46</v>
      </c>
      <c r="AI377" s="1">
        <f>VLOOKUP(A377,'SegEnds_NonXtal_Prot#'!A:AL,31,FALSE)-VLOOKUP(A377,'SegEnds_NonXtal_Prot#'!A:AL,28,FALSE)</f>
        <v>55</v>
      </c>
      <c r="AJ377" s="1">
        <f>VLOOKUP(A377,'SegEnds_NonXtal_Prot#'!A:AL,34,FALSE)-VLOOKUP(A377,'SegEnds_NonXtal_Prot#'!A:AL,31,FALSE)</f>
        <v>55</v>
      </c>
      <c r="AK377" s="1">
        <f>VLOOKUP(A377,'SegEnds_NonXtal_Prot#'!A:AL,37,FALSE)-VLOOKUP(A377,'SegEnds_NonXtal_Prot#'!A:AL,34,FALSE)</f>
        <v>11</v>
      </c>
      <c r="AL377" s="1" t="str">
        <f>IF(ISERROR(MATCH(A377,'SegEnds_Xtal_Prot#'!B:B, 0)), "NoXtal", "Xtal")</f>
        <v>NoXtal</v>
      </c>
    </row>
    <row r="378" spans="1:38" x14ac:dyDescent="0.2">
      <c r="A378" s="1" t="s">
        <v>454</v>
      </c>
      <c r="B378" s="1" t="str">
        <f>VLOOKUP(A378,Xtal_Templ!A:B,2,FALSE)</f>
        <v>smo_human</v>
      </c>
      <c r="C378" s="5">
        <f>VLOOKUP($B378&amp;"__wt",'SegEnds_Xtal_BW#'!$A:$Z,3,FALSE)</f>
        <v>28</v>
      </c>
      <c r="D378" s="1">
        <f>VLOOKUP($B378&amp;"__wt",'SegEnds_Xtal_BW#'!$A:$Z,4,FALSE)</f>
        <v>60</v>
      </c>
      <c r="E378" s="1">
        <f>VLOOKUP($B378&amp;"__wt",'SegEnds_Xtal_BW#'!$A:$Z,5,FALSE)</f>
        <v>47</v>
      </c>
      <c r="F378" s="1">
        <f>VLOOKUP($B378&amp;"__wt",'SegEnds_Xtal_BW#'!$A:$Z,6,FALSE)</f>
        <v>51</v>
      </c>
      <c r="G378" s="1">
        <v>39</v>
      </c>
      <c r="H378" s="12">
        <f>VLOOKUP($B378&amp;"__wt",'SegEnds_Xtal_BW#'!$A:$Z,8,FALSE)</f>
        <v>63</v>
      </c>
      <c r="I378" s="1" t="str">
        <f>VLOOKUP($B378&amp;"__wt",'SegEnds_Xtal_BW#'!$A:$Z,9,FALSE)</f>
        <v>-</v>
      </c>
      <c r="J378" s="1" t="str">
        <f>VLOOKUP($B378&amp;"__wt",'SegEnds_Xtal_BW#'!$A:$Z,10,FALSE)</f>
        <v>-</v>
      </c>
      <c r="K378" s="12">
        <f>VLOOKUP($B378&amp;"__wt",'SegEnds_Xtal_BW#'!$A:$Z,11,FALSE)</f>
        <v>23</v>
      </c>
      <c r="L378" s="1">
        <f>VLOOKUP($B378&amp;"__wt",'SegEnds_Xtal_BW#'!$A:$Z,12,FALSE)</f>
        <v>59</v>
      </c>
      <c r="M378" s="1" t="str">
        <f>VLOOKUP($B378&amp;"__wt",'SegEnds_Xtal_BW#'!$A:$Z,13,FALSE)</f>
        <v>-</v>
      </c>
      <c r="N378" s="12" t="str">
        <f>VLOOKUP($B378&amp;"__wt",'SegEnds_Xtal_BW#'!$A:$Z,14,FALSE)</f>
        <v>-</v>
      </c>
      <c r="O378" s="87">
        <f>VLOOKUP($B378&amp;"__wt",'SegEnds_Xtal_BW#'!$A:$Z,15,FALSE)</f>
        <v>38</v>
      </c>
      <c r="P378" s="1">
        <f>VLOOKUP($B378&amp;"__wt",'SegEnds_Xtal_BW#'!$A:$Z,16,FALSE)</f>
        <v>63</v>
      </c>
      <c r="Q378" s="1">
        <f>VLOOKUP($B378&amp;"__wt",'SegEnds_Xtal_BW#'!$A:$Z,17,FALSE)</f>
        <v>50</v>
      </c>
      <c r="R378" s="1">
        <f>VLOOKUP($B378&amp;"__wt",'SegEnds_Xtal_BW#'!$A:$Z,18,FALSE)</f>
        <v>52</v>
      </c>
      <c r="S378" s="1">
        <f>VLOOKUP($B378&amp;"__wt",'SegEnds_Xtal_BW#'!$A:$Z,19,FALSE)</f>
        <v>35</v>
      </c>
      <c r="T378" s="1">
        <f>VLOOKUP($B378&amp;"__wt",'SegEnds_Xtal_BW#'!$A:$Z,20,FALSE)</f>
        <v>72</v>
      </c>
      <c r="U378" s="1">
        <f>VLOOKUP($B378&amp;"__wt",'SegEnds_Xtal_BW#'!$A:$Z,21,FALSE)</f>
        <v>24</v>
      </c>
      <c r="V378" s="1">
        <f>VLOOKUP($B378&amp;"__wt",'SegEnds_Xtal_BW#'!$A:$Z,22,FALSE)</f>
        <v>78</v>
      </c>
      <c r="W378" s="1">
        <f>VLOOKUP($B378&amp;"__wt",'SegEnds_Xtal_BW#'!$A:$Z,23,FALSE)</f>
        <v>34</v>
      </c>
      <c r="X378" s="1">
        <f>VLOOKUP($B378&amp;"__wt",'SegEnds_Xtal_BW#'!$A:$Z,24,FALSE)</f>
        <v>57</v>
      </c>
      <c r="Y378" s="1">
        <f>VLOOKUP($B378&amp;"__wt",'SegEnds_Xtal_BW#'!$A:$Z,25,FALSE)</f>
        <v>47</v>
      </c>
      <c r="Z378" s="1">
        <f>VLOOKUP($B378&amp;"__wt",'SegEnds_Xtal_BW#'!$A:$Z,26,FALSE)</f>
        <v>62</v>
      </c>
      <c r="AA378" s="27" t="str">
        <f>VLOOKUP(A378,Classification!A:B,2,FALSE)</f>
        <v>F</v>
      </c>
      <c r="AB378" s="1">
        <f>VLOOKUP(A378,'SegEnds_NonXtal_Prot#'!A:AL,10,FALSE)-VLOOKUP(A378,'SegEnds_NonXtal_Prot#'!A:AL,4,FALSE)</f>
        <v>26</v>
      </c>
      <c r="AC378" s="1">
        <f>VLOOKUP(A378,'SegEnds_NonXtal_Prot#'!A:AL,10,FALSE)-VLOOKUP(A378,'SegEnds_NonXtal_Prot#'!A:AL,7,FALSE)</f>
        <v>12</v>
      </c>
      <c r="AD378" s="1" t="e">
        <f>VLOOKUP(A378,'SegEnds_NonXtal_Prot#'!A:AL,13,FALSE)-VLOOKUP(A378,'SegEnds_NonXtal_Prot#'!A:AL,10,FALSE)</f>
        <v>#VALUE!</v>
      </c>
      <c r="AE378" s="1">
        <f>VLOOKUP(A378,'SegEnds_NonXtal_Prot#'!A:AL,16,FALSE)-VLOOKUP(A378,'SegEnds_NonXtal_Prot#'!A:AL,10,FALSE)</f>
        <v>103</v>
      </c>
      <c r="AF378" s="1" t="e">
        <f>VLOOKUP(A378,'SegEnds_NonXtal_Prot#'!A:AL,22,FALSE)-VLOOKUP(A378,'SegEnds_NonXtal_Prot#'!A:AL,19,FALSE)</f>
        <v>#VALUE!</v>
      </c>
      <c r="AG378" s="1">
        <f>VLOOKUP(A378,'SegEnds_NonXtal_Prot#'!A:AL,28,FALSE)-VLOOKUP(A378,'SegEnds_NonXtal_Prot#'!A:AL,25,FALSE)</f>
        <v>21</v>
      </c>
      <c r="AH378" s="1">
        <f>VLOOKUP(A378,'SegEnds_NonXtal_Prot#'!A:AL,28,FALSE)-VLOOKUP(A378,'SegEnds_NonXtal_Prot#'!A:AL,22,FALSE)</f>
        <v>46</v>
      </c>
      <c r="AI378" s="1">
        <f>VLOOKUP(A378,'SegEnds_NonXtal_Prot#'!A:AL,31,FALSE)-VLOOKUP(A378,'SegEnds_NonXtal_Prot#'!A:AL,28,FALSE)</f>
        <v>57</v>
      </c>
      <c r="AJ378" s="1">
        <f>VLOOKUP(A378,'SegEnds_NonXtal_Prot#'!A:AL,34,FALSE)-VLOOKUP(A378,'SegEnds_NonXtal_Prot#'!A:AL,31,FALSE)</f>
        <v>49</v>
      </c>
      <c r="AK378" s="1">
        <f>VLOOKUP(A378,'SegEnds_NonXtal_Prot#'!A:AL,37,FALSE)-VLOOKUP(A378,'SegEnds_NonXtal_Prot#'!A:AL,34,FALSE)</f>
        <v>11</v>
      </c>
      <c r="AL378" s="1" t="str">
        <f>IF(ISERROR(MATCH(A378,'SegEnds_Xtal_Prot#'!B:B, 0)), "NoXtal", "Xtal")</f>
        <v>NoXtal</v>
      </c>
    </row>
    <row r="379" spans="1:38" x14ac:dyDescent="0.2">
      <c r="A379" s="1" t="s">
        <v>455</v>
      </c>
      <c r="B379" s="1" t="str">
        <f>VLOOKUP(A379,Xtal_Templ!A:B,2,FALSE)</f>
        <v>smo_human</v>
      </c>
      <c r="C379" s="5">
        <f>VLOOKUP($B379&amp;"__wt",'SegEnds_Xtal_BW#'!$A:$Z,3,FALSE)</f>
        <v>28</v>
      </c>
      <c r="D379" s="1">
        <f>VLOOKUP($B379&amp;"__wt",'SegEnds_Xtal_BW#'!$A:$Z,4,FALSE)</f>
        <v>60</v>
      </c>
      <c r="E379" s="1">
        <f>VLOOKUP($B379&amp;"__wt",'SegEnds_Xtal_BW#'!$A:$Z,5,FALSE)</f>
        <v>47</v>
      </c>
      <c r="F379" s="1">
        <f>VLOOKUP($B379&amp;"__wt",'SegEnds_Xtal_BW#'!$A:$Z,6,FALSE)</f>
        <v>51</v>
      </c>
      <c r="G379" s="1">
        <v>39</v>
      </c>
      <c r="H379" s="12">
        <f>VLOOKUP($B379&amp;"__wt",'SegEnds_Xtal_BW#'!$A:$Z,8,FALSE)</f>
        <v>63</v>
      </c>
      <c r="I379" s="1" t="str">
        <f>VLOOKUP($B379&amp;"__wt",'SegEnds_Xtal_BW#'!$A:$Z,9,FALSE)</f>
        <v>-</v>
      </c>
      <c r="J379" s="1" t="str">
        <f>VLOOKUP($B379&amp;"__wt",'SegEnds_Xtal_BW#'!$A:$Z,10,FALSE)</f>
        <v>-</v>
      </c>
      <c r="K379" s="12">
        <f>VLOOKUP($B379&amp;"__wt",'SegEnds_Xtal_BW#'!$A:$Z,11,FALSE)</f>
        <v>23</v>
      </c>
      <c r="L379" s="1">
        <f>VLOOKUP($B379&amp;"__wt",'SegEnds_Xtal_BW#'!$A:$Z,12,FALSE)</f>
        <v>59</v>
      </c>
      <c r="M379" s="1" t="str">
        <f>VLOOKUP($B379&amp;"__wt",'SegEnds_Xtal_BW#'!$A:$Z,13,FALSE)</f>
        <v>-</v>
      </c>
      <c r="N379" s="12" t="str">
        <f>VLOOKUP($B379&amp;"__wt",'SegEnds_Xtal_BW#'!$A:$Z,14,FALSE)</f>
        <v>-</v>
      </c>
      <c r="O379" s="87">
        <f>VLOOKUP($B379&amp;"__wt",'SegEnds_Xtal_BW#'!$A:$Z,15,FALSE)</f>
        <v>38</v>
      </c>
      <c r="P379" s="1">
        <f>VLOOKUP($B379&amp;"__wt",'SegEnds_Xtal_BW#'!$A:$Z,16,FALSE)</f>
        <v>63</v>
      </c>
      <c r="Q379" s="1">
        <f>VLOOKUP($B379&amp;"__wt",'SegEnds_Xtal_BW#'!$A:$Z,17,FALSE)</f>
        <v>50</v>
      </c>
      <c r="R379" s="1">
        <f>VLOOKUP($B379&amp;"__wt",'SegEnds_Xtal_BW#'!$A:$Z,18,FALSE)</f>
        <v>52</v>
      </c>
      <c r="S379" s="1">
        <f>VLOOKUP($B379&amp;"__wt",'SegEnds_Xtal_BW#'!$A:$Z,19,FALSE)</f>
        <v>35</v>
      </c>
      <c r="T379" s="1">
        <f>VLOOKUP($B379&amp;"__wt",'SegEnds_Xtal_BW#'!$A:$Z,20,FALSE)</f>
        <v>72</v>
      </c>
      <c r="U379" s="1">
        <f>VLOOKUP($B379&amp;"__wt",'SegEnds_Xtal_BW#'!$A:$Z,21,FALSE)</f>
        <v>24</v>
      </c>
      <c r="V379" s="1">
        <f>VLOOKUP($B379&amp;"__wt",'SegEnds_Xtal_BW#'!$A:$Z,22,FALSE)</f>
        <v>78</v>
      </c>
      <c r="W379" s="1">
        <f>VLOOKUP($B379&amp;"__wt",'SegEnds_Xtal_BW#'!$A:$Z,23,FALSE)</f>
        <v>34</v>
      </c>
      <c r="X379" s="1">
        <f>VLOOKUP($B379&amp;"__wt",'SegEnds_Xtal_BW#'!$A:$Z,24,FALSE)</f>
        <v>57</v>
      </c>
      <c r="Y379" s="1">
        <f>VLOOKUP($B379&amp;"__wt",'SegEnds_Xtal_BW#'!$A:$Z,25,FALSE)</f>
        <v>47</v>
      </c>
      <c r="Z379" s="1">
        <f>VLOOKUP($B379&amp;"__wt",'SegEnds_Xtal_BW#'!$A:$Z,26,FALSE)</f>
        <v>62</v>
      </c>
      <c r="AA379" s="27" t="str">
        <f>VLOOKUP(A379,Classification!A:B,2,FALSE)</f>
        <v>F</v>
      </c>
      <c r="AB379" s="1">
        <f>VLOOKUP(A379,'SegEnds_NonXtal_Prot#'!A:AL,10,FALSE)-VLOOKUP(A379,'SegEnds_NonXtal_Prot#'!A:AL,4,FALSE)</f>
        <v>26</v>
      </c>
      <c r="AC379" s="1">
        <f>VLOOKUP(A379,'SegEnds_NonXtal_Prot#'!A:AL,10,FALSE)-VLOOKUP(A379,'SegEnds_NonXtal_Prot#'!A:AL,7,FALSE)</f>
        <v>12</v>
      </c>
      <c r="AD379" s="1" t="e">
        <f>VLOOKUP(A379,'SegEnds_NonXtal_Prot#'!A:AL,13,FALSE)-VLOOKUP(A379,'SegEnds_NonXtal_Prot#'!A:AL,10,FALSE)</f>
        <v>#VALUE!</v>
      </c>
      <c r="AE379" s="1">
        <f>VLOOKUP(A379,'SegEnds_NonXtal_Prot#'!A:AL,16,FALSE)-VLOOKUP(A379,'SegEnds_NonXtal_Prot#'!A:AL,10,FALSE)</f>
        <v>66</v>
      </c>
      <c r="AF379" s="1" t="e">
        <f>VLOOKUP(A379,'SegEnds_NonXtal_Prot#'!A:AL,22,FALSE)-VLOOKUP(A379,'SegEnds_NonXtal_Prot#'!A:AL,19,FALSE)</f>
        <v>#VALUE!</v>
      </c>
      <c r="AG379" s="1">
        <f>VLOOKUP(A379,'SegEnds_NonXtal_Prot#'!A:AL,28,FALSE)-VLOOKUP(A379,'SegEnds_NonXtal_Prot#'!A:AL,25,FALSE)</f>
        <v>21</v>
      </c>
      <c r="AH379" s="1">
        <f>VLOOKUP(A379,'SegEnds_NonXtal_Prot#'!A:AL,28,FALSE)-VLOOKUP(A379,'SegEnds_NonXtal_Prot#'!A:AL,22,FALSE)</f>
        <v>46</v>
      </c>
      <c r="AI379" s="1">
        <f>VLOOKUP(A379,'SegEnds_NonXtal_Prot#'!A:AL,31,FALSE)-VLOOKUP(A379,'SegEnds_NonXtal_Prot#'!A:AL,28,FALSE)</f>
        <v>55</v>
      </c>
      <c r="AJ379" s="1">
        <f>VLOOKUP(A379,'SegEnds_NonXtal_Prot#'!A:AL,34,FALSE)-VLOOKUP(A379,'SegEnds_NonXtal_Prot#'!A:AL,31,FALSE)</f>
        <v>58</v>
      </c>
      <c r="AK379" s="1">
        <f>VLOOKUP(A379,'SegEnds_NonXtal_Prot#'!A:AL,37,FALSE)-VLOOKUP(A379,'SegEnds_NonXtal_Prot#'!A:AL,34,FALSE)</f>
        <v>11</v>
      </c>
      <c r="AL379" s="1" t="str">
        <f>IF(ISERROR(MATCH(A379,'SegEnds_Xtal_Prot#'!B:B, 0)), "NoXtal", "Xtal")</f>
        <v>NoXtal</v>
      </c>
    </row>
    <row r="380" spans="1:38" x14ac:dyDescent="0.2">
      <c r="A380" s="122" t="s">
        <v>1510</v>
      </c>
      <c r="B380" s="1" t="str">
        <f>VLOOKUP(A380,Xtal_Templ!A:B,2,FALSE)</f>
        <v>q98sw5_xenla</v>
      </c>
      <c r="C380" s="5">
        <f>VLOOKUP($B380&amp;"__wt",'SegEnds_Xtal_BW#'!$A:$Z,3,FALSE)</f>
        <v>28</v>
      </c>
      <c r="D380" s="1">
        <f>VLOOKUP($B380&amp;"__wt",'SegEnds_Xtal_BW#'!$A:$Z,4,FALSE)</f>
        <v>60</v>
      </c>
      <c r="E380" s="1">
        <f>VLOOKUP($B380&amp;"__wt",'SegEnds_Xtal_BW#'!$A:$Z,5,FALSE)</f>
        <v>47</v>
      </c>
      <c r="F380" s="1">
        <f>VLOOKUP($B380&amp;"__wt",'SegEnds_Xtal_BW#'!$A:$Z,6,FALSE)</f>
        <v>51</v>
      </c>
      <c r="G380" s="1">
        <v>40</v>
      </c>
      <c r="H380" s="12">
        <f>VLOOKUP($B380&amp;"__wt",'SegEnds_Xtal_BW#'!$A:$Z,8,FALSE)</f>
        <v>61</v>
      </c>
      <c r="I380" s="1" t="str">
        <f>VLOOKUP($B380&amp;"__wt",'SegEnds_Xtal_BW#'!$A:$Z,9,FALSE)</f>
        <v>-</v>
      </c>
      <c r="J380" s="1" t="str">
        <f>VLOOKUP($B380&amp;"__wt",'SegEnds_Xtal_BW#'!$A:$Z,10,FALSE)</f>
        <v>-</v>
      </c>
      <c r="K380" s="12">
        <f>VLOOKUP($B380&amp;"__wt",'SegEnds_Xtal_BW#'!$A:$Z,11,FALSE)</f>
        <v>23</v>
      </c>
      <c r="L380" s="1">
        <f>VLOOKUP($B380&amp;"__wt",'SegEnds_Xtal_BW#'!$A:$Z,12,FALSE)</f>
        <v>59</v>
      </c>
      <c r="M380" s="1" t="str">
        <f>VLOOKUP($B380&amp;"__wt",'SegEnds_Xtal_BW#'!$A:$Z,13,FALSE)</f>
        <v>-</v>
      </c>
      <c r="N380" s="12" t="str">
        <f>VLOOKUP($B380&amp;"__wt",'SegEnds_Xtal_BW#'!$A:$Z,14,FALSE)</f>
        <v>-</v>
      </c>
      <c r="O380" s="87">
        <f>VLOOKUP($B380&amp;"__wt",'SegEnds_Xtal_BW#'!$A:$Z,15,FALSE)</f>
        <v>38</v>
      </c>
      <c r="P380" s="1">
        <f>VLOOKUP($B380&amp;"__wt",'SegEnds_Xtal_BW#'!$A:$Z,16,FALSE)</f>
        <v>63</v>
      </c>
      <c r="Q380" s="1">
        <f>VLOOKUP($B380&amp;"__wt",'SegEnds_Xtal_BW#'!$A:$Z,17,FALSE)</f>
        <v>50</v>
      </c>
      <c r="R380" s="1">
        <f>VLOOKUP($B380&amp;"__wt",'SegEnds_Xtal_BW#'!$A:$Z,18,FALSE)</f>
        <v>52</v>
      </c>
      <c r="S380" s="1">
        <f>VLOOKUP($B380&amp;"__wt",'SegEnds_Xtal_BW#'!$A:$Z,19,FALSE)</f>
        <v>35</v>
      </c>
      <c r="T380" s="1">
        <f>VLOOKUP($B380&amp;"__wt",'SegEnds_Xtal_BW#'!$A:$Z,20,FALSE)</f>
        <v>72</v>
      </c>
      <c r="U380" s="1">
        <f>VLOOKUP($B380&amp;"__wt",'SegEnds_Xtal_BW#'!$A:$Z,21,FALSE)</f>
        <v>24</v>
      </c>
      <c r="V380" s="1">
        <f>VLOOKUP($B380&amp;"__wt",'SegEnds_Xtal_BW#'!$A:$Z,22,FALSE)</f>
        <v>81</v>
      </c>
      <c r="W380" s="1">
        <f>VLOOKUP($B380&amp;"__wt",'SegEnds_Xtal_BW#'!$A:$Z,23,FALSE)</f>
        <v>34</v>
      </c>
      <c r="X380" s="1">
        <f>VLOOKUP($B380&amp;"__wt",'SegEnds_Xtal_BW#'!$A:$Z,24,FALSE)</f>
        <v>57</v>
      </c>
      <c r="Y380" s="1">
        <f>VLOOKUP($B380&amp;"__wt",'SegEnds_Xtal_BW#'!$A:$Z,25,FALSE)</f>
        <v>47</v>
      </c>
      <c r="Z380" s="1">
        <f>VLOOKUP($B380&amp;"__wt",'SegEnds_Xtal_BW#'!$A:$Z,26,FALSE)</f>
        <v>62</v>
      </c>
      <c r="AA380" s="27" t="str">
        <f>VLOOKUP(A380,Classification!A:B,2,FALSE)</f>
        <v>F</v>
      </c>
      <c r="AB380" s="1">
        <f>VLOOKUP(A380,'SegEnds_NonXtal_Prot#'!A:AL,10,FALSE)-VLOOKUP(A380,'SegEnds_NonXtal_Prot#'!A:AL,4,FALSE)</f>
        <v>27</v>
      </c>
      <c r="AC380" s="1">
        <f>VLOOKUP(A380,'SegEnds_NonXtal_Prot#'!A:AL,10,FALSE)-VLOOKUP(A380,'SegEnds_NonXtal_Prot#'!A:AL,7,FALSE)</f>
        <v>13</v>
      </c>
      <c r="AD380" s="1" t="e">
        <f>VLOOKUP(A380,'SegEnds_NonXtal_Prot#'!A:AL,13,FALSE)-VLOOKUP(A380,'SegEnds_NonXtal_Prot#'!A:AL,10,FALSE)</f>
        <v>#VALUE!</v>
      </c>
      <c r="AE380" s="1">
        <f>VLOOKUP(A380,'SegEnds_NonXtal_Prot#'!A:AL,16,FALSE)-VLOOKUP(A380,'SegEnds_NonXtal_Prot#'!A:AL,10,FALSE)</f>
        <v>67</v>
      </c>
      <c r="AF380" s="1" t="e">
        <f>VLOOKUP(A380,'SegEnds_NonXtal_Prot#'!A:AL,22,FALSE)-VLOOKUP(A380,'SegEnds_NonXtal_Prot#'!A:AL,19,FALSE)</f>
        <v>#VALUE!</v>
      </c>
      <c r="AG380" s="1">
        <f>VLOOKUP(A380,'SegEnds_NonXtal_Prot#'!A:AL,28,FALSE)-VLOOKUP(A380,'SegEnds_NonXtal_Prot#'!A:AL,25,FALSE)</f>
        <v>21</v>
      </c>
      <c r="AH380" s="1">
        <f>VLOOKUP(A380,'SegEnds_NonXtal_Prot#'!A:AL,28,FALSE)-VLOOKUP(A380,'SegEnds_NonXtal_Prot#'!A:AL,22,FALSE)</f>
        <v>46</v>
      </c>
      <c r="AI380" s="1">
        <f>VLOOKUP(A380,'SegEnds_NonXtal_Prot#'!A:AL,31,FALSE)-VLOOKUP(A380,'SegEnds_NonXtal_Prot#'!A:AL,28,FALSE)</f>
        <v>57</v>
      </c>
      <c r="AJ380" s="1">
        <f>VLOOKUP(A380,'SegEnds_NonXtal_Prot#'!A:AL,34,FALSE)-VLOOKUP(A380,'SegEnds_NonXtal_Prot#'!A:AL,31,FALSE)</f>
        <v>62</v>
      </c>
      <c r="AK380" s="1">
        <f>VLOOKUP(A380,'SegEnds_NonXtal_Prot#'!A:AL,37,FALSE)-VLOOKUP(A380,'SegEnds_NonXtal_Prot#'!A:AL,34,FALSE)</f>
        <v>11</v>
      </c>
      <c r="AL380" s="1" t="str">
        <f>IF(ISERROR(MATCH(A380,'SegEnds_Xtal_Prot#'!B:B, 0)), "NoXtal", "Xtal")</f>
        <v>Xtal</v>
      </c>
    </row>
    <row r="381" spans="1:38" x14ac:dyDescent="0.2">
      <c r="A381" s="1" t="s">
        <v>33</v>
      </c>
      <c r="B381" s="1" t="str">
        <f>VLOOKUP(A381,Xtal_Templ!A:B,2,FALSE)</f>
        <v>smo_human</v>
      </c>
      <c r="C381" s="5">
        <f>VLOOKUP($B381&amp;"__wt",'SegEnds_Xtal_BW#'!$A:$Z,3,FALSE)</f>
        <v>28</v>
      </c>
      <c r="D381" s="1">
        <f>VLOOKUP($B381&amp;"__wt",'SegEnds_Xtal_BW#'!$A:$Z,4,FALSE)</f>
        <v>60</v>
      </c>
      <c r="E381" s="1">
        <f>VLOOKUP($B381&amp;"__wt",'SegEnds_Xtal_BW#'!$A:$Z,5,FALSE)</f>
        <v>47</v>
      </c>
      <c r="F381" s="1">
        <f>VLOOKUP($B381&amp;"__wt",'SegEnds_Xtal_BW#'!$A:$Z,6,FALSE)</f>
        <v>51</v>
      </c>
      <c r="G381" s="1">
        <v>40</v>
      </c>
      <c r="H381" s="12">
        <f>VLOOKUP($B381&amp;"__wt",'SegEnds_Xtal_BW#'!$A:$Z,8,FALSE)</f>
        <v>63</v>
      </c>
      <c r="I381" s="1" t="str">
        <f>VLOOKUP($B381&amp;"__wt",'SegEnds_Xtal_BW#'!$A:$Z,9,FALSE)</f>
        <v>-</v>
      </c>
      <c r="J381" s="1" t="str">
        <f>VLOOKUP($B381&amp;"__wt",'SegEnds_Xtal_BW#'!$A:$Z,10,FALSE)</f>
        <v>-</v>
      </c>
      <c r="K381" s="12">
        <f>VLOOKUP($B381&amp;"__wt",'SegEnds_Xtal_BW#'!$A:$Z,11,FALSE)</f>
        <v>23</v>
      </c>
      <c r="L381" s="1">
        <f>VLOOKUP($B381&amp;"__wt",'SegEnds_Xtal_BW#'!$A:$Z,12,FALSE)</f>
        <v>59</v>
      </c>
      <c r="M381" s="1" t="str">
        <f>VLOOKUP($B381&amp;"__wt",'SegEnds_Xtal_BW#'!$A:$Z,13,FALSE)</f>
        <v>-</v>
      </c>
      <c r="N381" s="12" t="str">
        <f>VLOOKUP($B381&amp;"__wt",'SegEnds_Xtal_BW#'!$A:$Z,14,FALSE)</f>
        <v>-</v>
      </c>
      <c r="O381" s="87">
        <f>VLOOKUP($B381&amp;"__wt",'SegEnds_Xtal_BW#'!$A:$Z,15,FALSE)</f>
        <v>38</v>
      </c>
      <c r="P381" s="1">
        <f>VLOOKUP($B381&amp;"__wt",'SegEnds_Xtal_BW#'!$A:$Z,16,FALSE)</f>
        <v>63</v>
      </c>
      <c r="Q381" s="1">
        <f>VLOOKUP($B381&amp;"__wt",'SegEnds_Xtal_BW#'!$A:$Z,17,FALSE)</f>
        <v>50</v>
      </c>
      <c r="R381" s="1">
        <f>VLOOKUP($B381&amp;"__wt",'SegEnds_Xtal_BW#'!$A:$Z,18,FALSE)</f>
        <v>52</v>
      </c>
      <c r="S381" s="1">
        <f>VLOOKUP($B381&amp;"__wt",'SegEnds_Xtal_BW#'!$A:$Z,19,FALSE)</f>
        <v>35</v>
      </c>
      <c r="T381" s="1">
        <f>VLOOKUP($B381&amp;"__wt",'SegEnds_Xtal_BW#'!$A:$Z,20,FALSE)</f>
        <v>72</v>
      </c>
      <c r="U381" s="1">
        <f>VLOOKUP($B381&amp;"__wt",'SegEnds_Xtal_BW#'!$A:$Z,21,FALSE)</f>
        <v>24</v>
      </c>
      <c r="V381" s="1">
        <f>VLOOKUP($B381&amp;"__wt",'SegEnds_Xtal_BW#'!$A:$Z,22,FALSE)</f>
        <v>78</v>
      </c>
      <c r="W381" s="1">
        <f>VLOOKUP($B381&amp;"__wt",'SegEnds_Xtal_BW#'!$A:$Z,23,FALSE)</f>
        <v>34</v>
      </c>
      <c r="X381" s="1">
        <f>VLOOKUP($B381&amp;"__wt",'SegEnds_Xtal_BW#'!$A:$Z,24,FALSE)</f>
        <v>57</v>
      </c>
      <c r="Y381" s="1">
        <f>VLOOKUP($B381&amp;"__wt",'SegEnds_Xtal_BW#'!$A:$Z,25,FALSE)</f>
        <v>47</v>
      </c>
      <c r="Z381" s="1">
        <f>VLOOKUP($B381&amp;"__wt",'SegEnds_Xtal_BW#'!$A:$Z,26,FALSE)</f>
        <v>62</v>
      </c>
      <c r="AA381" s="27" t="str">
        <f>VLOOKUP(A381,Classification!A:B,2,FALSE)</f>
        <v>F</v>
      </c>
      <c r="AB381" s="1">
        <f>VLOOKUP(A381,'SegEnds_NonXtal_Prot#'!A:AL,10,FALSE)-VLOOKUP(A381,'SegEnds_NonXtal_Prot#'!A:AL,4,FALSE)</f>
        <v>27</v>
      </c>
      <c r="AC381" s="1">
        <f>VLOOKUP(A381,'SegEnds_NonXtal_Prot#'!A:AL,10,FALSE)-VLOOKUP(A381,'SegEnds_NonXtal_Prot#'!A:AL,7,FALSE)</f>
        <v>13</v>
      </c>
      <c r="AD381" s="1" t="e">
        <f>VLOOKUP(A381,'SegEnds_NonXtal_Prot#'!A:AL,13,FALSE)-VLOOKUP(A381,'SegEnds_NonXtal_Prot#'!A:AL,10,FALSE)</f>
        <v>#VALUE!</v>
      </c>
      <c r="AE381" s="1">
        <f>VLOOKUP(A381,'SegEnds_NonXtal_Prot#'!A:AL,16,FALSE)-VLOOKUP(A381,'SegEnds_NonXtal_Prot#'!A:AL,10,FALSE)</f>
        <v>67</v>
      </c>
      <c r="AF381" s="1" t="e">
        <f>VLOOKUP(A381,'SegEnds_NonXtal_Prot#'!A:AL,22,FALSE)-VLOOKUP(A381,'SegEnds_NonXtal_Prot#'!A:AL,19,FALSE)</f>
        <v>#VALUE!</v>
      </c>
      <c r="AG381" s="1">
        <f>VLOOKUP(A381,'SegEnds_NonXtal_Prot#'!A:AL,28,FALSE)-VLOOKUP(A381,'SegEnds_NonXtal_Prot#'!A:AL,25,FALSE)</f>
        <v>21</v>
      </c>
      <c r="AH381" s="1">
        <f>VLOOKUP(A381,'SegEnds_NonXtal_Prot#'!A:AL,28,FALSE)-VLOOKUP(A381,'SegEnds_NonXtal_Prot#'!A:AL,22,FALSE)</f>
        <v>46</v>
      </c>
      <c r="AI381" s="1">
        <f>VLOOKUP(A381,'SegEnds_NonXtal_Prot#'!A:AL,31,FALSE)-VLOOKUP(A381,'SegEnds_NonXtal_Prot#'!A:AL,28,FALSE)</f>
        <v>57</v>
      </c>
      <c r="AJ381" s="1">
        <f>VLOOKUP(A381,'SegEnds_NonXtal_Prot#'!A:AL,34,FALSE)-VLOOKUP(A381,'SegEnds_NonXtal_Prot#'!A:AL,31,FALSE)</f>
        <v>62</v>
      </c>
      <c r="AK381" s="1">
        <f>VLOOKUP(A381,'SegEnds_NonXtal_Prot#'!A:AL,37,FALSE)-VLOOKUP(A381,'SegEnds_NonXtal_Prot#'!A:AL,34,FALSE)</f>
        <v>11</v>
      </c>
      <c r="AL381" s="1" t="str">
        <f>IF(ISERROR(MATCH(A381,'SegEnds_Xtal_Prot#'!B:B, 0)), "NoXtal", "Xtal")</f>
        <v>Xtal</v>
      </c>
    </row>
    <row r="382" spans="1:38" x14ac:dyDescent="0.2">
      <c r="A382" s="1" t="s">
        <v>481</v>
      </c>
      <c r="B382" s="1" t="str">
        <f>VLOOKUP(A382,Xtal_Templ!A:B,2,FALSE)</f>
        <v>agtr1_human</v>
      </c>
      <c r="C382" s="5">
        <f>VLOOKUP($B382&amp;"__wt",'SegEnds_Xtal_BW#'!$A:$Z,3,FALSE)</f>
        <v>30</v>
      </c>
      <c r="D382" s="1">
        <v>60</v>
      </c>
      <c r="E382" s="1" t="s">
        <v>23</v>
      </c>
      <c r="F382" s="1" t="s">
        <v>23</v>
      </c>
      <c r="G382" s="1">
        <v>39</v>
      </c>
      <c r="H382" s="12">
        <v>63</v>
      </c>
      <c r="I382" s="1" t="s">
        <v>23</v>
      </c>
      <c r="J382" s="1" t="s">
        <v>23</v>
      </c>
      <c r="K382" s="12">
        <v>23</v>
      </c>
      <c r="L382" s="1">
        <v>56</v>
      </c>
      <c r="M382" s="1" t="s">
        <v>23</v>
      </c>
      <c r="N382" s="12" t="s">
        <v>23</v>
      </c>
      <c r="O382" s="87">
        <v>40</v>
      </c>
      <c r="P382" s="1">
        <f>VLOOKUP($B382&amp;"__wt",'SegEnds_Xtal_BW#'!$A:$Z,16,FALSE)</f>
        <v>64</v>
      </c>
      <c r="Q382" s="1" t="s">
        <v>23</v>
      </c>
      <c r="R382" s="1" t="s">
        <v>23</v>
      </c>
      <c r="S382" s="1">
        <v>39</v>
      </c>
      <c r="T382" s="1">
        <v>61</v>
      </c>
      <c r="U382" s="1">
        <v>29</v>
      </c>
      <c r="V382" s="1">
        <v>53</v>
      </c>
      <c r="W382" s="1">
        <v>35</v>
      </c>
      <c r="X382" s="1">
        <v>56</v>
      </c>
      <c r="Y382" s="1">
        <v>47</v>
      </c>
      <c r="Z382" s="1">
        <v>57</v>
      </c>
      <c r="AA382" s="27" t="str">
        <f>VLOOKUP(A382,Classification!A:B,2,FALSE)</f>
        <v>O</v>
      </c>
      <c r="AB382" s="1">
        <f>VLOOKUP(A382,'SegEnds_NonXtal_Prot#'!A:AL,10,FALSE)-VLOOKUP(A382,'SegEnds_NonXtal_Prot#'!A:AL,4,FALSE)</f>
        <v>18</v>
      </c>
      <c r="AC382" s="1" t="e">
        <f>VLOOKUP(A382,'SegEnds_NonXtal_Prot#'!A:AL,10,FALSE)-VLOOKUP(A382,'SegEnds_NonXtal_Prot#'!A:AL,7,FALSE)</f>
        <v>#VALUE!</v>
      </c>
      <c r="AD382" s="1" t="e">
        <f>VLOOKUP(A382,'SegEnds_NonXtal_Prot#'!A:AL,13,FALSE)-VLOOKUP(A382,'SegEnds_NonXtal_Prot#'!A:AL,10,FALSE)</f>
        <v>#VALUE!</v>
      </c>
      <c r="AE382" s="1">
        <f>VLOOKUP(A382,'SegEnds_NonXtal_Prot#'!A:AL,16,FALSE)-VLOOKUP(A382,'SegEnds_NonXtal_Prot#'!A:AL,10,FALSE)</f>
        <v>81</v>
      </c>
      <c r="AF382" s="1" t="e">
        <f>VLOOKUP(A382,'SegEnds_NonXtal_Prot#'!A:AL,22,FALSE)-VLOOKUP(A382,'SegEnds_NonXtal_Prot#'!A:AL,19,FALSE)</f>
        <v>#VALUE!</v>
      </c>
      <c r="AG382" s="1" t="e">
        <f>VLOOKUP(A382,'SegEnds_NonXtal_Prot#'!A:AL,28,FALSE)-VLOOKUP(A382,'SegEnds_NonXtal_Prot#'!A:AL,25,FALSE)</f>
        <v>#VALUE!</v>
      </c>
      <c r="AH382" s="1">
        <f>VLOOKUP(A382,'SegEnds_NonXtal_Prot#'!A:AL,28,FALSE)-VLOOKUP(A382,'SegEnds_NonXtal_Prot#'!A:AL,22,FALSE)</f>
        <v>83</v>
      </c>
      <c r="AI382" s="1">
        <f>VLOOKUP(A382,'SegEnds_NonXtal_Prot#'!A:AL,31,FALSE)-VLOOKUP(A382,'SegEnds_NonXtal_Prot#'!A:AL,28,FALSE)</f>
        <v>79</v>
      </c>
      <c r="AJ382" s="1">
        <f>VLOOKUP(A382,'SegEnds_NonXtal_Prot#'!A:AL,34,FALSE)-VLOOKUP(A382,'SegEnds_NonXtal_Prot#'!A:AL,31,FALSE)</f>
        <v>33</v>
      </c>
      <c r="AK382" s="1">
        <f>VLOOKUP(A382,'SegEnds_NonXtal_Prot#'!A:AL,37,FALSE)-VLOOKUP(A382,'SegEnds_NonXtal_Prot#'!A:AL,34,FALSE)</f>
        <v>10</v>
      </c>
      <c r="AL382" s="1" t="str">
        <f>IF(ISERROR(MATCH(A382,'SegEnds_Xtal_Prot#'!B:B, 0)), "NoXtal", "Xtal")</f>
        <v>NoXtal</v>
      </c>
    </row>
    <row r="383" spans="1:38" x14ac:dyDescent="0.2">
      <c r="A383" s="4" t="s">
        <v>485</v>
      </c>
      <c r="B383" s="4" t="str">
        <f>VLOOKUP(A383,Xtal_Templ!A:B,2,FALSE)</f>
        <v>aa2ar_human</v>
      </c>
      <c r="C383" s="5">
        <f>VLOOKUP($B383&amp;"__wt",'SegEnds_Xtal_BW#'!$A:$Z,3,FALSE)</f>
        <v>27</v>
      </c>
      <c r="D383" s="4">
        <v>60</v>
      </c>
      <c r="E383" s="4" t="s">
        <v>23</v>
      </c>
      <c r="F383" s="4" t="s">
        <v>23</v>
      </c>
      <c r="G383" s="4">
        <v>39</v>
      </c>
      <c r="H383" s="11">
        <v>63</v>
      </c>
      <c r="I383" s="4" t="s">
        <v>23</v>
      </c>
      <c r="J383" s="4" t="s">
        <v>23</v>
      </c>
      <c r="K383" s="11">
        <v>23</v>
      </c>
      <c r="L383" s="4">
        <v>56</v>
      </c>
      <c r="M383" s="4" t="s">
        <v>23</v>
      </c>
      <c r="N383" s="11" t="s">
        <v>23</v>
      </c>
      <c r="O383" s="88">
        <v>40</v>
      </c>
      <c r="P383" s="4">
        <v>64</v>
      </c>
      <c r="Q383" s="4" t="s">
        <v>23</v>
      </c>
      <c r="R383" s="4" t="s">
        <v>23</v>
      </c>
      <c r="S383" s="4">
        <v>39</v>
      </c>
      <c r="T383" s="4">
        <v>61</v>
      </c>
      <c r="U383" s="4">
        <v>29</v>
      </c>
      <c r="V383" s="4">
        <v>53</v>
      </c>
      <c r="W383" s="4">
        <v>35</v>
      </c>
      <c r="X383" s="4">
        <v>56</v>
      </c>
      <c r="Y383" s="4">
        <v>47</v>
      </c>
      <c r="Z383" s="4">
        <v>57</v>
      </c>
      <c r="AA383" s="27" t="str">
        <f>VLOOKUP(A383,Classification!A:B,2,FALSE)</f>
        <v>O</v>
      </c>
      <c r="AB383" s="1">
        <f>VLOOKUP(A383,'SegEnds_NonXtal_Prot#'!A:AL,10,FALSE)-VLOOKUP(A383,'SegEnds_NonXtal_Prot#'!A:AL,4,FALSE)</f>
        <v>36</v>
      </c>
      <c r="AC383" s="4" t="e">
        <f>VLOOKUP(A383,'SegEnds_NonXtal_Prot#'!A:AL,10,FALSE)-VLOOKUP(A383,'SegEnds_NonXtal_Prot#'!A:AL,7,FALSE)</f>
        <v>#VALUE!</v>
      </c>
      <c r="AD383" s="4" t="e">
        <f>VLOOKUP(A383,'SegEnds_NonXtal_Prot#'!A:AL,13,FALSE)-VLOOKUP(A383,'SegEnds_NonXtal_Prot#'!A:AL,10,FALSE)</f>
        <v>#VALUE!</v>
      </c>
      <c r="AE383" s="4">
        <f>VLOOKUP(A383,'SegEnds_NonXtal_Prot#'!A:AL,16,FALSE)-VLOOKUP(A383,'SegEnds_NonXtal_Prot#'!A:AL,10,FALSE)</f>
        <v>63</v>
      </c>
      <c r="AF383" s="1" t="e">
        <f>VLOOKUP(A383,'SegEnds_NonXtal_Prot#'!A:AL,22,FALSE)-VLOOKUP(A383,'SegEnds_NonXtal_Prot#'!A:AL,19,FALSE)</f>
        <v>#VALUE!</v>
      </c>
      <c r="AG383" s="4" t="e">
        <f>VLOOKUP(A383,'SegEnds_NonXtal_Prot#'!A:AL,28,FALSE)-VLOOKUP(A383,'SegEnds_NonXtal_Prot#'!A:AL,25,FALSE)</f>
        <v>#VALUE!</v>
      </c>
      <c r="AH383" s="1">
        <f>VLOOKUP(A383,'SegEnds_NonXtal_Prot#'!A:AL,28,FALSE)-VLOOKUP(A383,'SegEnds_NonXtal_Prot#'!A:AL,22,FALSE)</f>
        <v>39</v>
      </c>
      <c r="AI383" s="4">
        <f>VLOOKUP(A383,'SegEnds_NonXtal_Prot#'!A:AL,31,FALSE)-VLOOKUP(A383,'SegEnds_NonXtal_Prot#'!A:AL,28,FALSE)</f>
        <v>58</v>
      </c>
      <c r="AJ383" s="4">
        <f>VLOOKUP(A383,'SegEnds_NonXtal_Prot#'!A:AL,34,FALSE)-VLOOKUP(A383,'SegEnds_NonXtal_Prot#'!A:AL,31,FALSE)</f>
        <v>49</v>
      </c>
      <c r="AK383" s="1">
        <f>VLOOKUP(A383,'SegEnds_NonXtal_Prot#'!A:AL,37,FALSE)-VLOOKUP(A383,'SegEnds_NonXtal_Prot#'!A:AL,34,FALSE)</f>
        <v>10</v>
      </c>
      <c r="AL383" s="1" t="str">
        <f>IF(ISERROR(MATCH(A383,'SegEnds_Xtal_Prot#'!B:B, 0)), "NoXtal", "Xtal")</f>
        <v>NoXtal</v>
      </c>
    </row>
    <row r="384" spans="1:38" x14ac:dyDescent="0.2">
      <c r="A384" s="1" t="s">
        <v>482</v>
      </c>
      <c r="B384" s="1" t="str">
        <f>VLOOKUP(A384,Xtal_Templ!A:B,2,FALSE)</f>
        <v>ccr9_human</v>
      </c>
      <c r="C384" s="5">
        <f>VLOOKUP($B384&amp;"__wt",'SegEnds_Xtal_BW#'!$A:$Z,3,FALSE)</f>
        <v>27</v>
      </c>
      <c r="D384" s="1">
        <v>60</v>
      </c>
      <c r="E384" s="1" t="s">
        <v>23</v>
      </c>
      <c r="F384" s="1" t="s">
        <v>23</v>
      </c>
      <c r="G384" s="1">
        <v>39</v>
      </c>
      <c r="H384" s="12">
        <v>63</v>
      </c>
      <c r="I384" s="1" t="s">
        <v>23</v>
      </c>
      <c r="J384" s="1" t="s">
        <v>23</v>
      </c>
      <c r="K384" s="12">
        <v>23</v>
      </c>
      <c r="L384" s="1">
        <v>56</v>
      </c>
      <c r="M384" s="1" t="s">
        <v>23</v>
      </c>
      <c r="N384" s="12" t="s">
        <v>23</v>
      </c>
      <c r="O384" s="87">
        <v>40</v>
      </c>
      <c r="P384" s="1">
        <v>64</v>
      </c>
      <c r="Q384" s="1" t="s">
        <v>23</v>
      </c>
      <c r="R384" s="1" t="s">
        <v>23</v>
      </c>
      <c r="S384" s="1">
        <v>39</v>
      </c>
      <c r="T384" s="1">
        <v>61</v>
      </c>
      <c r="U384" s="1">
        <v>29</v>
      </c>
      <c r="V384" s="1">
        <v>53</v>
      </c>
      <c r="W384" s="1">
        <v>35</v>
      </c>
      <c r="X384" s="1">
        <v>56</v>
      </c>
      <c r="Y384" s="1">
        <v>47</v>
      </c>
      <c r="Z384" s="1">
        <v>57</v>
      </c>
      <c r="AA384" s="27" t="str">
        <f>VLOOKUP(A384,Classification!A:B,2,FALSE)</f>
        <v>O</v>
      </c>
      <c r="AB384" s="1">
        <f>VLOOKUP(A384,'SegEnds_NonXtal_Prot#'!A:AL,10,FALSE)-VLOOKUP(A384,'SegEnds_NonXtal_Prot#'!A:AL,4,FALSE)</f>
        <v>49</v>
      </c>
      <c r="AC384" s="1" t="e">
        <f>VLOOKUP(A384,'SegEnds_NonXtal_Prot#'!A:AL,10,FALSE)-VLOOKUP(A384,'SegEnds_NonXtal_Prot#'!A:AL,7,FALSE)</f>
        <v>#VALUE!</v>
      </c>
      <c r="AD384" s="1" t="e">
        <f>VLOOKUP(A384,'SegEnds_NonXtal_Prot#'!A:AL,13,FALSE)-VLOOKUP(A384,'SegEnds_NonXtal_Prot#'!A:AL,10,FALSE)</f>
        <v>#VALUE!</v>
      </c>
      <c r="AE384" s="1">
        <f>VLOOKUP(A384,'SegEnds_NonXtal_Prot#'!A:AL,16,FALSE)-VLOOKUP(A384,'SegEnds_NonXtal_Prot#'!A:AL,10,FALSE)</f>
        <v>74</v>
      </c>
      <c r="AF384" s="1" t="e">
        <f>VLOOKUP(A384,'SegEnds_NonXtal_Prot#'!A:AL,22,FALSE)-VLOOKUP(A384,'SegEnds_NonXtal_Prot#'!A:AL,19,FALSE)</f>
        <v>#VALUE!</v>
      </c>
      <c r="AG384" s="1" t="e">
        <f>VLOOKUP(A384,'SegEnds_NonXtal_Prot#'!A:AL,28,FALSE)-VLOOKUP(A384,'SegEnds_NonXtal_Prot#'!A:AL,25,FALSE)</f>
        <v>#VALUE!</v>
      </c>
      <c r="AH384" s="1">
        <f>VLOOKUP(A384,'SegEnds_NonXtal_Prot#'!A:AL,28,FALSE)-VLOOKUP(A384,'SegEnds_NonXtal_Prot#'!A:AL,22,FALSE)</f>
        <v>81</v>
      </c>
      <c r="AI384" s="1">
        <f>VLOOKUP(A384,'SegEnds_NonXtal_Prot#'!A:AL,31,FALSE)-VLOOKUP(A384,'SegEnds_NonXtal_Prot#'!A:AL,28,FALSE)</f>
        <v>37</v>
      </c>
      <c r="AJ384" s="1">
        <f>VLOOKUP(A384,'SegEnds_NonXtal_Prot#'!A:AL,34,FALSE)-VLOOKUP(A384,'SegEnds_NonXtal_Prot#'!A:AL,31,FALSE)</f>
        <v>44</v>
      </c>
      <c r="AK384" s="1">
        <f>VLOOKUP(A384,'SegEnds_NonXtal_Prot#'!A:AL,37,FALSE)-VLOOKUP(A384,'SegEnds_NonXtal_Prot#'!A:AL,34,FALSE)</f>
        <v>11</v>
      </c>
      <c r="AL384" s="1" t="str">
        <f>IF(ISERROR(MATCH(A384,'SegEnds_Xtal_Prot#'!B:B, 0)), "NoXtal", "Xtal")</f>
        <v>NoXtal</v>
      </c>
    </row>
    <row r="385" spans="1:38" x14ac:dyDescent="0.2">
      <c r="A385" s="1" t="s">
        <v>486</v>
      </c>
      <c r="B385" s="1" t="str">
        <f>VLOOKUP(A385,Xtal_Templ!A:B,2,FALSE)</f>
        <v>5ht2c_human</v>
      </c>
      <c r="C385" s="5">
        <f>VLOOKUP($B385&amp;"__wt",'SegEnds_Xtal_BW#'!$A:$Z,3,FALSE)</f>
        <v>33</v>
      </c>
      <c r="D385" s="1">
        <v>60</v>
      </c>
      <c r="E385" s="1" t="s">
        <v>23</v>
      </c>
      <c r="F385" s="1" t="s">
        <v>23</v>
      </c>
      <c r="G385" s="1">
        <v>39</v>
      </c>
      <c r="H385" s="12">
        <v>63</v>
      </c>
      <c r="I385" s="1" t="s">
        <v>23</v>
      </c>
      <c r="J385" s="1" t="s">
        <v>23</v>
      </c>
      <c r="K385" s="12">
        <v>23</v>
      </c>
      <c r="L385" s="1">
        <v>56</v>
      </c>
      <c r="M385" s="1" t="s">
        <v>23</v>
      </c>
      <c r="N385" s="12" t="s">
        <v>23</v>
      </c>
      <c r="O385" s="87">
        <v>40</v>
      </c>
      <c r="P385" s="1">
        <v>64</v>
      </c>
      <c r="Q385" s="1" t="s">
        <v>23</v>
      </c>
      <c r="R385" s="1" t="s">
        <v>23</v>
      </c>
      <c r="S385" s="1">
        <v>39</v>
      </c>
      <c r="T385" s="1">
        <v>61</v>
      </c>
      <c r="U385" s="1">
        <v>29</v>
      </c>
      <c r="V385" s="1">
        <v>53</v>
      </c>
      <c r="W385" s="1">
        <v>35</v>
      </c>
      <c r="X385" s="1">
        <v>56</v>
      </c>
      <c r="Y385" s="1">
        <v>47</v>
      </c>
      <c r="Z385" s="1">
        <v>57</v>
      </c>
      <c r="AA385" s="27" t="str">
        <f>VLOOKUP(A385,Classification!A:B,2,FALSE)</f>
        <v>O</v>
      </c>
      <c r="AB385" s="1">
        <f>VLOOKUP(A385,'SegEnds_NonXtal_Prot#'!A:AL,10,FALSE)-VLOOKUP(A385,'SegEnds_NonXtal_Prot#'!A:AL,4,FALSE)</f>
        <v>28</v>
      </c>
      <c r="AC385" s="1" t="e">
        <f>VLOOKUP(A385,'SegEnds_NonXtal_Prot#'!A:AL,10,FALSE)-VLOOKUP(A385,'SegEnds_NonXtal_Prot#'!A:AL,7,FALSE)</f>
        <v>#VALUE!</v>
      </c>
      <c r="AD385" s="1" t="e">
        <f>VLOOKUP(A385,'SegEnds_NonXtal_Prot#'!A:AL,13,FALSE)-VLOOKUP(A385,'SegEnds_NonXtal_Prot#'!A:AL,10,FALSE)</f>
        <v>#VALUE!</v>
      </c>
      <c r="AE385" s="1">
        <f>VLOOKUP(A385,'SegEnds_NonXtal_Prot#'!A:AL,16,FALSE)-VLOOKUP(A385,'SegEnds_NonXtal_Prot#'!A:AL,10,FALSE)</f>
        <v>47</v>
      </c>
      <c r="AF385" s="1" t="e">
        <f>VLOOKUP(A385,'SegEnds_NonXtal_Prot#'!A:AL,22,FALSE)-VLOOKUP(A385,'SegEnds_NonXtal_Prot#'!A:AL,19,FALSE)</f>
        <v>#VALUE!</v>
      </c>
      <c r="AG385" s="1" t="e">
        <f>VLOOKUP(A385,'SegEnds_NonXtal_Prot#'!A:AL,28,FALSE)-VLOOKUP(A385,'SegEnds_NonXtal_Prot#'!A:AL,25,FALSE)</f>
        <v>#VALUE!</v>
      </c>
      <c r="AH385" s="1">
        <f>VLOOKUP(A385,'SegEnds_NonXtal_Prot#'!A:AL,28,FALSE)-VLOOKUP(A385,'SegEnds_NonXtal_Prot#'!A:AL,22,FALSE)</f>
        <v>29</v>
      </c>
      <c r="AI385" s="1">
        <f>VLOOKUP(A385,'SegEnds_NonXtal_Prot#'!A:AL,31,FALSE)-VLOOKUP(A385,'SegEnds_NonXtal_Prot#'!A:AL,28,FALSE)</f>
        <v>67</v>
      </c>
      <c r="AJ385" s="1">
        <f>VLOOKUP(A385,'SegEnds_NonXtal_Prot#'!A:AL,34,FALSE)-VLOOKUP(A385,'SegEnds_NonXtal_Prot#'!A:AL,31,FALSE)</f>
        <v>45</v>
      </c>
      <c r="AK385" s="1">
        <f>VLOOKUP(A385,'SegEnds_NonXtal_Prot#'!A:AL,37,FALSE)-VLOOKUP(A385,'SegEnds_NonXtal_Prot#'!A:AL,34,FALSE)</f>
        <v>18</v>
      </c>
      <c r="AL385" s="1" t="str">
        <f>IF(ISERROR(MATCH(A385,'SegEnds_Xtal_Prot#'!B:B, 0)), "NoXtal", "Xtal")</f>
        <v>NoXtal</v>
      </c>
    </row>
    <row r="386" spans="1:38" x14ac:dyDescent="0.2">
      <c r="A386" s="1" t="s">
        <v>484</v>
      </c>
      <c r="B386" s="1" t="str">
        <f>VLOOKUP(A386,Xtal_Templ!A:B,2,FALSE)</f>
        <v>pe2r4_human</v>
      </c>
      <c r="C386" s="5">
        <f>VLOOKUP($B386&amp;"__wt",'SegEnds_Xtal_BW#'!$A:$Z,3,FALSE)</f>
        <v>33</v>
      </c>
      <c r="D386" s="1">
        <v>60</v>
      </c>
      <c r="E386" s="1" t="s">
        <v>23</v>
      </c>
      <c r="F386" s="1" t="s">
        <v>23</v>
      </c>
      <c r="G386" s="1">
        <v>39</v>
      </c>
      <c r="H386" s="12">
        <v>63</v>
      </c>
      <c r="I386" s="1" t="s">
        <v>23</v>
      </c>
      <c r="J386" s="1" t="s">
        <v>23</v>
      </c>
      <c r="K386" s="12">
        <v>23</v>
      </c>
      <c r="L386" s="1">
        <v>56</v>
      </c>
      <c r="M386" s="1" t="s">
        <v>23</v>
      </c>
      <c r="N386" s="12" t="s">
        <v>23</v>
      </c>
      <c r="O386" s="87">
        <v>40</v>
      </c>
      <c r="P386" s="108">
        <v>61</v>
      </c>
      <c r="Q386" s="1" t="s">
        <v>23</v>
      </c>
      <c r="R386" s="1" t="s">
        <v>23</v>
      </c>
      <c r="S386" s="108">
        <v>40</v>
      </c>
      <c r="T386" s="1">
        <v>61</v>
      </c>
      <c r="U386" s="1">
        <v>29</v>
      </c>
      <c r="V386" s="1">
        <v>53</v>
      </c>
      <c r="W386" s="1">
        <v>35</v>
      </c>
      <c r="X386" s="1">
        <v>56</v>
      </c>
      <c r="Y386" s="1">
        <v>47</v>
      </c>
      <c r="Z386" s="1">
        <v>57</v>
      </c>
      <c r="AA386" s="27" t="str">
        <f>VLOOKUP(A386,Classification!A:B,2,FALSE)</f>
        <v>O</v>
      </c>
      <c r="AB386" s="1">
        <f>VLOOKUP(A386,'SegEnds_NonXtal_Prot#'!A:AL,10,FALSE)-VLOOKUP(A386,'SegEnds_NonXtal_Prot#'!A:AL,4,FALSE)</f>
        <v>32</v>
      </c>
      <c r="AC386" s="1" t="e">
        <f>VLOOKUP(A386,'SegEnds_NonXtal_Prot#'!A:AL,10,FALSE)-VLOOKUP(A386,'SegEnds_NonXtal_Prot#'!A:AL,7,FALSE)</f>
        <v>#VALUE!</v>
      </c>
      <c r="AD386" s="1" t="e">
        <f>VLOOKUP(A386,'SegEnds_NonXtal_Prot#'!A:AL,13,FALSE)-VLOOKUP(A386,'SegEnds_NonXtal_Prot#'!A:AL,10,FALSE)</f>
        <v>#VALUE!</v>
      </c>
      <c r="AE386" s="1">
        <f>VLOOKUP(A386,'SegEnds_NonXtal_Prot#'!A:AL,16,FALSE)-VLOOKUP(A386,'SegEnds_NonXtal_Prot#'!A:AL,10,FALSE)</f>
        <v>45</v>
      </c>
      <c r="AF386" s="1" t="e">
        <f>VLOOKUP(A386,'SegEnds_NonXtal_Prot#'!A:AL,22,FALSE)-VLOOKUP(A386,'SegEnds_NonXtal_Prot#'!A:AL,19,FALSE)</f>
        <v>#VALUE!</v>
      </c>
      <c r="AG386" s="1" t="e">
        <f>VLOOKUP(A386,'SegEnds_NonXtal_Prot#'!A:AL,28,FALSE)-VLOOKUP(A386,'SegEnds_NonXtal_Prot#'!A:AL,25,FALSE)</f>
        <v>#VALUE!</v>
      </c>
      <c r="AH386" s="1">
        <f>VLOOKUP(A386,'SegEnds_NonXtal_Prot#'!A:AL,28,FALSE)-VLOOKUP(A386,'SegEnds_NonXtal_Prot#'!A:AL,22,FALSE)</f>
        <v>25</v>
      </c>
      <c r="AI386" s="1">
        <f>VLOOKUP(A386,'SegEnds_NonXtal_Prot#'!A:AL,31,FALSE)-VLOOKUP(A386,'SegEnds_NonXtal_Prot#'!A:AL,28,FALSE)</f>
        <v>76</v>
      </c>
      <c r="AJ386" s="1">
        <f>VLOOKUP(A386,'SegEnds_NonXtal_Prot#'!A:AL,34,FALSE)-VLOOKUP(A386,'SegEnds_NonXtal_Prot#'!A:AL,31,FALSE)</f>
        <v>36</v>
      </c>
      <c r="AK386" s="1">
        <f>VLOOKUP(A386,'SegEnds_NonXtal_Prot#'!A:AL,37,FALSE)-VLOOKUP(A386,'SegEnds_NonXtal_Prot#'!A:AL,34,FALSE)</f>
        <v>24</v>
      </c>
      <c r="AL386" s="1" t="str">
        <f>IF(ISERROR(MATCH(A386,'SegEnds_Xtal_Prot#'!B:B, 0)), "NoXtal", "Xtal")</f>
        <v>NoXtal</v>
      </c>
    </row>
    <row r="387" spans="1:38" x14ac:dyDescent="0.2">
      <c r="A387" s="1" t="s">
        <v>456</v>
      </c>
      <c r="B387" s="1" t="str">
        <f>VLOOKUP(A387,Xtal_Templ!A:B,2,FALSE)</f>
        <v>drd2_human</v>
      </c>
      <c r="C387" s="5">
        <v>32</v>
      </c>
      <c r="D387" s="1">
        <v>62</v>
      </c>
      <c r="E387" s="1">
        <f>VLOOKUP($B387&amp;"__wt",'SegEnds_Xtal_BW#'!$A:$Z,5,FALSE)</f>
        <v>48</v>
      </c>
      <c r="F387" s="1">
        <f>VLOOKUP($B387&amp;"__wt",'SegEnds_Xtal_BW#'!$A:$Z,6,FALSE)</f>
        <v>51</v>
      </c>
      <c r="G387" s="1">
        <v>39</v>
      </c>
      <c r="H387" s="12">
        <v>67</v>
      </c>
      <c r="I387" s="1" t="s">
        <v>23</v>
      </c>
      <c r="J387" s="1" t="s">
        <v>23</v>
      </c>
      <c r="K387" s="12">
        <v>21</v>
      </c>
      <c r="L387" s="1">
        <f>VLOOKUP($B387&amp;"__wt",'SegEnds_Xtal_BW#'!$A:$Z,12,FALSE)</f>
        <v>56</v>
      </c>
      <c r="M387" s="1">
        <f>VLOOKUP($B387&amp;"__wt",'SegEnds_Xtal_BW#'!$A:$Z,13,FALSE)</f>
        <v>50</v>
      </c>
      <c r="N387" s="12">
        <f>VLOOKUP($B387&amp;"__wt",'SegEnds_Xtal_BW#'!$A:$Z,14,FALSE)</f>
        <v>58</v>
      </c>
      <c r="O387" s="88">
        <v>38</v>
      </c>
      <c r="P387" s="1">
        <f>VLOOKUP($B387&amp;"__wt",'SegEnds_Xtal_BW#'!$A:$Z,16,FALSE)</f>
        <v>62</v>
      </c>
      <c r="Q387" s="1">
        <f>VLOOKUP($B387&amp;"__wt",'SegEnds_Xtal_BW#'!$A:$Z,17,FALSE)</f>
        <v>50</v>
      </c>
      <c r="R387" s="1">
        <f>VLOOKUP($B387&amp;"__wt",'SegEnds_Xtal_BW#'!$A:$Z,18,FALSE)</f>
        <v>52</v>
      </c>
      <c r="S387" s="1">
        <v>32</v>
      </c>
      <c r="T387" s="1">
        <v>72</v>
      </c>
      <c r="U387" s="1">
        <v>29</v>
      </c>
      <c r="V387" s="1">
        <v>61</v>
      </c>
      <c r="W387" s="1">
        <v>31</v>
      </c>
      <c r="X387" s="1">
        <f>VLOOKUP($B387&amp;"__wt",'SegEnds_Xtal_BW#'!$A:$Z,24,FALSE)</f>
        <v>56</v>
      </c>
      <c r="Y387" s="1">
        <f>VLOOKUP($B387&amp;"__wt",'SegEnds_Xtal_BW#'!$A:$Z,25,FALSE)</f>
        <v>47</v>
      </c>
      <c r="Z387" s="1">
        <v>60</v>
      </c>
      <c r="AA387" s="27" t="str">
        <f>VLOOKUP(A387,Classification!A:B,2,FALSE)</f>
        <v>T</v>
      </c>
      <c r="AB387" s="1">
        <f>VLOOKUP(A387,'SegEnds_NonXtal_Prot#'!A:AL,10,FALSE)-VLOOKUP(A387,'SegEnds_NonXtal_Prot#'!A:AL,4,FALSE)</f>
        <v>30</v>
      </c>
      <c r="AC387" s="1">
        <f>VLOOKUP(A387,'SegEnds_NonXtal_Prot#'!A:AL,10,FALSE)-VLOOKUP(A387,'SegEnds_NonXtal_Prot#'!A:AL,7,FALSE)</f>
        <v>15</v>
      </c>
      <c r="AD387" s="1" t="e">
        <f>VLOOKUP(A387,'SegEnds_NonXtal_Prot#'!A:AL,13,FALSE)-VLOOKUP(A387,'SegEnds_NonXtal_Prot#'!A:AL,10,FALSE)</f>
        <v>#VALUE!</v>
      </c>
      <c r="AE387" s="1">
        <f>VLOOKUP(A387,'SegEnds_NonXtal_Prot#'!A:AL,16,FALSE)-VLOOKUP(A387,'SegEnds_NonXtal_Prot#'!A:AL,10,FALSE)</f>
        <v>52</v>
      </c>
      <c r="AF387" s="1">
        <f>VLOOKUP(A387,'SegEnds_NonXtal_Prot#'!A:AL,22,FALSE)-VLOOKUP(A387,'SegEnds_NonXtal_Prot#'!A:AL,19,FALSE)</f>
        <v>20</v>
      </c>
      <c r="AG387" s="1" t="e">
        <f>VLOOKUP(A387,'SegEnds_NonXtal_Prot#'!A:AL,28,FALSE)-VLOOKUP(A387,'SegEnds_NonXtal_Prot#'!A:AL,25,FALSE)</f>
        <v>#VALUE!</v>
      </c>
      <c r="AH387" s="1">
        <f>VLOOKUP(A387,'SegEnds_NonXtal_Prot#'!A:AL,28,FALSE)-VLOOKUP(A387,'SegEnds_NonXtal_Prot#'!A:AL,22,FALSE)</f>
        <v>50</v>
      </c>
      <c r="AI387" s="1">
        <f>VLOOKUP(A387,'SegEnds_NonXtal_Prot#'!A:AL,31,FALSE)-VLOOKUP(A387,'SegEnds_NonXtal_Prot#'!A:AL,28,FALSE)</f>
        <v>53</v>
      </c>
      <c r="AJ387" s="1">
        <f>VLOOKUP(A387,'SegEnds_NonXtal_Prot#'!A:AL,34,FALSE)-VLOOKUP(A387,'SegEnds_NonXtal_Prot#'!A:AL,31,FALSE)</f>
        <v>36</v>
      </c>
      <c r="AK387" s="1">
        <f>VLOOKUP(A387,'SegEnds_NonXtal_Prot#'!A:AL,37,FALSE)-VLOOKUP(A387,'SegEnds_NonXtal_Prot#'!A:AL,34,FALSE)</f>
        <v>10</v>
      </c>
      <c r="AL387" s="1" t="str">
        <f>IF(ISERROR(MATCH(A387,'SegEnds_Xtal_Prot#'!B:B, 0)), "NoXtal", "Xtal")</f>
        <v>NoXtal</v>
      </c>
    </row>
    <row r="388" spans="1:38" x14ac:dyDescent="0.2">
      <c r="A388" s="1" t="s">
        <v>457</v>
      </c>
      <c r="B388" s="1" t="str">
        <f>VLOOKUP(A388,Xtal_Templ!A:B,2,FALSE)</f>
        <v>apj_human</v>
      </c>
      <c r="C388" s="5">
        <v>32</v>
      </c>
      <c r="D388" s="1">
        <v>62</v>
      </c>
      <c r="E388" s="1">
        <f>VLOOKUP($B388&amp;"__wt",'SegEnds_Xtal_BW#'!$A:$Z,5,FALSE)</f>
        <v>48</v>
      </c>
      <c r="F388" s="1">
        <f>VLOOKUP($B388&amp;"__wt",'SegEnds_Xtal_BW#'!$A:$Z,6,FALSE)</f>
        <v>52</v>
      </c>
      <c r="G388" s="1">
        <v>39</v>
      </c>
      <c r="H388" s="12">
        <v>67</v>
      </c>
      <c r="I388" s="1" t="s">
        <v>23</v>
      </c>
      <c r="J388" s="1" t="s">
        <v>23</v>
      </c>
      <c r="K388" s="12">
        <v>21</v>
      </c>
      <c r="L388" s="1">
        <f>VLOOKUP($B388&amp;"__wt",'SegEnds_Xtal_BW#'!$A:$Z,12,FALSE)</f>
        <v>56</v>
      </c>
      <c r="M388" s="1">
        <f>VLOOKUP($B388&amp;"__wt",'SegEnds_Xtal_BW#'!$A:$Z,13,FALSE)</f>
        <v>50</v>
      </c>
      <c r="N388" s="12">
        <v>57</v>
      </c>
      <c r="O388" s="87">
        <v>38</v>
      </c>
      <c r="P388" s="1">
        <f>VLOOKUP($B388&amp;"__wt",'SegEnds_Xtal_BW#'!$A:$Z,16,FALSE)</f>
        <v>64</v>
      </c>
      <c r="Q388" s="1">
        <f>VLOOKUP($B388&amp;"__wt",'SegEnds_Xtal_BW#'!$A:$Z,17,FALSE)</f>
        <v>50</v>
      </c>
      <c r="R388" s="1">
        <f>VLOOKUP($B388&amp;"__wt",'SegEnds_Xtal_BW#'!$A:$Z,18,FALSE)</f>
        <v>52</v>
      </c>
      <c r="S388" s="1">
        <v>32</v>
      </c>
      <c r="T388" s="1">
        <v>72</v>
      </c>
      <c r="U388" s="1">
        <v>29</v>
      </c>
      <c r="V388" s="1">
        <v>61</v>
      </c>
      <c r="W388" s="1">
        <v>31</v>
      </c>
      <c r="X388" s="1">
        <f>VLOOKUP($B388&amp;"__wt",'SegEnds_Xtal_BW#'!$A:$Z,24,FALSE)</f>
        <v>56</v>
      </c>
      <c r="Y388" s="1">
        <f>VLOOKUP($B388&amp;"__wt",'SegEnds_Xtal_BW#'!$A:$Z,25,FALSE)</f>
        <v>47</v>
      </c>
      <c r="Z388" s="1">
        <v>60</v>
      </c>
      <c r="AA388" s="27" t="str">
        <f>VLOOKUP(A388,Classification!A:B,2,FALSE)</f>
        <v>T</v>
      </c>
      <c r="AB388" s="1">
        <f>VLOOKUP(A388,'SegEnds_NonXtal_Prot#'!A:AL,10,FALSE)-VLOOKUP(A388,'SegEnds_NonXtal_Prot#'!A:AL,4,FALSE)</f>
        <v>31</v>
      </c>
      <c r="AC388" s="1">
        <f>VLOOKUP(A388,'SegEnds_NonXtal_Prot#'!A:AL,10,FALSE)-VLOOKUP(A388,'SegEnds_NonXtal_Prot#'!A:AL,7,FALSE)</f>
        <v>16</v>
      </c>
      <c r="AD388" s="1" t="e">
        <f>VLOOKUP(A388,'SegEnds_NonXtal_Prot#'!A:AL,13,FALSE)-VLOOKUP(A388,'SegEnds_NonXtal_Prot#'!A:AL,10,FALSE)</f>
        <v>#VALUE!</v>
      </c>
      <c r="AE388" s="1">
        <f>VLOOKUP(A388,'SegEnds_NonXtal_Prot#'!A:AL,16,FALSE)-VLOOKUP(A388,'SegEnds_NonXtal_Prot#'!A:AL,10,FALSE)</f>
        <v>52</v>
      </c>
      <c r="AF388" s="1">
        <f>VLOOKUP(A388,'SegEnds_NonXtal_Prot#'!A:AL,22,FALSE)-VLOOKUP(A388,'SegEnds_NonXtal_Prot#'!A:AL,19,FALSE)</f>
        <v>20</v>
      </c>
      <c r="AG388" s="1" t="e">
        <f>VLOOKUP(A388,'SegEnds_NonXtal_Prot#'!A:AL,28,FALSE)-VLOOKUP(A388,'SegEnds_NonXtal_Prot#'!A:AL,25,FALSE)</f>
        <v>#VALUE!</v>
      </c>
      <c r="AH388" s="1">
        <f>VLOOKUP(A388,'SegEnds_NonXtal_Prot#'!A:AL,28,FALSE)-VLOOKUP(A388,'SegEnds_NonXtal_Prot#'!A:AL,22,FALSE)</f>
        <v>54</v>
      </c>
      <c r="AI388" s="1">
        <f>VLOOKUP(A388,'SegEnds_NonXtal_Prot#'!A:AL,31,FALSE)-VLOOKUP(A388,'SegEnds_NonXtal_Prot#'!A:AL,28,FALSE)</f>
        <v>53</v>
      </c>
      <c r="AJ388" s="1">
        <f>VLOOKUP(A388,'SegEnds_NonXtal_Prot#'!A:AL,34,FALSE)-VLOOKUP(A388,'SegEnds_NonXtal_Prot#'!A:AL,31,FALSE)</f>
        <v>35</v>
      </c>
      <c r="AK388" s="1">
        <f>VLOOKUP(A388,'SegEnds_NonXtal_Prot#'!A:AL,37,FALSE)-VLOOKUP(A388,'SegEnds_NonXtal_Prot#'!A:AL,34,FALSE)</f>
        <v>10</v>
      </c>
      <c r="AL388" s="1" t="str">
        <f>IF(ISERROR(MATCH(A388,'SegEnds_Xtal_Prot#'!B:B, 0)), "NoXtal", "Xtal")</f>
        <v>NoXtal</v>
      </c>
    </row>
    <row r="389" spans="1:38" x14ac:dyDescent="0.2">
      <c r="A389" s="1" t="s">
        <v>458</v>
      </c>
      <c r="B389" s="1" t="str">
        <f>VLOOKUP(A389,Xtal_Templ!A:B,2,FALSE)</f>
        <v>5ht2c_human</v>
      </c>
      <c r="C389" s="5">
        <v>32</v>
      </c>
      <c r="D389" s="1">
        <v>62</v>
      </c>
      <c r="E389" s="1">
        <f>VLOOKUP($B389&amp;"__wt",'SegEnds_Xtal_BW#'!$A:$Z,5,FALSE)</f>
        <v>48</v>
      </c>
      <c r="F389" s="1">
        <f>VLOOKUP($B389&amp;"__wt",'SegEnds_Xtal_BW#'!$A:$Z,6,FALSE)</f>
        <v>51</v>
      </c>
      <c r="G389" s="1">
        <v>39</v>
      </c>
      <c r="H389" s="12">
        <v>67</v>
      </c>
      <c r="I389" s="1" t="s">
        <v>23</v>
      </c>
      <c r="J389" s="1" t="s">
        <v>23</v>
      </c>
      <c r="K389" s="12">
        <v>21</v>
      </c>
      <c r="L389" s="1">
        <f>VLOOKUP($B389&amp;"__wt",'SegEnds_Xtal_BW#'!$A:$Z,12,FALSE)</f>
        <v>56</v>
      </c>
      <c r="M389" s="1">
        <f>VLOOKUP($B389&amp;"__wt",'SegEnds_Xtal_BW#'!$A:$Z,13,FALSE)</f>
        <v>50</v>
      </c>
      <c r="N389" s="12">
        <v>57</v>
      </c>
      <c r="O389" s="87">
        <v>38</v>
      </c>
      <c r="P389" s="1">
        <f>VLOOKUP($B389&amp;"__wt",'SegEnds_Xtal_BW#'!$A:$Z,16,FALSE)</f>
        <v>67</v>
      </c>
      <c r="Q389" s="1">
        <f>VLOOKUP($B389&amp;"__wt",'SegEnds_Xtal_BW#'!$A:$Z,17,FALSE)</f>
        <v>50</v>
      </c>
      <c r="R389" s="1">
        <f>VLOOKUP($B389&amp;"__wt",'SegEnds_Xtal_BW#'!$A:$Z,18,FALSE)</f>
        <v>52</v>
      </c>
      <c r="S389" s="1">
        <v>32</v>
      </c>
      <c r="T389" s="1">
        <v>72</v>
      </c>
      <c r="U389" s="1">
        <v>29</v>
      </c>
      <c r="V389" s="1">
        <v>61</v>
      </c>
      <c r="W389" s="1">
        <v>31</v>
      </c>
      <c r="X389" s="1">
        <f>VLOOKUP($B389&amp;"__wt",'SegEnds_Xtal_BW#'!$A:$Z,24,FALSE)</f>
        <v>56</v>
      </c>
      <c r="Y389" s="1">
        <f>VLOOKUP($B389&amp;"__wt",'SegEnds_Xtal_BW#'!$A:$Z,25,FALSE)</f>
        <v>47</v>
      </c>
      <c r="Z389" s="1">
        <v>60</v>
      </c>
      <c r="AA389" s="27" t="str">
        <f>VLOOKUP(A389,Classification!A:B,2,FALSE)</f>
        <v>T</v>
      </c>
      <c r="AB389" s="1">
        <f>VLOOKUP(A389,'SegEnds_NonXtal_Prot#'!A:AL,10,FALSE)-VLOOKUP(A389,'SegEnds_NonXtal_Prot#'!A:AL,4,FALSE)</f>
        <v>31</v>
      </c>
      <c r="AC389" s="1">
        <f>VLOOKUP(A389,'SegEnds_NonXtal_Prot#'!A:AL,10,FALSE)-VLOOKUP(A389,'SegEnds_NonXtal_Prot#'!A:AL,7,FALSE)</f>
        <v>16</v>
      </c>
      <c r="AD389" s="1" t="e">
        <f>VLOOKUP(A389,'SegEnds_NonXtal_Prot#'!A:AL,13,FALSE)-VLOOKUP(A389,'SegEnds_NonXtal_Prot#'!A:AL,10,FALSE)</f>
        <v>#VALUE!</v>
      </c>
      <c r="AE389" s="1">
        <f>VLOOKUP(A389,'SegEnds_NonXtal_Prot#'!A:AL,16,FALSE)-VLOOKUP(A389,'SegEnds_NonXtal_Prot#'!A:AL,10,FALSE)</f>
        <v>52</v>
      </c>
      <c r="AF389" s="1">
        <f>VLOOKUP(A389,'SegEnds_NonXtal_Prot#'!A:AL,22,FALSE)-VLOOKUP(A389,'SegEnds_NonXtal_Prot#'!A:AL,19,FALSE)</f>
        <v>20</v>
      </c>
      <c r="AG389" s="1" t="e">
        <f>VLOOKUP(A389,'SegEnds_NonXtal_Prot#'!A:AL,28,FALSE)-VLOOKUP(A389,'SegEnds_NonXtal_Prot#'!A:AL,25,FALSE)</f>
        <v>#VALUE!</v>
      </c>
      <c r="AH389" s="1">
        <f>VLOOKUP(A389,'SegEnds_NonXtal_Prot#'!A:AL,28,FALSE)-VLOOKUP(A389,'SegEnds_NonXtal_Prot#'!A:AL,22,FALSE)</f>
        <v>54</v>
      </c>
      <c r="AI389" s="1">
        <f>VLOOKUP(A389,'SegEnds_NonXtal_Prot#'!A:AL,31,FALSE)-VLOOKUP(A389,'SegEnds_NonXtal_Prot#'!A:AL,28,FALSE)</f>
        <v>52</v>
      </c>
      <c r="AJ389" s="1">
        <f>VLOOKUP(A389,'SegEnds_NonXtal_Prot#'!A:AL,34,FALSE)-VLOOKUP(A389,'SegEnds_NonXtal_Prot#'!A:AL,31,FALSE)</f>
        <v>35</v>
      </c>
      <c r="AK389" s="1">
        <f>VLOOKUP(A389,'SegEnds_NonXtal_Prot#'!A:AL,37,FALSE)-VLOOKUP(A389,'SegEnds_NonXtal_Prot#'!A:AL,34,FALSE)</f>
        <v>10</v>
      </c>
      <c r="AL389" s="1" t="str">
        <f>IF(ISERROR(MATCH(A389,'SegEnds_Xtal_Prot#'!B:B, 0)), "NoXtal", "Xtal")</f>
        <v>NoXtal</v>
      </c>
    </row>
    <row r="390" spans="1:38" x14ac:dyDescent="0.2">
      <c r="A390" s="1" t="s">
        <v>459</v>
      </c>
      <c r="B390" s="1" t="str">
        <f>VLOOKUP(A390,Xtal_Templ!A:B,2,FALSE)</f>
        <v>pd2r2_human</v>
      </c>
      <c r="C390" s="5">
        <v>32</v>
      </c>
      <c r="D390" s="1">
        <v>62</v>
      </c>
      <c r="E390" s="1" t="str">
        <f>VLOOKUP($B390&amp;"__wt",'SegEnds_Xtal_BW#'!$A:$Z,5,FALSE)</f>
        <v>-</v>
      </c>
      <c r="F390" s="1" t="str">
        <f>VLOOKUP($B390&amp;"__wt",'SegEnds_Xtal_BW#'!$A:$Z,6,FALSE)</f>
        <v>-</v>
      </c>
      <c r="G390" s="1">
        <v>39</v>
      </c>
      <c r="H390" s="12">
        <v>66</v>
      </c>
      <c r="I390" s="1" t="s">
        <v>23</v>
      </c>
      <c r="J390" s="1" t="s">
        <v>23</v>
      </c>
      <c r="K390" s="12">
        <v>24</v>
      </c>
      <c r="L390" s="1">
        <f>VLOOKUP($B390&amp;"__wt",'SegEnds_Xtal_BW#'!$A:$Z,12,FALSE)</f>
        <v>56</v>
      </c>
      <c r="M390" s="1">
        <f>VLOOKUP($B390&amp;"__wt",'SegEnds_Xtal_BW#'!$A:$Z,13,FALSE)</f>
        <v>50</v>
      </c>
      <c r="N390" s="12">
        <v>57</v>
      </c>
      <c r="O390" s="87">
        <v>38</v>
      </c>
      <c r="P390" s="1">
        <f>VLOOKUP($B390&amp;"__wt",'SegEnds_Xtal_BW#'!$A:$Z,16,FALSE)</f>
        <v>64</v>
      </c>
      <c r="Q390" s="1">
        <f>VLOOKUP($B390&amp;"__wt",'SegEnds_Xtal_BW#'!$A:$Z,17,FALSE)</f>
        <v>50</v>
      </c>
      <c r="R390" s="1">
        <f>VLOOKUP($B390&amp;"__wt",'SegEnds_Xtal_BW#'!$A:$Z,18,FALSE)</f>
        <v>52</v>
      </c>
      <c r="S390" s="1">
        <v>32</v>
      </c>
      <c r="T390" s="1">
        <v>72</v>
      </c>
      <c r="U390" s="1">
        <v>29</v>
      </c>
      <c r="V390" s="1">
        <v>61</v>
      </c>
      <c r="W390" s="1">
        <v>31</v>
      </c>
      <c r="X390" s="1">
        <f>VLOOKUP($B390&amp;"__wt",'SegEnds_Xtal_BW#'!$A:$Z,24,FALSE)</f>
        <v>56</v>
      </c>
      <c r="Y390" s="1">
        <f>VLOOKUP($B390&amp;"__wt",'SegEnds_Xtal_BW#'!$A:$Z,25,FALSE)</f>
        <v>47</v>
      </c>
      <c r="Z390" s="1">
        <v>60</v>
      </c>
      <c r="AA390" s="27" t="str">
        <f>VLOOKUP(A390,Classification!A:B,2,FALSE)</f>
        <v>T</v>
      </c>
      <c r="AB390" s="1">
        <f>VLOOKUP(A390,'SegEnds_NonXtal_Prot#'!A:AL,10,FALSE)-VLOOKUP(A390,'SegEnds_NonXtal_Prot#'!A:AL,4,FALSE)</f>
        <v>31</v>
      </c>
      <c r="AC390" s="1">
        <f>VLOOKUP(A390,'SegEnds_NonXtal_Prot#'!A:AL,10,FALSE)-VLOOKUP(A390,'SegEnds_NonXtal_Prot#'!A:AL,7,FALSE)</f>
        <v>16</v>
      </c>
      <c r="AD390" s="1" t="e">
        <f>VLOOKUP(A390,'SegEnds_NonXtal_Prot#'!A:AL,13,FALSE)-VLOOKUP(A390,'SegEnds_NonXtal_Prot#'!A:AL,10,FALSE)</f>
        <v>#VALUE!</v>
      </c>
      <c r="AE390" s="1">
        <f>VLOOKUP(A390,'SegEnds_NonXtal_Prot#'!A:AL,16,FALSE)-VLOOKUP(A390,'SegEnds_NonXtal_Prot#'!A:AL,10,FALSE)</f>
        <v>47</v>
      </c>
      <c r="AF390" s="1">
        <f>VLOOKUP(A390,'SegEnds_NonXtal_Prot#'!A:AL,22,FALSE)-VLOOKUP(A390,'SegEnds_NonXtal_Prot#'!A:AL,19,FALSE)</f>
        <v>20</v>
      </c>
      <c r="AG390" s="1" t="e">
        <f>VLOOKUP(A390,'SegEnds_NonXtal_Prot#'!A:AL,28,FALSE)-VLOOKUP(A390,'SegEnds_NonXtal_Prot#'!A:AL,25,FALSE)</f>
        <v>#VALUE!</v>
      </c>
      <c r="AH390" s="1">
        <f>VLOOKUP(A390,'SegEnds_NonXtal_Prot#'!A:AL,28,FALSE)-VLOOKUP(A390,'SegEnds_NonXtal_Prot#'!A:AL,22,FALSE)</f>
        <v>56</v>
      </c>
      <c r="AI390" s="1">
        <f>VLOOKUP(A390,'SegEnds_NonXtal_Prot#'!A:AL,31,FALSE)-VLOOKUP(A390,'SegEnds_NonXtal_Prot#'!A:AL,28,FALSE)</f>
        <v>50</v>
      </c>
      <c r="AJ390" s="1">
        <f>VLOOKUP(A390,'SegEnds_NonXtal_Prot#'!A:AL,34,FALSE)-VLOOKUP(A390,'SegEnds_NonXtal_Prot#'!A:AL,31,FALSE)</f>
        <v>35</v>
      </c>
      <c r="AK390" s="1">
        <f>VLOOKUP(A390,'SegEnds_NonXtal_Prot#'!A:AL,37,FALSE)-VLOOKUP(A390,'SegEnds_NonXtal_Prot#'!A:AL,34,FALSE)</f>
        <v>10</v>
      </c>
      <c r="AL390" s="1" t="str">
        <f>IF(ISERROR(MATCH(A390,'SegEnds_Xtal_Prot#'!B:B, 0)), "NoXtal", "Xtal")</f>
        <v>NoXtal</v>
      </c>
    </row>
    <row r="391" spans="1:38" x14ac:dyDescent="0.2">
      <c r="A391" s="1" t="s">
        <v>460</v>
      </c>
      <c r="B391" s="1" t="str">
        <f>VLOOKUP(A391,Xtal_Templ!A:B,2,FALSE)</f>
        <v>5ht2c_human</v>
      </c>
      <c r="C391" s="5">
        <v>32</v>
      </c>
      <c r="D391" s="1">
        <v>62</v>
      </c>
      <c r="E391" s="1">
        <f>VLOOKUP($B391&amp;"__wt",'SegEnds_Xtal_BW#'!$A:$Z,5,FALSE)</f>
        <v>48</v>
      </c>
      <c r="F391" s="1">
        <f>VLOOKUP($B391&amp;"__wt",'SegEnds_Xtal_BW#'!$A:$Z,6,FALSE)</f>
        <v>51</v>
      </c>
      <c r="G391" s="1">
        <v>39</v>
      </c>
      <c r="H391" s="12">
        <v>66</v>
      </c>
      <c r="I391" s="1" t="s">
        <v>23</v>
      </c>
      <c r="J391" s="1" t="s">
        <v>23</v>
      </c>
      <c r="K391" s="12">
        <v>21</v>
      </c>
      <c r="L391" s="1">
        <f>VLOOKUP($B391&amp;"__wt",'SegEnds_Xtal_BW#'!$A:$Z,12,FALSE)</f>
        <v>56</v>
      </c>
      <c r="M391" s="1">
        <f>VLOOKUP($B391&amp;"__wt",'SegEnds_Xtal_BW#'!$A:$Z,13,FALSE)</f>
        <v>50</v>
      </c>
      <c r="N391" s="12">
        <v>57</v>
      </c>
      <c r="O391" s="88">
        <v>38</v>
      </c>
      <c r="P391" s="1">
        <f>VLOOKUP($B391&amp;"__wt",'SegEnds_Xtal_BW#'!$A:$Z,16,FALSE)</f>
        <v>67</v>
      </c>
      <c r="Q391" s="1">
        <f>VLOOKUP($B391&amp;"__wt",'SegEnds_Xtal_BW#'!$A:$Z,17,FALSE)</f>
        <v>50</v>
      </c>
      <c r="R391" s="1">
        <f>VLOOKUP($B391&amp;"__wt",'SegEnds_Xtal_BW#'!$A:$Z,18,FALSE)</f>
        <v>52</v>
      </c>
      <c r="S391" s="1">
        <v>32</v>
      </c>
      <c r="T391" s="1">
        <v>72</v>
      </c>
      <c r="U391" s="1">
        <v>29</v>
      </c>
      <c r="V391" s="1">
        <v>61</v>
      </c>
      <c r="W391" s="1">
        <v>31</v>
      </c>
      <c r="X391" s="1">
        <f>VLOOKUP($B391&amp;"__wt",'SegEnds_Xtal_BW#'!$A:$Z,24,FALSE)</f>
        <v>56</v>
      </c>
      <c r="Y391" s="1">
        <f>VLOOKUP($B391&amp;"__wt",'SegEnds_Xtal_BW#'!$A:$Z,25,FALSE)</f>
        <v>47</v>
      </c>
      <c r="Z391" s="1">
        <v>60</v>
      </c>
      <c r="AA391" s="27" t="str">
        <f>VLOOKUP(A391,Classification!A:B,2,FALSE)</f>
        <v>T</v>
      </c>
      <c r="AB391" s="1">
        <f>VLOOKUP(A391,'SegEnds_NonXtal_Prot#'!A:AL,10,FALSE)-VLOOKUP(A391,'SegEnds_NonXtal_Prot#'!A:AL,4,FALSE)</f>
        <v>31</v>
      </c>
      <c r="AC391" s="1">
        <f>VLOOKUP(A391,'SegEnds_NonXtal_Prot#'!A:AL,10,FALSE)-VLOOKUP(A391,'SegEnds_NonXtal_Prot#'!A:AL,7,FALSE)</f>
        <v>16</v>
      </c>
      <c r="AD391" s="1" t="e">
        <f>VLOOKUP(A391,'SegEnds_NonXtal_Prot#'!A:AL,13,FALSE)-VLOOKUP(A391,'SegEnds_NonXtal_Prot#'!A:AL,10,FALSE)</f>
        <v>#VALUE!</v>
      </c>
      <c r="AE391" s="1">
        <f>VLOOKUP(A391,'SegEnds_NonXtal_Prot#'!A:AL,16,FALSE)-VLOOKUP(A391,'SegEnds_NonXtal_Prot#'!A:AL,10,FALSE)</f>
        <v>51</v>
      </c>
      <c r="AF391" s="1">
        <f>VLOOKUP(A391,'SegEnds_NonXtal_Prot#'!A:AL,22,FALSE)-VLOOKUP(A391,'SegEnds_NonXtal_Prot#'!A:AL,19,FALSE)</f>
        <v>20</v>
      </c>
      <c r="AG391" s="1" t="e">
        <f>VLOOKUP(A391,'SegEnds_NonXtal_Prot#'!A:AL,28,FALSE)-VLOOKUP(A391,'SegEnds_NonXtal_Prot#'!A:AL,25,FALSE)</f>
        <v>#VALUE!</v>
      </c>
      <c r="AH391" s="1">
        <f>VLOOKUP(A391,'SegEnds_NonXtal_Prot#'!A:AL,28,FALSE)-VLOOKUP(A391,'SegEnds_NonXtal_Prot#'!A:AL,22,FALSE)</f>
        <v>52</v>
      </c>
      <c r="AI391" s="1">
        <f>VLOOKUP(A391,'SegEnds_NonXtal_Prot#'!A:AL,31,FALSE)-VLOOKUP(A391,'SegEnds_NonXtal_Prot#'!A:AL,28,FALSE)</f>
        <v>53</v>
      </c>
      <c r="AJ391" s="1">
        <f>VLOOKUP(A391,'SegEnds_NonXtal_Prot#'!A:AL,34,FALSE)-VLOOKUP(A391,'SegEnds_NonXtal_Prot#'!A:AL,31,FALSE)</f>
        <v>36</v>
      </c>
      <c r="AK391" s="1">
        <f>VLOOKUP(A391,'SegEnds_NonXtal_Prot#'!A:AL,37,FALSE)-VLOOKUP(A391,'SegEnds_NonXtal_Prot#'!A:AL,34,FALSE)</f>
        <v>10</v>
      </c>
      <c r="AL391" s="1" t="str">
        <f>IF(ISERROR(MATCH(A391,'SegEnds_Xtal_Prot#'!B:B, 0)), "NoXtal", "Xtal")</f>
        <v>NoXtal</v>
      </c>
    </row>
    <row r="392" spans="1:38" x14ac:dyDescent="0.2">
      <c r="A392" s="1" t="s">
        <v>461</v>
      </c>
      <c r="B392" s="1" t="str">
        <f>VLOOKUP(A392,Xtal_Templ!A:B,2,FALSE)</f>
        <v>5ht2c_human</v>
      </c>
      <c r="C392" s="5">
        <v>32</v>
      </c>
      <c r="D392" s="1">
        <v>62</v>
      </c>
      <c r="E392" s="1">
        <f>VLOOKUP($B392&amp;"__wt",'SegEnds_Xtal_BW#'!$A:$Z,5,FALSE)</f>
        <v>48</v>
      </c>
      <c r="F392" s="1">
        <f>VLOOKUP($B392&amp;"__wt",'SegEnds_Xtal_BW#'!$A:$Z,6,FALSE)</f>
        <v>51</v>
      </c>
      <c r="G392" s="1">
        <v>39</v>
      </c>
      <c r="H392" s="12">
        <v>66</v>
      </c>
      <c r="I392" s="1" t="s">
        <v>23</v>
      </c>
      <c r="J392" s="1" t="s">
        <v>23</v>
      </c>
      <c r="K392" s="12">
        <v>21</v>
      </c>
      <c r="L392" s="1">
        <f>VLOOKUP($B392&amp;"__wt",'SegEnds_Xtal_BW#'!$A:$Z,12,FALSE)</f>
        <v>56</v>
      </c>
      <c r="M392" s="1">
        <f>VLOOKUP($B392&amp;"__wt",'SegEnds_Xtal_BW#'!$A:$Z,13,FALSE)</f>
        <v>50</v>
      </c>
      <c r="N392" s="12">
        <v>57</v>
      </c>
      <c r="O392" s="87">
        <v>38</v>
      </c>
      <c r="P392" s="1">
        <f>VLOOKUP($B392&amp;"__wt",'SegEnds_Xtal_BW#'!$A:$Z,16,FALSE)</f>
        <v>67</v>
      </c>
      <c r="Q392" s="1">
        <f>VLOOKUP($B392&amp;"__wt",'SegEnds_Xtal_BW#'!$A:$Z,17,FALSE)</f>
        <v>50</v>
      </c>
      <c r="R392" s="1">
        <f>VLOOKUP($B392&amp;"__wt",'SegEnds_Xtal_BW#'!$A:$Z,18,FALSE)</f>
        <v>52</v>
      </c>
      <c r="S392" s="1">
        <v>32</v>
      </c>
      <c r="T392" s="1">
        <v>72</v>
      </c>
      <c r="U392" s="1">
        <v>29</v>
      </c>
      <c r="V392" s="1">
        <v>61</v>
      </c>
      <c r="W392" s="1">
        <v>31</v>
      </c>
      <c r="X392" s="1">
        <f>VLOOKUP($B392&amp;"__wt",'SegEnds_Xtal_BW#'!$A:$Z,24,FALSE)</f>
        <v>56</v>
      </c>
      <c r="Y392" s="1">
        <f>VLOOKUP($B392&amp;"__wt",'SegEnds_Xtal_BW#'!$A:$Z,25,FALSE)</f>
        <v>47</v>
      </c>
      <c r="Z392" s="1">
        <v>60</v>
      </c>
      <c r="AA392" s="27" t="str">
        <f>VLOOKUP(A392,Classification!A:B,2,FALSE)</f>
        <v>T</v>
      </c>
      <c r="AB392" s="1">
        <f>VLOOKUP(A392,'SegEnds_NonXtal_Prot#'!A:AL,10,FALSE)-VLOOKUP(A392,'SegEnds_NonXtal_Prot#'!A:AL,4,FALSE)</f>
        <v>31</v>
      </c>
      <c r="AC392" s="1">
        <f>VLOOKUP(A392,'SegEnds_NonXtal_Prot#'!A:AL,10,FALSE)-VLOOKUP(A392,'SegEnds_NonXtal_Prot#'!A:AL,7,FALSE)</f>
        <v>16</v>
      </c>
      <c r="AD392" s="1" t="e">
        <f>VLOOKUP(A392,'SegEnds_NonXtal_Prot#'!A:AL,13,FALSE)-VLOOKUP(A392,'SegEnds_NonXtal_Prot#'!A:AL,10,FALSE)</f>
        <v>#VALUE!</v>
      </c>
      <c r="AE392" s="1">
        <f>VLOOKUP(A392,'SegEnds_NonXtal_Prot#'!A:AL,16,FALSE)-VLOOKUP(A392,'SegEnds_NonXtal_Prot#'!A:AL,10,FALSE)</f>
        <v>51</v>
      </c>
      <c r="AF392" s="1">
        <f>VLOOKUP(A392,'SegEnds_NonXtal_Prot#'!A:AL,22,FALSE)-VLOOKUP(A392,'SegEnds_NonXtal_Prot#'!A:AL,19,FALSE)</f>
        <v>20</v>
      </c>
      <c r="AG392" s="1" t="e">
        <f>VLOOKUP(A392,'SegEnds_NonXtal_Prot#'!A:AL,28,FALSE)-VLOOKUP(A392,'SegEnds_NonXtal_Prot#'!A:AL,25,FALSE)</f>
        <v>#VALUE!</v>
      </c>
      <c r="AH392" s="1">
        <f>VLOOKUP(A392,'SegEnds_NonXtal_Prot#'!A:AL,28,FALSE)-VLOOKUP(A392,'SegEnds_NonXtal_Prot#'!A:AL,22,FALSE)</f>
        <v>52</v>
      </c>
      <c r="AI392" s="1">
        <f>VLOOKUP(A392,'SegEnds_NonXtal_Prot#'!A:AL,31,FALSE)-VLOOKUP(A392,'SegEnds_NonXtal_Prot#'!A:AL,28,FALSE)</f>
        <v>53</v>
      </c>
      <c r="AJ392" s="1">
        <f>VLOOKUP(A392,'SegEnds_NonXtal_Prot#'!A:AL,34,FALSE)-VLOOKUP(A392,'SegEnds_NonXtal_Prot#'!A:AL,31,FALSE)</f>
        <v>36</v>
      </c>
      <c r="AK392" s="1">
        <f>VLOOKUP(A392,'SegEnds_NonXtal_Prot#'!A:AL,37,FALSE)-VLOOKUP(A392,'SegEnds_NonXtal_Prot#'!A:AL,34,FALSE)</f>
        <v>10</v>
      </c>
      <c r="AL392" s="1" t="str">
        <f>IF(ISERROR(MATCH(A392,'SegEnds_Xtal_Prot#'!B:B, 0)), "NoXtal", "Xtal")</f>
        <v>NoXtal</v>
      </c>
    </row>
    <row r="393" spans="1:38" x14ac:dyDescent="0.2">
      <c r="A393" s="1" t="s">
        <v>462</v>
      </c>
      <c r="B393" s="1" t="str">
        <f>VLOOKUP(A393,Xtal_Templ!A:B,2,FALSE)</f>
        <v>5ht2c_human</v>
      </c>
      <c r="C393" s="5">
        <v>32</v>
      </c>
      <c r="D393" s="1">
        <v>62</v>
      </c>
      <c r="E393" s="1">
        <f>VLOOKUP($B393&amp;"__wt",'SegEnds_Xtal_BW#'!$A:$Z,5,FALSE)</f>
        <v>48</v>
      </c>
      <c r="F393" s="1">
        <f>VLOOKUP($B393&amp;"__wt",'SegEnds_Xtal_BW#'!$A:$Z,6,FALSE)</f>
        <v>51</v>
      </c>
      <c r="G393" s="1">
        <v>39</v>
      </c>
      <c r="H393" s="12">
        <v>66</v>
      </c>
      <c r="I393" s="1" t="s">
        <v>23</v>
      </c>
      <c r="J393" s="1" t="s">
        <v>23</v>
      </c>
      <c r="K393" s="12">
        <v>21</v>
      </c>
      <c r="L393" s="1">
        <f>VLOOKUP($B393&amp;"__wt",'SegEnds_Xtal_BW#'!$A:$Z,12,FALSE)</f>
        <v>56</v>
      </c>
      <c r="M393" s="1">
        <f>VLOOKUP($B393&amp;"__wt",'SegEnds_Xtal_BW#'!$A:$Z,13,FALSE)</f>
        <v>50</v>
      </c>
      <c r="N393" s="12">
        <v>57</v>
      </c>
      <c r="O393" s="88">
        <v>38</v>
      </c>
      <c r="P393" s="1">
        <f>VLOOKUP($B393&amp;"__wt",'SegEnds_Xtal_BW#'!$A:$Z,16,FALSE)</f>
        <v>67</v>
      </c>
      <c r="Q393" s="1">
        <f>VLOOKUP($B393&amp;"__wt",'SegEnds_Xtal_BW#'!$A:$Z,17,FALSE)</f>
        <v>50</v>
      </c>
      <c r="R393" s="1">
        <f>VLOOKUP($B393&amp;"__wt",'SegEnds_Xtal_BW#'!$A:$Z,18,FALSE)</f>
        <v>52</v>
      </c>
      <c r="S393" s="1">
        <v>32</v>
      </c>
      <c r="T393" s="1">
        <v>72</v>
      </c>
      <c r="U393" s="1">
        <v>29</v>
      </c>
      <c r="V393" s="1">
        <v>61</v>
      </c>
      <c r="W393" s="1">
        <v>31</v>
      </c>
      <c r="X393" s="1">
        <f>VLOOKUP($B393&amp;"__wt",'SegEnds_Xtal_BW#'!$A:$Z,24,FALSE)</f>
        <v>56</v>
      </c>
      <c r="Y393" s="1">
        <f>VLOOKUP($B393&amp;"__wt",'SegEnds_Xtal_BW#'!$A:$Z,25,FALSE)</f>
        <v>47</v>
      </c>
      <c r="Z393" s="1">
        <v>60</v>
      </c>
      <c r="AA393" s="27" t="str">
        <f>VLOOKUP(A393,Classification!A:B,2,FALSE)</f>
        <v>T</v>
      </c>
      <c r="AB393" s="1">
        <f>VLOOKUP(A393,'SegEnds_NonXtal_Prot#'!A:AL,10,FALSE)-VLOOKUP(A393,'SegEnds_NonXtal_Prot#'!A:AL,4,FALSE)</f>
        <v>31</v>
      </c>
      <c r="AC393" s="1">
        <f>VLOOKUP(A393,'SegEnds_NonXtal_Prot#'!A:AL,10,FALSE)-VLOOKUP(A393,'SegEnds_NonXtal_Prot#'!A:AL,7,FALSE)</f>
        <v>16</v>
      </c>
      <c r="AD393" s="1" t="e">
        <f>VLOOKUP(A393,'SegEnds_NonXtal_Prot#'!A:AL,13,FALSE)-VLOOKUP(A393,'SegEnds_NonXtal_Prot#'!A:AL,10,FALSE)</f>
        <v>#VALUE!</v>
      </c>
      <c r="AE393" s="1">
        <f>VLOOKUP(A393,'SegEnds_NonXtal_Prot#'!A:AL,16,FALSE)-VLOOKUP(A393,'SegEnds_NonXtal_Prot#'!A:AL,10,FALSE)</f>
        <v>51</v>
      </c>
      <c r="AF393" s="1">
        <f>VLOOKUP(A393,'SegEnds_NonXtal_Prot#'!A:AL,22,FALSE)-VLOOKUP(A393,'SegEnds_NonXtal_Prot#'!A:AL,19,FALSE)</f>
        <v>20</v>
      </c>
      <c r="AG393" s="1" t="e">
        <f>VLOOKUP(A393,'SegEnds_NonXtal_Prot#'!A:AL,28,FALSE)-VLOOKUP(A393,'SegEnds_NonXtal_Prot#'!A:AL,25,FALSE)</f>
        <v>#VALUE!</v>
      </c>
      <c r="AH393" s="1">
        <f>VLOOKUP(A393,'SegEnds_NonXtal_Prot#'!A:AL,28,FALSE)-VLOOKUP(A393,'SegEnds_NonXtal_Prot#'!A:AL,22,FALSE)</f>
        <v>52</v>
      </c>
      <c r="AI393" s="1">
        <f>VLOOKUP(A393,'SegEnds_NonXtal_Prot#'!A:AL,31,FALSE)-VLOOKUP(A393,'SegEnds_NonXtal_Prot#'!A:AL,28,FALSE)</f>
        <v>53</v>
      </c>
      <c r="AJ393" s="1">
        <f>VLOOKUP(A393,'SegEnds_NonXtal_Prot#'!A:AL,34,FALSE)-VLOOKUP(A393,'SegEnds_NonXtal_Prot#'!A:AL,31,FALSE)</f>
        <v>36</v>
      </c>
      <c r="AK393" s="1">
        <f>VLOOKUP(A393,'SegEnds_NonXtal_Prot#'!A:AL,37,FALSE)-VLOOKUP(A393,'SegEnds_NonXtal_Prot#'!A:AL,34,FALSE)</f>
        <v>10</v>
      </c>
      <c r="AL393" s="1" t="str">
        <f>IF(ISERROR(MATCH(A393,'SegEnds_Xtal_Prot#'!B:B, 0)), "NoXtal", "Xtal")</f>
        <v>NoXtal</v>
      </c>
    </row>
    <row r="394" spans="1:38" x14ac:dyDescent="0.2">
      <c r="A394" s="1" t="s">
        <v>463</v>
      </c>
      <c r="B394" s="1" t="str">
        <f>VLOOKUP(A394,Xtal_Templ!A:B,2,FALSE)</f>
        <v>drd2_human</v>
      </c>
      <c r="C394" s="5">
        <v>32</v>
      </c>
      <c r="D394" s="1">
        <v>62</v>
      </c>
      <c r="E394" s="1">
        <f>VLOOKUP($B394&amp;"__wt",'SegEnds_Xtal_BW#'!$A:$Z,5,FALSE)</f>
        <v>48</v>
      </c>
      <c r="F394" s="1">
        <f>VLOOKUP($B394&amp;"__wt",'SegEnds_Xtal_BW#'!$A:$Z,6,FALSE)</f>
        <v>51</v>
      </c>
      <c r="G394" s="1">
        <v>39</v>
      </c>
      <c r="H394" s="12">
        <v>66</v>
      </c>
      <c r="I394" s="1" t="s">
        <v>23</v>
      </c>
      <c r="J394" s="1" t="s">
        <v>23</v>
      </c>
      <c r="K394" s="12">
        <v>21</v>
      </c>
      <c r="L394" s="1">
        <f>VLOOKUP($B394&amp;"__wt",'SegEnds_Xtal_BW#'!$A:$Z,12,FALSE)</f>
        <v>56</v>
      </c>
      <c r="M394" s="1">
        <f>VLOOKUP($B394&amp;"__wt",'SegEnds_Xtal_BW#'!$A:$Z,13,FALSE)</f>
        <v>50</v>
      </c>
      <c r="N394" s="12">
        <v>57</v>
      </c>
      <c r="O394" s="87">
        <v>38</v>
      </c>
      <c r="P394" s="1">
        <f>VLOOKUP($B394&amp;"__wt",'SegEnds_Xtal_BW#'!$A:$Z,16,FALSE)</f>
        <v>62</v>
      </c>
      <c r="Q394" s="1">
        <f>VLOOKUP($B394&amp;"__wt",'SegEnds_Xtal_BW#'!$A:$Z,17,FALSE)</f>
        <v>50</v>
      </c>
      <c r="R394" s="1">
        <f>VLOOKUP($B394&amp;"__wt",'SegEnds_Xtal_BW#'!$A:$Z,18,FALSE)</f>
        <v>52</v>
      </c>
      <c r="S394" s="1">
        <v>32</v>
      </c>
      <c r="T394" s="1">
        <v>72</v>
      </c>
      <c r="U394" s="1">
        <v>29</v>
      </c>
      <c r="V394" s="1">
        <v>61</v>
      </c>
      <c r="W394" s="1">
        <v>31</v>
      </c>
      <c r="X394" s="1">
        <f>VLOOKUP($B394&amp;"__wt",'SegEnds_Xtal_BW#'!$A:$Z,24,FALSE)</f>
        <v>56</v>
      </c>
      <c r="Y394" s="1">
        <f>VLOOKUP($B394&amp;"__wt",'SegEnds_Xtal_BW#'!$A:$Z,25,FALSE)</f>
        <v>47</v>
      </c>
      <c r="Z394" s="1">
        <v>60</v>
      </c>
      <c r="AA394" s="27" t="str">
        <f>VLOOKUP(A394,Classification!A:B,2,FALSE)</f>
        <v>T</v>
      </c>
      <c r="AB394" s="1">
        <f>VLOOKUP(A394,'SegEnds_NonXtal_Prot#'!A:AL,10,FALSE)-VLOOKUP(A394,'SegEnds_NonXtal_Prot#'!A:AL,4,FALSE)</f>
        <v>31</v>
      </c>
      <c r="AC394" s="1">
        <f>VLOOKUP(A394,'SegEnds_NonXtal_Prot#'!A:AL,10,FALSE)-VLOOKUP(A394,'SegEnds_NonXtal_Prot#'!A:AL,7,FALSE)</f>
        <v>16</v>
      </c>
      <c r="AD394" s="1" t="e">
        <f>VLOOKUP(A394,'SegEnds_NonXtal_Prot#'!A:AL,13,FALSE)-VLOOKUP(A394,'SegEnds_NonXtal_Prot#'!A:AL,10,FALSE)</f>
        <v>#VALUE!</v>
      </c>
      <c r="AE394" s="1">
        <f>VLOOKUP(A394,'SegEnds_NonXtal_Prot#'!A:AL,16,FALSE)-VLOOKUP(A394,'SegEnds_NonXtal_Prot#'!A:AL,10,FALSE)</f>
        <v>51</v>
      </c>
      <c r="AF394" s="1">
        <f>VLOOKUP(A394,'SegEnds_NonXtal_Prot#'!A:AL,22,FALSE)-VLOOKUP(A394,'SegEnds_NonXtal_Prot#'!A:AL,19,FALSE)</f>
        <v>20</v>
      </c>
      <c r="AG394" s="1" t="e">
        <f>VLOOKUP(A394,'SegEnds_NonXtal_Prot#'!A:AL,28,FALSE)-VLOOKUP(A394,'SegEnds_NonXtal_Prot#'!A:AL,25,FALSE)</f>
        <v>#VALUE!</v>
      </c>
      <c r="AH394" s="1">
        <f>VLOOKUP(A394,'SegEnds_NonXtal_Prot#'!A:AL,28,FALSE)-VLOOKUP(A394,'SegEnds_NonXtal_Prot#'!A:AL,22,FALSE)</f>
        <v>52</v>
      </c>
      <c r="AI394" s="1">
        <f>VLOOKUP(A394,'SegEnds_NonXtal_Prot#'!A:AL,31,FALSE)-VLOOKUP(A394,'SegEnds_NonXtal_Prot#'!A:AL,28,FALSE)</f>
        <v>53</v>
      </c>
      <c r="AJ394" s="1">
        <f>VLOOKUP(A394,'SegEnds_NonXtal_Prot#'!A:AL,34,FALSE)-VLOOKUP(A394,'SegEnds_NonXtal_Prot#'!A:AL,31,FALSE)</f>
        <v>36</v>
      </c>
      <c r="AK394" s="1">
        <f>VLOOKUP(A394,'SegEnds_NonXtal_Prot#'!A:AL,37,FALSE)-VLOOKUP(A394,'SegEnds_NonXtal_Prot#'!A:AL,34,FALSE)</f>
        <v>10</v>
      </c>
      <c r="AL394" s="1" t="str">
        <f>IF(ISERROR(MATCH(A394,'SegEnds_Xtal_Prot#'!B:B, 0)), "NoXtal", "Xtal")</f>
        <v>NoXtal</v>
      </c>
    </row>
    <row r="395" spans="1:38" x14ac:dyDescent="0.2">
      <c r="A395" s="1" t="s">
        <v>464</v>
      </c>
      <c r="B395" s="1" t="str">
        <f>VLOOKUP(A395,Xtal_Templ!A:B,2,FALSE)</f>
        <v>agtr1_human</v>
      </c>
      <c r="C395" s="5">
        <v>32</v>
      </c>
      <c r="D395" s="1">
        <v>62</v>
      </c>
      <c r="E395" s="1">
        <f>VLOOKUP($B395&amp;"__wt",'SegEnds_Xtal_BW#'!$A:$Z,5,FALSE)</f>
        <v>48</v>
      </c>
      <c r="F395" s="1">
        <f>VLOOKUP($B395&amp;"__wt",'SegEnds_Xtal_BW#'!$A:$Z,6,FALSE)</f>
        <v>51</v>
      </c>
      <c r="G395" s="1">
        <v>39</v>
      </c>
      <c r="H395" s="12">
        <v>67</v>
      </c>
      <c r="I395" s="1" t="s">
        <v>23</v>
      </c>
      <c r="J395" s="1" t="s">
        <v>23</v>
      </c>
      <c r="K395" s="12">
        <v>18</v>
      </c>
      <c r="L395" s="1">
        <f>VLOOKUP($B395&amp;"__wt",'SegEnds_Xtal_BW#'!$A:$Z,12,FALSE)</f>
        <v>56</v>
      </c>
      <c r="M395" s="1">
        <f>VLOOKUP($B395&amp;"__wt",'SegEnds_Xtal_BW#'!$A:$Z,13,FALSE)</f>
        <v>50</v>
      </c>
      <c r="N395" s="12">
        <v>57</v>
      </c>
      <c r="O395" s="87">
        <v>38</v>
      </c>
      <c r="P395" s="1">
        <f>VLOOKUP($B395&amp;"__wt",'SegEnds_Xtal_BW#'!$A:$Z,16,FALSE)</f>
        <v>64</v>
      </c>
      <c r="Q395" s="1">
        <f>VLOOKUP($B395&amp;"__wt",'SegEnds_Xtal_BW#'!$A:$Z,17,FALSE)</f>
        <v>50</v>
      </c>
      <c r="R395" s="1">
        <f>VLOOKUP($B395&amp;"__wt",'SegEnds_Xtal_BW#'!$A:$Z,18,FALSE)</f>
        <v>52</v>
      </c>
      <c r="S395" s="1">
        <v>32</v>
      </c>
      <c r="T395" s="1">
        <v>72</v>
      </c>
      <c r="U395" s="1">
        <v>29</v>
      </c>
      <c r="V395" s="1">
        <v>61</v>
      </c>
      <c r="W395" s="1">
        <v>31</v>
      </c>
      <c r="X395" s="1">
        <f>VLOOKUP($B395&amp;"__wt",'SegEnds_Xtal_BW#'!$A:$Z,24,FALSE)</f>
        <v>56</v>
      </c>
      <c r="Y395" s="1">
        <f>VLOOKUP($B395&amp;"__wt",'SegEnds_Xtal_BW#'!$A:$Z,25,FALSE)</f>
        <v>47</v>
      </c>
      <c r="Z395" s="1">
        <v>60</v>
      </c>
      <c r="AA395" s="27" t="str">
        <f>VLOOKUP(A395,Classification!A:B,2,FALSE)</f>
        <v>T</v>
      </c>
      <c r="AB395" s="1">
        <f>VLOOKUP(A395,'SegEnds_NonXtal_Prot#'!A:AL,10,FALSE)-VLOOKUP(A395,'SegEnds_NonXtal_Prot#'!A:AL,4,FALSE)</f>
        <v>31</v>
      </c>
      <c r="AC395" s="1">
        <f>VLOOKUP(A395,'SegEnds_NonXtal_Prot#'!A:AL,10,FALSE)-VLOOKUP(A395,'SegEnds_NonXtal_Prot#'!A:AL,7,FALSE)</f>
        <v>16</v>
      </c>
      <c r="AD395" s="1" t="e">
        <f>VLOOKUP(A395,'SegEnds_NonXtal_Prot#'!A:AL,13,FALSE)-VLOOKUP(A395,'SegEnds_NonXtal_Prot#'!A:AL,10,FALSE)</f>
        <v>#VALUE!</v>
      </c>
      <c r="AE395" s="1">
        <f>VLOOKUP(A395,'SegEnds_NonXtal_Prot#'!A:AL,16,FALSE)-VLOOKUP(A395,'SegEnds_NonXtal_Prot#'!A:AL,10,FALSE)</f>
        <v>53</v>
      </c>
      <c r="AF395" s="1">
        <f>VLOOKUP(A395,'SegEnds_NonXtal_Prot#'!A:AL,22,FALSE)-VLOOKUP(A395,'SegEnds_NonXtal_Prot#'!A:AL,19,FALSE)</f>
        <v>20</v>
      </c>
      <c r="AG395" s="1" t="e">
        <f>VLOOKUP(A395,'SegEnds_NonXtal_Prot#'!A:AL,28,FALSE)-VLOOKUP(A395,'SegEnds_NonXtal_Prot#'!A:AL,25,FALSE)</f>
        <v>#VALUE!</v>
      </c>
      <c r="AH395" s="1">
        <f>VLOOKUP(A395,'SegEnds_NonXtal_Prot#'!A:AL,28,FALSE)-VLOOKUP(A395,'SegEnds_NonXtal_Prot#'!A:AL,22,FALSE)</f>
        <v>59</v>
      </c>
      <c r="AI395" s="1">
        <f>VLOOKUP(A395,'SegEnds_NonXtal_Prot#'!A:AL,31,FALSE)-VLOOKUP(A395,'SegEnds_NonXtal_Prot#'!A:AL,28,FALSE)</f>
        <v>53</v>
      </c>
      <c r="AJ395" s="1">
        <f>VLOOKUP(A395,'SegEnds_NonXtal_Prot#'!A:AL,34,FALSE)-VLOOKUP(A395,'SegEnds_NonXtal_Prot#'!A:AL,31,FALSE)</f>
        <v>36</v>
      </c>
      <c r="AK395" s="1">
        <f>VLOOKUP(A395,'SegEnds_NonXtal_Prot#'!A:AL,37,FALSE)-VLOOKUP(A395,'SegEnds_NonXtal_Prot#'!A:AL,34,FALSE)</f>
        <v>10</v>
      </c>
      <c r="AL395" s="1" t="str">
        <f>IF(ISERROR(MATCH(A395,'SegEnds_Xtal_Prot#'!B:B, 0)), "NoXtal", "Xtal")</f>
        <v>NoXtal</v>
      </c>
    </row>
    <row r="396" spans="1:38" x14ac:dyDescent="0.2">
      <c r="A396" s="1" t="s">
        <v>465</v>
      </c>
      <c r="B396" s="1" t="str">
        <f>VLOOKUP(A396,Xtal_Templ!A:B,2,FALSE)</f>
        <v>agtr1_human</v>
      </c>
      <c r="C396" s="5">
        <v>32</v>
      </c>
      <c r="D396" s="1">
        <v>62</v>
      </c>
      <c r="E396" s="1">
        <f>VLOOKUP($B396&amp;"__wt",'SegEnds_Xtal_BW#'!$A:$Z,5,FALSE)</f>
        <v>48</v>
      </c>
      <c r="F396" s="1">
        <f>VLOOKUP($B396&amp;"__wt",'SegEnds_Xtal_BW#'!$A:$Z,6,FALSE)</f>
        <v>51</v>
      </c>
      <c r="G396" s="1">
        <v>39</v>
      </c>
      <c r="H396" s="12">
        <v>66</v>
      </c>
      <c r="I396" s="1" t="s">
        <v>23</v>
      </c>
      <c r="J396" s="1" t="s">
        <v>23</v>
      </c>
      <c r="K396" s="12">
        <v>18</v>
      </c>
      <c r="L396" s="1">
        <f>VLOOKUP($B396&amp;"__wt",'SegEnds_Xtal_BW#'!$A:$Z,12,FALSE)</f>
        <v>56</v>
      </c>
      <c r="M396" s="1">
        <f>VLOOKUP($B396&amp;"__wt",'SegEnds_Xtal_BW#'!$A:$Z,13,FALSE)</f>
        <v>50</v>
      </c>
      <c r="N396" s="12">
        <v>57</v>
      </c>
      <c r="O396" s="88">
        <v>38</v>
      </c>
      <c r="P396" s="1">
        <f>VLOOKUP($B396&amp;"__wt",'SegEnds_Xtal_BW#'!$A:$Z,16,FALSE)</f>
        <v>64</v>
      </c>
      <c r="Q396" s="1">
        <f>VLOOKUP($B396&amp;"__wt",'SegEnds_Xtal_BW#'!$A:$Z,17,FALSE)</f>
        <v>50</v>
      </c>
      <c r="R396" s="1">
        <f>VLOOKUP($B396&amp;"__wt",'SegEnds_Xtal_BW#'!$A:$Z,18,FALSE)</f>
        <v>52</v>
      </c>
      <c r="S396" s="1">
        <v>32</v>
      </c>
      <c r="T396" s="1">
        <v>72</v>
      </c>
      <c r="U396" s="1">
        <v>29</v>
      </c>
      <c r="V396" s="1">
        <v>61</v>
      </c>
      <c r="W396" s="1">
        <v>31</v>
      </c>
      <c r="X396" s="1">
        <f>VLOOKUP($B396&amp;"__wt",'SegEnds_Xtal_BW#'!$A:$Z,24,FALSE)</f>
        <v>56</v>
      </c>
      <c r="Y396" s="1">
        <f>VLOOKUP($B396&amp;"__wt",'SegEnds_Xtal_BW#'!$A:$Z,25,FALSE)</f>
        <v>47</v>
      </c>
      <c r="Z396" s="1">
        <v>60</v>
      </c>
      <c r="AA396" s="27" t="str">
        <f>VLOOKUP(A396,Classification!A:B,2,FALSE)</f>
        <v>T</v>
      </c>
      <c r="AB396" s="1">
        <f>VLOOKUP(A396,'SegEnds_NonXtal_Prot#'!A:AL,10,FALSE)-VLOOKUP(A396,'SegEnds_NonXtal_Prot#'!A:AL,4,FALSE)</f>
        <v>31</v>
      </c>
      <c r="AC396" s="1">
        <f>VLOOKUP(A396,'SegEnds_NonXtal_Prot#'!A:AL,10,FALSE)-VLOOKUP(A396,'SegEnds_NonXtal_Prot#'!A:AL,7,FALSE)</f>
        <v>16</v>
      </c>
      <c r="AD396" s="1" t="e">
        <f>VLOOKUP(A396,'SegEnds_NonXtal_Prot#'!A:AL,13,FALSE)-VLOOKUP(A396,'SegEnds_NonXtal_Prot#'!A:AL,10,FALSE)</f>
        <v>#VALUE!</v>
      </c>
      <c r="AE396" s="1">
        <f>VLOOKUP(A396,'SegEnds_NonXtal_Prot#'!A:AL,16,FALSE)-VLOOKUP(A396,'SegEnds_NonXtal_Prot#'!A:AL,10,FALSE)</f>
        <v>52</v>
      </c>
      <c r="AF396" s="1">
        <f>VLOOKUP(A396,'SegEnds_NonXtal_Prot#'!A:AL,22,FALSE)-VLOOKUP(A396,'SegEnds_NonXtal_Prot#'!A:AL,19,FALSE)</f>
        <v>20</v>
      </c>
      <c r="AG396" s="1" t="e">
        <f>VLOOKUP(A396,'SegEnds_NonXtal_Prot#'!A:AL,28,FALSE)-VLOOKUP(A396,'SegEnds_NonXtal_Prot#'!A:AL,25,FALSE)</f>
        <v>#VALUE!</v>
      </c>
      <c r="AH396" s="1">
        <f>VLOOKUP(A396,'SegEnds_NonXtal_Prot#'!A:AL,28,FALSE)-VLOOKUP(A396,'SegEnds_NonXtal_Prot#'!A:AL,22,FALSE)</f>
        <v>56</v>
      </c>
      <c r="AI396" s="1">
        <f>VLOOKUP(A396,'SegEnds_NonXtal_Prot#'!A:AL,31,FALSE)-VLOOKUP(A396,'SegEnds_NonXtal_Prot#'!A:AL,28,FALSE)</f>
        <v>53</v>
      </c>
      <c r="AJ396" s="1">
        <f>VLOOKUP(A396,'SegEnds_NonXtal_Prot#'!A:AL,34,FALSE)-VLOOKUP(A396,'SegEnds_NonXtal_Prot#'!A:AL,31,FALSE)</f>
        <v>35</v>
      </c>
      <c r="AK396" s="1">
        <f>VLOOKUP(A396,'SegEnds_NonXtal_Prot#'!A:AL,37,FALSE)-VLOOKUP(A396,'SegEnds_NonXtal_Prot#'!A:AL,34,FALSE)</f>
        <v>10</v>
      </c>
      <c r="AL396" s="1" t="str">
        <f>IF(ISERROR(MATCH(A396,'SegEnds_Xtal_Prot#'!B:B, 0)), "NoXtal", "Xtal")</f>
        <v>NoXtal</v>
      </c>
    </row>
    <row r="397" spans="1:38" x14ac:dyDescent="0.2">
      <c r="A397" s="1" t="s">
        <v>466</v>
      </c>
      <c r="B397" s="1" t="str">
        <f>VLOOKUP(A397,Xtal_Templ!A:B,2,FALSE)</f>
        <v>cxcr4_human</v>
      </c>
      <c r="C397" s="5">
        <v>32</v>
      </c>
      <c r="D397" s="1">
        <v>62</v>
      </c>
      <c r="E397" s="1">
        <f>VLOOKUP($B397&amp;"__wt",'SegEnds_Xtal_BW#'!$A:$Z,5,FALSE)</f>
        <v>48</v>
      </c>
      <c r="F397" s="1">
        <f>VLOOKUP($B397&amp;"__wt",'SegEnds_Xtal_BW#'!$A:$Z,6,FALSE)</f>
        <v>51</v>
      </c>
      <c r="G397" s="1">
        <v>39</v>
      </c>
      <c r="H397" s="12">
        <v>66</v>
      </c>
      <c r="I397" s="1" t="s">
        <v>23</v>
      </c>
      <c r="J397" s="1" t="s">
        <v>23</v>
      </c>
      <c r="K397" s="12">
        <v>18</v>
      </c>
      <c r="L397" s="1">
        <f>VLOOKUP($B397&amp;"__wt",'SegEnds_Xtal_BW#'!$A:$Z,12,FALSE)</f>
        <v>56</v>
      </c>
      <c r="M397" s="1">
        <f>VLOOKUP($B397&amp;"__wt",'SegEnds_Xtal_BW#'!$A:$Z,13,FALSE)</f>
        <v>50</v>
      </c>
      <c r="N397" s="12">
        <v>57</v>
      </c>
      <c r="O397" s="87">
        <v>38</v>
      </c>
      <c r="P397" s="1">
        <f>VLOOKUP($B397&amp;"__wt",'SegEnds_Xtal_BW#'!$A:$Z,16,FALSE)</f>
        <v>64</v>
      </c>
      <c r="Q397" s="1">
        <f>VLOOKUP($B397&amp;"__wt",'SegEnds_Xtal_BW#'!$A:$Z,17,FALSE)</f>
        <v>50</v>
      </c>
      <c r="R397" s="1">
        <f>VLOOKUP($B397&amp;"__wt",'SegEnds_Xtal_BW#'!$A:$Z,18,FALSE)</f>
        <v>52</v>
      </c>
      <c r="S397" s="1">
        <v>32</v>
      </c>
      <c r="T397" s="1">
        <v>72</v>
      </c>
      <c r="U397" s="1">
        <v>29</v>
      </c>
      <c r="V397" s="1">
        <v>61</v>
      </c>
      <c r="W397" s="1">
        <v>31</v>
      </c>
      <c r="X397" s="1">
        <f>VLOOKUP($B397&amp;"__wt",'SegEnds_Xtal_BW#'!$A:$Z,24,FALSE)</f>
        <v>56</v>
      </c>
      <c r="Y397" s="1">
        <f>VLOOKUP($B397&amp;"__wt",'SegEnds_Xtal_BW#'!$A:$Z,25,FALSE)</f>
        <v>47</v>
      </c>
      <c r="Z397" s="1">
        <v>60</v>
      </c>
      <c r="AA397" s="27" t="str">
        <f>VLOOKUP(A397,Classification!A:B,2,FALSE)</f>
        <v>T</v>
      </c>
      <c r="AB397" s="1">
        <f>VLOOKUP(A397,'SegEnds_NonXtal_Prot#'!A:AL,10,FALSE)-VLOOKUP(A397,'SegEnds_NonXtal_Prot#'!A:AL,4,FALSE)</f>
        <v>31</v>
      </c>
      <c r="AC397" s="1">
        <f>VLOOKUP(A397,'SegEnds_NonXtal_Prot#'!A:AL,10,FALSE)-VLOOKUP(A397,'SegEnds_NonXtal_Prot#'!A:AL,7,FALSE)</f>
        <v>16</v>
      </c>
      <c r="AD397" s="1" t="e">
        <f>VLOOKUP(A397,'SegEnds_NonXtal_Prot#'!A:AL,13,FALSE)-VLOOKUP(A397,'SegEnds_NonXtal_Prot#'!A:AL,10,FALSE)</f>
        <v>#VALUE!</v>
      </c>
      <c r="AE397" s="1">
        <f>VLOOKUP(A397,'SegEnds_NonXtal_Prot#'!A:AL,16,FALSE)-VLOOKUP(A397,'SegEnds_NonXtal_Prot#'!A:AL,10,FALSE)</f>
        <v>52</v>
      </c>
      <c r="AF397" s="1">
        <f>VLOOKUP(A397,'SegEnds_NonXtal_Prot#'!A:AL,22,FALSE)-VLOOKUP(A397,'SegEnds_NonXtal_Prot#'!A:AL,19,FALSE)</f>
        <v>20</v>
      </c>
      <c r="AG397" s="1" t="e">
        <f>VLOOKUP(A397,'SegEnds_NonXtal_Prot#'!A:AL,28,FALSE)-VLOOKUP(A397,'SegEnds_NonXtal_Prot#'!A:AL,25,FALSE)</f>
        <v>#VALUE!</v>
      </c>
      <c r="AH397" s="1">
        <f>VLOOKUP(A397,'SegEnds_NonXtal_Prot#'!A:AL,28,FALSE)-VLOOKUP(A397,'SegEnds_NonXtal_Prot#'!A:AL,22,FALSE)</f>
        <v>57</v>
      </c>
      <c r="AI397" s="1">
        <f>VLOOKUP(A397,'SegEnds_NonXtal_Prot#'!A:AL,31,FALSE)-VLOOKUP(A397,'SegEnds_NonXtal_Prot#'!A:AL,28,FALSE)</f>
        <v>53</v>
      </c>
      <c r="AJ397" s="1">
        <f>VLOOKUP(A397,'SegEnds_NonXtal_Prot#'!A:AL,34,FALSE)-VLOOKUP(A397,'SegEnds_NonXtal_Prot#'!A:AL,31,FALSE)</f>
        <v>35</v>
      </c>
      <c r="AK397" s="1">
        <f>VLOOKUP(A397,'SegEnds_NonXtal_Prot#'!A:AL,37,FALSE)-VLOOKUP(A397,'SegEnds_NonXtal_Prot#'!A:AL,34,FALSE)</f>
        <v>10</v>
      </c>
      <c r="AL397" s="1" t="str">
        <f>IF(ISERROR(MATCH(A397,'SegEnds_Xtal_Prot#'!B:B, 0)), "NoXtal", "Xtal")</f>
        <v>NoXtal</v>
      </c>
    </row>
    <row r="398" spans="1:38" x14ac:dyDescent="0.2">
      <c r="A398" s="1" t="s">
        <v>467</v>
      </c>
      <c r="B398" s="1" t="str">
        <f>VLOOKUP(A398,Xtal_Templ!A:B,2,FALSE)</f>
        <v>drd2_human</v>
      </c>
      <c r="C398" s="5">
        <v>32</v>
      </c>
      <c r="D398" s="1">
        <v>62</v>
      </c>
      <c r="E398" s="1">
        <f>VLOOKUP($B398&amp;"__wt",'SegEnds_Xtal_BW#'!$A:$Z,5,FALSE)</f>
        <v>48</v>
      </c>
      <c r="F398" s="1">
        <f>VLOOKUP($B398&amp;"__wt",'SegEnds_Xtal_BW#'!$A:$Z,6,FALSE)</f>
        <v>51</v>
      </c>
      <c r="G398" s="1">
        <v>39</v>
      </c>
      <c r="H398" s="12">
        <v>67</v>
      </c>
      <c r="I398" s="1" t="s">
        <v>23</v>
      </c>
      <c r="J398" s="1" t="s">
        <v>23</v>
      </c>
      <c r="K398" s="12">
        <v>21</v>
      </c>
      <c r="L398" s="1">
        <f>VLOOKUP($B398&amp;"__wt",'SegEnds_Xtal_BW#'!$A:$Z,12,FALSE)</f>
        <v>56</v>
      </c>
      <c r="M398" s="1">
        <f>VLOOKUP($B398&amp;"__wt",'SegEnds_Xtal_BW#'!$A:$Z,13,FALSE)</f>
        <v>50</v>
      </c>
      <c r="N398" s="12">
        <v>57</v>
      </c>
      <c r="O398" s="88">
        <v>38</v>
      </c>
      <c r="P398" s="1">
        <f>VLOOKUP($B398&amp;"__wt",'SegEnds_Xtal_BW#'!$A:$Z,16,FALSE)</f>
        <v>62</v>
      </c>
      <c r="Q398" s="1">
        <f>VLOOKUP($B398&amp;"__wt",'SegEnds_Xtal_BW#'!$A:$Z,17,FALSE)</f>
        <v>50</v>
      </c>
      <c r="R398" s="1">
        <f>VLOOKUP($B398&amp;"__wt",'SegEnds_Xtal_BW#'!$A:$Z,18,FALSE)</f>
        <v>52</v>
      </c>
      <c r="S398" s="1">
        <v>32</v>
      </c>
      <c r="T398" s="1">
        <v>72</v>
      </c>
      <c r="U398" s="1">
        <v>29</v>
      </c>
      <c r="V398" s="1">
        <v>61</v>
      </c>
      <c r="W398" s="1">
        <v>31</v>
      </c>
      <c r="X398" s="1">
        <f>VLOOKUP($B398&amp;"__wt",'SegEnds_Xtal_BW#'!$A:$Z,24,FALSE)</f>
        <v>56</v>
      </c>
      <c r="Y398" s="1">
        <f>VLOOKUP($B398&amp;"__wt",'SegEnds_Xtal_BW#'!$A:$Z,25,FALSE)</f>
        <v>47</v>
      </c>
      <c r="Z398" s="1">
        <v>60</v>
      </c>
      <c r="AA398" s="27" t="str">
        <f>VLOOKUP(A398,Classification!A:B,2,FALSE)</f>
        <v>T</v>
      </c>
      <c r="AB398" s="1">
        <f>VLOOKUP(A398,'SegEnds_NonXtal_Prot#'!A:AL,10,FALSE)-VLOOKUP(A398,'SegEnds_NonXtal_Prot#'!A:AL,4,FALSE)</f>
        <v>31</v>
      </c>
      <c r="AC398" s="1">
        <f>VLOOKUP(A398,'SegEnds_NonXtal_Prot#'!A:AL,10,FALSE)-VLOOKUP(A398,'SegEnds_NonXtal_Prot#'!A:AL,7,FALSE)</f>
        <v>16</v>
      </c>
      <c r="AD398" s="1" t="e">
        <f>VLOOKUP(A398,'SegEnds_NonXtal_Prot#'!A:AL,13,FALSE)-VLOOKUP(A398,'SegEnds_NonXtal_Prot#'!A:AL,10,FALSE)</f>
        <v>#VALUE!</v>
      </c>
      <c r="AE398" s="1">
        <f>VLOOKUP(A398,'SegEnds_NonXtal_Prot#'!A:AL,16,FALSE)-VLOOKUP(A398,'SegEnds_NonXtal_Prot#'!A:AL,10,FALSE)</f>
        <v>52</v>
      </c>
      <c r="AF398" s="1">
        <f>VLOOKUP(A398,'SegEnds_NonXtal_Prot#'!A:AL,22,FALSE)-VLOOKUP(A398,'SegEnds_NonXtal_Prot#'!A:AL,19,FALSE)</f>
        <v>20</v>
      </c>
      <c r="AG398" s="1" t="e">
        <f>VLOOKUP(A398,'SegEnds_NonXtal_Prot#'!A:AL,28,FALSE)-VLOOKUP(A398,'SegEnds_NonXtal_Prot#'!A:AL,25,FALSE)</f>
        <v>#VALUE!</v>
      </c>
      <c r="AH398" s="1">
        <f>VLOOKUP(A398,'SegEnds_NonXtal_Prot#'!A:AL,28,FALSE)-VLOOKUP(A398,'SegEnds_NonXtal_Prot#'!A:AL,22,FALSE)</f>
        <v>56</v>
      </c>
      <c r="AI398" s="1">
        <f>VLOOKUP(A398,'SegEnds_NonXtal_Prot#'!A:AL,31,FALSE)-VLOOKUP(A398,'SegEnds_NonXtal_Prot#'!A:AL,28,FALSE)</f>
        <v>53</v>
      </c>
      <c r="AJ398" s="1">
        <f>VLOOKUP(A398,'SegEnds_NonXtal_Prot#'!A:AL,34,FALSE)-VLOOKUP(A398,'SegEnds_NonXtal_Prot#'!A:AL,31,FALSE)</f>
        <v>35</v>
      </c>
      <c r="AK398" s="1">
        <f>VLOOKUP(A398,'SegEnds_NonXtal_Prot#'!A:AL,37,FALSE)-VLOOKUP(A398,'SegEnds_NonXtal_Prot#'!A:AL,34,FALSE)</f>
        <v>10</v>
      </c>
      <c r="AL398" s="1" t="str">
        <f>IF(ISERROR(MATCH(A398,'SegEnds_Xtal_Prot#'!B:B, 0)), "NoXtal", "Xtal")</f>
        <v>NoXtal</v>
      </c>
    </row>
    <row r="399" spans="1:38" x14ac:dyDescent="0.2">
      <c r="A399" s="1" t="s">
        <v>468</v>
      </c>
      <c r="B399" s="1" t="str">
        <f>VLOOKUP(A399,Xtal_Templ!A:B,2,FALSE)</f>
        <v>hrh1_human</v>
      </c>
      <c r="C399" s="5">
        <v>32</v>
      </c>
      <c r="D399" s="1">
        <v>62</v>
      </c>
      <c r="E399" s="1">
        <f>VLOOKUP($B399&amp;"__wt",'SegEnds_Xtal_BW#'!$A:$Z,5,FALSE)</f>
        <v>48</v>
      </c>
      <c r="F399" s="1">
        <f>VLOOKUP($B399&amp;"__wt",'SegEnds_Xtal_BW#'!$A:$Z,6,FALSE)</f>
        <v>51</v>
      </c>
      <c r="G399" s="1">
        <v>39</v>
      </c>
      <c r="H399" s="12">
        <v>67</v>
      </c>
      <c r="I399" s="1" t="s">
        <v>23</v>
      </c>
      <c r="J399" s="1" t="s">
        <v>23</v>
      </c>
      <c r="K399" s="12">
        <v>21</v>
      </c>
      <c r="L399" s="1">
        <f>VLOOKUP($B399&amp;"__wt",'SegEnds_Xtal_BW#'!$A:$Z,12,FALSE)</f>
        <v>56</v>
      </c>
      <c r="M399" s="1">
        <f>VLOOKUP($B399&amp;"__wt",'SegEnds_Xtal_BW#'!$A:$Z,13,FALSE)</f>
        <v>50</v>
      </c>
      <c r="N399" s="12">
        <v>57</v>
      </c>
      <c r="O399" s="87">
        <v>38</v>
      </c>
      <c r="P399" s="1">
        <f>VLOOKUP($B399&amp;"__wt",'SegEnds_Xtal_BW#'!$A:$Z,16,FALSE)</f>
        <v>62</v>
      </c>
      <c r="Q399" s="1">
        <f>VLOOKUP($B399&amp;"__wt",'SegEnds_Xtal_BW#'!$A:$Z,17,FALSE)</f>
        <v>50</v>
      </c>
      <c r="R399" s="1">
        <f>VLOOKUP($B399&amp;"__wt",'SegEnds_Xtal_BW#'!$A:$Z,18,FALSE)</f>
        <v>52</v>
      </c>
      <c r="S399" s="1">
        <v>32</v>
      </c>
      <c r="T399" s="1">
        <v>72</v>
      </c>
      <c r="U399" s="1">
        <v>29</v>
      </c>
      <c r="V399" s="1">
        <v>61</v>
      </c>
      <c r="W399" s="1">
        <v>31</v>
      </c>
      <c r="X399" s="1">
        <f>VLOOKUP($B399&amp;"__wt",'SegEnds_Xtal_BW#'!$A:$Z,24,FALSE)</f>
        <v>56</v>
      </c>
      <c r="Y399" s="1">
        <f>VLOOKUP($B399&amp;"__wt",'SegEnds_Xtal_BW#'!$A:$Z,25,FALSE)</f>
        <v>47</v>
      </c>
      <c r="Z399" s="1">
        <v>60</v>
      </c>
      <c r="AA399" s="27" t="str">
        <f>VLOOKUP(A399,Classification!A:B,2,FALSE)</f>
        <v>T</v>
      </c>
      <c r="AB399" s="1">
        <f>VLOOKUP(A399,'SegEnds_NonXtal_Prot#'!A:AL,10,FALSE)-VLOOKUP(A399,'SegEnds_NonXtal_Prot#'!A:AL,4,FALSE)</f>
        <v>31</v>
      </c>
      <c r="AC399" s="1">
        <f>VLOOKUP(A399,'SegEnds_NonXtal_Prot#'!A:AL,10,FALSE)-VLOOKUP(A399,'SegEnds_NonXtal_Prot#'!A:AL,7,FALSE)</f>
        <v>16</v>
      </c>
      <c r="AD399" s="1" t="e">
        <f>VLOOKUP(A399,'SegEnds_NonXtal_Prot#'!A:AL,13,FALSE)-VLOOKUP(A399,'SegEnds_NonXtal_Prot#'!A:AL,10,FALSE)</f>
        <v>#VALUE!</v>
      </c>
      <c r="AE399" s="1">
        <f>VLOOKUP(A399,'SegEnds_NonXtal_Prot#'!A:AL,16,FALSE)-VLOOKUP(A399,'SegEnds_NonXtal_Prot#'!A:AL,10,FALSE)</f>
        <v>52</v>
      </c>
      <c r="AF399" s="1">
        <f>VLOOKUP(A399,'SegEnds_NonXtal_Prot#'!A:AL,22,FALSE)-VLOOKUP(A399,'SegEnds_NonXtal_Prot#'!A:AL,19,FALSE)</f>
        <v>20</v>
      </c>
      <c r="AG399" s="1" t="e">
        <f>VLOOKUP(A399,'SegEnds_NonXtal_Prot#'!A:AL,28,FALSE)-VLOOKUP(A399,'SegEnds_NonXtal_Prot#'!A:AL,25,FALSE)</f>
        <v>#VALUE!</v>
      </c>
      <c r="AH399" s="1">
        <f>VLOOKUP(A399,'SegEnds_NonXtal_Prot#'!A:AL,28,FALSE)-VLOOKUP(A399,'SegEnds_NonXtal_Prot#'!A:AL,22,FALSE)</f>
        <v>56</v>
      </c>
      <c r="AI399" s="1">
        <f>VLOOKUP(A399,'SegEnds_NonXtal_Prot#'!A:AL,31,FALSE)-VLOOKUP(A399,'SegEnds_NonXtal_Prot#'!A:AL,28,FALSE)</f>
        <v>53</v>
      </c>
      <c r="AJ399" s="1">
        <f>VLOOKUP(A399,'SegEnds_NonXtal_Prot#'!A:AL,34,FALSE)-VLOOKUP(A399,'SegEnds_NonXtal_Prot#'!A:AL,31,FALSE)</f>
        <v>36</v>
      </c>
      <c r="AK399" s="1">
        <f>VLOOKUP(A399,'SegEnds_NonXtal_Prot#'!A:AL,37,FALSE)-VLOOKUP(A399,'SegEnds_NonXtal_Prot#'!A:AL,34,FALSE)</f>
        <v>10</v>
      </c>
      <c r="AL399" s="1" t="str">
        <f>IF(ISERROR(MATCH(A399,'SegEnds_Xtal_Prot#'!B:B, 0)), "NoXtal", "Xtal")</f>
        <v>NoXtal</v>
      </c>
    </row>
    <row r="400" spans="1:38" x14ac:dyDescent="0.2">
      <c r="A400" s="1" t="s">
        <v>469</v>
      </c>
      <c r="B400" s="1" t="str">
        <f>VLOOKUP(A400,Xtal_Templ!A:B,2,FALSE)</f>
        <v>drd2_human</v>
      </c>
      <c r="C400" s="5">
        <v>32</v>
      </c>
      <c r="D400" s="1">
        <v>62</v>
      </c>
      <c r="E400" s="1">
        <f>VLOOKUP($B400&amp;"__wt",'SegEnds_Xtal_BW#'!$A:$Z,5,FALSE)</f>
        <v>48</v>
      </c>
      <c r="F400" s="1">
        <f>VLOOKUP($B400&amp;"__wt",'SegEnds_Xtal_BW#'!$A:$Z,6,FALSE)</f>
        <v>51</v>
      </c>
      <c r="G400" s="1">
        <v>39</v>
      </c>
      <c r="H400" s="12">
        <v>66</v>
      </c>
      <c r="I400" s="1" t="s">
        <v>23</v>
      </c>
      <c r="J400" s="1" t="s">
        <v>23</v>
      </c>
      <c r="K400" s="12">
        <v>21</v>
      </c>
      <c r="L400" s="1">
        <f>VLOOKUP($B400&amp;"__wt",'SegEnds_Xtal_BW#'!$A:$Z,12,FALSE)</f>
        <v>56</v>
      </c>
      <c r="M400" s="1">
        <f>VLOOKUP($B400&amp;"__wt",'SegEnds_Xtal_BW#'!$A:$Z,13,FALSE)</f>
        <v>50</v>
      </c>
      <c r="N400" s="12">
        <v>57</v>
      </c>
      <c r="O400" s="88">
        <v>38</v>
      </c>
      <c r="P400" s="1">
        <f>VLOOKUP($B400&amp;"__wt",'SegEnds_Xtal_BW#'!$A:$Z,16,FALSE)</f>
        <v>62</v>
      </c>
      <c r="Q400" s="1">
        <f>VLOOKUP($B400&amp;"__wt",'SegEnds_Xtal_BW#'!$A:$Z,17,FALSE)</f>
        <v>50</v>
      </c>
      <c r="R400" s="1">
        <f>VLOOKUP($B400&amp;"__wt",'SegEnds_Xtal_BW#'!$A:$Z,18,FALSE)</f>
        <v>52</v>
      </c>
      <c r="S400" s="1">
        <v>32</v>
      </c>
      <c r="T400" s="1">
        <v>72</v>
      </c>
      <c r="U400" s="1">
        <v>29</v>
      </c>
      <c r="V400" s="1">
        <v>61</v>
      </c>
      <c r="W400" s="1">
        <v>31</v>
      </c>
      <c r="X400" s="1">
        <f>VLOOKUP($B400&amp;"__wt",'SegEnds_Xtal_BW#'!$A:$Z,24,FALSE)</f>
        <v>56</v>
      </c>
      <c r="Y400" s="1">
        <f>VLOOKUP($B400&amp;"__wt",'SegEnds_Xtal_BW#'!$A:$Z,25,FALSE)</f>
        <v>47</v>
      </c>
      <c r="Z400" s="1">
        <v>60</v>
      </c>
      <c r="AA400" s="27" t="str">
        <f>VLOOKUP(A400,Classification!A:B,2,FALSE)</f>
        <v>T</v>
      </c>
      <c r="AB400" s="1">
        <f>VLOOKUP(A400,'SegEnds_NonXtal_Prot#'!A:AL,10,FALSE)-VLOOKUP(A400,'SegEnds_NonXtal_Prot#'!A:AL,4,FALSE)</f>
        <v>31</v>
      </c>
      <c r="AC400" s="1">
        <f>VLOOKUP(A400,'SegEnds_NonXtal_Prot#'!A:AL,10,FALSE)-VLOOKUP(A400,'SegEnds_NonXtal_Prot#'!A:AL,7,FALSE)</f>
        <v>16</v>
      </c>
      <c r="AD400" s="1" t="e">
        <f>VLOOKUP(A400,'SegEnds_NonXtal_Prot#'!A:AL,13,FALSE)-VLOOKUP(A400,'SegEnds_NonXtal_Prot#'!A:AL,10,FALSE)</f>
        <v>#VALUE!</v>
      </c>
      <c r="AE400" s="1">
        <f>VLOOKUP(A400,'SegEnds_NonXtal_Prot#'!A:AL,16,FALSE)-VLOOKUP(A400,'SegEnds_NonXtal_Prot#'!A:AL,10,FALSE)</f>
        <v>51</v>
      </c>
      <c r="AF400" s="1">
        <f>VLOOKUP(A400,'SegEnds_NonXtal_Prot#'!A:AL,22,FALSE)-VLOOKUP(A400,'SegEnds_NonXtal_Prot#'!A:AL,19,FALSE)</f>
        <v>20</v>
      </c>
      <c r="AG400" s="1" t="e">
        <f>VLOOKUP(A400,'SegEnds_NonXtal_Prot#'!A:AL,28,FALSE)-VLOOKUP(A400,'SegEnds_NonXtal_Prot#'!A:AL,25,FALSE)</f>
        <v>#VALUE!</v>
      </c>
      <c r="AH400" s="1">
        <f>VLOOKUP(A400,'SegEnds_NonXtal_Prot#'!A:AL,28,FALSE)-VLOOKUP(A400,'SegEnds_NonXtal_Prot#'!A:AL,22,FALSE)</f>
        <v>52</v>
      </c>
      <c r="AI400" s="1">
        <f>VLOOKUP(A400,'SegEnds_NonXtal_Prot#'!A:AL,31,FALSE)-VLOOKUP(A400,'SegEnds_NonXtal_Prot#'!A:AL,28,FALSE)</f>
        <v>53</v>
      </c>
      <c r="AJ400" s="1">
        <f>VLOOKUP(A400,'SegEnds_NonXtal_Prot#'!A:AL,34,FALSE)-VLOOKUP(A400,'SegEnds_NonXtal_Prot#'!A:AL,31,FALSE)</f>
        <v>36</v>
      </c>
      <c r="AK400" s="1">
        <f>VLOOKUP(A400,'SegEnds_NonXtal_Prot#'!A:AL,37,FALSE)-VLOOKUP(A400,'SegEnds_NonXtal_Prot#'!A:AL,34,FALSE)</f>
        <v>10</v>
      </c>
      <c r="AL400" s="1" t="str">
        <f>IF(ISERROR(MATCH(A400,'SegEnds_Xtal_Prot#'!B:B, 0)), "NoXtal", "Xtal")</f>
        <v>NoXtal</v>
      </c>
    </row>
    <row r="401" spans="1:38" x14ac:dyDescent="0.2">
      <c r="A401" s="1" t="s">
        <v>930</v>
      </c>
      <c r="B401" s="1" t="str">
        <f>VLOOKUP(A401,Xtal_Templ!A:B,2,FALSE)</f>
        <v>5ht2c_human</v>
      </c>
      <c r="C401" s="5">
        <v>32</v>
      </c>
      <c r="D401" s="1">
        <v>62</v>
      </c>
      <c r="E401" s="1">
        <f>VLOOKUP($B401&amp;"__wt",'SegEnds_Xtal_BW#'!$A:$Z,5,FALSE)</f>
        <v>48</v>
      </c>
      <c r="F401" s="1">
        <f>VLOOKUP($B401&amp;"__wt",'SegEnds_Xtal_BW#'!$A:$Z,6,FALSE)</f>
        <v>51</v>
      </c>
      <c r="G401" s="1">
        <v>39</v>
      </c>
      <c r="H401" s="12">
        <v>66</v>
      </c>
      <c r="I401" s="1" t="s">
        <v>23</v>
      </c>
      <c r="J401" s="1" t="s">
        <v>23</v>
      </c>
      <c r="K401" s="12">
        <v>21</v>
      </c>
      <c r="L401" s="1">
        <f>VLOOKUP($B401&amp;"__wt",'SegEnds_Xtal_BW#'!$A:$Z,12,FALSE)</f>
        <v>56</v>
      </c>
      <c r="M401" s="1">
        <f>VLOOKUP($B401&amp;"__wt",'SegEnds_Xtal_BW#'!$A:$Z,13,FALSE)</f>
        <v>50</v>
      </c>
      <c r="N401" s="12">
        <v>57</v>
      </c>
      <c r="O401" s="88">
        <v>38</v>
      </c>
      <c r="P401" s="1">
        <f>VLOOKUP($B401&amp;"__wt",'SegEnds_Xtal_BW#'!$A:$Z,16,FALSE)</f>
        <v>67</v>
      </c>
      <c r="Q401" s="1">
        <f>VLOOKUP($B401&amp;"__wt",'SegEnds_Xtal_BW#'!$A:$Z,17,FALSE)</f>
        <v>50</v>
      </c>
      <c r="R401" s="1">
        <f>VLOOKUP($B401&amp;"__wt",'SegEnds_Xtal_BW#'!$A:$Z,18,FALSE)</f>
        <v>52</v>
      </c>
      <c r="S401" s="1">
        <v>32</v>
      </c>
      <c r="T401" s="1">
        <v>72</v>
      </c>
      <c r="U401" s="1">
        <v>29</v>
      </c>
      <c r="V401" s="1">
        <v>61</v>
      </c>
      <c r="W401" s="1">
        <v>33</v>
      </c>
      <c r="X401" s="1">
        <f>VLOOKUP($B401&amp;"__wt",'SegEnds_Xtal_BW#'!$A:$Z,24,FALSE)</f>
        <v>56</v>
      </c>
      <c r="Y401" s="1">
        <f>VLOOKUP($B401&amp;"__wt",'SegEnds_Xtal_BW#'!$A:$Z,25,FALSE)</f>
        <v>47</v>
      </c>
      <c r="Z401" s="1">
        <v>60</v>
      </c>
      <c r="AA401" s="27" t="str">
        <f>VLOOKUP(A401,Classification!A:B,2,FALSE)</f>
        <v>T</v>
      </c>
      <c r="AB401" s="1">
        <f>VLOOKUP(A401,'SegEnds_NonXtal_Prot#'!A:AL,10,FALSE)-VLOOKUP(A401,'SegEnds_NonXtal_Prot#'!A:AL,4,FALSE)</f>
        <v>31</v>
      </c>
      <c r="AC401" s="1">
        <f>VLOOKUP(A401,'SegEnds_NonXtal_Prot#'!A:AL,10,FALSE)-VLOOKUP(A401,'SegEnds_NonXtal_Prot#'!A:AL,7,FALSE)</f>
        <v>16</v>
      </c>
      <c r="AD401" s="1" t="e">
        <f>VLOOKUP(A401,'SegEnds_NonXtal_Prot#'!A:AL,13,FALSE)-VLOOKUP(A401,'SegEnds_NonXtal_Prot#'!A:AL,10,FALSE)</f>
        <v>#VALUE!</v>
      </c>
      <c r="AE401" s="1">
        <f>VLOOKUP(A401,'SegEnds_NonXtal_Prot#'!A:AL,16,FALSE)-VLOOKUP(A401,'SegEnds_NonXtal_Prot#'!A:AL,10,FALSE)</f>
        <v>51</v>
      </c>
      <c r="AF401" s="1">
        <f>VLOOKUP(A401,'SegEnds_NonXtal_Prot#'!A:AL,22,FALSE)-VLOOKUP(A401,'SegEnds_NonXtal_Prot#'!A:AL,19,FALSE)</f>
        <v>20</v>
      </c>
      <c r="AG401" s="1" t="e">
        <f>VLOOKUP(A401,'SegEnds_NonXtal_Prot#'!A:AL,28,FALSE)-VLOOKUP(A401,'SegEnds_NonXtal_Prot#'!A:AL,25,FALSE)</f>
        <v>#VALUE!</v>
      </c>
      <c r="AH401" s="1">
        <f>VLOOKUP(A401,'SegEnds_NonXtal_Prot#'!A:AL,28,FALSE)-VLOOKUP(A401,'SegEnds_NonXtal_Prot#'!A:AL,22,FALSE)</f>
        <v>52</v>
      </c>
      <c r="AI401" s="1">
        <f>VLOOKUP(A401,'SegEnds_NonXtal_Prot#'!A:AL,31,FALSE)-VLOOKUP(A401,'SegEnds_NonXtal_Prot#'!A:AL,28,FALSE)</f>
        <v>56</v>
      </c>
      <c r="AJ401" s="1">
        <f>VLOOKUP(A401,'SegEnds_NonXtal_Prot#'!A:AL,34,FALSE)-VLOOKUP(A401,'SegEnds_NonXtal_Prot#'!A:AL,31,FALSE)</f>
        <v>33</v>
      </c>
      <c r="AK401" s="1">
        <f>VLOOKUP(A401,'SegEnds_NonXtal_Prot#'!A:AL,37,FALSE)-VLOOKUP(A401,'SegEnds_NonXtal_Prot#'!A:AL,34,FALSE)</f>
        <v>10</v>
      </c>
      <c r="AL401" s="1" t="str">
        <f>IF(ISERROR(MATCH(A401,'SegEnds_Xtal_Prot#'!B:B, 0)), "NoXtal", "Xtal")</f>
        <v>NoXtal</v>
      </c>
    </row>
    <row r="402" spans="1:38" x14ac:dyDescent="0.2">
      <c r="A402" s="1" t="s">
        <v>470</v>
      </c>
      <c r="B402" s="1" t="str">
        <f>VLOOKUP(A402,Xtal_Templ!A:B,2,FALSE)</f>
        <v>5ht2c_human</v>
      </c>
      <c r="C402" s="5">
        <v>32</v>
      </c>
      <c r="D402" s="1">
        <v>62</v>
      </c>
      <c r="E402" s="1">
        <f>VLOOKUP($B402&amp;"__wt",'SegEnds_Xtal_BW#'!$A:$Z,5,FALSE)</f>
        <v>48</v>
      </c>
      <c r="F402" s="1">
        <f>VLOOKUP($B402&amp;"__wt",'SegEnds_Xtal_BW#'!$A:$Z,6,FALSE)</f>
        <v>51</v>
      </c>
      <c r="G402" s="1">
        <v>39</v>
      </c>
      <c r="H402" s="12">
        <v>66</v>
      </c>
      <c r="I402" s="1" t="s">
        <v>23</v>
      </c>
      <c r="J402" s="1" t="s">
        <v>23</v>
      </c>
      <c r="K402" s="12">
        <v>21</v>
      </c>
      <c r="L402" s="1">
        <f>VLOOKUP($B402&amp;"__wt",'SegEnds_Xtal_BW#'!$A:$Z,12,FALSE)</f>
        <v>56</v>
      </c>
      <c r="M402" s="1">
        <f>VLOOKUP($B402&amp;"__wt",'SegEnds_Xtal_BW#'!$A:$Z,13,FALSE)</f>
        <v>50</v>
      </c>
      <c r="N402" s="12">
        <v>57</v>
      </c>
      <c r="O402" s="87">
        <v>38</v>
      </c>
      <c r="P402" s="1">
        <f>VLOOKUP($B402&amp;"__wt",'SegEnds_Xtal_BW#'!$A:$Z,16,FALSE)</f>
        <v>67</v>
      </c>
      <c r="Q402" s="1">
        <f>VLOOKUP($B402&amp;"__wt",'SegEnds_Xtal_BW#'!$A:$Z,17,FALSE)</f>
        <v>50</v>
      </c>
      <c r="R402" s="1">
        <f>VLOOKUP($B402&amp;"__wt",'SegEnds_Xtal_BW#'!$A:$Z,18,FALSE)</f>
        <v>52</v>
      </c>
      <c r="S402" s="1">
        <v>32</v>
      </c>
      <c r="T402" s="1">
        <v>72</v>
      </c>
      <c r="U402" s="1">
        <v>29</v>
      </c>
      <c r="V402" s="1">
        <v>61</v>
      </c>
      <c r="W402" s="1">
        <v>31</v>
      </c>
      <c r="X402" s="1">
        <f>VLOOKUP($B402&amp;"__wt",'SegEnds_Xtal_BW#'!$A:$Z,24,FALSE)</f>
        <v>56</v>
      </c>
      <c r="Y402" s="1">
        <f>VLOOKUP($B402&amp;"__wt",'SegEnds_Xtal_BW#'!$A:$Z,25,FALSE)</f>
        <v>47</v>
      </c>
      <c r="Z402" s="1">
        <v>60</v>
      </c>
      <c r="AA402" s="27" t="str">
        <f>VLOOKUP(A402,Classification!A:B,2,FALSE)</f>
        <v>T</v>
      </c>
      <c r="AB402" s="1">
        <f>VLOOKUP(A402,'SegEnds_NonXtal_Prot#'!A:AL,10,FALSE)-VLOOKUP(A402,'SegEnds_NonXtal_Prot#'!A:AL,4,FALSE)</f>
        <v>31</v>
      </c>
      <c r="AC402" s="1">
        <f>VLOOKUP(A402,'SegEnds_NonXtal_Prot#'!A:AL,10,FALSE)-VLOOKUP(A402,'SegEnds_NonXtal_Prot#'!A:AL,7,FALSE)</f>
        <v>16</v>
      </c>
      <c r="AD402" s="1" t="e">
        <f>VLOOKUP(A402,'SegEnds_NonXtal_Prot#'!A:AL,13,FALSE)-VLOOKUP(A402,'SegEnds_NonXtal_Prot#'!A:AL,10,FALSE)</f>
        <v>#VALUE!</v>
      </c>
      <c r="AE402" s="1">
        <f>VLOOKUP(A402,'SegEnds_NonXtal_Prot#'!A:AL,16,FALSE)-VLOOKUP(A402,'SegEnds_NonXtal_Prot#'!A:AL,10,FALSE)</f>
        <v>51</v>
      </c>
      <c r="AF402" s="1">
        <f>VLOOKUP(A402,'SegEnds_NonXtal_Prot#'!A:AL,22,FALSE)-VLOOKUP(A402,'SegEnds_NonXtal_Prot#'!A:AL,19,FALSE)</f>
        <v>20</v>
      </c>
      <c r="AG402" s="1" t="e">
        <f>VLOOKUP(A402,'SegEnds_NonXtal_Prot#'!A:AL,28,FALSE)-VLOOKUP(A402,'SegEnds_NonXtal_Prot#'!A:AL,25,FALSE)</f>
        <v>#VALUE!</v>
      </c>
      <c r="AH402" s="1">
        <f>VLOOKUP(A402,'SegEnds_NonXtal_Prot#'!A:AL,28,FALSE)-VLOOKUP(A402,'SegEnds_NonXtal_Prot#'!A:AL,22,FALSE)</f>
        <v>52</v>
      </c>
      <c r="AI402" s="1">
        <f>VLOOKUP(A402,'SegEnds_NonXtal_Prot#'!A:AL,31,FALSE)-VLOOKUP(A402,'SegEnds_NonXtal_Prot#'!A:AL,28,FALSE)</f>
        <v>53</v>
      </c>
      <c r="AJ402" s="1">
        <f>VLOOKUP(A402,'SegEnds_NonXtal_Prot#'!A:AL,34,FALSE)-VLOOKUP(A402,'SegEnds_NonXtal_Prot#'!A:AL,31,FALSE)</f>
        <v>36</v>
      </c>
      <c r="AK402" s="1">
        <f>VLOOKUP(A402,'SegEnds_NonXtal_Prot#'!A:AL,37,FALSE)-VLOOKUP(A402,'SegEnds_NonXtal_Prot#'!A:AL,34,FALSE)</f>
        <v>10</v>
      </c>
      <c r="AL402" s="1" t="str">
        <f>IF(ISERROR(MATCH(A402,'SegEnds_Xtal_Prot#'!B:B, 0)), "NoXtal", "Xtal")</f>
        <v>NoXtal</v>
      </c>
    </row>
    <row r="403" spans="1:38" x14ac:dyDescent="0.2">
      <c r="A403" s="1" t="s">
        <v>471</v>
      </c>
      <c r="B403" s="1" t="str">
        <f>VLOOKUP(A403,Xtal_Templ!A:B,2,FALSE)</f>
        <v>drd2_human</v>
      </c>
      <c r="C403" s="5">
        <v>32</v>
      </c>
      <c r="D403" s="1">
        <v>62</v>
      </c>
      <c r="E403" s="1">
        <f>VLOOKUP($B403&amp;"__wt",'SegEnds_Xtal_BW#'!$A:$Z,5,FALSE)</f>
        <v>48</v>
      </c>
      <c r="F403" s="1">
        <f>VLOOKUP($B403&amp;"__wt",'SegEnds_Xtal_BW#'!$A:$Z,6,FALSE)</f>
        <v>51</v>
      </c>
      <c r="G403" s="1">
        <v>39</v>
      </c>
      <c r="H403" s="12">
        <v>66</v>
      </c>
      <c r="I403" s="1" t="s">
        <v>23</v>
      </c>
      <c r="J403" s="1" t="s">
        <v>23</v>
      </c>
      <c r="K403" s="12">
        <v>21</v>
      </c>
      <c r="L403" s="1">
        <f>VLOOKUP($B403&amp;"__wt",'SegEnds_Xtal_BW#'!$A:$Z,12,FALSE)</f>
        <v>56</v>
      </c>
      <c r="M403" s="1">
        <f>VLOOKUP($B403&amp;"__wt",'SegEnds_Xtal_BW#'!$A:$Z,13,FALSE)</f>
        <v>50</v>
      </c>
      <c r="N403" s="12">
        <v>57</v>
      </c>
      <c r="O403" s="88">
        <v>38</v>
      </c>
      <c r="P403" s="1">
        <f>VLOOKUP($B403&amp;"__wt",'SegEnds_Xtal_BW#'!$A:$Z,16,FALSE)</f>
        <v>62</v>
      </c>
      <c r="Q403" s="1">
        <f>VLOOKUP($B403&amp;"__wt",'SegEnds_Xtal_BW#'!$A:$Z,17,FALSE)</f>
        <v>50</v>
      </c>
      <c r="R403" s="1">
        <f>VLOOKUP($B403&amp;"__wt",'SegEnds_Xtal_BW#'!$A:$Z,18,FALSE)</f>
        <v>52</v>
      </c>
      <c r="S403" s="1">
        <v>32</v>
      </c>
      <c r="T403" s="1">
        <v>72</v>
      </c>
      <c r="U403" s="1">
        <v>29</v>
      </c>
      <c r="V403" s="1">
        <v>61</v>
      </c>
      <c r="W403" s="1">
        <v>31</v>
      </c>
      <c r="X403" s="1">
        <f>VLOOKUP($B403&amp;"__wt",'SegEnds_Xtal_BW#'!$A:$Z,24,FALSE)</f>
        <v>56</v>
      </c>
      <c r="Y403" s="1">
        <f>VLOOKUP($B403&amp;"__wt",'SegEnds_Xtal_BW#'!$A:$Z,25,FALSE)</f>
        <v>47</v>
      </c>
      <c r="Z403" s="1">
        <v>60</v>
      </c>
      <c r="AA403" s="27" t="str">
        <f>VLOOKUP(A403,Classification!A:B,2,FALSE)</f>
        <v>T</v>
      </c>
      <c r="AB403" s="1">
        <f>VLOOKUP(A403,'SegEnds_NonXtal_Prot#'!A:AL,10,FALSE)-VLOOKUP(A403,'SegEnds_NonXtal_Prot#'!A:AL,4,FALSE)</f>
        <v>31</v>
      </c>
      <c r="AC403" s="1">
        <f>VLOOKUP(A403,'SegEnds_NonXtal_Prot#'!A:AL,10,FALSE)-VLOOKUP(A403,'SegEnds_NonXtal_Prot#'!A:AL,7,FALSE)</f>
        <v>16</v>
      </c>
      <c r="AD403" s="1" t="e">
        <f>VLOOKUP(A403,'SegEnds_NonXtal_Prot#'!A:AL,13,FALSE)-VLOOKUP(A403,'SegEnds_NonXtal_Prot#'!A:AL,10,FALSE)</f>
        <v>#VALUE!</v>
      </c>
      <c r="AE403" s="1">
        <f>VLOOKUP(A403,'SegEnds_NonXtal_Prot#'!A:AL,16,FALSE)-VLOOKUP(A403,'SegEnds_NonXtal_Prot#'!A:AL,10,FALSE)</f>
        <v>51</v>
      </c>
      <c r="AF403" s="1">
        <f>VLOOKUP(A403,'SegEnds_NonXtal_Prot#'!A:AL,22,FALSE)-VLOOKUP(A403,'SegEnds_NonXtal_Prot#'!A:AL,19,FALSE)</f>
        <v>20</v>
      </c>
      <c r="AG403" s="1" t="e">
        <f>VLOOKUP(A403,'SegEnds_NonXtal_Prot#'!A:AL,28,FALSE)-VLOOKUP(A403,'SegEnds_NonXtal_Prot#'!A:AL,25,FALSE)</f>
        <v>#VALUE!</v>
      </c>
      <c r="AH403" s="1">
        <f>VLOOKUP(A403,'SegEnds_NonXtal_Prot#'!A:AL,28,FALSE)-VLOOKUP(A403,'SegEnds_NonXtal_Prot#'!A:AL,22,FALSE)</f>
        <v>52</v>
      </c>
      <c r="AI403" s="1">
        <f>VLOOKUP(A403,'SegEnds_NonXtal_Prot#'!A:AL,31,FALSE)-VLOOKUP(A403,'SegEnds_NonXtal_Prot#'!A:AL,28,FALSE)</f>
        <v>53</v>
      </c>
      <c r="AJ403" s="1">
        <f>VLOOKUP(A403,'SegEnds_NonXtal_Prot#'!A:AL,34,FALSE)-VLOOKUP(A403,'SegEnds_NonXtal_Prot#'!A:AL,31,FALSE)</f>
        <v>36</v>
      </c>
      <c r="AK403" s="1">
        <f>VLOOKUP(A403,'SegEnds_NonXtal_Prot#'!A:AL,37,FALSE)-VLOOKUP(A403,'SegEnds_NonXtal_Prot#'!A:AL,34,FALSE)</f>
        <v>10</v>
      </c>
      <c r="AL403" s="1" t="str">
        <f>IF(ISERROR(MATCH(A403,'SegEnds_Xtal_Prot#'!B:B, 0)), "NoXtal", "Xtal")</f>
        <v>NoXtal</v>
      </c>
    </row>
    <row r="404" spans="1:38" x14ac:dyDescent="0.2">
      <c r="A404" s="1" t="s">
        <v>472</v>
      </c>
      <c r="B404" s="1" t="str">
        <f>VLOOKUP(A404,Xtal_Templ!A:B,2,FALSE)</f>
        <v>oprk_human</v>
      </c>
      <c r="C404" s="5">
        <v>32</v>
      </c>
      <c r="D404" s="1">
        <v>62</v>
      </c>
      <c r="E404" s="1">
        <f>VLOOKUP($B404&amp;"__wt",'SegEnds_Xtal_BW#'!$A:$Z,5,FALSE)</f>
        <v>48</v>
      </c>
      <c r="F404" s="1">
        <f>VLOOKUP($B404&amp;"__wt",'SegEnds_Xtal_BW#'!$A:$Z,6,FALSE)</f>
        <v>51</v>
      </c>
      <c r="G404" s="1">
        <v>39</v>
      </c>
      <c r="H404" s="12">
        <v>66</v>
      </c>
      <c r="I404" s="1" t="s">
        <v>23</v>
      </c>
      <c r="J404" s="1" t="s">
        <v>23</v>
      </c>
      <c r="K404" s="12">
        <v>18</v>
      </c>
      <c r="L404" s="1">
        <f>VLOOKUP($B404&amp;"__wt",'SegEnds_Xtal_BW#'!$A:$Z,12,FALSE)</f>
        <v>56</v>
      </c>
      <c r="M404" s="1">
        <f>VLOOKUP($B404&amp;"__wt",'SegEnds_Xtal_BW#'!$A:$Z,13,FALSE)</f>
        <v>50</v>
      </c>
      <c r="N404" s="12">
        <v>57</v>
      </c>
      <c r="O404" s="88">
        <v>38</v>
      </c>
      <c r="P404" s="1">
        <f>VLOOKUP($B404&amp;"__wt",'SegEnds_Xtal_BW#'!$A:$Z,16,FALSE)</f>
        <v>64</v>
      </c>
      <c r="Q404" s="1">
        <f>VLOOKUP($B404&amp;"__wt",'SegEnds_Xtal_BW#'!$A:$Z,17,FALSE)</f>
        <v>50</v>
      </c>
      <c r="R404" s="1">
        <f>VLOOKUP($B404&amp;"__wt",'SegEnds_Xtal_BW#'!$A:$Z,18,FALSE)</f>
        <v>52</v>
      </c>
      <c r="S404" s="1">
        <v>32</v>
      </c>
      <c r="T404" s="1">
        <v>72</v>
      </c>
      <c r="U404" s="1">
        <v>29</v>
      </c>
      <c r="V404" s="1">
        <v>61</v>
      </c>
      <c r="W404" s="1">
        <v>31</v>
      </c>
      <c r="X404" s="1">
        <f>VLOOKUP($B404&amp;"__wt",'SegEnds_Xtal_BW#'!$A:$Z,24,FALSE)</f>
        <v>56</v>
      </c>
      <c r="Y404" s="1">
        <f>VLOOKUP($B404&amp;"__wt",'SegEnds_Xtal_BW#'!$A:$Z,25,FALSE)</f>
        <v>47</v>
      </c>
      <c r="Z404" s="1">
        <v>60</v>
      </c>
      <c r="AA404" s="27" t="str">
        <f>VLOOKUP(A404,Classification!A:B,2,FALSE)</f>
        <v>T</v>
      </c>
      <c r="AB404" s="1">
        <f>VLOOKUP(A404,'SegEnds_NonXtal_Prot#'!A:AL,10,FALSE)-VLOOKUP(A404,'SegEnds_NonXtal_Prot#'!A:AL,4,FALSE)</f>
        <v>31</v>
      </c>
      <c r="AC404" s="1">
        <f>VLOOKUP(A404,'SegEnds_NonXtal_Prot#'!A:AL,10,FALSE)-VLOOKUP(A404,'SegEnds_NonXtal_Prot#'!A:AL,7,FALSE)</f>
        <v>16</v>
      </c>
      <c r="AD404" s="1" t="e">
        <f>VLOOKUP(A404,'SegEnds_NonXtal_Prot#'!A:AL,13,FALSE)-VLOOKUP(A404,'SegEnds_NonXtal_Prot#'!A:AL,10,FALSE)</f>
        <v>#VALUE!</v>
      </c>
      <c r="AE404" s="1">
        <f>VLOOKUP(A404,'SegEnds_NonXtal_Prot#'!A:AL,16,FALSE)-VLOOKUP(A404,'SegEnds_NonXtal_Prot#'!A:AL,10,FALSE)</f>
        <v>52</v>
      </c>
      <c r="AF404" s="1">
        <f>VLOOKUP(A404,'SegEnds_NonXtal_Prot#'!A:AL,22,FALSE)-VLOOKUP(A404,'SegEnds_NonXtal_Prot#'!A:AL,19,FALSE)</f>
        <v>20</v>
      </c>
      <c r="AG404" s="1" t="e">
        <f>VLOOKUP(A404,'SegEnds_NonXtal_Prot#'!A:AL,28,FALSE)-VLOOKUP(A404,'SegEnds_NonXtal_Prot#'!A:AL,25,FALSE)</f>
        <v>#VALUE!</v>
      </c>
      <c r="AH404" s="1">
        <f>VLOOKUP(A404,'SegEnds_NonXtal_Prot#'!A:AL,28,FALSE)-VLOOKUP(A404,'SegEnds_NonXtal_Prot#'!A:AL,22,FALSE)</f>
        <v>58</v>
      </c>
      <c r="AI404" s="1">
        <f>VLOOKUP(A404,'SegEnds_NonXtal_Prot#'!A:AL,31,FALSE)-VLOOKUP(A404,'SegEnds_NonXtal_Prot#'!A:AL,28,FALSE)</f>
        <v>53</v>
      </c>
      <c r="AJ404" s="1">
        <f>VLOOKUP(A404,'SegEnds_NonXtal_Prot#'!A:AL,34,FALSE)-VLOOKUP(A404,'SegEnds_NonXtal_Prot#'!A:AL,31,FALSE)</f>
        <v>35</v>
      </c>
      <c r="AK404" s="1">
        <f>VLOOKUP(A404,'SegEnds_NonXtal_Prot#'!A:AL,37,FALSE)-VLOOKUP(A404,'SegEnds_NonXtal_Prot#'!A:AL,34,FALSE)</f>
        <v>10</v>
      </c>
      <c r="AL404" s="1" t="str">
        <f>IF(ISERROR(MATCH(A404,'SegEnds_Xtal_Prot#'!B:B, 0)), "NoXtal", "Xtal")</f>
        <v>NoXtal</v>
      </c>
    </row>
    <row r="405" spans="1:38" x14ac:dyDescent="0.2">
      <c r="A405" s="4" t="s">
        <v>474</v>
      </c>
      <c r="B405" s="4" t="str">
        <f>VLOOKUP(A405,Xtal_Templ!A:B,2,FALSE)</f>
        <v>cxcr4_human</v>
      </c>
      <c r="C405" s="5">
        <v>32</v>
      </c>
      <c r="D405" s="4">
        <v>62</v>
      </c>
      <c r="E405" s="4">
        <f>VLOOKUP($B405&amp;"__wt",'SegEnds_Xtal_BW#'!$A:$Z,5,FALSE)</f>
        <v>48</v>
      </c>
      <c r="F405" s="4">
        <f>VLOOKUP($B405&amp;"__wt",'SegEnds_Xtal_BW#'!$A:$Z,6,FALSE)</f>
        <v>51</v>
      </c>
      <c r="G405" s="4">
        <v>39</v>
      </c>
      <c r="H405" s="11">
        <v>66</v>
      </c>
      <c r="I405" s="4" t="s">
        <v>23</v>
      </c>
      <c r="J405" s="4" t="s">
        <v>23</v>
      </c>
      <c r="K405" s="11">
        <v>24</v>
      </c>
      <c r="L405" s="4">
        <f>VLOOKUP($B405&amp;"__wt",'SegEnds_Xtal_BW#'!$A:$Z,12,FALSE)</f>
        <v>56</v>
      </c>
      <c r="M405" s="4">
        <f>VLOOKUP($B405&amp;"__wt",'SegEnds_Xtal_BW#'!$A:$Z,13,FALSE)</f>
        <v>50</v>
      </c>
      <c r="N405" s="11">
        <v>57</v>
      </c>
      <c r="O405" s="88">
        <v>38</v>
      </c>
      <c r="P405" s="4">
        <f>VLOOKUP($B405&amp;"__wt",'SegEnds_Xtal_BW#'!$A:$Z,16,FALSE)</f>
        <v>64</v>
      </c>
      <c r="Q405" s="4">
        <f>VLOOKUP($B405&amp;"__wt",'SegEnds_Xtal_BW#'!$A:$Z,17,FALSE)</f>
        <v>50</v>
      </c>
      <c r="R405" s="4">
        <f>VLOOKUP($B405&amp;"__wt",'SegEnds_Xtal_BW#'!$A:$Z,18,FALSE)</f>
        <v>52</v>
      </c>
      <c r="S405" s="4">
        <v>32</v>
      </c>
      <c r="T405" s="4">
        <v>72</v>
      </c>
      <c r="U405" s="4">
        <v>29</v>
      </c>
      <c r="V405" s="4">
        <v>61</v>
      </c>
      <c r="W405" s="4">
        <v>31</v>
      </c>
      <c r="X405" s="4">
        <f>VLOOKUP($B405&amp;"__wt",'SegEnds_Xtal_BW#'!$A:$Z,24,FALSE)</f>
        <v>56</v>
      </c>
      <c r="Y405" s="4">
        <f>VLOOKUP($B405&amp;"__wt",'SegEnds_Xtal_BW#'!$A:$Z,25,FALSE)</f>
        <v>47</v>
      </c>
      <c r="Z405" s="4">
        <v>60</v>
      </c>
      <c r="AA405" s="27" t="str">
        <f>VLOOKUP(A405,Classification!A:B,2,FALSE)</f>
        <v>T</v>
      </c>
      <c r="AB405" s="1">
        <f>VLOOKUP(A405,'SegEnds_NonXtal_Prot#'!A:AL,10,FALSE)-VLOOKUP(A405,'SegEnds_NonXtal_Prot#'!A:AL,4,FALSE)</f>
        <v>31</v>
      </c>
      <c r="AC405" s="4">
        <f>VLOOKUP(A405,'SegEnds_NonXtal_Prot#'!A:AL,10,FALSE)-VLOOKUP(A405,'SegEnds_NonXtal_Prot#'!A:AL,7,FALSE)</f>
        <v>16</v>
      </c>
      <c r="AD405" s="4" t="e">
        <f>VLOOKUP(A405,'SegEnds_NonXtal_Prot#'!A:AL,13,FALSE)-VLOOKUP(A405,'SegEnds_NonXtal_Prot#'!A:AL,10,FALSE)</f>
        <v>#VALUE!</v>
      </c>
      <c r="AE405" s="4">
        <f>VLOOKUP(A405,'SegEnds_NonXtal_Prot#'!A:AL,16,FALSE)-VLOOKUP(A405,'SegEnds_NonXtal_Prot#'!A:AL,10,FALSE)</f>
        <v>48</v>
      </c>
      <c r="AF405" s="1">
        <f>VLOOKUP(A405,'SegEnds_NonXtal_Prot#'!A:AL,22,FALSE)-VLOOKUP(A405,'SegEnds_NonXtal_Prot#'!A:AL,19,FALSE)</f>
        <v>20</v>
      </c>
      <c r="AG405" s="4" t="e">
        <f>VLOOKUP(A405,'SegEnds_NonXtal_Prot#'!A:AL,28,FALSE)-VLOOKUP(A405,'SegEnds_NonXtal_Prot#'!A:AL,25,FALSE)</f>
        <v>#VALUE!</v>
      </c>
      <c r="AH405" s="1">
        <f>VLOOKUP(A405,'SegEnds_NonXtal_Prot#'!A:AL,28,FALSE)-VLOOKUP(A405,'SegEnds_NonXtal_Prot#'!A:AL,22,FALSE)</f>
        <v>54</v>
      </c>
      <c r="AI405" s="4">
        <f>VLOOKUP(A405,'SegEnds_NonXtal_Prot#'!A:AL,31,FALSE)-VLOOKUP(A405,'SegEnds_NonXtal_Prot#'!A:AL,28,FALSE)</f>
        <v>53</v>
      </c>
      <c r="AJ405" s="4">
        <f>VLOOKUP(A405,'SegEnds_NonXtal_Prot#'!A:AL,34,FALSE)-VLOOKUP(A405,'SegEnds_NonXtal_Prot#'!A:AL,31,FALSE)</f>
        <v>35</v>
      </c>
      <c r="AK405" s="1">
        <f>VLOOKUP(A405,'SegEnds_NonXtal_Prot#'!A:AL,37,FALSE)-VLOOKUP(A405,'SegEnds_NonXtal_Prot#'!A:AL,34,FALSE)</f>
        <v>10</v>
      </c>
      <c r="AL405" s="1" t="str">
        <f>IF(ISERROR(MATCH(A405,'SegEnds_Xtal_Prot#'!B:B, 0)), "NoXtal", "Xtal")</f>
        <v>NoXtal</v>
      </c>
    </row>
    <row r="406" spans="1:38" x14ac:dyDescent="0.2">
      <c r="A406" s="1" t="s">
        <v>475</v>
      </c>
      <c r="B406" s="1" t="str">
        <f>VLOOKUP(A406,Xtal_Templ!A:B,2,FALSE)</f>
        <v>agtr1_human</v>
      </c>
      <c r="C406" s="5">
        <v>32</v>
      </c>
      <c r="D406" s="1">
        <v>62</v>
      </c>
      <c r="E406" s="1">
        <f>VLOOKUP($B406&amp;"__wt",'SegEnds_Xtal_BW#'!$A:$Z,5,FALSE)</f>
        <v>48</v>
      </c>
      <c r="F406" s="1">
        <f>VLOOKUP($B406&amp;"__wt",'SegEnds_Xtal_BW#'!$A:$Z,6,FALSE)</f>
        <v>51</v>
      </c>
      <c r="G406" s="1">
        <v>39</v>
      </c>
      <c r="H406" s="12">
        <v>67</v>
      </c>
      <c r="I406" s="1" t="s">
        <v>23</v>
      </c>
      <c r="J406" s="1" t="s">
        <v>23</v>
      </c>
      <c r="K406" s="12">
        <v>21</v>
      </c>
      <c r="L406" s="1">
        <f>VLOOKUP($B406&amp;"__wt",'SegEnds_Xtal_BW#'!$A:$Z,12,FALSE)</f>
        <v>56</v>
      </c>
      <c r="M406" s="1">
        <f>VLOOKUP($B406&amp;"__wt",'SegEnds_Xtal_BW#'!$A:$Z,13,FALSE)</f>
        <v>50</v>
      </c>
      <c r="N406" s="12">
        <v>57</v>
      </c>
      <c r="O406" s="87">
        <v>38</v>
      </c>
      <c r="P406" s="1">
        <f>VLOOKUP($B406&amp;"__wt",'SegEnds_Xtal_BW#'!$A:$Z,16,FALSE)</f>
        <v>64</v>
      </c>
      <c r="Q406" s="1">
        <f>VLOOKUP($B406&amp;"__wt",'SegEnds_Xtal_BW#'!$A:$Z,17,FALSE)</f>
        <v>50</v>
      </c>
      <c r="R406" s="1">
        <f>VLOOKUP($B406&amp;"__wt",'SegEnds_Xtal_BW#'!$A:$Z,18,FALSE)</f>
        <v>52</v>
      </c>
      <c r="S406" s="1">
        <v>32</v>
      </c>
      <c r="T406" s="1">
        <v>72</v>
      </c>
      <c r="U406" s="1">
        <v>29</v>
      </c>
      <c r="V406" s="1">
        <v>61</v>
      </c>
      <c r="W406" s="1">
        <v>31</v>
      </c>
      <c r="X406" s="1">
        <f>VLOOKUP($B406&amp;"__wt",'SegEnds_Xtal_BW#'!$A:$Z,24,FALSE)</f>
        <v>56</v>
      </c>
      <c r="Y406" s="1">
        <f>VLOOKUP($B406&amp;"__wt",'SegEnds_Xtal_BW#'!$A:$Z,25,FALSE)</f>
        <v>47</v>
      </c>
      <c r="Z406" s="1">
        <v>60</v>
      </c>
      <c r="AA406" s="27" t="str">
        <f>VLOOKUP(A406,Classification!A:B,2,FALSE)</f>
        <v>T</v>
      </c>
      <c r="AB406" s="1">
        <f>VLOOKUP(A406,'SegEnds_NonXtal_Prot#'!A:AL,10,FALSE)-VLOOKUP(A406,'SegEnds_NonXtal_Prot#'!A:AL,4,FALSE)</f>
        <v>31</v>
      </c>
      <c r="AC406" s="1">
        <f>VLOOKUP(A406,'SegEnds_NonXtal_Prot#'!A:AL,10,FALSE)-VLOOKUP(A406,'SegEnds_NonXtal_Prot#'!A:AL,7,FALSE)</f>
        <v>16</v>
      </c>
      <c r="AD406" s="1" t="e">
        <f>VLOOKUP(A406,'SegEnds_NonXtal_Prot#'!A:AL,13,FALSE)-VLOOKUP(A406,'SegEnds_NonXtal_Prot#'!A:AL,10,FALSE)</f>
        <v>#VALUE!</v>
      </c>
      <c r="AE406" s="1">
        <f>VLOOKUP(A406,'SegEnds_NonXtal_Prot#'!A:AL,16,FALSE)-VLOOKUP(A406,'SegEnds_NonXtal_Prot#'!A:AL,10,FALSE)</f>
        <v>52</v>
      </c>
      <c r="AF406" s="1">
        <f>VLOOKUP(A406,'SegEnds_NonXtal_Prot#'!A:AL,22,FALSE)-VLOOKUP(A406,'SegEnds_NonXtal_Prot#'!A:AL,19,FALSE)</f>
        <v>20</v>
      </c>
      <c r="AG406" s="1" t="e">
        <f>VLOOKUP(A406,'SegEnds_NonXtal_Prot#'!A:AL,28,FALSE)-VLOOKUP(A406,'SegEnds_NonXtal_Prot#'!A:AL,25,FALSE)</f>
        <v>#VALUE!</v>
      </c>
      <c r="AH406" s="1">
        <f>VLOOKUP(A406,'SegEnds_NonXtal_Prot#'!A:AL,28,FALSE)-VLOOKUP(A406,'SegEnds_NonXtal_Prot#'!A:AL,22,FALSE)</f>
        <v>56</v>
      </c>
      <c r="AI406" s="1">
        <f>VLOOKUP(A406,'SegEnds_NonXtal_Prot#'!A:AL,31,FALSE)-VLOOKUP(A406,'SegEnds_NonXtal_Prot#'!A:AL,28,FALSE)</f>
        <v>53</v>
      </c>
      <c r="AJ406" s="1">
        <f>VLOOKUP(A406,'SegEnds_NonXtal_Prot#'!A:AL,34,FALSE)-VLOOKUP(A406,'SegEnds_NonXtal_Prot#'!A:AL,31,FALSE)</f>
        <v>36</v>
      </c>
      <c r="AK406" s="1">
        <f>VLOOKUP(A406,'SegEnds_NonXtal_Prot#'!A:AL,37,FALSE)-VLOOKUP(A406,'SegEnds_NonXtal_Prot#'!A:AL,34,FALSE)</f>
        <v>10</v>
      </c>
      <c r="AL406" s="1" t="str">
        <f>IF(ISERROR(MATCH(A406,'SegEnds_Xtal_Prot#'!B:B, 0)), "NoXtal", "Xtal")</f>
        <v>NoXtal</v>
      </c>
    </row>
    <row r="407" spans="1:38" x14ac:dyDescent="0.2">
      <c r="A407" s="1" t="s">
        <v>476</v>
      </c>
      <c r="B407" s="1" t="str">
        <f>VLOOKUP(A407,Xtal_Templ!A:B,2,FALSE)</f>
        <v>5ht1b_human</v>
      </c>
      <c r="C407" s="5">
        <v>32</v>
      </c>
      <c r="D407" s="1">
        <v>62</v>
      </c>
      <c r="E407" s="1">
        <f>VLOOKUP($B407&amp;"__wt",'SegEnds_Xtal_BW#'!$A:$Z,5,FALSE)</f>
        <v>48</v>
      </c>
      <c r="F407" s="1">
        <f>VLOOKUP($B407&amp;"__wt",'SegEnds_Xtal_BW#'!$A:$Z,6,FALSE)</f>
        <v>51</v>
      </c>
      <c r="G407" s="1">
        <v>39</v>
      </c>
      <c r="H407" s="12">
        <v>66</v>
      </c>
      <c r="I407" s="1" t="s">
        <v>23</v>
      </c>
      <c r="J407" s="1" t="s">
        <v>23</v>
      </c>
      <c r="K407" s="12">
        <v>21</v>
      </c>
      <c r="L407" s="1">
        <f>VLOOKUP($B407&amp;"__wt",'SegEnds_Xtal_BW#'!$A:$Z,12,FALSE)</f>
        <v>56</v>
      </c>
      <c r="M407" s="1">
        <f>VLOOKUP($B407&amp;"__wt",'SegEnds_Xtal_BW#'!$A:$Z,13,FALSE)</f>
        <v>50</v>
      </c>
      <c r="N407" s="12">
        <v>57</v>
      </c>
      <c r="O407" s="87">
        <v>38</v>
      </c>
      <c r="P407" s="1">
        <f>VLOOKUP($B407&amp;"__wt",'SegEnds_Xtal_BW#'!$A:$Z,16,FALSE)</f>
        <v>63</v>
      </c>
      <c r="Q407" s="1">
        <f>VLOOKUP($B407&amp;"__wt",'SegEnds_Xtal_BW#'!$A:$Z,17,FALSE)</f>
        <v>50</v>
      </c>
      <c r="R407" s="1">
        <f>VLOOKUP($B407&amp;"__wt",'SegEnds_Xtal_BW#'!$A:$Z,18,FALSE)</f>
        <v>52</v>
      </c>
      <c r="S407" s="1">
        <v>32</v>
      </c>
      <c r="T407" s="1">
        <v>72</v>
      </c>
      <c r="U407" s="1">
        <v>29</v>
      </c>
      <c r="V407" s="1">
        <v>61</v>
      </c>
      <c r="W407" s="1">
        <v>31</v>
      </c>
      <c r="X407" s="1">
        <f>VLOOKUP($B407&amp;"__wt",'SegEnds_Xtal_BW#'!$A:$Z,24,FALSE)</f>
        <v>56</v>
      </c>
      <c r="Y407" s="1">
        <f>VLOOKUP($B407&amp;"__wt",'SegEnds_Xtal_BW#'!$A:$Z,25,FALSE)</f>
        <v>47</v>
      </c>
      <c r="Z407" s="1">
        <v>60</v>
      </c>
      <c r="AA407" s="27" t="str">
        <f>VLOOKUP(A407,Classification!A:B,2,FALSE)</f>
        <v>T</v>
      </c>
      <c r="AB407" s="1">
        <f>VLOOKUP(A407,'SegEnds_NonXtal_Prot#'!A:AL,10,FALSE)-VLOOKUP(A407,'SegEnds_NonXtal_Prot#'!A:AL,4,FALSE)</f>
        <v>31</v>
      </c>
      <c r="AC407" s="1">
        <f>VLOOKUP(A407,'SegEnds_NonXtal_Prot#'!A:AL,10,FALSE)-VLOOKUP(A407,'SegEnds_NonXtal_Prot#'!A:AL,7,FALSE)</f>
        <v>16</v>
      </c>
      <c r="AD407" s="1" t="e">
        <f>VLOOKUP(A407,'SegEnds_NonXtal_Prot#'!A:AL,13,FALSE)-VLOOKUP(A407,'SegEnds_NonXtal_Prot#'!A:AL,10,FALSE)</f>
        <v>#VALUE!</v>
      </c>
      <c r="AE407" s="1">
        <f>VLOOKUP(A407,'SegEnds_NonXtal_Prot#'!A:AL,16,FALSE)-VLOOKUP(A407,'SegEnds_NonXtal_Prot#'!A:AL,10,FALSE)</f>
        <v>51</v>
      </c>
      <c r="AF407" s="1">
        <f>VLOOKUP(A407,'SegEnds_NonXtal_Prot#'!A:AL,22,FALSE)-VLOOKUP(A407,'SegEnds_NonXtal_Prot#'!A:AL,19,FALSE)</f>
        <v>20</v>
      </c>
      <c r="AG407" s="1" t="e">
        <f>VLOOKUP(A407,'SegEnds_NonXtal_Prot#'!A:AL,28,FALSE)-VLOOKUP(A407,'SegEnds_NonXtal_Prot#'!A:AL,25,FALSE)</f>
        <v>#VALUE!</v>
      </c>
      <c r="AH407" s="1">
        <f>VLOOKUP(A407,'SegEnds_NonXtal_Prot#'!A:AL,28,FALSE)-VLOOKUP(A407,'SegEnds_NonXtal_Prot#'!A:AL,22,FALSE)</f>
        <v>53</v>
      </c>
      <c r="AI407" s="1">
        <f>VLOOKUP(A407,'SegEnds_NonXtal_Prot#'!A:AL,31,FALSE)-VLOOKUP(A407,'SegEnds_NonXtal_Prot#'!A:AL,28,FALSE)</f>
        <v>53</v>
      </c>
      <c r="AJ407" s="1">
        <f>VLOOKUP(A407,'SegEnds_NonXtal_Prot#'!A:AL,34,FALSE)-VLOOKUP(A407,'SegEnds_NonXtal_Prot#'!A:AL,31,FALSE)</f>
        <v>36</v>
      </c>
      <c r="AK407" s="1">
        <f>VLOOKUP(A407,'SegEnds_NonXtal_Prot#'!A:AL,37,FALSE)-VLOOKUP(A407,'SegEnds_NonXtal_Prot#'!A:AL,34,FALSE)</f>
        <v>10</v>
      </c>
      <c r="AL407" s="1" t="str">
        <f>IF(ISERROR(MATCH(A407,'SegEnds_Xtal_Prot#'!B:B, 0)), "NoXtal", "Xtal")</f>
        <v>NoXtal</v>
      </c>
    </row>
    <row r="408" spans="1:38" x14ac:dyDescent="0.2">
      <c r="A408" s="1" t="s">
        <v>477</v>
      </c>
      <c r="B408" s="1" t="str">
        <f>VLOOKUP(A408,Xtal_Templ!A:B,2,FALSE)</f>
        <v>hrh1_human</v>
      </c>
      <c r="C408" s="5">
        <v>32</v>
      </c>
      <c r="D408" s="1">
        <v>62</v>
      </c>
      <c r="E408" s="1">
        <f>VLOOKUP($B408&amp;"__wt",'SegEnds_Xtal_BW#'!$A:$Z,5,FALSE)</f>
        <v>48</v>
      </c>
      <c r="F408" s="1">
        <f>VLOOKUP($B408&amp;"__wt",'SegEnds_Xtal_BW#'!$A:$Z,6,FALSE)</f>
        <v>51</v>
      </c>
      <c r="G408" s="1">
        <v>39</v>
      </c>
      <c r="H408" s="12">
        <v>66</v>
      </c>
      <c r="I408" s="1" t="s">
        <v>23</v>
      </c>
      <c r="J408" s="1" t="s">
        <v>23</v>
      </c>
      <c r="K408" s="12">
        <v>24</v>
      </c>
      <c r="L408" s="1">
        <f>VLOOKUP($B408&amp;"__wt",'SegEnds_Xtal_BW#'!$A:$Z,12,FALSE)</f>
        <v>56</v>
      </c>
      <c r="M408" s="1">
        <f>VLOOKUP($B408&amp;"__wt",'SegEnds_Xtal_BW#'!$A:$Z,13,FALSE)</f>
        <v>50</v>
      </c>
      <c r="N408" s="12">
        <f>VLOOKUP($B408&amp;"__wt",'SegEnds_Xtal_BW#'!$A:$Z,14,FALSE)</f>
        <v>57</v>
      </c>
      <c r="O408" s="87">
        <v>38</v>
      </c>
      <c r="P408" s="1">
        <f>VLOOKUP($B408&amp;"__wt",'SegEnds_Xtal_BW#'!$A:$Z,16,FALSE)</f>
        <v>62</v>
      </c>
      <c r="Q408" s="1">
        <f>VLOOKUP($B408&amp;"__wt",'SegEnds_Xtal_BW#'!$A:$Z,17,FALSE)</f>
        <v>50</v>
      </c>
      <c r="R408" s="1">
        <f>VLOOKUP($B408&amp;"__wt",'SegEnds_Xtal_BW#'!$A:$Z,18,FALSE)</f>
        <v>52</v>
      </c>
      <c r="S408" s="1">
        <v>32</v>
      </c>
      <c r="T408" s="1">
        <v>72</v>
      </c>
      <c r="U408" s="1">
        <v>29</v>
      </c>
      <c r="V408" s="1">
        <v>61</v>
      </c>
      <c r="W408" s="1">
        <v>31</v>
      </c>
      <c r="X408" s="1">
        <f>VLOOKUP($B408&amp;"__wt",'SegEnds_Xtal_BW#'!$A:$Z,24,FALSE)</f>
        <v>56</v>
      </c>
      <c r="Y408" s="1">
        <f>VLOOKUP($B408&amp;"__wt",'SegEnds_Xtal_BW#'!$A:$Z,25,FALSE)</f>
        <v>47</v>
      </c>
      <c r="Z408" s="1">
        <v>60</v>
      </c>
      <c r="AA408" s="27" t="str">
        <f>VLOOKUP(A408,Classification!A:B,2,FALSE)</f>
        <v>T</v>
      </c>
      <c r="AB408" s="1">
        <f>VLOOKUP(A408,'SegEnds_NonXtal_Prot#'!A:AL,10,FALSE)-VLOOKUP(A408,'SegEnds_NonXtal_Prot#'!A:AL,4,FALSE)</f>
        <v>31</v>
      </c>
      <c r="AC408" s="1">
        <f>VLOOKUP(A408,'SegEnds_NonXtal_Prot#'!A:AL,10,FALSE)-VLOOKUP(A408,'SegEnds_NonXtal_Prot#'!A:AL,7,FALSE)</f>
        <v>16</v>
      </c>
      <c r="AD408" s="1" t="e">
        <f>VLOOKUP(A408,'SegEnds_NonXtal_Prot#'!A:AL,13,FALSE)-VLOOKUP(A408,'SegEnds_NonXtal_Prot#'!A:AL,10,FALSE)</f>
        <v>#VALUE!</v>
      </c>
      <c r="AE408" s="1">
        <f>VLOOKUP(A408,'SegEnds_NonXtal_Prot#'!A:AL,16,FALSE)-VLOOKUP(A408,'SegEnds_NonXtal_Prot#'!A:AL,10,FALSE)</f>
        <v>48</v>
      </c>
      <c r="AF408" s="1">
        <f>VLOOKUP(A408,'SegEnds_NonXtal_Prot#'!A:AL,22,FALSE)-VLOOKUP(A408,'SegEnds_NonXtal_Prot#'!A:AL,19,FALSE)</f>
        <v>20</v>
      </c>
      <c r="AG408" s="1" t="e">
        <f>VLOOKUP(A408,'SegEnds_NonXtal_Prot#'!A:AL,28,FALSE)-VLOOKUP(A408,'SegEnds_NonXtal_Prot#'!A:AL,25,FALSE)</f>
        <v>#VALUE!</v>
      </c>
      <c r="AH408" s="1">
        <f>VLOOKUP(A408,'SegEnds_NonXtal_Prot#'!A:AL,28,FALSE)-VLOOKUP(A408,'SegEnds_NonXtal_Prot#'!A:AL,22,FALSE)</f>
        <v>48</v>
      </c>
      <c r="AI408" s="1">
        <f>VLOOKUP(A408,'SegEnds_NonXtal_Prot#'!A:AL,31,FALSE)-VLOOKUP(A408,'SegEnds_NonXtal_Prot#'!A:AL,28,FALSE)</f>
        <v>53</v>
      </c>
      <c r="AJ408" s="1">
        <f>VLOOKUP(A408,'SegEnds_NonXtal_Prot#'!A:AL,34,FALSE)-VLOOKUP(A408,'SegEnds_NonXtal_Prot#'!A:AL,31,FALSE)</f>
        <v>36</v>
      </c>
      <c r="AK408" s="1">
        <f>VLOOKUP(A408,'SegEnds_NonXtal_Prot#'!A:AL,37,FALSE)-VLOOKUP(A408,'SegEnds_NonXtal_Prot#'!A:AL,34,FALSE)</f>
        <v>10</v>
      </c>
      <c r="AL408" s="1" t="str">
        <f>IF(ISERROR(MATCH(A408,'SegEnds_Xtal_Prot#'!B:B, 0)), "NoXtal", "Xtal")</f>
        <v>NoXtal</v>
      </c>
    </row>
    <row r="409" spans="1:38" x14ac:dyDescent="0.2">
      <c r="A409" s="1" t="s">
        <v>478</v>
      </c>
      <c r="B409" s="1" t="str">
        <f>VLOOKUP(A409,Xtal_Templ!A:B,2,FALSE)</f>
        <v>drd2_human</v>
      </c>
      <c r="C409" s="5">
        <v>32</v>
      </c>
      <c r="D409" s="1">
        <v>62</v>
      </c>
      <c r="E409" s="1">
        <f>VLOOKUP($B409&amp;"__wt",'SegEnds_Xtal_BW#'!$A:$Z,5,FALSE)</f>
        <v>48</v>
      </c>
      <c r="F409" s="1">
        <f>VLOOKUP($B409&amp;"__wt",'SegEnds_Xtal_BW#'!$A:$Z,6,FALSE)</f>
        <v>51</v>
      </c>
      <c r="G409" s="1">
        <v>39</v>
      </c>
      <c r="H409" s="12">
        <v>67</v>
      </c>
      <c r="I409" s="1" t="s">
        <v>23</v>
      </c>
      <c r="J409" s="1" t="s">
        <v>23</v>
      </c>
      <c r="K409" s="12">
        <v>21</v>
      </c>
      <c r="L409" s="1">
        <f>VLOOKUP($B409&amp;"__wt",'SegEnds_Xtal_BW#'!$A:$Z,12,FALSE)</f>
        <v>56</v>
      </c>
      <c r="M409" s="1">
        <f>VLOOKUP($B409&amp;"__wt",'SegEnds_Xtal_BW#'!$A:$Z,13,FALSE)</f>
        <v>50</v>
      </c>
      <c r="N409" s="12">
        <v>57</v>
      </c>
      <c r="O409" s="88">
        <v>38</v>
      </c>
      <c r="P409" s="1">
        <f>VLOOKUP($B409&amp;"__wt",'SegEnds_Xtal_BW#'!$A:$Z,16,FALSE)</f>
        <v>62</v>
      </c>
      <c r="Q409" s="1">
        <f>VLOOKUP($B409&amp;"__wt",'SegEnds_Xtal_BW#'!$A:$Z,17,FALSE)</f>
        <v>50</v>
      </c>
      <c r="R409" s="1">
        <f>VLOOKUP($B409&amp;"__wt",'SegEnds_Xtal_BW#'!$A:$Z,18,FALSE)</f>
        <v>52</v>
      </c>
      <c r="S409" s="1">
        <v>32</v>
      </c>
      <c r="T409" s="1">
        <v>72</v>
      </c>
      <c r="U409" s="1">
        <v>29</v>
      </c>
      <c r="V409" s="1">
        <v>61</v>
      </c>
      <c r="W409" s="1">
        <v>31</v>
      </c>
      <c r="X409" s="1">
        <f>VLOOKUP($B409&amp;"__wt",'SegEnds_Xtal_BW#'!$A:$Z,24,FALSE)</f>
        <v>56</v>
      </c>
      <c r="Y409" s="1">
        <f>VLOOKUP($B409&amp;"__wt",'SegEnds_Xtal_BW#'!$A:$Z,25,FALSE)</f>
        <v>47</v>
      </c>
      <c r="Z409" s="1">
        <v>60</v>
      </c>
      <c r="AA409" s="27" t="str">
        <f>VLOOKUP(A409,Classification!A:B,2,FALSE)</f>
        <v>T</v>
      </c>
      <c r="AB409" s="1">
        <f>VLOOKUP(A409,'SegEnds_NonXtal_Prot#'!A:AL,10,FALSE)-VLOOKUP(A409,'SegEnds_NonXtal_Prot#'!A:AL,4,FALSE)</f>
        <v>31</v>
      </c>
      <c r="AC409" s="1">
        <f>VLOOKUP(A409,'SegEnds_NonXtal_Prot#'!A:AL,10,FALSE)-VLOOKUP(A409,'SegEnds_NonXtal_Prot#'!A:AL,7,FALSE)</f>
        <v>16</v>
      </c>
      <c r="AD409" s="1" t="e">
        <f>VLOOKUP(A409,'SegEnds_NonXtal_Prot#'!A:AL,13,FALSE)-VLOOKUP(A409,'SegEnds_NonXtal_Prot#'!A:AL,10,FALSE)</f>
        <v>#VALUE!</v>
      </c>
      <c r="AE409" s="1">
        <f>VLOOKUP(A409,'SegEnds_NonXtal_Prot#'!A:AL,16,FALSE)-VLOOKUP(A409,'SegEnds_NonXtal_Prot#'!A:AL,10,FALSE)</f>
        <v>52</v>
      </c>
      <c r="AF409" s="1">
        <f>VLOOKUP(A409,'SegEnds_NonXtal_Prot#'!A:AL,22,FALSE)-VLOOKUP(A409,'SegEnds_NonXtal_Prot#'!A:AL,19,FALSE)</f>
        <v>20</v>
      </c>
      <c r="AG409" s="1" t="e">
        <f>VLOOKUP(A409,'SegEnds_NonXtal_Prot#'!A:AL,28,FALSE)-VLOOKUP(A409,'SegEnds_NonXtal_Prot#'!A:AL,25,FALSE)</f>
        <v>#VALUE!</v>
      </c>
      <c r="AH409" s="1">
        <f>VLOOKUP(A409,'SegEnds_NonXtal_Prot#'!A:AL,28,FALSE)-VLOOKUP(A409,'SegEnds_NonXtal_Prot#'!A:AL,22,FALSE)</f>
        <v>57</v>
      </c>
      <c r="AI409" s="1">
        <f>VLOOKUP(A409,'SegEnds_NonXtal_Prot#'!A:AL,31,FALSE)-VLOOKUP(A409,'SegEnds_NonXtal_Prot#'!A:AL,28,FALSE)</f>
        <v>53</v>
      </c>
      <c r="AJ409" s="1">
        <f>VLOOKUP(A409,'SegEnds_NonXtal_Prot#'!A:AL,34,FALSE)-VLOOKUP(A409,'SegEnds_NonXtal_Prot#'!A:AL,31,FALSE)</f>
        <v>36</v>
      </c>
      <c r="AK409" s="1">
        <f>VLOOKUP(A409,'SegEnds_NonXtal_Prot#'!A:AL,37,FALSE)-VLOOKUP(A409,'SegEnds_NonXtal_Prot#'!A:AL,34,FALSE)</f>
        <v>10</v>
      </c>
      <c r="AL409" s="1" t="str">
        <f>IF(ISERROR(MATCH(A409,'SegEnds_Xtal_Prot#'!B:B, 0)), "NoXtal", "Xtal")</f>
        <v>NoXtal</v>
      </c>
    </row>
    <row r="410" spans="1:38" x14ac:dyDescent="0.2">
      <c r="A410" s="1" t="s">
        <v>479</v>
      </c>
      <c r="B410" s="1" t="str">
        <f>VLOOKUP(A410,Xtal_Templ!A:B,2,FALSE)</f>
        <v>drd2_human</v>
      </c>
      <c r="C410" s="5">
        <v>32</v>
      </c>
      <c r="D410" s="1">
        <v>62</v>
      </c>
      <c r="E410" s="1">
        <f>VLOOKUP($B410&amp;"__wt",'SegEnds_Xtal_BW#'!$A:$Z,5,FALSE)</f>
        <v>48</v>
      </c>
      <c r="F410" s="1">
        <f>VLOOKUP($B410&amp;"__wt",'SegEnds_Xtal_BW#'!$A:$Z,6,FALSE)</f>
        <v>51</v>
      </c>
      <c r="G410" s="1">
        <v>39</v>
      </c>
      <c r="H410" s="12">
        <v>66</v>
      </c>
      <c r="I410" s="1" t="s">
        <v>23</v>
      </c>
      <c r="J410" s="1" t="s">
        <v>23</v>
      </c>
      <c r="K410" s="12">
        <v>18</v>
      </c>
      <c r="L410" s="1">
        <f>VLOOKUP($B410&amp;"__wt",'SegEnds_Xtal_BW#'!$A:$Z,12,FALSE)</f>
        <v>56</v>
      </c>
      <c r="M410" s="1">
        <f>VLOOKUP($B410&amp;"__wt",'SegEnds_Xtal_BW#'!$A:$Z,13,FALSE)</f>
        <v>50</v>
      </c>
      <c r="N410" s="12">
        <v>57</v>
      </c>
      <c r="O410" s="87">
        <v>38</v>
      </c>
      <c r="P410" s="1">
        <f>VLOOKUP($B410&amp;"__wt",'SegEnds_Xtal_BW#'!$A:$Z,16,FALSE)</f>
        <v>62</v>
      </c>
      <c r="Q410" s="1">
        <f>VLOOKUP($B410&amp;"__wt",'SegEnds_Xtal_BW#'!$A:$Z,17,FALSE)</f>
        <v>50</v>
      </c>
      <c r="R410" s="1">
        <f>VLOOKUP($B410&amp;"__wt",'SegEnds_Xtal_BW#'!$A:$Z,18,FALSE)</f>
        <v>52</v>
      </c>
      <c r="S410" s="1">
        <v>32</v>
      </c>
      <c r="T410" s="1">
        <v>72</v>
      </c>
      <c r="U410" s="1">
        <v>29</v>
      </c>
      <c r="V410" s="1">
        <v>61</v>
      </c>
      <c r="W410" s="1">
        <v>31</v>
      </c>
      <c r="X410" s="1">
        <f>VLOOKUP($B410&amp;"__wt",'SegEnds_Xtal_BW#'!$A:$Z,24,FALSE)</f>
        <v>56</v>
      </c>
      <c r="Y410" s="1">
        <f>VLOOKUP($B410&amp;"__wt",'SegEnds_Xtal_BW#'!$A:$Z,25,FALSE)</f>
        <v>47</v>
      </c>
      <c r="Z410" s="1">
        <v>60</v>
      </c>
      <c r="AA410" s="27" t="str">
        <f>VLOOKUP(A410,Classification!A:B,2,FALSE)</f>
        <v>T</v>
      </c>
      <c r="AB410" s="1">
        <f>VLOOKUP(A410,'SegEnds_NonXtal_Prot#'!A:AL,10,FALSE)-VLOOKUP(A410,'SegEnds_NonXtal_Prot#'!A:AL,4,FALSE)</f>
        <v>31</v>
      </c>
      <c r="AC410" s="1">
        <f>VLOOKUP(A410,'SegEnds_NonXtal_Prot#'!A:AL,10,FALSE)-VLOOKUP(A410,'SegEnds_NonXtal_Prot#'!A:AL,7,FALSE)</f>
        <v>16</v>
      </c>
      <c r="AD410" s="1" t="e">
        <f>VLOOKUP(A410,'SegEnds_NonXtal_Prot#'!A:AL,13,FALSE)-VLOOKUP(A410,'SegEnds_NonXtal_Prot#'!A:AL,10,FALSE)</f>
        <v>#VALUE!</v>
      </c>
      <c r="AE410" s="1">
        <f>VLOOKUP(A410,'SegEnds_NonXtal_Prot#'!A:AL,16,FALSE)-VLOOKUP(A410,'SegEnds_NonXtal_Prot#'!A:AL,10,FALSE)</f>
        <v>52</v>
      </c>
      <c r="AF410" s="1">
        <f>VLOOKUP(A410,'SegEnds_NonXtal_Prot#'!A:AL,22,FALSE)-VLOOKUP(A410,'SegEnds_NonXtal_Prot#'!A:AL,19,FALSE)</f>
        <v>20</v>
      </c>
      <c r="AG410" s="1" t="e">
        <f>VLOOKUP(A410,'SegEnds_NonXtal_Prot#'!A:AL,28,FALSE)-VLOOKUP(A410,'SegEnds_NonXtal_Prot#'!A:AL,25,FALSE)</f>
        <v>#VALUE!</v>
      </c>
      <c r="AH410" s="1">
        <f>VLOOKUP(A410,'SegEnds_NonXtal_Prot#'!A:AL,28,FALSE)-VLOOKUP(A410,'SegEnds_NonXtal_Prot#'!A:AL,22,FALSE)</f>
        <v>57</v>
      </c>
      <c r="AI410" s="1">
        <f>VLOOKUP(A410,'SegEnds_NonXtal_Prot#'!A:AL,31,FALSE)-VLOOKUP(A410,'SegEnds_NonXtal_Prot#'!A:AL,28,FALSE)</f>
        <v>53</v>
      </c>
      <c r="AJ410" s="1">
        <f>VLOOKUP(A410,'SegEnds_NonXtal_Prot#'!A:AL,34,FALSE)-VLOOKUP(A410,'SegEnds_NonXtal_Prot#'!A:AL,31,FALSE)</f>
        <v>36</v>
      </c>
      <c r="AK410" s="1">
        <f>VLOOKUP(A410,'SegEnds_NonXtal_Prot#'!A:AL,37,FALSE)-VLOOKUP(A410,'SegEnds_NonXtal_Prot#'!A:AL,34,FALSE)</f>
        <v>10</v>
      </c>
      <c r="AL410" s="1" t="str">
        <f>IF(ISERROR(MATCH(A410,'SegEnds_Xtal_Prot#'!B:B, 0)), "NoXtal", "Xtal")</f>
        <v>NoXtal</v>
      </c>
    </row>
    <row r="411" spans="1:38" x14ac:dyDescent="0.2">
      <c r="A411" s="1" t="s">
        <v>480</v>
      </c>
      <c r="B411" s="1" t="str">
        <f>VLOOKUP(A411,Xtal_Templ!A:B,2,FALSE)</f>
        <v>agtr1_human</v>
      </c>
      <c r="C411" s="5">
        <v>32</v>
      </c>
      <c r="D411" s="1">
        <v>62</v>
      </c>
      <c r="E411" s="1">
        <f>VLOOKUP($B411&amp;"__wt",'SegEnds_Xtal_BW#'!$A:$Z,5,FALSE)</f>
        <v>48</v>
      </c>
      <c r="F411" s="1">
        <f>VLOOKUP($B411&amp;"__wt",'SegEnds_Xtal_BW#'!$A:$Z,6,FALSE)</f>
        <v>51</v>
      </c>
      <c r="G411" s="1">
        <v>39</v>
      </c>
      <c r="H411" s="12">
        <v>66</v>
      </c>
      <c r="I411" s="1" t="s">
        <v>23</v>
      </c>
      <c r="J411" s="1" t="s">
        <v>23</v>
      </c>
      <c r="K411" s="12">
        <v>18</v>
      </c>
      <c r="L411" s="1">
        <f>VLOOKUP($B411&amp;"__wt",'SegEnds_Xtal_BW#'!$A:$Z,12,FALSE)</f>
        <v>56</v>
      </c>
      <c r="M411" s="1">
        <f>VLOOKUP($B411&amp;"__wt",'SegEnds_Xtal_BW#'!$A:$Z,13,FALSE)</f>
        <v>50</v>
      </c>
      <c r="N411" s="12">
        <v>57</v>
      </c>
      <c r="O411" s="88">
        <v>38</v>
      </c>
      <c r="P411" s="1">
        <f>VLOOKUP($B411&amp;"__wt",'SegEnds_Xtal_BW#'!$A:$Z,16,FALSE)</f>
        <v>64</v>
      </c>
      <c r="Q411" s="1">
        <f>VLOOKUP($B411&amp;"__wt",'SegEnds_Xtal_BW#'!$A:$Z,17,FALSE)</f>
        <v>50</v>
      </c>
      <c r="R411" s="1">
        <f>VLOOKUP($B411&amp;"__wt",'SegEnds_Xtal_BW#'!$A:$Z,18,FALSE)</f>
        <v>52</v>
      </c>
      <c r="S411" s="1">
        <v>32</v>
      </c>
      <c r="T411" s="1">
        <v>72</v>
      </c>
      <c r="U411" s="1">
        <v>29</v>
      </c>
      <c r="V411" s="1">
        <v>61</v>
      </c>
      <c r="W411" s="1">
        <v>31</v>
      </c>
      <c r="X411" s="1">
        <f>VLOOKUP($B411&amp;"__wt",'SegEnds_Xtal_BW#'!$A:$Z,24,FALSE)</f>
        <v>56</v>
      </c>
      <c r="Y411" s="1">
        <f>VLOOKUP($B411&amp;"__wt",'SegEnds_Xtal_BW#'!$A:$Z,25,FALSE)</f>
        <v>47</v>
      </c>
      <c r="Z411" s="1">
        <v>60</v>
      </c>
      <c r="AA411" s="27" t="str">
        <f>VLOOKUP(A411,Classification!A:B,2,FALSE)</f>
        <v>T</v>
      </c>
      <c r="AB411" s="1">
        <f>VLOOKUP(A411,'SegEnds_NonXtal_Prot#'!A:AL,10,FALSE)-VLOOKUP(A411,'SegEnds_NonXtal_Prot#'!A:AL,4,FALSE)</f>
        <v>31</v>
      </c>
      <c r="AC411" s="1">
        <f>VLOOKUP(A411,'SegEnds_NonXtal_Prot#'!A:AL,10,FALSE)-VLOOKUP(A411,'SegEnds_NonXtal_Prot#'!A:AL,7,FALSE)</f>
        <v>16</v>
      </c>
      <c r="AD411" s="1" t="e">
        <f>VLOOKUP(A411,'SegEnds_NonXtal_Prot#'!A:AL,13,FALSE)-VLOOKUP(A411,'SegEnds_NonXtal_Prot#'!A:AL,10,FALSE)</f>
        <v>#VALUE!</v>
      </c>
      <c r="AE411" s="1">
        <f>VLOOKUP(A411,'SegEnds_NonXtal_Prot#'!A:AL,16,FALSE)-VLOOKUP(A411,'SegEnds_NonXtal_Prot#'!A:AL,10,FALSE)</f>
        <v>52</v>
      </c>
      <c r="AF411" s="1">
        <f>VLOOKUP(A411,'SegEnds_NonXtal_Prot#'!A:AL,22,FALSE)-VLOOKUP(A411,'SegEnds_NonXtal_Prot#'!A:AL,19,FALSE)</f>
        <v>20</v>
      </c>
      <c r="AG411" s="1" t="e">
        <f>VLOOKUP(A411,'SegEnds_NonXtal_Prot#'!A:AL,28,FALSE)-VLOOKUP(A411,'SegEnds_NonXtal_Prot#'!A:AL,25,FALSE)</f>
        <v>#VALUE!</v>
      </c>
      <c r="AH411" s="1">
        <f>VLOOKUP(A411,'SegEnds_NonXtal_Prot#'!A:AL,28,FALSE)-VLOOKUP(A411,'SegEnds_NonXtal_Prot#'!A:AL,22,FALSE)</f>
        <v>54</v>
      </c>
      <c r="AI411" s="1">
        <f>VLOOKUP(A411,'SegEnds_NonXtal_Prot#'!A:AL,31,FALSE)-VLOOKUP(A411,'SegEnds_NonXtal_Prot#'!A:AL,28,FALSE)</f>
        <v>53</v>
      </c>
      <c r="AJ411" s="1">
        <f>VLOOKUP(A411,'SegEnds_NonXtal_Prot#'!A:AL,34,FALSE)-VLOOKUP(A411,'SegEnds_NonXtal_Prot#'!A:AL,31,FALSE)</f>
        <v>36</v>
      </c>
      <c r="AK411" s="1">
        <f>VLOOKUP(A411,'SegEnds_NonXtal_Prot#'!A:AL,37,FALSE)-VLOOKUP(A411,'SegEnds_NonXtal_Prot#'!A:AL,34,FALSE)</f>
        <v>10</v>
      </c>
      <c r="AL411" s="1" t="str">
        <f>IF(ISERROR(MATCH(A411,'SegEnds_Xtal_Prot#'!B:B, 0)), "NoXtal", "Xtal")</f>
        <v>NoXtal</v>
      </c>
    </row>
  </sheetData>
  <sortState ref="A2:AL411">
    <sortCondition ref="AA2:AA411"/>
    <sortCondition ref="AK2:AK411"/>
    <sortCondition ref="A2:A411"/>
  </sortState>
  <customSheetViews>
    <customSheetView guid="{3E3401AF-8459-8641-BD70-AD04F80E86ED}" scale="135">
      <pane ySplit="1" topLeftCell="A2" activePane="bottomLeft" state="frozenSplit"/>
      <selection pane="bottomLeft" activeCell="S7" sqref="S7"/>
      <pageMargins left="0.7" right="0.7" top="0.75" bottom="0.75" header="0.3" footer="0.3"/>
      <pageSetup paperSize="9" orientation="portrait" horizontalDpi="0" verticalDpi="0"/>
    </customSheetView>
  </customSheetViews>
  <conditionalFormatting sqref="AI1:AI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1:AL1048576">
    <cfRule type="cellIs" dxfId="25" priority="2" operator="equal">
      <formula>"Xtal"</formula>
    </cfRule>
  </conditionalFormatting>
  <conditionalFormatting sqref="AF1:AF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BH413"/>
  <sheetViews>
    <sheetView zoomScale="120" zoomScaleNormal="120" zoomScalePageLayoutView="120" workbookViewId="0">
      <pane ySplit="1" topLeftCell="A2" activePane="bottomLeft" state="frozenSplit"/>
      <selection pane="bottomLeft" activeCell="A227" sqref="A227:XFD227"/>
    </sheetView>
  </sheetViews>
  <sheetFormatPr baseColWidth="10" defaultColWidth="10.83203125" defaultRowHeight="16" x14ac:dyDescent="0.2"/>
  <cols>
    <col min="1" max="1" width="12.83203125" style="1" customWidth="1"/>
    <col min="2" max="2" width="11.6640625" style="1" customWidth="1"/>
    <col min="3" max="8" width="5.1640625" style="1" customWidth="1"/>
    <col min="9" max="9" width="3.6640625" style="1" customWidth="1"/>
    <col min="10" max="11" width="5.1640625" style="1" customWidth="1"/>
    <col min="12" max="14" width="4.1640625" style="1" customWidth="1"/>
    <col min="15" max="17" width="5.1640625" style="1" customWidth="1"/>
    <col min="18" max="19" width="4.1640625" style="1" customWidth="1"/>
    <col min="20" max="20" width="5" style="87" customWidth="1"/>
    <col min="21" max="21" width="5.1640625" style="12" customWidth="1"/>
    <col min="22" max="38" width="5.1640625" style="1" customWidth="1"/>
    <col min="39" max="39" width="3.1640625" style="27" bestFit="1" customWidth="1"/>
    <col min="40" max="40" width="8" style="5" customWidth="1"/>
    <col min="41" max="41" width="6.83203125" style="1" customWidth="1"/>
    <col min="42" max="43" width="6.33203125" style="1" customWidth="1"/>
    <col min="44" max="45" width="6.83203125" style="1" customWidth="1"/>
    <col min="46" max="47" width="6.33203125" style="1" customWidth="1"/>
    <col min="48" max="49" width="6.83203125" style="1" customWidth="1"/>
    <col min="50" max="50" width="5.83203125" style="1" bestFit="1" customWidth="1"/>
    <col min="51" max="52" width="5.83203125" style="1" customWidth="1"/>
    <col min="53" max="53" width="6.83203125" style="1" customWidth="1"/>
    <col min="54" max="54" width="5" style="5" bestFit="1" customWidth="1"/>
    <col min="55" max="55" width="5.5" style="12" customWidth="1"/>
    <col min="56" max="58" width="5" style="1" customWidth="1"/>
    <col min="59" max="59" width="3" style="1" customWidth="1"/>
    <col min="60" max="16384" width="10.83203125" style="1"/>
  </cols>
  <sheetData>
    <row r="1" spans="1:59" s="8" customFormat="1" x14ac:dyDescent="0.2">
      <c r="A1" s="8" t="s">
        <v>31</v>
      </c>
      <c r="B1" s="35" t="s">
        <v>1204</v>
      </c>
      <c r="C1" s="8" t="s">
        <v>1061</v>
      </c>
      <c r="D1" s="41" t="s">
        <v>1082</v>
      </c>
      <c r="E1" s="8" t="s">
        <v>1062</v>
      </c>
      <c r="F1" s="41" t="s">
        <v>1078</v>
      </c>
      <c r="G1" s="41" t="s">
        <v>1083</v>
      </c>
      <c r="H1" s="41" t="s">
        <v>1079</v>
      </c>
      <c r="I1" s="41" t="s">
        <v>1063</v>
      </c>
      <c r="J1" s="41" t="s">
        <v>1084</v>
      </c>
      <c r="K1" s="8" t="s">
        <v>1064</v>
      </c>
      <c r="L1" s="8" t="s">
        <v>1080</v>
      </c>
      <c r="M1" s="41" t="s">
        <v>1085</v>
      </c>
      <c r="N1" s="8" t="s">
        <v>1081</v>
      </c>
      <c r="O1" s="8" t="s">
        <v>1065</v>
      </c>
      <c r="P1" s="41" t="s">
        <v>1086</v>
      </c>
      <c r="Q1" s="8" t="s">
        <v>1066</v>
      </c>
      <c r="R1" s="8" t="s">
        <v>1093</v>
      </c>
      <c r="S1" s="41" t="s">
        <v>1092</v>
      </c>
      <c r="T1" s="86" t="s">
        <v>1094</v>
      </c>
      <c r="U1" s="99" t="s">
        <v>1067</v>
      </c>
      <c r="V1" s="41" t="s">
        <v>1087</v>
      </c>
      <c r="W1" s="8" t="s">
        <v>1068</v>
      </c>
      <c r="X1" s="8" t="s">
        <v>1096</v>
      </c>
      <c r="Y1" s="41" t="s">
        <v>1095</v>
      </c>
      <c r="Z1" s="8" t="s">
        <v>1097</v>
      </c>
      <c r="AA1" s="8" t="s">
        <v>1069</v>
      </c>
      <c r="AB1" s="41" t="s">
        <v>1088</v>
      </c>
      <c r="AC1" s="8" t="s">
        <v>1070</v>
      </c>
      <c r="AD1" s="8" t="s">
        <v>1071</v>
      </c>
      <c r="AE1" s="41" t="s">
        <v>1089</v>
      </c>
      <c r="AF1" s="8" t="s">
        <v>1072</v>
      </c>
      <c r="AG1" s="8" t="s">
        <v>1073</v>
      </c>
      <c r="AH1" s="41" t="s">
        <v>1090</v>
      </c>
      <c r="AI1" s="8" t="s">
        <v>1074</v>
      </c>
      <c r="AJ1" s="8" t="s">
        <v>1075</v>
      </c>
      <c r="AK1" s="41" t="s">
        <v>1091</v>
      </c>
      <c r="AL1" s="8" t="s">
        <v>1076</v>
      </c>
      <c r="AM1" s="26" t="s">
        <v>99</v>
      </c>
      <c r="AN1" s="26" t="s">
        <v>1167</v>
      </c>
      <c r="AO1" s="8" t="s">
        <v>1227</v>
      </c>
      <c r="AP1" s="8" t="s">
        <v>1229</v>
      </c>
      <c r="AQ1" s="8" t="s">
        <v>1230</v>
      </c>
      <c r="AR1" s="8" t="s">
        <v>1231</v>
      </c>
      <c r="AS1" s="8" t="s">
        <v>1232</v>
      </c>
      <c r="AT1" s="8" t="s">
        <v>1233</v>
      </c>
      <c r="AU1" s="8" t="s">
        <v>1234</v>
      </c>
      <c r="AV1" s="8" t="s">
        <v>1235</v>
      </c>
      <c r="AW1" s="8" t="s">
        <v>1236</v>
      </c>
      <c r="AX1" s="8" t="s">
        <v>1237</v>
      </c>
      <c r="AY1" s="8" t="s">
        <v>1238</v>
      </c>
      <c r="AZ1" s="8" t="s">
        <v>1239</v>
      </c>
      <c r="BA1" s="8" t="s">
        <v>1311</v>
      </c>
      <c r="BB1" s="26" t="s">
        <v>1241</v>
      </c>
      <c r="BC1" s="99" t="s">
        <v>1281</v>
      </c>
      <c r="BD1" s="8" t="s">
        <v>1241</v>
      </c>
      <c r="BE1" s="8" t="s">
        <v>1243</v>
      </c>
      <c r="BF1" s="8" t="s">
        <v>1240</v>
      </c>
      <c r="BG1" s="8" t="s">
        <v>1312</v>
      </c>
    </row>
    <row r="2" spans="1:59" s="3" customFormat="1" x14ac:dyDescent="0.2">
      <c r="A2" s="3" t="s">
        <v>210</v>
      </c>
      <c r="B2" s="3" t="str">
        <f>LOWER(VLOOKUP(A2,Xtal_Templ!A:B,2,FALSE))</f>
        <v>apj_human</v>
      </c>
      <c r="C2" s="3">
        <f>VLOOKUP($A2,'SegEnds_NonXtal_BW#'!$A:$Z,3,FALSE)+D2-50</f>
        <v>36</v>
      </c>
      <c r="D2" s="3">
        <v>53</v>
      </c>
      <c r="E2" s="3">
        <f>IF(ISERROR(VLOOKUP($A2,'SegEnds_NonXtal_BW#'!$A:$Z,4,FALSE)+VLOOKUP($A2,A:AL,4,FALSE)-50),"-",(VLOOKUP($A2,'SegEnds_NonXtal_BW#'!$A:$Z,4,FALSE)+VLOOKUP($A2,A:AL,4,FALSE)-50))</f>
        <v>63</v>
      </c>
      <c r="F2" s="3">
        <f>G2-2</f>
        <v>71</v>
      </c>
      <c r="G2" s="3">
        <v>73</v>
      </c>
      <c r="H2" s="3">
        <f t="shared" ref="H2:I4" si="0">G2+1</f>
        <v>74</v>
      </c>
      <c r="I2" s="3">
        <f t="shared" si="0"/>
        <v>75</v>
      </c>
      <c r="J2" s="105">
        <v>87</v>
      </c>
      <c r="K2" s="3">
        <f>VLOOKUP($A2,'SegEnds_NonXtal_BW#'!$A:$Z,8,FALSE)+VLOOKUP($A2,A:AL,10,FALSE)-50</f>
        <v>103</v>
      </c>
      <c r="L2" s="3">
        <f>M2-1</f>
        <v>106</v>
      </c>
      <c r="M2" s="3">
        <v>107</v>
      </c>
      <c r="N2" s="3">
        <f>M2+2</f>
        <v>109</v>
      </c>
      <c r="O2" s="3">
        <f>N2+1</f>
        <v>110</v>
      </c>
      <c r="P2" s="3">
        <v>139</v>
      </c>
      <c r="Q2" s="3">
        <f>VLOOKUP($A2,'SegEnds_NonXtal_BW#'!$A:$Z,12,FALSE)+VLOOKUP($A2,A:AL,16,FALSE)-50</f>
        <v>145</v>
      </c>
      <c r="R2" s="3">
        <f>IF(ISERROR(VLOOKUP($A2,'SegEnds_NonXtal_BW#'!$A:$Z,13,FALSE)+VLOOKUP($A2,A:AL,19,FALSE)-50),"-",VLOOKUP($A2,'SegEnds_NonXtal_BW#'!$A:$Z,13,FALSE)+VLOOKUP($A2,A:AL,19,FALSE)-50)</f>
        <v>146</v>
      </c>
      <c r="S2" s="3">
        <v>146</v>
      </c>
      <c r="T2" s="100">
        <f>IF(ISERROR(VLOOKUP($A2,'SegEnds_NonXtal_BW#'!$A:$Z,14,FALSE)+VLOOKUP($A2,A:AL,19,FALSE)-50),"-",(VLOOKUP($A2,'SegEnds_NonXtal_BW#'!$A:$Z,14,FALSE)+VLOOKUP($A2,A:AL,19,FALSE)-50))</f>
        <v>149</v>
      </c>
      <c r="U2" s="9">
        <f>IF(ISERROR(VLOOKUP($A2,'SegEnds_NonXtal_BW#'!$A:$Z,15,FALSE)+VLOOKUP($A2,A:AL,22,FALSE)-50),"-",VLOOKUP($A2,'SegEnds_NonXtal_BW#'!$A:$Z,15,FALSE)+VLOOKUP($A2,A:AL,22,FALSE)-50)</f>
        <v>152</v>
      </c>
      <c r="V2" s="3">
        <v>164</v>
      </c>
      <c r="W2" s="3">
        <f>IF(ISERROR(VLOOKUP($A2,'SegEnds_NonXtal_BW#'!$A:$Z,16,FALSE)+VLOOKUP($A2,A:AL,22,FALSE)-50),"-",(VLOOKUP($A2,'SegEnds_NonXtal_BW#'!$A:$Z,16,FALSE)+VLOOKUP($A2,A:AL,22,FALSE)-50))</f>
        <v>178</v>
      </c>
      <c r="X2" s="3">
        <f>IF(ISERROR(VLOOKUP($A2,'SegEnds_NonXtal_BW#'!$A:$Z,17,FALSE)+VLOOKUP($A2,A:AL,25,FALSE)-50),"-",(VLOOKUP($A2,'SegEnds_NonXtal_BW#'!$A:$Z,17,FALSE)+VLOOKUP($A2,A:AL,25,FALSE)-50))</f>
        <v>200</v>
      </c>
      <c r="Y2" s="3">
        <v>200</v>
      </c>
      <c r="Z2" s="3">
        <f t="shared" ref="Z2:Z11" si="1">Y2+2</f>
        <v>202</v>
      </c>
      <c r="AA2" s="3">
        <f>IF(ISERROR(VLOOKUP($A2,'SegEnds_NonXtal_BW#'!$A:$Z,19,FALSE)+VLOOKUP($A2,A:AL,28,FALSE)-50),"-",(VLOOKUP($A2,'SegEnds_NonXtal_BW#'!$A:$Z,19,FALSE)+VLOOKUP($A2,A:AL,28,FALSE)-50))</f>
        <v>203</v>
      </c>
      <c r="AB2" s="3">
        <v>223</v>
      </c>
      <c r="AC2" s="3">
        <f>IF(ISERROR((VLOOKUP($A2,'SegEnds_NonXtal_BW#'!$A:$Z,20,FALSE)+VLOOKUP($A2,A:AL,28,FALSE)-50)),"-",(VLOOKUP($A2,'SegEnds_NonXtal_BW#'!$A:$Z,20,FALSE)+VLOOKUP($A2,A:AL,28,FALSE)-50))</f>
        <v>247</v>
      </c>
      <c r="AD2" s="3">
        <f>IF(ISERROR(VLOOKUP($A2,'SegEnds_NonXtal_BW#'!$A:$Z,21,FALSE)+VLOOKUP($A2,A:AL,31,FALSE)-50),"-",(VLOOKUP($A2,'SegEnds_NonXtal_BW#'!$A:$Z,21,FALSE)+VLOOKUP($A2,A:AL,31,FALSE)-50))</f>
        <v>253</v>
      </c>
      <c r="AE2" s="3">
        <v>282</v>
      </c>
      <c r="AF2" s="3">
        <f>IF(ISERROR((VLOOKUP($A2,'SegEnds_NonXtal_BW#'!$A:$Z,22,FALSE)+VLOOKUP($A2,A:AL,31,FALSE)-50)),"-",(VLOOKUP($A2,'SegEnds_NonXtal_BW#'!$A:$Z,22,FALSE)+VLOOKUP($A2,A:AL,31,FALSE)-50))</f>
        <v>293</v>
      </c>
      <c r="AG2" s="3">
        <f>IF(ISERROR(VLOOKUP($A2,'SegEnds_NonXtal_BW#'!$A:$Z,23,FALSE)+VLOOKUP($A2,A:AL,34,FALSE)-50),"-",(VLOOKUP($A2,'SegEnds_NonXtal_BW#'!$A:$Z,23,FALSE)+VLOOKUP($A2,A:AL,34,FALSE)-50))</f>
        <v>298</v>
      </c>
      <c r="AH2" s="3">
        <v>320</v>
      </c>
      <c r="AI2" s="3">
        <f>IF(ISERROR((VLOOKUP($A2,'SegEnds_NonXtal_BW#'!$A:$Z,24,FALSE)+VLOOKUP($A2,A:AL,34,FALSE)-50)),"-",(VLOOKUP($A2,'SegEnds_NonXtal_BW#'!$A:$Z,24,FALSE)+VLOOKUP($A2,A:AL,34,FALSE)-50))</f>
        <v>326</v>
      </c>
      <c r="AJ2" s="3" t="str">
        <f>IF(ISERROR(VLOOKUP($A2,'SegEnds_NonXtal_BW#'!$A:$Z,25,FALSE)+VLOOKUP($A2,A:AL,37,FALSE)-50),"-",(VLOOKUP($A2,'SegEnds_NonXtal_BW#'!$A:$Z,25,FALSE)+VLOOKUP($A2,A:AL,37,FALSE)-50))</f>
        <v>-</v>
      </c>
      <c r="AK2" s="3" t="s">
        <v>23</v>
      </c>
      <c r="AL2" s="3" t="str">
        <f>IF(ISERROR((VLOOKUP($A2,'SegEnds_NonXtal_BW#'!$A:$Z,26,FALSE)+VLOOKUP($A2,A:AL,37,FALSE)-50)),"-",(VLOOKUP($A2,'SegEnds_NonXtal_BW#'!$A:$Z,26,FALSE)+VLOOKUP($A2,A:AL,37,FALSE)-50))</f>
        <v>-</v>
      </c>
      <c r="AM2" s="28" t="str">
        <f>VLOOKUP(A2,Classification!A:B,2,FALSE)</f>
        <v>A</v>
      </c>
      <c r="AN2" s="28" t="b">
        <f>AND(IF(Y2="-",IF(AA2-W2&gt;3,TRUE,FALSE),TRUE),IF(M2="-",IF(O2-K2&gt;3,TRUE,FALSE),TRUE),IF(AG2-AF2&gt;1,TRUE,FALSE),C2&lt;E2,OR(E2&lt;F2,F2="-"),OR(F2&lt;H2,F2="-"),OR(H2&lt;I2,H2="-"),I2&lt;K2,OR(K2&lt;L2,L2="-"),OR(L2&lt;N2,L2="-"),OR(N2&lt;O2,N2="-"),O2&lt;Q2,OR(Q2&lt;R2,R2="-"),OR(R2&lt;T2,R2="-"),OR(T2&lt;U2,T2="-"),U2&lt;W2,OR(W2&lt;X2,X2="-"),OR(X2&lt;Z2,X2="-"),OR(Z2&lt;AA2,Z2="-"),AA2&lt;AC2,AC2&lt;AD2,AD2&lt;AF2,AF2&lt;AG2,AG2&lt;AI2,OR(AI2&lt;AJ2,AJ2="-"),OR(AJ2&lt;AL2,AJ2="-"))</f>
        <v>1</v>
      </c>
      <c r="AO2" s="3" t="str">
        <f>IF(ISERROR(MATCH(A2,'SegEnds_Xtal_Prot#'!B:B, 0)), "NoXtal", "Xtal")</f>
        <v>NoXtal</v>
      </c>
      <c r="AP2" s="3">
        <f t="shared" ref="AP2:AP67" si="2">IF(ISERROR(F2-E2),"-",F2-E2)</f>
        <v>8</v>
      </c>
      <c r="AQ2" s="3">
        <f t="shared" ref="AQ2:AQ67" si="3">IF(ISERROR(I2-H2),"-",I2-H2)</f>
        <v>1</v>
      </c>
      <c r="AR2" s="3">
        <f t="shared" ref="AR2:AR67" si="4">IF(ISERROR(L2-K2),"-",L2-K2)</f>
        <v>3</v>
      </c>
      <c r="AS2" s="3">
        <f t="shared" ref="AS2:AS67" si="5">IF(ISERROR(O2-N2),"-",O2-N2)</f>
        <v>1</v>
      </c>
      <c r="AT2" s="3">
        <f t="shared" ref="AT2:AT67" si="6">IF(ISERROR(R2-Q2),"-",R2-Q2)</f>
        <v>1</v>
      </c>
      <c r="AU2" s="3">
        <f t="shared" ref="AU2:AU67" si="7">IF(ISERROR(U2-T2),"-",U2-T2)</f>
        <v>3</v>
      </c>
      <c r="AV2" s="3">
        <f t="shared" ref="AV2:AV67" si="8">IF(ISERROR(X2-W2),"-",X2-W2)</f>
        <v>22</v>
      </c>
      <c r="AW2" s="3">
        <f t="shared" ref="AW2:AW67" si="9">IF(ISERROR(AA2-Z2),"-",AA2-Z2)</f>
        <v>1</v>
      </c>
      <c r="AX2" s="3">
        <f t="shared" ref="AX2:AX67" si="10">IF(ISERROR(AD2-AC2),"-",AD2-AC2)</f>
        <v>6</v>
      </c>
      <c r="AY2" s="3">
        <f t="shared" ref="AY2:AY67" si="11">IF(ISERROR(AG2-AF2),"-",AG2-AF2)</f>
        <v>5</v>
      </c>
      <c r="AZ2" s="3" t="str">
        <f t="shared" ref="AZ2:AZ67" si="12">IF(ISERROR(AJ2-AI2),"-",AJ2-AI2)</f>
        <v>-</v>
      </c>
      <c r="BA2" s="3" t="str">
        <f>IF(ISERROR(LEN(VLOOKUP(A2,Seqs!A:E,2,FALSE))-AL2),"-",LEN(VLOOKUP(A2,Seqs!A:E,2,FALSE))-AL2)</f>
        <v>-</v>
      </c>
      <c r="BB2" s="16">
        <f t="shared" ref="BB2:BB67" si="13">J2-D2</f>
        <v>34</v>
      </c>
      <c r="BC2" s="9">
        <f t="shared" ref="BC2:BC67" si="14">IF(ISERROR(V2-S2),"-",V2-S2)</f>
        <v>18</v>
      </c>
      <c r="BD2" s="3">
        <f t="shared" ref="BD2:BD67" si="15">J2-D2</f>
        <v>34</v>
      </c>
      <c r="BE2" s="3">
        <f t="shared" ref="BE2:BE67" si="16">AE2-AB2</f>
        <v>59</v>
      </c>
    </row>
    <row r="3" spans="1:59" s="3" customFormat="1" x14ac:dyDescent="0.2">
      <c r="A3" s="3" t="s">
        <v>242</v>
      </c>
      <c r="B3" s="3" t="str">
        <f>LOWER(VLOOKUP(A3,Xtal_Templ!A:B,2,FALSE))</f>
        <v>ox2r_human</v>
      </c>
      <c r="C3" s="3">
        <f>VLOOKUP($A3,'SegEnds_NonXtal_BW#'!$A:$Z,3,FALSE)+D3-50</f>
        <v>64</v>
      </c>
      <c r="D3" s="3">
        <v>83</v>
      </c>
      <c r="E3" s="3">
        <f>IF(ISERROR(VLOOKUP($A3,'SegEnds_NonXtal_BW#'!$A:$Z,4,FALSE)+VLOOKUP($A3,A:AL,4,FALSE)-50),"-",(VLOOKUP($A3,'SegEnds_NonXtal_BW#'!$A:$Z,4,FALSE)+VLOOKUP($A3,A:AL,4,FALSE)-50))</f>
        <v>93</v>
      </c>
      <c r="F3" s="3">
        <f>G3-2</f>
        <v>94</v>
      </c>
      <c r="G3" s="3">
        <v>96</v>
      </c>
      <c r="H3" s="3">
        <f t="shared" si="0"/>
        <v>97</v>
      </c>
      <c r="I3" s="3">
        <f t="shared" si="0"/>
        <v>98</v>
      </c>
      <c r="J3" s="3">
        <v>111</v>
      </c>
      <c r="K3" s="3">
        <f>VLOOKUP($A3,'SegEnds_NonXtal_BW#'!$A:$Z,8,FALSE)+VLOOKUP($A3,A:AL,10,FALSE)-50</f>
        <v>129</v>
      </c>
      <c r="L3" s="3">
        <f>M3-1</f>
        <v>130</v>
      </c>
      <c r="M3" s="3">
        <v>131</v>
      </c>
      <c r="N3" s="3">
        <f>M3+2</f>
        <v>133</v>
      </c>
      <c r="O3" s="3">
        <f>N3+1</f>
        <v>134</v>
      </c>
      <c r="P3" s="3">
        <v>163</v>
      </c>
      <c r="Q3" s="3">
        <f>VLOOKUP($A3,'SegEnds_NonXtal_BW#'!$A:$Z,12,FALSE)+VLOOKUP($A3,A:AL,16,FALSE)-50</f>
        <v>169</v>
      </c>
      <c r="R3" s="3">
        <f>IF(ISERROR(VLOOKUP($A3,'SegEnds_NonXtal_BW#'!$A:$Z,13,FALSE)+VLOOKUP($A3,A:AL,19,FALSE)-50),"-",VLOOKUP($A3,'SegEnds_NonXtal_BW#'!$A:$Z,13,FALSE)+VLOOKUP($A3,A:AL,19,FALSE)-50)</f>
        <v>170</v>
      </c>
      <c r="S3" s="3">
        <v>170</v>
      </c>
      <c r="T3" s="100">
        <f>IF(ISERROR(VLOOKUP($A3,'SegEnds_NonXtal_BW#'!$A:$Z,14,FALSE)+VLOOKUP($A3,A:AL,19,FALSE)-50),"-",(VLOOKUP($A3,'SegEnds_NonXtal_BW#'!$A:$Z,14,FALSE)+VLOOKUP($A3,A:AL,19,FALSE)-50))</f>
        <v>173</v>
      </c>
      <c r="U3" s="9">
        <f>IF(ISERROR(VLOOKUP($A3,'SegEnds_NonXtal_BW#'!$A:$Z,15,FALSE)+VLOOKUP($A3,A:AL,22,FALSE)-50),"-",VLOOKUP($A3,'SegEnds_NonXtal_BW#'!$A:$Z,15,FALSE)+VLOOKUP($A3,A:AL,22,FALSE)-50)</f>
        <v>176</v>
      </c>
      <c r="V3" s="3">
        <v>188</v>
      </c>
      <c r="W3" s="3">
        <f>IF(ISERROR(VLOOKUP($A3,'SegEnds_NonXtal_BW#'!$A:$Z,16,FALSE)+VLOOKUP($A3,A:AL,22,FALSE)-50),"-",(VLOOKUP($A3,'SegEnds_NonXtal_BW#'!$A:$Z,16,FALSE)+VLOOKUP($A3,A:AL,22,FALSE)-50))</f>
        <v>202</v>
      </c>
      <c r="X3" s="3">
        <f>IF(ISERROR(VLOOKUP($A3,'SegEnds_NonXtal_BW#'!$A:$Z,17,FALSE)+VLOOKUP($A3,A:AL,25,FALSE)-50),"-",(VLOOKUP($A3,'SegEnds_NonXtal_BW#'!$A:$Z,17,FALSE)+VLOOKUP($A3,A:AL,25,FALSE)-50))</f>
        <v>210</v>
      </c>
      <c r="Y3" s="3">
        <v>210</v>
      </c>
      <c r="Z3" s="3">
        <f t="shared" si="1"/>
        <v>212</v>
      </c>
      <c r="AA3" s="3">
        <f>IF(ISERROR(VLOOKUP($A3,'SegEnds_NonXtal_BW#'!$A:$Z,19,FALSE)+VLOOKUP($A3,A:AL,28,FALSE)-50),"-",(VLOOKUP($A3,'SegEnds_NonXtal_BW#'!$A:$Z,19,FALSE)+VLOOKUP($A3,A:AL,28,FALSE)-50))</f>
        <v>218</v>
      </c>
      <c r="AB3" s="3">
        <v>235</v>
      </c>
      <c r="AC3" s="3">
        <f>IF(ISERROR((VLOOKUP($A3,'SegEnds_NonXtal_BW#'!$A:$Z,20,FALSE)+VLOOKUP($A3,A:AL,28,FALSE)-50)),"-",(VLOOKUP($A3,'SegEnds_NonXtal_BW#'!$A:$Z,20,FALSE)+VLOOKUP($A3,A:AL,28,FALSE)-50))</f>
        <v>258</v>
      </c>
      <c r="AD3" s="3">
        <f>IF(ISERROR(VLOOKUP($A3,'SegEnds_NonXtal_BW#'!$A:$Z,21,FALSE)+VLOOKUP($A3,A:AL,31,FALSE)-50),"-",(VLOOKUP($A3,'SegEnds_NonXtal_BW#'!$A:$Z,21,FALSE)+VLOOKUP($A3,A:AL,31,FALSE)-50))</f>
        <v>263</v>
      </c>
      <c r="AE3" s="3">
        <v>291</v>
      </c>
      <c r="AF3" s="3">
        <f>IF(ISERROR((VLOOKUP($A3,'SegEnds_NonXtal_BW#'!$A:$Z,22,FALSE)+VLOOKUP($A3,A:AL,31,FALSE)-50)),"-",(VLOOKUP($A3,'SegEnds_NonXtal_BW#'!$A:$Z,22,FALSE)+VLOOKUP($A3,A:AL,31,FALSE)-50))</f>
        <v>302</v>
      </c>
      <c r="AG3" s="3">
        <f>IF(ISERROR(VLOOKUP($A3,'SegEnds_NonXtal_BW#'!$A:$Z,23,FALSE)+VLOOKUP($A3,A:AL,34,FALSE)-50),"-",(VLOOKUP($A3,'SegEnds_NonXtal_BW#'!$A:$Z,23,FALSE)+VLOOKUP($A3,A:AL,34,FALSE)-50))</f>
        <v>308</v>
      </c>
      <c r="AH3" s="3">
        <v>327</v>
      </c>
      <c r="AI3" s="3">
        <f>IF(ISERROR((VLOOKUP($A3,'SegEnds_NonXtal_BW#'!$A:$Z,24,FALSE)+VLOOKUP($A3,A:AL,34,FALSE)-50)),"-",(VLOOKUP($A3,'SegEnds_NonXtal_BW#'!$A:$Z,24,FALSE)+VLOOKUP($A3,A:AL,34,FALSE)-50))</f>
        <v>333</v>
      </c>
      <c r="AJ3" s="3">
        <f>IF(ISERROR(VLOOKUP($A3,'SegEnds_NonXtal_BW#'!$A:$Z,25,FALSE)+VLOOKUP($A3,A:AL,37,FALSE)-50),"-",(VLOOKUP($A3,'SegEnds_NonXtal_BW#'!$A:$Z,25,FALSE)+VLOOKUP($A3,A:AL,37,FALSE)-50))</f>
        <v>334</v>
      </c>
      <c r="AK3" s="3">
        <v>337</v>
      </c>
      <c r="AL3" s="3">
        <f>IF(ISERROR((VLOOKUP($A3,'SegEnds_NonXtal_BW#'!$A:$Z,26,FALSE)+VLOOKUP($A3,A:AL,37,FALSE)-50)),"-",(VLOOKUP($A3,'SegEnds_NonXtal_BW#'!$A:$Z,26,FALSE)+VLOOKUP($A3,A:AL,37,FALSE)-50))</f>
        <v>345</v>
      </c>
      <c r="AM3" s="28" t="str">
        <f>VLOOKUP(A3,Classification!A:B,2,FALSE)</f>
        <v>A</v>
      </c>
      <c r="AN3" s="28" t="b">
        <f t="shared" ref="AN3:AN68" si="17">AND(IF(Y3="-",IF(AA3-W3&gt;3,TRUE,FALSE),TRUE),IF(M3="-",IF(O3-K3&gt;3,TRUE,FALSE),TRUE),IF(AG3-AF3&gt;1,TRUE,FALSE),C3&lt;E3,OR(E3&lt;F3,F3="-"),OR(F3&lt;H3,F3="-"),OR(H3&lt;I3,H3="-"),I3&lt;K3,OR(K3&lt;L3,L3="-"),OR(L3&lt;N3,L3="-"),OR(N3&lt;O3,N3="-"),O3&lt;Q3,OR(Q3&lt;R3,R3="-"),OR(R3&lt;T3,R3="-"),OR(T3&lt;U3,T3="-"),U3&lt;W3,OR(W3&lt;X3,X3="-"),OR(X3&lt;Z3,X3="-"),OR(Z3&lt;AA3,Z3="-"),AA3&lt;AC3,AC3&lt;AD3,AD3&lt;AF3,AF3&lt;AG3,AG3&lt;AI3,OR(AI3&lt;AJ3,AJ3="-"),OR(AJ3&lt;AL3,AJ3="-"))</f>
        <v>1</v>
      </c>
      <c r="AO3" s="3" t="str">
        <f>IF(ISERROR(MATCH(A3,'SegEnds_Xtal_Prot#'!B:B, 0)), "NoXtal", "Xtal")</f>
        <v>NoXtal</v>
      </c>
      <c r="AP3" s="3">
        <f t="shared" si="2"/>
        <v>1</v>
      </c>
      <c r="AQ3" s="3">
        <f t="shared" si="3"/>
        <v>1</v>
      </c>
      <c r="AR3" s="3">
        <f t="shared" si="4"/>
        <v>1</v>
      </c>
      <c r="AS3" s="3">
        <f t="shared" si="5"/>
        <v>1</v>
      </c>
      <c r="AT3" s="3">
        <f t="shared" si="6"/>
        <v>1</v>
      </c>
      <c r="AU3" s="3">
        <f t="shared" si="7"/>
        <v>3</v>
      </c>
      <c r="AV3" s="3">
        <f t="shared" si="8"/>
        <v>8</v>
      </c>
      <c r="AW3" s="3">
        <f t="shared" si="9"/>
        <v>6</v>
      </c>
      <c r="AX3" s="3">
        <f t="shared" si="10"/>
        <v>5</v>
      </c>
      <c r="AY3" s="3">
        <f t="shared" si="11"/>
        <v>6</v>
      </c>
      <c r="AZ3" s="3">
        <f t="shared" si="12"/>
        <v>1</v>
      </c>
      <c r="BA3" s="3">
        <f>IF(ISERROR(LEN(VLOOKUP(A3,Seqs!A:E,2,FALSE))-AL3),"-",LEN(VLOOKUP(A3,Seqs!A:E,2,FALSE))-AL3)</f>
        <v>70</v>
      </c>
      <c r="BB3" s="16">
        <f t="shared" si="13"/>
        <v>28</v>
      </c>
      <c r="BC3" s="9">
        <f t="shared" si="14"/>
        <v>18</v>
      </c>
      <c r="BD3" s="3">
        <f t="shared" si="15"/>
        <v>28</v>
      </c>
      <c r="BE3" s="3">
        <f t="shared" si="16"/>
        <v>56</v>
      </c>
    </row>
    <row r="4" spans="1:59" s="3" customFormat="1" x14ac:dyDescent="0.2">
      <c r="A4" s="3" t="s">
        <v>245</v>
      </c>
      <c r="B4" s="3" t="str">
        <f>LOWER(VLOOKUP(A4,Xtal_Templ!A:B,2,FALSE))</f>
        <v>hrh1_human</v>
      </c>
      <c r="C4" s="3">
        <f>VLOOKUP($A4,'SegEnds_NonXtal_BW#'!$A:$Z,3,FALSE)+D4-50</f>
        <v>43</v>
      </c>
      <c r="D4" s="3">
        <v>59</v>
      </c>
      <c r="E4" s="3">
        <f>IF(ISERROR(VLOOKUP($A4,'SegEnds_NonXtal_BW#'!$A:$Z,4,FALSE)+VLOOKUP($A4,A:AL,4,FALSE)-50),"-",(VLOOKUP($A4,'SegEnds_NonXtal_BW#'!$A:$Z,4,FALSE)+VLOOKUP($A4,A:AL,4,FALSE)-50))</f>
        <v>69</v>
      </c>
      <c r="F4" s="3">
        <f>G4-2</f>
        <v>70</v>
      </c>
      <c r="G4" s="3">
        <v>72</v>
      </c>
      <c r="H4" s="3">
        <f t="shared" si="0"/>
        <v>73</v>
      </c>
      <c r="I4" s="3">
        <f t="shared" si="0"/>
        <v>74</v>
      </c>
      <c r="J4" s="3">
        <v>88</v>
      </c>
      <c r="K4" s="3">
        <f>VLOOKUP($A4,'SegEnds_NonXtal_BW#'!$A:$Z,8,FALSE)+VLOOKUP($A4,A:AL,10,FALSE)-50</f>
        <v>105</v>
      </c>
      <c r="L4" s="3" t="str">
        <f>IF(ISERROR(VLOOKUP($A4,'SegEnds_NonXtal_BW#'!$A:$Z,9,FALSE)+VLOOKUP($A4,A:AL,13,FALSE)-50),"-",(VLOOKUP($A4,'SegEnds_NonXtal_BW#'!$A:$Z,9,FALSE)+VLOOKUP($A4,A:AL,13,FALSE)-50))</f>
        <v>-</v>
      </c>
      <c r="M4" s="3" t="s">
        <v>23</v>
      </c>
      <c r="N4" s="3" t="str">
        <f>IF(ISERROR(VLOOKUP($A4,'SegEnds_NonXtal_BW#'!$A:$Z,10,FALSE)+VLOOKUP($A4,A:AL,13,FALSE)-50),"-",(VLOOKUP($A4,'SegEnds_NonXtal_BW#'!$A:$Z,10,FALSE)+VLOOKUP($A4,A:AL,13,FALSE)-50))</f>
        <v>-</v>
      </c>
      <c r="O4" s="3">
        <f>VLOOKUP($A4,'SegEnds_NonXtal_BW#'!$A:$Z,11,FALSE)+VLOOKUP($A4,A:AL,16,FALSE)-50</f>
        <v>111</v>
      </c>
      <c r="P4" s="3">
        <v>140</v>
      </c>
      <c r="Q4" s="3">
        <f>VLOOKUP($A4,'SegEnds_NonXtal_BW#'!$A:$Z,12,FALSE)+VLOOKUP($A4,A:AL,16,FALSE)-50</f>
        <v>146</v>
      </c>
      <c r="R4" s="3">
        <f>IF(ISERROR(VLOOKUP($A4,'SegEnds_NonXtal_BW#'!$A:$Z,13,FALSE)+VLOOKUP($A4,A:AL,19,FALSE)-50),"-",VLOOKUP($A4,'SegEnds_NonXtal_BW#'!$A:$Z,13,FALSE)+VLOOKUP($A4,A:AL,19,FALSE)-50)</f>
        <v>147</v>
      </c>
      <c r="S4" s="3">
        <v>147</v>
      </c>
      <c r="T4" s="100">
        <f>IF(ISERROR(VLOOKUP($A4,'SegEnds_NonXtal_BW#'!$A:$Z,14,FALSE)+VLOOKUP($A4,A:AL,19,FALSE)-50),"-",(VLOOKUP($A4,'SegEnds_NonXtal_BW#'!$A:$Z,14,FALSE)+VLOOKUP($A4,A:AL,19,FALSE)-50))</f>
        <v>150</v>
      </c>
      <c r="U4" s="9">
        <f>IF(ISERROR(VLOOKUP($A4,'SegEnds_NonXtal_BW#'!$A:$Z,15,FALSE)+VLOOKUP($A4,A:AL,22,FALSE)-50),"-",VLOOKUP($A4,'SegEnds_NonXtal_BW#'!$A:$Z,15,FALSE)+VLOOKUP($A4,A:AL,22,FALSE)-50)</f>
        <v>153</v>
      </c>
      <c r="V4" s="3">
        <v>165</v>
      </c>
      <c r="W4" s="3">
        <f>IF(ISERROR(VLOOKUP($A4,'SegEnds_NonXtal_BW#'!$A:$Z,16,FALSE)+VLOOKUP($A4,A:AL,22,FALSE)-50),"-",(VLOOKUP($A4,'SegEnds_NonXtal_BW#'!$A:$Z,16,FALSE)+VLOOKUP($A4,A:AL,22,FALSE)-50))</f>
        <v>178</v>
      </c>
      <c r="X4" s="3">
        <f>IF(ISERROR(VLOOKUP($A4,'SegEnds_NonXtal_BW#'!$A:$Z,17,FALSE)+VLOOKUP($A4,A:AL,25,FALSE)-50),"-",(VLOOKUP($A4,'SegEnds_NonXtal_BW#'!$A:$Z,17,FALSE)+VLOOKUP($A4,A:AL,25,FALSE)-50))</f>
        <v>197</v>
      </c>
      <c r="Y4" s="3">
        <v>197</v>
      </c>
      <c r="Z4" s="3">
        <f t="shared" si="1"/>
        <v>199</v>
      </c>
      <c r="AA4" s="3">
        <f>IF(ISERROR(VLOOKUP($A4,'SegEnds_NonXtal_BW#'!$A:$Z,19,FALSE)+VLOOKUP($A4,A:AL,28,FALSE)-50),"-",(VLOOKUP($A4,'SegEnds_NonXtal_BW#'!$A:$Z,19,FALSE)+VLOOKUP($A4,A:AL,28,FALSE)-50))</f>
        <v>208</v>
      </c>
      <c r="AB4" s="3">
        <v>223</v>
      </c>
      <c r="AC4" s="3">
        <f>IF(ISERROR((VLOOKUP($A4,'SegEnds_NonXtal_BW#'!$A:$Z,20,FALSE)+VLOOKUP($A4,A:AL,28,FALSE)-50)),"-",(VLOOKUP($A4,'SegEnds_NonXtal_BW#'!$A:$Z,20,FALSE)+VLOOKUP($A4,A:AL,28,FALSE)-50))</f>
        <v>247</v>
      </c>
      <c r="AD4" s="3">
        <f>IF(ISERROR(VLOOKUP($A4,'SegEnds_NonXtal_BW#'!$A:$Z,21,FALSE)+VLOOKUP($A4,A:AL,31,FALSE)-50),"-",(VLOOKUP($A4,'SegEnds_NonXtal_BW#'!$A:$Z,21,FALSE)+VLOOKUP($A4,A:AL,31,FALSE)-50))</f>
        <v>302</v>
      </c>
      <c r="AE4" s="3">
        <v>328</v>
      </c>
      <c r="AF4" s="3">
        <f>IF(ISERROR((VLOOKUP($A4,'SegEnds_NonXtal_BW#'!$A:$Z,22,FALSE)+VLOOKUP($A4,A:AL,31,FALSE)-50)),"-",(VLOOKUP($A4,'SegEnds_NonXtal_BW#'!$A:$Z,22,FALSE)+VLOOKUP($A4,A:AL,31,FALSE)-50))</f>
        <v>339</v>
      </c>
      <c r="AG4" s="3">
        <f>IF(ISERROR(VLOOKUP($A4,'SegEnds_NonXtal_BW#'!$A:$Z,23,FALSE)+VLOOKUP($A4,A:AL,34,FALSE)-50),"-",(VLOOKUP($A4,'SegEnds_NonXtal_BW#'!$A:$Z,23,FALSE)+VLOOKUP($A4,A:AL,34,FALSE)-50))</f>
        <v>345</v>
      </c>
      <c r="AH4" s="3">
        <v>364</v>
      </c>
      <c r="AI4" s="3">
        <f>IF(ISERROR((VLOOKUP($A4,'SegEnds_NonXtal_BW#'!$A:$Z,24,FALSE)+VLOOKUP($A4,A:AL,34,FALSE)-50)),"-",(VLOOKUP($A4,'SegEnds_NonXtal_BW#'!$A:$Z,24,FALSE)+VLOOKUP($A4,A:AL,34,FALSE)-50))</f>
        <v>370</v>
      </c>
      <c r="AJ4" s="3">
        <f>IF(ISERROR(VLOOKUP($A4,'SegEnds_NonXtal_BW#'!$A:$Z,25,FALSE)+VLOOKUP($A4,A:AL,37,FALSE)-50),"-",(VLOOKUP($A4,'SegEnds_NonXtal_BW#'!$A:$Z,25,FALSE)+VLOOKUP($A4,A:AL,37,FALSE)-50))</f>
        <v>371</v>
      </c>
      <c r="AK4" s="3">
        <v>374</v>
      </c>
      <c r="AL4" s="3">
        <f>IF(ISERROR((VLOOKUP($A4,'SegEnds_NonXtal_BW#'!$A:$Z,26,FALSE)+VLOOKUP($A4,A:AL,37,FALSE)-50)),"-",(VLOOKUP($A4,'SegEnds_NonXtal_BW#'!$A:$Z,26,FALSE)+VLOOKUP($A4,A:AL,37,FALSE)-50))</f>
        <v>383</v>
      </c>
      <c r="AM4" s="28" t="str">
        <f>VLOOKUP(A4,Classification!A:B,2,FALSE)</f>
        <v>A</v>
      </c>
      <c r="AN4" s="28" t="b">
        <f t="shared" si="17"/>
        <v>1</v>
      </c>
      <c r="AO4" s="3" t="str">
        <f>IF(ISERROR(MATCH(A4,'SegEnds_Xtal_Prot#'!B:B, 0)), "NoXtal", "Xtal")</f>
        <v>NoXtal</v>
      </c>
      <c r="AP4" s="3">
        <f t="shared" si="2"/>
        <v>1</v>
      </c>
      <c r="AQ4" s="3">
        <f t="shared" si="3"/>
        <v>1</v>
      </c>
      <c r="AR4" s="3" t="str">
        <f t="shared" si="4"/>
        <v>-</v>
      </c>
      <c r="AS4" s="3" t="str">
        <f t="shared" si="5"/>
        <v>-</v>
      </c>
      <c r="AT4" s="3">
        <f t="shared" si="6"/>
        <v>1</v>
      </c>
      <c r="AU4" s="3">
        <f t="shared" si="7"/>
        <v>3</v>
      </c>
      <c r="AV4" s="3">
        <f t="shared" si="8"/>
        <v>19</v>
      </c>
      <c r="AW4" s="3">
        <f t="shared" si="9"/>
        <v>9</v>
      </c>
      <c r="AX4" s="3">
        <f t="shared" si="10"/>
        <v>55</v>
      </c>
      <c r="AY4" s="3">
        <f t="shared" si="11"/>
        <v>6</v>
      </c>
      <c r="AZ4" s="3">
        <f t="shared" si="12"/>
        <v>1</v>
      </c>
      <c r="BA4" s="3">
        <f>IF(ISERROR(LEN(VLOOKUP(A4,Seqs!A:E,2,FALSE))-AL4),"-",LEN(VLOOKUP(A4,Seqs!A:E,2,FALSE))-AL4)</f>
        <v>50</v>
      </c>
      <c r="BB4" s="16">
        <f t="shared" si="13"/>
        <v>29</v>
      </c>
      <c r="BC4" s="9">
        <f t="shared" si="14"/>
        <v>18</v>
      </c>
      <c r="BD4" s="3">
        <f t="shared" si="15"/>
        <v>29</v>
      </c>
      <c r="BE4" s="3">
        <f t="shared" si="16"/>
        <v>105</v>
      </c>
    </row>
    <row r="5" spans="1:59" s="3" customFormat="1" x14ac:dyDescent="0.2">
      <c r="A5" s="3" t="s">
        <v>324</v>
      </c>
      <c r="B5" s="3" t="str">
        <f>LOWER(VLOOKUP(A5,Xtal_Templ!A:B,2,FALSE))</f>
        <v>5ht2c_human</v>
      </c>
      <c r="C5" s="3">
        <f>VLOOKUP($A5,'SegEnds_NonXtal_BW#'!$A:$Z,3,FALSE)+D5-50</f>
        <v>50</v>
      </c>
      <c r="D5" s="3">
        <v>67</v>
      </c>
      <c r="E5" s="3">
        <f>IF(ISERROR(VLOOKUP($A5,'SegEnds_NonXtal_BW#'!$A:$Z,4,FALSE)+VLOOKUP($A5,A:AL,4,FALSE)-50),"-",(VLOOKUP($A5,'SegEnds_NonXtal_BW#'!$A:$Z,4,FALSE)+VLOOKUP($A5,A:AL,4,FALSE)-50))</f>
        <v>77</v>
      </c>
      <c r="F5" s="3" t="str">
        <f>IF(ISERROR(VLOOKUP($A5,'SegEnds_NonXtal_BW#'!$A:$Z,5,FALSE)+VLOOKUP($A5,A:AL,7,FALSE)-50),"-",(VLOOKUP($A5,'SegEnds_NonXtal_BW#'!$A:$Z,5,FALSE)+VLOOKUP($A5,A:AL,7,FALSE)-50))</f>
        <v>-</v>
      </c>
      <c r="G5" s="3" t="s">
        <v>23</v>
      </c>
      <c r="H5" s="3" t="str">
        <f>IF(ISERROR(VLOOKUP($A5,'SegEnds_NonXtal_BW#'!$A:$Z,6,FALSE)+VLOOKUP($A5,A:AL,7,FALSE)-50),"-",(VLOOKUP($A5,'SegEnds_NonXtal_BW#'!$A:$Z,6,FALSE)+VLOOKUP($A5,A:AL,7,FALSE)-50))</f>
        <v>-</v>
      </c>
      <c r="I5" s="3">
        <f>VLOOKUP($A5,'SegEnds_NonXtal_BW#'!$A:$Z,7,FALSE)+J5-50</f>
        <v>81</v>
      </c>
      <c r="J5" s="3">
        <v>94</v>
      </c>
      <c r="K5" s="3">
        <f>VLOOKUP($A5,'SegEnds_NonXtal_BW#'!$A:$Z,8,FALSE)+VLOOKUP($A5,A:AL,10,FALSE)-50</f>
        <v>112</v>
      </c>
      <c r="L5" s="3">
        <f t="shared" ref="L5:L11" si="18">M5-1</f>
        <v>113</v>
      </c>
      <c r="M5" s="3">
        <v>114</v>
      </c>
      <c r="N5" s="3">
        <f t="shared" ref="N5:N11" si="19">M5+2</f>
        <v>116</v>
      </c>
      <c r="O5" s="3">
        <f t="shared" ref="O5:O11" si="20">N5+1</f>
        <v>117</v>
      </c>
      <c r="P5" s="3">
        <v>146</v>
      </c>
      <c r="Q5" s="3">
        <f>VLOOKUP($A5,'SegEnds_NonXtal_BW#'!$A:$Z,12,FALSE)+VLOOKUP($A5,A:AL,16,FALSE)-50</f>
        <v>152</v>
      </c>
      <c r="R5" s="3">
        <f>IF(ISERROR(VLOOKUP($A5,'SegEnds_NonXtal_BW#'!$A:$Z,13,FALSE)+VLOOKUP($A5,A:AL,19,FALSE)-50),"-",VLOOKUP($A5,'SegEnds_NonXtal_BW#'!$A:$Z,13,FALSE)+VLOOKUP($A5,A:AL,19,FALSE)-50)</f>
        <v>153</v>
      </c>
      <c r="S5" s="3">
        <v>153</v>
      </c>
      <c r="T5" s="100">
        <f>IF(ISERROR(VLOOKUP($A5,'SegEnds_NonXtal_BW#'!$A:$Z,14,FALSE)+VLOOKUP($A5,A:AL,19,FALSE)-50),"-",(VLOOKUP($A5,'SegEnds_NonXtal_BW#'!$A:$Z,14,FALSE)+VLOOKUP($A5,A:AL,19,FALSE)-50))</f>
        <v>156</v>
      </c>
      <c r="U5" s="9">
        <f>IF(ISERROR(VLOOKUP($A5,'SegEnds_NonXtal_BW#'!$A:$Z,15,FALSE)+VLOOKUP($A5,A:AL,22,FALSE)-50),"-",VLOOKUP($A5,'SegEnds_NonXtal_BW#'!$A:$Z,15,FALSE)+VLOOKUP($A5,A:AL,22,FALSE)-50)</f>
        <v>159</v>
      </c>
      <c r="V5" s="3">
        <v>171</v>
      </c>
      <c r="W5" s="3">
        <f>IF(ISERROR(VLOOKUP($A5,'SegEnds_NonXtal_BW#'!$A:$Z,16,FALSE)+VLOOKUP($A5,A:AL,22,FALSE)-50),"-",(VLOOKUP($A5,'SegEnds_NonXtal_BW#'!$A:$Z,16,FALSE)+VLOOKUP($A5,A:AL,22,FALSE)-50))</f>
        <v>188</v>
      </c>
      <c r="X5" s="3">
        <f>IF(ISERROR(VLOOKUP($A5,'SegEnds_NonXtal_BW#'!$A:$Z,17,FALSE)+VLOOKUP($A5,A:AL,25,FALSE)-50),"-",(VLOOKUP($A5,'SegEnds_NonXtal_BW#'!$A:$Z,17,FALSE)+VLOOKUP($A5,A:AL,25,FALSE)-50))</f>
        <v>197</v>
      </c>
      <c r="Y5" s="3">
        <v>197</v>
      </c>
      <c r="Z5" s="3">
        <f t="shared" si="1"/>
        <v>199</v>
      </c>
      <c r="AA5" s="3">
        <f>IF(ISERROR(VLOOKUP($A5,'SegEnds_NonXtal_BW#'!$A:$Z,19,FALSE)+VLOOKUP($A5,A:AL,28,FALSE)-50),"-",(VLOOKUP($A5,'SegEnds_NonXtal_BW#'!$A:$Z,19,FALSE)+VLOOKUP($A5,A:AL,28,FALSE)-50))</f>
        <v>207</v>
      </c>
      <c r="AB5" s="3">
        <v>222</v>
      </c>
      <c r="AC5" s="3">
        <f>IF(ISERROR((VLOOKUP($A5,'SegEnds_NonXtal_BW#'!$A:$Z,20,FALSE)+VLOOKUP($A5,A:AL,28,FALSE)-50)),"-",(VLOOKUP($A5,'SegEnds_NonXtal_BW#'!$A:$Z,20,FALSE)+VLOOKUP($A5,A:AL,28,FALSE)-50))</f>
        <v>248</v>
      </c>
      <c r="AD5" s="3">
        <f>IF(ISERROR(VLOOKUP($A5,'SegEnds_NonXtal_BW#'!$A:$Z,21,FALSE)+VLOOKUP($A5,A:AL,31,FALSE)-50),"-",(VLOOKUP($A5,'SegEnds_NonXtal_BW#'!$A:$Z,21,FALSE)+VLOOKUP($A5,A:AL,31,FALSE)-50))</f>
        <v>263</v>
      </c>
      <c r="AE5" s="3">
        <v>289</v>
      </c>
      <c r="AF5" s="3">
        <f>IF(ISERROR((VLOOKUP($A5,'SegEnds_NonXtal_BW#'!$A:$Z,22,FALSE)+VLOOKUP($A5,A:AL,31,FALSE)-50)),"-",(VLOOKUP($A5,'SegEnds_NonXtal_BW#'!$A:$Z,22,FALSE)+VLOOKUP($A5,A:AL,31,FALSE)-50))</f>
        <v>300</v>
      </c>
      <c r="AG5" s="3">
        <f>IF(ISERROR(VLOOKUP($A5,'SegEnds_NonXtal_BW#'!$A:$Z,23,FALSE)+VLOOKUP($A5,A:AL,34,FALSE)-50),"-",(VLOOKUP($A5,'SegEnds_NonXtal_BW#'!$A:$Z,23,FALSE)+VLOOKUP($A5,A:AL,34,FALSE)-50))</f>
        <v>305</v>
      </c>
      <c r="AH5" s="3">
        <v>327</v>
      </c>
      <c r="AI5" s="3">
        <f>IF(ISERROR((VLOOKUP($A5,'SegEnds_NonXtal_BW#'!$A:$Z,24,FALSE)+VLOOKUP($A5,A:AL,34,FALSE)-50)),"-",(VLOOKUP($A5,'SegEnds_NonXtal_BW#'!$A:$Z,24,FALSE)+VLOOKUP($A5,A:AL,34,FALSE)-50))</f>
        <v>333</v>
      </c>
      <c r="AJ5" s="3">
        <f>IF(ISERROR(VLOOKUP($A5,'SegEnds_NonXtal_BW#'!$A:$Z,25,FALSE)+VLOOKUP($A5,A:AL,37,FALSE)-50),"-",(VLOOKUP($A5,'SegEnds_NonXtal_BW#'!$A:$Z,25,FALSE)+VLOOKUP($A5,A:AL,37,FALSE)-50))</f>
        <v>334</v>
      </c>
      <c r="AK5" s="3">
        <v>337</v>
      </c>
      <c r="AL5" s="3">
        <f>IF(ISERROR((VLOOKUP($A5,'SegEnds_NonXtal_BW#'!$A:$Z,26,FALSE)+VLOOKUP($A5,A:AL,37,FALSE)-50)),"-",(VLOOKUP($A5,'SegEnds_NonXtal_BW#'!$A:$Z,26,FALSE)+VLOOKUP($A5,A:AL,37,FALSE)-50))</f>
        <v>347</v>
      </c>
      <c r="AM5" s="28" t="str">
        <f>VLOOKUP(A5,Classification!A:B,2,FALSE)</f>
        <v>A</v>
      </c>
      <c r="AN5" s="28" t="b">
        <f t="shared" si="17"/>
        <v>1</v>
      </c>
      <c r="AO5" s="3" t="str">
        <f>IF(ISERROR(MATCH(A5,'SegEnds_Xtal_Prot#'!B:B, 0)), "NoXtal", "Xtal")</f>
        <v>NoXtal</v>
      </c>
      <c r="AP5" s="3" t="str">
        <f t="shared" si="2"/>
        <v>-</v>
      </c>
      <c r="AQ5" s="3" t="str">
        <f t="shared" si="3"/>
        <v>-</v>
      </c>
      <c r="AR5" s="3">
        <f t="shared" si="4"/>
        <v>1</v>
      </c>
      <c r="AS5" s="3">
        <f t="shared" si="5"/>
        <v>1</v>
      </c>
      <c r="AT5" s="3">
        <f t="shared" si="6"/>
        <v>1</v>
      </c>
      <c r="AU5" s="3">
        <f t="shared" si="7"/>
        <v>3</v>
      </c>
      <c r="AV5" s="3">
        <f t="shared" si="8"/>
        <v>9</v>
      </c>
      <c r="AW5" s="3">
        <f t="shared" si="9"/>
        <v>8</v>
      </c>
      <c r="AX5" s="3">
        <f t="shared" si="10"/>
        <v>15</v>
      </c>
      <c r="AY5" s="3">
        <f t="shared" si="11"/>
        <v>5</v>
      </c>
      <c r="AZ5" s="3">
        <f t="shared" si="12"/>
        <v>1</v>
      </c>
      <c r="BA5" s="3">
        <f>IF(ISERROR(LEN(VLOOKUP(A5,Seqs!A:E,2,FALSE))-AL5),"-",LEN(VLOOKUP(A5,Seqs!A:E,2,FALSE))-AL5)</f>
        <v>24</v>
      </c>
      <c r="BB5" s="16">
        <f t="shared" si="13"/>
        <v>27</v>
      </c>
      <c r="BC5" s="9">
        <f t="shared" si="14"/>
        <v>18</v>
      </c>
      <c r="BD5" s="3">
        <f t="shared" si="15"/>
        <v>27</v>
      </c>
      <c r="BE5" s="3">
        <f t="shared" si="16"/>
        <v>67</v>
      </c>
      <c r="BF5" s="3">
        <f>AH5-AE5</f>
        <v>38</v>
      </c>
    </row>
    <row r="6" spans="1:59" s="3" customFormat="1" x14ac:dyDescent="0.2">
      <c r="A6" s="3" t="s">
        <v>1175</v>
      </c>
      <c r="B6" s="3" t="str">
        <f>LOWER(VLOOKUP(A6,Xtal_Templ!A:B,2,FALSE))</f>
        <v>ox1r_human</v>
      </c>
      <c r="C6" s="3">
        <f>VLOOKUP($A6,'SegEnds_NonXtal_BW#'!$A:$Z,3,FALSE)+D6-50</f>
        <v>46</v>
      </c>
      <c r="D6" s="3">
        <v>64</v>
      </c>
      <c r="E6" s="3">
        <f>IF(ISERROR(VLOOKUP($A6,'SegEnds_NonXtal_BW#'!$A:$Z,4,FALSE)+VLOOKUP($A6,A:AL,4,FALSE)-50),"-",(VLOOKUP($A6,'SegEnds_NonXtal_BW#'!$A:$Z,4,FALSE)+VLOOKUP($A6,A:AL,4,FALSE)-50))</f>
        <v>74</v>
      </c>
      <c r="F6" s="3">
        <f>G6-2</f>
        <v>75</v>
      </c>
      <c r="G6" s="3">
        <v>77</v>
      </c>
      <c r="H6" s="3">
        <f t="shared" ref="H6:I8" si="21">G6+1</f>
        <v>78</v>
      </c>
      <c r="I6" s="3">
        <f t="shared" si="21"/>
        <v>79</v>
      </c>
      <c r="J6" s="3">
        <v>92</v>
      </c>
      <c r="K6" s="3">
        <f>VLOOKUP($A6,'SegEnds_NonXtal_BW#'!$A:$Z,8,FALSE)+VLOOKUP($A6,A:AL,10,FALSE)-50</f>
        <v>109</v>
      </c>
      <c r="L6" s="3">
        <f t="shared" si="18"/>
        <v>111</v>
      </c>
      <c r="M6" s="3">
        <v>112</v>
      </c>
      <c r="N6" s="3">
        <f t="shared" si="19"/>
        <v>114</v>
      </c>
      <c r="O6" s="3">
        <f t="shared" si="20"/>
        <v>115</v>
      </c>
      <c r="P6" s="3">
        <v>144</v>
      </c>
      <c r="Q6" s="3">
        <f>VLOOKUP($A6,'SegEnds_NonXtal_BW#'!$A:$Z,12,FALSE)+VLOOKUP($A6,A:AL,16,FALSE)-50</f>
        <v>150</v>
      </c>
      <c r="R6" s="3">
        <f>IF(ISERROR(VLOOKUP($A6,'SegEnds_NonXtal_BW#'!$A:$Z,13,FALSE)+VLOOKUP($A6,A:AL,19,FALSE)-50),"-",VLOOKUP($A6,'SegEnds_NonXtal_BW#'!$A:$Z,13,FALSE)+VLOOKUP($A6,A:AL,19,FALSE)-50)</f>
        <v>151</v>
      </c>
      <c r="S6" s="3">
        <v>151</v>
      </c>
      <c r="T6" s="100">
        <f>IF(ISERROR(VLOOKUP($A6,'SegEnds_NonXtal_BW#'!$A:$Z,14,FALSE)+VLOOKUP($A6,A:AL,19,FALSE)-50),"-",(VLOOKUP($A6,'SegEnds_NonXtal_BW#'!$A:$Z,14,FALSE)+VLOOKUP($A6,A:AL,19,FALSE)-50))</f>
        <v>154</v>
      </c>
      <c r="U6" s="9">
        <f>IF(ISERROR(VLOOKUP($A6,'SegEnds_NonXtal_BW#'!$A:$Z,15,FALSE)+VLOOKUP($A6,A:AL,22,FALSE)-50),"-",VLOOKUP($A6,'SegEnds_NonXtal_BW#'!$A:$Z,15,FALSE)+VLOOKUP($A6,A:AL,22,FALSE)-50)</f>
        <v>157</v>
      </c>
      <c r="V6" s="3">
        <v>169</v>
      </c>
      <c r="W6" s="3">
        <f>IF(ISERROR(VLOOKUP($A6,'SegEnds_NonXtal_BW#'!$A:$Z,16,FALSE)+VLOOKUP($A6,A:AL,22,FALSE)-50),"-",(VLOOKUP($A6,'SegEnds_NonXtal_BW#'!$A:$Z,16,FALSE)+VLOOKUP($A6,A:AL,22,FALSE)-50))</f>
        <v>183</v>
      </c>
      <c r="X6" s="3">
        <f>IF(ISERROR(VLOOKUP($A6,'SegEnds_NonXtal_BW#'!$A:$Z,17,FALSE)+VLOOKUP($A6,A:AL,25,FALSE)-50),"-",(VLOOKUP($A6,'SegEnds_NonXtal_BW#'!$A:$Z,17,FALSE)+VLOOKUP($A6,A:AL,25,FALSE)-50))</f>
        <v>202</v>
      </c>
      <c r="Y6" s="3">
        <v>202</v>
      </c>
      <c r="Z6" s="3">
        <f t="shared" si="1"/>
        <v>204</v>
      </c>
      <c r="AA6" s="3">
        <f>IF(ISERROR(VLOOKUP($A6,'SegEnds_NonXtal_BW#'!$A:$Z,19,FALSE)+VLOOKUP($A6,A:AL,28,FALSE)-50),"-",(VLOOKUP($A6,'SegEnds_NonXtal_BW#'!$A:$Z,19,FALSE)+VLOOKUP($A6,A:AL,28,FALSE)-50))</f>
        <v>209</v>
      </c>
      <c r="AB6" s="3">
        <v>227</v>
      </c>
      <c r="AC6" s="3">
        <v>248</v>
      </c>
      <c r="AD6" s="3">
        <f>IF(ISERROR(VLOOKUP($A6,'SegEnds_NonXtal_BW#'!$A:$Z,21,FALSE)+VLOOKUP($A6,A:AL,31,FALSE)-50),"-",(VLOOKUP($A6,'SegEnds_NonXtal_BW#'!$A:$Z,21,FALSE)+VLOOKUP($A6,A:AL,31,FALSE)-50))</f>
        <v>283</v>
      </c>
      <c r="AE6" s="3">
        <v>313</v>
      </c>
      <c r="AF6" s="3">
        <f>IF(ISERROR((VLOOKUP($A6,'SegEnds_NonXtal_BW#'!$A:$Z,22,FALSE)+VLOOKUP($A6,A:AL,31,FALSE)-50)),"-",(VLOOKUP($A6,'SegEnds_NonXtal_BW#'!$A:$Z,22,FALSE)+VLOOKUP($A6,A:AL,31,FALSE)-50))</f>
        <v>324</v>
      </c>
      <c r="AG6" s="3">
        <f>IF(ISERROR(VLOOKUP($A6,'SegEnds_NonXtal_BW#'!$A:$Z,23,FALSE)+VLOOKUP($A6,A:AL,34,FALSE)-50),"-",(VLOOKUP($A6,'SegEnds_NonXtal_BW#'!$A:$Z,23,FALSE)+VLOOKUP($A6,A:AL,34,FALSE)-50))</f>
        <v>333</v>
      </c>
      <c r="AH6" s="3">
        <v>355</v>
      </c>
      <c r="AI6" s="3">
        <f>IF(ISERROR((VLOOKUP($A6,'SegEnds_NonXtal_BW#'!$A:$Z,24,FALSE)+VLOOKUP($A6,A:AL,34,FALSE)-50)),"-",(VLOOKUP($A6,'SegEnds_NonXtal_BW#'!$A:$Z,24,FALSE)+VLOOKUP($A6,A:AL,34,FALSE)-50))</f>
        <v>361</v>
      </c>
      <c r="AJ6" s="3">
        <f>IF(ISERROR(VLOOKUP($A6,'SegEnds_NonXtal_BW#'!$A:$Z,25,FALSE)+VLOOKUP($A6,A:AL,37,FALSE)-50),"-",(VLOOKUP($A6,'SegEnds_NonXtal_BW#'!$A:$Z,25,FALSE)+VLOOKUP($A6,A:AL,37,FALSE)-50))</f>
        <v>362</v>
      </c>
      <c r="AK6" s="3">
        <v>365</v>
      </c>
      <c r="AL6" s="3">
        <f>IF(ISERROR((VLOOKUP($A6,'SegEnds_NonXtal_BW#'!$A:$Z,26,FALSE)+VLOOKUP($A6,A:AL,37,FALSE)-50)),"-",(VLOOKUP($A6,'SegEnds_NonXtal_BW#'!$A:$Z,26,FALSE)+VLOOKUP($A6,A:AL,37,FALSE)-50))</f>
        <v>373</v>
      </c>
      <c r="AM6" s="28" t="str">
        <f>VLOOKUP(A6,Classification!A:B,2,FALSE)</f>
        <v>A</v>
      </c>
      <c r="AN6" s="28" t="b">
        <f t="shared" si="17"/>
        <v>1</v>
      </c>
      <c r="AO6" s="3" t="str">
        <f>IF(ISERROR(MATCH(A6,'SegEnds_Xtal_Prot#'!B:B, 0)), "NoXtal", "Xtal")</f>
        <v>Xtal</v>
      </c>
      <c r="AP6" s="3">
        <f t="shared" si="2"/>
        <v>1</v>
      </c>
      <c r="AQ6" s="3">
        <f t="shared" si="3"/>
        <v>1</v>
      </c>
      <c r="AR6" s="3">
        <f t="shared" si="4"/>
        <v>2</v>
      </c>
      <c r="AS6" s="3">
        <f t="shared" si="5"/>
        <v>1</v>
      </c>
      <c r="AT6" s="3">
        <f t="shared" si="6"/>
        <v>1</v>
      </c>
      <c r="AU6" s="3">
        <f t="shared" si="7"/>
        <v>3</v>
      </c>
      <c r="AV6" s="3">
        <f t="shared" si="8"/>
        <v>19</v>
      </c>
      <c r="AW6" s="3">
        <f t="shared" si="9"/>
        <v>5</v>
      </c>
      <c r="AX6" s="3">
        <f t="shared" si="10"/>
        <v>35</v>
      </c>
      <c r="AY6" s="3">
        <f t="shared" si="11"/>
        <v>9</v>
      </c>
      <c r="AZ6" s="3">
        <f t="shared" si="12"/>
        <v>1</v>
      </c>
      <c r="BA6" s="3">
        <f>IF(ISERROR(LEN(VLOOKUP(A6,Seqs!A:E,2,FALSE))-AL6),"-",LEN(VLOOKUP(A6,Seqs!A:E,2,FALSE))-AL6)</f>
        <v>52</v>
      </c>
      <c r="BB6" s="16">
        <f t="shared" si="13"/>
        <v>28</v>
      </c>
      <c r="BC6" s="9">
        <f t="shared" si="14"/>
        <v>18</v>
      </c>
      <c r="BD6" s="3">
        <f t="shared" si="15"/>
        <v>28</v>
      </c>
      <c r="BE6" s="3">
        <f t="shared" si="16"/>
        <v>86</v>
      </c>
    </row>
    <row r="7" spans="1:59" s="3" customFormat="1" x14ac:dyDescent="0.2">
      <c r="A7" s="3" t="s">
        <v>1176</v>
      </c>
      <c r="B7" s="3" t="str">
        <f>LOWER(VLOOKUP(A7,Xtal_Templ!A:B,2,FALSE))</f>
        <v>ox2r_human</v>
      </c>
      <c r="C7" s="3">
        <f>VLOOKUP($A7,'SegEnds_NonXtal_BW#'!$A:$Z,3,FALSE)+D7-50</f>
        <v>53</v>
      </c>
      <c r="D7" s="3">
        <v>72</v>
      </c>
      <c r="E7" s="3">
        <f>IF(ISERROR(VLOOKUP($A7,'SegEnds_NonXtal_BW#'!$A:$Z,4,FALSE)+VLOOKUP($A7,A:AL,4,FALSE)-50),"-",(VLOOKUP($A7,'SegEnds_NonXtal_BW#'!$A:$Z,4,FALSE)+VLOOKUP($A7,A:AL,4,FALSE)-50))</f>
        <v>82</v>
      </c>
      <c r="F7" s="3">
        <f>G7-2</f>
        <v>83</v>
      </c>
      <c r="G7" s="3">
        <v>85</v>
      </c>
      <c r="H7" s="3">
        <f t="shared" si="21"/>
        <v>86</v>
      </c>
      <c r="I7" s="3">
        <f t="shared" si="21"/>
        <v>87</v>
      </c>
      <c r="J7" s="3">
        <v>100</v>
      </c>
      <c r="K7" s="3">
        <f>VLOOKUP($A7,'SegEnds_NonXtal_BW#'!$A:$Z,8,FALSE)+VLOOKUP($A7,A:AL,10,FALSE)-50</f>
        <v>118</v>
      </c>
      <c r="L7" s="3">
        <f t="shared" si="18"/>
        <v>119</v>
      </c>
      <c r="M7" s="3">
        <v>120</v>
      </c>
      <c r="N7" s="3">
        <f t="shared" si="19"/>
        <v>122</v>
      </c>
      <c r="O7" s="3">
        <f t="shared" si="20"/>
        <v>123</v>
      </c>
      <c r="P7" s="3">
        <v>152</v>
      </c>
      <c r="Q7" s="3">
        <f>VLOOKUP($A7,'SegEnds_NonXtal_BW#'!$A:$Z,12,FALSE)+VLOOKUP($A7,A:AL,16,FALSE)-50</f>
        <v>158</v>
      </c>
      <c r="R7" s="3">
        <f>IF(ISERROR(VLOOKUP($A7,'SegEnds_NonXtal_BW#'!$A:$Z,13,FALSE)+VLOOKUP($A7,A:AL,19,FALSE)-50),"-",VLOOKUP($A7,'SegEnds_NonXtal_BW#'!$A:$Z,13,FALSE)+VLOOKUP($A7,A:AL,19,FALSE)-50)</f>
        <v>159</v>
      </c>
      <c r="S7" s="3">
        <v>159</v>
      </c>
      <c r="T7" s="100">
        <f>IF(ISERROR(VLOOKUP($A7,'SegEnds_NonXtal_BW#'!$A:$Z,14,FALSE)+VLOOKUP($A7,A:AL,19,FALSE)-50),"-",(VLOOKUP($A7,'SegEnds_NonXtal_BW#'!$A:$Z,14,FALSE)+VLOOKUP($A7,A:AL,19,FALSE)-50))</f>
        <v>162</v>
      </c>
      <c r="U7" s="9">
        <f>IF(ISERROR(VLOOKUP($A7,'SegEnds_NonXtal_BW#'!$A:$Z,15,FALSE)+VLOOKUP($A7,A:AL,22,FALSE)-50),"-",VLOOKUP($A7,'SegEnds_NonXtal_BW#'!$A:$Z,15,FALSE)+VLOOKUP($A7,A:AL,22,FALSE)-50)</f>
        <v>165</v>
      </c>
      <c r="V7" s="3">
        <v>177</v>
      </c>
      <c r="W7" s="3">
        <f>IF(ISERROR(VLOOKUP($A7,'SegEnds_NonXtal_BW#'!$A:$Z,16,FALSE)+VLOOKUP($A7,A:AL,22,FALSE)-50),"-",(VLOOKUP($A7,'SegEnds_NonXtal_BW#'!$A:$Z,16,FALSE)+VLOOKUP($A7,A:AL,22,FALSE)-50))</f>
        <v>191</v>
      </c>
      <c r="X7" s="3">
        <f>IF(ISERROR(VLOOKUP($A7,'SegEnds_NonXtal_BW#'!$A:$Z,17,FALSE)+VLOOKUP($A7,A:AL,25,FALSE)-50),"-",(VLOOKUP($A7,'SegEnds_NonXtal_BW#'!$A:$Z,17,FALSE)+VLOOKUP($A7,A:AL,25,FALSE)-50))</f>
        <v>210</v>
      </c>
      <c r="Y7" s="3">
        <v>210</v>
      </c>
      <c r="Z7" s="3">
        <f t="shared" si="1"/>
        <v>212</v>
      </c>
      <c r="AA7" s="3">
        <f>IF(ISERROR(VLOOKUP($A7,'SegEnds_NonXtal_BW#'!$A:$Z,19,FALSE)+VLOOKUP($A7,A:AL,28,FALSE)-50),"-",(VLOOKUP($A7,'SegEnds_NonXtal_BW#'!$A:$Z,19,FALSE)+VLOOKUP($A7,A:AL,28,FALSE)-50))</f>
        <v>218</v>
      </c>
      <c r="AB7" s="3">
        <v>235</v>
      </c>
      <c r="AC7" s="3">
        <v>256</v>
      </c>
      <c r="AD7" s="3">
        <f>IF(ISERROR(VLOOKUP($A7,'SegEnds_NonXtal_BW#'!$A:$Z,21,FALSE)+VLOOKUP($A7,A:AL,31,FALSE)-50),"-",(VLOOKUP($A7,'SegEnds_NonXtal_BW#'!$A:$Z,21,FALSE)+VLOOKUP($A7,A:AL,31,FALSE)-50))</f>
        <v>289</v>
      </c>
      <c r="AE7" s="3">
        <v>319</v>
      </c>
      <c r="AF7" s="3">
        <f>IF(ISERROR((VLOOKUP($A7,'SegEnds_NonXtal_BW#'!$A:$Z,22,FALSE)+VLOOKUP($A7,A:AL,31,FALSE)-50)),"-",(VLOOKUP($A7,'SegEnds_NonXtal_BW#'!$A:$Z,22,FALSE)+VLOOKUP($A7,A:AL,31,FALSE)-50))</f>
        <v>330</v>
      </c>
      <c r="AG7" s="3">
        <f>IF(ISERROR(VLOOKUP($A7,'SegEnds_NonXtal_BW#'!$A:$Z,23,FALSE)+VLOOKUP($A7,A:AL,34,FALSE)-50),"-",(VLOOKUP($A7,'SegEnds_NonXtal_BW#'!$A:$Z,23,FALSE)+VLOOKUP($A7,A:AL,34,FALSE)-50))</f>
        <v>338</v>
      </c>
      <c r="AH7" s="3">
        <v>361</v>
      </c>
      <c r="AI7" s="3">
        <f>IF(ISERROR((VLOOKUP($A7,'SegEnds_NonXtal_BW#'!$A:$Z,24,FALSE)+VLOOKUP($A7,A:AL,34,FALSE)-50)),"-",(VLOOKUP($A7,'SegEnds_NonXtal_BW#'!$A:$Z,24,FALSE)+VLOOKUP($A7,A:AL,34,FALSE)-50))</f>
        <v>367</v>
      </c>
      <c r="AJ7" s="3">
        <f>IF(ISERROR(VLOOKUP($A7,'SegEnds_NonXtal_BW#'!$A:$Z,25,FALSE)+VLOOKUP($A7,A:AL,37,FALSE)-50),"-",(VLOOKUP($A7,'SegEnds_NonXtal_BW#'!$A:$Z,25,FALSE)+VLOOKUP($A7,A:AL,37,FALSE)-50))</f>
        <v>368</v>
      </c>
      <c r="AK7" s="3">
        <v>371</v>
      </c>
      <c r="AL7" s="3">
        <f>IF(ISERROR((VLOOKUP($A7,'SegEnds_NonXtal_BW#'!$A:$Z,26,FALSE)+VLOOKUP($A7,A:AL,37,FALSE)-50)),"-",(VLOOKUP($A7,'SegEnds_NonXtal_BW#'!$A:$Z,26,FALSE)+VLOOKUP($A7,A:AL,37,FALSE)-50))</f>
        <v>379</v>
      </c>
      <c r="AM7" s="28" t="str">
        <f>VLOOKUP(A7,Classification!A:B,2,FALSE)</f>
        <v>A</v>
      </c>
      <c r="AN7" s="28" t="b">
        <f t="shared" si="17"/>
        <v>1</v>
      </c>
      <c r="AO7" s="3" t="str">
        <f>IF(ISERROR(MATCH(A7,'SegEnds_Xtal_Prot#'!B:B, 0)), "NoXtal", "Xtal")</f>
        <v>Xtal</v>
      </c>
      <c r="AP7" s="3">
        <f t="shared" si="2"/>
        <v>1</v>
      </c>
      <c r="AQ7" s="3">
        <f t="shared" si="3"/>
        <v>1</v>
      </c>
      <c r="AR7" s="3">
        <f t="shared" si="4"/>
        <v>1</v>
      </c>
      <c r="AS7" s="3">
        <f t="shared" si="5"/>
        <v>1</v>
      </c>
      <c r="AT7" s="3">
        <f t="shared" si="6"/>
        <v>1</v>
      </c>
      <c r="AU7" s="3">
        <f t="shared" si="7"/>
        <v>3</v>
      </c>
      <c r="AV7" s="3">
        <f t="shared" si="8"/>
        <v>19</v>
      </c>
      <c r="AW7" s="3">
        <f t="shared" si="9"/>
        <v>6</v>
      </c>
      <c r="AX7" s="3">
        <f t="shared" si="10"/>
        <v>33</v>
      </c>
      <c r="AY7" s="3">
        <f t="shared" si="11"/>
        <v>8</v>
      </c>
      <c r="AZ7" s="3">
        <f t="shared" si="12"/>
        <v>1</v>
      </c>
      <c r="BA7" s="3">
        <f>IF(ISERROR(LEN(VLOOKUP(A7,Seqs!A:E,2,FALSE))-AL7),"-",LEN(VLOOKUP(A7,Seqs!A:E,2,FALSE))-AL7)</f>
        <v>65</v>
      </c>
      <c r="BB7" s="16">
        <f t="shared" si="13"/>
        <v>28</v>
      </c>
      <c r="BC7" s="9">
        <f t="shared" si="14"/>
        <v>18</v>
      </c>
      <c r="BD7" s="3">
        <f t="shared" si="15"/>
        <v>28</v>
      </c>
      <c r="BE7" s="3">
        <f t="shared" si="16"/>
        <v>84</v>
      </c>
    </row>
    <row r="8" spans="1:59" s="3" customFormat="1" x14ac:dyDescent="0.2">
      <c r="A8" s="3" t="s">
        <v>369</v>
      </c>
      <c r="B8" s="3" t="str">
        <f>LOWER(VLOOKUP(A8,Xtal_Templ!A:B,2,FALSE))</f>
        <v>ox2r_human</v>
      </c>
      <c r="C8" s="3">
        <f>VLOOKUP($A8,'SegEnds_NonXtal_BW#'!$A:$Z,3,FALSE)+D8-50</f>
        <v>59</v>
      </c>
      <c r="D8" s="3">
        <v>78</v>
      </c>
      <c r="E8" s="3">
        <f>IF(ISERROR(VLOOKUP($A8,'SegEnds_NonXtal_BW#'!$A:$Z,4,FALSE)+VLOOKUP($A8,A:AL,4,FALSE)-50),"-",(VLOOKUP($A8,'SegEnds_NonXtal_BW#'!$A:$Z,4,FALSE)+VLOOKUP($A8,A:AL,4,FALSE)-50))</f>
        <v>88</v>
      </c>
      <c r="F8" s="3">
        <f>G8-2</f>
        <v>89</v>
      </c>
      <c r="G8" s="3">
        <v>91</v>
      </c>
      <c r="H8" s="3">
        <f t="shared" si="21"/>
        <v>92</v>
      </c>
      <c r="I8" s="3">
        <f t="shared" si="21"/>
        <v>93</v>
      </c>
      <c r="J8" s="3">
        <v>106</v>
      </c>
      <c r="K8" s="3">
        <f>VLOOKUP($A8,'SegEnds_NonXtal_BW#'!$A:$Z,8,FALSE)+VLOOKUP($A8,A:AL,10,FALSE)-50</f>
        <v>124</v>
      </c>
      <c r="L8" s="3">
        <f t="shared" si="18"/>
        <v>126</v>
      </c>
      <c r="M8" s="3">
        <v>127</v>
      </c>
      <c r="N8" s="3">
        <f t="shared" si="19"/>
        <v>129</v>
      </c>
      <c r="O8" s="3">
        <f t="shared" si="20"/>
        <v>130</v>
      </c>
      <c r="P8" s="3">
        <v>159</v>
      </c>
      <c r="Q8" s="3">
        <f>VLOOKUP($A8,'SegEnds_NonXtal_BW#'!$A:$Z,12,FALSE)+VLOOKUP($A8,A:AL,16,FALSE)-50</f>
        <v>165</v>
      </c>
      <c r="R8" s="3">
        <f>IF(ISERROR(VLOOKUP($A8,'SegEnds_NonXtal_BW#'!$A:$Z,13,FALSE)+VLOOKUP($A8,A:AL,19,FALSE)-50),"-",VLOOKUP($A8,'SegEnds_NonXtal_BW#'!$A:$Z,13,FALSE)+VLOOKUP($A8,A:AL,19,FALSE)-50)</f>
        <v>166</v>
      </c>
      <c r="S8" s="3">
        <v>166</v>
      </c>
      <c r="T8" s="100">
        <f>IF(ISERROR(VLOOKUP($A8,'SegEnds_NonXtal_BW#'!$A:$Z,14,FALSE)+VLOOKUP($A8,A:AL,19,FALSE)-50),"-",(VLOOKUP($A8,'SegEnds_NonXtal_BW#'!$A:$Z,14,FALSE)+VLOOKUP($A8,A:AL,19,FALSE)-50))</f>
        <v>169</v>
      </c>
      <c r="U8" s="9">
        <f>IF(ISERROR(VLOOKUP($A8,'SegEnds_NonXtal_BW#'!$A:$Z,15,FALSE)+VLOOKUP($A8,A:AL,22,FALSE)-50),"-",VLOOKUP($A8,'SegEnds_NonXtal_BW#'!$A:$Z,15,FALSE)+VLOOKUP($A8,A:AL,22,FALSE)-50)</f>
        <v>172</v>
      </c>
      <c r="V8" s="3">
        <v>184</v>
      </c>
      <c r="W8" s="3">
        <f>IF(ISERROR(VLOOKUP($A8,'SegEnds_NonXtal_BW#'!$A:$Z,16,FALSE)+VLOOKUP($A8,A:AL,22,FALSE)-50),"-",(VLOOKUP($A8,'SegEnds_NonXtal_BW#'!$A:$Z,16,FALSE)+VLOOKUP($A8,A:AL,22,FALSE)-50))</f>
        <v>198</v>
      </c>
      <c r="X8" s="3">
        <f>IF(ISERROR(VLOOKUP($A8,'SegEnds_NonXtal_BW#'!$A:$Z,17,FALSE)+VLOOKUP($A8,A:AL,25,FALSE)-50),"-",(VLOOKUP($A8,'SegEnds_NonXtal_BW#'!$A:$Z,17,FALSE)+VLOOKUP($A8,A:AL,25,FALSE)-50))</f>
        <v>211</v>
      </c>
      <c r="Y8" s="3">
        <v>211</v>
      </c>
      <c r="Z8" s="3">
        <f t="shared" si="1"/>
        <v>213</v>
      </c>
      <c r="AA8" s="3">
        <f>IF(ISERROR(VLOOKUP($A8,'SegEnds_NonXtal_BW#'!$A:$Z,19,FALSE)+VLOOKUP($A8,A:AL,28,FALSE)-50),"-",(VLOOKUP($A8,'SegEnds_NonXtal_BW#'!$A:$Z,19,FALSE)+VLOOKUP($A8,A:AL,28,FALSE)-50))</f>
        <v>220</v>
      </c>
      <c r="AB8" s="3">
        <v>237</v>
      </c>
      <c r="AC8" s="3">
        <f>IF(ISERROR((VLOOKUP($A8,'SegEnds_NonXtal_BW#'!$A:$Z,20,FALSE)+VLOOKUP($A8,A:AL,28,FALSE)-50)),"-",(VLOOKUP($A8,'SegEnds_NonXtal_BW#'!$A:$Z,20,FALSE)+VLOOKUP($A8,A:AL,28,FALSE)-50))</f>
        <v>260</v>
      </c>
      <c r="AD8" s="3">
        <f>IF(ISERROR(VLOOKUP($A8,'SegEnds_NonXtal_BW#'!$A:$Z,21,FALSE)+VLOOKUP($A8,A:AL,31,FALSE)-50),"-",(VLOOKUP($A8,'SegEnds_NonXtal_BW#'!$A:$Z,21,FALSE)+VLOOKUP($A8,A:AL,31,FALSE)-50))</f>
        <v>265</v>
      </c>
      <c r="AE8" s="3">
        <v>293</v>
      </c>
      <c r="AF8" s="3">
        <f>IF(ISERROR((VLOOKUP($A8,'SegEnds_NonXtal_BW#'!$A:$Z,22,FALSE)+VLOOKUP($A8,A:AL,31,FALSE)-50)),"-",(VLOOKUP($A8,'SegEnds_NonXtal_BW#'!$A:$Z,22,FALSE)+VLOOKUP($A8,A:AL,31,FALSE)-50))</f>
        <v>304</v>
      </c>
      <c r="AG8" s="3">
        <f>IF(ISERROR(VLOOKUP($A8,'SegEnds_NonXtal_BW#'!$A:$Z,23,FALSE)+VLOOKUP($A8,A:AL,34,FALSE)-50),"-",(VLOOKUP($A8,'SegEnds_NonXtal_BW#'!$A:$Z,23,FALSE)+VLOOKUP($A8,A:AL,34,FALSE)-50))</f>
        <v>310</v>
      </c>
      <c r="AH8" s="3">
        <v>332</v>
      </c>
      <c r="AI8" s="3">
        <f>IF(ISERROR((VLOOKUP($A8,'SegEnds_NonXtal_BW#'!$A:$Z,24,FALSE)+VLOOKUP($A8,A:AL,34,FALSE)-50)),"-",(VLOOKUP($A8,'SegEnds_NonXtal_BW#'!$A:$Z,24,FALSE)+VLOOKUP($A8,A:AL,34,FALSE)-50))</f>
        <v>338</v>
      </c>
      <c r="AJ8" s="3">
        <f>IF(ISERROR(VLOOKUP($A8,'SegEnds_NonXtal_BW#'!$A:$Z,25,FALSE)+VLOOKUP($A8,A:AL,37,FALSE)-50),"-",(VLOOKUP($A8,'SegEnds_NonXtal_BW#'!$A:$Z,25,FALSE)+VLOOKUP($A8,A:AL,37,FALSE)-50))</f>
        <v>339</v>
      </c>
      <c r="AK8" s="3">
        <v>342</v>
      </c>
      <c r="AL8" s="3">
        <f>IF(ISERROR((VLOOKUP($A8,'SegEnds_NonXtal_BW#'!$A:$Z,26,FALSE)+VLOOKUP($A8,A:AL,37,FALSE)-50)),"-",(VLOOKUP($A8,'SegEnds_NonXtal_BW#'!$A:$Z,26,FALSE)+VLOOKUP($A8,A:AL,37,FALSE)-50))</f>
        <v>350</v>
      </c>
      <c r="AM8" s="28" t="str">
        <f>VLOOKUP(A8,Classification!A:B,2,FALSE)</f>
        <v>A</v>
      </c>
      <c r="AN8" s="28" t="b">
        <f t="shared" si="17"/>
        <v>1</v>
      </c>
      <c r="AO8" s="3" t="str">
        <f>IF(ISERROR(MATCH(A8,'SegEnds_Xtal_Prot#'!B:B, 0)), "NoXtal", "Xtal")</f>
        <v>NoXtal</v>
      </c>
      <c r="AP8" s="3">
        <f t="shared" si="2"/>
        <v>1</v>
      </c>
      <c r="AQ8" s="3">
        <f t="shared" si="3"/>
        <v>1</v>
      </c>
      <c r="AR8" s="3">
        <f t="shared" si="4"/>
        <v>2</v>
      </c>
      <c r="AS8" s="3">
        <f t="shared" si="5"/>
        <v>1</v>
      </c>
      <c r="AT8" s="3">
        <f t="shared" si="6"/>
        <v>1</v>
      </c>
      <c r="AU8" s="3">
        <f t="shared" si="7"/>
        <v>3</v>
      </c>
      <c r="AV8" s="3">
        <f t="shared" si="8"/>
        <v>13</v>
      </c>
      <c r="AW8" s="3">
        <f t="shared" si="9"/>
        <v>7</v>
      </c>
      <c r="AX8" s="3">
        <f t="shared" si="10"/>
        <v>5</v>
      </c>
      <c r="AY8" s="3">
        <f t="shared" si="11"/>
        <v>6</v>
      </c>
      <c r="AZ8" s="3">
        <f t="shared" si="12"/>
        <v>1</v>
      </c>
      <c r="BA8" s="3">
        <f>IF(ISERROR(LEN(VLOOKUP(A8,Seqs!A:E,2,FALSE))-AL8),"-",LEN(VLOOKUP(A8,Seqs!A:E,2,FALSE))-AL8)</f>
        <v>20</v>
      </c>
      <c r="BB8" s="16">
        <f t="shared" si="13"/>
        <v>28</v>
      </c>
      <c r="BC8" s="9">
        <f t="shared" si="14"/>
        <v>18</v>
      </c>
      <c r="BD8" s="3">
        <f t="shared" si="15"/>
        <v>28</v>
      </c>
      <c r="BE8" s="3">
        <f t="shared" si="16"/>
        <v>56</v>
      </c>
      <c r="BF8" s="3">
        <f>AH8-AE8</f>
        <v>39</v>
      </c>
    </row>
    <row r="9" spans="1:59" s="3" customFormat="1" x14ac:dyDescent="0.2">
      <c r="A9" s="3" t="s">
        <v>159</v>
      </c>
      <c r="B9" s="3" t="str">
        <f>LOWER(VLOOKUP(A9,Xtal_Templ!A:B,2,FALSE))</f>
        <v>agtr2_human</v>
      </c>
      <c r="C9" s="3">
        <f>VLOOKUP($A9,'SegEnds_NonXtal_BW#'!$A:$Z,3,FALSE)+D9-50</f>
        <v>45</v>
      </c>
      <c r="D9" s="3">
        <v>62</v>
      </c>
      <c r="E9" s="3">
        <f>IF(ISERROR(VLOOKUP($A9,'SegEnds_NonXtal_BW#'!$A:$Z,4,FALSE)+VLOOKUP($A9,A:AL,4,FALSE)-50),"-",(VLOOKUP($A9,'SegEnds_NonXtal_BW#'!$A:$Z,4,FALSE)+VLOOKUP($A9,A:AL,4,FALSE)-50))</f>
        <v>72</v>
      </c>
      <c r="F9" s="3" t="str">
        <f>IF(ISERROR(VLOOKUP($A9,'SegEnds_NonXtal_BW#'!$A:$Z,5,FALSE)+VLOOKUP($A9,A:AL,7,FALSE)-50),"-",(VLOOKUP($A9,'SegEnds_NonXtal_BW#'!$A:$Z,5,FALSE)+VLOOKUP($A9,A:AL,7,FALSE)-50))</f>
        <v>-</v>
      </c>
      <c r="G9" s="3" t="s">
        <v>23</v>
      </c>
      <c r="H9" s="3" t="str">
        <f>IF(ISERROR(VLOOKUP($A9,'SegEnds_NonXtal_BW#'!$A:$Z,6,FALSE)+VLOOKUP($A9,A:AL,7,FALSE)-50),"-",(VLOOKUP($A9,'SegEnds_NonXtal_BW#'!$A:$Z,6,FALSE)+VLOOKUP($A9,A:AL,7,FALSE)-50))</f>
        <v>-</v>
      </c>
      <c r="I9" s="3">
        <f>VLOOKUP($A9,'SegEnds_NonXtal_BW#'!$A:$Z,7,FALSE)+J9-50</f>
        <v>78</v>
      </c>
      <c r="J9" s="3">
        <v>90</v>
      </c>
      <c r="K9" s="3">
        <f>VLOOKUP($A9,'SegEnds_NonXtal_BW#'!$A:$Z,8,FALSE)+VLOOKUP($A9,A:AL,10,FALSE)-50</f>
        <v>106</v>
      </c>
      <c r="L9" s="3">
        <f t="shared" si="18"/>
        <v>109</v>
      </c>
      <c r="M9" s="3">
        <v>110</v>
      </c>
      <c r="N9" s="3">
        <f t="shared" si="19"/>
        <v>112</v>
      </c>
      <c r="O9" s="3">
        <f t="shared" si="20"/>
        <v>113</v>
      </c>
      <c r="P9" s="3">
        <v>142</v>
      </c>
      <c r="Q9" s="3">
        <f>VLOOKUP($A9,'SegEnds_NonXtal_BW#'!$A:$Z,12,FALSE)+VLOOKUP($A9,A:AL,16,FALSE)-50</f>
        <v>148</v>
      </c>
      <c r="R9" s="3">
        <f>IF(ISERROR(VLOOKUP($A9,'SegEnds_NonXtal_BW#'!$A:$Z,13,FALSE)+VLOOKUP($A9,A:AL,19,FALSE)-50),"-",VLOOKUP($A9,'SegEnds_NonXtal_BW#'!$A:$Z,13,FALSE)+VLOOKUP($A9,A:AL,19,FALSE)-50)</f>
        <v>149</v>
      </c>
      <c r="S9" s="3">
        <v>149</v>
      </c>
      <c r="T9" s="100">
        <f>IF(ISERROR(VLOOKUP($A9,'SegEnds_NonXtal_BW#'!$A:$Z,14,FALSE)+VLOOKUP($A9,A:AL,19,FALSE)-50),"-",(VLOOKUP($A9,'SegEnds_NonXtal_BW#'!$A:$Z,14,FALSE)+VLOOKUP($A9,A:AL,19,FALSE)-50))</f>
        <v>155</v>
      </c>
      <c r="U9" s="9">
        <f>IF(ISERROR(VLOOKUP($A9,'SegEnds_NonXtal_BW#'!$A:$Z,15,FALSE)+VLOOKUP($A9,A:AL,22,FALSE)-50),"-",VLOOKUP($A9,'SegEnds_NonXtal_BW#'!$A:$Z,15,FALSE)+VLOOKUP($A9,A:AL,22,FALSE)-50)</f>
        <v>156</v>
      </c>
      <c r="V9" s="3">
        <v>168</v>
      </c>
      <c r="W9" s="3">
        <f>IF(ISERROR(VLOOKUP($A9,'SegEnds_NonXtal_BW#'!$A:$Z,16,FALSE)+VLOOKUP($A9,A:AL,22,FALSE)-50),"-",(VLOOKUP($A9,'SegEnds_NonXtal_BW#'!$A:$Z,16,FALSE)+VLOOKUP($A9,A:AL,22,FALSE)-50))</f>
        <v>182</v>
      </c>
      <c r="X9" s="3">
        <f>IF(ISERROR(VLOOKUP($A9,'SegEnds_NonXtal_BW#'!$A:$Z,17,FALSE)+VLOOKUP($A9,A:AL,25,FALSE)-50),"-",(VLOOKUP($A9,'SegEnds_NonXtal_BW#'!$A:$Z,17,FALSE)+VLOOKUP($A9,A:AL,25,FALSE)-50))</f>
        <v>195</v>
      </c>
      <c r="Y9" s="3">
        <v>195</v>
      </c>
      <c r="Z9" s="3">
        <f t="shared" si="1"/>
        <v>197</v>
      </c>
      <c r="AA9" s="3">
        <f>IF(ISERROR(VLOOKUP($A9,'SegEnds_NonXtal_BW#'!$A:$Z,19,FALSE)+VLOOKUP($A9,A:AL,28,FALSE)-50),"-",(VLOOKUP($A9,'SegEnds_NonXtal_BW#'!$A:$Z,19,FALSE)+VLOOKUP($A9,A:AL,28,FALSE)-50))</f>
        <v>203</v>
      </c>
      <c r="AB9" s="3">
        <v>223</v>
      </c>
      <c r="AC9" s="3">
        <f>IF(ISERROR((VLOOKUP($A9,'SegEnds_NonXtal_BW#'!$A:$Z,20,FALSE)+VLOOKUP($A9,A:AL,28,FALSE)-50)),"-",(VLOOKUP($A9,'SegEnds_NonXtal_BW#'!$A:$Z,20,FALSE)+VLOOKUP($A9,A:AL,28,FALSE)-50))</f>
        <v>241</v>
      </c>
      <c r="AD9" s="3">
        <f>IF(ISERROR(VLOOKUP($A9,'SegEnds_NonXtal_BW#'!$A:$Z,21,FALSE)+VLOOKUP($A9,A:AL,31,FALSE)-50),"-",(VLOOKUP($A9,'SegEnds_NonXtal_BW#'!$A:$Z,21,FALSE)+VLOOKUP($A9,A:AL,31,FALSE)-50))</f>
        <v>245</v>
      </c>
      <c r="AE9" s="3">
        <v>271</v>
      </c>
      <c r="AF9" s="3">
        <f>IF(ISERROR((VLOOKUP($A9,'SegEnds_NonXtal_BW#'!$A:$Z,22,FALSE)+VLOOKUP($A9,A:AL,31,FALSE)-50)),"-",(VLOOKUP($A9,'SegEnds_NonXtal_BW#'!$A:$Z,22,FALSE)+VLOOKUP($A9,A:AL,31,FALSE)-50))</f>
        <v>285</v>
      </c>
      <c r="AG9" s="3">
        <f>IF(ISERROR(VLOOKUP($A9,'SegEnds_NonXtal_BW#'!$A:$Z,23,FALSE)+VLOOKUP($A9,A:AL,34,FALSE)-50),"-",(VLOOKUP($A9,'SegEnds_NonXtal_BW#'!$A:$Z,23,FALSE)+VLOOKUP($A9,A:AL,34,FALSE)-50))</f>
        <v>289</v>
      </c>
      <c r="AH9" s="3">
        <v>315</v>
      </c>
      <c r="AI9" s="3">
        <f>IF(ISERROR((VLOOKUP($A9,'SegEnds_NonXtal_BW#'!$A:$Z,24,FALSE)+VLOOKUP($A9,A:AL,34,FALSE)-50)),"-",(VLOOKUP($A9,'SegEnds_NonXtal_BW#'!$A:$Z,24,FALSE)+VLOOKUP($A9,A:AL,34,FALSE)-50))</f>
        <v>321</v>
      </c>
      <c r="AJ9" s="3">
        <f>IF(ISERROR(VLOOKUP($A9,'SegEnds_NonXtal_BW#'!$A:$Z,25,FALSE)+VLOOKUP($A9,A:AL,37,FALSE)-50),"-",(VLOOKUP($A9,'SegEnds_NonXtal_BW#'!$A:$Z,25,FALSE)+VLOOKUP($A9,A:AL,37,FALSE)-50))</f>
        <v>322</v>
      </c>
      <c r="AK9" s="3">
        <v>325</v>
      </c>
      <c r="AL9" s="3">
        <f>IF(ISERROR((VLOOKUP($A9,'SegEnds_NonXtal_BW#'!$A:$Z,26,FALSE)+VLOOKUP($A9,A:AL,37,FALSE)-50)),"-",(VLOOKUP($A9,'SegEnds_NonXtal_BW#'!$A:$Z,26,FALSE)+VLOOKUP($A9,A:AL,37,FALSE)-50))</f>
        <v>336</v>
      </c>
      <c r="AM9" s="28" t="str">
        <f>VLOOKUP(A9,Classification!A:B,2,FALSE)</f>
        <v>A</v>
      </c>
      <c r="AN9" s="28" t="b">
        <f t="shared" si="17"/>
        <v>1</v>
      </c>
      <c r="AO9" s="3" t="str">
        <f>IF(ISERROR(MATCH(A9,'SegEnds_Xtal_Prot#'!B:B, 0)), "NoXtal", "Xtal")</f>
        <v>Xtal</v>
      </c>
      <c r="AP9" s="3" t="str">
        <f t="shared" si="2"/>
        <v>-</v>
      </c>
      <c r="AQ9" s="3" t="str">
        <f t="shared" si="3"/>
        <v>-</v>
      </c>
      <c r="AR9" s="3">
        <f t="shared" si="4"/>
        <v>3</v>
      </c>
      <c r="AS9" s="3">
        <f t="shared" si="5"/>
        <v>1</v>
      </c>
      <c r="AT9" s="3">
        <f t="shared" si="6"/>
        <v>1</v>
      </c>
      <c r="AU9" s="3">
        <f t="shared" si="7"/>
        <v>1</v>
      </c>
      <c r="AV9" s="3">
        <f t="shared" si="8"/>
        <v>13</v>
      </c>
      <c r="AW9" s="3">
        <f t="shared" si="9"/>
        <v>6</v>
      </c>
      <c r="AX9" s="3">
        <f t="shared" si="10"/>
        <v>4</v>
      </c>
      <c r="AY9" s="3">
        <f t="shared" si="11"/>
        <v>4</v>
      </c>
      <c r="AZ9" s="3">
        <f t="shared" si="12"/>
        <v>1</v>
      </c>
      <c r="BA9" s="3">
        <f>IF(ISERROR(LEN(VLOOKUP(A9,Seqs!A:E,2,FALSE))-AL9),"-",LEN(VLOOKUP(A9,Seqs!A:E,2,FALSE))-AL9)</f>
        <v>27</v>
      </c>
      <c r="BB9" s="16">
        <f t="shared" si="13"/>
        <v>28</v>
      </c>
      <c r="BC9" s="9">
        <f t="shared" si="14"/>
        <v>19</v>
      </c>
      <c r="BD9" s="3">
        <f t="shared" si="15"/>
        <v>28</v>
      </c>
      <c r="BE9" s="3">
        <f t="shared" si="16"/>
        <v>48</v>
      </c>
      <c r="BF9" s="3">
        <f>AH9-AE9</f>
        <v>44</v>
      </c>
    </row>
    <row r="10" spans="1:59" s="3" customFormat="1" x14ac:dyDescent="0.2">
      <c r="A10" s="3" t="s">
        <v>185</v>
      </c>
      <c r="B10" s="3" t="str">
        <f>LOWER(VLOOKUP(A10,Xtal_Templ!A:B,2,FALSE))</f>
        <v>ccr2_human</v>
      </c>
      <c r="C10" s="3">
        <f>VLOOKUP($A10,'SegEnds_NonXtal_BW#'!$A:$Z,3,FALSE)+D10-50</f>
        <v>34</v>
      </c>
      <c r="D10" s="3">
        <v>57</v>
      </c>
      <c r="E10" s="3">
        <f>IF(ISERROR(VLOOKUP($A10,'SegEnds_NonXtal_BW#'!$A:$Z,4,FALSE)+VLOOKUP($A10,A:AL,4,FALSE)-50),"-",(VLOOKUP($A10,'SegEnds_NonXtal_BW#'!$A:$Z,4,FALSE)+VLOOKUP($A10,A:AL,4,FALSE)-50))</f>
        <v>67</v>
      </c>
      <c r="F10" s="3">
        <f>G10-2</f>
        <v>68</v>
      </c>
      <c r="G10" s="3">
        <v>70</v>
      </c>
      <c r="H10" s="3">
        <f>G10+1</f>
        <v>71</v>
      </c>
      <c r="I10" s="3">
        <f>H10+1</f>
        <v>72</v>
      </c>
      <c r="J10" s="3">
        <v>85</v>
      </c>
      <c r="K10" s="3">
        <f>VLOOKUP($A10,'SegEnds_NonXtal_BW#'!$A:$Z,8,FALSE)+VLOOKUP($A10,A:AL,10,FALSE)-50</f>
        <v>101</v>
      </c>
      <c r="L10" s="3">
        <f t="shared" si="18"/>
        <v>102</v>
      </c>
      <c r="M10" s="3">
        <v>103</v>
      </c>
      <c r="N10" s="3">
        <f t="shared" si="19"/>
        <v>105</v>
      </c>
      <c r="O10" s="3">
        <f t="shared" si="20"/>
        <v>106</v>
      </c>
      <c r="P10" s="3">
        <v>135</v>
      </c>
      <c r="Q10" s="3">
        <f>VLOOKUP($A10,'SegEnds_NonXtal_BW#'!$A:$Z,12,FALSE)+VLOOKUP($A10,A:AL,16,FALSE)-50</f>
        <v>141</v>
      </c>
      <c r="R10" s="3">
        <f>IF(ISERROR(VLOOKUP($A10,'SegEnds_NonXtal_BW#'!$A:$Z,13,FALSE)+VLOOKUP($A10,A:AL,19,FALSE)-50),"-",VLOOKUP($A10,'SegEnds_NonXtal_BW#'!$A:$Z,13,FALSE)+VLOOKUP($A10,A:AL,19,FALSE)-50)</f>
        <v>142</v>
      </c>
      <c r="S10" s="3">
        <v>142</v>
      </c>
      <c r="T10" s="100">
        <f>IF(ISERROR(VLOOKUP($A10,'SegEnds_NonXtal_BW#'!$A:$Z,14,FALSE)+VLOOKUP($A10,A:AL,19,FALSE)-50),"-",(VLOOKUP($A10,'SegEnds_NonXtal_BW#'!$A:$Z,14,FALSE)+VLOOKUP($A10,A:AL,19,FALSE)-50))</f>
        <v>148</v>
      </c>
      <c r="U10" s="9">
        <f>IF(ISERROR(VLOOKUP($A10,'SegEnds_NonXtal_BW#'!$A:$Z,15,FALSE)+VLOOKUP($A10,A:AL,22,FALSE)-50),"-",VLOOKUP($A10,'SegEnds_NonXtal_BW#'!$A:$Z,15,FALSE)+VLOOKUP($A10,A:AL,22,FALSE)-50)</f>
        <v>149</v>
      </c>
      <c r="V10" s="3">
        <v>161</v>
      </c>
      <c r="W10" s="3">
        <f>IF(ISERROR(VLOOKUP($A10,'SegEnds_NonXtal_BW#'!$A:$Z,16,FALSE)+VLOOKUP($A10,A:AL,22,FALSE)-50),"-",(VLOOKUP($A10,'SegEnds_NonXtal_BW#'!$A:$Z,16,FALSE)+VLOOKUP($A10,A:AL,22,FALSE)-50))</f>
        <v>175</v>
      </c>
      <c r="X10" s="3">
        <f>IF(ISERROR(VLOOKUP($A10,'SegEnds_NonXtal_BW#'!$A:$Z,17,FALSE)+VLOOKUP($A10,A:AL,25,FALSE)-50),"-",(VLOOKUP($A10,'SegEnds_NonXtal_BW#'!$A:$Z,17,FALSE)+VLOOKUP($A10,A:AL,25,FALSE)-50))</f>
        <v>187</v>
      </c>
      <c r="Y10" s="3">
        <v>187</v>
      </c>
      <c r="Z10" s="3">
        <f t="shared" si="1"/>
        <v>189</v>
      </c>
      <c r="AA10" s="3">
        <f>IF(ISERROR(VLOOKUP($A10,'SegEnds_NonXtal_BW#'!$A:$Z,19,FALSE)+VLOOKUP($A10,A:AL,28,FALSE)-50),"-",(VLOOKUP($A10,'SegEnds_NonXtal_BW#'!$A:$Z,19,FALSE)+VLOOKUP($A10,A:AL,28,FALSE)-50))</f>
        <v>195</v>
      </c>
      <c r="AB10" s="3">
        <v>214</v>
      </c>
      <c r="AC10" s="3">
        <f>IF(ISERROR((VLOOKUP($A10,'SegEnds_NonXtal_BW#'!$A:$Z,20,FALSE)+VLOOKUP($A10,A:AL,28,FALSE)-50)),"-",(VLOOKUP($A10,'SegEnds_NonXtal_BW#'!$A:$Z,20,FALSE)+VLOOKUP($A10,A:AL,28,FALSE)-50))</f>
        <v>232</v>
      </c>
      <c r="AD10" s="3">
        <f>IF(ISERROR(VLOOKUP($A10,'SegEnds_NonXtal_BW#'!$A:$Z,21,FALSE)+VLOOKUP($A10,A:AL,31,FALSE)-50),"-",(VLOOKUP($A10,'SegEnds_NonXtal_BW#'!$A:$Z,21,FALSE)+VLOOKUP($A10,A:AL,31,FALSE)-50))</f>
        <v>237</v>
      </c>
      <c r="AE10" s="3">
        <v>257</v>
      </c>
      <c r="AF10" s="3">
        <f>IF(ISERROR((VLOOKUP($A10,'SegEnds_NonXtal_BW#'!$A:$Z,22,FALSE)+VLOOKUP($A10,A:AL,31,FALSE)-50)),"-",(VLOOKUP($A10,'SegEnds_NonXtal_BW#'!$A:$Z,22,FALSE)+VLOOKUP($A10,A:AL,31,FALSE)-50))</f>
        <v>271</v>
      </c>
      <c r="AG10" s="3">
        <f>IF(ISERROR(VLOOKUP($A10,'SegEnds_NonXtal_BW#'!$A:$Z,23,FALSE)+VLOOKUP($A10,A:AL,34,FALSE)-50),"-",(VLOOKUP($A10,'SegEnds_NonXtal_BW#'!$A:$Z,23,FALSE)+VLOOKUP($A10,A:AL,34,FALSE)-50))</f>
        <v>276</v>
      </c>
      <c r="AH10" s="3">
        <v>302</v>
      </c>
      <c r="AI10" s="3">
        <f>IF(ISERROR((VLOOKUP($A10,'SegEnds_NonXtal_BW#'!$A:$Z,24,FALSE)+VLOOKUP($A10,A:AL,34,FALSE)-50)),"-",(VLOOKUP($A10,'SegEnds_NonXtal_BW#'!$A:$Z,24,FALSE)+VLOOKUP($A10,A:AL,34,FALSE)-50))</f>
        <v>308</v>
      </c>
      <c r="AJ10" s="3">
        <f>IF(ISERROR(VLOOKUP($A10,'SegEnds_NonXtal_BW#'!$A:$Z,25,FALSE)+VLOOKUP($A10,A:AL,37,FALSE)-50),"-",(VLOOKUP($A10,'SegEnds_NonXtal_BW#'!$A:$Z,25,FALSE)+VLOOKUP($A10,A:AL,37,FALSE)-50))</f>
        <v>309</v>
      </c>
      <c r="AK10" s="3">
        <v>312</v>
      </c>
      <c r="AL10" s="3">
        <f>IF(ISERROR((VLOOKUP($A10,'SegEnds_NonXtal_BW#'!$A:$Z,26,FALSE)+VLOOKUP($A10,A:AL,37,FALSE)-50)),"-",(VLOOKUP($A10,'SegEnds_NonXtal_BW#'!$A:$Z,26,FALSE)+VLOOKUP($A10,A:AL,37,FALSE)-50))</f>
        <v>320</v>
      </c>
      <c r="AM10" s="28" t="str">
        <f>VLOOKUP(A10,Classification!A:B,2,FALSE)</f>
        <v>A</v>
      </c>
      <c r="AN10" s="28" t="b">
        <f t="shared" si="17"/>
        <v>1</v>
      </c>
      <c r="AO10" s="3" t="str">
        <f>IF(ISERROR(MATCH(A10,'SegEnds_Xtal_Prot#'!B:B, 0)), "NoXtal", "Xtal")</f>
        <v>NoXtal</v>
      </c>
      <c r="AP10" s="3">
        <f t="shared" si="2"/>
        <v>1</v>
      </c>
      <c r="AQ10" s="3">
        <f t="shared" si="3"/>
        <v>1</v>
      </c>
      <c r="AR10" s="3">
        <f t="shared" si="4"/>
        <v>1</v>
      </c>
      <c r="AS10" s="3">
        <f t="shared" si="5"/>
        <v>1</v>
      </c>
      <c r="AT10" s="3">
        <f t="shared" si="6"/>
        <v>1</v>
      </c>
      <c r="AU10" s="3">
        <f t="shared" si="7"/>
        <v>1</v>
      </c>
      <c r="AV10" s="3">
        <f t="shared" si="8"/>
        <v>12</v>
      </c>
      <c r="AW10" s="3">
        <f t="shared" si="9"/>
        <v>6</v>
      </c>
      <c r="AX10" s="3">
        <f t="shared" si="10"/>
        <v>5</v>
      </c>
      <c r="AY10" s="3">
        <f t="shared" si="11"/>
        <v>5</v>
      </c>
      <c r="AZ10" s="3">
        <f t="shared" si="12"/>
        <v>1</v>
      </c>
      <c r="BA10" s="3">
        <f>IF(ISERROR(LEN(VLOOKUP(A10,Seqs!A:E,2,FALSE))-AL10),"-",LEN(VLOOKUP(A10,Seqs!A:E,2,FALSE))-AL10)</f>
        <v>30</v>
      </c>
      <c r="BB10" s="16">
        <f t="shared" si="13"/>
        <v>28</v>
      </c>
      <c r="BC10" s="9">
        <f t="shared" si="14"/>
        <v>19</v>
      </c>
      <c r="BD10" s="3">
        <f t="shared" si="15"/>
        <v>28</v>
      </c>
      <c r="BE10" s="3">
        <f t="shared" si="16"/>
        <v>43</v>
      </c>
      <c r="BF10" s="3">
        <f>AH10-AE10</f>
        <v>45</v>
      </c>
    </row>
    <row r="11" spans="1:59" s="3" customFormat="1" x14ac:dyDescent="0.2">
      <c r="A11" s="3" t="s">
        <v>186</v>
      </c>
      <c r="B11" s="3" t="str">
        <f>LOWER(VLOOKUP(A11,Xtal_Templ!A:B,2,FALSE))</f>
        <v>ccr9_human</v>
      </c>
      <c r="C11" s="3">
        <f>VLOOKUP($A11,'SegEnds_NonXtal_BW#'!$A:$Z,3,FALSE)+D11-50</f>
        <v>43</v>
      </c>
      <c r="D11" s="3">
        <v>66</v>
      </c>
      <c r="E11" s="3">
        <f>IF(ISERROR(VLOOKUP($A11,'SegEnds_NonXtal_BW#'!$A:$Z,4,FALSE)+VLOOKUP($A11,A:AL,4,FALSE)-50),"-",(VLOOKUP($A11,'SegEnds_NonXtal_BW#'!$A:$Z,4,FALSE)+VLOOKUP($A11,A:AL,4,FALSE)-50))</f>
        <v>76</v>
      </c>
      <c r="F11" s="3">
        <f>G11-2</f>
        <v>77</v>
      </c>
      <c r="G11" s="3">
        <v>79</v>
      </c>
      <c r="H11" s="3">
        <f>G11+1</f>
        <v>80</v>
      </c>
      <c r="I11" s="3">
        <f>H11+1</f>
        <v>81</v>
      </c>
      <c r="J11" s="3">
        <v>94</v>
      </c>
      <c r="K11" s="3">
        <f>VLOOKUP($A11,'SegEnds_NonXtal_BW#'!$A:$Z,8,FALSE)+VLOOKUP($A11,A:AL,10,FALSE)-50</f>
        <v>110</v>
      </c>
      <c r="L11" s="3">
        <f t="shared" si="18"/>
        <v>111</v>
      </c>
      <c r="M11" s="3">
        <v>112</v>
      </c>
      <c r="N11" s="3">
        <f t="shared" si="19"/>
        <v>114</v>
      </c>
      <c r="O11" s="3">
        <f t="shared" si="20"/>
        <v>115</v>
      </c>
      <c r="P11" s="3">
        <v>144</v>
      </c>
      <c r="Q11" s="3">
        <f>VLOOKUP($A11,'SegEnds_NonXtal_BW#'!$A:$Z,12,FALSE)+VLOOKUP($A11,A:AL,16,FALSE)-50</f>
        <v>150</v>
      </c>
      <c r="R11" s="3">
        <f>IF(ISERROR(VLOOKUP($A11,'SegEnds_NonXtal_BW#'!$A:$Z,13,FALSE)+VLOOKUP($A11,A:AL,19,FALSE)-50),"-",VLOOKUP($A11,'SegEnds_NonXtal_BW#'!$A:$Z,13,FALSE)+VLOOKUP($A11,A:AL,19,FALSE)-50)</f>
        <v>151</v>
      </c>
      <c r="S11" s="3">
        <v>151</v>
      </c>
      <c r="T11" s="100">
        <f>IF(ISERROR(VLOOKUP($A11,'SegEnds_NonXtal_BW#'!$A:$Z,14,FALSE)+VLOOKUP($A11,A:AL,19,FALSE)-50),"-",(VLOOKUP($A11,'SegEnds_NonXtal_BW#'!$A:$Z,14,FALSE)+VLOOKUP($A11,A:AL,19,FALSE)-50))</f>
        <v>157</v>
      </c>
      <c r="U11" s="9">
        <f>IF(ISERROR(VLOOKUP($A11,'SegEnds_NonXtal_BW#'!$A:$Z,15,FALSE)+VLOOKUP($A11,A:AL,22,FALSE)-50),"-",VLOOKUP($A11,'SegEnds_NonXtal_BW#'!$A:$Z,15,FALSE)+VLOOKUP($A11,A:AL,22,FALSE)-50)</f>
        <v>158</v>
      </c>
      <c r="V11" s="3">
        <v>170</v>
      </c>
      <c r="W11" s="3">
        <f>IF(ISERROR(VLOOKUP($A11,'SegEnds_NonXtal_BW#'!$A:$Z,16,FALSE)+VLOOKUP($A11,A:AL,22,FALSE)-50),"-",(VLOOKUP($A11,'SegEnds_NonXtal_BW#'!$A:$Z,16,FALSE)+VLOOKUP($A11,A:AL,22,FALSE)-50))</f>
        <v>184</v>
      </c>
      <c r="X11" s="3">
        <f>IF(ISERROR(VLOOKUP($A11,'SegEnds_NonXtal_BW#'!$A:$Z,17,FALSE)+VLOOKUP($A11,A:AL,25,FALSE)-50),"-",(VLOOKUP($A11,'SegEnds_NonXtal_BW#'!$A:$Z,17,FALSE)+VLOOKUP($A11,A:AL,25,FALSE)-50))</f>
        <v>196</v>
      </c>
      <c r="Y11" s="3">
        <v>196</v>
      </c>
      <c r="Z11" s="3">
        <f t="shared" si="1"/>
        <v>198</v>
      </c>
      <c r="AA11" s="3">
        <f>IF(ISERROR(VLOOKUP($A11,'SegEnds_NonXtal_BW#'!$A:$Z,19,FALSE)+VLOOKUP($A11,A:AL,28,FALSE)-50),"-",(VLOOKUP($A11,'SegEnds_NonXtal_BW#'!$A:$Z,19,FALSE)+VLOOKUP($A11,A:AL,28,FALSE)-50))</f>
        <v>206</v>
      </c>
      <c r="AB11" s="3">
        <v>223</v>
      </c>
      <c r="AC11" s="3">
        <f>IF(ISERROR((VLOOKUP($A11,'SegEnds_NonXtal_BW#'!$A:$Z,20,FALSE)+VLOOKUP($A11,A:AL,28,FALSE)-50)),"-",(VLOOKUP($A11,'SegEnds_NonXtal_BW#'!$A:$Z,20,FALSE)+VLOOKUP($A11,A:AL,28,FALSE)-50))</f>
        <v>241</v>
      </c>
      <c r="AD11" s="3">
        <f>IF(ISERROR(VLOOKUP($A11,'SegEnds_NonXtal_BW#'!$A:$Z,21,FALSE)+VLOOKUP($A11,A:AL,31,FALSE)-50),"-",(VLOOKUP($A11,'SegEnds_NonXtal_BW#'!$A:$Z,21,FALSE)+VLOOKUP($A11,A:AL,31,FALSE)-50))</f>
        <v>246</v>
      </c>
      <c r="AE11" s="3">
        <v>266</v>
      </c>
      <c r="AF11" s="3">
        <f>IF(ISERROR((VLOOKUP($A11,'SegEnds_NonXtal_BW#'!$A:$Z,22,FALSE)+VLOOKUP($A11,A:AL,31,FALSE)-50)),"-",(VLOOKUP($A11,'SegEnds_NonXtal_BW#'!$A:$Z,22,FALSE)+VLOOKUP($A11,A:AL,31,FALSE)-50))</f>
        <v>280</v>
      </c>
      <c r="AG11" s="3">
        <f>IF(ISERROR(VLOOKUP($A11,'SegEnds_NonXtal_BW#'!$A:$Z,23,FALSE)+VLOOKUP($A11,A:AL,34,FALSE)-50),"-",(VLOOKUP($A11,'SegEnds_NonXtal_BW#'!$A:$Z,23,FALSE)+VLOOKUP($A11,A:AL,34,FALSE)-50))</f>
        <v>285</v>
      </c>
      <c r="AH11" s="3">
        <v>311</v>
      </c>
      <c r="AI11" s="3">
        <f>IF(ISERROR((VLOOKUP($A11,'SegEnds_NonXtal_BW#'!$A:$Z,24,FALSE)+VLOOKUP($A11,A:AL,34,FALSE)-50)),"-",(VLOOKUP($A11,'SegEnds_NonXtal_BW#'!$A:$Z,24,FALSE)+VLOOKUP($A11,A:AL,34,FALSE)-50))</f>
        <v>317</v>
      </c>
      <c r="AJ11" s="3">
        <f>IF(ISERROR(VLOOKUP($A11,'SegEnds_NonXtal_BW#'!$A:$Z,25,FALSE)+VLOOKUP($A11,A:AL,37,FALSE)-50),"-",(VLOOKUP($A11,'SegEnds_NonXtal_BW#'!$A:$Z,25,FALSE)+VLOOKUP($A11,A:AL,37,FALSE)-50))</f>
        <v>318</v>
      </c>
      <c r="AK11" s="3">
        <v>321</v>
      </c>
      <c r="AL11" s="3">
        <f>IF(ISERROR((VLOOKUP($A11,'SegEnds_NonXtal_BW#'!$A:$Z,26,FALSE)+VLOOKUP($A11,A:AL,37,FALSE)-50)),"-",(VLOOKUP($A11,'SegEnds_NonXtal_BW#'!$A:$Z,26,FALSE)+VLOOKUP($A11,A:AL,37,FALSE)-50))</f>
        <v>338</v>
      </c>
      <c r="AM11" s="28" t="str">
        <f>VLOOKUP(A11,Classification!A:B,2,FALSE)</f>
        <v>A</v>
      </c>
      <c r="AN11" s="28" t="b">
        <f t="shared" si="17"/>
        <v>1</v>
      </c>
      <c r="AO11" s="3" t="str">
        <f>IF(ISERROR(MATCH(A11,'SegEnds_Xtal_Prot#'!B:B, 0)), "NoXtal", "Xtal")</f>
        <v>NoXtal</v>
      </c>
      <c r="AP11" s="3">
        <f t="shared" si="2"/>
        <v>1</v>
      </c>
      <c r="AQ11" s="3">
        <f t="shared" si="3"/>
        <v>1</v>
      </c>
      <c r="AR11" s="3">
        <f t="shared" si="4"/>
        <v>1</v>
      </c>
      <c r="AS11" s="3">
        <f t="shared" si="5"/>
        <v>1</v>
      </c>
      <c r="AT11" s="3">
        <f t="shared" si="6"/>
        <v>1</v>
      </c>
      <c r="AU11" s="3">
        <f t="shared" si="7"/>
        <v>1</v>
      </c>
      <c r="AV11" s="3">
        <f t="shared" si="8"/>
        <v>12</v>
      </c>
      <c r="AW11" s="3">
        <f t="shared" si="9"/>
        <v>8</v>
      </c>
      <c r="AX11" s="3">
        <f t="shared" si="10"/>
        <v>5</v>
      </c>
      <c r="AY11" s="3">
        <f t="shared" si="11"/>
        <v>5</v>
      </c>
      <c r="AZ11" s="3">
        <f t="shared" si="12"/>
        <v>1</v>
      </c>
      <c r="BA11" s="3">
        <f>IF(ISERROR(LEN(VLOOKUP(A11,Seqs!A:E,2,FALSE))-AL11),"-",LEN(VLOOKUP(A11,Seqs!A:E,2,FALSE))-AL11)</f>
        <v>22</v>
      </c>
      <c r="BB11" s="16">
        <f t="shared" si="13"/>
        <v>28</v>
      </c>
      <c r="BC11" s="9">
        <f t="shared" si="14"/>
        <v>19</v>
      </c>
      <c r="BD11" s="3">
        <f t="shared" si="15"/>
        <v>28</v>
      </c>
      <c r="BE11" s="3">
        <f t="shared" si="16"/>
        <v>43</v>
      </c>
    </row>
    <row r="12" spans="1:59" s="3" customFormat="1" x14ac:dyDescent="0.2">
      <c r="A12" s="3" t="s">
        <v>216</v>
      </c>
      <c r="B12" s="3" t="str">
        <f>LOWER(VLOOKUP(A12,Xtal_Templ!A:B,2,FALSE))</f>
        <v>5ht2c_human</v>
      </c>
      <c r="C12" s="3">
        <f>VLOOKUP($A12,'SegEnds_NonXtal_BW#'!$A:$Z,3,FALSE)+D12-50</f>
        <v>27</v>
      </c>
      <c r="D12" s="3">
        <v>44</v>
      </c>
      <c r="E12" s="3">
        <f>IF(ISERROR(VLOOKUP($A12,'SegEnds_NonXtal_BW#'!$A:$Z,4,FALSE)+VLOOKUP($A12,A:AL,4,FALSE)-50),"-",(VLOOKUP($A12,'SegEnds_NonXtal_BW#'!$A:$Z,4,FALSE)+VLOOKUP($A12,A:AL,4,FALSE)-50))</f>
        <v>54</v>
      </c>
      <c r="F12" s="3" t="str">
        <f>IF(ISERROR(VLOOKUP($A12,'SegEnds_NonXtal_BW#'!$A:$Z,5,FALSE)+VLOOKUP($A12,A:AL,7,FALSE)-50),"-",(VLOOKUP($A12,'SegEnds_NonXtal_BW#'!$A:$Z,5,FALSE)+VLOOKUP($A12,A:AL,7,FALSE)-50))</f>
        <v>-</v>
      </c>
      <c r="G12" s="3" t="s">
        <v>23</v>
      </c>
      <c r="H12" s="3" t="str">
        <f>IF(ISERROR(VLOOKUP($A12,'SegEnds_NonXtal_BW#'!$A:$Z,6,FALSE)+VLOOKUP($A12,A:AL,7,FALSE)-50),"-",(VLOOKUP($A12,'SegEnds_NonXtal_BW#'!$A:$Z,6,FALSE)+VLOOKUP($A12,A:AL,7,FALSE)-50))</f>
        <v>-</v>
      </c>
      <c r="I12" s="3">
        <f>VLOOKUP($A12,'SegEnds_NonXtal_BW#'!$A:$Z,7,FALSE)+J12-50</f>
        <v>60</v>
      </c>
      <c r="J12" s="3">
        <v>73</v>
      </c>
      <c r="K12" s="3">
        <f>VLOOKUP($A12,'SegEnds_NonXtal_BW#'!$A:$Z,8,FALSE)+VLOOKUP($A12,A:AL,10,FALSE)-50</f>
        <v>90</v>
      </c>
      <c r="L12" s="3" t="s">
        <v>23</v>
      </c>
      <c r="M12" s="3" t="s">
        <v>23</v>
      </c>
      <c r="N12" s="3" t="s">
        <v>23</v>
      </c>
      <c r="O12" s="3">
        <f>VLOOKUP($A12,'SegEnds_NonXtal_BW#'!$A:$Z,11,FALSE)+VLOOKUP($A12,A:AL,16,FALSE)-50</f>
        <v>94</v>
      </c>
      <c r="P12" s="3">
        <v>126</v>
      </c>
      <c r="Q12" s="3">
        <f>VLOOKUP($A12,'SegEnds_NonXtal_BW#'!$A:$Z,12,FALSE)+VLOOKUP($A12,A:AL,16,FALSE)-50</f>
        <v>132</v>
      </c>
      <c r="R12" s="3">
        <f>IF(ISERROR(VLOOKUP($A12,'SegEnds_NonXtal_BW#'!$A:$Z,13,FALSE)+VLOOKUP($A12,A:AL,19,FALSE)-50),"-",VLOOKUP($A12,'SegEnds_NonXtal_BW#'!$A:$Z,13,FALSE)+VLOOKUP($A12,A:AL,19,FALSE)-50)</f>
        <v>133</v>
      </c>
      <c r="S12" s="3">
        <v>133</v>
      </c>
      <c r="T12" s="100">
        <f>IF(ISERROR(VLOOKUP($A12,'SegEnds_NonXtal_BW#'!$A:$Z,14,FALSE)+VLOOKUP($A12,A:AL,19,FALSE)-50),"-",(VLOOKUP($A12,'SegEnds_NonXtal_BW#'!$A:$Z,14,FALSE)+VLOOKUP($A12,A:AL,19,FALSE)-50))</f>
        <v>139</v>
      </c>
      <c r="U12" s="9">
        <f>IF(ISERROR(VLOOKUP($A12,'SegEnds_NonXtal_BW#'!$A:$Z,15,FALSE)+VLOOKUP($A12,A:AL,22,FALSE)-50),"-",VLOOKUP($A12,'SegEnds_NonXtal_BW#'!$A:$Z,15,FALSE)+VLOOKUP($A12,A:AL,22,FALSE)-50)</f>
        <v>140</v>
      </c>
      <c r="V12" s="3">
        <v>152</v>
      </c>
      <c r="W12" s="3">
        <f>IF(ISERROR(VLOOKUP($A12,'SegEnds_NonXtal_BW#'!$A:$Z,16,FALSE)+VLOOKUP($A12,A:AL,22,FALSE)-50),"-",(VLOOKUP($A12,'SegEnds_NonXtal_BW#'!$A:$Z,16,FALSE)+VLOOKUP($A12,A:AL,22,FALSE)-50))</f>
        <v>169</v>
      </c>
      <c r="X12" s="3" t="str">
        <f>IF(ISERROR(VLOOKUP($A12,'SegEnds_NonXtal_BW#'!$A:$Z,17,FALSE)+VLOOKUP($A12,A:AL,25,FALSE)-50),"-",(VLOOKUP($A12,'SegEnds_NonXtal_BW#'!$A:$Z,17,FALSE)+VLOOKUP($A12,A:AL,25,FALSE)-50))</f>
        <v>-</v>
      </c>
      <c r="Y12" s="3" t="s">
        <v>23</v>
      </c>
      <c r="Z12" s="3" t="str">
        <f>IF(ISERROR(VLOOKUP($A12,'SegEnds_NonXtal_BW#'!$A:$Z,18,FALSE)+VLOOKUP($A12,A:AL,25,FALSE)-50),"-",(VLOOKUP($A12,'SegEnds_NonXtal_BW#'!$A:$Z,18,FALSE)+VLOOKUP($A12,A:AL,25,FALSE)-50))</f>
        <v>-</v>
      </c>
      <c r="AA12" s="3">
        <f>IF(ISERROR(VLOOKUP($A12,'SegEnds_NonXtal_BW#'!$A:$Z,19,FALSE)+VLOOKUP($A12,A:AL,28,FALSE)-50),"-",(VLOOKUP($A12,'SegEnds_NonXtal_BW#'!$A:$Z,19,FALSE)+VLOOKUP($A12,A:AL,28,FALSE)-50))</f>
        <v>180</v>
      </c>
      <c r="AB12" s="3">
        <v>195</v>
      </c>
      <c r="AC12" s="3">
        <f>IF(ISERROR((VLOOKUP($A12,'SegEnds_NonXtal_BW#'!$A:$Z,20,FALSE)+VLOOKUP($A12,A:AL,28,FALSE)-50)),"-",(VLOOKUP($A12,'SegEnds_NonXtal_BW#'!$A:$Z,20,FALSE)+VLOOKUP($A12,A:AL,28,FALSE)-50))</f>
        <v>213</v>
      </c>
      <c r="AD12" s="3">
        <f>IF(ISERROR(VLOOKUP($A12,'SegEnds_NonXtal_BW#'!$A:$Z,21,FALSE)+VLOOKUP($A12,A:AL,31,FALSE)-50),"-",(VLOOKUP($A12,'SegEnds_NonXtal_BW#'!$A:$Z,21,FALSE)+VLOOKUP($A12,A:AL,31,FALSE)-50))</f>
        <v>217</v>
      </c>
      <c r="AE12" s="3">
        <v>243</v>
      </c>
      <c r="AF12" s="3">
        <f>IF(ISERROR((VLOOKUP($A12,'SegEnds_NonXtal_BW#'!$A:$Z,22,FALSE)+VLOOKUP($A12,A:AL,31,FALSE)-50)),"-",(VLOOKUP($A12,'SegEnds_NonXtal_BW#'!$A:$Z,22,FALSE)+VLOOKUP($A12,A:AL,31,FALSE)-50))</f>
        <v>254</v>
      </c>
      <c r="AG12" s="3">
        <f>IF(ISERROR(VLOOKUP($A12,'SegEnds_NonXtal_BW#'!$A:$Z,23,FALSE)+VLOOKUP($A12,A:AL,34,FALSE)-50),"-",(VLOOKUP($A12,'SegEnds_NonXtal_BW#'!$A:$Z,23,FALSE)+VLOOKUP($A12,A:AL,34,FALSE)-50))</f>
        <v>260</v>
      </c>
      <c r="AH12" s="3">
        <v>282</v>
      </c>
      <c r="AI12" s="3">
        <f>IF(ISERROR((VLOOKUP($A12,'SegEnds_NonXtal_BW#'!$A:$Z,24,FALSE)+VLOOKUP($A12,A:AL,34,FALSE)-50)),"-",(VLOOKUP($A12,'SegEnds_NonXtal_BW#'!$A:$Z,24,FALSE)+VLOOKUP($A12,A:AL,34,FALSE)-50))</f>
        <v>288</v>
      </c>
      <c r="AJ12" s="3">
        <f>IF(ISERROR(VLOOKUP($A12,'SegEnds_NonXtal_BW#'!$A:$Z,25,FALSE)+VLOOKUP($A12,A:AL,37,FALSE)-50),"-",(VLOOKUP($A12,'SegEnds_NonXtal_BW#'!$A:$Z,25,FALSE)+VLOOKUP($A12,A:AL,37,FALSE)-50))</f>
        <v>289</v>
      </c>
      <c r="AK12" s="3">
        <v>292</v>
      </c>
      <c r="AL12" s="3">
        <f>IF(ISERROR((VLOOKUP($A12,'SegEnds_NonXtal_BW#'!$A:$Z,26,FALSE)+VLOOKUP($A12,A:AL,37,FALSE)-50)),"-",(VLOOKUP($A12,'SegEnds_NonXtal_BW#'!$A:$Z,26,FALSE)+VLOOKUP($A12,A:AL,37,FALSE)-50))</f>
        <v>302</v>
      </c>
      <c r="AM12" s="28" t="str">
        <f>VLOOKUP(A12,Classification!A:B,2,FALSE)</f>
        <v>A</v>
      </c>
      <c r="AN12" s="28" t="b">
        <f t="shared" si="17"/>
        <v>1</v>
      </c>
      <c r="AO12" s="3" t="str">
        <f>IF(ISERROR(MATCH(A12,'SegEnds_Xtal_Prot#'!B:B, 0)), "NoXtal", "Xtal")</f>
        <v>NoXtal</v>
      </c>
      <c r="AP12" s="3" t="str">
        <f t="shared" si="2"/>
        <v>-</v>
      </c>
      <c r="AQ12" s="3" t="str">
        <f t="shared" si="3"/>
        <v>-</v>
      </c>
      <c r="AR12" s="3" t="str">
        <f t="shared" si="4"/>
        <v>-</v>
      </c>
      <c r="AS12" s="3" t="str">
        <f t="shared" si="5"/>
        <v>-</v>
      </c>
      <c r="AT12" s="3">
        <f t="shared" si="6"/>
        <v>1</v>
      </c>
      <c r="AU12" s="3">
        <f t="shared" si="7"/>
        <v>1</v>
      </c>
      <c r="AV12" s="3" t="str">
        <f t="shared" si="8"/>
        <v>-</v>
      </c>
      <c r="AW12" s="3" t="str">
        <f t="shared" si="9"/>
        <v>-</v>
      </c>
      <c r="AX12" s="3">
        <f t="shared" si="10"/>
        <v>4</v>
      </c>
      <c r="AY12" s="3">
        <f t="shared" si="11"/>
        <v>6</v>
      </c>
      <c r="AZ12" s="3">
        <f t="shared" si="12"/>
        <v>1</v>
      </c>
      <c r="BA12" s="3">
        <f>IF(ISERROR(LEN(VLOOKUP(A12,Seqs!A:E,2,FALSE))-AL12),"-",LEN(VLOOKUP(A12,Seqs!A:E,2,FALSE))-AL12)</f>
        <v>51</v>
      </c>
      <c r="BB12" s="16">
        <f t="shared" si="13"/>
        <v>29</v>
      </c>
      <c r="BC12" s="9">
        <f t="shared" si="14"/>
        <v>19</v>
      </c>
      <c r="BD12" s="3">
        <f t="shared" si="15"/>
        <v>29</v>
      </c>
      <c r="BE12" s="3">
        <f t="shared" si="16"/>
        <v>48</v>
      </c>
    </row>
    <row r="13" spans="1:59" s="3" customFormat="1" x14ac:dyDescent="0.2">
      <c r="A13" s="3" t="s">
        <v>218</v>
      </c>
      <c r="B13" s="3" t="str">
        <f>LOWER(VLOOKUP(A13,Xtal_Templ!A:B,2,FALSE))</f>
        <v>drd2_human</v>
      </c>
      <c r="C13" s="3">
        <f>VLOOKUP($A13,'SegEnds_NonXtal_BW#'!$A:$Z,3,FALSE)+D13-50</f>
        <v>153</v>
      </c>
      <c r="D13" s="3">
        <v>174</v>
      </c>
      <c r="E13" s="3">
        <f>IF(ISERROR(VLOOKUP($A13,'SegEnds_NonXtal_BW#'!$A:$Z,4,FALSE)+VLOOKUP($A13,A:AL,4,FALSE)-50),"-",(VLOOKUP($A13,'SegEnds_NonXtal_BW#'!$A:$Z,4,FALSE)+VLOOKUP($A13,A:AL,4,FALSE)-50))</f>
        <v>184</v>
      </c>
      <c r="F13" s="3" t="str">
        <f>IF(ISERROR(VLOOKUP($A13,'SegEnds_NonXtal_BW#'!$A:$Z,5,FALSE)+VLOOKUP($A13,A:AL,7,FALSE)-50),"-",(VLOOKUP($A13,'SegEnds_NonXtal_BW#'!$A:$Z,5,FALSE)+VLOOKUP($A13,A:AL,7,FALSE)-50))</f>
        <v>-</v>
      </c>
      <c r="G13" s="3" t="s">
        <v>23</v>
      </c>
      <c r="H13" s="3" t="str">
        <f>IF(ISERROR(VLOOKUP($A13,'SegEnds_NonXtal_BW#'!$A:$Z,6,FALSE)+VLOOKUP($A13,A:AL,7,FALSE)-50),"-",(VLOOKUP($A13,'SegEnds_NonXtal_BW#'!$A:$Z,6,FALSE)+VLOOKUP($A13,A:AL,7,FALSE)-50))</f>
        <v>-</v>
      </c>
      <c r="I13" s="3">
        <f>VLOOKUP($A13,'SegEnds_NonXtal_BW#'!$A:$Z,7,FALSE)+J13-50</f>
        <v>190</v>
      </c>
      <c r="J13" s="3">
        <v>203</v>
      </c>
      <c r="K13" s="3">
        <f>VLOOKUP($A13,'SegEnds_NonXtal_BW#'!$A:$Z,8,FALSE)+VLOOKUP($A13,A:AL,10,FALSE)-50</f>
        <v>220</v>
      </c>
      <c r="L13" s="3" t="str">
        <f>IF(ISERROR(VLOOKUP($A13,'SegEnds_NonXtal_BW#'!$A:$Z,9,FALSE)+VLOOKUP($A13,A:AL,13,FALSE)-50),"-",(VLOOKUP($A13,'SegEnds_NonXtal_BW#'!$A:$Z,9,FALSE)+VLOOKUP($A13,A:AL,13,FALSE)-50))</f>
        <v>-</v>
      </c>
      <c r="M13" s="3" t="s">
        <v>23</v>
      </c>
      <c r="N13" s="3" t="str">
        <f>IF(ISERROR(VLOOKUP($A13,'SegEnds_NonXtal_BW#'!$A:$Z,10,FALSE)+VLOOKUP($A13,A:AL,13,FALSE)-50),"-",(VLOOKUP($A13,'SegEnds_NonXtal_BW#'!$A:$Z,10,FALSE)+VLOOKUP($A13,A:AL,13,FALSE)-50))</f>
        <v>-</v>
      </c>
      <c r="O13" s="3">
        <f>VLOOKUP($A13,'SegEnds_NonXtal_BW#'!$A:$Z,11,FALSE)+VLOOKUP($A13,A:AL,16,FALSE)-50</f>
        <v>224</v>
      </c>
      <c r="P13" s="3">
        <v>256</v>
      </c>
      <c r="Q13" s="3">
        <f>VLOOKUP($A13,'SegEnds_NonXtal_BW#'!$A:$Z,12,FALSE)+VLOOKUP($A13,A:AL,16,FALSE)-50</f>
        <v>262</v>
      </c>
      <c r="R13" s="3">
        <f>IF(ISERROR(VLOOKUP($A13,'SegEnds_NonXtal_BW#'!$A:$Z,13,FALSE)+VLOOKUP($A13,A:AL,19,FALSE)-50),"-",VLOOKUP($A13,'SegEnds_NonXtal_BW#'!$A:$Z,13,FALSE)+VLOOKUP($A13,A:AL,19,FALSE)-50)</f>
        <v>263</v>
      </c>
      <c r="S13" s="3">
        <v>263</v>
      </c>
      <c r="T13" s="100">
        <f>IF(ISERROR(VLOOKUP($A13,'SegEnds_NonXtal_BW#'!$A:$Z,14,FALSE)+VLOOKUP($A13,A:AL,19,FALSE)-50),"-",(VLOOKUP($A13,'SegEnds_NonXtal_BW#'!$A:$Z,14,FALSE)+VLOOKUP($A13,A:AL,19,FALSE)-50))</f>
        <v>269</v>
      </c>
      <c r="U13" s="9">
        <f>IF(ISERROR(VLOOKUP($A13,'SegEnds_NonXtal_BW#'!$A:$Z,15,FALSE)+VLOOKUP($A13,A:AL,22,FALSE)-50),"-",VLOOKUP($A13,'SegEnds_NonXtal_BW#'!$A:$Z,15,FALSE)+VLOOKUP($A13,A:AL,22,FALSE)-50)</f>
        <v>270</v>
      </c>
      <c r="V13" s="3">
        <v>282</v>
      </c>
      <c r="W13" s="3">
        <f>IF(ISERROR(VLOOKUP($A13,'SegEnds_NonXtal_BW#'!$A:$Z,16,FALSE)+VLOOKUP($A13,A:AL,22,FALSE)-50),"-",(VLOOKUP($A13,'SegEnds_NonXtal_BW#'!$A:$Z,16,FALSE)+VLOOKUP($A13,A:AL,22,FALSE)-50))</f>
        <v>294</v>
      </c>
      <c r="X13" s="3" t="str">
        <f>IF(ISERROR(VLOOKUP($A13,'SegEnds_NonXtal_BW#'!$A:$Z,17,FALSE)+VLOOKUP($A13,A:AL,25,FALSE)-50),"-",(VLOOKUP($A13,'SegEnds_NonXtal_BW#'!$A:$Z,17,FALSE)+VLOOKUP($A13,A:AL,25,FALSE)-50))</f>
        <v>-</v>
      </c>
      <c r="Y13" s="3" t="s">
        <v>23</v>
      </c>
      <c r="Z13" s="3" t="str">
        <f>IF(ISERROR(VLOOKUP($A13,'SegEnds_NonXtal_BW#'!$A:$Z,18,FALSE)+VLOOKUP($A13,A:AL,25,FALSE)-50),"-",(VLOOKUP($A13,'SegEnds_NonXtal_BW#'!$A:$Z,18,FALSE)+VLOOKUP($A13,A:AL,25,FALSE)-50))</f>
        <v>-</v>
      </c>
      <c r="AA13" s="3">
        <f>IF(ISERROR(VLOOKUP($A13,'SegEnds_NonXtal_BW#'!$A:$Z,19,FALSE)+VLOOKUP($A13,A:AL,28,FALSE)-50),"-",(VLOOKUP($A13,'SegEnds_NonXtal_BW#'!$A:$Z,19,FALSE)+VLOOKUP($A13,A:AL,28,FALSE)-50))</f>
        <v>310</v>
      </c>
      <c r="AB13" s="3">
        <v>325</v>
      </c>
      <c r="AC13" s="3">
        <f>IF(ISERROR((VLOOKUP($A13,'SegEnds_NonXtal_BW#'!$A:$Z,20,FALSE)+VLOOKUP($A13,A:AL,28,FALSE)-50)),"-",(VLOOKUP($A13,'SegEnds_NonXtal_BW#'!$A:$Z,20,FALSE)+VLOOKUP($A13,A:AL,28,FALSE)-50))</f>
        <v>342</v>
      </c>
      <c r="AD13" s="3">
        <f>IF(ISERROR(VLOOKUP($A13,'SegEnds_NonXtal_BW#'!$A:$Z,21,FALSE)+VLOOKUP($A13,A:AL,31,FALSE)-50),"-",(VLOOKUP($A13,'SegEnds_NonXtal_BW#'!$A:$Z,21,FALSE)+VLOOKUP($A13,A:AL,31,FALSE)-50))</f>
        <v>348</v>
      </c>
      <c r="AE13" s="3">
        <v>372</v>
      </c>
      <c r="AF13" s="3">
        <f>IF(ISERROR((VLOOKUP($A13,'SegEnds_NonXtal_BW#'!$A:$Z,22,FALSE)+VLOOKUP($A13,A:AL,31,FALSE)-50)),"-",(VLOOKUP($A13,'SegEnds_NonXtal_BW#'!$A:$Z,22,FALSE)+VLOOKUP($A13,A:AL,31,FALSE)-50))</f>
        <v>383</v>
      </c>
      <c r="AG13" s="3">
        <f>IF(ISERROR(VLOOKUP($A13,'SegEnds_NonXtal_BW#'!$A:$Z,23,FALSE)+VLOOKUP($A13,A:AL,34,FALSE)-50),"-",(VLOOKUP($A13,'SegEnds_NonXtal_BW#'!$A:$Z,23,FALSE)+VLOOKUP($A13,A:AL,34,FALSE)-50))</f>
        <v>389</v>
      </c>
      <c r="AH13" s="3">
        <v>411</v>
      </c>
      <c r="AI13" s="3">
        <f>IF(ISERROR((VLOOKUP($A13,'SegEnds_NonXtal_BW#'!$A:$Z,24,FALSE)+VLOOKUP($A13,A:AL,34,FALSE)-50)),"-",(VLOOKUP($A13,'SegEnds_NonXtal_BW#'!$A:$Z,24,FALSE)+VLOOKUP($A13,A:AL,34,FALSE)-50))</f>
        <v>417</v>
      </c>
      <c r="AJ13" s="3">
        <f>IF(ISERROR(VLOOKUP($A13,'SegEnds_NonXtal_BW#'!$A:$Z,25,FALSE)+VLOOKUP($A13,A:AL,37,FALSE)-50),"-",(VLOOKUP($A13,'SegEnds_NonXtal_BW#'!$A:$Z,25,FALSE)+VLOOKUP($A13,A:AL,37,FALSE)-50))</f>
        <v>418</v>
      </c>
      <c r="AK13" s="3">
        <v>421</v>
      </c>
      <c r="AL13" s="3">
        <f>IF(ISERROR((VLOOKUP($A13,'SegEnds_NonXtal_BW#'!$A:$Z,26,FALSE)+VLOOKUP($A13,A:AL,37,FALSE)-50)),"-",(VLOOKUP($A13,'SegEnds_NonXtal_BW#'!$A:$Z,26,FALSE)+VLOOKUP($A13,A:AL,37,FALSE)-50))</f>
        <v>430</v>
      </c>
      <c r="AM13" s="28" t="str">
        <f>VLOOKUP(A13,Classification!A:B,2,FALSE)</f>
        <v>A</v>
      </c>
      <c r="AN13" s="28" t="b">
        <f t="shared" si="17"/>
        <v>1</v>
      </c>
      <c r="AO13" s="3" t="str">
        <f>IF(ISERROR(MATCH(A13,'SegEnds_Xtal_Prot#'!B:B, 0)), "NoXtal", "Xtal")</f>
        <v>NoXtal</v>
      </c>
      <c r="AP13" s="3" t="str">
        <f t="shared" si="2"/>
        <v>-</v>
      </c>
      <c r="AQ13" s="3" t="str">
        <f t="shared" si="3"/>
        <v>-</v>
      </c>
      <c r="AR13" s="3" t="str">
        <f t="shared" si="4"/>
        <v>-</v>
      </c>
      <c r="AS13" s="3" t="str">
        <f t="shared" si="5"/>
        <v>-</v>
      </c>
      <c r="AT13" s="3">
        <f t="shared" si="6"/>
        <v>1</v>
      </c>
      <c r="AU13" s="3">
        <f t="shared" si="7"/>
        <v>1</v>
      </c>
      <c r="AV13" s="3" t="str">
        <f t="shared" si="8"/>
        <v>-</v>
      </c>
      <c r="AW13" s="3" t="str">
        <f t="shared" si="9"/>
        <v>-</v>
      </c>
      <c r="AX13" s="3">
        <f t="shared" si="10"/>
        <v>6</v>
      </c>
      <c r="AY13" s="3">
        <f t="shared" si="11"/>
        <v>6</v>
      </c>
      <c r="AZ13" s="3">
        <f t="shared" si="12"/>
        <v>1</v>
      </c>
      <c r="BA13" s="3">
        <f>IF(ISERROR(LEN(VLOOKUP(A13,Seqs!A:E,2,FALSE))-AL13),"-",LEN(VLOOKUP(A13,Seqs!A:E,2,FALSE))-AL13)</f>
        <v>32</v>
      </c>
      <c r="BB13" s="16">
        <f t="shared" si="13"/>
        <v>29</v>
      </c>
      <c r="BC13" s="9">
        <f t="shared" si="14"/>
        <v>19</v>
      </c>
      <c r="BD13" s="3">
        <f t="shared" si="15"/>
        <v>29</v>
      </c>
      <c r="BE13" s="3">
        <f t="shared" si="16"/>
        <v>47</v>
      </c>
    </row>
    <row r="14" spans="1:59" s="3" customFormat="1" x14ac:dyDescent="0.2">
      <c r="A14" s="3" t="s">
        <v>223</v>
      </c>
      <c r="B14" s="3" t="str">
        <f>LOWER(VLOOKUP(A14,Xtal_Templ!A:B,2,FALSE))</f>
        <v>agtr2_human</v>
      </c>
      <c r="C14" s="3">
        <f>VLOOKUP($A14,'SegEnds_NonXtal_BW#'!$A:$Z,3,FALSE)+D14-50</f>
        <v>37</v>
      </c>
      <c r="D14" s="3">
        <v>54</v>
      </c>
      <c r="E14" s="3">
        <f>IF(ISERROR(VLOOKUP($A14,'SegEnds_NonXtal_BW#'!$A:$Z,4,FALSE)+VLOOKUP($A14,A:AL,4,FALSE)-50),"-",(VLOOKUP($A14,'SegEnds_NonXtal_BW#'!$A:$Z,4,FALSE)+VLOOKUP($A14,A:AL,4,FALSE)-50))</f>
        <v>64</v>
      </c>
      <c r="F14" s="3" t="str">
        <f>IF(ISERROR(VLOOKUP($A14,'SegEnds_NonXtal_BW#'!$A:$Z,5,FALSE)+VLOOKUP($A14,A:AL,7,FALSE)-50),"-",(VLOOKUP($A14,'SegEnds_NonXtal_BW#'!$A:$Z,5,FALSE)+VLOOKUP($A14,A:AL,7,FALSE)-50))</f>
        <v>-</v>
      </c>
      <c r="G14" s="3" t="s">
        <v>23</v>
      </c>
      <c r="H14" s="3" t="str">
        <f>IF(ISERROR(VLOOKUP($A14,'SegEnds_NonXtal_BW#'!$A:$Z,6,FALSE)+VLOOKUP($A14,A:AL,7,FALSE)-50),"-",(VLOOKUP($A14,'SegEnds_NonXtal_BW#'!$A:$Z,6,FALSE)+VLOOKUP($A14,A:AL,7,FALSE)-50))</f>
        <v>-</v>
      </c>
      <c r="I14" s="3">
        <f>VLOOKUP($A14,'SegEnds_NonXtal_BW#'!$A:$Z,7,FALSE)+J14-50</f>
        <v>71</v>
      </c>
      <c r="J14" s="3">
        <v>84</v>
      </c>
      <c r="K14" s="3">
        <f>VLOOKUP($A14,'SegEnds_NonXtal_BW#'!$A:$Z,8,FALSE)+VLOOKUP($A14,A:AL,10,FALSE)-50</f>
        <v>100</v>
      </c>
      <c r="L14" s="3">
        <f>M14-1</f>
        <v>103</v>
      </c>
      <c r="M14" s="3">
        <v>104</v>
      </c>
      <c r="N14" s="3">
        <f>M14+2</f>
        <v>106</v>
      </c>
      <c r="O14" s="3">
        <f t="shared" ref="O14:O28" si="22">N14+1</f>
        <v>107</v>
      </c>
      <c r="P14" s="3">
        <v>136</v>
      </c>
      <c r="Q14" s="3">
        <f>VLOOKUP($A14,'SegEnds_NonXtal_BW#'!$A:$Z,12,FALSE)+VLOOKUP($A14,A:AL,16,FALSE)-50</f>
        <v>142</v>
      </c>
      <c r="R14" s="3">
        <f>IF(ISERROR(VLOOKUP($A14,'SegEnds_NonXtal_BW#'!$A:$Z,13,FALSE)+VLOOKUP($A14,A:AL,19,FALSE)-50),"-",VLOOKUP($A14,'SegEnds_NonXtal_BW#'!$A:$Z,13,FALSE)+VLOOKUP($A14,A:AL,19,FALSE)-50)</f>
        <v>143</v>
      </c>
      <c r="S14" s="3">
        <v>143</v>
      </c>
      <c r="T14" s="100">
        <f>IF(ISERROR(VLOOKUP($A14,'SegEnds_NonXtal_BW#'!$A:$Z,14,FALSE)+VLOOKUP($A14,A:AL,19,FALSE)-50),"-",(VLOOKUP($A14,'SegEnds_NonXtal_BW#'!$A:$Z,14,FALSE)+VLOOKUP($A14,A:AL,19,FALSE)-50))</f>
        <v>149</v>
      </c>
      <c r="U14" s="9">
        <f>IF(ISERROR(VLOOKUP($A14,'SegEnds_NonXtal_BW#'!$A:$Z,15,FALSE)+VLOOKUP($A14,A:AL,22,FALSE)-50),"-",VLOOKUP($A14,'SegEnds_NonXtal_BW#'!$A:$Z,15,FALSE)+VLOOKUP($A14,A:AL,22,FALSE)-50)</f>
        <v>150</v>
      </c>
      <c r="V14" s="3">
        <v>162</v>
      </c>
      <c r="W14" s="3">
        <f>IF(ISERROR(VLOOKUP($A14,'SegEnds_NonXtal_BW#'!$A:$Z,16,FALSE)+VLOOKUP($A14,A:AL,22,FALSE)-50),"-",(VLOOKUP($A14,'SegEnds_NonXtal_BW#'!$A:$Z,16,FALSE)+VLOOKUP($A14,A:AL,22,FALSE)-50))</f>
        <v>176</v>
      </c>
      <c r="X14" s="3">
        <f>IF(ISERROR(VLOOKUP($A14,'SegEnds_NonXtal_BW#'!$A:$Z,17,FALSE)+VLOOKUP($A14,A:AL,25,FALSE)-50),"-",(VLOOKUP($A14,'SegEnds_NonXtal_BW#'!$A:$Z,17,FALSE)+VLOOKUP($A14,A:AL,25,FALSE)-50))</f>
        <v>187</v>
      </c>
      <c r="Y14" s="3">
        <v>187</v>
      </c>
      <c r="Z14" s="3">
        <f>Y14+2</f>
        <v>189</v>
      </c>
      <c r="AA14" s="3">
        <f>IF(ISERROR(VLOOKUP($A14,'SegEnds_NonXtal_BW#'!$A:$Z,19,FALSE)+VLOOKUP($A14,A:AL,28,FALSE)-50),"-",(VLOOKUP($A14,'SegEnds_NonXtal_BW#'!$A:$Z,19,FALSE)+VLOOKUP($A14,A:AL,28,FALSE)-50))</f>
        <v>194</v>
      </c>
      <c r="AB14" s="3">
        <v>214</v>
      </c>
      <c r="AC14" s="3">
        <f>IF(ISERROR((VLOOKUP($A14,'SegEnds_NonXtal_BW#'!$A:$Z,20,FALSE)+VLOOKUP($A14,A:AL,28,FALSE)-50)),"-",(VLOOKUP($A14,'SegEnds_NonXtal_BW#'!$A:$Z,20,FALSE)+VLOOKUP($A14,A:AL,28,FALSE)-50))</f>
        <v>232</v>
      </c>
      <c r="AD14" s="3">
        <f>IF(ISERROR(VLOOKUP($A14,'SegEnds_NonXtal_BW#'!$A:$Z,21,FALSE)+VLOOKUP($A14,A:AL,31,FALSE)-50),"-",(VLOOKUP($A14,'SegEnds_NonXtal_BW#'!$A:$Z,21,FALSE)+VLOOKUP($A14,A:AL,31,FALSE)-50))</f>
        <v>238</v>
      </c>
      <c r="AE14" s="3">
        <v>265</v>
      </c>
      <c r="AF14" s="3">
        <f>IF(ISERROR((VLOOKUP($A14,'SegEnds_NonXtal_BW#'!$A:$Z,22,FALSE)+VLOOKUP($A14,A:AL,31,FALSE)-50)),"-",(VLOOKUP($A14,'SegEnds_NonXtal_BW#'!$A:$Z,22,FALSE)+VLOOKUP($A14,A:AL,31,FALSE)-50))</f>
        <v>276</v>
      </c>
      <c r="AG14" s="3">
        <f>IF(ISERROR(VLOOKUP($A14,'SegEnds_NonXtal_BW#'!$A:$Z,23,FALSE)+VLOOKUP($A14,A:AL,34,FALSE)-50),"-",(VLOOKUP($A14,'SegEnds_NonXtal_BW#'!$A:$Z,23,FALSE)+VLOOKUP($A14,A:AL,34,FALSE)-50))</f>
        <v>281</v>
      </c>
      <c r="AH14" s="3">
        <v>303</v>
      </c>
      <c r="AI14" s="3">
        <f>IF(ISERROR((VLOOKUP($A14,'SegEnds_NonXtal_BW#'!$A:$Z,24,FALSE)+VLOOKUP($A14,A:AL,34,FALSE)-50)),"-",(VLOOKUP($A14,'SegEnds_NonXtal_BW#'!$A:$Z,24,FALSE)+VLOOKUP($A14,A:AL,34,FALSE)-50))</f>
        <v>309</v>
      </c>
      <c r="AJ14" s="3">
        <f>IF(ISERROR(VLOOKUP($A14,'SegEnds_NonXtal_BW#'!$A:$Z,25,FALSE)+VLOOKUP($A14,A:AL,37,FALSE)-50),"-",(VLOOKUP($A14,'SegEnds_NonXtal_BW#'!$A:$Z,25,FALSE)+VLOOKUP($A14,A:AL,37,FALSE)-50))</f>
        <v>310</v>
      </c>
      <c r="AK14" s="3">
        <v>313</v>
      </c>
      <c r="AL14" s="3">
        <f>IF(ISERROR((VLOOKUP($A14,'SegEnds_NonXtal_BW#'!$A:$Z,26,FALSE)+VLOOKUP($A14,A:AL,37,FALSE)-50)),"-",(VLOOKUP($A14,'SegEnds_NonXtal_BW#'!$A:$Z,26,FALSE)+VLOOKUP($A14,A:AL,37,FALSE)-50))</f>
        <v>324</v>
      </c>
      <c r="AM14" s="28" t="str">
        <f>VLOOKUP(A14,Classification!A:B,2,FALSE)</f>
        <v>A</v>
      </c>
      <c r="AN14" s="28" t="b">
        <f t="shared" si="17"/>
        <v>1</v>
      </c>
      <c r="AO14" s="3" t="str">
        <f>IF(ISERROR(MATCH(A14,'SegEnds_Xtal_Prot#'!B:B, 0)), "NoXtal", "Xtal")</f>
        <v>NoXtal</v>
      </c>
      <c r="AP14" s="3" t="str">
        <f t="shared" si="2"/>
        <v>-</v>
      </c>
      <c r="AQ14" s="3" t="str">
        <f t="shared" si="3"/>
        <v>-</v>
      </c>
      <c r="AR14" s="3">
        <f t="shared" si="4"/>
        <v>3</v>
      </c>
      <c r="AS14" s="3">
        <f t="shared" si="5"/>
        <v>1</v>
      </c>
      <c r="AT14" s="3">
        <f t="shared" si="6"/>
        <v>1</v>
      </c>
      <c r="AU14" s="3">
        <f t="shared" si="7"/>
        <v>1</v>
      </c>
      <c r="AV14" s="3">
        <f t="shared" si="8"/>
        <v>11</v>
      </c>
      <c r="AW14" s="3">
        <f t="shared" si="9"/>
        <v>5</v>
      </c>
      <c r="AX14" s="3">
        <f t="shared" si="10"/>
        <v>6</v>
      </c>
      <c r="AY14" s="3">
        <f t="shared" si="11"/>
        <v>5</v>
      </c>
      <c r="AZ14" s="3">
        <f t="shared" si="12"/>
        <v>1</v>
      </c>
      <c r="BA14" s="3">
        <f>IF(ISERROR(LEN(VLOOKUP(A14,Seqs!A:E,2,FALSE))-AL14),"-",LEN(VLOOKUP(A14,Seqs!A:E,2,FALSE))-AL14)</f>
        <v>95</v>
      </c>
      <c r="BB14" s="16">
        <f t="shared" si="13"/>
        <v>30</v>
      </c>
      <c r="BC14" s="9">
        <f t="shared" si="14"/>
        <v>19</v>
      </c>
      <c r="BD14" s="3">
        <f t="shared" si="15"/>
        <v>30</v>
      </c>
      <c r="BE14" s="3">
        <f t="shared" si="16"/>
        <v>51</v>
      </c>
    </row>
    <row r="15" spans="1:59" s="3" customFormat="1" x14ac:dyDescent="0.2">
      <c r="A15" s="3" t="s">
        <v>231</v>
      </c>
      <c r="B15" s="3" t="str">
        <f>LOWER(VLOOKUP(A15,Xtal_Templ!A:B,2,FALSE))</f>
        <v>p2ry1_human</v>
      </c>
      <c r="C15" s="3">
        <f>VLOOKUP($A15,'SegEnds_NonXtal_BW#'!$A:$Z,3,FALSE)+D15-50</f>
        <v>17</v>
      </c>
      <c r="D15" s="3">
        <v>37</v>
      </c>
      <c r="E15" s="3">
        <f>IF(ISERROR(VLOOKUP($A15,'SegEnds_NonXtal_BW#'!$A:$Z,4,FALSE)+VLOOKUP($A15,A:AL,4,FALSE)-50),"-",(VLOOKUP($A15,'SegEnds_NonXtal_BW#'!$A:$Z,4,FALSE)+VLOOKUP($A15,A:AL,4,FALSE)-50))</f>
        <v>47</v>
      </c>
      <c r="F15" s="3" t="str">
        <f>IF(ISERROR(VLOOKUP($A15,'SegEnds_NonXtal_BW#'!$A:$Z,5,FALSE)+VLOOKUP($A15,A:AL,7,FALSE)-50),"-",(VLOOKUP($A15,'SegEnds_NonXtal_BW#'!$A:$Z,5,FALSE)+VLOOKUP($A15,A:AL,7,FALSE)-50))</f>
        <v>-</v>
      </c>
      <c r="G15" s="3" t="s">
        <v>23</v>
      </c>
      <c r="H15" s="3" t="str">
        <f>IF(ISERROR(VLOOKUP($A15,'SegEnds_NonXtal_BW#'!$A:$Z,6,FALSE)+VLOOKUP($A15,A:AL,7,FALSE)-50),"-",(VLOOKUP($A15,'SegEnds_NonXtal_BW#'!$A:$Z,6,FALSE)+VLOOKUP($A15,A:AL,7,FALSE)-50))</f>
        <v>-</v>
      </c>
      <c r="I15" s="3">
        <f>VLOOKUP($A15,'SegEnds_NonXtal_BW#'!$A:$Z,7,FALSE)+J15-50</f>
        <v>52</v>
      </c>
      <c r="J15" s="3">
        <v>65</v>
      </c>
      <c r="K15" s="3">
        <f>VLOOKUP($A15,'SegEnds_NonXtal_BW#'!$A:$Z,8,FALSE)+VLOOKUP($A15,A:AL,10,FALSE)-50</f>
        <v>81</v>
      </c>
      <c r="L15" s="3">
        <f>M15-1</f>
        <v>83</v>
      </c>
      <c r="M15" s="3">
        <v>84</v>
      </c>
      <c r="N15" s="3">
        <f>M15+2</f>
        <v>86</v>
      </c>
      <c r="O15" s="3">
        <f t="shared" si="22"/>
        <v>87</v>
      </c>
      <c r="P15" s="3">
        <v>116</v>
      </c>
      <c r="Q15" s="3">
        <f>VLOOKUP($A15,'SegEnds_NonXtal_BW#'!$A:$Z,12,FALSE)+VLOOKUP($A15,A:AL,16,FALSE)-50</f>
        <v>122</v>
      </c>
      <c r="R15" s="3">
        <f>IF(ISERROR(VLOOKUP($A15,'SegEnds_NonXtal_BW#'!$A:$Z,13,FALSE)+VLOOKUP($A15,A:AL,19,FALSE)-50),"-",VLOOKUP($A15,'SegEnds_NonXtal_BW#'!$A:$Z,13,FALSE)+VLOOKUP($A15,A:AL,19,FALSE)-50)</f>
        <v>123</v>
      </c>
      <c r="S15" s="3">
        <v>123</v>
      </c>
      <c r="T15" s="100">
        <f>IF(ISERROR(VLOOKUP($A15,'SegEnds_NonXtal_BW#'!$A:$Z,14,FALSE)+VLOOKUP($A15,A:AL,19,FALSE)-50),"-",(VLOOKUP($A15,'SegEnds_NonXtal_BW#'!$A:$Z,14,FALSE)+VLOOKUP($A15,A:AL,19,FALSE)-50))</f>
        <v>129</v>
      </c>
      <c r="U15" s="9">
        <f>IF(ISERROR(VLOOKUP($A15,'SegEnds_NonXtal_BW#'!$A:$Z,15,FALSE)+VLOOKUP($A15,A:AL,22,FALSE)-50),"-",VLOOKUP($A15,'SegEnds_NonXtal_BW#'!$A:$Z,15,FALSE)+VLOOKUP($A15,A:AL,22,FALSE)-50)</f>
        <v>130</v>
      </c>
      <c r="V15" s="3">
        <v>142</v>
      </c>
      <c r="W15" s="3">
        <f>IF(ISERROR(VLOOKUP($A15,'SegEnds_NonXtal_BW#'!$A:$Z,16,FALSE)+VLOOKUP($A15,A:AL,22,FALSE)-50),"-",(VLOOKUP($A15,'SegEnds_NonXtal_BW#'!$A:$Z,16,FALSE)+VLOOKUP($A15,A:AL,22,FALSE)-50))</f>
        <v>156</v>
      </c>
      <c r="X15" s="3">
        <f>IF(ISERROR(VLOOKUP($A15,'SegEnds_NonXtal_BW#'!$A:$Z,17,FALSE)+VLOOKUP($A15,A:AL,25,FALSE)-50),"-",(VLOOKUP($A15,'SegEnds_NonXtal_BW#'!$A:$Z,17,FALSE)+VLOOKUP($A15,A:AL,25,FALSE)-50))</f>
        <v>168</v>
      </c>
      <c r="Y15" s="3">
        <v>168</v>
      </c>
      <c r="Z15" s="3">
        <f>Y15+2</f>
        <v>170</v>
      </c>
      <c r="AA15" s="3">
        <f>IF(ISERROR(VLOOKUP($A15,'SegEnds_NonXtal_BW#'!$A:$Z,19,FALSE)+VLOOKUP($A15,A:AL,28,FALSE)-50),"-",(VLOOKUP($A15,'SegEnds_NonXtal_BW#'!$A:$Z,19,FALSE)+VLOOKUP($A15,A:AL,28,FALSE)-50))</f>
        <v>179</v>
      </c>
      <c r="AB15" s="3">
        <v>197</v>
      </c>
      <c r="AC15" s="3">
        <f>IF(ISERROR((VLOOKUP($A15,'SegEnds_NonXtal_BW#'!$A:$Z,20,FALSE)+VLOOKUP($A15,A:AL,28,FALSE)-50)),"-",(VLOOKUP($A15,'SegEnds_NonXtal_BW#'!$A:$Z,20,FALSE)+VLOOKUP($A15,A:AL,28,FALSE)-50))</f>
        <v>215</v>
      </c>
      <c r="AD15" s="3">
        <f>IF(ISERROR(VLOOKUP($A15,'SegEnds_NonXtal_BW#'!$A:$Z,21,FALSE)+VLOOKUP($A15,A:AL,31,FALSE)-50),"-",(VLOOKUP($A15,'SegEnds_NonXtal_BW#'!$A:$Z,21,FALSE)+VLOOKUP($A15,A:AL,31,FALSE)-50))</f>
        <v>219</v>
      </c>
      <c r="AE15" s="3">
        <v>245</v>
      </c>
      <c r="AF15" s="3">
        <f>IF(ISERROR((VLOOKUP($A15,'SegEnds_NonXtal_BW#'!$A:$Z,22,FALSE)+VLOOKUP($A15,A:AL,31,FALSE)-50)),"-",(VLOOKUP($A15,'SegEnds_NonXtal_BW#'!$A:$Z,22,FALSE)+VLOOKUP($A15,A:AL,31,FALSE)-50))</f>
        <v>259</v>
      </c>
      <c r="AG15" s="3">
        <f>IF(ISERROR(VLOOKUP($A15,'SegEnds_NonXtal_BW#'!$A:$Z,23,FALSE)+VLOOKUP($A15,A:AL,34,FALSE)-50),"-",(VLOOKUP($A15,'SegEnds_NonXtal_BW#'!$A:$Z,23,FALSE)+VLOOKUP($A15,A:AL,34,FALSE)-50))</f>
        <v>263</v>
      </c>
      <c r="AH15" s="3">
        <v>289</v>
      </c>
      <c r="AI15" s="3">
        <f>IF(ISERROR((VLOOKUP($A15,'SegEnds_NonXtal_BW#'!$A:$Z,24,FALSE)+VLOOKUP($A15,A:AL,34,FALSE)-50)),"-",(VLOOKUP($A15,'SegEnds_NonXtal_BW#'!$A:$Z,24,FALSE)+VLOOKUP($A15,A:AL,34,FALSE)-50))</f>
        <v>295</v>
      </c>
      <c r="AJ15" s="3">
        <f>IF(ISERROR(VLOOKUP($A15,'SegEnds_NonXtal_BW#'!$A:$Z,25,FALSE)+VLOOKUP($A15,A:AL,37,FALSE)-50),"-",(VLOOKUP($A15,'SegEnds_NonXtal_BW#'!$A:$Z,25,FALSE)+VLOOKUP($A15,A:AL,37,FALSE)-50))</f>
        <v>296</v>
      </c>
      <c r="AK15" s="3">
        <v>299</v>
      </c>
      <c r="AL15" s="3">
        <f>IF(ISERROR((VLOOKUP($A15,'SegEnds_NonXtal_BW#'!$A:$Z,26,FALSE)+VLOOKUP($A15,A:AL,37,FALSE)-50)),"-",(VLOOKUP($A15,'SegEnds_NonXtal_BW#'!$A:$Z,26,FALSE)+VLOOKUP($A15,A:AL,37,FALSE)-50))</f>
        <v>308</v>
      </c>
      <c r="AM15" s="28" t="str">
        <f>VLOOKUP(A15,Classification!A:B,2,FALSE)</f>
        <v>A</v>
      </c>
      <c r="AN15" s="28" t="b">
        <f t="shared" si="17"/>
        <v>1</v>
      </c>
      <c r="AO15" s="3" t="str">
        <f>IF(ISERROR(MATCH(A15,'SegEnds_Xtal_Prot#'!B:B, 0)), "NoXtal", "Xtal")</f>
        <v>NoXtal</v>
      </c>
      <c r="AP15" s="3" t="str">
        <f t="shared" si="2"/>
        <v>-</v>
      </c>
      <c r="AQ15" s="3" t="str">
        <f t="shared" si="3"/>
        <v>-</v>
      </c>
      <c r="AR15" s="3">
        <f t="shared" si="4"/>
        <v>2</v>
      </c>
      <c r="AS15" s="3">
        <f t="shared" si="5"/>
        <v>1</v>
      </c>
      <c r="AT15" s="3">
        <f t="shared" si="6"/>
        <v>1</v>
      </c>
      <c r="AU15" s="3">
        <f t="shared" si="7"/>
        <v>1</v>
      </c>
      <c r="AV15" s="3">
        <f t="shared" si="8"/>
        <v>12</v>
      </c>
      <c r="AW15" s="3">
        <f t="shared" si="9"/>
        <v>9</v>
      </c>
      <c r="AX15" s="3">
        <f t="shared" si="10"/>
        <v>4</v>
      </c>
      <c r="AY15" s="3">
        <f t="shared" si="11"/>
        <v>4</v>
      </c>
      <c r="AZ15" s="3">
        <f t="shared" si="12"/>
        <v>1</v>
      </c>
      <c r="BA15" s="3">
        <f>IF(ISERROR(LEN(VLOOKUP(A15,Seqs!A:E,2,FALSE))-AL15),"-",LEN(VLOOKUP(A15,Seqs!A:E,2,FALSE))-AL15)</f>
        <v>25</v>
      </c>
      <c r="BB15" s="16">
        <f t="shared" si="13"/>
        <v>28</v>
      </c>
      <c r="BC15" s="9">
        <f t="shared" si="14"/>
        <v>19</v>
      </c>
      <c r="BD15" s="3">
        <f t="shared" si="15"/>
        <v>28</v>
      </c>
      <c r="BE15" s="3">
        <f t="shared" si="16"/>
        <v>48</v>
      </c>
      <c r="BF15" s="3">
        <f>AH15-AE15</f>
        <v>44</v>
      </c>
    </row>
    <row r="16" spans="1:59" s="3" customFormat="1" x14ac:dyDescent="0.2">
      <c r="A16" s="3" t="s">
        <v>103</v>
      </c>
      <c r="B16" s="3" t="str">
        <f>LOWER(VLOOKUP(A16,Xtal_Templ!A:B,2,FALSE))</f>
        <v>lpar1_human</v>
      </c>
      <c r="C16" s="3">
        <f>VLOOKUP($A16,'SegEnds_NonXtal_BW#'!$A:$Z,3,FALSE)+D16-50</f>
        <v>47</v>
      </c>
      <c r="D16" s="3">
        <v>67</v>
      </c>
      <c r="E16" s="3">
        <f>IF(ISERROR(VLOOKUP($A16,'SegEnds_NonXtal_BW#'!$A:$Z,4,FALSE)+VLOOKUP($A16,A:AL,4,FALSE)-50),"-",(VLOOKUP($A16,'SegEnds_NonXtal_BW#'!$A:$Z,4,FALSE)+VLOOKUP($A16,A:AL,4,FALSE)-50))</f>
        <v>77</v>
      </c>
      <c r="F16" s="3">
        <f t="shared" ref="F16:F26" si="23">G16-2</f>
        <v>78</v>
      </c>
      <c r="G16" s="3">
        <v>80</v>
      </c>
      <c r="H16" s="3">
        <f t="shared" ref="H16:I26" si="24">G16+1</f>
        <v>81</v>
      </c>
      <c r="I16" s="3">
        <f t="shared" si="24"/>
        <v>82</v>
      </c>
      <c r="J16" s="3">
        <v>95</v>
      </c>
      <c r="K16" s="3">
        <f>VLOOKUP($A16,'SegEnds_NonXtal_BW#'!$A:$Z,8,FALSE)+VLOOKUP($A16,A:AL,10,FALSE)-50</f>
        <v>108</v>
      </c>
      <c r="L16" s="3">
        <f>M16-3</f>
        <v>110</v>
      </c>
      <c r="M16" s="3">
        <v>113</v>
      </c>
      <c r="N16" s="3">
        <f>M16+3</f>
        <v>116</v>
      </c>
      <c r="O16" s="3">
        <f t="shared" si="22"/>
        <v>117</v>
      </c>
      <c r="P16" s="3">
        <v>146</v>
      </c>
      <c r="Q16" s="3">
        <f>VLOOKUP($A16,'SegEnds_NonXtal_BW#'!$A:$Z,12,FALSE)+VLOOKUP($A16,A:AL,16,FALSE)-50</f>
        <v>152</v>
      </c>
      <c r="R16" s="3">
        <f>IF(ISERROR(VLOOKUP($A16,'SegEnds_NonXtal_BW#'!$A:$Z,13,FALSE)+VLOOKUP($A16,A:AL,19,FALSE)-50),"-",VLOOKUP($A16,'SegEnds_NonXtal_BW#'!$A:$Z,13,FALSE)+VLOOKUP($A16,A:AL,19,FALSE)-50)</f>
        <v>153</v>
      </c>
      <c r="S16" s="3">
        <v>153</v>
      </c>
      <c r="T16" s="100">
        <f>IF(ISERROR(VLOOKUP($A16,'SegEnds_NonXtal_BW#'!$A:$Z,14,FALSE)+VLOOKUP($A16,A:AL,19,FALSE)-50),"-",(VLOOKUP($A16,'SegEnds_NonXtal_BW#'!$A:$Z,14,FALSE)+VLOOKUP($A16,A:AL,19,FALSE)-50))</f>
        <v>159</v>
      </c>
      <c r="U16" s="9">
        <f>IF(ISERROR(VLOOKUP($A16,'SegEnds_NonXtal_BW#'!$A:$Z,15,FALSE)+VLOOKUP($A16,A:AL,22,FALSE)-50),"-",VLOOKUP($A16,'SegEnds_NonXtal_BW#'!$A:$Z,15,FALSE)+VLOOKUP($A16,A:AL,22,FALSE)-50)</f>
        <v>160</v>
      </c>
      <c r="V16" s="3">
        <v>172</v>
      </c>
      <c r="W16" s="3">
        <f>IF(ISERROR(VLOOKUP($A16,'SegEnds_NonXtal_BW#'!$A:$Z,16,FALSE)+VLOOKUP($A16,A:AL,22,FALSE)-50),"-",(VLOOKUP($A16,'SegEnds_NonXtal_BW#'!$A:$Z,16,FALSE)+VLOOKUP($A16,A:AL,22,FALSE)-50))</f>
        <v>185</v>
      </c>
      <c r="X16" s="3" t="str">
        <f>IF(ISERROR(VLOOKUP($A16,'SegEnds_NonXtal_BW#'!$A:$Z,17,FALSE)+VLOOKUP($A16,A:AL,25,FALSE)-50),"-",(VLOOKUP($A16,'SegEnds_NonXtal_BW#'!$A:$Z,17,FALSE)+VLOOKUP($A16,A:AL,25,FALSE)-50))</f>
        <v>-</v>
      </c>
      <c r="Y16" s="3" t="s">
        <v>23</v>
      </c>
      <c r="Z16" s="3" t="str">
        <f>IF(ISERROR(VLOOKUP($A16,'SegEnds_NonXtal_BW#'!$A:$Z,18,FALSE)+VLOOKUP($A16,A:AL,25,FALSE)-50),"-",(VLOOKUP($A16,'SegEnds_NonXtal_BW#'!$A:$Z,18,FALSE)+VLOOKUP($A16,A:AL,25,FALSE)-50))</f>
        <v>-</v>
      </c>
      <c r="AA16" s="3">
        <f>IF(ISERROR(VLOOKUP($A16,'SegEnds_NonXtal_BW#'!$A:$Z,19,FALSE)+VLOOKUP($A16,A:AL,28,FALSE)-50),"-",(VLOOKUP($A16,'SegEnds_NonXtal_BW#'!$A:$Z,19,FALSE)+VLOOKUP($A16,A:AL,28,FALSE)-50))</f>
        <v>203</v>
      </c>
      <c r="AB16" s="3">
        <v>217</v>
      </c>
      <c r="AC16" s="3">
        <f>IF(ISERROR((VLOOKUP($A16,'SegEnds_NonXtal_BW#'!$A:$Z,20,FALSE)+VLOOKUP($A16,A:AL,28,FALSE)-50)),"-",(VLOOKUP($A16,'SegEnds_NonXtal_BW#'!$A:$Z,20,FALSE)+VLOOKUP($A16,A:AL,28,FALSE)-50))</f>
        <v>240</v>
      </c>
      <c r="AD16" s="3">
        <f>IF(ISERROR(VLOOKUP($A16,'SegEnds_NonXtal_BW#'!$A:$Z,21,FALSE)+VLOOKUP($A16,A:AL,31,FALSE)-50),"-",(VLOOKUP($A16,'SegEnds_NonXtal_BW#'!$A:$Z,21,FALSE)+VLOOKUP($A16,A:AL,31,FALSE)-50))</f>
        <v>245</v>
      </c>
      <c r="AE16" s="3">
        <v>273</v>
      </c>
      <c r="AF16" s="3">
        <f>IF(ISERROR((VLOOKUP($A16,'SegEnds_NonXtal_BW#'!$A:$Z,22,FALSE)+VLOOKUP($A16,A:AL,31,FALSE)-50)),"-",(VLOOKUP($A16,'SegEnds_NonXtal_BW#'!$A:$Z,22,FALSE)+VLOOKUP($A16,A:AL,31,FALSE)-50))</f>
        <v>284</v>
      </c>
      <c r="AG16" s="3">
        <f>IF(ISERROR(VLOOKUP($A16,'SegEnds_NonXtal_BW#'!$A:$Z,23,FALSE)+VLOOKUP($A16,A:AL,34,FALSE)-50),"-",(VLOOKUP($A16,'SegEnds_NonXtal_BW#'!$A:$Z,23,FALSE)+VLOOKUP($A16,A:AL,34,FALSE)-50))</f>
        <v>288</v>
      </c>
      <c r="AH16" s="3">
        <v>308</v>
      </c>
      <c r="AI16" s="3">
        <f>IF(ISERROR((VLOOKUP($A16,'SegEnds_NonXtal_BW#'!$A:$Z,24,FALSE)+VLOOKUP($A16,A:AL,34,FALSE)-50)),"-",(VLOOKUP($A16,'SegEnds_NonXtal_BW#'!$A:$Z,24,FALSE)+VLOOKUP($A16,A:AL,34,FALSE)-50))</f>
        <v>314</v>
      </c>
      <c r="AJ16" s="3">
        <f>IF(ISERROR(VLOOKUP($A16,'SegEnds_NonXtal_BW#'!$A:$Z,25,FALSE)+VLOOKUP($A16,A:AL,37,FALSE)-50),"-",(VLOOKUP($A16,'SegEnds_NonXtal_BW#'!$A:$Z,25,FALSE)+VLOOKUP($A16,A:AL,37,FALSE)-50))</f>
        <v>315</v>
      </c>
      <c r="AK16" s="3">
        <v>318</v>
      </c>
      <c r="AL16" s="3">
        <f>IF(ISERROR((VLOOKUP($A16,'SegEnds_NonXtal_BW#'!$A:$Z,26,FALSE)+VLOOKUP($A16,A:AL,37,FALSE)-50)),"-",(VLOOKUP($A16,'SegEnds_NonXtal_BW#'!$A:$Z,26,FALSE)+VLOOKUP($A16,A:AL,37,FALSE)-50))</f>
        <v>327</v>
      </c>
      <c r="AM16" s="28" t="str">
        <f>VLOOKUP(A16,Classification!A:B,2,FALSE)</f>
        <v>A</v>
      </c>
      <c r="AN16" s="28" t="b">
        <f t="shared" si="17"/>
        <v>1</v>
      </c>
      <c r="AO16" s="3" t="str">
        <f>IF(ISERROR(MATCH(A16,'SegEnds_Xtal_Prot#'!B:B, 0)), "NoXtal", "Xtal")</f>
        <v>Xtal</v>
      </c>
      <c r="AP16" s="3">
        <f t="shared" si="2"/>
        <v>1</v>
      </c>
      <c r="AQ16" s="3">
        <f t="shared" si="3"/>
        <v>1</v>
      </c>
      <c r="AR16" s="3">
        <f t="shared" si="4"/>
        <v>2</v>
      </c>
      <c r="AS16" s="3">
        <f t="shared" si="5"/>
        <v>1</v>
      </c>
      <c r="AT16" s="3">
        <f t="shared" si="6"/>
        <v>1</v>
      </c>
      <c r="AU16" s="3">
        <f t="shared" si="7"/>
        <v>1</v>
      </c>
      <c r="AV16" s="3" t="str">
        <f t="shared" si="8"/>
        <v>-</v>
      </c>
      <c r="AW16" s="3" t="str">
        <f t="shared" si="9"/>
        <v>-</v>
      </c>
      <c r="AX16" s="3">
        <f t="shared" si="10"/>
        <v>5</v>
      </c>
      <c r="AY16" s="3">
        <f t="shared" si="11"/>
        <v>4</v>
      </c>
      <c r="AZ16" s="3">
        <f t="shared" si="12"/>
        <v>1</v>
      </c>
      <c r="BA16" s="3">
        <f>IF(ISERROR(LEN(VLOOKUP(A16,Seqs!A:E,2,FALSE))-AL16),"-",LEN(VLOOKUP(A16,Seqs!A:E,2,FALSE))-AL16)</f>
        <v>37</v>
      </c>
      <c r="BB16" s="16">
        <f t="shared" si="13"/>
        <v>28</v>
      </c>
      <c r="BC16" s="9">
        <f t="shared" si="14"/>
        <v>19</v>
      </c>
      <c r="BD16" s="3">
        <f t="shared" si="15"/>
        <v>28</v>
      </c>
      <c r="BE16" s="3">
        <f t="shared" si="16"/>
        <v>56</v>
      </c>
    </row>
    <row r="17" spans="1:60" s="3" customFormat="1" x14ac:dyDescent="0.2">
      <c r="A17" s="3" t="s">
        <v>286</v>
      </c>
      <c r="B17" s="3" t="str">
        <f>LOWER(VLOOKUP(A17,Xtal_Templ!A:B,2,FALSE))</f>
        <v>lpar1_human</v>
      </c>
      <c r="C17" s="3">
        <f>VLOOKUP($A17,'SegEnds_NonXtal_BW#'!$A:$Z,3,FALSE)+D17-50</f>
        <v>30</v>
      </c>
      <c r="D17" s="3">
        <v>50</v>
      </c>
      <c r="E17" s="3">
        <f>IF(ISERROR(VLOOKUP($A17,'SegEnds_NonXtal_BW#'!$A:$Z,4,FALSE)+VLOOKUP($A17,A:AL,4,FALSE)-50),"-",(VLOOKUP($A17,'SegEnds_NonXtal_BW#'!$A:$Z,4,FALSE)+VLOOKUP($A17,A:AL,4,FALSE)-50))</f>
        <v>60</v>
      </c>
      <c r="F17" s="3">
        <f t="shared" si="23"/>
        <v>61</v>
      </c>
      <c r="G17" s="3">
        <v>63</v>
      </c>
      <c r="H17" s="3">
        <f t="shared" si="24"/>
        <v>64</v>
      </c>
      <c r="I17" s="3">
        <f t="shared" si="24"/>
        <v>65</v>
      </c>
      <c r="J17" s="3">
        <v>78</v>
      </c>
      <c r="K17" s="3">
        <f>VLOOKUP($A17,'SegEnds_NonXtal_BW#'!$A:$Z,8,FALSE)+VLOOKUP($A17,A:AL,10,FALSE)-50</f>
        <v>91</v>
      </c>
      <c r="L17" s="3">
        <f>M17-3</f>
        <v>93</v>
      </c>
      <c r="M17" s="3">
        <v>96</v>
      </c>
      <c r="N17" s="3">
        <f>M17+3</f>
        <v>99</v>
      </c>
      <c r="O17" s="3">
        <f t="shared" si="22"/>
        <v>100</v>
      </c>
      <c r="P17" s="3">
        <v>129</v>
      </c>
      <c r="Q17" s="3">
        <f>VLOOKUP($A17,'SegEnds_NonXtal_BW#'!$A:$Z,12,FALSE)+VLOOKUP($A17,A:AL,16,FALSE)-50</f>
        <v>135</v>
      </c>
      <c r="R17" s="3">
        <f>IF(ISERROR(VLOOKUP($A17,'SegEnds_NonXtal_BW#'!$A:$Z,13,FALSE)+VLOOKUP($A17,A:AL,19,FALSE)-50),"-",VLOOKUP($A17,'SegEnds_NonXtal_BW#'!$A:$Z,13,FALSE)+VLOOKUP($A17,A:AL,19,FALSE)-50)</f>
        <v>136</v>
      </c>
      <c r="S17" s="3">
        <v>136</v>
      </c>
      <c r="T17" s="100">
        <f>IF(ISERROR(VLOOKUP($A17,'SegEnds_NonXtal_BW#'!$A:$Z,14,FALSE)+VLOOKUP($A17,A:AL,19,FALSE)-50),"-",(VLOOKUP($A17,'SegEnds_NonXtal_BW#'!$A:$Z,14,FALSE)+VLOOKUP($A17,A:AL,19,FALSE)-50))</f>
        <v>142</v>
      </c>
      <c r="U17" s="9">
        <f>IF(ISERROR(VLOOKUP($A17,'SegEnds_NonXtal_BW#'!$A:$Z,15,FALSE)+VLOOKUP($A17,A:AL,22,FALSE)-50),"-",VLOOKUP($A17,'SegEnds_NonXtal_BW#'!$A:$Z,15,FALSE)+VLOOKUP($A17,A:AL,22,FALSE)-50)</f>
        <v>143</v>
      </c>
      <c r="V17" s="3">
        <v>155</v>
      </c>
      <c r="W17" s="3">
        <f>IF(ISERROR(VLOOKUP($A17,'SegEnds_NonXtal_BW#'!$A:$Z,16,FALSE)+VLOOKUP($A17,A:AL,22,FALSE)-50),"-",(VLOOKUP($A17,'SegEnds_NonXtal_BW#'!$A:$Z,16,FALSE)+VLOOKUP($A17,A:AL,22,FALSE)-50))</f>
        <v>168</v>
      </c>
      <c r="X17" s="3" t="str">
        <f>IF(ISERROR(VLOOKUP($A17,'SegEnds_NonXtal_BW#'!$A:$Z,17,FALSE)+VLOOKUP($A17,A:AL,25,FALSE)-50),"-",(VLOOKUP($A17,'SegEnds_NonXtal_BW#'!$A:$Z,17,FALSE)+VLOOKUP($A17,A:AL,25,FALSE)-50))</f>
        <v>-</v>
      </c>
      <c r="Y17" s="3" t="s">
        <v>23</v>
      </c>
      <c r="Z17" s="3" t="str">
        <f>IF(ISERROR(VLOOKUP($A17,'SegEnds_NonXtal_BW#'!$A:$Z,18,FALSE)+VLOOKUP($A17,A:AL,25,FALSE)-50),"-",(VLOOKUP($A17,'SegEnds_NonXtal_BW#'!$A:$Z,18,FALSE)+VLOOKUP($A17,A:AL,25,FALSE)-50))</f>
        <v>-</v>
      </c>
      <c r="AA17" s="3">
        <f>IF(ISERROR(VLOOKUP($A17,'SegEnds_NonXtal_BW#'!$A:$Z,19,FALSE)+VLOOKUP($A17,A:AL,28,FALSE)-50),"-",(VLOOKUP($A17,'SegEnds_NonXtal_BW#'!$A:$Z,19,FALSE)+VLOOKUP($A17,A:AL,28,FALSE)-50))</f>
        <v>186</v>
      </c>
      <c r="AB17" s="3">
        <v>200</v>
      </c>
      <c r="AC17" s="3">
        <f>IF(ISERROR((VLOOKUP($A17,'SegEnds_NonXtal_BW#'!$A:$Z,20,FALSE)+VLOOKUP($A17,A:AL,28,FALSE)-50)),"-",(VLOOKUP($A17,'SegEnds_NonXtal_BW#'!$A:$Z,20,FALSE)+VLOOKUP($A17,A:AL,28,FALSE)-50))</f>
        <v>223</v>
      </c>
      <c r="AD17" s="3">
        <f>IF(ISERROR(VLOOKUP($A17,'SegEnds_NonXtal_BW#'!$A:$Z,21,FALSE)+VLOOKUP($A17,A:AL,31,FALSE)-50),"-",(VLOOKUP($A17,'SegEnds_NonXtal_BW#'!$A:$Z,21,FALSE)+VLOOKUP($A17,A:AL,31,FALSE)-50))</f>
        <v>228</v>
      </c>
      <c r="AE17" s="3">
        <v>256</v>
      </c>
      <c r="AF17" s="3">
        <f>IF(ISERROR((VLOOKUP($A17,'SegEnds_NonXtal_BW#'!$A:$Z,22,FALSE)+VLOOKUP($A17,A:AL,31,FALSE)-50)),"-",(VLOOKUP($A17,'SegEnds_NonXtal_BW#'!$A:$Z,22,FALSE)+VLOOKUP($A17,A:AL,31,FALSE)-50))</f>
        <v>267</v>
      </c>
      <c r="AG17" s="3">
        <f>IF(ISERROR(VLOOKUP($A17,'SegEnds_NonXtal_BW#'!$A:$Z,23,FALSE)+VLOOKUP($A17,A:AL,34,FALSE)-50),"-",(VLOOKUP($A17,'SegEnds_NonXtal_BW#'!$A:$Z,23,FALSE)+VLOOKUP($A17,A:AL,34,FALSE)-50))</f>
        <v>272</v>
      </c>
      <c r="AH17" s="3">
        <v>292</v>
      </c>
      <c r="AI17" s="3">
        <f>IF(ISERROR((VLOOKUP($A17,'SegEnds_NonXtal_BW#'!$A:$Z,24,FALSE)+VLOOKUP($A17,A:AL,34,FALSE)-50)),"-",(VLOOKUP($A17,'SegEnds_NonXtal_BW#'!$A:$Z,24,FALSE)+VLOOKUP($A17,A:AL,34,FALSE)-50))</f>
        <v>298</v>
      </c>
      <c r="AJ17" s="3">
        <f>IF(ISERROR(VLOOKUP($A17,'SegEnds_NonXtal_BW#'!$A:$Z,25,FALSE)+VLOOKUP($A17,A:AL,37,FALSE)-50),"-",(VLOOKUP($A17,'SegEnds_NonXtal_BW#'!$A:$Z,25,FALSE)+VLOOKUP($A17,A:AL,37,FALSE)-50))</f>
        <v>299</v>
      </c>
      <c r="AK17" s="3">
        <v>302</v>
      </c>
      <c r="AL17" s="3">
        <f>IF(ISERROR((VLOOKUP($A17,'SegEnds_NonXtal_BW#'!$A:$Z,26,FALSE)+VLOOKUP($A17,A:AL,37,FALSE)-50)),"-",(VLOOKUP($A17,'SegEnds_NonXtal_BW#'!$A:$Z,26,FALSE)+VLOOKUP($A17,A:AL,37,FALSE)-50))</f>
        <v>311</v>
      </c>
      <c r="AM17" s="28" t="str">
        <f>VLOOKUP(A17,Classification!A:B,2,FALSE)</f>
        <v>A</v>
      </c>
      <c r="AN17" s="28" t="b">
        <f t="shared" si="17"/>
        <v>1</v>
      </c>
      <c r="AO17" s="3" t="str">
        <f>IF(ISERROR(MATCH(A17,'SegEnds_Xtal_Prot#'!B:B, 0)), "NoXtal", "Xtal")</f>
        <v>NoXtal</v>
      </c>
      <c r="AP17" s="3">
        <f t="shared" si="2"/>
        <v>1</v>
      </c>
      <c r="AQ17" s="3">
        <f t="shared" si="3"/>
        <v>1</v>
      </c>
      <c r="AR17" s="3">
        <f t="shared" si="4"/>
        <v>2</v>
      </c>
      <c r="AS17" s="3">
        <f t="shared" si="5"/>
        <v>1</v>
      </c>
      <c r="AT17" s="3">
        <f t="shared" si="6"/>
        <v>1</v>
      </c>
      <c r="AU17" s="3">
        <f t="shared" si="7"/>
        <v>1</v>
      </c>
      <c r="AV17" s="3" t="str">
        <f t="shared" si="8"/>
        <v>-</v>
      </c>
      <c r="AW17" s="3" t="str">
        <f t="shared" si="9"/>
        <v>-</v>
      </c>
      <c r="AX17" s="3">
        <f t="shared" si="10"/>
        <v>5</v>
      </c>
      <c r="AY17" s="3">
        <f t="shared" si="11"/>
        <v>5</v>
      </c>
      <c r="AZ17" s="3">
        <f t="shared" si="12"/>
        <v>1</v>
      </c>
      <c r="BA17" s="3">
        <f>IF(ISERROR(LEN(VLOOKUP(A17,Seqs!A:E,2,FALSE))-AL17),"-",LEN(VLOOKUP(A17,Seqs!A:E,2,FALSE))-AL17)</f>
        <v>40</v>
      </c>
      <c r="BB17" s="16">
        <f t="shared" si="13"/>
        <v>28</v>
      </c>
      <c r="BC17" s="9">
        <f t="shared" si="14"/>
        <v>19</v>
      </c>
      <c r="BD17" s="3">
        <f t="shared" si="15"/>
        <v>28</v>
      </c>
      <c r="BE17" s="3">
        <f t="shared" si="16"/>
        <v>56</v>
      </c>
    </row>
    <row r="18" spans="1:60" s="3" customFormat="1" x14ac:dyDescent="0.2">
      <c r="A18" s="3" t="s">
        <v>287</v>
      </c>
      <c r="B18" s="3" t="str">
        <f>LOWER(VLOOKUP(A18,Xtal_Templ!A:B,2,FALSE))</f>
        <v>lpar1_human</v>
      </c>
      <c r="C18" s="3">
        <f>VLOOKUP($A18,'SegEnds_NonXtal_BW#'!$A:$Z,3,FALSE)+D18-50</f>
        <v>28</v>
      </c>
      <c r="D18" s="3">
        <v>48</v>
      </c>
      <c r="E18" s="3">
        <f>IF(ISERROR(VLOOKUP($A18,'SegEnds_NonXtal_BW#'!$A:$Z,4,FALSE)+VLOOKUP($A18,A:AL,4,FALSE)-50),"-",(VLOOKUP($A18,'SegEnds_NonXtal_BW#'!$A:$Z,4,FALSE)+VLOOKUP($A18,A:AL,4,FALSE)-50))</f>
        <v>58</v>
      </c>
      <c r="F18" s="3">
        <f t="shared" si="23"/>
        <v>59</v>
      </c>
      <c r="G18" s="3">
        <v>61</v>
      </c>
      <c r="H18" s="3">
        <f t="shared" si="24"/>
        <v>62</v>
      </c>
      <c r="I18" s="3">
        <f t="shared" si="24"/>
        <v>63</v>
      </c>
      <c r="J18" s="3">
        <v>76</v>
      </c>
      <c r="K18" s="3">
        <f>VLOOKUP($A18,'SegEnds_NonXtal_BW#'!$A:$Z,8,FALSE)+VLOOKUP($A18,A:AL,10,FALSE)-50</f>
        <v>89</v>
      </c>
      <c r="L18" s="3">
        <f>M18-3</f>
        <v>91</v>
      </c>
      <c r="M18" s="3">
        <v>94</v>
      </c>
      <c r="N18" s="3">
        <f>M18+3</f>
        <v>97</v>
      </c>
      <c r="O18" s="3">
        <f t="shared" si="22"/>
        <v>98</v>
      </c>
      <c r="P18" s="3">
        <v>127</v>
      </c>
      <c r="Q18" s="3">
        <f>VLOOKUP($A18,'SegEnds_NonXtal_BW#'!$A:$Z,12,FALSE)+VLOOKUP($A18,A:AL,16,FALSE)-50</f>
        <v>133</v>
      </c>
      <c r="R18" s="3">
        <f>IF(ISERROR(VLOOKUP($A18,'SegEnds_NonXtal_BW#'!$A:$Z,13,FALSE)+VLOOKUP($A18,A:AL,19,FALSE)-50),"-",VLOOKUP($A18,'SegEnds_NonXtal_BW#'!$A:$Z,13,FALSE)+VLOOKUP($A18,A:AL,19,FALSE)-50)</f>
        <v>134</v>
      </c>
      <c r="S18" s="3">
        <v>134</v>
      </c>
      <c r="T18" s="100">
        <f>IF(ISERROR(VLOOKUP($A18,'SegEnds_NonXtal_BW#'!$A:$Z,14,FALSE)+VLOOKUP($A18,A:AL,19,FALSE)-50),"-",(VLOOKUP($A18,'SegEnds_NonXtal_BW#'!$A:$Z,14,FALSE)+VLOOKUP($A18,A:AL,19,FALSE)-50))</f>
        <v>140</v>
      </c>
      <c r="U18" s="9">
        <f>IF(ISERROR(VLOOKUP($A18,'SegEnds_NonXtal_BW#'!$A:$Z,15,FALSE)+VLOOKUP($A18,A:AL,22,FALSE)-50),"-",VLOOKUP($A18,'SegEnds_NonXtal_BW#'!$A:$Z,15,FALSE)+VLOOKUP($A18,A:AL,22,FALSE)-50)</f>
        <v>141</v>
      </c>
      <c r="V18" s="3">
        <v>153</v>
      </c>
      <c r="W18" s="3">
        <f>IF(ISERROR(VLOOKUP($A18,'SegEnds_NonXtal_BW#'!$A:$Z,16,FALSE)+VLOOKUP($A18,A:AL,22,FALSE)-50),"-",(VLOOKUP($A18,'SegEnds_NonXtal_BW#'!$A:$Z,16,FALSE)+VLOOKUP($A18,A:AL,22,FALSE)-50))</f>
        <v>166</v>
      </c>
      <c r="X18" s="3" t="str">
        <f>IF(ISERROR(VLOOKUP($A18,'SegEnds_NonXtal_BW#'!$A:$Z,17,FALSE)+VLOOKUP($A18,A:AL,25,FALSE)-50),"-",(VLOOKUP($A18,'SegEnds_NonXtal_BW#'!$A:$Z,17,FALSE)+VLOOKUP($A18,A:AL,25,FALSE)-50))</f>
        <v>-</v>
      </c>
      <c r="Y18" s="3" t="s">
        <v>23</v>
      </c>
      <c r="Z18" s="3" t="str">
        <f>IF(ISERROR(VLOOKUP($A18,'SegEnds_NonXtal_BW#'!$A:$Z,18,FALSE)+VLOOKUP($A18,A:AL,25,FALSE)-50),"-",(VLOOKUP($A18,'SegEnds_NonXtal_BW#'!$A:$Z,18,FALSE)+VLOOKUP($A18,A:AL,25,FALSE)-50))</f>
        <v>-</v>
      </c>
      <c r="AA18" s="3">
        <f>IF(ISERROR(VLOOKUP($A18,'SegEnds_NonXtal_BW#'!$A:$Z,19,FALSE)+VLOOKUP($A18,A:AL,28,FALSE)-50),"-",(VLOOKUP($A18,'SegEnds_NonXtal_BW#'!$A:$Z,19,FALSE)+VLOOKUP($A18,A:AL,28,FALSE)-50))</f>
        <v>184</v>
      </c>
      <c r="AB18" s="3">
        <v>198</v>
      </c>
      <c r="AC18" s="3">
        <f>IF(ISERROR((VLOOKUP($A18,'SegEnds_NonXtal_BW#'!$A:$Z,20,FALSE)+VLOOKUP($A18,A:AL,28,FALSE)-50)),"-",(VLOOKUP($A18,'SegEnds_NonXtal_BW#'!$A:$Z,20,FALSE)+VLOOKUP($A18,A:AL,28,FALSE)-50))</f>
        <v>221</v>
      </c>
      <c r="AD18" s="3">
        <f>IF(ISERROR(VLOOKUP($A18,'SegEnds_NonXtal_BW#'!$A:$Z,21,FALSE)+VLOOKUP($A18,A:AL,31,FALSE)-50),"-",(VLOOKUP($A18,'SegEnds_NonXtal_BW#'!$A:$Z,21,FALSE)+VLOOKUP($A18,A:AL,31,FALSE)-50))</f>
        <v>226</v>
      </c>
      <c r="AE18" s="3">
        <v>254</v>
      </c>
      <c r="AF18" s="3">
        <f>IF(ISERROR((VLOOKUP($A18,'SegEnds_NonXtal_BW#'!$A:$Z,22,FALSE)+VLOOKUP($A18,A:AL,31,FALSE)-50)),"-",(VLOOKUP($A18,'SegEnds_NonXtal_BW#'!$A:$Z,22,FALSE)+VLOOKUP($A18,A:AL,31,FALSE)-50))</f>
        <v>265</v>
      </c>
      <c r="AG18" s="3">
        <f>IF(ISERROR(VLOOKUP($A18,'SegEnds_NonXtal_BW#'!$A:$Z,23,FALSE)+VLOOKUP($A18,A:AL,34,FALSE)-50),"-",(VLOOKUP($A18,'SegEnds_NonXtal_BW#'!$A:$Z,23,FALSE)+VLOOKUP($A18,A:AL,34,FALSE)-50))</f>
        <v>270</v>
      </c>
      <c r="AH18" s="3">
        <v>290</v>
      </c>
      <c r="AI18" s="3">
        <f>IF(ISERROR((VLOOKUP($A18,'SegEnds_NonXtal_BW#'!$A:$Z,24,FALSE)+VLOOKUP($A18,A:AL,34,FALSE)-50)),"-",(VLOOKUP($A18,'SegEnds_NonXtal_BW#'!$A:$Z,24,FALSE)+VLOOKUP($A18,A:AL,34,FALSE)-50))</f>
        <v>296</v>
      </c>
      <c r="AJ18" s="3">
        <f>IF(ISERROR(VLOOKUP($A18,'SegEnds_NonXtal_BW#'!$A:$Z,25,FALSE)+VLOOKUP($A18,A:AL,37,FALSE)-50),"-",(VLOOKUP($A18,'SegEnds_NonXtal_BW#'!$A:$Z,25,FALSE)+VLOOKUP($A18,A:AL,37,FALSE)-50))</f>
        <v>297</v>
      </c>
      <c r="AK18" s="3">
        <v>300</v>
      </c>
      <c r="AL18" s="3">
        <f>IF(ISERROR((VLOOKUP($A18,'SegEnds_NonXtal_BW#'!$A:$Z,26,FALSE)+VLOOKUP($A18,A:AL,37,FALSE)-50)),"-",(VLOOKUP($A18,'SegEnds_NonXtal_BW#'!$A:$Z,26,FALSE)+VLOOKUP($A18,A:AL,37,FALSE)-50))</f>
        <v>309</v>
      </c>
      <c r="AM18" s="28" t="str">
        <f>VLOOKUP(A18,Classification!A:B,2,FALSE)</f>
        <v>A</v>
      </c>
      <c r="AN18" s="28" t="b">
        <f t="shared" si="17"/>
        <v>1</v>
      </c>
      <c r="AO18" s="3" t="str">
        <f>IF(ISERROR(MATCH(A18,'SegEnds_Xtal_Prot#'!B:B, 0)), "NoXtal", "Xtal")</f>
        <v>NoXtal</v>
      </c>
      <c r="AP18" s="3">
        <f t="shared" si="2"/>
        <v>1</v>
      </c>
      <c r="AQ18" s="3">
        <f t="shared" si="3"/>
        <v>1</v>
      </c>
      <c r="AR18" s="3">
        <f t="shared" si="4"/>
        <v>2</v>
      </c>
      <c r="AS18" s="3">
        <f t="shared" si="5"/>
        <v>1</v>
      </c>
      <c r="AT18" s="3">
        <f t="shared" si="6"/>
        <v>1</v>
      </c>
      <c r="AU18" s="3">
        <f t="shared" si="7"/>
        <v>1</v>
      </c>
      <c r="AV18" s="3" t="str">
        <f t="shared" si="8"/>
        <v>-</v>
      </c>
      <c r="AW18" s="3" t="str">
        <f t="shared" si="9"/>
        <v>-</v>
      </c>
      <c r="AX18" s="3">
        <f t="shared" si="10"/>
        <v>5</v>
      </c>
      <c r="AY18" s="3">
        <f t="shared" si="11"/>
        <v>5</v>
      </c>
      <c r="AZ18" s="3">
        <f t="shared" si="12"/>
        <v>1</v>
      </c>
      <c r="BA18" s="3">
        <f>IF(ISERROR(LEN(VLOOKUP(A18,Seqs!A:E,2,FALSE))-AL18),"-",LEN(VLOOKUP(A18,Seqs!A:E,2,FALSE))-AL18)</f>
        <v>44</v>
      </c>
      <c r="BB18" s="16">
        <f t="shared" si="13"/>
        <v>28</v>
      </c>
      <c r="BC18" s="9">
        <f t="shared" si="14"/>
        <v>19</v>
      </c>
      <c r="BD18" s="3">
        <f t="shared" si="15"/>
        <v>28</v>
      </c>
      <c r="BE18" s="3">
        <f t="shared" si="16"/>
        <v>56</v>
      </c>
    </row>
    <row r="19" spans="1:60" s="3" customFormat="1" x14ac:dyDescent="0.2">
      <c r="A19" s="3" t="s">
        <v>1451</v>
      </c>
      <c r="B19" s="3" t="str">
        <f>LOWER(VLOOKUP(A19,Xtal_Templ!A:B,2,FALSE))</f>
        <v>q08bg4_danre</v>
      </c>
      <c r="C19" s="3">
        <f>VLOOKUP($A19,'SegEnds_NonXtal_BW#'!$A:$Z,3,FALSE)+D19-50</f>
        <v>26</v>
      </c>
      <c r="D19" s="3">
        <v>45</v>
      </c>
      <c r="E19" s="3">
        <f>IF(ISERROR(VLOOKUP($A19,'SegEnds_NonXtal_BW#'!$A:$Z,4,FALSE)+VLOOKUP($A19,A:AL,4,FALSE)-50),"-",(VLOOKUP($A19,'SegEnds_NonXtal_BW#'!$A:$Z,4,FALSE)+VLOOKUP($A19,A:AL,4,FALSE)-50))</f>
        <v>55</v>
      </c>
      <c r="F19" s="3">
        <f>G19-2</f>
        <v>56</v>
      </c>
      <c r="G19" s="3">
        <v>58</v>
      </c>
      <c r="H19" s="3">
        <f>G19+1</f>
        <v>59</v>
      </c>
      <c r="I19" s="3">
        <f>H19+1</f>
        <v>60</v>
      </c>
      <c r="J19" s="3">
        <v>73</v>
      </c>
      <c r="K19" s="3">
        <f>VLOOKUP($A19,'SegEnds_NonXtal_BW#'!$A:$Z,8,FALSE)+VLOOKUP($A19,A:AL,10,FALSE)-50</f>
        <v>89</v>
      </c>
      <c r="L19" s="3">
        <f>M19-1</f>
        <v>91</v>
      </c>
      <c r="M19" s="3">
        <v>92</v>
      </c>
      <c r="N19" s="3">
        <f>M19+2</f>
        <v>94</v>
      </c>
      <c r="O19" s="3">
        <f>N19+1</f>
        <v>95</v>
      </c>
      <c r="P19" s="3">
        <v>124</v>
      </c>
      <c r="Q19" s="3">
        <f>VLOOKUP($A19,'SegEnds_NonXtal_BW#'!$A:$Z,12,FALSE)+VLOOKUP($A19,A:AL,16,FALSE)-50</f>
        <v>130</v>
      </c>
      <c r="R19" s="3">
        <f>IF(ISERROR(VLOOKUP($A19,'SegEnds_NonXtal_BW#'!$A:$Z,13,FALSE)+VLOOKUP($A19,A:AL,19,FALSE)-50),"-",VLOOKUP($A19,'SegEnds_NonXtal_BW#'!$A:$Z,13,FALSE)+VLOOKUP($A19,A:AL,19,FALSE)-50)</f>
        <v>131</v>
      </c>
      <c r="S19" s="3">
        <v>131</v>
      </c>
      <c r="T19" s="100">
        <f>IF(ISERROR(VLOOKUP($A19,'SegEnds_NonXtal_BW#'!$A:$Z,14,FALSE)+VLOOKUP($A19,A:AL,19,FALSE)-50),"-",(VLOOKUP($A19,'SegEnds_NonXtal_BW#'!$A:$Z,14,FALSE)+VLOOKUP($A19,A:AL,19,FALSE)-50))</f>
        <v>138</v>
      </c>
      <c r="U19" s="9">
        <f>IF(ISERROR(VLOOKUP($A19,'SegEnds_NonXtal_BW#'!$A:$Z,15,FALSE)+VLOOKUP($A19,A:AL,22,FALSE)-50),"-",VLOOKUP($A19,'SegEnds_NonXtal_BW#'!$A:$Z,15,FALSE)+VLOOKUP($A19,A:AL,22,FALSE)-50)</f>
        <v>139</v>
      </c>
      <c r="V19" s="3">
        <v>151</v>
      </c>
      <c r="W19" s="3">
        <f>IF(ISERROR(VLOOKUP($A19,'SegEnds_NonXtal_BW#'!$A:$Z,16,FALSE)+VLOOKUP($A19,A:AL,22,FALSE)-50),"-",(VLOOKUP($A19,'SegEnds_NonXtal_BW#'!$A:$Z,16,FALSE)+VLOOKUP($A19,A:AL,22,FALSE)-50))</f>
        <v>166</v>
      </c>
      <c r="X19" s="3">
        <f>IF(ISERROR(VLOOKUP($A19,'SegEnds_NonXtal_BW#'!$A:$Z,17,FALSE)+VLOOKUP($A19,A:AL,25,FALSE)-50),"-",(VLOOKUP($A19,'SegEnds_NonXtal_BW#'!$A:$Z,17,FALSE)+VLOOKUP($A19,A:AL,25,FALSE)-50))</f>
        <v>178</v>
      </c>
      <c r="Y19" s="3">
        <v>178</v>
      </c>
      <c r="Z19" s="3">
        <f>IF(ISERROR(VLOOKUP($A19,'SegEnds_NonXtal_BW#'!$A:$Z,18,FALSE)+VLOOKUP($A19,A:AL,25,FALSE)-50),"-",(VLOOKUP($A19,'SegEnds_NonXtal_BW#'!$A:$Z,18,FALSE)+VLOOKUP($A19,A:AL,25,FALSE)-50))</f>
        <v>180</v>
      </c>
      <c r="AA19" s="3">
        <f>IF(ISERROR(VLOOKUP($A19,'SegEnds_NonXtal_BW#'!$A:$Z,19,FALSE)+VLOOKUP($A19,A:AL,28,FALSE)-50),"-",(VLOOKUP($A19,'SegEnds_NonXtal_BW#'!$A:$Z,19,FALSE)+VLOOKUP($A19,A:AL,28,FALSE)-50))</f>
        <v>187</v>
      </c>
      <c r="AB19" s="3">
        <v>206</v>
      </c>
      <c r="AC19" s="3">
        <f>IF(ISERROR((VLOOKUP($A19,'SegEnds_NonXtal_BW#'!$A:$Z,20,FALSE)+VLOOKUP($A19,A:AL,28,FALSE)-50)),"-",(VLOOKUP($A19,'SegEnds_NonXtal_BW#'!$A:$Z,20,FALSE)+VLOOKUP($A19,A:AL,28,FALSE)-50))</f>
        <v>224</v>
      </c>
      <c r="AD19" s="3">
        <f>IF(ISERROR(VLOOKUP($A19,'SegEnds_NonXtal_BW#'!$A:$Z,21,FALSE)+VLOOKUP($A19,A:AL,31,FALSE)-50),"-",(VLOOKUP($A19,'SegEnds_NonXtal_BW#'!$A:$Z,21,FALSE)+VLOOKUP($A19,A:AL,31,FALSE)-50))</f>
        <v>229</v>
      </c>
      <c r="AE19" s="3">
        <v>255</v>
      </c>
      <c r="AF19" s="3">
        <f>IF(ISERROR((VLOOKUP($A19,'SegEnds_NonXtal_BW#'!$A:$Z,22,FALSE)+VLOOKUP($A19,A:AL,31,FALSE)-50)),"-",(VLOOKUP($A19,'SegEnds_NonXtal_BW#'!$A:$Z,22,FALSE)+VLOOKUP($A19,A:AL,31,FALSE)-50))</f>
        <v>269</v>
      </c>
      <c r="AG19" s="3">
        <f>IF(ISERROR(VLOOKUP($A19,'SegEnds_NonXtal_BW#'!$A:$Z,23,FALSE)+VLOOKUP($A19,A:AL,34,FALSE)-50),"-",(VLOOKUP($A19,'SegEnds_NonXtal_BW#'!$A:$Z,23,FALSE)+VLOOKUP($A19,A:AL,34,FALSE)-50))</f>
        <v>273</v>
      </c>
      <c r="AH19" s="3">
        <v>299</v>
      </c>
      <c r="AI19" s="3">
        <f>IF(ISERROR((VLOOKUP($A19,'SegEnds_NonXtal_BW#'!$A:$Z,24,FALSE)+VLOOKUP($A19,A:AL,34,FALSE)-50)),"-",(VLOOKUP($A19,'SegEnds_NonXtal_BW#'!$A:$Z,24,FALSE)+VLOOKUP($A19,A:AL,34,FALSE)-50))</f>
        <v>305</v>
      </c>
      <c r="AJ19" s="3">
        <f>IF(ISERROR(VLOOKUP($A19,'SegEnds_NonXtal_BW#'!$A:$Z,25,FALSE)+VLOOKUP($A19,A:AL,37,FALSE)-50),"-",(VLOOKUP($A19,'SegEnds_NonXtal_BW#'!$A:$Z,25,FALSE)+VLOOKUP($A19,A:AL,37,FALSE)-50))</f>
        <v>306</v>
      </c>
      <c r="AK19" s="3">
        <v>309</v>
      </c>
      <c r="AL19" s="3">
        <f>IF(ISERROR((VLOOKUP($A19,'SegEnds_NonXtal_BW#'!$A:$Z,26,FALSE)+VLOOKUP($A19,A:AL,37,FALSE)-50)),"-",(VLOOKUP($A19,'SegEnds_NonXtal_BW#'!$A:$Z,26,FALSE)+VLOOKUP($A19,A:AL,37,FALSE)-50))</f>
        <v>320</v>
      </c>
      <c r="AM19" s="28" t="str">
        <f>VLOOKUP(A19,Classification!A:B,2,FALSE)</f>
        <v>A</v>
      </c>
      <c r="AN19" s="28" t="b">
        <f>AND(IF(Y19="-",IF(AA19-W19&gt;3,TRUE,FALSE),TRUE),IF(M19="-",IF(O19-K19&gt;3,TRUE,FALSE),TRUE),IF(AG19-AF19&gt;1,TRUE,FALSE),C19&lt;E19,OR(E19&lt;F19,F19="-"),OR(F19&lt;H19,F19="-"),OR(H19&lt;I19,H19="-"),I19&lt;K19,OR(K19&lt;L19,L19="-"),OR(L19&lt;N19,L19="-"),OR(N19&lt;O19,N19="-"),O19&lt;Q19,OR(Q19&lt;R19,R19="-"),OR(R19&lt;T19,R19="-"),OR(T19&lt;U19,T19="-"),U19&lt;W19,OR(W19&lt;X19,X19="-"),OR(X19&lt;Z19,X19="-"),OR(Z19&lt;AA19,Z19="-"),AA19&lt;AC19,AC19&lt;AD19,AD19&lt;AF19,AF19&lt;AG19,AG19&lt;AI19,OR(AI19&lt;AJ19,AJ19="-"),OR(AJ19&lt;AL19,AJ19="-"))</f>
        <v>1</v>
      </c>
      <c r="AO19" s="3" t="str">
        <f>IF(ISERROR(MATCH(A19,'SegEnds_Xtal_Prot#'!B:B, 0)), "NoXtal", "Xtal")</f>
        <v>Xtal</v>
      </c>
      <c r="AP19" s="3">
        <f>IF(ISERROR(F19-E19),"-",F19-E19)</f>
        <v>1</v>
      </c>
      <c r="AQ19" s="3">
        <f>IF(ISERROR(I19-H19),"-",I19-H19)</f>
        <v>1</v>
      </c>
      <c r="AR19" s="3">
        <f>IF(ISERROR(L19-K19),"-",L19-K19)</f>
        <v>2</v>
      </c>
      <c r="AS19" s="3">
        <f>IF(ISERROR(O19-N19),"-",O19-N19)</f>
        <v>1</v>
      </c>
      <c r="AT19" s="3">
        <f>IF(ISERROR(R19-Q19),"-",R19-Q19)</f>
        <v>1</v>
      </c>
      <c r="AU19" s="3">
        <f>IF(ISERROR(U19-T19),"-",U19-T19)</f>
        <v>1</v>
      </c>
      <c r="AV19" s="3">
        <f>IF(ISERROR(X19-W19),"-",X19-W19)</f>
        <v>12</v>
      </c>
      <c r="AW19" s="3">
        <f>IF(ISERROR(AA19-Z19),"-",AA19-Z19)</f>
        <v>7</v>
      </c>
      <c r="AX19" s="3">
        <f>IF(ISERROR(AD19-AC19),"-",AD19-AC19)</f>
        <v>5</v>
      </c>
      <c r="AY19" s="3">
        <f>IF(ISERROR(AG19-AF19),"-",AG19-AF19)</f>
        <v>4</v>
      </c>
      <c r="AZ19" s="3">
        <f>IF(ISERROR(AJ19-AI19),"-",AJ19-AI19)</f>
        <v>1</v>
      </c>
      <c r="BA19" s="3">
        <f>IF(ISERROR(LEN(VLOOKUP(A19,Seqs!A:E,2,FALSE))-AL19),"-",LEN(VLOOKUP(A19,Seqs!A:E,2,FALSE))-AL19)</f>
        <v>37</v>
      </c>
      <c r="BB19" s="16">
        <f>J19-D19</f>
        <v>28</v>
      </c>
      <c r="BC19" s="9">
        <f>IF(ISERROR(V19-S19),"-",V19-S19)</f>
        <v>20</v>
      </c>
      <c r="BD19" s="3">
        <f>J19-D19</f>
        <v>28</v>
      </c>
      <c r="BE19" s="3">
        <f>AE19-AB19</f>
        <v>49</v>
      </c>
    </row>
    <row r="20" spans="1:60" s="3" customFormat="1" x14ac:dyDescent="0.2">
      <c r="A20" s="3" t="s">
        <v>1463</v>
      </c>
      <c r="B20" s="3" t="str">
        <f>LOWER(VLOOKUP(A20,Xtal_Templ!A:B,2,FALSE))</f>
        <v>q9wtk1_cavpo</v>
      </c>
      <c r="C20" s="3">
        <f>VLOOKUP($A20,'SegEnds_NonXtal_BW#'!$A:$Z,3,FALSE)+D20-50</f>
        <v>17</v>
      </c>
      <c r="D20" s="3">
        <v>38</v>
      </c>
      <c r="E20" s="3">
        <f>IF(ISERROR(VLOOKUP($A20,'SegEnds_NonXtal_BW#'!$A:$Z,4,FALSE)+VLOOKUP($A20,A:AL,4,FALSE)-50),"-",(VLOOKUP($A20,'SegEnds_NonXtal_BW#'!$A:$Z,4,FALSE)+VLOOKUP($A20,A:AL,4,FALSE)-50))</f>
        <v>48</v>
      </c>
      <c r="F20" s="3">
        <f>G20-2</f>
        <v>49</v>
      </c>
      <c r="G20" s="3">
        <v>51</v>
      </c>
      <c r="H20" s="3">
        <f>G20+1</f>
        <v>52</v>
      </c>
      <c r="I20" s="3">
        <f>H20+1</f>
        <v>53</v>
      </c>
      <c r="J20" s="3">
        <v>66</v>
      </c>
      <c r="K20" s="3">
        <f>VLOOKUP($A20,'SegEnds_NonXtal_BW#'!$A:$Z,8,FALSE)+VLOOKUP($A20,A:AL,10,FALSE)-50</f>
        <v>83</v>
      </c>
      <c r="L20" s="3">
        <f>M20-1</f>
        <v>84</v>
      </c>
      <c r="M20" s="3">
        <v>85</v>
      </c>
      <c r="N20" s="3">
        <f>M20+2</f>
        <v>87</v>
      </c>
      <c r="O20" s="3">
        <f>N20+1</f>
        <v>88</v>
      </c>
      <c r="P20" s="3">
        <v>117</v>
      </c>
      <c r="Q20" s="3">
        <f>VLOOKUP($A20,'SegEnds_NonXtal_BW#'!$A:$Z,12,FALSE)+VLOOKUP($A20,A:AL,16,FALSE)-50</f>
        <v>123</v>
      </c>
      <c r="R20" s="3">
        <f>IF(ISERROR(VLOOKUP($A20,'SegEnds_NonXtal_BW#'!$A:$Z,13,FALSE)+VLOOKUP($A20,A:AL,19,FALSE)-50),"-",VLOOKUP($A20,'SegEnds_NonXtal_BW#'!$A:$Z,13,FALSE)+VLOOKUP($A20,A:AL,19,FALSE)-50)</f>
        <v>124</v>
      </c>
      <c r="S20" s="3">
        <v>124</v>
      </c>
      <c r="T20" s="100">
        <f>IF(ISERROR(VLOOKUP($A20,'SegEnds_NonXtal_BW#'!$A:$Z,14,FALSE)+VLOOKUP($A20,A:AL,19,FALSE)-50),"-",(VLOOKUP($A20,'SegEnds_NonXtal_BW#'!$A:$Z,14,FALSE)+VLOOKUP($A20,A:AL,19,FALSE)-50))</f>
        <v>131</v>
      </c>
      <c r="U20" s="9">
        <f>IF(ISERROR(VLOOKUP($A20,'SegEnds_NonXtal_BW#'!$A:$Z,15,FALSE)+VLOOKUP($A20,A:AL,22,FALSE)-50),"-",VLOOKUP($A20,'SegEnds_NonXtal_BW#'!$A:$Z,15,FALSE)+VLOOKUP($A20,A:AL,22,FALSE)-50)</f>
        <v>132</v>
      </c>
      <c r="V20" s="3">
        <v>144</v>
      </c>
      <c r="W20" s="3">
        <f>IF(ISERROR(VLOOKUP($A20,'SegEnds_NonXtal_BW#'!$A:$Z,16,FALSE)+VLOOKUP($A20,A:AL,22,FALSE)-50),"-",(VLOOKUP($A20,'SegEnds_NonXtal_BW#'!$A:$Z,16,FALSE)+VLOOKUP($A20,A:AL,22,FALSE)-50))</f>
        <v>158</v>
      </c>
      <c r="X20" s="3">
        <f>IF(ISERROR(VLOOKUP($A20,'SegEnds_NonXtal_BW#'!$A:$Z,17,FALSE)+VLOOKUP($A20,A:AL,25,FALSE)-50),"-",(VLOOKUP($A20,'SegEnds_NonXtal_BW#'!$A:$Z,17,FALSE)+VLOOKUP($A20,A:AL,25,FALSE)-50))</f>
        <v>170</v>
      </c>
      <c r="Y20" s="3">
        <v>170</v>
      </c>
      <c r="Z20" s="3">
        <f>IF(ISERROR(VLOOKUP($A20,'SegEnds_NonXtal_BW#'!$A:$Z,18,FALSE)+VLOOKUP($A20,A:AL,25,FALSE)-50),"-",(VLOOKUP($A20,'SegEnds_NonXtal_BW#'!$A:$Z,18,FALSE)+VLOOKUP($A20,A:AL,25,FALSE)-50))</f>
        <v>172</v>
      </c>
      <c r="AA20" s="3">
        <f>IF(ISERROR(VLOOKUP($A20,'SegEnds_NonXtal_BW#'!$A:$Z,19,FALSE)+VLOOKUP($A20,A:AL,28,FALSE)-50),"-",(VLOOKUP($A20,'SegEnds_NonXtal_BW#'!$A:$Z,19,FALSE)+VLOOKUP($A20,A:AL,28,FALSE)-50))</f>
        <v>176</v>
      </c>
      <c r="AB20" s="3">
        <v>195</v>
      </c>
      <c r="AC20" s="3">
        <f>IF(ISERROR((VLOOKUP($A20,'SegEnds_NonXtal_BW#'!$A:$Z,20,FALSE)+VLOOKUP($A20,A:AL,28,FALSE)-50)),"-",(VLOOKUP($A20,'SegEnds_NonXtal_BW#'!$A:$Z,20,FALSE)+VLOOKUP($A20,A:AL,28,FALSE)-50))</f>
        <v>213</v>
      </c>
      <c r="AD20" s="3">
        <f>IF(ISERROR(VLOOKUP($A20,'SegEnds_NonXtal_BW#'!$A:$Z,21,FALSE)+VLOOKUP($A20,A:AL,31,FALSE)-50),"-",(VLOOKUP($A20,'SegEnds_NonXtal_BW#'!$A:$Z,21,FALSE)+VLOOKUP($A20,A:AL,31,FALSE)-50))</f>
        <v>218</v>
      </c>
      <c r="AE20" s="3">
        <v>238</v>
      </c>
      <c r="AF20" s="3">
        <f>IF(ISERROR((VLOOKUP($A20,'SegEnds_NonXtal_BW#'!$A:$Z,22,FALSE)+VLOOKUP($A20,A:AL,31,FALSE)-50)),"-",(VLOOKUP($A20,'SegEnds_NonXtal_BW#'!$A:$Z,22,FALSE)+VLOOKUP($A20,A:AL,31,FALSE)-50))</f>
        <v>252</v>
      </c>
      <c r="AG20" s="3">
        <f>IF(ISERROR(VLOOKUP($A20,'SegEnds_NonXtal_BW#'!$A:$Z,23,FALSE)+VLOOKUP($A20,A:AL,34,FALSE)-50),"-",(VLOOKUP($A20,'SegEnds_NonXtal_BW#'!$A:$Z,23,FALSE)+VLOOKUP($A20,A:AL,34,FALSE)-50))</f>
        <v>255</v>
      </c>
      <c r="AH20" s="3">
        <v>281</v>
      </c>
      <c r="AI20" s="3">
        <f>IF(ISERROR((VLOOKUP($A20,'SegEnds_NonXtal_BW#'!$A:$Z,24,FALSE)+VLOOKUP($A20,A:AL,34,FALSE)-50)),"-",(VLOOKUP($A20,'SegEnds_NonXtal_BW#'!$A:$Z,24,FALSE)+VLOOKUP($A20,A:AL,34,FALSE)-50))</f>
        <v>287</v>
      </c>
      <c r="AJ20" s="3">
        <f>IF(ISERROR(VLOOKUP($A20,'SegEnds_NonXtal_BW#'!$A:$Z,25,FALSE)+VLOOKUP($A20,A:AL,37,FALSE)-50),"-",(VLOOKUP($A20,'SegEnds_NonXtal_BW#'!$A:$Z,25,FALSE)+VLOOKUP($A20,A:AL,37,FALSE)-50))</f>
        <v>288</v>
      </c>
      <c r="AK20" s="3">
        <v>291</v>
      </c>
      <c r="AL20" s="3">
        <f>IF(ISERROR((VLOOKUP($A20,'SegEnds_NonXtal_BW#'!$A:$Z,26,FALSE)+VLOOKUP($A20,A:AL,37,FALSE)-50)),"-",(VLOOKUP($A20,'SegEnds_NonXtal_BW#'!$A:$Z,26,FALSE)+VLOOKUP($A20,A:AL,37,FALSE)-50))</f>
        <v>302</v>
      </c>
      <c r="AM20" s="28" t="str">
        <f>VLOOKUP(A20,Classification!A:B,2,FALSE)</f>
        <v>A</v>
      </c>
      <c r="AN20" s="28" t="b">
        <f>AND(IF(Y20="-",IF(AA20-W20&gt;3,TRUE,FALSE),TRUE),IF(M20="-",IF(O20-K20&gt;3,TRUE,FALSE),TRUE),IF(AG20-AF20&gt;1,TRUE,FALSE),C20&lt;E20,OR(E20&lt;F20,F20="-"),OR(F20&lt;H20,F20="-"),OR(H20&lt;I20,H20="-"),I20&lt;K20,OR(K20&lt;L20,L20="-"),OR(L20&lt;N20,L20="-"),OR(N20&lt;O20,N20="-"),O20&lt;Q20,OR(Q20&lt;R20,R20="-"),OR(R20&lt;T20,R20="-"),OR(T20&lt;U20,T20="-"),U20&lt;W20,OR(W20&lt;X20,X20="-"),OR(X20&lt;Z20,X20="-"),OR(Z20&lt;AA20,Z20="-"),AA20&lt;AC20,AC20&lt;AD20,AD20&lt;AF20,AF20&lt;AG20,AG20&lt;AI20,OR(AI20&lt;AJ20,AJ20="-"),OR(AJ20&lt;AL20,AJ20="-"))</f>
        <v>1</v>
      </c>
      <c r="AO20" s="3" t="str">
        <f>IF(ISERROR(MATCH(A20,'SegEnds_Xtal_Prot#'!B:B, 0)), "NoXtal", "Xtal")</f>
        <v>Xtal</v>
      </c>
      <c r="AP20" s="3">
        <f>IF(ISERROR(F20-E20),"-",F20-E20)</f>
        <v>1</v>
      </c>
      <c r="AQ20" s="3">
        <f>IF(ISERROR(I20-H20),"-",I20-H20)</f>
        <v>1</v>
      </c>
      <c r="AR20" s="3">
        <f>IF(ISERROR(L20-K20),"-",L20-K20)</f>
        <v>1</v>
      </c>
      <c r="AS20" s="3">
        <f>IF(ISERROR(O20-N20),"-",O20-N20)</f>
        <v>1</v>
      </c>
      <c r="AT20" s="3">
        <f>IF(ISERROR(R20-Q20),"-",R20-Q20)</f>
        <v>1</v>
      </c>
      <c r="AU20" s="3">
        <f>IF(ISERROR(U20-T20),"-",U20-T20)</f>
        <v>1</v>
      </c>
      <c r="AV20" s="3">
        <f>IF(ISERROR(X20-W20),"-",X20-W20)</f>
        <v>12</v>
      </c>
      <c r="AW20" s="3">
        <f>IF(ISERROR(AA20-Z20),"-",AA20-Z20)</f>
        <v>4</v>
      </c>
      <c r="AX20" s="3">
        <f>IF(ISERROR(AD20-AC20),"-",AD20-AC20)</f>
        <v>5</v>
      </c>
      <c r="AY20" s="3">
        <f>IF(ISERROR(AG20-AF20),"-",AG20-AF20)</f>
        <v>3</v>
      </c>
      <c r="AZ20" s="3">
        <f>IF(ISERROR(AJ20-AI20),"-",AJ20-AI20)</f>
        <v>1</v>
      </c>
      <c r="BA20" s="3">
        <f>IF(ISERROR(LEN(VLOOKUP(A20,Seqs!A:E,2,FALSE))-AL20),"-",LEN(VLOOKUP(A20,Seqs!A:E,2,FALSE))-AL20)</f>
        <v>46</v>
      </c>
      <c r="BB20" s="16">
        <f>J20-D20</f>
        <v>28</v>
      </c>
      <c r="BC20" s="9">
        <f>IF(ISERROR(V20-S20),"-",V20-S20)</f>
        <v>20</v>
      </c>
      <c r="BD20" s="3">
        <f>J20-D20</f>
        <v>28</v>
      </c>
      <c r="BE20" s="3">
        <f>AE20-AB20</f>
        <v>43</v>
      </c>
    </row>
    <row r="21" spans="1:60" s="3" customFormat="1" x14ac:dyDescent="0.2">
      <c r="A21" s="3" t="s">
        <v>334</v>
      </c>
      <c r="B21" s="3" t="s">
        <v>920</v>
      </c>
      <c r="C21" s="3">
        <f>VLOOKUP($A21,'SegEnds_NonXtal_BW#'!$A:$Z,3,FALSE)+D21-50</f>
        <v>29</v>
      </c>
      <c r="D21" s="3">
        <v>51</v>
      </c>
      <c r="E21" s="3">
        <f>IF(ISERROR(VLOOKUP($A21,'SegEnds_NonXtal_BW#'!$A:$Z,4,FALSE)+VLOOKUP($A21,A:AL,4,FALSE)-50),"-",(VLOOKUP($A21,'SegEnds_NonXtal_BW#'!$A:$Z,4,FALSE)+VLOOKUP($A21,A:AL,4,FALSE)-50))</f>
        <v>61</v>
      </c>
      <c r="F21" s="3">
        <f t="shared" si="23"/>
        <v>63</v>
      </c>
      <c r="G21" s="3">
        <v>65</v>
      </c>
      <c r="H21" s="3">
        <f t="shared" si="24"/>
        <v>66</v>
      </c>
      <c r="I21" s="3">
        <f t="shared" si="24"/>
        <v>67</v>
      </c>
      <c r="J21" s="3">
        <v>79</v>
      </c>
      <c r="K21" s="3">
        <v>97</v>
      </c>
      <c r="L21" s="3">
        <f>M21-1</f>
        <v>98</v>
      </c>
      <c r="M21" s="3">
        <v>99</v>
      </c>
      <c r="N21" s="3">
        <f>M21+2</f>
        <v>101</v>
      </c>
      <c r="O21" s="3">
        <f t="shared" si="22"/>
        <v>102</v>
      </c>
      <c r="P21" s="3">
        <v>131</v>
      </c>
      <c r="Q21" s="3">
        <f>VLOOKUP($A21,'SegEnds_NonXtal_BW#'!$A:$Z,12,FALSE)+VLOOKUP($A21,A:AL,16,FALSE)-50</f>
        <v>137</v>
      </c>
      <c r="R21" s="3">
        <f>IF(ISERROR(VLOOKUP($A21,'SegEnds_NonXtal_BW#'!$A:$Z,13,FALSE)+VLOOKUP($A21,A:AL,19,FALSE)-50),"-",VLOOKUP($A21,'SegEnds_NonXtal_BW#'!$A:$Z,13,FALSE)+VLOOKUP($A21,A:AL,19,FALSE)-50)</f>
        <v>138</v>
      </c>
      <c r="S21" s="3">
        <v>138</v>
      </c>
      <c r="T21" s="100">
        <f>IF(ISERROR(VLOOKUP($A21,'SegEnds_NonXtal_BW#'!$A:$Z,14,FALSE)+VLOOKUP($A21,A:AL,19,FALSE)-50),"-",(VLOOKUP($A21,'SegEnds_NonXtal_BW#'!$A:$Z,14,FALSE)+VLOOKUP($A21,A:AL,19,FALSE)-50))</f>
        <v>144</v>
      </c>
      <c r="U21" s="9">
        <f>IF(ISERROR(VLOOKUP($A21,'SegEnds_NonXtal_BW#'!$A:$Z,15,FALSE)+VLOOKUP($A21,A:AL,22,FALSE)-50),"-",VLOOKUP($A21,'SegEnds_NonXtal_BW#'!$A:$Z,15,FALSE)+VLOOKUP($A21,A:AL,22,FALSE)-50)</f>
        <v>145</v>
      </c>
      <c r="V21" s="3">
        <v>157</v>
      </c>
      <c r="W21" s="3">
        <f>IF(ISERROR(VLOOKUP($A21,'SegEnds_NonXtal_BW#'!$A:$Z,16,FALSE)+VLOOKUP($A21,A:AL,22,FALSE)-50),"-",(VLOOKUP($A21,'SegEnds_NonXtal_BW#'!$A:$Z,16,FALSE)+VLOOKUP($A21,A:AL,22,FALSE)-50))</f>
        <v>169</v>
      </c>
      <c r="X21" s="3">
        <f>IF(ISERROR(VLOOKUP($A21,'SegEnds_NonXtal_BW#'!$A:$Z,17,FALSE)+VLOOKUP($A21,A:AL,25,FALSE)-50),"-",(VLOOKUP($A21,'SegEnds_NonXtal_BW#'!$A:$Z,17,FALSE)+VLOOKUP($A21,A:AL,25,FALSE)-50))</f>
        <v>183</v>
      </c>
      <c r="Y21" s="3">
        <v>183</v>
      </c>
      <c r="Z21" s="3">
        <f t="shared" ref="Z21:Z30" si="25">Y21+2</f>
        <v>185</v>
      </c>
      <c r="AA21" s="3">
        <f>IF(ISERROR(VLOOKUP($A21,'SegEnds_NonXtal_BW#'!$A:$Z,19,FALSE)+VLOOKUP($A21,A:AL,28,FALSE)-50),"-",(VLOOKUP($A21,'SegEnds_NonXtal_BW#'!$A:$Z,19,FALSE)+VLOOKUP($A21,A:AL,28,FALSE)-50))</f>
        <v>195</v>
      </c>
      <c r="AB21" s="3">
        <v>211</v>
      </c>
      <c r="AC21" s="3">
        <f>IF(ISERROR((VLOOKUP($A21,'SegEnds_NonXtal_BW#'!$A:$Z,20,FALSE)+VLOOKUP($A21,A:AL,28,FALSE)-50)),"-",(VLOOKUP($A21,'SegEnds_NonXtal_BW#'!$A:$Z,20,FALSE)+VLOOKUP($A21,A:AL,28,FALSE)-50))</f>
        <v>234</v>
      </c>
      <c r="AD21" s="3">
        <f>IF(ISERROR(VLOOKUP($A21,'SegEnds_NonXtal_BW#'!$A:$Z,21,FALSE)+VLOOKUP($A21,A:AL,31,FALSE)-50),"-",(VLOOKUP($A21,'SegEnds_NonXtal_BW#'!$A:$Z,21,FALSE)+VLOOKUP($A21,A:AL,31,FALSE)-50))</f>
        <v>239</v>
      </c>
      <c r="AE21" s="3">
        <v>267</v>
      </c>
      <c r="AF21" s="3">
        <f>IF(ISERROR((VLOOKUP($A21,'SegEnds_NonXtal_BW#'!$A:$Z,22,FALSE)+VLOOKUP($A21,A:AL,31,FALSE)-50)),"-",(VLOOKUP($A21,'SegEnds_NonXtal_BW#'!$A:$Z,22,FALSE)+VLOOKUP($A21,A:AL,31,FALSE)-50))</f>
        <v>278</v>
      </c>
      <c r="AG21" s="3">
        <f>IF(ISERROR(VLOOKUP($A21,'SegEnds_NonXtal_BW#'!$A:$Z,23,FALSE)+VLOOKUP($A21,A:AL,34,FALSE)-50),"-",(VLOOKUP($A21,'SegEnds_NonXtal_BW#'!$A:$Z,23,FALSE)+VLOOKUP($A21,A:AL,34,FALSE)-50))</f>
        <v>284</v>
      </c>
      <c r="AH21" s="3">
        <v>303</v>
      </c>
      <c r="AI21" s="3">
        <f>IF(ISERROR((VLOOKUP($A21,'SegEnds_NonXtal_BW#'!$A:$Z,24,FALSE)+VLOOKUP($A21,A:AL,34,FALSE)-50)),"-",(VLOOKUP($A21,'SegEnds_NonXtal_BW#'!$A:$Z,24,FALSE)+VLOOKUP($A21,A:AL,34,FALSE)-50))</f>
        <v>309</v>
      </c>
      <c r="AJ21" s="3">
        <f>IF(ISERROR(VLOOKUP($A21,'SegEnds_NonXtal_BW#'!$A:$Z,25,FALSE)+VLOOKUP($A21,A:AL,37,FALSE)-50),"-",(VLOOKUP($A21,'SegEnds_NonXtal_BW#'!$A:$Z,25,FALSE)+VLOOKUP($A21,A:AL,37,FALSE)-50))</f>
        <v>310</v>
      </c>
      <c r="AK21" s="3">
        <v>313</v>
      </c>
      <c r="AL21" s="3">
        <f>IF(ISERROR((VLOOKUP($A21,'SegEnds_NonXtal_BW#'!$A:$Z,26,FALSE)+VLOOKUP($A21,A:AL,37,FALSE)-50)),"-",(VLOOKUP($A21,'SegEnds_NonXtal_BW#'!$A:$Z,26,FALSE)+VLOOKUP($A21,A:AL,37,FALSE)-50))</f>
        <v>322</v>
      </c>
      <c r="AM21" s="28" t="str">
        <f>VLOOKUP(A21,Classification!A:B,2,FALSE)</f>
        <v>A</v>
      </c>
      <c r="AN21" s="28" t="b">
        <f t="shared" si="17"/>
        <v>1</v>
      </c>
      <c r="AO21" s="3" t="str">
        <f>IF(ISERROR(MATCH(A21,'SegEnds_Xtal_Prot#'!B:B, 0)), "NoXtal", "Xtal")</f>
        <v>NoXtal</v>
      </c>
      <c r="AP21" s="3">
        <f t="shared" si="2"/>
        <v>2</v>
      </c>
      <c r="AQ21" s="3">
        <f t="shared" si="3"/>
        <v>1</v>
      </c>
      <c r="AR21" s="3">
        <f t="shared" si="4"/>
        <v>1</v>
      </c>
      <c r="AS21" s="3">
        <f t="shared" si="5"/>
        <v>1</v>
      </c>
      <c r="AT21" s="3">
        <f t="shared" si="6"/>
        <v>1</v>
      </c>
      <c r="AU21" s="3">
        <f t="shared" si="7"/>
        <v>1</v>
      </c>
      <c r="AV21" s="3">
        <f t="shared" si="8"/>
        <v>14</v>
      </c>
      <c r="AW21" s="3">
        <f t="shared" si="9"/>
        <v>10</v>
      </c>
      <c r="AX21" s="3">
        <f t="shared" si="10"/>
        <v>5</v>
      </c>
      <c r="AY21" s="3">
        <f t="shared" si="11"/>
        <v>6</v>
      </c>
      <c r="AZ21" s="3">
        <f t="shared" si="12"/>
        <v>1</v>
      </c>
      <c r="BA21" s="3">
        <f>IF(ISERROR(LEN(VLOOKUP(A21,Seqs!A:E,2,FALSE))-AL21),"-",LEN(VLOOKUP(A21,Seqs!A:E,2,FALSE))-AL21)</f>
        <v>32</v>
      </c>
      <c r="BB21" s="16">
        <f t="shared" si="13"/>
        <v>28</v>
      </c>
      <c r="BC21" s="9">
        <f t="shared" si="14"/>
        <v>19</v>
      </c>
      <c r="BD21" s="3">
        <f t="shared" si="15"/>
        <v>28</v>
      </c>
      <c r="BE21" s="3">
        <f t="shared" si="16"/>
        <v>56</v>
      </c>
    </row>
    <row r="22" spans="1:60" s="3" customFormat="1" x14ac:dyDescent="0.2">
      <c r="A22" s="3" t="s">
        <v>338</v>
      </c>
      <c r="B22" s="3" t="str">
        <f>LOWER(VLOOKUP(A22,Xtal_Templ!A:B,2,FALSE))</f>
        <v>opsd_human</v>
      </c>
      <c r="C22" s="3">
        <f>VLOOKUP($A22,'SegEnds_NonXtal_BW#'!$A:$Z,3,FALSE)+D22-50</f>
        <v>31</v>
      </c>
      <c r="D22" s="3">
        <v>52</v>
      </c>
      <c r="E22" s="3">
        <f>IF(ISERROR(VLOOKUP($A22,'SegEnds_NonXtal_BW#'!$A:$Z,4,FALSE)+VLOOKUP($A22,A:AL,4,FALSE)-50),"-",(VLOOKUP($A22,'SegEnds_NonXtal_BW#'!$A:$Z,4,FALSE)+VLOOKUP($A22,A:AL,4,FALSE)-50))</f>
        <v>62</v>
      </c>
      <c r="F22" s="3">
        <f t="shared" si="23"/>
        <v>63</v>
      </c>
      <c r="G22" s="3">
        <v>65</v>
      </c>
      <c r="H22" s="3">
        <f t="shared" si="24"/>
        <v>66</v>
      </c>
      <c r="I22" s="3">
        <f t="shared" si="24"/>
        <v>67</v>
      </c>
      <c r="J22" s="3">
        <v>80</v>
      </c>
      <c r="K22" s="3">
        <f>VLOOKUP($A22,'SegEnds_NonXtal_BW#'!$A:$Z,8,FALSE)+VLOOKUP($A22,A:AL,10,FALSE)-50</f>
        <v>97</v>
      </c>
      <c r="L22" s="3">
        <f>M22-1</f>
        <v>99</v>
      </c>
      <c r="M22" s="3">
        <v>100</v>
      </c>
      <c r="N22" s="3">
        <f>M22+2</f>
        <v>102</v>
      </c>
      <c r="O22" s="3">
        <f t="shared" si="22"/>
        <v>103</v>
      </c>
      <c r="P22" s="3">
        <v>132</v>
      </c>
      <c r="Q22" s="3">
        <f>VLOOKUP($A22,'SegEnds_NonXtal_BW#'!$A:$Z,12,FALSE)+VLOOKUP($A22,A:AL,16,FALSE)-50</f>
        <v>138</v>
      </c>
      <c r="R22" s="3">
        <f>IF(ISERROR(VLOOKUP($A22,'SegEnds_NonXtal_BW#'!$A:$Z,13,FALSE)+VLOOKUP($A22,A:AL,19,FALSE)-50),"-",VLOOKUP($A22,'SegEnds_NonXtal_BW#'!$A:$Z,13,FALSE)+VLOOKUP($A22,A:AL,19,FALSE)-50)</f>
        <v>139</v>
      </c>
      <c r="S22" s="3">
        <v>139</v>
      </c>
      <c r="T22" s="100">
        <f>IF(ISERROR(VLOOKUP($A22,'SegEnds_NonXtal_BW#'!$A:$Z,14,FALSE)+VLOOKUP($A22,A:AL,19,FALSE)-50),"-",(VLOOKUP($A22,'SegEnds_NonXtal_BW#'!$A:$Z,14,FALSE)+VLOOKUP($A22,A:AL,19,FALSE)-50))</f>
        <v>145</v>
      </c>
      <c r="U22" s="9">
        <f>IF(ISERROR(VLOOKUP($A22,'SegEnds_NonXtal_BW#'!$A:$Z,15,FALSE)+VLOOKUP($A22,A:AL,22,FALSE)-50),"-",VLOOKUP($A22,'SegEnds_NonXtal_BW#'!$A:$Z,15,FALSE)+VLOOKUP($A22,A:AL,22,FALSE)-50)</f>
        <v>146</v>
      </c>
      <c r="V22" s="3">
        <v>158</v>
      </c>
      <c r="W22" s="3">
        <f>IF(ISERROR(VLOOKUP($A22,'SegEnds_NonXtal_BW#'!$A:$Z,16,FALSE)+VLOOKUP($A22,A:AL,22,FALSE)-50),"-",(VLOOKUP($A22,'SegEnds_NonXtal_BW#'!$A:$Z,16,FALSE)+VLOOKUP($A22,A:AL,22,FALSE)-50))</f>
        <v>170</v>
      </c>
      <c r="X22" s="3">
        <f>IF(ISERROR(VLOOKUP($A22,'SegEnds_NonXtal_BW#'!$A:$Z,17,FALSE)+VLOOKUP($A22,A:AL,25,FALSE)-50),"-",(VLOOKUP($A22,'SegEnds_NonXtal_BW#'!$A:$Z,17,FALSE)+VLOOKUP($A22,A:AL,25,FALSE)-50))</f>
        <v>184</v>
      </c>
      <c r="Y22" s="3">
        <v>184</v>
      </c>
      <c r="Z22" s="3">
        <f t="shared" si="25"/>
        <v>186</v>
      </c>
      <c r="AA22" s="3">
        <f>IF(ISERROR(VLOOKUP($A22,'SegEnds_NonXtal_BW#'!$A:$Z,19,FALSE)+VLOOKUP($A22,A:AL,28,FALSE)-50),"-",(VLOOKUP($A22,'SegEnds_NonXtal_BW#'!$A:$Z,19,FALSE)+VLOOKUP($A22,A:AL,28,FALSE)-50))</f>
        <v>196</v>
      </c>
      <c r="AB22" s="3">
        <v>212</v>
      </c>
      <c r="AC22" s="3">
        <f>IF(ISERROR((VLOOKUP($A22,'SegEnds_NonXtal_BW#'!$A:$Z,20,FALSE)+VLOOKUP($A22,A:AL,28,FALSE)-50)),"-",(VLOOKUP($A22,'SegEnds_NonXtal_BW#'!$A:$Z,20,FALSE)+VLOOKUP($A22,A:AL,28,FALSE)-50))</f>
        <v>234</v>
      </c>
      <c r="AD22" s="3">
        <f>IF(ISERROR(VLOOKUP($A22,'SegEnds_NonXtal_BW#'!$A:$Z,21,FALSE)+VLOOKUP($A22,A:AL,31,FALSE)-50),"-",(VLOOKUP($A22,'SegEnds_NonXtal_BW#'!$A:$Z,21,FALSE)+VLOOKUP($A22,A:AL,31,FALSE)-50))</f>
        <v>238</v>
      </c>
      <c r="AE22" s="3">
        <v>264</v>
      </c>
      <c r="AF22" s="3">
        <f>IF(ISERROR((VLOOKUP($A22,'SegEnds_NonXtal_BW#'!$A:$Z,22,FALSE)+VLOOKUP($A22,A:AL,31,FALSE)-50)),"-",(VLOOKUP($A22,'SegEnds_NonXtal_BW#'!$A:$Z,22,FALSE)+VLOOKUP($A22,A:AL,31,FALSE)-50))</f>
        <v>275</v>
      </c>
      <c r="AG22" s="3">
        <f>IF(ISERROR(VLOOKUP($A22,'SegEnds_NonXtal_BW#'!$A:$Z,23,FALSE)+VLOOKUP($A22,A:AL,34,FALSE)-50),"-",(VLOOKUP($A22,'SegEnds_NonXtal_BW#'!$A:$Z,23,FALSE)+VLOOKUP($A22,A:AL,34,FALSE)-50))</f>
        <v>281</v>
      </c>
      <c r="AH22" s="3">
        <v>300</v>
      </c>
      <c r="AI22" s="3">
        <f>IF(ISERROR((VLOOKUP($A22,'SegEnds_NonXtal_BW#'!$A:$Z,24,FALSE)+VLOOKUP($A22,A:AL,34,FALSE)-50)),"-",(VLOOKUP($A22,'SegEnds_NonXtal_BW#'!$A:$Z,24,FALSE)+VLOOKUP($A22,A:AL,34,FALSE)-50))</f>
        <v>306</v>
      </c>
      <c r="AJ22" s="3">
        <f>IF(ISERROR(VLOOKUP($A22,'SegEnds_NonXtal_BW#'!$A:$Z,25,FALSE)+VLOOKUP($A22,A:AL,37,FALSE)-50),"-",(VLOOKUP($A22,'SegEnds_NonXtal_BW#'!$A:$Z,25,FALSE)+VLOOKUP($A22,A:AL,37,FALSE)-50))</f>
        <v>307</v>
      </c>
      <c r="AK22" s="3">
        <v>310</v>
      </c>
      <c r="AL22" s="3">
        <f>IF(ISERROR((VLOOKUP($A22,'SegEnds_NonXtal_BW#'!$A:$Z,26,FALSE)+VLOOKUP($A22,A:AL,37,FALSE)-50)),"-",(VLOOKUP($A22,'SegEnds_NonXtal_BW#'!$A:$Z,26,FALSE)+VLOOKUP($A22,A:AL,37,FALSE)-50))</f>
        <v>319</v>
      </c>
      <c r="AM22" s="28" t="str">
        <f>VLOOKUP(A22,Classification!A:B,2,FALSE)</f>
        <v>A</v>
      </c>
      <c r="AN22" s="28" t="b">
        <f t="shared" si="17"/>
        <v>1</v>
      </c>
      <c r="AO22" s="3" t="str">
        <f>IF(ISERROR(MATCH(A22,'SegEnds_Xtal_Prot#'!B:B, 0)), "NoXtal", "Xtal")</f>
        <v>NoXtal</v>
      </c>
      <c r="AP22" s="3">
        <f t="shared" si="2"/>
        <v>1</v>
      </c>
      <c r="AQ22" s="3">
        <f t="shared" si="3"/>
        <v>1</v>
      </c>
      <c r="AR22" s="3">
        <f t="shared" si="4"/>
        <v>2</v>
      </c>
      <c r="AS22" s="3">
        <f t="shared" si="5"/>
        <v>1</v>
      </c>
      <c r="AT22" s="3">
        <f t="shared" si="6"/>
        <v>1</v>
      </c>
      <c r="AU22" s="3">
        <f t="shared" si="7"/>
        <v>1</v>
      </c>
      <c r="AV22" s="3">
        <f t="shared" si="8"/>
        <v>14</v>
      </c>
      <c r="AW22" s="3">
        <f t="shared" si="9"/>
        <v>10</v>
      </c>
      <c r="AX22" s="3">
        <f t="shared" si="10"/>
        <v>4</v>
      </c>
      <c r="AY22" s="3">
        <f t="shared" si="11"/>
        <v>6</v>
      </c>
      <c r="AZ22" s="3">
        <f t="shared" si="12"/>
        <v>1</v>
      </c>
      <c r="BA22" s="3">
        <f>IF(ISERROR(LEN(VLOOKUP(A22,Seqs!A:E,2,FALSE))-AL22),"-",LEN(VLOOKUP(A22,Seqs!A:E,2,FALSE))-AL22)</f>
        <v>29</v>
      </c>
      <c r="BB22" s="16">
        <f t="shared" si="13"/>
        <v>28</v>
      </c>
      <c r="BC22" s="9">
        <f t="shared" si="14"/>
        <v>19</v>
      </c>
      <c r="BD22" s="3">
        <f t="shared" si="15"/>
        <v>28</v>
      </c>
      <c r="BE22" s="3">
        <f t="shared" si="16"/>
        <v>52</v>
      </c>
      <c r="BF22" s="3">
        <f t="shared" ref="BF22:BF27" si="26">AH22-AE22</f>
        <v>36</v>
      </c>
    </row>
    <row r="23" spans="1:60" s="3" customFormat="1" x14ac:dyDescent="0.2">
      <c r="A23" s="3" t="s">
        <v>920</v>
      </c>
      <c r="B23" s="3" t="str">
        <f>LOWER(VLOOKUP(A23,Xtal_Templ!A:B,2,FALSE))</f>
        <v>opsd_bovin</v>
      </c>
      <c r="C23" s="3">
        <f>VLOOKUP($A23,'SegEnds_NonXtal_BW#'!$A:$Z,3,FALSE)+D23-50</f>
        <v>33</v>
      </c>
      <c r="D23" s="3">
        <v>55</v>
      </c>
      <c r="E23" s="3">
        <f>IF(ISERROR(VLOOKUP($A23,'SegEnds_NonXtal_BW#'!$A:$Z,4,FALSE)+VLOOKUP($A23,A:AL,4,FALSE)-50),"-",(VLOOKUP($A23,'SegEnds_NonXtal_BW#'!$A:$Z,4,FALSE)+VLOOKUP($A23,A:AL,4,FALSE)-50))</f>
        <v>65</v>
      </c>
      <c r="F23" s="3">
        <f t="shared" si="23"/>
        <v>66</v>
      </c>
      <c r="G23" s="3">
        <v>68</v>
      </c>
      <c r="H23" s="3">
        <f t="shared" si="24"/>
        <v>69</v>
      </c>
      <c r="I23" s="3">
        <f t="shared" si="24"/>
        <v>70</v>
      </c>
      <c r="J23" s="3">
        <v>83</v>
      </c>
      <c r="K23" s="3">
        <f>VLOOKUP($A23,'SegEnds_NonXtal_BW#'!$A:$Z,8,FALSE)+VLOOKUP($A23,A:AL,10,FALSE)-50</f>
        <v>100</v>
      </c>
      <c r="L23" s="3">
        <f>IF(ISERROR(VLOOKUP($A23,'SegEnds_NonXtal_BW#'!$A:$Z,9,FALSE)+VLOOKUP($A23,A:AL,13,FALSE)-50),"-",(VLOOKUP($A23,'SegEnds_NonXtal_BW#'!$A:$Z,9,FALSE)+VLOOKUP($A23,A:AL,13,FALSE)-50))</f>
        <v>102</v>
      </c>
      <c r="M23" s="3">
        <v>103</v>
      </c>
      <c r="N23" s="3">
        <f>IF(ISERROR(VLOOKUP($A23,'SegEnds_NonXtal_BW#'!$A:$Z,10,FALSE)+VLOOKUP($A23,A:AL,13,FALSE)-50),"-",(VLOOKUP($A23,'SegEnds_NonXtal_BW#'!$A:$Z,10,FALSE)+VLOOKUP($A23,A:AL,13,FALSE)-50))</f>
        <v>105</v>
      </c>
      <c r="O23" s="3">
        <f t="shared" si="22"/>
        <v>106</v>
      </c>
      <c r="P23" s="3">
        <v>135</v>
      </c>
      <c r="Q23" s="3">
        <f>VLOOKUP($A23,'SegEnds_NonXtal_BW#'!$A:$Z,12,FALSE)+VLOOKUP($A23,A:AL,16,FALSE)-50</f>
        <v>141</v>
      </c>
      <c r="R23" s="3">
        <f>IF(ISERROR(VLOOKUP($A23,'SegEnds_NonXtal_BW#'!$A:$Z,13,FALSE)+VLOOKUP($A23,A:AL,19,FALSE)-50),"-",VLOOKUP($A23,'SegEnds_NonXtal_BW#'!$A:$Z,13,FALSE)+VLOOKUP($A23,A:AL,19,FALSE)-50)</f>
        <v>142</v>
      </c>
      <c r="S23" s="3">
        <v>142</v>
      </c>
      <c r="T23" s="100">
        <f>IF(ISERROR(VLOOKUP($A23,'SegEnds_NonXtal_BW#'!$A:$Z,14,FALSE)+VLOOKUP($A23,A:AL,19,FALSE)-50),"-",(VLOOKUP($A23,'SegEnds_NonXtal_BW#'!$A:$Z,14,FALSE)+VLOOKUP($A23,A:AL,19,FALSE)-50))</f>
        <v>148</v>
      </c>
      <c r="U23" s="9">
        <f>IF(ISERROR(VLOOKUP($A23,'SegEnds_NonXtal_BW#'!$A:$Z,15,FALSE)+VLOOKUP($A23,A:AL,22,FALSE)-50),"-",VLOOKUP($A23,'SegEnds_NonXtal_BW#'!$A:$Z,15,FALSE)+VLOOKUP($A23,A:AL,22,FALSE)-50)</f>
        <v>149</v>
      </c>
      <c r="V23" s="3">
        <v>161</v>
      </c>
      <c r="W23" s="3">
        <f>IF(ISERROR(VLOOKUP($A23,'SegEnds_NonXtal_BW#'!$A:$Z,16,FALSE)+VLOOKUP($A23,A:AL,22,FALSE)-50),"-",(VLOOKUP($A23,'SegEnds_NonXtal_BW#'!$A:$Z,16,FALSE)+VLOOKUP($A23,A:AL,22,FALSE)-50))</f>
        <v>173</v>
      </c>
      <c r="X23" s="3">
        <f>IF(ISERROR(VLOOKUP($A23,'SegEnds_NonXtal_BW#'!$A:$Z,17,FALSE)+VLOOKUP($A23,A:AL,25,FALSE)-50),"-",(VLOOKUP($A23,'SegEnds_NonXtal_BW#'!$A:$Z,17,FALSE)+VLOOKUP($A23,A:AL,25,FALSE)-50))</f>
        <v>187</v>
      </c>
      <c r="Y23" s="3">
        <v>187</v>
      </c>
      <c r="Z23" s="3">
        <f t="shared" si="25"/>
        <v>189</v>
      </c>
      <c r="AA23" s="3">
        <f>IF(ISERROR(VLOOKUP($A23,'SegEnds_NonXtal_BW#'!$A:$Z,19,FALSE)+VLOOKUP($A23,A:AL,28,FALSE)-50),"-",(VLOOKUP($A23,'SegEnds_NonXtal_BW#'!$A:$Z,19,FALSE)+VLOOKUP($A23,A:AL,28,FALSE)-50))</f>
        <v>199</v>
      </c>
      <c r="AB23" s="3">
        <v>215</v>
      </c>
      <c r="AC23" s="3">
        <f>IF(ISERROR((VLOOKUP($A23,'SegEnds_NonXtal_BW#'!$A:$Z,20,FALSE)+VLOOKUP($A23,A:AL,28,FALSE)-50)),"-",(VLOOKUP($A23,'SegEnds_NonXtal_BW#'!$A:$Z,20,FALSE)+VLOOKUP($A23,A:AL,28,FALSE)-50))</f>
        <v>237</v>
      </c>
      <c r="AD23" s="3">
        <f>IF(ISERROR(VLOOKUP($A23,'SegEnds_NonXtal_BW#'!$A:$Z,21,FALSE)+VLOOKUP($A23,A:AL,31,FALSE)-50),"-",(VLOOKUP($A23,'SegEnds_NonXtal_BW#'!$A:$Z,21,FALSE)+VLOOKUP($A23,A:AL,31,FALSE)-50))</f>
        <v>241</v>
      </c>
      <c r="AE23" s="3">
        <v>267</v>
      </c>
      <c r="AF23" s="3">
        <f>IF(ISERROR((VLOOKUP($A23,'SegEnds_NonXtal_BW#'!$A:$Z,22,FALSE)+VLOOKUP($A23,A:AL,31,FALSE)-50)),"-",(VLOOKUP($A23,'SegEnds_NonXtal_BW#'!$A:$Z,22,FALSE)+VLOOKUP($A23,A:AL,31,FALSE)-50))</f>
        <v>278</v>
      </c>
      <c r="AG23" s="3">
        <f>IF(ISERROR(VLOOKUP($A23,'SegEnds_NonXtal_BW#'!$A:$Z,23,FALSE)+VLOOKUP($A23,A:AL,34,FALSE)-50),"-",(VLOOKUP($A23,'SegEnds_NonXtal_BW#'!$A:$Z,23,FALSE)+VLOOKUP($A23,A:AL,34,FALSE)-50))</f>
        <v>284</v>
      </c>
      <c r="AH23" s="3">
        <v>303</v>
      </c>
      <c r="AI23" s="3">
        <f>IF(ISERROR((VLOOKUP($A23,'SegEnds_NonXtal_BW#'!$A:$Z,24,FALSE)+VLOOKUP($A23,A:AL,34,FALSE)-50)),"-",(VLOOKUP($A23,'SegEnds_NonXtal_BW#'!$A:$Z,24,FALSE)+VLOOKUP($A23,A:AL,34,FALSE)-50))</f>
        <v>309</v>
      </c>
      <c r="AJ23" s="3">
        <f>IF(ISERROR(VLOOKUP($A23,'SegEnds_NonXtal_BW#'!$A:$Z,25,FALSE)+VLOOKUP($A23,A:AL,37,FALSE)-50),"-",(VLOOKUP($A23,'SegEnds_NonXtal_BW#'!$A:$Z,25,FALSE)+VLOOKUP($A23,A:AL,37,FALSE)-50))</f>
        <v>310</v>
      </c>
      <c r="AK23" s="3">
        <v>313</v>
      </c>
      <c r="AL23" s="3">
        <f>IF(ISERROR((VLOOKUP($A23,'SegEnds_NonXtal_BW#'!$A:$Z,26,FALSE)+VLOOKUP($A23,A:AL,37,FALSE)-50)),"-",(VLOOKUP($A23,'SegEnds_NonXtal_BW#'!$A:$Z,26,FALSE)+VLOOKUP($A23,A:AL,37,FALSE)-50))</f>
        <v>322</v>
      </c>
      <c r="AM23" s="28" t="str">
        <f>VLOOKUP(A23,Classification!A:B,2,FALSE)</f>
        <v>A</v>
      </c>
      <c r="AN23" s="28" t="b">
        <f t="shared" si="17"/>
        <v>1</v>
      </c>
      <c r="AO23" s="3" t="str">
        <f>IF(ISERROR(MATCH(A23,'SegEnds_Xtal_Prot#'!B:B, 0)), "NoXtal", "Xtal")</f>
        <v>Xtal</v>
      </c>
      <c r="AP23" s="3">
        <f t="shared" si="2"/>
        <v>1</v>
      </c>
      <c r="AQ23" s="3">
        <f t="shared" si="3"/>
        <v>1</v>
      </c>
      <c r="AR23" s="3">
        <f t="shared" si="4"/>
        <v>2</v>
      </c>
      <c r="AS23" s="3">
        <f t="shared" si="5"/>
        <v>1</v>
      </c>
      <c r="AT23" s="3">
        <f t="shared" si="6"/>
        <v>1</v>
      </c>
      <c r="AU23" s="3">
        <f t="shared" si="7"/>
        <v>1</v>
      </c>
      <c r="AV23" s="3">
        <f t="shared" si="8"/>
        <v>14</v>
      </c>
      <c r="AW23" s="3">
        <f t="shared" si="9"/>
        <v>10</v>
      </c>
      <c r="AX23" s="3">
        <f t="shared" si="10"/>
        <v>4</v>
      </c>
      <c r="AY23" s="3">
        <f t="shared" si="11"/>
        <v>6</v>
      </c>
      <c r="AZ23" s="3">
        <f t="shared" si="12"/>
        <v>1</v>
      </c>
      <c r="BA23" s="3">
        <f>IF(ISERROR(LEN(VLOOKUP(A23,Seqs!A:E,2,FALSE))-AL23),"-",LEN(VLOOKUP(A23,Seqs!A:E,2,FALSE))-AL23)</f>
        <v>26</v>
      </c>
      <c r="BB23" s="16">
        <f t="shared" si="13"/>
        <v>28</v>
      </c>
      <c r="BC23" s="9">
        <f t="shared" si="14"/>
        <v>19</v>
      </c>
      <c r="BD23" s="3">
        <f t="shared" si="15"/>
        <v>28</v>
      </c>
      <c r="BE23" s="3">
        <f t="shared" si="16"/>
        <v>52</v>
      </c>
      <c r="BF23" s="3">
        <f t="shared" si="26"/>
        <v>36</v>
      </c>
    </row>
    <row r="24" spans="1:60" s="3" customFormat="1" x14ac:dyDescent="0.2">
      <c r="A24" s="3" t="s">
        <v>339</v>
      </c>
      <c r="B24" s="3" t="str">
        <f>LOWER(VLOOKUP(A24,Xtal_Templ!A:B,2,FALSE))</f>
        <v>opsd_human</v>
      </c>
      <c r="C24" s="3">
        <f>VLOOKUP($A24,'SegEnds_NonXtal_BW#'!$A:$Z,3,FALSE)+D24-50</f>
        <v>34</v>
      </c>
      <c r="D24" s="3">
        <v>55</v>
      </c>
      <c r="E24" s="3">
        <f>IF(ISERROR(VLOOKUP($A24,'SegEnds_NonXtal_BW#'!$A:$Z,4,FALSE)+VLOOKUP($A24,A:AL,4,FALSE)-50),"-",(VLOOKUP($A24,'SegEnds_NonXtal_BW#'!$A:$Z,4,FALSE)+VLOOKUP($A24,A:AL,4,FALSE)-50))</f>
        <v>65</v>
      </c>
      <c r="F24" s="3">
        <f t="shared" si="23"/>
        <v>66</v>
      </c>
      <c r="G24" s="3">
        <v>68</v>
      </c>
      <c r="H24" s="3">
        <f t="shared" si="24"/>
        <v>69</v>
      </c>
      <c r="I24" s="3">
        <f t="shared" si="24"/>
        <v>70</v>
      </c>
      <c r="J24" s="3">
        <v>83</v>
      </c>
      <c r="K24" s="3">
        <f>VLOOKUP($A24,'SegEnds_NonXtal_BW#'!$A:$Z,8,FALSE)+VLOOKUP($A24,A:AL,10,FALSE)-50</f>
        <v>100</v>
      </c>
      <c r="L24" s="3">
        <f>M24-1</f>
        <v>102</v>
      </c>
      <c r="M24" s="3">
        <v>103</v>
      </c>
      <c r="N24" s="3">
        <f>M24+2</f>
        <v>105</v>
      </c>
      <c r="O24" s="3">
        <f t="shared" si="22"/>
        <v>106</v>
      </c>
      <c r="P24" s="3">
        <v>135</v>
      </c>
      <c r="Q24" s="3">
        <f>VLOOKUP($A24,'SegEnds_NonXtal_BW#'!$A:$Z,12,FALSE)+VLOOKUP($A24,A:AL,16,FALSE)-50</f>
        <v>141</v>
      </c>
      <c r="R24" s="3">
        <f>IF(ISERROR(VLOOKUP($A24,'SegEnds_NonXtal_BW#'!$A:$Z,13,FALSE)+VLOOKUP($A24,A:AL,19,FALSE)-50),"-",VLOOKUP($A24,'SegEnds_NonXtal_BW#'!$A:$Z,13,FALSE)+VLOOKUP($A24,A:AL,19,FALSE)-50)</f>
        <v>142</v>
      </c>
      <c r="S24" s="3">
        <v>142</v>
      </c>
      <c r="T24" s="100">
        <f>IF(ISERROR(VLOOKUP($A24,'SegEnds_NonXtal_BW#'!$A:$Z,14,FALSE)+VLOOKUP($A24,A:AL,19,FALSE)-50),"-",(VLOOKUP($A24,'SegEnds_NonXtal_BW#'!$A:$Z,14,FALSE)+VLOOKUP($A24,A:AL,19,FALSE)-50))</f>
        <v>148</v>
      </c>
      <c r="U24" s="9">
        <f>IF(ISERROR(VLOOKUP($A24,'SegEnds_NonXtal_BW#'!$A:$Z,15,FALSE)+VLOOKUP($A24,A:AL,22,FALSE)-50),"-",VLOOKUP($A24,'SegEnds_NonXtal_BW#'!$A:$Z,15,FALSE)+VLOOKUP($A24,A:AL,22,FALSE)-50)</f>
        <v>149</v>
      </c>
      <c r="V24" s="3">
        <v>161</v>
      </c>
      <c r="W24" s="3">
        <f>IF(ISERROR(VLOOKUP($A24,'SegEnds_NonXtal_BW#'!$A:$Z,16,FALSE)+VLOOKUP($A24,A:AL,22,FALSE)-50),"-",(VLOOKUP($A24,'SegEnds_NonXtal_BW#'!$A:$Z,16,FALSE)+VLOOKUP($A24,A:AL,22,FALSE)-50))</f>
        <v>173</v>
      </c>
      <c r="X24" s="3">
        <f>IF(ISERROR(VLOOKUP($A24,'SegEnds_NonXtal_BW#'!$A:$Z,17,FALSE)+VLOOKUP($A24,A:AL,25,FALSE)-50),"-",(VLOOKUP($A24,'SegEnds_NonXtal_BW#'!$A:$Z,17,FALSE)+VLOOKUP($A24,A:AL,25,FALSE)-50))</f>
        <v>187</v>
      </c>
      <c r="Y24" s="3">
        <v>187</v>
      </c>
      <c r="Z24" s="3">
        <f t="shared" si="25"/>
        <v>189</v>
      </c>
      <c r="AA24" s="3">
        <f>IF(ISERROR(VLOOKUP($A24,'SegEnds_NonXtal_BW#'!$A:$Z,19,FALSE)+VLOOKUP($A24,A:AL,28,FALSE)-50),"-",(VLOOKUP($A24,'SegEnds_NonXtal_BW#'!$A:$Z,19,FALSE)+VLOOKUP($A24,A:AL,28,FALSE)-50))</f>
        <v>199</v>
      </c>
      <c r="AB24" s="3">
        <v>215</v>
      </c>
      <c r="AC24" s="3">
        <f>IF(ISERROR((VLOOKUP($A24,'SegEnds_NonXtal_BW#'!$A:$Z,20,FALSE)+VLOOKUP($A24,A:AL,28,FALSE)-50)),"-",(VLOOKUP($A24,'SegEnds_NonXtal_BW#'!$A:$Z,20,FALSE)+VLOOKUP($A24,A:AL,28,FALSE)-50))</f>
        <v>237</v>
      </c>
      <c r="AD24" s="3">
        <f>IF(ISERROR(VLOOKUP($A24,'SegEnds_NonXtal_BW#'!$A:$Z,21,FALSE)+VLOOKUP($A24,A:AL,31,FALSE)-50),"-",(VLOOKUP($A24,'SegEnds_NonXtal_BW#'!$A:$Z,21,FALSE)+VLOOKUP($A24,A:AL,31,FALSE)-50))</f>
        <v>241</v>
      </c>
      <c r="AE24" s="3">
        <v>267</v>
      </c>
      <c r="AF24" s="3">
        <f>IF(ISERROR((VLOOKUP($A24,'SegEnds_NonXtal_BW#'!$A:$Z,22,FALSE)+VLOOKUP($A24,A:AL,31,FALSE)-50)),"-",(VLOOKUP($A24,'SegEnds_NonXtal_BW#'!$A:$Z,22,FALSE)+VLOOKUP($A24,A:AL,31,FALSE)-50))</f>
        <v>278</v>
      </c>
      <c r="AG24" s="3">
        <f>IF(ISERROR(VLOOKUP($A24,'SegEnds_NonXtal_BW#'!$A:$Z,23,FALSE)+VLOOKUP($A24,A:AL,34,FALSE)-50),"-",(VLOOKUP($A24,'SegEnds_NonXtal_BW#'!$A:$Z,23,FALSE)+VLOOKUP($A24,A:AL,34,FALSE)-50))</f>
        <v>284</v>
      </c>
      <c r="AH24" s="3">
        <v>303</v>
      </c>
      <c r="AI24" s="3">
        <f>IF(ISERROR((VLOOKUP($A24,'SegEnds_NonXtal_BW#'!$A:$Z,24,FALSE)+VLOOKUP($A24,A:AL,34,FALSE)-50)),"-",(VLOOKUP($A24,'SegEnds_NonXtal_BW#'!$A:$Z,24,FALSE)+VLOOKUP($A24,A:AL,34,FALSE)-50))</f>
        <v>309</v>
      </c>
      <c r="AJ24" s="3">
        <f>IF(ISERROR(VLOOKUP($A24,'SegEnds_NonXtal_BW#'!$A:$Z,25,FALSE)+VLOOKUP($A24,A:AL,37,FALSE)-50),"-",(VLOOKUP($A24,'SegEnds_NonXtal_BW#'!$A:$Z,25,FALSE)+VLOOKUP($A24,A:AL,37,FALSE)-50))</f>
        <v>310</v>
      </c>
      <c r="AK24" s="3">
        <v>313</v>
      </c>
      <c r="AL24" s="3">
        <f>IF(ISERROR((VLOOKUP($A24,'SegEnds_NonXtal_BW#'!$A:$Z,26,FALSE)+VLOOKUP($A24,A:AL,37,FALSE)-50)),"-",(VLOOKUP($A24,'SegEnds_NonXtal_BW#'!$A:$Z,26,FALSE)+VLOOKUP($A24,A:AL,37,FALSE)-50))</f>
        <v>322</v>
      </c>
      <c r="AM24" s="28" t="str">
        <f>VLOOKUP(A24,Classification!A:B,2,FALSE)</f>
        <v>A</v>
      </c>
      <c r="AN24" s="28" t="b">
        <f t="shared" si="17"/>
        <v>1</v>
      </c>
      <c r="AO24" s="3" t="str">
        <f>IF(ISERROR(MATCH(A24,'SegEnds_Xtal_Prot#'!B:B, 0)), "NoXtal", "Xtal")</f>
        <v>Xtal</v>
      </c>
      <c r="AP24" s="3">
        <f t="shared" si="2"/>
        <v>1</v>
      </c>
      <c r="AQ24" s="3">
        <f t="shared" si="3"/>
        <v>1</v>
      </c>
      <c r="AR24" s="3">
        <f t="shared" si="4"/>
        <v>2</v>
      </c>
      <c r="AS24" s="3">
        <f t="shared" si="5"/>
        <v>1</v>
      </c>
      <c r="AT24" s="3">
        <f t="shared" si="6"/>
        <v>1</v>
      </c>
      <c r="AU24" s="3">
        <f t="shared" si="7"/>
        <v>1</v>
      </c>
      <c r="AV24" s="3">
        <f t="shared" si="8"/>
        <v>14</v>
      </c>
      <c r="AW24" s="3">
        <f t="shared" si="9"/>
        <v>10</v>
      </c>
      <c r="AX24" s="3">
        <f t="shared" si="10"/>
        <v>4</v>
      </c>
      <c r="AY24" s="3">
        <f t="shared" si="11"/>
        <v>6</v>
      </c>
      <c r="AZ24" s="3">
        <f t="shared" si="12"/>
        <v>1</v>
      </c>
      <c r="BA24" s="3">
        <f>IF(ISERROR(LEN(VLOOKUP(A24,Seqs!A:E,2,FALSE))-AL24),"-",LEN(VLOOKUP(A24,Seqs!A:E,2,FALSE))-AL24)</f>
        <v>26</v>
      </c>
      <c r="BB24" s="16">
        <f t="shared" si="13"/>
        <v>28</v>
      </c>
      <c r="BC24" s="9">
        <f t="shared" si="14"/>
        <v>19</v>
      </c>
      <c r="BD24" s="3">
        <f t="shared" si="15"/>
        <v>28</v>
      </c>
      <c r="BE24" s="3">
        <f t="shared" si="16"/>
        <v>52</v>
      </c>
      <c r="BF24" s="3">
        <f t="shared" si="26"/>
        <v>36</v>
      </c>
    </row>
    <row r="25" spans="1:60" s="3" customFormat="1" x14ac:dyDescent="0.2">
      <c r="A25" s="3" t="s">
        <v>340</v>
      </c>
      <c r="B25" s="3" t="str">
        <f>LOWER(VLOOKUP(A25,Xtal_Templ!A:B,2,FALSE))</f>
        <v>opsd_human</v>
      </c>
      <c r="C25" s="3">
        <f>VLOOKUP($A25,'SegEnds_NonXtal_BW#'!$A:$Z,3,FALSE)+D25-50</f>
        <v>50</v>
      </c>
      <c r="D25" s="3">
        <v>71</v>
      </c>
      <c r="E25" s="3">
        <f>IF(ISERROR(VLOOKUP($A25,'SegEnds_NonXtal_BW#'!$A:$Z,4,FALSE)+VLOOKUP($A25,A:AL,4,FALSE)-50),"-",(VLOOKUP($A25,'SegEnds_NonXtal_BW#'!$A:$Z,4,FALSE)+VLOOKUP($A25,A:AL,4,FALSE)-50))</f>
        <v>81</v>
      </c>
      <c r="F25" s="3">
        <f t="shared" si="23"/>
        <v>82</v>
      </c>
      <c r="G25" s="3">
        <v>84</v>
      </c>
      <c r="H25" s="3">
        <f t="shared" si="24"/>
        <v>85</v>
      </c>
      <c r="I25" s="3">
        <f t="shared" si="24"/>
        <v>86</v>
      </c>
      <c r="J25" s="3">
        <v>99</v>
      </c>
      <c r="K25" s="3">
        <f>VLOOKUP($A25,'SegEnds_NonXtal_BW#'!$A:$Z,8,FALSE)+VLOOKUP($A25,A:AL,10,FALSE)-50</f>
        <v>116</v>
      </c>
      <c r="L25" s="3">
        <f>M25-1</f>
        <v>118</v>
      </c>
      <c r="M25" s="3">
        <v>119</v>
      </c>
      <c r="N25" s="3">
        <f>M25+2</f>
        <v>121</v>
      </c>
      <c r="O25" s="3">
        <f t="shared" si="22"/>
        <v>122</v>
      </c>
      <c r="P25" s="3">
        <v>151</v>
      </c>
      <c r="Q25" s="3">
        <f>VLOOKUP($A25,'SegEnds_NonXtal_BW#'!$A:$Z,12,FALSE)+VLOOKUP($A25,A:AL,16,FALSE)-50</f>
        <v>157</v>
      </c>
      <c r="R25" s="3">
        <f>IF(ISERROR(VLOOKUP($A25,'SegEnds_NonXtal_BW#'!$A:$Z,13,FALSE)+VLOOKUP($A25,A:AL,19,FALSE)-50),"-",VLOOKUP($A25,'SegEnds_NonXtal_BW#'!$A:$Z,13,FALSE)+VLOOKUP($A25,A:AL,19,FALSE)-50)</f>
        <v>158</v>
      </c>
      <c r="S25" s="3">
        <v>158</v>
      </c>
      <c r="T25" s="100">
        <f>IF(ISERROR(VLOOKUP($A25,'SegEnds_NonXtal_BW#'!$A:$Z,14,FALSE)+VLOOKUP($A25,A:AL,19,FALSE)-50),"-",(VLOOKUP($A25,'SegEnds_NonXtal_BW#'!$A:$Z,14,FALSE)+VLOOKUP($A25,A:AL,19,FALSE)-50))</f>
        <v>164</v>
      </c>
      <c r="U25" s="9">
        <f>IF(ISERROR(VLOOKUP($A25,'SegEnds_NonXtal_BW#'!$A:$Z,15,FALSE)+VLOOKUP($A25,A:AL,22,FALSE)-50),"-",VLOOKUP($A25,'SegEnds_NonXtal_BW#'!$A:$Z,15,FALSE)+VLOOKUP($A25,A:AL,22,FALSE)-50)</f>
        <v>165</v>
      </c>
      <c r="V25" s="3">
        <v>177</v>
      </c>
      <c r="W25" s="3">
        <f>IF(ISERROR(VLOOKUP($A25,'SegEnds_NonXtal_BW#'!$A:$Z,16,FALSE)+VLOOKUP($A25,A:AL,22,FALSE)-50),"-",(VLOOKUP($A25,'SegEnds_NonXtal_BW#'!$A:$Z,16,FALSE)+VLOOKUP($A25,A:AL,22,FALSE)-50))</f>
        <v>189</v>
      </c>
      <c r="X25" s="3">
        <f>IF(ISERROR(VLOOKUP($A25,'SegEnds_NonXtal_BW#'!$A:$Z,17,FALSE)+VLOOKUP($A25,A:AL,25,FALSE)-50),"-",(VLOOKUP($A25,'SegEnds_NonXtal_BW#'!$A:$Z,17,FALSE)+VLOOKUP($A25,A:AL,25,FALSE)-50))</f>
        <v>203</v>
      </c>
      <c r="Y25" s="3">
        <v>203</v>
      </c>
      <c r="Z25" s="3">
        <f t="shared" si="25"/>
        <v>205</v>
      </c>
      <c r="AA25" s="3">
        <f>IF(ISERROR(VLOOKUP($A25,'SegEnds_NonXtal_BW#'!$A:$Z,19,FALSE)+VLOOKUP($A25,A:AL,28,FALSE)-50),"-",(VLOOKUP($A25,'SegEnds_NonXtal_BW#'!$A:$Z,19,FALSE)+VLOOKUP($A25,A:AL,28,FALSE)-50))</f>
        <v>215</v>
      </c>
      <c r="AB25" s="3">
        <v>231</v>
      </c>
      <c r="AC25" s="3">
        <f>IF(ISERROR((VLOOKUP($A25,'SegEnds_NonXtal_BW#'!$A:$Z,20,FALSE)+VLOOKUP($A25,A:AL,28,FALSE)-50)),"-",(VLOOKUP($A25,'SegEnds_NonXtal_BW#'!$A:$Z,20,FALSE)+VLOOKUP($A25,A:AL,28,FALSE)-50))</f>
        <v>253</v>
      </c>
      <c r="AD25" s="3">
        <f>IF(ISERROR(VLOOKUP($A25,'SegEnds_NonXtal_BW#'!$A:$Z,21,FALSE)+VLOOKUP($A25,A:AL,31,FALSE)-50),"-",(VLOOKUP($A25,'SegEnds_NonXtal_BW#'!$A:$Z,21,FALSE)+VLOOKUP($A25,A:AL,31,FALSE)-50))</f>
        <v>257</v>
      </c>
      <c r="AE25" s="3">
        <v>283</v>
      </c>
      <c r="AF25" s="3">
        <f>IF(ISERROR((VLOOKUP($A25,'SegEnds_NonXtal_BW#'!$A:$Z,22,FALSE)+VLOOKUP($A25,A:AL,31,FALSE)-50)),"-",(VLOOKUP($A25,'SegEnds_NonXtal_BW#'!$A:$Z,22,FALSE)+VLOOKUP($A25,A:AL,31,FALSE)-50))</f>
        <v>294</v>
      </c>
      <c r="AG25" s="3">
        <f>IF(ISERROR(VLOOKUP($A25,'SegEnds_NonXtal_BW#'!$A:$Z,23,FALSE)+VLOOKUP($A25,A:AL,34,FALSE)-50),"-",(VLOOKUP($A25,'SegEnds_NonXtal_BW#'!$A:$Z,23,FALSE)+VLOOKUP($A25,A:AL,34,FALSE)-50))</f>
        <v>300</v>
      </c>
      <c r="AH25" s="3">
        <v>319</v>
      </c>
      <c r="AI25" s="3">
        <f>IF(ISERROR((VLOOKUP($A25,'SegEnds_NonXtal_BW#'!$A:$Z,24,FALSE)+VLOOKUP($A25,A:AL,34,FALSE)-50)),"-",(VLOOKUP($A25,'SegEnds_NonXtal_BW#'!$A:$Z,24,FALSE)+VLOOKUP($A25,A:AL,34,FALSE)-50))</f>
        <v>325</v>
      </c>
      <c r="AJ25" s="3">
        <f>IF(ISERROR(VLOOKUP($A25,'SegEnds_NonXtal_BW#'!$A:$Z,25,FALSE)+VLOOKUP($A25,A:AL,37,FALSE)-50),"-",(VLOOKUP($A25,'SegEnds_NonXtal_BW#'!$A:$Z,25,FALSE)+VLOOKUP($A25,A:AL,37,FALSE)-50))</f>
        <v>326</v>
      </c>
      <c r="AK25" s="3">
        <v>329</v>
      </c>
      <c r="AL25" s="3">
        <f>IF(ISERROR((VLOOKUP($A25,'SegEnds_NonXtal_BW#'!$A:$Z,26,FALSE)+VLOOKUP($A25,A:AL,37,FALSE)-50)),"-",(VLOOKUP($A25,'SegEnds_NonXtal_BW#'!$A:$Z,26,FALSE)+VLOOKUP($A25,A:AL,37,FALSE)-50))</f>
        <v>338</v>
      </c>
      <c r="AM25" s="28" t="str">
        <f>VLOOKUP(A25,Classification!A:B,2,FALSE)</f>
        <v>A</v>
      </c>
      <c r="AN25" s="28" t="b">
        <f t="shared" si="17"/>
        <v>1</v>
      </c>
      <c r="AO25" s="3" t="str">
        <f>IF(ISERROR(MATCH(A25,'SegEnds_Xtal_Prot#'!B:B, 0)), "NoXtal", "Xtal")</f>
        <v>NoXtal</v>
      </c>
      <c r="AP25" s="3">
        <f t="shared" si="2"/>
        <v>1</v>
      </c>
      <c r="AQ25" s="3">
        <f t="shared" si="3"/>
        <v>1</v>
      </c>
      <c r="AR25" s="3">
        <f t="shared" si="4"/>
        <v>2</v>
      </c>
      <c r="AS25" s="3">
        <f t="shared" si="5"/>
        <v>1</v>
      </c>
      <c r="AT25" s="3">
        <f t="shared" si="6"/>
        <v>1</v>
      </c>
      <c r="AU25" s="3">
        <f t="shared" si="7"/>
        <v>1</v>
      </c>
      <c r="AV25" s="3">
        <f t="shared" si="8"/>
        <v>14</v>
      </c>
      <c r="AW25" s="3">
        <f t="shared" si="9"/>
        <v>10</v>
      </c>
      <c r="AX25" s="3">
        <f t="shared" si="10"/>
        <v>4</v>
      </c>
      <c r="AY25" s="3">
        <f t="shared" si="11"/>
        <v>6</v>
      </c>
      <c r="AZ25" s="3">
        <f t="shared" si="12"/>
        <v>1</v>
      </c>
      <c r="BA25" s="3">
        <f>IF(ISERROR(LEN(VLOOKUP(A25,Seqs!A:E,2,FALSE))-AL25),"-",LEN(VLOOKUP(A25,Seqs!A:E,2,FALSE))-AL25)</f>
        <v>26</v>
      </c>
      <c r="BB25" s="16">
        <f t="shared" si="13"/>
        <v>28</v>
      </c>
      <c r="BC25" s="9">
        <f t="shared" si="14"/>
        <v>19</v>
      </c>
      <c r="BD25" s="3">
        <f t="shared" si="15"/>
        <v>28</v>
      </c>
      <c r="BE25" s="3">
        <f t="shared" si="16"/>
        <v>52</v>
      </c>
      <c r="BF25" s="3">
        <f t="shared" si="26"/>
        <v>36</v>
      </c>
    </row>
    <row r="26" spans="1:60" s="3" customFormat="1" x14ac:dyDescent="0.2">
      <c r="A26" s="3" t="s">
        <v>341</v>
      </c>
      <c r="B26" s="3" t="str">
        <f>LOWER(VLOOKUP(A26,Xtal_Templ!A:B,2,FALSE))</f>
        <v>opsd_human</v>
      </c>
      <c r="C26" s="3">
        <f>VLOOKUP($A26,'SegEnds_NonXtal_BW#'!$A:$Z,3,FALSE)+D26-50</f>
        <v>50</v>
      </c>
      <c r="D26" s="3">
        <v>71</v>
      </c>
      <c r="E26" s="3">
        <f>IF(ISERROR(VLOOKUP($A26,'SegEnds_NonXtal_BW#'!$A:$Z,4,FALSE)+VLOOKUP($A26,A:AL,4,FALSE)-50),"-",(VLOOKUP($A26,'SegEnds_NonXtal_BW#'!$A:$Z,4,FALSE)+VLOOKUP($A26,A:AL,4,FALSE)-50))</f>
        <v>81</v>
      </c>
      <c r="F26" s="3">
        <f t="shared" si="23"/>
        <v>82</v>
      </c>
      <c r="G26" s="3">
        <v>84</v>
      </c>
      <c r="H26" s="3">
        <f t="shared" si="24"/>
        <v>85</v>
      </c>
      <c r="I26" s="3">
        <f t="shared" si="24"/>
        <v>86</v>
      </c>
      <c r="J26" s="3">
        <v>99</v>
      </c>
      <c r="K26" s="3">
        <f>VLOOKUP($A26,'SegEnds_NonXtal_BW#'!$A:$Z,8,FALSE)+VLOOKUP($A26,A:AL,10,FALSE)-50</f>
        <v>116</v>
      </c>
      <c r="L26" s="3">
        <f>M26-1</f>
        <v>117</v>
      </c>
      <c r="M26" s="3">
        <v>118</v>
      </c>
      <c r="N26" s="3">
        <f>M26+2</f>
        <v>120</v>
      </c>
      <c r="O26" s="3">
        <f t="shared" si="22"/>
        <v>121</v>
      </c>
      <c r="P26" s="3">
        <v>151</v>
      </c>
      <c r="Q26" s="3">
        <f>VLOOKUP($A26,'SegEnds_NonXtal_BW#'!$A:$Z,12,FALSE)+VLOOKUP($A26,A:AL,16,FALSE)-50</f>
        <v>157</v>
      </c>
      <c r="R26" s="3">
        <f>IF(ISERROR(VLOOKUP($A26,'SegEnds_NonXtal_BW#'!$A:$Z,13,FALSE)+VLOOKUP($A26,A:AL,19,FALSE)-50),"-",VLOOKUP($A26,'SegEnds_NonXtal_BW#'!$A:$Z,13,FALSE)+VLOOKUP($A26,A:AL,19,FALSE)-50)</f>
        <v>158</v>
      </c>
      <c r="S26" s="3">
        <v>158</v>
      </c>
      <c r="T26" s="100">
        <f>IF(ISERROR(VLOOKUP($A26,'SegEnds_NonXtal_BW#'!$A:$Z,14,FALSE)+VLOOKUP($A26,A:AL,19,FALSE)-50),"-",(VLOOKUP($A26,'SegEnds_NonXtal_BW#'!$A:$Z,14,FALSE)+VLOOKUP($A26,A:AL,19,FALSE)-50))</f>
        <v>164</v>
      </c>
      <c r="U26" s="9">
        <f>IF(ISERROR(VLOOKUP($A26,'SegEnds_NonXtal_BW#'!$A:$Z,15,FALSE)+VLOOKUP($A26,A:AL,22,FALSE)-50),"-",VLOOKUP($A26,'SegEnds_NonXtal_BW#'!$A:$Z,15,FALSE)+VLOOKUP($A26,A:AL,22,FALSE)-50)</f>
        <v>165</v>
      </c>
      <c r="V26" s="3">
        <v>177</v>
      </c>
      <c r="W26" s="3">
        <f>IF(ISERROR(VLOOKUP($A26,'SegEnds_NonXtal_BW#'!$A:$Z,16,FALSE)+VLOOKUP($A26,A:AL,22,FALSE)-50),"-",(VLOOKUP($A26,'SegEnds_NonXtal_BW#'!$A:$Z,16,FALSE)+VLOOKUP($A26,A:AL,22,FALSE)-50))</f>
        <v>189</v>
      </c>
      <c r="X26" s="3">
        <f>IF(ISERROR(VLOOKUP($A26,'SegEnds_NonXtal_BW#'!$A:$Z,17,FALSE)+VLOOKUP($A26,A:AL,25,FALSE)-50),"-",(VLOOKUP($A26,'SegEnds_NonXtal_BW#'!$A:$Z,17,FALSE)+VLOOKUP($A26,A:AL,25,FALSE)-50))</f>
        <v>203</v>
      </c>
      <c r="Y26" s="3">
        <v>203</v>
      </c>
      <c r="Z26" s="3">
        <f t="shared" si="25"/>
        <v>205</v>
      </c>
      <c r="AA26" s="3">
        <f>IF(ISERROR(VLOOKUP($A26,'SegEnds_NonXtal_BW#'!$A:$Z,19,FALSE)+VLOOKUP($A26,A:AL,28,FALSE)-50),"-",(VLOOKUP($A26,'SegEnds_NonXtal_BW#'!$A:$Z,19,FALSE)+VLOOKUP($A26,A:AL,28,FALSE)-50))</f>
        <v>215</v>
      </c>
      <c r="AB26" s="3">
        <v>231</v>
      </c>
      <c r="AC26" s="3">
        <f>IF(ISERROR((VLOOKUP($A26,'SegEnds_NonXtal_BW#'!$A:$Z,20,FALSE)+VLOOKUP($A26,A:AL,28,FALSE)-50)),"-",(VLOOKUP($A26,'SegEnds_NonXtal_BW#'!$A:$Z,20,FALSE)+VLOOKUP($A26,A:AL,28,FALSE)-50))</f>
        <v>253</v>
      </c>
      <c r="AD26" s="3">
        <f>IF(ISERROR(VLOOKUP($A26,'SegEnds_NonXtal_BW#'!$A:$Z,21,FALSE)+VLOOKUP($A26,A:AL,31,FALSE)-50),"-",(VLOOKUP($A26,'SegEnds_NonXtal_BW#'!$A:$Z,21,FALSE)+VLOOKUP($A26,A:AL,31,FALSE)-50))</f>
        <v>257</v>
      </c>
      <c r="AE26" s="3">
        <v>283</v>
      </c>
      <c r="AF26" s="3">
        <f>IF(ISERROR((VLOOKUP($A26,'SegEnds_NonXtal_BW#'!$A:$Z,22,FALSE)+VLOOKUP($A26,A:AL,31,FALSE)-50)),"-",(VLOOKUP($A26,'SegEnds_NonXtal_BW#'!$A:$Z,22,FALSE)+VLOOKUP($A26,A:AL,31,FALSE)-50))</f>
        <v>294</v>
      </c>
      <c r="AG26" s="3">
        <f>IF(ISERROR(VLOOKUP($A26,'SegEnds_NonXtal_BW#'!$A:$Z,23,FALSE)+VLOOKUP($A26,A:AL,34,FALSE)-50),"-",(VLOOKUP($A26,'SegEnds_NonXtal_BW#'!$A:$Z,23,FALSE)+VLOOKUP($A26,A:AL,34,FALSE)-50))</f>
        <v>300</v>
      </c>
      <c r="AH26" s="3">
        <v>319</v>
      </c>
      <c r="AI26" s="3">
        <f>IF(ISERROR((VLOOKUP($A26,'SegEnds_NonXtal_BW#'!$A:$Z,24,FALSE)+VLOOKUP($A26,A:AL,34,FALSE)-50)),"-",(VLOOKUP($A26,'SegEnds_NonXtal_BW#'!$A:$Z,24,FALSE)+VLOOKUP($A26,A:AL,34,FALSE)-50))</f>
        <v>325</v>
      </c>
      <c r="AJ26" s="3">
        <f>IF(ISERROR(VLOOKUP($A26,'SegEnds_NonXtal_BW#'!$A:$Z,25,FALSE)+VLOOKUP($A26,A:AL,37,FALSE)-50),"-",(VLOOKUP($A26,'SegEnds_NonXtal_BW#'!$A:$Z,25,FALSE)+VLOOKUP($A26,A:AL,37,FALSE)-50))</f>
        <v>326</v>
      </c>
      <c r="AK26" s="3">
        <v>329</v>
      </c>
      <c r="AL26" s="3">
        <f>IF(ISERROR((VLOOKUP($A26,'SegEnds_NonXtal_BW#'!$A:$Z,26,FALSE)+VLOOKUP($A26,A:AL,37,FALSE)-50)),"-",(VLOOKUP($A26,'SegEnds_NonXtal_BW#'!$A:$Z,26,FALSE)+VLOOKUP($A26,A:AL,37,FALSE)-50))</f>
        <v>338</v>
      </c>
      <c r="AM26" s="28" t="str">
        <f>VLOOKUP(A26,Classification!A:B,2,FALSE)</f>
        <v>A</v>
      </c>
      <c r="AN26" s="28" t="b">
        <f t="shared" si="17"/>
        <v>1</v>
      </c>
      <c r="AO26" s="3" t="str">
        <f>IF(ISERROR(MATCH(A26,'SegEnds_Xtal_Prot#'!B:B, 0)), "NoXtal", "Xtal")</f>
        <v>NoXtal</v>
      </c>
      <c r="AP26" s="3">
        <f t="shared" si="2"/>
        <v>1</v>
      </c>
      <c r="AQ26" s="3">
        <f t="shared" si="3"/>
        <v>1</v>
      </c>
      <c r="AR26" s="3">
        <f t="shared" si="4"/>
        <v>1</v>
      </c>
      <c r="AS26" s="3">
        <f t="shared" si="5"/>
        <v>1</v>
      </c>
      <c r="AT26" s="3">
        <f t="shared" si="6"/>
        <v>1</v>
      </c>
      <c r="AU26" s="3">
        <f t="shared" si="7"/>
        <v>1</v>
      </c>
      <c r="AV26" s="3">
        <f t="shared" si="8"/>
        <v>14</v>
      </c>
      <c r="AW26" s="3">
        <f t="shared" si="9"/>
        <v>10</v>
      </c>
      <c r="AX26" s="3">
        <f t="shared" si="10"/>
        <v>4</v>
      </c>
      <c r="AY26" s="3">
        <f t="shared" si="11"/>
        <v>6</v>
      </c>
      <c r="AZ26" s="3">
        <f t="shared" si="12"/>
        <v>1</v>
      </c>
      <c r="BA26" s="3">
        <f>IF(ISERROR(LEN(VLOOKUP(A26,Seqs!A:E,2,FALSE))-AL26),"-",LEN(VLOOKUP(A26,Seqs!A:E,2,FALSE))-AL26)</f>
        <v>26</v>
      </c>
      <c r="BB26" s="16">
        <f t="shared" si="13"/>
        <v>28</v>
      </c>
      <c r="BC26" s="9">
        <f t="shared" si="14"/>
        <v>19</v>
      </c>
      <c r="BD26" s="3">
        <f t="shared" si="15"/>
        <v>28</v>
      </c>
      <c r="BE26" s="3">
        <f t="shared" si="16"/>
        <v>52</v>
      </c>
      <c r="BF26" s="3">
        <f t="shared" si="26"/>
        <v>36</v>
      </c>
    </row>
    <row r="27" spans="1:60" s="3" customFormat="1" x14ac:dyDescent="0.2">
      <c r="A27" s="3" t="s">
        <v>350</v>
      </c>
      <c r="B27" s="3" t="str">
        <f>LOWER(VLOOKUP(A27,Xtal_Templ!A:B,2,FALSE))</f>
        <v>ptafr_human</v>
      </c>
      <c r="C27" s="3">
        <f>VLOOKUP($A27,'SegEnds_NonXtal_BW#'!$A:$Z,3,FALSE)+D27-50</f>
        <v>29</v>
      </c>
      <c r="D27" s="3">
        <v>52</v>
      </c>
      <c r="E27" s="3">
        <f>IF(ISERROR(VLOOKUP($A27,'SegEnds_NonXtal_BW#'!$A:$Z,4,FALSE)+VLOOKUP($A27,A:AL,4,FALSE)-50),"-",(VLOOKUP($A27,'SegEnds_NonXtal_BW#'!$A:$Z,4,FALSE)+VLOOKUP($A27,A:AL,4,FALSE)-50))</f>
        <v>63</v>
      </c>
      <c r="F27" s="3" t="str">
        <f>IF(ISERROR(VLOOKUP($A27,'SegEnds_NonXtal_BW#'!$A:$Z,5,FALSE)+VLOOKUP($A27,A:AL,7,FALSE)-50),"-",(VLOOKUP($A27,'SegEnds_NonXtal_BW#'!$A:$Z,5,FALSE)+VLOOKUP($A27,A:AL,7,FALSE)-50))</f>
        <v>-</v>
      </c>
      <c r="G27" s="3" t="s">
        <v>23</v>
      </c>
      <c r="H27" s="3" t="str">
        <f>IF(ISERROR(VLOOKUP($A27,'SegEnds_NonXtal_BW#'!$A:$Z,6,FALSE)+VLOOKUP($A27,A:AL,7,FALSE)-50),"-",(VLOOKUP($A27,'SegEnds_NonXtal_BW#'!$A:$Z,6,FALSE)+VLOOKUP($A27,A:AL,7,FALSE)-50))</f>
        <v>-</v>
      </c>
      <c r="I27" s="3">
        <f>VLOOKUP($A27,'SegEnds_NonXtal_BW#'!$A:$Z,7,FALSE)+J27-50</f>
        <v>67</v>
      </c>
      <c r="J27" s="3">
        <v>80</v>
      </c>
      <c r="K27" s="3">
        <f>VLOOKUP($A27,'SegEnds_NonXtal_BW#'!$A:$Z,8,FALSE)+VLOOKUP($A27,A:AL,10,FALSE)-50</f>
        <v>96</v>
      </c>
      <c r="L27" s="3">
        <f>M27-1</f>
        <v>98</v>
      </c>
      <c r="M27" s="3">
        <v>99</v>
      </c>
      <c r="N27" s="3">
        <f>M27+2</f>
        <v>101</v>
      </c>
      <c r="O27" s="3">
        <f t="shared" si="22"/>
        <v>102</v>
      </c>
      <c r="P27" s="3">
        <v>131</v>
      </c>
      <c r="Q27" s="3">
        <f>VLOOKUP($A27,'SegEnds_NonXtal_BW#'!$A:$Z,12,FALSE)+VLOOKUP($A27,A:AL,16,FALSE)-50</f>
        <v>137</v>
      </c>
      <c r="R27" s="3">
        <f>IF(ISERROR(VLOOKUP($A27,'SegEnds_NonXtal_BW#'!$A:$Z,13,FALSE)+VLOOKUP($A27,A:AL,19,FALSE)-50),"-",VLOOKUP($A27,'SegEnds_NonXtal_BW#'!$A:$Z,13,FALSE)+VLOOKUP($A27,A:AL,19,FALSE)-50)</f>
        <v>138</v>
      </c>
      <c r="S27" s="3">
        <v>138</v>
      </c>
      <c r="T27" s="100">
        <f>IF(ISERROR(VLOOKUP($A27,'SegEnds_NonXtal_BW#'!$A:$Z,14,FALSE)+VLOOKUP($A27,A:AL,19,FALSE)-50),"-",(VLOOKUP($A27,'SegEnds_NonXtal_BW#'!$A:$Z,14,FALSE)+VLOOKUP($A27,A:AL,19,FALSE)-50))</f>
        <v>144</v>
      </c>
      <c r="U27" s="9">
        <f>IF(ISERROR(VLOOKUP($A27,'SegEnds_NonXtal_BW#'!$A:$Z,15,FALSE)+VLOOKUP($A27,A:AL,22,FALSE)-50),"-",VLOOKUP($A27,'SegEnds_NonXtal_BW#'!$A:$Z,15,FALSE)+VLOOKUP($A27,A:AL,22,FALSE)-50)</f>
        <v>145</v>
      </c>
      <c r="V27" s="3">
        <v>157</v>
      </c>
      <c r="W27" s="3">
        <f>IF(ISERROR(VLOOKUP($A27,'SegEnds_NonXtal_BW#'!$A:$Z,16,FALSE)+VLOOKUP($A27,A:AL,22,FALSE)-50),"-",(VLOOKUP($A27,'SegEnds_NonXtal_BW#'!$A:$Z,16,FALSE)+VLOOKUP($A27,A:AL,22,FALSE)-50))</f>
        <v>170</v>
      </c>
      <c r="X27" s="3">
        <f>IF(ISERROR(VLOOKUP($A27,'SegEnds_NonXtal_BW#'!$A:$Z,17,FALSE)+VLOOKUP($A27,A:AL,25,FALSE)-50),"-",(VLOOKUP($A27,'SegEnds_NonXtal_BW#'!$A:$Z,17,FALSE)+VLOOKUP($A27,A:AL,25,FALSE)-50))</f>
        <v>181</v>
      </c>
      <c r="Y27" s="3">
        <v>181</v>
      </c>
      <c r="Z27" s="3">
        <f t="shared" si="25"/>
        <v>183</v>
      </c>
      <c r="AA27" s="3">
        <f>IF(ISERROR(VLOOKUP($A27,'SegEnds_NonXtal_BW#'!$A:$Z,19,FALSE)+VLOOKUP($A27,A:AL,28,FALSE)-50),"-",(VLOOKUP($A27,'SegEnds_NonXtal_BW#'!$A:$Z,19,FALSE)+VLOOKUP($A27,A:AL,28,FALSE)-50))</f>
        <v>193</v>
      </c>
      <c r="AB27" s="3">
        <v>210</v>
      </c>
      <c r="AC27" s="3">
        <f>IF(ISERROR((VLOOKUP($A27,'SegEnds_NonXtal_BW#'!$A:$Z,20,FALSE)+VLOOKUP($A27,A:AL,28,FALSE)-50)),"-",(VLOOKUP($A27,'SegEnds_NonXtal_BW#'!$A:$Z,20,FALSE)+VLOOKUP($A27,A:AL,28,FALSE)-50))</f>
        <v>228</v>
      </c>
      <c r="AD27" s="3">
        <f>IF(ISERROR(VLOOKUP($A27,'SegEnds_NonXtal_BW#'!$A:$Z,21,FALSE)+VLOOKUP($A27,A:AL,31,FALSE)-50),"-",(VLOOKUP($A27,'SegEnds_NonXtal_BW#'!$A:$Z,21,FALSE)+VLOOKUP($A27,A:AL,31,FALSE)-50))</f>
        <v>232</v>
      </c>
      <c r="AE27" s="3">
        <v>258</v>
      </c>
      <c r="AF27" s="3">
        <f>IF(ISERROR((VLOOKUP($A27,'SegEnds_NonXtal_BW#'!$A:$Z,22,FALSE)+VLOOKUP($A27,A:AL,31,FALSE)-50)),"-",(VLOOKUP($A27,'SegEnds_NonXtal_BW#'!$A:$Z,22,FALSE)+VLOOKUP($A27,A:AL,31,FALSE)-50))</f>
        <v>272</v>
      </c>
      <c r="AG27" s="3">
        <f>IF(ISERROR(VLOOKUP($A27,'SegEnds_NonXtal_BW#'!$A:$Z,23,FALSE)+VLOOKUP($A27,A:AL,34,FALSE)-50),"-",(VLOOKUP($A27,'SegEnds_NonXtal_BW#'!$A:$Z,23,FALSE)+VLOOKUP($A27,A:AL,34,FALSE)-50))</f>
        <v>276</v>
      </c>
      <c r="AH27" s="3">
        <v>302</v>
      </c>
      <c r="AI27" s="3">
        <f>IF(ISERROR((VLOOKUP($A27,'SegEnds_NonXtal_BW#'!$A:$Z,24,FALSE)+VLOOKUP($A27,A:AL,34,FALSE)-50)),"-",(VLOOKUP($A27,'SegEnds_NonXtal_BW#'!$A:$Z,24,FALSE)+VLOOKUP($A27,A:AL,34,FALSE)-50))</f>
        <v>311</v>
      </c>
      <c r="AJ27" s="3">
        <f>IF(ISERROR(VLOOKUP($A27,'SegEnds_NonXtal_BW#'!$A:$Z,25,FALSE)+VLOOKUP($A27,A:AL,37,FALSE)-50),"-",(VLOOKUP($A27,'SegEnds_NonXtal_BW#'!$A:$Z,25,FALSE)+VLOOKUP($A27,A:AL,37,FALSE)-50))</f>
        <v>312</v>
      </c>
      <c r="AK27" s="3">
        <v>312</v>
      </c>
      <c r="AL27" s="3">
        <f>IF(ISERROR((VLOOKUP($A27,'SegEnds_NonXtal_BW#'!$A:$Z,26,FALSE)+VLOOKUP($A27,A:AL,37,FALSE)-50)),"-",(VLOOKUP($A27,'SegEnds_NonXtal_BW#'!$A:$Z,26,FALSE)+VLOOKUP($A27,A:AL,37,FALSE)-50))</f>
        <v>325</v>
      </c>
      <c r="AM27" s="28" t="str">
        <f>VLOOKUP(A27,Classification!A:B,2,FALSE)</f>
        <v>A</v>
      </c>
      <c r="AN27" s="28" t="b">
        <f t="shared" si="17"/>
        <v>1</v>
      </c>
      <c r="AO27" s="3" t="str">
        <f>IF(ISERROR(MATCH(A27,'SegEnds_Xtal_Prot#'!B:B, 0)), "NoXtal", "Xtal")</f>
        <v>NoXtal</v>
      </c>
      <c r="AP27" s="3" t="str">
        <f t="shared" si="2"/>
        <v>-</v>
      </c>
      <c r="AQ27" s="3" t="str">
        <f t="shared" si="3"/>
        <v>-</v>
      </c>
      <c r="AR27" s="3">
        <f t="shared" si="4"/>
        <v>2</v>
      </c>
      <c r="AS27" s="3">
        <f t="shared" si="5"/>
        <v>1</v>
      </c>
      <c r="AT27" s="3">
        <f t="shared" si="6"/>
        <v>1</v>
      </c>
      <c r="AU27" s="3">
        <f t="shared" si="7"/>
        <v>1</v>
      </c>
      <c r="AV27" s="3">
        <f t="shared" si="8"/>
        <v>11</v>
      </c>
      <c r="AW27" s="3">
        <f t="shared" si="9"/>
        <v>10</v>
      </c>
      <c r="AX27" s="3">
        <f t="shared" si="10"/>
        <v>4</v>
      </c>
      <c r="AY27" s="3">
        <f t="shared" si="11"/>
        <v>4</v>
      </c>
      <c r="AZ27" s="3">
        <f t="shared" si="12"/>
        <v>1</v>
      </c>
      <c r="BA27" s="3">
        <f>IF(ISERROR(LEN(VLOOKUP(A27,Seqs!A:E,2,FALSE))-AL27),"-",LEN(VLOOKUP(A27,Seqs!A:E,2,FALSE))-AL27)</f>
        <v>14</v>
      </c>
      <c r="BB27" s="16">
        <f t="shared" si="13"/>
        <v>28</v>
      </c>
      <c r="BC27" s="9">
        <f t="shared" si="14"/>
        <v>19</v>
      </c>
      <c r="BD27" s="3">
        <f t="shared" si="15"/>
        <v>28</v>
      </c>
      <c r="BE27" s="3">
        <f t="shared" si="16"/>
        <v>48</v>
      </c>
      <c r="BF27" s="3">
        <f t="shared" si="26"/>
        <v>44</v>
      </c>
    </row>
    <row r="28" spans="1:60" s="3" customFormat="1" x14ac:dyDescent="0.2">
      <c r="A28" s="3" t="s">
        <v>356</v>
      </c>
      <c r="B28" s="3" t="str">
        <f>LOWER(VLOOKUP(A28,Xtal_Templ!A:B,2,FALSE))</f>
        <v>par2_human</v>
      </c>
      <c r="C28" s="3">
        <f>VLOOKUP($A28,'SegEnds_NonXtal_BW#'!$A:$Z,3,FALSE)+D28-50</f>
        <v>71</v>
      </c>
      <c r="D28" s="3">
        <v>93</v>
      </c>
      <c r="E28" s="3">
        <f>IF(ISERROR(VLOOKUP($A28,'SegEnds_NonXtal_BW#'!$A:$Z,4,FALSE)+VLOOKUP($A28,A:AL,4,FALSE)-50),"-",(VLOOKUP($A28,'SegEnds_NonXtal_BW#'!$A:$Z,4,FALSE)+VLOOKUP($A28,A:AL,4,FALSE)-50))</f>
        <v>103</v>
      </c>
      <c r="F28" s="3" t="str">
        <f>IF(ISERROR(VLOOKUP($A28,'SegEnds_NonXtal_BW#'!$A:$Z,5,FALSE)+VLOOKUP($A28,A:AL,7,FALSE)-50),"-",(VLOOKUP($A28,'SegEnds_NonXtal_BW#'!$A:$Z,5,FALSE)+VLOOKUP($A28,A:AL,7,FALSE)-50))</f>
        <v>-</v>
      </c>
      <c r="G28" s="3" t="s">
        <v>23</v>
      </c>
      <c r="H28" s="3" t="str">
        <f>IF(ISERROR(VLOOKUP($A28,'SegEnds_NonXtal_BW#'!$A:$Z,6,FALSE)+VLOOKUP($A28,A:AL,7,FALSE)-50),"-",(VLOOKUP($A28,'SegEnds_NonXtal_BW#'!$A:$Z,6,FALSE)+VLOOKUP($A28,A:AL,7,FALSE)-50))</f>
        <v>-</v>
      </c>
      <c r="I28" s="3">
        <f>VLOOKUP($A28,'SegEnds_NonXtal_BW#'!$A:$Z,7,FALSE)+J28-50</f>
        <v>108</v>
      </c>
      <c r="J28" s="3">
        <v>121</v>
      </c>
      <c r="K28" s="3">
        <f>VLOOKUP($A28,'SegEnds_NonXtal_BW#'!$A:$Z,8,FALSE)+VLOOKUP($A28,A:AL,10,FALSE)-50</f>
        <v>137</v>
      </c>
      <c r="L28" s="3">
        <f>M28-1</f>
        <v>140</v>
      </c>
      <c r="M28" s="3">
        <v>141</v>
      </c>
      <c r="N28" s="3">
        <f>M28+2</f>
        <v>143</v>
      </c>
      <c r="O28" s="3">
        <f t="shared" si="22"/>
        <v>144</v>
      </c>
      <c r="P28" s="3">
        <v>173</v>
      </c>
      <c r="Q28" s="3">
        <f>VLOOKUP($A28,'SegEnds_NonXtal_BW#'!$A:$Z,12,FALSE)+VLOOKUP($A28,A:AL,16,FALSE)-50</f>
        <v>179</v>
      </c>
      <c r="R28" s="3">
        <f>IF(ISERROR(VLOOKUP($A28,'SegEnds_NonXtal_BW#'!$A:$Z,13,FALSE)+VLOOKUP($A28,A:AL,19,FALSE)-50),"-",VLOOKUP($A28,'SegEnds_NonXtal_BW#'!$A:$Z,13,FALSE)+VLOOKUP($A28,A:AL,19,FALSE)-50)</f>
        <v>180</v>
      </c>
      <c r="S28" s="3">
        <v>180</v>
      </c>
      <c r="T28" s="100">
        <f>IF(ISERROR(VLOOKUP($A28,'SegEnds_NonXtal_BW#'!$A:$Z,14,FALSE)+VLOOKUP($A28,A:AL,19,FALSE)-50),"-",(VLOOKUP($A28,'SegEnds_NonXtal_BW#'!$A:$Z,14,FALSE)+VLOOKUP($A28,A:AL,19,FALSE)-50))</f>
        <v>186</v>
      </c>
      <c r="U28" s="9">
        <f>IF(ISERROR(VLOOKUP($A28,'SegEnds_NonXtal_BW#'!$A:$Z,15,FALSE)+VLOOKUP($A28,A:AL,22,FALSE)-50),"-",VLOOKUP($A28,'SegEnds_NonXtal_BW#'!$A:$Z,15,FALSE)+VLOOKUP($A28,A:AL,22,FALSE)-50)</f>
        <v>187</v>
      </c>
      <c r="V28" s="3">
        <v>199</v>
      </c>
      <c r="W28" s="3">
        <f>IF(ISERROR(VLOOKUP($A28,'SegEnds_NonXtal_BW#'!$A:$Z,16,FALSE)+VLOOKUP($A28,A:AL,22,FALSE)-50),"-",(VLOOKUP($A28,'SegEnds_NonXtal_BW#'!$A:$Z,16,FALSE)+VLOOKUP($A28,A:AL,22,FALSE)-50))</f>
        <v>211</v>
      </c>
      <c r="X28" s="3">
        <f>IF(ISERROR(VLOOKUP($A28,'SegEnds_NonXtal_BW#'!$A:$Z,17,FALSE)+VLOOKUP($A28,A:AL,25,FALSE)-50),"-",(VLOOKUP($A28,'SegEnds_NonXtal_BW#'!$A:$Z,17,FALSE)+VLOOKUP($A28,A:AL,25,FALSE)-50))</f>
        <v>226</v>
      </c>
      <c r="Y28" s="3">
        <v>226</v>
      </c>
      <c r="Z28" s="3">
        <f t="shared" si="25"/>
        <v>228</v>
      </c>
      <c r="AA28" s="3">
        <f>IF(ISERROR(VLOOKUP($A28,'SegEnds_NonXtal_BW#'!$A:$Z,19,FALSE)+VLOOKUP($A28,A:AL,28,FALSE)-50),"-",(VLOOKUP($A28,'SegEnds_NonXtal_BW#'!$A:$Z,19,FALSE)+VLOOKUP($A28,A:AL,28,FALSE)-50))</f>
        <v>235</v>
      </c>
      <c r="AB28" s="3">
        <v>254</v>
      </c>
      <c r="AC28" s="3">
        <f>IF(ISERROR((VLOOKUP($A28,'SegEnds_NonXtal_BW#'!$A:$Z,20,FALSE)+VLOOKUP($A28,A:AL,28,FALSE)-50)),"-",(VLOOKUP($A28,'SegEnds_NonXtal_BW#'!$A:$Z,20,FALSE)+VLOOKUP($A28,A:AL,28,FALSE)-50))</f>
        <v>272</v>
      </c>
      <c r="AD28" s="3">
        <f>IF(ISERROR(VLOOKUP($A28,'SegEnds_NonXtal_BW#'!$A:$Z,21,FALSE)+VLOOKUP($A28,A:AL,31,FALSE)-50),"-",(VLOOKUP($A28,'SegEnds_NonXtal_BW#'!$A:$Z,21,FALSE)+VLOOKUP($A28,A:AL,31,FALSE)-50))</f>
        <v>276</v>
      </c>
      <c r="AE28" s="3">
        <v>302</v>
      </c>
      <c r="AF28" s="3">
        <f>IF(ISERROR((VLOOKUP($A28,'SegEnds_NonXtal_BW#'!$A:$Z,22,FALSE)+VLOOKUP($A28,A:AL,31,FALSE)-50)),"-",(VLOOKUP($A28,'SegEnds_NonXtal_BW#'!$A:$Z,22,FALSE)+VLOOKUP($A28,A:AL,31,FALSE)-50))</f>
        <v>314</v>
      </c>
      <c r="AG28" s="3">
        <f>IF(ISERROR(VLOOKUP($A28,'SegEnds_NonXtal_BW#'!$A:$Z,23,FALSE)+VLOOKUP($A28,A:AL,34,FALSE)-50),"-",(VLOOKUP($A28,'SegEnds_NonXtal_BW#'!$A:$Z,23,FALSE)+VLOOKUP($A28,A:AL,34,FALSE)-50))</f>
        <v>319</v>
      </c>
      <c r="AH28" s="3">
        <v>341</v>
      </c>
      <c r="AI28" s="3">
        <f>IF(ISERROR((VLOOKUP($A28,'SegEnds_NonXtal_BW#'!$A:$Z,24,FALSE)+VLOOKUP($A28,A:AL,34,FALSE)-50)),"-",(VLOOKUP($A28,'SegEnds_NonXtal_BW#'!$A:$Z,24,FALSE)+VLOOKUP($A28,A:AL,34,FALSE)-50))</f>
        <v>347</v>
      </c>
      <c r="AJ28" s="3">
        <f>IF(ISERROR(VLOOKUP($A28,'SegEnds_NonXtal_BW#'!$A:$Z,25,FALSE)+VLOOKUP($A28,A:AL,37,FALSE)-50),"-",(VLOOKUP($A28,'SegEnds_NonXtal_BW#'!$A:$Z,25,FALSE)+VLOOKUP($A28,A:AL,37,FALSE)-50))</f>
        <v>348</v>
      </c>
      <c r="AK28" s="3">
        <v>351</v>
      </c>
      <c r="AL28" s="3">
        <f>IF(ISERROR((VLOOKUP($A28,'SegEnds_NonXtal_BW#'!$A:$Z,26,FALSE)+VLOOKUP($A28,A:AL,37,FALSE)-50)),"-",(VLOOKUP($A28,'SegEnds_NonXtal_BW#'!$A:$Z,26,FALSE)+VLOOKUP($A28,A:AL,37,FALSE)-50))</f>
        <v>362</v>
      </c>
      <c r="AM28" s="28" t="str">
        <f>VLOOKUP(A28,Classification!A:B,2,FALSE)</f>
        <v>A</v>
      </c>
      <c r="AN28" s="28" t="b">
        <f t="shared" si="17"/>
        <v>1</v>
      </c>
      <c r="AO28" s="3" t="str">
        <f>IF(ISERROR(MATCH(A28,'SegEnds_Xtal_Prot#'!B:B, 0)), "NoXtal", "Xtal")</f>
        <v>Xtal</v>
      </c>
      <c r="AP28" s="3" t="str">
        <f t="shared" si="2"/>
        <v>-</v>
      </c>
      <c r="AQ28" s="3" t="str">
        <f t="shared" si="3"/>
        <v>-</v>
      </c>
      <c r="AR28" s="3">
        <f t="shared" si="4"/>
        <v>3</v>
      </c>
      <c r="AS28" s="3">
        <f t="shared" si="5"/>
        <v>1</v>
      </c>
      <c r="AT28" s="3">
        <f t="shared" si="6"/>
        <v>1</v>
      </c>
      <c r="AU28" s="3">
        <f t="shared" si="7"/>
        <v>1</v>
      </c>
      <c r="AV28" s="3">
        <f t="shared" si="8"/>
        <v>15</v>
      </c>
      <c r="AW28" s="3">
        <f t="shared" si="9"/>
        <v>7</v>
      </c>
      <c r="AX28" s="3">
        <f t="shared" si="10"/>
        <v>4</v>
      </c>
      <c r="AY28" s="3">
        <f t="shared" si="11"/>
        <v>5</v>
      </c>
      <c r="AZ28" s="3">
        <f t="shared" si="12"/>
        <v>1</v>
      </c>
      <c r="BA28" s="3">
        <f>IF(ISERROR(LEN(VLOOKUP(A28,Seqs!A:E,2,FALSE))-AL28),"-",LEN(VLOOKUP(A28,Seqs!A:E,2,FALSE))-AL28)</f>
        <v>35</v>
      </c>
      <c r="BB28" s="16">
        <f t="shared" si="13"/>
        <v>28</v>
      </c>
      <c r="BC28" s="9">
        <f t="shared" si="14"/>
        <v>19</v>
      </c>
      <c r="BD28" s="3">
        <f t="shared" si="15"/>
        <v>28</v>
      </c>
      <c r="BE28" s="3">
        <f t="shared" si="16"/>
        <v>48</v>
      </c>
    </row>
    <row r="29" spans="1:60" s="3" customFormat="1" x14ac:dyDescent="0.2">
      <c r="A29" s="3" t="s">
        <v>375</v>
      </c>
      <c r="B29" s="3" t="str">
        <f>LOWER(VLOOKUP(A29,Xtal_Templ!A:B,2,FALSE))</f>
        <v>aa1r_human</v>
      </c>
      <c r="C29" s="3">
        <f>VLOOKUP($A29,'SegEnds_NonXtal_BW#'!$A:$Z,3,FALSE)+D29-50</f>
        <v>402</v>
      </c>
      <c r="D29" s="3">
        <v>423</v>
      </c>
      <c r="E29" s="3">
        <f>IF(ISERROR(VLOOKUP($A29,'SegEnds_NonXtal_BW#'!$A:$Z,4,FALSE)+VLOOKUP($A29,A:AL,4,FALSE)-50),"-",(VLOOKUP($A29,'SegEnds_NonXtal_BW#'!$A:$Z,4,FALSE)+VLOOKUP($A29,A:AL,4,FALSE)-50))</f>
        <v>433</v>
      </c>
      <c r="F29" s="3">
        <f t="shared" ref="F29:F72" si="27">G29-2</f>
        <v>434</v>
      </c>
      <c r="G29" s="3">
        <v>436</v>
      </c>
      <c r="H29" s="3">
        <f t="shared" ref="H29:I48" si="28">G29+1</f>
        <v>437</v>
      </c>
      <c r="I29" s="3">
        <f t="shared" si="28"/>
        <v>438</v>
      </c>
      <c r="J29" s="3">
        <v>451</v>
      </c>
      <c r="K29" s="3">
        <f>VLOOKUP($A29,'SegEnds_NonXtal_BW#'!$A:$Z,8,FALSE)+VLOOKUP($A29,A:AL,10,FALSE)-50</f>
        <v>468</v>
      </c>
      <c r="L29" s="3" t="str">
        <f>IF(ISERROR(VLOOKUP($A29,'SegEnds_NonXtal_BW#'!$A:$Z,9,FALSE)+VLOOKUP($A29,A:AL,13,FALSE)-50),"-",(VLOOKUP($A29,'SegEnds_NonXtal_BW#'!$A:$Z,9,FALSE)+VLOOKUP($A29,A:AL,13,FALSE)-50))</f>
        <v>-</v>
      </c>
      <c r="M29" s="3" t="s">
        <v>23</v>
      </c>
      <c r="N29" s="3" t="str">
        <f>IF(ISERROR(VLOOKUP($A29,'SegEnds_NonXtal_BW#'!$A:$Z,10,FALSE)+VLOOKUP($A29,A:AL,13,FALSE)-50),"-",(VLOOKUP($A29,'SegEnds_NonXtal_BW#'!$A:$Z,10,FALSE)+VLOOKUP($A29,A:AL,13,FALSE)-50))</f>
        <v>-</v>
      </c>
      <c r="O29" s="3">
        <f>VLOOKUP($A29,'SegEnds_NonXtal_BW#'!$A:$Z,11,FALSE)+VLOOKUP($A29,A:AL,16,FALSE)-50</f>
        <v>478</v>
      </c>
      <c r="P29" s="3">
        <v>510</v>
      </c>
      <c r="Q29" s="3">
        <f>VLOOKUP($A29,'SegEnds_NonXtal_BW#'!$A:$Z,12,FALSE)+VLOOKUP($A29,A:AL,16,FALSE)-50</f>
        <v>516</v>
      </c>
      <c r="R29" s="3">
        <f>IF(ISERROR(VLOOKUP($A29,'SegEnds_NonXtal_BW#'!$A:$Z,13,FALSE)+VLOOKUP($A29,A:AL,19,FALSE)-50),"-",VLOOKUP($A29,'SegEnds_NonXtal_BW#'!$A:$Z,13,FALSE)+VLOOKUP($A29,A:AL,19,FALSE)-50)</f>
        <v>517</v>
      </c>
      <c r="S29" s="3">
        <v>517</v>
      </c>
      <c r="T29" s="100">
        <f>IF(ISERROR(VLOOKUP($A29,'SegEnds_NonXtal_BW#'!$A:$Z,14,FALSE)+VLOOKUP($A29,A:AL,19,FALSE)-50),"-",(VLOOKUP($A29,'SegEnds_NonXtal_BW#'!$A:$Z,14,FALSE)+VLOOKUP($A29,A:AL,19,FALSE)-50))</f>
        <v>523</v>
      </c>
      <c r="U29" s="9">
        <f>IF(ISERROR(VLOOKUP($A29,'SegEnds_NonXtal_BW#'!$A:$Z,15,FALSE)+VLOOKUP($A29,A:AL,22,FALSE)-50),"-",VLOOKUP($A29,'SegEnds_NonXtal_BW#'!$A:$Z,15,FALSE)+VLOOKUP($A29,A:AL,22,FALSE)-50)</f>
        <v>524</v>
      </c>
      <c r="V29" s="3">
        <v>536</v>
      </c>
      <c r="W29" s="3">
        <f>IF(ISERROR(VLOOKUP($A29,'SegEnds_NonXtal_BW#'!$A:$Z,16,FALSE)+VLOOKUP($A29,A:AL,22,FALSE)-50),"-",(VLOOKUP($A29,'SegEnds_NonXtal_BW#'!$A:$Z,16,FALSE)+VLOOKUP($A29,A:AL,22,FALSE)-50))</f>
        <v>549</v>
      </c>
      <c r="X29" s="3">
        <f>IF(ISERROR(VLOOKUP($A29,'SegEnds_NonXtal_BW#'!$A:$Z,17,FALSE)+VLOOKUP($A29,A:AL,25,FALSE)-50),"-",(VLOOKUP($A29,'SegEnds_NonXtal_BW#'!$A:$Z,17,FALSE)+VLOOKUP($A29,A:AL,25,FALSE)-50))</f>
        <v>563</v>
      </c>
      <c r="Y29" s="3">
        <v>563</v>
      </c>
      <c r="Z29" s="3">
        <f t="shared" si="25"/>
        <v>565</v>
      </c>
      <c r="AA29" s="3">
        <f>IF(ISERROR(VLOOKUP($A29,'SegEnds_NonXtal_BW#'!$A:$Z,19,FALSE)+VLOOKUP($A29,A:AL,28,FALSE)-50),"-",(VLOOKUP($A29,'SegEnds_NonXtal_BW#'!$A:$Z,19,FALSE)+VLOOKUP($A29,A:AL,28,FALSE)-50))</f>
        <v>576</v>
      </c>
      <c r="AB29" s="3">
        <v>591</v>
      </c>
      <c r="AC29" s="3">
        <f>IF(ISERROR((VLOOKUP($A29,'SegEnds_NonXtal_BW#'!$A:$Z,20,FALSE)+VLOOKUP($A29,A:AL,28,FALSE)-50)),"-",(VLOOKUP($A29,'SegEnds_NonXtal_BW#'!$A:$Z,20,FALSE)+VLOOKUP($A29,A:AL,28,FALSE)-50))</f>
        <v>613</v>
      </c>
      <c r="AD29" s="3">
        <f>IF(ISERROR(VLOOKUP($A29,'SegEnds_NonXtal_BW#'!$A:$Z,21,FALSE)+VLOOKUP($A29,A:AL,31,FALSE)-50),"-",(VLOOKUP($A29,'SegEnds_NonXtal_BW#'!$A:$Z,21,FALSE)+VLOOKUP($A29,A:AL,31,FALSE)-50))</f>
        <v>617</v>
      </c>
      <c r="AE29" s="3">
        <v>643</v>
      </c>
      <c r="AF29" s="3">
        <f>IF(ISERROR((VLOOKUP($A29,'SegEnds_NonXtal_BW#'!$A:$Z,22,FALSE)+VLOOKUP($A29,A:AL,31,FALSE)-50)),"-",(VLOOKUP($A29,'SegEnds_NonXtal_BW#'!$A:$Z,22,FALSE)+VLOOKUP($A29,A:AL,31,FALSE)-50))</f>
        <v>654</v>
      </c>
      <c r="AG29" s="3">
        <f>IF(ISERROR(VLOOKUP($A29,'SegEnds_NonXtal_BW#'!$A:$Z,23,FALSE)+VLOOKUP($A29,A:AL,34,FALSE)-50),"-",(VLOOKUP($A29,'SegEnds_NonXtal_BW#'!$A:$Z,23,FALSE)+VLOOKUP($A29,A:AL,34,FALSE)-50))</f>
        <v>659</v>
      </c>
      <c r="AH29" s="3">
        <v>678</v>
      </c>
      <c r="AI29" s="3">
        <v>684</v>
      </c>
      <c r="AJ29" s="3">
        <f>IF(ISERROR(VLOOKUP($A29,'SegEnds_NonXtal_BW#'!$A:$Z,25,FALSE)+VLOOKUP($A29,A:AL,37,FALSE)-50),"-",(VLOOKUP($A29,'SegEnds_NonXtal_BW#'!$A:$Z,25,FALSE)+VLOOKUP($A29,A:AL,37,FALSE)-50))</f>
        <v>685</v>
      </c>
      <c r="AK29" s="3">
        <v>688</v>
      </c>
      <c r="AL29" s="3">
        <f>IF(ISERROR((VLOOKUP($A29,'SegEnds_NonXtal_BW#'!$A:$Z,26,FALSE)+VLOOKUP($A29,A:AL,37,FALSE)-50)),"-",(VLOOKUP($A29,'SegEnds_NonXtal_BW#'!$A:$Z,26,FALSE)+VLOOKUP($A29,A:AL,37,FALSE)-50))</f>
        <v>707</v>
      </c>
      <c r="AM29" s="28" t="str">
        <f>VLOOKUP(A29,Classification!A:B,2,FALSE)</f>
        <v>A</v>
      </c>
      <c r="AN29" s="28" t="b">
        <f t="shared" si="17"/>
        <v>1</v>
      </c>
      <c r="AO29" s="3" t="str">
        <f>IF(ISERROR(MATCH(A29,'SegEnds_Xtal_Prot#'!B:B, 0)), "NoXtal", "Xtal")</f>
        <v>NoXtal</v>
      </c>
      <c r="AP29" s="3">
        <f t="shared" si="2"/>
        <v>1</v>
      </c>
      <c r="AQ29" s="3">
        <f t="shared" si="3"/>
        <v>1</v>
      </c>
      <c r="AR29" s="3" t="str">
        <f t="shared" si="4"/>
        <v>-</v>
      </c>
      <c r="AS29" s="3" t="str">
        <f t="shared" si="5"/>
        <v>-</v>
      </c>
      <c r="AT29" s="3">
        <f t="shared" si="6"/>
        <v>1</v>
      </c>
      <c r="AU29" s="3">
        <f t="shared" si="7"/>
        <v>1</v>
      </c>
      <c r="AV29" s="3">
        <f t="shared" si="8"/>
        <v>14</v>
      </c>
      <c r="AW29" s="3">
        <f t="shared" si="9"/>
        <v>11</v>
      </c>
      <c r="AX29" s="3">
        <f t="shared" si="10"/>
        <v>4</v>
      </c>
      <c r="AY29" s="3">
        <f t="shared" si="11"/>
        <v>5</v>
      </c>
      <c r="AZ29" s="3">
        <f t="shared" si="12"/>
        <v>1</v>
      </c>
      <c r="BA29" s="3">
        <f>IF(ISERROR(LEN(VLOOKUP(A29,Seqs!A:E,2,FALSE))-AL29),"-",LEN(VLOOKUP(A29,Seqs!A:E,2,FALSE))-AL29)</f>
        <v>50</v>
      </c>
      <c r="BB29" s="16">
        <f t="shared" si="13"/>
        <v>28</v>
      </c>
      <c r="BC29" s="9">
        <f t="shared" si="14"/>
        <v>19</v>
      </c>
      <c r="BD29" s="3">
        <f t="shared" si="15"/>
        <v>28</v>
      </c>
      <c r="BE29" s="3">
        <f t="shared" si="16"/>
        <v>52</v>
      </c>
    </row>
    <row r="30" spans="1:60" s="3" customFormat="1" x14ac:dyDescent="0.2">
      <c r="A30" s="3" t="s">
        <v>376</v>
      </c>
      <c r="B30" s="3" t="str">
        <f>LOWER(VLOOKUP(A30,Xtal_Templ!A:B,2,FALSE))</f>
        <v>aa1r_human</v>
      </c>
      <c r="C30" s="3">
        <f>VLOOKUP($A30,'SegEnds_NonXtal_BW#'!$A:$Z,3,FALSE)+D30-50</f>
        <v>412</v>
      </c>
      <c r="D30" s="3">
        <v>433</v>
      </c>
      <c r="E30" s="3">
        <f>IF(ISERROR(VLOOKUP($A30,'SegEnds_NonXtal_BW#'!$A:$Z,4,FALSE)+VLOOKUP($A30,A:AL,4,FALSE)-50),"-",(VLOOKUP($A30,'SegEnds_NonXtal_BW#'!$A:$Z,4,FALSE)+VLOOKUP($A30,A:AL,4,FALSE)-50))</f>
        <v>443</v>
      </c>
      <c r="F30" s="3">
        <f t="shared" si="27"/>
        <v>444</v>
      </c>
      <c r="G30" s="3">
        <v>446</v>
      </c>
      <c r="H30" s="3">
        <f t="shared" si="28"/>
        <v>447</v>
      </c>
      <c r="I30" s="3">
        <f t="shared" si="28"/>
        <v>448</v>
      </c>
      <c r="J30" s="3">
        <v>461</v>
      </c>
      <c r="K30" s="3">
        <f>VLOOKUP($A30,'SegEnds_NonXtal_BW#'!$A:$Z,8,FALSE)+VLOOKUP($A30,A:AL,10,FALSE)-50</f>
        <v>478</v>
      </c>
      <c r="L30" s="3">
        <f>M30-1</f>
        <v>484</v>
      </c>
      <c r="M30" s="3">
        <v>485</v>
      </c>
      <c r="N30" s="3">
        <f>M30+2</f>
        <v>487</v>
      </c>
      <c r="O30" s="3">
        <f t="shared" ref="O30:O53" si="29">N30+1</f>
        <v>488</v>
      </c>
      <c r="P30" s="3">
        <v>520</v>
      </c>
      <c r="Q30" s="3">
        <f>VLOOKUP($A30,'SegEnds_NonXtal_BW#'!$A:$Z,12,FALSE)+VLOOKUP($A30,A:AL,16,FALSE)-50</f>
        <v>526</v>
      </c>
      <c r="R30" s="3">
        <f>IF(ISERROR(VLOOKUP($A30,'SegEnds_NonXtal_BW#'!$A:$Z,13,FALSE)+VLOOKUP($A30,A:AL,19,FALSE)-50),"-",VLOOKUP($A30,'SegEnds_NonXtal_BW#'!$A:$Z,13,FALSE)+VLOOKUP($A30,A:AL,19,FALSE)-50)</f>
        <v>527</v>
      </c>
      <c r="S30" s="3">
        <v>527</v>
      </c>
      <c r="T30" s="100">
        <f>IF(ISERROR(VLOOKUP($A30,'SegEnds_NonXtal_BW#'!$A:$Z,14,FALSE)+VLOOKUP($A30,A:AL,19,FALSE)-50),"-",(VLOOKUP($A30,'SegEnds_NonXtal_BW#'!$A:$Z,14,FALSE)+VLOOKUP($A30,A:AL,19,FALSE)-50))</f>
        <v>533</v>
      </c>
      <c r="U30" s="9">
        <f>IF(ISERROR(VLOOKUP($A30,'SegEnds_NonXtal_BW#'!$A:$Z,15,FALSE)+VLOOKUP($A30,A:AL,22,FALSE)-50),"-",VLOOKUP($A30,'SegEnds_NonXtal_BW#'!$A:$Z,15,FALSE)+VLOOKUP($A30,A:AL,22,FALSE)-50)</f>
        <v>534</v>
      </c>
      <c r="V30" s="3">
        <v>546</v>
      </c>
      <c r="W30" s="3">
        <f>IF(ISERROR(VLOOKUP($A30,'SegEnds_NonXtal_BW#'!$A:$Z,16,FALSE)+VLOOKUP($A30,A:AL,22,FALSE)-50),"-",(VLOOKUP($A30,'SegEnds_NonXtal_BW#'!$A:$Z,16,FALSE)+VLOOKUP($A30,A:AL,22,FALSE)-50))</f>
        <v>559</v>
      </c>
      <c r="X30" s="3">
        <f>IF(ISERROR(VLOOKUP($A30,'SegEnds_NonXtal_BW#'!$A:$Z,17,FALSE)+VLOOKUP($A30,A:AL,25,FALSE)-50),"-",(VLOOKUP($A30,'SegEnds_NonXtal_BW#'!$A:$Z,17,FALSE)+VLOOKUP($A30,A:AL,25,FALSE)-50))</f>
        <v>573</v>
      </c>
      <c r="Y30" s="3">
        <v>573</v>
      </c>
      <c r="Z30" s="3">
        <f t="shared" si="25"/>
        <v>575</v>
      </c>
      <c r="AA30" s="3">
        <f>IF(ISERROR(VLOOKUP($A30,'SegEnds_NonXtal_BW#'!$A:$Z,19,FALSE)+VLOOKUP($A30,A:AL,28,FALSE)-50),"-",(VLOOKUP($A30,'SegEnds_NonXtal_BW#'!$A:$Z,19,FALSE)+VLOOKUP($A30,A:AL,28,FALSE)-50))</f>
        <v>586</v>
      </c>
      <c r="AB30" s="3">
        <v>601</v>
      </c>
      <c r="AC30" s="3">
        <f>IF(ISERROR((VLOOKUP($A30,'SegEnds_NonXtal_BW#'!$A:$Z,20,FALSE)+VLOOKUP($A30,A:AL,28,FALSE)-50)),"-",(VLOOKUP($A30,'SegEnds_NonXtal_BW#'!$A:$Z,20,FALSE)+VLOOKUP($A30,A:AL,28,FALSE)-50))</f>
        <v>623</v>
      </c>
      <c r="AD30" s="3">
        <f>IF(ISERROR(VLOOKUP($A30,'SegEnds_NonXtal_BW#'!$A:$Z,21,FALSE)+VLOOKUP($A30,A:AL,31,FALSE)-50),"-",(VLOOKUP($A30,'SegEnds_NonXtal_BW#'!$A:$Z,21,FALSE)+VLOOKUP($A30,A:AL,31,FALSE)-50))</f>
        <v>627</v>
      </c>
      <c r="AE30" s="3">
        <v>653</v>
      </c>
      <c r="AF30" s="3">
        <f>IF(ISERROR((VLOOKUP($A30,'SegEnds_NonXtal_BW#'!$A:$Z,22,FALSE)+VLOOKUP($A30,A:AL,31,FALSE)-50)),"-",(VLOOKUP($A30,'SegEnds_NonXtal_BW#'!$A:$Z,22,FALSE)+VLOOKUP($A30,A:AL,31,FALSE)-50))</f>
        <v>664</v>
      </c>
      <c r="AG30" s="3">
        <f>IF(ISERROR(VLOOKUP($A30,'SegEnds_NonXtal_BW#'!$A:$Z,23,FALSE)+VLOOKUP($A30,A:AL,34,FALSE)-50),"-",(VLOOKUP($A30,'SegEnds_NonXtal_BW#'!$A:$Z,23,FALSE)+VLOOKUP($A30,A:AL,34,FALSE)-50))</f>
        <v>669</v>
      </c>
      <c r="AH30" s="3">
        <v>688</v>
      </c>
      <c r="AI30" s="3">
        <v>694</v>
      </c>
      <c r="AJ30" s="3">
        <f>IF(ISERROR(VLOOKUP($A30,'SegEnds_NonXtal_BW#'!$A:$Z,25,FALSE)+VLOOKUP($A30,A:AL,37,FALSE)-50),"-",(VLOOKUP($A30,'SegEnds_NonXtal_BW#'!$A:$Z,25,FALSE)+VLOOKUP($A30,A:AL,37,FALSE)-50))</f>
        <v>695</v>
      </c>
      <c r="AK30" s="3">
        <v>698</v>
      </c>
      <c r="AL30" s="3">
        <f>IF(ISERROR((VLOOKUP($A30,'SegEnds_NonXtal_BW#'!$A:$Z,26,FALSE)+VLOOKUP($A30,A:AL,37,FALSE)-50)),"-",(VLOOKUP($A30,'SegEnds_NonXtal_BW#'!$A:$Z,26,FALSE)+VLOOKUP($A30,A:AL,37,FALSE)-50))</f>
        <v>717</v>
      </c>
      <c r="AM30" s="28" t="str">
        <f>VLOOKUP(A30,Classification!A:B,2,FALSE)</f>
        <v>A</v>
      </c>
      <c r="AN30" s="28" t="b">
        <f t="shared" si="17"/>
        <v>1</v>
      </c>
      <c r="AO30" s="3" t="str">
        <f>IF(ISERROR(MATCH(A30,'SegEnds_Xtal_Prot#'!B:B, 0)), "NoXtal", "Xtal")</f>
        <v>NoXtal</v>
      </c>
      <c r="AP30" s="3">
        <f t="shared" si="2"/>
        <v>1</v>
      </c>
      <c r="AQ30" s="3">
        <f t="shared" si="3"/>
        <v>1</v>
      </c>
      <c r="AR30" s="3">
        <f t="shared" si="4"/>
        <v>6</v>
      </c>
      <c r="AS30" s="3">
        <f t="shared" si="5"/>
        <v>1</v>
      </c>
      <c r="AT30" s="3">
        <f t="shared" si="6"/>
        <v>1</v>
      </c>
      <c r="AU30" s="3">
        <f t="shared" si="7"/>
        <v>1</v>
      </c>
      <c r="AV30" s="3">
        <f t="shared" si="8"/>
        <v>14</v>
      </c>
      <c r="AW30" s="3">
        <f t="shared" si="9"/>
        <v>11</v>
      </c>
      <c r="AX30" s="3">
        <f t="shared" si="10"/>
        <v>4</v>
      </c>
      <c r="AY30" s="3">
        <f t="shared" si="11"/>
        <v>5</v>
      </c>
      <c r="AZ30" s="3">
        <f t="shared" si="12"/>
        <v>1</v>
      </c>
      <c r="BA30" s="3">
        <f>IF(ISERROR(LEN(VLOOKUP(A30,Seqs!A:E,2,FALSE))-AL30),"-",LEN(VLOOKUP(A30,Seqs!A:E,2,FALSE))-AL30)</f>
        <v>37</v>
      </c>
      <c r="BB30" s="16">
        <f t="shared" si="13"/>
        <v>28</v>
      </c>
      <c r="BC30" s="9">
        <f t="shared" si="14"/>
        <v>19</v>
      </c>
      <c r="BD30" s="3">
        <f t="shared" si="15"/>
        <v>28</v>
      </c>
      <c r="BE30" s="3">
        <f t="shared" si="16"/>
        <v>52</v>
      </c>
    </row>
    <row r="31" spans="1:60" s="3" customFormat="1" x14ac:dyDescent="0.2">
      <c r="A31" s="3" t="s">
        <v>104</v>
      </c>
      <c r="B31" s="3" t="str">
        <f>LOWER(VLOOKUP(A31,Xtal_Templ!A:B,2,FALSE))</f>
        <v>s1pr1_human</v>
      </c>
      <c r="C31" s="3">
        <f>VLOOKUP($A31,'SegEnds_NonXtal_BW#'!$A:$Z,3,FALSE)+D31-50</f>
        <v>42</v>
      </c>
      <c r="D31" s="3">
        <v>63</v>
      </c>
      <c r="E31" s="3">
        <f>IF(ISERROR(VLOOKUP($A31,'SegEnds_NonXtal_BW#'!$A:$Z,4,FALSE)+VLOOKUP($A31,A:AL,4,FALSE)-50),"-",(VLOOKUP($A31,'SegEnds_NonXtal_BW#'!$A:$Z,4,FALSE)+VLOOKUP($A31,A:AL,4,FALSE)-50))</f>
        <v>73</v>
      </c>
      <c r="F31" s="3">
        <f t="shared" si="27"/>
        <v>74</v>
      </c>
      <c r="G31" s="3">
        <v>76</v>
      </c>
      <c r="H31" s="3">
        <f t="shared" si="28"/>
        <v>77</v>
      </c>
      <c r="I31" s="3">
        <f t="shared" si="28"/>
        <v>78</v>
      </c>
      <c r="J31" s="3">
        <v>91</v>
      </c>
      <c r="K31" s="3">
        <f>VLOOKUP($A31,'SegEnds_NonXtal_BW#'!$A:$Z,8,FALSE)+VLOOKUP($A31,A:AL,10,FALSE)-50</f>
        <v>104</v>
      </c>
      <c r="L31" s="3">
        <f>M31-3</f>
        <v>106</v>
      </c>
      <c r="M31" s="3">
        <v>109</v>
      </c>
      <c r="N31" s="3">
        <f>M31+3</f>
        <v>112</v>
      </c>
      <c r="O31" s="3">
        <f t="shared" si="29"/>
        <v>113</v>
      </c>
      <c r="P31" s="3">
        <v>142</v>
      </c>
      <c r="Q31" s="3">
        <f>VLOOKUP($A31,'SegEnds_NonXtal_BW#'!$A:$Z,12,FALSE)+VLOOKUP($A31,A:AL,16,FALSE)-50</f>
        <v>148</v>
      </c>
      <c r="R31" s="3">
        <f>IF(ISERROR(VLOOKUP($A31,'SegEnds_NonXtal_BW#'!$A:$Z,13,FALSE)+VLOOKUP($A31,A:AL,19,FALSE)-50),"-",VLOOKUP($A31,'SegEnds_NonXtal_BW#'!$A:$Z,13,FALSE)+VLOOKUP($A31,A:AL,19,FALSE)-50)</f>
        <v>149</v>
      </c>
      <c r="S31" s="3">
        <v>149</v>
      </c>
      <c r="T31" s="100">
        <f>IF(ISERROR(VLOOKUP($A31,'SegEnds_NonXtal_BW#'!$A:$Z,14,FALSE)+VLOOKUP($A31,A:AL,19,FALSE)-50),"-",(VLOOKUP($A31,'SegEnds_NonXtal_BW#'!$A:$Z,14,FALSE)+VLOOKUP($A31,A:AL,19,FALSE)-50))</f>
        <v>155</v>
      </c>
      <c r="U31" s="9">
        <f>IF(ISERROR(VLOOKUP($A31,'SegEnds_NonXtal_BW#'!$A:$Z,15,FALSE)+VLOOKUP($A31,A:AL,22,FALSE)-50),"-",VLOOKUP($A31,'SegEnds_NonXtal_BW#'!$A:$Z,15,FALSE)+VLOOKUP($A31,A:AL,22,FALSE)-50)</f>
        <v>156</v>
      </c>
      <c r="V31" s="3">
        <v>168</v>
      </c>
      <c r="W31" s="3">
        <f>IF(ISERROR(VLOOKUP($A31,'SegEnds_NonXtal_BW#'!$A:$Z,16,FALSE)+VLOOKUP($A31,A:AL,22,FALSE)-50),"-",(VLOOKUP($A31,'SegEnds_NonXtal_BW#'!$A:$Z,16,FALSE)+VLOOKUP($A31,A:AL,22,FALSE)-50))</f>
        <v>181</v>
      </c>
      <c r="X31" s="3" t="str">
        <f>IF(ISERROR(VLOOKUP($A31,'SegEnds_NonXtal_BW#'!$A:$Z,17,FALSE)+VLOOKUP($A31,A:AL,25,FALSE)-50),"-",(VLOOKUP($A31,'SegEnds_NonXtal_BW#'!$A:$Z,17,FALSE)+VLOOKUP($A31,A:AL,25,FALSE)-50))</f>
        <v>-</v>
      </c>
      <c r="Y31" s="3" t="s">
        <v>23</v>
      </c>
      <c r="Z31" s="3" t="str">
        <f>IF(ISERROR(VLOOKUP($A31,'SegEnds_NonXtal_BW#'!$A:$Z,18,FALSE)+VLOOKUP($A31,A:AL,25,FALSE)-50),"-",(VLOOKUP($A31,'SegEnds_NonXtal_BW#'!$A:$Z,18,FALSE)+VLOOKUP($A31,A:AL,25,FALSE)-50))</f>
        <v>-</v>
      </c>
      <c r="AA31" s="3">
        <f>IF(ISERROR(VLOOKUP($A31,'SegEnds_NonXtal_BW#'!$A:$Z,19,FALSE)+VLOOKUP($A31,A:AL,28,FALSE)-50),"-",(VLOOKUP($A31,'SegEnds_NonXtal_BW#'!$A:$Z,19,FALSE)+VLOOKUP($A31,A:AL,28,FALSE)-50))</f>
        <v>199</v>
      </c>
      <c r="AB31" s="3">
        <v>213</v>
      </c>
      <c r="AC31" s="3">
        <f>IF(ISERROR((VLOOKUP($A31,'SegEnds_NonXtal_BW#'!$A:$Z,20,FALSE)+VLOOKUP($A31,A:AL,28,FALSE)-50)),"-",(VLOOKUP($A31,'SegEnds_NonXtal_BW#'!$A:$Z,20,FALSE)+VLOOKUP($A31,A:AL,28,FALSE)-50))</f>
        <v>236</v>
      </c>
      <c r="AD31" s="3">
        <f>IF(ISERROR(VLOOKUP($A31,'SegEnds_NonXtal_BW#'!$A:$Z,21,FALSE)+VLOOKUP($A31,A:AL,31,FALSE)-50),"-",(VLOOKUP($A31,'SegEnds_NonXtal_BW#'!$A:$Z,21,FALSE)+VLOOKUP($A31,A:AL,31,FALSE)-50))</f>
        <v>245</v>
      </c>
      <c r="AE31" s="3">
        <v>271</v>
      </c>
      <c r="AF31" s="3">
        <f>IF(ISERROR((VLOOKUP($A31,'SegEnds_NonXtal_BW#'!$A:$Z,22,FALSE)+VLOOKUP($A31,A:AL,31,FALSE)-50)),"-",(VLOOKUP($A31,'SegEnds_NonXtal_BW#'!$A:$Z,22,FALSE)+VLOOKUP($A31,A:AL,31,FALSE)-50))</f>
        <v>282</v>
      </c>
      <c r="AG31" s="3">
        <f>IF(ISERROR(VLOOKUP($A31,'SegEnds_NonXtal_BW#'!$A:$Z,23,FALSE)+VLOOKUP($A31,A:AL,34,FALSE)-50),"-",(VLOOKUP($A31,'SegEnds_NonXtal_BW#'!$A:$Z,23,FALSE)+VLOOKUP($A31,A:AL,34,FALSE)-50))</f>
        <v>288</v>
      </c>
      <c r="AH31" s="3">
        <v>308</v>
      </c>
      <c r="AI31" s="3">
        <f>IF(ISERROR((VLOOKUP($A31,'SegEnds_NonXtal_BW#'!$A:$Z,24,FALSE)+VLOOKUP($A31,A:AL,34,FALSE)-50)),"-",(VLOOKUP($A31,'SegEnds_NonXtal_BW#'!$A:$Z,24,FALSE)+VLOOKUP($A31,A:AL,34,FALSE)-50))</f>
        <v>314</v>
      </c>
      <c r="AJ31" s="3">
        <f>IF(ISERROR(VLOOKUP($A31,'SegEnds_NonXtal_BW#'!$A:$Z,25,FALSE)+VLOOKUP($A31,A:AL,37,FALSE)-50),"-",(VLOOKUP($A31,'SegEnds_NonXtal_BW#'!$A:$Z,25,FALSE)+VLOOKUP($A31,A:AL,37,FALSE)-50))</f>
        <v>315</v>
      </c>
      <c r="AK31" s="3">
        <v>318</v>
      </c>
      <c r="AL31" s="3">
        <f>IF(ISERROR((VLOOKUP($A31,'SegEnds_NonXtal_BW#'!$A:$Z,26,FALSE)+VLOOKUP($A31,A:AL,37,FALSE)-50)),"-",(VLOOKUP($A31,'SegEnds_NonXtal_BW#'!$A:$Z,26,FALSE)+VLOOKUP($A31,A:AL,37,FALSE)-50))</f>
        <v>327</v>
      </c>
      <c r="AM31" s="28" t="str">
        <f>VLOOKUP(A31,Classification!A:B,2,FALSE)</f>
        <v>A</v>
      </c>
      <c r="AN31" s="28" t="b">
        <f t="shared" si="17"/>
        <v>1</v>
      </c>
      <c r="AO31" s="3" t="str">
        <f>IF(ISERROR(MATCH(A31,'SegEnds_Xtal_Prot#'!B:B, 0)), "NoXtal", "Xtal")</f>
        <v>Xtal</v>
      </c>
      <c r="AP31" s="3">
        <f t="shared" si="2"/>
        <v>1</v>
      </c>
      <c r="AQ31" s="3">
        <f t="shared" si="3"/>
        <v>1</v>
      </c>
      <c r="AR31" s="3">
        <f t="shared" si="4"/>
        <v>2</v>
      </c>
      <c r="AS31" s="3">
        <f t="shared" si="5"/>
        <v>1</v>
      </c>
      <c r="AT31" s="3">
        <f t="shared" si="6"/>
        <v>1</v>
      </c>
      <c r="AU31" s="3">
        <f t="shared" si="7"/>
        <v>1</v>
      </c>
      <c r="AV31" s="3" t="str">
        <f t="shared" si="8"/>
        <v>-</v>
      </c>
      <c r="AW31" s="3" t="str">
        <f t="shared" si="9"/>
        <v>-</v>
      </c>
      <c r="AX31" s="3">
        <f t="shared" si="10"/>
        <v>9</v>
      </c>
      <c r="AY31" s="3">
        <f t="shared" si="11"/>
        <v>6</v>
      </c>
      <c r="AZ31" s="3">
        <f t="shared" si="12"/>
        <v>1</v>
      </c>
      <c r="BA31" s="3">
        <f>IF(ISERROR(LEN(VLOOKUP(A31,Seqs!A:E,2,FALSE))-AL31),"-",LEN(VLOOKUP(A31,Seqs!A:E,2,FALSE))-AL31)</f>
        <v>55</v>
      </c>
      <c r="BB31" s="16">
        <f t="shared" si="13"/>
        <v>28</v>
      </c>
      <c r="BC31" s="9">
        <f t="shared" si="14"/>
        <v>19</v>
      </c>
      <c r="BD31" s="3">
        <f t="shared" si="15"/>
        <v>28</v>
      </c>
      <c r="BE31" s="3">
        <f t="shared" si="16"/>
        <v>58</v>
      </c>
    </row>
    <row r="32" spans="1:60" s="3" customFormat="1" x14ac:dyDescent="0.2">
      <c r="A32" s="3" t="s">
        <v>377</v>
      </c>
      <c r="B32" s="3" t="str">
        <f>LOWER(VLOOKUP(A32,Xtal_Templ!A:B,2,FALSE))</f>
        <v>s1pr1_human</v>
      </c>
      <c r="C32" s="3">
        <f>VLOOKUP($A32,'SegEnds_NonXtal_BW#'!$A:$Z,3,FALSE)+D32-50</f>
        <v>30</v>
      </c>
      <c r="D32" s="3">
        <v>51</v>
      </c>
      <c r="E32" s="3">
        <f>IF(ISERROR(VLOOKUP($A32,'SegEnds_NonXtal_BW#'!$A:$Z,4,FALSE)+VLOOKUP($A32,A:AL,4,FALSE)-50),"-",(VLOOKUP($A32,'SegEnds_NonXtal_BW#'!$A:$Z,4,FALSE)+VLOOKUP($A32,A:AL,4,FALSE)-50))</f>
        <v>61</v>
      </c>
      <c r="F32" s="3">
        <f t="shared" si="27"/>
        <v>62</v>
      </c>
      <c r="G32" s="3">
        <v>64</v>
      </c>
      <c r="H32" s="3">
        <f t="shared" si="28"/>
        <v>65</v>
      </c>
      <c r="I32" s="3">
        <f t="shared" si="28"/>
        <v>66</v>
      </c>
      <c r="J32" s="3">
        <v>79</v>
      </c>
      <c r="K32" s="3">
        <f>VLOOKUP($A32,'SegEnds_NonXtal_BW#'!$A:$Z,8,FALSE)+VLOOKUP($A32,A:AL,10,FALSE)-50</f>
        <v>92</v>
      </c>
      <c r="L32" s="3">
        <f>M32-3</f>
        <v>94</v>
      </c>
      <c r="M32" s="3">
        <v>97</v>
      </c>
      <c r="N32" s="3">
        <f>M32+3</f>
        <v>100</v>
      </c>
      <c r="O32" s="3">
        <f t="shared" si="29"/>
        <v>101</v>
      </c>
      <c r="P32" s="3">
        <v>130</v>
      </c>
      <c r="Q32" s="3">
        <f>VLOOKUP($A32,'SegEnds_NonXtal_BW#'!$A:$Z,12,FALSE)+VLOOKUP($A32,A:AL,16,FALSE)-50</f>
        <v>136</v>
      </c>
      <c r="R32" s="3">
        <f>IF(ISERROR(VLOOKUP($A32,'SegEnds_NonXtal_BW#'!$A:$Z,13,FALSE)+VLOOKUP($A32,A:AL,19,FALSE)-50),"-",VLOOKUP($A32,'SegEnds_NonXtal_BW#'!$A:$Z,13,FALSE)+VLOOKUP($A32,A:AL,19,FALSE)-50)</f>
        <v>137</v>
      </c>
      <c r="S32" s="3">
        <v>137</v>
      </c>
      <c r="T32" s="100">
        <f>IF(ISERROR(VLOOKUP($A32,'SegEnds_NonXtal_BW#'!$A:$Z,14,FALSE)+VLOOKUP($A32,A:AL,19,FALSE)-50),"-",(VLOOKUP($A32,'SegEnds_NonXtal_BW#'!$A:$Z,14,FALSE)+VLOOKUP($A32,A:AL,19,FALSE)-50))</f>
        <v>143</v>
      </c>
      <c r="U32" s="9">
        <f>IF(ISERROR(VLOOKUP($A32,'SegEnds_NonXtal_BW#'!$A:$Z,15,FALSE)+VLOOKUP($A32,A:AL,22,FALSE)-50),"-",VLOOKUP($A32,'SegEnds_NonXtal_BW#'!$A:$Z,15,FALSE)+VLOOKUP($A32,A:AL,22,FALSE)-50)</f>
        <v>144</v>
      </c>
      <c r="V32" s="3">
        <v>156</v>
      </c>
      <c r="W32" s="3">
        <f>IF(ISERROR(VLOOKUP($A32,'SegEnds_NonXtal_BW#'!$A:$Z,16,FALSE)+VLOOKUP($A32,A:AL,22,FALSE)-50),"-",(VLOOKUP($A32,'SegEnds_NonXtal_BW#'!$A:$Z,16,FALSE)+VLOOKUP($A32,A:AL,22,FALSE)-50))</f>
        <v>169</v>
      </c>
      <c r="X32" s="3" t="str">
        <f>IF(ISERROR(VLOOKUP($A32,'SegEnds_NonXtal_BW#'!$A:$Z,17,FALSE)+VLOOKUP($A32,A:AL,25,FALSE)-50),"-",(VLOOKUP($A32,'SegEnds_NonXtal_BW#'!$A:$Z,17,FALSE)+VLOOKUP($A32,A:AL,25,FALSE)-50))</f>
        <v>-</v>
      </c>
      <c r="Y32" s="3" t="s">
        <v>23</v>
      </c>
      <c r="Z32" s="3" t="str">
        <f>IF(ISERROR(VLOOKUP($A32,'SegEnds_NonXtal_BW#'!$A:$Z,18,FALSE)+VLOOKUP($A32,A:AL,25,FALSE)-50),"-",(VLOOKUP($A32,'SegEnds_NonXtal_BW#'!$A:$Z,18,FALSE)+VLOOKUP($A32,A:AL,25,FALSE)-50))</f>
        <v>-</v>
      </c>
      <c r="AA32" s="3">
        <f>IF(ISERROR(VLOOKUP($A32,'SegEnds_NonXtal_BW#'!$A:$Z,19,FALSE)+VLOOKUP($A32,A:AL,28,FALSE)-50),"-",(VLOOKUP($A32,'SegEnds_NonXtal_BW#'!$A:$Z,19,FALSE)+VLOOKUP($A32,A:AL,28,FALSE)-50))</f>
        <v>187</v>
      </c>
      <c r="AB32" s="3">
        <v>201</v>
      </c>
      <c r="AC32" s="3">
        <f>IF(ISERROR((VLOOKUP($A32,'SegEnds_NonXtal_BW#'!$A:$Z,20,FALSE)+VLOOKUP($A32,A:AL,28,FALSE)-50)),"-",(VLOOKUP($A32,'SegEnds_NonXtal_BW#'!$A:$Z,20,FALSE)+VLOOKUP($A32,A:AL,28,FALSE)-50))</f>
        <v>218</v>
      </c>
      <c r="AD32" s="3">
        <f>IF(ISERROR(VLOOKUP($A32,'SegEnds_NonXtal_BW#'!$A:$Z,21,FALSE)+VLOOKUP($A32,A:AL,31,FALSE)-50),"-",(VLOOKUP($A32,'SegEnds_NonXtal_BW#'!$A:$Z,21,FALSE)+VLOOKUP($A32,A:AL,31,FALSE)-50))</f>
        <v>224</v>
      </c>
      <c r="AE32" s="3">
        <v>248</v>
      </c>
      <c r="AF32" s="3">
        <f>IF(ISERROR((VLOOKUP($A32,'SegEnds_NonXtal_BW#'!$A:$Z,22,FALSE)+VLOOKUP($A32,A:AL,31,FALSE)-50)),"-",(VLOOKUP($A32,'SegEnds_NonXtal_BW#'!$A:$Z,22,FALSE)+VLOOKUP($A32,A:AL,31,FALSE)-50))</f>
        <v>259</v>
      </c>
      <c r="AG32" s="3">
        <f>IF(ISERROR(VLOOKUP($A32,'SegEnds_NonXtal_BW#'!$A:$Z,23,FALSE)+VLOOKUP($A32,A:AL,34,FALSE)-50),"-",(VLOOKUP($A32,'SegEnds_NonXtal_BW#'!$A:$Z,23,FALSE)+VLOOKUP($A32,A:AL,34,FALSE)-50))</f>
        <v>265</v>
      </c>
      <c r="AH32" s="3">
        <v>285</v>
      </c>
      <c r="AI32" s="3">
        <f>IF(ISERROR((VLOOKUP($A32,'SegEnds_NonXtal_BW#'!$A:$Z,24,FALSE)+VLOOKUP($A32,A:AL,34,FALSE)-50)),"-",(VLOOKUP($A32,'SegEnds_NonXtal_BW#'!$A:$Z,24,FALSE)+VLOOKUP($A32,A:AL,34,FALSE)-50))</f>
        <v>291</v>
      </c>
      <c r="AJ32" s="3">
        <f>IF(ISERROR(VLOOKUP($A32,'SegEnds_NonXtal_BW#'!$A:$Z,25,FALSE)+VLOOKUP($A32,A:AL,37,FALSE)-50),"-",(VLOOKUP($A32,'SegEnds_NonXtal_BW#'!$A:$Z,25,FALSE)+VLOOKUP($A32,A:AL,37,FALSE)-50))</f>
        <v>292</v>
      </c>
      <c r="AK32" s="3">
        <v>295</v>
      </c>
      <c r="AL32" s="3">
        <f>IF(ISERROR((VLOOKUP($A32,'SegEnds_NonXtal_BW#'!$A:$Z,26,FALSE)+VLOOKUP($A32,A:AL,37,FALSE)-50)),"-",(VLOOKUP($A32,'SegEnds_NonXtal_BW#'!$A:$Z,26,FALSE)+VLOOKUP($A32,A:AL,37,FALSE)-50))</f>
        <v>304</v>
      </c>
      <c r="AM32" s="28" t="str">
        <f>VLOOKUP(A32,Classification!A:B,2,FALSE)</f>
        <v>A</v>
      </c>
      <c r="AN32" s="28" t="b">
        <f t="shared" si="17"/>
        <v>1</v>
      </c>
      <c r="AO32" s="3" t="str">
        <f>IF(ISERROR(MATCH(A32,'SegEnds_Xtal_Prot#'!B:B, 0)), "NoXtal", "Xtal")</f>
        <v>NoXtal</v>
      </c>
      <c r="AP32" s="3">
        <f t="shared" si="2"/>
        <v>1</v>
      </c>
      <c r="AQ32" s="3">
        <f t="shared" si="3"/>
        <v>1</v>
      </c>
      <c r="AR32" s="3">
        <f t="shared" si="4"/>
        <v>2</v>
      </c>
      <c r="AS32" s="3">
        <f t="shared" si="5"/>
        <v>1</v>
      </c>
      <c r="AT32" s="3">
        <f t="shared" si="6"/>
        <v>1</v>
      </c>
      <c r="AU32" s="3">
        <f t="shared" si="7"/>
        <v>1</v>
      </c>
      <c r="AV32" s="3" t="str">
        <f t="shared" si="8"/>
        <v>-</v>
      </c>
      <c r="AW32" s="3" t="str">
        <f t="shared" si="9"/>
        <v>-</v>
      </c>
      <c r="AX32" s="3">
        <f t="shared" si="10"/>
        <v>6</v>
      </c>
      <c r="AY32" s="3">
        <f t="shared" si="11"/>
        <v>6</v>
      </c>
      <c r="AZ32" s="3">
        <f t="shared" si="12"/>
        <v>1</v>
      </c>
      <c r="BA32" s="3">
        <f>IF(ISERROR(LEN(VLOOKUP(A32,Seqs!A:E,2,FALSE))-AL32),"-",LEN(VLOOKUP(A32,Seqs!A:E,2,FALSE))-AL32)</f>
        <v>49</v>
      </c>
      <c r="BB32" s="16">
        <f t="shared" si="13"/>
        <v>28</v>
      </c>
      <c r="BC32" s="9">
        <f t="shared" si="14"/>
        <v>19</v>
      </c>
      <c r="BD32" s="3">
        <f t="shared" si="15"/>
        <v>28</v>
      </c>
      <c r="BE32" s="3">
        <f t="shared" si="16"/>
        <v>47</v>
      </c>
      <c r="BH32" s="9"/>
    </row>
    <row r="33" spans="1:58" s="3" customFormat="1" x14ac:dyDescent="0.2">
      <c r="A33" s="3" t="s">
        <v>378</v>
      </c>
      <c r="B33" s="3" t="str">
        <f>LOWER(VLOOKUP(A33,Xtal_Templ!A:B,2,FALSE))</f>
        <v>s1pr1_human</v>
      </c>
      <c r="C33" s="3">
        <f>VLOOKUP($A33,'SegEnds_NonXtal_BW#'!$A:$Z,3,FALSE)+D33-50</f>
        <v>36</v>
      </c>
      <c r="D33" s="3">
        <v>57</v>
      </c>
      <c r="E33" s="3">
        <f>IF(ISERROR(VLOOKUP($A33,'SegEnds_NonXtal_BW#'!$A:$Z,4,FALSE)+VLOOKUP($A33,A:AL,4,FALSE)-50),"-",(VLOOKUP($A33,'SegEnds_NonXtal_BW#'!$A:$Z,4,FALSE)+VLOOKUP($A33,A:AL,4,FALSE)-50))</f>
        <v>67</v>
      </c>
      <c r="F33" s="3">
        <f t="shared" si="27"/>
        <v>68</v>
      </c>
      <c r="G33" s="3">
        <v>70</v>
      </c>
      <c r="H33" s="3">
        <f t="shared" si="28"/>
        <v>71</v>
      </c>
      <c r="I33" s="3">
        <f t="shared" si="28"/>
        <v>72</v>
      </c>
      <c r="J33" s="3">
        <v>85</v>
      </c>
      <c r="K33" s="3">
        <f>VLOOKUP($A33,'SegEnds_NonXtal_BW#'!$A:$Z,8,FALSE)+VLOOKUP($A33,A:AL,10,FALSE)-50</f>
        <v>98</v>
      </c>
      <c r="L33" s="3">
        <f>M33-3</f>
        <v>100</v>
      </c>
      <c r="M33" s="3">
        <v>103</v>
      </c>
      <c r="N33" s="3">
        <f>M33+3</f>
        <v>106</v>
      </c>
      <c r="O33" s="3">
        <f t="shared" si="29"/>
        <v>107</v>
      </c>
      <c r="P33" s="3">
        <v>136</v>
      </c>
      <c r="Q33" s="3">
        <f>VLOOKUP($A33,'SegEnds_NonXtal_BW#'!$A:$Z,12,FALSE)+VLOOKUP($A33,A:AL,16,FALSE)-50</f>
        <v>142</v>
      </c>
      <c r="R33" s="3">
        <f>IF(ISERROR(VLOOKUP($A33,'SegEnds_NonXtal_BW#'!$A:$Z,13,FALSE)+VLOOKUP($A33,A:AL,19,FALSE)-50),"-",VLOOKUP($A33,'SegEnds_NonXtal_BW#'!$A:$Z,13,FALSE)+VLOOKUP($A33,A:AL,19,FALSE)-50)</f>
        <v>143</v>
      </c>
      <c r="S33" s="3">
        <v>143</v>
      </c>
      <c r="T33" s="100">
        <f>IF(ISERROR(VLOOKUP($A33,'SegEnds_NonXtal_BW#'!$A:$Z,14,FALSE)+VLOOKUP($A33,A:AL,19,FALSE)-50),"-",(VLOOKUP($A33,'SegEnds_NonXtal_BW#'!$A:$Z,14,FALSE)+VLOOKUP($A33,A:AL,19,FALSE)-50))</f>
        <v>149</v>
      </c>
      <c r="U33" s="9">
        <f>IF(ISERROR(VLOOKUP($A33,'SegEnds_NonXtal_BW#'!$A:$Z,15,FALSE)+VLOOKUP($A33,A:AL,22,FALSE)-50),"-",VLOOKUP($A33,'SegEnds_NonXtal_BW#'!$A:$Z,15,FALSE)+VLOOKUP($A33,A:AL,22,FALSE)-50)</f>
        <v>150</v>
      </c>
      <c r="V33" s="3">
        <v>162</v>
      </c>
      <c r="W33" s="3">
        <f>IF(ISERROR(VLOOKUP($A33,'SegEnds_NonXtal_BW#'!$A:$Z,16,FALSE)+VLOOKUP($A33,A:AL,22,FALSE)-50),"-",(VLOOKUP($A33,'SegEnds_NonXtal_BW#'!$A:$Z,16,FALSE)+VLOOKUP($A33,A:AL,22,FALSE)-50))</f>
        <v>175</v>
      </c>
      <c r="X33" s="3" t="str">
        <f>IF(ISERROR(VLOOKUP($A33,'SegEnds_NonXtal_BW#'!$A:$Z,17,FALSE)+VLOOKUP($A33,A:AL,25,FALSE)-50),"-",(VLOOKUP($A33,'SegEnds_NonXtal_BW#'!$A:$Z,17,FALSE)+VLOOKUP($A33,A:AL,25,FALSE)-50))</f>
        <v>-</v>
      </c>
      <c r="Y33" s="3" t="s">
        <v>23</v>
      </c>
      <c r="Z33" s="3" t="str">
        <f>IF(ISERROR(VLOOKUP($A33,'SegEnds_NonXtal_BW#'!$A:$Z,18,FALSE)+VLOOKUP($A33,A:AL,25,FALSE)-50),"-",(VLOOKUP($A33,'SegEnds_NonXtal_BW#'!$A:$Z,18,FALSE)+VLOOKUP($A33,A:AL,25,FALSE)-50))</f>
        <v>-</v>
      </c>
      <c r="AA33" s="3">
        <f>IF(ISERROR(VLOOKUP($A33,'SegEnds_NonXtal_BW#'!$A:$Z,19,FALSE)+VLOOKUP($A33,A:AL,28,FALSE)-50),"-",(VLOOKUP($A33,'SegEnds_NonXtal_BW#'!$A:$Z,19,FALSE)+VLOOKUP($A33,A:AL,28,FALSE)-50))</f>
        <v>193</v>
      </c>
      <c r="AB33" s="3">
        <v>207</v>
      </c>
      <c r="AC33" s="3">
        <f>IF(ISERROR((VLOOKUP($A33,'SegEnds_NonXtal_BW#'!$A:$Z,20,FALSE)+VLOOKUP($A33,A:AL,28,FALSE)-50)),"-",(VLOOKUP($A33,'SegEnds_NonXtal_BW#'!$A:$Z,20,FALSE)+VLOOKUP($A33,A:AL,28,FALSE)-50))</f>
        <v>225</v>
      </c>
      <c r="AD33" s="3">
        <f>IF(ISERROR(VLOOKUP($A33,'SegEnds_NonXtal_BW#'!$A:$Z,21,FALSE)+VLOOKUP($A33,A:AL,31,FALSE)-50),"-",(VLOOKUP($A33,'SegEnds_NonXtal_BW#'!$A:$Z,21,FALSE)+VLOOKUP($A33,A:AL,31,FALSE)-50))</f>
        <v>231</v>
      </c>
      <c r="AE33" s="3">
        <v>258</v>
      </c>
      <c r="AF33" s="3">
        <f>IF(ISERROR((VLOOKUP($A33,'SegEnds_NonXtal_BW#'!$A:$Z,22,FALSE)+VLOOKUP($A33,A:AL,31,FALSE)-50)),"-",(VLOOKUP($A33,'SegEnds_NonXtal_BW#'!$A:$Z,22,FALSE)+VLOOKUP($A33,A:AL,31,FALSE)-50))</f>
        <v>269</v>
      </c>
      <c r="AG33" s="3">
        <f>IF(ISERROR(VLOOKUP($A33,'SegEnds_NonXtal_BW#'!$A:$Z,23,FALSE)+VLOOKUP($A33,A:AL,34,FALSE)-50),"-",(VLOOKUP($A33,'SegEnds_NonXtal_BW#'!$A:$Z,23,FALSE)+VLOOKUP($A33,A:AL,34,FALSE)-50))</f>
        <v>275</v>
      </c>
      <c r="AH33" s="3">
        <v>295</v>
      </c>
      <c r="AI33" s="3">
        <f>IF(ISERROR((VLOOKUP($A33,'SegEnds_NonXtal_BW#'!$A:$Z,24,FALSE)+VLOOKUP($A33,A:AL,34,FALSE)-50)),"-",(VLOOKUP($A33,'SegEnds_NonXtal_BW#'!$A:$Z,24,FALSE)+VLOOKUP($A33,A:AL,34,FALSE)-50))</f>
        <v>301</v>
      </c>
      <c r="AJ33" s="3">
        <f>IF(ISERROR(VLOOKUP($A33,'SegEnds_NonXtal_BW#'!$A:$Z,25,FALSE)+VLOOKUP($A33,A:AL,37,FALSE)-50),"-",(VLOOKUP($A33,'SegEnds_NonXtal_BW#'!$A:$Z,25,FALSE)+VLOOKUP($A33,A:AL,37,FALSE)-50))</f>
        <v>302</v>
      </c>
      <c r="AK33" s="3">
        <v>305</v>
      </c>
      <c r="AL33" s="3">
        <f>IF(ISERROR((VLOOKUP($A33,'SegEnds_NonXtal_BW#'!$A:$Z,26,FALSE)+VLOOKUP($A33,A:AL,37,FALSE)-50)),"-",(VLOOKUP($A33,'SegEnds_NonXtal_BW#'!$A:$Z,26,FALSE)+VLOOKUP($A33,A:AL,37,FALSE)-50))</f>
        <v>314</v>
      </c>
      <c r="AM33" s="28" t="str">
        <f>VLOOKUP(A33,Classification!A:B,2,FALSE)</f>
        <v>A</v>
      </c>
      <c r="AN33" s="28" t="b">
        <f t="shared" si="17"/>
        <v>1</v>
      </c>
      <c r="AO33" s="3" t="str">
        <f>IF(ISERROR(MATCH(A33,'SegEnds_Xtal_Prot#'!B:B, 0)), "NoXtal", "Xtal")</f>
        <v>NoXtal</v>
      </c>
      <c r="AP33" s="3">
        <f t="shared" si="2"/>
        <v>1</v>
      </c>
      <c r="AQ33" s="3">
        <f t="shared" si="3"/>
        <v>1</v>
      </c>
      <c r="AR33" s="3">
        <f t="shared" si="4"/>
        <v>2</v>
      </c>
      <c r="AS33" s="3">
        <f t="shared" si="5"/>
        <v>1</v>
      </c>
      <c r="AT33" s="3">
        <f t="shared" si="6"/>
        <v>1</v>
      </c>
      <c r="AU33" s="3">
        <f t="shared" si="7"/>
        <v>1</v>
      </c>
      <c r="AV33" s="3" t="str">
        <f t="shared" si="8"/>
        <v>-</v>
      </c>
      <c r="AW33" s="3" t="str">
        <f t="shared" si="9"/>
        <v>-</v>
      </c>
      <c r="AX33" s="3">
        <f t="shared" si="10"/>
        <v>6</v>
      </c>
      <c r="AY33" s="3">
        <f t="shared" si="11"/>
        <v>6</v>
      </c>
      <c r="AZ33" s="3">
        <f t="shared" si="12"/>
        <v>1</v>
      </c>
      <c r="BA33" s="3">
        <f>IF(ISERROR(LEN(VLOOKUP(A33,Seqs!A:E,2,FALSE))-AL33),"-",LEN(VLOOKUP(A33,Seqs!A:E,2,FALSE))-AL33)</f>
        <v>64</v>
      </c>
      <c r="BB33" s="16">
        <f t="shared" si="13"/>
        <v>28</v>
      </c>
      <c r="BC33" s="9">
        <f t="shared" si="14"/>
        <v>19</v>
      </c>
      <c r="BD33" s="3">
        <f t="shared" si="15"/>
        <v>28</v>
      </c>
      <c r="BE33" s="3">
        <f t="shared" si="16"/>
        <v>51</v>
      </c>
    </row>
    <row r="34" spans="1:58" s="3" customFormat="1" x14ac:dyDescent="0.2">
      <c r="A34" s="3" t="s">
        <v>380</v>
      </c>
      <c r="B34" s="3" t="str">
        <f>LOWER(VLOOKUP(A34,Xtal_Templ!A:B,2,FALSE))</f>
        <v>s1pr1_human</v>
      </c>
      <c r="C34" s="3">
        <f>VLOOKUP($A34,'SegEnds_NonXtal_BW#'!$A:$Z,3,FALSE)+D34-50</f>
        <v>33</v>
      </c>
      <c r="D34" s="3">
        <v>54</v>
      </c>
      <c r="E34" s="3">
        <f>IF(ISERROR(VLOOKUP($A34,'SegEnds_NonXtal_BW#'!$A:$Z,4,FALSE)+VLOOKUP($A34,A:AL,4,FALSE)-50),"-",(VLOOKUP($A34,'SegEnds_NonXtal_BW#'!$A:$Z,4,FALSE)+VLOOKUP($A34,A:AL,4,FALSE)-50))</f>
        <v>64</v>
      </c>
      <c r="F34" s="3">
        <f t="shared" si="27"/>
        <v>65</v>
      </c>
      <c r="G34" s="3">
        <v>67</v>
      </c>
      <c r="H34" s="3">
        <f t="shared" si="28"/>
        <v>68</v>
      </c>
      <c r="I34" s="3">
        <f t="shared" si="28"/>
        <v>69</v>
      </c>
      <c r="J34" s="3">
        <v>82</v>
      </c>
      <c r="K34" s="3">
        <f>VLOOKUP($A34,'SegEnds_NonXtal_BW#'!$A:$Z,8,FALSE)+VLOOKUP($A34,A:AL,10,FALSE)-50</f>
        <v>95</v>
      </c>
      <c r="L34" s="3">
        <f>M34-3</f>
        <v>97</v>
      </c>
      <c r="M34" s="3">
        <v>100</v>
      </c>
      <c r="N34" s="3">
        <f>M34+3</f>
        <v>103</v>
      </c>
      <c r="O34" s="3">
        <f t="shared" si="29"/>
        <v>104</v>
      </c>
      <c r="P34" s="3">
        <v>133</v>
      </c>
      <c r="Q34" s="3">
        <f>VLOOKUP($A34,'SegEnds_NonXtal_BW#'!$A:$Z,12,FALSE)+VLOOKUP($A34,A:AL,16,FALSE)-50</f>
        <v>139</v>
      </c>
      <c r="R34" s="3">
        <f>IF(ISERROR(VLOOKUP($A34,'SegEnds_NonXtal_BW#'!$A:$Z,13,FALSE)+VLOOKUP($A34,A:AL,19,FALSE)-50),"-",VLOOKUP($A34,'SegEnds_NonXtal_BW#'!$A:$Z,13,FALSE)+VLOOKUP($A34,A:AL,19,FALSE)-50)</f>
        <v>140</v>
      </c>
      <c r="S34" s="3">
        <v>140</v>
      </c>
      <c r="T34" s="100">
        <f>IF(ISERROR(VLOOKUP($A34,'SegEnds_NonXtal_BW#'!$A:$Z,14,FALSE)+VLOOKUP($A34,A:AL,19,FALSE)-50),"-",(VLOOKUP($A34,'SegEnds_NonXtal_BW#'!$A:$Z,14,FALSE)+VLOOKUP($A34,A:AL,19,FALSE)-50))</f>
        <v>146</v>
      </c>
      <c r="U34" s="9">
        <f>IF(ISERROR(VLOOKUP($A34,'SegEnds_NonXtal_BW#'!$A:$Z,15,FALSE)+VLOOKUP($A34,A:AL,22,FALSE)-50),"-",VLOOKUP($A34,'SegEnds_NonXtal_BW#'!$A:$Z,15,FALSE)+VLOOKUP($A34,A:AL,22,FALSE)-50)</f>
        <v>147</v>
      </c>
      <c r="V34" s="3">
        <v>159</v>
      </c>
      <c r="W34" s="3">
        <f>IF(ISERROR(VLOOKUP($A34,'SegEnds_NonXtal_BW#'!$A:$Z,16,FALSE)+VLOOKUP($A34,A:AL,22,FALSE)-50),"-",(VLOOKUP($A34,'SegEnds_NonXtal_BW#'!$A:$Z,16,FALSE)+VLOOKUP($A34,A:AL,22,FALSE)-50))</f>
        <v>172</v>
      </c>
      <c r="X34" s="3" t="str">
        <f>IF(ISERROR(VLOOKUP($A34,'SegEnds_NonXtal_BW#'!$A:$Z,17,FALSE)+VLOOKUP($A34,A:AL,25,FALSE)-50),"-",(VLOOKUP($A34,'SegEnds_NonXtal_BW#'!$A:$Z,17,FALSE)+VLOOKUP($A34,A:AL,25,FALSE)-50))</f>
        <v>-</v>
      </c>
      <c r="Y34" s="3" t="s">
        <v>23</v>
      </c>
      <c r="Z34" s="3" t="str">
        <f>IF(ISERROR(VLOOKUP($A34,'SegEnds_NonXtal_BW#'!$A:$Z,18,FALSE)+VLOOKUP($A34,A:AL,25,FALSE)-50),"-",(VLOOKUP($A34,'SegEnds_NonXtal_BW#'!$A:$Z,18,FALSE)+VLOOKUP($A34,A:AL,25,FALSE)-50))</f>
        <v>-</v>
      </c>
      <c r="AA34" s="3">
        <f>IF(ISERROR(VLOOKUP($A34,'SegEnds_NonXtal_BW#'!$A:$Z,19,FALSE)+VLOOKUP($A34,A:AL,28,FALSE)-50),"-",(VLOOKUP($A34,'SegEnds_NonXtal_BW#'!$A:$Z,19,FALSE)+VLOOKUP($A34,A:AL,28,FALSE)-50))</f>
        <v>190</v>
      </c>
      <c r="AB34" s="3">
        <v>204</v>
      </c>
      <c r="AC34" s="3">
        <f>IF(ISERROR((VLOOKUP($A34,'SegEnds_NonXtal_BW#'!$A:$Z,20,FALSE)+VLOOKUP($A34,A:AL,28,FALSE)-50)),"-",(VLOOKUP($A34,'SegEnds_NonXtal_BW#'!$A:$Z,20,FALSE)+VLOOKUP($A34,A:AL,28,FALSE)-50))</f>
        <v>228</v>
      </c>
      <c r="AD34" s="3">
        <f>IF(ISERROR(VLOOKUP($A34,'SegEnds_NonXtal_BW#'!$A:$Z,21,FALSE)+VLOOKUP($A34,A:AL,31,FALSE)-50),"-",(VLOOKUP($A34,'SegEnds_NonXtal_BW#'!$A:$Z,21,FALSE)+VLOOKUP($A34,A:AL,31,FALSE)-50))</f>
        <v>237</v>
      </c>
      <c r="AE34" s="3">
        <v>266</v>
      </c>
      <c r="AF34" s="3">
        <f>IF(ISERROR((VLOOKUP($A34,'SegEnds_NonXtal_BW#'!$A:$Z,22,FALSE)+VLOOKUP($A34,A:AL,31,FALSE)-50)),"-",(VLOOKUP($A34,'SegEnds_NonXtal_BW#'!$A:$Z,22,FALSE)+VLOOKUP($A34,A:AL,31,FALSE)-50))</f>
        <v>277</v>
      </c>
      <c r="AG34" s="3">
        <f>IF(ISERROR(VLOOKUP($A34,'SegEnds_NonXtal_BW#'!$A:$Z,23,FALSE)+VLOOKUP($A34,A:AL,34,FALSE)-50),"-",(VLOOKUP($A34,'SegEnds_NonXtal_BW#'!$A:$Z,23,FALSE)+VLOOKUP($A34,A:AL,34,FALSE)-50))</f>
        <v>283</v>
      </c>
      <c r="AH34" s="3">
        <v>303</v>
      </c>
      <c r="AI34" s="3">
        <f>IF(ISERROR((VLOOKUP($A34,'SegEnds_NonXtal_BW#'!$A:$Z,24,FALSE)+VLOOKUP($A34,A:AL,34,FALSE)-50)),"-",(VLOOKUP($A34,'SegEnds_NonXtal_BW#'!$A:$Z,24,FALSE)+VLOOKUP($A34,A:AL,34,FALSE)-50))</f>
        <v>309</v>
      </c>
      <c r="AJ34" s="3">
        <f>IF(ISERROR(VLOOKUP($A34,'SegEnds_NonXtal_BW#'!$A:$Z,25,FALSE)+VLOOKUP($A34,A:AL,37,FALSE)-50),"-",(VLOOKUP($A34,'SegEnds_NonXtal_BW#'!$A:$Z,25,FALSE)+VLOOKUP($A34,A:AL,37,FALSE)-50))</f>
        <v>310</v>
      </c>
      <c r="AK34" s="3">
        <v>313</v>
      </c>
      <c r="AL34" s="3">
        <f>IF(ISERROR((VLOOKUP($A34,'SegEnds_NonXtal_BW#'!$A:$Z,26,FALSE)+VLOOKUP($A34,A:AL,37,FALSE)-50)),"-",(VLOOKUP($A34,'SegEnds_NonXtal_BW#'!$A:$Z,26,FALSE)+VLOOKUP($A34,A:AL,37,FALSE)-50))</f>
        <v>322</v>
      </c>
      <c r="AM34" s="28" t="str">
        <f>VLOOKUP(A34,Classification!A:B,2,FALSE)</f>
        <v>A</v>
      </c>
      <c r="AN34" s="28" t="b">
        <f t="shared" si="17"/>
        <v>1</v>
      </c>
      <c r="AO34" s="3" t="str">
        <f>IF(ISERROR(MATCH(A34,'SegEnds_Xtal_Prot#'!B:B, 0)), "NoXtal", "Xtal")</f>
        <v>NoXtal</v>
      </c>
      <c r="AP34" s="3">
        <f t="shared" si="2"/>
        <v>1</v>
      </c>
      <c r="AQ34" s="3">
        <f t="shared" si="3"/>
        <v>1</v>
      </c>
      <c r="AR34" s="3">
        <f t="shared" si="4"/>
        <v>2</v>
      </c>
      <c r="AS34" s="3">
        <f t="shared" si="5"/>
        <v>1</v>
      </c>
      <c r="AT34" s="3">
        <f t="shared" si="6"/>
        <v>1</v>
      </c>
      <c r="AU34" s="3">
        <f t="shared" si="7"/>
        <v>1</v>
      </c>
      <c r="AV34" s="3" t="str">
        <f t="shared" si="8"/>
        <v>-</v>
      </c>
      <c r="AW34" s="3" t="str">
        <f t="shared" si="9"/>
        <v>-</v>
      </c>
      <c r="AX34" s="3">
        <f t="shared" si="10"/>
        <v>9</v>
      </c>
      <c r="AY34" s="3">
        <f t="shared" si="11"/>
        <v>6</v>
      </c>
      <c r="AZ34" s="3">
        <f t="shared" si="12"/>
        <v>1</v>
      </c>
      <c r="BA34" s="3">
        <f>IF(ISERROR(LEN(VLOOKUP(A34,Seqs!A:E,2,FALSE))-AL34),"-",LEN(VLOOKUP(A34,Seqs!A:E,2,FALSE))-AL34)</f>
        <v>76</v>
      </c>
      <c r="BB34" s="16">
        <f t="shared" si="13"/>
        <v>28</v>
      </c>
      <c r="BC34" s="9">
        <f t="shared" si="14"/>
        <v>19</v>
      </c>
      <c r="BD34" s="3">
        <f t="shared" si="15"/>
        <v>28</v>
      </c>
      <c r="BE34" s="3">
        <f t="shared" si="16"/>
        <v>62</v>
      </c>
    </row>
    <row r="35" spans="1:58" s="3" customFormat="1" x14ac:dyDescent="0.2">
      <c r="A35" s="3" t="s">
        <v>396</v>
      </c>
      <c r="B35" s="3" t="str">
        <f>LOWER(VLOOKUP(A35,Xtal_Templ!A:B,2,FALSE))</f>
        <v>adrb2_human</v>
      </c>
      <c r="C35" s="3">
        <f>VLOOKUP($A35,'SegEnds_NonXtal_BW#'!$A:$Z,3,FALSE)+D35-50</f>
        <v>44</v>
      </c>
      <c r="D35" s="3">
        <v>69</v>
      </c>
      <c r="E35" s="3">
        <f>IF(ISERROR(VLOOKUP($A35,'SegEnds_NonXtal_BW#'!$A:$Z,4,FALSE)+VLOOKUP($A35,A:AL,4,FALSE)-50),"-",(VLOOKUP($A35,'SegEnds_NonXtal_BW#'!$A:$Z,4,FALSE)+VLOOKUP($A35,A:AL,4,FALSE)-50))</f>
        <v>79</v>
      </c>
      <c r="F35" s="3">
        <f t="shared" si="27"/>
        <v>80</v>
      </c>
      <c r="G35" s="3">
        <v>82</v>
      </c>
      <c r="H35" s="3">
        <f t="shared" si="28"/>
        <v>83</v>
      </c>
      <c r="I35" s="3">
        <f t="shared" si="28"/>
        <v>84</v>
      </c>
      <c r="J35" s="3">
        <v>97</v>
      </c>
      <c r="K35" s="3">
        <f>VLOOKUP($A35,'SegEnds_NonXtal_BW#'!$A:$Z,8,FALSE)+VLOOKUP($A35,A:AL,10,FALSE)-50</f>
        <v>113</v>
      </c>
      <c r="L35" s="3">
        <f>M35-1</f>
        <v>115</v>
      </c>
      <c r="M35" s="3">
        <v>116</v>
      </c>
      <c r="N35" s="3">
        <f t="shared" ref="N35:N53" si="30">M35+2</f>
        <v>118</v>
      </c>
      <c r="O35" s="3">
        <f t="shared" si="29"/>
        <v>119</v>
      </c>
      <c r="P35" s="3">
        <v>148</v>
      </c>
      <c r="Q35" s="3">
        <f>VLOOKUP($A35,'SegEnds_NonXtal_BW#'!$A:$Z,12,FALSE)+VLOOKUP($A35,A:AL,16,FALSE)-50</f>
        <v>154</v>
      </c>
      <c r="R35" s="3">
        <f>IF(ISERROR(VLOOKUP($A35,'SegEnds_NonXtal_BW#'!$A:$Z,13,FALSE)+VLOOKUP($A35,A:AL,19,FALSE)-50),"-",VLOOKUP($A35,'SegEnds_NonXtal_BW#'!$A:$Z,13,FALSE)+VLOOKUP($A35,A:AL,19,FALSE)-50)</f>
        <v>155</v>
      </c>
      <c r="S35" s="3">
        <v>155</v>
      </c>
      <c r="T35" s="100">
        <f>IF(ISERROR(VLOOKUP($A35,'SegEnds_NonXtal_BW#'!$A:$Z,14,FALSE)+VLOOKUP($A35,A:AL,19,FALSE)-50),"-",(VLOOKUP($A35,'SegEnds_NonXtal_BW#'!$A:$Z,14,FALSE)+VLOOKUP($A35,A:AL,19,FALSE)-50))</f>
        <v>161</v>
      </c>
      <c r="U35" s="9">
        <f>IF(ISERROR(VLOOKUP($A35,'SegEnds_NonXtal_BW#'!$A:$Z,15,FALSE)+VLOOKUP($A35,A:AL,22,FALSE)-50),"-",VLOOKUP($A35,'SegEnds_NonXtal_BW#'!$A:$Z,15,FALSE)+VLOOKUP($A35,A:AL,22,FALSE)-50)</f>
        <v>162</v>
      </c>
      <c r="V35" s="3">
        <v>174</v>
      </c>
      <c r="W35" s="3">
        <f>IF(ISERROR(VLOOKUP($A35,'SegEnds_NonXtal_BW#'!$A:$Z,16,FALSE)+VLOOKUP($A35,A:AL,22,FALSE)-50),"-",(VLOOKUP($A35,'SegEnds_NonXtal_BW#'!$A:$Z,16,FALSE)+VLOOKUP($A35,A:AL,22,FALSE)-50))</f>
        <v>188</v>
      </c>
      <c r="X35" s="3">
        <f>IF(ISERROR(VLOOKUP($A35,'SegEnds_NonXtal_BW#'!$A:$Z,17,FALSE)+VLOOKUP($A35,A:AL,25,FALSE)-50),"-",(VLOOKUP($A35,'SegEnds_NonXtal_BW#'!$A:$Z,17,FALSE)+VLOOKUP($A35,A:AL,25,FALSE)-50))</f>
        <v>199</v>
      </c>
      <c r="Y35" s="3">
        <v>199</v>
      </c>
      <c r="Z35" s="3">
        <f t="shared" ref="Z35:Z60" si="31">Y35+2</f>
        <v>201</v>
      </c>
      <c r="AA35" s="3">
        <f>IF(ISERROR(VLOOKUP($A35,'SegEnds_NonXtal_BW#'!$A:$Z,19,FALSE)+VLOOKUP($A35,A:AL,28,FALSE)-50),"-",(VLOOKUP($A35,'SegEnds_NonXtal_BW#'!$A:$Z,19,FALSE)+VLOOKUP($A35,A:AL,28,FALSE)-50))</f>
        <v>208</v>
      </c>
      <c r="AB35" s="3">
        <v>223</v>
      </c>
      <c r="AC35" s="3">
        <f>IF(ISERROR((VLOOKUP($A35,'SegEnds_NonXtal_BW#'!$A:$Z,20,FALSE)+VLOOKUP($A35,A:AL,28,FALSE)-50)),"-",(VLOOKUP($A35,'SegEnds_NonXtal_BW#'!$A:$Z,20,FALSE)+VLOOKUP($A35,A:AL,28,FALSE)-50))</f>
        <v>245</v>
      </c>
      <c r="AD35" s="3">
        <f>IF(ISERROR(VLOOKUP($A35,'SegEnds_NonXtal_BW#'!$A:$Z,21,FALSE)+VLOOKUP($A35,A:AL,31,FALSE)-50),"-",(VLOOKUP($A35,'SegEnds_NonXtal_BW#'!$A:$Z,21,FALSE)+VLOOKUP($A35,A:AL,31,FALSE)-50))</f>
        <v>252</v>
      </c>
      <c r="AE35" s="3">
        <v>273</v>
      </c>
      <c r="AF35" s="3">
        <f>IF(ISERROR((VLOOKUP($A35,'SegEnds_NonXtal_BW#'!$A:$Z,22,FALSE)+VLOOKUP($A35,A:AL,31,FALSE)-50)),"-",(VLOOKUP($A35,'SegEnds_NonXtal_BW#'!$A:$Z,22,FALSE)+VLOOKUP($A35,A:AL,31,FALSE)-50))</f>
        <v>284</v>
      </c>
      <c r="AG35" s="3">
        <f>IF(ISERROR(VLOOKUP($A35,'SegEnds_NonXtal_BW#'!$A:$Z,23,FALSE)+VLOOKUP($A35,A:AL,34,FALSE)-50),"-",(VLOOKUP($A35,'SegEnds_NonXtal_BW#'!$A:$Z,23,FALSE)+VLOOKUP($A35,A:AL,34,FALSE)-50))</f>
        <v>290</v>
      </c>
      <c r="AH35" s="3">
        <v>312</v>
      </c>
      <c r="AI35" s="3">
        <f>IF(ISERROR((VLOOKUP($A35,'SegEnds_NonXtal_BW#'!$A:$Z,24,FALSE)+VLOOKUP($A35,A:AL,34,FALSE)-50)),"-",(VLOOKUP($A35,'SegEnds_NonXtal_BW#'!$A:$Z,24,FALSE)+VLOOKUP($A35,A:AL,34,FALSE)-50))</f>
        <v>318</v>
      </c>
      <c r="AJ35" s="3">
        <f>IF(ISERROR(VLOOKUP($A35,'SegEnds_NonXtal_BW#'!$A:$Z,25,FALSE)+VLOOKUP($A35,A:AL,37,FALSE)-50),"-",(VLOOKUP($A35,'SegEnds_NonXtal_BW#'!$A:$Z,25,FALSE)+VLOOKUP($A35,A:AL,37,FALSE)-50))</f>
        <v>319</v>
      </c>
      <c r="AK35" s="3">
        <v>322</v>
      </c>
      <c r="AL35" s="3">
        <f>IF(ISERROR((VLOOKUP($A35,'SegEnds_NonXtal_BW#'!$A:$Z,26,FALSE)+VLOOKUP($A35,A:AL,37,FALSE)-50)),"-",(VLOOKUP($A35,'SegEnds_NonXtal_BW#'!$A:$Z,26,FALSE)+VLOOKUP($A35,A:AL,37,FALSE)-50))</f>
        <v>331</v>
      </c>
      <c r="AM35" s="28" t="str">
        <f>VLOOKUP(A35,Classification!A:B,2,FALSE)</f>
        <v>A</v>
      </c>
      <c r="AN35" s="28" t="b">
        <f t="shared" si="17"/>
        <v>1</v>
      </c>
      <c r="AO35" s="3" t="str">
        <f>IF(ISERROR(MATCH(A35,'SegEnds_Xtal_Prot#'!B:B, 0)), "NoXtal", "Xtal")</f>
        <v>NoXtal</v>
      </c>
      <c r="AP35" s="3">
        <f t="shared" si="2"/>
        <v>1</v>
      </c>
      <c r="AQ35" s="3">
        <f t="shared" si="3"/>
        <v>1</v>
      </c>
      <c r="AR35" s="3">
        <f t="shared" si="4"/>
        <v>2</v>
      </c>
      <c r="AS35" s="3">
        <f t="shared" si="5"/>
        <v>1</v>
      </c>
      <c r="AT35" s="3">
        <f t="shared" si="6"/>
        <v>1</v>
      </c>
      <c r="AU35" s="3">
        <f t="shared" si="7"/>
        <v>1</v>
      </c>
      <c r="AV35" s="3">
        <f t="shared" si="8"/>
        <v>11</v>
      </c>
      <c r="AW35" s="3">
        <f t="shared" si="9"/>
        <v>7</v>
      </c>
      <c r="AX35" s="3">
        <f t="shared" si="10"/>
        <v>7</v>
      </c>
      <c r="AY35" s="3">
        <f t="shared" si="11"/>
        <v>6</v>
      </c>
      <c r="AZ35" s="3">
        <f t="shared" si="12"/>
        <v>1</v>
      </c>
      <c r="BA35" s="3">
        <f>IF(ISERROR(LEN(VLOOKUP(A35,Seqs!A:E,2,FALSE))-AL35),"-",LEN(VLOOKUP(A35,Seqs!A:E,2,FALSE))-AL35)</f>
        <v>58</v>
      </c>
      <c r="BB35" s="16">
        <f t="shared" si="13"/>
        <v>28</v>
      </c>
      <c r="BC35" s="9">
        <f t="shared" si="14"/>
        <v>19</v>
      </c>
      <c r="BD35" s="3">
        <f t="shared" si="15"/>
        <v>28</v>
      </c>
      <c r="BE35" s="3">
        <f t="shared" si="16"/>
        <v>50</v>
      </c>
    </row>
    <row r="36" spans="1:58" s="3" customFormat="1" x14ac:dyDescent="0.2">
      <c r="A36" s="3" t="s">
        <v>397</v>
      </c>
      <c r="B36" s="3" t="str">
        <f>LOWER(VLOOKUP(A36,Xtal_Templ!A:B,2,FALSE))</f>
        <v>ox2r_human</v>
      </c>
      <c r="C36" s="3">
        <f>VLOOKUP($A36,'SegEnds_NonXtal_BW#'!$A:$Z,3,FALSE)+D36-50</f>
        <v>50</v>
      </c>
      <c r="D36" s="3">
        <v>69</v>
      </c>
      <c r="E36" s="3">
        <f>IF(ISERROR(VLOOKUP($A36,'SegEnds_NonXtal_BW#'!$A:$Z,4,FALSE)+VLOOKUP($A36,A:AL,4,FALSE)-50),"-",(VLOOKUP($A36,'SegEnds_NonXtal_BW#'!$A:$Z,4,FALSE)+VLOOKUP($A36,A:AL,4,FALSE)-50))</f>
        <v>79</v>
      </c>
      <c r="F36" s="3">
        <f t="shared" si="27"/>
        <v>80</v>
      </c>
      <c r="G36" s="3">
        <v>82</v>
      </c>
      <c r="H36" s="3">
        <f t="shared" si="28"/>
        <v>83</v>
      </c>
      <c r="I36" s="3">
        <f t="shared" si="28"/>
        <v>84</v>
      </c>
      <c r="J36" s="3">
        <v>97</v>
      </c>
      <c r="K36" s="3">
        <f>VLOOKUP($A36,'SegEnds_NonXtal_BW#'!$A:$Z,8,FALSE)+VLOOKUP($A36,A:AL,10,FALSE)-50</f>
        <v>113</v>
      </c>
      <c r="L36" s="105">
        <f>M36</f>
        <v>115</v>
      </c>
      <c r="M36" s="3">
        <v>115</v>
      </c>
      <c r="N36" s="3">
        <f t="shared" si="30"/>
        <v>117</v>
      </c>
      <c r="O36" s="3">
        <f t="shared" si="29"/>
        <v>118</v>
      </c>
      <c r="P36" s="3">
        <v>149</v>
      </c>
      <c r="Q36" s="3">
        <f>VLOOKUP($A36,'SegEnds_NonXtal_BW#'!$A:$Z,12,FALSE)+VLOOKUP($A36,A:AL,16,FALSE)-50</f>
        <v>155</v>
      </c>
      <c r="R36" s="3">
        <f>IF(ISERROR(VLOOKUP($A36,'SegEnds_NonXtal_BW#'!$A:$Z,13,FALSE)+VLOOKUP($A36,A:AL,19,FALSE)-50),"-",VLOOKUP($A36,'SegEnds_NonXtal_BW#'!$A:$Z,13,FALSE)+VLOOKUP($A36,A:AL,19,FALSE)-50)</f>
        <v>156</v>
      </c>
      <c r="S36" s="3">
        <v>156</v>
      </c>
      <c r="T36" s="100">
        <f>IF(ISERROR(VLOOKUP($A36,'SegEnds_NonXtal_BW#'!$A:$Z,14,FALSE)+VLOOKUP($A36,A:AL,19,FALSE)-50),"-",(VLOOKUP($A36,'SegEnds_NonXtal_BW#'!$A:$Z,14,FALSE)+VLOOKUP($A36,A:AL,19,FALSE)-50))</f>
        <v>162</v>
      </c>
      <c r="U36" s="9">
        <f>IF(ISERROR(VLOOKUP($A36,'SegEnds_NonXtal_BW#'!$A:$Z,15,FALSE)+VLOOKUP($A36,A:AL,22,FALSE)-50),"-",VLOOKUP($A36,'SegEnds_NonXtal_BW#'!$A:$Z,15,FALSE)+VLOOKUP($A36,A:AL,22,FALSE)-50)</f>
        <v>163</v>
      </c>
      <c r="V36" s="3">
        <v>175</v>
      </c>
      <c r="W36" s="3">
        <f>IF(ISERROR(VLOOKUP($A36,'SegEnds_NonXtal_BW#'!$A:$Z,16,FALSE)+VLOOKUP($A36,A:AL,22,FALSE)-50),"-",(VLOOKUP($A36,'SegEnds_NonXtal_BW#'!$A:$Z,16,FALSE)+VLOOKUP($A36,A:AL,22,FALSE)-50))</f>
        <v>189</v>
      </c>
      <c r="X36" s="3">
        <f>IF(ISERROR(VLOOKUP($A36,'SegEnds_NonXtal_BW#'!$A:$Z,17,FALSE)+VLOOKUP($A36,A:AL,25,FALSE)-50),"-",(VLOOKUP($A36,'SegEnds_NonXtal_BW#'!$A:$Z,17,FALSE)+VLOOKUP($A36,A:AL,25,FALSE)-50))</f>
        <v>203</v>
      </c>
      <c r="Y36" s="3">
        <v>203</v>
      </c>
      <c r="Z36" s="3">
        <f t="shared" si="31"/>
        <v>205</v>
      </c>
      <c r="AA36" s="3">
        <f>IF(ISERROR(VLOOKUP($A36,'SegEnds_NonXtal_BW#'!$A:$Z,19,FALSE)+VLOOKUP($A36,A:AL,28,FALSE)-50),"-",(VLOOKUP($A36,'SegEnds_NonXtal_BW#'!$A:$Z,19,FALSE)+VLOOKUP($A36,A:AL,28,FALSE)-50))</f>
        <v>211</v>
      </c>
      <c r="AB36" s="3">
        <v>228</v>
      </c>
      <c r="AC36" s="3">
        <f>IF(ISERROR((VLOOKUP($A36,'SegEnds_NonXtal_BW#'!$A:$Z,20,FALSE)+VLOOKUP($A36,A:AL,28,FALSE)-50)),"-",(VLOOKUP($A36,'SegEnds_NonXtal_BW#'!$A:$Z,20,FALSE)+VLOOKUP($A36,A:AL,28,FALSE)-50))</f>
        <v>254</v>
      </c>
      <c r="AD36" s="3">
        <f>IF(ISERROR(VLOOKUP($A36,'SegEnds_NonXtal_BW#'!$A:$Z,21,FALSE)+VLOOKUP($A36,A:AL,31,FALSE)-50),"-",(VLOOKUP($A36,'SegEnds_NonXtal_BW#'!$A:$Z,21,FALSE)+VLOOKUP($A36,A:AL,31,FALSE)-50))</f>
        <v>280</v>
      </c>
      <c r="AE36" s="3">
        <v>306</v>
      </c>
      <c r="AF36" s="3">
        <f>IF(ISERROR((VLOOKUP($A36,'SegEnds_NonXtal_BW#'!$A:$Z,22,FALSE)+VLOOKUP($A36,A:AL,31,FALSE)-50)),"-",(VLOOKUP($A36,'SegEnds_NonXtal_BW#'!$A:$Z,22,FALSE)+VLOOKUP($A36,A:AL,31,FALSE)-50))</f>
        <v>317</v>
      </c>
      <c r="AG36" s="3">
        <f>IF(ISERROR(VLOOKUP($A36,'SegEnds_NonXtal_BW#'!$A:$Z,23,FALSE)+VLOOKUP($A36,A:AL,34,FALSE)-50),"-",(VLOOKUP($A36,'SegEnds_NonXtal_BW#'!$A:$Z,23,FALSE)+VLOOKUP($A36,A:AL,34,FALSE)-50))</f>
        <v>323</v>
      </c>
      <c r="AH36" s="3">
        <v>345</v>
      </c>
      <c r="AI36" s="3">
        <f>IF(ISERROR((VLOOKUP($A36,'SegEnds_NonXtal_BW#'!$A:$Z,24,FALSE)+VLOOKUP($A36,A:AL,34,FALSE)-50)),"-",(VLOOKUP($A36,'SegEnds_NonXtal_BW#'!$A:$Z,24,FALSE)+VLOOKUP($A36,A:AL,34,FALSE)-50))</f>
        <v>351</v>
      </c>
      <c r="AJ36" s="3">
        <f>IF(ISERROR(VLOOKUP($A36,'SegEnds_NonXtal_BW#'!$A:$Z,25,FALSE)+VLOOKUP($A36,A:AL,37,FALSE)-50),"-",(VLOOKUP($A36,'SegEnds_NonXtal_BW#'!$A:$Z,25,FALSE)+VLOOKUP($A36,A:AL,37,FALSE)-50))</f>
        <v>352</v>
      </c>
      <c r="AK36" s="3">
        <v>355</v>
      </c>
      <c r="AL36" s="3">
        <f>IF(ISERROR((VLOOKUP($A36,'SegEnds_NonXtal_BW#'!$A:$Z,26,FALSE)+VLOOKUP($A36,A:AL,37,FALSE)-50)),"-",(VLOOKUP($A36,'SegEnds_NonXtal_BW#'!$A:$Z,26,FALSE)+VLOOKUP($A36,A:AL,37,FALSE)-50))</f>
        <v>363</v>
      </c>
      <c r="AM36" s="28" t="str">
        <f>VLOOKUP(A36,Classification!A:B,2,FALSE)</f>
        <v>A</v>
      </c>
      <c r="AN36" s="28" t="b">
        <f t="shared" si="17"/>
        <v>1</v>
      </c>
      <c r="AO36" s="3" t="str">
        <f>IF(ISERROR(MATCH(A36,'SegEnds_Xtal_Prot#'!B:B, 0)), "NoXtal", "Xtal")</f>
        <v>NoXtal</v>
      </c>
      <c r="AP36" s="3">
        <f t="shared" si="2"/>
        <v>1</v>
      </c>
      <c r="AQ36" s="3">
        <f t="shared" si="3"/>
        <v>1</v>
      </c>
      <c r="AR36" s="3">
        <f t="shared" si="4"/>
        <v>2</v>
      </c>
      <c r="AS36" s="3">
        <f t="shared" si="5"/>
        <v>1</v>
      </c>
      <c r="AT36" s="3">
        <f t="shared" si="6"/>
        <v>1</v>
      </c>
      <c r="AU36" s="3">
        <f t="shared" si="7"/>
        <v>1</v>
      </c>
      <c r="AV36" s="3">
        <f t="shared" si="8"/>
        <v>14</v>
      </c>
      <c r="AW36" s="3">
        <f t="shared" si="9"/>
        <v>6</v>
      </c>
      <c r="AX36" s="3">
        <f t="shared" si="10"/>
        <v>26</v>
      </c>
      <c r="AY36" s="3">
        <f t="shared" si="11"/>
        <v>6</v>
      </c>
      <c r="AZ36" s="3">
        <f t="shared" si="12"/>
        <v>1</v>
      </c>
      <c r="BA36" s="3">
        <f>IF(ISERROR(LEN(VLOOKUP(A36,Seqs!A:E,2,FALSE))-AL36),"-",LEN(VLOOKUP(A36,Seqs!A:E,2,FALSE))-AL36)</f>
        <v>55</v>
      </c>
      <c r="BB36" s="16">
        <f t="shared" si="13"/>
        <v>28</v>
      </c>
      <c r="BC36" s="9">
        <f t="shared" si="14"/>
        <v>19</v>
      </c>
      <c r="BD36" s="3">
        <f t="shared" si="15"/>
        <v>28</v>
      </c>
      <c r="BE36" s="3">
        <f t="shared" si="16"/>
        <v>78</v>
      </c>
    </row>
    <row r="37" spans="1:58" s="3" customFormat="1" x14ac:dyDescent="0.2">
      <c r="A37" s="3" t="s">
        <v>398</v>
      </c>
      <c r="B37" s="3" t="str">
        <f>LOWER(VLOOKUP(A37,Xtal_Templ!A:B,2,FALSE))</f>
        <v>ntr1_rat</v>
      </c>
      <c r="C37" s="3">
        <f>VLOOKUP($A37,'SegEnds_NonXtal_BW#'!$A:$Z,3,FALSE)+D37-50</f>
        <v>31</v>
      </c>
      <c r="D37" s="3">
        <v>52</v>
      </c>
      <c r="E37" s="3">
        <f>IF(ISERROR(VLOOKUP($A37,'SegEnds_NonXtal_BW#'!$A:$Z,4,FALSE)+VLOOKUP($A37,A:AL,4,FALSE)-50),"-",(VLOOKUP($A37,'SegEnds_NonXtal_BW#'!$A:$Z,4,FALSE)+VLOOKUP($A37,A:AL,4,FALSE)-50))</f>
        <v>62</v>
      </c>
      <c r="F37" s="3">
        <f t="shared" si="27"/>
        <v>63</v>
      </c>
      <c r="G37" s="3">
        <v>65</v>
      </c>
      <c r="H37" s="3">
        <f t="shared" si="28"/>
        <v>66</v>
      </c>
      <c r="I37" s="3">
        <f t="shared" si="28"/>
        <v>67</v>
      </c>
      <c r="J37" s="3">
        <v>80</v>
      </c>
      <c r="K37" s="3">
        <f>VLOOKUP($A37,'SegEnds_NonXtal_BW#'!$A:$Z,8,FALSE)+VLOOKUP($A37,A:AL,10,FALSE)-50</f>
        <v>96</v>
      </c>
      <c r="L37" s="105">
        <f>M37</f>
        <v>98</v>
      </c>
      <c r="M37" s="3">
        <v>98</v>
      </c>
      <c r="N37" s="3">
        <f t="shared" si="30"/>
        <v>100</v>
      </c>
      <c r="O37" s="3">
        <f t="shared" si="29"/>
        <v>101</v>
      </c>
      <c r="P37" s="3">
        <v>132</v>
      </c>
      <c r="Q37" s="3">
        <f>VLOOKUP($A37,'SegEnds_NonXtal_BW#'!$A:$Z,12,FALSE)+VLOOKUP($A37,A:AL,16,FALSE)-50</f>
        <v>138</v>
      </c>
      <c r="R37" s="3">
        <f>IF(ISERROR(VLOOKUP($A37,'SegEnds_NonXtal_BW#'!$A:$Z,13,FALSE)+VLOOKUP($A37,A:AL,19,FALSE)-50),"-",VLOOKUP($A37,'SegEnds_NonXtal_BW#'!$A:$Z,13,FALSE)+VLOOKUP($A37,A:AL,19,FALSE)-50)</f>
        <v>139</v>
      </c>
      <c r="S37" s="3">
        <v>139</v>
      </c>
      <c r="T37" s="100">
        <f>IF(ISERROR(VLOOKUP($A37,'SegEnds_NonXtal_BW#'!$A:$Z,14,FALSE)+VLOOKUP($A37,A:AL,19,FALSE)-50),"-",(VLOOKUP($A37,'SegEnds_NonXtal_BW#'!$A:$Z,14,FALSE)+VLOOKUP($A37,A:AL,19,FALSE)-50))</f>
        <v>145</v>
      </c>
      <c r="U37" s="9">
        <f>IF(ISERROR(VLOOKUP($A37,'SegEnds_NonXtal_BW#'!$A:$Z,15,FALSE)+VLOOKUP($A37,A:AL,22,FALSE)-50),"-",VLOOKUP($A37,'SegEnds_NonXtal_BW#'!$A:$Z,15,FALSE)+VLOOKUP($A37,A:AL,22,FALSE)-50)</f>
        <v>146</v>
      </c>
      <c r="V37" s="3">
        <v>158</v>
      </c>
      <c r="W37" s="3">
        <f>IF(ISERROR(VLOOKUP($A37,'SegEnds_NonXtal_BW#'!$A:$Z,16,FALSE)+VLOOKUP($A37,A:AL,22,FALSE)-50),"-",(VLOOKUP($A37,'SegEnds_NonXtal_BW#'!$A:$Z,16,FALSE)+VLOOKUP($A37,A:AL,22,FALSE)-50))</f>
        <v>172</v>
      </c>
      <c r="X37" s="105">
        <v>186</v>
      </c>
      <c r="Y37" s="3">
        <v>186</v>
      </c>
      <c r="Z37" s="3">
        <f t="shared" si="31"/>
        <v>188</v>
      </c>
      <c r="AA37" s="3">
        <f>IF(ISERROR(VLOOKUP($A37,'SegEnds_NonXtal_BW#'!$A:$Z,19,FALSE)+VLOOKUP($A37,A:AL,28,FALSE)-50),"-",(VLOOKUP($A37,'SegEnds_NonXtal_BW#'!$A:$Z,19,FALSE)+VLOOKUP($A37,A:AL,28,FALSE)-50))</f>
        <v>193</v>
      </c>
      <c r="AB37" s="3">
        <v>211</v>
      </c>
      <c r="AC37" s="3">
        <f>IF(ISERROR((VLOOKUP($A37,'SegEnds_NonXtal_BW#'!$A:$Z,20,FALSE)+VLOOKUP($A37,A:AL,28,FALSE)-50)),"-",(VLOOKUP($A37,'SegEnds_NonXtal_BW#'!$A:$Z,20,FALSE)+VLOOKUP($A37,A:AL,28,FALSE)-50))</f>
        <v>237</v>
      </c>
      <c r="AD37" s="3">
        <f>IF(ISERROR(VLOOKUP($A37,'SegEnds_NonXtal_BW#'!$A:$Z,21,FALSE)+VLOOKUP($A37,A:AL,31,FALSE)-50),"-",(VLOOKUP($A37,'SegEnds_NonXtal_BW#'!$A:$Z,21,FALSE)+VLOOKUP($A37,A:AL,31,FALSE)-50))</f>
        <v>270</v>
      </c>
      <c r="AE37" s="3">
        <v>296</v>
      </c>
      <c r="AF37" s="3">
        <f>IF(ISERROR((VLOOKUP($A37,'SegEnds_NonXtal_BW#'!$A:$Z,22,FALSE)+VLOOKUP($A37,A:AL,31,FALSE)-50)),"-",(VLOOKUP($A37,'SegEnds_NonXtal_BW#'!$A:$Z,22,FALSE)+VLOOKUP($A37,A:AL,31,FALSE)-50))</f>
        <v>307</v>
      </c>
      <c r="AG37" s="3">
        <f>IF(ISERROR(VLOOKUP($A37,'SegEnds_NonXtal_BW#'!$A:$Z,23,FALSE)+VLOOKUP($A37,A:AL,34,FALSE)-50),"-",(VLOOKUP($A37,'SegEnds_NonXtal_BW#'!$A:$Z,23,FALSE)+VLOOKUP($A37,A:AL,34,FALSE)-50))</f>
        <v>313</v>
      </c>
      <c r="AH37" s="3">
        <v>335</v>
      </c>
      <c r="AI37" s="3">
        <f>IF(ISERROR((VLOOKUP($A37,'SegEnds_NonXtal_BW#'!$A:$Z,24,FALSE)+VLOOKUP($A37,A:AL,34,FALSE)-50)),"-",(VLOOKUP($A37,'SegEnds_NonXtal_BW#'!$A:$Z,24,FALSE)+VLOOKUP($A37,A:AL,34,FALSE)-50))</f>
        <v>341</v>
      </c>
      <c r="AJ37" s="3">
        <f>IF(ISERROR(VLOOKUP($A37,'SegEnds_NonXtal_BW#'!$A:$Z,25,FALSE)+VLOOKUP($A37,A:AL,37,FALSE)-50),"-",(VLOOKUP($A37,'SegEnds_NonXtal_BW#'!$A:$Z,25,FALSE)+VLOOKUP($A37,A:AL,37,FALSE)-50))</f>
        <v>342</v>
      </c>
      <c r="AK37" s="3">
        <v>345</v>
      </c>
      <c r="AL37" s="3">
        <f>IF(ISERROR((VLOOKUP($A37,'SegEnds_NonXtal_BW#'!$A:$Z,26,FALSE)+VLOOKUP($A37,A:AL,37,FALSE)-50)),"-",(VLOOKUP($A37,'SegEnds_NonXtal_BW#'!$A:$Z,26,FALSE)+VLOOKUP($A37,A:AL,37,FALSE)-50))</f>
        <v>353</v>
      </c>
      <c r="AM37" s="28" t="str">
        <f>VLOOKUP(A37,Classification!A:B,2,FALSE)</f>
        <v>A</v>
      </c>
      <c r="AN37" s="28" t="b">
        <f t="shared" si="17"/>
        <v>1</v>
      </c>
      <c r="AO37" s="3" t="str">
        <f>IF(ISERROR(MATCH(A37,'SegEnds_Xtal_Prot#'!B:B, 0)), "NoXtal", "Xtal")</f>
        <v>NoXtal</v>
      </c>
      <c r="AP37" s="3">
        <f t="shared" si="2"/>
        <v>1</v>
      </c>
      <c r="AQ37" s="3">
        <f t="shared" si="3"/>
        <v>1</v>
      </c>
      <c r="AR37" s="3">
        <f t="shared" si="4"/>
        <v>2</v>
      </c>
      <c r="AS37" s="3">
        <f t="shared" si="5"/>
        <v>1</v>
      </c>
      <c r="AT37" s="3">
        <f t="shared" si="6"/>
        <v>1</v>
      </c>
      <c r="AU37" s="3">
        <f t="shared" si="7"/>
        <v>1</v>
      </c>
      <c r="AV37" s="3">
        <f t="shared" si="8"/>
        <v>14</v>
      </c>
      <c r="AW37" s="3">
        <f t="shared" si="9"/>
        <v>5</v>
      </c>
      <c r="AX37" s="3">
        <f t="shared" si="10"/>
        <v>33</v>
      </c>
      <c r="AY37" s="3">
        <f t="shared" si="11"/>
        <v>6</v>
      </c>
      <c r="AZ37" s="3">
        <f t="shared" si="12"/>
        <v>1</v>
      </c>
      <c r="BA37" s="3">
        <f>IF(ISERROR(LEN(VLOOKUP(A37,Seqs!A:E,2,FALSE))-AL37),"-",LEN(VLOOKUP(A37,Seqs!A:E,2,FALSE))-AL37)</f>
        <v>71</v>
      </c>
      <c r="BB37" s="16">
        <f t="shared" si="13"/>
        <v>28</v>
      </c>
      <c r="BC37" s="9">
        <f t="shared" si="14"/>
        <v>19</v>
      </c>
      <c r="BD37" s="3">
        <f t="shared" si="15"/>
        <v>28</v>
      </c>
      <c r="BE37" s="3">
        <f t="shared" si="16"/>
        <v>85</v>
      </c>
    </row>
    <row r="38" spans="1:58" s="3" customFormat="1" x14ac:dyDescent="0.2">
      <c r="A38" s="3" t="s">
        <v>128</v>
      </c>
      <c r="B38" s="3" t="str">
        <f>LOWER(VLOOKUP(A38,Xtal_Templ!A:B,2,FALSE))</f>
        <v>5ht1b_human</v>
      </c>
      <c r="C38" s="3">
        <f>VLOOKUP($A38,'SegEnds_NonXtal_BW#'!$A:$Z,3,FALSE)+D38-50</f>
        <v>32</v>
      </c>
      <c r="D38" s="3">
        <v>54</v>
      </c>
      <c r="E38" s="3">
        <f>IF(ISERROR(VLOOKUP($A38,'SegEnds_NonXtal_BW#'!$A:$Z,4,FALSE)+VLOOKUP($A38,A:AL,4,FALSE)-50),"-",(VLOOKUP($A38,'SegEnds_NonXtal_BW#'!$A:$Z,4,FALSE)+VLOOKUP($A38,A:AL,4,FALSE)-50))</f>
        <v>64</v>
      </c>
      <c r="F38" s="3">
        <f t="shared" si="27"/>
        <v>65</v>
      </c>
      <c r="G38" s="3">
        <v>67</v>
      </c>
      <c r="H38" s="3">
        <f t="shared" si="28"/>
        <v>68</v>
      </c>
      <c r="I38" s="3">
        <f t="shared" si="28"/>
        <v>69</v>
      </c>
      <c r="J38" s="3">
        <v>82</v>
      </c>
      <c r="K38" s="3">
        <f>VLOOKUP($A38,'SegEnds_NonXtal_BW#'!$A:$Z,8,FALSE)+VLOOKUP($A38,A:AL,10,FALSE)-50</f>
        <v>100</v>
      </c>
      <c r="L38" s="3">
        <f t="shared" ref="L38:L49" si="32">M38-1</f>
        <v>101</v>
      </c>
      <c r="M38" s="3">
        <v>102</v>
      </c>
      <c r="N38" s="3">
        <f t="shared" si="30"/>
        <v>104</v>
      </c>
      <c r="O38" s="3">
        <f t="shared" si="29"/>
        <v>105</v>
      </c>
      <c r="P38" s="3">
        <v>134</v>
      </c>
      <c r="Q38" s="3">
        <f>VLOOKUP($A38,'SegEnds_NonXtal_BW#'!$A:$Z,12,FALSE)+VLOOKUP($A38,A:AL,16,FALSE)-50</f>
        <v>140</v>
      </c>
      <c r="R38" s="3">
        <f>IF(ISERROR(VLOOKUP($A38,'SegEnds_NonXtal_BW#'!$A:$Z,13,FALSE)+VLOOKUP($A38,A:AL,19,FALSE)-50),"-",VLOOKUP($A38,'SegEnds_NonXtal_BW#'!$A:$Z,13,FALSE)+VLOOKUP($A38,A:AL,19,FALSE)-50)</f>
        <v>141</v>
      </c>
      <c r="S38" s="3">
        <v>141</v>
      </c>
      <c r="T38" s="100">
        <f>IF(ISERROR(VLOOKUP($A38,'SegEnds_NonXtal_BW#'!$A:$Z,14,FALSE)+VLOOKUP($A38,A:AL,19,FALSE)-50),"-",(VLOOKUP($A38,'SegEnds_NonXtal_BW#'!$A:$Z,14,FALSE)+VLOOKUP($A38,A:AL,19,FALSE)-50))</f>
        <v>148</v>
      </c>
      <c r="U38" s="9">
        <f>IF(ISERROR(VLOOKUP($A38,'SegEnds_NonXtal_BW#'!$A:$Z,15,FALSE)+VLOOKUP($A38,A:AL,22,FALSE)-50),"-",VLOOKUP($A38,'SegEnds_NonXtal_BW#'!$A:$Z,15,FALSE)+VLOOKUP($A38,A:AL,22,FALSE)-50)</f>
        <v>149</v>
      </c>
      <c r="V38" s="3">
        <v>161</v>
      </c>
      <c r="W38" s="3">
        <f>IF(ISERROR(VLOOKUP($A38,'SegEnds_NonXtal_BW#'!$A:$Z,16,FALSE)+VLOOKUP($A38,A:AL,22,FALSE)-50),"-",(VLOOKUP($A38,'SegEnds_NonXtal_BW#'!$A:$Z,16,FALSE)+VLOOKUP($A38,A:AL,22,FALSE)-50))</f>
        <v>174</v>
      </c>
      <c r="X38" s="3">
        <f>IF(ISERROR(VLOOKUP($A38,'SegEnds_NonXtal_BW#'!$A:$Z,17,FALSE)+VLOOKUP($A38,A:AL,25,FALSE)-50),"-",(VLOOKUP($A38,'SegEnds_NonXtal_BW#'!$A:$Z,17,FALSE)+VLOOKUP($A38,A:AL,25,FALSE)-50))</f>
        <v>187</v>
      </c>
      <c r="Y38" s="3">
        <v>187</v>
      </c>
      <c r="Z38" s="3">
        <f t="shared" si="31"/>
        <v>189</v>
      </c>
      <c r="AA38" s="3">
        <f>IF(ISERROR(VLOOKUP($A38,'SegEnds_NonXtal_BW#'!$A:$Z,19,FALSE)+VLOOKUP($A38,A:AL,28,FALSE)-50),"-",(VLOOKUP($A38,'SegEnds_NonXtal_BW#'!$A:$Z,19,FALSE)+VLOOKUP($A38,A:AL,28,FALSE)-50))</f>
        <v>192</v>
      </c>
      <c r="AB38" s="3">
        <v>207</v>
      </c>
      <c r="AC38" s="3">
        <f>IF(ISERROR((VLOOKUP($A38,'SegEnds_NonXtal_BW#'!$A:$Z,20,FALSE)+VLOOKUP($A38,A:AL,28,FALSE)-50)),"-",(VLOOKUP($A38,'SegEnds_NonXtal_BW#'!$A:$Z,20,FALSE)+VLOOKUP($A38,A:AL,28,FALSE)-50))</f>
        <v>233</v>
      </c>
      <c r="AD38" s="3">
        <f>IF(ISERROR(VLOOKUP($A38,'SegEnds_NonXtal_BW#'!$A:$Z,21,FALSE)+VLOOKUP($A38,A:AL,31,FALSE)-50),"-",(VLOOKUP($A38,'SegEnds_NonXtal_BW#'!$A:$Z,21,FALSE)+VLOOKUP($A38,A:AL,31,FALSE)-50))</f>
        <v>334</v>
      </c>
      <c r="AE38" s="3">
        <v>360</v>
      </c>
      <c r="AF38" s="3">
        <f>IF(ISERROR((VLOOKUP($A38,'SegEnds_NonXtal_BW#'!$A:$Z,22,FALSE)+VLOOKUP($A38,A:AL,31,FALSE)-50)),"-",(VLOOKUP($A38,'SegEnds_NonXtal_BW#'!$A:$Z,22,FALSE)+VLOOKUP($A38,A:AL,31,FALSE)-50))</f>
        <v>370</v>
      </c>
      <c r="AG38" s="3">
        <f>IF(ISERROR(VLOOKUP($A38,'SegEnds_NonXtal_BW#'!$A:$Z,23,FALSE)+VLOOKUP($A38,A:AL,34,FALSE)-50),"-",(VLOOKUP($A38,'SegEnds_NonXtal_BW#'!$A:$Z,23,FALSE)+VLOOKUP($A38,A:AL,34,FALSE)-50))</f>
        <v>378</v>
      </c>
      <c r="AH38" s="3">
        <v>397</v>
      </c>
      <c r="AI38" s="3">
        <f>IF(ISERROR((VLOOKUP($A38,'SegEnds_NonXtal_BW#'!$A:$Z,24,FALSE)+VLOOKUP($A38,A:AL,34,FALSE)-50)),"-",(VLOOKUP($A38,'SegEnds_NonXtal_BW#'!$A:$Z,24,FALSE)+VLOOKUP($A38,A:AL,34,FALSE)-50))</f>
        <v>403</v>
      </c>
      <c r="AJ38" s="3">
        <f>IF(ISERROR(VLOOKUP($A38,'SegEnds_NonXtal_BW#'!$A:$Z,25,FALSE)+VLOOKUP($A38,A:AL,37,FALSE)-50),"-",(VLOOKUP($A38,'SegEnds_NonXtal_BW#'!$A:$Z,25,FALSE)+VLOOKUP($A38,A:AL,37,FALSE)-50))</f>
        <v>404</v>
      </c>
      <c r="AK38" s="3">
        <v>407</v>
      </c>
      <c r="AL38" s="3">
        <f>IF(ISERROR((VLOOKUP($A38,'SegEnds_NonXtal_BW#'!$A:$Z,26,FALSE)+VLOOKUP($A38,A:AL,37,FALSE)-50)),"-",(VLOOKUP($A38,'SegEnds_NonXtal_BW#'!$A:$Z,26,FALSE)+VLOOKUP($A38,A:AL,37,FALSE)-50))</f>
        <v>415</v>
      </c>
      <c r="AM38" s="28" t="str">
        <f>VLOOKUP(A38,Classification!A:B,2,FALSE)</f>
        <v>A</v>
      </c>
      <c r="AN38" s="28" t="b">
        <f t="shared" si="17"/>
        <v>1</v>
      </c>
      <c r="AO38" s="3" t="str">
        <f>IF(ISERROR(MATCH(A38,'SegEnds_Xtal_Prot#'!B:B, 0)), "NoXtal", "Xtal")</f>
        <v>NoXtal</v>
      </c>
      <c r="AP38" s="3">
        <f t="shared" si="2"/>
        <v>1</v>
      </c>
      <c r="AQ38" s="3">
        <f t="shared" si="3"/>
        <v>1</v>
      </c>
      <c r="AR38" s="3">
        <f t="shared" si="4"/>
        <v>1</v>
      </c>
      <c r="AS38" s="3">
        <f t="shared" si="5"/>
        <v>1</v>
      </c>
      <c r="AT38" s="3">
        <f t="shared" si="6"/>
        <v>1</v>
      </c>
      <c r="AU38" s="3">
        <f t="shared" si="7"/>
        <v>1</v>
      </c>
      <c r="AV38" s="3">
        <f t="shared" si="8"/>
        <v>13</v>
      </c>
      <c r="AW38" s="3">
        <f t="shared" si="9"/>
        <v>3</v>
      </c>
      <c r="AX38" s="3">
        <f t="shared" si="10"/>
        <v>101</v>
      </c>
      <c r="AY38" s="3">
        <f t="shared" si="11"/>
        <v>8</v>
      </c>
      <c r="AZ38" s="3">
        <f t="shared" si="12"/>
        <v>1</v>
      </c>
      <c r="BA38" s="3">
        <f>IF(ISERROR(LEN(VLOOKUP(A38,Seqs!A:E,2,FALSE))-AL38),"-",LEN(VLOOKUP(A38,Seqs!A:E,2,FALSE))-AL38)</f>
        <v>7</v>
      </c>
      <c r="BB38" s="16">
        <f t="shared" si="13"/>
        <v>28</v>
      </c>
      <c r="BC38" s="9">
        <f t="shared" si="14"/>
        <v>20</v>
      </c>
      <c r="BD38" s="3">
        <f t="shared" si="15"/>
        <v>28</v>
      </c>
      <c r="BE38" s="3">
        <f t="shared" si="16"/>
        <v>153</v>
      </c>
      <c r="BF38" s="3">
        <f>AH38-AE38</f>
        <v>37</v>
      </c>
    </row>
    <row r="39" spans="1:58" s="3" customFormat="1" x14ac:dyDescent="0.2">
      <c r="A39" s="3" t="s">
        <v>34</v>
      </c>
      <c r="B39" s="3" t="str">
        <f>LOWER(VLOOKUP(A39,Xtal_Templ!A:B,2,FALSE))</f>
        <v>5ht1b_human</v>
      </c>
      <c r="C39" s="3">
        <f>VLOOKUP($A39,'SegEnds_NonXtal_BW#'!$A:$Z,3,FALSE)+D39-50</f>
        <v>45</v>
      </c>
      <c r="D39" s="3">
        <v>67</v>
      </c>
      <c r="E39" s="3">
        <f>IF(ISERROR(VLOOKUP($A39,'SegEnds_NonXtal_BW#'!$A:$Z,4,FALSE)+VLOOKUP($A39,A:AL,4,FALSE)-50),"-",(VLOOKUP($A39,'SegEnds_NonXtal_BW#'!$A:$Z,4,FALSE)+VLOOKUP($A39,A:AL,4,FALSE)-50))</f>
        <v>77</v>
      </c>
      <c r="F39" s="3">
        <f t="shared" si="27"/>
        <v>78</v>
      </c>
      <c r="G39" s="3">
        <v>80</v>
      </c>
      <c r="H39" s="3">
        <f t="shared" si="28"/>
        <v>81</v>
      </c>
      <c r="I39" s="3">
        <f t="shared" si="28"/>
        <v>82</v>
      </c>
      <c r="J39" s="3">
        <v>95</v>
      </c>
      <c r="K39" s="3">
        <f>VLOOKUP($A39,'SegEnds_NonXtal_BW#'!$A:$Z,8,FALSE)+VLOOKUP($A39,A:AL,10,FALSE)-50</f>
        <v>113</v>
      </c>
      <c r="L39" s="3">
        <f t="shared" si="32"/>
        <v>114</v>
      </c>
      <c r="M39" s="3">
        <v>115</v>
      </c>
      <c r="N39" s="3">
        <f t="shared" si="30"/>
        <v>117</v>
      </c>
      <c r="O39" s="3">
        <f t="shared" si="29"/>
        <v>118</v>
      </c>
      <c r="P39" s="3">
        <v>147</v>
      </c>
      <c r="Q39" s="3">
        <f>VLOOKUP($A39,'SegEnds_NonXtal_BW#'!$A:$Z,12,FALSE)+VLOOKUP($A39,A:AL,16,FALSE)-50</f>
        <v>153</v>
      </c>
      <c r="R39" s="3">
        <f>IF(ISERROR(VLOOKUP($A39,'SegEnds_NonXtal_BW#'!$A:$Z,13,FALSE)+VLOOKUP($A39,A:AL,19,FALSE)-50),"-",VLOOKUP($A39,'SegEnds_NonXtal_BW#'!$A:$Z,13,FALSE)+VLOOKUP($A39,A:AL,19,FALSE)-50)</f>
        <v>154</v>
      </c>
      <c r="S39" s="3">
        <v>154</v>
      </c>
      <c r="T39" s="100">
        <f>IF(ISERROR(VLOOKUP($A39,'SegEnds_NonXtal_BW#'!$A:$Z,14,FALSE)+VLOOKUP($A39,A:AL,19,FALSE)-50),"-",(VLOOKUP($A39,'SegEnds_NonXtal_BW#'!$A:$Z,14,FALSE)+VLOOKUP($A39,A:AL,19,FALSE)-50))</f>
        <v>161</v>
      </c>
      <c r="U39" s="9">
        <f>IF(ISERROR(VLOOKUP($A39,'SegEnds_NonXtal_BW#'!$A:$Z,15,FALSE)+VLOOKUP($A39,A:AL,22,FALSE)-50),"-",VLOOKUP($A39,'SegEnds_NonXtal_BW#'!$A:$Z,15,FALSE)+VLOOKUP($A39,A:AL,22,FALSE)-50)</f>
        <v>162</v>
      </c>
      <c r="V39" s="3">
        <v>174</v>
      </c>
      <c r="W39" s="3">
        <f>IF(ISERROR(VLOOKUP($A39,'SegEnds_NonXtal_BW#'!$A:$Z,16,FALSE)+VLOOKUP($A39,A:AL,22,FALSE)-50),"-",(VLOOKUP($A39,'SegEnds_NonXtal_BW#'!$A:$Z,16,FALSE)+VLOOKUP($A39,A:AL,22,FALSE)-50))</f>
        <v>187</v>
      </c>
      <c r="X39" s="3">
        <f>IF(ISERROR(VLOOKUP($A39,'SegEnds_NonXtal_BW#'!$A:$Z,17,FALSE)+VLOOKUP($A39,A:AL,25,FALSE)-50),"-",(VLOOKUP($A39,'SegEnds_NonXtal_BW#'!$A:$Z,17,FALSE)+VLOOKUP($A39,A:AL,25,FALSE)-50))</f>
        <v>199</v>
      </c>
      <c r="Y39" s="3">
        <v>199</v>
      </c>
      <c r="Z39" s="3">
        <f t="shared" si="31"/>
        <v>201</v>
      </c>
      <c r="AA39" s="3">
        <f>IF(ISERROR(VLOOKUP($A39,'SegEnds_NonXtal_BW#'!$A:$Z,19,FALSE)+VLOOKUP($A39,A:AL,28,FALSE)-50),"-",(VLOOKUP($A39,'SegEnds_NonXtal_BW#'!$A:$Z,19,FALSE)+VLOOKUP($A39,A:AL,28,FALSE)-50))</f>
        <v>205</v>
      </c>
      <c r="AB39" s="3">
        <v>220</v>
      </c>
      <c r="AC39" s="3">
        <f>IF(ISERROR((VLOOKUP($A39,'SegEnds_NonXtal_BW#'!$A:$Z,20,FALSE)+VLOOKUP($A39,A:AL,28,FALSE)-50)),"-",(VLOOKUP($A39,'SegEnds_NonXtal_BW#'!$A:$Z,20,FALSE)+VLOOKUP($A39,A:AL,28,FALSE)-50))</f>
        <v>244</v>
      </c>
      <c r="AD39" s="3">
        <f>IF(ISERROR(VLOOKUP($A39,'SegEnds_NonXtal_BW#'!$A:$Z,21,FALSE)+VLOOKUP($A39,A:AL,31,FALSE)-50),"-",(VLOOKUP($A39,'SegEnds_NonXtal_BW#'!$A:$Z,21,FALSE)+VLOOKUP($A39,A:AL,31,FALSE)-50))</f>
        <v>303</v>
      </c>
      <c r="AE39" s="3">
        <v>329</v>
      </c>
      <c r="AF39" s="3">
        <f>IF(ISERROR((VLOOKUP($A39,'SegEnds_NonXtal_BW#'!$A:$Z,22,FALSE)+VLOOKUP($A39,A:AL,31,FALSE)-50)),"-",(VLOOKUP($A39,'SegEnds_NonXtal_BW#'!$A:$Z,22,FALSE)+VLOOKUP($A39,A:AL,31,FALSE)-50))</f>
        <v>339</v>
      </c>
      <c r="AG39" s="3">
        <f>IF(ISERROR(VLOOKUP($A39,'SegEnds_NonXtal_BW#'!$A:$Z,23,FALSE)+VLOOKUP($A39,A:AL,34,FALSE)-50),"-",(VLOOKUP($A39,'SegEnds_NonXtal_BW#'!$A:$Z,23,FALSE)+VLOOKUP($A39,A:AL,34,FALSE)-50))</f>
        <v>347</v>
      </c>
      <c r="AH39" s="3">
        <v>366</v>
      </c>
      <c r="AI39" s="3">
        <f>IF(ISERROR((VLOOKUP($A39,'SegEnds_NonXtal_BW#'!$A:$Z,24,FALSE)+VLOOKUP($A39,A:AL,34,FALSE)-50)),"-",(VLOOKUP($A39,'SegEnds_NonXtal_BW#'!$A:$Z,24,FALSE)+VLOOKUP($A39,A:AL,34,FALSE)-50))</f>
        <v>372</v>
      </c>
      <c r="AJ39" s="3">
        <f>IF(ISERROR(VLOOKUP($A39,'SegEnds_NonXtal_BW#'!$A:$Z,25,FALSE)+VLOOKUP($A39,A:AL,37,FALSE)-50),"-",(VLOOKUP($A39,'SegEnds_NonXtal_BW#'!$A:$Z,25,FALSE)+VLOOKUP($A39,A:AL,37,FALSE)-50))</f>
        <v>373</v>
      </c>
      <c r="AK39" s="3">
        <v>376</v>
      </c>
      <c r="AL39" s="3">
        <f>IF(ISERROR((VLOOKUP($A39,'SegEnds_NonXtal_BW#'!$A:$Z,26,FALSE)+VLOOKUP($A39,A:AL,37,FALSE)-50)),"-",(VLOOKUP($A39,'SegEnds_NonXtal_BW#'!$A:$Z,26,FALSE)+VLOOKUP($A39,A:AL,37,FALSE)-50))</f>
        <v>384</v>
      </c>
      <c r="AM39" s="28" t="str">
        <f>VLOOKUP(A39,Classification!A:B,2,FALSE)</f>
        <v>A</v>
      </c>
      <c r="AN39" s="28" t="b">
        <f t="shared" si="17"/>
        <v>1</v>
      </c>
      <c r="AO39" s="3" t="str">
        <f>IF(ISERROR(MATCH(A39,'SegEnds_Xtal_Prot#'!B:B, 0)), "NoXtal", "Xtal")</f>
        <v>Xtal</v>
      </c>
      <c r="AP39" s="3">
        <f t="shared" si="2"/>
        <v>1</v>
      </c>
      <c r="AQ39" s="3">
        <f t="shared" si="3"/>
        <v>1</v>
      </c>
      <c r="AR39" s="3">
        <f t="shared" si="4"/>
        <v>1</v>
      </c>
      <c r="AS39" s="3">
        <f t="shared" si="5"/>
        <v>1</v>
      </c>
      <c r="AT39" s="3">
        <f t="shared" si="6"/>
        <v>1</v>
      </c>
      <c r="AU39" s="3">
        <f t="shared" si="7"/>
        <v>1</v>
      </c>
      <c r="AV39" s="3">
        <f t="shared" si="8"/>
        <v>12</v>
      </c>
      <c r="AW39" s="3">
        <f t="shared" si="9"/>
        <v>4</v>
      </c>
      <c r="AX39" s="3">
        <f t="shared" si="10"/>
        <v>59</v>
      </c>
      <c r="AY39" s="3">
        <f t="shared" si="11"/>
        <v>8</v>
      </c>
      <c r="AZ39" s="3">
        <f t="shared" si="12"/>
        <v>1</v>
      </c>
      <c r="BA39" s="3">
        <f>IF(ISERROR(LEN(VLOOKUP(A39,Seqs!A:E,2,FALSE))-AL39),"-",LEN(VLOOKUP(A39,Seqs!A:E,2,FALSE))-AL39)</f>
        <v>6</v>
      </c>
      <c r="BB39" s="16">
        <f t="shared" si="13"/>
        <v>28</v>
      </c>
      <c r="BC39" s="9">
        <f t="shared" si="14"/>
        <v>20</v>
      </c>
      <c r="BD39" s="3">
        <f t="shared" si="15"/>
        <v>28</v>
      </c>
      <c r="BE39" s="3">
        <f t="shared" si="16"/>
        <v>109</v>
      </c>
      <c r="BF39" s="3">
        <f>AH39-AE39</f>
        <v>37</v>
      </c>
    </row>
    <row r="40" spans="1:58" s="3" customFormat="1" x14ac:dyDescent="0.2">
      <c r="A40" s="3" t="s">
        <v>129</v>
      </c>
      <c r="B40" s="3" t="str">
        <f>LOWER(VLOOKUP(A40,Xtal_Templ!A:B,2,FALSE))</f>
        <v>5ht1b_human</v>
      </c>
      <c r="C40" s="3">
        <f>VLOOKUP($A40,'SegEnds_NonXtal_BW#'!$A:$Z,3,FALSE)+D40-50</f>
        <v>34</v>
      </c>
      <c r="D40" s="3">
        <v>56</v>
      </c>
      <c r="E40" s="3">
        <f>IF(ISERROR(VLOOKUP($A40,'SegEnds_NonXtal_BW#'!$A:$Z,4,FALSE)+VLOOKUP($A40,A:AL,4,FALSE)-50),"-",(VLOOKUP($A40,'SegEnds_NonXtal_BW#'!$A:$Z,4,FALSE)+VLOOKUP($A40,A:AL,4,FALSE)-50))</f>
        <v>66</v>
      </c>
      <c r="F40" s="3">
        <f t="shared" si="27"/>
        <v>67</v>
      </c>
      <c r="G40" s="3">
        <v>69</v>
      </c>
      <c r="H40" s="3">
        <f t="shared" si="28"/>
        <v>70</v>
      </c>
      <c r="I40" s="3">
        <f t="shared" si="28"/>
        <v>71</v>
      </c>
      <c r="J40" s="3">
        <v>84</v>
      </c>
      <c r="K40" s="3">
        <f>VLOOKUP($A40,'SegEnds_NonXtal_BW#'!$A:$Z,8,FALSE)+VLOOKUP($A40,A:AL,10,FALSE)-50</f>
        <v>102</v>
      </c>
      <c r="L40" s="3">
        <f t="shared" si="32"/>
        <v>103</v>
      </c>
      <c r="M40" s="3">
        <v>104</v>
      </c>
      <c r="N40" s="3">
        <f t="shared" si="30"/>
        <v>106</v>
      </c>
      <c r="O40" s="3">
        <f t="shared" si="29"/>
        <v>107</v>
      </c>
      <c r="P40" s="3">
        <v>136</v>
      </c>
      <c r="Q40" s="3">
        <f>VLOOKUP($A40,'SegEnds_NonXtal_BW#'!$A:$Z,12,FALSE)+VLOOKUP($A40,A:AL,16,FALSE)-50</f>
        <v>142</v>
      </c>
      <c r="R40" s="3">
        <f>IF(ISERROR(VLOOKUP($A40,'SegEnds_NonXtal_BW#'!$A:$Z,13,FALSE)+VLOOKUP($A40,A:AL,19,FALSE)-50),"-",VLOOKUP($A40,'SegEnds_NonXtal_BW#'!$A:$Z,13,FALSE)+VLOOKUP($A40,A:AL,19,FALSE)-50)</f>
        <v>143</v>
      </c>
      <c r="S40" s="3">
        <v>143</v>
      </c>
      <c r="T40" s="100">
        <f>IF(ISERROR(VLOOKUP($A40,'SegEnds_NonXtal_BW#'!$A:$Z,14,FALSE)+VLOOKUP($A40,A:AL,19,FALSE)-50),"-",(VLOOKUP($A40,'SegEnds_NonXtal_BW#'!$A:$Z,14,FALSE)+VLOOKUP($A40,A:AL,19,FALSE)-50))</f>
        <v>150</v>
      </c>
      <c r="U40" s="9">
        <f>IF(ISERROR(VLOOKUP($A40,'SegEnds_NonXtal_BW#'!$A:$Z,15,FALSE)+VLOOKUP($A40,A:AL,22,FALSE)-50),"-",VLOOKUP($A40,'SegEnds_NonXtal_BW#'!$A:$Z,15,FALSE)+VLOOKUP($A40,A:AL,22,FALSE)-50)</f>
        <v>151</v>
      </c>
      <c r="V40" s="3">
        <v>163</v>
      </c>
      <c r="W40" s="3">
        <f>IF(ISERROR(VLOOKUP($A40,'SegEnds_NonXtal_BW#'!$A:$Z,16,FALSE)+VLOOKUP($A40,A:AL,22,FALSE)-50),"-",(VLOOKUP($A40,'SegEnds_NonXtal_BW#'!$A:$Z,16,FALSE)+VLOOKUP($A40,A:AL,22,FALSE)-50))</f>
        <v>176</v>
      </c>
      <c r="X40" s="3">
        <f>IF(ISERROR(VLOOKUP($A40,'SegEnds_NonXtal_BW#'!$A:$Z,17,FALSE)+VLOOKUP($A40,A:AL,25,FALSE)-50),"-",(VLOOKUP($A40,'SegEnds_NonXtal_BW#'!$A:$Z,17,FALSE)+VLOOKUP($A40,A:AL,25,FALSE)-50))</f>
        <v>188</v>
      </c>
      <c r="Y40" s="3">
        <v>188</v>
      </c>
      <c r="Z40" s="3">
        <f t="shared" si="31"/>
        <v>190</v>
      </c>
      <c r="AA40" s="3">
        <f>IF(ISERROR(VLOOKUP($A40,'SegEnds_NonXtal_BW#'!$A:$Z,19,FALSE)+VLOOKUP($A40,A:AL,28,FALSE)-50),"-",(VLOOKUP($A40,'SegEnds_NonXtal_BW#'!$A:$Z,19,FALSE)+VLOOKUP($A40,A:AL,28,FALSE)-50))</f>
        <v>194</v>
      </c>
      <c r="AB40" s="3">
        <v>209</v>
      </c>
      <c r="AC40" s="3">
        <f>IF(ISERROR((VLOOKUP($A40,'SegEnds_NonXtal_BW#'!$A:$Z,20,FALSE)+VLOOKUP($A40,A:AL,28,FALSE)-50)),"-",(VLOOKUP($A40,'SegEnds_NonXtal_BW#'!$A:$Z,20,FALSE)+VLOOKUP($A40,A:AL,28,FALSE)-50))</f>
        <v>233</v>
      </c>
      <c r="AD40" s="3">
        <f>IF(ISERROR(VLOOKUP($A40,'SegEnds_NonXtal_BW#'!$A:$Z,21,FALSE)+VLOOKUP($A40,A:AL,31,FALSE)-50),"-",(VLOOKUP($A40,'SegEnds_NonXtal_BW#'!$A:$Z,21,FALSE)+VLOOKUP($A40,A:AL,31,FALSE)-50))</f>
        <v>290</v>
      </c>
      <c r="AE40" s="3">
        <v>316</v>
      </c>
      <c r="AF40" s="3">
        <f>IF(ISERROR((VLOOKUP($A40,'SegEnds_NonXtal_BW#'!$A:$Z,22,FALSE)+VLOOKUP($A40,A:AL,31,FALSE)-50)),"-",(VLOOKUP($A40,'SegEnds_NonXtal_BW#'!$A:$Z,22,FALSE)+VLOOKUP($A40,A:AL,31,FALSE)-50))</f>
        <v>326</v>
      </c>
      <c r="AG40" s="3">
        <f>IF(ISERROR(VLOOKUP($A40,'SegEnds_NonXtal_BW#'!$A:$Z,23,FALSE)+VLOOKUP($A40,A:AL,34,FALSE)-50),"-",(VLOOKUP($A40,'SegEnds_NonXtal_BW#'!$A:$Z,23,FALSE)+VLOOKUP($A40,A:AL,34,FALSE)-50))</f>
        <v>334</v>
      </c>
      <c r="AH40" s="3">
        <v>353</v>
      </c>
      <c r="AI40" s="3">
        <f>IF(ISERROR((VLOOKUP($A40,'SegEnds_NonXtal_BW#'!$A:$Z,24,FALSE)+VLOOKUP($A40,A:AL,34,FALSE)-50)),"-",(VLOOKUP($A40,'SegEnds_NonXtal_BW#'!$A:$Z,24,FALSE)+VLOOKUP($A40,A:AL,34,FALSE)-50))</f>
        <v>359</v>
      </c>
      <c r="AJ40" s="3">
        <f>IF(ISERROR(VLOOKUP($A40,'SegEnds_NonXtal_BW#'!$A:$Z,25,FALSE)+VLOOKUP($A40,A:AL,37,FALSE)-50),"-",(VLOOKUP($A40,'SegEnds_NonXtal_BW#'!$A:$Z,25,FALSE)+VLOOKUP($A40,A:AL,37,FALSE)-50))</f>
        <v>360</v>
      </c>
      <c r="AK40" s="3">
        <v>363</v>
      </c>
      <c r="AL40" s="3">
        <f>IF(ISERROR((VLOOKUP($A40,'SegEnds_NonXtal_BW#'!$A:$Z,26,FALSE)+VLOOKUP($A40,A:AL,37,FALSE)-50)),"-",(VLOOKUP($A40,'SegEnds_NonXtal_BW#'!$A:$Z,26,FALSE)+VLOOKUP($A40,A:AL,37,FALSE)-50))</f>
        <v>371</v>
      </c>
      <c r="AM40" s="28" t="str">
        <f>VLOOKUP(A40,Classification!A:B,2,FALSE)</f>
        <v>A</v>
      </c>
      <c r="AN40" s="28" t="b">
        <f t="shared" si="17"/>
        <v>1</v>
      </c>
      <c r="AO40" s="3" t="str">
        <f>IF(ISERROR(MATCH(A40,'SegEnds_Xtal_Prot#'!B:B, 0)), "NoXtal", "Xtal")</f>
        <v>NoXtal</v>
      </c>
      <c r="AP40" s="3">
        <f t="shared" si="2"/>
        <v>1</v>
      </c>
      <c r="AQ40" s="3">
        <f t="shared" si="3"/>
        <v>1</v>
      </c>
      <c r="AR40" s="3">
        <f t="shared" si="4"/>
        <v>1</v>
      </c>
      <c r="AS40" s="3">
        <f t="shared" si="5"/>
        <v>1</v>
      </c>
      <c r="AT40" s="3">
        <f t="shared" si="6"/>
        <v>1</v>
      </c>
      <c r="AU40" s="3">
        <f t="shared" si="7"/>
        <v>1</v>
      </c>
      <c r="AV40" s="3">
        <f t="shared" si="8"/>
        <v>12</v>
      </c>
      <c r="AW40" s="3">
        <f t="shared" si="9"/>
        <v>4</v>
      </c>
      <c r="AX40" s="3">
        <f t="shared" si="10"/>
        <v>57</v>
      </c>
      <c r="AY40" s="3">
        <f t="shared" si="11"/>
        <v>8</v>
      </c>
      <c r="AZ40" s="3">
        <f t="shared" si="12"/>
        <v>1</v>
      </c>
      <c r="BA40" s="3">
        <f>IF(ISERROR(LEN(VLOOKUP(A40,Seqs!A:E,2,FALSE))-AL40),"-",LEN(VLOOKUP(A40,Seqs!A:E,2,FALSE))-AL40)</f>
        <v>6</v>
      </c>
      <c r="BB40" s="16">
        <f t="shared" si="13"/>
        <v>28</v>
      </c>
      <c r="BC40" s="9">
        <f t="shared" si="14"/>
        <v>20</v>
      </c>
      <c r="BD40" s="3">
        <f t="shared" si="15"/>
        <v>28</v>
      </c>
      <c r="BE40" s="3">
        <f t="shared" si="16"/>
        <v>107</v>
      </c>
      <c r="BF40" s="3">
        <f>AH40-AE40</f>
        <v>37</v>
      </c>
    </row>
    <row r="41" spans="1:58" s="3" customFormat="1" x14ac:dyDescent="0.2">
      <c r="A41" s="3" t="s">
        <v>130</v>
      </c>
      <c r="B41" s="3" t="str">
        <f>LOWER(VLOOKUP(A41,Xtal_Templ!A:B,2,FALSE))</f>
        <v>5ht1b_human</v>
      </c>
      <c r="C41" s="3">
        <f>VLOOKUP($A41,'SegEnds_NonXtal_BW#'!$A:$Z,3,FALSE)+D41-50</f>
        <v>18</v>
      </c>
      <c r="D41" s="3">
        <v>40</v>
      </c>
      <c r="E41" s="3">
        <f>IF(ISERROR(VLOOKUP($A41,'SegEnds_NonXtal_BW#'!$A:$Z,4,FALSE)+VLOOKUP($A41,A:AL,4,FALSE)-50),"-",(VLOOKUP($A41,'SegEnds_NonXtal_BW#'!$A:$Z,4,FALSE)+VLOOKUP($A41,A:AL,4,FALSE)-50))</f>
        <v>50</v>
      </c>
      <c r="F41" s="3">
        <f t="shared" si="27"/>
        <v>51</v>
      </c>
      <c r="G41" s="3">
        <v>53</v>
      </c>
      <c r="H41" s="3">
        <f t="shared" si="28"/>
        <v>54</v>
      </c>
      <c r="I41" s="3">
        <f t="shared" si="28"/>
        <v>55</v>
      </c>
      <c r="J41" s="3">
        <v>68</v>
      </c>
      <c r="K41" s="3">
        <f>VLOOKUP($A41,'SegEnds_NonXtal_BW#'!$A:$Z,8,FALSE)+VLOOKUP($A41,A:AL,10,FALSE)-50</f>
        <v>86</v>
      </c>
      <c r="L41" s="3">
        <f t="shared" si="32"/>
        <v>87</v>
      </c>
      <c r="M41" s="3">
        <v>88</v>
      </c>
      <c r="N41" s="3">
        <f t="shared" si="30"/>
        <v>90</v>
      </c>
      <c r="O41" s="3">
        <f t="shared" si="29"/>
        <v>91</v>
      </c>
      <c r="P41" s="3">
        <v>120</v>
      </c>
      <c r="Q41" s="3">
        <f>VLOOKUP($A41,'SegEnds_NonXtal_BW#'!$A:$Z,12,FALSE)+VLOOKUP($A41,A:AL,16,FALSE)-50</f>
        <v>126</v>
      </c>
      <c r="R41" s="3">
        <f>IF(ISERROR(VLOOKUP($A41,'SegEnds_NonXtal_BW#'!$A:$Z,13,FALSE)+VLOOKUP($A41,A:AL,19,FALSE)-50),"-",VLOOKUP($A41,'SegEnds_NonXtal_BW#'!$A:$Z,13,FALSE)+VLOOKUP($A41,A:AL,19,FALSE)-50)</f>
        <v>127</v>
      </c>
      <c r="S41" s="3">
        <v>127</v>
      </c>
      <c r="T41" s="100">
        <f>IF(ISERROR(VLOOKUP($A41,'SegEnds_NonXtal_BW#'!$A:$Z,14,FALSE)+VLOOKUP($A41,A:AL,19,FALSE)-50),"-",(VLOOKUP($A41,'SegEnds_NonXtal_BW#'!$A:$Z,14,FALSE)+VLOOKUP($A41,A:AL,19,FALSE)-50))</f>
        <v>134</v>
      </c>
      <c r="U41" s="9">
        <f>IF(ISERROR(VLOOKUP($A41,'SegEnds_NonXtal_BW#'!$A:$Z,15,FALSE)+VLOOKUP($A41,A:AL,22,FALSE)-50),"-",VLOOKUP($A41,'SegEnds_NonXtal_BW#'!$A:$Z,15,FALSE)+VLOOKUP($A41,A:AL,22,FALSE)-50)</f>
        <v>135</v>
      </c>
      <c r="V41" s="3">
        <v>147</v>
      </c>
      <c r="W41" s="3">
        <f>IF(ISERROR(VLOOKUP($A41,'SegEnds_NonXtal_BW#'!$A:$Z,16,FALSE)+VLOOKUP($A41,A:AL,22,FALSE)-50),"-",(VLOOKUP($A41,'SegEnds_NonXtal_BW#'!$A:$Z,16,FALSE)+VLOOKUP($A41,A:AL,22,FALSE)-50))</f>
        <v>160</v>
      </c>
      <c r="X41" s="3">
        <f>IF(ISERROR(VLOOKUP($A41,'SegEnds_NonXtal_BW#'!$A:$Z,17,FALSE)+VLOOKUP($A41,A:AL,25,FALSE)-50),"-",(VLOOKUP($A41,'SegEnds_NonXtal_BW#'!$A:$Z,17,FALSE)+VLOOKUP($A41,A:AL,25,FALSE)-50))</f>
        <v>173</v>
      </c>
      <c r="Y41" s="3">
        <v>173</v>
      </c>
      <c r="Z41" s="3">
        <f t="shared" si="31"/>
        <v>175</v>
      </c>
      <c r="AA41" s="3">
        <f>IF(ISERROR(VLOOKUP($A41,'SegEnds_NonXtal_BW#'!$A:$Z,19,FALSE)+VLOOKUP($A41,A:AL,28,FALSE)-50),"-",(VLOOKUP($A41,'SegEnds_NonXtal_BW#'!$A:$Z,19,FALSE)+VLOOKUP($A41,A:AL,28,FALSE)-50))</f>
        <v>179</v>
      </c>
      <c r="AB41" s="3">
        <v>194</v>
      </c>
      <c r="AC41" s="3">
        <f>IF(ISERROR((VLOOKUP($A41,'SegEnds_NonXtal_BW#'!$A:$Z,20,FALSE)+VLOOKUP($A41,A:AL,28,FALSE)-50)),"-",(VLOOKUP($A41,'SegEnds_NonXtal_BW#'!$A:$Z,20,FALSE)+VLOOKUP($A41,A:AL,28,FALSE)-50))</f>
        <v>220</v>
      </c>
      <c r="AD41" s="3">
        <f>IF(ISERROR(VLOOKUP($A41,'SegEnds_NonXtal_BW#'!$A:$Z,21,FALSE)+VLOOKUP($A41,A:AL,31,FALSE)-50),"-",(VLOOKUP($A41,'SegEnds_NonXtal_BW#'!$A:$Z,21,FALSE)+VLOOKUP($A41,A:AL,31,FALSE)-50))</f>
        <v>280</v>
      </c>
      <c r="AE41" s="3">
        <v>306</v>
      </c>
      <c r="AF41" s="3">
        <f>IF(ISERROR((VLOOKUP($A41,'SegEnds_NonXtal_BW#'!$A:$Z,22,FALSE)+VLOOKUP($A41,A:AL,31,FALSE)-50)),"-",(VLOOKUP($A41,'SegEnds_NonXtal_BW#'!$A:$Z,22,FALSE)+VLOOKUP($A41,A:AL,31,FALSE)-50))</f>
        <v>317</v>
      </c>
      <c r="AG41" s="3">
        <f>IF(ISERROR(VLOOKUP($A41,'SegEnds_NonXtal_BW#'!$A:$Z,23,FALSE)+VLOOKUP($A41,A:AL,34,FALSE)-50),"-",(VLOOKUP($A41,'SegEnds_NonXtal_BW#'!$A:$Z,23,FALSE)+VLOOKUP($A41,A:AL,34,FALSE)-50))</f>
        <v>322</v>
      </c>
      <c r="AH41" s="3">
        <v>341</v>
      </c>
      <c r="AI41" s="3">
        <f>IF(ISERROR((VLOOKUP($A41,'SegEnds_NonXtal_BW#'!$A:$Z,24,FALSE)+VLOOKUP($A41,A:AL,34,FALSE)-50)),"-",(VLOOKUP($A41,'SegEnds_NonXtal_BW#'!$A:$Z,24,FALSE)+VLOOKUP($A41,A:AL,34,FALSE)-50))</f>
        <v>347</v>
      </c>
      <c r="AJ41" s="3">
        <f>IF(ISERROR(VLOOKUP($A41,'SegEnds_NonXtal_BW#'!$A:$Z,25,FALSE)+VLOOKUP($A41,A:AL,37,FALSE)-50),"-",(VLOOKUP($A41,'SegEnds_NonXtal_BW#'!$A:$Z,25,FALSE)+VLOOKUP($A41,A:AL,37,FALSE)-50))</f>
        <v>348</v>
      </c>
      <c r="AK41" s="3">
        <v>351</v>
      </c>
      <c r="AL41" s="3">
        <f>IF(ISERROR((VLOOKUP($A41,'SegEnds_NonXtal_BW#'!$A:$Z,26,FALSE)+VLOOKUP($A41,A:AL,37,FALSE)-50)),"-",(VLOOKUP($A41,'SegEnds_NonXtal_BW#'!$A:$Z,26,FALSE)+VLOOKUP($A41,A:AL,37,FALSE)-50))</f>
        <v>359</v>
      </c>
      <c r="AM41" s="28" t="str">
        <f>VLOOKUP(A41,Classification!A:B,2,FALSE)</f>
        <v>A</v>
      </c>
      <c r="AN41" s="28" t="b">
        <f t="shared" si="17"/>
        <v>1</v>
      </c>
      <c r="AO41" s="3" t="str">
        <f>IF(ISERROR(MATCH(A41,'SegEnds_Xtal_Prot#'!B:B, 0)), "NoXtal", "Xtal")</f>
        <v>NoXtal</v>
      </c>
      <c r="AP41" s="3">
        <f t="shared" si="2"/>
        <v>1</v>
      </c>
      <c r="AQ41" s="3">
        <f t="shared" si="3"/>
        <v>1</v>
      </c>
      <c r="AR41" s="3">
        <f t="shared" si="4"/>
        <v>1</v>
      </c>
      <c r="AS41" s="3">
        <f t="shared" si="5"/>
        <v>1</v>
      </c>
      <c r="AT41" s="3">
        <f t="shared" si="6"/>
        <v>1</v>
      </c>
      <c r="AU41" s="3">
        <f t="shared" si="7"/>
        <v>1</v>
      </c>
      <c r="AV41" s="3">
        <f t="shared" si="8"/>
        <v>13</v>
      </c>
      <c r="AW41" s="3">
        <f t="shared" si="9"/>
        <v>4</v>
      </c>
      <c r="AX41" s="3">
        <f t="shared" si="10"/>
        <v>60</v>
      </c>
      <c r="AY41" s="3">
        <f t="shared" si="11"/>
        <v>5</v>
      </c>
      <c r="AZ41" s="3">
        <f t="shared" si="12"/>
        <v>1</v>
      </c>
      <c r="BA41" s="3">
        <f>IF(ISERROR(LEN(VLOOKUP(A41,Seqs!A:E,2,FALSE))-AL41),"-",LEN(VLOOKUP(A41,Seqs!A:E,2,FALSE))-AL41)</f>
        <v>6</v>
      </c>
      <c r="BB41" s="16">
        <f t="shared" si="13"/>
        <v>28</v>
      </c>
      <c r="BC41" s="9">
        <f t="shared" si="14"/>
        <v>20</v>
      </c>
      <c r="BD41" s="3">
        <f t="shared" si="15"/>
        <v>28</v>
      </c>
      <c r="BE41" s="3">
        <f t="shared" si="16"/>
        <v>112</v>
      </c>
      <c r="BF41" s="3">
        <f>AH41-AE41</f>
        <v>35</v>
      </c>
    </row>
    <row r="42" spans="1:58" s="3" customFormat="1" x14ac:dyDescent="0.2">
      <c r="A42" s="3" t="s">
        <v>131</v>
      </c>
      <c r="B42" s="3" t="str">
        <f>LOWER(VLOOKUP(A42,Xtal_Templ!A:B,2,FALSE))</f>
        <v>5ht1b_human</v>
      </c>
      <c r="C42" s="3">
        <f>VLOOKUP($A42,'SegEnds_NonXtal_BW#'!$A:$Z,3,FALSE)+D42-50</f>
        <v>19</v>
      </c>
      <c r="D42" s="3">
        <v>41</v>
      </c>
      <c r="E42" s="3">
        <f>IF(ISERROR(VLOOKUP($A42,'SegEnds_NonXtal_BW#'!$A:$Z,4,FALSE)+VLOOKUP($A42,A:AL,4,FALSE)-50),"-",(VLOOKUP($A42,'SegEnds_NonXtal_BW#'!$A:$Z,4,FALSE)+VLOOKUP($A42,A:AL,4,FALSE)-50))</f>
        <v>51</v>
      </c>
      <c r="F42" s="3">
        <f t="shared" si="27"/>
        <v>52</v>
      </c>
      <c r="G42" s="3">
        <v>54</v>
      </c>
      <c r="H42" s="3">
        <f t="shared" si="28"/>
        <v>55</v>
      </c>
      <c r="I42" s="3">
        <f t="shared" si="28"/>
        <v>56</v>
      </c>
      <c r="J42" s="3">
        <v>69</v>
      </c>
      <c r="K42" s="3">
        <f>VLOOKUP($A42,'SegEnds_NonXtal_BW#'!$A:$Z,8,FALSE)+VLOOKUP($A42,A:AL,10,FALSE)-50</f>
        <v>87</v>
      </c>
      <c r="L42" s="3">
        <f t="shared" si="32"/>
        <v>88</v>
      </c>
      <c r="M42" s="3">
        <v>89</v>
      </c>
      <c r="N42" s="3">
        <f t="shared" si="30"/>
        <v>91</v>
      </c>
      <c r="O42" s="3">
        <f t="shared" si="29"/>
        <v>92</v>
      </c>
      <c r="P42" s="3">
        <v>121</v>
      </c>
      <c r="Q42" s="3">
        <f>VLOOKUP($A42,'SegEnds_NonXtal_BW#'!$A:$Z,12,FALSE)+VLOOKUP($A42,A:AL,16,FALSE)-50</f>
        <v>127</v>
      </c>
      <c r="R42" s="3">
        <f>IF(ISERROR(VLOOKUP($A42,'SegEnds_NonXtal_BW#'!$A:$Z,13,FALSE)+VLOOKUP($A42,A:AL,19,FALSE)-50),"-",VLOOKUP($A42,'SegEnds_NonXtal_BW#'!$A:$Z,13,FALSE)+VLOOKUP($A42,A:AL,19,FALSE)-50)</f>
        <v>128</v>
      </c>
      <c r="S42" s="3">
        <v>128</v>
      </c>
      <c r="T42" s="100">
        <f>IF(ISERROR(VLOOKUP($A42,'SegEnds_NonXtal_BW#'!$A:$Z,14,FALSE)+VLOOKUP($A42,A:AL,19,FALSE)-50),"-",(VLOOKUP($A42,'SegEnds_NonXtal_BW#'!$A:$Z,14,FALSE)+VLOOKUP($A42,A:AL,19,FALSE)-50))</f>
        <v>135</v>
      </c>
      <c r="U42" s="9">
        <f>IF(ISERROR(VLOOKUP($A42,'SegEnds_NonXtal_BW#'!$A:$Z,15,FALSE)+VLOOKUP($A42,A:AL,22,FALSE)-50),"-",VLOOKUP($A42,'SegEnds_NonXtal_BW#'!$A:$Z,15,FALSE)+VLOOKUP($A42,A:AL,22,FALSE)-50)</f>
        <v>136</v>
      </c>
      <c r="V42" s="3">
        <v>148</v>
      </c>
      <c r="W42" s="3">
        <f>IF(ISERROR(VLOOKUP($A42,'SegEnds_NonXtal_BW#'!$A:$Z,16,FALSE)+VLOOKUP($A42,A:AL,22,FALSE)-50),"-",(VLOOKUP($A42,'SegEnds_NonXtal_BW#'!$A:$Z,16,FALSE)+VLOOKUP($A42,A:AL,22,FALSE)-50))</f>
        <v>161</v>
      </c>
      <c r="X42" s="3">
        <f>IF(ISERROR(VLOOKUP($A42,'SegEnds_NonXtal_BW#'!$A:$Z,17,FALSE)+VLOOKUP($A42,A:AL,25,FALSE)-50),"-",(VLOOKUP($A42,'SegEnds_NonXtal_BW#'!$A:$Z,17,FALSE)+VLOOKUP($A42,A:AL,25,FALSE)-50))</f>
        <v>172</v>
      </c>
      <c r="Y42" s="3">
        <v>172</v>
      </c>
      <c r="Z42" s="3">
        <f t="shared" si="31"/>
        <v>174</v>
      </c>
      <c r="AA42" s="3">
        <f>IF(ISERROR(VLOOKUP($A42,'SegEnds_NonXtal_BW#'!$A:$Z,19,FALSE)+VLOOKUP($A42,A:AL,28,FALSE)-50),"-",(VLOOKUP($A42,'SegEnds_NonXtal_BW#'!$A:$Z,19,FALSE)+VLOOKUP($A42,A:AL,28,FALSE)-50))</f>
        <v>178</v>
      </c>
      <c r="AB42" s="3">
        <v>193</v>
      </c>
      <c r="AC42" s="3">
        <f>IF(ISERROR((VLOOKUP($A42,'SegEnds_NonXtal_BW#'!$A:$Z,20,FALSE)+VLOOKUP($A42,A:AL,28,FALSE)-50)),"-",(VLOOKUP($A42,'SegEnds_NonXtal_BW#'!$A:$Z,20,FALSE)+VLOOKUP($A42,A:AL,28,FALSE)-50))</f>
        <v>219</v>
      </c>
      <c r="AD42" s="3">
        <f>IF(ISERROR(VLOOKUP($A42,'SegEnds_NonXtal_BW#'!$A:$Z,21,FALSE)+VLOOKUP($A42,A:AL,31,FALSE)-50),"-",(VLOOKUP($A42,'SegEnds_NonXtal_BW#'!$A:$Z,21,FALSE)+VLOOKUP($A42,A:AL,31,FALSE)-50))</f>
        <v>282</v>
      </c>
      <c r="AE42" s="3">
        <v>308</v>
      </c>
      <c r="AF42" s="3">
        <f>IF(ISERROR((VLOOKUP($A42,'SegEnds_NonXtal_BW#'!$A:$Z,22,FALSE)+VLOOKUP($A42,A:AL,31,FALSE)-50)),"-",(VLOOKUP($A42,'SegEnds_NonXtal_BW#'!$A:$Z,22,FALSE)+VLOOKUP($A42,A:AL,31,FALSE)-50))</f>
        <v>319</v>
      </c>
      <c r="AG42" s="3">
        <f>IF(ISERROR(VLOOKUP($A42,'SegEnds_NonXtal_BW#'!$A:$Z,23,FALSE)+VLOOKUP($A42,A:AL,34,FALSE)-50),"-",(VLOOKUP($A42,'SegEnds_NonXtal_BW#'!$A:$Z,23,FALSE)+VLOOKUP($A42,A:AL,34,FALSE)-50))</f>
        <v>325</v>
      </c>
      <c r="AH42" s="3">
        <v>344</v>
      </c>
      <c r="AI42" s="3">
        <f>IF(ISERROR((VLOOKUP($A42,'SegEnds_NonXtal_BW#'!$A:$Z,24,FALSE)+VLOOKUP($A42,A:AL,34,FALSE)-50)),"-",(VLOOKUP($A42,'SegEnds_NonXtal_BW#'!$A:$Z,24,FALSE)+VLOOKUP($A42,A:AL,34,FALSE)-50))</f>
        <v>350</v>
      </c>
      <c r="AJ42" s="3">
        <f>IF(ISERROR(VLOOKUP($A42,'SegEnds_NonXtal_BW#'!$A:$Z,25,FALSE)+VLOOKUP($A42,A:AL,37,FALSE)-50),"-",(VLOOKUP($A42,'SegEnds_NonXtal_BW#'!$A:$Z,25,FALSE)+VLOOKUP($A42,A:AL,37,FALSE)-50))</f>
        <v>351</v>
      </c>
      <c r="AK42" s="3">
        <v>354</v>
      </c>
      <c r="AL42" s="3">
        <f>IF(ISERROR((VLOOKUP($A42,'SegEnds_NonXtal_BW#'!$A:$Z,26,FALSE)+VLOOKUP($A42,A:AL,37,FALSE)-50)),"-",(VLOOKUP($A42,'SegEnds_NonXtal_BW#'!$A:$Z,26,FALSE)+VLOOKUP($A42,A:AL,37,FALSE)-50))</f>
        <v>362</v>
      </c>
      <c r="AM42" s="28" t="str">
        <f>VLOOKUP(A42,Classification!A:B,2,FALSE)</f>
        <v>A</v>
      </c>
      <c r="AN42" s="28" t="b">
        <f t="shared" si="17"/>
        <v>1</v>
      </c>
      <c r="AO42" s="3" t="str">
        <f>IF(ISERROR(MATCH(A42,'SegEnds_Xtal_Prot#'!B:B, 0)), "NoXtal", "Xtal")</f>
        <v>NoXtal</v>
      </c>
      <c r="AP42" s="3">
        <f t="shared" si="2"/>
        <v>1</v>
      </c>
      <c r="AQ42" s="3">
        <f t="shared" si="3"/>
        <v>1</v>
      </c>
      <c r="AR42" s="3">
        <f t="shared" si="4"/>
        <v>1</v>
      </c>
      <c r="AS42" s="3">
        <f t="shared" si="5"/>
        <v>1</v>
      </c>
      <c r="AT42" s="3">
        <f t="shared" si="6"/>
        <v>1</v>
      </c>
      <c r="AU42" s="3">
        <f t="shared" si="7"/>
        <v>1</v>
      </c>
      <c r="AV42" s="3">
        <f t="shared" si="8"/>
        <v>11</v>
      </c>
      <c r="AW42" s="3">
        <f t="shared" si="9"/>
        <v>4</v>
      </c>
      <c r="AX42" s="3">
        <f t="shared" si="10"/>
        <v>63</v>
      </c>
      <c r="AY42" s="3">
        <f t="shared" si="11"/>
        <v>6</v>
      </c>
      <c r="AZ42" s="3">
        <f t="shared" si="12"/>
        <v>1</v>
      </c>
      <c r="BA42" s="3">
        <f>IF(ISERROR(LEN(VLOOKUP(A42,Seqs!A:E,2,FALSE))-AL42),"-",LEN(VLOOKUP(A42,Seqs!A:E,2,FALSE))-AL42)</f>
        <v>4</v>
      </c>
      <c r="BB42" s="16">
        <f t="shared" si="13"/>
        <v>28</v>
      </c>
      <c r="BC42" s="9">
        <f t="shared" si="14"/>
        <v>20</v>
      </c>
      <c r="BD42" s="3">
        <f t="shared" si="15"/>
        <v>28</v>
      </c>
      <c r="BE42" s="3">
        <f t="shared" si="16"/>
        <v>115</v>
      </c>
      <c r="BF42" s="3">
        <f>AH42-AE42</f>
        <v>36</v>
      </c>
    </row>
    <row r="43" spans="1:58" s="3" customFormat="1" x14ac:dyDescent="0.2">
      <c r="A43" s="3" t="s">
        <v>132</v>
      </c>
      <c r="B43" s="3" t="str">
        <f>LOWER(VLOOKUP(A43,Xtal_Templ!A:B,2,FALSE))</f>
        <v>5ht2c_human</v>
      </c>
      <c r="C43" s="3">
        <f>VLOOKUP($A43,'SegEnds_NonXtal_BW#'!$A:$Z,3,FALSE)+D43-50</f>
        <v>75</v>
      </c>
      <c r="D43" s="3">
        <v>92</v>
      </c>
      <c r="E43" s="3">
        <f>IF(ISERROR(VLOOKUP($A43,'SegEnds_NonXtal_BW#'!$A:$Z,4,FALSE)+VLOOKUP($A43,A:AL,4,FALSE)-50),"-",(VLOOKUP($A43,'SegEnds_NonXtal_BW#'!$A:$Z,4,FALSE)+VLOOKUP($A43,A:AL,4,FALSE)-50))</f>
        <v>102</v>
      </c>
      <c r="F43" s="3">
        <f t="shared" si="27"/>
        <v>103</v>
      </c>
      <c r="G43" s="3">
        <v>105</v>
      </c>
      <c r="H43" s="3">
        <f t="shared" si="28"/>
        <v>106</v>
      </c>
      <c r="I43" s="3">
        <f t="shared" si="28"/>
        <v>107</v>
      </c>
      <c r="J43" s="3">
        <v>120</v>
      </c>
      <c r="K43" s="3">
        <f>VLOOKUP($A43,'SegEnds_NonXtal_BW#'!$A:$Z,8,FALSE)+VLOOKUP($A43,A:AL,10,FALSE)-50</f>
        <v>138</v>
      </c>
      <c r="L43" s="3">
        <f t="shared" si="32"/>
        <v>140</v>
      </c>
      <c r="M43" s="3">
        <v>141</v>
      </c>
      <c r="N43" s="3">
        <f t="shared" si="30"/>
        <v>143</v>
      </c>
      <c r="O43" s="3">
        <f t="shared" si="29"/>
        <v>144</v>
      </c>
      <c r="P43" s="3">
        <v>173</v>
      </c>
      <c r="Q43" s="3">
        <f>VLOOKUP($A43,'SegEnds_NonXtal_BW#'!$A:$Z,12,FALSE)+VLOOKUP($A43,A:AL,16,FALSE)-50</f>
        <v>179</v>
      </c>
      <c r="R43" s="3">
        <f>IF(ISERROR(VLOOKUP($A43,'SegEnds_NonXtal_BW#'!$A:$Z,13,FALSE)+VLOOKUP($A43,A:AL,19,FALSE)-50),"-",VLOOKUP($A43,'SegEnds_NonXtal_BW#'!$A:$Z,13,FALSE)+VLOOKUP($A43,A:AL,19,FALSE)-50)</f>
        <v>180</v>
      </c>
      <c r="S43" s="3">
        <v>180</v>
      </c>
      <c r="T43" s="100">
        <f>IF(ISERROR(VLOOKUP($A43,'SegEnds_NonXtal_BW#'!$A:$Z,14,FALSE)+VLOOKUP($A43,A:AL,19,FALSE)-50),"-",(VLOOKUP($A43,'SegEnds_NonXtal_BW#'!$A:$Z,14,FALSE)+VLOOKUP($A43,A:AL,19,FALSE)-50))</f>
        <v>187</v>
      </c>
      <c r="U43" s="9">
        <f>IF(ISERROR(VLOOKUP($A43,'SegEnds_NonXtal_BW#'!$A:$Z,15,FALSE)+VLOOKUP($A43,A:AL,22,FALSE)-50),"-",VLOOKUP($A43,'SegEnds_NonXtal_BW#'!$A:$Z,15,FALSE)+VLOOKUP($A43,A:AL,22,FALSE)-50)</f>
        <v>188</v>
      </c>
      <c r="V43" s="3">
        <v>200</v>
      </c>
      <c r="W43" s="3">
        <f>IF(ISERROR(VLOOKUP($A43,'SegEnds_NonXtal_BW#'!$A:$Z,16,FALSE)+VLOOKUP($A43,A:AL,22,FALSE)-50),"-",(VLOOKUP($A43,'SegEnds_NonXtal_BW#'!$A:$Z,16,FALSE)+VLOOKUP($A43,A:AL,22,FALSE)-50))</f>
        <v>217</v>
      </c>
      <c r="X43" s="3">
        <f>IF(ISERROR(VLOOKUP($A43,'SegEnds_NonXtal_BW#'!$A:$Z,17,FALSE)+VLOOKUP($A43,A:AL,25,FALSE)-50),"-",(VLOOKUP($A43,'SegEnds_NonXtal_BW#'!$A:$Z,17,FALSE)+VLOOKUP($A43,A:AL,25,FALSE)-50))</f>
        <v>227</v>
      </c>
      <c r="Y43" s="3">
        <v>227</v>
      </c>
      <c r="Z43" s="3">
        <f t="shared" si="31"/>
        <v>229</v>
      </c>
      <c r="AA43" s="3">
        <f>IF(ISERROR(VLOOKUP($A43,'SegEnds_NonXtal_BW#'!$A:$Z,19,FALSE)+VLOOKUP($A43,A:AL,28,FALSE)-50),"-",(VLOOKUP($A43,'SegEnds_NonXtal_BW#'!$A:$Z,19,FALSE)+VLOOKUP($A43,A:AL,28,FALSE)-50))</f>
        <v>231</v>
      </c>
      <c r="AB43" s="3">
        <v>246</v>
      </c>
      <c r="AC43" s="3">
        <f>IF(ISERROR((VLOOKUP($A43,'SegEnds_NonXtal_BW#'!$A:$Z,20,FALSE)+VLOOKUP($A43,A:AL,28,FALSE)-50)),"-",(VLOOKUP($A43,'SegEnds_NonXtal_BW#'!$A:$Z,20,FALSE)+VLOOKUP($A43,A:AL,28,FALSE)-50))</f>
        <v>272</v>
      </c>
      <c r="AD43" s="3">
        <f>IF(ISERROR(VLOOKUP($A43,'SegEnds_NonXtal_BW#'!$A:$Z,21,FALSE)+VLOOKUP($A43,A:AL,31,FALSE)-50),"-",(VLOOKUP($A43,'SegEnds_NonXtal_BW#'!$A:$Z,21,FALSE)+VLOOKUP($A43,A:AL,31,FALSE)-50))</f>
        <v>312</v>
      </c>
      <c r="AE43" s="3">
        <v>338</v>
      </c>
      <c r="AF43" s="3">
        <f>IF(ISERROR((VLOOKUP($A43,'SegEnds_NonXtal_BW#'!$A:$Z,22,FALSE)+VLOOKUP($A43,A:AL,31,FALSE)-50)),"-",(VLOOKUP($A43,'SegEnds_NonXtal_BW#'!$A:$Z,22,FALSE)+VLOOKUP($A43,A:AL,31,FALSE)-50))</f>
        <v>349</v>
      </c>
      <c r="AG43" s="3">
        <f>IF(ISERROR(VLOOKUP($A43,'SegEnds_NonXtal_BW#'!$A:$Z,23,FALSE)+VLOOKUP($A43,A:AL,34,FALSE)-50),"-",(VLOOKUP($A43,'SegEnds_NonXtal_BW#'!$A:$Z,23,FALSE)+VLOOKUP($A43,A:AL,34,FALSE)-50))</f>
        <v>354</v>
      </c>
      <c r="AH43" s="3">
        <v>377</v>
      </c>
      <c r="AI43" s="3">
        <f>IF(ISERROR((VLOOKUP($A43,'SegEnds_NonXtal_BW#'!$A:$Z,24,FALSE)+VLOOKUP($A43,A:AL,34,FALSE)-50)),"-",(VLOOKUP($A43,'SegEnds_NonXtal_BW#'!$A:$Z,24,FALSE)+VLOOKUP($A43,A:AL,34,FALSE)-50))</f>
        <v>383</v>
      </c>
      <c r="AJ43" s="3">
        <f>IF(ISERROR(VLOOKUP($A43,'SegEnds_NonXtal_BW#'!$A:$Z,25,FALSE)+VLOOKUP($A43,A:AL,37,FALSE)-50),"-",(VLOOKUP($A43,'SegEnds_NonXtal_BW#'!$A:$Z,25,FALSE)+VLOOKUP($A43,A:AL,37,FALSE)-50))</f>
        <v>384</v>
      </c>
      <c r="AK43" s="3">
        <v>387</v>
      </c>
      <c r="AL43" s="3">
        <f>IF(ISERROR((VLOOKUP($A43,'SegEnds_NonXtal_BW#'!$A:$Z,26,FALSE)+VLOOKUP($A43,A:AL,37,FALSE)-50)),"-",(VLOOKUP($A43,'SegEnds_NonXtal_BW#'!$A:$Z,26,FALSE)+VLOOKUP($A43,A:AL,37,FALSE)-50))</f>
        <v>397</v>
      </c>
      <c r="AM43" s="28" t="str">
        <f>VLOOKUP(A43,Classification!A:B,2,FALSE)</f>
        <v>A</v>
      </c>
      <c r="AN43" s="28" t="b">
        <f t="shared" si="17"/>
        <v>1</v>
      </c>
      <c r="AO43" s="3" t="str">
        <f>IF(ISERROR(MATCH(A43,'SegEnds_Xtal_Prot#'!B:B, 0)), "NoXtal", "Xtal")</f>
        <v>NoXtal</v>
      </c>
      <c r="AP43" s="3">
        <f t="shared" si="2"/>
        <v>1</v>
      </c>
      <c r="AQ43" s="3">
        <f t="shared" si="3"/>
        <v>1</v>
      </c>
      <c r="AR43" s="3">
        <f t="shared" si="4"/>
        <v>2</v>
      </c>
      <c r="AS43" s="3">
        <f t="shared" si="5"/>
        <v>1</v>
      </c>
      <c r="AT43" s="3">
        <f t="shared" si="6"/>
        <v>1</v>
      </c>
      <c r="AU43" s="3">
        <f t="shared" si="7"/>
        <v>1</v>
      </c>
      <c r="AV43" s="3">
        <f t="shared" si="8"/>
        <v>10</v>
      </c>
      <c r="AW43" s="3">
        <f t="shared" si="9"/>
        <v>2</v>
      </c>
      <c r="AX43" s="3">
        <f t="shared" si="10"/>
        <v>40</v>
      </c>
      <c r="AY43" s="3">
        <f t="shared" si="11"/>
        <v>5</v>
      </c>
      <c r="AZ43" s="3">
        <f t="shared" si="12"/>
        <v>1</v>
      </c>
      <c r="BA43" s="3">
        <f>IF(ISERROR(LEN(VLOOKUP(A43,Seqs!A:E,2,FALSE))-AL43),"-",LEN(VLOOKUP(A43,Seqs!A:E,2,FALSE))-AL43)</f>
        <v>74</v>
      </c>
      <c r="BB43" s="16">
        <f t="shared" si="13"/>
        <v>28</v>
      </c>
      <c r="BC43" s="9">
        <f t="shared" si="14"/>
        <v>20</v>
      </c>
      <c r="BD43" s="3">
        <f t="shared" si="15"/>
        <v>28</v>
      </c>
      <c r="BE43" s="3">
        <f t="shared" si="16"/>
        <v>92</v>
      </c>
    </row>
    <row r="44" spans="1:58" s="3" customFormat="1" x14ac:dyDescent="0.2">
      <c r="A44" s="3" t="s">
        <v>35</v>
      </c>
      <c r="B44" s="3" t="str">
        <f>LOWER(VLOOKUP(A44,Xtal_Templ!A:B,2,FALSE))</f>
        <v>5ht2b_human</v>
      </c>
      <c r="C44" s="3">
        <f>VLOOKUP($A44,'SegEnds_NonXtal_BW#'!$A:$Z,3,FALSE)+D44-50</f>
        <v>53</v>
      </c>
      <c r="D44" s="3">
        <v>72</v>
      </c>
      <c r="E44" s="3">
        <f>IF(ISERROR(VLOOKUP($A44,'SegEnds_NonXtal_BW#'!$A:$Z,4,FALSE)+VLOOKUP($A44,A:AL,4,FALSE)-50),"-",(VLOOKUP($A44,'SegEnds_NonXtal_BW#'!$A:$Z,4,FALSE)+VLOOKUP($A44,A:AL,4,FALSE)-50))</f>
        <v>82</v>
      </c>
      <c r="F44" s="3">
        <f t="shared" si="27"/>
        <v>83</v>
      </c>
      <c r="G44" s="3">
        <v>85</v>
      </c>
      <c r="H44" s="3">
        <f t="shared" si="28"/>
        <v>86</v>
      </c>
      <c r="I44" s="3">
        <f t="shared" si="28"/>
        <v>87</v>
      </c>
      <c r="J44" s="3">
        <v>100</v>
      </c>
      <c r="K44" s="3">
        <f>VLOOKUP($A44,'SegEnds_NonXtal_BW#'!$A:$Z,8,FALSE)+VLOOKUP($A44,A:AL,10,FALSE)-50</f>
        <v>117</v>
      </c>
      <c r="L44" s="3">
        <f t="shared" si="32"/>
        <v>120</v>
      </c>
      <c r="M44" s="3">
        <v>121</v>
      </c>
      <c r="N44" s="3">
        <f t="shared" si="30"/>
        <v>123</v>
      </c>
      <c r="O44" s="3">
        <f t="shared" si="29"/>
        <v>124</v>
      </c>
      <c r="P44" s="3">
        <v>153</v>
      </c>
      <c r="Q44" s="3">
        <f>VLOOKUP($A44,'SegEnds_NonXtal_BW#'!$A:$Z,12,FALSE)+VLOOKUP($A44,A:AL,16,FALSE)-50</f>
        <v>159</v>
      </c>
      <c r="R44" s="3">
        <f>IF(ISERROR(VLOOKUP($A44,'SegEnds_NonXtal_BW#'!$A:$Z,13,FALSE)+VLOOKUP($A44,A:AL,19,FALSE)-50),"-",VLOOKUP($A44,'SegEnds_NonXtal_BW#'!$A:$Z,13,FALSE)+VLOOKUP($A44,A:AL,19,FALSE)-50)</f>
        <v>160</v>
      </c>
      <c r="S44" s="3">
        <v>160</v>
      </c>
      <c r="T44" s="100">
        <f>IF(ISERROR(VLOOKUP($A44,'SegEnds_NonXtal_BW#'!$A:$Z,14,FALSE)+VLOOKUP($A44,A:AL,19,FALSE)-50),"-",(VLOOKUP($A44,'SegEnds_NonXtal_BW#'!$A:$Z,14,FALSE)+VLOOKUP($A44,A:AL,19,FALSE)-50))</f>
        <v>167</v>
      </c>
      <c r="U44" s="9">
        <f>IF(ISERROR(VLOOKUP($A44,'SegEnds_NonXtal_BW#'!$A:$Z,15,FALSE)+VLOOKUP($A44,A:AL,22,FALSE)-50),"-",VLOOKUP($A44,'SegEnds_NonXtal_BW#'!$A:$Z,15,FALSE)+VLOOKUP($A44,A:AL,22,FALSE)-50)</f>
        <v>168</v>
      </c>
      <c r="V44" s="3">
        <v>180</v>
      </c>
      <c r="W44" s="3">
        <f>IF(ISERROR(VLOOKUP($A44,'SegEnds_NonXtal_BW#'!$A:$Z,16,FALSE)+VLOOKUP($A44,A:AL,22,FALSE)-50),"-",(VLOOKUP($A44,'SegEnds_NonXtal_BW#'!$A:$Z,16,FALSE)+VLOOKUP($A44,A:AL,22,FALSE)-50))</f>
        <v>194</v>
      </c>
      <c r="X44" s="3">
        <f>IF(ISERROR(VLOOKUP($A44,'SegEnds_NonXtal_BW#'!$A:$Z,17,FALSE)+VLOOKUP($A44,A:AL,25,FALSE)-50),"-",(VLOOKUP($A44,'SegEnds_NonXtal_BW#'!$A:$Z,17,FALSE)+VLOOKUP($A44,A:AL,25,FALSE)-50))</f>
        <v>207</v>
      </c>
      <c r="Y44" s="3">
        <v>207</v>
      </c>
      <c r="Z44" s="3">
        <f t="shared" si="31"/>
        <v>209</v>
      </c>
      <c r="AA44" s="3">
        <f>IF(ISERROR(VLOOKUP($A44,'SegEnds_NonXtal_BW#'!$A:$Z,19,FALSE)+VLOOKUP($A44,A:AL,28,FALSE)-50),"-",(VLOOKUP($A44,'SegEnds_NonXtal_BW#'!$A:$Z,19,FALSE)+VLOOKUP($A44,A:AL,28,FALSE)-50))</f>
        <v>214</v>
      </c>
      <c r="AB44" s="3">
        <v>229</v>
      </c>
      <c r="AC44" s="3">
        <f>IF(ISERROR((VLOOKUP($A44,'SegEnds_NonXtal_BW#'!$A:$Z,20,FALSE)+VLOOKUP($A44,A:AL,28,FALSE)-50)),"-",(VLOOKUP($A44,'SegEnds_NonXtal_BW#'!$A:$Z,20,FALSE)+VLOOKUP($A44,A:AL,28,FALSE)-50))</f>
        <v>255</v>
      </c>
      <c r="AD44" s="3">
        <f>IF(ISERROR(VLOOKUP($A44,'SegEnds_NonXtal_BW#'!$A:$Z,21,FALSE)+VLOOKUP($A44,A:AL,31,FALSE)-50),"-",(VLOOKUP($A44,'SegEnds_NonXtal_BW#'!$A:$Z,21,FALSE)+VLOOKUP($A44,A:AL,31,FALSE)-50))</f>
        <v>313</v>
      </c>
      <c r="AE44" s="3">
        <v>339</v>
      </c>
      <c r="AF44" s="3">
        <f>IF(ISERROR((VLOOKUP($A44,'SegEnds_NonXtal_BW#'!$A:$Z,22,FALSE)+VLOOKUP($A44,A:AL,31,FALSE)-50)),"-",(VLOOKUP($A44,'SegEnds_NonXtal_BW#'!$A:$Z,22,FALSE)+VLOOKUP($A44,A:AL,31,FALSE)-50))</f>
        <v>350</v>
      </c>
      <c r="AG44" s="3">
        <f>IF(ISERROR(VLOOKUP($A44,'SegEnds_NonXtal_BW#'!$A:$Z,23,FALSE)+VLOOKUP($A44,A:AL,34,FALSE)-50),"-",(VLOOKUP($A44,'SegEnds_NonXtal_BW#'!$A:$Z,23,FALSE)+VLOOKUP($A44,A:AL,34,FALSE)-50))</f>
        <v>354</v>
      </c>
      <c r="AH44" s="3">
        <v>377</v>
      </c>
      <c r="AI44" s="3">
        <f>IF(ISERROR((VLOOKUP($A44,'SegEnds_NonXtal_BW#'!$A:$Z,24,FALSE)+VLOOKUP($A44,A:AL,34,FALSE)-50)),"-",(VLOOKUP($A44,'SegEnds_NonXtal_BW#'!$A:$Z,24,FALSE)+VLOOKUP($A44,A:AL,34,FALSE)-50))</f>
        <v>383</v>
      </c>
      <c r="AJ44" s="3">
        <f>IF(ISERROR(VLOOKUP($A44,'SegEnds_NonXtal_BW#'!$A:$Z,25,FALSE)+VLOOKUP($A44,A:AL,37,FALSE)-50),"-",(VLOOKUP($A44,'SegEnds_NonXtal_BW#'!$A:$Z,25,FALSE)+VLOOKUP($A44,A:AL,37,FALSE)-50))</f>
        <v>384</v>
      </c>
      <c r="AK44" s="3">
        <v>387</v>
      </c>
      <c r="AL44" s="3">
        <f>IF(ISERROR((VLOOKUP($A44,'SegEnds_NonXtal_BW#'!$A:$Z,26,FALSE)+VLOOKUP($A44,A:AL,37,FALSE)-50)),"-",(VLOOKUP($A44,'SegEnds_NonXtal_BW#'!$A:$Z,26,FALSE)+VLOOKUP($A44,A:AL,37,FALSE)-50))</f>
        <v>395</v>
      </c>
      <c r="AM44" s="28" t="str">
        <f>VLOOKUP(A44,Classification!A:B,2,FALSE)</f>
        <v>A</v>
      </c>
      <c r="AN44" s="28" t="b">
        <f t="shared" si="17"/>
        <v>1</v>
      </c>
      <c r="AO44" s="3" t="str">
        <f>IF(ISERROR(MATCH(A44,'SegEnds_Xtal_Prot#'!B:B, 0)), "NoXtal", "Xtal")</f>
        <v>Xtal</v>
      </c>
      <c r="AP44" s="3">
        <f t="shared" si="2"/>
        <v>1</v>
      </c>
      <c r="AQ44" s="3">
        <f t="shared" si="3"/>
        <v>1</v>
      </c>
      <c r="AR44" s="3">
        <f t="shared" si="4"/>
        <v>3</v>
      </c>
      <c r="AS44" s="3">
        <f t="shared" si="5"/>
        <v>1</v>
      </c>
      <c r="AT44" s="3">
        <f t="shared" si="6"/>
        <v>1</v>
      </c>
      <c r="AU44" s="3">
        <f t="shared" si="7"/>
        <v>1</v>
      </c>
      <c r="AV44" s="3">
        <f t="shared" si="8"/>
        <v>13</v>
      </c>
      <c r="AW44" s="3">
        <f t="shared" si="9"/>
        <v>5</v>
      </c>
      <c r="AX44" s="3">
        <f t="shared" si="10"/>
        <v>58</v>
      </c>
      <c r="AY44" s="3">
        <f t="shared" si="11"/>
        <v>4</v>
      </c>
      <c r="AZ44" s="3">
        <f t="shared" si="12"/>
        <v>1</v>
      </c>
      <c r="BA44" s="3">
        <f>IF(ISERROR(LEN(VLOOKUP(A44,Seqs!A:E,2,FALSE))-AL44),"-",LEN(VLOOKUP(A44,Seqs!A:E,2,FALSE))-AL44)</f>
        <v>86</v>
      </c>
      <c r="BB44" s="16">
        <f t="shared" si="13"/>
        <v>28</v>
      </c>
      <c r="BC44" s="9">
        <f t="shared" si="14"/>
        <v>20</v>
      </c>
      <c r="BD44" s="3">
        <f t="shared" si="15"/>
        <v>28</v>
      </c>
      <c r="BE44" s="3">
        <f t="shared" si="16"/>
        <v>110</v>
      </c>
    </row>
    <row r="45" spans="1:58" s="3" customFormat="1" x14ac:dyDescent="0.2">
      <c r="A45" s="3" t="s">
        <v>133</v>
      </c>
      <c r="B45" s="3" t="str">
        <f>LOWER(VLOOKUP(A45,Xtal_Templ!A:B,2,FALSE))</f>
        <v>5ht2c_human</v>
      </c>
      <c r="C45" s="3">
        <f>VLOOKUP($A45,'SegEnds_NonXtal_BW#'!$A:$Z,3,FALSE)+D45-50</f>
        <v>54</v>
      </c>
      <c r="D45" s="3">
        <v>71</v>
      </c>
      <c r="E45" s="3">
        <f>IF(ISERROR(VLOOKUP($A45,'SegEnds_NonXtal_BW#'!$A:$Z,4,FALSE)+VLOOKUP($A45,A:AL,4,FALSE)-50),"-",(VLOOKUP($A45,'SegEnds_NonXtal_BW#'!$A:$Z,4,FALSE)+VLOOKUP($A45,A:AL,4,FALSE)-50))</f>
        <v>81</v>
      </c>
      <c r="F45" s="3">
        <f t="shared" si="27"/>
        <v>82</v>
      </c>
      <c r="G45" s="3">
        <v>84</v>
      </c>
      <c r="H45" s="3">
        <f t="shared" si="28"/>
        <v>85</v>
      </c>
      <c r="I45" s="3">
        <f t="shared" si="28"/>
        <v>86</v>
      </c>
      <c r="J45" s="3">
        <v>99</v>
      </c>
      <c r="K45" s="3">
        <f>VLOOKUP($A45,'SegEnds_NonXtal_BW#'!$A:$Z,8,FALSE)+VLOOKUP($A45,A:AL,10,FALSE)-50</f>
        <v>117</v>
      </c>
      <c r="L45" s="3">
        <f t="shared" si="32"/>
        <v>119</v>
      </c>
      <c r="M45" s="3">
        <v>120</v>
      </c>
      <c r="N45" s="3">
        <f t="shared" si="30"/>
        <v>122</v>
      </c>
      <c r="O45" s="3">
        <f t="shared" si="29"/>
        <v>123</v>
      </c>
      <c r="P45" s="3">
        <v>152</v>
      </c>
      <c r="Q45" s="3">
        <f>VLOOKUP($A45,'SegEnds_NonXtal_BW#'!$A:$Z,12,FALSE)+VLOOKUP($A45,A:AL,16,FALSE)-50</f>
        <v>158</v>
      </c>
      <c r="R45" s="3">
        <f>IF(ISERROR(VLOOKUP($A45,'SegEnds_NonXtal_BW#'!$A:$Z,13,FALSE)+VLOOKUP($A45,A:AL,19,FALSE)-50),"-",VLOOKUP($A45,'SegEnds_NonXtal_BW#'!$A:$Z,13,FALSE)+VLOOKUP($A45,A:AL,19,FALSE)-50)</f>
        <v>159</v>
      </c>
      <c r="S45" s="3">
        <v>159</v>
      </c>
      <c r="T45" s="100">
        <f>IF(ISERROR(VLOOKUP($A45,'SegEnds_NonXtal_BW#'!$A:$Z,14,FALSE)+VLOOKUP($A45,A:AL,19,FALSE)-50),"-",(VLOOKUP($A45,'SegEnds_NonXtal_BW#'!$A:$Z,14,FALSE)+VLOOKUP($A45,A:AL,19,FALSE)-50))</f>
        <v>166</v>
      </c>
      <c r="U45" s="9">
        <f>IF(ISERROR(VLOOKUP($A45,'SegEnds_NonXtal_BW#'!$A:$Z,15,FALSE)+VLOOKUP($A45,A:AL,22,FALSE)-50),"-",VLOOKUP($A45,'SegEnds_NonXtal_BW#'!$A:$Z,15,FALSE)+VLOOKUP($A45,A:AL,22,FALSE)-50)</f>
        <v>167</v>
      </c>
      <c r="V45" s="3">
        <v>179</v>
      </c>
      <c r="W45" s="3">
        <f>IF(ISERROR(VLOOKUP($A45,'SegEnds_NonXtal_BW#'!$A:$Z,16,FALSE)+VLOOKUP($A45,A:AL,22,FALSE)-50),"-",(VLOOKUP($A45,'SegEnds_NonXtal_BW#'!$A:$Z,16,FALSE)+VLOOKUP($A45,A:AL,22,FALSE)-50))</f>
        <v>196</v>
      </c>
      <c r="X45" s="3">
        <f>IF(ISERROR(VLOOKUP($A45,'SegEnds_NonXtal_BW#'!$A:$Z,17,FALSE)+VLOOKUP($A45,A:AL,25,FALSE)-50),"-",(VLOOKUP($A45,'SegEnds_NonXtal_BW#'!$A:$Z,17,FALSE)+VLOOKUP($A45,A:AL,25,FALSE)-50))</f>
        <v>207</v>
      </c>
      <c r="Y45" s="3">
        <v>207</v>
      </c>
      <c r="Z45" s="3">
        <f t="shared" si="31"/>
        <v>209</v>
      </c>
      <c r="AA45" s="3">
        <f>IF(ISERROR(VLOOKUP($A45,'SegEnds_NonXtal_BW#'!$A:$Z,19,FALSE)+VLOOKUP($A45,A:AL,28,FALSE)-50),"-",(VLOOKUP($A45,'SegEnds_NonXtal_BW#'!$A:$Z,19,FALSE)+VLOOKUP($A45,A:AL,28,FALSE)-50))</f>
        <v>211</v>
      </c>
      <c r="AB45" s="3">
        <v>226</v>
      </c>
      <c r="AC45" s="3">
        <f>IF(ISERROR((VLOOKUP($A45,'SegEnds_NonXtal_BW#'!$A:$Z,20,FALSE)+VLOOKUP($A45,A:AL,28,FALSE)-50)),"-",(VLOOKUP($A45,'SegEnds_NonXtal_BW#'!$A:$Z,20,FALSE)+VLOOKUP($A45,A:AL,28,FALSE)-50))</f>
        <v>250</v>
      </c>
      <c r="AD45" s="3">
        <f>IF(ISERROR(VLOOKUP($A45,'SegEnds_NonXtal_BW#'!$A:$Z,21,FALSE)+VLOOKUP($A45,A:AL,31,FALSE)-50),"-",(VLOOKUP($A45,'SegEnds_NonXtal_BW#'!$A:$Z,21,FALSE)+VLOOKUP($A45,A:AL,31,FALSE)-50))</f>
        <v>300</v>
      </c>
      <c r="AE45" s="3">
        <v>326</v>
      </c>
      <c r="AF45" s="3">
        <f>IF(ISERROR((VLOOKUP($A45,'SegEnds_NonXtal_BW#'!$A:$Z,22,FALSE)+VLOOKUP($A45,A:AL,31,FALSE)-50)),"-",(VLOOKUP($A45,'SegEnds_NonXtal_BW#'!$A:$Z,22,FALSE)+VLOOKUP($A45,A:AL,31,FALSE)-50))</f>
        <v>337</v>
      </c>
      <c r="AG45" s="3">
        <f>IF(ISERROR(VLOOKUP($A45,'SegEnds_NonXtal_BW#'!$A:$Z,23,FALSE)+VLOOKUP($A45,A:AL,34,FALSE)-50),"-",(VLOOKUP($A45,'SegEnds_NonXtal_BW#'!$A:$Z,23,FALSE)+VLOOKUP($A45,A:AL,34,FALSE)-50))</f>
        <v>342</v>
      </c>
      <c r="AH45" s="3">
        <v>365</v>
      </c>
      <c r="AI45" s="3">
        <f>IF(ISERROR((VLOOKUP($A45,'SegEnds_NonXtal_BW#'!$A:$Z,24,FALSE)+VLOOKUP($A45,A:AL,34,FALSE)-50)),"-",(VLOOKUP($A45,'SegEnds_NonXtal_BW#'!$A:$Z,24,FALSE)+VLOOKUP($A45,A:AL,34,FALSE)-50))</f>
        <v>371</v>
      </c>
      <c r="AJ45" s="3">
        <f>IF(ISERROR(VLOOKUP($A45,'SegEnds_NonXtal_BW#'!$A:$Z,25,FALSE)+VLOOKUP($A45,A:AL,37,FALSE)-50),"-",(VLOOKUP($A45,'SegEnds_NonXtal_BW#'!$A:$Z,25,FALSE)+VLOOKUP($A45,A:AL,37,FALSE)-50))</f>
        <v>372</v>
      </c>
      <c r="AK45" s="3">
        <v>375</v>
      </c>
      <c r="AL45" s="3">
        <f>IF(ISERROR((VLOOKUP($A45,'SegEnds_NonXtal_BW#'!$A:$Z,26,FALSE)+VLOOKUP($A45,A:AL,37,FALSE)-50)),"-",(VLOOKUP($A45,'SegEnds_NonXtal_BW#'!$A:$Z,26,FALSE)+VLOOKUP($A45,A:AL,37,FALSE)-50))</f>
        <v>385</v>
      </c>
      <c r="AM45" s="28" t="str">
        <f>VLOOKUP(A45,Classification!A:B,2,FALSE)</f>
        <v>A</v>
      </c>
      <c r="AN45" s="28" t="b">
        <f t="shared" si="17"/>
        <v>1</v>
      </c>
      <c r="AO45" s="3" t="str">
        <f>IF(ISERROR(MATCH(A45,'SegEnds_Xtal_Prot#'!B:B, 0)), "NoXtal", "Xtal")</f>
        <v>Xtal</v>
      </c>
      <c r="AP45" s="3">
        <f t="shared" si="2"/>
        <v>1</v>
      </c>
      <c r="AQ45" s="3">
        <f t="shared" si="3"/>
        <v>1</v>
      </c>
      <c r="AR45" s="3">
        <f t="shared" si="4"/>
        <v>2</v>
      </c>
      <c r="AS45" s="3">
        <f t="shared" si="5"/>
        <v>1</v>
      </c>
      <c r="AT45" s="3">
        <f t="shared" si="6"/>
        <v>1</v>
      </c>
      <c r="AU45" s="3">
        <f t="shared" si="7"/>
        <v>1</v>
      </c>
      <c r="AV45" s="3">
        <f t="shared" si="8"/>
        <v>11</v>
      </c>
      <c r="AW45" s="3">
        <f t="shared" si="9"/>
        <v>2</v>
      </c>
      <c r="AX45" s="3">
        <f t="shared" si="10"/>
        <v>50</v>
      </c>
      <c r="AY45" s="3">
        <f t="shared" si="11"/>
        <v>5</v>
      </c>
      <c r="AZ45" s="3">
        <f t="shared" si="12"/>
        <v>1</v>
      </c>
      <c r="BA45" s="3">
        <f>IF(ISERROR(LEN(VLOOKUP(A45,Seqs!A:E,2,FALSE))-AL45),"-",LEN(VLOOKUP(A45,Seqs!A:E,2,FALSE))-AL45)</f>
        <v>73</v>
      </c>
      <c r="BB45" s="16">
        <f t="shared" si="13"/>
        <v>28</v>
      </c>
      <c r="BC45" s="9">
        <f t="shared" si="14"/>
        <v>20</v>
      </c>
      <c r="BD45" s="3">
        <f t="shared" si="15"/>
        <v>28</v>
      </c>
      <c r="BE45" s="3">
        <f t="shared" si="16"/>
        <v>100</v>
      </c>
    </row>
    <row r="46" spans="1:58" s="3" customFormat="1" ht="17" customHeight="1" x14ac:dyDescent="0.2">
      <c r="A46" s="3" t="s">
        <v>134</v>
      </c>
      <c r="B46" s="3" t="str">
        <f>LOWER(VLOOKUP(A46,Xtal_Templ!A:B,2,FALSE))</f>
        <v>drd2_human</v>
      </c>
      <c r="C46" s="3">
        <f>VLOOKUP($A46,'SegEnds_NonXtal_BW#'!$A:$Z,3,FALSE)+D46-50</f>
        <v>16</v>
      </c>
      <c r="D46" s="3">
        <v>37</v>
      </c>
      <c r="E46" s="3">
        <f>IF(ISERROR(VLOOKUP($A46,'SegEnds_NonXtal_BW#'!$A:$Z,4,FALSE)+VLOOKUP($A46,A:AL,4,FALSE)-50),"-",(VLOOKUP($A46,'SegEnds_NonXtal_BW#'!$A:$Z,4,FALSE)+VLOOKUP($A46,A:AL,4,FALSE)-50))</f>
        <v>47</v>
      </c>
      <c r="F46" s="3">
        <f t="shared" si="27"/>
        <v>48</v>
      </c>
      <c r="G46" s="3">
        <v>50</v>
      </c>
      <c r="H46" s="3">
        <f t="shared" si="28"/>
        <v>51</v>
      </c>
      <c r="I46" s="3">
        <f t="shared" si="28"/>
        <v>52</v>
      </c>
      <c r="J46" s="3">
        <v>66</v>
      </c>
      <c r="K46" s="3">
        <f>VLOOKUP($A46,'SegEnds_NonXtal_BW#'!$A:$Z,8,FALSE)+VLOOKUP($A46,A:AL,10,FALSE)-50</f>
        <v>84</v>
      </c>
      <c r="L46" s="3">
        <f t="shared" si="32"/>
        <v>85</v>
      </c>
      <c r="M46" s="3">
        <v>86</v>
      </c>
      <c r="N46" s="3">
        <f t="shared" si="30"/>
        <v>88</v>
      </c>
      <c r="O46" s="3">
        <f t="shared" si="29"/>
        <v>89</v>
      </c>
      <c r="P46" s="3">
        <v>118</v>
      </c>
      <c r="Q46" s="3">
        <f>VLOOKUP($A46,'SegEnds_NonXtal_BW#'!$A:$Z,12,FALSE)+VLOOKUP($A46,A:AL,16,FALSE)-50</f>
        <v>124</v>
      </c>
      <c r="R46" s="3">
        <f>IF(ISERROR(VLOOKUP($A46,'SegEnds_NonXtal_BW#'!$A:$Z,13,FALSE)+VLOOKUP($A46,A:AL,19,FALSE)-50),"-",VLOOKUP($A46,'SegEnds_NonXtal_BW#'!$A:$Z,13,FALSE)+VLOOKUP($A46,A:AL,19,FALSE)-50)</f>
        <v>126</v>
      </c>
      <c r="S46" s="3">
        <v>126</v>
      </c>
      <c r="T46" s="100">
        <f>IF(ISERROR(VLOOKUP($A46,'SegEnds_NonXtal_BW#'!$A:$Z,14,FALSE)+VLOOKUP($A46,A:AL,19,FALSE)-50),"-",(VLOOKUP($A46,'SegEnds_NonXtal_BW#'!$A:$Z,14,FALSE)+VLOOKUP($A46,A:AL,19,FALSE)-50))</f>
        <v>133</v>
      </c>
      <c r="U46" s="9">
        <f>IF(ISERROR(VLOOKUP($A46,'SegEnds_NonXtal_BW#'!$A:$Z,15,FALSE)+VLOOKUP($A46,A:AL,22,FALSE)-50),"-",VLOOKUP($A46,'SegEnds_NonXtal_BW#'!$A:$Z,15,FALSE)+VLOOKUP($A46,A:AL,22,FALSE)-50)</f>
        <v>134</v>
      </c>
      <c r="V46" s="3">
        <v>146</v>
      </c>
      <c r="W46" s="3">
        <f>IF(ISERROR(VLOOKUP($A46,'SegEnds_NonXtal_BW#'!$A:$Z,16,FALSE)+VLOOKUP($A46,A:AL,22,FALSE)-50),"-",(VLOOKUP($A46,'SegEnds_NonXtal_BW#'!$A:$Z,16,FALSE)+VLOOKUP($A46,A:AL,22,FALSE)-50))</f>
        <v>158</v>
      </c>
      <c r="X46" s="3">
        <f>IF(ISERROR(VLOOKUP($A46,'SegEnds_NonXtal_BW#'!$A:$Z,17,FALSE)+VLOOKUP($A46,A:AL,25,FALSE)-50),"-",(VLOOKUP($A46,'SegEnds_NonXtal_BW#'!$A:$Z,17,FALSE)+VLOOKUP($A46,A:AL,25,FALSE)-50))</f>
        <v>184</v>
      </c>
      <c r="Y46" s="3">
        <v>184</v>
      </c>
      <c r="Z46" s="3">
        <f t="shared" si="31"/>
        <v>186</v>
      </c>
      <c r="AA46" s="3">
        <f>IF(ISERROR(VLOOKUP($A46,'SegEnds_NonXtal_BW#'!$A:$Z,19,FALSE)+VLOOKUP($A46,A:AL,28,FALSE)-50),"-",(VLOOKUP($A46,'SegEnds_NonXtal_BW#'!$A:$Z,19,FALSE)+VLOOKUP($A46,A:AL,28,FALSE)-50))</f>
        <v>189</v>
      </c>
      <c r="AB46" s="3">
        <v>204</v>
      </c>
      <c r="AC46" s="3">
        <f>IF(ISERROR((VLOOKUP($A46,'SegEnds_NonXtal_BW#'!$A:$Z,20,FALSE)+VLOOKUP($A46,A:AL,28,FALSE)-50)),"-",(VLOOKUP($A46,'SegEnds_NonXtal_BW#'!$A:$Z,20,FALSE)+VLOOKUP($A46,A:AL,28,FALSE)-50))</f>
        <v>230</v>
      </c>
      <c r="AD46" s="3">
        <f>IF(ISERROR(VLOOKUP($A46,'SegEnds_NonXtal_BW#'!$A:$Z,21,FALSE)+VLOOKUP($A46,A:AL,31,FALSE)-50),"-",(VLOOKUP($A46,'SegEnds_NonXtal_BW#'!$A:$Z,21,FALSE)+VLOOKUP($A46,A:AL,31,FALSE)-50))</f>
        <v>248</v>
      </c>
      <c r="AE46" s="3">
        <v>274</v>
      </c>
      <c r="AF46" s="3">
        <f>IF(ISERROR((VLOOKUP($A46,'SegEnds_NonXtal_BW#'!$A:$Z,22,FALSE)+VLOOKUP($A46,A:AL,31,FALSE)-50)),"-",(VLOOKUP($A46,'SegEnds_NonXtal_BW#'!$A:$Z,22,FALSE)+VLOOKUP($A46,A:AL,31,FALSE)-50))</f>
        <v>285</v>
      </c>
      <c r="AG46" s="3">
        <f>IF(ISERROR(VLOOKUP($A46,'SegEnds_NonXtal_BW#'!$A:$Z,23,FALSE)+VLOOKUP($A46,A:AL,34,FALSE)-50),"-",(VLOOKUP($A46,'SegEnds_NonXtal_BW#'!$A:$Z,23,FALSE)+VLOOKUP($A46,A:AL,34,FALSE)-50))</f>
        <v>290</v>
      </c>
      <c r="AH46" s="3">
        <v>309</v>
      </c>
      <c r="AI46" s="3">
        <v>315</v>
      </c>
      <c r="AJ46" s="3">
        <f>IF(ISERROR(VLOOKUP($A46,'SegEnds_NonXtal_BW#'!$A:$Z,25,FALSE)+VLOOKUP($A46,A:AL,37,FALSE)-50),"-",(VLOOKUP($A46,'SegEnds_NonXtal_BW#'!$A:$Z,25,FALSE)+VLOOKUP($A46,A:AL,37,FALSE)-50))</f>
        <v>316</v>
      </c>
      <c r="AK46" s="3">
        <v>319</v>
      </c>
      <c r="AL46" s="3">
        <f>IF(ISERROR((VLOOKUP($A46,'SegEnds_NonXtal_BW#'!$A:$Z,26,FALSE)+VLOOKUP($A46,A:AL,37,FALSE)-50)),"-",(VLOOKUP($A46,'SegEnds_NonXtal_BW#'!$A:$Z,26,FALSE)+VLOOKUP($A46,A:AL,37,FALSE)-50))</f>
        <v>328</v>
      </c>
      <c r="AM46" s="28" t="str">
        <f>VLOOKUP(A46,Classification!A:B,2,FALSE)</f>
        <v>A</v>
      </c>
      <c r="AN46" s="28" t="b">
        <f t="shared" si="17"/>
        <v>1</v>
      </c>
      <c r="AO46" s="3" t="str">
        <f>IF(ISERROR(MATCH(A46,'SegEnds_Xtal_Prot#'!B:B, 0)), "NoXtal", "Xtal")</f>
        <v>NoXtal</v>
      </c>
      <c r="AP46" s="3">
        <f t="shared" si="2"/>
        <v>1</v>
      </c>
      <c r="AQ46" s="3">
        <f t="shared" si="3"/>
        <v>1</v>
      </c>
      <c r="AR46" s="3">
        <f t="shared" si="4"/>
        <v>1</v>
      </c>
      <c r="AS46" s="3">
        <f t="shared" si="5"/>
        <v>1</v>
      </c>
      <c r="AT46" s="3">
        <f t="shared" si="6"/>
        <v>2</v>
      </c>
      <c r="AU46" s="3">
        <f t="shared" si="7"/>
        <v>1</v>
      </c>
      <c r="AV46" s="3">
        <f t="shared" si="8"/>
        <v>26</v>
      </c>
      <c r="AW46" s="3">
        <f t="shared" si="9"/>
        <v>3</v>
      </c>
      <c r="AX46" s="3">
        <f t="shared" si="10"/>
        <v>18</v>
      </c>
      <c r="AY46" s="3">
        <f t="shared" si="11"/>
        <v>5</v>
      </c>
      <c r="AZ46" s="3">
        <f t="shared" si="12"/>
        <v>1</v>
      </c>
      <c r="BA46" s="3">
        <f>IF(ISERROR(LEN(VLOOKUP(A46,Seqs!A:E,2,FALSE))-AL46),"-",LEN(VLOOKUP(A46,Seqs!A:E,2,FALSE))-AL46)</f>
        <v>60</v>
      </c>
      <c r="BB46" s="16">
        <f t="shared" si="13"/>
        <v>29</v>
      </c>
      <c r="BC46" s="9">
        <f t="shared" si="14"/>
        <v>20</v>
      </c>
      <c r="BD46" s="3">
        <f t="shared" si="15"/>
        <v>29</v>
      </c>
      <c r="BE46" s="3">
        <f t="shared" si="16"/>
        <v>70</v>
      </c>
    </row>
    <row r="47" spans="1:58" s="3" customFormat="1" x14ac:dyDescent="0.2">
      <c r="A47" s="3" t="s">
        <v>135</v>
      </c>
      <c r="B47" s="3" t="str">
        <f>LOWER(VLOOKUP(A47,Xtal_Templ!A:B,2,FALSE))</f>
        <v>5ht1b_human</v>
      </c>
      <c r="C47" s="3">
        <f>VLOOKUP($A47,'SegEnds_NonXtal_BW#'!$A:$Z,3,FALSE)+D47-50</f>
        <v>36</v>
      </c>
      <c r="D47" s="3">
        <v>58</v>
      </c>
      <c r="E47" s="3">
        <f>IF(ISERROR(VLOOKUP($A47,'SegEnds_NonXtal_BW#'!$A:$Z,4,FALSE)+VLOOKUP($A47,A:AL,4,FALSE)-50),"-",(VLOOKUP($A47,'SegEnds_NonXtal_BW#'!$A:$Z,4,FALSE)+VLOOKUP($A47,A:AL,4,FALSE)-50))</f>
        <v>68</v>
      </c>
      <c r="F47" s="3">
        <f t="shared" si="27"/>
        <v>69</v>
      </c>
      <c r="G47" s="3">
        <v>71</v>
      </c>
      <c r="H47" s="3">
        <f t="shared" si="28"/>
        <v>72</v>
      </c>
      <c r="I47" s="3">
        <f t="shared" si="28"/>
        <v>73</v>
      </c>
      <c r="J47" s="3">
        <v>86</v>
      </c>
      <c r="K47" s="3">
        <f>VLOOKUP($A47,'SegEnds_NonXtal_BW#'!$A:$Z,8,FALSE)+VLOOKUP($A47,A:AL,10,FALSE)-50</f>
        <v>104</v>
      </c>
      <c r="L47" s="3">
        <f t="shared" si="32"/>
        <v>106</v>
      </c>
      <c r="M47" s="3">
        <v>107</v>
      </c>
      <c r="N47" s="3">
        <f t="shared" si="30"/>
        <v>109</v>
      </c>
      <c r="O47" s="3">
        <f t="shared" si="29"/>
        <v>110</v>
      </c>
      <c r="P47" s="3">
        <v>139</v>
      </c>
      <c r="Q47" s="3">
        <f>VLOOKUP($A47,'SegEnds_NonXtal_BW#'!$A:$Z,12,FALSE)+VLOOKUP($A47,A:AL,16,FALSE)-50</f>
        <v>145</v>
      </c>
      <c r="R47" s="3">
        <f>IF(ISERROR(VLOOKUP($A47,'SegEnds_NonXtal_BW#'!$A:$Z,13,FALSE)+VLOOKUP($A47,A:AL,19,FALSE)-50),"-",VLOOKUP($A47,'SegEnds_NonXtal_BW#'!$A:$Z,13,FALSE)+VLOOKUP($A47,A:AL,19,FALSE)-50)</f>
        <v>146</v>
      </c>
      <c r="S47" s="3">
        <v>146</v>
      </c>
      <c r="T47" s="100">
        <f>IF(ISERROR(VLOOKUP($A47,'SegEnds_NonXtal_BW#'!$A:$Z,14,FALSE)+VLOOKUP($A47,A:AL,19,FALSE)-50),"-",(VLOOKUP($A47,'SegEnds_NonXtal_BW#'!$A:$Z,14,FALSE)+VLOOKUP($A47,A:AL,19,FALSE)-50))</f>
        <v>153</v>
      </c>
      <c r="U47" s="9">
        <f>IF(ISERROR(VLOOKUP($A47,'SegEnds_NonXtal_BW#'!$A:$Z,15,FALSE)+VLOOKUP($A47,A:AL,22,FALSE)-50),"-",VLOOKUP($A47,'SegEnds_NonXtal_BW#'!$A:$Z,15,FALSE)+VLOOKUP($A47,A:AL,22,FALSE)-50)</f>
        <v>154</v>
      </c>
      <c r="V47" s="3">
        <v>166</v>
      </c>
      <c r="W47" s="3">
        <f>IF(ISERROR(VLOOKUP($A47,'SegEnds_NonXtal_BW#'!$A:$Z,16,FALSE)+VLOOKUP($A47,A:AL,22,FALSE)-50),"-",(VLOOKUP($A47,'SegEnds_NonXtal_BW#'!$A:$Z,16,FALSE)+VLOOKUP($A47,A:AL,22,FALSE)-50))</f>
        <v>179</v>
      </c>
      <c r="X47" s="3">
        <f>IF(ISERROR(VLOOKUP($A47,'SegEnds_NonXtal_BW#'!$A:$Z,17,FALSE)+VLOOKUP($A47,A:AL,25,FALSE)-50),"-",(VLOOKUP($A47,'SegEnds_NonXtal_BW#'!$A:$Z,17,FALSE)+VLOOKUP($A47,A:AL,25,FALSE)-50))</f>
        <v>192</v>
      </c>
      <c r="Y47" s="3">
        <v>192</v>
      </c>
      <c r="Z47" s="3">
        <f t="shared" si="31"/>
        <v>194</v>
      </c>
      <c r="AA47" s="3">
        <f>IF(ISERROR(VLOOKUP($A47,'SegEnds_NonXtal_BW#'!$A:$Z,19,FALSE)+VLOOKUP($A47,A:AL,28,FALSE)-50),"-",(VLOOKUP($A47,'SegEnds_NonXtal_BW#'!$A:$Z,19,FALSE)+VLOOKUP($A47,A:AL,28,FALSE)-50))</f>
        <v>197</v>
      </c>
      <c r="AB47" s="3">
        <v>212</v>
      </c>
      <c r="AC47" s="3">
        <f>IF(ISERROR((VLOOKUP($A47,'SegEnds_NonXtal_BW#'!$A:$Z,20,FALSE)+VLOOKUP($A47,A:AL,28,FALSE)-50)),"-",(VLOOKUP($A47,'SegEnds_NonXtal_BW#'!$A:$Z,20,FALSE)+VLOOKUP($A47,A:AL,28,FALSE)-50))</f>
        <v>238</v>
      </c>
      <c r="AD47" s="3">
        <f>IF(ISERROR(VLOOKUP($A47,'SegEnds_NonXtal_BW#'!$A:$Z,21,FALSE)+VLOOKUP($A47,A:AL,31,FALSE)-50),"-",(VLOOKUP($A47,'SegEnds_NonXtal_BW#'!$A:$Z,21,FALSE)+VLOOKUP($A47,A:AL,31,FALSE)-50))</f>
        <v>274</v>
      </c>
      <c r="AE47" s="3">
        <v>300</v>
      </c>
      <c r="AF47" s="3">
        <f>IF(ISERROR((VLOOKUP($A47,'SegEnds_NonXtal_BW#'!$A:$Z,22,FALSE)+VLOOKUP($A47,A:AL,31,FALSE)-50)),"-",(VLOOKUP($A47,'SegEnds_NonXtal_BW#'!$A:$Z,22,FALSE)+VLOOKUP($A47,A:AL,31,FALSE)-50))</f>
        <v>311</v>
      </c>
      <c r="AG47" s="3">
        <f>IF(ISERROR(VLOOKUP($A47,'SegEnds_NonXtal_BW#'!$A:$Z,23,FALSE)+VLOOKUP($A47,A:AL,34,FALSE)-50),"-",(VLOOKUP($A47,'SegEnds_NonXtal_BW#'!$A:$Z,23,FALSE)+VLOOKUP($A47,A:AL,34,FALSE)-50))</f>
        <v>316</v>
      </c>
      <c r="AH47" s="3">
        <v>335</v>
      </c>
      <c r="AI47" s="3">
        <f>IF(ISERROR((VLOOKUP($A47,'SegEnds_NonXtal_BW#'!$A:$Z,24,FALSE)+VLOOKUP($A47,A:AL,34,FALSE)-50)),"-",(VLOOKUP($A47,'SegEnds_NonXtal_BW#'!$A:$Z,24,FALSE)+VLOOKUP($A47,A:AL,34,FALSE)-50))</f>
        <v>341</v>
      </c>
      <c r="AJ47" s="3">
        <f>IF(ISERROR(VLOOKUP($A47,'SegEnds_NonXtal_BW#'!$A:$Z,25,FALSE)+VLOOKUP($A47,A:AL,37,FALSE)-50),"-",(VLOOKUP($A47,'SegEnds_NonXtal_BW#'!$A:$Z,25,FALSE)+VLOOKUP($A47,A:AL,37,FALSE)-50))</f>
        <v>342</v>
      </c>
      <c r="AK47" s="3">
        <v>345</v>
      </c>
      <c r="AL47" s="3">
        <f>IF(ISERROR((VLOOKUP($A47,'SegEnds_NonXtal_BW#'!$A:$Z,26,FALSE)+VLOOKUP($A47,A:AL,37,FALSE)-50)),"-",(VLOOKUP($A47,'SegEnds_NonXtal_BW#'!$A:$Z,26,FALSE)+VLOOKUP($A47,A:AL,37,FALSE)-50))</f>
        <v>353</v>
      </c>
      <c r="AM47" s="28" t="str">
        <f>VLOOKUP(A47,Classification!A:B,2,FALSE)</f>
        <v>A</v>
      </c>
      <c r="AN47" s="28" t="b">
        <f t="shared" si="17"/>
        <v>1</v>
      </c>
      <c r="AO47" s="3" t="str">
        <f>IF(ISERROR(MATCH(A47,'SegEnds_Xtal_Prot#'!B:B, 0)), "NoXtal", "Xtal")</f>
        <v>NoXtal</v>
      </c>
      <c r="AP47" s="3">
        <f t="shared" si="2"/>
        <v>1</v>
      </c>
      <c r="AQ47" s="3">
        <f t="shared" si="3"/>
        <v>1</v>
      </c>
      <c r="AR47" s="3">
        <f t="shared" si="4"/>
        <v>2</v>
      </c>
      <c r="AS47" s="3">
        <f t="shared" si="5"/>
        <v>1</v>
      </c>
      <c r="AT47" s="3">
        <f t="shared" si="6"/>
        <v>1</v>
      </c>
      <c r="AU47" s="3">
        <f t="shared" si="7"/>
        <v>1</v>
      </c>
      <c r="AV47" s="3">
        <f t="shared" si="8"/>
        <v>13</v>
      </c>
      <c r="AW47" s="3">
        <f t="shared" si="9"/>
        <v>3</v>
      </c>
      <c r="AX47" s="3">
        <f t="shared" si="10"/>
        <v>36</v>
      </c>
      <c r="AY47" s="3">
        <f t="shared" si="11"/>
        <v>5</v>
      </c>
      <c r="AZ47" s="3">
        <f t="shared" si="12"/>
        <v>1</v>
      </c>
      <c r="BA47" s="3">
        <f>IF(ISERROR(LEN(VLOOKUP(A47,Seqs!A:E,2,FALSE))-AL47),"-",LEN(VLOOKUP(A47,Seqs!A:E,2,FALSE))-AL47)</f>
        <v>4</v>
      </c>
      <c r="BB47" s="16">
        <f t="shared" si="13"/>
        <v>28</v>
      </c>
      <c r="BC47" s="9">
        <f t="shared" si="14"/>
        <v>20</v>
      </c>
      <c r="BD47" s="3">
        <f t="shared" si="15"/>
        <v>28</v>
      </c>
      <c r="BE47" s="3">
        <f t="shared" si="16"/>
        <v>88</v>
      </c>
      <c r="BF47" s="3">
        <f>AH47-AE47</f>
        <v>35</v>
      </c>
    </row>
    <row r="48" spans="1:58" s="3" customFormat="1" x14ac:dyDescent="0.2">
      <c r="A48" s="3" t="s">
        <v>136</v>
      </c>
      <c r="B48" s="3" t="str">
        <f>LOWER(VLOOKUP(A48,Xtal_Templ!A:B,2,FALSE))</f>
        <v>5ht2c_human</v>
      </c>
      <c r="C48" s="3">
        <f>VLOOKUP($A48,'SegEnds_NonXtal_BW#'!$A:$Z,3,FALSE)+D48-50</f>
        <v>27</v>
      </c>
      <c r="D48" s="3">
        <v>44</v>
      </c>
      <c r="E48" s="3">
        <f>IF(ISERROR(VLOOKUP($A48,'SegEnds_NonXtal_BW#'!$A:$Z,4,FALSE)+VLOOKUP($A48,A:AL,4,FALSE)-50),"-",(VLOOKUP($A48,'SegEnds_NonXtal_BW#'!$A:$Z,4,FALSE)+VLOOKUP($A48,A:AL,4,FALSE)-50))</f>
        <v>54</v>
      </c>
      <c r="F48" s="3">
        <f t="shared" si="27"/>
        <v>55</v>
      </c>
      <c r="G48" s="3">
        <v>57</v>
      </c>
      <c r="H48" s="3">
        <f t="shared" si="28"/>
        <v>58</v>
      </c>
      <c r="I48" s="3">
        <f t="shared" si="28"/>
        <v>59</v>
      </c>
      <c r="J48" s="3">
        <v>72</v>
      </c>
      <c r="K48" s="3">
        <f>VLOOKUP($A48,'SegEnds_NonXtal_BW#'!$A:$Z,8,FALSE)+VLOOKUP($A48,A:AL,10,FALSE)-50</f>
        <v>90</v>
      </c>
      <c r="L48" s="3">
        <f t="shared" si="32"/>
        <v>91</v>
      </c>
      <c r="M48" s="3">
        <v>92</v>
      </c>
      <c r="N48" s="3">
        <f t="shared" si="30"/>
        <v>94</v>
      </c>
      <c r="O48" s="3">
        <f t="shared" si="29"/>
        <v>95</v>
      </c>
      <c r="P48" s="3">
        <v>124</v>
      </c>
      <c r="Q48" s="3">
        <f>VLOOKUP($A48,'SegEnds_NonXtal_BW#'!$A:$Z,12,FALSE)+VLOOKUP($A48,A:AL,16,FALSE)-50</f>
        <v>130</v>
      </c>
      <c r="R48" s="3">
        <f>IF(ISERROR(VLOOKUP($A48,'SegEnds_NonXtal_BW#'!$A:$Z,13,FALSE)+VLOOKUP($A48,A:AL,19,FALSE)-50),"-",VLOOKUP($A48,'SegEnds_NonXtal_BW#'!$A:$Z,13,FALSE)+VLOOKUP($A48,A:AL,19,FALSE)-50)</f>
        <v>131</v>
      </c>
      <c r="S48" s="3">
        <v>131</v>
      </c>
      <c r="T48" s="100">
        <f>IF(ISERROR(VLOOKUP($A48,'SegEnds_NonXtal_BW#'!$A:$Z,14,FALSE)+VLOOKUP($A48,A:AL,19,FALSE)-50),"-",(VLOOKUP($A48,'SegEnds_NonXtal_BW#'!$A:$Z,14,FALSE)+VLOOKUP($A48,A:AL,19,FALSE)-50))</f>
        <v>138</v>
      </c>
      <c r="U48" s="9">
        <f>IF(ISERROR(VLOOKUP($A48,'SegEnds_NonXtal_BW#'!$A:$Z,15,FALSE)+VLOOKUP($A48,A:AL,22,FALSE)-50),"-",VLOOKUP($A48,'SegEnds_NonXtal_BW#'!$A:$Z,15,FALSE)+VLOOKUP($A48,A:AL,22,FALSE)-50)</f>
        <v>139</v>
      </c>
      <c r="V48" s="3">
        <v>151</v>
      </c>
      <c r="W48" s="3">
        <f>IF(ISERROR(VLOOKUP($A48,'SegEnds_NonXtal_BW#'!$A:$Z,16,FALSE)+VLOOKUP($A48,A:AL,22,FALSE)-50),"-",(VLOOKUP($A48,'SegEnds_NonXtal_BW#'!$A:$Z,16,FALSE)+VLOOKUP($A48,A:AL,22,FALSE)-50))</f>
        <v>168</v>
      </c>
      <c r="X48" s="3">
        <f>IF(ISERROR(VLOOKUP($A48,'SegEnds_NonXtal_BW#'!$A:$Z,17,FALSE)+VLOOKUP($A48,A:AL,25,FALSE)-50),"-",(VLOOKUP($A48,'SegEnds_NonXtal_BW#'!$A:$Z,17,FALSE)+VLOOKUP($A48,A:AL,25,FALSE)-50))</f>
        <v>180</v>
      </c>
      <c r="Y48" s="3">
        <v>180</v>
      </c>
      <c r="Z48" s="3">
        <f t="shared" si="31"/>
        <v>182</v>
      </c>
      <c r="AA48" s="3">
        <f>IF(ISERROR(VLOOKUP($A48,'SegEnds_NonXtal_BW#'!$A:$Z,19,FALSE)+VLOOKUP($A48,A:AL,28,FALSE)-50),"-",(VLOOKUP($A48,'SegEnds_NonXtal_BW#'!$A:$Z,19,FALSE)+VLOOKUP($A48,A:AL,28,FALSE)-50))</f>
        <v>185</v>
      </c>
      <c r="AB48" s="3">
        <v>200</v>
      </c>
      <c r="AC48" s="3">
        <f>IF(ISERROR((VLOOKUP($A48,'SegEnds_NonXtal_BW#'!$A:$Z,20,FALSE)+VLOOKUP($A48,A:AL,28,FALSE)-50)),"-",(VLOOKUP($A48,'SegEnds_NonXtal_BW#'!$A:$Z,20,FALSE)+VLOOKUP($A48,A:AL,28,FALSE)-50))</f>
        <v>226</v>
      </c>
      <c r="AD48" s="3">
        <f>IF(ISERROR(VLOOKUP($A48,'SegEnds_NonXtal_BW#'!$A:$Z,21,FALSE)+VLOOKUP($A48,A:AL,31,FALSE)-50),"-",(VLOOKUP($A48,'SegEnds_NonXtal_BW#'!$A:$Z,21,FALSE)+VLOOKUP($A48,A:AL,31,FALSE)-50))</f>
        <v>257</v>
      </c>
      <c r="AE48" s="3">
        <v>283</v>
      </c>
      <c r="AF48" s="3">
        <f>IF(ISERROR((VLOOKUP($A48,'SegEnds_NonXtal_BW#'!$A:$Z,22,FALSE)+VLOOKUP($A48,A:AL,31,FALSE)-50)),"-",(VLOOKUP($A48,'SegEnds_NonXtal_BW#'!$A:$Z,22,FALSE)+VLOOKUP($A48,A:AL,31,FALSE)-50))</f>
        <v>294</v>
      </c>
      <c r="AG48" s="3">
        <f>IF(ISERROR(VLOOKUP($A48,'SegEnds_NonXtal_BW#'!$A:$Z,23,FALSE)+VLOOKUP($A48,A:AL,34,FALSE)-50),"-",(VLOOKUP($A48,'SegEnds_NonXtal_BW#'!$A:$Z,23,FALSE)+VLOOKUP($A48,A:AL,34,FALSE)-50))</f>
        <v>299</v>
      </c>
      <c r="AH48" s="3">
        <v>317</v>
      </c>
      <c r="AI48" s="3">
        <f>IF(ISERROR((VLOOKUP($A48,'SegEnds_NonXtal_BW#'!$A:$Z,24,FALSE)+VLOOKUP($A48,A:AL,34,FALSE)-50)),"-",(VLOOKUP($A48,'SegEnds_NonXtal_BW#'!$A:$Z,24,FALSE)+VLOOKUP($A48,A:AL,34,FALSE)-50))</f>
        <v>323</v>
      </c>
      <c r="AJ48" s="3">
        <f>IF(ISERROR(VLOOKUP($A48,'SegEnds_NonXtal_BW#'!$A:$Z,25,FALSE)+VLOOKUP($A48,A:AL,37,FALSE)-50),"-",(VLOOKUP($A48,'SegEnds_NonXtal_BW#'!$A:$Z,25,FALSE)+VLOOKUP($A48,A:AL,37,FALSE)-50))</f>
        <v>324</v>
      </c>
      <c r="AK48" s="3">
        <v>327</v>
      </c>
      <c r="AL48" s="3">
        <f>IF(ISERROR((VLOOKUP($A48,'SegEnds_NonXtal_BW#'!$A:$Z,26,FALSE)+VLOOKUP($A48,A:AL,37,FALSE)-50)),"-",(VLOOKUP($A48,'SegEnds_NonXtal_BW#'!$A:$Z,26,FALSE)+VLOOKUP($A48,A:AL,37,FALSE)-50))</f>
        <v>337</v>
      </c>
      <c r="AM48" s="28" t="str">
        <f>VLOOKUP(A48,Classification!A:B,2,FALSE)</f>
        <v>A</v>
      </c>
      <c r="AN48" s="28" t="b">
        <f t="shared" si="17"/>
        <v>1</v>
      </c>
      <c r="AO48" s="3" t="str">
        <f>IF(ISERROR(MATCH(A48,'SegEnds_Xtal_Prot#'!B:B, 0)), "NoXtal", "Xtal")</f>
        <v>NoXtal</v>
      </c>
      <c r="AP48" s="3">
        <f t="shared" si="2"/>
        <v>1</v>
      </c>
      <c r="AQ48" s="3">
        <f t="shared" si="3"/>
        <v>1</v>
      </c>
      <c r="AR48" s="3">
        <f t="shared" si="4"/>
        <v>1</v>
      </c>
      <c r="AS48" s="3">
        <f t="shared" si="5"/>
        <v>1</v>
      </c>
      <c r="AT48" s="3">
        <f t="shared" si="6"/>
        <v>1</v>
      </c>
      <c r="AU48" s="3">
        <f t="shared" si="7"/>
        <v>1</v>
      </c>
      <c r="AV48" s="3">
        <f t="shared" si="8"/>
        <v>12</v>
      </c>
      <c r="AW48" s="3">
        <f t="shared" si="9"/>
        <v>3</v>
      </c>
      <c r="AX48" s="3">
        <f t="shared" si="10"/>
        <v>31</v>
      </c>
      <c r="AY48" s="3">
        <f t="shared" si="11"/>
        <v>5</v>
      </c>
      <c r="AZ48" s="3">
        <f t="shared" si="12"/>
        <v>1</v>
      </c>
      <c r="BA48" s="3">
        <f>IF(ISERROR(LEN(VLOOKUP(A48,Seqs!A:E,2,FALSE))-AL48),"-",LEN(VLOOKUP(A48,Seqs!A:E,2,FALSE))-AL48)</f>
        <v>103</v>
      </c>
      <c r="BB48" s="16">
        <f t="shared" si="13"/>
        <v>28</v>
      </c>
      <c r="BC48" s="9">
        <f t="shared" si="14"/>
        <v>20</v>
      </c>
      <c r="BD48" s="3">
        <f t="shared" si="15"/>
        <v>28</v>
      </c>
      <c r="BE48" s="3">
        <f t="shared" si="16"/>
        <v>83</v>
      </c>
    </row>
    <row r="49" spans="1:58" s="3" customFormat="1" x14ac:dyDescent="0.2">
      <c r="A49" s="3" t="s">
        <v>137</v>
      </c>
      <c r="B49" s="3" t="str">
        <f>LOWER(VLOOKUP(A49,Xtal_Templ!A:B,2,FALSE))</f>
        <v>5ht1b_human</v>
      </c>
      <c r="C49" s="3">
        <f>VLOOKUP($A49,'SegEnds_NonXtal_BW#'!$A:$Z,3,FALSE)+D49-50</f>
        <v>77</v>
      </c>
      <c r="D49" s="3">
        <v>99</v>
      </c>
      <c r="E49" s="3">
        <f>IF(ISERROR(VLOOKUP($A49,'SegEnds_NonXtal_BW#'!$A:$Z,4,FALSE)+VLOOKUP($A49,A:AL,4,FALSE)-50),"-",(VLOOKUP($A49,'SegEnds_NonXtal_BW#'!$A:$Z,4,FALSE)+VLOOKUP($A49,A:AL,4,FALSE)-50))</f>
        <v>109</v>
      </c>
      <c r="F49" s="3">
        <f t="shared" si="27"/>
        <v>110</v>
      </c>
      <c r="G49" s="3">
        <v>112</v>
      </c>
      <c r="H49" s="3">
        <f t="shared" ref="H49:I68" si="33">G49+1</f>
        <v>113</v>
      </c>
      <c r="I49" s="3">
        <f t="shared" si="33"/>
        <v>114</v>
      </c>
      <c r="J49" s="3">
        <v>127</v>
      </c>
      <c r="K49" s="3">
        <f>VLOOKUP($A49,'SegEnds_NonXtal_BW#'!$A:$Z,8,FALSE)+VLOOKUP($A49,A:AL,10,FALSE)-50</f>
        <v>145</v>
      </c>
      <c r="L49" s="3">
        <f t="shared" si="32"/>
        <v>147</v>
      </c>
      <c r="M49" s="3">
        <v>148</v>
      </c>
      <c r="N49" s="3">
        <f t="shared" si="30"/>
        <v>150</v>
      </c>
      <c r="O49" s="3">
        <f t="shared" si="29"/>
        <v>151</v>
      </c>
      <c r="P49" s="3">
        <v>180</v>
      </c>
      <c r="Q49" s="3">
        <f>VLOOKUP($A49,'SegEnds_NonXtal_BW#'!$A:$Z,12,FALSE)+VLOOKUP($A49,A:AL,16,FALSE)-50</f>
        <v>186</v>
      </c>
      <c r="R49" s="3">
        <f>IF(ISERROR(VLOOKUP($A49,'SegEnds_NonXtal_BW#'!$A:$Z,13,FALSE)+VLOOKUP($A49,A:AL,19,FALSE)-50),"-",VLOOKUP($A49,'SegEnds_NonXtal_BW#'!$A:$Z,13,FALSE)+VLOOKUP($A49,A:AL,19,FALSE)-50)</f>
        <v>187</v>
      </c>
      <c r="S49" s="3">
        <v>187</v>
      </c>
      <c r="T49" s="100">
        <f>IF(ISERROR(VLOOKUP($A49,'SegEnds_NonXtal_BW#'!$A:$Z,14,FALSE)+VLOOKUP($A49,A:AL,19,FALSE)-50),"-",(VLOOKUP($A49,'SegEnds_NonXtal_BW#'!$A:$Z,14,FALSE)+VLOOKUP($A49,A:AL,19,FALSE)-50))</f>
        <v>194</v>
      </c>
      <c r="U49" s="9">
        <f>IF(ISERROR(VLOOKUP($A49,'SegEnds_NonXtal_BW#'!$A:$Z,15,FALSE)+VLOOKUP($A49,A:AL,22,FALSE)-50),"-",VLOOKUP($A49,'SegEnds_NonXtal_BW#'!$A:$Z,15,FALSE)+VLOOKUP($A49,A:AL,22,FALSE)-50)</f>
        <v>195</v>
      </c>
      <c r="V49" s="3">
        <v>207</v>
      </c>
      <c r="W49" s="3">
        <f>IF(ISERROR(VLOOKUP($A49,'SegEnds_NonXtal_BW#'!$A:$Z,16,FALSE)+VLOOKUP($A49,A:AL,22,FALSE)-50),"-",(VLOOKUP($A49,'SegEnds_NonXtal_BW#'!$A:$Z,16,FALSE)+VLOOKUP($A49,A:AL,22,FALSE)-50))</f>
        <v>220</v>
      </c>
      <c r="X49" s="3">
        <f>IF(ISERROR(VLOOKUP($A49,'SegEnds_NonXtal_BW#'!$A:$Z,17,FALSE)+VLOOKUP($A49,A:AL,25,FALSE)-50),"-",(VLOOKUP($A49,'SegEnds_NonXtal_BW#'!$A:$Z,17,FALSE)+VLOOKUP($A49,A:AL,25,FALSE)-50))</f>
        <v>231</v>
      </c>
      <c r="Y49" s="3">
        <v>231</v>
      </c>
      <c r="Z49" s="3">
        <f t="shared" si="31"/>
        <v>233</v>
      </c>
      <c r="AA49" s="3">
        <f>IF(ISERROR(VLOOKUP($A49,'SegEnds_NonXtal_BW#'!$A:$Z,19,FALSE)+VLOOKUP($A49,A:AL,28,FALSE)-50),"-",(VLOOKUP($A49,'SegEnds_NonXtal_BW#'!$A:$Z,19,FALSE)+VLOOKUP($A49,A:AL,28,FALSE)-50))</f>
        <v>236</v>
      </c>
      <c r="AB49" s="3">
        <v>251</v>
      </c>
      <c r="AC49" s="3">
        <f>IF(ISERROR((VLOOKUP($A49,'SegEnds_NonXtal_BW#'!$A:$Z,20,FALSE)+VLOOKUP($A49,A:AL,28,FALSE)-50)),"-",(VLOOKUP($A49,'SegEnds_NonXtal_BW#'!$A:$Z,20,FALSE)+VLOOKUP($A49,A:AL,28,FALSE)-50))</f>
        <v>277</v>
      </c>
      <c r="AD49" s="3">
        <f>IF(ISERROR(VLOOKUP($A49,'SegEnds_NonXtal_BW#'!$A:$Z,21,FALSE)+VLOOKUP($A49,A:AL,31,FALSE)-50),"-",(VLOOKUP($A49,'SegEnds_NonXtal_BW#'!$A:$Z,21,FALSE)+VLOOKUP($A49,A:AL,31,FALSE)-50))</f>
        <v>316</v>
      </c>
      <c r="AE49" s="3">
        <v>342</v>
      </c>
      <c r="AF49" s="3">
        <f>IF(ISERROR((VLOOKUP($A49,'SegEnds_NonXtal_BW#'!$A:$Z,22,FALSE)+VLOOKUP($A49,A:AL,31,FALSE)-50)),"-",(VLOOKUP($A49,'SegEnds_NonXtal_BW#'!$A:$Z,22,FALSE)+VLOOKUP($A49,A:AL,31,FALSE)-50))</f>
        <v>353</v>
      </c>
      <c r="AG49" s="3">
        <f>IF(ISERROR(VLOOKUP($A49,'SegEnds_NonXtal_BW#'!$A:$Z,23,FALSE)+VLOOKUP($A49,A:AL,34,FALSE)-50),"-",(VLOOKUP($A49,'SegEnds_NonXtal_BW#'!$A:$Z,23,FALSE)+VLOOKUP($A49,A:AL,34,FALSE)-50))</f>
        <v>358</v>
      </c>
      <c r="AH49" s="3">
        <v>381</v>
      </c>
      <c r="AI49" s="3">
        <f>IF(ISERROR((VLOOKUP($A49,'SegEnds_NonXtal_BW#'!$A:$Z,24,FALSE)+VLOOKUP($A49,A:AL,34,FALSE)-50)),"-",(VLOOKUP($A49,'SegEnds_NonXtal_BW#'!$A:$Z,24,FALSE)+VLOOKUP($A49,A:AL,34,FALSE)-50))</f>
        <v>387</v>
      </c>
      <c r="AJ49" s="3">
        <f>IF(ISERROR(VLOOKUP($A49,'SegEnds_NonXtal_BW#'!$A:$Z,25,FALSE)+VLOOKUP($A49,A:AL,37,FALSE)-50),"-",(VLOOKUP($A49,'SegEnds_NonXtal_BW#'!$A:$Z,25,FALSE)+VLOOKUP($A49,A:AL,37,FALSE)-50))</f>
        <v>388</v>
      </c>
      <c r="AK49" s="3">
        <v>391</v>
      </c>
      <c r="AL49" s="3">
        <f>IF(ISERROR((VLOOKUP($A49,'SegEnds_NonXtal_BW#'!$A:$Z,26,FALSE)+VLOOKUP($A49,A:AL,37,FALSE)-50)),"-",(VLOOKUP($A49,'SegEnds_NonXtal_BW#'!$A:$Z,26,FALSE)+VLOOKUP($A49,A:AL,37,FALSE)-50))</f>
        <v>399</v>
      </c>
      <c r="AM49" s="28" t="str">
        <f>VLOOKUP(A49,Classification!A:B,2,FALSE)</f>
        <v>A</v>
      </c>
      <c r="AN49" s="28" t="b">
        <f t="shared" si="17"/>
        <v>1</v>
      </c>
      <c r="AO49" s="3" t="str">
        <f>IF(ISERROR(MATCH(A49,'SegEnds_Xtal_Prot#'!B:B, 0)), "NoXtal", "Xtal")</f>
        <v>NoXtal</v>
      </c>
      <c r="AP49" s="3">
        <f t="shared" si="2"/>
        <v>1</v>
      </c>
      <c r="AQ49" s="3">
        <f t="shared" si="3"/>
        <v>1</v>
      </c>
      <c r="AR49" s="3">
        <f t="shared" si="4"/>
        <v>2</v>
      </c>
      <c r="AS49" s="3">
        <f t="shared" si="5"/>
        <v>1</v>
      </c>
      <c r="AT49" s="3">
        <f t="shared" si="6"/>
        <v>1</v>
      </c>
      <c r="AU49" s="3">
        <f t="shared" si="7"/>
        <v>1</v>
      </c>
      <c r="AV49" s="3">
        <f t="shared" si="8"/>
        <v>11</v>
      </c>
      <c r="AW49" s="3">
        <f t="shared" si="9"/>
        <v>3</v>
      </c>
      <c r="AX49" s="3">
        <f t="shared" si="10"/>
        <v>39</v>
      </c>
      <c r="AY49" s="3">
        <f t="shared" si="11"/>
        <v>5</v>
      </c>
      <c r="AZ49" s="3">
        <f t="shared" si="12"/>
        <v>1</v>
      </c>
      <c r="BA49" s="3">
        <f>IF(ISERROR(LEN(VLOOKUP(A49,Seqs!A:E,2,FALSE))-AL49),"-",LEN(VLOOKUP(A49,Seqs!A:E,2,FALSE))-AL49)</f>
        <v>80</v>
      </c>
      <c r="BB49" s="16">
        <f t="shared" si="13"/>
        <v>28</v>
      </c>
      <c r="BC49" s="9">
        <f t="shared" si="14"/>
        <v>20</v>
      </c>
      <c r="BD49" s="3">
        <f t="shared" si="15"/>
        <v>28</v>
      </c>
      <c r="BE49" s="3">
        <f t="shared" si="16"/>
        <v>91</v>
      </c>
    </row>
    <row r="50" spans="1:58" s="3" customFormat="1" x14ac:dyDescent="0.2">
      <c r="A50" s="3" t="s">
        <v>138</v>
      </c>
      <c r="B50" s="3" t="str">
        <f>LOWER(VLOOKUP(A50,Xtal_Templ!A:B,2,FALSE))</f>
        <v>aa1r_human</v>
      </c>
      <c r="C50" s="3">
        <f>VLOOKUP($A50,'SegEnds_NonXtal_BW#'!$A:$Z,3,FALSE)+D50-50</f>
        <v>6</v>
      </c>
      <c r="D50" s="3">
        <v>27</v>
      </c>
      <c r="E50" s="3">
        <f>IF(ISERROR(VLOOKUP($A50,'SegEnds_NonXtal_BW#'!$A:$Z,4,FALSE)+VLOOKUP($A50,A:AL,4,FALSE)-50),"-",(VLOOKUP($A50,'SegEnds_NonXtal_BW#'!$A:$Z,4,FALSE)+VLOOKUP($A50,A:AL,4,FALSE)-50))</f>
        <v>37</v>
      </c>
      <c r="F50" s="3">
        <f t="shared" si="27"/>
        <v>38</v>
      </c>
      <c r="G50" s="3">
        <v>40</v>
      </c>
      <c r="H50" s="3">
        <f t="shared" si="33"/>
        <v>41</v>
      </c>
      <c r="I50" s="3">
        <f t="shared" si="33"/>
        <v>42</v>
      </c>
      <c r="J50" s="3">
        <v>55</v>
      </c>
      <c r="K50" s="3">
        <v>72</v>
      </c>
      <c r="L50" s="3">
        <f>M50</f>
        <v>73</v>
      </c>
      <c r="M50" s="3">
        <v>73</v>
      </c>
      <c r="N50" s="3">
        <f t="shared" si="30"/>
        <v>75</v>
      </c>
      <c r="O50" s="3">
        <f t="shared" si="29"/>
        <v>76</v>
      </c>
      <c r="P50" s="3">
        <v>105</v>
      </c>
      <c r="Q50" s="3">
        <f>VLOOKUP($A50,'SegEnds_NonXtal_BW#'!$A:$Z,12,FALSE)+VLOOKUP($A50,A:AL,16,FALSE)-50</f>
        <v>111</v>
      </c>
      <c r="R50" s="3">
        <f>IF(ISERROR(VLOOKUP($A50,'SegEnds_NonXtal_BW#'!$A:$Z,13,FALSE)+VLOOKUP($A50,A:AL,19,FALSE)-50),"-",VLOOKUP($A50,'SegEnds_NonXtal_BW#'!$A:$Z,13,FALSE)+VLOOKUP($A50,A:AL,19,FALSE)-50)</f>
        <v>112</v>
      </c>
      <c r="S50" s="3">
        <v>112</v>
      </c>
      <c r="T50" s="100">
        <f>IF(ISERROR(VLOOKUP($A50,'SegEnds_NonXtal_BW#'!$A:$Z,14,FALSE)+VLOOKUP($A50,A:AL,19,FALSE)-50),"-",(VLOOKUP($A50,'SegEnds_NonXtal_BW#'!$A:$Z,14,FALSE)+VLOOKUP($A50,A:AL,19,FALSE)-50))</f>
        <v>119</v>
      </c>
      <c r="U50" s="9">
        <f>IF(ISERROR(VLOOKUP($A50,'SegEnds_NonXtal_BW#'!$A:$Z,15,FALSE)+VLOOKUP($A50,A:AL,22,FALSE)-50),"-",VLOOKUP($A50,'SegEnds_NonXtal_BW#'!$A:$Z,15,FALSE)+VLOOKUP($A50,A:AL,22,FALSE)-50)</f>
        <v>120</v>
      </c>
      <c r="V50" s="3">
        <v>132</v>
      </c>
      <c r="W50" s="3">
        <f>IF(ISERROR(VLOOKUP($A50,'SegEnds_NonXtal_BW#'!$A:$Z,16,FALSE)+VLOOKUP($A50,A:AL,22,FALSE)-50),"-",(VLOOKUP($A50,'SegEnds_NonXtal_BW#'!$A:$Z,16,FALSE)+VLOOKUP($A50,A:AL,22,FALSE)-50))</f>
        <v>145</v>
      </c>
      <c r="X50" s="3">
        <f>IF(ISERROR(VLOOKUP($A50,'SegEnds_NonXtal_BW#'!$A:$Z,17,FALSE)+VLOOKUP($A50,A:AL,25,FALSE)-50),"-",(VLOOKUP($A50,'SegEnds_NonXtal_BW#'!$A:$Z,17,FALSE)+VLOOKUP($A50,A:AL,25,FALSE)-50))</f>
        <v>169</v>
      </c>
      <c r="Y50" s="3">
        <v>169</v>
      </c>
      <c r="Z50" s="3">
        <f t="shared" si="31"/>
        <v>171</v>
      </c>
      <c r="AA50" s="3">
        <f>IF(ISERROR(VLOOKUP($A50,'SegEnds_NonXtal_BW#'!$A:$Z,19,FALSE)+VLOOKUP($A50,A:AL,28,FALSE)-50),"-",(VLOOKUP($A50,'SegEnds_NonXtal_BW#'!$A:$Z,19,FALSE)+VLOOKUP($A50,A:AL,28,FALSE)-50))</f>
        <v>176</v>
      </c>
      <c r="AB50" s="3">
        <v>192</v>
      </c>
      <c r="AC50" s="3">
        <f>IF(ISERROR((VLOOKUP($A50,'SegEnds_NonXtal_BW#'!$A:$Z,20,FALSE)+VLOOKUP($A50,A:AL,28,FALSE)-50)),"-",(VLOOKUP($A50,'SegEnds_NonXtal_BW#'!$A:$Z,20,FALSE)+VLOOKUP($A50,A:AL,28,FALSE)-50))</f>
        <v>215</v>
      </c>
      <c r="AD50" s="3">
        <f>IF(ISERROR(VLOOKUP($A50,'SegEnds_NonXtal_BW#'!$A:$Z,21,FALSE)+VLOOKUP($A50,A:AL,31,FALSE)-50),"-",(VLOOKUP($A50,'SegEnds_NonXtal_BW#'!$A:$Z,21,FALSE)+VLOOKUP($A50,A:AL,31,FALSE)-50))</f>
        <v>221</v>
      </c>
      <c r="AE50" s="3">
        <v>249</v>
      </c>
      <c r="AF50" s="3">
        <f>IF(ISERROR((VLOOKUP($A50,'SegEnds_NonXtal_BW#'!$A:$Z,22,FALSE)+VLOOKUP($A50,A:AL,31,FALSE)-50)),"-",(VLOOKUP($A50,'SegEnds_NonXtal_BW#'!$A:$Z,22,FALSE)+VLOOKUP($A50,A:AL,31,FALSE)-50))</f>
        <v>260</v>
      </c>
      <c r="AG50" s="3">
        <f>IF(ISERROR(VLOOKUP($A50,'SegEnds_NonXtal_BW#'!$A:$Z,23,FALSE)+VLOOKUP($A50,A:AL,34,FALSE)-50),"-",(VLOOKUP($A50,'SegEnds_NonXtal_BW#'!$A:$Z,23,FALSE)+VLOOKUP($A50,A:AL,34,FALSE)-50))</f>
        <v>266</v>
      </c>
      <c r="AH50" s="3">
        <v>285</v>
      </c>
      <c r="AI50" s="3">
        <f>IF(ISERROR((VLOOKUP($A50,'SegEnds_NonXtal_BW#'!$A:$Z,24,FALSE)+VLOOKUP($A50,A:AL,34,FALSE)-50)),"-",(VLOOKUP($A50,'SegEnds_NonXtal_BW#'!$A:$Z,24,FALSE)+VLOOKUP($A50,A:AL,34,FALSE)-50))</f>
        <v>291</v>
      </c>
      <c r="AJ50" s="3">
        <f>IF(ISERROR(VLOOKUP($A50,'SegEnds_NonXtal_BW#'!$A:$Z,25,FALSE)+VLOOKUP($A50,A:AL,37,FALSE)-50),"-",(VLOOKUP($A50,'SegEnds_NonXtal_BW#'!$A:$Z,25,FALSE)+VLOOKUP($A50,A:AL,37,FALSE)-50))</f>
        <v>292</v>
      </c>
      <c r="AK50" s="3">
        <v>295</v>
      </c>
      <c r="AL50" s="3">
        <f>IF(ISERROR((VLOOKUP($A50,'SegEnds_NonXtal_BW#'!$A:$Z,26,FALSE)+VLOOKUP($A50,A:AL,37,FALSE)-50)),"-",(VLOOKUP($A50,'SegEnds_NonXtal_BW#'!$A:$Z,26,FALSE)+VLOOKUP($A50,A:AL,37,FALSE)-50))</f>
        <v>314</v>
      </c>
      <c r="AM50" s="28" t="str">
        <f>VLOOKUP(A50,Classification!A:B,2,FALSE)</f>
        <v>A</v>
      </c>
      <c r="AN50" s="28" t="b">
        <f t="shared" si="17"/>
        <v>1</v>
      </c>
      <c r="AO50" s="3" t="str">
        <f>IF(ISERROR(MATCH(A50,'SegEnds_Xtal_Prot#'!B:B, 0)), "NoXtal", "Xtal")</f>
        <v>Xtal</v>
      </c>
      <c r="AP50" s="3">
        <f t="shared" si="2"/>
        <v>1</v>
      </c>
      <c r="AQ50" s="3">
        <f t="shared" si="3"/>
        <v>1</v>
      </c>
      <c r="AR50" s="3">
        <f t="shared" si="4"/>
        <v>1</v>
      </c>
      <c r="AS50" s="3">
        <f t="shared" si="5"/>
        <v>1</v>
      </c>
      <c r="AT50" s="3">
        <f t="shared" si="6"/>
        <v>1</v>
      </c>
      <c r="AU50" s="3">
        <f t="shared" si="7"/>
        <v>1</v>
      </c>
      <c r="AV50" s="3">
        <f t="shared" si="8"/>
        <v>24</v>
      </c>
      <c r="AW50" s="3">
        <f t="shared" si="9"/>
        <v>5</v>
      </c>
      <c r="AX50" s="3">
        <f t="shared" si="10"/>
        <v>6</v>
      </c>
      <c r="AY50" s="3">
        <f t="shared" si="11"/>
        <v>6</v>
      </c>
      <c r="AZ50" s="3">
        <f t="shared" si="12"/>
        <v>1</v>
      </c>
      <c r="BA50" s="3">
        <f>IF(ISERROR(LEN(VLOOKUP(A50,Seqs!A:E,2,FALSE))-AL50),"-",LEN(VLOOKUP(A50,Seqs!A:E,2,FALSE))-AL50)</f>
        <v>12</v>
      </c>
      <c r="BB50" s="16">
        <f t="shared" si="13"/>
        <v>28</v>
      </c>
      <c r="BC50" s="9">
        <f t="shared" si="14"/>
        <v>20</v>
      </c>
      <c r="BD50" s="3">
        <f t="shared" si="15"/>
        <v>28</v>
      </c>
      <c r="BE50" s="3">
        <f t="shared" si="16"/>
        <v>57</v>
      </c>
      <c r="BF50" s="3">
        <f>AH50-AE50</f>
        <v>36</v>
      </c>
    </row>
    <row r="51" spans="1:58" s="3" customFormat="1" x14ac:dyDescent="0.2">
      <c r="A51" s="3" t="s">
        <v>139</v>
      </c>
      <c r="B51" s="3" t="str">
        <f>LOWER(VLOOKUP(A51,Xtal_Templ!A:B,2,FALSE))</f>
        <v>aa2ar_human</v>
      </c>
      <c r="C51" s="3">
        <f>VLOOKUP($A51,'SegEnds_NonXtal_BW#'!$A:$Z,3,FALSE)+D51-50</f>
        <v>1</v>
      </c>
      <c r="D51" s="3">
        <v>24</v>
      </c>
      <c r="E51" s="3">
        <f>IF(ISERROR(VLOOKUP($A51,'SegEnds_NonXtal_BW#'!$A:$Z,4,FALSE)+VLOOKUP($A51,A:AL,4,FALSE)-50),"-",(VLOOKUP($A51,'SegEnds_NonXtal_BW#'!$A:$Z,4,FALSE)+VLOOKUP($A51,A:AL,4,FALSE)-50))</f>
        <v>34</v>
      </c>
      <c r="F51" s="3">
        <f t="shared" si="27"/>
        <v>35</v>
      </c>
      <c r="G51" s="3">
        <v>37</v>
      </c>
      <c r="H51" s="3">
        <f t="shared" si="33"/>
        <v>38</v>
      </c>
      <c r="I51" s="3">
        <f t="shared" si="33"/>
        <v>39</v>
      </c>
      <c r="J51" s="3">
        <v>52</v>
      </c>
      <c r="K51" s="3">
        <v>69</v>
      </c>
      <c r="L51" s="3">
        <f>M51</f>
        <v>70</v>
      </c>
      <c r="M51" s="3">
        <v>70</v>
      </c>
      <c r="N51" s="3">
        <f t="shared" si="30"/>
        <v>72</v>
      </c>
      <c r="O51" s="3">
        <f t="shared" si="29"/>
        <v>73</v>
      </c>
      <c r="P51" s="3">
        <v>102</v>
      </c>
      <c r="Q51" s="3">
        <f>VLOOKUP($A51,'SegEnds_NonXtal_BW#'!$A:$Z,12,FALSE)+VLOOKUP($A51,A:AL,16,FALSE)-50</f>
        <v>108</v>
      </c>
      <c r="R51" s="3">
        <f>IF(ISERROR(VLOOKUP($A51,'SegEnds_NonXtal_BW#'!$A:$Z,13,FALSE)+VLOOKUP($A51,A:AL,19,FALSE)-50),"-",VLOOKUP($A51,'SegEnds_NonXtal_BW#'!$A:$Z,13,FALSE)+VLOOKUP($A51,A:AL,19,FALSE)-50)</f>
        <v>109</v>
      </c>
      <c r="S51" s="3">
        <v>109</v>
      </c>
      <c r="T51" s="100">
        <f>IF(ISERROR(VLOOKUP($A51,'SegEnds_NonXtal_BW#'!$A:$Z,14,FALSE)+VLOOKUP($A51,A:AL,19,FALSE)-50),"-",(VLOOKUP($A51,'SegEnds_NonXtal_BW#'!$A:$Z,14,FALSE)+VLOOKUP($A51,A:AL,19,FALSE)-50))</f>
        <v>116</v>
      </c>
      <c r="U51" s="9">
        <f>IF(ISERROR(VLOOKUP($A51,'SegEnds_NonXtal_BW#'!$A:$Z,15,FALSE)+VLOOKUP($A51,A:AL,22,FALSE)-50),"-",VLOOKUP($A51,'SegEnds_NonXtal_BW#'!$A:$Z,15,FALSE)+VLOOKUP($A51,A:AL,22,FALSE)-50)</f>
        <v>117</v>
      </c>
      <c r="V51" s="3">
        <v>129</v>
      </c>
      <c r="W51" s="3">
        <f>IF(ISERROR(VLOOKUP($A51,'SegEnds_NonXtal_BW#'!$A:$Z,16,FALSE)+VLOOKUP($A51,A:AL,22,FALSE)-50),"-",(VLOOKUP($A51,'SegEnds_NonXtal_BW#'!$A:$Z,16,FALSE)+VLOOKUP($A51,A:AL,22,FALSE)-50))</f>
        <v>142</v>
      </c>
      <c r="X51" s="3">
        <f>IF(ISERROR(VLOOKUP($A51,'SegEnds_NonXtal_BW#'!$A:$Z,17,FALSE)+VLOOKUP($A51,A:AL,25,FALSE)-50),"-",(VLOOKUP($A51,'SegEnds_NonXtal_BW#'!$A:$Z,17,FALSE)+VLOOKUP($A51,A:AL,25,FALSE)-50))</f>
        <v>166</v>
      </c>
      <c r="Y51" s="3">
        <v>166</v>
      </c>
      <c r="Z51" s="3">
        <f t="shared" si="31"/>
        <v>168</v>
      </c>
      <c r="AA51" s="3">
        <f>IF(ISERROR(VLOOKUP($A51,'SegEnds_NonXtal_BW#'!$A:$Z,19,FALSE)+VLOOKUP($A51,A:AL,28,FALSE)-50),"-",(VLOOKUP($A51,'SegEnds_NonXtal_BW#'!$A:$Z,19,FALSE)+VLOOKUP($A51,A:AL,28,FALSE)-50))</f>
        <v>173</v>
      </c>
      <c r="AB51" s="3">
        <v>189</v>
      </c>
      <c r="AC51" s="3">
        <f>IF(ISERROR((VLOOKUP($A51,'SegEnds_NonXtal_BW#'!$A:$Z,20,FALSE)+VLOOKUP($A51,A:AL,28,FALSE)-50)),"-",(VLOOKUP($A51,'SegEnds_NonXtal_BW#'!$A:$Z,20,FALSE)+VLOOKUP($A51,A:AL,28,FALSE)-50))</f>
        <v>213</v>
      </c>
      <c r="AD51" s="3">
        <f>IF(ISERROR(VLOOKUP($A51,'SegEnds_NonXtal_BW#'!$A:$Z,21,FALSE)+VLOOKUP($A51,A:AL,31,FALSE)-50),"-",(VLOOKUP($A51,'SegEnds_NonXtal_BW#'!$A:$Z,21,FALSE)+VLOOKUP($A51,A:AL,31,FALSE)-50))</f>
        <v>219</v>
      </c>
      <c r="AE51" s="3">
        <v>248</v>
      </c>
      <c r="AF51" s="3">
        <f>IF(ISERROR((VLOOKUP($A51,'SegEnds_NonXtal_BW#'!$A:$Z,22,FALSE)+VLOOKUP($A51,A:AL,31,FALSE)-50)),"-",(VLOOKUP($A51,'SegEnds_NonXtal_BW#'!$A:$Z,22,FALSE)+VLOOKUP($A51,A:AL,31,FALSE)-50))</f>
        <v>259</v>
      </c>
      <c r="AG51" s="3">
        <f>IF(ISERROR(VLOOKUP($A51,'SegEnds_NonXtal_BW#'!$A:$Z,23,FALSE)+VLOOKUP($A51,A:AL,34,FALSE)-50),"-",(VLOOKUP($A51,'SegEnds_NonXtal_BW#'!$A:$Z,23,FALSE)+VLOOKUP($A51,A:AL,34,FALSE)-50))</f>
        <v>266</v>
      </c>
      <c r="AH51" s="3">
        <v>285</v>
      </c>
      <c r="AI51" s="3">
        <f>IF(ISERROR((VLOOKUP($A51,'SegEnds_NonXtal_BW#'!$A:$Z,24,FALSE)+VLOOKUP($A51,A:AL,34,FALSE)-50)),"-",(VLOOKUP($A51,'SegEnds_NonXtal_BW#'!$A:$Z,24,FALSE)+VLOOKUP($A51,A:AL,34,FALSE)-50))</f>
        <v>291</v>
      </c>
      <c r="AJ51" s="3">
        <f>IF(ISERROR(VLOOKUP($A51,'SegEnds_NonXtal_BW#'!$A:$Z,25,FALSE)+VLOOKUP($A51,A:AL,37,FALSE)-50),"-",(VLOOKUP($A51,'SegEnds_NonXtal_BW#'!$A:$Z,25,FALSE)+VLOOKUP($A51,A:AL,37,FALSE)-50))</f>
        <v>292</v>
      </c>
      <c r="AK51" s="3">
        <v>295</v>
      </c>
      <c r="AL51" s="3">
        <f>IF(ISERROR((VLOOKUP($A51,'SegEnds_NonXtal_BW#'!$A:$Z,26,FALSE)+VLOOKUP($A51,A:AL,37,FALSE)-50)),"-",(VLOOKUP($A51,'SegEnds_NonXtal_BW#'!$A:$Z,26,FALSE)+VLOOKUP($A51,A:AL,37,FALSE)-50))</f>
        <v>314</v>
      </c>
      <c r="AM51" s="28" t="str">
        <f>VLOOKUP(A51,Classification!A:B,2,FALSE)</f>
        <v>A</v>
      </c>
      <c r="AN51" s="28" t="b">
        <f t="shared" si="17"/>
        <v>1</v>
      </c>
      <c r="AO51" s="3" t="str">
        <f>IF(ISERROR(MATCH(A51,'SegEnds_Xtal_Prot#'!B:B, 0)), "NoXtal", "Xtal")</f>
        <v>Xtal</v>
      </c>
      <c r="AP51" s="3">
        <f t="shared" si="2"/>
        <v>1</v>
      </c>
      <c r="AQ51" s="3">
        <f t="shared" si="3"/>
        <v>1</v>
      </c>
      <c r="AR51" s="3">
        <f t="shared" si="4"/>
        <v>1</v>
      </c>
      <c r="AS51" s="3">
        <f t="shared" si="5"/>
        <v>1</v>
      </c>
      <c r="AT51" s="3">
        <f t="shared" si="6"/>
        <v>1</v>
      </c>
      <c r="AU51" s="3">
        <f t="shared" si="7"/>
        <v>1</v>
      </c>
      <c r="AV51" s="3">
        <f t="shared" si="8"/>
        <v>24</v>
      </c>
      <c r="AW51" s="3">
        <f t="shared" si="9"/>
        <v>5</v>
      </c>
      <c r="AX51" s="3">
        <f t="shared" si="10"/>
        <v>6</v>
      </c>
      <c r="AY51" s="3">
        <f t="shared" si="11"/>
        <v>7</v>
      </c>
      <c r="AZ51" s="3">
        <f t="shared" si="12"/>
        <v>1</v>
      </c>
      <c r="BA51" s="3">
        <f>IF(ISERROR(LEN(VLOOKUP(A51,Seqs!A:E,2,FALSE))-AL51),"-",LEN(VLOOKUP(A51,Seqs!A:E,2,FALSE))-AL51)</f>
        <v>98</v>
      </c>
      <c r="BB51" s="16">
        <f t="shared" si="13"/>
        <v>28</v>
      </c>
      <c r="BC51" s="9">
        <f t="shared" si="14"/>
        <v>20</v>
      </c>
      <c r="BD51" s="3">
        <f t="shared" si="15"/>
        <v>28</v>
      </c>
      <c r="BE51" s="3">
        <f t="shared" si="16"/>
        <v>59</v>
      </c>
    </row>
    <row r="52" spans="1:58" s="3" customFormat="1" x14ac:dyDescent="0.2">
      <c r="A52" s="3" t="s">
        <v>140</v>
      </c>
      <c r="B52" s="3" t="str">
        <f>LOWER(VLOOKUP(A52,Xtal_Templ!A:B,2,FALSE))</f>
        <v>aa2ar_human</v>
      </c>
      <c r="C52" s="3">
        <f>VLOOKUP($A52,'SegEnds_NonXtal_BW#'!$A:$Z,3,FALSE)+D52-50</f>
        <v>2</v>
      </c>
      <c r="D52" s="3">
        <v>25</v>
      </c>
      <c r="E52" s="3">
        <f>IF(ISERROR(VLOOKUP($A52,'SegEnds_NonXtal_BW#'!$A:$Z,4,FALSE)+VLOOKUP($A52,A:AL,4,FALSE)-50),"-",(VLOOKUP($A52,'SegEnds_NonXtal_BW#'!$A:$Z,4,FALSE)+VLOOKUP($A52,A:AL,4,FALSE)-50))</f>
        <v>35</v>
      </c>
      <c r="F52" s="3">
        <f t="shared" si="27"/>
        <v>36</v>
      </c>
      <c r="G52" s="3">
        <v>38</v>
      </c>
      <c r="H52" s="3">
        <f t="shared" si="33"/>
        <v>39</v>
      </c>
      <c r="I52" s="3">
        <f t="shared" si="33"/>
        <v>40</v>
      </c>
      <c r="J52" s="3">
        <v>53</v>
      </c>
      <c r="K52" s="3">
        <v>70</v>
      </c>
      <c r="L52" s="3">
        <f>M52</f>
        <v>71</v>
      </c>
      <c r="M52" s="3">
        <v>71</v>
      </c>
      <c r="N52" s="3">
        <f t="shared" si="30"/>
        <v>73</v>
      </c>
      <c r="O52" s="3">
        <f t="shared" si="29"/>
        <v>74</v>
      </c>
      <c r="P52" s="3">
        <v>103</v>
      </c>
      <c r="Q52" s="3">
        <f>VLOOKUP($A52,'SegEnds_NonXtal_BW#'!$A:$Z,12,FALSE)+VLOOKUP($A52,A:AL,16,FALSE)-50</f>
        <v>109</v>
      </c>
      <c r="R52" s="3">
        <f>IF(ISERROR(VLOOKUP($A52,'SegEnds_NonXtal_BW#'!$A:$Z,13,FALSE)+VLOOKUP($A52,A:AL,19,FALSE)-50),"-",VLOOKUP($A52,'SegEnds_NonXtal_BW#'!$A:$Z,13,FALSE)+VLOOKUP($A52,A:AL,19,FALSE)-50)</f>
        <v>110</v>
      </c>
      <c r="S52" s="3">
        <v>110</v>
      </c>
      <c r="T52" s="100">
        <f>IF(ISERROR(VLOOKUP($A52,'SegEnds_NonXtal_BW#'!$A:$Z,14,FALSE)+VLOOKUP($A52,A:AL,19,FALSE)-50),"-",(VLOOKUP($A52,'SegEnds_NonXtal_BW#'!$A:$Z,14,FALSE)+VLOOKUP($A52,A:AL,19,FALSE)-50))</f>
        <v>117</v>
      </c>
      <c r="U52" s="9">
        <f>IF(ISERROR(VLOOKUP($A52,'SegEnds_NonXtal_BW#'!$A:$Z,15,FALSE)+VLOOKUP($A52,A:AL,22,FALSE)-50),"-",VLOOKUP($A52,'SegEnds_NonXtal_BW#'!$A:$Z,15,FALSE)+VLOOKUP($A52,A:AL,22,FALSE)-50)</f>
        <v>118</v>
      </c>
      <c r="V52" s="3">
        <v>130</v>
      </c>
      <c r="W52" s="3">
        <f>IF(ISERROR(VLOOKUP($A52,'SegEnds_NonXtal_BW#'!$A:$Z,16,FALSE)+VLOOKUP($A52,A:AL,22,FALSE)-50),"-",(VLOOKUP($A52,'SegEnds_NonXtal_BW#'!$A:$Z,16,FALSE)+VLOOKUP($A52,A:AL,22,FALSE)-50))</f>
        <v>143</v>
      </c>
      <c r="X52" s="3">
        <f>IF(ISERROR(VLOOKUP($A52,'SegEnds_NonXtal_BW#'!$A:$Z,17,FALSE)+VLOOKUP($A52,A:AL,25,FALSE)-50),"-",(VLOOKUP($A52,'SegEnds_NonXtal_BW#'!$A:$Z,17,FALSE)+VLOOKUP($A52,A:AL,25,FALSE)-50))</f>
        <v>171</v>
      </c>
      <c r="Y52" s="3">
        <v>171</v>
      </c>
      <c r="Z52" s="3">
        <f t="shared" si="31"/>
        <v>173</v>
      </c>
      <c r="AA52" s="3">
        <f>IF(ISERROR(VLOOKUP($A52,'SegEnds_NonXtal_BW#'!$A:$Z,19,FALSE)+VLOOKUP($A52,A:AL,28,FALSE)-50),"-",(VLOOKUP($A52,'SegEnds_NonXtal_BW#'!$A:$Z,19,FALSE)+VLOOKUP($A52,A:AL,28,FALSE)-50))</f>
        <v>178</v>
      </c>
      <c r="AB52" s="3">
        <v>194</v>
      </c>
      <c r="AC52" s="3">
        <f>IF(ISERROR((VLOOKUP($A52,'SegEnds_NonXtal_BW#'!$A:$Z,20,FALSE)+VLOOKUP($A52,A:AL,28,FALSE)-50)),"-",(VLOOKUP($A52,'SegEnds_NonXtal_BW#'!$A:$Z,20,FALSE)+VLOOKUP($A52,A:AL,28,FALSE)-50))</f>
        <v>217</v>
      </c>
      <c r="AD52" s="3">
        <f>IF(ISERROR(VLOOKUP($A52,'SegEnds_NonXtal_BW#'!$A:$Z,21,FALSE)+VLOOKUP($A52,A:AL,31,FALSE)-50),"-",(VLOOKUP($A52,'SegEnds_NonXtal_BW#'!$A:$Z,21,FALSE)+VLOOKUP($A52,A:AL,31,FALSE)-50))</f>
        <v>221</v>
      </c>
      <c r="AE52" s="3">
        <v>249</v>
      </c>
      <c r="AF52" s="3">
        <f>IF(ISERROR((VLOOKUP($A52,'SegEnds_NonXtal_BW#'!$A:$Z,22,FALSE)+VLOOKUP($A52,A:AL,31,FALSE)-50)),"-",(VLOOKUP($A52,'SegEnds_NonXtal_BW#'!$A:$Z,22,FALSE)+VLOOKUP($A52,A:AL,31,FALSE)-50))</f>
        <v>260</v>
      </c>
      <c r="AG52" s="3">
        <f>IF(ISERROR(VLOOKUP($A52,'SegEnds_NonXtal_BW#'!$A:$Z,23,FALSE)+VLOOKUP($A52,A:AL,34,FALSE)-50),"-",(VLOOKUP($A52,'SegEnds_NonXtal_BW#'!$A:$Z,23,FALSE)+VLOOKUP($A52,A:AL,34,FALSE)-50))</f>
        <v>265</v>
      </c>
      <c r="AH52" s="3">
        <v>287</v>
      </c>
      <c r="AI52" s="3">
        <f>IF(ISERROR((VLOOKUP($A52,'SegEnds_NonXtal_BW#'!$A:$Z,24,FALSE)+VLOOKUP($A52,A:AL,34,FALSE)-50)),"-",(VLOOKUP($A52,'SegEnds_NonXtal_BW#'!$A:$Z,24,FALSE)+VLOOKUP($A52,A:AL,34,FALSE)-50))</f>
        <v>293</v>
      </c>
      <c r="AJ52" s="3">
        <f>IF(ISERROR(VLOOKUP($A52,'SegEnds_NonXtal_BW#'!$A:$Z,25,FALSE)+VLOOKUP($A52,A:AL,37,FALSE)-50),"-",(VLOOKUP($A52,'SegEnds_NonXtal_BW#'!$A:$Z,25,FALSE)+VLOOKUP($A52,A:AL,37,FALSE)-50))</f>
        <v>294</v>
      </c>
      <c r="AK52" s="3">
        <v>297</v>
      </c>
      <c r="AL52" s="3">
        <f>IF(ISERROR((VLOOKUP($A52,'SegEnds_NonXtal_BW#'!$A:$Z,26,FALSE)+VLOOKUP($A52,A:AL,37,FALSE)-50)),"-",(VLOOKUP($A52,'SegEnds_NonXtal_BW#'!$A:$Z,26,FALSE)+VLOOKUP($A52,A:AL,37,FALSE)-50))</f>
        <v>316</v>
      </c>
      <c r="AM52" s="28" t="str">
        <f>VLOOKUP(A52,Classification!A:B,2,FALSE)</f>
        <v>A</v>
      </c>
      <c r="AN52" s="28" t="b">
        <f t="shared" si="17"/>
        <v>1</v>
      </c>
      <c r="AO52" s="3" t="str">
        <f>IF(ISERROR(MATCH(A52,'SegEnds_Xtal_Prot#'!B:B, 0)), "NoXtal", "Xtal")</f>
        <v>NoXtal</v>
      </c>
      <c r="AP52" s="3">
        <f t="shared" si="2"/>
        <v>1</v>
      </c>
      <c r="AQ52" s="3">
        <f t="shared" si="3"/>
        <v>1</v>
      </c>
      <c r="AR52" s="3">
        <f t="shared" si="4"/>
        <v>1</v>
      </c>
      <c r="AS52" s="3">
        <f t="shared" si="5"/>
        <v>1</v>
      </c>
      <c r="AT52" s="3">
        <f t="shared" si="6"/>
        <v>1</v>
      </c>
      <c r="AU52" s="3">
        <f t="shared" si="7"/>
        <v>1</v>
      </c>
      <c r="AV52" s="3">
        <f t="shared" si="8"/>
        <v>28</v>
      </c>
      <c r="AW52" s="3">
        <f t="shared" si="9"/>
        <v>5</v>
      </c>
      <c r="AX52" s="3">
        <f t="shared" si="10"/>
        <v>4</v>
      </c>
      <c r="AY52" s="3">
        <f t="shared" si="11"/>
        <v>5</v>
      </c>
      <c r="AZ52" s="3">
        <f t="shared" si="12"/>
        <v>1</v>
      </c>
      <c r="BA52" s="3">
        <f>IF(ISERROR(LEN(VLOOKUP(A52,Seqs!A:E,2,FALSE))-AL52),"-",LEN(VLOOKUP(A52,Seqs!A:E,2,FALSE))-AL52)</f>
        <v>16</v>
      </c>
      <c r="BB52" s="16">
        <f t="shared" si="13"/>
        <v>28</v>
      </c>
      <c r="BC52" s="9">
        <f t="shared" si="14"/>
        <v>20</v>
      </c>
      <c r="BD52" s="3">
        <f t="shared" si="15"/>
        <v>28</v>
      </c>
      <c r="BE52" s="3">
        <f t="shared" si="16"/>
        <v>55</v>
      </c>
      <c r="BF52" s="3">
        <f>AH52-AE52</f>
        <v>38</v>
      </c>
    </row>
    <row r="53" spans="1:58" s="3" customFormat="1" x14ac:dyDescent="0.2">
      <c r="A53" s="3" t="s">
        <v>141</v>
      </c>
      <c r="B53" s="3" t="str">
        <f>LOWER(VLOOKUP(A53,Xtal_Templ!A:B,2,FALSE))</f>
        <v>aa1r_human</v>
      </c>
      <c r="C53" s="3">
        <f>VLOOKUP($A53,'SegEnds_NonXtal_BW#'!$A:$Z,3,FALSE)+D53-50</f>
        <v>9</v>
      </c>
      <c r="D53" s="3">
        <v>30</v>
      </c>
      <c r="E53" s="3">
        <f>IF(ISERROR(VLOOKUP($A53,'SegEnds_NonXtal_BW#'!$A:$Z,4,FALSE)+VLOOKUP($A53,A:AL,4,FALSE)-50),"-",(VLOOKUP($A53,'SegEnds_NonXtal_BW#'!$A:$Z,4,FALSE)+VLOOKUP($A53,A:AL,4,FALSE)-50))</f>
        <v>40</v>
      </c>
      <c r="F53" s="3">
        <f t="shared" si="27"/>
        <v>41</v>
      </c>
      <c r="G53" s="3">
        <v>43</v>
      </c>
      <c r="H53" s="3">
        <f t="shared" si="33"/>
        <v>44</v>
      </c>
      <c r="I53" s="3">
        <f t="shared" si="33"/>
        <v>45</v>
      </c>
      <c r="J53" s="3">
        <v>58</v>
      </c>
      <c r="K53" s="3">
        <v>75</v>
      </c>
      <c r="L53" s="3">
        <f>M53</f>
        <v>76</v>
      </c>
      <c r="M53" s="3">
        <v>76</v>
      </c>
      <c r="N53" s="3">
        <f t="shared" si="30"/>
        <v>78</v>
      </c>
      <c r="O53" s="3">
        <f t="shared" si="29"/>
        <v>79</v>
      </c>
      <c r="P53" s="3">
        <v>108</v>
      </c>
      <c r="Q53" s="3">
        <f>VLOOKUP($A53,'SegEnds_NonXtal_BW#'!$A:$Z,12,FALSE)+VLOOKUP($A53,A:AL,16,FALSE)-50</f>
        <v>114</v>
      </c>
      <c r="R53" s="3">
        <f>IF(ISERROR(VLOOKUP($A53,'SegEnds_NonXtal_BW#'!$A:$Z,13,FALSE)+VLOOKUP($A53,A:AL,19,FALSE)-50),"-",VLOOKUP($A53,'SegEnds_NonXtal_BW#'!$A:$Z,13,FALSE)+VLOOKUP($A53,A:AL,19,FALSE)-50)</f>
        <v>115</v>
      </c>
      <c r="S53" s="3">
        <v>115</v>
      </c>
      <c r="T53" s="100">
        <f>IF(ISERROR(VLOOKUP($A53,'SegEnds_NonXtal_BW#'!$A:$Z,14,FALSE)+VLOOKUP($A53,A:AL,19,FALSE)-50),"-",(VLOOKUP($A53,'SegEnds_NonXtal_BW#'!$A:$Z,14,FALSE)+VLOOKUP($A53,A:AL,19,FALSE)-50))</f>
        <v>122</v>
      </c>
      <c r="U53" s="9">
        <f>IF(ISERROR(VLOOKUP($A53,'SegEnds_NonXtal_BW#'!$A:$Z,15,FALSE)+VLOOKUP($A53,A:AL,22,FALSE)-50),"-",VLOOKUP($A53,'SegEnds_NonXtal_BW#'!$A:$Z,15,FALSE)+VLOOKUP($A53,A:AL,22,FALSE)-50)</f>
        <v>123</v>
      </c>
      <c r="V53" s="3">
        <v>135</v>
      </c>
      <c r="W53" s="3">
        <f>IF(ISERROR(VLOOKUP($A53,'SegEnds_NonXtal_BW#'!$A:$Z,16,FALSE)+VLOOKUP($A53,A:AL,22,FALSE)-50),"-",(VLOOKUP($A53,'SegEnds_NonXtal_BW#'!$A:$Z,16,FALSE)+VLOOKUP($A53,A:AL,22,FALSE)-50))</f>
        <v>148</v>
      </c>
      <c r="X53" s="3">
        <f>IF(ISERROR(VLOOKUP($A53,'SegEnds_NonXtal_BW#'!$A:$Z,17,FALSE)+VLOOKUP($A53,A:AL,25,FALSE)-50),"-",(VLOOKUP($A53,'SegEnds_NonXtal_BW#'!$A:$Z,17,FALSE)+VLOOKUP($A53,A:AL,25,FALSE)-50))</f>
        <v>166</v>
      </c>
      <c r="Y53" s="3">
        <v>166</v>
      </c>
      <c r="Z53" s="3">
        <f t="shared" si="31"/>
        <v>168</v>
      </c>
      <c r="AA53" s="3">
        <f>IF(ISERROR(VLOOKUP($A53,'SegEnds_NonXtal_BW#'!$A:$Z,19,FALSE)+VLOOKUP($A53,A:AL,28,FALSE)-50),"-",(VLOOKUP($A53,'SegEnds_NonXtal_BW#'!$A:$Z,19,FALSE)+VLOOKUP($A53,A:AL,28,FALSE)-50))</f>
        <v>173</v>
      </c>
      <c r="AB53" s="3">
        <v>189</v>
      </c>
      <c r="AC53" s="3">
        <f>IF(ISERROR((VLOOKUP($A53,'SegEnds_NonXtal_BW#'!$A:$Z,20,FALSE)+VLOOKUP($A53,A:AL,28,FALSE)-50)),"-",(VLOOKUP($A53,'SegEnds_NonXtal_BW#'!$A:$Z,20,FALSE)+VLOOKUP($A53,A:AL,28,FALSE)-50))</f>
        <v>212</v>
      </c>
      <c r="AD53" s="3">
        <f>IF(ISERROR(VLOOKUP($A53,'SegEnds_NonXtal_BW#'!$A:$Z,21,FALSE)+VLOOKUP($A53,A:AL,31,FALSE)-50),"-",(VLOOKUP($A53,'SegEnds_NonXtal_BW#'!$A:$Z,21,FALSE)+VLOOKUP($A53,A:AL,31,FALSE)-50))</f>
        <v>217</v>
      </c>
      <c r="AE53" s="3">
        <v>245</v>
      </c>
      <c r="AF53" s="3">
        <f>IF(ISERROR((VLOOKUP($A53,'SegEnds_NonXtal_BW#'!$A:$Z,22,FALSE)+VLOOKUP($A53,A:AL,31,FALSE)-50)),"-",(VLOOKUP($A53,'SegEnds_NonXtal_BW#'!$A:$Z,22,FALSE)+VLOOKUP($A53,A:AL,31,FALSE)-50))</f>
        <v>256</v>
      </c>
      <c r="AG53" s="3">
        <f>IF(ISERROR(VLOOKUP($A53,'SegEnds_NonXtal_BW#'!$A:$Z,23,FALSE)+VLOOKUP($A53,A:AL,34,FALSE)-50),"-",(VLOOKUP($A53,'SegEnds_NonXtal_BW#'!$A:$Z,23,FALSE)+VLOOKUP($A53,A:AL,34,FALSE)-50))</f>
        <v>261</v>
      </c>
      <c r="AH53" s="3">
        <v>279</v>
      </c>
      <c r="AI53" s="3">
        <f>IF(ISERROR((VLOOKUP($A53,'SegEnds_NonXtal_BW#'!$A:$Z,24,FALSE)+VLOOKUP($A53,A:AL,34,FALSE)-50)),"-",(VLOOKUP($A53,'SegEnds_NonXtal_BW#'!$A:$Z,24,FALSE)+VLOOKUP($A53,A:AL,34,FALSE)-50))</f>
        <v>285</v>
      </c>
      <c r="AJ53" s="3">
        <f>IF(ISERROR(VLOOKUP($A53,'SegEnds_NonXtal_BW#'!$A:$Z,25,FALSE)+VLOOKUP($A53,A:AL,37,FALSE)-50),"-",(VLOOKUP($A53,'SegEnds_NonXtal_BW#'!$A:$Z,25,FALSE)+VLOOKUP($A53,A:AL,37,FALSE)-50))</f>
        <v>286</v>
      </c>
      <c r="AK53" s="3">
        <v>289</v>
      </c>
      <c r="AL53" s="3">
        <f>IF(ISERROR((VLOOKUP($A53,'SegEnds_NonXtal_BW#'!$A:$Z,26,FALSE)+VLOOKUP($A53,A:AL,37,FALSE)-50)),"-",(VLOOKUP($A53,'SegEnds_NonXtal_BW#'!$A:$Z,26,FALSE)+VLOOKUP($A53,A:AL,37,FALSE)-50))</f>
        <v>308</v>
      </c>
      <c r="AM53" s="28" t="str">
        <f>VLOOKUP(A53,Classification!A:B,2,FALSE)</f>
        <v>A</v>
      </c>
      <c r="AN53" s="28" t="b">
        <f t="shared" si="17"/>
        <v>1</v>
      </c>
      <c r="AO53" s="3" t="str">
        <f>IF(ISERROR(MATCH(A53,'SegEnds_Xtal_Prot#'!B:B, 0)), "NoXtal", "Xtal")</f>
        <v>NoXtal</v>
      </c>
      <c r="AP53" s="3">
        <f t="shared" si="2"/>
        <v>1</v>
      </c>
      <c r="AQ53" s="3">
        <f t="shared" si="3"/>
        <v>1</v>
      </c>
      <c r="AR53" s="3">
        <f t="shared" si="4"/>
        <v>1</v>
      </c>
      <c r="AS53" s="3">
        <f t="shared" si="5"/>
        <v>1</v>
      </c>
      <c r="AT53" s="3">
        <f t="shared" si="6"/>
        <v>1</v>
      </c>
      <c r="AU53" s="3">
        <f t="shared" si="7"/>
        <v>1</v>
      </c>
      <c r="AV53" s="3">
        <f t="shared" si="8"/>
        <v>18</v>
      </c>
      <c r="AW53" s="3">
        <f t="shared" si="9"/>
        <v>5</v>
      </c>
      <c r="AX53" s="3">
        <f t="shared" si="10"/>
        <v>5</v>
      </c>
      <c r="AY53" s="3">
        <f t="shared" si="11"/>
        <v>5</v>
      </c>
      <c r="AZ53" s="3">
        <f t="shared" si="12"/>
        <v>1</v>
      </c>
      <c r="BA53" s="3">
        <f>IF(ISERROR(LEN(VLOOKUP(A53,Seqs!A:E,2,FALSE))-AL53),"-",LEN(VLOOKUP(A53,Seqs!A:E,2,FALSE))-AL53)</f>
        <v>10</v>
      </c>
      <c r="BB53" s="16">
        <f t="shared" si="13"/>
        <v>28</v>
      </c>
      <c r="BC53" s="9">
        <f t="shared" si="14"/>
        <v>20</v>
      </c>
      <c r="BD53" s="3">
        <f t="shared" si="15"/>
        <v>28</v>
      </c>
      <c r="BE53" s="3">
        <f t="shared" si="16"/>
        <v>56</v>
      </c>
      <c r="BF53" s="3">
        <f>AH53-AE53</f>
        <v>34</v>
      </c>
    </row>
    <row r="54" spans="1:58" s="3" customFormat="1" x14ac:dyDescent="0.2">
      <c r="A54" s="3" t="s">
        <v>143</v>
      </c>
      <c r="B54" s="3" t="str">
        <f>LOWER(VLOOKUP(A54,Xtal_Templ!A:B,2,FALSE))</f>
        <v>ccr5_human</v>
      </c>
      <c r="C54" s="3">
        <f>VLOOKUP($A54,'SegEnds_NonXtal_BW#'!$A:$Z,3,FALSE)+D54-50</f>
        <v>38</v>
      </c>
      <c r="D54" s="3">
        <v>64</v>
      </c>
      <c r="E54" s="3">
        <f>IF(ISERROR(VLOOKUP($A54,'SegEnds_NonXtal_BW#'!$A:$Z,4,FALSE)+VLOOKUP($A54,A:AL,4,FALSE)-50),"-",(VLOOKUP($A54,'SegEnds_NonXtal_BW#'!$A:$Z,4,FALSE)+VLOOKUP($A54,A:AL,4,FALSE)-50))</f>
        <v>74</v>
      </c>
      <c r="F54" s="3">
        <f t="shared" si="27"/>
        <v>75</v>
      </c>
      <c r="G54" s="3">
        <v>77</v>
      </c>
      <c r="H54" s="3">
        <f t="shared" si="33"/>
        <v>78</v>
      </c>
      <c r="I54" s="3">
        <f t="shared" si="33"/>
        <v>79</v>
      </c>
      <c r="J54" s="3">
        <v>92</v>
      </c>
      <c r="K54" s="3">
        <f>VLOOKUP($A54,'SegEnds_NonXtal_BW#'!$A:$Z,8,FALSE)+VLOOKUP($A54,A:AL,10,FALSE)-50</f>
        <v>108</v>
      </c>
      <c r="L54" s="3">
        <f>IF(ISERROR(VLOOKUP($A54,'SegEnds_NonXtal_BW#'!$A:$Z,9,FALSE)+VLOOKUP($A54,A:AL,13,FALSE)-50),"-",(VLOOKUP($A54,'SegEnds_NonXtal_BW#'!$A:$Z,9,FALSE)+VLOOKUP($A54,A:AL,13,FALSE)-50))</f>
        <v>109</v>
      </c>
      <c r="M54" s="3">
        <v>110</v>
      </c>
      <c r="N54" s="3">
        <f>IF(ISERROR(VLOOKUP($A54,'SegEnds_NonXtal_BW#'!$A:$Z,10,FALSE)+VLOOKUP($A54,A:AL,13,FALSE)-50),"-",(VLOOKUP($A54,'SegEnds_NonXtal_BW#'!$A:$Z,10,FALSE)+VLOOKUP($A54,A:AL,13,FALSE)-50))</f>
        <v>112</v>
      </c>
      <c r="O54" s="3">
        <f>VLOOKUP($A54,'SegEnds_NonXtal_BW#'!$A:$Z,11,FALSE)+VLOOKUP($A54,A:AL,16,FALSE)-50</f>
        <v>113</v>
      </c>
      <c r="P54" s="3">
        <v>142</v>
      </c>
      <c r="Q54" s="3">
        <f>VLOOKUP($A54,'SegEnds_NonXtal_BW#'!$A:$Z,12,FALSE)+VLOOKUP($A54,A:AL,16,FALSE)-50</f>
        <v>148</v>
      </c>
      <c r="R54" s="3">
        <f>IF(ISERROR(VLOOKUP($A54,'SegEnds_NonXtal_BW#'!$A:$Z,13,FALSE)+VLOOKUP($A54,A:AL,19,FALSE)-50),"-",VLOOKUP($A54,'SegEnds_NonXtal_BW#'!$A:$Z,13,FALSE)+VLOOKUP($A54,A:AL,19,FALSE)-50)</f>
        <v>149</v>
      </c>
      <c r="S54" s="3">
        <v>149</v>
      </c>
      <c r="T54" s="100">
        <f>IF(ISERROR(VLOOKUP($A54,'SegEnds_NonXtal_BW#'!$A:$Z,14,FALSE)+VLOOKUP($A54,A:AL,19,FALSE)-50),"-",(VLOOKUP($A54,'SegEnds_NonXtal_BW#'!$A:$Z,14,FALSE)+VLOOKUP($A54,A:AL,19,FALSE)-50))</f>
        <v>156</v>
      </c>
      <c r="U54" s="9">
        <f>IF(ISERROR(VLOOKUP($A54,'SegEnds_NonXtal_BW#'!$A:$Z,15,FALSE)+VLOOKUP($A54,A:AL,22,FALSE)-50),"-",VLOOKUP($A54,'SegEnds_NonXtal_BW#'!$A:$Z,15,FALSE)+VLOOKUP($A54,A:AL,22,FALSE)-50)</f>
        <v>157</v>
      </c>
      <c r="V54" s="3">
        <v>169</v>
      </c>
      <c r="W54" s="3">
        <f>IF(ISERROR(VLOOKUP($A54,'SegEnds_NonXtal_BW#'!$A:$Z,16,FALSE)+VLOOKUP($A54,A:AL,22,FALSE)-50),"-",(VLOOKUP($A54,'SegEnds_NonXtal_BW#'!$A:$Z,16,FALSE)+VLOOKUP($A54,A:AL,22,FALSE)-50))</f>
        <v>183</v>
      </c>
      <c r="X54" s="3">
        <f>IF(ISERROR(VLOOKUP($A54,'SegEnds_NonXtal_BW#'!$A:$Z,17,FALSE)+VLOOKUP($A54,A:AL,25,FALSE)-50),"-",(VLOOKUP($A54,'SegEnds_NonXtal_BW#'!$A:$Z,17,FALSE)+VLOOKUP($A54,A:AL,25,FALSE)-50))</f>
        <v>195</v>
      </c>
      <c r="Y54" s="3">
        <v>195</v>
      </c>
      <c r="Z54" s="3">
        <f t="shared" si="31"/>
        <v>197</v>
      </c>
      <c r="AA54" s="3">
        <f>IF(ISERROR(VLOOKUP($A54,'SegEnds_NonXtal_BW#'!$A:$Z,19,FALSE)+VLOOKUP($A54,A:AL,28,FALSE)-50),"-",(VLOOKUP($A54,'SegEnds_NonXtal_BW#'!$A:$Z,19,FALSE)+VLOOKUP($A54,A:AL,28,FALSE)-50))</f>
        <v>202</v>
      </c>
      <c r="AB54" s="3">
        <v>222</v>
      </c>
      <c r="AC54" s="3">
        <f>IF(ISERROR((VLOOKUP($A54,'SegEnds_NonXtal_BW#'!$A:$Z,20,FALSE)+VLOOKUP($A54,A:AL,28,FALSE)-50)),"-",(VLOOKUP($A54,'SegEnds_NonXtal_BW#'!$A:$Z,20,FALSE)+VLOOKUP($A54,A:AL,28,FALSE)-50))</f>
        <v>240</v>
      </c>
      <c r="AD54" s="3">
        <f>IF(ISERROR(VLOOKUP($A54,'SegEnds_NonXtal_BW#'!$A:$Z,21,FALSE)+VLOOKUP($A54,A:AL,31,FALSE)-50),"-",(VLOOKUP($A54,'SegEnds_NonXtal_BW#'!$A:$Z,21,FALSE)+VLOOKUP($A54,A:AL,31,FALSE)-50))</f>
        <v>245</v>
      </c>
      <c r="AE54" s="3">
        <v>265</v>
      </c>
      <c r="AF54" s="3">
        <f>IF(ISERROR((VLOOKUP($A54,'SegEnds_NonXtal_BW#'!$A:$Z,22,FALSE)+VLOOKUP($A54,A:AL,31,FALSE)-50)),"-",(VLOOKUP($A54,'SegEnds_NonXtal_BW#'!$A:$Z,22,FALSE)+VLOOKUP($A54,A:AL,31,FALSE)-50))</f>
        <v>279</v>
      </c>
      <c r="AG54" s="3">
        <f>IF(ISERROR(VLOOKUP($A54,'SegEnds_NonXtal_BW#'!$A:$Z,23,FALSE)+VLOOKUP($A54,A:AL,34,FALSE)-50),"-",(VLOOKUP($A54,'SegEnds_NonXtal_BW#'!$A:$Z,23,FALSE)+VLOOKUP($A54,A:AL,34,FALSE)-50))</f>
        <v>283</v>
      </c>
      <c r="AH54" s="3">
        <v>309</v>
      </c>
      <c r="AI54" s="3">
        <f>IF(ISERROR((VLOOKUP($A54,'SegEnds_NonXtal_BW#'!$A:$Z,24,FALSE)+VLOOKUP($A54,A:AL,34,FALSE)-50)),"-",(VLOOKUP($A54,'SegEnds_NonXtal_BW#'!$A:$Z,24,FALSE)+VLOOKUP($A54,A:AL,34,FALSE)-50))</f>
        <v>315</v>
      </c>
      <c r="AJ54" s="3">
        <f>IF(ISERROR(VLOOKUP($A54,'SegEnds_NonXtal_BW#'!$A:$Z,25,FALSE)+VLOOKUP($A54,A:AL,37,FALSE)-50),"-",(VLOOKUP($A54,'SegEnds_NonXtal_BW#'!$A:$Z,25,FALSE)+VLOOKUP($A54,A:AL,37,FALSE)-50))</f>
        <v>316</v>
      </c>
      <c r="AK54" s="3">
        <v>319</v>
      </c>
      <c r="AL54" s="3">
        <f>IF(ISERROR((VLOOKUP($A54,'SegEnds_NonXtal_BW#'!$A:$Z,26,FALSE)+VLOOKUP($A54,A:AL,37,FALSE)-50)),"-",(VLOOKUP($A54,'SegEnds_NonXtal_BW#'!$A:$Z,26,FALSE)+VLOOKUP($A54,A:AL,37,FALSE)-50))</f>
        <v>328</v>
      </c>
      <c r="AM54" s="28" t="str">
        <f>VLOOKUP(A54,Classification!A:B,2,FALSE)</f>
        <v>A</v>
      </c>
      <c r="AN54" s="28" t="b">
        <f t="shared" si="17"/>
        <v>1</v>
      </c>
      <c r="AO54" s="3" t="str">
        <f>IF(ISERROR(MATCH(A54,'SegEnds_Xtal_Prot#'!B:B, 0)), "NoXtal", "Xtal")</f>
        <v>NoXtal</v>
      </c>
      <c r="AP54" s="3">
        <f t="shared" si="2"/>
        <v>1</v>
      </c>
      <c r="AQ54" s="3">
        <f t="shared" si="3"/>
        <v>1</v>
      </c>
      <c r="AR54" s="3">
        <f t="shared" si="4"/>
        <v>1</v>
      </c>
      <c r="AS54" s="3">
        <f t="shared" si="5"/>
        <v>1</v>
      </c>
      <c r="AT54" s="3">
        <f t="shared" si="6"/>
        <v>1</v>
      </c>
      <c r="AU54" s="3">
        <f t="shared" si="7"/>
        <v>1</v>
      </c>
      <c r="AV54" s="3">
        <f t="shared" si="8"/>
        <v>12</v>
      </c>
      <c r="AW54" s="3">
        <f t="shared" si="9"/>
        <v>5</v>
      </c>
      <c r="AX54" s="3">
        <f t="shared" si="10"/>
        <v>5</v>
      </c>
      <c r="AY54" s="3">
        <f t="shared" si="11"/>
        <v>4</v>
      </c>
      <c r="AZ54" s="3">
        <f t="shared" si="12"/>
        <v>1</v>
      </c>
      <c r="BA54" s="3">
        <f>IF(ISERROR(LEN(VLOOKUP(A54,Seqs!A:E,2,FALSE))-AL54),"-",LEN(VLOOKUP(A54,Seqs!A:E,2,FALSE))-AL54)</f>
        <v>56</v>
      </c>
      <c r="BB54" s="16">
        <f t="shared" si="13"/>
        <v>28</v>
      </c>
      <c r="BC54" s="9">
        <f t="shared" si="14"/>
        <v>20</v>
      </c>
      <c r="BD54" s="3">
        <f t="shared" si="15"/>
        <v>28</v>
      </c>
      <c r="BE54" s="3">
        <f t="shared" si="16"/>
        <v>43</v>
      </c>
    </row>
    <row r="55" spans="1:58" s="3" customFormat="1" x14ac:dyDescent="0.2">
      <c r="A55" s="3" t="s">
        <v>146</v>
      </c>
      <c r="B55" s="3" t="str">
        <f>LOWER(VLOOKUP(A55,Xtal_Templ!A:B,2,FALSE))</f>
        <v>acm1_human</v>
      </c>
      <c r="C55" s="3">
        <f>VLOOKUP($A55,'SegEnds_NonXtal_BW#'!$A:$Z,3,FALSE)+D55-50</f>
        <v>22</v>
      </c>
      <c r="D55" s="3">
        <v>43</v>
      </c>
      <c r="E55" s="3">
        <f>IF(ISERROR(VLOOKUP($A55,'SegEnds_NonXtal_BW#'!$A:$Z,4,FALSE)+VLOOKUP($A55,A:AL,4,FALSE)-50),"-",(VLOOKUP($A55,'SegEnds_NonXtal_BW#'!$A:$Z,4,FALSE)+VLOOKUP($A55,A:AL,4,FALSE)-50))</f>
        <v>53</v>
      </c>
      <c r="F55" s="3">
        <f t="shared" si="27"/>
        <v>54</v>
      </c>
      <c r="G55" s="3">
        <v>56</v>
      </c>
      <c r="H55" s="3">
        <f t="shared" si="33"/>
        <v>57</v>
      </c>
      <c r="I55" s="3">
        <f t="shared" si="33"/>
        <v>58</v>
      </c>
      <c r="J55" s="3">
        <v>71</v>
      </c>
      <c r="K55" s="3">
        <f>VLOOKUP($A55,'SegEnds_NonXtal_BW#'!$A:$Z,8,FALSE)+VLOOKUP($A55,A:AL,10,FALSE)-50</f>
        <v>89</v>
      </c>
      <c r="L55" s="3">
        <f>M55-1</f>
        <v>90</v>
      </c>
      <c r="M55" s="3">
        <v>91</v>
      </c>
      <c r="N55" s="3">
        <f>M55+2</f>
        <v>93</v>
      </c>
      <c r="O55" s="3">
        <f t="shared" ref="O55:O60" si="34">N55+1</f>
        <v>94</v>
      </c>
      <c r="P55" s="3">
        <v>123</v>
      </c>
      <c r="Q55" s="3">
        <f>VLOOKUP($A55,'SegEnds_NonXtal_BW#'!$A:$Z,12,FALSE)+VLOOKUP($A55,A:AL,16,FALSE)-50</f>
        <v>129</v>
      </c>
      <c r="R55" s="3">
        <f>IF(ISERROR(VLOOKUP($A55,'SegEnds_NonXtal_BW#'!$A:$Z,13,FALSE)+VLOOKUP($A55,A:AL,19,FALSE)-50),"-",VLOOKUP($A55,'SegEnds_NonXtal_BW#'!$A:$Z,13,FALSE)+VLOOKUP($A55,A:AL,19,FALSE)-50)</f>
        <v>130</v>
      </c>
      <c r="S55" s="3">
        <v>130</v>
      </c>
      <c r="T55" s="100">
        <f>IF(ISERROR(VLOOKUP($A55,'SegEnds_NonXtal_BW#'!$A:$Z,14,FALSE)+VLOOKUP($A55,A:AL,19,FALSE)-50),"-",(VLOOKUP($A55,'SegEnds_NonXtal_BW#'!$A:$Z,14,FALSE)+VLOOKUP($A55,A:AL,19,FALSE)-50))</f>
        <v>137</v>
      </c>
      <c r="U55" s="9">
        <f>IF(ISERROR(VLOOKUP($A55,'SegEnds_NonXtal_BW#'!$A:$Z,15,FALSE)+VLOOKUP($A55,A:AL,22,FALSE)-50),"-",VLOOKUP($A55,'SegEnds_NonXtal_BW#'!$A:$Z,15,FALSE)+VLOOKUP($A55,A:AL,22,FALSE)-50)</f>
        <v>138</v>
      </c>
      <c r="V55" s="3">
        <v>150</v>
      </c>
      <c r="W55" s="3">
        <f>IF(ISERROR(VLOOKUP($A55,'SegEnds_NonXtal_BW#'!$A:$Z,16,FALSE)+VLOOKUP($A55,A:AL,22,FALSE)-50),"-",(VLOOKUP($A55,'SegEnds_NonXtal_BW#'!$A:$Z,16,FALSE)+VLOOKUP($A55,A:AL,22,FALSE)-50))</f>
        <v>169</v>
      </c>
      <c r="X55" s="3">
        <f>IF(ISERROR(VLOOKUP($A55,'SegEnds_NonXtal_BW#'!$A:$Z,17,FALSE)+VLOOKUP($A55,A:AL,25,FALSE)-50),"-",(VLOOKUP($A55,'SegEnds_NonXtal_BW#'!$A:$Z,17,FALSE)+VLOOKUP($A55,A:AL,25,FALSE)-50))</f>
        <v>178</v>
      </c>
      <c r="Y55" s="3">
        <v>178</v>
      </c>
      <c r="Z55" s="3">
        <f t="shared" si="31"/>
        <v>180</v>
      </c>
      <c r="AA55" s="3">
        <f>IF(ISERROR(VLOOKUP($A55,'SegEnds_NonXtal_BW#'!$A:$Z,19,FALSE)+VLOOKUP($A55,A:AL,28,FALSE)-50),"-",(VLOOKUP($A55,'SegEnds_NonXtal_BW#'!$A:$Z,19,FALSE)+VLOOKUP($A55,A:AL,28,FALSE)-50))</f>
        <v>185</v>
      </c>
      <c r="AB55" s="3">
        <v>200</v>
      </c>
      <c r="AC55" s="3">
        <f>IF(ISERROR((VLOOKUP($A55,'SegEnds_NonXtal_BW#'!$A:$Z,20,FALSE)+VLOOKUP($A55,A:AL,28,FALSE)-50)),"-",(VLOOKUP($A55,'SegEnds_NonXtal_BW#'!$A:$Z,20,FALSE)+VLOOKUP($A55,A:AL,28,FALSE)-50))</f>
        <v>225</v>
      </c>
      <c r="AD55" s="3">
        <f>IF(ISERROR(VLOOKUP($A55,'SegEnds_NonXtal_BW#'!$A:$Z,21,FALSE)+VLOOKUP($A55,A:AL,31,FALSE)-50),"-",(VLOOKUP($A55,'SegEnds_NonXtal_BW#'!$A:$Z,21,FALSE)+VLOOKUP($A55,A:AL,31,FALSE)-50))</f>
        <v>354</v>
      </c>
      <c r="AE55" s="3">
        <v>380</v>
      </c>
      <c r="AF55" s="3">
        <f>IF(ISERROR((VLOOKUP($A55,'SegEnds_NonXtal_BW#'!$A:$Z,22,FALSE)+VLOOKUP($A55,A:AL,31,FALSE)-50)),"-",(VLOOKUP($A55,'SegEnds_NonXtal_BW#'!$A:$Z,22,FALSE)+VLOOKUP($A55,A:AL,31,FALSE)-50))</f>
        <v>391</v>
      </c>
      <c r="AG55" s="3">
        <f>IF(ISERROR(VLOOKUP($A55,'SegEnds_NonXtal_BW#'!$A:$Z,23,FALSE)+VLOOKUP($A55,A:AL,34,FALSE)-50),"-",(VLOOKUP($A55,'SegEnds_NonXtal_BW#'!$A:$Z,23,FALSE)+VLOOKUP($A55,A:AL,34,FALSE)-50))</f>
        <v>396</v>
      </c>
      <c r="AH55" s="3">
        <v>415</v>
      </c>
      <c r="AI55" s="3">
        <f>IF(ISERROR((VLOOKUP($A55,'SegEnds_NonXtal_BW#'!$A:$Z,24,FALSE)+VLOOKUP($A55,A:AL,34,FALSE)-50)),"-",(VLOOKUP($A55,'SegEnds_NonXtal_BW#'!$A:$Z,24,FALSE)+VLOOKUP($A55,A:AL,34,FALSE)-50))</f>
        <v>421</v>
      </c>
      <c r="AJ55" s="3">
        <f>IF(ISERROR(VLOOKUP($A55,'SegEnds_NonXtal_BW#'!$A:$Z,25,FALSE)+VLOOKUP($A55,A:AL,37,FALSE)-50),"-",(VLOOKUP($A55,'SegEnds_NonXtal_BW#'!$A:$Z,25,FALSE)+VLOOKUP($A55,A:AL,37,FALSE)-50))</f>
        <v>422</v>
      </c>
      <c r="AK55" s="3">
        <v>425</v>
      </c>
      <c r="AL55" s="3">
        <f>IF(ISERROR((VLOOKUP($A55,'SegEnds_NonXtal_BW#'!$A:$Z,26,FALSE)+VLOOKUP($A55,A:AL,37,FALSE)-50)),"-",(VLOOKUP($A55,'SegEnds_NonXtal_BW#'!$A:$Z,26,FALSE)+VLOOKUP($A55,A:AL,37,FALSE)-50))</f>
        <v>434</v>
      </c>
      <c r="AM55" s="28" t="str">
        <f>VLOOKUP(A55,Classification!A:B,2,FALSE)</f>
        <v>A</v>
      </c>
      <c r="AN55" s="28" t="b">
        <f t="shared" si="17"/>
        <v>1</v>
      </c>
      <c r="AO55" s="3" t="str">
        <f>IF(ISERROR(MATCH(A55,'SegEnds_Xtal_Prot#'!B:B, 0)), "NoXtal", "Xtal")</f>
        <v>Xtal</v>
      </c>
      <c r="AP55" s="3">
        <f t="shared" si="2"/>
        <v>1</v>
      </c>
      <c r="AQ55" s="3">
        <f t="shared" si="3"/>
        <v>1</v>
      </c>
      <c r="AR55" s="3">
        <f t="shared" si="4"/>
        <v>1</v>
      </c>
      <c r="AS55" s="3">
        <f t="shared" si="5"/>
        <v>1</v>
      </c>
      <c r="AT55" s="3">
        <f t="shared" si="6"/>
        <v>1</v>
      </c>
      <c r="AU55" s="3">
        <f t="shared" si="7"/>
        <v>1</v>
      </c>
      <c r="AV55" s="3">
        <f t="shared" si="8"/>
        <v>9</v>
      </c>
      <c r="AW55" s="3">
        <f t="shared" si="9"/>
        <v>5</v>
      </c>
      <c r="AX55" s="3">
        <f t="shared" si="10"/>
        <v>129</v>
      </c>
      <c r="AY55" s="3">
        <f t="shared" si="11"/>
        <v>5</v>
      </c>
      <c r="AZ55" s="3">
        <f t="shared" si="12"/>
        <v>1</v>
      </c>
      <c r="BA55" s="3">
        <f>IF(ISERROR(LEN(VLOOKUP(A55,Seqs!A:E,2,FALSE))-AL55),"-",LEN(VLOOKUP(A55,Seqs!A:E,2,FALSE))-AL55)</f>
        <v>26</v>
      </c>
      <c r="BB55" s="16">
        <f t="shared" si="13"/>
        <v>28</v>
      </c>
      <c r="BC55" s="9">
        <f t="shared" si="14"/>
        <v>20</v>
      </c>
      <c r="BD55" s="3">
        <f t="shared" si="15"/>
        <v>28</v>
      </c>
      <c r="BE55" s="3">
        <f t="shared" si="16"/>
        <v>180</v>
      </c>
      <c r="BF55" s="3">
        <f>AH55-AE55</f>
        <v>35</v>
      </c>
    </row>
    <row r="56" spans="1:58" s="3" customFormat="1" x14ac:dyDescent="0.2">
      <c r="A56" s="3" t="s">
        <v>147</v>
      </c>
      <c r="B56" s="3" t="str">
        <f>LOWER(VLOOKUP(A56,Xtal_Templ!A:B,2,FALSE))</f>
        <v>acm2_human</v>
      </c>
      <c r="C56" s="3">
        <f>VLOOKUP($A56,'SegEnds_NonXtal_BW#'!$A:$Z,3,FALSE)+D56-50</f>
        <v>19</v>
      </c>
      <c r="D56" s="3">
        <v>41</v>
      </c>
      <c r="E56" s="3">
        <f>IF(ISERROR(VLOOKUP($A56,'SegEnds_NonXtal_BW#'!$A:$Z,4,FALSE)+VLOOKUP($A56,A:AL,4,FALSE)-50),"-",(VLOOKUP($A56,'SegEnds_NonXtal_BW#'!$A:$Z,4,FALSE)+VLOOKUP($A56,A:AL,4,FALSE)-50))</f>
        <v>51</v>
      </c>
      <c r="F56" s="3">
        <f t="shared" si="27"/>
        <v>52</v>
      </c>
      <c r="G56" s="3">
        <v>54</v>
      </c>
      <c r="H56" s="3">
        <f t="shared" si="33"/>
        <v>55</v>
      </c>
      <c r="I56" s="3">
        <f t="shared" si="33"/>
        <v>56</v>
      </c>
      <c r="J56" s="3">
        <v>69</v>
      </c>
      <c r="K56" s="3">
        <f>VLOOKUP($A56,'SegEnds_NonXtal_BW#'!$A:$Z,8,FALSE)+VLOOKUP($A56,A:AL,10,FALSE)-50</f>
        <v>87</v>
      </c>
      <c r="L56" s="3">
        <f>M56-1</f>
        <v>88</v>
      </c>
      <c r="M56" s="3">
        <v>89</v>
      </c>
      <c r="N56" s="3">
        <f>M56+2</f>
        <v>91</v>
      </c>
      <c r="O56" s="3">
        <f t="shared" si="34"/>
        <v>92</v>
      </c>
      <c r="P56" s="3">
        <v>121</v>
      </c>
      <c r="Q56" s="3">
        <f>VLOOKUP($A56,'SegEnds_NonXtal_BW#'!$A:$Z,12,FALSE)+VLOOKUP($A56,A:AL,16,FALSE)-50</f>
        <v>127</v>
      </c>
      <c r="R56" s="3">
        <f>IF(ISERROR(VLOOKUP($A56,'SegEnds_NonXtal_BW#'!$A:$Z,13,FALSE)+VLOOKUP($A56,A:AL,19,FALSE)-50),"-",VLOOKUP($A56,'SegEnds_NonXtal_BW#'!$A:$Z,13,FALSE)+VLOOKUP($A56,A:AL,19,FALSE)-50)</f>
        <v>128</v>
      </c>
      <c r="S56" s="3">
        <v>128</v>
      </c>
      <c r="T56" s="100">
        <f>IF(ISERROR(VLOOKUP($A56,'SegEnds_NonXtal_BW#'!$A:$Z,14,FALSE)+VLOOKUP($A56,A:AL,19,FALSE)-50),"-",(VLOOKUP($A56,'SegEnds_NonXtal_BW#'!$A:$Z,14,FALSE)+VLOOKUP($A56,A:AL,19,FALSE)-50))</f>
        <v>135</v>
      </c>
      <c r="U56" s="9">
        <f>IF(ISERROR(VLOOKUP($A56,'SegEnds_NonXtal_BW#'!$A:$Z,15,FALSE)+VLOOKUP($A56,A:AL,22,FALSE)-50),"-",VLOOKUP($A56,'SegEnds_NonXtal_BW#'!$A:$Z,15,FALSE)+VLOOKUP($A56,A:AL,22,FALSE)-50)</f>
        <v>136</v>
      </c>
      <c r="V56" s="3">
        <v>148</v>
      </c>
      <c r="W56" s="3">
        <f>IF(ISERROR(VLOOKUP($A56,'SegEnds_NonXtal_BW#'!$A:$Z,16,FALSE)+VLOOKUP($A56,A:AL,22,FALSE)-50),"-",(VLOOKUP($A56,'SegEnds_NonXtal_BW#'!$A:$Z,16,FALSE)+VLOOKUP($A56,A:AL,22,FALSE)-50))</f>
        <v>167</v>
      </c>
      <c r="X56" s="3">
        <f>IF(ISERROR(VLOOKUP($A56,'SegEnds_NonXtal_BW#'!$A:$Z,17,FALSE)+VLOOKUP($A56,A:AL,25,FALSE)-50),"-",(VLOOKUP($A56,'SegEnds_NonXtal_BW#'!$A:$Z,17,FALSE)+VLOOKUP($A56,A:AL,25,FALSE)-50))</f>
        <v>176</v>
      </c>
      <c r="Y56" s="3">
        <v>176</v>
      </c>
      <c r="Z56" s="3">
        <f t="shared" si="31"/>
        <v>178</v>
      </c>
      <c r="AA56" s="3">
        <f>IF(ISERROR(VLOOKUP($A56,'SegEnds_NonXtal_BW#'!$A:$Z,19,FALSE)+VLOOKUP($A56,A:AL,28,FALSE)-50),"-",(VLOOKUP($A56,'SegEnds_NonXtal_BW#'!$A:$Z,19,FALSE)+VLOOKUP($A56,A:AL,28,FALSE)-50))</f>
        <v>183</v>
      </c>
      <c r="AB56" s="3">
        <v>198</v>
      </c>
      <c r="AC56" s="3">
        <f>IF(ISERROR((VLOOKUP($A56,'SegEnds_NonXtal_BW#'!$A:$Z,20,FALSE)+VLOOKUP($A56,A:AL,28,FALSE)-50)),"-",(VLOOKUP($A56,'SegEnds_NonXtal_BW#'!$A:$Z,20,FALSE)+VLOOKUP($A56,A:AL,28,FALSE)-50))</f>
        <v>223</v>
      </c>
      <c r="AD56" s="3">
        <f>IF(ISERROR(VLOOKUP($A56,'SegEnds_NonXtal_BW#'!$A:$Z,21,FALSE)+VLOOKUP($A56,A:AL,31,FALSE)-50),"-",(VLOOKUP($A56,'SegEnds_NonXtal_BW#'!$A:$Z,21,FALSE)+VLOOKUP($A56,A:AL,31,FALSE)-50))</f>
        <v>376</v>
      </c>
      <c r="AE56" s="3">
        <v>402</v>
      </c>
      <c r="AF56" s="3">
        <f>IF(ISERROR((VLOOKUP($A56,'SegEnds_NonXtal_BW#'!$A:$Z,22,FALSE)+VLOOKUP($A56,A:AL,31,FALSE)-50)),"-",(VLOOKUP($A56,'SegEnds_NonXtal_BW#'!$A:$Z,22,FALSE)+VLOOKUP($A56,A:AL,31,FALSE)-50))</f>
        <v>413</v>
      </c>
      <c r="AG56" s="3">
        <f>IF(ISERROR(VLOOKUP($A56,'SegEnds_NonXtal_BW#'!$A:$Z,23,FALSE)+VLOOKUP($A56,A:AL,34,FALSE)-50),"-",(VLOOKUP($A56,'SegEnds_NonXtal_BW#'!$A:$Z,23,FALSE)+VLOOKUP($A56,A:AL,34,FALSE)-50))</f>
        <v>418</v>
      </c>
      <c r="AH56" s="3">
        <v>437</v>
      </c>
      <c r="AI56" s="3">
        <f>IF(ISERROR((VLOOKUP($A56,'SegEnds_NonXtal_BW#'!$A:$Z,24,FALSE)+VLOOKUP($A56,A:AL,34,FALSE)-50)),"-",(VLOOKUP($A56,'SegEnds_NonXtal_BW#'!$A:$Z,24,FALSE)+VLOOKUP($A56,A:AL,34,FALSE)-50))</f>
        <v>443</v>
      </c>
      <c r="AJ56" s="3">
        <f>IF(ISERROR(VLOOKUP($A56,'SegEnds_NonXtal_BW#'!$A:$Z,25,FALSE)+VLOOKUP($A56,A:AL,37,FALSE)-50),"-",(VLOOKUP($A56,'SegEnds_NonXtal_BW#'!$A:$Z,25,FALSE)+VLOOKUP($A56,A:AL,37,FALSE)-50))</f>
        <v>444</v>
      </c>
      <c r="AK56" s="3">
        <v>447</v>
      </c>
      <c r="AL56" s="3">
        <f>IF(ISERROR((VLOOKUP($A56,'SegEnds_NonXtal_BW#'!$A:$Z,26,FALSE)+VLOOKUP($A56,A:AL,37,FALSE)-50)),"-",(VLOOKUP($A56,'SegEnds_NonXtal_BW#'!$A:$Z,26,FALSE)+VLOOKUP($A56,A:AL,37,FALSE)-50))</f>
        <v>456</v>
      </c>
      <c r="AM56" s="28" t="str">
        <f>VLOOKUP(A56,Classification!A:B,2,FALSE)</f>
        <v>A</v>
      </c>
      <c r="AN56" s="28" t="b">
        <f t="shared" si="17"/>
        <v>1</v>
      </c>
      <c r="AO56" s="3" t="str">
        <f>IF(ISERROR(MATCH(A56,'SegEnds_Xtal_Prot#'!B:B, 0)), "NoXtal", "Xtal")</f>
        <v>Xtal</v>
      </c>
      <c r="AP56" s="3">
        <f t="shared" si="2"/>
        <v>1</v>
      </c>
      <c r="AQ56" s="3">
        <f t="shared" si="3"/>
        <v>1</v>
      </c>
      <c r="AR56" s="3">
        <f t="shared" si="4"/>
        <v>1</v>
      </c>
      <c r="AS56" s="3">
        <f t="shared" si="5"/>
        <v>1</v>
      </c>
      <c r="AT56" s="3">
        <f t="shared" si="6"/>
        <v>1</v>
      </c>
      <c r="AU56" s="3">
        <f t="shared" si="7"/>
        <v>1</v>
      </c>
      <c r="AV56" s="3">
        <f t="shared" si="8"/>
        <v>9</v>
      </c>
      <c r="AW56" s="3">
        <f t="shared" si="9"/>
        <v>5</v>
      </c>
      <c r="AX56" s="3">
        <f t="shared" si="10"/>
        <v>153</v>
      </c>
      <c r="AY56" s="3">
        <f t="shared" si="11"/>
        <v>5</v>
      </c>
      <c r="AZ56" s="3">
        <f t="shared" si="12"/>
        <v>1</v>
      </c>
      <c r="BA56" s="3">
        <f>IF(ISERROR(LEN(VLOOKUP(A56,Seqs!A:E,2,FALSE))-AL56),"-",LEN(VLOOKUP(A56,Seqs!A:E,2,FALSE))-AL56)</f>
        <v>10</v>
      </c>
      <c r="BB56" s="16">
        <f t="shared" si="13"/>
        <v>28</v>
      </c>
      <c r="BC56" s="9">
        <f t="shared" si="14"/>
        <v>20</v>
      </c>
      <c r="BD56" s="3">
        <f t="shared" si="15"/>
        <v>28</v>
      </c>
      <c r="BE56" s="3">
        <f t="shared" si="16"/>
        <v>204</v>
      </c>
      <c r="BF56" s="3">
        <f>AH56-AE56</f>
        <v>35</v>
      </c>
    </row>
    <row r="57" spans="1:58" s="3" customFormat="1" x14ac:dyDescent="0.2">
      <c r="A57" s="3" t="s">
        <v>148</v>
      </c>
      <c r="B57" s="3" t="str">
        <f>LOWER(VLOOKUP(A57,Xtal_Templ!A:B,2,FALSE))</f>
        <v>acm3_rat</v>
      </c>
      <c r="C57" s="3">
        <f>VLOOKUP($A57,'SegEnds_NonXtal_BW#'!$A:$Z,3,FALSE)+D57-50</f>
        <v>65</v>
      </c>
      <c r="D57" s="3">
        <v>86</v>
      </c>
      <c r="E57" s="3">
        <f>IF(ISERROR(VLOOKUP($A57,'SegEnds_NonXtal_BW#'!$A:$Z,4,FALSE)+VLOOKUP($A57,A:AL,4,FALSE)-50),"-",(VLOOKUP($A57,'SegEnds_NonXtal_BW#'!$A:$Z,4,FALSE)+VLOOKUP($A57,A:AL,4,FALSE)-50))</f>
        <v>96</v>
      </c>
      <c r="F57" s="3">
        <f t="shared" si="27"/>
        <v>97</v>
      </c>
      <c r="G57" s="3">
        <v>99</v>
      </c>
      <c r="H57" s="3">
        <f t="shared" si="33"/>
        <v>100</v>
      </c>
      <c r="I57" s="3">
        <f t="shared" si="33"/>
        <v>101</v>
      </c>
      <c r="J57" s="3">
        <v>114</v>
      </c>
      <c r="K57" s="3">
        <f>VLOOKUP($A57,'SegEnds_NonXtal_BW#'!$A:$Z,8,FALSE)+VLOOKUP($A57,A:AL,10,FALSE)-50</f>
        <v>131</v>
      </c>
      <c r="L57" s="3">
        <f>M57-1</f>
        <v>133</v>
      </c>
      <c r="M57" s="3">
        <v>134</v>
      </c>
      <c r="N57" s="3">
        <f>M57+2</f>
        <v>136</v>
      </c>
      <c r="O57" s="3">
        <f t="shared" si="34"/>
        <v>137</v>
      </c>
      <c r="P57" s="3">
        <v>166</v>
      </c>
      <c r="Q57" s="3">
        <f>VLOOKUP($A57,'SegEnds_NonXtal_BW#'!$A:$Z,12,FALSE)+VLOOKUP($A57,A:AL,16,FALSE)-50</f>
        <v>172</v>
      </c>
      <c r="R57" s="3">
        <f>IF(ISERROR(VLOOKUP($A57,'SegEnds_NonXtal_BW#'!$A:$Z,13,FALSE)+VLOOKUP($A57,A:AL,19,FALSE)-50),"-",VLOOKUP($A57,'SegEnds_NonXtal_BW#'!$A:$Z,13,FALSE)+VLOOKUP($A57,A:AL,19,FALSE)-50)</f>
        <v>173</v>
      </c>
      <c r="S57" s="3">
        <v>173</v>
      </c>
      <c r="T57" s="100">
        <f>IF(ISERROR(VLOOKUP($A57,'SegEnds_NonXtal_BW#'!$A:$Z,14,FALSE)+VLOOKUP($A57,A:AL,19,FALSE)-50),"-",(VLOOKUP($A57,'SegEnds_NonXtal_BW#'!$A:$Z,14,FALSE)+VLOOKUP($A57,A:AL,19,FALSE)-50))</f>
        <v>180</v>
      </c>
      <c r="U57" s="9">
        <f>IF(ISERROR(VLOOKUP($A57,'SegEnds_NonXtal_BW#'!$A:$Z,15,FALSE)+VLOOKUP($A57,A:AL,22,FALSE)-50),"-",VLOOKUP($A57,'SegEnds_NonXtal_BW#'!$A:$Z,15,FALSE)+VLOOKUP($A57,A:AL,22,FALSE)-50)</f>
        <v>181</v>
      </c>
      <c r="V57" s="3">
        <v>193</v>
      </c>
      <c r="W57" s="3">
        <f>IF(ISERROR(VLOOKUP($A57,'SegEnds_NonXtal_BW#'!$A:$Z,16,FALSE)+VLOOKUP($A57,A:AL,22,FALSE)-50),"-",(VLOOKUP($A57,'SegEnds_NonXtal_BW#'!$A:$Z,16,FALSE)+VLOOKUP($A57,A:AL,22,FALSE)-50))</f>
        <v>212</v>
      </c>
      <c r="X57" s="3">
        <f>IF(ISERROR(VLOOKUP($A57,'SegEnds_NonXtal_BW#'!$A:$Z,17,FALSE)+VLOOKUP($A57,A:AL,25,FALSE)-50),"-",(VLOOKUP($A57,'SegEnds_NonXtal_BW#'!$A:$Z,17,FALSE)+VLOOKUP($A57,A:AL,25,FALSE)-50))</f>
        <v>221</v>
      </c>
      <c r="Y57" s="3">
        <v>221</v>
      </c>
      <c r="Z57" s="3">
        <f t="shared" si="31"/>
        <v>223</v>
      </c>
      <c r="AA57" s="3">
        <f>IF(ISERROR(VLOOKUP($A57,'SegEnds_NonXtal_BW#'!$A:$Z,19,FALSE)+VLOOKUP($A57,A:AL,28,FALSE)-50),"-",(VLOOKUP($A57,'SegEnds_NonXtal_BW#'!$A:$Z,19,FALSE)+VLOOKUP($A57,A:AL,28,FALSE)-50))</f>
        <v>228</v>
      </c>
      <c r="AB57" s="3">
        <v>243</v>
      </c>
      <c r="AC57" s="3">
        <f>IF(ISERROR((VLOOKUP($A57,'SegEnds_NonXtal_BW#'!$A:$Z,20,FALSE)+VLOOKUP($A57,A:AL,28,FALSE)-50)),"-",(VLOOKUP($A57,'SegEnds_NonXtal_BW#'!$A:$Z,20,FALSE)+VLOOKUP($A57,A:AL,28,FALSE)-50))</f>
        <v>268</v>
      </c>
      <c r="AD57" s="3">
        <f>IF(ISERROR(VLOOKUP($A57,'SegEnds_NonXtal_BW#'!$A:$Z,21,FALSE)+VLOOKUP($A57,A:AL,31,FALSE)-50),"-",(VLOOKUP($A57,'SegEnds_NonXtal_BW#'!$A:$Z,21,FALSE)+VLOOKUP($A57,A:AL,31,FALSE)-50))</f>
        <v>480</v>
      </c>
      <c r="AE57" s="3">
        <v>506</v>
      </c>
      <c r="AF57" s="3">
        <f>IF(ISERROR((VLOOKUP($A57,'SegEnds_NonXtal_BW#'!$A:$Z,22,FALSE)+VLOOKUP($A57,A:AL,31,FALSE)-50)),"-",(VLOOKUP($A57,'SegEnds_NonXtal_BW#'!$A:$Z,22,FALSE)+VLOOKUP($A57,A:AL,31,FALSE)-50))</f>
        <v>517</v>
      </c>
      <c r="AG57" s="3">
        <f>IF(ISERROR(VLOOKUP($A57,'SegEnds_NonXtal_BW#'!$A:$Z,23,FALSE)+VLOOKUP($A57,A:AL,34,FALSE)-50),"-",(VLOOKUP($A57,'SegEnds_NonXtal_BW#'!$A:$Z,23,FALSE)+VLOOKUP($A57,A:AL,34,FALSE)-50))</f>
        <v>522</v>
      </c>
      <c r="AH57" s="3">
        <v>541</v>
      </c>
      <c r="AI57" s="3">
        <f>IF(ISERROR((VLOOKUP($A57,'SegEnds_NonXtal_BW#'!$A:$Z,24,FALSE)+VLOOKUP($A57,A:AL,34,FALSE)-50)),"-",(VLOOKUP($A57,'SegEnds_NonXtal_BW#'!$A:$Z,24,FALSE)+VLOOKUP($A57,A:AL,34,FALSE)-50))</f>
        <v>547</v>
      </c>
      <c r="AJ57" s="3">
        <f>IF(ISERROR(VLOOKUP($A57,'SegEnds_NonXtal_BW#'!$A:$Z,25,FALSE)+VLOOKUP($A57,A:AL,37,FALSE)-50),"-",(VLOOKUP($A57,'SegEnds_NonXtal_BW#'!$A:$Z,25,FALSE)+VLOOKUP($A57,A:AL,37,FALSE)-50))</f>
        <v>548</v>
      </c>
      <c r="AK57" s="3">
        <v>551</v>
      </c>
      <c r="AL57" s="3">
        <f>IF(ISERROR((VLOOKUP($A57,'SegEnds_NonXtal_BW#'!$A:$Z,26,FALSE)+VLOOKUP($A57,A:AL,37,FALSE)-50)),"-",(VLOOKUP($A57,'SegEnds_NonXtal_BW#'!$A:$Z,26,FALSE)+VLOOKUP($A57,A:AL,37,FALSE)-50))</f>
        <v>559</v>
      </c>
      <c r="AM57" s="28" t="str">
        <f>VLOOKUP(A57,Classification!A:B,2,FALSE)</f>
        <v>A</v>
      </c>
      <c r="AN57" s="28" t="b">
        <f t="shared" si="17"/>
        <v>1</v>
      </c>
      <c r="AO57" s="3" t="str">
        <f>IF(ISERROR(MATCH(A57,'SegEnds_Xtal_Prot#'!B:B, 0)), "NoXtal", "Xtal")</f>
        <v>NoXtal</v>
      </c>
      <c r="AP57" s="3">
        <f t="shared" si="2"/>
        <v>1</v>
      </c>
      <c r="AQ57" s="3">
        <f t="shared" si="3"/>
        <v>1</v>
      </c>
      <c r="AR57" s="3">
        <f t="shared" si="4"/>
        <v>2</v>
      </c>
      <c r="AS57" s="3">
        <f t="shared" si="5"/>
        <v>1</v>
      </c>
      <c r="AT57" s="3">
        <f t="shared" si="6"/>
        <v>1</v>
      </c>
      <c r="AU57" s="3">
        <f t="shared" si="7"/>
        <v>1</v>
      </c>
      <c r="AV57" s="3">
        <f t="shared" si="8"/>
        <v>9</v>
      </c>
      <c r="AW57" s="3">
        <f t="shared" si="9"/>
        <v>5</v>
      </c>
      <c r="AX57" s="3">
        <f t="shared" si="10"/>
        <v>212</v>
      </c>
      <c r="AY57" s="3">
        <f t="shared" si="11"/>
        <v>5</v>
      </c>
      <c r="AZ57" s="3">
        <f t="shared" si="12"/>
        <v>1</v>
      </c>
      <c r="BA57" s="3">
        <f>IF(ISERROR(LEN(VLOOKUP(A57,Seqs!A:E,2,FALSE))-AL57),"-",LEN(VLOOKUP(A57,Seqs!A:E,2,FALSE))-AL57)</f>
        <v>31</v>
      </c>
      <c r="BB57" s="16">
        <f t="shared" si="13"/>
        <v>28</v>
      </c>
      <c r="BC57" s="9">
        <f t="shared" si="14"/>
        <v>20</v>
      </c>
      <c r="BD57" s="3">
        <f t="shared" si="15"/>
        <v>28</v>
      </c>
      <c r="BE57" s="3">
        <f t="shared" si="16"/>
        <v>263</v>
      </c>
    </row>
    <row r="58" spans="1:58" s="3" customFormat="1" x14ac:dyDescent="0.2">
      <c r="A58" s="3" t="s">
        <v>910</v>
      </c>
      <c r="B58" s="3" t="str">
        <f>LOWER(VLOOKUP(A58,Xtal_Templ!A:B,2,FALSE))</f>
        <v>acm3_rat</v>
      </c>
      <c r="C58" s="3">
        <f>VLOOKUP($A58,'SegEnds_NonXtal_BW#'!$A:$Z,3,FALSE)+D58-50</f>
        <v>64</v>
      </c>
      <c r="D58" s="3">
        <v>85</v>
      </c>
      <c r="E58" s="3">
        <f>IF(ISERROR(VLOOKUP($A58,'SegEnds_NonXtal_BW#'!$A:$Z,4,FALSE)+VLOOKUP($A58,A:AL,4,FALSE)-50),"-",(VLOOKUP($A58,'SegEnds_NonXtal_BW#'!$A:$Z,4,FALSE)+VLOOKUP($A58,A:AL,4,FALSE)-50))</f>
        <v>95</v>
      </c>
      <c r="F58" s="3">
        <f t="shared" si="27"/>
        <v>96</v>
      </c>
      <c r="G58" s="3">
        <v>98</v>
      </c>
      <c r="H58" s="3">
        <f t="shared" si="33"/>
        <v>99</v>
      </c>
      <c r="I58" s="3">
        <f t="shared" si="33"/>
        <v>100</v>
      </c>
      <c r="J58" s="3">
        <v>113</v>
      </c>
      <c r="K58" s="3">
        <f>VLOOKUP($A58,'SegEnds_NonXtal_BW#'!$A:$Z,8,FALSE)+VLOOKUP($A58,A:AL,10,FALSE)-50</f>
        <v>130</v>
      </c>
      <c r="L58" s="3">
        <f>IF(ISERROR(VLOOKUP($A58,'SegEnds_NonXtal_BW#'!$A:$Z,9,FALSE)+VLOOKUP($A58,A:AL,13,FALSE)-50),"-",(VLOOKUP($A58,'SegEnds_NonXtal_BW#'!$A:$Z,9,FALSE)+VLOOKUP($A58,A:AL,13,FALSE)-50))</f>
        <v>132</v>
      </c>
      <c r="M58" s="3">
        <v>133</v>
      </c>
      <c r="N58" s="3">
        <f>IF(ISERROR(VLOOKUP($A58,'SegEnds_NonXtal_BW#'!$A:$Z,10,FALSE)+VLOOKUP($A58,A:AL,13,FALSE)-50),"-",(VLOOKUP($A58,'SegEnds_NonXtal_BW#'!$A:$Z,10,FALSE)+VLOOKUP($A58,A:AL,13,FALSE)-50))</f>
        <v>135</v>
      </c>
      <c r="O58" s="3">
        <f t="shared" si="34"/>
        <v>136</v>
      </c>
      <c r="P58" s="3">
        <v>165</v>
      </c>
      <c r="Q58" s="3">
        <f>VLOOKUP($A58,'SegEnds_NonXtal_BW#'!$A:$Z,12,FALSE)+VLOOKUP($A58,A:AL,16,FALSE)-50</f>
        <v>171</v>
      </c>
      <c r="R58" s="3">
        <f>IF(ISERROR(VLOOKUP($A58,'SegEnds_NonXtal_BW#'!$A:$Z,13,FALSE)+VLOOKUP($A58,A:AL,19,FALSE)-50),"-",VLOOKUP($A58,'SegEnds_NonXtal_BW#'!$A:$Z,13,FALSE)+VLOOKUP($A58,A:AL,19,FALSE)-50)</f>
        <v>172</v>
      </c>
      <c r="S58" s="3">
        <v>172</v>
      </c>
      <c r="T58" s="100">
        <f>IF(ISERROR(VLOOKUP($A58,'SegEnds_NonXtal_BW#'!$A:$Z,14,FALSE)+VLOOKUP($A58,A:AL,19,FALSE)-50),"-",(VLOOKUP($A58,'SegEnds_NonXtal_BW#'!$A:$Z,14,FALSE)+VLOOKUP($A58,A:AL,19,FALSE)-50))</f>
        <v>179</v>
      </c>
      <c r="U58" s="9">
        <f>IF(ISERROR(VLOOKUP($A58,'SegEnds_NonXtal_BW#'!$A:$Z,15,FALSE)+VLOOKUP($A58,A:AL,22,FALSE)-50),"-",VLOOKUP($A58,'SegEnds_NonXtal_BW#'!$A:$Z,15,FALSE)+VLOOKUP($A58,A:AL,22,FALSE)-50)</f>
        <v>180</v>
      </c>
      <c r="V58" s="3">
        <v>192</v>
      </c>
      <c r="W58" s="3">
        <f>IF(ISERROR(VLOOKUP($A58,'SegEnds_NonXtal_BW#'!$A:$Z,16,FALSE)+VLOOKUP($A58,A:AL,22,FALSE)-50),"-",(VLOOKUP($A58,'SegEnds_NonXtal_BW#'!$A:$Z,16,FALSE)+VLOOKUP($A58,A:AL,22,FALSE)-50))</f>
        <v>211</v>
      </c>
      <c r="X58" s="3">
        <f>IF(ISERROR(VLOOKUP($A58,'SegEnds_NonXtal_BW#'!$A:$Z,17,FALSE)+VLOOKUP($A58,A:AL,25,FALSE)-50),"-",(VLOOKUP($A58,'SegEnds_NonXtal_BW#'!$A:$Z,17,FALSE)+VLOOKUP($A58,A:AL,25,FALSE)-50))</f>
        <v>220</v>
      </c>
      <c r="Y58" s="3">
        <v>220</v>
      </c>
      <c r="Z58" s="3">
        <f t="shared" si="31"/>
        <v>222</v>
      </c>
      <c r="AA58" s="3">
        <f>IF(ISERROR(VLOOKUP($A58,'SegEnds_NonXtal_BW#'!$A:$Z,19,FALSE)+VLOOKUP($A58,A:AL,28,FALSE)-50),"-",(VLOOKUP($A58,'SegEnds_NonXtal_BW#'!$A:$Z,19,FALSE)+VLOOKUP($A58,A:AL,28,FALSE)-50))</f>
        <v>227</v>
      </c>
      <c r="AB58" s="3">
        <v>242</v>
      </c>
      <c r="AC58" s="3">
        <f>IF(ISERROR((VLOOKUP($A58,'SegEnds_NonXtal_BW#'!$A:$Z,20,FALSE)+VLOOKUP($A58,A:AL,28,FALSE)-50)),"-",(VLOOKUP($A58,'SegEnds_NonXtal_BW#'!$A:$Z,20,FALSE)+VLOOKUP($A58,A:AL,28,FALSE)-50))</f>
        <v>267</v>
      </c>
      <c r="AD58" s="3">
        <f>IF(ISERROR(VLOOKUP($A58,'SegEnds_NonXtal_BW#'!$A:$Z,21,FALSE)+VLOOKUP($A58,A:AL,31,FALSE)-50),"-",(VLOOKUP($A58,'SegEnds_NonXtal_BW#'!$A:$Z,21,FALSE)+VLOOKUP($A58,A:AL,31,FALSE)-50))</f>
        <v>479</v>
      </c>
      <c r="AE58" s="3">
        <v>505</v>
      </c>
      <c r="AF58" s="3">
        <f>IF(ISERROR((VLOOKUP($A58,'SegEnds_NonXtal_BW#'!$A:$Z,22,FALSE)+VLOOKUP($A58,A:AL,31,FALSE)-50)),"-",(VLOOKUP($A58,'SegEnds_NonXtal_BW#'!$A:$Z,22,FALSE)+VLOOKUP($A58,A:AL,31,FALSE)-50))</f>
        <v>516</v>
      </c>
      <c r="AG58" s="3">
        <f>IF(ISERROR(VLOOKUP($A58,'SegEnds_NonXtal_BW#'!$A:$Z,23,FALSE)+VLOOKUP($A58,A:AL,34,FALSE)-50),"-",(VLOOKUP($A58,'SegEnds_NonXtal_BW#'!$A:$Z,23,FALSE)+VLOOKUP($A58,A:AL,34,FALSE)-50))</f>
        <v>521</v>
      </c>
      <c r="AH58" s="3">
        <v>540</v>
      </c>
      <c r="AI58" s="3">
        <f>IF(ISERROR((VLOOKUP($A58,'SegEnds_NonXtal_BW#'!$A:$Z,24,FALSE)+VLOOKUP($A58,A:AL,34,FALSE)-50)),"-",(VLOOKUP($A58,'SegEnds_NonXtal_BW#'!$A:$Z,24,FALSE)+VLOOKUP($A58,A:AL,34,FALSE)-50))</f>
        <v>546</v>
      </c>
      <c r="AJ58" s="3">
        <f>IF(ISERROR(VLOOKUP($A58,'SegEnds_NonXtal_BW#'!$A:$Z,25,FALSE)+VLOOKUP($A58,A:AL,37,FALSE)-50),"-",(VLOOKUP($A58,'SegEnds_NonXtal_BW#'!$A:$Z,25,FALSE)+VLOOKUP($A58,A:AL,37,FALSE)-50))</f>
        <v>547</v>
      </c>
      <c r="AK58" s="3">
        <v>550</v>
      </c>
      <c r="AL58" s="3">
        <f>IF(ISERROR((VLOOKUP($A58,'SegEnds_NonXtal_BW#'!$A:$Z,26,FALSE)+VLOOKUP($A58,A:AL,37,FALSE)-50)),"-",(VLOOKUP($A58,'SegEnds_NonXtal_BW#'!$A:$Z,26,FALSE)+VLOOKUP($A58,A:AL,37,FALSE)-50))</f>
        <v>558</v>
      </c>
      <c r="AM58" s="28" t="str">
        <f>VLOOKUP(A58,Classification!A:B,2,FALSE)</f>
        <v>A</v>
      </c>
      <c r="AN58" s="28" t="b">
        <f t="shared" si="17"/>
        <v>1</v>
      </c>
      <c r="AO58" s="3" t="str">
        <f>IF(ISERROR(MATCH(A58,'SegEnds_Xtal_Prot#'!B:B, 0)), "NoXtal", "Xtal")</f>
        <v>Xtal</v>
      </c>
      <c r="AP58" s="3">
        <f t="shared" si="2"/>
        <v>1</v>
      </c>
      <c r="AQ58" s="3">
        <f t="shared" si="3"/>
        <v>1</v>
      </c>
      <c r="AR58" s="3">
        <f t="shared" si="4"/>
        <v>2</v>
      </c>
      <c r="AS58" s="3">
        <f t="shared" si="5"/>
        <v>1</v>
      </c>
      <c r="AT58" s="3">
        <f t="shared" si="6"/>
        <v>1</v>
      </c>
      <c r="AU58" s="3">
        <f t="shared" si="7"/>
        <v>1</v>
      </c>
      <c r="AV58" s="3">
        <f t="shared" si="8"/>
        <v>9</v>
      </c>
      <c r="AW58" s="3">
        <f t="shared" si="9"/>
        <v>5</v>
      </c>
      <c r="AX58" s="3">
        <f t="shared" si="10"/>
        <v>212</v>
      </c>
      <c r="AY58" s="3">
        <f t="shared" si="11"/>
        <v>5</v>
      </c>
      <c r="AZ58" s="3">
        <f t="shared" si="12"/>
        <v>1</v>
      </c>
      <c r="BA58" s="3">
        <f>IF(ISERROR(LEN(VLOOKUP(A58,Seqs!A:E,2,FALSE))-AL58),"-",LEN(VLOOKUP(A58,Seqs!A:E,2,FALSE))-AL58)</f>
        <v>31</v>
      </c>
      <c r="BB58" s="16">
        <f t="shared" si="13"/>
        <v>28</v>
      </c>
      <c r="BC58" s="9">
        <f t="shared" si="14"/>
        <v>20</v>
      </c>
      <c r="BD58" s="3">
        <f t="shared" si="15"/>
        <v>28</v>
      </c>
      <c r="BE58" s="3">
        <f t="shared" si="16"/>
        <v>263</v>
      </c>
    </row>
    <row r="59" spans="1:58" s="3" customFormat="1" x14ac:dyDescent="0.2">
      <c r="A59" s="3" t="s">
        <v>149</v>
      </c>
      <c r="B59" s="3" t="str">
        <f>LOWER(VLOOKUP(A59,Xtal_Templ!A:B,2,FALSE))</f>
        <v>acm4_human</v>
      </c>
      <c r="C59" s="3">
        <f>VLOOKUP($A59,'SegEnds_NonXtal_BW#'!$A:$Z,3,FALSE)+D59-50</f>
        <v>26</v>
      </c>
      <c r="D59" s="3">
        <v>50</v>
      </c>
      <c r="E59" s="3">
        <f>IF(ISERROR(VLOOKUP($A59,'SegEnds_NonXtal_BW#'!$A:$Z,4,FALSE)+VLOOKUP($A59,A:AL,4,FALSE)-50),"-",(VLOOKUP($A59,'SegEnds_NonXtal_BW#'!$A:$Z,4,FALSE)+VLOOKUP($A59,A:AL,4,FALSE)-50))</f>
        <v>60</v>
      </c>
      <c r="F59" s="3">
        <f t="shared" si="27"/>
        <v>61</v>
      </c>
      <c r="G59" s="3">
        <v>63</v>
      </c>
      <c r="H59" s="3">
        <f t="shared" si="33"/>
        <v>64</v>
      </c>
      <c r="I59" s="3">
        <f t="shared" si="33"/>
        <v>65</v>
      </c>
      <c r="J59" s="3">
        <v>78</v>
      </c>
      <c r="K59" s="3">
        <f>VLOOKUP($A59,'SegEnds_NonXtal_BW#'!$A:$Z,8,FALSE)+VLOOKUP($A59,A:AL,10,FALSE)-50</f>
        <v>95</v>
      </c>
      <c r="L59" s="3">
        <f>M59-1</f>
        <v>97</v>
      </c>
      <c r="M59" s="3">
        <v>98</v>
      </c>
      <c r="N59" s="3">
        <f>M59+2</f>
        <v>100</v>
      </c>
      <c r="O59" s="3">
        <f t="shared" si="34"/>
        <v>101</v>
      </c>
      <c r="P59" s="3">
        <v>130</v>
      </c>
      <c r="Q59" s="3">
        <f>VLOOKUP($A59,'SegEnds_NonXtal_BW#'!$A:$Z,12,FALSE)+VLOOKUP($A59,A:AL,16,FALSE)-50</f>
        <v>136</v>
      </c>
      <c r="R59" s="3">
        <f>IF(ISERROR(VLOOKUP($A59,'SegEnds_NonXtal_BW#'!$A:$Z,13,FALSE)+VLOOKUP($A59,A:AL,19,FALSE)-50),"-",VLOOKUP($A59,'SegEnds_NonXtal_BW#'!$A:$Z,13,FALSE)+VLOOKUP($A59,A:AL,19,FALSE)-50)</f>
        <v>137</v>
      </c>
      <c r="S59" s="3">
        <v>137</v>
      </c>
      <c r="T59" s="100">
        <f>IF(ISERROR(VLOOKUP($A59,'SegEnds_NonXtal_BW#'!$A:$Z,14,FALSE)+VLOOKUP($A59,A:AL,19,FALSE)-50),"-",(VLOOKUP($A59,'SegEnds_NonXtal_BW#'!$A:$Z,14,FALSE)+VLOOKUP($A59,A:AL,19,FALSE)-50))</f>
        <v>144</v>
      </c>
      <c r="U59" s="9">
        <f>IF(ISERROR(VLOOKUP($A59,'SegEnds_NonXtal_BW#'!$A:$Z,15,FALSE)+VLOOKUP($A59,A:AL,22,FALSE)-50),"-",VLOOKUP($A59,'SegEnds_NonXtal_BW#'!$A:$Z,15,FALSE)+VLOOKUP($A59,A:AL,22,FALSE)-50)</f>
        <v>145</v>
      </c>
      <c r="V59" s="3">
        <v>157</v>
      </c>
      <c r="W59" s="3">
        <f>IF(ISERROR(VLOOKUP($A59,'SegEnds_NonXtal_BW#'!$A:$Z,16,FALSE)+VLOOKUP($A59,A:AL,22,FALSE)-50),"-",(VLOOKUP($A59,'SegEnds_NonXtal_BW#'!$A:$Z,16,FALSE)+VLOOKUP($A59,A:AL,22,FALSE)-50))</f>
        <v>176</v>
      </c>
      <c r="X59" s="3">
        <f>IF(ISERROR(VLOOKUP($A59,'SegEnds_NonXtal_BW#'!$A:$Z,17,FALSE)+VLOOKUP($A59,A:AL,25,FALSE)-50),"-",(VLOOKUP($A59,'SegEnds_NonXtal_BW#'!$A:$Z,17,FALSE)+VLOOKUP($A59,A:AL,25,FALSE)-50))</f>
        <v>185</v>
      </c>
      <c r="Y59" s="3">
        <v>185</v>
      </c>
      <c r="Z59" s="3">
        <f t="shared" si="31"/>
        <v>187</v>
      </c>
      <c r="AA59" s="3">
        <f>IF(ISERROR(VLOOKUP($A59,'SegEnds_NonXtal_BW#'!$A:$Z,19,FALSE)+VLOOKUP($A59,A:AL,28,FALSE)-50),"-",(VLOOKUP($A59,'SegEnds_NonXtal_BW#'!$A:$Z,19,FALSE)+VLOOKUP($A59,A:AL,28,FALSE)-50))</f>
        <v>192</v>
      </c>
      <c r="AB59" s="3">
        <v>207</v>
      </c>
      <c r="AC59" s="3">
        <f>IF(ISERROR((VLOOKUP($A59,'SegEnds_NonXtal_BW#'!$A:$Z,20,FALSE)+VLOOKUP($A59,A:AL,28,FALSE)-50)),"-",(VLOOKUP($A59,'SegEnds_NonXtal_BW#'!$A:$Z,20,FALSE)+VLOOKUP($A59,A:AL,28,FALSE)-50))</f>
        <v>232</v>
      </c>
      <c r="AD59" s="3">
        <f>IF(ISERROR(VLOOKUP($A59,'SegEnds_NonXtal_BW#'!$A:$Z,21,FALSE)+VLOOKUP($A59,A:AL,31,FALSE)-50),"-",(VLOOKUP($A59,'SegEnds_NonXtal_BW#'!$A:$Z,21,FALSE)+VLOOKUP($A59,A:AL,31,FALSE)-50))</f>
        <v>389</v>
      </c>
      <c r="AE59" s="3">
        <v>415</v>
      </c>
      <c r="AF59" s="3">
        <f>IF(ISERROR((VLOOKUP($A59,'SegEnds_NonXtal_BW#'!$A:$Z,22,FALSE)+VLOOKUP($A59,A:AL,31,FALSE)-50)),"-",(VLOOKUP($A59,'SegEnds_NonXtal_BW#'!$A:$Z,22,FALSE)+VLOOKUP($A59,A:AL,31,FALSE)-50))</f>
        <v>426</v>
      </c>
      <c r="AG59" s="3">
        <f>IF(ISERROR(VLOOKUP($A59,'SegEnds_NonXtal_BW#'!$A:$Z,23,FALSE)+VLOOKUP($A59,A:AL,34,FALSE)-50),"-",(VLOOKUP($A59,'SegEnds_NonXtal_BW#'!$A:$Z,23,FALSE)+VLOOKUP($A59,A:AL,34,FALSE)-50))</f>
        <v>431</v>
      </c>
      <c r="AH59" s="3">
        <v>450</v>
      </c>
      <c r="AI59" s="3">
        <f>IF(ISERROR((VLOOKUP($A59,'SegEnds_NonXtal_BW#'!$A:$Z,24,FALSE)+VLOOKUP($A59,A:AL,34,FALSE)-50)),"-",(VLOOKUP($A59,'SegEnds_NonXtal_BW#'!$A:$Z,24,FALSE)+VLOOKUP($A59,A:AL,34,FALSE)-50))</f>
        <v>456</v>
      </c>
      <c r="AJ59" s="3">
        <f>IF(ISERROR(VLOOKUP($A59,'SegEnds_NonXtal_BW#'!$A:$Z,25,FALSE)+VLOOKUP($A59,A:AL,37,FALSE)-50),"-",(VLOOKUP($A59,'SegEnds_NonXtal_BW#'!$A:$Z,25,FALSE)+VLOOKUP($A59,A:AL,37,FALSE)-50))</f>
        <v>457</v>
      </c>
      <c r="AK59" s="3">
        <v>460</v>
      </c>
      <c r="AL59" s="3">
        <f>IF(ISERROR((VLOOKUP($A59,'SegEnds_NonXtal_BW#'!$A:$Z,26,FALSE)+VLOOKUP($A59,A:AL,37,FALSE)-50)),"-",(VLOOKUP($A59,'SegEnds_NonXtal_BW#'!$A:$Z,26,FALSE)+VLOOKUP($A59,A:AL,37,FALSE)-50))</f>
        <v>469</v>
      </c>
      <c r="AM59" s="28" t="str">
        <f>VLOOKUP(A59,Classification!A:B,2,FALSE)</f>
        <v>A</v>
      </c>
      <c r="AN59" s="28" t="b">
        <f t="shared" si="17"/>
        <v>1</v>
      </c>
      <c r="AO59" s="3" t="str">
        <f>IF(ISERROR(MATCH(A59,'SegEnds_Xtal_Prot#'!B:B, 0)), "NoXtal", "Xtal")</f>
        <v>Xtal</v>
      </c>
      <c r="AP59" s="3">
        <f t="shared" si="2"/>
        <v>1</v>
      </c>
      <c r="AQ59" s="3">
        <f t="shared" si="3"/>
        <v>1</v>
      </c>
      <c r="AR59" s="3">
        <f t="shared" si="4"/>
        <v>2</v>
      </c>
      <c r="AS59" s="3">
        <f t="shared" si="5"/>
        <v>1</v>
      </c>
      <c r="AT59" s="3">
        <f t="shared" si="6"/>
        <v>1</v>
      </c>
      <c r="AU59" s="3">
        <f t="shared" si="7"/>
        <v>1</v>
      </c>
      <c r="AV59" s="3">
        <f t="shared" si="8"/>
        <v>9</v>
      </c>
      <c r="AW59" s="3">
        <f t="shared" si="9"/>
        <v>5</v>
      </c>
      <c r="AX59" s="3">
        <f t="shared" si="10"/>
        <v>157</v>
      </c>
      <c r="AY59" s="3">
        <f t="shared" si="11"/>
        <v>5</v>
      </c>
      <c r="AZ59" s="3">
        <f t="shared" si="12"/>
        <v>1</v>
      </c>
      <c r="BA59" s="3">
        <f>IF(ISERROR(LEN(VLOOKUP(A59,Seqs!A:E,2,FALSE))-AL59),"-",LEN(VLOOKUP(A59,Seqs!A:E,2,FALSE))-AL59)</f>
        <v>10</v>
      </c>
      <c r="BB59" s="16">
        <f t="shared" si="13"/>
        <v>28</v>
      </c>
      <c r="BC59" s="9">
        <f t="shared" si="14"/>
        <v>20</v>
      </c>
      <c r="BD59" s="3">
        <f t="shared" si="15"/>
        <v>28</v>
      </c>
      <c r="BE59" s="3">
        <f t="shared" si="16"/>
        <v>208</v>
      </c>
      <c r="BF59" s="3">
        <f>AH59-AE59</f>
        <v>35</v>
      </c>
    </row>
    <row r="60" spans="1:58" s="3" customFormat="1" x14ac:dyDescent="0.2">
      <c r="A60" s="3" t="s">
        <v>150</v>
      </c>
      <c r="B60" s="3" t="str">
        <f>LOWER(VLOOKUP(A60,Xtal_Templ!A:B,2,FALSE))</f>
        <v>acm3_rat</v>
      </c>
      <c r="C60" s="3">
        <f>VLOOKUP($A60,'SegEnds_NonXtal_BW#'!$A:$Z,3,FALSE)+D60-50</f>
        <v>27</v>
      </c>
      <c r="D60" s="3">
        <v>48</v>
      </c>
      <c r="E60" s="3">
        <f>IF(ISERROR(VLOOKUP($A60,'SegEnds_NonXtal_BW#'!$A:$Z,4,FALSE)+VLOOKUP($A60,A:AL,4,FALSE)-50),"-",(VLOOKUP($A60,'SegEnds_NonXtal_BW#'!$A:$Z,4,FALSE)+VLOOKUP($A60,A:AL,4,FALSE)-50))</f>
        <v>58</v>
      </c>
      <c r="F60" s="3">
        <f t="shared" si="27"/>
        <v>59</v>
      </c>
      <c r="G60" s="3">
        <v>61</v>
      </c>
      <c r="H60" s="3">
        <f t="shared" si="33"/>
        <v>62</v>
      </c>
      <c r="I60" s="3">
        <f t="shared" si="33"/>
        <v>63</v>
      </c>
      <c r="J60" s="3">
        <v>76</v>
      </c>
      <c r="K60" s="3">
        <f>VLOOKUP($A60,'SegEnds_NonXtal_BW#'!$A:$Z,8,FALSE)+VLOOKUP($A60,A:AL,10,FALSE)-50</f>
        <v>93</v>
      </c>
      <c r="L60" s="3">
        <f>M60-1</f>
        <v>95</v>
      </c>
      <c r="M60" s="3">
        <v>96</v>
      </c>
      <c r="N60" s="3">
        <f>M60+2</f>
        <v>98</v>
      </c>
      <c r="O60" s="3">
        <f t="shared" si="34"/>
        <v>99</v>
      </c>
      <c r="P60" s="3">
        <v>128</v>
      </c>
      <c r="Q60" s="3">
        <f>VLOOKUP($A60,'SegEnds_NonXtal_BW#'!$A:$Z,12,FALSE)+VLOOKUP($A60,A:AL,16,FALSE)-50</f>
        <v>134</v>
      </c>
      <c r="R60" s="3">
        <f>IF(ISERROR(VLOOKUP($A60,'SegEnds_NonXtal_BW#'!$A:$Z,13,FALSE)+VLOOKUP($A60,A:AL,19,FALSE)-50),"-",VLOOKUP($A60,'SegEnds_NonXtal_BW#'!$A:$Z,13,FALSE)+VLOOKUP($A60,A:AL,19,FALSE)-50)</f>
        <v>135</v>
      </c>
      <c r="S60" s="3">
        <v>135</v>
      </c>
      <c r="T60" s="100">
        <f>IF(ISERROR(VLOOKUP($A60,'SegEnds_NonXtal_BW#'!$A:$Z,14,FALSE)+VLOOKUP($A60,A:AL,19,FALSE)-50),"-",(VLOOKUP($A60,'SegEnds_NonXtal_BW#'!$A:$Z,14,FALSE)+VLOOKUP($A60,A:AL,19,FALSE)-50))</f>
        <v>142</v>
      </c>
      <c r="U60" s="9">
        <f>IF(ISERROR(VLOOKUP($A60,'SegEnds_NonXtal_BW#'!$A:$Z,15,FALSE)+VLOOKUP($A60,A:AL,22,FALSE)-50),"-",VLOOKUP($A60,'SegEnds_NonXtal_BW#'!$A:$Z,15,FALSE)+VLOOKUP($A60,A:AL,22,FALSE)-50)</f>
        <v>143</v>
      </c>
      <c r="V60" s="3">
        <v>155</v>
      </c>
      <c r="W60" s="3">
        <f>IF(ISERROR(VLOOKUP($A60,'SegEnds_NonXtal_BW#'!$A:$Z,16,FALSE)+VLOOKUP($A60,A:AL,22,FALSE)-50),"-",(VLOOKUP($A60,'SegEnds_NonXtal_BW#'!$A:$Z,16,FALSE)+VLOOKUP($A60,A:AL,22,FALSE)-50))</f>
        <v>174</v>
      </c>
      <c r="X60" s="3">
        <f>IF(ISERROR(VLOOKUP($A60,'SegEnds_NonXtal_BW#'!$A:$Z,17,FALSE)+VLOOKUP($A60,A:AL,25,FALSE)-50),"-",(VLOOKUP($A60,'SegEnds_NonXtal_BW#'!$A:$Z,17,FALSE)+VLOOKUP($A60,A:AL,25,FALSE)-50))</f>
        <v>183</v>
      </c>
      <c r="Y60" s="3">
        <v>183</v>
      </c>
      <c r="Z60" s="3">
        <f t="shared" si="31"/>
        <v>185</v>
      </c>
      <c r="AA60" s="3">
        <f>IF(ISERROR(VLOOKUP($A60,'SegEnds_NonXtal_BW#'!$A:$Z,19,FALSE)+VLOOKUP($A60,A:AL,28,FALSE)-50),"-",(VLOOKUP($A60,'SegEnds_NonXtal_BW#'!$A:$Z,19,FALSE)+VLOOKUP($A60,A:AL,28,FALSE)-50))</f>
        <v>190</v>
      </c>
      <c r="AB60" s="3">
        <v>205</v>
      </c>
      <c r="AC60" s="3">
        <f>IF(ISERROR((VLOOKUP($A60,'SegEnds_NonXtal_BW#'!$A:$Z,20,FALSE)+VLOOKUP($A60,A:AL,28,FALSE)-50)),"-",(VLOOKUP($A60,'SegEnds_NonXtal_BW#'!$A:$Z,20,FALSE)+VLOOKUP($A60,A:AL,28,FALSE)-50))</f>
        <v>230</v>
      </c>
      <c r="AD60" s="3">
        <f>IF(ISERROR(VLOOKUP($A60,'SegEnds_NonXtal_BW#'!$A:$Z,21,FALSE)+VLOOKUP($A60,A:AL,31,FALSE)-50),"-",(VLOOKUP($A60,'SegEnds_NonXtal_BW#'!$A:$Z,21,FALSE)+VLOOKUP($A60,A:AL,31,FALSE)-50))</f>
        <v>431</v>
      </c>
      <c r="AE60" s="3">
        <v>457</v>
      </c>
      <c r="AF60" s="3">
        <f>IF(ISERROR((VLOOKUP($A60,'SegEnds_NonXtal_BW#'!$A:$Z,22,FALSE)+VLOOKUP($A60,A:AL,31,FALSE)-50)),"-",(VLOOKUP($A60,'SegEnds_NonXtal_BW#'!$A:$Z,22,FALSE)+VLOOKUP($A60,A:AL,31,FALSE)-50))</f>
        <v>468</v>
      </c>
      <c r="AG60" s="3">
        <f>IF(ISERROR(VLOOKUP($A60,'SegEnds_NonXtal_BW#'!$A:$Z,23,FALSE)+VLOOKUP($A60,A:AL,34,FALSE)-50),"-",(VLOOKUP($A60,'SegEnds_NonXtal_BW#'!$A:$Z,23,FALSE)+VLOOKUP($A60,A:AL,34,FALSE)-50))</f>
        <v>473</v>
      </c>
      <c r="AH60" s="3">
        <v>492</v>
      </c>
      <c r="AI60" s="3">
        <f>IF(ISERROR((VLOOKUP($A60,'SegEnds_NonXtal_BW#'!$A:$Z,24,FALSE)+VLOOKUP($A60,A:AL,34,FALSE)-50)),"-",(VLOOKUP($A60,'SegEnds_NonXtal_BW#'!$A:$Z,24,FALSE)+VLOOKUP($A60,A:AL,34,FALSE)-50))</f>
        <v>498</v>
      </c>
      <c r="AJ60" s="3">
        <f>IF(ISERROR(VLOOKUP($A60,'SegEnds_NonXtal_BW#'!$A:$Z,25,FALSE)+VLOOKUP($A60,A:AL,37,FALSE)-50),"-",(VLOOKUP($A60,'SegEnds_NonXtal_BW#'!$A:$Z,25,FALSE)+VLOOKUP($A60,A:AL,37,FALSE)-50))</f>
        <v>499</v>
      </c>
      <c r="AK60" s="3">
        <v>502</v>
      </c>
      <c r="AL60" s="3">
        <f>IF(ISERROR((VLOOKUP($A60,'SegEnds_NonXtal_BW#'!$A:$Z,26,FALSE)+VLOOKUP($A60,A:AL,37,FALSE)-50)),"-",(VLOOKUP($A60,'SegEnds_NonXtal_BW#'!$A:$Z,26,FALSE)+VLOOKUP($A60,A:AL,37,FALSE)-50))</f>
        <v>510</v>
      </c>
      <c r="AM60" s="28" t="str">
        <f>VLOOKUP(A60,Classification!A:B,2,FALSE)</f>
        <v>A</v>
      </c>
      <c r="AN60" s="28" t="b">
        <f t="shared" si="17"/>
        <v>1</v>
      </c>
      <c r="AO60" s="3" t="str">
        <f>IF(ISERROR(MATCH(A60,'SegEnds_Xtal_Prot#'!B:B, 0)), "NoXtal", "Xtal")</f>
        <v>NoXtal</v>
      </c>
      <c r="AP60" s="3">
        <f t="shared" si="2"/>
        <v>1</v>
      </c>
      <c r="AQ60" s="3">
        <f t="shared" si="3"/>
        <v>1</v>
      </c>
      <c r="AR60" s="3">
        <f t="shared" si="4"/>
        <v>2</v>
      </c>
      <c r="AS60" s="3">
        <f t="shared" si="5"/>
        <v>1</v>
      </c>
      <c r="AT60" s="3">
        <f t="shared" si="6"/>
        <v>1</v>
      </c>
      <c r="AU60" s="3">
        <f t="shared" si="7"/>
        <v>1</v>
      </c>
      <c r="AV60" s="3">
        <f t="shared" si="8"/>
        <v>9</v>
      </c>
      <c r="AW60" s="3">
        <f t="shared" si="9"/>
        <v>5</v>
      </c>
      <c r="AX60" s="3">
        <f t="shared" si="10"/>
        <v>201</v>
      </c>
      <c r="AY60" s="3">
        <f t="shared" si="11"/>
        <v>5</v>
      </c>
      <c r="AZ60" s="3">
        <f t="shared" si="12"/>
        <v>1</v>
      </c>
      <c r="BA60" s="3">
        <f>IF(ISERROR(LEN(VLOOKUP(A60,Seqs!A:E,2,FALSE))-AL60),"-",LEN(VLOOKUP(A60,Seqs!A:E,2,FALSE))-AL60)</f>
        <v>22</v>
      </c>
      <c r="BB60" s="16">
        <f t="shared" si="13"/>
        <v>28</v>
      </c>
      <c r="BC60" s="9">
        <f t="shared" si="14"/>
        <v>20</v>
      </c>
      <c r="BD60" s="3">
        <f t="shared" si="15"/>
        <v>28</v>
      </c>
      <c r="BE60" s="3">
        <f t="shared" si="16"/>
        <v>252</v>
      </c>
      <c r="BF60" s="3">
        <f>AH60-AE60</f>
        <v>35</v>
      </c>
    </row>
    <row r="61" spans="1:58" s="3" customFormat="1" x14ac:dyDescent="0.2">
      <c r="A61" s="3" t="s">
        <v>151</v>
      </c>
      <c r="B61" s="3" t="str">
        <f>LOWER(VLOOKUP(A61,Xtal_Templ!A:B,2,FALSE))</f>
        <v>s1pr1_human</v>
      </c>
      <c r="C61" s="3">
        <f>VLOOKUP($A61,'SegEnds_NonXtal_BW#'!$A:$Z,3,FALSE)+D61-50</f>
        <v>21</v>
      </c>
      <c r="D61" s="3">
        <v>42</v>
      </c>
      <c r="E61" s="3">
        <f>IF(ISERROR(VLOOKUP($A61,'SegEnds_NonXtal_BW#'!$A:$Z,4,FALSE)+VLOOKUP($A61,A:AL,4,FALSE)-50),"-",(VLOOKUP($A61,'SegEnds_NonXtal_BW#'!$A:$Z,4,FALSE)+VLOOKUP($A61,A:AL,4,FALSE)-50))</f>
        <v>52</v>
      </c>
      <c r="F61" s="3">
        <f t="shared" si="27"/>
        <v>53</v>
      </c>
      <c r="G61" s="3">
        <v>55</v>
      </c>
      <c r="H61" s="3">
        <f t="shared" si="33"/>
        <v>56</v>
      </c>
      <c r="I61" s="3">
        <f t="shared" si="33"/>
        <v>57</v>
      </c>
      <c r="J61" s="3">
        <v>70</v>
      </c>
      <c r="K61" s="3">
        <f>VLOOKUP($A61,'SegEnds_NonXtal_BW#'!$A:$Z,8,FALSE)+VLOOKUP($A61,A:AL,10,FALSE)-50</f>
        <v>87</v>
      </c>
      <c r="L61" s="3" t="str">
        <f>IF(ISERROR(VLOOKUP($A61,'SegEnds_NonXtal_BW#'!$A:$Z,9,FALSE)+VLOOKUP($A61,A:AL,13,FALSE)-50),"-",(VLOOKUP($A61,'SegEnds_NonXtal_BW#'!$A:$Z,9,FALSE)+VLOOKUP($A61,A:AL,13,FALSE)-50))</f>
        <v>-</v>
      </c>
      <c r="M61" s="3" t="s">
        <v>23</v>
      </c>
      <c r="N61" s="3" t="str">
        <f>IF(ISERROR(VLOOKUP($A61,'SegEnds_NonXtal_BW#'!$A:$Z,10,FALSE)+VLOOKUP($A61,A:AL,13,FALSE)-50),"-",(VLOOKUP($A61,'SegEnds_NonXtal_BW#'!$A:$Z,10,FALSE)+VLOOKUP($A61,A:AL,13,FALSE)-50))</f>
        <v>-</v>
      </c>
      <c r="O61" s="3">
        <f>VLOOKUP($A61,'SegEnds_NonXtal_BW#'!$A:$Z,11,FALSE)+VLOOKUP($A61,A:AL,16,FALSE)-50</f>
        <v>96</v>
      </c>
      <c r="P61" s="3">
        <v>128</v>
      </c>
      <c r="Q61" s="3">
        <f>VLOOKUP($A61,'SegEnds_NonXtal_BW#'!$A:$Z,12,FALSE)+VLOOKUP($A61,A:AL,16,FALSE)-50</f>
        <v>134</v>
      </c>
      <c r="R61" s="3">
        <f>S61</f>
        <v>135</v>
      </c>
      <c r="S61" s="3">
        <v>135</v>
      </c>
      <c r="T61" s="100">
        <f>S61+7</f>
        <v>142</v>
      </c>
      <c r="U61" s="9">
        <f>IF(ISERROR(VLOOKUP($A61,'SegEnds_NonXtal_BW#'!$A:$Z,15,FALSE)+VLOOKUP($A61,A:AL,22,FALSE)-50),"-",VLOOKUP($A61,'SegEnds_NonXtal_BW#'!$A:$Z,15,FALSE)+VLOOKUP($A61,A:AL,22,FALSE)-50)</f>
        <v>143</v>
      </c>
      <c r="V61" s="3">
        <v>155</v>
      </c>
      <c r="W61" s="3">
        <f>IF(ISERROR(VLOOKUP($A61,'SegEnds_NonXtal_BW#'!$A:$Z,16,FALSE)+VLOOKUP($A61,A:AL,22,FALSE)-50),"-",(VLOOKUP($A61,'SegEnds_NonXtal_BW#'!$A:$Z,16,FALSE)+VLOOKUP($A61,A:AL,22,FALSE)-50))</f>
        <v>168</v>
      </c>
      <c r="X61" s="3" t="str">
        <f>IF(ISERROR(VLOOKUP($A61,'SegEnds_NonXtal_BW#'!$A:$Z,17,FALSE)+VLOOKUP($A61,A:AL,25,FALSE)-50),"-",(VLOOKUP($A61,'SegEnds_NonXtal_BW#'!$A:$Z,17,FALSE)+VLOOKUP($A61,A:AL,25,FALSE)-50))</f>
        <v>-</v>
      </c>
      <c r="Y61" s="3" t="s">
        <v>23</v>
      </c>
      <c r="Z61" s="3" t="str">
        <f>IF(ISERROR(VLOOKUP($A61,'SegEnds_NonXtal_BW#'!$A:$Z,18,FALSE)+VLOOKUP($A61,A:AL,25,FALSE)-50),"-",(VLOOKUP($A61,'SegEnds_NonXtal_BW#'!$A:$Z,18,FALSE)+VLOOKUP($A61,A:AL,25,FALSE)-50))</f>
        <v>-</v>
      </c>
      <c r="AA61" s="3">
        <f>IF(ISERROR(VLOOKUP($A61,'SegEnds_NonXtal_BW#'!$A:$Z,19,FALSE)+VLOOKUP($A61,A:AL,28,FALSE)-50),"-",(VLOOKUP($A61,'SegEnds_NonXtal_BW#'!$A:$Z,19,FALSE)+VLOOKUP($A61,A:AL,28,FALSE)-50))</f>
        <v>178</v>
      </c>
      <c r="AB61" s="9">
        <v>195</v>
      </c>
      <c r="AC61" s="3">
        <f>IF(ISERROR((VLOOKUP($A61,'SegEnds_NonXtal_BW#'!$A:$Z,20,FALSE)+VLOOKUP($A61,A:AL,28,FALSE)-50)),"-",(VLOOKUP($A61,'SegEnds_NonXtal_BW#'!$A:$Z,20,FALSE)+VLOOKUP($A61,A:AL,28,FALSE)-50))</f>
        <v>211</v>
      </c>
      <c r="AD61" s="3">
        <f>IF(ISERROR(VLOOKUP($A61,'SegEnds_NonXtal_BW#'!$A:$Z,21,FALSE)+VLOOKUP($A61,A:AL,31,FALSE)-50),"-",(VLOOKUP($A61,'SegEnds_NonXtal_BW#'!$A:$Z,21,FALSE)+VLOOKUP($A61,A:AL,31,FALSE)-50))</f>
        <v>214</v>
      </c>
      <c r="AE61" s="3">
        <v>234</v>
      </c>
      <c r="AF61" s="3">
        <f>IF(ISERROR((VLOOKUP($A61,'SegEnds_NonXtal_BW#'!$A:$Z,22,FALSE)+VLOOKUP($A61,A:AL,31,FALSE)-50)),"-",(VLOOKUP($A61,'SegEnds_NonXtal_BW#'!$A:$Z,22,FALSE)+VLOOKUP($A61,A:AL,31,FALSE)-50))</f>
        <v>245</v>
      </c>
      <c r="AG61" s="3">
        <f>IF(ISERROR(VLOOKUP($A61,'SegEnds_NonXtal_BW#'!$A:$Z,23,FALSE)+VLOOKUP($A61,A:AL,34,FALSE)-50),"-",(VLOOKUP($A61,'SegEnds_NonXtal_BW#'!$A:$Z,23,FALSE)+VLOOKUP($A61,A:AL,34,FALSE)-50))</f>
        <v>251</v>
      </c>
      <c r="AH61" s="3">
        <v>273</v>
      </c>
      <c r="AI61" s="3">
        <f>IF(ISERROR((VLOOKUP($A61,'SegEnds_NonXtal_BW#'!$A:$Z,24,FALSE)+VLOOKUP($A61,A:AL,34,FALSE)-50)),"-",(VLOOKUP($A61,'SegEnds_NonXtal_BW#'!$A:$Z,24,FALSE)+VLOOKUP($A61,A:AL,34,FALSE)-50))</f>
        <v>279</v>
      </c>
      <c r="AJ61" s="3">
        <f>IF(ISERROR(VLOOKUP($A61,'SegEnds_NonXtal_BW#'!$A:$Z,25,FALSE)+VLOOKUP($A61,A:AL,37,FALSE)-50),"-",(VLOOKUP($A61,'SegEnds_NonXtal_BW#'!$A:$Z,25,FALSE)+VLOOKUP($A61,A:AL,37,FALSE)-50))</f>
        <v>280</v>
      </c>
      <c r="AK61" s="3">
        <v>283</v>
      </c>
      <c r="AL61" s="3">
        <f>IF(ISERROR((VLOOKUP($A61,'SegEnds_NonXtal_BW#'!$A:$Z,26,FALSE)+VLOOKUP($A61,A:AL,37,FALSE)-50)),"-",(VLOOKUP($A61,'SegEnds_NonXtal_BW#'!$A:$Z,26,FALSE)+VLOOKUP($A61,A:AL,37,FALSE)-50))</f>
        <v>292</v>
      </c>
      <c r="AM61" s="28" t="str">
        <f>VLOOKUP(A61,Classification!A:B,2,FALSE)</f>
        <v>A</v>
      </c>
      <c r="AN61" s="28" t="b">
        <f t="shared" si="17"/>
        <v>1</v>
      </c>
      <c r="AO61" s="3" t="str">
        <f>IF(ISERROR(MATCH(A61,'SegEnds_Xtal_Prot#'!B:B, 0)), "NoXtal", "Xtal")</f>
        <v>NoXtal</v>
      </c>
      <c r="AP61" s="3">
        <f t="shared" si="2"/>
        <v>1</v>
      </c>
      <c r="AQ61" s="3">
        <f t="shared" si="3"/>
        <v>1</v>
      </c>
      <c r="AR61" s="3" t="str">
        <f t="shared" si="4"/>
        <v>-</v>
      </c>
      <c r="AS61" s="3" t="str">
        <f t="shared" si="5"/>
        <v>-</v>
      </c>
      <c r="AT61" s="3">
        <f t="shared" si="6"/>
        <v>1</v>
      </c>
      <c r="AU61" s="3">
        <f t="shared" si="7"/>
        <v>1</v>
      </c>
      <c r="AV61" s="3" t="str">
        <f t="shared" si="8"/>
        <v>-</v>
      </c>
      <c r="AW61" s="3" t="str">
        <f t="shared" si="9"/>
        <v>-</v>
      </c>
      <c r="AX61" s="3">
        <f t="shared" si="10"/>
        <v>3</v>
      </c>
      <c r="AY61" s="3">
        <f t="shared" si="11"/>
        <v>6</v>
      </c>
      <c r="AZ61" s="3">
        <f t="shared" si="12"/>
        <v>1</v>
      </c>
      <c r="BA61" s="3">
        <f>IF(ISERROR(LEN(VLOOKUP(A61,Seqs!A:E,2,FALSE))-AL61),"-",LEN(VLOOKUP(A61,Seqs!A:E,2,FALSE))-AL61)</f>
        <v>5</v>
      </c>
      <c r="BB61" s="16">
        <f t="shared" si="13"/>
        <v>28</v>
      </c>
      <c r="BC61" s="9">
        <f t="shared" si="14"/>
        <v>20</v>
      </c>
      <c r="BD61" s="3">
        <f t="shared" si="15"/>
        <v>28</v>
      </c>
      <c r="BE61" s="3">
        <f t="shared" si="16"/>
        <v>39</v>
      </c>
      <c r="BF61" s="3">
        <f>AH61-AE61</f>
        <v>39</v>
      </c>
    </row>
    <row r="62" spans="1:58" s="3" customFormat="1" x14ac:dyDescent="0.2">
      <c r="A62" s="3" t="s">
        <v>152</v>
      </c>
      <c r="B62" s="3" t="str">
        <f>LOWER(VLOOKUP(A62,Xtal_Templ!A:B,2,FALSE))</f>
        <v>drd2_human</v>
      </c>
      <c r="C62" s="3">
        <f>VLOOKUP($A62,'SegEnds_NonXtal_BW#'!$A:$Z,3,FALSE)+D62-50</f>
        <v>23</v>
      </c>
      <c r="D62" s="3">
        <v>44</v>
      </c>
      <c r="E62" s="3">
        <f>IF(ISERROR(VLOOKUP($A62,'SegEnds_NonXtal_BW#'!$A:$Z,4,FALSE)+VLOOKUP($A62,A:AL,4,FALSE)-50),"-",(VLOOKUP($A62,'SegEnds_NonXtal_BW#'!$A:$Z,4,FALSE)+VLOOKUP($A62,A:AL,4,FALSE)-50))</f>
        <v>54</v>
      </c>
      <c r="F62" s="3">
        <f t="shared" si="27"/>
        <v>55</v>
      </c>
      <c r="G62" s="3">
        <v>57</v>
      </c>
      <c r="H62" s="3">
        <f t="shared" si="33"/>
        <v>58</v>
      </c>
      <c r="I62" s="3">
        <f t="shared" si="33"/>
        <v>59</v>
      </c>
      <c r="J62" s="3">
        <v>72</v>
      </c>
      <c r="K62" s="3">
        <f>VLOOKUP($A62,'SegEnds_NonXtal_BW#'!$A:$Z,8,FALSE)+VLOOKUP($A62,A:AL,10,FALSE)-50</f>
        <v>90</v>
      </c>
      <c r="L62" s="3">
        <f t="shared" ref="L62:L68" si="35">M62-1</f>
        <v>91</v>
      </c>
      <c r="M62" s="3">
        <v>92</v>
      </c>
      <c r="N62" s="3">
        <f t="shared" ref="N62:N68" si="36">M62+2</f>
        <v>94</v>
      </c>
      <c r="O62" s="3">
        <f t="shared" ref="O62:O89" si="37">N62+1</f>
        <v>95</v>
      </c>
      <c r="P62" s="3">
        <v>124</v>
      </c>
      <c r="Q62" s="3">
        <f>VLOOKUP($A62,'SegEnds_NonXtal_BW#'!$A:$Z,12,FALSE)+VLOOKUP($A62,A:AL,16,FALSE)-50</f>
        <v>130</v>
      </c>
      <c r="R62" s="3">
        <f>IF(ISERROR(VLOOKUP($A62,'SegEnds_NonXtal_BW#'!$A:$Z,13,FALSE)+VLOOKUP($A62,A:AL,19,FALSE)-50),"-",VLOOKUP($A62,'SegEnds_NonXtal_BW#'!$A:$Z,13,FALSE)+VLOOKUP($A62,A:AL,19,FALSE)-50)</f>
        <v>131</v>
      </c>
      <c r="S62" s="3">
        <v>131</v>
      </c>
      <c r="T62" s="100">
        <f>IF(ISERROR(VLOOKUP($A62,'SegEnds_NonXtal_BW#'!$A:$Z,14,FALSE)+VLOOKUP($A62,A:AL,19,FALSE)-50),"-",(VLOOKUP($A62,'SegEnds_NonXtal_BW#'!$A:$Z,14,FALSE)+VLOOKUP($A62,A:AL,19,FALSE)-50))</f>
        <v>138</v>
      </c>
      <c r="U62" s="9">
        <f>IF(ISERROR(VLOOKUP($A62,'SegEnds_NonXtal_BW#'!$A:$Z,15,FALSE)+VLOOKUP($A62,A:AL,22,FALSE)-50),"-",VLOOKUP($A62,'SegEnds_NonXtal_BW#'!$A:$Z,15,FALSE)+VLOOKUP($A62,A:AL,22,FALSE)-50)</f>
        <v>139</v>
      </c>
      <c r="V62" s="3">
        <v>151</v>
      </c>
      <c r="W62" s="3">
        <f>IF(ISERROR(VLOOKUP($A62,'SegEnds_NonXtal_BW#'!$A:$Z,16,FALSE)+VLOOKUP($A62,A:AL,22,FALSE)-50),"-",(VLOOKUP($A62,'SegEnds_NonXtal_BW#'!$A:$Z,16,FALSE)+VLOOKUP($A62,A:AL,22,FALSE)-50))</f>
        <v>163</v>
      </c>
      <c r="X62" s="3">
        <f>IF(ISERROR(VLOOKUP($A62,'SegEnds_NonXtal_BW#'!$A:$Z,17,FALSE)+VLOOKUP($A62,A:AL,25,FALSE)-50),"-",(VLOOKUP($A62,'SegEnds_NonXtal_BW#'!$A:$Z,17,FALSE)+VLOOKUP($A62,A:AL,25,FALSE)-50))</f>
        <v>176</v>
      </c>
      <c r="Y62" s="3">
        <v>176</v>
      </c>
      <c r="Z62" s="3">
        <f t="shared" ref="Z62:Z89" si="38">Y62+2</f>
        <v>178</v>
      </c>
      <c r="AA62" s="3">
        <f>IF(ISERROR(VLOOKUP($A62,'SegEnds_NonXtal_BW#'!$A:$Z,19,FALSE)+VLOOKUP($A62,A:AL,28,FALSE)-50),"-",(VLOOKUP($A62,'SegEnds_NonXtal_BW#'!$A:$Z,19,FALSE)+VLOOKUP($A62,A:AL,28,FALSE)-50))</f>
        <v>181</v>
      </c>
      <c r="AB62" s="3">
        <v>196</v>
      </c>
      <c r="AC62" s="3">
        <f>IF(ISERROR((VLOOKUP($A62,'SegEnds_NonXtal_BW#'!$A:$Z,20,FALSE)+VLOOKUP($A62,A:AL,28,FALSE)-50)),"-",(VLOOKUP($A62,'SegEnds_NonXtal_BW#'!$A:$Z,20,FALSE)+VLOOKUP($A62,A:AL,28,FALSE)-50))</f>
        <v>222</v>
      </c>
      <c r="AD62" s="3">
        <f>IF(ISERROR(VLOOKUP($A62,'SegEnds_NonXtal_BW#'!$A:$Z,21,FALSE)+VLOOKUP($A62,A:AL,31,FALSE)-50),"-",(VLOOKUP($A62,'SegEnds_NonXtal_BW#'!$A:$Z,21,FALSE)+VLOOKUP($A62,A:AL,31,FALSE)-50))</f>
        <v>261</v>
      </c>
      <c r="AE62" s="3">
        <v>287</v>
      </c>
      <c r="AF62" s="3">
        <f>IF(ISERROR((VLOOKUP($A62,'SegEnds_NonXtal_BW#'!$A:$Z,22,FALSE)+VLOOKUP($A62,A:AL,31,FALSE)-50)),"-",(VLOOKUP($A62,'SegEnds_NonXtal_BW#'!$A:$Z,22,FALSE)+VLOOKUP($A62,A:AL,31,FALSE)-50))</f>
        <v>298</v>
      </c>
      <c r="AG62" s="3">
        <f>IF(ISERROR(VLOOKUP($A62,'SegEnds_NonXtal_BW#'!$A:$Z,23,FALSE)+VLOOKUP($A62,A:AL,34,FALSE)-50),"-",(VLOOKUP($A62,'SegEnds_NonXtal_BW#'!$A:$Z,23,FALSE)+VLOOKUP($A62,A:AL,34,FALSE)-50))</f>
        <v>304</v>
      </c>
      <c r="AH62" s="3">
        <v>323</v>
      </c>
      <c r="AI62" s="3">
        <f>IF(ISERROR((VLOOKUP($A62,'SegEnds_NonXtal_BW#'!$A:$Z,24,FALSE)+VLOOKUP($A62,A:AL,34,FALSE)-50)),"-",(VLOOKUP($A62,'SegEnds_NonXtal_BW#'!$A:$Z,24,FALSE)+VLOOKUP($A62,A:AL,34,FALSE)-50))</f>
        <v>329</v>
      </c>
      <c r="AJ62" s="3">
        <f>IF(ISERROR(VLOOKUP($A62,'SegEnds_NonXtal_BW#'!$A:$Z,25,FALSE)+VLOOKUP($A62,A:AL,37,FALSE)-50),"-",(VLOOKUP($A62,'SegEnds_NonXtal_BW#'!$A:$Z,25,FALSE)+VLOOKUP($A62,A:AL,37,FALSE)-50))</f>
        <v>330</v>
      </c>
      <c r="AK62" s="3">
        <v>333</v>
      </c>
      <c r="AL62" s="3">
        <f>IF(ISERROR((VLOOKUP($A62,'SegEnds_NonXtal_BW#'!$A:$Z,26,FALSE)+VLOOKUP($A62,A:AL,37,FALSE)-50)),"-",(VLOOKUP($A62,'SegEnds_NonXtal_BW#'!$A:$Z,26,FALSE)+VLOOKUP($A62,A:AL,37,FALSE)-50))</f>
        <v>342</v>
      </c>
      <c r="AM62" s="28" t="str">
        <f>VLOOKUP(A62,Classification!A:B,2,FALSE)</f>
        <v>A</v>
      </c>
      <c r="AN62" s="28" t="b">
        <f t="shared" si="17"/>
        <v>1</v>
      </c>
      <c r="AO62" s="3" t="str">
        <f>IF(ISERROR(MATCH(A62,'SegEnds_Xtal_Prot#'!B:B, 0)), "NoXtal", "Xtal")</f>
        <v>NoXtal</v>
      </c>
      <c r="AP62" s="3">
        <f t="shared" si="2"/>
        <v>1</v>
      </c>
      <c r="AQ62" s="3">
        <f t="shared" si="3"/>
        <v>1</v>
      </c>
      <c r="AR62" s="3">
        <f t="shared" si="4"/>
        <v>1</v>
      </c>
      <c r="AS62" s="3">
        <f t="shared" si="5"/>
        <v>1</v>
      </c>
      <c r="AT62" s="3">
        <f t="shared" si="6"/>
        <v>1</v>
      </c>
      <c r="AU62" s="3">
        <f t="shared" si="7"/>
        <v>1</v>
      </c>
      <c r="AV62" s="3">
        <f t="shared" si="8"/>
        <v>13</v>
      </c>
      <c r="AW62" s="3">
        <f t="shared" si="9"/>
        <v>3</v>
      </c>
      <c r="AX62" s="3">
        <f t="shared" si="10"/>
        <v>39</v>
      </c>
      <c r="AY62" s="3">
        <f t="shared" si="11"/>
        <v>6</v>
      </c>
      <c r="AZ62" s="3">
        <f t="shared" si="12"/>
        <v>1</v>
      </c>
      <c r="BA62" s="3">
        <f>IF(ISERROR(LEN(VLOOKUP(A62,Seqs!A:E,2,FALSE))-AL62),"-",LEN(VLOOKUP(A62,Seqs!A:E,2,FALSE))-AL62)</f>
        <v>124</v>
      </c>
      <c r="BB62" s="16">
        <f t="shared" si="13"/>
        <v>28</v>
      </c>
      <c r="BC62" s="9">
        <f t="shared" si="14"/>
        <v>20</v>
      </c>
      <c r="BD62" s="3">
        <f t="shared" si="15"/>
        <v>28</v>
      </c>
      <c r="BE62" s="3">
        <f t="shared" si="16"/>
        <v>91</v>
      </c>
    </row>
    <row r="63" spans="1:58" s="3" customFormat="1" x14ac:dyDescent="0.2">
      <c r="A63" s="3" t="s">
        <v>153</v>
      </c>
      <c r="B63" s="3" t="str">
        <f>LOWER(VLOOKUP(A63,Xtal_Templ!A:B,2,FALSE))</f>
        <v>drd2_human</v>
      </c>
      <c r="C63" s="3">
        <f>VLOOKUP($A63,'SegEnds_NonXtal_BW#'!$A:$Z,3,FALSE)+D63-50</f>
        <v>42</v>
      </c>
      <c r="D63" s="3">
        <v>63</v>
      </c>
      <c r="E63" s="3">
        <f>IF(ISERROR(VLOOKUP($A63,'SegEnds_NonXtal_BW#'!$A:$Z,4,FALSE)+VLOOKUP($A63,A:AL,4,FALSE)-50),"-",(VLOOKUP($A63,'SegEnds_NonXtal_BW#'!$A:$Z,4,FALSE)+VLOOKUP($A63,A:AL,4,FALSE)-50))</f>
        <v>73</v>
      </c>
      <c r="F63" s="3">
        <f t="shared" si="27"/>
        <v>74</v>
      </c>
      <c r="G63" s="3">
        <v>76</v>
      </c>
      <c r="H63" s="3">
        <f t="shared" si="33"/>
        <v>77</v>
      </c>
      <c r="I63" s="3">
        <f t="shared" si="33"/>
        <v>78</v>
      </c>
      <c r="J63" s="3">
        <v>91</v>
      </c>
      <c r="K63" s="3">
        <f>VLOOKUP($A63,'SegEnds_NonXtal_BW#'!$A:$Z,8,FALSE)+VLOOKUP($A63,A:AL,10,FALSE)-50</f>
        <v>109</v>
      </c>
      <c r="L63" s="3">
        <f t="shared" si="35"/>
        <v>110</v>
      </c>
      <c r="M63" s="3">
        <v>111</v>
      </c>
      <c r="N63" s="3">
        <f t="shared" si="36"/>
        <v>113</v>
      </c>
      <c r="O63" s="3">
        <f t="shared" si="37"/>
        <v>114</v>
      </c>
      <c r="P63" s="3">
        <v>143</v>
      </c>
      <c r="Q63" s="3">
        <f>VLOOKUP($A63,'SegEnds_NonXtal_BW#'!$A:$Z,12,FALSE)+VLOOKUP($A63,A:AL,16,FALSE)-50</f>
        <v>149</v>
      </c>
      <c r="R63" s="3">
        <f>IF(ISERROR(VLOOKUP($A63,'SegEnds_NonXtal_BW#'!$A:$Z,13,FALSE)+VLOOKUP($A63,A:AL,19,FALSE)-50),"-",VLOOKUP($A63,'SegEnds_NonXtal_BW#'!$A:$Z,13,FALSE)+VLOOKUP($A63,A:AL,19,FALSE)-50)</f>
        <v>150</v>
      </c>
      <c r="S63" s="3">
        <v>150</v>
      </c>
      <c r="T63" s="100">
        <f>IF(ISERROR(VLOOKUP($A63,'SegEnds_NonXtal_BW#'!$A:$Z,14,FALSE)+VLOOKUP($A63,A:AL,19,FALSE)-50),"-",(VLOOKUP($A63,'SegEnds_NonXtal_BW#'!$A:$Z,14,FALSE)+VLOOKUP($A63,A:AL,19,FALSE)-50))</f>
        <v>157</v>
      </c>
      <c r="U63" s="9">
        <f>IF(ISERROR(VLOOKUP($A63,'SegEnds_NonXtal_BW#'!$A:$Z,15,FALSE)+VLOOKUP($A63,A:AL,22,FALSE)-50),"-",VLOOKUP($A63,'SegEnds_NonXtal_BW#'!$A:$Z,15,FALSE)+VLOOKUP($A63,A:AL,22,FALSE)-50)</f>
        <v>158</v>
      </c>
      <c r="V63" s="3">
        <v>170</v>
      </c>
      <c r="W63" s="3">
        <f>IF(ISERROR(VLOOKUP($A63,'SegEnds_NonXtal_BW#'!$A:$Z,16,FALSE)+VLOOKUP($A63,A:AL,22,FALSE)-50),"-",(VLOOKUP($A63,'SegEnds_NonXtal_BW#'!$A:$Z,16,FALSE)+VLOOKUP($A63,A:AL,22,FALSE)-50))</f>
        <v>182</v>
      </c>
      <c r="X63" s="3">
        <f>IF(ISERROR(VLOOKUP($A63,'SegEnds_NonXtal_BW#'!$A:$Z,17,FALSE)+VLOOKUP($A63,A:AL,25,FALSE)-50),"-",(VLOOKUP($A63,'SegEnds_NonXtal_BW#'!$A:$Z,17,FALSE)+VLOOKUP($A63,A:AL,25,FALSE)-50))</f>
        <v>195</v>
      </c>
      <c r="Y63" s="3">
        <v>195</v>
      </c>
      <c r="Z63" s="3">
        <f t="shared" si="38"/>
        <v>197</v>
      </c>
      <c r="AA63" s="3">
        <f>IF(ISERROR(VLOOKUP($A63,'SegEnds_NonXtal_BW#'!$A:$Z,19,FALSE)+VLOOKUP($A63,A:AL,28,FALSE)-50),"-",(VLOOKUP($A63,'SegEnds_NonXtal_BW#'!$A:$Z,19,FALSE)+VLOOKUP($A63,A:AL,28,FALSE)-50))</f>
        <v>200</v>
      </c>
      <c r="AB63" s="3">
        <v>215</v>
      </c>
      <c r="AC63" s="3">
        <f>IF(ISERROR((VLOOKUP($A63,'SegEnds_NonXtal_BW#'!$A:$Z,20,FALSE)+VLOOKUP($A63,A:AL,28,FALSE)-50)),"-",(VLOOKUP($A63,'SegEnds_NonXtal_BW#'!$A:$Z,20,FALSE)+VLOOKUP($A63,A:AL,28,FALSE)-50))</f>
        <v>239</v>
      </c>
      <c r="AD63" s="3">
        <f>IF(ISERROR(VLOOKUP($A63,'SegEnds_NonXtal_BW#'!$A:$Z,21,FALSE)+VLOOKUP($A63,A:AL,31,FALSE)-50),"-",(VLOOKUP($A63,'SegEnds_NonXtal_BW#'!$A:$Z,21,FALSE)+VLOOKUP($A63,A:AL,31,FALSE)-50))</f>
        <v>283</v>
      </c>
      <c r="AE63" s="3">
        <v>309</v>
      </c>
      <c r="AF63" s="3">
        <f>IF(ISERROR((VLOOKUP($A63,'SegEnds_NonXtal_BW#'!$A:$Z,22,FALSE)+VLOOKUP($A63,A:AL,31,FALSE)-50)),"-",(VLOOKUP($A63,'SegEnds_NonXtal_BW#'!$A:$Z,22,FALSE)+VLOOKUP($A63,A:AL,31,FALSE)-50))</f>
        <v>320</v>
      </c>
      <c r="AG63" s="3">
        <f>IF(ISERROR(VLOOKUP($A63,'SegEnds_NonXtal_BW#'!$A:$Z,23,FALSE)+VLOOKUP($A63,A:AL,34,FALSE)-50),"-",(VLOOKUP($A63,'SegEnds_NonXtal_BW#'!$A:$Z,23,FALSE)+VLOOKUP($A63,A:AL,34,FALSE)-50))</f>
        <v>326</v>
      </c>
      <c r="AH63" s="3">
        <v>345</v>
      </c>
      <c r="AI63" s="3">
        <v>351</v>
      </c>
      <c r="AJ63" s="3">
        <f>IF(ISERROR(VLOOKUP($A63,'SegEnds_NonXtal_BW#'!$A:$Z,25,FALSE)+VLOOKUP($A63,A:AL,37,FALSE)-50),"-",(VLOOKUP($A63,'SegEnds_NonXtal_BW#'!$A:$Z,25,FALSE)+VLOOKUP($A63,A:AL,37,FALSE)-50))</f>
        <v>352</v>
      </c>
      <c r="AK63" s="3">
        <v>355</v>
      </c>
      <c r="AL63" s="3">
        <f>IF(ISERROR((VLOOKUP($A63,'SegEnds_NonXtal_BW#'!$A:$Z,26,FALSE)+VLOOKUP($A63,A:AL,37,FALSE)-50)),"-",(VLOOKUP($A63,'SegEnds_NonXtal_BW#'!$A:$Z,26,FALSE)+VLOOKUP($A63,A:AL,37,FALSE)-50))</f>
        <v>364</v>
      </c>
      <c r="AM63" s="28" t="str">
        <f>VLOOKUP(A63,Classification!A:B,2,FALSE)</f>
        <v>A</v>
      </c>
      <c r="AN63" s="28" t="b">
        <f t="shared" si="17"/>
        <v>1</v>
      </c>
      <c r="AO63" s="3" t="str">
        <f>IF(ISERROR(MATCH(A63,'SegEnds_Xtal_Prot#'!B:B, 0)), "NoXtal", "Xtal")</f>
        <v>NoXtal</v>
      </c>
      <c r="AP63" s="3">
        <f t="shared" si="2"/>
        <v>1</v>
      </c>
      <c r="AQ63" s="3">
        <f t="shared" si="3"/>
        <v>1</v>
      </c>
      <c r="AR63" s="3">
        <f t="shared" si="4"/>
        <v>1</v>
      </c>
      <c r="AS63" s="3">
        <f t="shared" si="5"/>
        <v>1</v>
      </c>
      <c r="AT63" s="3">
        <f t="shared" si="6"/>
        <v>1</v>
      </c>
      <c r="AU63" s="3">
        <f t="shared" si="7"/>
        <v>1</v>
      </c>
      <c r="AV63" s="3">
        <f t="shared" si="8"/>
        <v>13</v>
      </c>
      <c r="AW63" s="3">
        <f t="shared" si="9"/>
        <v>3</v>
      </c>
      <c r="AX63" s="3">
        <f t="shared" si="10"/>
        <v>44</v>
      </c>
      <c r="AY63" s="3">
        <f t="shared" si="11"/>
        <v>6</v>
      </c>
      <c r="AZ63" s="3">
        <f t="shared" si="12"/>
        <v>1</v>
      </c>
      <c r="BA63" s="3">
        <f>IF(ISERROR(LEN(VLOOKUP(A63,Seqs!A:E,2,FALSE))-AL63),"-",LEN(VLOOKUP(A63,Seqs!A:E,2,FALSE))-AL63)</f>
        <v>156</v>
      </c>
      <c r="BB63" s="16">
        <f t="shared" si="13"/>
        <v>28</v>
      </c>
      <c r="BC63" s="9">
        <f t="shared" si="14"/>
        <v>20</v>
      </c>
      <c r="BD63" s="3">
        <f t="shared" si="15"/>
        <v>28</v>
      </c>
      <c r="BE63" s="3">
        <f t="shared" si="16"/>
        <v>94</v>
      </c>
    </row>
    <row r="64" spans="1:58" s="3" customFormat="1" x14ac:dyDescent="0.2">
      <c r="A64" s="3" t="s">
        <v>154</v>
      </c>
      <c r="B64" s="3" t="str">
        <f>LOWER(VLOOKUP(A64,Xtal_Templ!A:B,2,FALSE))</f>
        <v>drd2_human</v>
      </c>
      <c r="C64" s="3">
        <f>VLOOKUP($A64,'SegEnds_NonXtal_BW#'!$A:$Z,3,FALSE)+D64-50</f>
        <v>93</v>
      </c>
      <c r="D64" s="3">
        <v>114</v>
      </c>
      <c r="E64" s="3">
        <f>IF(ISERROR(VLOOKUP($A64,'SegEnds_NonXtal_BW#'!$A:$Z,4,FALSE)+VLOOKUP($A64,A:AL,4,FALSE)-50),"-",(VLOOKUP($A64,'SegEnds_NonXtal_BW#'!$A:$Z,4,FALSE)+VLOOKUP($A64,A:AL,4,FALSE)-50))</f>
        <v>124</v>
      </c>
      <c r="F64" s="3">
        <f t="shared" si="27"/>
        <v>125</v>
      </c>
      <c r="G64" s="3">
        <v>127</v>
      </c>
      <c r="H64" s="3">
        <f t="shared" si="33"/>
        <v>128</v>
      </c>
      <c r="I64" s="3">
        <f t="shared" si="33"/>
        <v>129</v>
      </c>
      <c r="J64" s="3">
        <v>142</v>
      </c>
      <c r="K64" s="3">
        <f>VLOOKUP($A64,'SegEnds_NonXtal_BW#'!$A:$Z,8,FALSE)+VLOOKUP($A64,A:AL,10,FALSE)-50</f>
        <v>160</v>
      </c>
      <c r="L64" s="3">
        <f t="shared" si="35"/>
        <v>161</v>
      </c>
      <c r="M64" s="3">
        <v>162</v>
      </c>
      <c r="N64" s="3">
        <f t="shared" si="36"/>
        <v>164</v>
      </c>
      <c r="O64" s="3">
        <f t="shared" si="37"/>
        <v>165</v>
      </c>
      <c r="P64" s="3">
        <v>194</v>
      </c>
      <c r="Q64" s="3">
        <f>VLOOKUP($A64,'SegEnds_NonXtal_BW#'!$A:$Z,12,FALSE)+VLOOKUP($A64,A:AL,16,FALSE)-50</f>
        <v>200</v>
      </c>
      <c r="R64" s="3">
        <f>IF(ISERROR(VLOOKUP($A64,'SegEnds_NonXtal_BW#'!$A:$Z,13,FALSE)+VLOOKUP($A64,A:AL,19,FALSE)-50),"-",VLOOKUP($A64,'SegEnds_NonXtal_BW#'!$A:$Z,13,FALSE)+VLOOKUP($A64,A:AL,19,FALSE)-50)</f>
        <v>201</v>
      </c>
      <c r="S64" s="3">
        <v>201</v>
      </c>
      <c r="T64" s="100">
        <f>IF(ISERROR(VLOOKUP($A64,'SegEnds_NonXtal_BW#'!$A:$Z,14,FALSE)+VLOOKUP($A64,A:AL,19,FALSE)-50),"-",(VLOOKUP($A64,'SegEnds_NonXtal_BW#'!$A:$Z,14,FALSE)+VLOOKUP($A64,A:AL,19,FALSE)-50))</f>
        <v>208</v>
      </c>
      <c r="U64" s="9">
        <f>IF(ISERROR(VLOOKUP($A64,'SegEnds_NonXtal_BW#'!$A:$Z,15,FALSE)+VLOOKUP($A64,A:AL,22,FALSE)-50),"-",VLOOKUP($A64,'SegEnds_NonXtal_BW#'!$A:$Z,15,FALSE)+VLOOKUP($A64,A:AL,22,FALSE)-50)</f>
        <v>209</v>
      </c>
      <c r="V64" s="3">
        <v>221</v>
      </c>
      <c r="W64" s="3">
        <f>IF(ISERROR(VLOOKUP($A64,'SegEnds_NonXtal_BW#'!$A:$Z,16,FALSE)+VLOOKUP($A64,A:AL,22,FALSE)-50),"-",(VLOOKUP($A64,'SegEnds_NonXtal_BW#'!$A:$Z,16,FALSE)+VLOOKUP($A64,A:AL,22,FALSE)-50))</f>
        <v>233</v>
      </c>
      <c r="X64" s="3">
        <f>IF(ISERROR(VLOOKUP($A64,'SegEnds_NonXtal_BW#'!$A:$Z,17,FALSE)+VLOOKUP($A64,A:AL,25,FALSE)-50),"-",(VLOOKUP($A64,'SegEnds_NonXtal_BW#'!$A:$Z,17,FALSE)+VLOOKUP($A64,A:AL,25,FALSE)-50))</f>
        <v>246</v>
      </c>
      <c r="Y64" s="3">
        <v>246</v>
      </c>
      <c r="Z64" s="3">
        <f t="shared" si="38"/>
        <v>248</v>
      </c>
      <c r="AA64" s="3">
        <f>IF(ISERROR(VLOOKUP($A64,'SegEnds_NonXtal_BW#'!$A:$Z,19,FALSE)+VLOOKUP($A64,A:AL,28,FALSE)-50),"-",(VLOOKUP($A64,'SegEnds_NonXtal_BW#'!$A:$Z,19,FALSE)+VLOOKUP($A64,A:AL,28,FALSE)-50))</f>
        <v>251</v>
      </c>
      <c r="AB64" s="3">
        <v>266</v>
      </c>
      <c r="AC64" s="3">
        <f>IF(ISERROR((VLOOKUP($A64,'SegEnds_NonXtal_BW#'!$A:$Z,20,FALSE)+VLOOKUP($A64,A:AL,28,FALSE)-50)),"-",(VLOOKUP($A64,'SegEnds_NonXtal_BW#'!$A:$Z,20,FALSE)+VLOOKUP($A64,A:AL,28,FALSE)-50))</f>
        <v>290</v>
      </c>
      <c r="AD64" s="3">
        <f>IF(ISERROR(VLOOKUP($A64,'SegEnds_NonXtal_BW#'!$A:$Z,21,FALSE)+VLOOKUP($A64,A:AL,31,FALSE)-50),"-",(VLOOKUP($A64,'SegEnds_NonXtal_BW#'!$A:$Z,21,FALSE)+VLOOKUP($A64,A:AL,31,FALSE)-50))</f>
        <v>337</v>
      </c>
      <c r="AE64" s="3">
        <v>363</v>
      </c>
      <c r="AF64" s="3">
        <f>IF(ISERROR((VLOOKUP($A64,'SegEnds_NonXtal_BW#'!$A:$Z,22,FALSE)+VLOOKUP($A64,A:AL,31,FALSE)-50)),"-",(VLOOKUP($A64,'SegEnds_NonXtal_BW#'!$A:$Z,22,FALSE)+VLOOKUP($A64,A:AL,31,FALSE)-50))</f>
        <v>374</v>
      </c>
      <c r="AG64" s="3">
        <f>IF(ISERROR(VLOOKUP($A64,'SegEnds_NonXtal_BW#'!$A:$Z,23,FALSE)+VLOOKUP($A64,A:AL,34,FALSE)-50),"-",(VLOOKUP($A64,'SegEnds_NonXtal_BW#'!$A:$Z,23,FALSE)+VLOOKUP($A64,A:AL,34,FALSE)-50))</f>
        <v>380</v>
      </c>
      <c r="AH64" s="3">
        <v>399</v>
      </c>
      <c r="AI64" s="3">
        <v>405</v>
      </c>
      <c r="AJ64" s="3">
        <f>IF(ISERROR(VLOOKUP($A64,'SegEnds_NonXtal_BW#'!$A:$Z,25,FALSE)+VLOOKUP($A64,A:AL,37,FALSE)-50),"-",(VLOOKUP($A64,'SegEnds_NonXtal_BW#'!$A:$Z,25,FALSE)+VLOOKUP($A64,A:AL,37,FALSE)-50))</f>
        <v>406</v>
      </c>
      <c r="AK64" s="3">
        <v>409</v>
      </c>
      <c r="AL64" s="3">
        <f>IF(ISERROR((VLOOKUP($A64,'SegEnds_NonXtal_BW#'!$A:$Z,26,FALSE)+VLOOKUP($A64,A:AL,37,FALSE)-50)),"-",(VLOOKUP($A64,'SegEnds_NonXtal_BW#'!$A:$Z,26,FALSE)+VLOOKUP($A64,A:AL,37,FALSE)-50))</f>
        <v>418</v>
      </c>
      <c r="AM64" s="28" t="str">
        <f>VLOOKUP(A64,Classification!A:B,2,FALSE)</f>
        <v>A</v>
      </c>
      <c r="AN64" s="28" t="b">
        <f t="shared" si="17"/>
        <v>1</v>
      </c>
      <c r="AO64" s="3" t="str">
        <f>IF(ISERROR(MATCH(A64,'SegEnds_Xtal_Prot#'!B:B, 0)), "NoXtal", "Xtal")</f>
        <v>NoXtal</v>
      </c>
      <c r="AP64" s="3">
        <f t="shared" si="2"/>
        <v>1</v>
      </c>
      <c r="AQ64" s="3">
        <f t="shared" si="3"/>
        <v>1</v>
      </c>
      <c r="AR64" s="3">
        <f t="shared" si="4"/>
        <v>1</v>
      </c>
      <c r="AS64" s="3">
        <f t="shared" si="5"/>
        <v>1</v>
      </c>
      <c r="AT64" s="3">
        <f t="shared" si="6"/>
        <v>1</v>
      </c>
      <c r="AU64" s="3">
        <f t="shared" si="7"/>
        <v>1</v>
      </c>
      <c r="AV64" s="3">
        <f t="shared" si="8"/>
        <v>13</v>
      </c>
      <c r="AW64" s="3">
        <f t="shared" si="9"/>
        <v>3</v>
      </c>
      <c r="AX64" s="3">
        <f t="shared" si="10"/>
        <v>47</v>
      </c>
      <c r="AY64" s="3">
        <f t="shared" si="11"/>
        <v>6</v>
      </c>
      <c r="AZ64" s="3">
        <f t="shared" si="12"/>
        <v>1</v>
      </c>
      <c r="BA64" s="3">
        <f>IF(ISERROR(LEN(VLOOKUP(A64,Seqs!A:E,2,FALSE))-AL64),"-",LEN(VLOOKUP(A64,Seqs!A:E,2,FALSE))-AL64)</f>
        <v>154</v>
      </c>
      <c r="BB64" s="16">
        <f t="shared" si="13"/>
        <v>28</v>
      </c>
      <c r="BC64" s="9">
        <f t="shared" si="14"/>
        <v>20</v>
      </c>
      <c r="BD64" s="3">
        <f t="shared" si="15"/>
        <v>28</v>
      </c>
      <c r="BE64" s="3">
        <f t="shared" si="16"/>
        <v>97</v>
      </c>
    </row>
    <row r="65" spans="1:58" s="3" customFormat="1" x14ac:dyDescent="0.2">
      <c r="A65" s="3" t="s">
        <v>155</v>
      </c>
      <c r="B65" s="3" t="str">
        <f>LOWER(VLOOKUP(A65,Xtal_Templ!A:B,2,FALSE))</f>
        <v>drd2_human</v>
      </c>
      <c r="C65" s="3">
        <f>VLOOKUP($A65,'SegEnds_NonXtal_BW#'!$A:$Z,3,FALSE)+D65-50</f>
        <v>30</v>
      </c>
      <c r="D65" s="3">
        <v>51</v>
      </c>
      <c r="E65" s="3">
        <f>IF(ISERROR(VLOOKUP($A65,'SegEnds_NonXtal_BW#'!$A:$Z,4,FALSE)+VLOOKUP($A65,A:AL,4,FALSE)-50),"-",(VLOOKUP($A65,'SegEnds_NonXtal_BW#'!$A:$Z,4,FALSE)+VLOOKUP($A65,A:AL,4,FALSE)-50))</f>
        <v>61</v>
      </c>
      <c r="F65" s="3">
        <f t="shared" si="27"/>
        <v>62</v>
      </c>
      <c r="G65" s="3">
        <v>64</v>
      </c>
      <c r="H65" s="3">
        <f t="shared" si="33"/>
        <v>65</v>
      </c>
      <c r="I65" s="3">
        <f t="shared" si="33"/>
        <v>66</v>
      </c>
      <c r="J65" s="3">
        <v>79</v>
      </c>
      <c r="K65" s="3">
        <f>VLOOKUP($A65,'SegEnds_NonXtal_BW#'!$A:$Z,8,FALSE)+VLOOKUP($A65,A:AL,10,FALSE)-50</f>
        <v>97</v>
      </c>
      <c r="L65" s="3">
        <f t="shared" si="35"/>
        <v>98</v>
      </c>
      <c r="M65" s="3">
        <v>99</v>
      </c>
      <c r="N65" s="3">
        <f t="shared" si="36"/>
        <v>101</v>
      </c>
      <c r="O65" s="3">
        <f t="shared" si="37"/>
        <v>102</v>
      </c>
      <c r="P65" s="3">
        <v>131</v>
      </c>
      <c r="Q65" s="3">
        <f>VLOOKUP($A65,'SegEnds_NonXtal_BW#'!$A:$Z,12,FALSE)+VLOOKUP($A65,A:AL,16,FALSE)-50</f>
        <v>137</v>
      </c>
      <c r="R65" s="3">
        <f>IF(ISERROR(VLOOKUP($A65,'SegEnds_NonXtal_BW#'!$A:$Z,13,FALSE)+VLOOKUP($A65,A:AL,19,FALSE)-50),"-",VLOOKUP($A65,'SegEnds_NonXtal_BW#'!$A:$Z,13,FALSE)+VLOOKUP($A65,A:AL,19,FALSE)-50)</f>
        <v>138</v>
      </c>
      <c r="S65" s="3">
        <v>138</v>
      </c>
      <c r="T65" s="100">
        <f>IF(ISERROR(VLOOKUP($A65,'SegEnds_NonXtal_BW#'!$A:$Z,14,FALSE)+VLOOKUP($A65,A:AL,19,FALSE)-50),"-",(VLOOKUP($A65,'SegEnds_NonXtal_BW#'!$A:$Z,14,FALSE)+VLOOKUP($A65,A:AL,19,FALSE)-50))</f>
        <v>145</v>
      </c>
      <c r="U65" s="9">
        <f>IF(ISERROR(VLOOKUP($A65,'SegEnds_NonXtal_BW#'!$A:$Z,15,FALSE)+VLOOKUP($A65,A:AL,22,FALSE)-50),"-",VLOOKUP($A65,'SegEnds_NonXtal_BW#'!$A:$Z,15,FALSE)+VLOOKUP($A65,A:AL,22,FALSE)-50)</f>
        <v>146</v>
      </c>
      <c r="V65" s="3">
        <v>158</v>
      </c>
      <c r="W65" s="3">
        <f>IF(ISERROR(VLOOKUP($A65,'SegEnds_NonXtal_BW#'!$A:$Z,16,FALSE)+VLOOKUP($A65,A:AL,22,FALSE)-50),"-",(VLOOKUP($A65,'SegEnds_NonXtal_BW#'!$A:$Z,16,FALSE)+VLOOKUP($A65,A:AL,22,FALSE)-50))</f>
        <v>170</v>
      </c>
      <c r="X65" s="3">
        <f>IF(ISERROR(VLOOKUP($A65,'SegEnds_NonXtal_BW#'!$A:$Z,17,FALSE)+VLOOKUP($A65,A:AL,25,FALSE)-50),"-",(VLOOKUP($A65,'SegEnds_NonXtal_BW#'!$A:$Z,17,FALSE)+VLOOKUP($A65,A:AL,25,FALSE)-50))</f>
        <v>188</v>
      </c>
      <c r="Y65" s="3">
        <v>188</v>
      </c>
      <c r="Z65" s="3">
        <f t="shared" si="38"/>
        <v>190</v>
      </c>
      <c r="AA65" s="3">
        <f>IF(ISERROR(VLOOKUP($A65,'SegEnds_NonXtal_BW#'!$A:$Z,19,FALSE)+VLOOKUP($A65,A:AL,28,FALSE)-50),"-",(VLOOKUP($A65,'SegEnds_NonXtal_BW#'!$A:$Z,19,FALSE)+VLOOKUP($A65,A:AL,28,FALSE)-50))</f>
        <v>193</v>
      </c>
      <c r="AB65" s="3">
        <v>208</v>
      </c>
      <c r="AC65" s="3">
        <f>IF(ISERROR((VLOOKUP($A65,'SegEnds_NonXtal_BW#'!$A:$Z,20,FALSE)+VLOOKUP($A65,A:AL,28,FALSE)-50)),"-",(VLOOKUP($A65,'SegEnds_NonXtal_BW#'!$A:$Z,20,FALSE)+VLOOKUP($A65,A:AL,28,FALSE)-50))</f>
        <v>233</v>
      </c>
      <c r="AD65" s="3">
        <f>IF(ISERROR(VLOOKUP($A65,'SegEnds_NonXtal_BW#'!$A:$Z,21,FALSE)+VLOOKUP($A65,A:AL,31,FALSE)-50),"-",(VLOOKUP($A65,'SegEnds_NonXtal_BW#'!$A:$Z,21,FALSE)+VLOOKUP($A65,A:AL,31,FALSE)-50))</f>
        <v>363</v>
      </c>
      <c r="AE65" s="3">
        <v>389</v>
      </c>
      <c r="AF65" s="3">
        <f>IF(ISERROR((VLOOKUP($A65,'SegEnds_NonXtal_BW#'!$A:$Z,22,FALSE)+VLOOKUP($A65,A:AL,31,FALSE)-50)),"-",(VLOOKUP($A65,'SegEnds_NonXtal_BW#'!$A:$Z,22,FALSE)+VLOOKUP($A65,A:AL,31,FALSE)-50))</f>
        <v>400</v>
      </c>
      <c r="AG65" s="3">
        <f>IF(ISERROR(VLOOKUP($A65,'SegEnds_NonXtal_BW#'!$A:$Z,23,FALSE)+VLOOKUP($A65,A:AL,34,FALSE)-50),"-",(VLOOKUP($A65,'SegEnds_NonXtal_BW#'!$A:$Z,23,FALSE)+VLOOKUP($A65,A:AL,34,FALSE)-50))</f>
        <v>405</v>
      </c>
      <c r="AH65" s="3">
        <v>423</v>
      </c>
      <c r="AI65" s="3">
        <f>IF(ISERROR((VLOOKUP($A65,'SegEnds_NonXtal_BW#'!$A:$Z,24,FALSE)+VLOOKUP($A65,A:AL,34,FALSE)-50)),"-",(VLOOKUP($A65,'SegEnds_NonXtal_BW#'!$A:$Z,24,FALSE)+VLOOKUP($A65,A:AL,34,FALSE)-50))</f>
        <v>429</v>
      </c>
      <c r="AJ65" s="3">
        <f>IF(ISERROR(VLOOKUP($A65,'SegEnds_NonXtal_BW#'!$A:$Z,25,FALSE)+VLOOKUP($A65,A:AL,37,FALSE)-50),"-",(VLOOKUP($A65,'SegEnds_NonXtal_BW#'!$A:$Z,25,FALSE)+VLOOKUP($A65,A:AL,37,FALSE)-50))</f>
        <v>430</v>
      </c>
      <c r="AK65" s="3">
        <v>433</v>
      </c>
      <c r="AL65" s="3">
        <f>IF(ISERROR((VLOOKUP($A65,'SegEnds_NonXtal_BW#'!$A:$Z,26,FALSE)+VLOOKUP($A65,A:AL,37,FALSE)-50)),"-",(VLOOKUP($A65,'SegEnds_NonXtal_BW#'!$A:$Z,26,FALSE)+VLOOKUP($A65,A:AL,37,FALSE)-50))</f>
        <v>442</v>
      </c>
      <c r="AM65" s="28" t="str">
        <f>VLOOKUP(A65,Classification!A:B,2,FALSE)</f>
        <v>A</v>
      </c>
      <c r="AN65" s="28" t="b">
        <f t="shared" si="17"/>
        <v>1</v>
      </c>
      <c r="AO65" s="3" t="str">
        <f>IF(ISERROR(MATCH(A65,'SegEnds_Xtal_Prot#'!B:B, 0)), "NoXtal", "Xtal")</f>
        <v>NoXtal</v>
      </c>
      <c r="AP65" s="3">
        <f t="shared" si="2"/>
        <v>1</v>
      </c>
      <c r="AQ65" s="3">
        <f t="shared" si="3"/>
        <v>1</v>
      </c>
      <c r="AR65" s="3">
        <f t="shared" si="4"/>
        <v>1</v>
      </c>
      <c r="AS65" s="3">
        <f t="shared" si="5"/>
        <v>1</v>
      </c>
      <c r="AT65" s="3">
        <f t="shared" si="6"/>
        <v>1</v>
      </c>
      <c r="AU65" s="3">
        <f t="shared" si="7"/>
        <v>1</v>
      </c>
      <c r="AV65" s="3">
        <f t="shared" si="8"/>
        <v>18</v>
      </c>
      <c r="AW65" s="3">
        <f t="shared" si="9"/>
        <v>3</v>
      </c>
      <c r="AX65" s="3">
        <f t="shared" si="10"/>
        <v>130</v>
      </c>
      <c r="AY65" s="3">
        <f t="shared" si="11"/>
        <v>5</v>
      </c>
      <c r="AZ65" s="3">
        <f t="shared" si="12"/>
        <v>1</v>
      </c>
      <c r="BA65" s="3">
        <f>IF(ISERROR(LEN(VLOOKUP(A65,Seqs!A:E,2,FALSE))-AL65),"-",LEN(VLOOKUP(A65,Seqs!A:E,2,FALSE))-AL65)</f>
        <v>8</v>
      </c>
      <c r="BB65" s="16">
        <f t="shared" si="13"/>
        <v>28</v>
      </c>
      <c r="BC65" s="9">
        <f t="shared" si="14"/>
        <v>20</v>
      </c>
      <c r="BD65" s="3">
        <f t="shared" si="15"/>
        <v>28</v>
      </c>
      <c r="BE65" s="3">
        <f t="shared" si="16"/>
        <v>181</v>
      </c>
      <c r="BF65" s="3">
        <f>AH65-AE65</f>
        <v>34</v>
      </c>
    </row>
    <row r="66" spans="1:58" s="3" customFormat="1" x14ac:dyDescent="0.2">
      <c r="A66" s="3" t="s">
        <v>156</v>
      </c>
      <c r="B66" s="3" t="str">
        <f>LOWER(VLOOKUP(A66,Xtal_Templ!A:B,2,FALSE))</f>
        <v>drd2_human</v>
      </c>
      <c r="C66" s="3">
        <f>VLOOKUP($A66,'SegEnds_NonXtal_BW#'!$A:$Z,3,FALSE)+D66-50</f>
        <v>9</v>
      </c>
      <c r="D66" s="3">
        <v>30</v>
      </c>
      <c r="E66" s="3">
        <f>IF(ISERROR(VLOOKUP($A66,'SegEnds_NonXtal_BW#'!$A:$Z,4,FALSE)+VLOOKUP($A66,A:AL,4,FALSE)-50),"-",(VLOOKUP($A66,'SegEnds_NonXtal_BW#'!$A:$Z,4,FALSE)+VLOOKUP($A66,A:AL,4,FALSE)-50))</f>
        <v>40</v>
      </c>
      <c r="F66" s="3">
        <f t="shared" si="27"/>
        <v>41</v>
      </c>
      <c r="G66" s="3">
        <v>43</v>
      </c>
      <c r="H66" s="3">
        <f t="shared" si="33"/>
        <v>44</v>
      </c>
      <c r="I66" s="3">
        <f t="shared" si="33"/>
        <v>45</v>
      </c>
      <c r="J66" s="3">
        <v>58</v>
      </c>
      <c r="K66" s="3">
        <f>VLOOKUP($A66,'SegEnds_NonXtal_BW#'!$A:$Z,8,FALSE)+VLOOKUP($A66,A:AL,10,FALSE)-50</f>
        <v>76</v>
      </c>
      <c r="L66" s="3">
        <f t="shared" si="35"/>
        <v>77</v>
      </c>
      <c r="M66" s="3">
        <v>78</v>
      </c>
      <c r="N66" s="3">
        <f t="shared" si="36"/>
        <v>80</v>
      </c>
      <c r="O66" s="3">
        <f t="shared" si="37"/>
        <v>81</v>
      </c>
      <c r="P66" s="3">
        <v>110</v>
      </c>
      <c r="Q66" s="3">
        <f>VLOOKUP($A66,'SegEnds_NonXtal_BW#'!$A:$Z,12,FALSE)+VLOOKUP($A66,A:AL,16,FALSE)-50</f>
        <v>116</v>
      </c>
      <c r="R66" s="3">
        <f>IF(ISERROR(VLOOKUP($A66,'SegEnds_NonXtal_BW#'!$A:$Z,13,FALSE)+VLOOKUP($A66,A:AL,19,FALSE)-50),"-",VLOOKUP($A66,'SegEnds_NonXtal_BW#'!$A:$Z,13,FALSE)+VLOOKUP($A66,A:AL,19,FALSE)-50)</f>
        <v>117</v>
      </c>
      <c r="S66" s="3">
        <v>117</v>
      </c>
      <c r="T66" s="100">
        <f>IF(ISERROR(VLOOKUP($A66,'SegEnds_NonXtal_BW#'!$A:$Z,14,FALSE)+VLOOKUP($A66,A:AL,19,FALSE)-50),"-",(VLOOKUP($A66,'SegEnds_NonXtal_BW#'!$A:$Z,14,FALSE)+VLOOKUP($A66,A:AL,19,FALSE)-50))</f>
        <v>124</v>
      </c>
      <c r="U66" s="9">
        <f>IF(ISERROR(VLOOKUP($A66,'SegEnds_NonXtal_BW#'!$A:$Z,15,FALSE)+VLOOKUP($A66,A:AL,22,FALSE)-50),"-",VLOOKUP($A66,'SegEnds_NonXtal_BW#'!$A:$Z,15,FALSE)+VLOOKUP($A66,A:AL,22,FALSE)-50)</f>
        <v>125</v>
      </c>
      <c r="V66" s="3">
        <v>137</v>
      </c>
      <c r="W66" s="3">
        <f>IF(ISERROR(VLOOKUP($A66,'SegEnds_NonXtal_BW#'!$A:$Z,16,FALSE)+VLOOKUP($A66,A:AL,22,FALSE)-50),"-",(VLOOKUP($A66,'SegEnds_NonXtal_BW#'!$A:$Z,16,FALSE)+VLOOKUP($A66,A:AL,22,FALSE)-50))</f>
        <v>149</v>
      </c>
      <c r="X66" s="3">
        <f>IF(ISERROR(VLOOKUP($A66,'SegEnds_NonXtal_BW#'!$A:$Z,17,FALSE)+VLOOKUP($A66,A:AL,25,FALSE)-50),"-",(VLOOKUP($A66,'SegEnds_NonXtal_BW#'!$A:$Z,17,FALSE)+VLOOKUP($A66,A:AL,25,FALSE)-50))</f>
        <v>164</v>
      </c>
      <c r="Y66" s="3">
        <v>164</v>
      </c>
      <c r="Z66" s="3">
        <f t="shared" si="38"/>
        <v>166</v>
      </c>
      <c r="AA66" s="3">
        <f>IF(ISERROR(VLOOKUP($A66,'SegEnds_NonXtal_BW#'!$A:$Z,19,FALSE)+VLOOKUP($A66,A:AL,28,FALSE)-50),"-",(VLOOKUP($A66,'SegEnds_NonXtal_BW#'!$A:$Z,19,FALSE)+VLOOKUP($A66,A:AL,28,FALSE)-50))</f>
        <v>169</v>
      </c>
      <c r="AB66" s="3">
        <v>184</v>
      </c>
      <c r="AC66" s="3">
        <f>IF(ISERROR((VLOOKUP($A66,'SegEnds_NonXtal_BW#'!$A:$Z,20,FALSE)+VLOOKUP($A66,A:AL,28,FALSE)-50)),"-",(VLOOKUP($A66,'SegEnds_NonXtal_BW#'!$A:$Z,20,FALSE)+VLOOKUP($A66,A:AL,28,FALSE)-50))</f>
        <v>209</v>
      </c>
      <c r="AD66" s="3">
        <f>IF(ISERROR(VLOOKUP($A66,'SegEnds_NonXtal_BW#'!$A:$Z,21,FALSE)+VLOOKUP($A66,A:AL,31,FALSE)-50),"-",(VLOOKUP($A66,'SegEnds_NonXtal_BW#'!$A:$Z,21,FALSE)+VLOOKUP($A66,A:AL,31,FALSE)-50))</f>
        <v>357</v>
      </c>
      <c r="AE66" s="3">
        <v>383</v>
      </c>
      <c r="AF66" s="3">
        <f>IF(ISERROR((VLOOKUP($A66,'SegEnds_NonXtal_BW#'!$A:$Z,22,FALSE)+VLOOKUP($A66,A:AL,31,FALSE)-50)),"-",(VLOOKUP($A66,'SegEnds_NonXtal_BW#'!$A:$Z,22,FALSE)+VLOOKUP($A66,A:AL,31,FALSE)-50))</f>
        <v>394</v>
      </c>
      <c r="AG66" s="3">
        <f>IF(ISERROR(VLOOKUP($A66,'SegEnds_NonXtal_BW#'!$A:$Z,23,FALSE)+VLOOKUP($A66,A:AL,34,FALSE)-50),"-",(VLOOKUP($A66,'SegEnds_NonXtal_BW#'!$A:$Z,23,FALSE)+VLOOKUP($A66,A:AL,34,FALSE)-50))</f>
        <v>401</v>
      </c>
      <c r="AH66" s="3">
        <v>420</v>
      </c>
      <c r="AI66" s="3">
        <f>IF(ISERROR((VLOOKUP($A66,'SegEnds_NonXtal_BW#'!$A:$Z,24,FALSE)+VLOOKUP($A66,A:AL,34,FALSE)-50)),"-",(VLOOKUP($A66,'SegEnds_NonXtal_BW#'!$A:$Z,24,FALSE)+VLOOKUP($A66,A:AL,34,FALSE)-50))</f>
        <v>426</v>
      </c>
      <c r="AJ66" s="3">
        <f>IF(ISERROR(VLOOKUP($A66,'SegEnds_NonXtal_BW#'!$A:$Z,25,FALSE)+VLOOKUP($A66,A:AL,37,FALSE)-50),"-",(VLOOKUP($A66,'SegEnds_NonXtal_BW#'!$A:$Z,25,FALSE)+VLOOKUP($A66,A:AL,37,FALSE)-50))</f>
        <v>427</v>
      </c>
      <c r="AK66" s="3">
        <v>430</v>
      </c>
      <c r="AL66" s="3">
        <f>IF(ISERROR((VLOOKUP($A66,'SegEnds_NonXtal_BW#'!$A:$Z,26,FALSE)+VLOOKUP($A66,A:AL,37,FALSE)-50)),"-",(VLOOKUP($A66,'SegEnds_NonXtal_BW#'!$A:$Z,26,FALSE)+VLOOKUP($A66,A:AL,37,FALSE)-50))</f>
        <v>439</v>
      </c>
      <c r="AM66" s="28" t="str">
        <f>VLOOKUP(A66,Classification!A:B,2,FALSE)</f>
        <v>A</v>
      </c>
      <c r="AN66" s="28" t="b">
        <f t="shared" si="17"/>
        <v>1</v>
      </c>
      <c r="AO66" s="3" t="str">
        <f>IF(ISERROR(MATCH(A66,'SegEnds_Xtal_Prot#'!B:B, 0)), "NoXtal", "Xtal")</f>
        <v>NoXtal</v>
      </c>
      <c r="AP66" s="3">
        <f t="shared" si="2"/>
        <v>1</v>
      </c>
      <c r="AQ66" s="3">
        <f t="shared" si="3"/>
        <v>1</v>
      </c>
      <c r="AR66" s="3">
        <f t="shared" si="4"/>
        <v>1</v>
      </c>
      <c r="AS66" s="3">
        <f t="shared" si="5"/>
        <v>1</v>
      </c>
      <c r="AT66" s="3">
        <f t="shared" si="6"/>
        <v>1</v>
      </c>
      <c r="AU66" s="3">
        <f t="shared" si="7"/>
        <v>1</v>
      </c>
      <c r="AV66" s="3">
        <f t="shared" si="8"/>
        <v>15</v>
      </c>
      <c r="AW66" s="3">
        <f t="shared" si="9"/>
        <v>3</v>
      </c>
      <c r="AX66" s="3">
        <f t="shared" si="10"/>
        <v>148</v>
      </c>
      <c r="AY66" s="3">
        <f t="shared" si="11"/>
        <v>7</v>
      </c>
      <c r="AZ66" s="3">
        <f t="shared" si="12"/>
        <v>1</v>
      </c>
      <c r="BA66" s="3">
        <f>IF(ISERROR(LEN(VLOOKUP(A66,Seqs!A:E,2,FALSE))-AL66),"-",LEN(VLOOKUP(A66,Seqs!A:E,2,FALSE))-AL66)</f>
        <v>8</v>
      </c>
      <c r="BB66" s="16">
        <f t="shared" si="13"/>
        <v>28</v>
      </c>
      <c r="BC66" s="9">
        <f t="shared" si="14"/>
        <v>20</v>
      </c>
      <c r="BD66" s="3">
        <f t="shared" si="15"/>
        <v>28</v>
      </c>
      <c r="BE66" s="3">
        <f t="shared" si="16"/>
        <v>199</v>
      </c>
      <c r="BF66" s="3">
        <f>AH66-AE66</f>
        <v>37</v>
      </c>
    </row>
    <row r="67" spans="1:58" s="3" customFormat="1" x14ac:dyDescent="0.2">
      <c r="A67" s="3" t="s">
        <v>157</v>
      </c>
      <c r="B67" s="3" t="str">
        <f>LOWER(VLOOKUP(A67,Xtal_Templ!A:B,2,FALSE))</f>
        <v>drd2_human</v>
      </c>
      <c r="C67" s="3">
        <f>VLOOKUP($A67,'SegEnds_NonXtal_BW#'!$A:$Z,3,FALSE)+D67-50</f>
        <v>48</v>
      </c>
      <c r="D67" s="3">
        <v>69</v>
      </c>
      <c r="E67" s="3">
        <f>IF(ISERROR(VLOOKUP($A67,'SegEnds_NonXtal_BW#'!$A:$Z,4,FALSE)+VLOOKUP($A67,A:AL,4,FALSE)-50),"-",(VLOOKUP($A67,'SegEnds_NonXtal_BW#'!$A:$Z,4,FALSE)+VLOOKUP($A67,A:AL,4,FALSE)-50))</f>
        <v>79</v>
      </c>
      <c r="F67" s="3">
        <f t="shared" si="27"/>
        <v>80</v>
      </c>
      <c r="G67" s="3">
        <v>82</v>
      </c>
      <c r="H67" s="3">
        <f t="shared" si="33"/>
        <v>83</v>
      </c>
      <c r="I67" s="3">
        <f t="shared" si="33"/>
        <v>84</v>
      </c>
      <c r="J67" s="3">
        <v>97</v>
      </c>
      <c r="K67" s="3">
        <f>VLOOKUP($A67,'SegEnds_NonXtal_BW#'!$A:$Z,8,FALSE)+VLOOKUP($A67,A:AL,10,FALSE)-50</f>
        <v>115</v>
      </c>
      <c r="L67" s="3">
        <f t="shared" si="35"/>
        <v>116</v>
      </c>
      <c r="M67" s="3">
        <v>117</v>
      </c>
      <c r="N67" s="3">
        <f t="shared" si="36"/>
        <v>119</v>
      </c>
      <c r="O67" s="3">
        <f t="shared" si="37"/>
        <v>120</v>
      </c>
      <c r="P67" s="3">
        <v>149</v>
      </c>
      <c r="Q67" s="3">
        <f>VLOOKUP($A67,'SegEnds_NonXtal_BW#'!$A:$Z,12,FALSE)+VLOOKUP($A67,A:AL,16,FALSE)-50</f>
        <v>155</v>
      </c>
      <c r="R67" s="3">
        <f>IF(ISERROR(VLOOKUP($A67,'SegEnds_NonXtal_BW#'!$A:$Z,13,FALSE)+VLOOKUP($A67,A:AL,19,FALSE)-50),"-",VLOOKUP($A67,'SegEnds_NonXtal_BW#'!$A:$Z,13,FALSE)+VLOOKUP($A67,A:AL,19,FALSE)-50)</f>
        <v>156</v>
      </c>
      <c r="S67" s="3">
        <v>156</v>
      </c>
      <c r="T67" s="100">
        <f>IF(ISERROR(VLOOKUP($A67,'SegEnds_NonXtal_BW#'!$A:$Z,14,FALSE)+VLOOKUP($A67,A:AL,19,FALSE)-50),"-",(VLOOKUP($A67,'SegEnds_NonXtal_BW#'!$A:$Z,14,FALSE)+VLOOKUP($A67,A:AL,19,FALSE)-50))</f>
        <v>163</v>
      </c>
      <c r="U67" s="9">
        <f>IF(ISERROR(VLOOKUP($A67,'SegEnds_NonXtal_BW#'!$A:$Z,15,FALSE)+VLOOKUP($A67,A:AL,22,FALSE)-50),"-",VLOOKUP($A67,'SegEnds_NonXtal_BW#'!$A:$Z,15,FALSE)+VLOOKUP($A67,A:AL,22,FALSE)-50)</f>
        <v>164</v>
      </c>
      <c r="V67" s="3">
        <v>176</v>
      </c>
      <c r="W67" s="3">
        <f>IF(ISERROR(VLOOKUP($A67,'SegEnds_NonXtal_BW#'!$A:$Z,16,FALSE)+VLOOKUP($A67,A:AL,22,FALSE)-50),"-",(VLOOKUP($A67,'SegEnds_NonXtal_BW#'!$A:$Z,16,FALSE)+VLOOKUP($A67,A:AL,22,FALSE)-50))</f>
        <v>188</v>
      </c>
      <c r="X67" s="3">
        <f>IF(ISERROR(VLOOKUP($A67,'SegEnds_NonXtal_BW#'!$A:$Z,17,FALSE)+VLOOKUP($A67,A:AL,25,FALSE)-50),"-",(VLOOKUP($A67,'SegEnds_NonXtal_BW#'!$A:$Z,17,FALSE)+VLOOKUP($A67,A:AL,25,FALSE)-50))</f>
        <v>202</v>
      </c>
      <c r="Y67" s="3">
        <v>202</v>
      </c>
      <c r="Z67" s="3">
        <f t="shared" si="38"/>
        <v>204</v>
      </c>
      <c r="AA67" s="3">
        <f>IF(ISERROR(VLOOKUP($A67,'SegEnds_NonXtal_BW#'!$A:$Z,19,FALSE)+VLOOKUP($A67,A:AL,28,FALSE)-50),"-",(VLOOKUP($A67,'SegEnds_NonXtal_BW#'!$A:$Z,19,FALSE)+VLOOKUP($A67,A:AL,28,FALSE)-50))</f>
        <v>207</v>
      </c>
      <c r="AB67" s="3">
        <v>222</v>
      </c>
      <c r="AC67" s="3">
        <f>IF(ISERROR((VLOOKUP($A67,'SegEnds_NonXtal_BW#'!$A:$Z,20,FALSE)+VLOOKUP($A67,A:AL,28,FALSE)-50)),"-",(VLOOKUP($A67,'SegEnds_NonXtal_BW#'!$A:$Z,20,FALSE)+VLOOKUP($A67,A:AL,28,FALSE)-50))</f>
        <v>247</v>
      </c>
      <c r="AD67" s="3">
        <f>IF(ISERROR(VLOOKUP($A67,'SegEnds_NonXtal_BW#'!$A:$Z,21,FALSE)+VLOOKUP($A67,A:AL,31,FALSE)-50),"-",(VLOOKUP($A67,'SegEnds_NonXtal_BW#'!$A:$Z,21,FALSE)+VLOOKUP($A67,A:AL,31,FALSE)-50))</f>
        <v>371</v>
      </c>
      <c r="AE67" s="3">
        <v>397</v>
      </c>
      <c r="AF67" s="3">
        <f>IF(ISERROR((VLOOKUP($A67,'SegEnds_NonXtal_BW#'!$A:$Z,22,FALSE)+VLOOKUP($A67,A:AL,31,FALSE)-50)),"-",(VLOOKUP($A67,'SegEnds_NonXtal_BW#'!$A:$Z,22,FALSE)+VLOOKUP($A67,A:AL,31,FALSE)-50))</f>
        <v>408</v>
      </c>
      <c r="AG67" s="3">
        <f>IF(ISERROR(VLOOKUP($A67,'SegEnds_NonXtal_BW#'!$A:$Z,23,FALSE)+VLOOKUP($A67,A:AL,34,FALSE)-50),"-",(VLOOKUP($A67,'SegEnds_NonXtal_BW#'!$A:$Z,23,FALSE)+VLOOKUP($A67,A:AL,34,FALSE)-50))</f>
        <v>415</v>
      </c>
      <c r="AH67" s="3">
        <v>434</v>
      </c>
      <c r="AI67" s="3">
        <f>IF(ISERROR((VLOOKUP($A67,'SegEnds_NonXtal_BW#'!$A:$Z,24,FALSE)+VLOOKUP($A67,A:AL,34,FALSE)-50)),"-",(VLOOKUP($A67,'SegEnds_NonXtal_BW#'!$A:$Z,24,FALSE)+VLOOKUP($A67,A:AL,34,FALSE)-50))</f>
        <v>440</v>
      </c>
      <c r="AJ67" s="3">
        <f>IF(ISERROR(VLOOKUP($A67,'SegEnds_NonXtal_BW#'!$A:$Z,25,FALSE)+VLOOKUP($A67,A:AL,37,FALSE)-50),"-",(VLOOKUP($A67,'SegEnds_NonXtal_BW#'!$A:$Z,25,FALSE)+VLOOKUP($A67,A:AL,37,FALSE)-50))</f>
        <v>441</v>
      </c>
      <c r="AK67" s="3">
        <v>444</v>
      </c>
      <c r="AL67" s="3">
        <f>IF(ISERROR((VLOOKUP($A67,'SegEnds_NonXtal_BW#'!$A:$Z,26,FALSE)+VLOOKUP($A67,A:AL,37,FALSE)-50)),"-",(VLOOKUP($A67,'SegEnds_NonXtal_BW#'!$A:$Z,26,FALSE)+VLOOKUP($A67,A:AL,37,FALSE)-50))</f>
        <v>453</v>
      </c>
      <c r="AM67" s="28" t="str">
        <f>VLOOKUP(A67,Classification!A:B,2,FALSE)</f>
        <v>A</v>
      </c>
      <c r="AN67" s="28" t="b">
        <f t="shared" si="17"/>
        <v>1</v>
      </c>
      <c r="AO67" s="3" t="str">
        <f>IF(ISERROR(MATCH(A67,'SegEnds_Xtal_Prot#'!B:B, 0)), "NoXtal", "Xtal")</f>
        <v>NoXtal</v>
      </c>
      <c r="AP67" s="3">
        <f t="shared" si="2"/>
        <v>1</v>
      </c>
      <c r="AQ67" s="3">
        <f t="shared" si="3"/>
        <v>1</v>
      </c>
      <c r="AR67" s="3">
        <f t="shared" si="4"/>
        <v>1</v>
      </c>
      <c r="AS67" s="3">
        <f t="shared" si="5"/>
        <v>1</v>
      </c>
      <c r="AT67" s="3">
        <f t="shared" si="6"/>
        <v>1</v>
      </c>
      <c r="AU67" s="3">
        <f t="shared" si="7"/>
        <v>1</v>
      </c>
      <c r="AV67" s="3">
        <f t="shared" si="8"/>
        <v>14</v>
      </c>
      <c r="AW67" s="3">
        <f t="shared" si="9"/>
        <v>3</v>
      </c>
      <c r="AX67" s="3">
        <f t="shared" si="10"/>
        <v>124</v>
      </c>
      <c r="AY67" s="3">
        <f t="shared" si="11"/>
        <v>7</v>
      </c>
      <c r="AZ67" s="3">
        <f t="shared" si="12"/>
        <v>1</v>
      </c>
      <c r="BA67" s="3">
        <f>IF(ISERROR(LEN(VLOOKUP(A67,Seqs!A:E,2,FALSE))-AL67),"-",LEN(VLOOKUP(A67,Seqs!A:E,2,FALSE))-AL67)</f>
        <v>9</v>
      </c>
      <c r="BB67" s="16">
        <f t="shared" si="13"/>
        <v>28</v>
      </c>
      <c r="BC67" s="9">
        <f t="shared" si="14"/>
        <v>20</v>
      </c>
      <c r="BD67" s="3">
        <f t="shared" si="15"/>
        <v>28</v>
      </c>
      <c r="BE67" s="3">
        <f t="shared" si="16"/>
        <v>175</v>
      </c>
      <c r="BF67" s="3">
        <f>AH67-AE67</f>
        <v>37</v>
      </c>
    </row>
    <row r="68" spans="1:58" s="3" customFormat="1" x14ac:dyDescent="0.2">
      <c r="A68" s="3" t="s">
        <v>125</v>
      </c>
      <c r="B68" s="3" t="str">
        <f>LOWER(VLOOKUP(A68,Xtal_Templ!A:B,2,FALSE))</f>
        <v>adrb2_human</v>
      </c>
      <c r="C68" s="3">
        <f>VLOOKUP($A68,'SegEnds_NonXtal_BW#'!$A:$Z,3,FALSE)+D68-50</f>
        <v>51</v>
      </c>
      <c r="D68" s="3">
        <v>76</v>
      </c>
      <c r="E68" s="3">
        <f>IF(ISERROR(VLOOKUP($A68,'SegEnds_NonXtal_BW#'!$A:$Z,4,FALSE)+VLOOKUP($A68,A:AL,4,FALSE)-50),"-",(VLOOKUP($A68,'SegEnds_NonXtal_BW#'!$A:$Z,4,FALSE)+VLOOKUP($A68,A:AL,4,FALSE)-50))</f>
        <v>86</v>
      </c>
      <c r="F68" s="3">
        <f t="shared" si="27"/>
        <v>87</v>
      </c>
      <c r="G68" s="3">
        <v>89</v>
      </c>
      <c r="H68" s="3">
        <f t="shared" si="33"/>
        <v>90</v>
      </c>
      <c r="I68" s="3">
        <f t="shared" si="33"/>
        <v>91</v>
      </c>
      <c r="J68" s="3">
        <v>104</v>
      </c>
      <c r="K68" s="3">
        <f>VLOOKUP($A68,'SegEnds_NonXtal_BW#'!$A:$Z,8,FALSE)+VLOOKUP($A68,A:AL,10,FALSE)-50</f>
        <v>121</v>
      </c>
      <c r="L68" s="3">
        <f t="shared" si="35"/>
        <v>123</v>
      </c>
      <c r="M68" s="3">
        <v>124</v>
      </c>
      <c r="N68" s="3">
        <f t="shared" si="36"/>
        <v>126</v>
      </c>
      <c r="O68" s="3">
        <f t="shared" si="37"/>
        <v>127</v>
      </c>
      <c r="P68" s="3">
        <v>156</v>
      </c>
      <c r="Q68" s="3">
        <f>VLOOKUP($A68,'SegEnds_NonXtal_BW#'!$A:$Z,12,FALSE)+VLOOKUP($A68,A:AL,16,FALSE)-50</f>
        <v>162</v>
      </c>
      <c r="R68" s="3">
        <f>IF(ISERROR(VLOOKUP($A68,'SegEnds_NonXtal_BW#'!$A:$Z,13,FALSE)+VLOOKUP($A68,A:AL,19,FALSE)-50),"-",VLOOKUP($A68,'SegEnds_NonXtal_BW#'!$A:$Z,13,FALSE)+VLOOKUP($A68,A:AL,19,FALSE)-50)</f>
        <v>163</v>
      </c>
      <c r="S68" s="3">
        <v>163</v>
      </c>
      <c r="T68" s="100">
        <f>IF(ISERROR(VLOOKUP($A68,'SegEnds_NonXtal_BW#'!$A:$Z,14,FALSE)+VLOOKUP($A68,A:AL,19,FALSE)-50),"-",(VLOOKUP($A68,'SegEnds_NonXtal_BW#'!$A:$Z,14,FALSE)+VLOOKUP($A68,A:AL,19,FALSE)-50))</f>
        <v>170</v>
      </c>
      <c r="U68" s="9">
        <f>IF(ISERROR(VLOOKUP($A68,'SegEnds_NonXtal_BW#'!$A:$Z,15,FALSE)+VLOOKUP($A68,A:AL,22,FALSE)-50),"-",VLOOKUP($A68,'SegEnds_NonXtal_BW#'!$A:$Z,15,FALSE)+VLOOKUP($A68,A:AL,22,FALSE)-50)</f>
        <v>171</v>
      </c>
      <c r="V68" s="3">
        <v>183</v>
      </c>
      <c r="W68" s="3">
        <f>IF(ISERROR(VLOOKUP($A68,'SegEnds_NonXtal_BW#'!$A:$Z,16,FALSE)+VLOOKUP($A68,A:AL,22,FALSE)-50),"-",(VLOOKUP($A68,'SegEnds_NonXtal_BW#'!$A:$Z,16,FALSE)+VLOOKUP($A68,A:AL,22,FALSE)-50))</f>
        <v>197</v>
      </c>
      <c r="X68" s="3">
        <f>IF(ISERROR(VLOOKUP($A68,'SegEnds_NonXtal_BW#'!$A:$Z,17,FALSE)+VLOOKUP($A68,A:AL,25,FALSE)-50),"-",(VLOOKUP($A68,'SegEnds_NonXtal_BW#'!$A:$Z,17,FALSE)+VLOOKUP($A68,A:AL,25,FALSE)-50))</f>
        <v>216</v>
      </c>
      <c r="Y68" s="3">
        <v>216</v>
      </c>
      <c r="Z68" s="3">
        <f t="shared" si="38"/>
        <v>218</v>
      </c>
      <c r="AA68" s="3">
        <f>IF(ISERROR(VLOOKUP($A68,'SegEnds_NonXtal_BW#'!$A:$Z,19,FALSE)+VLOOKUP($A68,A:AL,28,FALSE)-50),"-",(VLOOKUP($A68,'SegEnds_NonXtal_BW#'!$A:$Z,19,FALSE)+VLOOKUP($A68,A:AL,28,FALSE)-50))</f>
        <v>221</v>
      </c>
      <c r="AB68" s="3">
        <v>236</v>
      </c>
      <c r="AC68" s="3">
        <f>IF(ISERROR((VLOOKUP($A68,'SegEnds_NonXtal_BW#'!$A:$Z,20,FALSE)+VLOOKUP($A68,A:AL,28,FALSE)-50)),"-",(VLOOKUP($A68,'SegEnds_NonXtal_BW#'!$A:$Z,20,FALSE)+VLOOKUP($A68,A:AL,28,FALSE)-50))</f>
        <v>260</v>
      </c>
      <c r="AD68" s="3">
        <f>IF(ISERROR(VLOOKUP($A68,'SegEnds_NonXtal_BW#'!$A:$Z,21,FALSE)+VLOOKUP($A68,A:AL,31,FALSE)-50),"-",(VLOOKUP($A68,'SegEnds_NonXtal_BW#'!$A:$Z,21,FALSE)+VLOOKUP($A68,A:AL,31,FALSE)-50))</f>
        <v>313</v>
      </c>
      <c r="AE68" s="3">
        <v>339</v>
      </c>
      <c r="AF68" s="3">
        <f>IF(ISERROR((VLOOKUP($A68,'SegEnds_NonXtal_BW#'!$A:$Z,22,FALSE)+VLOOKUP($A68,A:AL,31,FALSE)-50)),"-",(VLOOKUP($A68,'SegEnds_NonXtal_BW#'!$A:$Z,22,FALSE)+VLOOKUP($A68,A:AL,31,FALSE)-50))</f>
        <v>350</v>
      </c>
      <c r="AG68" s="3">
        <f>IF(ISERROR(VLOOKUP($A68,'SegEnds_NonXtal_BW#'!$A:$Z,23,FALSE)+VLOOKUP($A68,A:AL,34,FALSE)-50),"-",(VLOOKUP($A68,'SegEnds_NonXtal_BW#'!$A:$Z,23,FALSE)+VLOOKUP($A68,A:AL,34,FALSE)-50))</f>
        <v>355</v>
      </c>
      <c r="AH68" s="3">
        <v>374</v>
      </c>
      <c r="AI68" s="3">
        <v>379</v>
      </c>
      <c r="AJ68" s="3">
        <f>IF(ISERROR(VLOOKUP($A68,'SegEnds_NonXtal_BW#'!$A:$Z,25,FALSE)+VLOOKUP($A68,A:AL,37,FALSE)-50),"-",(VLOOKUP($A68,'SegEnds_NonXtal_BW#'!$A:$Z,25,FALSE)+VLOOKUP($A68,A:AL,37,FALSE)-50))</f>
        <v>380</v>
      </c>
      <c r="AK68" s="3">
        <v>383</v>
      </c>
      <c r="AL68" s="3">
        <f>IF(ISERROR((VLOOKUP($A68,'SegEnds_NonXtal_BW#'!$A:$Z,26,FALSE)+VLOOKUP($A68,A:AL,37,FALSE)-50)),"-",(VLOOKUP($A68,'SegEnds_NonXtal_BW#'!$A:$Z,26,FALSE)+VLOOKUP($A68,A:AL,37,FALSE)-50))</f>
        <v>392</v>
      </c>
      <c r="AM68" s="28" t="str">
        <f>VLOOKUP(A68,Classification!A:B,2,FALSE)</f>
        <v>A</v>
      </c>
      <c r="AN68" s="28" t="b">
        <f t="shared" si="17"/>
        <v>1</v>
      </c>
      <c r="AO68" s="3" t="str">
        <f>IF(ISERROR(MATCH(A68,'SegEnds_Xtal_Prot#'!B:B, 0)), "NoXtal", "Xtal")</f>
        <v>NoXtal</v>
      </c>
      <c r="AP68" s="3">
        <f t="shared" ref="AP68:AP131" si="39">IF(ISERROR(F68-E68),"-",F68-E68)</f>
        <v>1</v>
      </c>
      <c r="AQ68" s="3">
        <f t="shared" ref="AQ68:AQ131" si="40">IF(ISERROR(I68-H68),"-",I68-H68)</f>
        <v>1</v>
      </c>
      <c r="AR68" s="3">
        <f t="shared" ref="AR68:AR131" si="41">IF(ISERROR(L68-K68),"-",L68-K68)</f>
        <v>2</v>
      </c>
      <c r="AS68" s="3">
        <f t="shared" ref="AS68:AS131" si="42">IF(ISERROR(O68-N68),"-",O68-N68)</f>
        <v>1</v>
      </c>
      <c r="AT68" s="3">
        <f t="shared" ref="AT68:AT131" si="43">IF(ISERROR(R68-Q68),"-",R68-Q68)</f>
        <v>1</v>
      </c>
      <c r="AU68" s="3">
        <f t="shared" ref="AU68:AU131" si="44">IF(ISERROR(U68-T68),"-",U68-T68)</f>
        <v>1</v>
      </c>
      <c r="AV68" s="3">
        <f t="shared" ref="AV68:AV131" si="45">IF(ISERROR(X68-W68),"-",X68-W68)</f>
        <v>19</v>
      </c>
      <c r="AW68" s="3">
        <f t="shared" ref="AW68:AW131" si="46">IF(ISERROR(AA68-Z68),"-",AA68-Z68)</f>
        <v>3</v>
      </c>
      <c r="AX68" s="3">
        <f t="shared" ref="AX68:AX131" si="47">IF(ISERROR(AD68-AC68),"-",AD68-AC68)</f>
        <v>53</v>
      </c>
      <c r="AY68" s="3">
        <f t="shared" ref="AY68:AY131" si="48">IF(ISERROR(AG68-AF68),"-",AG68-AF68)</f>
        <v>5</v>
      </c>
      <c r="AZ68" s="3">
        <f t="shared" ref="AZ68:AZ131" si="49">IF(ISERROR(AJ68-AI68),"-",AJ68-AI68)</f>
        <v>1</v>
      </c>
      <c r="BA68" s="3">
        <f>IF(ISERROR(LEN(VLOOKUP(A68,Seqs!A:E,2,FALSE))-AL68),"-",LEN(VLOOKUP(A68,Seqs!A:E,2,FALSE))-AL68)</f>
        <v>85</v>
      </c>
      <c r="BB68" s="16">
        <f t="shared" ref="BB68:BB131" si="50">J68-D68</f>
        <v>28</v>
      </c>
      <c r="BC68" s="9">
        <f t="shared" ref="BC68:BC131" si="51">IF(ISERROR(V68-S68),"-",V68-S68)</f>
        <v>20</v>
      </c>
      <c r="BD68" s="3">
        <f t="shared" ref="BD68:BD131" si="52">J68-D68</f>
        <v>28</v>
      </c>
      <c r="BE68" s="3">
        <f t="shared" ref="BE68:BE131" si="53">AE68-AB68</f>
        <v>103</v>
      </c>
    </row>
    <row r="69" spans="1:58" s="3" customFormat="1" ht="17" customHeight="1" x14ac:dyDescent="0.2">
      <c r="A69" s="3" t="s">
        <v>912</v>
      </c>
      <c r="B69" s="3" t="str">
        <f>LOWER(VLOOKUP(A69,Xtal_Templ!A:B,2,FALSE))</f>
        <v>adrb1_melga</v>
      </c>
      <c r="C69" s="3">
        <f>VLOOKUP($A69,'SegEnds_NonXtal_BW#'!$A:$Z,3,FALSE)+D69-50</f>
        <v>33</v>
      </c>
      <c r="D69" s="3">
        <v>59</v>
      </c>
      <c r="E69" s="3">
        <f>IF(ISERROR(VLOOKUP($A69,'SegEnds_NonXtal_BW#'!$A:$Z,4,FALSE)+VLOOKUP($A69,A:AL,4,FALSE)-50),"-",(VLOOKUP($A69,'SegEnds_NonXtal_BW#'!$A:$Z,4,FALSE)+VLOOKUP($A69,A:AL,4,FALSE)-50))</f>
        <v>69</v>
      </c>
      <c r="F69" s="3">
        <f t="shared" si="27"/>
        <v>70</v>
      </c>
      <c r="G69" s="3">
        <v>72</v>
      </c>
      <c r="H69" s="3">
        <f t="shared" ref="H69:I72" si="54">G69+1</f>
        <v>73</v>
      </c>
      <c r="I69" s="3">
        <f t="shared" si="54"/>
        <v>74</v>
      </c>
      <c r="J69" s="3">
        <v>87</v>
      </c>
      <c r="K69" s="3">
        <f>VLOOKUP($A69,'SegEnds_NonXtal_BW#'!$A:$Z,8,FALSE)+VLOOKUP($A69,A:AL,10,FALSE)-50</f>
        <v>104</v>
      </c>
      <c r="L69" s="3">
        <f>IF(ISERROR(VLOOKUP($A69,'SegEnds_NonXtal_BW#'!$A:$Z,9,FALSE)+VLOOKUP($A69,A:AL,13,FALSE)-50),"-",(VLOOKUP($A69,'SegEnds_NonXtal_BW#'!$A:$Z,9,FALSE)+VLOOKUP($A69,A:AL,13,FALSE)-50))</f>
        <v>106</v>
      </c>
      <c r="M69" s="3">
        <v>107</v>
      </c>
      <c r="N69" s="3">
        <f>IF(ISERROR(VLOOKUP($A69,'SegEnds_NonXtal_BW#'!$A:$Z,10,FALSE)+VLOOKUP($A69,A:AL,13,FALSE)-50),"-",(VLOOKUP($A69,'SegEnds_NonXtal_BW#'!$A:$Z,10,FALSE)+VLOOKUP($A69,A:AL,13,FALSE)-50))</f>
        <v>109</v>
      </c>
      <c r="O69" s="3">
        <f t="shared" si="37"/>
        <v>110</v>
      </c>
      <c r="P69" s="3">
        <v>139</v>
      </c>
      <c r="Q69" s="3">
        <f>VLOOKUP($A69,'SegEnds_NonXtal_BW#'!$A:$Z,12,FALSE)+VLOOKUP($A69,A:AL,16,FALSE)-50</f>
        <v>145</v>
      </c>
      <c r="R69" s="3">
        <f>IF(ISERROR(VLOOKUP($A69,'SegEnds_NonXtal_BW#'!$A:$Z,13,FALSE)+VLOOKUP($A69,A:AL,19,FALSE)-50),"-",VLOOKUP($A69,'SegEnds_NonXtal_BW#'!$A:$Z,13,FALSE)+VLOOKUP($A69,A:AL,19,FALSE)-50)</f>
        <v>146</v>
      </c>
      <c r="S69" s="3">
        <v>146</v>
      </c>
      <c r="T69" s="100">
        <f>IF(ISERROR(VLOOKUP($A69,'SegEnds_NonXtal_BW#'!$A:$Z,14,FALSE)+VLOOKUP($A69,A:AL,19,FALSE)-50),"-",(VLOOKUP($A69,'SegEnds_NonXtal_BW#'!$A:$Z,14,FALSE)+VLOOKUP($A69,A:AL,19,FALSE)-50))</f>
        <v>153</v>
      </c>
      <c r="U69" s="9">
        <f>IF(ISERROR(VLOOKUP($A69,'SegEnds_NonXtal_BW#'!$A:$Z,15,FALSE)+VLOOKUP($A69,A:AL,22,FALSE)-50),"-",VLOOKUP($A69,'SegEnds_NonXtal_BW#'!$A:$Z,15,FALSE)+VLOOKUP($A69,A:AL,22,FALSE)-50)</f>
        <v>154</v>
      </c>
      <c r="V69" s="3">
        <v>166</v>
      </c>
      <c r="W69" s="3">
        <f>IF(ISERROR(VLOOKUP($A69,'SegEnds_NonXtal_BW#'!$A:$Z,16,FALSE)+VLOOKUP($A69,A:AL,22,FALSE)-50),"-",(VLOOKUP($A69,'SegEnds_NonXtal_BW#'!$A:$Z,16,FALSE)+VLOOKUP($A69,A:AL,22,FALSE)-50))</f>
        <v>180</v>
      </c>
      <c r="X69" s="3">
        <f>IF(ISERROR(VLOOKUP($A69,'SegEnds_NonXtal_BW#'!$A:$Z,17,FALSE)+VLOOKUP($A69,A:AL,25,FALSE)-50),"-",(VLOOKUP($A69,'SegEnds_NonXtal_BW#'!$A:$Z,17,FALSE)+VLOOKUP($A69,A:AL,25,FALSE)-50))</f>
        <v>199</v>
      </c>
      <c r="Y69" s="3">
        <v>199</v>
      </c>
      <c r="Z69" s="3">
        <f t="shared" si="38"/>
        <v>201</v>
      </c>
      <c r="AA69" s="3">
        <f>IF(ISERROR(VLOOKUP($A69,'SegEnds_NonXtal_BW#'!$A:$Z,19,FALSE)+VLOOKUP($A69,A:AL,28,FALSE)-50),"-",(VLOOKUP($A69,'SegEnds_NonXtal_BW#'!$A:$Z,19,FALSE)+VLOOKUP($A69,A:AL,28,FALSE)-50))</f>
        <v>204</v>
      </c>
      <c r="AB69" s="3">
        <v>219</v>
      </c>
      <c r="AC69" s="3">
        <f>IF(ISERROR((VLOOKUP($A69,'SegEnds_NonXtal_BW#'!$A:$Z,20,FALSE)+VLOOKUP($A69,A:AL,28,FALSE)-50)),"-",(VLOOKUP($A69,'SegEnds_NonXtal_BW#'!$A:$Z,20,FALSE)+VLOOKUP($A69,A:AL,28,FALSE)-50))</f>
        <v>245</v>
      </c>
      <c r="AD69" s="3">
        <f>IF(ISERROR(VLOOKUP($A69,'SegEnds_NonXtal_BW#'!$A:$Z,21,FALSE)+VLOOKUP($A69,A:AL,31,FALSE)-50),"-",(VLOOKUP($A69,'SegEnds_NonXtal_BW#'!$A:$Z,21,FALSE)+VLOOKUP($A69,A:AL,31,FALSE)-50))</f>
        <v>275</v>
      </c>
      <c r="AE69" s="3">
        <v>305</v>
      </c>
      <c r="AF69" s="3">
        <f>IF(ISERROR((VLOOKUP($A69,'SegEnds_NonXtal_BW#'!$A:$Z,22,FALSE)+VLOOKUP($A69,A:AL,31,FALSE)-50)),"-",(VLOOKUP($A69,'SegEnds_NonXtal_BW#'!$A:$Z,22,FALSE)+VLOOKUP($A69,A:AL,31,FALSE)-50))</f>
        <v>316</v>
      </c>
      <c r="AG69" s="3">
        <f>IF(ISERROR(VLOOKUP($A69,'SegEnds_NonXtal_BW#'!$A:$Z,23,FALSE)+VLOOKUP($A69,A:AL,34,FALSE)-50),"-",(VLOOKUP($A69,'SegEnds_NonXtal_BW#'!$A:$Z,23,FALSE)+VLOOKUP($A69,A:AL,34,FALSE)-50))</f>
        <v>321</v>
      </c>
      <c r="AH69" s="3">
        <v>340</v>
      </c>
      <c r="AI69" s="3">
        <f>IF(ISERROR((VLOOKUP($A69,'SegEnds_NonXtal_BW#'!$A:$Z,24,FALSE)+VLOOKUP($A69,A:AL,34,FALSE)-50)),"-",(VLOOKUP($A69,'SegEnds_NonXtal_BW#'!$A:$Z,24,FALSE)+VLOOKUP($A69,A:AL,34,FALSE)-50))</f>
        <v>345</v>
      </c>
      <c r="AJ69" s="3">
        <f>IF(ISERROR(VLOOKUP($A69,'SegEnds_NonXtal_BW#'!$A:$Z,25,FALSE)+VLOOKUP($A69,A:AL,37,FALSE)-50),"-",(VLOOKUP($A69,'SegEnds_NonXtal_BW#'!$A:$Z,25,FALSE)+VLOOKUP($A69,A:AL,37,FALSE)-50))</f>
        <v>346</v>
      </c>
      <c r="AK69" s="3">
        <v>349</v>
      </c>
      <c r="AL69" s="3">
        <f>IF(ISERROR((VLOOKUP($A69,'SegEnds_NonXtal_BW#'!$A:$Z,26,FALSE)+VLOOKUP($A69,A:AL,37,FALSE)-50)),"-",(VLOOKUP($A69,'SegEnds_NonXtal_BW#'!$A:$Z,26,FALSE)+VLOOKUP($A69,A:AL,37,FALSE)-50))</f>
        <v>358</v>
      </c>
      <c r="AM69" s="28" t="str">
        <f>VLOOKUP(A69,Classification!A:B,2,FALSE)</f>
        <v>A</v>
      </c>
      <c r="AN69" s="28" t="b">
        <f t="shared" ref="AN69:AN132" si="55">AND(IF(Y69="-",IF(AA69-W69&gt;3,TRUE,FALSE),TRUE),IF(M69="-",IF(O69-K69&gt;3,TRUE,FALSE),TRUE),IF(AG69-AF69&gt;1,TRUE,FALSE),C69&lt;E69,OR(E69&lt;F69,F69="-"),OR(F69&lt;H69,F69="-"),OR(H69&lt;I69,H69="-"),I69&lt;K69,OR(K69&lt;L69,L69="-"),OR(L69&lt;N69,L69="-"),OR(N69&lt;O69,N69="-"),O69&lt;Q69,OR(Q69&lt;R69,R69="-"),OR(R69&lt;T69,R69="-"),OR(T69&lt;U69,T69="-"),U69&lt;W69,OR(W69&lt;X69,X69="-"),OR(X69&lt;Z69,X69="-"),OR(Z69&lt;AA69,Z69="-"),AA69&lt;AC69,AC69&lt;AD69,AD69&lt;AF69,AF69&lt;AG69,AG69&lt;AI69,OR(AI69&lt;AJ69,AJ69="-"),OR(AJ69&lt;AL69,AJ69="-"))</f>
        <v>1</v>
      </c>
      <c r="AO69" s="3" t="str">
        <f>IF(ISERROR(MATCH(A69,'SegEnds_Xtal_Prot#'!B:B, 0)), "NoXtal", "Xtal")</f>
        <v>Xtal</v>
      </c>
      <c r="AP69" s="3">
        <f t="shared" si="39"/>
        <v>1</v>
      </c>
      <c r="AQ69" s="3">
        <f t="shared" si="40"/>
        <v>1</v>
      </c>
      <c r="AR69" s="3">
        <f t="shared" si="41"/>
        <v>2</v>
      </c>
      <c r="AS69" s="3">
        <f t="shared" si="42"/>
        <v>1</v>
      </c>
      <c r="AT69" s="3">
        <f t="shared" si="43"/>
        <v>1</v>
      </c>
      <c r="AU69" s="3">
        <f t="shared" si="44"/>
        <v>1</v>
      </c>
      <c r="AV69" s="3">
        <f t="shared" si="45"/>
        <v>19</v>
      </c>
      <c r="AW69" s="3">
        <f t="shared" si="46"/>
        <v>3</v>
      </c>
      <c r="AX69" s="3">
        <f t="shared" si="47"/>
        <v>30</v>
      </c>
      <c r="AY69" s="3">
        <f t="shared" si="48"/>
        <v>5</v>
      </c>
      <c r="AZ69" s="3">
        <f t="shared" si="49"/>
        <v>1</v>
      </c>
      <c r="BA69" s="3">
        <f>IF(ISERROR(LEN(VLOOKUP(A69,Seqs!A:E,2,FALSE))-AL69),"-",LEN(VLOOKUP(A69,Seqs!A:E,2,FALSE))-AL69)</f>
        <v>125</v>
      </c>
      <c r="BB69" s="16">
        <f t="shared" si="50"/>
        <v>28</v>
      </c>
      <c r="BC69" s="9">
        <f t="shared" si="51"/>
        <v>20</v>
      </c>
      <c r="BD69" s="3">
        <f t="shared" si="52"/>
        <v>28</v>
      </c>
      <c r="BE69" s="3">
        <f t="shared" si="53"/>
        <v>86</v>
      </c>
    </row>
    <row r="70" spans="1:58" s="3" customFormat="1" x14ac:dyDescent="0.2">
      <c r="A70" s="3" t="s">
        <v>126</v>
      </c>
      <c r="B70" s="3" t="str">
        <f>LOWER(VLOOKUP(A70,Xtal_Templ!A:B,2,FALSE))</f>
        <v>adrb2_human</v>
      </c>
      <c r="C70" s="3">
        <f>VLOOKUP($A70,'SegEnds_NonXtal_BW#'!$A:$Z,3,FALSE)+D70-50</f>
        <v>26</v>
      </c>
      <c r="D70" s="3">
        <v>51</v>
      </c>
      <c r="E70" s="3">
        <f>IF(ISERROR(VLOOKUP($A70,'SegEnds_NonXtal_BW#'!$A:$Z,4,FALSE)+VLOOKUP($A70,A:AL,4,FALSE)-50),"-",(VLOOKUP($A70,'SegEnds_NonXtal_BW#'!$A:$Z,4,FALSE)+VLOOKUP($A70,A:AL,4,FALSE)-50))</f>
        <v>61</v>
      </c>
      <c r="F70" s="3">
        <f t="shared" si="27"/>
        <v>62</v>
      </c>
      <c r="G70" s="3">
        <v>64</v>
      </c>
      <c r="H70" s="3">
        <f t="shared" si="54"/>
        <v>65</v>
      </c>
      <c r="I70" s="3">
        <f t="shared" si="54"/>
        <v>66</v>
      </c>
      <c r="J70" s="3">
        <v>79</v>
      </c>
      <c r="K70" s="3">
        <f>VLOOKUP($A70,'SegEnds_NonXtal_BW#'!$A:$Z,8,FALSE)+VLOOKUP($A70,A:AL,10,FALSE)-50</f>
        <v>96</v>
      </c>
      <c r="L70" s="3">
        <f t="shared" ref="L70:L89" si="56">M70-1</f>
        <v>98</v>
      </c>
      <c r="M70" s="3">
        <v>99</v>
      </c>
      <c r="N70" s="3">
        <f t="shared" ref="N70:N89" si="57">M70+2</f>
        <v>101</v>
      </c>
      <c r="O70" s="3">
        <f t="shared" si="37"/>
        <v>102</v>
      </c>
      <c r="P70" s="3">
        <v>131</v>
      </c>
      <c r="Q70" s="3">
        <f>VLOOKUP($A70,'SegEnds_NonXtal_BW#'!$A:$Z,12,FALSE)+VLOOKUP($A70,A:AL,16,FALSE)-50</f>
        <v>137</v>
      </c>
      <c r="R70" s="3">
        <f>IF(ISERROR(VLOOKUP($A70,'SegEnds_NonXtal_BW#'!$A:$Z,13,FALSE)+VLOOKUP($A70,A:AL,19,FALSE)-50),"-",VLOOKUP($A70,'SegEnds_NonXtal_BW#'!$A:$Z,13,FALSE)+VLOOKUP($A70,A:AL,19,FALSE)-50)</f>
        <v>138</v>
      </c>
      <c r="S70" s="3">
        <v>138</v>
      </c>
      <c r="T70" s="100">
        <f>IF(ISERROR(VLOOKUP($A70,'SegEnds_NonXtal_BW#'!$A:$Z,14,FALSE)+VLOOKUP($A70,A:AL,19,FALSE)-50),"-",(VLOOKUP($A70,'SegEnds_NonXtal_BW#'!$A:$Z,14,FALSE)+VLOOKUP($A70,A:AL,19,FALSE)-50))</f>
        <v>145</v>
      </c>
      <c r="U70" s="9">
        <f>IF(ISERROR(VLOOKUP($A70,'SegEnds_NonXtal_BW#'!$A:$Z,15,FALSE)+VLOOKUP($A70,A:AL,22,FALSE)-50),"-",VLOOKUP($A70,'SegEnds_NonXtal_BW#'!$A:$Z,15,FALSE)+VLOOKUP($A70,A:AL,22,FALSE)-50)</f>
        <v>146</v>
      </c>
      <c r="V70" s="3">
        <v>158</v>
      </c>
      <c r="W70" s="3">
        <f>IF(ISERROR(VLOOKUP($A70,'SegEnds_NonXtal_BW#'!$A:$Z,16,FALSE)+VLOOKUP($A70,A:AL,22,FALSE)-50),"-",(VLOOKUP($A70,'SegEnds_NonXtal_BW#'!$A:$Z,16,FALSE)+VLOOKUP($A70,A:AL,22,FALSE)-50))</f>
        <v>172</v>
      </c>
      <c r="X70" s="3">
        <f>IF(ISERROR(VLOOKUP($A70,'SegEnds_NonXtal_BW#'!$A:$Z,17,FALSE)+VLOOKUP($A70,A:AL,25,FALSE)-50),"-",(VLOOKUP($A70,'SegEnds_NonXtal_BW#'!$A:$Z,17,FALSE)+VLOOKUP($A70,A:AL,25,FALSE)-50))</f>
        <v>191</v>
      </c>
      <c r="Y70" s="3">
        <v>191</v>
      </c>
      <c r="Z70" s="3">
        <f t="shared" si="38"/>
        <v>193</v>
      </c>
      <c r="AA70" s="3">
        <f>IF(ISERROR(VLOOKUP($A70,'SegEnds_NonXtal_BW#'!$A:$Z,19,FALSE)+VLOOKUP($A70,A:AL,28,FALSE)-50),"-",(VLOOKUP($A70,'SegEnds_NonXtal_BW#'!$A:$Z,19,FALSE)+VLOOKUP($A70,A:AL,28,FALSE)-50))</f>
        <v>196</v>
      </c>
      <c r="AB70" s="3">
        <v>211</v>
      </c>
      <c r="AC70" s="3">
        <f>IF(ISERROR((VLOOKUP($A70,'SegEnds_NonXtal_BW#'!$A:$Z,20,FALSE)+VLOOKUP($A70,A:AL,28,FALSE)-50)),"-",(VLOOKUP($A70,'SegEnds_NonXtal_BW#'!$A:$Z,20,FALSE)+VLOOKUP($A70,A:AL,28,FALSE)-50))</f>
        <v>237</v>
      </c>
      <c r="AD70" s="3">
        <f>IF(ISERROR(VLOOKUP($A70,'SegEnds_NonXtal_BW#'!$A:$Z,21,FALSE)+VLOOKUP($A70,A:AL,31,FALSE)-50),"-",(VLOOKUP($A70,'SegEnds_NonXtal_BW#'!$A:$Z,21,FALSE)+VLOOKUP($A70,A:AL,31,FALSE)-50))</f>
        <v>262</v>
      </c>
      <c r="AE70" s="3">
        <v>288</v>
      </c>
      <c r="AF70" s="3">
        <f>IF(ISERROR((VLOOKUP($A70,'SegEnds_NonXtal_BW#'!$A:$Z,22,FALSE)+VLOOKUP($A70,A:AL,31,FALSE)-50)),"-",(VLOOKUP($A70,'SegEnds_NonXtal_BW#'!$A:$Z,22,FALSE)+VLOOKUP($A70,A:AL,31,FALSE)-50))</f>
        <v>299</v>
      </c>
      <c r="AG70" s="3">
        <f>IF(ISERROR(VLOOKUP($A70,'SegEnds_NonXtal_BW#'!$A:$Z,23,FALSE)+VLOOKUP($A70,A:AL,34,FALSE)-50),"-",(VLOOKUP($A70,'SegEnds_NonXtal_BW#'!$A:$Z,23,FALSE)+VLOOKUP($A70,A:AL,34,FALSE)-50))</f>
        <v>304</v>
      </c>
      <c r="AH70" s="3">
        <v>323</v>
      </c>
      <c r="AI70" s="3">
        <v>328</v>
      </c>
      <c r="AJ70" s="3">
        <f>IF(ISERROR(VLOOKUP($A70,'SegEnds_NonXtal_BW#'!$A:$Z,25,FALSE)+VLOOKUP($A70,A:AL,37,FALSE)-50),"-",(VLOOKUP($A70,'SegEnds_NonXtal_BW#'!$A:$Z,25,FALSE)+VLOOKUP($A70,A:AL,37,FALSE)-50))</f>
        <v>329</v>
      </c>
      <c r="AK70" s="3">
        <v>332</v>
      </c>
      <c r="AL70" s="3">
        <f>IF(ISERROR((VLOOKUP($A70,'SegEnds_NonXtal_BW#'!$A:$Z,26,FALSE)+VLOOKUP($A70,A:AL,37,FALSE)-50)),"-",(VLOOKUP($A70,'SegEnds_NonXtal_BW#'!$A:$Z,26,FALSE)+VLOOKUP($A70,A:AL,37,FALSE)-50))</f>
        <v>341</v>
      </c>
      <c r="AM70" s="28" t="str">
        <f>VLOOKUP(A70,Classification!A:B,2,FALSE)</f>
        <v>A</v>
      </c>
      <c r="AN70" s="28" t="b">
        <f t="shared" si="55"/>
        <v>1</v>
      </c>
      <c r="AO70" s="3" t="str">
        <f>IF(ISERROR(MATCH(A70,'SegEnds_Xtal_Prot#'!B:B, 0)), "NoXtal", "Xtal")</f>
        <v>Xtal</v>
      </c>
      <c r="AP70" s="3">
        <f t="shared" si="39"/>
        <v>1</v>
      </c>
      <c r="AQ70" s="3">
        <f t="shared" si="40"/>
        <v>1</v>
      </c>
      <c r="AR70" s="3">
        <f t="shared" si="41"/>
        <v>2</v>
      </c>
      <c r="AS70" s="3">
        <f t="shared" si="42"/>
        <v>1</v>
      </c>
      <c r="AT70" s="3">
        <f t="shared" si="43"/>
        <v>1</v>
      </c>
      <c r="AU70" s="3">
        <f t="shared" si="44"/>
        <v>1</v>
      </c>
      <c r="AV70" s="3">
        <f t="shared" si="45"/>
        <v>19</v>
      </c>
      <c r="AW70" s="3">
        <f t="shared" si="46"/>
        <v>3</v>
      </c>
      <c r="AX70" s="3">
        <f t="shared" si="47"/>
        <v>25</v>
      </c>
      <c r="AY70" s="3">
        <f t="shared" si="48"/>
        <v>5</v>
      </c>
      <c r="AZ70" s="3">
        <f t="shared" si="49"/>
        <v>1</v>
      </c>
      <c r="BA70" s="3">
        <f>IF(ISERROR(LEN(VLOOKUP(A70,Seqs!A:E,2,FALSE))-AL70),"-",LEN(VLOOKUP(A70,Seqs!A:E,2,FALSE))-AL70)</f>
        <v>72</v>
      </c>
      <c r="BB70" s="16">
        <f t="shared" si="50"/>
        <v>28</v>
      </c>
      <c r="BC70" s="9">
        <f t="shared" si="51"/>
        <v>20</v>
      </c>
      <c r="BD70" s="3">
        <f t="shared" si="52"/>
        <v>28</v>
      </c>
      <c r="BE70" s="3">
        <f t="shared" si="53"/>
        <v>77</v>
      </c>
    </row>
    <row r="71" spans="1:58" s="3" customFormat="1" x14ac:dyDescent="0.2">
      <c r="A71" s="3" t="s">
        <v>102</v>
      </c>
      <c r="B71" s="3" t="str">
        <f>LOWER(VLOOKUP(A71,Xtal_Templ!A:B,2,FALSE))</f>
        <v>adrb2_human</v>
      </c>
      <c r="C71" s="3">
        <f>VLOOKUP($A71,'SegEnds_NonXtal_BW#'!$A:$Z,3,FALSE)+D71-50</f>
        <v>30</v>
      </c>
      <c r="D71" s="3">
        <v>55</v>
      </c>
      <c r="E71" s="3">
        <f>IF(ISERROR(VLOOKUP($A71,'SegEnds_NonXtal_BW#'!$A:$Z,4,FALSE)+VLOOKUP($A71,A:AL,4,FALSE)-50),"-",(VLOOKUP($A71,'SegEnds_NonXtal_BW#'!$A:$Z,4,FALSE)+VLOOKUP($A71,A:AL,4,FALSE)-50))</f>
        <v>65</v>
      </c>
      <c r="F71" s="3">
        <f t="shared" si="27"/>
        <v>66</v>
      </c>
      <c r="G71" s="3">
        <v>68</v>
      </c>
      <c r="H71" s="3">
        <f t="shared" si="54"/>
        <v>69</v>
      </c>
      <c r="I71" s="3">
        <f t="shared" si="54"/>
        <v>70</v>
      </c>
      <c r="J71" s="3">
        <v>83</v>
      </c>
      <c r="K71" s="3">
        <f>VLOOKUP($A71,'SegEnds_NonXtal_BW#'!$A:$Z,8,FALSE)+VLOOKUP($A71,A:AL,10,FALSE)-50</f>
        <v>100</v>
      </c>
      <c r="L71" s="3">
        <f t="shared" si="56"/>
        <v>102</v>
      </c>
      <c r="M71" s="3">
        <v>103</v>
      </c>
      <c r="N71" s="3">
        <f t="shared" si="57"/>
        <v>105</v>
      </c>
      <c r="O71" s="3">
        <f t="shared" si="37"/>
        <v>106</v>
      </c>
      <c r="P71" s="3">
        <v>135</v>
      </c>
      <c r="Q71" s="3">
        <f>VLOOKUP($A71,'SegEnds_NonXtal_BW#'!$A:$Z,12,FALSE)+VLOOKUP($A71,A:AL,16,FALSE)-50</f>
        <v>141</v>
      </c>
      <c r="R71" s="3">
        <f>IF(ISERROR(VLOOKUP($A71,'SegEnds_NonXtal_BW#'!$A:$Z,13,FALSE)+VLOOKUP($A71,A:AL,19,FALSE)-50),"-",VLOOKUP($A71,'SegEnds_NonXtal_BW#'!$A:$Z,13,FALSE)+VLOOKUP($A71,A:AL,19,FALSE)-50)</f>
        <v>142</v>
      </c>
      <c r="S71" s="3">
        <v>142</v>
      </c>
      <c r="T71" s="100">
        <f>IF(ISERROR(VLOOKUP($A71,'SegEnds_NonXtal_BW#'!$A:$Z,14,FALSE)+VLOOKUP($A71,A:AL,19,FALSE)-50),"-",(VLOOKUP($A71,'SegEnds_NonXtal_BW#'!$A:$Z,14,FALSE)+VLOOKUP($A71,A:AL,19,FALSE)-50))</f>
        <v>149</v>
      </c>
      <c r="U71" s="9">
        <f>IF(ISERROR(VLOOKUP($A71,'SegEnds_NonXtal_BW#'!$A:$Z,15,FALSE)+VLOOKUP($A71,A:AL,22,FALSE)-50),"-",VLOOKUP($A71,'SegEnds_NonXtal_BW#'!$A:$Z,15,FALSE)+VLOOKUP($A71,A:AL,22,FALSE)-50)</f>
        <v>150</v>
      </c>
      <c r="V71" s="3">
        <v>162</v>
      </c>
      <c r="W71" s="3">
        <f>IF(ISERROR(VLOOKUP($A71,'SegEnds_NonXtal_BW#'!$A:$Z,16,FALSE)+VLOOKUP($A71,A:AL,22,FALSE)-50),"-",(VLOOKUP($A71,'SegEnds_NonXtal_BW#'!$A:$Z,16,FALSE)+VLOOKUP($A71,A:AL,22,FALSE)-50))</f>
        <v>176</v>
      </c>
      <c r="X71" s="3">
        <f>IF(ISERROR(VLOOKUP($A71,'SegEnds_NonXtal_BW#'!$A:$Z,17,FALSE)+VLOOKUP($A71,A:AL,25,FALSE)-50),"-",(VLOOKUP($A71,'SegEnds_NonXtal_BW#'!$A:$Z,17,FALSE)+VLOOKUP($A71,A:AL,25,FALSE)-50))</f>
        <v>196</v>
      </c>
      <c r="Y71" s="3">
        <v>196</v>
      </c>
      <c r="Z71" s="3">
        <f t="shared" si="38"/>
        <v>198</v>
      </c>
      <c r="AA71" s="3">
        <f>IF(ISERROR(VLOOKUP($A71,'SegEnds_NonXtal_BW#'!$A:$Z,19,FALSE)+VLOOKUP($A71,A:AL,28,FALSE)-50),"-",(VLOOKUP($A71,'SegEnds_NonXtal_BW#'!$A:$Z,19,FALSE)+VLOOKUP($A71,A:AL,28,FALSE)-50))</f>
        <v>201</v>
      </c>
      <c r="AB71" s="3">
        <v>216</v>
      </c>
      <c r="AC71" s="3">
        <f>IF(ISERROR((VLOOKUP($A71,'SegEnds_NonXtal_BW#'!$A:$Z,20,FALSE)+VLOOKUP($A71,A:AL,28,FALSE)-50)),"-",(VLOOKUP($A71,'SegEnds_NonXtal_BW#'!$A:$Z,20,FALSE)+VLOOKUP($A71,A:AL,28,FALSE)-50))</f>
        <v>242</v>
      </c>
      <c r="AD71" s="3">
        <f>IF(ISERROR(VLOOKUP($A71,'SegEnds_NonXtal_BW#'!$A:$Z,21,FALSE)+VLOOKUP($A71,A:AL,31,FALSE)-50),"-",(VLOOKUP($A71,'SegEnds_NonXtal_BW#'!$A:$Z,21,FALSE)+VLOOKUP($A71,A:AL,31,FALSE)-50))</f>
        <v>281</v>
      </c>
      <c r="AE71" s="3">
        <v>307</v>
      </c>
      <c r="AF71" s="3">
        <f>IF(ISERROR((VLOOKUP($A71,'SegEnds_NonXtal_BW#'!$A:$Z,22,FALSE)+VLOOKUP($A71,A:AL,31,FALSE)-50)),"-",(VLOOKUP($A71,'SegEnds_NonXtal_BW#'!$A:$Z,22,FALSE)+VLOOKUP($A71,A:AL,31,FALSE)-50))</f>
        <v>318</v>
      </c>
      <c r="AG71" s="3">
        <f>IF(ISERROR(VLOOKUP($A71,'SegEnds_NonXtal_BW#'!$A:$Z,23,FALSE)+VLOOKUP($A71,A:AL,34,FALSE)-50),"-",(VLOOKUP($A71,'SegEnds_NonXtal_BW#'!$A:$Z,23,FALSE)+VLOOKUP($A71,A:AL,34,FALSE)-50))</f>
        <v>324</v>
      </c>
      <c r="AH71" s="3">
        <v>343</v>
      </c>
      <c r="AI71" s="3">
        <v>348</v>
      </c>
      <c r="AJ71" s="3">
        <f>IF(ISERROR(VLOOKUP($A71,'SegEnds_NonXtal_BW#'!$A:$Z,25,FALSE)+VLOOKUP($A71,A:AL,37,FALSE)-50),"-",(VLOOKUP($A71,'SegEnds_NonXtal_BW#'!$A:$Z,25,FALSE)+VLOOKUP($A71,A:AL,37,FALSE)-50))</f>
        <v>349</v>
      </c>
      <c r="AK71" s="3">
        <v>352</v>
      </c>
      <c r="AL71" s="3">
        <f>IF(ISERROR((VLOOKUP($A71,'SegEnds_NonXtal_BW#'!$A:$Z,26,FALSE)+VLOOKUP($A71,A:AL,37,FALSE)-50)),"-",(VLOOKUP($A71,'SegEnds_NonXtal_BW#'!$A:$Z,26,FALSE)+VLOOKUP($A71,A:AL,37,FALSE)-50))</f>
        <v>361</v>
      </c>
      <c r="AM71" s="28" t="str">
        <f>VLOOKUP(A71,Classification!A:B,2,FALSE)</f>
        <v>A</v>
      </c>
      <c r="AN71" s="28" t="b">
        <f t="shared" si="55"/>
        <v>1</v>
      </c>
      <c r="AO71" s="3" t="str">
        <f>IF(ISERROR(MATCH(A71,'SegEnds_Xtal_Prot#'!B:B, 0)), "NoXtal", "Xtal")</f>
        <v>NoXtal</v>
      </c>
      <c r="AP71" s="3">
        <f t="shared" si="39"/>
        <v>1</v>
      </c>
      <c r="AQ71" s="3">
        <f t="shared" si="40"/>
        <v>1</v>
      </c>
      <c r="AR71" s="3">
        <f t="shared" si="41"/>
        <v>2</v>
      </c>
      <c r="AS71" s="3">
        <f t="shared" si="42"/>
        <v>1</v>
      </c>
      <c r="AT71" s="3">
        <f t="shared" si="43"/>
        <v>1</v>
      </c>
      <c r="AU71" s="3">
        <f t="shared" si="44"/>
        <v>1</v>
      </c>
      <c r="AV71" s="3">
        <f t="shared" si="45"/>
        <v>20</v>
      </c>
      <c r="AW71" s="3">
        <f t="shared" si="46"/>
        <v>3</v>
      </c>
      <c r="AX71" s="3">
        <f t="shared" si="47"/>
        <v>39</v>
      </c>
      <c r="AY71" s="3">
        <f t="shared" si="48"/>
        <v>6</v>
      </c>
      <c r="AZ71" s="3">
        <f t="shared" si="49"/>
        <v>1</v>
      </c>
      <c r="BA71" s="3">
        <f>IF(ISERROR(LEN(VLOOKUP(A71,Seqs!A:E,2,FALSE))-AL71),"-",LEN(VLOOKUP(A71,Seqs!A:E,2,FALSE))-AL71)</f>
        <v>47</v>
      </c>
      <c r="BB71" s="16">
        <f t="shared" si="50"/>
        <v>28</v>
      </c>
      <c r="BC71" s="9">
        <f t="shared" si="51"/>
        <v>20</v>
      </c>
      <c r="BD71" s="3">
        <f t="shared" si="52"/>
        <v>28</v>
      </c>
      <c r="BE71" s="3">
        <f t="shared" si="53"/>
        <v>91</v>
      </c>
    </row>
    <row r="72" spans="1:58" s="3" customFormat="1" x14ac:dyDescent="0.2">
      <c r="A72" s="3" t="s">
        <v>158</v>
      </c>
      <c r="B72" s="3" t="str">
        <f>LOWER(VLOOKUP(A72,Xtal_Templ!A:B,2,FALSE))</f>
        <v>agtr1_human</v>
      </c>
      <c r="C72" s="3">
        <f>VLOOKUP($A72,'SegEnds_NonXtal_BW#'!$A:$Z,3,FALSE)+D72-50</f>
        <v>26</v>
      </c>
      <c r="D72" s="3">
        <v>46</v>
      </c>
      <c r="E72" s="3">
        <f>IF(ISERROR(VLOOKUP($A72,'SegEnds_NonXtal_BW#'!$A:$Z,4,FALSE)+VLOOKUP($A72,A:AL,4,FALSE)-50),"-",(VLOOKUP($A72,'SegEnds_NonXtal_BW#'!$A:$Z,4,FALSE)+VLOOKUP($A72,A:AL,4,FALSE)-50))</f>
        <v>56</v>
      </c>
      <c r="F72" s="3">
        <f t="shared" si="27"/>
        <v>57</v>
      </c>
      <c r="G72" s="3">
        <v>59</v>
      </c>
      <c r="H72" s="3">
        <f t="shared" si="54"/>
        <v>60</v>
      </c>
      <c r="I72" s="3">
        <f t="shared" si="54"/>
        <v>61</v>
      </c>
      <c r="J72" s="3">
        <v>74</v>
      </c>
      <c r="K72" s="3">
        <f>VLOOKUP($A72,'SegEnds_NonXtal_BW#'!$A:$Z,8,FALSE)+VLOOKUP($A72,A:AL,10,FALSE)-50</f>
        <v>90</v>
      </c>
      <c r="L72" s="3">
        <f t="shared" si="56"/>
        <v>93</v>
      </c>
      <c r="M72" s="3">
        <v>94</v>
      </c>
      <c r="N72" s="3">
        <f t="shared" si="57"/>
        <v>96</v>
      </c>
      <c r="O72" s="3">
        <f t="shared" si="37"/>
        <v>97</v>
      </c>
      <c r="P72" s="3">
        <v>126</v>
      </c>
      <c r="Q72" s="3">
        <f>VLOOKUP($A72,'SegEnds_NonXtal_BW#'!$A:$Z,12,FALSE)+VLOOKUP($A72,A:AL,16,FALSE)-50</f>
        <v>132</v>
      </c>
      <c r="R72" s="3">
        <f>IF(ISERROR(VLOOKUP($A72,'SegEnds_NonXtal_BW#'!$A:$Z,13,FALSE)+VLOOKUP($A72,A:AL,19,FALSE)-50),"-",VLOOKUP($A72,'SegEnds_NonXtal_BW#'!$A:$Z,13,FALSE)+VLOOKUP($A72,A:AL,19,FALSE)-50)</f>
        <v>133</v>
      </c>
      <c r="S72" s="3">
        <v>133</v>
      </c>
      <c r="T72" s="100">
        <f>IF(ISERROR(VLOOKUP($A72,'SegEnds_NonXtal_BW#'!$A:$Z,14,FALSE)+VLOOKUP($A72,A:AL,19,FALSE)-50),"-",(VLOOKUP($A72,'SegEnds_NonXtal_BW#'!$A:$Z,14,FALSE)+VLOOKUP($A72,A:AL,19,FALSE)-50))</f>
        <v>140</v>
      </c>
      <c r="U72" s="9">
        <f>IF(ISERROR(VLOOKUP($A72,'SegEnds_NonXtal_BW#'!$A:$Z,15,FALSE)+VLOOKUP($A72,A:AL,22,FALSE)-50),"-",VLOOKUP($A72,'SegEnds_NonXtal_BW#'!$A:$Z,15,FALSE)+VLOOKUP($A72,A:AL,22,FALSE)-50)</f>
        <v>141</v>
      </c>
      <c r="V72" s="3">
        <v>153</v>
      </c>
      <c r="W72" s="3">
        <f>IF(ISERROR(VLOOKUP($A72,'SegEnds_NonXtal_BW#'!$A:$Z,16,FALSE)+VLOOKUP($A72,A:AL,22,FALSE)-50),"-",(VLOOKUP($A72,'SegEnds_NonXtal_BW#'!$A:$Z,16,FALSE)+VLOOKUP($A72,A:AL,22,FALSE)-50))</f>
        <v>167</v>
      </c>
      <c r="X72" s="3">
        <f>IF(ISERROR(VLOOKUP($A72,'SegEnds_NonXtal_BW#'!$A:$Z,17,FALSE)+VLOOKUP($A72,A:AL,25,FALSE)-50),"-",(VLOOKUP($A72,'SegEnds_NonXtal_BW#'!$A:$Z,17,FALSE)+VLOOKUP($A72,A:AL,25,FALSE)-50))</f>
        <v>180</v>
      </c>
      <c r="Y72" s="3">
        <v>180</v>
      </c>
      <c r="Z72" s="3">
        <f t="shared" si="38"/>
        <v>182</v>
      </c>
      <c r="AA72" s="3">
        <f>IF(ISERROR(VLOOKUP($A72,'SegEnds_NonXtal_BW#'!$A:$Z,19,FALSE)+VLOOKUP($A72,A:AL,28,FALSE)-50),"-",(VLOOKUP($A72,'SegEnds_NonXtal_BW#'!$A:$Z,19,FALSE)+VLOOKUP($A72,A:AL,28,FALSE)-50))</f>
        <v>191</v>
      </c>
      <c r="AB72" s="3">
        <v>207</v>
      </c>
      <c r="AC72" s="3">
        <f>IF(ISERROR((VLOOKUP($A72,'SegEnds_NonXtal_BW#'!$A:$Z,20,FALSE)+VLOOKUP($A72,A:AL,28,FALSE)-50)),"-",(VLOOKUP($A72,'SegEnds_NonXtal_BW#'!$A:$Z,20,FALSE)+VLOOKUP($A72,A:AL,28,FALSE)-50))</f>
        <v>225</v>
      </c>
      <c r="AD72" s="3">
        <f>IF(ISERROR(VLOOKUP($A72,'SegEnds_NonXtal_BW#'!$A:$Z,21,FALSE)+VLOOKUP($A72,A:AL,31,FALSE)-50),"-",(VLOOKUP($A72,'SegEnds_NonXtal_BW#'!$A:$Z,21,FALSE)+VLOOKUP($A72,A:AL,31,FALSE)-50))</f>
        <v>229</v>
      </c>
      <c r="AE72" s="3">
        <v>255</v>
      </c>
      <c r="AF72" s="3">
        <f>IF(ISERROR((VLOOKUP($A72,'SegEnds_NonXtal_BW#'!$A:$Z,22,FALSE)+VLOOKUP($A72,A:AL,31,FALSE)-50)),"-",(VLOOKUP($A72,'SegEnds_NonXtal_BW#'!$A:$Z,22,FALSE)+VLOOKUP($A72,A:AL,31,FALSE)-50))</f>
        <v>269</v>
      </c>
      <c r="AG72" s="3">
        <f>IF(ISERROR(VLOOKUP($A72,'SegEnds_NonXtal_BW#'!$A:$Z,23,FALSE)+VLOOKUP($A72,A:AL,34,FALSE)-50),"-",(VLOOKUP($A72,'SegEnds_NonXtal_BW#'!$A:$Z,23,FALSE)+VLOOKUP($A72,A:AL,34,FALSE)-50))</f>
        <v>273</v>
      </c>
      <c r="AH72" s="3">
        <v>299</v>
      </c>
      <c r="AI72" s="3">
        <f>IF(ISERROR((VLOOKUP($A72,'SegEnds_NonXtal_BW#'!$A:$Z,24,FALSE)+VLOOKUP($A72,A:AL,34,FALSE)-50)),"-",(VLOOKUP($A72,'SegEnds_NonXtal_BW#'!$A:$Z,24,FALSE)+VLOOKUP($A72,A:AL,34,FALSE)-50))</f>
        <v>305</v>
      </c>
      <c r="AJ72" s="3">
        <f>IF(ISERROR(VLOOKUP($A72,'SegEnds_NonXtal_BW#'!$A:$Z,25,FALSE)+VLOOKUP($A72,A:AL,37,FALSE)-50),"-",(VLOOKUP($A72,'SegEnds_NonXtal_BW#'!$A:$Z,25,FALSE)+VLOOKUP($A72,A:AL,37,FALSE)-50))</f>
        <v>306</v>
      </c>
      <c r="AK72" s="3">
        <v>309</v>
      </c>
      <c r="AL72" s="3">
        <f>IF(ISERROR((VLOOKUP($A72,'SegEnds_NonXtal_BW#'!$A:$Z,26,FALSE)+VLOOKUP($A72,A:AL,37,FALSE)-50)),"-",(VLOOKUP($A72,'SegEnds_NonXtal_BW#'!$A:$Z,26,FALSE)+VLOOKUP($A72,A:AL,37,FALSE)-50))</f>
        <v>320</v>
      </c>
      <c r="AM72" s="28" t="str">
        <f>VLOOKUP(A72,Classification!A:B,2,FALSE)</f>
        <v>A</v>
      </c>
      <c r="AN72" s="28" t="b">
        <f t="shared" si="55"/>
        <v>1</v>
      </c>
      <c r="AO72" s="3" t="str">
        <f>IF(ISERROR(MATCH(A72,'SegEnds_Xtal_Prot#'!B:B, 0)), "NoXtal", "Xtal")</f>
        <v>Xtal</v>
      </c>
      <c r="AP72" s="3">
        <f t="shared" si="39"/>
        <v>1</v>
      </c>
      <c r="AQ72" s="3">
        <f t="shared" si="40"/>
        <v>1</v>
      </c>
      <c r="AR72" s="3">
        <f t="shared" si="41"/>
        <v>3</v>
      </c>
      <c r="AS72" s="3">
        <f t="shared" si="42"/>
        <v>1</v>
      </c>
      <c r="AT72" s="3">
        <f t="shared" si="43"/>
        <v>1</v>
      </c>
      <c r="AU72" s="3">
        <f t="shared" si="44"/>
        <v>1</v>
      </c>
      <c r="AV72" s="3">
        <f t="shared" si="45"/>
        <v>13</v>
      </c>
      <c r="AW72" s="3">
        <f t="shared" si="46"/>
        <v>9</v>
      </c>
      <c r="AX72" s="3">
        <f t="shared" si="47"/>
        <v>4</v>
      </c>
      <c r="AY72" s="3">
        <f t="shared" si="48"/>
        <v>4</v>
      </c>
      <c r="AZ72" s="3">
        <f t="shared" si="49"/>
        <v>1</v>
      </c>
      <c r="BA72" s="3">
        <f>IF(ISERROR(LEN(VLOOKUP(A72,Seqs!A:E,2,FALSE))-AL72),"-",LEN(VLOOKUP(A72,Seqs!A:E,2,FALSE))-AL72)</f>
        <v>39</v>
      </c>
      <c r="BB72" s="16">
        <f t="shared" si="50"/>
        <v>28</v>
      </c>
      <c r="BC72" s="9">
        <f t="shared" si="51"/>
        <v>20</v>
      </c>
      <c r="BD72" s="3">
        <f t="shared" si="52"/>
        <v>28</v>
      </c>
      <c r="BE72" s="3">
        <f t="shared" si="53"/>
        <v>48</v>
      </c>
    </row>
    <row r="73" spans="1:58" s="3" customFormat="1" x14ac:dyDescent="0.2">
      <c r="A73" s="3" t="s">
        <v>160</v>
      </c>
      <c r="B73" s="3" t="str">
        <f>LOWER(VLOOKUP(A73,Xtal_Templ!A:B,2,FALSE))</f>
        <v>apj_human</v>
      </c>
      <c r="C73" s="3">
        <f>VLOOKUP($A73,'SegEnds_NonXtal_BW#'!$A:$Z,3,FALSE)+D73-50</f>
        <v>29</v>
      </c>
      <c r="D73" s="3">
        <v>46</v>
      </c>
      <c r="E73" s="3">
        <f>IF(ISERROR(VLOOKUP($A73,'SegEnds_NonXtal_BW#'!$A:$Z,4,FALSE)+VLOOKUP($A73,A:AL,4,FALSE)-50),"-",(VLOOKUP($A73,'SegEnds_NonXtal_BW#'!$A:$Z,4,FALSE)+VLOOKUP($A73,A:AL,4,FALSE)-50))</f>
        <v>56</v>
      </c>
      <c r="F73" s="3">
        <f>IF(ISERROR(VLOOKUP($A73,'SegEnds_NonXtal_BW#'!$A:$Z,5,FALSE)+VLOOKUP($A73,A:AL,7,FALSE)-50),"-",(VLOOKUP($A73,'SegEnds_NonXtal_BW#'!$A:$Z,5,FALSE)+VLOOKUP($A73,A:AL,7,FALSE)-50))</f>
        <v>57</v>
      </c>
      <c r="G73" s="3">
        <v>59</v>
      </c>
      <c r="H73" s="3">
        <f>IF(ISERROR(VLOOKUP($A73,'SegEnds_NonXtal_BW#'!$A:$Z,6,FALSE)+VLOOKUP($A73,A:AL,7,FALSE)-50),"-",(VLOOKUP($A73,'SegEnds_NonXtal_BW#'!$A:$Z,6,FALSE)+VLOOKUP($A73,A:AL,7,FALSE)-50))</f>
        <v>61</v>
      </c>
      <c r="I73" s="3">
        <f>VLOOKUP($A73,'SegEnds_NonXtal_BW#'!$A:$Z,7,FALSE)+J73-50</f>
        <v>62</v>
      </c>
      <c r="J73" s="3">
        <v>75</v>
      </c>
      <c r="K73" s="3">
        <f>VLOOKUP($A73,'SegEnds_NonXtal_BW#'!$A:$Z,8,FALSE)+VLOOKUP($A73,A:AL,10,FALSE)-50</f>
        <v>92</v>
      </c>
      <c r="L73" s="3">
        <f t="shared" si="56"/>
        <v>94</v>
      </c>
      <c r="M73" s="3">
        <v>95</v>
      </c>
      <c r="N73" s="3">
        <f t="shared" si="57"/>
        <v>97</v>
      </c>
      <c r="O73" s="3">
        <f t="shared" si="37"/>
        <v>98</v>
      </c>
      <c r="P73" s="3">
        <v>127</v>
      </c>
      <c r="Q73" s="3">
        <f>VLOOKUP($A73,'SegEnds_NonXtal_BW#'!$A:$Z,12,FALSE)+VLOOKUP($A73,A:AL,16,FALSE)-50</f>
        <v>133</v>
      </c>
      <c r="R73" s="3">
        <f>IF(ISERROR(VLOOKUP($A73,'SegEnds_NonXtal_BW#'!$A:$Z,13,FALSE)+VLOOKUP($A73,A:AL,19,FALSE)-50),"-",VLOOKUP($A73,'SegEnds_NonXtal_BW#'!$A:$Z,13,FALSE)+VLOOKUP($A73,A:AL,19,FALSE)-50)</f>
        <v>134</v>
      </c>
      <c r="S73" s="3">
        <v>134</v>
      </c>
      <c r="T73" s="100">
        <f>IF(ISERROR(VLOOKUP($A73,'SegEnds_NonXtal_BW#'!$A:$Z,14,FALSE)+VLOOKUP($A73,A:AL,19,FALSE)-50),"-",(VLOOKUP($A73,'SegEnds_NonXtal_BW#'!$A:$Z,14,FALSE)+VLOOKUP($A73,A:AL,19,FALSE)-50))</f>
        <v>141</v>
      </c>
      <c r="U73" s="9">
        <f>IF(ISERROR(VLOOKUP($A73,'SegEnds_NonXtal_BW#'!$A:$Z,15,FALSE)+VLOOKUP($A73,A:AL,22,FALSE)-50),"-",VLOOKUP($A73,'SegEnds_NonXtal_BW#'!$A:$Z,15,FALSE)+VLOOKUP($A73,A:AL,22,FALSE)-50)</f>
        <v>142</v>
      </c>
      <c r="V73" s="3">
        <v>154</v>
      </c>
      <c r="W73" s="3">
        <f>IF(ISERROR(VLOOKUP($A73,'SegEnds_NonXtal_BW#'!$A:$Z,16,FALSE)+VLOOKUP($A73,A:AL,22,FALSE)-50),"-",(VLOOKUP($A73,'SegEnds_NonXtal_BW#'!$A:$Z,16,FALSE)+VLOOKUP($A73,A:AL,22,FALSE)-50))</f>
        <v>168</v>
      </c>
      <c r="X73" s="3">
        <f>IF(ISERROR(VLOOKUP($A73,'SegEnds_NonXtal_BW#'!$A:$Z,17,FALSE)+VLOOKUP($A73,A:AL,25,FALSE)-50),"-",(VLOOKUP($A73,'SegEnds_NonXtal_BW#'!$A:$Z,17,FALSE)+VLOOKUP($A73,A:AL,25,FALSE)-50))</f>
        <v>181</v>
      </c>
      <c r="Y73" s="3">
        <v>181</v>
      </c>
      <c r="Z73" s="3">
        <f t="shared" si="38"/>
        <v>183</v>
      </c>
      <c r="AA73" s="3">
        <f>IF(ISERROR(VLOOKUP($A73,'SegEnds_NonXtal_BW#'!$A:$Z,19,FALSE)+VLOOKUP($A73,A:AL,28,FALSE)-50),"-",(VLOOKUP($A73,'SegEnds_NonXtal_BW#'!$A:$Z,19,FALSE)+VLOOKUP($A73,A:AL,28,FALSE)-50))</f>
        <v>193</v>
      </c>
      <c r="AB73" s="3">
        <v>213</v>
      </c>
      <c r="AC73" s="3">
        <f>IF(ISERROR((VLOOKUP($A73,'SegEnds_NonXtal_BW#'!$A:$Z,20,FALSE)+VLOOKUP($A73,A:AL,28,FALSE)-50)),"-",(VLOOKUP($A73,'SegEnds_NonXtal_BW#'!$A:$Z,20,FALSE)+VLOOKUP($A73,A:AL,28,FALSE)-50))</f>
        <v>235</v>
      </c>
      <c r="AD73" s="3">
        <f>IF(ISERROR(VLOOKUP($A73,'SegEnds_NonXtal_BW#'!$A:$Z,21,FALSE)+VLOOKUP($A73,A:AL,31,FALSE)-50),"-",(VLOOKUP($A73,'SegEnds_NonXtal_BW#'!$A:$Z,21,FALSE)+VLOOKUP($A73,A:AL,31,FALSE)-50))</f>
        <v>242</v>
      </c>
      <c r="AE73" s="3">
        <v>263</v>
      </c>
      <c r="AF73" s="3">
        <f>IF(ISERROR((VLOOKUP($A73,'SegEnds_NonXtal_BW#'!$A:$Z,22,FALSE)+VLOOKUP($A73,A:AL,31,FALSE)-50)),"-",(VLOOKUP($A73,'SegEnds_NonXtal_BW#'!$A:$Z,22,FALSE)+VLOOKUP($A73,A:AL,31,FALSE)-50))</f>
        <v>276</v>
      </c>
      <c r="AG73" s="3">
        <f>IF(ISERROR(VLOOKUP($A73,'SegEnds_NonXtal_BW#'!$A:$Z,23,FALSE)+VLOOKUP($A73,A:AL,34,FALSE)-50),"-",(VLOOKUP($A73,'SegEnds_NonXtal_BW#'!$A:$Z,23,FALSE)+VLOOKUP($A73,A:AL,34,FALSE)-50))</f>
        <v>280</v>
      </c>
      <c r="AH73" s="3">
        <v>306</v>
      </c>
      <c r="AI73" s="3">
        <f>IF(ISERROR((VLOOKUP($A73,'SegEnds_NonXtal_BW#'!$A:$Z,24,FALSE)+VLOOKUP($A73,A:AL,34,FALSE)-50)),"-",(VLOOKUP($A73,'SegEnds_NonXtal_BW#'!$A:$Z,24,FALSE)+VLOOKUP($A73,A:AL,34,FALSE)-50))</f>
        <v>312</v>
      </c>
      <c r="AJ73" s="3">
        <f>IF(ISERROR(VLOOKUP($A73,'SegEnds_NonXtal_BW#'!$A:$Z,25,FALSE)+VLOOKUP($A73,A:AL,37,FALSE)-50),"-",(VLOOKUP($A73,'SegEnds_NonXtal_BW#'!$A:$Z,25,FALSE)+VLOOKUP($A73,A:AL,37,FALSE)-50))</f>
        <v>313</v>
      </c>
      <c r="AK73" s="3">
        <v>316</v>
      </c>
      <c r="AL73" s="3">
        <f>IF(ISERROR((VLOOKUP($A73,'SegEnds_NonXtal_BW#'!$A:$Z,26,FALSE)+VLOOKUP($A73,A:AL,37,FALSE)-50)),"-",(VLOOKUP($A73,'SegEnds_NonXtal_BW#'!$A:$Z,26,FALSE)+VLOOKUP($A73,A:AL,37,FALSE)-50))</f>
        <v>327</v>
      </c>
      <c r="AM73" s="28" t="str">
        <f>VLOOKUP(A73,Classification!A:B,2,FALSE)</f>
        <v>A</v>
      </c>
      <c r="AN73" s="28" t="b">
        <f t="shared" si="55"/>
        <v>1</v>
      </c>
      <c r="AO73" s="3" t="str">
        <f>IF(ISERROR(MATCH(A73,'SegEnds_Xtal_Prot#'!B:B, 0)), "NoXtal", "Xtal")</f>
        <v>Xtal</v>
      </c>
      <c r="AP73" s="3">
        <f t="shared" si="39"/>
        <v>1</v>
      </c>
      <c r="AQ73" s="3">
        <f t="shared" si="40"/>
        <v>1</v>
      </c>
      <c r="AR73" s="3">
        <f t="shared" si="41"/>
        <v>2</v>
      </c>
      <c r="AS73" s="3">
        <f t="shared" si="42"/>
        <v>1</v>
      </c>
      <c r="AT73" s="3">
        <f t="shared" si="43"/>
        <v>1</v>
      </c>
      <c r="AU73" s="3">
        <f t="shared" si="44"/>
        <v>1</v>
      </c>
      <c r="AV73" s="3">
        <f t="shared" si="45"/>
        <v>13</v>
      </c>
      <c r="AW73" s="3">
        <f t="shared" si="46"/>
        <v>10</v>
      </c>
      <c r="AX73" s="3">
        <f t="shared" si="47"/>
        <v>7</v>
      </c>
      <c r="AY73" s="3">
        <f t="shared" si="48"/>
        <v>4</v>
      </c>
      <c r="AZ73" s="3">
        <f t="shared" si="49"/>
        <v>1</v>
      </c>
      <c r="BA73" s="3">
        <f>IF(ISERROR(LEN(VLOOKUP(A73,Seqs!A:E,2,FALSE))-AL73),"-",LEN(VLOOKUP(A73,Seqs!A:E,2,FALSE))-AL73)</f>
        <v>53</v>
      </c>
      <c r="BB73" s="16">
        <f t="shared" si="50"/>
        <v>29</v>
      </c>
      <c r="BC73" s="9">
        <f t="shared" si="51"/>
        <v>20</v>
      </c>
      <c r="BD73" s="3">
        <f t="shared" si="52"/>
        <v>29</v>
      </c>
      <c r="BE73" s="3">
        <f t="shared" si="53"/>
        <v>50</v>
      </c>
    </row>
    <row r="74" spans="1:58" s="3" customFormat="1" x14ac:dyDescent="0.2">
      <c r="A74" s="3" t="s">
        <v>161</v>
      </c>
      <c r="B74" s="3" t="str">
        <f>LOWER(VLOOKUP(A74,Xtal_Templ!A:B,2,FALSE))</f>
        <v>agtr1_human</v>
      </c>
      <c r="C74" s="3">
        <f>VLOOKUP($A74,'SegEnds_NonXtal_BW#'!$A:$Z,3,FALSE)+D74-50</f>
        <v>35</v>
      </c>
      <c r="D74" s="3">
        <v>55</v>
      </c>
      <c r="E74" s="3">
        <f>IF(ISERROR(VLOOKUP($A74,'SegEnds_NonXtal_BW#'!$A:$Z,4,FALSE)+VLOOKUP($A74,A:AL,4,FALSE)-50),"-",(VLOOKUP($A74,'SegEnds_NonXtal_BW#'!$A:$Z,4,FALSE)+VLOOKUP($A74,A:AL,4,FALSE)-50))</f>
        <v>65</v>
      </c>
      <c r="F74" s="3">
        <f>G74-2</f>
        <v>66</v>
      </c>
      <c r="G74" s="3">
        <v>68</v>
      </c>
      <c r="H74" s="3">
        <f t="shared" ref="H74:I76" si="58">G74+1</f>
        <v>69</v>
      </c>
      <c r="I74" s="3">
        <f t="shared" si="58"/>
        <v>70</v>
      </c>
      <c r="J74" s="3">
        <v>83</v>
      </c>
      <c r="K74" s="3">
        <f>VLOOKUP($A74,'SegEnds_NonXtal_BW#'!$A:$Z,8,FALSE)+VLOOKUP($A74,A:AL,10,FALSE)-50</f>
        <v>99</v>
      </c>
      <c r="L74" s="3">
        <f t="shared" si="56"/>
        <v>102</v>
      </c>
      <c r="M74" s="3">
        <v>103</v>
      </c>
      <c r="N74" s="3">
        <f t="shared" si="57"/>
        <v>105</v>
      </c>
      <c r="O74" s="3">
        <f t="shared" si="37"/>
        <v>106</v>
      </c>
      <c r="P74" s="3">
        <v>135</v>
      </c>
      <c r="Q74" s="3">
        <f>VLOOKUP($A74,'SegEnds_NonXtal_BW#'!$A:$Z,12,FALSE)+VLOOKUP($A74,A:AL,16,FALSE)-50</f>
        <v>141</v>
      </c>
      <c r="R74" s="3">
        <f>IF(ISERROR(VLOOKUP($A74,'SegEnds_NonXtal_BW#'!$A:$Z,13,FALSE)+VLOOKUP($A74,A:AL,19,FALSE)-50),"-",VLOOKUP($A74,'SegEnds_NonXtal_BW#'!$A:$Z,13,FALSE)+VLOOKUP($A74,A:AL,19,FALSE)-50)</f>
        <v>142</v>
      </c>
      <c r="S74" s="3">
        <v>142</v>
      </c>
      <c r="T74" s="100">
        <f>IF(ISERROR(VLOOKUP($A74,'SegEnds_NonXtal_BW#'!$A:$Z,14,FALSE)+VLOOKUP($A74,A:AL,19,FALSE)-50),"-",(VLOOKUP($A74,'SegEnds_NonXtal_BW#'!$A:$Z,14,FALSE)+VLOOKUP($A74,A:AL,19,FALSE)-50))</f>
        <v>149</v>
      </c>
      <c r="U74" s="9">
        <f>IF(ISERROR(VLOOKUP($A74,'SegEnds_NonXtal_BW#'!$A:$Z,15,FALSE)+VLOOKUP($A74,A:AL,22,FALSE)-50),"-",VLOOKUP($A74,'SegEnds_NonXtal_BW#'!$A:$Z,15,FALSE)+VLOOKUP($A74,A:AL,22,FALSE)-50)</f>
        <v>150</v>
      </c>
      <c r="V74" s="3">
        <v>162</v>
      </c>
      <c r="W74" s="3">
        <f>IF(ISERROR(VLOOKUP($A74,'SegEnds_NonXtal_BW#'!$A:$Z,16,FALSE)+VLOOKUP($A74,A:AL,22,FALSE)-50),"-",(VLOOKUP($A74,'SegEnds_NonXtal_BW#'!$A:$Z,16,FALSE)+VLOOKUP($A74,A:AL,22,FALSE)-50))</f>
        <v>176</v>
      </c>
      <c r="X74" s="3">
        <f>IF(ISERROR(VLOOKUP($A74,'SegEnds_NonXtal_BW#'!$A:$Z,17,FALSE)+VLOOKUP($A74,A:AL,25,FALSE)-50),"-",(VLOOKUP($A74,'SegEnds_NonXtal_BW#'!$A:$Z,17,FALSE)+VLOOKUP($A74,A:AL,25,FALSE)-50))</f>
        <v>189</v>
      </c>
      <c r="Y74" s="3">
        <v>189</v>
      </c>
      <c r="Z74" s="3">
        <f t="shared" si="38"/>
        <v>191</v>
      </c>
      <c r="AA74" s="3">
        <f>IF(ISERROR(VLOOKUP($A74,'SegEnds_NonXtal_BW#'!$A:$Z,19,FALSE)+VLOOKUP($A74,A:AL,28,FALSE)-50),"-",(VLOOKUP($A74,'SegEnds_NonXtal_BW#'!$A:$Z,19,FALSE)+VLOOKUP($A74,A:AL,28,FALSE)-50))</f>
        <v>198</v>
      </c>
      <c r="AB74" s="3">
        <v>214</v>
      </c>
      <c r="AC74" s="3">
        <f>IF(ISERROR((VLOOKUP($A74,'SegEnds_NonXtal_BW#'!$A:$Z,20,FALSE)+VLOOKUP($A74,A:AL,28,FALSE)-50)),"-",(VLOOKUP($A74,'SegEnds_NonXtal_BW#'!$A:$Z,20,FALSE)+VLOOKUP($A74,A:AL,28,FALSE)-50))</f>
        <v>232</v>
      </c>
      <c r="AD74" s="3">
        <f>IF(ISERROR(VLOOKUP($A74,'SegEnds_NonXtal_BW#'!$A:$Z,21,FALSE)+VLOOKUP($A74,A:AL,31,FALSE)-50),"-",(VLOOKUP($A74,'SegEnds_NonXtal_BW#'!$A:$Z,21,FALSE)+VLOOKUP($A74,A:AL,31,FALSE)-50))</f>
        <v>238</v>
      </c>
      <c r="AE74" s="3">
        <v>265</v>
      </c>
      <c r="AF74" s="3">
        <f>IF(ISERROR((VLOOKUP($A74,'SegEnds_NonXtal_BW#'!$A:$Z,22,FALSE)+VLOOKUP($A74,A:AL,31,FALSE)-50)),"-",(VLOOKUP($A74,'SegEnds_NonXtal_BW#'!$A:$Z,22,FALSE)+VLOOKUP($A74,A:AL,31,FALSE)-50))</f>
        <v>279</v>
      </c>
      <c r="AG74" s="3">
        <f>IF(ISERROR(VLOOKUP($A74,'SegEnds_NonXtal_BW#'!$A:$Z,23,FALSE)+VLOOKUP($A74,A:AL,34,FALSE)-50),"-",(VLOOKUP($A74,'SegEnds_NonXtal_BW#'!$A:$Z,23,FALSE)+VLOOKUP($A74,A:AL,34,FALSE)-50))</f>
        <v>283</v>
      </c>
      <c r="AH74" s="3">
        <v>309</v>
      </c>
      <c r="AI74" s="3">
        <f>IF(ISERROR((VLOOKUP($A74,'SegEnds_NonXtal_BW#'!$A:$Z,24,FALSE)+VLOOKUP($A74,A:AL,34,FALSE)-50)),"-",(VLOOKUP($A74,'SegEnds_NonXtal_BW#'!$A:$Z,24,FALSE)+VLOOKUP($A74,A:AL,34,FALSE)-50))</f>
        <v>315</v>
      </c>
      <c r="AJ74" s="3">
        <f>IF(ISERROR(VLOOKUP($A74,'SegEnds_NonXtal_BW#'!$A:$Z,25,FALSE)+VLOOKUP($A74,A:AL,37,FALSE)-50),"-",(VLOOKUP($A74,'SegEnds_NonXtal_BW#'!$A:$Z,25,FALSE)+VLOOKUP($A74,A:AL,37,FALSE)-50))</f>
        <v>316</v>
      </c>
      <c r="AK74" s="3">
        <v>319</v>
      </c>
      <c r="AL74" s="3">
        <f>IF(ISERROR((VLOOKUP($A74,'SegEnds_NonXtal_BW#'!$A:$Z,26,FALSE)+VLOOKUP($A74,A:AL,37,FALSE)-50)),"-",(VLOOKUP($A74,'SegEnds_NonXtal_BW#'!$A:$Z,26,FALSE)+VLOOKUP($A74,A:AL,37,FALSE)-50))</f>
        <v>330</v>
      </c>
      <c r="AM74" s="28" t="str">
        <f>VLOOKUP(A74,Classification!A:B,2,FALSE)</f>
        <v>A</v>
      </c>
      <c r="AN74" s="28" t="b">
        <f t="shared" si="55"/>
        <v>1</v>
      </c>
      <c r="AO74" s="3" t="str">
        <f>IF(ISERROR(MATCH(A74,'SegEnds_Xtal_Prot#'!B:B, 0)), "NoXtal", "Xtal")</f>
        <v>NoXtal</v>
      </c>
      <c r="AP74" s="3">
        <f t="shared" si="39"/>
        <v>1</v>
      </c>
      <c r="AQ74" s="3">
        <f t="shared" si="40"/>
        <v>1</v>
      </c>
      <c r="AR74" s="3">
        <f t="shared" si="41"/>
        <v>3</v>
      </c>
      <c r="AS74" s="3">
        <f t="shared" si="42"/>
        <v>1</v>
      </c>
      <c r="AT74" s="3">
        <f t="shared" si="43"/>
        <v>1</v>
      </c>
      <c r="AU74" s="3">
        <f t="shared" si="44"/>
        <v>1</v>
      </c>
      <c r="AV74" s="3">
        <f t="shared" si="45"/>
        <v>13</v>
      </c>
      <c r="AW74" s="3">
        <f t="shared" si="46"/>
        <v>7</v>
      </c>
      <c r="AX74" s="3">
        <f t="shared" si="47"/>
        <v>6</v>
      </c>
      <c r="AY74" s="3">
        <f t="shared" si="48"/>
        <v>4</v>
      </c>
      <c r="AZ74" s="3">
        <f t="shared" si="49"/>
        <v>1</v>
      </c>
      <c r="BA74" s="3">
        <f>IF(ISERROR(LEN(VLOOKUP(A74,Seqs!A:E,2,FALSE))-AL74),"-",LEN(VLOOKUP(A74,Seqs!A:E,2,FALSE))-AL74)</f>
        <v>23</v>
      </c>
      <c r="BB74" s="16">
        <f t="shared" si="50"/>
        <v>28</v>
      </c>
      <c r="BC74" s="9">
        <f t="shared" si="51"/>
        <v>20</v>
      </c>
      <c r="BD74" s="3">
        <f t="shared" si="52"/>
        <v>28</v>
      </c>
      <c r="BE74" s="3">
        <f t="shared" si="53"/>
        <v>51</v>
      </c>
      <c r="BF74" s="3">
        <f>AH74-AE74</f>
        <v>44</v>
      </c>
    </row>
    <row r="75" spans="1:58" s="3" customFormat="1" x14ac:dyDescent="0.2">
      <c r="A75" s="3" t="s">
        <v>162</v>
      </c>
      <c r="B75" s="3" t="str">
        <f>LOWER(VLOOKUP(A75,Xtal_Templ!A:B,2,FALSE))</f>
        <v>agtr2_human</v>
      </c>
      <c r="C75" s="3">
        <f>VLOOKUP($A75,'SegEnds_NonXtal_BW#'!$A:$Z,3,FALSE)+D75-50</f>
        <v>58</v>
      </c>
      <c r="D75" s="3">
        <v>75</v>
      </c>
      <c r="E75" s="3">
        <f>IF(ISERROR(VLOOKUP($A75,'SegEnds_NonXtal_BW#'!$A:$Z,4,FALSE)+VLOOKUP($A75,A:AL,4,FALSE)-50),"-",(VLOOKUP($A75,'SegEnds_NonXtal_BW#'!$A:$Z,4,FALSE)+VLOOKUP($A75,A:AL,4,FALSE)-50))</f>
        <v>85</v>
      </c>
      <c r="F75" s="3">
        <f>G75-2</f>
        <v>86</v>
      </c>
      <c r="G75" s="3">
        <v>88</v>
      </c>
      <c r="H75" s="3">
        <f t="shared" si="58"/>
        <v>89</v>
      </c>
      <c r="I75" s="3">
        <f t="shared" si="58"/>
        <v>90</v>
      </c>
      <c r="J75" s="3">
        <v>103</v>
      </c>
      <c r="K75" s="3">
        <f>VLOOKUP($A75,'SegEnds_NonXtal_BW#'!$A:$Z,8,FALSE)+VLOOKUP($A75,A:AL,10,FALSE)-50</f>
        <v>119</v>
      </c>
      <c r="L75" s="3">
        <f t="shared" si="56"/>
        <v>122</v>
      </c>
      <c r="M75" s="3">
        <v>123</v>
      </c>
      <c r="N75" s="3">
        <f t="shared" si="57"/>
        <v>125</v>
      </c>
      <c r="O75" s="3">
        <f t="shared" si="37"/>
        <v>126</v>
      </c>
      <c r="P75" s="3">
        <v>155</v>
      </c>
      <c r="Q75" s="3">
        <f>VLOOKUP($A75,'SegEnds_NonXtal_BW#'!$A:$Z,12,FALSE)+VLOOKUP($A75,A:AL,16,FALSE)-50</f>
        <v>161</v>
      </c>
      <c r="R75" s="3">
        <f>IF(ISERROR(VLOOKUP($A75,'SegEnds_NonXtal_BW#'!$A:$Z,13,FALSE)+VLOOKUP($A75,A:AL,19,FALSE)-50),"-",VLOOKUP($A75,'SegEnds_NonXtal_BW#'!$A:$Z,13,FALSE)+VLOOKUP($A75,A:AL,19,FALSE)-50)</f>
        <v>162</v>
      </c>
      <c r="S75" s="3">
        <v>162</v>
      </c>
      <c r="T75" s="100">
        <f>IF(ISERROR(VLOOKUP($A75,'SegEnds_NonXtal_BW#'!$A:$Z,14,FALSE)+VLOOKUP($A75,A:AL,19,FALSE)-50),"-",(VLOOKUP($A75,'SegEnds_NonXtal_BW#'!$A:$Z,14,FALSE)+VLOOKUP($A75,A:AL,19,FALSE)-50))</f>
        <v>169</v>
      </c>
      <c r="U75" s="9">
        <f>IF(ISERROR(VLOOKUP($A75,'SegEnds_NonXtal_BW#'!$A:$Z,15,FALSE)+VLOOKUP($A75,A:AL,22,FALSE)-50),"-",VLOOKUP($A75,'SegEnds_NonXtal_BW#'!$A:$Z,15,FALSE)+VLOOKUP($A75,A:AL,22,FALSE)-50)</f>
        <v>170</v>
      </c>
      <c r="V75" s="3">
        <v>182</v>
      </c>
      <c r="W75" s="3">
        <f>IF(ISERROR(VLOOKUP($A75,'SegEnds_NonXtal_BW#'!$A:$Z,16,FALSE)+VLOOKUP($A75,A:AL,22,FALSE)-50),"-",(VLOOKUP($A75,'SegEnds_NonXtal_BW#'!$A:$Z,16,FALSE)+VLOOKUP($A75,A:AL,22,FALSE)-50))</f>
        <v>196</v>
      </c>
      <c r="X75" s="3">
        <f>IF(ISERROR(VLOOKUP($A75,'SegEnds_NonXtal_BW#'!$A:$Z,17,FALSE)+VLOOKUP($A75,A:AL,25,FALSE)-50),"-",(VLOOKUP($A75,'SegEnds_NonXtal_BW#'!$A:$Z,17,FALSE)+VLOOKUP($A75,A:AL,25,FALSE)-50))</f>
        <v>211</v>
      </c>
      <c r="Y75" s="3">
        <v>211</v>
      </c>
      <c r="Z75" s="3">
        <f t="shared" si="38"/>
        <v>213</v>
      </c>
      <c r="AA75" s="3">
        <f>IF(ISERROR(VLOOKUP($A75,'SegEnds_NonXtal_BW#'!$A:$Z,19,FALSE)+VLOOKUP($A75,A:AL,28,FALSE)-50),"-",(VLOOKUP($A75,'SegEnds_NonXtal_BW#'!$A:$Z,19,FALSE)+VLOOKUP($A75,A:AL,28,FALSE)-50))</f>
        <v>216</v>
      </c>
      <c r="AB75" s="3">
        <v>236</v>
      </c>
      <c r="AC75" s="3">
        <f>IF(ISERROR((VLOOKUP($A75,'SegEnds_NonXtal_BW#'!$A:$Z,20,FALSE)+VLOOKUP($A75,A:AL,28,FALSE)-50)),"-",(VLOOKUP($A75,'SegEnds_NonXtal_BW#'!$A:$Z,20,FALSE)+VLOOKUP($A75,A:AL,28,FALSE)-50))</f>
        <v>254</v>
      </c>
      <c r="AD75" s="3">
        <f>IF(ISERROR(VLOOKUP($A75,'SegEnds_NonXtal_BW#'!$A:$Z,21,FALSE)+VLOOKUP($A75,A:AL,31,FALSE)-50),"-",(VLOOKUP($A75,'SegEnds_NonXtal_BW#'!$A:$Z,21,FALSE)+VLOOKUP($A75,A:AL,31,FALSE)-50))</f>
        <v>259</v>
      </c>
      <c r="AE75" s="3">
        <v>285</v>
      </c>
      <c r="AF75" s="3">
        <f>IF(ISERROR((VLOOKUP($A75,'SegEnds_NonXtal_BW#'!$A:$Z,22,FALSE)+VLOOKUP($A75,A:AL,31,FALSE)-50)),"-",(VLOOKUP($A75,'SegEnds_NonXtal_BW#'!$A:$Z,22,FALSE)+VLOOKUP($A75,A:AL,31,FALSE)-50))</f>
        <v>299</v>
      </c>
      <c r="AG75" s="3">
        <f>IF(ISERROR(VLOOKUP($A75,'SegEnds_NonXtal_BW#'!$A:$Z,23,FALSE)+VLOOKUP($A75,A:AL,34,FALSE)-50),"-",(VLOOKUP($A75,'SegEnds_NonXtal_BW#'!$A:$Z,23,FALSE)+VLOOKUP($A75,A:AL,34,FALSE)-50))</f>
        <v>303</v>
      </c>
      <c r="AH75" s="3">
        <v>329</v>
      </c>
      <c r="AI75" s="3">
        <f>IF(ISERROR((VLOOKUP($A75,'SegEnds_NonXtal_BW#'!$A:$Z,24,FALSE)+VLOOKUP($A75,A:AL,34,FALSE)-50)),"-",(VLOOKUP($A75,'SegEnds_NonXtal_BW#'!$A:$Z,24,FALSE)+VLOOKUP($A75,A:AL,34,FALSE)-50))</f>
        <v>335</v>
      </c>
      <c r="AJ75" s="3">
        <f>IF(ISERROR(VLOOKUP($A75,'SegEnds_NonXtal_BW#'!$A:$Z,25,FALSE)+VLOOKUP($A75,A:AL,37,FALSE)-50),"-",(VLOOKUP($A75,'SegEnds_NonXtal_BW#'!$A:$Z,25,FALSE)+VLOOKUP($A75,A:AL,37,FALSE)-50))</f>
        <v>336</v>
      </c>
      <c r="AK75" s="3">
        <v>339</v>
      </c>
      <c r="AL75" s="3">
        <f>IF(ISERROR((VLOOKUP($A75,'SegEnds_NonXtal_BW#'!$A:$Z,26,FALSE)+VLOOKUP($A75,A:AL,37,FALSE)-50)),"-",(VLOOKUP($A75,'SegEnds_NonXtal_BW#'!$A:$Z,26,FALSE)+VLOOKUP($A75,A:AL,37,FALSE)-50))</f>
        <v>350</v>
      </c>
      <c r="AM75" s="28" t="str">
        <f>VLOOKUP(A75,Classification!A:B,2,FALSE)</f>
        <v>A</v>
      </c>
      <c r="AN75" s="28" t="b">
        <f t="shared" si="55"/>
        <v>1</v>
      </c>
      <c r="AO75" s="3" t="str">
        <f>IF(ISERROR(MATCH(A75,'SegEnds_Xtal_Prot#'!B:B, 0)), "NoXtal", "Xtal")</f>
        <v>NoXtal</v>
      </c>
      <c r="AP75" s="3">
        <f t="shared" si="39"/>
        <v>1</v>
      </c>
      <c r="AQ75" s="3">
        <f t="shared" si="40"/>
        <v>1</v>
      </c>
      <c r="AR75" s="3">
        <f t="shared" si="41"/>
        <v>3</v>
      </c>
      <c r="AS75" s="3">
        <f t="shared" si="42"/>
        <v>1</v>
      </c>
      <c r="AT75" s="3">
        <f t="shared" si="43"/>
        <v>1</v>
      </c>
      <c r="AU75" s="3">
        <f t="shared" si="44"/>
        <v>1</v>
      </c>
      <c r="AV75" s="3">
        <f t="shared" si="45"/>
        <v>15</v>
      </c>
      <c r="AW75" s="3">
        <f t="shared" si="46"/>
        <v>3</v>
      </c>
      <c r="AX75" s="3">
        <f t="shared" si="47"/>
        <v>5</v>
      </c>
      <c r="AY75" s="3">
        <f t="shared" si="48"/>
        <v>4</v>
      </c>
      <c r="AZ75" s="3">
        <f t="shared" si="49"/>
        <v>1</v>
      </c>
      <c r="BA75" s="3">
        <f>IF(ISERROR(LEN(VLOOKUP(A75,Seqs!A:E,2,FALSE))-AL75),"-",LEN(VLOOKUP(A75,Seqs!A:E,2,FALSE))-AL75)</f>
        <v>41</v>
      </c>
      <c r="BB75" s="16">
        <f t="shared" si="50"/>
        <v>28</v>
      </c>
      <c r="BC75" s="9">
        <f t="shared" si="51"/>
        <v>20</v>
      </c>
      <c r="BD75" s="3">
        <f t="shared" si="52"/>
        <v>28</v>
      </c>
      <c r="BE75" s="3">
        <f t="shared" si="53"/>
        <v>49</v>
      </c>
    </row>
    <row r="76" spans="1:58" s="3" customFormat="1" x14ac:dyDescent="0.2">
      <c r="A76" s="3" t="s">
        <v>163</v>
      </c>
      <c r="B76" s="3" t="str">
        <f>LOWER(VLOOKUP(A76,Xtal_Templ!A:B,2,FALSE))</f>
        <v>ednrb_human</v>
      </c>
      <c r="C76" s="3">
        <f>VLOOKUP($A76,'SegEnds_NonXtal_BW#'!$A:$Z,3,FALSE)+D76-50</f>
        <v>37</v>
      </c>
      <c r="D76" s="3">
        <v>65</v>
      </c>
      <c r="E76" s="3">
        <f>IF(ISERROR(VLOOKUP($A76,'SegEnds_NonXtal_BW#'!$A:$Z,4,FALSE)+VLOOKUP($A76,A:AL,4,FALSE)-50),"-",(VLOOKUP($A76,'SegEnds_NonXtal_BW#'!$A:$Z,4,FALSE)+VLOOKUP($A76,A:AL,4,FALSE)-50))</f>
        <v>75</v>
      </c>
      <c r="F76" s="3">
        <f>G76-2</f>
        <v>76</v>
      </c>
      <c r="G76" s="3">
        <v>78</v>
      </c>
      <c r="H76" s="3">
        <f t="shared" si="58"/>
        <v>79</v>
      </c>
      <c r="I76" s="3">
        <f t="shared" si="58"/>
        <v>80</v>
      </c>
      <c r="J76" s="3">
        <v>93</v>
      </c>
      <c r="K76" s="3">
        <f>VLOOKUP($A76,'SegEnds_NonXtal_BW#'!$A:$Z,8,FALSE)+VLOOKUP($A76,A:AL,10,FALSE)-50</f>
        <v>110</v>
      </c>
      <c r="L76" s="3">
        <f t="shared" si="56"/>
        <v>112</v>
      </c>
      <c r="M76" s="3">
        <v>113</v>
      </c>
      <c r="N76" s="3">
        <f t="shared" si="57"/>
        <v>115</v>
      </c>
      <c r="O76" s="3">
        <f t="shared" si="37"/>
        <v>116</v>
      </c>
      <c r="P76" s="3">
        <v>145</v>
      </c>
      <c r="Q76" s="3">
        <f>VLOOKUP($A76,'SegEnds_NonXtal_BW#'!$A:$Z,12,FALSE)+VLOOKUP($A76,A:AL,16,FALSE)-50</f>
        <v>151</v>
      </c>
      <c r="R76" s="3">
        <f>IF(ISERROR(VLOOKUP($A76,'SegEnds_NonXtal_BW#'!$A:$Z,13,FALSE)+VLOOKUP($A76,A:AL,19,FALSE)-50),"-",VLOOKUP($A76,'SegEnds_NonXtal_BW#'!$A:$Z,13,FALSE)+VLOOKUP($A76,A:AL,19,FALSE)-50)</f>
        <v>152</v>
      </c>
      <c r="S76" s="3">
        <v>152</v>
      </c>
      <c r="T76" s="100">
        <f>IF(ISERROR(VLOOKUP($A76,'SegEnds_NonXtal_BW#'!$A:$Z,14,FALSE)+VLOOKUP($A76,A:AL,19,FALSE)-50),"-",(VLOOKUP($A76,'SegEnds_NonXtal_BW#'!$A:$Z,14,FALSE)+VLOOKUP($A76,A:AL,19,FALSE)-50))</f>
        <v>159</v>
      </c>
      <c r="U76" s="9">
        <f>IF(ISERROR(VLOOKUP($A76,'SegEnds_NonXtal_BW#'!$A:$Z,15,FALSE)+VLOOKUP($A76,A:AL,22,FALSE)-50),"-",VLOOKUP($A76,'SegEnds_NonXtal_BW#'!$A:$Z,15,FALSE)+VLOOKUP($A76,A:AL,22,FALSE)-50)</f>
        <v>160</v>
      </c>
      <c r="V76" s="3">
        <v>172</v>
      </c>
      <c r="W76" s="3">
        <f>IF(ISERROR(VLOOKUP($A76,'SegEnds_NonXtal_BW#'!$A:$Z,16,FALSE)+VLOOKUP($A76,A:AL,22,FALSE)-50),"-",(VLOOKUP($A76,'SegEnds_NonXtal_BW#'!$A:$Z,16,FALSE)+VLOOKUP($A76,A:AL,22,FALSE)-50))</f>
        <v>186</v>
      </c>
      <c r="X76" s="3">
        <f>IF(ISERROR(VLOOKUP($A76,'SegEnds_NonXtal_BW#'!$A:$Z,17,FALSE)+VLOOKUP($A76,A:AL,25,FALSE)-50),"-",(VLOOKUP($A76,'SegEnds_NonXtal_BW#'!$A:$Z,17,FALSE)+VLOOKUP($A76,A:AL,25,FALSE)-50))</f>
        <v>203</v>
      </c>
      <c r="Y76" s="3">
        <v>203</v>
      </c>
      <c r="Z76" s="3">
        <f t="shared" si="38"/>
        <v>205</v>
      </c>
      <c r="AA76" s="3">
        <f>IF(ISERROR(VLOOKUP($A76,'SegEnds_NonXtal_BW#'!$A:$Z,19,FALSE)+VLOOKUP($A76,A:AL,28,FALSE)-50),"-",(VLOOKUP($A76,'SegEnds_NonXtal_BW#'!$A:$Z,19,FALSE)+VLOOKUP($A76,A:AL,28,FALSE)-50))</f>
        <v>207</v>
      </c>
      <c r="AB76" s="3">
        <v>229</v>
      </c>
      <c r="AC76" s="3">
        <f>IF(ISERROR((VLOOKUP($A76,'SegEnds_NonXtal_BW#'!$A:$Z,20,FALSE)+VLOOKUP($A76,A:AL,28,FALSE)-50)),"-",(VLOOKUP($A76,'SegEnds_NonXtal_BW#'!$A:$Z,20,FALSE)+VLOOKUP($A76,A:AL,28,FALSE)-50))</f>
        <v>252</v>
      </c>
      <c r="AD76" s="3">
        <f>IF(ISERROR(VLOOKUP($A76,'SegEnds_NonXtal_BW#'!$A:$Z,21,FALSE)+VLOOKUP($A76,A:AL,31,FALSE)-50),"-",(VLOOKUP($A76,'SegEnds_NonXtal_BW#'!$A:$Z,21,FALSE)+VLOOKUP($A76,A:AL,31,FALSE)-50))</f>
        <v>258</v>
      </c>
      <c r="AE76" s="3">
        <v>286</v>
      </c>
      <c r="AF76" s="3">
        <f>IF(ISERROR((VLOOKUP($A76,'SegEnds_NonXtal_BW#'!$A:$Z,22,FALSE)+VLOOKUP($A76,A:AL,31,FALSE)-50)),"-",(VLOOKUP($A76,'SegEnds_NonXtal_BW#'!$A:$Z,22,FALSE)+VLOOKUP($A76,A:AL,31,FALSE)-50))</f>
        <v>297</v>
      </c>
      <c r="AG76" s="3">
        <f>IF(ISERROR(VLOOKUP($A76,'SegEnds_NonXtal_BW#'!$A:$Z,23,FALSE)+VLOOKUP($A76,A:AL,34,FALSE)-50),"-",(VLOOKUP($A76,'SegEnds_NonXtal_BW#'!$A:$Z,23,FALSE)+VLOOKUP($A76,A:AL,34,FALSE)-50))</f>
        <v>305</v>
      </c>
      <c r="AH76" s="3">
        <v>327</v>
      </c>
      <c r="AI76" s="3">
        <f>IF(ISERROR((VLOOKUP($A76,'SegEnds_NonXtal_BW#'!$A:$Z,24,FALSE)+VLOOKUP($A76,A:AL,34,FALSE)-50)),"-",(VLOOKUP($A76,'SegEnds_NonXtal_BW#'!$A:$Z,24,FALSE)+VLOOKUP($A76,A:AL,34,FALSE)-50))</f>
        <v>333</v>
      </c>
      <c r="AJ76" s="3">
        <f>IF(ISERROR(VLOOKUP($A76,'SegEnds_NonXtal_BW#'!$A:$Z,25,FALSE)+VLOOKUP($A76,A:AL,37,FALSE)-50),"-",(VLOOKUP($A76,'SegEnds_NonXtal_BW#'!$A:$Z,25,FALSE)+VLOOKUP($A76,A:AL,37,FALSE)-50))</f>
        <v>334</v>
      </c>
      <c r="AK76" s="3">
        <v>337</v>
      </c>
      <c r="AL76" s="3">
        <f>IF(ISERROR((VLOOKUP($A76,'SegEnds_NonXtal_BW#'!$A:$Z,26,FALSE)+VLOOKUP($A76,A:AL,37,FALSE)-50)),"-",(VLOOKUP($A76,'SegEnds_NonXtal_BW#'!$A:$Z,26,FALSE)+VLOOKUP($A76,A:AL,37,FALSE)-50))</f>
        <v>347</v>
      </c>
      <c r="AM76" s="28" t="str">
        <f>VLOOKUP(A76,Classification!A:B,2,FALSE)</f>
        <v>A</v>
      </c>
      <c r="AN76" s="28" t="b">
        <f t="shared" si="55"/>
        <v>1</v>
      </c>
      <c r="AO76" s="3" t="str">
        <f>IF(ISERROR(MATCH(A76,'SegEnds_Xtal_Prot#'!B:B, 0)), "NoXtal", "Xtal")</f>
        <v>NoXtal</v>
      </c>
      <c r="AP76" s="3">
        <f t="shared" si="39"/>
        <v>1</v>
      </c>
      <c r="AQ76" s="3">
        <f t="shared" si="40"/>
        <v>1</v>
      </c>
      <c r="AR76" s="3">
        <f t="shared" si="41"/>
        <v>2</v>
      </c>
      <c r="AS76" s="3">
        <f t="shared" si="42"/>
        <v>1</v>
      </c>
      <c r="AT76" s="3">
        <f t="shared" si="43"/>
        <v>1</v>
      </c>
      <c r="AU76" s="3">
        <f t="shared" si="44"/>
        <v>1</v>
      </c>
      <c r="AV76" s="3">
        <f t="shared" si="45"/>
        <v>17</v>
      </c>
      <c r="AW76" s="3">
        <f t="shared" si="46"/>
        <v>2</v>
      </c>
      <c r="AX76" s="3">
        <f t="shared" si="47"/>
        <v>6</v>
      </c>
      <c r="AY76" s="3">
        <f t="shared" si="48"/>
        <v>8</v>
      </c>
      <c r="AZ76" s="3">
        <f t="shared" si="49"/>
        <v>1</v>
      </c>
      <c r="BA76" s="3">
        <f>IF(ISERROR(LEN(VLOOKUP(A76,Seqs!A:E,2,FALSE))-AL76),"-",LEN(VLOOKUP(A76,Seqs!A:E,2,FALSE))-AL76)</f>
        <v>52</v>
      </c>
      <c r="BB76" s="16">
        <f t="shared" si="50"/>
        <v>28</v>
      </c>
      <c r="BC76" s="9">
        <f t="shared" si="51"/>
        <v>20</v>
      </c>
      <c r="BD76" s="3">
        <f t="shared" si="52"/>
        <v>28</v>
      </c>
      <c r="BE76" s="3">
        <f t="shared" si="53"/>
        <v>57</v>
      </c>
    </row>
    <row r="77" spans="1:58" s="3" customFormat="1" x14ac:dyDescent="0.2">
      <c r="A77" s="3" t="s">
        <v>164</v>
      </c>
      <c r="B77" s="3" t="str">
        <f>LOWER(VLOOKUP(A77,Xtal_Templ!A:B,2,FALSE))</f>
        <v>c5ar1_human</v>
      </c>
      <c r="C77" s="3">
        <f>VLOOKUP($A77,'SegEnds_NonXtal_BW#'!$A:$Z,3,FALSE)+D77-50</f>
        <v>20</v>
      </c>
      <c r="D77" s="3">
        <v>41</v>
      </c>
      <c r="E77" s="3">
        <f>IF(ISERROR(VLOOKUP($A77,'SegEnds_NonXtal_BW#'!$A:$Z,4,FALSE)+VLOOKUP($A77,A:AL,4,FALSE)-50),"-",(VLOOKUP($A77,'SegEnds_NonXtal_BW#'!$A:$Z,4,FALSE)+VLOOKUP($A77,A:AL,4,FALSE)-50))</f>
        <v>51</v>
      </c>
      <c r="F77" s="3" t="str">
        <f>IF(ISERROR(VLOOKUP($A77,'SegEnds_NonXtal_BW#'!$A:$Z,5,FALSE)+VLOOKUP($A77,A:AL,7,FALSE)-50),"-",(VLOOKUP($A77,'SegEnds_NonXtal_BW#'!$A:$Z,5,FALSE)+VLOOKUP($A77,A:AL,7,FALSE)-50))</f>
        <v>-</v>
      </c>
      <c r="G77" s="3" t="s">
        <v>23</v>
      </c>
      <c r="H77" s="3" t="str">
        <f>IF(ISERROR(VLOOKUP($A77,'SegEnds_NonXtal_BW#'!$A:$Z,6,FALSE)+VLOOKUP($A77,A:AL,7,FALSE)-50),"-",(VLOOKUP($A77,'SegEnds_NonXtal_BW#'!$A:$Z,6,FALSE)+VLOOKUP($A77,A:AL,7,FALSE)-50))</f>
        <v>-</v>
      </c>
      <c r="I77" s="3">
        <f>VLOOKUP($A77,'SegEnds_NonXtal_BW#'!$A:$Z,7,FALSE)+J77-50</f>
        <v>55</v>
      </c>
      <c r="J77" s="3">
        <v>68</v>
      </c>
      <c r="K77" s="3">
        <f>VLOOKUP($A77,'SegEnds_NonXtal_BW#'!$A:$Z,8,FALSE)+VLOOKUP($A77,A:AL,10,FALSE)-50</f>
        <v>85</v>
      </c>
      <c r="L77" s="3">
        <f t="shared" si="56"/>
        <v>87</v>
      </c>
      <c r="M77" s="3">
        <v>88</v>
      </c>
      <c r="N77" s="3">
        <f t="shared" si="57"/>
        <v>90</v>
      </c>
      <c r="O77" s="3">
        <f t="shared" si="37"/>
        <v>91</v>
      </c>
      <c r="P77" s="3">
        <v>120</v>
      </c>
      <c r="Q77" s="3">
        <f>VLOOKUP($A77,'SegEnds_NonXtal_BW#'!$A:$Z,12,FALSE)+VLOOKUP($A77,A:AL,16,FALSE)-50</f>
        <v>126</v>
      </c>
      <c r="R77" s="3">
        <f>IF(ISERROR(VLOOKUP($A77,'SegEnds_NonXtal_BW#'!$A:$Z,13,FALSE)+VLOOKUP($A77,A:AL,19,FALSE)-50),"-",VLOOKUP($A77,'SegEnds_NonXtal_BW#'!$A:$Z,13,FALSE)+VLOOKUP($A77,A:AL,19,FALSE)-50)</f>
        <v>127</v>
      </c>
      <c r="S77" s="3">
        <v>127</v>
      </c>
      <c r="T77" s="100">
        <f>IF(ISERROR(VLOOKUP($A77,'SegEnds_NonXtal_BW#'!$A:$Z,14,FALSE)+VLOOKUP($A77,A:AL,19,FALSE)-50),"-",(VLOOKUP($A77,'SegEnds_NonXtal_BW#'!$A:$Z,14,FALSE)+VLOOKUP($A77,A:AL,19,FALSE)-50))</f>
        <v>134</v>
      </c>
      <c r="U77" s="9">
        <f>IF(ISERROR(VLOOKUP($A77,'SegEnds_NonXtal_BW#'!$A:$Z,15,FALSE)+VLOOKUP($A77,A:AL,22,FALSE)-50),"-",VLOOKUP($A77,'SegEnds_NonXtal_BW#'!$A:$Z,15,FALSE)+VLOOKUP($A77,A:AL,22,FALSE)-50)</f>
        <v>135</v>
      </c>
      <c r="V77" s="3">
        <v>147</v>
      </c>
      <c r="W77" s="3">
        <f>IF(ISERROR(VLOOKUP($A77,'SegEnds_NonXtal_BW#'!$A:$Z,16,FALSE)+VLOOKUP($A77,A:AL,22,FALSE)-50),"-",(VLOOKUP($A77,'SegEnds_NonXtal_BW#'!$A:$Z,16,FALSE)+VLOOKUP($A77,A:AL,22,FALSE)-50))</f>
        <v>161</v>
      </c>
      <c r="X77" s="3">
        <f>IF(ISERROR(VLOOKUP($A77,'SegEnds_NonXtal_BW#'!$A:$Z,17,FALSE)+VLOOKUP($A77,A:AL,25,FALSE)-50),"-",(VLOOKUP($A77,'SegEnds_NonXtal_BW#'!$A:$Z,17,FALSE)+VLOOKUP($A77,A:AL,25,FALSE)-50))</f>
        <v>172</v>
      </c>
      <c r="Y77" s="3">
        <v>172</v>
      </c>
      <c r="Z77" s="3">
        <f t="shared" si="38"/>
        <v>174</v>
      </c>
      <c r="AA77" s="3">
        <f>IF(ISERROR(VLOOKUP($A77,'SegEnds_NonXtal_BW#'!$A:$Z,19,FALSE)+VLOOKUP($A77,A:AL,28,FALSE)-50),"-",(VLOOKUP($A77,'SegEnds_NonXtal_BW#'!$A:$Z,19,FALSE)+VLOOKUP($A77,A:AL,28,FALSE)-50))</f>
        <v>329</v>
      </c>
      <c r="AB77" s="3">
        <v>348</v>
      </c>
      <c r="AC77" s="3">
        <f>IF(ISERROR((VLOOKUP($A77,'SegEnds_NonXtal_BW#'!$A:$Z,20,FALSE)+VLOOKUP($A77,A:AL,28,FALSE)-50)),"-",(VLOOKUP($A77,'SegEnds_NonXtal_BW#'!$A:$Z,20,FALSE)+VLOOKUP($A77,A:AL,28,FALSE)-50))</f>
        <v>366</v>
      </c>
      <c r="AD77" s="3">
        <f>IF(ISERROR(VLOOKUP($A77,'SegEnds_NonXtal_BW#'!$A:$Z,21,FALSE)+VLOOKUP($A77,A:AL,31,FALSE)-50),"-",(VLOOKUP($A77,'SegEnds_NonXtal_BW#'!$A:$Z,21,FALSE)+VLOOKUP($A77,A:AL,31,FALSE)-50))</f>
        <v>373</v>
      </c>
      <c r="AE77" s="3">
        <v>392</v>
      </c>
      <c r="AF77" s="3">
        <f>IF(ISERROR((VLOOKUP($A77,'SegEnds_NonXtal_BW#'!$A:$Z,22,FALSE)+VLOOKUP($A77,A:AL,31,FALSE)-50)),"-",(VLOOKUP($A77,'SegEnds_NonXtal_BW#'!$A:$Z,22,FALSE)+VLOOKUP($A77,A:AL,31,FALSE)-50))</f>
        <v>403</v>
      </c>
      <c r="AG77" s="3">
        <f>IF(ISERROR(VLOOKUP($A77,'SegEnds_NonXtal_BW#'!$A:$Z,23,FALSE)+VLOOKUP($A77,A:AL,34,FALSE)-50),"-",(VLOOKUP($A77,'SegEnds_NonXtal_BW#'!$A:$Z,23,FALSE)+VLOOKUP($A77,A:AL,34,FALSE)-50))</f>
        <v>407</v>
      </c>
      <c r="AH77" s="3">
        <v>432</v>
      </c>
      <c r="AI77" s="3">
        <f>IF(ISERROR((VLOOKUP($A77,'SegEnds_NonXtal_BW#'!$A:$Z,24,FALSE)+VLOOKUP($A77,A:AL,34,FALSE)-50)),"-",(VLOOKUP($A77,'SegEnds_NonXtal_BW#'!$A:$Z,24,FALSE)+VLOOKUP($A77,A:AL,34,FALSE)-50))</f>
        <v>438</v>
      </c>
      <c r="AJ77" s="3">
        <f>IF(ISERROR(VLOOKUP($A77,'SegEnds_NonXtal_BW#'!$A:$Z,25,FALSE)+VLOOKUP($A77,A:AL,37,FALSE)-50),"-",(VLOOKUP($A77,'SegEnds_NonXtal_BW#'!$A:$Z,25,FALSE)+VLOOKUP($A77,A:AL,37,FALSE)-50))</f>
        <v>439</v>
      </c>
      <c r="AK77" s="3">
        <v>442</v>
      </c>
      <c r="AL77" s="3">
        <f>IF(ISERROR((VLOOKUP($A77,'SegEnds_NonXtal_BW#'!$A:$Z,26,FALSE)+VLOOKUP($A77,A:AL,37,FALSE)-50)),"-",(VLOOKUP($A77,'SegEnds_NonXtal_BW#'!$A:$Z,26,FALSE)+VLOOKUP($A77,A:AL,37,FALSE)-50))</f>
        <v>448</v>
      </c>
      <c r="AM77" s="28" t="str">
        <f>VLOOKUP(A77,Classification!A:B,2,FALSE)</f>
        <v>A</v>
      </c>
      <c r="AN77" s="28" t="b">
        <f t="shared" si="55"/>
        <v>1</v>
      </c>
      <c r="AO77" s="3" t="str">
        <f>IF(ISERROR(MATCH(A77,'SegEnds_Xtal_Prot#'!B:B, 0)), "NoXtal", "Xtal")</f>
        <v>NoXtal</v>
      </c>
      <c r="AP77" s="3" t="str">
        <f t="shared" si="39"/>
        <v>-</v>
      </c>
      <c r="AQ77" s="3" t="str">
        <f t="shared" si="40"/>
        <v>-</v>
      </c>
      <c r="AR77" s="3">
        <f t="shared" si="41"/>
        <v>2</v>
      </c>
      <c r="AS77" s="3">
        <f t="shared" si="42"/>
        <v>1</v>
      </c>
      <c r="AT77" s="3">
        <f t="shared" si="43"/>
        <v>1</v>
      </c>
      <c r="AU77" s="3">
        <f t="shared" si="44"/>
        <v>1</v>
      </c>
      <c r="AV77" s="3">
        <f t="shared" si="45"/>
        <v>11</v>
      </c>
      <c r="AW77" s="3">
        <f t="shared" si="46"/>
        <v>155</v>
      </c>
      <c r="AX77" s="3">
        <f t="shared" si="47"/>
        <v>7</v>
      </c>
      <c r="AY77" s="3">
        <f t="shared" si="48"/>
        <v>4</v>
      </c>
      <c r="AZ77" s="3">
        <f t="shared" si="49"/>
        <v>1</v>
      </c>
      <c r="BA77" s="3">
        <f>IF(ISERROR(LEN(VLOOKUP(A77,Seqs!A:E,2,FALSE))-AL77),"-",LEN(VLOOKUP(A77,Seqs!A:E,2,FALSE))-AL77)</f>
        <v>34</v>
      </c>
      <c r="BB77" s="16">
        <f t="shared" si="50"/>
        <v>27</v>
      </c>
      <c r="BC77" s="9">
        <f t="shared" si="51"/>
        <v>20</v>
      </c>
      <c r="BD77" s="3">
        <f t="shared" si="52"/>
        <v>27</v>
      </c>
      <c r="BE77" s="3">
        <f t="shared" si="53"/>
        <v>44</v>
      </c>
    </row>
    <row r="78" spans="1:58" s="3" customFormat="1" x14ac:dyDescent="0.2">
      <c r="A78" s="3" t="s">
        <v>165</v>
      </c>
      <c r="B78" s="3" t="str">
        <f>LOWER(VLOOKUP(A78,Xtal_Templ!A:B,2,FALSE))</f>
        <v>c5ar1_human</v>
      </c>
      <c r="C78" s="3">
        <f>VLOOKUP($A78,'SegEnds_NonXtal_BW#'!$A:$Z,3,FALSE)+D78-50</f>
        <v>34</v>
      </c>
      <c r="D78" s="3">
        <v>55</v>
      </c>
      <c r="E78" s="3">
        <f>IF(ISERROR(VLOOKUP($A78,'SegEnds_NonXtal_BW#'!$A:$Z,4,FALSE)+VLOOKUP($A78,A:AL,4,FALSE)-50),"-",(VLOOKUP($A78,'SegEnds_NonXtal_BW#'!$A:$Z,4,FALSE)+VLOOKUP($A78,A:AL,4,FALSE)-50))</f>
        <v>65</v>
      </c>
      <c r="F78" s="3" t="str">
        <f>IF(ISERROR(VLOOKUP($A78,'SegEnds_NonXtal_BW#'!$A:$Z,5,FALSE)+VLOOKUP($A78,A:AL,7,FALSE)-50),"-",(VLOOKUP($A78,'SegEnds_NonXtal_BW#'!$A:$Z,5,FALSE)+VLOOKUP($A78,A:AL,7,FALSE)-50))</f>
        <v>-</v>
      </c>
      <c r="G78" s="3" t="s">
        <v>23</v>
      </c>
      <c r="H78" s="3" t="str">
        <f>IF(ISERROR(VLOOKUP($A78,'SegEnds_NonXtal_BW#'!$A:$Z,6,FALSE)+VLOOKUP($A78,A:AL,7,FALSE)-50),"-",(VLOOKUP($A78,'SegEnds_NonXtal_BW#'!$A:$Z,6,FALSE)+VLOOKUP($A78,A:AL,7,FALSE)-50))</f>
        <v>-</v>
      </c>
      <c r="I78" s="3">
        <f>VLOOKUP($A78,'SegEnds_NonXtal_BW#'!$A:$Z,7,FALSE)+J78-50</f>
        <v>69</v>
      </c>
      <c r="J78" s="3">
        <v>82</v>
      </c>
      <c r="K78" s="3">
        <f>VLOOKUP($A78,'SegEnds_NonXtal_BW#'!$A:$Z,8,FALSE)+VLOOKUP($A78,A:AL,10,FALSE)-50</f>
        <v>99</v>
      </c>
      <c r="L78" s="3">
        <f t="shared" si="56"/>
        <v>101</v>
      </c>
      <c r="M78" s="3">
        <v>102</v>
      </c>
      <c r="N78" s="3">
        <f t="shared" si="57"/>
        <v>104</v>
      </c>
      <c r="O78" s="3">
        <f t="shared" si="37"/>
        <v>105</v>
      </c>
      <c r="P78" s="3">
        <v>134</v>
      </c>
      <c r="Q78" s="3">
        <f>VLOOKUP($A78,'SegEnds_NonXtal_BW#'!$A:$Z,12,FALSE)+VLOOKUP($A78,A:AL,16,FALSE)-50</f>
        <v>140</v>
      </c>
      <c r="R78" s="3">
        <f>IF(ISERROR(VLOOKUP($A78,'SegEnds_NonXtal_BW#'!$A:$Z,13,FALSE)+VLOOKUP($A78,A:AL,19,FALSE)-50),"-",VLOOKUP($A78,'SegEnds_NonXtal_BW#'!$A:$Z,13,FALSE)+VLOOKUP($A78,A:AL,19,FALSE)-50)</f>
        <v>141</v>
      </c>
      <c r="S78" s="3">
        <v>141</v>
      </c>
      <c r="T78" s="100">
        <f>IF(ISERROR(VLOOKUP($A78,'SegEnds_NonXtal_BW#'!$A:$Z,14,FALSE)+VLOOKUP($A78,A:AL,19,FALSE)-50),"-",(VLOOKUP($A78,'SegEnds_NonXtal_BW#'!$A:$Z,14,FALSE)+VLOOKUP($A78,A:AL,19,FALSE)-50))</f>
        <v>148</v>
      </c>
      <c r="U78" s="9">
        <f>IF(ISERROR(VLOOKUP($A78,'SegEnds_NonXtal_BW#'!$A:$Z,15,FALSE)+VLOOKUP($A78,A:AL,22,FALSE)-50),"-",VLOOKUP($A78,'SegEnds_NonXtal_BW#'!$A:$Z,15,FALSE)+VLOOKUP($A78,A:AL,22,FALSE)-50)</f>
        <v>149</v>
      </c>
      <c r="V78" s="3">
        <v>161</v>
      </c>
      <c r="W78" s="3">
        <f>IF(ISERROR(VLOOKUP($A78,'SegEnds_NonXtal_BW#'!$A:$Z,16,FALSE)+VLOOKUP($A78,A:AL,22,FALSE)-50),"-",(VLOOKUP($A78,'SegEnds_NonXtal_BW#'!$A:$Z,16,FALSE)+VLOOKUP($A78,A:AL,22,FALSE)-50))</f>
        <v>175</v>
      </c>
      <c r="X78" s="3">
        <f>IF(ISERROR(VLOOKUP($A78,'SegEnds_NonXtal_BW#'!$A:$Z,17,FALSE)+VLOOKUP($A78,A:AL,25,FALSE)-50),"-",(VLOOKUP($A78,'SegEnds_NonXtal_BW#'!$A:$Z,17,FALSE)+VLOOKUP($A78,A:AL,25,FALSE)-50))</f>
        <v>188</v>
      </c>
      <c r="Y78" s="3">
        <v>188</v>
      </c>
      <c r="Z78" s="3">
        <f t="shared" si="38"/>
        <v>190</v>
      </c>
      <c r="AA78" s="3">
        <f>IF(ISERROR(VLOOKUP($A78,'SegEnds_NonXtal_BW#'!$A:$Z,19,FALSE)+VLOOKUP($A78,A:AL,28,FALSE)-50),"-",(VLOOKUP($A78,'SegEnds_NonXtal_BW#'!$A:$Z,19,FALSE)+VLOOKUP($A78,A:AL,28,FALSE)-50))</f>
        <v>195</v>
      </c>
      <c r="AB78" s="3">
        <v>214</v>
      </c>
      <c r="AC78" s="3">
        <f>IF(ISERROR((VLOOKUP($A78,'SegEnds_NonXtal_BW#'!$A:$Z,20,FALSE)+VLOOKUP($A78,A:AL,28,FALSE)-50)),"-",(VLOOKUP($A78,'SegEnds_NonXtal_BW#'!$A:$Z,20,FALSE)+VLOOKUP($A78,A:AL,28,FALSE)-50))</f>
        <v>232</v>
      </c>
      <c r="AD78" s="3">
        <f>IF(ISERROR(VLOOKUP($A78,'SegEnds_NonXtal_BW#'!$A:$Z,21,FALSE)+VLOOKUP($A78,A:AL,31,FALSE)-50),"-",(VLOOKUP($A78,'SegEnds_NonXtal_BW#'!$A:$Z,21,FALSE)+VLOOKUP($A78,A:AL,31,FALSE)-50))</f>
        <v>238</v>
      </c>
      <c r="AE78" s="3">
        <v>257</v>
      </c>
      <c r="AF78" s="3">
        <f>IF(ISERROR((VLOOKUP($A78,'SegEnds_NonXtal_BW#'!$A:$Z,22,FALSE)+VLOOKUP($A78,A:AL,31,FALSE)-50)),"-",(VLOOKUP($A78,'SegEnds_NonXtal_BW#'!$A:$Z,22,FALSE)+VLOOKUP($A78,A:AL,31,FALSE)-50))</f>
        <v>268</v>
      </c>
      <c r="AG78" s="3">
        <f>IF(ISERROR(VLOOKUP($A78,'SegEnds_NonXtal_BW#'!$A:$Z,23,FALSE)+VLOOKUP($A78,A:AL,34,FALSE)-50),"-",(VLOOKUP($A78,'SegEnds_NonXtal_BW#'!$A:$Z,23,FALSE)+VLOOKUP($A78,A:AL,34,FALSE)-50))</f>
        <v>272</v>
      </c>
      <c r="AH78" s="3">
        <v>297</v>
      </c>
      <c r="AI78" s="3">
        <f>IF(ISERROR((VLOOKUP($A78,'SegEnds_NonXtal_BW#'!$A:$Z,24,FALSE)+VLOOKUP($A78,A:AL,34,FALSE)-50)),"-",(VLOOKUP($A78,'SegEnds_NonXtal_BW#'!$A:$Z,24,FALSE)+VLOOKUP($A78,A:AL,34,FALSE)-50))</f>
        <v>303</v>
      </c>
      <c r="AJ78" s="3">
        <f>IF(ISERROR(VLOOKUP($A78,'SegEnds_NonXtal_BW#'!$A:$Z,25,FALSE)+VLOOKUP($A78,A:AL,37,FALSE)-50),"-",(VLOOKUP($A78,'SegEnds_NonXtal_BW#'!$A:$Z,25,FALSE)+VLOOKUP($A78,A:AL,37,FALSE)-50))</f>
        <v>304</v>
      </c>
      <c r="AK78" s="3">
        <v>307</v>
      </c>
      <c r="AL78" s="3">
        <f>IF(ISERROR((VLOOKUP($A78,'SegEnds_NonXtal_BW#'!$A:$Z,26,FALSE)+VLOOKUP($A78,A:AL,37,FALSE)-50)),"-",(VLOOKUP($A78,'SegEnds_NonXtal_BW#'!$A:$Z,26,FALSE)+VLOOKUP($A78,A:AL,37,FALSE)-50))</f>
        <v>313</v>
      </c>
      <c r="AM78" s="28" t="str">
        <f>VLOOKUP(A78,Classification!A:B,2,FALSE)</f>
        <v>A</v>
      </c>
      <c r="AN78" s="28" t="b">
        <f t="shared" si="55"/>
        <v>1</v>
      </c>
      <c r="AO78" s="3" t="str">
        <f>IF(ISERROR(MATCH(A78,'SegEnds_Xtal_Prot#'!B:B, 0)), "NoXtal", "Xtal")</f>
        <v>Xtal</v>
      </c>
      <c r="AP78" s="3" t="str">
        <f t="shared" si="39"/>
        <v>-</v>
      </c>
      <c r="AQ78" s="3" t="str">
        <f t="shared" si="40"/>
        <v>-</v>
      </c>
      <c r="AR78" s="3">
        <f t="shared" si="41"/>
        <v>2</v>
      </c>
      <c r="AS78" s="3">
        <f t="shared" si="42"/>
        <v>1</v>
      </c>
      <c r="AT78" s="3">
        <f t="shared" si="43"/>
        <v>1</v>
      </c>
      <c r="AU78" s="3">
        <f t="shared" si="44"/>
        <v>1</v>
      </c>
      <c r="AV78" s="3">
        <f t="shared" si="45"/>
        <v>13</v>
      </c>
      <c r="AW78" s="3">
        <f t="shared" si="46"/>
        <v>5</v>
      </c>
      <c r="AX78" s="3">
        <f t="shared" si="47"/>
        <v>6</v>
      </c>
      <c r="AY78" s="3">
        <f t="shared" si="48"/>
        <v>4</v>
      </c>
      <c r="AZ78" s="3">
        <f t="shared" si="49"/>
        <v>1</v>
      </c>
      <c r="BA78" s="3">
        <f>IF(ISERROR(LEN(VLOOKUP(A78,Seqs!A:E,2,FALSE))-AL78),"-",LEN(VLOOKUP(A78,Seqs!A:E,2,FALSE))-AL78)</f>
        <v>37</v>
      </c>
      <c r="BB78" s="16">
        <f t="shared" si="50"/>
        <v>27</v>
      </c>
      <c r="BC78" s="9">
        <f t="shared" si="51"/>
        <v>20</v>
      </c>
      <c r="BD78" s="3">
        <f t="shared" si="52"/>
        <v>27</v>
      </c>
      <c r="BE78" s="3">
        <f t="shared" si="53"/>
        <v>43</v>
      </c>
    </row>
    <row r="79" spans="1:58" s="3" customFormat="1" x14ac:dyDescent="0.2">
      <c r="A79" s="3" t="s">
        <v>166</v>
      </c>
      <c r="B79" s="3" t="str">
        <f>LOWER(VLOOKUP(A79,Xtal_Templ!A:B,2,FALSE))</f>
        <v>c5ar1_human</v>
      </c>
      <c r="C79" s="3">
        <f>VLOOKUP($A79,'SegEnds_NonXtal_BW#'!$A:$Z,3,FALSE)+D79-50</f>
        <v>32</v>
      </c>
      <c r="D79" s="3">
        <v>53</v>
      </c>
      <c r="E79" s="3">
        <f>IF(ISERROR(VLOOKUP($A79,'SegEnds_NonXtal_BW#'!$A:$Z,4,FALSE)+VLOOKUP($A79,A:AL,4,FALSE)-50),"-",(VLOOKUP($A79,'SegEnds_NonXtal_BW#'!$A:$Z,4,FALSE)+VLOOKUP($A79,A:AL,4,FALSE)-50))</f>
        <v>63</v>
      </c>
      <c r="F79" s="3" t="str">
        <f>IF(ISERROR(VLOOKUP($A79,'SegEnds_NonXtal_BW#'!$A:$Z,5,FALSE)+VLOOKUP($A79,A:AL,7,FALSE)-50),"-",(VLOOKUP($A79,'SegEnds_NonXtal_BW#'!$A:$Z,5,FALSE)+VLOOKUP($A79,A:AL,7,FALSE)-50))</f>
        <v>-</v>
      </c>
      <c r="G79" s="3" t="s">
        <v>23</v>
      </c>
      <c r="H79" s="3" t="str">
        <f>IF(ISERROR(VLOOKUP($A79,'SegEnds_NonXtal_BW#'!$A:$Z,6,FALSE)+VLOOKUP($A79,A:AL,7,FALSE)-50),"-",(VLOOKUP($A79,'SegEnds_NonXtal_BW#'!$A:$Z,6,FALSE)+VLOOKUP($A79,A:AL,7,FALSE)-50))</f>
        <v>-</v>
      </c>
      <c r="I79" s="3">
        <f>VLOOKUP($A79,'SegEnds_NonXtal_BW#'!$A:$Z,7,FALSE)+J79-50</f>
        <v>67</v>
      </c>
      <c r="J79" s="3">
        <v>80</v>
      </c>
      <c r="K79" s="3">
        <f>VLOOKUP($A79,'SegEnds_NonXtal_BW#'!$A:$Z,8,FALSE)+VLOOKUP($A79,A:AL,10,FALSE)-50</f>
        <v>97</v>
      </c>
      <c r="L79" s="3">
        <f t="shared" si="56"/>
        <v>99</v>
      </c>
      <c r="M79" s="3">
        <v>100</v>
      </c>
      <c r="N79" s="3">
        <f t="shared" si="57"/>
        <v>102</v>
      </c>
      <c r="O79" s="3">
        <f t="shared" si="37"/>
        <v>103</v>
      </c>
      <c r="P79" s="3">
        <v>132</v>
      </c>
      <c r="Q79" s="3">
        <f>VLOOKUP($A79,'SegEnds_NonXtal_BW#'!$A:$Z,12,FALSE)+VLOOKUP($A79,A:AL,16,FALSE)-50</f>
        <v>138</v>
      </c>
      <c r="R79" s="3">
        <f>IF(ISERROR(VLOOKUP($A79,'SegEnds_NonXtal_BW#'!$A:$Z,13,FALSE)+VLOOKUP($A79,A:AL,19,FALSE)-50),"-",VLOOKUP($A79,'SegEnds_NonXtal_BW#'!$A:$Z,13,FALSE)+VLOOKUP($A79,A:AL,19,FALSE)-50)</f>
        <v>139</v>
      </c>
      <c r="S79" s="3">
        <v>139</v>
      </c>
      <c r="T79" s="100">
        <f>IF(ISERROR(VLOOKUP($A79,'SegEnds_NonXtal_BW#'!$A:$Z,14,FALSE)+VLOOKUP($A79,A:AL,19,FALSE)-50),"-",(VLOOKUP($A79,'SegEnds_NonXtal_BW#'!$A:$Z,14,FALSE)+VLOOKUP($A79,A:AL,19,FALSE)-50))</f>
        <v>146</v>
      </c>
      <c r="U79" s="9">
        <f>IF(ISERROR(VLOOKUP($A79,'SegEnds_NonXtal_BW#'!$A:$Z,15,FALSE)+VLOOKUP($A79,A:AL,22,FALSE)-50),"-",VLOOKUP($A79,'SegEnds_NonXtal_BW#'!$A:$Z,15,FALSE)+VLOOKUP($A79,A:AL,22,FALSE)-50)</f>
        <v>147</v>
      </c>
      <c r="V79" s="3">
        <v>159</v>
      </c>
      <c r="W79" s="3">
        <f>IF(ISERROR(VLOOKUP($A79,'SegEnds_NonXtal_BW#'!$A:$Z,16,FALSE)+VLOOKUP($A79,A:AL,22,FALSE)-50),"-",(VLOOKUP($A79,'SegEnds_NonXtal_BW#'!$A:$Z,16,FALSE)+VLOOKUP($A79,A:AL,22,FALSE)-50))</f>
        <v>173</v>
      </c>
      <c r="X79" s="3">
        <f>IF(ISERROR(VLOOKUP($A79,'SegEnds_NonXtal_BW#'!$A:$Z,17,FALSE)+VLOOKUP($A79,A:AL,25,FALSE)-50),"-",(VLOOKUP($A79,'SegEnds_NonXtal_BW#'!$A:$Z,17,FALSE)+VLOOKUP($A79,A:AL,25,FALSE)-50))</f>
        <v>186</v>
      </c>
      <c r="Y79" s="3">
        <v>186</v>
      </c>
      <c r="Z79" s="3">
        <f t="shared" si="38"/>
        <v>188</v>
      </c>
      <c r="AA79" s="3">
        <f>IF(ISERROR(VLOOKUP($A79,'SegEnds_NonXtal_BW#'!$A:$Z,19,FALSE)+VLOOKUP($A79,A:AL,28,FALSE)-50),"-",(VLOOKUP($A79,'SegEnds_NonXtal_BW#'!$A:$Z,19,FALSE)+VLOOKUP($A79,A:AL,28,FALSE)-50))</f>
        <v>193</v>
      </c>
      <c r="AB79" s="3">
        <v>212</v>
      </c>
      <c r="AC79" s="3">
        <f>IF(ISERROR((VLOOKUP($A79,'SegEnds_NonXtal_BW#'!$A:$Z,20,FALSE)+VLOOKUP($A79,A:AL,28,FALSE)-50)),"-",(VLOOKUP($A79,'SegEnds_NonXtal_BW#'!$A:$Z,20,FALSE)+VLOOKUP($A79,A:AL,28,FALSE)-50))</f>
        <v>226</v>
      </c>
      <c r="AD79" s="3">
        <f>IF(ISERROR(VLOOKUP($A79,'SegEnds_NonXtal_BW#'!$A:$Z,21,FALSE)+VLOOKUP($A79,A:AL,31,FALSE)-50),"-",(VLOOKUP($A79,'SegEnds_NonXtal_BW#'!$A:$Z,21,FALSE)+VLOOKUP($A79,A:AL,31,FALSE)-50))</f>
        <v>229</v>
      </c>
      <c r="AE79" s="3">
        <v>248</v>
      </c>
      <c r="AF79" s="3">
        <f>IF(ISERROR((VLOOKUP($A79,'SegEnds_NonXtal_BW#'!$A:$Z,22,FALSE)+VLOOKUP($A79,A:AL,31,FALSE)-50)),"-",(VLOOKUP($A79,'SegEnds_NonXtal_BW#'!$A:$Z,22,FALSE)+VLOOKUP($A79,A:AL,31,FALSE)-50))</f>
        <v>259</v>
      </c>
      <c r="AG79" s="3">
        <f>IF(ISERROR(VLOOKUP($A79,'SegEnds_NonXtal_BW#'!$A:$Z,23,FALSE)+VLOOKUP($A79,A:AL,34,FALSE)-50),"-",(VLOOKUP($A79,'SegEnds_NonXtal_BW#'!$A:$Z,23,FALSE)+VLOOKUP($A79,A:AL,34,FALSE)-50))</f>
        <v>263</v>
      </c>
      <c r="AH79" s="3">
        <v>288</v>
      </c>
      <c r="AI79" s="3">
        <f>IF(ISERROR((VLOOKUP($A79,'SegEnds_NonXtal_BW#'!$A:$Z,24,FALSE)+VLOOKUP($A79,A:AL,34,FALSE)-50)),"-",(VLOOKUP($A79,'SegEnds_NonXtal_BW#'!$A:$Z,24,FALSE)+VLOOKUP($A79,A:AL,34,FALSE)-50))</f>
        <v>294</v>
      </c>
      <c r="AJ79" s="3">
        <f>IF(ISERROR(VLOOKUP($A79,'SegEnds_NonXtal_BW#'!$A:$Z,25,FALSE)+VLOOKUP($A79,A:AL,37,FALSE)-50),"-",(VLOOKUP($A79,'SegEnds_NonXtal_BW#'!$A:$Z,25,FALSE)+VLOOKUP($A79,A:AL,37,FALSE)-50))</f>
        <v>295</v>
      </c>
      <c r="AK79" s="3">
        <v>298</v>
      </c>
      <c r="AL79" s="3">
        <f>IF(ISERROR((VLOOKUP($A79,'SegEnds_NonXtal_BW#'!$A:$Z,26,FALSE)+VLOOKUP($A79,A:AL,37,FALSE)-50)),"-",(VLOOKUP($A79,'SegEnds_NonXtal_BW#'!$A:$Z,26,FALSE)+VLOOKUP($A79,A:AL,37,FALSE)-50))</f>
        <v>304</v>
      </c>
      <c r="AM79" s="28" t="str">
        <f>VLOOKUP(A79,Classification!A:B,2,FALSE)</f>
        <v>A</v>
      </c>
      <c r="AN79" s="28" t="b">
        <f t="shared" si="55"/>
        <v>1</v>
      </c>
      <c r="AO79" s="3" t="str">
        <f>IF(ISERROR(MATCH(A79,'SegEnds_Xtal_Prot#'!B:B, 0)), "NoXtal", "Xtal")</f>
        <v>NoXtal</v>
      </c>
      <c r="AP79" s="3" t="str">
        <f t="shared" si="39"/>
        <v>-</v>
      </c>
      <c r="AQ79" s="3" t="str">
        <f t="shared" si="40"/>
        <v>-</v>
      </c>
      <c r="AR79" s="3">
        <f t="shared" si="41"/>
        <v>2</v>
      </c>
      <c r="AS79" s="3">
        <f t="shared" si="42"/>
        <v>1</v>
      </c>
      <c r="AT79" s="3">
        <f t="shared" si="43"/>
        <v>1</v>
      </c>
      <c r="AU79" s="3">
        <f t="shared" si="44"/>
        <v>1</v>
      </c>
      <c r="AV79" s="3">
        <f t="shared" si="45"/>
        <v>13</v>
      </c>
      <c r="AW79" s="3">
        <f t="shared" si="46"/>
        <v>5</v>
      </c>
      <c r="AX79" s="3">
        <f t="shared" si="47"/>
        <v>3</v>
      </c>
      <c r="AY79" s="3">
        <f t="shared" si="48"/>
        <v>4</v>
      </c>
      <c r="AZ79" s="3">
        <f t="shared" si="49"/>
        <v>1</v>
      </c>
      <c r="BA79" s="3">
        <f>IF(ISERROR(LEN(VLOOKUP(A79,Seqs!A:E,2,FALSE))-AL79),"-",LEN(VLOOKUP(A79,Seqs!A:E,2,FALSE))-AL79)</f>
        <v>33</v>
      </c>
      <c r="BB79" s="16">
        <f t="shared" si="50"/>
        <v>27</v>
      </c>
      <c r="BC79" s="9">
        <f t="shared" si="51"/>
        <v>20</v>
      </c>
      <c r="BD79" s="3">
        <f t="shared" si="52"/>
        <v>27</v>
      </c>
      <c r="BE79" s="3">
        <f t="shared" si="53"/>
        <v>36</v>
      </c>
      <c r="BF79" s="3">
        <f>MIN(ABS(BE79-ICL3_classA!F2:F229))</f>
        <v>36</v>
      </c>
    </row>
    <row r="80" spans="1:58" s="3" customFormat="1" x14ac:dyDescent="0.2">
      <c r="A80" s="3" t="s">
        <v>167</v>
      </c>
      <c r="B80" s="3" t="str">
        <f>LOWER(VLOOKUP(A80,Xtal_Templ!A:B,2,FALSE))</f>
        <v>ox1r_human</v>
      </c>
      <c r="C80" s="3">
        <f>VLOOKUP($A80,'SegEnds_NonXtal_BW#'!$A:$Z,3,FALSE)+D80-50</f>
        <v>41</v>
      </c>
      <c r="D80" s="3">
        <v>59</v>
      </c>
      <c r="E80" s="3">
        <f>IF(ISERROR(VLOOKUP($A80,'SegEnds_NonXtal_BW#'!$A:$Z,4,FALSE)+VLOOKUP($A80,A:AL,4,FALSE)-50),"-",(VLOOKUP($A80,'SegEnds_NonXtal_BW#'!$A:$Z,4,FALSE)+VLOOKUP($A80,A:AL,4,FALSE)-50))</f>
        <v>69</v>
      </c>
      <c r="F80" s="3">
        <f t="shared" ref="F80:F86" si="59">G80-2</f>
        <v>70</v>
      </c>
      <c r="G80" s="3">
        <v>72</v>
      </c>
      <c r="H80" s="3">
        <f t="shared" ref="H80:I86" si="60">G80+1</f>
        <v>73</v>
      </c>
      <c r="I80" s="3">
        <f t="shared" si="60"/>
        <v>74</v>
      </c>
      <c r="J80" s="3">
        <v>87</v>
      </c>
      <c r="K80" s="3">
        <f>VLOOKUP($A80,'SegEnds_NonXtal_BW#'!$A:$Z,8,FALSE)+VLOOKUP($A80,A:AL,10,FALSE)-50</f>
        <v>104</v>
      </c>
      <c r="L80" s="3">
        <f t="shared" si="56"/>
        <v>106</v>
      </c>
      <c r="M80" s="3">
        <v>107</v>
      </c>
      <c r="N80" s="3">
        <f t="shared" si="57"/>
        <v>109</v>
      </c>
      <c r="O80" s="3">
        <f t="shared" si="37"/>
        <v>110</v>
      </c>
      <c r="P80" s="3">
        <v>139</v>
      </c>
      <c r="Q80" s="3">
        <f>VLOOKUP($A80,'SegEnds_NonXtal_BW#'!$A:$Z,12,FALSE)+VLOOKUP($A80,A:AL,16,FALSE)-50</f>
        <v>145</v>
      </c>
      <c r="R80" s="3">
        <f>IF(ISERROR(VLOOKUP($A80,'SegEnds_NonXtal_BW#'!$A:$Z,13,FALSE)+VLOOKUP($A80,A:AL,19,FALSE)-50),"-",VLOOKUP($A80,'SegEnds_NonXtal_BW#'!$A:$Z,13,FALSE)+VLOOKUP($A80,A:AL,19,FALSE)-50)</f>
        <v>146</v>
      </c>
      <c r="S80" s="3">
        <v>146</v>
      </c>
      <c r="T80" s="100">
        <f>IF(ISERROR(VLOOKUP($A80,'SegEnds_NonXtal_BW#'!$A:$Z,14,FALSE)+VLOOKUP($A80,A:AL,19,FALSE)-50),"-",(VLOOKUP($A80,'SegEnds_NonXtal_BW#'!$A:$Z,14,FALSE)+VLOOKUP($A80,A:AL,19,FALSE)-50))</f>
        <v>153</v>
      </c>
      <c r="U80" s="9">
        <f>IF(ISERROR(VLOOKUP($A80,'SegEnds_NonXtal_BW#'!$A:$Z,15,FALSE)+VLOOKUP($A80,A:AL,22,FALSE)-50),"-",VLOOKUP($A80,'SegEnds_NonXtal_BW#'!$A:$Z,15,FALSE)+VLOOKUP($A80,A:AL,22,FALSE)-50)</f>
        <v>154</v>
      </c>
      <c r="V80" s="3">
        <v>166</v>
      </c>
      <c r="W80" s="3">
        <f>IF(ISERROR(VLOOKUP($A80,'SegEnds_NonXtal_BW#'!$A:$Z,16,FALSE)+VLOOKUP($A80,A:AL,22,FALSE)-50),"-",(VLOOKUP($A80,'SegEnds_NonXtal_BW#'!$A:$Z,16,FALSE)+VLOOKUP($A80,A:AL,22,FALSE)-50))</f>
        <v>180</v>
      </c>
      <c r="X80" s="3">
        <f>IF(ISERROR(VLOOKUP($A80,'SegEnds_NonXtal_BW#'!$A:$Z,17,FALSE)+VLOOKUP($A80,A:AL,25,FALSE)-50),"-",(VLOOKUP($A80,'SegEnds_NonXtal_BW#'!$A:$Z,17,FALSE)+VLOOKUP($A80,A:AL,25,FALSE)-50))</f>
        <v>196</v>
      </c>
      <c r="Y80" s="3">
        <v>196</v>
      </c>
      <c r="Z80" s="3">
        <f t="shared" si="38"/>
        <v>198</v>
      </c>
      <c r="AA80" s="3">
        <f>IF(ISERROR(VLOOKUP($A80,'SegEnds_NonXtal_BW#'!$A:$Z,19,FALSE)+VLOOKUP($A80,A:AL,28,FALSE)-50),"-",(VLOOKUP($A80,'SegEnds_NonXtal_BW#'!$A:$Z,19,FALSE)+VLOOKUP($A80,A:AL,28,FALSE)-50))</f>
        <v>203</v>
      </c>
      <c r="AB80" s="3">
        <v>221</v>
      </c>
      <c r="AC80" s="3">
        <f>IF(ISERROR((VLOOKUP($A80,'SegEnds_NonXtal_BW#'!$A:$Z,20,FALSE)+VLOOKUP($A80,A:AL,28,FALSE)-50)),"-",(VLOOKUP($A80,'SegEnds_NonXtal_BW#'!$A:$Z,20,FALSE)+VLOOKUP($A80,A:AL,28,FALSE)-50))</f>
        <v>245</v>
      </c>
      <c r="AD80" s="3">
        <f>IF(ISERROR(VLOOKUP($A80,'SegEnds_NonXtal_BW#'!$A:$Z,21,FALSE)+VLOOKUP($A80,A:AL,31,FALSE)-50),"-",(VLOOKUP($A80,'SegEnds_NonXtal_BW#'!$A:$Z,21,FALSE)+VLOOKUP($A80,A:AL,31,FALSE)-50))</f>
        <v>302</v>
      </c>
      <c r="AE80" s="3">
        <v>328</v>
      </c>
      <c r="AF80" s="3">
        <f>IF(ISERROR((VLOOKUP($A80,'SegEnds_NonXtal_BW#'!$A:$Z,22,FALSE)+VLOOKUP($A80,A:AL,31,FALSE)-50)),"-",(VLOOKUP($A80,'SegEnds_NonXtal_BW#'!$A:$Z,22,FALSE)+VLOOKUP($A80,A:AL,31,FALSE)-50))</f>
        <v>339</v>
      </c>
      <c r="AG80" s="3">
        <f>IF(ISERROR(VLOOKUP($A80,'SegEnds_NonXtal_BW#'!$A:$Z,23,FALSE)+VLOOKUP($A80,A:AL,34,FALSE)-50),"-",(VLOOKUP($A80,'SegEnds_NonXtal_BW#'!$A:$Z,23,FALSE)+VLOOKUP($A80,A:AL,34,FALSE)-50))</f>
        <v>345</v>
      </c>
      <c r="AH80" s="3">
        <v>367</v>
      </c>
      <c r="AI80" s="3">
        <f>IF(ISERROR((VLOOKUP($A80,'SegEnds_NonXtal_BW#'!$A:$Z,24,FALSE)+VLOOKUP($A80,A:AL,34,FALSE)-50)),"-",(VLOOKUP($A80,'SegEnds_NonXtal_BW#'!$A:$Z,24,FALSE)+VLOOKUP($A80,A:AL,34,FALSE)-50))</f>
        <v>373</v>
      </c>
      <c r="AJ80" s="3">
        <f>IF(ISERROR(VLOOKUP($A80,'SegEnds_NonXtal_BW#'!$A:$Z,25,FALSE)+VLOOKUP($A80,A:AL,37,FALSE)-50),"-",(VLOOKUP($A80,'SegEnds_NonXtal_BW#'!$A:$Z,25,FALSE)+VLOOKUP($A80,A:AL,37,FALSE)-50))</f>
        <v>374</v>
      </c>
      <c r="AK80" s="3">
        <v>377</v>
      </c>
      <c r="AL80" s="3">
        <f>IF(ISERROR((VLOOKUP($A80,'SegEnds_NonXtal_BW#'!$A:$Z,26,FALSE)+VLOOKUP($A80,A:AL,37,FALSE)-50)),"-",(VLOOKUP($A80,'SegEnds_NonXtal_BW#'!$A:$Z,26,FALSE)+VLOOKUP($A80,A:AL,37,FALSE)-50))</f>
        <v>385</v>
      </c>
      <c r="AM80" s="28" t="str">
        <f>VLOOKUP(A80,Classification!A:B,2,FALSE)</f>
        <v>A</v>
      </c>
      <c r="AN80" s="28" t="b">
        <f t="shared" si="55"/>
        <v>1</v>
      </c>
      <c r="AO80" s="3" t="str">
        <f>IF(ISERROR(MATCH(A80,'SegEnds_Xtal_Prot#'!B:B, 0)), "NoXtal", "Xtal")</f>
        <v>NoXtal</v>
      </c>
      <c r="AP80" s="3">
        <f t="shared" si="39"/>
        <v>1</v>
      </c>
      <c r="AQ80" s="3">
        <f t="shared" si="40"/>
        <v>1</v>
      </c>
      <c r="AR80" s="3">
        <f t="shared" si="41"/>
        <v>2</v>
      </c>
      <c r="AS80" s="3">
        <f t="shared" si="42"/>
        <v>1</v>
      </c>
      <c r="AT80" s="3">
        <f t="shared" si="43"/>
        <v>1</v>
      </c>
      <c r="AU80" s="3">
        <f t="shared" si="44"/>
        <v>1</v>
      </c>
      <c r="AV80" s="3">
        <f t="shared" si="45"/>
        <v>16</v>
      </c>
      <c r="AW80" s="3">
        <f t="shared" si="46"/>
        <v>5</v>
      </c>
      <c r="AX80" s="3">
        <f t="shared" si="47"/>
        <v>57</v>
      </c>
      <c r="AY80" s="3">
        <f t="shared" si="48"/>
        <v>6</v>
      </c>
      <c r="AZ80" s="3">
        <f t="shared" si="49"/>
        <v>1</v>
      </c>
      <c r="BA80" s="3">
        <f>IF(ISERROR(LEN(VLOOKUP(A80,Seqs!A:E,2,FALSE))-AL80),"-",LEN(VLOOKUP(A80,Seqs!A:E,2,FALSE))-AL80)</f>
        <v>43</v>
      </c>
      <c r="BB80" s="16">
        <f t="shared" si="50"/>
        <v>28</v>
      </c>
      <c r="BC80" s="9">
        <f t="shared" si="51"/>
        <v>20</v>
      </c>
      <c r="BD80" s="3">
        <f t="shared" si="52"/>
        <v>28</v>
      </c>
      <c r="BE80" s="3">
        <f t="shared" si="53"/>
        <v>107</v>
      </c>
    </row>
    <row r="81" spans="1:58" s="3" customFormat="1" x14ac:dyDescent="0.2">
      <c r="A81" s="3" t="s">
        <v>168</v>
      </c>
      <c r="B81" s="3" t="str">
        <f>LOWER(VLOOKUP(A81,Xtal_Templ!A:B,2,FALSE))</f>
        <v>ccr5_human</v>
      </c>
      <c r="C81" s="3">
        <f>VLOOKUP($A81,'SegEnds_NonXtal_BW#'!$A:$Z,3,FALSE)+D81-50</f>
        <v>26</v>
      </c>
      <c r="D81" s="3">
        <v>52</v>
      </c>
      <c r="E81" s="3">
        <f>IF(ISERROR(VLOOKUP($A81,'SegEnds_NonXtal_BW#'!$A:$Z,4,FALSE)+VLOOKUP($A81,A:AL,4,FALSE)-50),"-",(VLOOKUP($A81,'SegEnds_NonXtal_BW#'!$A:$Z,4,FALSE)+VLOOKUP($A81,A:AL,4,FALSE)-50))</f>
        <v>62</v>
      </c>
      <c r="F81" s="3">
        <f t="shared" si="59"/>
        <v>63</v>
      </c>
      <c r="G81" s="3">
        <v>65</v>
      </c>
      <c r="H81" s="3">
        <f t="shared" si="60"/>
        <v>66</v>
      </c>
      <c r="I81" s="3">
        <f t="shared" si="60"/>
        <v>67</v>
      </c>
      <c r="J81" s="3">
        <v>80</v>
      </c>
      <c r="K81" s="3">
        <f>VLOOKUP($A81,'SegEnds_NonXtal_BW#'!$A:$Z,8,FALSE)+VLOOKUP($A81,A:AL,10,FALSE)-50</f>
        <v>96</v>
      </c>
      <c r="L81" s="3">
        <f t="shared" si="56"/>
        <v>98</v>
      </c>
      <c r="M81" s="3">
        <v>99</v>
      </c>
      <c r="N81" s="3">
        <f t="shared" si="57"/>
        <v>101</v>
      </c>
      <c r="O81" s="3">
        <f t="shared" si="37"/>
        <v>102</v>
      </c>
      <c r="P81" s="3">
        <v>131</v>
      </c>
      <c r="Q81" s="3">
        <f>VLOOKUP($A81,'SegEnds_NonXtal_BW#'!$A:$Z,12,FALSE)+VLOOKUP($A81,A:AL,16,FALSE)-50</f>
        <v>137</v>
      </c>
      <c r="R81" s="3">
        <f>IF(ISERROR(VLOOKUP($A81,'SegEnds_NonXtal_BW#'!$A:$Z,13,FALSE)+VLOOKUP($A81,A:AL,19,FALSE)-50),"-",VLOOKUP($A81,'SegEnds_NonXtal_BW#'!$A:$Z,13,FALSE)+VLOOKUP($A81,A:AL,19,FALSE)-50)</f>
        <v>138</v>
      </c>
      <c r="S81" s="3">
        <v>138</v>
      </c>
      <c r="T81" s="100">
        <f>IF(ISERROR(VLOOKUP($A81,'SegEnds_NonXtal_BW#'!$A:$Z,14,FALSE)+VLOOKUP($A81,A:AL,19,FALSE)-50),"-",(VLOOKUP($A81,'SegEnds_NonXtal_BW#'!$A:$Z,14,FALSE)+VLOOKUP($A81,A:AL,19,FALSE)-50))</f>
        <v>145</v>
      </c>
      <c r="U81" s="9">
        <f>IF(ISERROR(VLOOKUP($A81,'SegEnds_NonXtal_BW#'!$A:$Z,15,FALSE)+VLOOKUP($A81,A:AL,22,FALSE)-50),"-",VLOOKUP($A81,'SegEnds_NonXtal_BW#'!$A:$Z,15,FALSE)+VLOOKUP($A81,A:AL,22,FALSE)-50)</f>
        <v>146</v>
      </c>
      <c r="V81" s="3">
        <v>158</v>
      </c>
      <c r="W81" s="3">
        <f>IF(ISERROR(VLOOKUP($A81,'SegEnds_NonXtal_BW#'!$A:$Z,16,FALSE)+VLOOKUP($A81,A:AL,22,FALSE)-50),"-",(VLOOKUP($A81,'SegEnds_NonXtal_BW#'!$A:$Z,16,FALSE)+VLOOKUP($A81,A:AL,22,FALSE)-50))</f>
        <v>172</v>
      </c>
      <c r="X81" s="3">
        <f>IF(ISERROR(VLOOKUP($A81,'SegEnds_NonXtal_BW#'!$A:$Z,17,FALSE)+VLOOKUP($A81,A:AL,25,FALSE)-50),"-",(VLOOKUP($A81,'SegEnds_NonXtal_BW#'!$A:$Z,17,FALSE)+VLOOKUP($A81,A:AL,25,FALSE)-50))</f>
        <v>183</v>
      </c>
      <c r="Y81" s="3">
        <v>183</v>
      </c>
      <c r="Z81" s="3">
        <f t="shared" si="38"/>
        <v>185</v>
      </c>
      <c r="AA81" s="3">
        <f>IF(ISERROR(VLOOKUP($A81,'SegEnds_NonXtal_BW#'!$A:$Z,19,FALSE)+VLOOKUP($A81,A:AL,28,FALSE)-50),"-",(VLOOKUP($A81,'SegEnds_NonXtal_BW#'!$A:$Z,19,FALSE)+VLOOKUP($A81,A:AL,28,FALSE)-50))</f>
        <v>191</v>
      </c>
      <c r="AB81" s="3">
        <v>211</v>
      </c>
      <c r="AC81" s="3">
        <f>IF(ISERROR((VLOOKUP($A81,'SegEnds_NonXtal_BW#'!$A:$Z,20,FALSE)+VLOOKUP($A81,A:AL,28,FALSE)-50)),"-",(VLOOKUP($A81,'SegEnds_NonXtal_BW#'!$A:$Z,20,FALSE)+VLOOKUP($A81,A:AL,28,FALSE)-50))</f>
        <v>229</v>
      </c>
      <c r="AD81" s="3">
        <f>IF(ISERROR(VLOOKUP($A81,'SegEnds_NonXtal_BW#'!$A:$Z,21,FALSE)+VLOOKUP($A81,A:AL,31,FALSE)-50),"-",(VLOOKUP($A81,'SegEnds_NonXtal_BW#'!$A:$Z,21,FALSE)+VLOOKUP($A81,A:AL,31,FALSE)-50))</f>
        <v>234</v>
      </c>
      <c r="AE81" s="3">
        <v>254</v>
      </c>
      <c r="AF81" s="3">
        <f>IF(ISERROR((VLOOKUP($A81,'SegEnds_NonXtal_BW#'!$A:$Z,22,FALSE)+VLOOKUP($A81,A:AL,31,FALSE)-50)),"-",(VLOOKUP($A81,'SegEnds_NonXtal_BW#'!$A:$Z,22,FALSE)+VLOOKUP($A81,A:AL,31,FALSE)-50))</f>
        <v>269</v>
      </c>
      <c r="AG81" s="3">
        <f>IF(ISERROR(VLOOKUP($A81,'SegEnds_NonXtal_BW#'!$A:$Z,23,FALSE)+VLOOKUP($A81,A:AL,34,FALSE)-50),"-",(VLOOKUP($A81,'SegEnds_NonXtal_BW#'!$A:$Z,23,FALSE)+VLOOKUP($A81,A:AL,34,FALSE)-50))</f>
        <v>272</v>
      </c>
      <c r="AH81" s="3">
        <v>298</v>
      </c>
      <c r="AI81" s="3">
        <f>IF(ISERROR((VLOOKUP($A81,'SegEnds_NonXtal_BW#'!$A:$Z,24,FALSE)+VLOOKUP($A81,A:AL,34,FALSE)-50)),"-",(VLOOKUP($A81,'SegEnds_NonXtal_BW#'!$A:$Z,24,FALSE)+VLOOKUP($A81,A:AL,34,FALSE)-50))</f>
        <v>304</v>
      </c>
      <c r="AJ81" s="3">
        <f>IF(ISERROR(VLOOKUP($A81,'SegEnds_NonXtal_BW#'!$A:$Z,25,FALSE)+VLOOKUP($A81,A:AL,37,FALSE)-50),"-",(VLOOKUP($A81,'SegEnds_NonXtal_BW#'!$A:$Z,25,FALSE)+VLOOKUP($A81,A:AL,37,FALSE)-50))</f>
        <v>305</v>
      </c>
      <c r="AK81" s="3">
        <v>308</v>
      </c>
      <c r="AL81" s="3">
        <f>IF(ISERROR((VLOOKUP($A81,'SegEnds_NonXtal_BW#'!$A:$Z,26,FALSE)+VLOOKUP($A81,A:AL,37,FALSE)-50)),"-",(VLOOKUP($A81,'SegEnds_NonXtal_BW#'!$A:$Z,26,FALSE)+VLOOKUP($A81,A:AL,37,FALSE)-50))</f>
        <v>317</v>
      </c>
      <c r="AM81" s="28" t="str">
        <f>VLOOKUP(A81,Classification!A:B,2,FALSE)</f>
        <v>A</v>
      </c>
      <c r="AN81" s="28" t="b">
        <f t="shared" si="55"/>
        <v>1</v>
      </c>
      <c r="AO81" s="3" t="str">
        <f>IF(ISERROR(MATCH(A81,'SegEnds_Xtal_Prot#'!B:B, 0)), "NoXtal", "Xtal")</f>
        <v>NoXtal</v>
      </c>
      <c r="AP81" s="3">
        <f t="shared" si="39"/>
        <v>1</v>
      </c>
      <c r="AQ81" s="3">
        <f t="shared" si="40"/>
        <v>1</v>
      </c>
      <c r="AR81" s="3">
        <f t="shared" si="41"/>
        <v>2</v>
      </c>
      <c r="AS81" s="3">
        <f t="shared" si="42"/>
        <v>1</v>
      </c>
      <c r="AT81" s="3">
        <f t="shared" si="43"/>
        <v>1</v>
      </c>
      <c r="AU81" s="3">
        <f t="shared" si="44"/>
        <v>1</v>
      </c>
      <c r="AV81" s="3">
        <f t="shared" si="45"/>
        <v>11</v>
      </c>
      <c r="AW81" s="3">
        <f t="shared" si="46"/>
        <v>6</v>
      </c>
      <c r="AX81" s="3">
        <f t="shared" si="47"/>
        <v>5</v>
      </c>
      <c r="AY81" s="3">
        <f t="shared" si="48"/>
        <v>3</v>
      </c>
      <c r="AZ81" s="3">
        <f t="shared" si="49"/>
        <v>1</v>
      </c>
      <c r="BA81" s="3">
        <f>IF(ISERROR(LEN(VLOOKUP(A81,Seqs!A:E,2,FALSE))-AL81),"-",LEN(VLOOKUP(A81,Seqs!A:E,2,FALSE))-AL81)</f>
        <v>38</v>
      </c>
      <c r="BB81" s="16">
        <f t="shared" si="50"/>
        <v>28</v>
      </c>
      <c r="BC81" s="9">
        <f t="shared" si="51"/>
        <v>20</v>
      </c>
      <c r="BD81" s="3">
        <f t="shared" si="52"/>
        <v>28</v>
      </c>
      <c r="BE81" s="3">
        <f t="shared" si="53"/>
        <v>43</v>
      </c>
    </row>
    <row r="82" spans="1:58" s="3" customFormat="1" x14ac:dyDescent="0.2">
      <c r="A82" s="3" t="s">
        <v>170</v>
      </c>
      <c r="B82" s="3" t="str">
        <f>LOWER(VLOOKUP(A82,Xtal_Templ!A:B,2,FALSE))</f>
        <v>ccr2_human</v>
      </c>
      <c r="C82" s="3">
        <f>VLOOKUP($A82,'SegEnds_NonXtal_BW#'!$A:$Z,3,FALSE)+D82-50</f>
        <v>37</v>
      </c>
      <c r="D82" s="3">
        <v>60</v>
      </c>
      <c r="E82" s="3">
        <f>IF(ISERROR(VLOOKUP($A82,'SegEnds_NonXtal_BW#'!$A:$Z,4,FALSE)+VLOOKUP($A82,A:AL,4,FALSE)-50),"-",(VLOOKUP($A82,'SegEnds_NonXtal_BW#'!$A:$Z,4,FALSE)+VLOOKUP($A82,A:AL,4,FALSE)-50))</f>
        <v>70</v>
      </c>
      <c r="F82" s="3">
        <f t="shared" si="59"/>
        <v>71</v>
      </c>
      <c r="G82" s="3">
        <v>73</v>
      </c>
      <c r="H82" s="3">
        <f t="shared" si="60"/>
        <v>74</v>
      </c>
      <c r="I82" s="3">
        <f t="shared" si="60"/>
        <v>75</v>
      </c>
      <c r="J82" s="3">
        <v>88</v>
      </c>
      <c r="K82" s="3">
        <f>VLOOKUP($A82,'SegEnds_NonXtal_BW#'!$A:$Z,8,FALSE)+VLOOKUP($A82,A:AL,10,FALSE)-50</f>
        <v>104</v>
      </c>
      <c r="L82" s="3">
        <f t="shared" si="56"/>
        <v>105</v>
      </c>
      <c r="M82" s="3">
        <v>106</v>
      </c>
      <c r="N82" s="3">
        <f t="shared" si="57"/>
        <v>108</v>
      </c>
      <c r="O82" s="3">
        <f t="shared" si="37"/>
        <v>109</v>
      </c>
      <c r="P82" s="3">
        <v>138</v>
      </c>
      <c r="Q82" s="3">
        <f>VLOOKUP($A82,'SegEnds_NonXtal_BW#'!$A:$Z,12,FALSE)+VLOOKUP($A82,A:AL,16,FALSE)-50</f>
        <v>144</v>
      </c>
      <c r="R82" s="3">
        <f>IF(ISERROR(VLOOKUP($A82,'SegEnds_NonXtal_BW#'!$A:$Z,13,FALSE)+VLOOKUP($A82,A:AL,19,FALSE)-50),"-",VLOOKUP($A82,'SegEnds_NonXtal_BW#'!$A:$Z,13,FALSE)+VLOOKUP($A82,A:AL,19,FALSE)-50)</f>
        <v>145</v>
      </c>
      <c r="S82" s="3">
        <v>145</v>
      </c>
      <c r="T82" s="100">
        <f>IF(ISERROR(VLOOKUP($A82,'SegEnds_NonXtal_BW#'!$A:$Z,14,FALSE)+VLOOKUP($A82,A:AL,19,FALSE)-50),"-",(VLOOKUP($A82,'SegEnds_NonXtal_BW#'!$A:$Z,14,FALSE)+VLOOKUP($A82,A:AL,19,FALSE)-50))</f>
        <v>152</v>
      </c>
      <c r="U82" s="9">
        <f>IF(ISERROR(VLOOKUP($A82,'SegEnds_NonXtal_BW#'!$A:$Z,15,FALSE)+VLOOKUP($A82,A:AL,22,FALSE)-50),"-",VLOOKUP($A82,'SegEnds_NonXtal_BW#'!$A:$Z,15,FALSE)+VLOOKUP($A82,A:AL,22,FALSE)-50)</f>
        <v>153</v>
      </c>
      <c r="V82" s="3">
        <v>165</v>
      </c>
      <c r="W82" s="3">
        <f>IF(ISERROR(VLOOKUP($A82,'SegEnds_NonXtal_BW#'!$A:$Z,16,FALSE)+VLOOKUP($A82,A:AL,22,FALSE)-50),"-",(VLOOKUP($A82,'SegEnds_NonXtal_BW#'!$A:$Z,16,FALSE)+VLOOKUP($A82,A:AL,22,FALSE)-50))</f>
        <v>179</v>
      </c>
      <c r="X82" s="3">
        <f>IF(ISERROR(VLOOKUP($A82,'SegEnds_NonXtal_BW#'!$A:$Z,17,FALSE)+VLOOKUP($A82,A:AL,25,FALSE)-50),"-",(VLOOKUP($A82,'SegEnds_NonXtal_BW#'!$A:$Z,17,FALSE)+VLOOKUP($A82,A:AL,25,FALSE)-50))</f>
        <v>190</v>
      </c>
      <c r="Y82" s="3">
        <v>190</v>
      </c>
      <c r="Z82" s="3">
        <f t="shared" si="38"/>
        <v>192</v>
      </c>
      <c r="AA82" s="3">
        <f>IF(ISERROR(VLOOKUP($A82,'SegEnds_NonXtal_BW#'!$A:$Z,19,FALSE)+VLOOKUP($A82,A:AL,28,FALSE)-50),"-",(VLOOKUP($A82,'SegEnds_NonXtal_BW#'!$A:$Z,19,FALSE)+VLOOKUP($A82,A:AL,28,FALSE)-50))</f>
        <v>195</v>
      </c>
      <c r="AB82" s="3">
        <v>214</v>
      </c>
      <c r="AC82" s="3">
        <f>IF(ISERROR((VLOOKUP($A82,'SegEnds_NonXtal_BW#'!$A:$Z,20,FALSE)+VLOOKUP($A82,A:AL,28,FALSE)-50)),"-",(VLOOKUP($A82,'SegEnds_NonXtal_BW#'!$A:$Z,20,FALSE)+VLOOKUP($A82,A:AL,28,FALSE)-50))</f>
        <v>232</v>
      </c>
      <c r="AD82" s="3">
        <f>IF(ISERROR(VLOOKUP($A82,'SegEnds_NonXtal_BW#'!$A:$Z,21,FALSE)+VLOOKUP($A82,A:AL,31,FALSE)-50),"-",(VLOOKUP($A82,'SegEnds_NonXtal_BW#'!$A:$Z,21,FALSE)+VLOOKUP($A82,A:AL,31,FALSE)-50))</f>
        <v>236</v>
      </c>
      <c r="AE82" s="3">
        <v>258</v>
      </c>
      <c r="AF82" s="3">
        <f>IF(ISERROR((VLOOKUP($A82,'SegEnds_NonXtal_BW#'!$A:$Z,22,FALSE)+VLOOKUP($A82,A:AL,31,FALSE)-50)),"-",(VLOOKUP($A82,'SegEnds_NonXtal_BW#'!$A:$Z,22,FALSE)+VLOOKUP($A82,A:AL,31,FALSE)-50))</f>
        <v>273</v>
      </c>
      <c r="AG82" s="3">
        <f>IF(ISERROR(VLOOKUP($A82,'SegEnds_NonXtal_BW#'!$A:$Z,23,FALSE)+VLOOKUP($A82,A:AL,34,FALSE)-50),"-",(VLOOKUP($A82,'SegEnds_NonXtal_BW#'!$A:$Z,23,FALSE)+VLOOKUP($A82,A:AL,34,FALSE)-50))</f>
        <v>276</v>
      </c>
      <c r="AH82" s="3">
        <v>302</v>
      </c>
      <c r="AI82" s="3">
        <f>IF(ISERROR((VLOOKUP($A82,'SegEnds_NonXtal_BW#'!$A:$Z,24,FALSE)+VLOOKUP($A82,A:AL,34,FALSE)-50)),"-",(VLOOKUP($A82,'SegEnds_NonXtal_BW#'!$A:$Z,24,FALSE)+VLOOKUP($A82,A:AL,34,FALSE)-50))</f>
        <v>308</v>
      </c>
      <c r="AJ82" s="3">
        <f>IF(ISERROR(VLOOKUP($A82,'SegEnds_NonXtal_BW#'!$A:$Z,25,FALSE)+VLOOKUP($A82,A:AL,37,FALSE)-50),"-",(VLOOKUP($A82,'SegEnds_NonXtal_BW#'!$A:$Z,25,FALSE)+VLOOKUP($A82,A:AL,37,FALSE)-50))</f>
        <v>309</v>
      </c>
      <c r="AK82" s="3">
        <v>312</v>
      </c>
      <c r="AL82" s="3">
        <f>IF(ISERROR((VLOOKUP($A82,'SegEnds_NonXtal_BW#'!$A:$Z,26,FALSE)+VLOOKUP($A82,A:AL,37,FALSE)-50)),"-",(VLOOKUP($A82,'SegEnds_NonXtal_BW#'!$A:$Z,26,FALSE)+VLOOKUP($A82,A:AL,37,FALSE)-50))</f>
        <v>320</v>
      </c>
      <c r="AM82" s="28" t="str">
        <f>VLOOKUP(A82,Classification!A:B,2,FALSE)</f>
        <v>A</v>
      </c>
      <c r="AN82" s="28" t="b">
        <f t="shared" si="55"/>
        <v>1</v>
      </c>
      <c r="AO82" s="3" t="str">
        <f>IF(ISERROR(MATCH(A82,'SegEnds_Xtal_Prot#'!B:B, 0)), "NoXtal", "Xtal")</f>
        <v>Xtal</v>
      </c>
      <c r="AP82" s="3">
        <f t="shared" si="39"/>
        <v>1</v>
      </c>
      <c r="AQ82" s="3">
        <f t="shared" si="40"/>
        <v>1</v>
      </c>
      <c r="AR82" s="3">
        <f t="shared" si="41"/>
        <v>1</v>
      </c>
      <c r="AS82" s="3">
        <f t="shared" si="42"/>
        <v>1</v>
      </c>
      <c r="AT82" s="3">
        <f t="shared" si="43"/>
        <v>1</v>
      </c>
      <c r="AU82" s="3">
        <f t="shared" si="44"/>
        <v>1</v>
      </c>
      <c r="AV82" s="3">
        <f t="shared" si="45"/>
        <v>11</v>
      </c>
      <c r="AW82" s="3">
        <f t="shared" si="46"/>
        <v>3</v>
      </c>
      <c r="AX82" s="3">
        <f t="shared" si="47"/>
        <v>4</v>
      </c>
      <c r="AY82" s="3">
        <f t="shared" si="48"/>
        <v>3</v>
      </c>
      <c r="AZ82" s="3">
        <f t="shared" si="49"/>
        <v>1</v>
      </c>
      <c r="BA82" s="3">
        <f>IF(ISERROR(LEN(VLOOKUP(A82,Seqs!A:E,2,FALSE))-AL82),"-",LEN(VLOOKUP(A82,Seqs!A:E,2,FALSE))-AL82)</f>
        <v>54</v>
      </c>
      <c r="BB82" s="16">
        <f t="shared" si="50"/>
        <v>28</v>
      </c>
      <c r="BC82" s="9">
        <f t="shared" si="51"/>
        <v>20</v>
      </c>
      <c r="BD82" s="3">
        <f t="shared" si="52"/>
        <v>28</v>
      </c>
      <c r="BE82" s="3">
        <f t="shared" si="53"/>
        <v>44</v>
      </c>
    </row>
    <row r="83" spans="1:58" s="3" customFormat="1" x14ac:dyDescent="0.2">
      <c r="A83" s="3" t="s">
        <v>171</v>
      </c>
      <c r="B83" s="3" t="str">
        <f>LOWER(VLOOKUP(A83,Xtal_Templ!A:B,2,FALSE))</f>
        <v>ccr5_human</v>
      </c>
      <c r="C83" s="3">
        <f>VLOOKUP($A83,'SegEnds_NonXtal_BW#'!$A:$Z,3,FALSE)+D83-50</f>
        <v>26</v>
      </c>
      <c r="D83" s="3">
        <v>52</v>
      </c>
      <c r="E83" s="3">
        <f>IF(ISERROR(VLOOKUP($A83,'SegEnds_NonXtal_BW#'!$A:$Z,4,FALSE)+VLOOKUP($A83,A:AL,4,FALSE)-50),"-",(VLOOKUP($A83,'SegEnds_NonXtal_BW#'!$A:$Z,4,FALSE)+VLOOKUP($A83,A:AL,4,FALSE)-50))</f>
        <v>62</v>
      </c>
      <c r="F83" s="3">
        <f t="shared" si="59"/>
        <v>63</v>
      </c>
      <c r="G83" s="3">
        <v>65</v>
      </c>
      <c r="H83" s="3">
        <f t="shared" si="60"/>
        <v>66</v>
      </c>
      <c r="I83" s="3">
        <f t="shared" si="60"/>
        <v>67</v>
      </c>
      <c r="J83" s="3">
        <v>80</v>
      </c>
      <c r="K83" s="3">
        <f>VLOOKUP($A83,'SegEnds_NonXtal_BW#'!$A:$Z,8,FALSE)+VLOOKUP($A83,A:AL,10,FALSE)-50</f>
        <v>96</v>
      </c>
      <c r="L83" s="3">
        <f t="shared" si="56"/>
        <v>98</v>
      </c>
      <c r="M83" s="3">
        <v>99</v>
      </c>
      <c r="N83" s="3">
        <f t="shared" si="57"/>
        <v>101</v>
      </c>
      <c r="O83" s="3">
        <f t="shared" si="37"/>
        <v>102</v>
      </c>
      <c r="P83" s="3">
        <v>131</v>
      </c>
      <c r="Q83" s="3">
        <f>VLOOKUP($A83,'SegEnds_NonXtal_BW#'!$A:$Z,12,FALSE)+VLOOKUP($A83,A:AL,16,FALSE)-50</f>
        <v>137</v>
      </c>
      <c r="R83" s="3">
        <f>IF(ISERROR(VLOOKUP($A83,'SegEnds_NonXtal_BW#'!$A:$Z,13,FALSE)+VLOOKUP($A83,A:AL,19,FALSE)-50),"-",VLOOKUP($A83,'SegEnds_NonXtal_BW#'!$A:$Z,13,FALSE)+VLOOKUP($A83,A:AL,19,FALSE)-50)</f>
        <v>138</v>
      </c>
      <c r="S83" s="3">
        <v>138</v>
      </c>
      <c r="T83" s="100">
        <f>IF(ISERROR(VLOOKUP($A83,'SegEnds_NonXtal_BW#'!$A:$Z,14,FALSE)+VLOOKUP($A83,A:AL,19,FALSE)-50),"-",(VLOOKUP($A83,'SegEnds_NonXtal_BW#'!$A:$Z,14,FALSE)+VLOOKUP($A83,A:AL,19,FALSE)-50))</f>
        <v>145</v>
      </c>
      <c r="U83" s="9">
        <f>IF(ISERROR(VLOOKUP($A83,'SegEnds_NonXtal_BW#'!$A:$Z,15,FALSE)+VLOOKUP($A83,A:AL,22,FALSE)-50),"-",VLOOKUP($A83,'SegEnds_NonXtal_BW#'!$A:$Z,15,FALSE)+VLOOKUP($A83,A:AL,22,FALSE)-50)</f>
        <v>146</v>
      </c>
      <c r="V83" s="3">
        <v>158</v>
      </c>
      <c r="W83" s="3">
        <f>IF(ISERROR(VLOOKUP($A83,'SegEnds_NonXtal_BW#'!$A:$Z,16,FALSE)+VLOOKUP($A83,A:AL,22,FALSE)-50),"-",(VLOOKUP($A83,'SegEnds_NonXtal_BW#'!$A:$Z,16,FALSE)+VLOOKUP($A83,A:AL,22,FALSE)-50))</f>
        <v>172</v>
      </c>
      <c r="X83" s="3">
        <f>IF(ISERROR(VLOOKUP($A83,'SegEnds_NonXtal_BW#'!$A:$Z,17,FALSE)+VLOOKUP($A83,A:AL,25,FALSE)-50),"-",(VLOOKUP($A83,'SegEnds_NonXtal_BW#'!$A:$Z,17,FALSE)+VLOOKUP($A83,A:AL,25,FALSE)-50))</f>
        <v>183</v>
      </c>
      <c r="Y83" s="3">
        <v>183</v>
      </c>
      <c r="Z83" s="3">
        <f t="shared" si="38"/>
        <v>185</v>
      </c>
      <c r="AA83" s="3">
        <f>IF(ISERROR(VLOOKUP($A83,'SegEnds_NonXtal_BW#'!$A:$Z,19,FALSE)+VLOOKUP($A83,A:AL,28,FALSE)-50),"-",(VLOOKUP($A83,'SegEnds_NonXtal_BW#'!$A:$Z,19,FALSE)+VLOOKUP($A83,A:AL,28,FALSE)-50))</f>
        <v>191</v>
      </c>
      <c r="AB83" s="3">
        <v>211</v>
      </c>
      <c r="AC83" s="3">
        <f>IF(ISERROR((VLOOKUP($A83,'SegEnds_NonXtal_BW#'!$A:$Z,20,FALSE)+VLOOKUP($A83,A:AL,28,FALSE)-50)),"-",(VLOOKUP($A83,'SegEnds_NonXtal_BW#'!$A:$Z,20,FALSE)+VLOOKUP($A83,A:AL,28,FALSE)-50))</f>
        <v>229</v>
      </c>
      <c r="AD83" s="3">
        <f>IF(ISERROR(VLOOKUP($A83,'SegEnds_NonXtal_BW#'!$A:$Z,21,FALSE)+VLOOKUP($A83,A:AL,31,FALSE)-50),"-",(VLOOKUP($A83,'SegEnds_NonXtal_BW#'!$A:$Z,21,FALSE)+VLOOKUP($A83,A:AL,31,FALSE)-50))</f>
        <v>234</v>
      </c>
      <c r="AE83" s="3">
        <v>254</v>
      </c>
      <c r="AF83" s="3">
        <f>IF(ISERROR((VLOOKUP($A83,'SegEnds_NonXtal_BW#'!$A:$Z,22,FALSE)+VLOOKUP($A83,A:AL,31,FALSE)-50)),"-",(VLOOKUP($A83,'SegEnds_NonXtal_BW#'!$A:$Z,22,FALSE)+VLOOKUP($A83,A:AL,31,FALSE)-50))</f>
        <v>269</v>
      </c>
      <c r="AG83" s="3">
        <f>IF(ISERROR(VLOOKUP($A83,'SegEnds_NonXtal_BW#'!$A:$Z,23,FALSE)+VLOOKUP($A83,A:AL,34,FALSE)-50),"-",(VLOOKUP($A83,'SegEnds_NonXtal_BW#'!$A:$Z,23,FALSE)+VLOOKUP($A83,A:AL,34,FALSE)-50))</f>
        <v>272</v>
      </c>
      <c r="AH83" s="3">
        <v>298</v>
      </c>
      <c r="AI83" s="3">
        <f>IF(ISERROR((VLOOKUP($A83,'SegEnds_NonXtal_BW#'!$A:$Z,24,FALSE)+VLOOKUP($A83,A:AL,34,FALSE)-50)),"-",(VLOOKUP($A83,'SegEnds_NonXtal_BW#'!$A:$Z,24,FALSE)+VLOOKUP($A83,A:AL,34,FALSE)-50))</f>
        <v>304</v>
      </c>
      <c r="AJ83" s="3">
        <f>IF(ISERROR(VLOOKUP($A83,'SegEnds_NonXtal_BW#'!$A:$Z,25,FALSE)+VLOOKUP($A83,A:AL,37,FALSE)-50),"-",(VLOOKUP($A83,'SegEnds_NonXtal_BW#'!$A:$Z,25,FALSE)+VLOOKUP($A83,A:AL,37,FALSE)-50))</f>
        <v>305</v>
      </c>
      <c r="AK83" s="3">
        <v>308</v>
      </c>
      <c r="AL83" s="3">
        <f>IF(ISERROR((VLOOKUP($A83,'SegEnds_NonXtal_BW#'!$A:$Z,26,FALSE)+VLOOKUP($A83,A:AL,37,FALSE)-50)),"-",(VLOOKUP($A83,'SegEnds_NonXtal_BW#'!$A:$Z,26,FALSE)+VLOOKUP($A83,A:AL,37,FALSE)-50))</f>
        <v>317</v>
      </c>
      <c r="AM83" s="28" t="str">
        <f>VLOOKUP(A83,Classification!A:B,2,FALSE)</f>
        <v>A</v>
      </c>
      <c r="AN83" s="28" t="b">
        <f t="shared" si="55"/>
        <v>1</v>
      </c>
      <c r="AO83" s="3" t="str">
        <f>IF(ISERROR(MATCH(A83,'SegEnds_Xtal_Prot#'!B:B, 0)), "NoXtal", "Xtal")</f>
        <v>NoXtal</v>
      </c>
      <c r="AP83" s="3">
        <f t="shared" si="39"/>
        <v>1</v>
      </c>
      <c r="AQ83" s="3">
        <f t="shared" si="40"/>
        <v>1</v>
      </c>
      <c r="AR83" s="3">
        <f t="shared" si="41"/>
        <v>2</v>
      </c>
      <c r="AS83" s="3">
        <f t="shared" si="42"/>
        <v>1</v>
      </c>
      <c r="AT83" s="3">
        <f t="shared" si="43"/>
        <v>1</v>
      </c>
      <c r="AU83" s="3">
        <f t="shared" si="44"/>
        <v>1</v>
      </c>
      <c r="AV83" s="3">
        <f t="shared" si="45"/>
        <v>11</v>
      </c>
      <c r="AW83" s="3">
        <f t="shared" si="46"/>
        <v>6</v>
      </c>
      <c r="AX83" s="3">
        <f t="shared" si="47"/>
        <v>5</v>
      </c>
      <c r="AY83" s="3">
        <f t="shared" si="48"/>
        <v>3</v>
      </c>
      <c r="AZ83" s="3">
        <f t="shared" si="49"/>
        <v>1</v>
      </c>
      <c r="BA83" s="3">
        <f>IF(ISERROR(LEN(VLOOKUP(A83,Seqs!A:E,2,FALSE))-AL83),"-",LEN(VLOOKUP(A83,Seqs!A:E,2,FALSE))-AL83)</f>
        <v>38</v>
      </c>
      <c r="BB83" s="16">
        <f t="shared" si="50"/>
        <v>28</v>
      </c>
      <c r="BC83" s="9">
        <f t="shared" si="51"/>
        <v>20</v>
      </c>
      <c r="BD83" s="3">
        <f t="shared" si="52"/>
        <v>28</v>
      </c>
      <c r="BE83" s="3">
        <f t="shared" si="53"/>
        <v>43</v>
      </c>
    </row>
    <row r="84" spans="1:58" s="3" customFormat="1" x14ac:dyDescent="0.2">
      <c r="A84" s="3" t="s">
        <v>172</v>
      </c>
      <c r="B84" s="3" t="str">
        <f>LOWER(VLOOKUP(A84,Xtal_Templ!A:B,2,FALSE))</f>
        <v>ccr5_human</v>
      </c>
      <c r="C84" s="3">
        <f>VLOOKUP($A84,'SegEnds_NonXtal_BW#'!$A:$Z,3,FALSE)+D84-50</f>
        <v>31</v>
      </c>
      <c r="D84" s="3">
        <v>57</v>
      </c>
      <c r="E84" s="3">
        <f>IF(ISERROR(VLOOKUP($A84,'SegEnds_NonXtal_BW#'!$A:$Z,4,FALSE)+VLOOKUP($A84,A:AL,4,FALSE)-50),"-",(VLOOKUP($A84,'SegEnds_NonXtal_BW#'!$A:$Z,4,FALSE)+VLOOKUP($A84,A:AL,4,FALSE)-50))</f>
        <v>67</v>
      </c>
      <c r="F84" s="3">
        <f t="shared" si="59"/>
        <v>68</v>
      </c>
      <c r="G84" s="3">
        <v>70</v>
      </c>
      <c r="H84" s="3">
        <f t="shared" si="60"/>
        <v>71</v>
      </c>
      <c r="I84" s="3">
        <f t="shared" si="60"/>
        <v>72</v>
      </c>
      <c r="J84" s="3">
        <v>85</v>
      </c>
      <c r="K84" s="3">
        <f>VLOOKUP($A84,'SegEnds_NonXtal_BW#'!$A:$Z,8,FALSE)+VLOOKUP($A84,A:AL,10,FALSE)-50</f>
        <v>101</v>
      </c>
      <c r="L84" s="3">
        <f t="shared" si="56"/>
        <v>102</v>
      </c>
      <c r="M84" s="3">
        <v>103</v>
      </c>
      <c r="N84" s="3">
        <f t="shared" si="57"/>
        <v>105</v>
      </c>
      <c r="O84" s="3">
        <f t="shared" si="37"/>
        <v>106</v>
      </c>
      <c r="P84" s="3">
        <v>135</v>
      </c>
      <c r="Q84" s="3">
        <f>VLOOKUP($A84,'SegEnds_NonXtal_BW#'!$A:$Z,12,FALSE)+VLOOKUP($A84,A:AL,16,FALSE)-50</f>
        <v>141</v>
      </c>
      <c r="R84" s="3">
        <f>IF(ISERROR(VLOOKUP($A84,'SegEnds_NonXtal_BW#'!$A:$Z,13,FALSE)+VLOOKUP($A84,A:AL,19,FALSE)-50),"-",VLOOKUP($A84,'SegEnds_NonXtal_BW#'!$A:$Z,13,FALSE)+VLOOKUP($A84,A:AL,19,FALSE)-50)</f>
        <v>142</v>
      </c>
      <c r="S84" s="3">
        <v>142</v>
      </c>
      <c r="T84" s="100">
        <f>IF(ISERROR(VLOOKUP($A84,'SegEnds_NonXtal_BW#'!$A:$Z,14,FALSE)+VLOOKUP($A84,A:AL,19,FALSE)-50),"-",(VLOOKUP($A84,'SegEnds_NonXtal_BW#'!$A:$Z,14,FALSE)+VLOOKUP($A84,A:AL,19,FALSE)-50))</f>
        <v>149</v>
      </c>
      <c r="U84" s="9">
        <f>IF(ISERROR(VLOOKUP($A84,'SegEnds_NonXtal_BW#'!$A:$Z,15,FALSE)+VLOOKUP($A84,A:AL,22,FALSE)-50),"-",VLOOKUP($A84,'SegEnds_NonXtal_BW#'!$A:$Z,15,FALSE)+VLOOKUP($A84,A:AL,22,FALSE)-50)</f>
        <v>150</v>
      </c>
      <c r="V84" s="3">
        <v>162</v>
      </c>
      <c r="W84" s="3">
        <f>IF(ISERROR(VLOOKUP($A84,'SegEnds_NonXtal_BW#'!$A:$Z,16,FALSE)+VLOOKUP($A84,A:AL,22,FALSE)-50),"-",(VLOOKUP($A84,'SegEnds_NonXtal_BW#'!$A:$Z,16,FALSE)+VLOOKUP($A84,A:AL,22,FALSE)-50))</f>
        <v>176</v>
      </c>
      <c r="X84" s="3">
        <f>IF(ISERROR(VLOOKUP($A84,'SegEnds_NonXtal_BW#'!$A:$Z,17,FALSE)+VLOOKUP($A84,A:AL,25,FALSE)-50),"-",(VLOOKUP($A84,'SegEnds_NonXtal_BW#'!$A:$Z,17,FALSE)+VLOOKUP($A84,A:AL,25,FALSE)-50))</f>
        <v>187</v>
      </c>
      <c r="Y84" s="3">
        <v>187</v>
      </c>
      <c r="Z84" s="3">
        <f t="shared" si="38"/>
        <v>189</v>
      </c>
      <c r="AA84" s="3">
        <f>IF(ISERROR(VLOOKUP($A84,'SegEnds_NonXtal_BW#'!$A:$Z,19,FALSE)+VLOOKUP($A84,A:AL,28,FALSE)-50),"-",(VLOOKUP($A84,'SegEnds_NonXtal_BW#'!$A:$Z,19,FALSE)+VLOOKUP($A84,A:AL,28,FALSE)-50))</f>
        <v>194</v>
      </c>
      <c r="AB84" s="3">
        <v>214</v>
      </c>
      <c r="AC84" s="3">
        <f>IF(ISERROR((VLOOKUP($A84,'SegEnds_NonXtal_BW#'!$A:$Z,20,FALSE)+VLOOKUP($A84,A:AL,28,FALSE)-50)),"-",(VLOOKUP($A84,'SegEnds_NonXtal_BW#'!$A:$Z,20,FALSE)+VLOOKUP($A84,A:AL,28,FALSE)-50))</f>
        <v>232</v>
      </c>
      <c r="AD84" s="3">
        <f>IF(ISERROR(VLOOKUP($A84,'SegEnds_NonXtal_BW#'!$A:$Z,21,FALSE)+VLOOKUP($A84,A:AL,31,FALSE)-50),"-",(VLOOKUP($A84,'SegEnds_NonXtal_BW#'!$A:$Z,21,FALSE)+VLOOKUP($A84,A:AL,31,FALSE)-50))</f>
        <v>237</v>
      </c>
      <c r="AE84" s="3">
        <v>257</v>
      </c>
      <c r="AF84" s="3">
        <f>IF(ISERROR((VLOOKUP($A84,'SegEnds_NonXtal_BW#'!$A:$Z,22,FALSE)+VLOOKUP($A84,A:AL,31,FALSE)-50)),"-",(VLOOKUP($A84,'SegEnds_NonXtal_BW#'!$A:$Z,22,FALSE)+VLOOKUP($A84,A:AL,31,FALSE)-50))</f>
        <v>272</v>
      </c>
      <c r="AG84" s="3">
        <f>IF(ISERROR(VLOOKUP($A84,'SegEnds_NonXtal_BW#'!$A:$Z,23,FALSE)+VLOOKUP($A84,A:AL,34,FALSE)-50),"-",(VLOOKUP($A84,'SegEnds_NonXtal_BW#'!$A:$Z,23,FALSE)+VLOOKUP($A84,A:AL,34,FALSE)-50))</f>
        <v>275</v>
      </c>
      <c r="AH84" s="3">
        <v>301</v>
      </c>
      <c r="AI84" s="3">
        <f>IF(ISERROR((VLOOKUP($A84,'SegEnds_NonXtal_BW#'!$A:$Z,24,FALSE)+VLOOKUP($A84,A:AL,34,FALSE)-50)),"-",(VLOOKUP($A84,'SegEnds_NonXtal_BW#'!$A:$Z,24,FALSE)+VLOOKUP($A84,A:AL,34,FALSE)-50))</f>
        <v>307</v>
      </c>
      <c r="AJ84" s="3">
        <f>IF(ISERROR(VLOOKUP($A84,'SegEnds_NonXtal_BW#'!$A:$Z,25,FALSE)+VLOOKUP($A84,A:AL,37,FALSE)-50),"-",(VLOOKUP($A84,'SegEnds_NonXtal_BW#'!$A:$Z,25,FALSE)+VLOOKUP($A84,A:AL,37,FALSE)-50))</f>
        <v>308</v>
      </c>
      <c r="AK84" s="3">
        <v>311</v>
      </c>
      <c r="AL84" s="3">
        <f>IF(ISERROR((VLOOKUP($A84,'SegEnds_NonXtal_BW#'!$A:$Z,26,FALSE)+VLOOKUP($A84,A:AL,37,FALSE)-50)),"-",(VLOOKUP($A84,'SegEnds_NonXtal_BW#'!$A:$Z,26,FALSE)+VLOOKUP($A84,A:AL,37,FALSE)-50))</f>
        <v>320</v>
      </c>
      <c r="AM84" s="28" t="str">
        <f>VLOOKUP(A84,Classification!A:B,2,FALSE)</f>
        <v>A</v>
      </c>
      <c r="AN84" s="28" t="b">
        <f t="shared" si="55"/>
        <v>1</v>
      </c>
      <c r="AO84" s="3" t="str">
        <f>IF(ISERROR(MATCH(A84,'SegEnds_Xtal_Prot#'!B:B, 0)), "NoXtal", "Xtal")</f>
        <v>NoXtal</v>
      </c>
      <c r="AP84" s="3">
        <f t="shared" si="39"/>
        <v>1</v>
      </c>
      <c r="AQ84" s="3">
        <f t="shared" si="40"/>
        <v>1</v>
      </c>
      <c r="AR84" s="3">
        <f t="shared" si="41"/>
        <v>1</v>
      </c>
      <c r="AS84" s="3">
        <f t="shared" si="42"/>
        <v>1</v>
      </c>
      <c r="AT84" s="3">
        <f t="shared" si="43"/>
        <v>1</v>
      </c>
      <c r="AU84" s="3">
        <f t="shared" si="44"/>
        <v>1</v>
      </c>
      <c r="AV84" s="3">
        <f t="shared" si="45"/>
        <v>11</v>
      </c>
      <c r="AW84" s="3">
        <f t="shared" si="46"/>
        <v>5</v>
      </c>
      <c r="AX84" s="3">
        <f t="shared" si="47"/>
        <v>5</v>
      </c>
      <c r="AY84" s="3">
        <f t="shared" si="48"/>
        <v>3</v>
      </c>
      <c r="AZ84" s="3">
        <f t="shared" si="49"/>
        <v>1</v>
      </c>
      <c r="BA84" s="3">
        <f>IF(ISERROR(LEN(VLOOKUP(A84,Seqs!A:E,2,FALSE))-AL84),"-",LEN(VLOOKUP(A84,Seqs!A:E,2,FALSE))-AL84)</f>
        <v>40</v>
      </c>
      <c r="BB84" s="16">
        <f t="shared" si="50"/>
        <v>28</v>
      </c>
      <c r="BC84" s="9">
        <f t="shared" si="51"/>
        <v>20</v>
      </c>
      <c r="BD84" s="3">
        <f t="shared" si="52"/>
        <v>28</v>
      </c>
      <c r="BE84" s="3">
        <f t="shared" si="53"/>
        <v>43</v>
      </c>
    </row>
    <row r="85" spans="1:58" s="3" customFormat="1" x14ac:dyDescent="0.2">
      <c r="A85" s="3" t="s">
        <v>173</v>
      </c>
      <c r="B85" s="3" t="str">
        <f>LOWER(VLOOKUP(A85,Xtal_Templ!A:B,2,FALSE))</f>
        <v>ccr5_human</v>
      </c>
      <c r="C85" s="3">
        <f>VLOOKUP($A85,'SegEnds_NonXtal_BW#'!$A:$Z,3,FALSE)+D85-50</f>
        <v>22</v>
      </c>
      <c r="D85" s="3">
        <v>48</v>
      </c>
      <c r="E85" s="3">
        <f>IF(ISERROR(VLOOKUP($A85,'SegEnds_NonXtal_BW#'!$A:$Z,4,FALSE)+VLOOKUP($A85,A:AL,4,FALSE)-50),"-",(VLOOKUP($A85,'SegEnds_NonXtal_BW#'!$A:$Z,4,FALSE)+VLOOKUP($A85,A:AL,4,FALSE)-50))</f>
        <v>58</v>
      </c>
      <c r="F85" s="3">
        <f t="shared" si="59"/>
        <v>59</v>
      </c>
      <c r="G85" s="3">
        <v>61</v>
      </c>
      <c r="H85" s="3">
        <f t="shared" si="60"/>
        <v>62</v>
      </c>
      <c r="I85" s="3">
        <f t="shared" si="60"/>
        <v>63</v>
      </c>
      <c r="J85" s="3">
        <v>76</v>
      </c>
      <c r="K85" s="3">
        <f>VLOOKUP($A85,'SegEnds_NonXtal_BW#'!$A:$Z,8,FALSE)+VLOOKUP($A85,A:AL,10,FALSE)-50</f>
        <v>92</v>
      </c>
      <c r="L85" s="3">
        <f t="shared" si="56"/>
        <v>93</v>
      </c>
      <c r="M85" s="3">
        <v>94</v>
      </c>
      <c r="N85" s="3">
        <f t="shared" si="57"/>
        <v>96</v>
      </c>
      <c r="O85" s="3">
        <f t="shared" si="37"/>
        <v>97</v>
      </c>
      <c r="P85" s="3">
        <v>126</v>
      </c>
      <c r="Q85" s="3">
        <f>VLOOKUP($A85,'SegEnds_NonXtal_BW#'!$A:$Z,12,FALSE)+VLOOKUP($A85,A:AL,16,FALSE)-50</f>
        <v>132</v>
      </c>
      <c r="R85" s="3">
        <f>IF(ISERROR(VLOOKUP($A85,'SegEnds_NonXtal_BW#'!$A:$Z,13,FALSE)+VLOOKUP($A85,A:AL,19,FALSE)-50),"-",VLOOKUP($A85,'SegEnds_NonXtal_BW#'!$A:$Z,13,FALSE)+VLOOKUP($A85,A:AL,19,FALSE)-50)</f>
        <v>133</v>
      </c>
      <c r="S85" s="3">
        <v>133</v>
      </c>
      <c r="T85" s="3">
        <f>IF(ISERROR(VLOOKUP($A85,'SegEnds_NonXtal_BW#'!$A:$Z,14,FALSE)+VLOOKUP($A85,A:AL,19,FALSE)-50),"-",(VLOOKUP($A85,'SegEnds_NonXtal_BW#'!$A:$Z,14,FALSE)+VLOOKUP($A85,A:AL,19,FALSE)-50))</f>
        <v>140</v>
      </c>
      <c r="U85" s="3">
        <f>IF(ISERROR(VLOOKUP($A85,'SegEnds_NonXtal_BW#'!$A:$Z,15,FALSE)+VLOOKUP($A85,A:AL,22,FALSE)-50),"-",VLOOKUP($A85,'SegEnds_NonXtal_BW#'!$A:$Z,15,FALSE)+VLOOKUP($A85,A:AL,22,FALSE)-50)</f>
        <v>141</v>
      </c>
      <c r="V85" s="3">
        <v>153</v>
      </c>
      <c r="W85" s="3">
        <f>IF(ISERROR(VLOOKUP($A85,'SegEnds_NonXtal_BW#'!$A:$Z,16,FALSE)+VLOOKUP($A85,A:AL,22,FALSE)-50),"-",(VLOOKUP($A85,'SegEnds_NonXtal_BW#'!$A:$Z,16,FALSE)+VLOOKUP($A85,A:AL,22,FALSE)-50))</f>
        <v>167</v>
      </c>
      <c r="X85" s="3">
        <f>IF(ISERROR(VLOOKUP($A85,'SegEnds_NonXtal_BW#'!$A:$Z,17,FALSE)+VLOOKUP($A85,A:AL,25,FALSE)-50),"-",(VLOOKUP($A85,'SegEnds_NonXtal_BW#'!$A:$Z,17,FALSE)+VLOOKUP($A85,A:AL,25,FALSE)-50))</f>
        <v>178</v>
      </c>
      <c r="Y85" s="3">
        <v>178</v>
      </c>
      <c r="Z85" s="3">
        <f t="shared" si="38"/>
        <v>180</v>
      </c>
      <c r="AA85" s="3">
        <f>IF(ISERROR(VLOOKUP($A85,'SegEnds_NonXtal_BW#'!$A:$Z,19,FALSE)+VLOOKUP($A85,A:AL,28,FALSE)-50),"-",(VLOOKUP($A85,'SegEnds_NonXtal_BW#'!$A:$Z,19,FALSE)+VLOOKUP($A85,A:AL,28,FALSE)-50))</f>
        <v>186</v>
      </c>
      <c r="AB85" s="3">
        <v>206</v>
      </c>
      <c r="AC85" s="3">
        <f>IF(ISERROR((VLOOKUP($A85,'SegEnds_NonXtal_BW#'!$A:$Z,20,FALSE)+VLOOKUP($A85,A:AL,28,FALSE)-50)),"-",(VLOOKUP($A85,'SegEnds_NonXtal_BW#'!$A:$Z,20,FALSE)+VLOOKUP($A85,A:AL,28,FALSE)-50))</f>
        <v>224</v>
      </c>
      <c r="AD85" s="3">
        <f>IF(ISERROR(VLOOKUP($A85,'SegEnds_NonXtal_BW#'!$A:$Z,21,FALSE)+VLOOKUP($A85,A:AL,31,FALSE)-50),"-",(VLOOKUP($A85,'SegEnds_NonXtal_BW#'!$A:$Z,21,FALSE)+VLOOKUP($A85,A:AL,31,FALSE)-50))</f>
        <v>228</v>
      </c>
      <c r="AE85" s="3">
        <v>250</v>
      </c>
      <c r="AF85" s="3">
        <f>IF(ISERROR((VLOOKUP($A85,'SegEnds_NonXtal_BW#'!$A:$Z,22,FALSE)+VLOOKUP($A85,A:AL,31,FALSE)-50)),"-",(VLOOKUP($A85,'SegEnds_NonXtal_BW#'!$A:$Z,22,FALSE)+VLOOKUP($A85,A:AL,31,FALSE)-50))</f>
        <v>265</v>
      </c>
      <c r="AG85" s="3">
        <f>IF(ISERROR(VLOOKUP($A85,'SegEnds_NonXtal_BW#'!$A:$Z,23,FALSE)+VLOOKUP($A85,A:AL,34,FALSE)-50),"-",(VLOOKUP($A85,'SegEnds_NonXtal_BW#'!$A:$Z,23,FALSE)+VLOOKUP($A85,A:AL,34,FALSE)-50))</f>
        <v>268</v>
      </c>
      <c r="AH85" s="3">
        <v>294</v>
      </c>
      <c r="AI85" s="3">
        <f>IF(ISERROR((VLOOKUP($A85,'SegEnds_NonXtal_BW#'!$A:$Z,24,FALSE)+VLOOKUP($A85,A:AL,34,FALSE)-50)),"-",(VLOOKUP($A85,'SegEnds_NonXtal_BW#'!$A:$Z,24,FALSE)+VLOOKUP($A85,A:AL,34,FALSE)-50))</f>
        <v>300</v>
      </c>
      <c r="AJ85" s="3">
        <f>IF(ISERROR(VLOOKUP($A85,'SegEnds_NonXtal_BW#'!$A:$Z,25,FALSE)+VLOOKUP($A85,A:AL,37,FALSE)-50),"-",(VLOOKUP($A85,'SegEnds_NonXtal_BW#'!$A:$Z,25,FALSE)+VLOOKUP($A85,A:AL,37,FALSE)-50))</f>
        <v>301</v>
      </c>
      <c r="AK85" s="3">
        <v>304</v>
      </c>
      <c r="AL85" s="3">
        <f>IF(ISERROR((VLOOKUP($A85,'SegEnds_NonXtal_BW#'!$A:$Z,26,FALSE)+VLOOKUP($A85,A:AL,37,FALSE)-50)),"-",(VLOOKUP($A85,'SegEnds_NonXtal_BW#'!$A:$Z,26,FALSE)+VLOOKUP($A85,A:AL,37,FALSE)-50))</f>
        <v>313</v>
      </c>
      <c r="AM85" s="28" t="str">
        <f>VLOOKUP(A85,Classification!A:B,2,FALSE)</f>
        <v>A</v>
      </c>
      <c r="AN85" s="28" t="b">
        <f t="shared" si="55"/>
        <v>1</v>
      </c>
      <c r="AO85" s="3" t="str">
        <f>IF(ISERROR(MATCH(A85,'SegEnds_Xtal_Prot#'!B:B, 0)), "NoXtal", "Xtal")</f>
        <v>Xtal</v>
      </c>
      <c r="AP85" s="3">
        <f t="shared" si="39"/>
        <v>1</v>
      </c>
      <c r="AQ85" s="3">
        <f t="shared" si="40"/>
        <v>1</v>
      </c>
      <c r="AR85" s="3">
        <f t="shared" si="41"/>
        <v>1</v>
      </c>
      <c r="AS85" s="3">
        <f t="shared" si="42"/>
        <v>1</v>
      </c>
      <c r="AT85" s="3">
        <f t="shared" si="43"/>
        <v>1</v>
      </c>
      <c r="AU85" s="3">
        <f t="shared" si="44"/>
        <v>1</v>
      </c>
      <c r="AV85" s="3">
        <f t="shared" si="45"/>
        <v>11</v>
      </c>
      <c r="AW85" s="3">
        <f t="shared" si="46"/>
        <v>6</v>
      </c>
      <c r="AX85" s="3">
        <f t="shared" si="47"/>
        <v>4</v>
      </c>
      <c r="AY85" s="3">
        <f t="shared" si="48"/>
        <v>3</v>
      </c>
      <c r="AZ85" s="3">
        <f t="shared" si="49"/>
        <v>1</v>
      </c>
      <c r="BA85" s="3">
        <f>IF(ISERROR(LEN(VLOOKUP(A85,Seqs!A:E,2,FALSE))-AL85),"-",LEN(VLOOKUP(A85,Seqs!A:E,2,FALSE))-AL85)</f>
        <v>39</v>
      </c>
      <c r="BB85" s="16">
        <f t="shared" si="50"/>
        <v>28</v>
      </c>
      <c r="BC85" s="3">
        <f t="shared" si="51"/>
        <v>20</v>
      </c>
      <c r="BD85" s="3">
        <f t="shared" si="52"/>
        <v>28</v>
      </c>
      <c r="BE85" s="3">
        <f t="shared" si="53"/>
        <v>44</v>
      </c>
    </row>
    <row r="86" spans="1:58" s="3" customFormat="1" x14ac:dyDescent="0.2">
      <c r="A86" s="3" t="s">
        <v>176</v>
      </c>
      <c r="B86" s="3" t="str">
        <f>LOWER(VLOOKUP(A86,Xtal_Templ!A:B,2,FALSE))</f>
        <v>ccr5_human</v>
      </c>
      <c r="C86" s="3">
        <f>VLOOKUP($A86,'SegEnds_NonXtal_BW#'!$A:$Z,3,FALSE)+D86-50</f>
        <v>27</v>
      </c>
      <c r="D86" s="3">
        <v>53</v>
      </c>
      <c r="E86" s="3">
        <f>IF(ISERROR(VLOOKUP($A86,'SegEnds_NonXtal_BW#'!$A:$Z,4,FALSE)+VLOOKUP($A86,A:AL,4,FALSE)-50),"-",(VLOOKUP($A86,'SegEnds_NonXtal_BW#'!$A:$Z,4,FALSE)+VLOOKUP($A86,A:AL,4,FALSE)-50))</f>
        <v>63</v>
      </c>
      <c r="F86" s="3">
        <f t="shared" si="59"/>
        <v>64</v>
      </c>
      <c r="G86" s="3">
        <v>66</v>
      </c>
      <c r="H86" s="3">
        <f t="shared" si="60"/>
        <v>67</v>
      </c>
      <c r="I86" s="3">
        <f t="shared" si="60"/>
        <v>68</v>
      </c>
      <c r="J86" s="3">
        <v>81</v>
      </c>
      <c r="K86" s="3">
        <f>VLOOKUP($A86,'SegEnds_NonXtal_BW#'!$A:$Z,8,FALSE)+VLOOKUP($A86,A:AL,10,FALSE)-50</f>
        <v>97</v>
      </c>
      <c r="L86" s="3">
        <f t="shared" si="56"/>
        <v>98</v>
      </c>
      <c r="M86" s="3">
        <v>99</v>
      </c>
      <c r="N86" s="3">
        <f t="shared" si="57"/>
        <v>101</v>
      </c>
      <c r="O86" s="3">
        <f t="shared" si="37"/>
        <v>102</v>
      </c>
      <c r="P86" s="3">
        <v>131</v>
      </c>
      <c r="Q86" s="3">
        <f>VLOOKUP($A86,'SegEnds_NonXtal_BW#'!$A:$Z,12,FALSE)+VLOOKUP($A86,A:AL,16,FALSE)-50</f>
        <v>137</v>
      </c>
      <c r="R86" s="3">
        <f>IF(ISERROR(VLOOKUP($A86,'SegEnds_NonXtal_BW#'!$A:$Z,13,FALSE)+VLOOKUP($A86,A:AL,19,FALSE)-50),"-",VLOOKUP($A86,'SegEnds_NonXtal_BW#'!$A:$Z,13,FALSE)+VLOOKUP($A86,A:AL,19,FALSE)-50)</f>
        <v>138</v>
      </c>
      <c r="S86" s="3">
        <v>138</v>
      </c>
      <c r="T86" s="100">
        <f>IF(ISERROR(VLOOKUP($A86,'SegEnds_NonXtal_BW#'!$A:$Z,14,FALSE)+VLOOKUP($A86,A:AL,19,FALSE)-50),"-",(VLOOKUP($A86,'SegEnds_NonXtal_BW#'!$A:$Z,14,FALSE)+VLOOKUP($A86,A:AL,19,FALSE)-50))</f>
        <v>145</v>
      </c>
      <c r="U86" s="9">
        <f>IF(ISERROR(VLOOKUP($A86,'SegEnds_NonXtal_BW#'!$A:$Z,15,FALSE)+VLOOKUP($A86,A:AL,22,FALSE)-50),"-",VLOOKUP($A86,'SegEnds_NonXtal_BW#'!$A:$Z,15,FALSE)+VLOOKUP($A86,A:AL,22,FALSE)-50)</f>
        <v>146</v>
      </c>
      <c r="V86" s="3">
        <v>158</v>
      </c>
      <c r="W86" s="3">
        <f>IF(ISERROR(VLOOKUP($A86,'SegEnds_NonXtal_BW#'!$A:$Z,16,FALSE)+VLOOKUP($A86,A:AL,22,FALSE)-50),"-",(VLOOKUP($A86,'SegEnds_NonXtal_BW#'!$A:$Z,16,FALSE)+VLOOKUP($A86,A:AL,22,FALSE)-50))</f>
        <v>172</v>
      </c>
      <c r="X86" s="3">
        <f>IF(ISERROR(VLOOKUP($A86,'SegEnds_NonXtal_BW#'!$A:$Z,17,FALSE)+VLOOKUP($A86,A:AL,25,FALSE)-50),"-",(VLOOKUP($A86,'SegEnds_NonXtal_BW#'!$A:$Z,17,FALSE)+VLOOKUP($A86,A:AL,25,FALSE)-50))</f>
        <v>183</v>
      </c>
      <c r="Y86" s="3">
        <v>183</v>
      </c>
      <c r="Z86" s="3">
        <f t="shared" si="38"/>
        <v>185</v>
      </c>
      <c r="AA86" s="3">
        <f>IF(ISERROR(VLOOKUP($A86,'SegEnds_NonXtal_BW#'!$A:$Z,19,FALSE)+VLOOKUP($A86,A:AL,28,FALSE)-50),"-",(VLOOKUP($A86,'SegEnds_NonXtal_BW#'!$A:$Z,19,FALSE)+VLOOKUP($A86,A:AL,28,FALSE)-50))</f>
        <v>190</v>
      </c>
      <c r="AB86" s="3">
        <v>210</v>
      </c>
      <c r="AC86" s="3">
        <f>IF(ISERROR((VLOOKUP($A86,'SegEnds_NonXtal_BW#'!$A:$Z,20,FALSE)+VLOOKUP($A86,A:AL,28,FALSE)-50)),"-",(VLOOKUP($A86,'SegEnds_NonXtal_BW#'!$A:$Z,20,FALSE)+VLOOKUP($A86,A:AL,28,FALSE)-50))</f>
        <v>228</v>
      </c>
      <c r="AD86" s="3">
        <f>IF(ISERROR(VLOOKUP($A86,'SegEnds_NonXtal_BW#'!$A:$Z,21,FALSE)+VLOOKUP($A86,A:AL,31,FALSE)-50),"-",(VLOOKUP($A86,'SegEnds_NonXtal_BW#'!$A:$Z,21,FALSE)+VLOOKUP($A86,A:AL,31,FALSE)-50))</f>
        <v>233</v>
      </c>
      <c r="AE86" s="3">
        <v>253</v>
      </c>
      <c r="AF86" s="3">
        <f>IF(ISERROR((VLOOKUP($A86,'SegEnds_NonXtal_BW#'!$A:$Z,22,FALSE)+VLOOKUP($A86,A:AL,31,FALSE)-50)),"-",(VLOOKUP($A86,'SegEnds_NonXtal_BW#'!$A:$Z,22,FALSE)+VLOOKUP($A86,A:AL,31,FALSE)-50))</f>
        <v>268</v>
      </c>
      <c r="AG86" s="3">
        <f>IF(ISERROR(VLOOKUP($A86,'SegEnds_NonXtal_BW#'!$A:$Z,23,FALSE)+VLOOKUP($A86,A:AL,34,FALSE)-50),"-",(VLOOKUP($A86,'SegEnds_NonXtal_BW#'!$A:$Z,23,FALSE)+VLOOKUP($A86,A:AL,34,FALSE)-50))</f>
        <v>271</v>
      </c>
      <c r="AH86" s="3">
        <v>297</v>
      </c>
      <c r="AI86" s="3">
        <f>IF(ISERROR((VLOOKUP($A86,'SegEnds_NonXtal_BW#'!$A:$Z,24,FALSE)+VLOOKUP($A86,A:AL,34,FALSE)-50)),"-",(VLOOKUP($A86,'SegEnds_NonXtal_BW#'!$A:$Z,24,FALSE)+VLOOKUP($A86,A:AL,34,FALSE)-50))</f>
        <v>303</v>
      </c>
      <c r="AJ86" s="3">
        <f>IF(ISERROR(VLOOKUP($A86,'SegEnds_NonXtal_BW#'!$A:$Z,25,FALSE)+VLOOKUP($A86,A:AL,37,FALSE)-50),"-",(VLOOKUP($A86,'SegEnds_NonXtal_BW#'!$A:$Z,25,FALSE)+VLOOKUP($A86,A:AL,37,FALSE)-50))</f>
        <v>304</v>
      </c>
      <c r="AK86" s="3">
        <v>307</v>
      </c>
      <c r="AL86" s="3">
        <f>IF(ISERROR((VLOOKUP($A86,'SegEnds_NonXtal_BW#'!$A:$Z,26,FALSE)+VLOOKUP($A86,A:AL,37,FALSE)-50)),"-",(VLOOKUP($A86,'SegEnds_NonXtal_BW#'!$A:$Z,26,FALSE)+VLOOKUP($A86,A:AL,37,FALSE)-50))</f>
        <v>316</v>
      </c>
      <c r="AM86" s="28" t="str">
        <f>VLOOKUP(A86,Classification!A:B,2,FALSE)</f>
        <v>A</v>
      </c>
      <c r="AN86" s="28" t="b">
        <f t="shared" si="55"/>
        <v>1</v>
      </c>
      <c r="AO86" s="3" t="str">
        <f>IF(ISERROR(MATCH(A86,'SegEnds_Xtal_Prot#'!B:B, 0)), "NoXtal", "Xtal")</f>
        <v>NoXtal</v>
      </c>
      <c r="AP86" s="3">
        <f t="shared" si="39"/>
        <v>1</v>
      </c>
      <c r="AQ86" s="3">
        <f t="shared" si="40"/>
        <v>1</v>
      </c>
      <c r="AR86" s="3">
        <f t="shared" si="41"/>
        <v>1</v>
      </c>
      <c r="AS86" s="3">
        <f t="shared" si="42"/>
        <v>1</v>
      </c>
      <c r="AT86" s="3">
        <f t="shared" si="43"/>
        <v>1</v>
      </c>
      <c r="AU86" s="3">
        <f t="shared" si="44"/>
        <v>1</v>
      </c>
      <c r="AV86" s="3">
        <f t="shared" si="45"/>
        <v>11</v>
      </c>
      <c r="AW86" s="3">
        <f t="shared" si="46"/>
        <v>5</v>
      </c>
      <c r="AX86" s="3">
        <f t="shared" si="47"/>
        <v>5</v>
      </c>
      <c r="AY86" s="3">
        <f t="shared" si="48"/>
        <v>3</v>
      </c>
      <c r="AZ86" s="3">
        <f t="shared" si="49"/>
        <v>1</v>
      </c>
      <c r="BA86" s="3">
        <f>IF(ISERROR(LEN(VLOOKUP(A86,Seqs!A:E,2,FALSE))-AL86),"-",LEN(VLOOKUP(A86,Seqs!A:E,2,FALSE))-AL86)</f>
        <v>39</v>
      </c>
      <c r="BB86" s="16">
        <f t="shared" si="50"/>
        <v>28</v>
      </c>
      <c r="BC86" s="9">
        <f t="shared" si="51"/>
        <v>20</v>
      </c>
      <c r="BD86" s="3">
        <f t="shared" si="52"/>
        <v>28</v>
      </c>
      <c r="BE86" s="3">
        <f t="shared" si="53"/>
        <v>43</v>
      </c>
    </row>
    <row r="87" spans="1:58" s="3" customFormat="1" x14ac:dyDescent="0.2">
      <c r="A87" s="3" t="s">
        <v>179</v>
      </c>
      <c r="B87" s="3" t="str">
        <f>LOWER(VLOOKUP(A87,Xtal_Templ!A:B,2,FALSE))</f>
        <v>p2ry1_human</v>
      </c>
      <c r="C87" s="3">
        <f>VLOOKUP($A87,'SegEnds_NonXtal_BW#'!$A:$Z,3,FALSE)+D87-50</f>
        <v>21</v>
      </c>
      <c r="D87" s="3">
        <v>41</v>
      </c>
      <c r="E87" s="3">
        <f>IF(ISERROR(VLOOKUP($A87,'SegEnds_NonXtal_BW#'!$A:$Z,4,FALSE)+VLOOKUP($A87,A:AL,4,FALSE)-50),"-",(VLOOKUP($A87,'SegEnds_NonXtal_BW#'!$A:$Z,4,FALSE)+VLOOKUP($A87,A:AL,4,FALSE)-50))</f>
        <v>51</v>
      </c>
      <c r="F87" s="3" t="str">
        <f>IF(ISERROR(VLOOKUP($A87,'SegEnds_NonXtal_BW#'!$A:$Z,5,FALSE)+VLOOKUP($A87,A:AL,7,FALSE)-50),"-",(VLOOKUP($A87,'SegEnds_NonXtal_BW#'!$A:$Z,5,FALSE)+VLOOKUP($A87,A:AL,7,FALSE)-50))</f>
        <v>-</v>
      </c>
      <c r="G87" s="3" t="s">
        <v>23</v>
      </c>
      <c r="H87" s="3" t="str">
        <f>IF(ISERROR(VLOOKUP($A87,'SegEnds_NonXtal_BW#'!$A:$Z,6,FALSE)+VLOOKUP($A87,A:AL,7,FALSE)-50),"-",(VLOOKUP($A87,'SegEnds_NonXtal_BW#'!$A:$Z,6,FALSE)+VLOOKUP($A87,A:AL,7,FALSE)-50))</f>
        <v>-</v>
      </c>
      <c r="I87" s="3">
        <f>VLOOKUP($A87,'SegEnds_NonXtal_BW#'!$A:$Z,7,FALSE)+J87-50</f>
        <v>56</v>
      </c>
      <c r="J87" s="3">
        <v>69</v>
      </c>
      <c r="K87" s="3">
        <f>VLOOKUP($A87,'SegEnds_NonXtal_BW#'!$A:$Z,8,FALSE)+VLOOKUP($A87,A:AL,10,FALSE)-50</f>
        <v>85</v>
      </c>
      <c r="L87" s="3">
        <f t="shared" si="56"/>
        <v>88</v>
      </c>
      <c r="M87" s="3">
        <v>89</v>
      </c>
      <c r="N87" s="3">
        <f t="shared" si="57"/>
        <v>91</v>
      </c>
      <c r="O87" s="3">
        <f t="shared" si="37"/>
        <v>92</v>
      </c>
      <c r="P87" s="3">
        <v>121</v>
      </c>
      <c r="Q87" s="3">
        <f>VLOOKUP($A87,'SegEnds_NonXtal_BW#'!$A:$Z,12,FALSE)+VLOOKUP($A87,A:AL,16,FALSE)-50</f>
        <v>127</v>
      </c>
      <c r="R87" s="3">
        <f>IF(ISERROR(VLOOKUP($A87,'SegEnds_NonXtal_BW#'!$A:$Z,13,FALSE)+VLOOKUP($A87,A:AL,19,FALSE)-50),"-",VLOOKUP($A87,'SegEnds_NonXtal_BW#'!$A:$Z,13,FALSE)+VLOOKUP($A87,A:AL,19,FALSE)-50)</f>
        <v>128</v>
      </c>
      <c r="S87" s="3">
        <v>128</v>
      </c>
      <c r="T87" s="100">
        <f>IF(ISERROR(VLOOKUP($A87,'SegEnds_NonXtal_BW#'!$A:$Z,14,FALSE)+VLOOKUP($A87,A:AL,19,FALSE)-50),"-",(VLOOKUP($A87,'SegEnds_NonXtal_BW#'!$A:$Z,14,FALSE)+VLOOKUP($A87,A:AL,19,FALSE)-50))</f>
        <v>135</v>
      </c>
      <c r="U87" s="9">
        <f>IF(ISERROR(VLOOKUP($A87,'SegEnds_NonXtal_BW#'!$A:$Z,15,FALSE)+VLOOKUP($A87,A:AL,22,FALSE)-50),"-",VLOOKUP($A87,'SegEnds_NonXtal_BW#'!$A:$Z,15,FALSE)+VLOOKUP($A87,A:AL,22,FALSE)-50)</f>
        <v>136</v>
      </c>
      <c r="V87" s="3">
        <v>148</v>
      </c>
      <c r="W87" s="3">
        <f>IF(ISERROR(VLOOKUP($A87,'SegEnds_NonXtal_BW#'!$A:$Z,16,FALSE)+VLOOKUP($A87,A:AL,22,FALSE)-50),"-",(VLOOKUP($A87,'SegEnds_NonXtal_BW#'!$A:$Z,16,FALSE)+VLOOKUP($A87,A:AL,22,FALSE)-50))</f>
        <v>162</v>
      </c>
      <c r="X87" s="3">
        <f>IF(ISERROR(VLOOKUP($A87,'SegEnds_NonXtal_BW#'!$A:$Z,17,FALSE)+VLOOKUP($A87,A:AL,25,FALSE)-50),"-",(VLOOKUP($A87,'SegEnds_NonXtal_BW#'!$A:$Z,17,FALSE)+VLOOKUP($A87,A:AL,25,FALSE)-50))</f>
        <v>173</v>
      </c>
      <c r="Y87" s="3">
        <v>173</v>
      </c>
      <c r="Z87" s="3">
        <f t="shared" si="38"/>
        <v>175</v>
      </c>
      <c r="AA87" s="3">
        <f>IF(ISERROR(VLOOKUP($A87,'SegEnds_NonXtal_BW#'!$A:$Z,19,FALSE)+VLOOKUP($A87,A:AL,28,FALSE)-50),"-",(VLOOKUP($A87,'SegEnds_NonXtal_BW#'!$A:$Z,19,FALSE)+VLOOKUP($A87,A:AL,28,FALSE)-50))</f>
        <v>183</v>
      </c>
      <c r="AB87" s="3">
        <v>201</v>
      </c>
      <c r="AC87" s="3">
        <f>IF(ISERROR((VLOOKUP($A87,'SegEnds_NonXtal_BW#'!$A:$Z,20,FALSE)+VLOOKUP($A87,A:AL,28,FALSE)-50)),"-",(VLOOKUP($A87,'SegEnds_NonXtal_BW#'!$A:$Z,20,FALSE)+VLOOKUP($A87,A:AL,28,FALSE)-50))</f>
        <v>218</v>
      </c>
      <c r="AD87" s="3">
        <f>IF(ISERROR(VLOOKUP($A87,'SegEnds_NonXtal_BW#'!$A:$Z,21,FALSE)+VLOOKUP($A87,A:AL,31,FALSE)-50),"-",(VLOOKUP($A87,'SegEnds_NonXtal_BW#'!$A:$Z,21,FALSE)+VLOOKUP($A87,A:AL,31,FALSE)-50))</f>
        <v>224</v>
      </c>
      <c r="AE87" s="3">
        <v>248</v>
      </c>
      <c r="AF87" s="3">
        <f>IF(ISERROR((VLOOKUP($A87,'SegEnds_NonXtal_BW#'!$A:$Z,22,FALSE)+VLOOKUP($A87,A:AL,31,FALSE)-50)),"-",(VLOOKUP($A87,'SegEnds_NonXtal_BW#'!$A:$Z,22,FALSE)+VLOOKUP($A87,A:AL,31,FALSE)-50))</f>
        <v>262</v>
      </c>
      <c r="AG87" s="3">
        <f>IF(ISERROR(VLOOKUP($A87,'SegEnds_NonXtal_BW#'!$A:$Z,23,FALSE)+VLOOKUP($A87,A:AL,34,FALSE)-50),"-",(VLOOKUP($A87,'SegEnds_NonXtal_BW#'!$A:$Z,23,FALSE)+VLOOKUP($A87,A:AL,34,FALSE)-50))</f>
        <v>266</v>
      </c>
      <c r="AH87" s="3">
        <v>292</v>
      </c>
      <c r="AI87" s="3">
        <f>IF(ISERROR((VLOOKUP($A87,'SegEnds_NonXtal_BW#'!$A:$Z,24,FALSE)+VLOOKUP($A87,A:AL,34,FALSE)-50)),"-",(VLOOKUP($A87,'SegEnds_NonXtal_BW#'!$A:$Z,24,FALSE)+VLOOKUP($A87,A:AL,34,FALSE)-50))</f>
        <v>298</v>
      </c>
      <c r="AJ87" s="3">
        <f>IF(ISERROR(VLOOKUP($A87,'SegEnds_NonXtal_BW#'!$A:$Z,25,FALSE)+VLOOKUP($A87,A:AL,37,FALSE)-50),"-",(VLOOKUP($A87,'SegEnds_NonXtal_BW#'!$A:$Z,25,FALSE)+VLOOKUP($A87,A:AL,37,FALSE)-50))</f>
        <v>299</v>
      </c>
      <c r="AK87" s="3">
        <v>302</v>
      </c>
      <c r="AL87" s="3">
        <f>IF(ISERROR((VLOOKUP($A87,'SegEnds_NonXtal_BW#'!$A:$Z,26,FALSE)+VLOOKUP($A87,A:AL,37,FALSE)-50)),"-",(VLOOKUP($A87,'SegEnds_NonXtal_BW#'!$A:$Z,26,FALSE)+VLOOKUP($A87,A:AL,37,FALSE)-50))</f>
        <v>311</v>
      </c>
      <c r="AM87" s="28" t="str">
        <f>VLOOKUP(A87,Classification!A:B,2,FALSE)</f>
        <v>A</v>
      </c>
      <c r="AN87" s="28" t="b">
        <f t="shared" si="55"/>
        <v>1</v>
      </c>
      <c r="AO87" s="3" t="str">
        <f>IF(ISERROR(MATCH(A87,'SegEnds_Xtal_Prot#'!B:B, 0)), "NoXtal", "Xtal")</f>
        <v>NoXtal</v>
      </c>
      <c r="AP87" s="3" t="str">
        <f t="shared" si="39"/>
        <v>-</v>
      </c>
      <c r="AQ87" s="3" t="str">
        <f t="shared" si="40"/>
        <v>-</v>
      </c>
      <c r="AR87" s="3">
        <f t="shared" si="41"/>
        <v>3</v>
      </c>
      <c r="AS87" s="3">
        <f t="shared" si="42"/>
        <v>1</v>
      </c>
      <c r="AT87" s="3">
        <f t="shared" si="43"/>
        <v>1</v>
      </c>
      <c r="AU87" s="3">
        <f t="shared" si="44"/>
        <v>1</v>
      </c>
      <c r="AV87" s="3">
        <f t="shared" si="45"/>
        <v>11</v>
      </c>
      <c r="AW87" s="3">
        <f t="shared" si="46"/>
        <v>8</v>
      </c>
      <c r="AX87" s="3">
        <f t="shared" si="47"/>
        <v>6</v>
      </c>
      <c r="AY87" s="3">
        <f t="shared" si="48"/>
        <v>4</v>
      </c>
      <c r="AZ87" s="3">
        <f t="shared" si="49"/>
        <v>1</v>
      </c>
      <c r="BA87" s="3">
        <f>IF(ISERROR(LEN(VLOOKUP(A87,Seqs!A:E,2,FALSE))-AL87),"-",LEN(VLOOKUP(A87,Seqs!A:E,2,FALSE))-AL87)</f>
        <v>26</v>
      </c>
      <c r="BB87" s="16">
        <f t="shared" si="50"/>
        <v>28</v>
      </c>
      <c r="BC87" s="9">
        <f t="shared" si="51"/>
        <v>20</v>
      </c>
      <c r="BD87" s="3">
        <f t="shared" si="52"/>
        <v>28</v>
      </c>
      <c r="BE87" s="3">
        <f t="shared" si="53"/>
        <v>47</v>
      </c>
      <c r="BF87" s="3">
        <f>AH87-AE87</f>
        <v>44</v>
      </c>
    </row>
    <row r="88" spans="1:58" s="3" customFormat="1" x14ac:dyDescent="0.2">
      <c r="A88" s="3" t="s">
        <v>180</v>
      </c>
      <c r="B88" s="3" t="str">
        <f>LOWER(VLOOKUP(A88,Xtal_Templ!A:B,2,FALSE))</f>
        <v>p2ry1_human</v>
      </c>
      <c r="C88" s="3">
        <f>VLOOKUP($A88,'SegEnds_NonXtal_BW#'!$A:$Z,3,FALSE)+D88-50</f>
        <v>36</v>
      </c>
      <c r="D88" s="3">
        <v>56</v>
      </c>
      <c r="E88" s="3">
        <f>IF(ISERROR(VLOOKUP($A88,'SegEnds_NonXtal_BW#'!$A:$Z,4,FALSE)+VLOOKUP($A88,A:AL,4,FALSE)-50),"-",(VLOOKUP($A88,'SegEnds_NonXtal_BW#'!$A:$Z,4,FALSE)+VLOOKUP($A88,A:AL,4,FALSE)-50))</f>
        <v>66</v>
      </c>
      <c r="F88" s="3" t="str">
        <f>IF(ISERROR(VLOOKUP($A88,'SegEnds_NonXtal_BW#'!$A:$Z,5,FALSE)+VLOOKUP($A88,A:AL,7,FALSE)-50),"-",(VLOOKUP($A88,'SegEnds_NonXtal_BW#'!$A:$Z,5,FALSE)+VLOOKUP($A88,A:AL,7,FALSE)-50))</f>
        <v>-</v>
      </c>
      <c r="G88" s="3" t="s">
        <v>23</v>
      </c>
      <c r="H88" s="3" t="str">
        <f>IF(ISERROR(VLOOKUP($A88,'SegEnds_NonXtal_BW#'!$A:$Z,6,FALSE)+VLOOKUP($A88,A:AL,7,FALSE)-50),"-",(VLOOKUP($A88,'SegEnds_NonXtal_BW#'!$A:$Z,6,FALSE)+VLOOKUP($A88,A:AL,7,FALSE)-50))</f>
        <v>-</v>
      </c>
      <c r="I88" s="3">
        <f>VLOOKUP($A88,'SegEnds_NonXtal_BW#'!$A:$Z,7,FALSE)+J88-50</f>
        <v>71</v>
      </c>
      <c r="J88" s="3">
        <v>84</v>
      </c>
      <c r="K88" s="3">
        <f>VLOOKUP($A88,'SegEnds_NonXtal_BW#'!$A:$Z,8,FALSE)+VLOOKUP($A88,A:AL,10,FALSE)-50</f>
        <v>100</v>
      </c>
      <c r="L88" s="3">
        <f t="shared" si="56"/>
        <v>103</v>
      </c>
      <c r="M88" s="3">
        <v>104</v>
      </c>
      <c r="N88" s="3">
        <f t="shared" si="57"/>
        <v>106</v>
      </c>
      <c r="O88" s="3">
        <f t="shared" si="37"/>
        <v>107</v>
      </c>
      <c r="P88" s="3">
        <v>136</v>
      </c>
      <c r="Q88" s="3">
        <f>VLOOKUP($A88,'SegEnds_NonXtal_BW#'!$A:$Z,12,FALSE)+VLOOKUP($A88,A:AL,16,FALSE)-50</f>
        <v>142</v>
      </c>
      <c r="R88" s="3">
        <f>IF(ISERROR(VLOOKUP($A88,'SegEnds_NonXtal_BW#'!$A:$Z,13,FALSE)+VLOOKUP($A88,A:AL,19,FALSE)-50),"-",VLOOKUP($A88,'SegEnds_NonXtal_BW#'!$A:$Z,13,FALSE)+VLOOKUP($A88,A:AL,19,FALSE)-50)</f>
        <v>143</v>
      </c>
      <c r="S88" s="3">
        <v>143</v>
      </c>
      <c r="T88" s="100">
        <f>IF(ISERROR(VLOOKUP($A88,'SegEnds_NonXtal_BW#'!$A:$Z,14,FALSE)+VLOOKUP($A88,A:AL,19,FALSE)-50),"-",(VLOOKUP($A88,'SegEnds_NonXtal_BW#'!$A:$Z,14,FALSE)+VLOOKUP($A88,A:AL,19,FALSE)-50))</f>
        <v>150</v>
      </c>
      <c r="U88" s="9">
        <f>IF(ISERROR(VLOOKUP($A88,'SegEnds_NonXtal_BW#'!$A:$Z,15,FALSE)+VLOOKUP($A88,A:AL,22,FALSE)-50),"-",VLOOKUP($A88,'SegEnds_NonXtal_BW#'!$A:$Z,15,FALSE)+VLOOKUP($A88,A:AL,22,FALSE)-50)</f>
        <v>151</v>
      </c>
      <c r="V88" s="3">
        <v>163</v>
      </c>
      <c r="W88" s="3">
        <f>IF(ISERROR(VLOOKUP($A88,'SegEnds_NonXtal_BW#'!$A:$Z,16,FALSE)+VLOOKUP($A88,A:AL,22,FALSE)-50),"-",(VLOOKUP($A88,'SegEnds_NonXtal_BW#'!$A:$Z,16,FALSE)+VLOOKUP($A88,A:AL,22,FALSE)-50))</f>
        <v>177</v>
      </c>
      <c r="X88" s="3">
        <f>IF(ISERROR(VLOOKUP($A88,'SegEnds_NonXtal_BW#'!$A:$Z,17,FALSE)+VLOOKUP($A88,A:AL,25,FALSE)-50),"-",(VLOOKUP($A88,'SegEnds_NonXtal_BW#'!$A:$Z,17,FALSE)+VLOOKUP($A88,A:AL,25,FALSE)-50))</f>
        <v>187</v>
      </c>
      <c r="Y88" s="3">
        <v>187</v>
      </c>
      <c r="Z88" s="3">
        <f t="shared" si="38"/>
        <v>189</v>
      </c>
      <c r="AA88" s="3">
        <f>IF(ISERROR(VLOOKUP($A88,'SegEnds_NonXtal_BW#'!$A:$Z,19,FALSE)+VLOOKUP($A88,A:AL,28,FALSE)-50),"-",(VLOOKUP($A88,'SegEnds_NonXtal_BW#'!$A:$Z,19,FALSE)+VLOOKUP($A88,A:AL,28,FALSE)-50))</f>
        <v>195</v>
      </c>
      <c r="AB88" s="3">
        <v>213</v>
      </c>
      <c r="AC88" s="3">
        <f>IF(ISERROR((VLOOKUP($A88,'SegEnds_NonXtal_BW#'!$A:$Z,20,FALSE)+VLOOKUP($A88,A:AL,28,FALSE)-50)),"-",(VLOOKUP($A88,'SegEnds_NonXtal_BW#'!$A:$Z,20,FALSE)+VLOOKUP($A88,A:AL,28,FALSE)-50))</f>
        <v>231</v>
      </c>
      <c r="AD88" s="3">
        <f>IF(ISERROR(VLOOKUP($A88,'SegEnds_NonXtal_BW#'!$A:$Z,21,FALSE)+VLOOKUP($A88,A:AL,31,FALSE)-50),"-",(VLOOKUP($A88,'SegEnds_NonXtal_BW#'!$A:$Z,21,FALSE)+VLOOKUP($A88,A:AL,31,FALSE)-50))</f>
        <v>236</v>
      </c>
      <c r="AE88" s="3">
        <v>262</v>
      </c>
      <c r="AF88" s="3">
        <f>IF(ISERROR((VLOOKUP($A88,'SegEnds_NonXtal_BW#'!$A:$Z,22,FALSE)+VLOOKUP($A88,A:AL,31,FALSE)-50)),"-",(VLOOKUP($A88,'SegEnds_NonXtal_BW#'!$A:$Z,22,FALSE)+VLOOKUP($A88,A:AL,31,FALSE)-50))</f>
        <v>273</v>
      </c>
      <c r="AG88" s="3">
        <f>IF(ISERROR(VLOOKUP($A88,'SegEnds_NonXtal_BW#'!$A:$Z,23,FALSE)+VLOOKUP($A88,A:AL,34,FALSE)-50),"-",(VLOOKUP($A88,'SegEnds_NonXtal_BW#'!$A:$Z,23,FALSE)+VLOOKUP($A88,A:AL,34,FALSE)-50))</f>
        <v>280</v>
      </c>
      <c r="AH88" s="3">
        <v>302</v>
      </c>
      <c r="AI88" s="3">
        <f>IF(ISERROR((VLOOKUP($A88,'SegEnds_NonXtal_BW#'!$A:$Z,24,FALSE)+VLOOKUP($A88,A:AL,34,FALSE)-50)),"-",(VLOOKUP($A88,'SegEnds_NonXtal_BW#'!$A:$Z,24,FALSE)+VLOOKUP($A88,A:AL,34,FALSE)-50))</f>
        <v>308</v>
      </c>
      <c r="AJ88" s="3">
        <f>IF(ISERROR(VLOOKUP($A88,'SegEnds_NonXtal_BW#'!$A:$Z,25,FALSE)+VLOOKUP($A88,A:AL,37,FALSE)-50),"-",(VLOOKUP($A88,'SegEnds_NonXtal_BW#'!$A:$Z,25,FALSE)+VLOOKUP($A88,A:AL,37,FALSE)-50))</f>
        <v>309</v>
      </c>
      <c r="AK88" s="3">
        <v>312</v>
      </c>
      <c r="AL88" s="3">
        <f>IF(ISERROR((VLOOKUP($A88,'SegEnds_NonXtal_BW#'!$A:$Z,26,FALSE)+VLOOKUP($A88,A:AL,37,FALSE)-50)),"-",(VLOOKUP($A88,'SegEnds_NonXtal_BW#'!$A:$Z,26,FALSE)+VLOOKUP($A88,A:AL,37,FALSE)-50))</f>
        <v>321</v>
      </c>
      <c r="AM88" s="28" t="str">
        <f>VLOOKUP(A88,Classification!A:B,2,FALSE)</f>
        <v>A</v>
      </c>
      <c r="AN88" s="28" t="b">
        <f t="shared" si="55"/>
        <v>1</v>
      </c>
      <c r="AO88" s="3" t="str">
        <f>IF(ISERROR(MATCH(A88,'SegEnds_Xtal_Prot#'!B:B, 0)), "NoXtal", "Xtal")</f>
        <v>NoXtal</v>
      </c>
      <c r="AP88" s="3" t="str">
        <f t="shared" si="39"/>
        <v>-</v>
      </c>
      <c r="AQ88" s="3" t="str">
        <f t="shared" si="40"/>
        <v>-</v>
      </c>
      <c r="AR88" s="3">
        <f t="shared" si="41"/>
        <v>3</v>
      </c>
      <c r="AS88" s="3">
        <f t="shared" si="42"/>
        <v>1</v>
      </c>
      <c r="AT88" s="3">
        <f t="shared" si="43"/>
        <v>1</v>
      </c>
      <c r="AU88" s="3">
        <f t="shared" si="44"/>
        <v>1</v>
      </c>
      <c r="AV88" s="3">
        <f t="shared" si="45"/>
        <v>10</v>
      </c>
      <c r="AW88" s="3">
        <f t="shared" si="46"/>
        <v>6</v>
      </c>
      <c r="AX88" s="3">
        <f t="shared" si="47"/>
        <v>5</v>
      </c>
      <c r="AY88" s="3">
        <f t="shared" si="48"/>
        <v>7</v>
      </c>
      <c r="AZ88" s="3">
        <f t="shared" si="49"/>
        <v>1</v>
      </c>
      <c r="BA88" s="3">
        <f>IF(ISERROR(LEN(VLOOKUP(A88,Seqs!A:E,2,FALSE))-AL88),"-",LEN(VLOOKUP(A88,Seqs!A:E,2,FALSE))-AL88)</f>
        <v>25</v>
      </c>
      <c r="BB88" s="16">
        <f t="shared" si="50"/>
        <v>28</v>
      </c>
      <c r="BC88" s="9">
        <f t="shared" si="51"/>
        <v>20</v>
      </c>
      <c r="BD88" s="3">
        <f t="shared" si="52"/>
        <v>28</v>
      </c>
      <c r="BE88" s="3">
        <f t="shared" si="53"/>
        <v>49</v>
      </c>
      <c r="BF88" s="3">
        <f>AH88-AE88</f>
        <v>40</v>
      </c>
    </row>
    <row r="89" spans="1:58" s="3" customFormat="1" x14ac:dyDescent="0.2">
      <c r="A89" s="3" t="s">
        <v>181</v>
      </c>
      <c r="B89" s="3" t="str">
        <f>LOWER(VLOOKUP(A89,Xtal_Templ!A:B,2,FALSE))</f>
        <v>agtr1_human</v>
      </c>
      <c r="C89" s="3">
        <f>VLOOKUP($A89,'SegEnds_NonXtal_BW#'!$A:$Z,3,FALSE)+D89-50</f>
        <v>38</v>
      </c>
      <c r="D89" s="3">
        <v>58</v>
      </c>
      <c r="E89" s="3">
        <f>IF(ISERROR(VLOOKUP($A89,'SegEnds_NonXtal_BW#'!$A:$Z,4,FALSE)+VLOOKUP($A89,A:AL,4,FALSE)-50),"-",(VLOOKUP($A89,'SegEnds_NonXtal_BW#'!$A:$Z,4,FALSE)+VLOOKUP($A89,A:AL,4,FALSE)-50))</f>
        <v>68</v>
      </c>
      <c r="F89" s="3" t="str">
        <f>IF(ISERROR(VLOOKUP($A89,'SegEnds_NonXtal_BW#'!$A:$Z,5,FALSE)+VLOOKUP($A89,A:AL,7,FALSE)-50),"-",(VLOOKUP($A89,'SegEnds_NonXtal_BW#'!$A:$Z,5,FALSE)+VLOOKUP($A89,A:AL,7,FALSE)-50))</f>
        <v>-</v>
      </c>
      <c r="G89" s="3" t="s">
        <v>23</v>
      </c>
      <c r="H89" s="3" t="str">
        <f>IF(ISERROR(VLOOKUP($A89,'SegEnds_NonXtal_BW#'!$A:$Z,6,FALSE)+VLOOKUP($A89,A:AL,7,FALSE)-50),"-",(VLOOKUP($A89,'SegEnds_NonXtal_BW#'!$A:$Z,6,FALSE)+VLOOKUP($A89,A:AL,7,FALSE)-50))</f>
        <v>-</v>
      </c>
      <c r="I89" s="3">
        <f>VLOOKUP($A89,'SegEnds_NonXtal_BW#'!$A:$Z,7,FALSE)+J89-50</f>
        <v>72</v>
      </c>
      <c r="J89" s="3">
        <v>85</v>
      </c>
      <c r="K89" s="3">
        <f>VLOOKUP($A89,'SegEnds_NonXtal_BW#'!$A:$Z,8,FALSE)+VLOOKUP($A89,A:AL,10,FALSE)-50</f>
        <v>101</v>
      </c>
      <c r="L89" s="3">
        <f t="shared" si="56"/>
        <v>104</v>
      </c>
      <c r="M89" s="3">
        <v>105</v>
      </c>
      <c r="N89" s="3">
        <f t="shared" si="57"/>
        <v>107</v>
      </c>
      <c r="O89" s="3">
        <f t="shared" si="37"/>
        <v>108</v>
      </c>
      <c r="P89" s="3">
        <v>137</v>
      </c>
      <c r="Q89" s="3">
        <f>VLOOKUP($A89,'SegEnds_NonXtal_BW#'!$A:$Z,12,FALSE)+VLOOKUP($A89,A:AL,16,FALSE)-50</f>
        <v>143</v>
      </c>
      <c r="R89" s="3">
        <f>IF(ISERROR(VLOOKUP($A89,'SegEnds_NonXtal_BW#'!$A:$Z,13,FALSE)+VLOOKUP($A89,A:AL,19,FALSE)-50),"-",VLOOKUP($A89,'SegEnds_NonXtal_BW#'!$A:$Z,13,FALSE)+VLOOKUP($A89,A:AL,19,FALSE)-50)</f>
        <v>144</v>
      </c>
      <c r="S89" s="3">
        <v>144</v>
      </c>
      <c r="T89" s="100">
        <f>IF(ISERROR(VLOOKUP($A89,'SegEnds_NonXtal_BW#'!$A:$Z,14,FALSE)+VLOOKUP($A89,A:AL,19,FALSE)-50),"-",(VLOOKUP($A89,'SegEnds_NonXtal_BW#'!$A:$Z,14,FALSE)+VLOOKUP($A89,A:AL,19,FALSE)-50))</f>
        <v>151</v>
      </c>
      <c r="U89" s="9">
        <f>IF(ISERROR(VLOOKUP($A89,'SegEnds_NonXtal_BW#'!$A:$Z,15,FALSE)+VLOOKUP($A89,A:AL,22,FALSE)-50),"-",VLOOKUP($A89,'SegEnds_NonXtal_BW#'!$A:$Z,15,FALSE)+VLOOKUP($A89,A:AL,22,FALSE)-50)</f>
        <v>152</v>
      </c>
      <c r="V89" s="3">
        <v>164</v>
      </c>
      <c r="W89" s="3">
        <f>IF(ISERROR(VLOOKUP($A89,'SegEnds_NonXtal_BW#'!$A:$Z,16,FALSE)+VLOOKUP($A89,A:AL,22,FALSE)-50),"-",(VLOOKUP($A89,'SegEnds_NonXtal_BW#'!$A:$Z,16,FALSE)+VLOOKUP($A89,A:AL,22,FALSE)-50))</f>
        <v>178</v>
      </c>
      <c r="X89" s="3">
        <f>IF(ISERROR(VLOOKUP($A89,'SegEnds_NonXtal_BW#'!$A:$Z,17,FALSE)+VLOOKUP($A89,A:AL,25,FALSE)-50),"-",(VLOOKUP($A89,'SegEnds_NonXtal_BW#'!$A:$Z,17,FALSE)+VLOOKUP($A89,A:AL,25,FALSE)-50))</f>
        <v>189</v>
      </c>
      <c r="Y89" s="3">
        <v>189</v>
      </c>
      <c r="Z89" s="3">
        <f t="shared" si="38"/>
        <v>191</v>
      </c>
      <c r="AA89" s="3">
        <f>IF(ISERROR(VLOOKUP($A89,'SegEnds_NonXtal_BW#'!$A:$Z,19,FALSE)+VLOOKUP($A89,A:AL,28,FALSE)-50),"-",(VLOOKUP($A89,'SegEnds_NonXtal_BW#'!$A:$Z,19,FALSE)+VLOOKUP($A89,A:AL,28,FALSE)-50))</f>
        <v>216</v>
      </c>
      <c r="AB89" s="3">
        <v>232</v>
      </c>
      <c r="AC89" s="3">
        <f>IF(ISERROR((VLOOKUP($A89,'SegEnds_NonXtal_BW#'!$A:$Z,20,FALSE)+VLOOKUP($A89,A:AL,28,FALSE)-50)),"-",(VLOOKUP($A89,'SegEnds_NonXtal_BW#'!$A:$Z,20,FALSE)+VLOOKUP($A89,A:AL,28,FALSE)-50))</f>
        <v>250</v>
      </c>
      <c r="AD89" s="3">
        <f>IF(ISERROR(VLOOKUP($A89,'SegEnds_NonXtal_BW#'!$A:$Z,21,FALSE)+VLOOKUP($A89,A:AL,31,FALSE)-50),"-",(VLOOKUP($A89,'SegEnds_NonXtal_BW#'!$A:$Z,21,FALSE)+VLOOKUP($A89,A:AL,31,FALSE)-50))</f>
        <v>255</v>
      </c>
      <c r="AE89" s="3">
        <v>275</v>
      </c>
      <c r="AF89" s="3">
        <f>IF(ISERROR((VLOOKUP($A89,'SegEnds_NonXtal_BW#'!$A:$Z,22,FALSE)+VLOOKUP($A89,A:AL,31,FALSE)-50)),"-",(VLOOKUP($A89,'SegEnds_NonXtal_BW#'!$A:$Z,22,FALSE)+VLOOKUP($A89,A:AL,31,FALSE)-50))</f>
        <v>286</v>
      </c>
      <c r="AG89" s="3">
        <f>IF(ISERROR(VLOOKUP($A89,'SegEnds_NonXtal_BW#'!$A:$Z,23,FALSE)+VLOOKUP($A89,A:AL,34,FALSE)-50),"-",(VLOOKUP($A89,'SegEnds_NonXtal_BW#'!$A:$Z,23,FALSE)+VLOOKUP($A89,A:AL,34,FALSE)-50))</f>
        <v>291</v>
      </c>
      <c r="AH89" s="3">
        <v>313</v>
      </c>
      <c r="AI89" s="3">
        <f>IF(ISERROR((VLOOKUP($A89,'SegEnds_NonXtal_BW#'!$A:$Z,24,FALSE)+VLOOKUP($A89,A:AL,34,FALSE)-50)),"-",(VLOOKUP($A89,'SegEnds_NonXtal_BW#'!$A:$Z,24,FALSE)+VLOOKUP($A89,A:AL,34,FALSE)-50))</f>
        <v>319</v>
      </c>
      <c r="AJ89" s="3">
        <f>IF(ISERROR(VLOOKUP($A89,'SegEnds_NonXtal_BW#'!$A:$Z,25,FALSE)+VLOOKUP($A89,A:AL,37,FALSE)-50),"-",(VLOOKUP($A89,'SegEnds_NonXtal_BW#'!$A:$Z,25,FALSE)+VLOOKUP($A89,A:AL,37,FALSE)-50))</f>
        <v>320</v>
      </c>
      <c r="AK89" s="3">
        <v>323</v>
      </c>
      <c r="AL89" s="3">
        <f>IF(ISERROR((VLOOKUP($A89,'SegEnds_NonXtal_BW#'!$A:$Z,26,FALSE)+VLOOKUP($A89,A:AL,37,FALSE)-50)),"-",(VLOOKUP($A89,'SegEnds_NonXtal_BW#'!$A:$Z,26,FALSE)+VLOOKUP($A89,A:AL,37,FALSE)-50))</f>
        <v>334</v>
      </c>
      <c r="AM89" s="28" t="str">
        <f>VLOOKUP(A89,Classification!A:B,2,FALSE)</f>
        <v>A</v>
      </c>
      <c r="AN89" s="28" t="b">
        <f t="shared" si="55"/>
        <v>1</v>
      </c>
      <c r="AO89" s="3" t="str">
        <f>IF(ISERROR(MATCH(A89,'SegEnds_Xtal_Prot#'!B:B, 0)), "NoXtal", "Xtal")</f>
        <v>NoXtal</v>
      </c>
      <c r="AP89" s="3" t="str">
        <f t="shared" si="39"/>
        <v>-</v>
      </c>
      <c r="AQ89" s="3" t="str">
        <f t="shared" si="40"/>
        <v>-</v>
      </c>
      <c r="AR89" s="3">
        <f t="shared" si="41"/>
        <v>3</v>
      </c>
      <c r="AS89" s="3">
        <f t="shared" si="42"/>
        <v>1</v>
      </c>
      <c r="AT89" s="3">
        <f t="shared" si="43"/>
        <v>1</v>
      </c>
      <c r="AU89" s="3">
        <f t="shared" si="44"/>
        <v>1</v>
      </c>
      <c r="AV89" s="3">
        <f t="shared" si="45"/>
        <v>11</v>
      </c>
      <c r="AW89" s="3">
        <f t="shared" si="46"/>
        <v>25</v>
      </c>
      <c r="AX89" s="3">
        <f t="shared" si="47"/>
        <v>5</v>
      </c>
      <c r="AY89" s="3">
        <f t="shared" si="48"/>
        <v>5</v>
      </c>
      <c r="AZ89" s="3">
        <f t="shared" si="49"/>
        <v>1</v>
      </c>
      <c r="BA89" s="3">
        <f>IF(ISERROR(LEN(VLOOKUP(A89,Seqs!A:E,2,FALSE))-AL89),"-",LEN(VLOOKUP(A89,Seqs!A:E,2,FALSE))-AL89)</f>
        <v>39</v>
      </c>
      <c r="BB89" s="16">
        <f t="shared" si="50"/>
        <v>27</v>
      </c>
      <c r="BC89" s="9">
        <f t="shared" si="51"/>
        <v>20</v>
      </c>
      <c r="BD89" s="3">
        <f t="shared" si="52"/>
        <v>27</v>
      </c>
      <c r="BE89" s="3">
        <f t="shared" si="53"/>
        <v>43</v>
      </c>
    </row>
    <row r="90" spans="1:58" s="3" customFormat="1" x14ac:dyDescent="0.2">
      <c r="A90" s="3" t="s">
        <v>182</v>
      </c>
      <c r="B90" s="3" t="str">
        <f>LOWER(VLOOKUP(A90,Xtal_Templ!A:B,2,FALSE))</f>
        <v>cnr1_human</v>
      </c>
      <c r="C90" s="3">
        <f>VLOOKUP($A90,'SegEnds_NonXtal_BW#'!$A:$Z,3,FALSE)+D90-50</f>
        <v>112</v>
      </c>
      <c r="D90" s="3">
        <v>134</v>
      </c>
      <c r="E90" s="3">
        <f>IF(ISERROR(VLOOKUP($A90,'SegEnds_NonXtal_BW#'!$A:$Z,4,FALSE)+VLOOKUP($A90,A:AL,4,FALSE)-50),"-",(VLOOKUP($A90,'SegEnds_NonXtal_BW#'!$A:$Z,4,FALSE)+VLOOKUP($A90,A:AL,4,FALSE)-50))</f>
        <v>144</v>
      </c>
      <c r="F90" s="3">
        <f t="shared" ref="F90:F101" si="61">G90-2</f>
        <v>145</v>
      </c>
      <c r="G90" s="3">
        <v>147</v>
      </c>
      <c r="H90" s="3">
        <f t="shared" ref="H90:H98" si="62">G90+1</f>
        <v>148</v>
      </c>
      <c r="I90" s="3">
        <f>VLOOKUP($A90,'SegEnds_NonXtal_BW#'!$A:$Z,7,FALSE)+J90-50</f>
        <v>150</v>
      </c>
      <c r="J90" s="3">
        <v>163</v>
      </c>
      <c r="K90" s="3">
        <f>VLOOKUP($A90,'SegEnds_NonXtal_BW#'!$A:$Z,8,FALSE)+VLOOKUP($A90,A:AL,10,FALSE)-50</f>
        <v>179</v>
      </c>
      <c r="L90" s="3" t="str">
        <f>IF(ISERROR(VLOOKUP($A90,'SegEnds_NonXtal_BW#'!$A:$Z,9,FALSE)+VLOOKUP($A90,A:AL,13,FALSE)-50),"-",(VLOOKUP($A90,'SegEnds_NonXtal_BW#'!$A:$Z,9,FALSE)+VLOOKUP($A90,A:AL,13,FALSE)-50))</f>
        <v>-</v>
      </c>
      <c r="M90" s="3" t="s">
        <v>23</v>
      </c>
      <c r="N90" s="3" t="str">
        <f>IF(ISERROR(VLOOKUP($A90,'SegEnds_NonXtal_BW#'!$A:$Z,10,FALSE)+VLOOKUP($A90,A:AL,13,FALSE)-50),"-",(VLOOKUP($A90,'SegEnds_NonXtal_BW#'!$A:$Z,10,FALSE)+VLOOKUP($A90,A:AL,13,FALSE)-50))</f>
        <v>-</v>
      </c>
      <c r="O90" s="3">
        <f>VLOOKUP($A90,'SegEnds_NonXtal_BW#'!$A:$Z,11,FALSE)+VLOOKUP($A90,A:AL,16,FALSE)-50</f>
        <v>185</v>
      </c>
      <c r="P90" s="3">
        <v>214</v>
      </c>
      <c r="Q90" s="3">
        <f>VLOOKUP($A90,'SegEnds_NonXtal_BW#'!$A:$Z,12,FALSE)+VLOOKUP($A90,A:AL,16,FALSE)-50</f>
        <v>220</v>
      </c>
      <c r="R90" s="3">
        <f>S90</f>
        <v>221</v>
      </c>
      <c r="S90" s="3">
        <v>221</v>
      </c>
      <c r="T90" s="100">
        <f>S90+7</f>
        <v>228</v>
      </c>
      <c r="U90" s="9">
        <f>IF(ISERROR(VLOOKUP($A90,'SegEnds_NonXtal_BW#'!$A:$Z,15,FALSE)+VLOOKUP($A90,A:AL,22,FALSE)-50),"-",VLOOKUP($A90,'SegEnds_NonXtal_BW#'!$A:$Z,15,FALSE)+VLOOKUP($A90,A:AL,22,FALSE)-50)</f>
        <v>229</v>
      </c>
      <c r="V90" s="3">
        <v>241</v>
      </c>
      <c r="W90" s="3">
        <f>IF(ISERROR(VLOOKUP($A90,'SegEnds_NonXtal_BW#'!$A:$Z,16,FALSE)+VLOOKUP($A90,A:AL,22,FALSE)-50),"-",(VLOOKUP($A90,'SegEnds_NonXtal_BW#'!$A:$Z,16,FALSE)+VLOOKUP($A90,A:AL,22,FALSE)-50))</f>
        <v>254</v>
      </c>
      <c r="X90" s="3" t="str">
        <f>IF(ISERROR(VLOOKUP($A90,'SegEnds_NonXtal_BW#'!$A:$Z,17,FALSE)+VLOOKUP($A90,A:AL,25,FALSE)-50),"-",(VLOOKUP($A90,'SegEnds_NonXtal_BW#'!$A:$Z,17,FALSE)+VLOOKUP($A90,A:AL,25,FALSE)-50))</f>
        <v>-</v>
      </c>
      <c r="Y90" s="3" t="s">
        <v>23</v>
      </c>
      <c r="Z90" s="3" t="str">
        <f>IF(ISERROR(VLOOKUP($A90,'SegEnds_NonXtal_BW#'!$A:$Z,18,FALSE)+VLOOKUP($A90,A:AL,25,FALSE)-50),"-",(VLOOKUP($A90,'SegEnds_NonXtal_BW#'!$A:$Z,18,FALSE)+VLOOKUP($A90,A:AL,25,FALSE)-50))</f>
        <v>-</v>
      </c>
      <c r="AA90" s="3">
        <f>IF(ISERROR(VLOOKUP($A90,'SegEnds_NonXtal_BW#'!$A:$Z,19,FALSE)+VLOOKUP($A90,A:AL,28,FALSE)-50),"-",(VLOOKUP($A90,'SegEnds_NonXtal_BW#'!$A:$Z,19,FALSE)+VLOOKUP($A90,A:AL,28,FALSE)-50))</f>
        <v>272</v>
      </c>
      <c r="AB90" s="3">
        <v>286</v>
      </c>
      <c r="AC90" s="3">
        <f>IF(ISERROR((VLOOKUP($A90,'SegEnds_NonXtal_BW#'!$A:$Z,20,FALSE)+VLOOKUP($A90,A:AL,28,FALSE)-50)),"-",(VLOOKUP($A90,'SegEnds_NonXtal_BW#'!$A:$Z,20,FALSE)+VLOOKUP($A90,A:AL,28,FALSE)-50))</f>
        <v>312</v>
      </c>
      <c r="AD90" s="3">
        <f>IF(ISERROR(VLOOKUP($A90,'SegEnds_NonXtal_BW#'!$A:$Z,21,FALSE)+VLOOKUP($A90,A:AL,31,FALSE)-50),"-",(VLOOKUP($A90,'SegEnds_NonXtal_BW#'!$A:$Z,21,FALSE)+VLOOKUP($A90,A:AL,31,FALSE)-50))</f>
        <v>332</v>
      </c>
      <c r="AE90" s="3">
        <v>358</v>
      </c>
      <c r="AF90" s="3">
        <f>IF(ISERROR((VLOOKUP($A90,'SegEnds_NonXtal_BW#'!$A:$Z,22,FALSE)+VLOOKUP($A90,A:AL,31,FALSE)-50)),"-",(VLOOKUP($A90,'SegEnds_NonXtal_BW#'!$A:$Z,22,FALSE)+VLOOKUP($A90,A:AL,31,FALSE)-50))</f>
        <v>369</v>
      </c>
      <c r="AG90" s="3">
        <f>IF(ISERROR(VLOOKUP($A90,'SegEnds_NonXtal_BW#'!$A:$Z,23,FALSE)+VLOOKUP($A90,A:AL,34,FALSE)-50),"-",(VLOOKUP($A90,'SegEnds_NonXtal_BW#'!$A:$Z,23,FALSE)+VLOOKUP($A90,A:AL,34,FALSE)-50))</f>
        <v>372</v>
      </c>
      <c r="AH90" s="3">
        <v>394</v>
      </c>
      <c r="AI90" s="3">
        <f>IF(ISERROR((VLOOKUP($A90,'SegEnds_NonXtal_BW#'!$A:$Z,24,FALSE)+VLOOKUP($A90,A:AL,34,FALSE)-50)),"-",(VLOOKUP($A90,'SegEnds_NonXtal_BW#'!$A:$Z,24,FALSE)+VLOOKUP($A90,A:AL,34,FALSE)-50))</f>
        <v>400</v>
      </c>
      <c r="AJ90" s="3">
        <f>IF(ISERROR(VLOOKUP($A90,'SegEnds_NonXtal_BW#'!$A:$Z,25,FALSE)+VLOOKUP($A90,A:AL,37,FALSE)-50),"-",(VLOOKUP($A90,'SegEnds_NonXtal_BW#'!$A:$Z,25,FALSE)+VLOOKUP($A90,A:AL,37,FALSE)-50))</f>
        <v>401</v>
      </c>
      <c r="AK90" s="3">
        <v>404</v>
      </c>
      <c r="AL90" s="3">
        <f>IF(ISERROR((VLOOKUP($A90,'SegEnds_NonXtal_BW#'!$A:$Z,26,FALSE)+VLOOKUP($A90,A:AL,37,FALSE)-50)),"-",(VLOOKUP($A90,'SegEnds_NonXtal_BW#'!$A:$Z,26,FALSE)+VLOOKUP($A90,A:AL,37,FALSE)-50))</f>
        <v>413</v>
      </c>
      <c r="AM90" s="28" t="str">
        <f>VLOOKUP(A90,Classification!A:B,2,FALSE)</f>
        <v>A</v>
      </c>
      <c r="AN90" s="28" t="b">
        <f t="shared" si="55"/>
        <v>1</v>
      </c>
      <c r="AO90" s="3" t="str">
        <f>IF(ISERROR(MATCH(A90,'SegEnds_Xtal_Prot#'!B:B, 0)), "NoXtal", "Xtal")</f>
        <v>Xtal</v>
      </c>
      <c r="AP90" s="3">
        <f t="shared" si="39"/>
        <v>1</v>
      </c>
      <c r="AQ90" s="3">
        <f t="shared" si="40"/>
        <v>2</v>
      </c>
      <c r="AR90" s="3" t="str">
        <f t="shared" si="41"/>
        <v>-</v>
      </c>
      <c r="AS90" s="3" t="str">
        <f t="shared" si="42"/>
        <v>-</v>
      </c>
      <c r="AT90" s="3">
        <f t="shared" si="43"/>
        <v>1</v>
      </c>
      <c r="AU90" s="3">
        <f t="shared" si="44"/>
        <v>1</v>
      </c>
      <c r="AV90" s="3" t="str">
        <f t="shared" si="45"/>
        <v>-</v>
      </c>
      <c r="AW90" s="3" t="str">
        <f t="shared" si="46"/>
        <v>-</v>
      </c>
      <c r="AX90" s="3">
        <f t="shared" si="47"/>
        <v>20</v>
      </c>
      <c r="AY90" s="3">
        <f t="shared" si="48"/>
        <v>3</v>
      </c>
      <c r="AZ90" s="3">
        <f t="shared" si="49"/>
        <v>1</v>
      </c>
      <c r="BA90" s="3">
        <f>IF(ISERROR(LEN(VLOOKUP(A90,Seqs!A:E,2,FALSE))-AL90),"-",LEN(VLOOKUP(A90,Seqs!A:E,2,FALSE))-AL90)</f>
        <v>59</v>
      </c>
      <c r="BB90" s="16">
        <f t="shared" si="50"/>
        <v>29</v>
      </c>
      <c r="BC90" s="9">
        <f t="shared" si="51"/>
        <v>20</v>
      </c>
      <c r="BD90" s="3">
        <f t="shared" si="52"/>
        <v>29</v>
      </c>
      <c r="BE90" s="3">
        <f t="shared" si="53"/>
        <v>72</v>
      </c>
    </row>
    <row r="91" spans="1:58" s="3" customFormat="1" x14ac:dyDescent="0.2">
      <c r="A91" s="3" t="s">
        <v>183</v>
      </c>
      <c r="B91" s="3" t="str">
        <f>LOWER(VLOOKUP(A91,Xtal_Templ!A:B,2,FALSE))</f>
        <v>cnr1_human</v>
      </c>
      <c r="C91" s="3">
        <f>VLOOKUP($A91,'SegEnds_NonXtal_BW#'!$A:$Z,3,FALSE)+D91-50</f>
        <v>29</v>
      </c>
      <c r="D91" s="3">
        <v>51</v>
      </c>
      <c r="E91" s="3">
        <f>IF(ISERROR(VLOOKUP($A91,'SegEnds_NonXtal_BW#'!$A:$Z,4,FALSE)+VLOOKUP($A91,A:AL,4,FALSE)-50),"-",(VLOOKUP($A91,'SegEnds_NonXtal_BW#'!$A:$Z,4,FALSE)+VLOOKUP($A91,A:AL,4,FALSE)-50))</f>
        <v>61</v>
      </c>
      <c r="F91" s="3">
        <f t="shared" si="61"/>
        <v>62</v>
      </c>
      <c r="G91" s="3">
        <v>64</v>
      </c>
      <c r="H91" s="3">
        <f t="shared" si="62"/>
        <v>65</v>
      </c>
      <c r="I91" s="3">
        <f t="shared" ref="I91:I101" si="63">H91+1</f>
        <v>66</v>
      </c>
      <c r="J91" s="3">
        <v>80</v>
      </c>
      <c r="K91" s="3">
        <f>VLOOKUP($A91,'SegEnds_NonXtal_BW#'!$A:$Z,8,FALSE)+VLOOKUP($A91,A:AL,10,FALSE)-50</f>
        <v>96</v>
      </c>
      <c r="L91" s="3" t="str">
        <f>IF(ISERROR(VLOOKUP($A91,'SegEnds_NonXtal_BW#'!$A:$Z,9,FALSE)+VLOOKUP($A91,A:AL,13,FALSE)-50),"-",(VLOOKUP($A91,'SegEnds_NonXtal_BW#'!$A:$Z,9,FALSE)+VLOOKUP($A91,A:AL,13,FALSE)-50))</f>
        <v>-</v>
      </c>
      <c r="M91" s="3" t="s">
        <v>23</v>
      </c>
      <c r="N91" s="3" t="str">
        <f>IF(ISERROR(VLOOKUP($A91,'SegEnds_NonXtal_BW#'!$A:$Z,10,FALSE)+VLOOKUP($A91,A:AL,13,FALSE)-50),"-",(VLOOKUP($A91,'SegEnds_NonXtal_BW#'!$A:$Z,10,FALSE)+VLOOKUP($A91,A:AL,13,FALSE)-50))</f>
        <v>-</v>
      </c>
      <c r="O91" s="3">
        <f>VLOOKUP($A91,'SegEnds_NonXtal_BW#'!$A:$Z,11,FALSE)+VLOOKUP($A91,A:AL,16,FALSE)-50</f>
        <v>102</v>
      </c>
      <c r="P91" s="3">
        <v>131</v>
      </c>
      <c r="Q91" s="3">
        <f>VLOOKUP($A91,'SegEnds_NonXtal_BW#'!$A:$Z,12,FALSE)+VLOOKUP($A91,A:AL,16,FALSE)-50</f>
        <v>137</v>
      </c>
      <c r="R91" s="3">
        <f>S91</f>
        <v>138</v>
      </c>
      <c r="S91" s="3">
        <v>138</v>
      </c>
      <c r="T91" s="100">
        <f>S91+7</f>
        <v>145</v>
      </c>
      <c r="U91" s="9">
        <f>IF(ISERROR(VLOOKUP($A91,'SegEnds_NonXtal_BW#'!$A:$Z,15,FALSE)+VLOOKUP($A91,A:AL,22,FALSE)-50),"-",VLOOKUP($A91,'SegEnds_NonXtal_BW#'!$A:$Z,15,FALSE)+VLOOKUP($A91,A:AL,22,FALSE)-50)</f>
        <v>146</v>
      </c>
      <c r="V91" s="3">
        <v>158</v>
      </c>
      <c r="W91" s="3">
        <f>IF(ISERROR(VLOOKUP($A91,'SegEnds_NonXtal_BW#'!$A:$Z,16,FALSE)+VLOOKUP($A91,A:AL,22,FALSE)-50),"-",(VLOOKUP($A91,'SegEnds_NonXtal_BW#'!$A:$Z,16,FALSE)+VLOOKUP($A91,A:AL,22,FALSE)-50))</f>
        <v>171</v>
      </c>
      <c r="X91" s="3" t="str">
        <f>IF(ISERROR(VLOOKUP($A91,'SegEnds_NonXtal_BW#'!$A:$Z,17,FALSE)+VLOOKUP($A91,A:AL,25,FALSE)-50),"-",(VLOOKUP($A91,'SegEnds_NonXtal_BW#'!$A:$Z,17,FALSE)+VLOOKUP($A91,A:AL,25,FALSE)-50))</f>
        <v>-</v>
      </c>
      <c r="Y91" s="3" t="s">
        <v>23</v>
      </c>
      <c r="Z91" s="3" t="str">
        <f>IF(ISERROR(VLOOKUP($A91,'SegEnds_NonXtal_BW#'!$A:$Z,18,FALSE)+VLOOKUP($A91,A:AL,25,FALSE)-50),"-",(VLOOKUP($A91,'SegEnds_NonXtal_BW#'!$A:$Z,18,FALSE)+VLOOKUP($A91,A:AL,25,FALSE)-50))</f>
        <v>-</v>
      </c>
      <c r="AA91" s="3">
        <f>IF(ISERROR(VLOOKUP($A91,'SegEnds_NonXtal_BW#'!$A:$Z,19,FALSE)+VLOOKUP($A91,A:AL,28,FALSE)-50),"-",(VLOOKUP($A91,'SegEnds_NonXtal_BW#'!$A:$Z,19,FALSE)+VLOOKUP($A91,A:AL,28,FALSE)-50))</f>
        <v>187</v>
      </c>
      <c r="AB91" s="3">
        <v>201</v>
      </c>
      <c r="AC91" s="3">
        <f>IF(ISERROR((VLOOKUP($A91,'SegEnds_NonXtal_BW#'!$A:$Z,20,FALSE)+VLOOKUP($A91,A:AL,28,FALSE)-50)),"-",(VLOOKUP($A91,'SegEnds_NonXtal_BW#'!$A:$Z,20,FALSE)+VLOOKUP($A91,A:AL,28,FALSE)-50))</f>
        <v>225</v>
      </c>
      <c r="AD91" s="3">
        <f>IF(ISERROR(VLOOKUP($A91,'SegEnds_NonXtal_BW#'!$A:$Z,21,FALSE)+VLOOKUP($A91,A:AL,31,FALSE)-50),"-",(VLOOKUP($A91,'SegEnds_NonXtal_BW#'!$A:$Z,21,FALSE)+VLOOKUP($A91,A:AL,31,FALSE)-50))</f>
        <v>231</v>
      </c>
      <c r="AE91" s="3">
        <v>260</v>
      </c>
      <c r="AF91" s="3">
        <f>IF(ISERROR((VLOOKUP($A91,'SegEnds_NonXtal_BW#'!$A:$Z,22,FALSE)+VLOOKUP($A91,A:AL,31,FALSE)-50)),"-",(VLOOKUP($A91,'SegEnds_NonXtal_BW#'!$A:$Z,22,FALSE)+VLOOKUP($A91,A:AL,31,FALSE)-50))</f>
        <v>271</v>
      </c>
      <c r="AG91" s="3">
        <f>IF(ISERROR(VLOOKUP($A91,'SegEnds_NonXtal_BW#'!$A:$Z,23,FALSE)+VLOOKUP($A91,A:AL,34,FALSE)-50),"-",(VLOOKUP($A91,'SegEnds_NonXtal_BW#'!$A:$Z,23,FALSE)+VLOOKUP($A91,A:AL,34,FALSE)-50))</f>
        <v>277</v>
      </c>
      <c r="AH91" s="3">
        <v>296</v>
      </c>
      <c r="AI91" s="3">
        <f>IF(ISERROR((VLOOKUP($A91,'SegEnds_NonXtal_BW#'!$A:$Z,24,FALSE)+VLOOKUP($A91,A:AL,34,FALSE)-50)),"-",(VLOOKUP($A91,'SegEnds_NonXtal_BW#'!$A:$Z,24,FALSE)+VLOOKUP($A91,A:AL,34,FALSE)-50))</f>
        <v>302</v>
      </c>
      <c r="AJ91" s="3">
        <f>IF(ISERROR(VLOOKUP($A91,'SegEnds_NonXtal_BW#'!$A:$Z,25,FALSE)+VLOOKUP($A91,A:AL,37,FALSE)-50),"-",(VLOOKUP($A91,'SegEnds_NonXtal_BW#'!$A:$Z,25,FALSE)+VLOOKUP($A91,A:AL,37,FALSE)-50))</f>
        <v>303</v>
      </c>
      <c r="AK91" s="3">
        <v>306</v>
      </c>
      <c r="AL91" s="3">
        <f>IF(ISERROR((VLOOKUP($A91,'SegEnds_NonXtal_BW#'!$A:$Z,26,FALSE)+VLOOKUP($A91,A:AL,37,FALSE)-50)),"-",(VLOOKUP($A91,'SegEnds_NonXtal_BW#'!$A:$Z,26,FALSE)+VLOOKUP($A91,A:AL,37,FALSE)-50))</f>
        <v>315</v>
      </c>
      <c r="AM91" s="28" t="str">
        <f>VLOOKUP(A91,Classification!A:B,2,FALSE)</f>
        <v>A</v>
      </c>
      <c r="AN91" s="28" t="b">
        <f t="shared" si="55"/>
        <v>1</v>
      </c>
      <c r="AO91" s="3" t="str">
        <f>IF(ISERROR(MATCH(A91,'SegEnds_Xtal_Prot#'!B:B, 0)), "NoXtal", "Xtal")</f>
        <v>NoXtal</v>
      </c>
      <c r="AP91" s="3">
        <f t="shared" si="39"/>
        <v>1</v>
      </c>
      <c r="AQ91" s="3">
        <f t="shared" si="40"/>
        <v>1</v>
      </c>
      <c r="AR91" s="3" t="str">
        <f t="shared" si="41"/>
        <v>-</v>
      </c>
      <c r="AS91" s="3" t="str">
        <f t="shared" si="42"/>
        <v>-</v>
      </c>
      <c r="AT91" s="3">
        <f t="shared" si="43"/>
        <v>1</v>
      </c>
      <c r="AU91" s="3">
        <f t="shared" si="44"/>
        <v>1</v>
      </c>
      <c r="AV91" s="3" t="str">
        <f t="shared" si="45"/>
        <v>-</v>
      </c>
      <c r="AW91" s="3" t="str">
        <f t="shared" si="46"/>
        <v>-</v>
      </c>
      <c r="AX91" s="3">
        <f t="shared" si="47"/>
        <v>6</v>
      </c>
      <c r="AY91" s="3">
        <f t="shared" si="48"/>
        <v>6</v>
      </c>
      <c r="AZ91" s="3">
        <f t="shared" si="49"/>
        <v>1</v>
      </c>
      <c r="BA91" s="3">
        <f>IF(ISERROR(LEN(VLOOKUP(A91,Seqs!A:E,2,FALSE))-AL91),"-",LEN(VLOOKUP(A91,Seqs!A:E,2,FALSE))-AL91)</f>
        <v>45</v>
      </c>
      <c r="BB91" s="16">
        <f t="shared" si="50"/>
        <v>29</v>
      </c>
      <c r="BC91" s="9">
        <f t="shared" si="51"/>
        <v>20</v>
      </c>
      <c r="BD91" s="3">
        <f t="shared" si="52"/>
        <v>29</v>
      </c>
      <c r="BE91" s="3">
        <f t="shared" si="53"/>
        <v>59</v>
      </c>
    </row>
    <row r="92" spans="1:58" s="3" customFormat="1" x14ac:dyDescent="0.2">
      <c r="A92" s="3" t="s">
        <v>184</v>
      </c>
      <c r="B92" s="3" t="str">
        <f>LOWER(VLOOKUP(A92,Xtal_Templ!A:B,2,FALSE))</f>
        <v>ccr5_human</v>
      </c>
      <c r="C92" s="3">
        <f>VLOOKUP($A92,'SegEnds_NonXtal_BW#'!$A:$Z,3,FALSE)+D92-50</f>
        <v>23</v>
      </c>
      <c r="D92" s="3">
        <v>49</v>
      </c>
      <c r="E92" s="3">
        <f>IF(ISERROR(VLOOKUP($A92,'SegEnds_NonXtal_BW#'!$A:$Z,4,FALSE)+VLOOKUP($A92,A:AL,4,FALSE)-50),"-",(VLOOKUP($A92,'SegEnds_NonXtal_BW#'!$A:$Z,4,FALSE)+VLOOKUP($A92,A:AL,4,FALSE)-50))</f>
        <v>59</v>
      </c>
      <c r="F92" s="3">
        <f t="shared" si="61"/>
        <v>60</v>
      </c>
      <c r="G92" s="3">
        <v>62</v>
      </c>
      <c r="H92" s="3">
        <f t="shared" si="62"/>
        <v>63</v>
      </c>
      <c r="I92" s="3">
        <f t="shared" si="63"/>
        <v>64</v>
      </c>
      <c r="J92" s="3">
        <v>77</v>
      </c>
      <c r="K92" s="3">
        <f>VLOOKUP($A92,'SegEnds_NonXtal_BW#'!$A:$Z,8,FALSE)+VLOOKUP($A92,A:AL,10,FALSE)-50</f>
        <v>93</v>
      </c>
      <c r="L92" s="3" t="str">
        <f>IF(ISERROR(VLOOKUP($A92,'SegEnds_NonXtal_BW#'!$A:$Z,9,FALSE)+VLOOKUP($A92,A:AL,13,FALSE)-50),"-",(VLOOKUP($A92,'SegEnds_NonXtal_BW#'!$A:$Z,9,FALSE)+VLOOKUP($A92,A:AL,13,FALSE)-50))</f>
        <v>-</v>
      </c>
      <c r="M92" s="3" t="s">
        <v>23</v>
      </c>
      <c r="N92" s="3" t="str">
        <f>IF(ISERROR(VLOOKUP($A92,'SegEnds_NonXtal_BW#'!$A:$Z,10,FALSE)+VLOOKUP($A92,A:AL,13,FALSE)-50),"-",(VLOOKUP($A92,'SegEnds_NonXtal_BW#'!$A:$Z,10,FALSE)+VLOOKUP($A92,A:AL,13,FALSE)-50))</f>
        <v>-</v>
      </c>
      <c r="O92" s="3">
        <f>VLOOKUP($A92,'SegEnds_NonXtal_BW#'!$A:$Z,11,FALSE)+VLOOKUP($A92,A:AL,16,FALSE)-50</f>
        <v>101</v>
      </c>
      <c r="P92" s="3">
        <v>127</v>
      </c>
      <c r="Q92" s="3">
        <f>VLOOKUP($A92,'SegEnds_NonXtal_BW#'!$A:$Z,12,FALSE)+VLOOKUP($A92,A:AL,16,FALSE)-50</f>
        <v>133</v>
      </c>
      <c r="R92" s="3">
        <f>IF(ISERROR(VLOOKUP($A92,'SegEnds_NonXtal_BW#'!$A:$Z,13,FALSE)+VLOOKUP($A92,A:AL,19,FALSE)-50),"-",VLOOKUP($A92,'SegEnds_NonXtal_BW#'!$A:$Z,13,FALSE)+VLOOKUP($A92,A:AL,19,FALSE)-50)</f>
        <v>134</v>
      </c>
      <c r="S92" s="3">
        <v>134</v>
      </c>
      <c r="T92" s="100">
        <f>IF(ISERROR(VLOOKUP($A92,'SegEnds_NonXtal_BW#'!$A:$Z,14,FALSE)+VLOOKUP($A92,A:AL,19,FALSE)-50),"-",(VLOOKUP($A92,'SegEnds_NonXtal_BW#'!$A:$Z,14,FALSE)+VLOOKUP($A92,A:AL,19,FALSE)-50))</f>
        <v>141</v>
      </c>
      <c r="U92" s="9">
        <f>IF(ISERROR(VLOOKUP($A92,'SegEnds_NonXtal_BW#'!$A:$Z,15,FALSE)+VLOOKUP($A92,A:AL,22,FALSE)-50),"-",VLOOKUP($A92,'SegEnds_NonXtal_BW#'!$A:$Z,15,FALSE)+VLOOKUP($A92,A:AL,22,FALSE)-50)</f>
        <v>142</v>
      </c>
      <c r="V92" s="3">
        <v>154</v>
      </c>
      <c r="W92" s="3">
        <f>IF(ISERROR(VLOOKUP($A92,'SegEnds_NonXtal_BW#'!$A:$Z,16,FALSE)+VLOOKUP($A92,A:AL,22,FALSE)-50),"-",(VLOOKUP($A92,'SegEnds_NonXtal_BW#'!$A:$Z,16,FALSE)+VLOOKUP($A92,A:AL,22,FALSE)-50))</f>
        <v>168</v>
      </c>
      <c r="X92" s="3">
        <f>IF(ISERROR(VLOOKUP($A92,'SegEnds_NonXtal_BW#'!$A:$Z,17,FALSE)+VLOOKUP($A92,A:AL,25,FALSE)-50),"-",(VLOOKUP($A92,'SegEnds_NonXtal_BW#'!$A:$Z,17,FALSE)+VLOOKUP($A92,A:AL,25,FALSE)-50))</f>
        <v>175</v>
      </c>
      <c r="Y92" s="3">
        <v>175</v>
      </c>
      <c r="Z92" s="3">
        <f t="shared" ref="Z92:Z117" si="64">Y92+2</f>
        <v>177</v>
      </c>
      <c r="AA92" s="3">
        <f>IF(ISERROR(VLOOKUP($A92,'SegEnds_NonXtal_BW#'!$A:$Z,19,FALSE)+VLOOKUP($A92,A:AL,28,FALSE)-50),"-",(VLOOKUP($A92,'SegEnds_NonXtal_BW#'!$A:$Z,19,FALSE)+VLOOKUP($A92,A:AL,28,FALSE)-50))</f>
        <v>183</v>
      </c>
      <c r="AB92" s="3">
        <v>203</v>
      </c>
      <c r="AC92" s="3">
        <f>IF(ISERROR((VLOOKUP($A92,'SegEnds_NonXtal_BW#'!$A:$Z,20,FALSE)+VLOOKUP($A92,A:AL,28,FALSE)-50)),"-",(VLOOKUP($A92,'SegEnds_NonXtal_BW#'!$A:$Z,20,FALSE)+VLOOKUP($A92,A:AL,28,FALSE)-50))</f>
        <v>221</v>
      </c>
      <c r="AD92" s="3">
        <f>IF(ISERROR(VLOOKUP($A92,'SegEnds_NonXtal_BW#'!$A:$Z,21,FALSE)+VLOOKUP($A92,A:AL,31,FALSE)-50),"-",(VLOOKUP($A92,'SegEnds_NonXtal_BW#'!$A:$Z,21,FALSE)+VLOOKUP($A92,A:AL,31,FALSE)-50))</f>
        <v>226</v>
      </c>
      <c r="AE92" s="3">
        <v>246</v>
      </c>
      <c r="AF92" s="3">
        <f>IF(ISERROR((VLOOKUP($A92,'SegEnds_NonXtal_BW#'!$A:$Z,22,FALSE)+VLOOKUP($A92,A:AL,31,FALSE)-50)),"-",(VLOOKUP($A92,'SegEnds_NonXtal_BW#'!$A:$Z,22,FALSE)+VLOOKUP($A92,A:AL,31,FALSE)-50))</f>
        <v>260</v>
      </c>
      <c r="AG92" s="3">
        <f>IF(ISERROR(VLOOKUP($A92,'SegEnds_NonXtal_BW#'!$A:$Z,23,FALSE)+VLOOKUP($A92,A:AL,34,FALSE)-50),"-",(VLOOKUP($A92,'SegEnds_NonXtal_BW#'!$A:$Z,23,FALSE)+VLOOKUP($A92,A:AL,34,FALSE)-50))</f>
        <v>264</v>
      </c>
      <c r="AH92" s="3">
        <v>290</v>
      </c>
      <c r="AI92" s="3">
        <f>IF(ISERROR((VLOOKUP($A92,'SegEnds_NonXtal_BW#'!$A:$Z,24,FALSE)+VLOOKUP($A92,A:AL,34,FALSE)-50)),"-",(VLOOKUP($A92,'SegEnds_NonXtal_BW#'!$A:$Z,24,FALSE)+VLOOKUP($A92,A:AL,34,FALSE)-50))</f>
        <v>296</v>
      </c>
      <c r="AJ92" s="3">
        <f>IF(ISERROR(VLOOKUP($A92,'SegEnds_NonXtal_BW#'!$A:$Z,25,FALSE)+VLOOKUP($A92,A:AL,37,FALSE)-50),"-",(VLOOKUP($A92,'SegEnds_NonXtal_BW#'!$A:$Z,25,FALSE)+VLOOKUP($A92,A:AL,37,FALSE)-50))</f>
        <v>297</v>
      </c>
      <c r="AK92" s="3">
        <v>300</v>
      </c>
      <c r="AL92" s="3">
        <f>IF(ISERROR((VLOOKUP($A92,'SegEnds_NonXtal_BW#'!$A:$Z,26,FALSE)+VLOOKUP($A92,A:AL,37,FALSE)-50)),"-",(VLOOKUP($A92,'SegEnds_NonXtal_BW#'!$A:$Z,26,FALSE)+VLOOKUP($A92,A:AL,37,FALSE)-50))</f>
        <v>309</v>
      </c>
      <c r="AM92" s="28" t="str">
        <f>VLOOKUP(A92,Classification!A:B,2,FALSE)</f>
        <v>A</v>
      </c>
      <c r="AN92" s="28" t="b">
        <f t="shared" si="55"/>
        <v>1</v>
      </c>
      <c r="AO92" s="3" t="str">
        <f>IF(ISERROR(MATCH(A92,'SegEnds_Xtal_Prot#'!B:B, 0)), "NoXtal", "Xtal")</f>
        <v>NoXtal</v>
      </c>
      <c r="AP92" s="3">
        <f t="shared" si="39"/>
        <v>1</v>
      </c>
      <c r="AQ92" s="3">
        <f t="shared" si="40"/>
        <v>1</v>
      </c>
      <c r="AR92" s="3" t="str">
        <f t="shared" si="41"/>
        <v>-</v>
      </c>
      <c r="AS92" s="3" t="str">
        <f t="shared" si="42"/>
        <v>-</v>
      </c>
      <c r="AT92" s="3">
        <f t="shared" si="43"/>
        <v>1</v>
      </c>
      <c r="AU92" s="3">
        <f t="shared" si="44"/>
        <v>1</v>
      </c>
      <c r="AV92" s="3">
        <f t="shared" si="45"/>
        <v>7</v>
      </c>
      <c r="AW92" s="3">
        <f t="shared" si="46"/>
        <v>6</v>
      </c>
      <c r="AX92" s="3">
        <f t="shared" si="47"/>
        <v>5</v>
      </c>
      <c r="AY92" s="3">
        <f t="shared" si="48"/>
        <v>4</v>
      </c>
      <c r="AZ92" s="3">
        <f t="shared" si="49"/>
        <v>1</v>
      </c>
      <c r="BA92" s="3">
        <f>IF(ISERROR(LEN(VLOOKUP(A92,Seqs!A:E,2,FALSE))-AL92),"-",LEN(VLOOKUP(A92,Seqs!A:E,2,FALSE))-AL92)</f>
        <v>46</v>
      </c>
      <c r="BB92" s="16">
        <f t="shared" si="50"/>
        <v>28</v>
      </c>
      <c r="BC92" s="9">
        <f t="shared" si="51"/>
        <v>20</v>
      </c>
      <c r="BD92" s="3">
        <f t="shared" si="52"/>
        <v>28</v>
      </c>
      <c r="BE92" s="3">
        <f t="shared" si="53"/>
        <v>43</v>
      </c>
    </row>
    <row r="93" spans="1:58" s="3" customFormat="1" x14ac:dyDescent="0.2">
      <c r="A93" s="3" t="s">
        <v>187</v>
      </c>
      <c r="B93" s="3" t="str">
        <f>LOWER(VLOOKUP(A93,Xtal_Templ!A:B,2,FALSE))</f>
        <v>cxcr4_human</v>
      </c>
      <c r="C93" s="3">
        <f>VLOOKUP($A93,'SegEnds_NonXtal_BW#'!$A:$Z,3,FALSE)+D93-50</f>
        <v>45</v>
      </c>
      <c r="D93" s="3">
        <v>71</v>
      </c>
      <c r="E93" s="3">
        <f>IF(ISERROR(VLOOKUP($A93,'SegEnds_NonXtal_BW#'!$A:$Z,4,FALSE)+VLOOKUP($A93,A:AL,4,FALSE)-50),"-",(VLOOKUP($A93,'SegEnds_NonXtal_BW#'!$A:$Z,4,FALSE)+VLOOKUP($A93,A:AL,4,FALSE)-50))</f>
        <v>81</v>
      </c>
      <c r="F93" s="3">
        <f t="shared" si="61"/>
        <v>82</v>
      </c>
      <c r="G93" s="3">
        <v>84</v>
      </c>
      <c r="H93" s="3">
        <f t="shared" si="62"/>
        <v>85</v>
      </c>
      <c r="I93" s="3">
        <f t="shared" si="63"/>
        <v>86</v>
      </c>
      <c r="J93" s="3">
        <v>99</v>
      </c>
      <c r="K93" s="3">
        <f>VLOOKUP($A93,'SegEnds_NonXtal_BW#'!$A:$Z,8,FALSE)+VLOOKUP($A93,A:AL,10,FALSE)-50</f>
        <v>115</v>
      </c>
      <c r="L93" s="3">
        <f t="shared" ref="L93:L100" si="65">M93-1</f>
        <v>116</v>
      </c>
      <c r="M93" s="3">
        <v>117</v>
      </c>
      <c r="N93" s="3">
        <f t="shared" ref="N93:N100" si="66">M93+2</f>
        <v>119</v>
      </c>
      <c r="O93" s="3">
        <f t="shared" ref="O93:O100" si="67">N93+1</f>
        <v>120</v>
      </c>
      <c r="P93" s="3">
        <v>149</v>
      </c>
      <c r="Q93" s="3">
        <f>VLOOKUP($A93,'SegEnds_NonXtal_BW#'!$A:$Z,12,FALSE)+VLOOKUP($A93,A:AL,16,FALSE)-50</f>
        <v>155</v>
      </c>
      <c r="R93" s="3">
        <f>IF(ISERROR(VLOOKUP($A93,'SegEnds_NonXtal_BW#'!$A:$Z,13,FALSE)+VLOOKUP($A93,A:AL,19,FALSE)-50),"-",VLOOKUP($A93,'SegEnds_NonXtal_BW#'!$A:$Z,13,FALSE)+VLOOKUP($A93,A:AL,19,FALSE)-50)</f>
        <v>156</v>
      </c>
      <c r="S93" s="3">
        <v>156</v>
      </c>
      <c r="T93" s="100">
        <f>IF(ISERROR(VLOOKUP($A93,'SegEnds_NonXtal_BW#'!$A:$Z,14,FALSE)+VLOOKUP($A93,A:AL,19,FALSE)-50),"-",(VLOOKUP($A93,'SegEnds_NonXtal_BW#'!$A:$Z,14,FALSE)+VLOOKUP($A93,A:AL,19,FALSE)-50))</f>
        <v>163</v>
      </c>
      <c r="U93" s="9">
        <f>IF(ISERROR(VLOOKUP($A93,'SegEnds_NonXtal_BW#'!$A:$Z,15,FALSE)+VLOOKUP($A93,A:AL,22,FALSE)-50),"-",VLOOKUP($A93,'SegEnds_NonXtal_BW#'!$A:$Z,15,FALSE)+VLOOKUP($A93,A:AL,22,FALSE)-50)</f>
        <v>164</v>
      </c>
      <c r="V93" s="3">
        <v>176</v>
      </c>
      <c r="W93" s="3">
        <f>IF(ISERROR(VLOOKUP($A93,'SegEnds_NonXtal_BW#'!$A:$Z,16,FALSE)+VLOOKUP($A93,A:AL,22,FALSE)-50),"-",(VLOOKUP($A93,'SegEnds_NonXtal_BW#'!$A:$Z,16,FALSE)+VLOOKUP($A93,A:AL,22,FALSE)-50))</f>
        <v>190</v>
      </c>
      <c r="X93" s="3">
        <f>IF(ISERROR(VLOOKUP($A93,'SegEnds_NonXtal_BW#'!$A:$Z,17,FALSE)+VLOOKUP($A93,A:AL,25,FALSE)-50),"-",(VLOOKUP($A93,'SegEnds_NonXtal_BW#'!$A:$Z,17,FALSE)+VLOOKUP($A93,A:AL,25,FALSE)-50))</f>
        <v>203</v>
      </c>
      <c r="Y93" s="3">
        <v>203</v>
      </c>
      <c r="Z93" s="3">
        <f t="shared" si="64"/>
        <v>205</v>
      </c>
      <c r="AA93" s="3">
        <f>IF(ISERROR(VLOOKUP($A93,'SegEnds_NonXtal_BW#'!$A:$Z,19,FALSE)+VLOOKUP($A93,A:AL,28,FALSE)-50),"-",(VLOOKUP($A93,'SegEnds_NonXtal_BW#'!$A:$Z,19,FALSE)+VLOOKUP($A93,A:AL,28,FALSE)-50))</f>
        <v>209</v>
      </c>
      <c r="AB93" s="3">
        <v>227</v>
      </c>
      <c r="AC93" s="3">
        <f>IF(ISERROR((VLOOKUP($A93,'SegEnds_NonXtal_BW#'!$A:$Z,20,FALSE)+VLOOKUP($A93,A:AL,28,FALSE)-50)),"-",(VLOOKUP($A93,'SegEnds_NonXtal_BW#'!$A:$Z,20,FALSE)+VLOOKUP($A93,A:AL,28,FALSE)-50))</f>
        <v>245</v>
      </c>
      <c r="AD93" s="3">
        <f>IF(ISERROR(VLOOKUP($A93,'SegEnds_NonXtal_BW#'!$A:$Z,21,FALSE)+VLOOKUP($A93,A:AL,31,FALSE)-50),"-",(VLOOKUP($A93,'SegEnds_NonXtal_BW#'!$A:$Z,21,FALSE)+VLOOKUP($A93,A:AL,31,FALSE)-50))</f>
        <v>250</v>
      </c>
      <c r="AE93" s="3">
        <v>270</v>
      </c>
      <c r="AF93" s="3">
        <f>IF(ISERROR((VLOOKUP($A93,'SegEnds_NonXtal_BW#'!$A:$Z,22,FALSE)+VLOOKUP($A93,A:AL,31,FALSE)-50)),"-",(VLOOKUP($A93,'SegEnds_NonXtal_BW#'!$A:$Z,22,FALSE)+VLOOKUP($A93,A:AL,31,FALSE)-50))</f>
        <v>284</v>
      </c>
      <c r="AG93" s="3">
        <f>IF(ISERROR(VLOOKUP($A93,'SegEnds_NonXtal_BW#'!$A:$Z,23,FALSE)+VLOOKUP($A93,A:AL,34,FALSE)-50),"-",(VLOOKUP($A93,'SegEnds_NonXtal_BW#'!$A:$Z,23,FALSE)+VLOOKUP($A93,A:AL,34,FALSE)-50))</f>
        <v>289</v>
      </c>
      <c r="AH93" s="3">
        <v>315</v>
      </c>
      <c r="AI93" s="3">
        <f>IF(ISERROR((VLOOKUP($A93,'SegEnds_NonXtal_BW#'!$A:$Z,24,FALSE)+VLOOKUP($A93,A:AL,34,FALSE)-50)),"-",(VLOOKUP($A93,'SegEnds_NonXtal_BW#'!$A:$Z,24,FALSE)+VLOOKUP($A93,A:AL,34,FALSE)-50))</f>
        <v>321</v>
      </c>
      <c r="AJ93" s="3">
        <f>IF(ISERROR(VLOOKUP($A93,'SegEnds_NonXtal_BW#'!$A:$Z,25,FALSE)+VLOOKUP($A93,A:AL,37,FALSE)-50),"-",(VLOOKUP($A93,'SegEnds_NonXtal_BW#'!$A:$Z,25,FALSE)+VLOOKUP($A93,A:AL,37,FALSE)-50))</f>
        <v>322</v>
      </c>
      <c r="AK93" s="3">
        <v>325</v>
      </c>
      <c r="AL93" s="3">
        <f>IF(ISERROR((VLOOKUP($A93,'SegEnds_NonXtal_BW#'!$A:$Z,26,FALSE)+VLOOKUP($A93,A:AL,37,FALSE)-50)),"-",(VLOOKUP($A93,'SegEnds_NonXtal_BW#'!$A:$Z,26,FALSE)+VLOOKUP($A93,A:AL,37,FALSE)-50))</f>
        <v>334</v>
      </c>
      <c r="AM93" s="28" t="str">
        <f>VLOOKUP(A93,Classification!A:B,2,FALSE)</f>
        <v>A</v>
      </c>
      <c r="AN93" s="28" t="b">
        <f t="shared" si="55"/>
        <v>1</v>
      </c>
      <c r="AO93" s="3" t="str">
        <f>IF(ISERROR(MATCH(A93,'SegEnds_Xtal_Prot#'!B:B, 0)), "NoXtal", "Xtal")</f>
        <v>NoXtal</v>
      </c>
      <c r="AP93" s="3">
        <f t="shared" si="39"/>
        <v>1</v>
      </c>
      <c r="AQ93" s="3">
        <f t="shared" si="40"/>
        <v>1</v>
      </c>
      <c r="AR93" s="3">
        <f t="shared" si="41"/>
        <v>1</v>
      </c>
      <c r="AS93" s="3">
        <f t="shared" si="42"/>
        <v>1</v>
      </c>
      <c r="AT93" s="3">
        <f t="shared" si="43"/>
        <v>1</v>
      </c>
      <c r="AU93" s="3">
        <f t="shared" si="44"/>
        <v>1</v>
      </c>
      <c r="AV93" s="3">
        <f t="shared" si="45"/>
        <v>13</v>
      </c>
      <c r="AW93" s="3">
        <f t="shared" si="46"/>
        <v>4</v>
      </c>
      <c r="AX93" s="3">
        <f t="shared" si="47"/>
        <v>5</v>
      </c>
      <c r="AY93" s="3">
        <f t="shared" si="48"/>
        <v>5</v>
      </c>
      <c r="AZ93" s="3">
        <f t="shared" si="49"/>
        <v>1</v>
      </c>
      <c r="BA93" s="3">
        <f>IF(ISERROR(LEN(VLOOKUP(A93,Seqs!A:E,2,FALSE))-AL93),"-",LEN(VLOOKUP(A93,Seqs!A:E,2,FALSE))-AL93)</f>
        <v>34</v>
      </c>
      <c r="BB93" s="16">
        <f t="shared" si="50"/>
        <v>28</v>
      </c>
      <c r="BC93" s="9">
        <f t="shared" si="51"/>
        <v>20</v>
      </c>
      <c r="BD93" s="3">
        <f t="shared" si="52"/>
        <v>28</v>
      </c>
      <c r="BE93" s="3">
        <f t="shared" si="53"/>
        <v>43</v>
      </c>
    </row>
    <row r="94" spans="1:58" s="3" customFormat="1" x14ac:dyDescent="0.2">
      <c r="A94" s="3" t="s">
        <v>1172</v>
      </c>
      <c r="B94" s="3" t="str">
        <f>LOWER(VLOOKUP(A94,Xtal_Templ!A:B,2,FALSE))</f>
        <v>cxcr4_human</v>
      </c>
      <c r="C94" s="3">
        <f>VLOOKUP($A94,'SegEnds_NonXtal_BW#'!$A:$Z,3,FALSE)+D94-50</f>
        <v>30</v>
      </c>
      <c r="D94" s="3">
        <v>56</v>
      </c>
      <c r="E94" s="3">
        <f>IF(ISERROR(VLOOKUP($A94,'SegEnds_NonXtal_BW#'!$A:$Z,4,FALSE)+VLOOKUP($A94,A:AL,4,FALSE)-50),"-",(VLOOKUP($A94,'SegEnds_NonXtal_BW#'!$A:$Z,4,FALSE)+VLOOKUP($A94,A:AL,4,FALSE)-50))</f>
        <v>66</v>
      </c>
      <c r="F94" s="3">
        <f t="shared" si="61"/>
        <v>67</v>
      </c>
      <c r="G94" s="3">
        <v>69</v>
      </c>
      <c r="H94" s="3">
        <f t="shared" si="62"/>
        <v>70</v>
      </c>
      <c r="I94" s="3">
        <f t="shared" si="63"/>
        <v>71</v>
      </c>
      <c r="J94" s="3">
        <v>84</v>
      </c>
      <c r="K94" s="3">
        <f>VLOOKUP($A94,'SegEnds_NonXtal_BW#'!$A:$Z,8,FALSE)+VLOOKUP($A94,A:AL,10,FALSE)-50</f>
        <v>100</v>
      </c>
      <c r="L94" s="3">
        <f t="shared" si="65"/>
        <v>101</v>
      </c>
      <c r="M94" s="3">
        <v>102</v>
      </c>
      <c r="N94" s="3">
        <f t="shared" si="66"/>
        <v>104</v>
      </c>
      <c r="O94" s="3">
        <f t="shared" si="67"/>
        <v>105</v>
      </c>
      <c r="P94" s="3">
        <v>134</v>
      </c>
      <c r="Q94" s="3">
        <f>VLOOKUP($A94,'SegEnds_NonXtal_BW#'!$A:$Z,12,FALSE)+VLOOKUP($A94,A:AL,16,FALSE)-50</f>
        <v>140</v>
      </c>
      <c r="R94" s="3">
        <f>IF(ISERROR(VLOOKUP($A94,'SegEnds_NonXtal_BW#'!$A:$Z,13,FALSE)+VLOOKUP($A94,A:AL,19,FALSE)-50),"-",VLOOKUP($A94,'SegEnds_NonXtal_BW#'!$A:$Z,13,FALSE)+VLOOKUP($A94,A:AL,19,FALSE)-50)</f>
        <v>141</v>
      </c>
      <c r="S94" s="3">
        <v>141</v>
      </c>
      <c r="T94" s="100">
        <f>IF(ISERROR(VLOOKUP($A94,'SegEnds_NonXtal_BW#'!$A:$Z,14,FALSE)+VLOOKUP($A94,A:AL,19,FALSE)-50),"-",(VLOOKUP($A94,'SegEnds_NonXtal_BW#'!$A:$Z,14,FALSE)+VLOOKUP($A94,A:AL,19,FALSE)-50))</f>
        <v>148</v>
      </c>
      <c r="U94" s="9">
        <f>IF(ISERROR(VLOOKUP($A94,'SegEnds_NonXtal_BW#'!$A:$Z,15,FALSE)+VLOOKUP($A94,A:AL,22,FALSE)-50),"-",VLOOKUP($A94,'SegEnds_NonXtal_BW#'!$A:$Z,15,FALSE)+VLOOKUP($A94,A:AL,22,FALSE)-50)</f>
        <v>149</v>
      </c>
      <c r="V94" s="3">
        <v>161</v>
      </c>
      <c r="W94" s="3">
        <f>IF(ISERROR(VLOOKUP($A94,'SegEnds_NonXtal_BW#'!$A:$Z,16,FALSE)+VLOOKUP($A94,A:AL,22,FALSE)-50),"-",(VLOOKUP($A94,'SegEnds_NonXtal_BW#'!$A:$Z,16,FALSE)+VLOOKUP($A94,A:AL,22,FALSE)-50))</f>
        <v>175</v>
      </c>
      <c r="X94" s="3">
        <f>IF(ISERROR(VLOOKUP($A94,'SegEnds_NonXtal_BW#'!$A:$Z,17,FALSE)+VLOOKUP($A94,A:AL,25,FALSE)-50),"-",(VLOOKUP($A94,'SegEnds_NonXtal_BW#'!$A:$Z,17,FALSE)+VLOOKUP($A94,A:AL,25,FALSE)-50))</f>
        <v>186</v>
      </c>
      <c r="Y94" s="3">
        <v>186</v>
      </c>
      <c r="Z94" s="3">
        <f t="shared" si="64"/>
        <v>188</v>
      </c>
      <c r="AA94" s="3">
        <f>IF(ISERROR(VLOOKUP($A94,'SegEnds_NonXtal_BW#'!$A:$Z,19,FALSE)+VLOOKUP($A94,A:AL,28,FALSE)-50),"-",(VLOOKUP($A94,'SegEnds_NonXtal_BW#'!$A:$Z,19,FALSE)+VLOOKUP($A94,A:AL,28,FALSE)-50))</f>
        <v>193</v>
      </c>
      <c r="AB94" s="3">
        <v>211</v>
      </c>
      <c r="AC94" s="3">
        <f>IF(ISERROR((VLOOKUP($A94,'SegEnds_NonXtal_BW#'!$A:$Z,20,FALSE)+VLOOKUP($A94,A:AL,28,FALSE)-50)),"-",(VLOOKUP($A94,'SegEnds_NonXtal_BW#'!$A:$Z,20,FALSE)+VLOOKUP($A94,A:AL,28,FALSE)-50))</f>
        <v>229</v>
      </c>
      <c r="AD94" s="3">
        <f>IF(ISERROR(VLOOKUP($A94,'SegEnds_NonXtal_BW#'!$A:$Z,21,FALSE)+VLOOKUP($A94,A:AL,31,FALSE)-50),"-",(VLOOKUP($A94,'SegEnds_NonXtal_BW#'!$A:$Z,21,FALSE)+VLOOKUP($A94,A:AL,31,FALSE)-50))</f>
        <v>234</v>
      </c>
      <c r="AE94" s="3">
        <v>254</v>
      </c>
      <c r="AF94" s="3">
        <f>IF(ISERROR((VLOOKUP($A94,'SegEnds_NonXtal_BW#'!$A:$Z,22,FALSE)+VLOOKUP($A94,A:AL,31,FALSE)-50)),"-",(VLOOKUP($A94,'SegEnds_NonXtal_BW#'!$A:$Z,22,FALSE)+VLOOKUP($A94,A:AL,31,FALSE)-50))</f>
        <v>268</v>
      </c>
      <c r="AG94" s="3">
        <f>IF(ISERROR(VLOOKUP($A94,'SegEnds_NonXtal_BW#'!$A:$Z,23,FALSE)+VLOOKUP($A94,A:AL,34,FALSE)-50),"-",(VLOOKUP($A94,'SegEnds_NonXtal_BW#'!$A:$Z,23,FALSE)+VLOOKUP($A94,A:AL,34,FALSE)-50))</f>
        <v>273</v>
      </c>
      <c r="AH94" s="3">
        <v>299</v>
      </c>
      <c r="AI94" s="3">
        <f>IF(ISERROR((VLOOKUP($A94,'SegEnds_NonXtal_BW#'!$A:$Z,24,FALSE)+VLOOKUP($A94,A:AL,34,FALSE)-50)),"-",(VLOOKUP($A94,'SegEnds_NonXtal_BW#'!$A:$Z,24,FALSE)+VLOOKUP($A94,A:AL,34,FALSE)-50))</f>
        <v>305</v>
      </c>
      <c r="AJ94" s="3">
        <f>IF(ISERROR(VLOOKUP($A94,'SegEnds_NonXtal_BW#'!$A:$Z,25,FALSE)+VLOOKUP($A94,A:AL,37,FALSE)-50),"-",(VLOOKUP($A94,'SegEnds_NonXtal_BW#'!$A:$Z,25,FALSE)+VLOOKUP($A94,A:AL,37,FALSE)-50))</f>
        <v>306</v>
      </c>
      <c r="AK94" s="3">
        <v>309</v>
      </c>
      <c r="AL94" s="3">
        <f>IF(ISERROR((VLOOKUP($A94,'SegEnds_NonXtal_BW#'!$A:$Z,26,FALSE)+VLOOKUP($A94,A:AL,37,FALSE)-50)),"-",(VLOOKUP($A94,'SegEnds_NonXtal_BW#'!$A:$Z,26,FALSE)+VLOOKUP($A94,A:AL,37,FALSE)-50))</f>
        <v>318</v>
      </c>
      <c r="AM94" s="28" t="str">
        <f>VLOOKUP(A94,Classification!A:B,2,FALSE)</f>
        <v>A</v>
      </c>
      <c r="AN94" s="28" t="b">
        <f t="shared" si="55"/>
        <v>1</v>
      </c>
      <c r="AO94" s="3" t="str">
        <f>IF(ISERROR(MATCH(A94,'SegEnds_Xtal_Prot#'!B:B, 0)), "NoXtal", "Xtal")</f>
        <v>Xtal</v>
      </c>
      <c r="AP94" s="3">
        <f t="shared" si="39"/>
        <v>1</v>
      </c>
      <c r="AQ94" s="3">
        <f t="shared" si="40"/>
        <v>1</v>
      </c>
      <c r="AR94" s="3">
        <f t="shared" si="41"/>
        <v>1</v>
      </c>
      <c r="AS94" s="3">
        <f t="shared" si="42"/>
        <v>1</v>
      </c>
      <c r="AT94" s="3">
        <f t="shared" si="43"/>
        <v>1</v>
      </c>
      <c r="AU94" s="3">
        <f t="shared" si="44"/>
        <v>1</v>
      </c>
      <c r="AV94" s="3">
        <f t="shared" si="45"/>
        <v>11</v>
      </c>
      <c r="AW94" s="3">
        <f t="shared" si="46"/>
        <v>5</v>
      </c>
      <c r="AX94" s="3">
        <f t="shared" si="47"/>
        <v>5</v>
      </c>
      <c r="AY94" s="3">
        <f t="shared" si="48"/>
        <v>5</v>
      </c>
      <c r="AZ94" s="3">
        <f t="shared" si="49"/>
        <v>1</v>
      </c>
      <c r="BA94" s="3">
        <f>IF(ISERROR(LEN(VLOOKUP(A94,Seqs!A:E,2,FALSE))-AL94),"-",LEN(VLOOKUP(A94,Seqs!A:E,2,FALSE))-AL94)</f>
        <v>34</v>
      </c>
      <c r="BB94" s="16">
        <f t="shared" si="50"/>
        <v>28</v>
      </c>
      <c r="BC94" s="9">
        <f t="shared" si="51"/>
        <v>20</v>
      </c>
      <c r="BD94" s="3">
        <f t="shared" si="52"/>
        <v>28</v>
      </c>
      <c r="BE94" s="3">
        <f t="shared" si="53"/>
        <v>43</v>
      </c>
    </row>
    <row r="95" spans="1:58" s="3" customFormat="1" x14ac:dyDescent="0.2">
      <c r="A95" s="3" t="s">
        <v>188</v>
      </c>
      <c r="B95" s="3" t="str">
        <f>LOWER(VLOOKUP(A95,Xtal_Templ!A:B,2,FALSE))</f>
        <v>cxcr4_human</v>
      </c>
      <c r="C95" s="3">
        <f>VLOOKUP($A95,'SegEnds_NonXtal_BW#'!$A:$Z,3,FALSE)+D95-50</f>
        <v>43</v>
      </c>
      <c r="D95" s="3">
        <v>69</v>
      </c>
      <c r="E95" s="3">
        <f>IF(ISERROR(VLOOKUP($A95,'SegEnds_NonXtal_BW#'!$A:$Z,4,FALSE)+VLOOKUP($A95,A:AL,4,FALSE)-50),"-",(VLOOKUP($A95,'SegEnds_NonXtal_BW#'!$A:$Z,4,FALSE)+VLOOKUP($A95,A:AL,4,FALSE)-50))</f>
        <v>79</v>
      </c>
      <c r="F95" s="3">
        <f t="shared" si="61"/>
        <v>80</v>
      </c>
      <c r="G95" s="3">
        <v>82</v>
      </c>
      <c r="H95" s="3">
        <f t="shared" si="62"/>
        <v>83</v>
      </c>
      <c r="I95" s="3">
        <f t="shared" si="63"/>
        <v>84</v>
      </c>
      <c r="J95" s="3">
        <v>97</v>
      </c>
      <c r="K95" s="3">
        <f>VLOOKUP($A95,'SegEnds_NonXtal_BW#'!$A:$Z,8,FALSE)+VLOOKUP($A95,A:AL,10,FALSE)-50</f>
        <v>113</v>
      </c>
      <c r="L95" s="3">
        <f t="shared" si="65"/>
        <v>114</v>
      </c>
      <c r="M95" s="3">
        <v>115</v>
      </c>
      <c r="N95" s="3">
        <f t="shared" si="66"/>
        <v>117</v>
      </c>
      <c r="O95" s="3">
        <f t="shared" si="67"/>
        <v>118</v>
      </c>
      <c r="P95" s="3">
        <v>147</v>
      </c>
      <c r="Q95" s="3">
        <f>VLOOKUP($A95,'SegEnds_NonXtal_BW#'!$A:$Z,12,FALSE)+VLOOKUP($A95,A:AL,16,FALSE)-50</f>
        <v>153</v>
      </c>
      <c r="R95" s="3">
        <f>IF(ISERROR(VLOOKUP($A95,'SegEnds_NonXtal_BW#'!$A:$Z,13,FALSE)+VLOOKUP($A95,A:AL,19,FALSE)-50),"-",VLOOKUP($A95,'SegEnds_NonXtal_BW#'!$A:$Z,13,FALSE)+VLOOKUP($A95,A:AL,19,FALSE)-50)</f>
        <v>154</v>
      </c>
      <c r="S95" s="3">
        <v>154</v>
      </c>
      <c r="T95" s="100">
        <f>IF(ISERROR(VLOOKUP($A95,'SegEnds_NonXtal_BW#'!$A:$Z,14,FALSE)+VLOOKUP($A95,A:AL,19,FALSE)-50),"-",(VLOOKUP($A95,'SegEnds_NonXtal_BW#'!$A:$Z,14,FALSE)+VLOOKUP($A95,A:AL,19,FALSE)-50))</f>
        <v>161</v>
      </c>
      <c r="U95" s="9">
        <f>IF(ISERROR(VLOOKUP($A95,'SegEnds_NonXtal_BW#'!$A:$Z,15,FALSE)+VLOOKUP($A95,A:AL,22,FALSE)-50),"-",VLOOKUP($A95,'SegEnds_NonXtal_BW#'!$A:$Z,15,FALSE)+VLOOKUP($A95,A:AL,22,FALSE)-50)</f>
        <v>162</v>
      </c>
      <c r="V95" s="3">
        <v>174</v>
      </c>
      <c r="W95" s="3">
        <f>IF(ISERROR(VLOOKUP($A95,'SegEnds_NonXtal_BW#'!$A:$Z,16,FALSE)+VLOOKUP($A95,A:AL,22,FALSE)-50),"-",(VLOOKUP($A95,'SegEnds_NonXtal_BW#'!$A:$Z,16,FALSE)+VLOOKUP($A95,A:AL,22,FALSE)-50))</f>
        <v>188</v>
      </c>
      <c r="X95" s="3">
        <f>IF(ISERROR(VLOOKUP($A95,'SegEnds_NonXtal_BW#'!$A:$Z,17,FALSE)+VLOOKUP($A95,A:AL,25,FALSE)-50),"-",(VLOOKUP($A95,'SegEnds_NonXtal_BW#'!$A:$Z,17,FALSE)+VLOOKUP($A95,A:AL,25,FALSE)-50))</f>
        <v>202</v>
      </c>
      <c r="Y95" s="3">
        <v>202</v>
      </c>
      <c r="Z95" s="3">
        <f t="shared" si="64"/>
        <v>204</v>
      </c>
      <c r="AA95" s="3">
        <f>IF(ISERROR(VLOOKUP($A95,'SegEnds_NonXtal_BW#'!$A:$Z,19,FALSE)+VLOOKUP($A95,A:AL,28,FALSE)-50),"-",(VLOOKUP($A95,'SegEnds_NonXtal_BW#'!$A:$Z,19,FALSE)+VLOOKUP($A95,A:AL,28,FALSE)-50))</f>
        <v>212</v>
      </c>
      <c r="AB95" s="3">
        <v>230</v>
      </c>
      <c r="AC95" s="3">
        <f>IF(ISERROR((VLOOKUP($A95,'SegEnds_NonXtal_BW#'!$A:$Z,20,FALSE)+VLOOKUP($A95,A:AL,28,FALSE)-50)),"-",(VLOOKUP($A95,'SegEnds_NonXtal_BW#'!$A:$Z,20,FALSE)+VLOOKUP($A95,A:AL,28,FALSE)-50))</f>
        <v>248</v>
      </c>
      <c r="AD95" s="3">
        <f>IF(ISERROR(VLOOKUP($A95,'SegEnds_NonXtal_BW#'!$A:$Z,21,FALSE)+VLOOKUP($A95,A:AL,31,FALSE)-50),"-",(VLOOKUP($A95,'SegEnds_NonXtal_BW#'!$A:$Z,21,FALSE)+VLOOKUP($A95,A:AL,31,FALSE)-50))</f>
        <v>252</v>
      </c>
      <c r="AE95" s="3">
        <v>274</v>
      </c>
      <c r="AF95" s="3">
        <f>IF(ISERROR((VLOOKUP($A95,'SegEnds_NonXtal_BW#'!$A:$Z,22,FALSE)+VLOOKUP($A95,A:AL,31,FALSE)-50)),"-",(VLOOKUP($A95,'SegEnds_NonXtal_BW#'!$A:$Z,22,FALSE)+VLOOKUP($A95,A:AL,31,FALSE)-50))</f>
        <v>288</v>
      </c>
      <c r="AG95" s="3">
        <f>IF(ISERROR(VLOOKUP($A95,'SegEnds_NonXtal_BW#'!$A:$Z,23,FALSE)+VLOOKUP($A95,A:AL,34,FALSE)-50),"-",(VLOOKUP($A95,'SegEnds_NonXtal_BW#'!$A:$Z,23,FALSE)+VLOOKUP($A95,A:AL,34,FALSE)-50))</f>
        <v>293</v>
      </c>
      <c r="AH95" s="3">
        <v>319</v>
      </c>
      <c r="AI95" s="3">
        <f>IF(ISERROR((VLOOKUP($A95,'SegEnds_NonXtal_BW#'!$A:$Z,24,FALSE)+VLOOKUP($A95,A:AL,34,FALSE)-50)),"-",(VLOOKUP($A95,'SegEnds_NonXtal_BW#'!$A:$Z,24,FALSE)+VLOOKUP($A95,A:AL,34,FALSE)-50))</f>
        <v>325</v>
      </c>
      <c r="AJ95" s="3">
        <f>IF(ISERROR(VLOOKUP($A95,'SegEnds_NonXtal_BW#'!$A:$Z,25,FALSE)+VLOOKUP($A95,A:AL,37,FALSE)-50),"-",(VLOOKUP($A95,'SegEnds_NonXtal_BW#'!$A:$Z,25,FALSE)+VLOOKUP($A95,A:AL,37,FALSE)-50))</f>
        <v>326</v>
      </c>
      <c r="AK95" s="3">
        <v>329</v>
      </c>
      <c r="AL95" s="3">
        <f>IF(ISERROR((VLOOKUP($A95,'SegEnds_NonXtal_BW#'!$A:$Z,26,FALSE)+VLOOKUP($A95,A:AL,37,FALSE)-50)),"-",(VLOOKUP($A95,'SegEnds_NonXtal_BW#'!$A:$Z,26,FALSE)+VLOOKUP($A95,A:AL,37,FALSE)-50))</f>
        <v>338</v>
      </c>
      <c r="AM95" s="28" t="str">
        <f>VLOOKUP(A95,Classification!A:B,2,FALSE)</f>
        <v>A</v>
      </c>
      <c r="AN95" s="28" t="b">
        <f t="shared" si="55"/>
        <v>1</v>
      </c>
      <c r="AO95" s="3" t="str">
        <f>IF(ISERROR(MATCH(A95,'SegEnds_Xtal_Prot#'!B:B, 0)), "NoXtal", "Xtal")</f>
        <v>NoXtal</v>
      </c>
      <c r="AP95" s="3">
        <f t="shared" si="39"/>
        <v>1</v>
      </c>
      <c r="AQ95" s="3">
        <f t="shared" si="40"/>
        <v>1</v>
      </c>
      <c r="AR95" s="3">
        <f t="shared" si="41"/>
        <v>1</v>
      </c>
      <c r="AS95" s="3">
        <f t="shared" si="42"/>
        <v>1</v>
      </c>
      <c r="AT95" s="3">
        <f t="shared" si="43"/>
        <v>1</v>
      </c>
      <c r="AU95" s="3">
        <f t="shared" si="44"/>
        <v>1</v>
      </c>
      <c r="AV95" s="3">
        <f t="shared" si="45"/>
        <v>14</v>
      </c>
      <c r="AW95" s="3">
        <f t="shared" si="46"/>
        <v>8</v>
      </c>
      <c r="AX95" s="3">
        <f t="shared" si="47"/>
        <v>4</v>
      </c>
      <c r="AY95" s="3">
        <f t="shared" si="48"/>
        <v>5</v>
      </c>
      <c r="AZ95" s="3">
        <f t="shared" si="49"/>
        <v>1</v>
      </c>
      <c r="BA95" s="3">
        <f>IF(ISERROR(LEN(VLOOKUP(A95,Seqs!A:E,2,FALSE))-AL95),"-",LEN(VLOOKUP(A95,Seqs!A:E,2,FALSE))-AL95)</f>
        <v>34</v>
      </c>
      <c r="BB95" s="16">
        <f t="shared" si="50"/>
        <v>28</v>
      </c>
      <c r="BC95" s="9">
        <f t="shared" si="51"/>
        <v>20</v>
      </c>
      <c r="BD95" s="3">
        <f t="shared" si="52"/>
        <v>28</v>
      </c>
      <c r="BE95" s="3">
        <f t="shared" si="53"/>
        <v>44</v>
      </c>
    </row>
    <row r="96" spans="1:58" s="3" customFormat="1" x14ac:dyDescent="0.2">
      <c r="A96" s="3" t="s">
        <v>190</v>
      </c>
      <c r="B96" s="3" t="str">
        <f>LOWER(VLOOKUP(A96,Xtal_Templ!A:B,2,FALSE))</f>
        <v>adrb2_human</v>
      </c>
      <c r="C96" s="3">
        <f>VLOOKUP($A96,'SegEnds_NonXtal_BW#'!$A:$Z,3,FALSE)+D96-50</f>
        <v>16</v>
      </c>
      <c r="D96" s="3">
        <v>41</v>
      </c>
      <c r="E96" s="3">
        <f>IF(ISERROR(VLOOKUP($A96,'SegEnds_NonXtal_BW#'!$A:$Z,4,FALSE)+VLOOKUP($A96,A:AL,4,FALSE)-50),"-",(VLOOKUP($A96,'SegEnds_NonXtal_BW#'!$A:$Z,4,FALSE)+VLOOKUP($A96,A:AL,4,FALSE)-50))</f>
        <v>51</v>
      </c>
      <c r="F96" s="3">
        <f t="shared" si="61"/>
        <v>52</v>
      </c>
      <c r="G96" s="3">
        <v>54</v>
      </c>
      <c r="H96" s="3">
        <f t="shared" si="62"/>
        <v>55</v>
      </c>
      <c r="I96" s="3">
        <f t="shared" si="63"/>
        <v>56</v>
      </c>
      <c r="J96" s="3">
        <v>70</v>
      </c>
      <c r="K96" s="3">
        <f>VLOOKUP($A96,'SegEnds_NonXtal_BW#'!$A:$Z,8,FALSE)+VLOOKUP($A96,A:AL,10,FALSE)-50</f>
        <v>86</v>
      </c>
      <c r="L96" s="3">
        <f t="shared" si="65"/>
        <v>89</v>
      </c>
      <c r="M96" s="3">
        <v>90</v>
      </c>
      <c r="N96" s="3">
        <f t="shared" si="66"/>
        <v>92</v>
      </c>
      <c r="O96" s="3">
        <f t="shared" si="67"/>
        <v>93</v>
      </c>
      <c r="P96" s="3">
        <v>121</v>
      </c>
      <c r="Q96" s="3">
        <f>VLOOKUP($A96,'SegEnds_NonXtal_BW#'!$A:$Z,12,FALSE)+VLOOKUP($A96,A:AL,16,FALSE)-50</f>
        <v>127</v>
      </c>
      <c r="R96" s="3">
        <f>IF(ISERROR(VLOOKUP($A96,'SegEnds_NonXtal_BW#'!$A:$Z,13,FALSE)+VLOOKUP($A96,A:AL,19,FALSE)-50),"-",VLOOKUP($A96,'SegEnds_NonXtal_BW#'!$A:$Z,13,FALSE)+VLOOKUP($A96,A:AL,19,FALSE)-50)</f>
        <v>128</v>
      </c>
      <c r="S96" s="3">
        <v>128</v>
      </c>
      <c r="T96" s="100">
        <f>IF(ISERROR(VLOOKUP($A96,'SegEnds_NonXtal_BW#'!$A:$Z,14,FALSE)+VLOOKUP($A96,A:AL,19,FALSE)-50),"-",(VLOOKUP($A96,'SegEnds_NonXtal_BW#'!$A:$Z,14,FALSE)+VLOOKUP($A96,A:AL,19,FALSE)-50))</f>
        <v>135</v>
      </c>
      <c r="U96" s="9">
        <f>IF(ISERROR(VLOOKUP($A96,'SegEnds_NonXtal_BW#'!$A:$Z,15,FALSE)+VLOOKUP($A96,A:AL,22,FALSE)-50),"-",VLOOKUP($A96,'SegEnds_NonXtal_BW#'!$A:$Z,15,FALSE)+VLOOKUP($A96,A:AL,22,FALSE)-50)</f>
        <v>136</v>
      </c>
      <c r="V96" s="3">
        <v>148</v>
      </c>
      <c r="W96" s="3">
        <f>IF(ISERROR(VLOOKUP($A96,'SegEnds_NonXtal_BW#'!$A:$Z,16,FALSE)+VLOOKUP($A96,A:AL,22,FALSE)-50),"-",(VLOOKUP($A96,'SegEnds_NonXtal_BW#'!$A:$Z,16,FALSE)+VLOOKUP($A96,A:AL,22,FALSE)-50))</f>
        <v>162</v>
      </c>
      <c r="X96" s="3">
        <f>IF(ISERROR(VLOOKUP($A96,'SegEnds_NonXtal_BW#'!$A:$Z,17,FALSE)+VLOOKUP($A96,A:AL,25,FALSE)-50),"-",(VLOOKUP($A96,'SegEnds_NonXtal_BW#'!$A:$Z,17,FALSE)+VLOOKUP($A96,A:AL,25,FALSE)-50))</f>
        <v>186</v>
      </c>
      <c r="Y96" s="3">
        <v>186</v>
      </c>
      <c r="Z96" s="3">
        <f t="shared" si="64"/>
        <v>188</v>
      </c>
      <c r="AA96" s="3">
        <f>IF(ISERROR(VLOOKUP($A96,'SegEnds_NonXtal_BW#'!$A:$Z,19,FALSE)+VLOOKUP($A96,A:AL,28,FALSE)-50),"-",(VLOOKUP($A96,'SegEnds_NonXtal_BW#'!$A:$Z,19,FALSE)+VLOOKUP($A96,A:AL,28,FALSE)-50))</f>
        <v>191</v>
      </c>
      <c r="AB96" s="3">
        <v>206</v>
      </c>
      <c r="AC96" s="3">
        <f>IF(ISERROR((VLOOKUP($A96,'SegEnds_NonXtal_BW#'!$A:$Z,20,FALSE)+VLOOKUP($A96,A:AL,28,FALSE)-50)),"-",(VLOOKUP($A96,'SegEnds_NonXtal_BW#'!$A:$Z,20,FALSE)+VLOOKUP($A96,A:AL,28,FALSE)-50))</f>
        <v>232</v>
      </c>
      <c r="AD96" s="3">
        <f>IF(ISERROR(VLOOKUP($A96,'SegEnds_NonXtal_BW#'!$A:$Z,21,FALSE)+VLOOKUP($A96,A:AL,31,FALSE)-50),"-",(VLOOKUP($A96,'SegEnds_NonXtal_BW#'!$A:$Z,21,FALSE)+VLOOKUP($A96,A:AL,31,FALSE)-50))</f>
        <v>261</v>
      </c>
      <c r="AE96" s="3">
        <v>287</v>
      </c>
      <c r="AF96" s="3">
        <f>IF(ISERROR((VLOOKUP($A96,'SegEnds_NonXtal_BW#'!$A:$Z,22,FALSE)+VLOOKUP($A96,A:AL,31,FALSE)-50)),"-",(VLOOKUP($A96,'SegEnds_NonXtal_BW#'!$A:$Z,22,FALSE)+VLOOKUP($A96,A:AL,31,FALSE)-50))</f>
        <v>298</v>
      </c>
      <c r="AG96" s="3">
        <f>IF(ISERROR(VLOOKUP($A96,'SegEnds_NonXtal_BW#'!$A:$Z,23,FALSE)+VLOOKUP($A96,A:AL,34,FALSE)-50),"-",(VLOOKUP($A96,'SegEnds_NonXtal_BW#'!$A:$Z,23,FALSE)+VLOOKUP($A96,A:AL,34,FALSE)-50))</f>
        <v>306</v>
      </c>
      <c r="AH96" s="3">
        <v>328</v>
      </c>
      <c r="AI96" s="3">
        <v>334</v>
      </c>
      <c r="AJ96" s="3">
        <f>IF(ISERROR(VLOOKUP($A96,'SegEnds_NonXtal_BW#'!$A:$Z,25,FALSE)+VLOOKUP($A96,A:AL,37,FALSE)-50),"-",(VLOOKUP($A96,'SegEnds_NonXtal_BW#'!$A:$Z,25,FALSE)+VLOOKUP($A96,A:AL,37,FALSE)-50))</f>
        <v>335</v>
      </c>
      <c r="AK96" s="3">
        <v>338</v>
      </c>
      <c r="AL96" s="3">
        <f>IF(ISERROR((VLOOKUP($A96,'SegEnds_NonXtal_BW#'!$A:$Z,26,FALSE)+VLOOKUP($A96,A:AL,37,FALSE)-50)),"-",(VLOOKUP($A96,'SegEnds_NonXtal_BW#'!$A:$Z,26,FALSE)+VLOOKUP($A96,A:AL,37,FALSE)-50))</f>
        <v>347</v>
      </c>
      <c r="AM96" s="28" t="str">
        <f>VLOOKUP(A96,Classification!A:B,2,FALSE)</f>
        <v>A</v>
      </c>
      <c r="AN96" s="28" t="b">
        <f t="shared" si="55"/>
        <v>1</v>
      </c>
      <c r="AO96" s="3" t="str">
        <f>IF(ISERROR(MATCH(A96,'SegEnds_Xtal_Prot#'!B:B, 0)), "NoXtal", "Xtal")</f>
        <v>NoXtal</v>
      </c>
      <c r="AP96" s="3">
        <f t="shared" si="39"/>
        <v>1</v>
      </c>
      <c r="AQ96" s="3">
        <f t="shared" si="40"/>
        <v>1</v>
      </c>
      <c r="AR96" s="3">
        <f t="shared" si="41"/>
        <v>3</v>
      </c>
      <c r="AS96" s="3">
        <f t="shared" si="42"/>
        <v>1</v>
      </c>
      <c r="AT96" s="3">
        <f t="shared" si="43"/>
        <v>1</v>
      </c>
      <c r="AU96" s="3">
        <f t="shared" si="44"/>
        <v>1</v>
      </c>
      <c r="AV96" s="3">
        <f t="shared" si="45"/>
        <v>24</v>
      </c>
      <c r="AW96" s="3">
        <f t="shared" si="46"/>
        <v>3</v>
      </c>
      <c r="AX96" s="3">
        <f t="shared" si="47"/>
        <v>29</v>
      </c>
      <c r="AY96" s="3">
        <f t="shared" si="48"/>
        <v>8</v>
      </c>
      <c r="AZ96" s="3">
        <f t="shared" si="49"/>
        <v>1</v>
      </c>
      <c r="BA96" s="3">
        <f>IF(ISERROR(LEN(VLOOKUP(A96,Seqs!A:E,2,FALSE))-AL96),"-",LEN(VLOOKUP(A96,Seqs!A:E,2,FALSE))-AL96)</f>
        <v>99</v>
      </c>
      <c r="BB96" s="16">
        <f t="shared" si="50"/>
        <v>29</v>
      </c>
      <c r="BC96" s="9">
        <f t="shared" si="51"/>
        <v>20</v>
      </c>
      <c r="BD96" s="3">
        <f t="shared" si="52"/>
        <v>29</v>
      </c>
      <c r="BE96" s="3">
        <f t="shared" si="53"/>
        <v>81</v>
      </c>
    </row>
    <row r="97" spans="1:58" s="3" customFormat="1" x14ac:dyDescent="0.2">
      <c r="A97" s="3" t="s">
        <v>193</v>
      </c>
      <c r="B97" s="3" t="str">
        <f>LOWER(VLOOKUP(A97,Xtal_Templ!A:B,2,FALSE))</f>
        <v>drd4_human</v>
      </c>
      <c r="C97" s="3">
        <f>VLOOKUP($A97,'SegEnds_NonXtal_BW#'!$A:$Z,3,FALSE)+D97-50</f>
        <v>31</v>
      </c>
      <c r="D97" s="3">
        <v>52</v>
      </c>
      <c r="E97" s="3">
        <f>IF(ISERROR(VLOOKUP($A97,'SegEnds_NonXtal_BW#'!$A:$Z,4,FALSE)+VLOOKUP($A97,A:AL,4,FALSE)-50),"-",(VLOOKUP($A97,'SegEnds_NonXtal_BW#'!$A:$Z,4,FALSE)+VLOOKUP($A97,A:AL,4,FALSE)-50))</f>
        <v>62</v>
      </c>
      <c r="F97" s="3">
        <f t="shared" si="61"/>
        <v>63</v>
      </c>
      <c r="G97" s="3">
        <v>65</v>
      </c>
      <c r="H97" s="3">
        <f t="shared" si="62"/>
        <v>66</v>
      </c>
      <c r="I97" s="3">
        <f t="shared" si="63"/>
        <v>67</v>
      </c>
      <c r="J97" s="3">
        <v>80</v>
      </c>
      <c r="K97" s="3">
        <f>VLOOKUP($A97,'SegEnds_NonXtal_BW#'!$A:$Z,8,FALSE)+VLOOKUP($A97,A:AL,10,FALSE)-50</f>
        <v>97</v>
      </c>
      <c r="L97" s="3">
        <f t="shared" si="65"/>
        <v>100</v>
      </c>
      <c r="M97" s="3">
        <v>101</v>
      </c>
      <c r="N97" s="3">
        <f t="shared" si="66"/>
        <v>103</v>
      </c>
      <c r="O97" s="3">
        <f t="shared" si="67"/>
        <v>104</v>
      </c>
      <c r="P97" s="3">
        <v>133</v>
      </c>
      <c r="Q97" s="3">
        <f>VLOOKUP($A97,'SegEnds_NonXtal_BW#'!$A:$Z,12,FALSE)+VLOOKUP($A97,A:AL,16,FALSE)-50</f>
        <v>139</v>
      </c>
      <c r="R97" s="3">
        <f>IF(ISERROR(VLOOKUP($A97,'SegEnds_NonXtal_BW#'!$A:$Z,13,FALSE)+VLOOKUP($A97,A:AL,19,FALSE)-50),"-",VLOOKUP($A97,'SegEnds_NonXtal_BW#'!$A:$Z,13,FALSE)+VLOOKUP($A97,A:AL,19,FALSE)-50)</f>
        <v>140</v>
      </c>
      <c r="S97" s="3">
        <v>140</v>
      </c>
      <c r="T97" s="100">
        <f>IF(ISERROR(VLOOKUP($A97,'SegEnds_NonXtal_BW#'!$A:$Z,14,FALSE)+VLOOKUP($A97,A:AL,19,FALSE)-50),"-",(VLOOKUP($A97,'SegEnds_NonXtal_BW#'!$A:$Z,14,FALSE)+VLOOKUP($A97,A:AL,19,FALSE)-50))</f>
        <v>147</v>
      </c>
      <c r="U97" s="9">
        <f>IF(ISERROR(VLOOKUP($A97,'SegEnds_NonXtal_BW#'!$A:$Z,15,FALSE)+VLOOKUP($A97,A:AL,22,FALSE)-50),"-",VLOOKUP($A97,'SegEnds_NonXtal_BW#'!$A:$Z,15,FALSE)+VLOOKUP($A97,A:AL,22,FALSE)-50)</f>
        <v>148</v>
      </c>
      <c r="V97" s="3">
        <v>160</v>
      </c>
      <c r="W97" s="3">
        <f>IF(ISERROR(VLOOKUP($A97,'SegEnds_NonXtal_BW#'!$A:$Z,16,FALSE)+VLOOKUP($A97,A:AL,22,FALSE)-50),"-",(VLOOKUP($A97,'SegEnds_NonXtal_BW#'!$A:$Z,16,FALSE)+VLOOKUP($A97,A:AL,22,FALSE)-50))</f>
        <v>173</v>
      </c>
      <c r="X97" s="3">
        <f>IF(ISERROR(VLOOKUP($A97,'SegEnds_NonXtal_BW#'!$A:$Z,17,FALSE)+VLOOKUP($A97,A:AL,25,FALSE)-50),"-",(VLOOKUP($A97,'SegEnds_NonXtal_BW#'!$A:$Z,17,FALSE)+VLOOKUP($A97,A:AL,25,FALSE)-50))</f>
        <v>185</v>
      </c>
      <c r="Y97" s="3">
        <v>185</v>
      </c>
      <c r="Z97" s="3">
        <f t="shared" si="64"/>
        <v>187</v>
      </c>
      <c r="AA97" s="3">
        <f>IF(ISERROR(VLOOKUP($A97,'SegEnds_NonXtal_BW#'!$A:$Z,19,FALSE)+VLOOKUP($A97,A:AL,28,FALSE)-50),"-",(VLOOKUP($A97,'SegEnds_NonXtal_BW#'!$A:$Z,19,FALSE)+VLOOKUP($A97,A:AL,28,FALSE)-50))</f>
        <v>189</v>
      </c>
      <c r="AB97" s="3">
        <v>204</v>
      </c>
      <c r="AC97" s="3">
        <f>IF(ISERROR((VLOOKUP($A97,'SegEnds_NonXtal_BW#'!$A:$Z,20,FALSE)+VLOOKUP($A97,A:AL,28,FALSE)-50)),"-",(VLOOKUP($A97,'SegEnds_NonXtal_BW#'!$A:$Z,20,FALSE)+VLOOKUP($A97,A:AL,28,FALSE)-50))</f>
        <v>229</v>
      </c>
      <c r="AD97" s="3">
        <f>IF(ISERROR(VLOOKUP($A97,'SegEnds_NonXtal_BW#'!$A:$Z,21,FALSE)+VLOOKUP($A97,A:AL,31,FALSE)-50),"-",(VLOOKUP($A97,'SegEnds_NonXtal_BW#'!$A:$Z,21,FALSE)+VLOOKUP($A97,A:AL,31,FALSE)-50))</f>
        <v>383</v>
      </c>
      <c r="AE97" s="3">
        <v>409</v>
      </c>
      <c r="AF97" s="3">
        <f>IF(ISERROR((VLOOKUP($A97,'SegEnds_NonXtal_BW#'!$A:$Z,22,FALSE)+VLOOKUP($A97,A:AL,31,FALSE)-50)),"-",(VLOOKUP($A97,'SegEnds_NonXtal_BW#'!$A:$Z,22,FALSE)+VLOOKUP($A97,A:AL,31,FALSE)-50))</f>
        <v>420</v>
      </c>
      <c r="AG97" s="3">
        <f>IF(ISERROR(VLOOKUP($A97,'SegEnds_NonXtal_BW#'!$A:$Z,23,FALSE)+VLOOKUP($A97,A:AL,34,FALSE)-50),"-",(VLOOKUP($A97,'SegEnds_NonXtal_BW#'!$A:$Z,23,FALSE)+VLOOKUP($A97,A:AL,34,FALSE)-50))</f>
        <v>426</v>
      </c>
      <c r="AH97" s="3">
        <v>445</v>
      </c>
      <c r="AI97" s="3">
        <f>IF(ISERROR((VLOOKUP($A97,'SegEnds_NonXtal_BW#'!$A:$Z,24,FALSE)+VLOOKUP($A97,A:AL,34,FALSE)-50)),"-",(VLOOKUP($A97,'SegEnds_NonXtal_BW#'!$A:$Z,24,FALSE)+VLOOKUP($A97,A:AL,34,FALSE)-50))</f>
        <v>451</v>
      </c>
      <c r="AJ97" s="3">
        <f>IF(ISERROR(VLOOKUP($A97,'SegEnds_NonXtal_BW#'!$A:$Z,25,FALSE)+VLOOKUP($A97,A:AL,37,FALSE)-50),"-",(VLOOKUP($A97,'SegEnds_NonXtal_BW#'!$A:$Z,25,FALSE)+VLOOKUP($A97,A:AL,37,FALSE)-50))</f>
        <v>452</v>
      </c>
      <c r="AK97" s="3">
        <v>455</v>
      </c>
      <c r="AL97" s="3">
        <f>IF(ISERROR((VLOOKUP($A97,'SegEnds_NonXtal_BW#'!$A:$Z,26,FALSE)+VLOOKUP($A97,A:AL,37,FALSE)-50)),"-",(VLOOKUP($A97,'SegEnds_NonXtal_BW#'!$A:$Z,26,FALSE)+VLOOKUP($A97,A:AL,37,FALSE)-50))</f>
        <v>464</v>
      </c>
      <c r="AM97" s="28" t="str">
        <f>VLOOKUP(A97,Classification!A:B,2,FALSE)</f>
        <v>A</v>
      </c>
      <c r="AN97" s="28" t="b">
        <f t="shared" si="55"/>
        <v>1</v>
      </c>
      <c r="AO97" s="3" t="str">
        <f>IF(ISERROR(MATCH(A97,'SegEnds_Xtal_Prot#'!B:B, 0)), "NoXtal", "Xtal")</f>
        <v>Xtal</v>
      </c>
      <c r="AP97" s="3">
        <f t="shared" si="39"/>
        <v>1</v>
      </c>
      <c r="AQ97" s="3">
        <f t="shared" si="40"/>
        <v>1</v>
      </c>
      <c r="AR97" s="3">
        <f t="shared" si="41"/>
        <v>3</v>
      </c>
      <c r="AS97" s="3">
        <f t="shared" si="42"/>
        <v>1</v>
      </c>
      <c r="AT97" s="3">
        <f t="shared" si="43"/>
        <v>1</v>
      </c>
      <c r="AU97" s="3">
        <f t="shared" si="44"/>
        <v>1</v>
      </c>
      <c r="AV97" s="3">
        <f t="shared" si="45"/>
        <v>12</v>
      </c>
      <c r="AW97" s="3">
        <f t="shared" si="46"/>
        <v>2</v>
      </c>
      <c r="AX97" s="3">
        <f t="shared" si="47"/>
        <v>154</v>
      </c>
      <c r="AY97" s="3">
        <f t="shared" si="48"/>
        <v>6</v>
      </c>
      <c r="AZ97" s="3">
        <f t="shared" si="49"/>
        <v>1</v>
      </c>
      <c r="BA97" s="3">
        <f>IF(ISERROR(LEN(VLOOKUP(A97,Seqs!A:E,2,FALSE))-AL97),"-",LEN(VLOOKUP(A97,Seqs!A:E,2,FALSE))-AL97)</f>
        <v>3</v>
      </c>
      <c r="BB97" s="16">
        <f t="shared" si="50"/>
        <v>28</v>
      </c>
      <c r="BC97" s="9">
        <f t="shared" si="51"/>
        <v>20</v>
      </c>
      <c r="BD97" s="3">
        <f t="shared" si="52"/>
        <v>28</v>
      </c>
      <c r="BE97" s="3">
        <f t="shared" si="53"/>
        <v>205</v>
      </c>
      <c r="BF97" s="3">
        <f>AH97-AE97</f>
        <v>36</v>
      </c>
    </row>
    <row r="98" spans="1:58" s="3" customFormat="1" x14ac:dyDescent="0.2">
      <c r="A98" s="3" t="s">
        <v>194</v>
      </c>
      <c r="B98" s="3" t="str">
        <f>LOWER(VLOOKUP(A98,Xtal_Templ!A:B,2,FALSE))</f>
        <v>adrb2_human</v>
      </c>
      <c r="C98" s="3">
        <f>VLOOKUP($A98,'SegEnds_NonXtal_BW#'!$A:$Z,3,FALSE)+D98-50</f>
        <v>33</v>
      </c>
      <c r="D98" s="3">
        <v>58</v>
      </c>
      <c r="E98" s="3">
        <f>IF(ISERROR(VLOOKUP($A98,'SegEnds_NonXtal_BW#'!$A:$Z,4,FALSE)+VLOOKUP($A98,A:AL,4,FALSE)-50),"-",(VLOOKUP($A98,'SegEnds_NonXtal_BW#'!$A:$Z,4,FALSE)+VLOOKUP($A98,A:AL,4,FALSE)-50))</f>
        <v>68</v>
      </c>
      <c r="F98" s="3">
        <f t="shared" si="61"/>
        <v>69</v>
      </c>
      <c r="G98" s="3">
        <v>71</v>
      </c>
      <c r="H98" s="3">
        <f t="shared" si="62"/>
        <v>72</v>
      </c>
      <c r="I98" s="3">
        <f t="shared" si="63"/>
        <v>73</v>
      </c>
      <c r="J98" s="3">
        <v>87</v>
      </c>
      <c r="K98" s="3">
        <f>VLOOKUP($A98,'SegEnds_NonXtal_BW#'!$A:$Z,8,FALSE)+VLOOKUP($A98,A:AL,10,FALSE)-50</f>
        <v>103</v>
      </c>
      <c r="L98" s="3">
        <f t="shared" si="65"/>
        <v>106</v>
      </c>
      <c r="M98" s="3">
        <v>107</v>
      </c>
      <c r="N98" s="3">
        <f t="shared" si="66"/>
        <v>109</v>
      </c>
      <c r="O98" s="3">
        <f t="shared" si="67"/>
        <v>110</v>
      </c>
      <c r="P98" s="3">
        <v>138</v>
      </c>
      <c r="Q98" s="3">
        <f>VLOOKUP($A98,'SegEnds_NonXtal_BW#'!$A:$Z,12,FALSE)+VLOOKUP($A98,A:AL,16,FALSE)-50</f>
        <v>144</v>
      </c>
      <c r="R98" s="3">
        <f>IF(ISERROR(VLOOKUP($A98,'SegEnds_NonXtal_BW#'!$A:$Z,13,FALSE)+VLOOKUP($A98,A:AL,19,FALSE)-50),"-",VLOOKUP($A98,'SegEnds_NonXtal_BW#'!$A:$Z,13,FALSE)+VLOOKUP($A98,A:AL,19,FALSE)-50)</f>
        <v>145</v>
      </c>
      <c r="S98" s="3">
        <v>145</v>
      </c>
      <c r="T98" s="100">
        <f>IF(ISERROR(VLOOKUP($A98,'SegEnds_NonXtal_BW#'!$A:$Z,14,FALSE)+VLOOKUP($A98,A:AL,19,FALSE)-50),"-",(VLOOKUP($A98,'SegEnds_NonXtal_BW#'!$A:$Z,14,FALSE)+VLOOKUP($A98,A:AL,19,FALSE)-50))</f>
        <v>152</v>
      </c>
      <c r="U98" s="9">
        <f>IF(ISERROR(VLOOKUP($A98,'SegEnds_NonXtal_BW#'!$A:$Z,15,FALSE)+VLOOKUP($A98,A:AL,22,FALSE)-50),"-",VLOOKUP($A98,'SegEnds_NonXtal_BW#'!$A:$Z,15,FALSE)+VLOOKUP($A98,A:AL,22,FALSE)-50)</f>
        <v>153</v>
      </c>
      <c r="V98" s="3">
        <v>165</v>
      </c>
      <c r="W98" s="3">
        <f>IF(ISERROR(VLOOKUP($A98,'SegEnds_NonXtal_BW#'!$A:$Z,16,FALSE)+VLOOKUP($A98,A:AL,22,FALSE)-50),"-",(VLOOKUP($A98,'SegEnds_NonXtal_BW#'!$A:$Z,16,FALSE)+VLOOKUP($A98,A:AL,22,FALSE)-50))</f>
        <v>179</v>
      </c>
      <c r="X98" s="3">
        <f>IF(ISERROR(VLOOKUP($A98,'SegEnds_NonXtal_BW#'!$A:$Z,17,FALSE)+VLOOKUP($A98,A:AL,25,FALSE)-50),"-",(VLOOKUP($A98,'SegEnds_NonXtal_BW#'!$A:$Z,17,FALSE)+VLOOKUP($A98,A:AL,25,FALSE)-50))</f>
        <v>217</v>
      </c>
      <c r="Y98" s="3">
        <v>217</v>
      </c>
      <c r="Z98" s="3">
        <f t="shared" si="64"/>
        <v>219</v>
      </c>
      <c r="AA98" s="3">
        <f>IF(ISERROR(VLOOKUP($A98,'SegEnds_NonXtal_BW#'!$A:$Z,19,FALSE)+VLOOKUP($A98,A:AL,28,FALSE)-50),"-",(VLOOKUP($A98,'SegEnds_NonXtal_BW#'!$A:$Z,19,FALSE)+VLOOKUP($A98,A:AL,28,FALSE)-50))</f>
        <v>222</v>
      </c>
      <c r="AB98" s="3">
        <v>237</v>
      </c>
      <c r="AC98" s="3">
        <f>IF(ISERROR((VLOOKUP($A98,'SegEnds_NonXtal_BW#'!$A:$Z,20,FALSE)+VLOOKUP($A98,A:AL,28,FALSE)-50)),"-",(VLOOKUP($A98,'SegEnds_NonXtal_BW#'!$A:$Z,20,FALSE)+VLOOKUP($A98,A:AL,28,FALSE)-50))</f>
        <v>263</v>
      </c>
      <c r="AD98" s="3">
        <f>IF(ISERROR(VLOOKUP($A98,'SegEnds_NonXtal_BW#'!$A:$Z,21,FALSE)+VLOOKUP($A98,A:AL,31,FALSE)-50),"-",(VLOOKUP($A98,'SegEnds_NonXtal_BW#'!$A:$Z,21,FALSE)+VLOOKUP($A98,A:AL,31,FALSE)-50))</f>
        <v>285</v>
      </c>
      <c r="AE98" s="3">
        <v>311</v>
      </c>
      <c r="AF98" s="3">
        <f>IF(ISERROR((VLOOKUP($A98,'SegEnds_NonXtal_BW#'!$A:$Z,22,FALSE)+VLOOKUP($A98,A:AL,31,FALSE)-50)),"-",(VLOOKUP($A98,'SegEnds_NonXtal_BW#'!$A:$Z,22,FALSE)+VLOOKUP($A98,A:AL,31,FALSE)-50))</f>
        <v>325</v>
      </c>
      <c r="AG98" s="3">
        <f>IF(ISERROR(VLOOKUP($A98,'SegEnds_NonXtal_BW#'!$A:$Z,23,FALSE)+VLOOKUP($A98,A:AL,34,FALSE)-50),"-",(VLOOKUP($A98,'SegEnds_NonXtal_BW#'!$A:$Z,23,FALSE)+VLOOKUP($A98,A:AL,34,FALSE)-50))</f>
        <v>330</v>
      </c>
      <c r="AH98" s="3">
        <v>356</v>
      </c>
      <c r="AI98" s="3">
        <v>362</v>
      </c>
      <c r="AJ98" s="3">
        <f>IF(ISERROR(VLOOKUP($A98,'SegEnds_NonXtal_BW#'!$A:$Z,25,FALSE)+VLOOKUP($A98,A:AL,37,FALSE)-50),"-",(VLOOKUP($A98,'SegEnds_NonXtal_BW#'!$A:$Z,25,FALSE)+VLOOKUP($A98,A:AL,37,FALSE)-50))</f>
        <v>363</v>
      </c>
      <c r="AK98" s="3">
        <v>366</v>
      </c>
      <c r="AL98" s="3">
        <f>IF(ISERROR((VLOOKUP($A98,'SegEnds_NonXtal_BW#'!$A:$Z,26,FALSE)+VLOOKUP($A98,A:AL,37,FALSE)-50)),"-",(VLOOKUP($A98,'SegEnds_NonXtal_BW#'!$A:$Z,26,FALSE)+VLOOKUP($A98,A:AL,37,FALSE)-50))</f>
        <v>375</v>
      </c>
      <c r="AM98" s="28" t="str">
        <f>VLOOKUP(A98,Classification!A:B,2,FALSE)</f>
        <v>A</v>
      </c>
      <c r="AN98" s="28" t="b">
        <f t="shared" si="55"/>
        <v>1</v>
      </c>
      <c r="AO98" s="3" t="str">
        <f>IF(ISERROR(MATCH(A98,'SegEnds_Xtal_Prot#'!B:B, 0)), "NoXtal", "Xtal")</f>
        <v>NoXtal</v>
      </c>
      <c r="AP98" s="3">
        <f t="shared" si="39"/>
        <v>1</v>
      </c>
      <c r="AQ98" s="3">
        <f t="shared" si="40"/>
        <v>1</v>
      </c>
      <c r="AR98" s="3">
        <f t="shared" si="41"/>
        <v>3</v>
      </c>
      <c r="AS98" s="3">
        <f t="shared" si="42"/>
        <v>1</v>
      </c>
      <c r="AT98" s="3">
        <f t="shared" si="43"/>
        <v>1</v>
      </c>
      <c r="AU98" s="3">
        <f t="shared" si="44"/>
        <v>1</v>
      </c>
      <c r="AV98" s="3">
        <f t="shared" si="45"/>
        <v>38</v>
      </c>
      <c r="AW98" s="3">
        <f t="shared" si="46"/>
        <v>3</v>
      </c>
      <c r="AX98" s="3">
        <f t="shared" si="47"/>
        <v>22</v>
      </c>
      <c r="AY98" s="3">
        <f t="shared" si="48"/>
        <v>5</v>
      </c>
      <c r="AZ98" s="3">
        <f t="shared" si="49"/>
        <v>1</v>
      </c>
      <c r="BA98" s="3">
        <f>IF(ISERROR(LEN(VLOOKUP(A98,Seqs!A:E,2,FALSE))-AL98),"-",LEN(VLOOKUP(A98,Seqs!A:E,2,FALSE))-AL98)</f>
        <v>102</v>
      </c>
      <c r="BB98" s="16">
        <f t="shared" si="50"/>
        <v>29</v>
      </c>
      <c r="BC98" s="9">
        <f t="shared" si="51"/>
        <v>20</v>
      </c>
      <c r="BD98" s="3">
        <f t="shared" si="52"/>
        <v>29</v>
      </c>
      <c r="BE98" s="3">
        <f t="shared" si="53"/>
        <v>74</v>
      </c>
    </row>
    <row r="99" spans="1:58" s="3" customFormat="1" x14ac:dyDescent="0.2">
      <c r="A99" s="3" t="s">
        <v>195</v>
      </c>
      <c r="B99" s="3" t="str">
        <f>LOWER(VLOOKUP(A99,Xtal_Templ!A:B,2,FALSE))</f>
        <v>ednrb_human</v>
      </c>
      <c r="C99" s="3">
        <f>VLOOKUP($A99,'SegEnds_NonXtal_BW#'!$A:$Z,3,FALSE)+D99-50</f>
        <v>70</v>
      </c>
      <c r="D99" s="3">
        <v>98</v>
      </c>
      <c r="E99" s="3">
        <f>IF(ISERROR(VLOOKUP($A99,'SegEnds_NonXtal_BW#'!$A:$Z,4,FALSE)+VLOOKUP($A99,A:AL,4,FALSE)-50),"-",(VLOOKUP($A99,'SegEnds_NonXtal_BW#'!$A:$Z,4,FALSE)+VLOOKUP($A99,A:AL,4,FALSE)-50))</f>
        <v>108</v>
      </c>
      <c r="F99" s="3">
        <f t="shared" si="61"/>
        <v>109</v>
      </c>
      <c r="G99" s="3">
        <v>111</v>
      </c>
      <c r="H99" s="3">
        <v>113</v>
      </c>
      <c r="I99" s="3">
        <f t="shared" si="63"/>
        <v>114</v>
      </c>
      <c r="J99" s="3">
        <v>126</v>
      </c>
      <c r="K99" s="3">
        <f>VLOOKUP($A99,'SegEnds_NonXtal_BW#'!$A:$Z,8,FALSE)+VLOOKUP($A99,A:AL,10,FALSE)-50</f>
        <v>143</v>
      </c>
      <c r="L99" s="3">
        <f t="shared" si="65"/>
        <v>145</v>
      </c>
      <c r="M99" s="3">
        <v>146</v>
      </c>
      <c r="N99" s="3">
        <f t="shared" si="66"/>
        <v>148</v>
      </c>
      <c r="O99" s="3">
        <f t="shared" si="67"/>
        <v>149</v>
      </c>
      <c r="P99" s="3">
        <v>183</v>
      </c>
      <c r="Q99" s="3">
        <f>VLOOKUP($A99,'SegEnds_NonXtal_BW#'!$A:$Z,12,FALSE)+VLOOKUP($A99,A:AL,16,FALSE)-50</f>
        <v>189</v>
      </c>
      <c r="R99" s="3">
        <f>IF(ISERROR(VLOOKUP($A99,'SegEnds_NonXtal_BW#'!$A:$Z,13,FALSE)+VLOOKUP($A99,A:AL,19,FALSE)-50),"-",VLOOKUP($A99,'SegEnds_NonXtal_BW#'!$A:$Z,13,FALSE)+VLOOKUP($A99,A:AL,19,FALSE)-50)</f>
        <v>190</v>
      </c>
      <c r="S99" s="3">
        <v>190</v>
      </c>
      <c r="T99" s="100">
        <f>IF(ISERROR(VLOOKUP($A99,'SegEnds_NonXtal_BW#'!$A:$Z,14,FALSE)+VLOOKUP($A99,A:AL,19,FALSE)-50),"-",(VLOOKUP($A99,'SegEnds_NonXtal_BW#'!$A:$Z,14,FALSE)+VLOOKUP($A99,A:AL,19,FALSE)-50))</f>
        <v>197</v>
      </c>
      <c r="U99" s="9">
        <f>IF(ISERROR(VLOOKUP($A99,'SegEnds_NonXtal_BW#'!$A:$Z,15,FALSE)+VLOOKUP($A99,A:AL,22,FALSE)-50),"-",VLOOKUP($A99,'SegEnds_NonXtal_BW#'!$A:$Z,15,FALSE)+VLOOKUP($A99,A:AL,22,FALSE)-50)</f>
        <v>198</v>
      </c>
      <c r="V99" s="3">
        <v>210</v>
      </c>
      <c r="W99" s="3">
        <f>IF(ISERROR(VLOOKUP($A99,'SegEnds_NonXtal_BW#'!$A:$Z,16,FALSE)+VLOOKUP($A99,A:AL,22,FALSE)-50),"-",(VLOOKUP($A99,'SegEnds_NonXtal_BW#'!$A:$Z,16,FALSE)+VLOOKUP($A99,A:AL,22,FALSE)-50))</f>
        <v>224</v>
      </c>
      <c r="X99" s="3">
        <f>IF(ISERROR(VLOOKUP($A99,'SegEnds_NonXtal_BW#'!$A:$Z,17,FALSE)+VLOOKUP($A99,A:AL,25,FALSE)-50),"-",(VLOOKUP($A99,'SegEnds_NonXtal_BW#'!$A:$Z,17,FALSE)+VLOOKUP($A99,A:AL,25,FALSE)-50))</f>
        <v>239</v>
      </c>
      <c r="Y99" s="3">
        <v>239</v>
      </c>
      <c r="Z99" s="3">
        <f t="shared" si="64"/>
        <v>241</v>
      </c>
      <c r="AA99" s="3">
        <f>IF(ISERROR(VLOOKUP($A99,'SegEnds_NonXtal_BW#'!$A:$Z,19,FALSE)+VLOOKUP($A99,A:AL,28,FALSE)-50),"-",(VLOOKUP($A99,'SegEnds_NonXtal_BW#'!$A:$Z,19,FALSE)+VLOOKUP($A99,A:AL,28,FALSE)-50))</f>
        <v>245</v>
      </c>
      <c r="AB99" s="3">
        <v>267</v>
      </c>
      <c r="AC99" s="3">
        <f>IF(ISERROR((VLOOKUP($A99,'SegEnds_NonXtal_BW#'!$A:$Z,20,FALSE)+VLOOKUP($A99,A:AL,28,FALSE)-50)),"-",(VLOOKUP($A99,'SegEnds_NonXtal_BW#'!$A:$Z,20,FALSE)+VLOOKUP($A99,A:AL,28,FALSE)-50))</f>
        <v>289</v>
      </c>
      <c r="AD99" s="3">
        <f>IF(ISERROR(VLOOKUP($A99,'SegEnds_NonXtal_BW#'!$A:$Z,21,FALSE)+VLOOKUP($A99,A:AL,31,FALSE)-50),"-",(VLOOKUP($A99,'SegEnds_NonXtal_BW#'!$A:$Z,21,FALSE)+VLOOKUP($A99,A:AL,31,FALSE)-50))</f>
        <v>295</v>
      </c>
      <c r="AE99" s="3">
        <v>321</v>
      </c>
      <c r="AF99" s="3">
        <f>IF(ISERROR((VLOOKUP($A99,'SegEnds_NonXtal_BW#'!$A:$Z,22,FALSE)+VLOOKUP($A99,A:AL,31,FALSE)-50)),"-",(VLOOKUP($A99,'SegEnds_NonXtal_BW#'!$A:$Z,22,FALSE)+VLOOKUP($A99,A:AL,31,FALSE)-50))</f>
        <v>333</v>
      </c>
      <c r="AG99" s="3">
        <f>IF(ISERROR(VLOOKUP($A99,'SegEnds_NonXtal_BW#'!$A:$Z,23,FALSE)+VLOOKUP($A99,A:AL,34,FALSE)-50),"-",(VLOOKUP($A99,'SegEnds_NonXtal_BW#'!$A:$Z,23,FALSE)+VLOOKUP($A99,A:AL,34,FALSE)-50))</f>
        <v>340</v>
      </c>
      <c r="AH99" s="3">
        <v>366</v>
      </c>
      <c r="AI99" s="3">
        <f>IF(ISERROR((VLOOKUP($A99,'SegEnds_NonXtal_BW#'!$A:$Z,24,FALSE)+VLOOKUP($A99,A:AL,34,FALSE)-50)),"-",(VLOOKUP($A99,'SegEnds_NonXtal_BW#'!$A:$Z,24,FALSE)+VLOOKUP($A99,A:AL,34,FALSE)-50))</f>
        <v>372</v>
      </c>
      <c r="AJ99" s="3">
        <f>IF(ISERROR(VLOOKUP($A99,'SegEnds_NonXtal_BW#'!$A:$Z,25,FALSE)+VLOOKUP($A99,A:AL,37,FALSE)-50),"-",(VLOOKUP($A99,'SegEnds_NonXtal_BW#'!$A:$Z,25,FALSE)+VLOOKUP($A99,A:AL,37,FALSE)-50))</f>
        <v>373</v>
      </c>
      <c r="AK99" s="3">
        <v>376</v>
      </c>
      <c r="AL99" s="3">
        <f>IF(ISERROR((VLOOKUP($A99,'SegEnds_NonXtal_BW#'!$A:$Z,26,FALSE)+VLOOKUP($A99,A:AL,37,FALSE)-50)),"-",(VLOOKUP($A99,'SegEnds_NonXtal_BW#'!$A:$Z,26,FALSE)+VLOOKUP($A99,A:AL,37,FALSE)-50))</f>
        <v>386</v>
      </c>
      <c r="AM99" s="28" t="str">
        <f>VLOOKUP(A99,Classification!A:B,2,FALSE)</f>
        <v>A</v>
      </c>
      <c r="AN99" s="28" t="b">
        <f t="shared" si="55"/>
        <v>1</v>
      </c>
      <c r="AO99" s="3" t="str">
        <f>IF(ISERROR(MATCH(A99,'SegEnds_Xtal_Prot#'!B:B, 0)), "NoXtal", "Xtal")</f>
        <v>NoXtal</v>
      </c>
      <c r="AP99" s="3">
        <f t="shared" si="39"/>
        <v>1</v>
      </c>
      <c r="AQ99" s="3">
        <f t="shared" si="40"/>
        <v>1</v>
      </c>
      <c r="AR99" s="3">
        <f t="shared" si="41"/>
        <v>2</v>
      </c>
      <c r="AS99" s="3">
        <f t="shared" si="42"/>
        <v>1</v>
      </c>
      <c r="AT99" s="3">
        <f t="shared" si="43"/>
        <v>1</v>
      </c>
      <c r="AU99" s="3">
        <f t="shared" si="44"/>
        <v>1</v>
      </c>
      <c r="AV99" s="3">
        <f t="shared" si="45"/>
        <v>15</v>
      </c>
      <c r="AW99" s="3">
        <f t="shared" si="46"/>
        <v>4</v>
      </c>
      <c r="AX99" s="3">
        <f t="shared" si="47"/>
        <v>6</v>
      </c>
      <c r="AY99" s="3">
        <f t="shared" si="48"/>
        <v>7</v>
      </c>
      <c r="AZ99" s="3">
        <f t="shared" si="49"/>
        <v>1</v>
      </c>
      <c r="BA99" s="3">
        <f>IF(ISERROR(LEN(VLOOKUP(A99,Seqs!A:E,2,FALSE))-AL99),"-",LEN(VLOOKUP(A99,Seqs!A:E,2,FALSE))-AL99)</f>
        <v>41</v>
      </c>
      <c r="BB99" s="16">
        <f t="shared" si="50"/>
        <v>28</v>
      </c>
      <c r="BC99" s="9">
        <f t="shared" si="51"/>
        <v>20</v>
      </c>
      <c r="BD99" s="3">
        <f t="shared" si="52"/>
        <v>28</v>
      </c>
      <c r="BE99" s="3">
        <f t="shared" si="53"/>
        <v>54</v>
      </c>
    </row>
    <row r="100" spans="1:58" s="3" customFormat="1" x14ac:dyDescent="0.2">
      <c r="A100" s="3" t="s">
        <v>196</v>
      </c>
      <c r="B100" s="3" t="str">
        <f>LOWER(VLOOKUP(A100,Xtal_Templ!A:B,2,FALSE))</f>
        <v>ednrb_human</v>
      </c>
      <c r="C100" s="3">
        <f>VLOOKUP($A100,'SegEnds_NonXtal_BW#'!$A:$Z,3,FALSE)+D100-50</f>
        <v>91</v>
      </c>
      <c r="D100" s="3">
        <v>119</v>
      </c>
      <c r="E100" s="3">
        <f>IF(ISERROR(VLOOKUP($A100,'SegEnds_NonXtal_BW#'!$A:$Z,4,FALSE)+VLOOKUP($A100,A:AL,4,FALSE)-50),"-",(VLOOKUP($A100,'SegEnds_NonXtal_BW#'!$A:$Z,4,FALSE)+VLOOKUP($A100,A:AL,4,FALSE)-50))</f>
        <v>129</v>
      </c>
      <c r="F100" s="3">
        <f t="shared" si="61"/>
        <v>130</v>
      </c>
      <c r="G100" s="3">
        <v>132</v>
      </c>
      <c r="H100" s="3">
        <v>134</v>
      </c>
      <c r="I100" s="3">
        <f t="shared" si="63"/>
        <v>135</v>
      </c>
      <c r="J100" s="3">
        <v>147</v>
      </c>
      <c r="K100" s="3">
        <f>VLOOKUP($A100,'SegEnds_NonXtal_BW#'!$A:$Z,8,FALSE)+VLOOKUP($A100,A:AL,10,FALSE)-50</f>
        <v>164</v>
      </c>
      <c r="L100" s="3">
        <f t="shared" si="65"/>
        <v>166</v>
      </c>
      <c r="M100" s="3">
        <v>167</v>
      </c>
      <c r="N100" s="3">
        <f t="shared" si="66"/>
        <v>169</v>
      </c>
      <c r="O100" s="3">
        <f t="shared" si="67"/>
        <v>170</v>
      </c>
      <c r="P100" s="3">
        <v>199</v>
      </c>
      <c r="Q100" s="3">
        <f>VLOOKUP($A100,'SegEnds_NonXtal_BW#'!$A:$Z,12,FALSE)+VLOOKUP($A100,A:AL,16,FALSE)-50</f>
        <v>205</v>
      </c>
      <c r="R100" s="3">
        <f>IF(ISERROR(VLOOKUP($A100,'SegEnds_NonXtal_BW#'!$A:$Z,13,FALSE)+VLOOKUP($A100,A:AL,19,FALSE)-50),"-",VLOOKUP($A100,'SegEnds_NonXtal_BW#'!$A:$Z,13,FALSE)+VLOOKUP($A100,A:AL,19,FALSE)-50)</f>
        <v>206</v>
      </c>
      <c r="S100" s="3">
        <v>206</v>
      </c>
      <c r="T100" s="100">
        <f>IF(ISERROR(VLOOKUP($A100,'SegEnds_NonXtal_BW#'!$A:$Z,14,FALSE)+VLOOKUP($A100,A:AL,19,FALSE)-50),"-",(VLOOKUP($A100,'SegEnds_NonXtal_BW#'!$A:$Z,14,FALSE)+VLOOKUP($A100,A:AL,19,FALSE)-50))</f>
        <v>213</v>
      </c>
      <c r="U100" s="9">
        <f>IF(ISERROR(VLOOKUP($A100,'SegEnds_NonXtal_BW#'!$A:$Z,15,FALSE)+VLOOKUP($A100,A:AL,22,FALSE)-50),"-",VLOOKUP($A100,'SegEnds_NonXtal_BW#'!$A:$Z,15,FALSE)+VLOOKUP($A100,A:AL,22,FALSE)-50)</f>
        <v>214</v>
      </c>
      <c r="V100" s="3">
        <v>226</v>
      </c>
      <c r="W100" s="3">
        <f>IF(ISERROR(VLOOKUP($A100,'SegEnds_NonXtal_BW#'!$A:$Z,16,FALSE)+VLOOKUP($A100,A:AL,22,FALSE)-50),"-",(VLOOKUP($A100,'SegEnds_NonXtal_BW#'!$A:$Z,16,FALSE)+VLOOKUP($A100,A:AL,22,FALSE)-50))</f>
        <v>240</v>
      </c>
      <c r="X100" s="3">
        <f>IF(ISERROR(VLOOKUP($A100,'SegEnds_NonXtal_BW#'!$A:$Z,17,FALSE)+VLOOKUP($A100,A:AL,25,FALSE)-50),"-",(VLOOKUP($A100,'SegEnds_NonXtal_BW#'!$A:$Z,17,FALSE)+VLOOKUP($A100,A:AL,25,FALSE)-50))</f>
        <v>255</v>
      </c>
      <c r="Y100" s="3">
        <v>255</v>
      </c>
      <c r="Z100" s="3">
        <f t="shared" si="64"/>
        <v>257</v>
      </c>
      <c r="AA100" s="3">
        <f>IF(ISERROR(VLOOKUP($A100,'SegEnds_NonXtal_BW#'!$A:$Z,19,FALSE)+VLOOKUP($A100,A:AL,28,FALSE)-50),"-",(VLOOKUP($A100,'SegEnds_NonXtal_BW#'!$A:$Z,19,FALSE)+VLOOKUP($A100,A:AL,28,FALSE)-50))</f>
        <v>263</v>
      </c>
      <c r="AB100" s="3">
        <v>285</v>
      </c>
      <c r="AC100" s="3">
        <f>IF(ISERROR((VLOOKUP($A100,'SegEnds_NonXtal_BW#'!$A:$Z,20,FALSE)+VLOOKUP($A100,A:AL,28,FALSE)-50)),"-",(VLOOKUP($A100,'SegEnds_NonXtal_BW#'!$A:$Z,20,FALSE)+VLOOKUP($A100,A:AL,28,FALSE)-50))</f>
        <v>307</v>
      </c>
      <c r="AD100" s="3">
        <f>IF(ISERROR(VLOOKUP($A100,'SegEnds_NonXtal_BW#'!$A:$Z,21,FALSE)+VLOOKUP($A100,A:AL,31,FALSE)-50),"-",(VLOOKUP($A100,'SegEnds_NonXtal_BW#'!$A:$Z,21,FALSE)+VLOOKUP($A100,A:AL,31,FALSE)-50))</f>
        <v>312</v>
      </c>
      <c r="AE100" s="3">
        <v>338</v>
      </c>
      <c r="AF100" s="3">
        <f>IF(ISERROR((VLOOKUP($A100,'SegEnds_NonXtal_BW#'!$A:$Z,22,FALSE)+VLOOKUP($A100,A:AL,31,FALSE)-50)),"-",(VLOOKUP($A100,'SegEnds_NonXtal_BW#'!$A:$Z,22,FALSE)+VLOOKUP($A100,A:AL,31,FALSE)-50))</f>
        <v>350</v>
      </c>
      <c r="AG100" s="3">
        <f>IF(ISERROR(VLOOKUP($A100,'SegEnds_NonXtal_BW#'!$A:$Z,23,FALSE)+VLOOKUP($A100,A:AL,34,FALSE)-50),"-",(VLOOKUP($A100,'SegEnds_NonXtal_BW#'!$A:$Z,23,FALSE)+VLOOKUP($A100,A:AL,34,FALSE)-50))</f>
        <v>357</v>
      </c>
      <c r="AH100" s="3">
        <v>383</v>
      </c>
      <c r="AI100" s="3">
        <f>IF(ISERROR((VLOOKUP($A100,'SegEnds_NonXtal_BW#'!$A:$Z,24,FALSE)+VLOOKUP($A100,A:AL,34,FALSE)-50)),"-",(VLOOKUP($A100,'SegEnds_NonXtal_BW#'!$A:$Z,24,FALSE)+VLOOKUP($A100,A:AL,34,FALSE)-50))</f>
        <v>389</v>
      </c>
      <c r="AJ100" s="3">
        <f>IF(ISERROR(VLOOKUP($A100,'SegEnds_NonXtal_BW#'!$A:$Z,25,FALSE)+VLOOKUP($A100,A:AL,37,FALSE)-50),"-",(VLOOKUP($A100,'SegEnds_NonXtal_BW#'!$A:$Z,25,FALSE)+VLOOKUP($A100,A:AL,37,FALSE)-50))</f>
        <v>390</v>
      </c>
      <c r="AK100" s="3">
        <v>393</v>
      </c>
      <c r="AL100" s="3">
        <f>IF(ISERROR((VLOOKUP($A100,'SegEnds_NonXtal_BW#'!$A:$Z,26,FALSE)+VLOOKUP($A100,A:AL,37,FALSE)-50)),"-",(VLOOKUP($A100,'SegEnds_NonXtal_BW#'!$A:$Z,26,FALSE)+VLOOKUP($A100,A:AL,37,FALSE)-50))</f>
        <v>403</v>
      </c>
      <c r="AM100" s="28" t="str">
        <f>VLOOKUP(A100,Classification!A:B,2,FALSE)</f>
        <v>A</v>
      </c>
      <c r="AN100" s="28" t="b">
        <f t="shared" si="55"/>
        <v>1</v>
      </c>
      <c r="AO100" s="3" t="str">
        <f>IF(ISERROR(MATCH(A100,'SegEnds_Xtal_Prot#'!B:B, 0)), "NoXtal", "Xtal")</f>
        <v>Xtal</v>
      </c>
      <c r="AP100" s="3">
        <f t="shared" si="39"/>
        <v>1</v>
      </c>
      <c r="AQ100" s="3">
        <f t="shared" si="40"/>
        <v>1</v>
      </c>
      <c r="AR100" s="3">
        <f t="shared" si="41"/>
        <v>2</v>
      </c>
      <c r="AS100" s="3">
        <f t="shared" si="42"/>
        <v>1</v>
      </c>
      <c r="AT100" s="3">
        <f t="shared" si="43"/>
        <v>1</v>
      </c>
      <c r="AU100" s="3">
        <f t="shared" si="44"/>
        <v>1</v>
      </c>
      <c r="AV100" s="3">
        <f t="shared" si="45"/>
        <v>15</v>
      </c>
      <c r="AW100" s="3">
        <f t="shared" si="46"/>
        <v>6</v>
      </c>
      <c r="AX100" s="3">
        <f t="shared" si="47"/>
        <v>5</v>
      </c>
      <c r="AY100" s="3">
        <f t="shared" si="48"/>
        <v>7</v>
      </c>
      <c r="AZ100" s="3">
        <f t="shared" si="49"/>
        <v>1</v>
      </c>
      <c r="BA100" s="3">
        <f>IF(ISERROR(LEN(VLOOKUP(A100,Seqs!A:E,2,FALSE))-AL100),"-",LEN(VLOOKUP(A100,Seqs!A:E,2,FALSE))-AL100)</f>
        <v>39</v>
      </c>
      <c r="BB100" s="16">
        <f t="shared" si="50"/>
        <v>28</v>
      </c>
      <c r="BC100" s="9">
        <f t="shared" si="51"/>
        <v>20</v>
      </c>
      <c r="BD100" s="3">
        <f t="shared" si="52"/>
        <v>28</v>
      </c>
      <c r="BE100" s="3">
        <f t="shared" si="53"/>
        <v>53</v>
      </c>
    </row>
    <row r="101" spans="1:58" s="3" customFormat="1" x14ac:dyDescent="0.2">
      <c r="A101" s="3" t="s">
        <v>197</v>
      </c>
      <c r="B101" s="3" t="str">
        <f>LOWER(VLOOKUP(A101,Xtal_Templ!A:B,2,FALSE))</f>
        <v>ednrb_human</v>
      </c>
      <c r="C101" s="3">
        <f>VLOOKUP($A101,'SegEnds_NonXtal_BW#'!$A:$Z,3,FALSE)+D101-50</f>
        <v>120</v>
      </c>
      <c r="D101" s="3">
        <v>148</v>
      </c>
      <c r="E101" s="3">
        <f>IF(ISERROR(VLOOKUP($A101,'SegEnds_NonXtal_BW#'!$A:$Z,4,FALSE)+VLOOKUP($A101,A:AL,4,FALSE)-50),"-",(VLOOKUP($A101,'SegEnds_NonXtal_BW#'!$A:$Z,4,FALSE)+VLOOKUP($A101,A:AL,4,FALSE)-50))</f>
        <v>158</v>
      </c>
      <c r="F101" s="3">
        <f t="shared" si="61"/>
        <v>159</v>
      </c>
      <c r="G101" s="3">
        <v>161</v>
      </c>
      <c r="H101" s="3">
        <f>G101+1</f>
        <v>162</v>
      </c>
      <c r="I101" s="3">
        <f t="shared" si="63"/>
        <v>163</v>
      </c>
      <c r="J101" s="3">
        <v>176</v>
      </c>
      <c r="K101" s="3">
        <f>VLOOKUP($A101,'SegEnds_NonXtal_BW#'!$A:$Z,8,FALSE)+VLOOKUP($A101,A:AL,10,FALSE)-50</f>
        <v>193</v>
      </c>
      <c r="L101" s="3" t="str">
        <f>IF(ISERROR(VLOOKUP($A101,'SegEnds_NonXtal_BW#'!$A:$Z,9,FALSE)+VLOOKUP($A101,A:AL,13,FALSE)-50),"-",(VLOOKUP($A101,'SegEnds_NonXtal_BW#'!$A:$Z,9,FALSE)+VLOOKUP($A101,A:AL,13,FALSE)-50))</f>
        <v>-</v>
      </c>
      <c r="M101" s="3" t="s">
        <v>23</v>
      </c>
      <c r="N101" s="3" t="str">
        <f>IF(ISERROR(VLOOKUP($A101,'SegEnds_NonXtal_BW#'!$A:$Z,10,FALSE)+VLOOKUP($A101,A:AL,13,FALSE)-50),"-",(VLOOKUP($A101,'SegEnds_NonXtal_BW#'!$A:$Z,10,FALSE)+VLOOKUP($A101,A:AL,13,FALSE)-50))</f>
        <v>-</v>
      </c>
      <c r="O101" s="3">
        <f>VLOOKUP($A101,'SegEnds_NonXtal_BW#'!$A:$Z,11,FALSE)+VLOOKUP($A101,A:AL,16,FALSE)-50</f>
        <v>199</v>
      </c>
      <c r="P101" s="3">
        <v>228</v>
      </c>
      <c r="Q101" s="3">
        <f>VLOOKUP($A101,'SegEnds_NonXtal_BW#'!$A:$Z,12,FALSE)+VLOOKUP($A101,A:AL,16,FALSE)-50</f>
        <v>234</v>
      </c>
      <c r="R101" s="3">
        <f>IF(ISERROR(VLOOKUP($A101,'SegEnds_NonXtal_BW#'!$A:$Z,13,FALSE)+VLOOKUP($A101,A:AL,19,FALSE)-50),"-",VLOOKUP($A101,'SegEnds_NonXtal_BW#'!$A:$Z,13,FALSE)+VLOOKUP($A101,A:AL,19,FALSE)-50)</f>
        <v>236</v>
      </c>
      <c r="S101" s="3">
        <v>236</v>
      </c>
      <c r="T101" s="100">
        <f>IF(ISERROR(VLOOKUP($A101,'SegEnds_NonXtal_BW#'!$A:$Z,14,FALSE)+VLOOKUP($A101,A:AL,19,FALSE)-50),"-",(VLOOKUP($A101,'SegEnds_NonXtal_BW#'!$A:$Z,14,FALSE)+VLOOKUP($A101,A:AL,19,FALSE)-50))</f>
        <v>243</v>
      </c>
      <c r="U101" s="9">
        <f>IF(ISERROR(VLOOKUP($A101,'SegEnds_NonXtal_BW#'!$A:$Z,15,FALSE)+VLOOKUP($A101,A:AL,22,FALSE)-50),"-",VLOOKUP($A101,'SegEnds_NonXtal_BW#'!$A:$Z,15,FALSE)+VLOOKUP($A101,A:AL,22,FALSE)-50)</f>
        <v>244</v>
      </c>
      <c r="V101" s="3">
        <v>256</v>
      </c>
      <c r="W101" s="3">
        <f>IF(ISERROR(VLOOKUP($A101,'SegEnds_NonXtal_BW#'!$A:$Z,16,FALSE)+VLOOKUP($A101,A:AL,22,FALSE)-50),"-",(VLOOKUP($A101,'SegEnds_NonXtal_BW#'!$A:$Z,16,FALSE)+VLOOKUP($A101,A:AL,22,FALSE)-50))</f>
        <v>270</v>
      </c>
      <c r="X101" s="3">
        <f>IF(ISERROR(VLOOKUP($A101,'SegEnds_NonXtal_BW#'!$A:$Z,17,FALSE)+VLOOKUP($A101,A:AL,25,FALSE)-50),"-",(VLOOKUP($A101,'SegEnds_NonXtal_BW#'!$A:$Z,17,FALSE)+VLOOKUP($A101,A:AL,25,FALSE)-50))</f>
        <v>286</v>
      </c>
      <c r="Y101" s="3">
        <v>286</v>
      </c>
      <c r="Z101" s="3">
        <f t="shared" si="64"/>
        <v>288</v>
      </c>
      <c r="AA101" s="3">
        <f>IF(ISERROR(VLOOKUP($A101,'SegEnds_NonXtal_BW#'!$A:$Z,19,FALSE)+VLOOKUP($A101,A:AL,28,FALSE)-50),"-",(VLOOKUP($A101,'SegEnds_NonXtal_BW#'!$A:$Z,19,FALSE)+VLOOKUP($A101,A:AL,28,FALSE)-50))</f>
        <v>299</v>
      </c>
      <c r="AB101" s="3">
        <v>321</v>
      </c>
      <c r="AC101" s="3">
        <f>IF(ISERROR((VLOOKUP($A101,'SegEnds_NonXtal_BW#'!$A:$Z,20,FALSE)+VLOOKUP($A101,A:AL,28,FALSE)-50)),"-",(VLOOKUP($A101,'SegEnds_NonXtal_BW#'!$A:$Z,20,FALSE)+VLOOKUP($A101,A:AL,28,FALSE)-50))</f>
        <v>343</v>
      </c>
      <c r="AD101" s="3">
        <f>IF(ISERROR(VLOOKUP($A101,'SegEnds_NonXtal_BW#'!$A:$Z,21,FALSE)+VLOOKUP($A101,A:AL,31,FALSE)-50),"-",(VLOOKUP($A101,'SegEnds_NonXtal_BW#'!$A:$Z,21,FALSE)+VLOOKUP($A101,A:AL,31,FALSE)-50))</f>
        <v>348</v>
      </c>
      <c r="AE101" s="3">
        <v>374</v>
      </c>
      <c r="AF101" s="3">
        <f>IF(ISERROR((VLOOKUP($A101,'SegEnds_NonXtal_BW#'!$A:$Z,22,FALSE)+VLOOKUP($A101,A:AL,31,FALSE)-50)),"-",(VLOOKUP($A101,'SegEnds_NonXtal_BW#'!$A:$Z,22,FALSE)+VLOOKUP($A101,A:AL,31,FALSE)-50))</f>
        <v>385</v>
      </c>
      <c r="AG101" s="3">
        <f>IF(ISERROR(VLOOKUP($A101,'SegEnds_NonXtal_BW#'!$A:$Z,23,FALSE)+VLOOKUP($A101,A:AL,34,FALSE)-50),"-",(VLOOKUP($A101,'SegEnds_NonXtal_BW#'!$A:$Z,23,FALSE)+VLOOKUP($A101,A:AL,34,FALSE)-50))</f>
        <v>391</v>
      </c>
      <c r="AH101" s="3">
        <v>413</v>
      </c>
      <c r="AI101" s="3">
        <f>IF(ISERROR((VLOOKUP($A101,'SegEnds_NonXtal_BW#'!$A:$Z,24,FALSE)+VLOOKUP($A101,A:AL,34,FALSE)-50)),"-",(VLOOKUP($A101,'SegEnds_NonXtal_BW#'!$A:$Z,24,FALSE)+VLOOKUP($A101,A:AL,34,FALSE)-50))</f>
        <v>419</v>
      </c>
      <c r="AJ101" s="3">
        <f>IF(ISERROR(VLOOKUP($A101,'SegEnds_NonXtal_BW#'!$A:$Z,25,FALSE)+VLOOKUP($A101,A:AL,37,FALSE)-50),"-",(VLOOKUP($A101,'SegEnds_NonXtal_BW#'!$A:$Z,25,FALSE)+VLOOKUP($A101,A:AL,37,FALSE)-50))</f>
        <v>420</v>
      </c>
      <c r="AK101" s="3">
        <v>423</v>
      </c>
      <c r="AL101" s="3">
        <f>IF(ISERROR((VLOOKUP($A101,'SegEnds_NonXtal_BW#'!$A:$Z,26,FALSE)+VLOOKUP($A101,A:AL,37,FALSE)-50)),"-",(VLOOKUP($A101,'SegEnds_NonXtal_BW#'!$A:$Z,26,FALSE)+VLOOKUP($A101,A:AL,37,FALSE)-50))</f>
        <v>433</v>
      </c>
      <c r="AM101" s="28" t="str">
        <f>VLOOKUP(A101,Classification!A:B,2,FALSE)</f>
        <v>A</v>
      </c>
      <c r="AN101" s="28" t="b">
        <f t="shared" si="55"/>
        <v>1</v>
      </c>
      <c r="AO101" s="3" t="str">
        <f>IF(ISERROR(MATCH(A101,'SegEnds_Xtal_Prot#'!B:B, 0)), "NoXtal", "Xtal")</f>
        <v>NoXtal</v>
      </c>
      <c r="AP101" s="3">
        <f t="shared" si="39"/>
        <v>1</v>
      </c>
      <c r="AQ101" s="3">
        <f t="shared" si="40"/>
        <v>1</v>
      </c>
      <c r="AR101" s="3" t="str">
        <f t="shared" si="41"/>
        <v>-</v>
      </c>
      <c r="AS101" s="3" t="str">
        <f t="shared" si="42"/>
        <v>-</v>
      </c>
      <c r="AT101" s="3">
        <f t="shared" si="43"/>
        <v>2</v>
      </c>
      <c r="AU101" s="3">
        <f t="shared" si="44"/>
        <v>1</v>
      </c>
      <c r="AV101" s="3">
        <f t="shared" si="45"/>
        <v>16</v>
      </c>
      <c r="AW101" s="3">
        <f t="shared" si="46"/>
        <v>11</v>
      </c>
      <c r="AX101" s="3">
        <f t="shared" si="47"/>
        <v>5</v>
      </c>
      <c r="AY101" s="3">
        <f t="shared" si="48"/>
        <v>6</v>
      </c>
      <c r="AZ101" s="3">
        <f t="shared" si="49"/>
        <v>1</v>
      </c>
      <c r="BA101" s="3">
        <f>IF(ISERROR(LEN(VLOOKUP(A101,Seqs!A:E,2,FALSE))-AL101),"-",LEN(VLOOKUP(A101,Seqs!A:E,2,FALSE))-AL101)</f>
        <v>48</v>
      </c>
      <c r="BB101" s="16">
        <f t="shared" si="50"/>
        <v>28</v>
      </c>
      <c r="BC101" s="9">
        <f t="shared" si="51"/>
        <v>20</v>
      </c>
      <c r="BD101" s="3">
        <f t="shared" si="52"/>
        <v>28</v>
      </c>
      <c r="BE101" s="3">
        <f t="shared" si="53"/>
        <v>53</v>
      </c>
    </row>
    <row r="102" spans="1:58" s="3" customFormat="1" x14ac:dyDescent="0.2">
      <c r="A102" s="3" t="s">
        <v>1173</v>
      </c>
      <c r="B102" s="3" t="str">
        <f>LOWER(VLOOKUP(A102,Xtal_Templ!A:B,2,FALSE))</f>
        <v>ffar1_human</v>
      </c>
      <c r="C102" s="3">
        <f>VLOOKUP($A102,'SegEnds_NonXtal_BW#'!$A:$Z,3,FALSE)+D102-50</f>
        <v>4</v>
      </c>
      <c r="D102" s="3">
        <v>23</v>
      </c>
      <c r="E102" s="3">
        <f>IF(ISERROR(VLOOKUP($A102,'SegEnds_NonXtal_BW#'!$A:$Z,4,FALSE)+VLOOKUP($A102,A:AL,4,FALSE)-50),"-",(VLOOKUP($A102,'SegEnds_NonXtal_BW#'!$A:$Z,4,FALSE)+VLOOKUP($A102,A:AL,4,FALSE)-50))</f>
        <v>37</v>
      </c>
      <c r="F102" s="3" t="str">
        <f>IF(ISERROR(VLOOKUP($A102,'SegEnds_NonXtal_BW#'!$A:$Z,5,FALSE)+VLOOKUP($A102,A:AL,7,FALSE)-50),"-",(VLOOKUP($A102,'SegEnds_NonXtal_BW#'!$A:$Z,5,FALSE)+VLOOKUP($A102,A:AL,7,FALSE)-50))</f>
        <v>-</v>
      </c>
      <c r="G102" s="3" t="s">
        <v>23</v>
      </c>
      <c r="H102" s="3" t="str">
        <f>IF(ISERROR(VLOOKUP($A102,'SegEnds_NonXtal_BW#'!$A:$Z,6,FALSE)+VLOOKUP($A102,A:AL,7,FALSE)-50),"-",(VLOOKUP($A102,'SegEnds_NonXtal_BW#'!$A:$Z,6,FALSE)+VLOOKUP($A102,A:AL,7,FALSE)-50))</f>
        <v>-</v>
      </c>
      <c r="I102" s="3">
        <f>VLOOKUP($A102,'SegEnds_NonXtal_BW#'!$A:$Z,7,FALSE)+J102-50</f>
        <v>39</v>
      </c>
      <c r="J102" s="3">
        <v>52</v>
      </c>
      <c r="K102" s="3">
        <f>VLOOKUP($A102,'SegEnds_NonXtal_BW#'!$A:$Z,8,FALSE)+VLOOKUP($A102,A:AL,10,FALSE)-50</f>
        <v>69</v>
      </c>
      <c r="L102" s="3">
        <f t="shared" ref="L102:L115" si="68">M102-1</f>
        <v>71</v>
      </c>
      <c r="M102" s="3">
        <v>72</v>
      </c>
      <c r="N102" s="3">
        <f t="shared" ref="N102:N115" si="69">M102+2</f>
        <v>74</v>
      </c>
      <c r="O102" s="3">
        <f t="shared" ref="O102:O115" si="70">N102+1</f>
        <v>75</v>
      </c>
      <c r="P102" s="3">
        <v>104</v>
      </c>
      <c r="Q102" s="3">
        <f>VLOOKUP($A102,'SegEnds_NonXtal_BW#'!$A:$Z,12,FALSE)+VLOOKUP($A102,A:AL,16,FALSE)-50</f>
        <v>110</v>
      </c>
      <c r="R102" s="3">
        <f>IF(ISERROR(VLOOKUP($A102,'SegEnds_NonXtal_BW#'!$A:$Z,13,FALSE)+VLOOKUP($A102,A:AL,19,FALSE)-50),"-",VLOOKUP($A102,'SegEnds_NonXtal_BW#'!$A:$Z,13,FALSE)+VLOOKUP($A102,A:AL,19,FALSE)-50)</f>
        <v>111</v>
      </c>
      <c r="S102" s="3">
        <v>111</v>
      </c>
      <c r="T102" s="100">
        <f>IF(ISERROR(VLOOKUP($A102,'SegEnds_NonXtal_BW#'!$A:$Z,14,FALSE)+VLOOKUP($A102,A:AL,19,FALSE)-50),"-",(VLOOKUP($A102,'SegEnds_NonXtal_BW#'!$A:$Z,14,FALSE)+VLOOKUP($A102,A:AL,19,FALSE)-50))</f>
        <v>118</v>
      </c>
      <c r="U102" s="9">
        <f>IF(ISERROR(VLOOKUP($A102,'SegEnds_NonXtal_BW#'!$A:$Z,15,FALSE)+VLOOKUP($A102,A:AL,22,FALSE)-50),"-",VLOOKUP($A102,'SegEnds_NonXtal_BW#'!$A:$Z,15,FALSE)+VLOOKUP($A102,A:AL,22,FALSE)-50)</f>
        <v>119</v>
      </c>
      <c r="V102" s="3">
        <v>131</v>
      </c>
      <c r="W102" s="3">
        <f>IF(ISERROR(VLOOKUP($A102,'SegEnds_NonXtal_BW#'!$A:$Z,16,FALSE)+VLOOKUP($A102,A:AL,22,FALSE)-50),"-",(VLOOKUP($A102,'SegEnds_NonXtal_BW#'!$A:$Z,16,FALSE)+VLOOKUP($A102,A:AL,22,FALSE)-50))</f>
        <v>146</v>
      </c>
      <c r="X102" s="3">
        <f>IF(ISERROR(VLOOKUP($A102,'SegEnds_NonXtal_BW#'!$A:$Z,17,FALSE)+VLOOKUP($A102,A:AL,25,FALSE)-50),"-",(VLOOKUP($A102,'SegEnds_NonXtal_BW#'!$A:$Z,17,FALSE)+VLOOKUP($A102,A:AL,25,FALSE)-50))</f>
        <v>170</v>
      </c>
      <c r="Y102" s="3">
        <v>170</v>
      </c>
      <c r="Z102" s="3">
        <f t="shared" si="64"/>
        <v>172</v>
      </c>
      <c r="AA102" s="3">
        <f>IF(ISERROR(VLOOKUP($A102,'SegEnds_NonXtal_BW#'!$A:$Z,19,FALSE)+VLOOKUP($A102,A:AL,28,FALSE)-50),"-",(VLOOKUP($A102,'SegEnds_NonXtal_BW#'!$A:$Z,19,FALSE)+VLOOKUP($A102,A:AL,28,FALSE)-50))</f>
        <v>175</v>
      </c>
      <c r="AB102" s="3">
        <v>194</v>
      </c>
      <c r="AC102" s="3">
        <f>IF(ISERROR((VLOOKUP($A102,'SegEnds_NonXtal_BW#'!$A:$Z,20,FALSE)+VLOOKUP($A102,A:AL,28,FALSE)-50)),"-",(VLOOKUP($A102,'SegEnds_NonXtal_BW#'!$A:$Z,20,FALSE)+VLOOKUP($A102,A:AL,28,FALSE)-50))</f>
        <v>211</v>
      </c>
      <c r="AD102" s="3">
        <f>IF(ISERROR(VLOOKUP($A102,'SegEnds_NonXtal_BW#'!$A:$Z,21,FALSE)+VLOOKUP($A102,A:AL,31,FALSE)-50),"-",(VLOOKUP($A102,'SegEnds_NonXtal_BW#'!$A:$Z,21,FALSE)+VLOOKUP($A102,A:AL,31,FALSE)-50))</f>
        <v>217</v>
      </c>
      <c r="AE102" s="3">
        <v>239</v>
      </c>
      <c r="AF102" s="3">
        <f>IF(ISERROR((VLOOKUP($A102,'SegEnds_NonXtal_BW#'!$A:$Z,22,FALSE)+VLOOKUP($A102,A:AL,31,FALSE)-50)),"-",(VLOOKUP($A102,'SegEnds_NonXtal_BW#'!$A:$Z,22,FALSE)+VLOOKUP($A102,A:AL,31,FALSE)-50))</f>
        <v>250</v>
      </c>
      <c r="AG102" s="3">
        <f>IF(ISERROR(VLOOKUP($A102,'SegEnds_NonXtal_BW#'!$A:$Z,23,FALSE)+VLOOKUP($A102,A:AL,34,FALSE)-50),"-",(VLOOKUP($A102,'SegEnds_NonXtal_BW#'!$A:$Z,23,FALSE)+VLOOKUP($A102,A:AL,34,FALSE)-50))</f>
        <v>255</v>
      </c>
      <c r="AH102" s="3">
        <v>273</v>
      </c>
      <c r="AI102" s="3">
        <f>IF(ISERROR((VLOOKUP($A102,'SegEnds_NonXtal_BW#'!$A:$Z,24,FALSE)+VLOOKUP($A102,A:AL,34,FALSE)-50)),"-",(VLOOKUP($A102,'SegEnds_NonXtal_BW#'!$A:$Z,24,FALSE)+VLOOKUP($A102,A:AL,34,FALSE)-50))</f>
        <v>279</v>
      </c>
      <c r="AJ102" s="3">
        <f>IF(ISERROR(VLOOKUP($A102,'SegEnds_NonXtal_BW#'!$A:$Z,25,FALSE)+VLOOKUP($A102,A:AL,37,FALSE)-50),"-",(VLOOKUP($A102,'SegEnds_NonXtal_BW#'!$A:$Z,25,FALSE)+VLOOKUP($A102,A:AL,37,FALSE)-50))</f>
        <v>280</v>
      </c>
      <c r="AK102" s="3">
        <v>283</v>
      </c>
      <c r="AL102" s="3">
        <f>IF(ISERROR((VLOOKUP($A102,'SegEnds_NonXtal_BW#'!$A:$Z,26,FALSE)+VLOOKUP($A102,A:AL,37,FALSE)-50)),"-",(VLOOKUP($A102,'SegEnds_NonXtal_BW#'!$A:$Z,26,FALSE)+VLOOKUP($A102,A:AL,37,FALSE)-50))</f>
        <v>294</v>
      </c>
      <c r="AM102" s="28" t="str">
        <f>VLOOKUP(A102,Classification!A:B,2,FALSE)</f>
        <v>A</v>
      </c>
      <c r="AN102" s="28" t="b">
        <f t="shared" si="55"/>
        <v>1</v>
      </c>
      <c r="AO102" s="3" t="str">
        <f>IF(ISERROR(MATCH(A102,'SegEnds_Xtal_Prot#'!B:B, 0)), "NoXtal", "Xtal")</f>
        <v>Xtal</v>
      </c>
      <c r="AP102" s="3" t="str">
        <f t="shared" si="39"/>
        <v>-</v>
      </c>
      <c r="AQ102" s="3" t="str">
        <f t="shared" si="40"/>
        <v>-</v>
      </c>
      <c r="AR102" s="3">
        <f t="shared" si="41"/>
        <v>2</v>
      </c>
      <c r="AS102" s="3">
        <f t="shared" si="42"/>
        <v>1</v>
      </c>
      <c r="AT102" s="3">
        <f t="shared" si="43"/>
        <v>1</v>
      </c>
      <c r="AU102" s="3">
        <f t="shared" si="44"/>
        <v>1</v>
      </c>
      <c r="AV102" s="3">
        <f t="shared" si="45"/>
        <v>24</v>
      </c>
      <c r="AW102" s="3">
        <f t="shared" si="46"/>
        <v>3</v>
      </c>
      <c r="AX102" s="3">
        <f t="shared" si="47"/>
        <v>6</v>
      </c>
      <c r="AY102" s="3">
        <f t="shared" si="48"/>
        <v>5</v>
      </c>
      <c r="AZ102" s="3">
        <f t="shared" si="49"/>
        <v>1</v>
      </c>
      <c r="BA102" s="3">
        <f>IF(ISERROR(LEN(VLOOKUP(A102,Seqs!A:E,2,FALSE))-AL102),"-",LEN(VLOOKUP(A102,Seqs!A:E,2,FALSE))-AL102)</f>
        <v>6</v>
      </c>
      <c r="BB102" s="16">
        <f t="shared" si="50"/>
        <v>29</v>
      </c>
      <c r="BC102" s="9">
        <f t="shared" si="51"/>
        <v>20</v>
      </c>
      <c r="BD102" s="3">
        <f t="shared" si="52"/>
        <v>29</v>
      </c>
      <c r="BE102" s="3">
        <f t="shared" si="53"/>
        <v>45</v>
      </c>
      <c r="BF102" s="3">
        <f>AH102-AE102</f>
        <v>34</v>
      </c>
    </row>
    <row r="103" spans="1:58" s="3" customFormat="1" x14ac:dyDescent="0.2">
      <c r="A103" s="3" t="s">
        <v>198</v>
      </c>
      <c r="B103" s="3" t="str">
        <f>LOWER(VLOOKUP(A103,Xtal_Templ!A:B,2,FALSE))</f>
        <v>par2_human</v>
      </c>
      <c r="C103" s="3">
        <f>VLOOKUP($A103,'SegEnds_NonXtal_BW#'!$A:$Z,3,FALSE)+D103-50</f>
        <v>3</v>
      </c>
      <c r="D103" s="3">
        <v>25</v>
      </c>
      <c r="E103" s="3">
        <f>IF(ISERROR(VLOOKUP($A103,'SegEnds_NonXtal_BW#'!$A:$Z,4,FALSE)+VLOOKUP($A103,A:AL,4,FALSE)-50),"-",(VLOOKUP($A103,'SegEnds_NonXtal_BW#'!$A:$Z,4,FALSE)+VLOOKUP($A103,A:AL,4,FALSE)-50))</f>
        <v>35</v>
      </c>
      <c r="F103" s="3" t="str">
        <f>IF(ISERROR(VLOOKUP($A103,'SegEnds_NonXtal_BW#'!$A:$Z,5,FALSE)+VLOOKUP($A103,A:AL,7,FALSE)-50),"-",(VLOOKUP($A103,'SegEnds_NonXtal_BW#'!$A:$Z,5,FALSE)+VLOOKUP($A103,A:AL,7,FALSE)-50))</f>
        <v>-</v>
      </c>
      <c r="G103" s="3" t="s">
        <v>23</v>
      </c>
      <c r="H103" s="3" t="str">
        <f>IF(ISERROR(VLOOKUP($A103,'SegEnds_NonXtal_BW#'!$A:$Z,6,FALSE)+VLOOKUP($A103,A:AL,7,FALSE)-50),"-",(VLOOKUP($A103,'SegEnds_NonXtal_BW#'!$A:$Z,6,FALSE)+VLOOKUP($A103,A:AL,7,FALSE)-50))</f>
        <v>-</v>
      </c>
      <c r="I103" s="3">
        <f>VLOOKUP($A103,'SegEnds_NonXtal_BW#'!$A:$Z,7,FALSE)+J103-50</f>
        <v>42</v>
      </c>
      <c r="J103" s="3">
        <v>55</v>
      </c>
      <c r="K103" s="3">
        <f>VLOOKUP($A103,'SegEnds_NonXtal_BW#'!$A:$Z,8,FALSE)+VLOOKUP($A103,A:AL,10,FALSE)-50</f>
        <v>71</v>
      </c>
      <c r="L103" s="3">
        <f t="shared" si="68"/>
        <v>74</v>
      </c>
      <c r="M103" s="3">
        <v>75</v>
      </c>
      <c r="N103" s="3">
        <f t="shared" si="69"/>
        <v>77</v>
      </c>
      <c r="O103" s="3">
        <f t="shared" si="70"/>
        <v>78</v>
      </c>
      <c r="P103" s="3">
        <v>107</v>
      </c>
      <c r="Q103" s="3">
        <f>VLOOKUP($A103,'SegEnds_NonXtal_BW#'!$A:$Z,12,FALSE)+VLOOKUP($A103,A:AL,16,FALSE)-50</f>
        <v>113</v>
      </c>
      <c r="R103" s="3">
        <f>IF(ISERROR(VLOOKUP($A103,'SegEnds_NonXtal_BW#'!$A:$Z,13,FALSE)+VLOOKUP($A103,A:AL,19,FALSE)-50),"-",VLOOKUP($A103,'SegEnds_NonXtal_BW#'!$A:$Z,13,FALSE)+VLOOKUP($A103,A:AL,19,FALSE)-50)</f>
        <v>114</v>
      </c>
      <c r="S103" s="3">
        <v>114</v>
      </c>
      <c r="T103" s="100">
        <f>IF(ISERROR(VLOOKUP($A103,'SegEnds_NonXtal_BW#'!$A:$Z,14,FALSE)+VLOOKUP($A103,A:AL,19,FALSE)-50),"-",(VLOOKUP($A103,'SegEnds_NonXtal_BW#'!$A:$Z,14,FALSE)+VLOOKUP($A103,A:AL,19,FALSE)-50))</f>
        <v>121</v>
      </c>
      <c r="U103" s="9">
        <f>IF(ISERROR(VLOOKUP($A103,'SegEnds_NonXtal_BW#'!$A:$Z,15,FALSE)+VLOOKUP($A103,A:AL,22,FALSE)-50),"-",VLOOKUP($A103,'SegEnds_NonXtal_BW#'!$A:$Z,15,FALSE)+VLOOKUP($A103,A:AL,22,FALSE)-50)</f>
        <v>122</v>
      </c>
      <c r="V103" s="3">
        <v>134</v>
      </c>
      <c r="W103" s="3">
        <f>IF(ISERROR(VLOOKUP($A103,'SegEnds_NonXtal_BW#'!$A:$Z,16,FALSE)+VLOOKUP($A103,A:AL,22,FALSE)-50),"-",(VLOOKUP($A103,'SegEnds_NonXtal_BW#'!$A:$Z,16,FALSE)+VLOOKUP($A103,A:AL,22,FALSE)-50))</f>
        <v>146</v>
      </c>
      <c r="X103" s="3">
        <f>IF(ISERROR(VLOOKUP($A103,'SegEnds_NonXtal_BW#'!$A:$Z,17,FALSE)+VLOOKUP($A103,A:AL,25,FALSE)-50),"-",(VLOOKUP($A103,'SegEnds_NonXtal_BW#'!$A:$Z,17,FALSE)+VLOOKUP($A103,A:AL,25,FALSE)-50))</f>
        <v>164</v>
      </c>
      <c r="Y103" s="3">
        <v>164</v>
      </c>
      <c r="Z103" s="3">
        <f t="shared" si="64"/>
        <v>166</v>
      </c>
      <c r="AA103" s="3">
        <f>IF(ISERROR(VLOOKUP($A103,'SegEnds_NonXtal_BW#'!$A:$Z,19,FALSE)+VLOOKUP($A103,A:AL,28,FALSE)-50),"-",(VLOOKUP($A103,'SegEnds_NonXtal_BW#'!$A:$Z,19,FALSE)+VLOOKUP($A103,A:AL,28,FALSE)-50))</f>
        <v>172</v>
      </c>
      <c r="AB103" s="3">
        <v>191</v>
      </c>
      <c r="AC103" s="3">
        <f>IF(ISERROR((VLOOKUP($A103,'SegEnds_NonXtal_BW#'!$A:$Z,20,FALSE)+VLOOKUP($A103,A:AL,28,FALSE)-50)),"-",(VLOOKUP($A103,'SegEnds_NonXtal_BW#'!$A:$Z,20,FALSE)+VLOOKUP($A103,A:AL,28,FALSE)-50))</f>
        <v>208</v>
      </c>
      <c r="AD103" s="3">
        <f>IF(ISERROR(VLOOKUP($A103,'SegEnds_NonXtal_BW#'!$A:$Z,21,FALSE)+VLOOKUP($A103,A:AL,31,FALSE)-50),"-",(VLOOKUP($A103,'SegEnds_NonXtal_BW#'!$A:$Z,21,FALSE)+VLOOKUP($A103,A:AL,31,FALSE)-50))</f>
        <v>213</v>
      </c>
      <c r="AE103" s="3">
        <v>237</v>
      </c>
      <c r="AF103" s="3">
        <f>IF(ISERROR((VLOOKUP($A103,'SegEnds_NonXtal_BW#'!$A:$Z,22,FALSE)+VLOOKUP($A103,A:AL,31,FALSE)-50)),"-",(VLOOKUP($A103,'SegEnds_NonXtal_BW#'!$A:$Z,22,FALSE)+VLOOKUP($A103,A:AL,31,FALSE)-50))</f>
        <v>248</v>
      </c>
      <c r="AG103" s="3">
        <f>IF(ISERROR(VLOOKUP($A103,'SegEnds_NonXtal_BW#'!$A:$Z,23,FALSE)+VLOOKUP($A103,A:AL,34,FALSE)-50),"-",(VLOOKUP($A103,'SegEnds_NonXtal_BW#'!$A:$Z,23,FALSE)+VLOOKUP($A103,A:AL,34,FALSE)-50))</f>
        <v>253</v>
      </c>
      <c r="AH103" s="3">
        <v>270</v>
      </c>
      <c r="AI103" s="3">
        <f>IF(ISERROR((VLOOKUP($A103,'SegEnds_NonXtal_BW#'!$A:$Z,24,FALSE)+VLOOKUP($A103,A:AL,34,FALSE)-50)),"-",(VLOOKUP($A103,'SegEnds_NonXtal_BW#'!$A:$Z,24,FALSE)+VLOOKUP($A103,A:AL,34,FALSE)-50))</f>
        <v>276</v>
      </c>
      <c r="AJ103" s="3">
        <f>IF(ISERROR(VLOOKUP($A103,'SegEnds_NonXtal_BW#'!$A:$Z,25,FALSE)+VLOOKUP($A103,A:AL,37,FALSE)-50),"-",(VLOOKUP($A103,'SegEnds_NonXtal_BW#'!$A:$Z,25,FALSE)+VLOOKUP($A103,A:AL,37,FALSE)-50))</f>
        <v>277</v>
      </c>
      <c r="AK103" s="3">
        <v>280</v>
      </c>
      <c r="AL103" s="3">
        <f>IF(ISERROR((VLOOKUP($A103,'SegEnds_NonXtal_BW#'!$A:$Z,26,FALSE)+VLOOKUP($A103,A:AL,37,FALSE)-50)),"-",(VLOOKUP($A103,'SegEnds_NonXtal_BW#'!$A:$Z,26,FALSE)+VLOOKUP($A103,A:AL,37,FALSE)-50))</f>
        <v>291</v>
      </c>
      <c r="AM103" s="28" t="str">
        <f>VLOOKUP(A103,Classification!A:B,2,FALSE)</f>
        <v>A</v>
      </c>
      <c r="AN103" s="28" t="b">
        <f t="shared" si="55"/>
        <v>1</v>
      </c>
      <c r="AO103" s="3" t="str">
        <f>IF(ISERROR(MATCH(A103,'SegEnds_Xtal_Prot#'!B:B, 0)), "NoXtal", "Xtal")</f>
        <v>NoXtal</v>
      </c>
      <c r="AP103" s="3" t="str">
        <f t="shared" si="39"/>
        <v>-</v>
      </c>
      <c r="AQ103" s="3" t="str">
        <f t="shared" si="40"/>
        <v>-</v>
      </c>
      <c r="AR103" s="3">
        <f t="shared" si="41"/>
        <v>3</v>
      </c>
      <c r="AS103" s="3">
        <f t="shared" si="42"/>
        <v>1</v>
      </c>
      <c r="AT103" s="3">
        <f t="shared" si="43"/>
        <v>1</v>
      </c>
      <c r="AU103" s="3">
        <f t="shared" si="44"/>
        <v>1</v>
      </c>
      <c r="AV103" s="3">
        <f t="shared" si="45"/>
        <v>18</v>
      </c>
      <c r="AW103" s="3">
        <f t="shared" si="46"/>
        <v>6</v>
      </c>
      <c r="AX103" s="3">
        <f t="shared" si="47"/>
        <v>5</v>
      </c>
      <c r="AY103" s="3">
        <f t="shared" si="48"/>
        <v>5</v>
      </c>
      <c r="AZ103" s="3">
        <f t="shared" si="49"/>
        <v>1</v>
      </c>
      <c r="BA103" s="3">
        <f>IF(ISERROR(LEN(VLOOKUP(A103,Seqs!A:E,2,FALSE))-AL103),"-",LEN(VLOOKUP(A103,Seqs!A:E,2,FALSE))-AL103)</f>
        <v>39</v>
      </c>
      <c r="BB103" s="16">
        <f t="shared" si="50"/>
        <v>30</v>
      </c>
      <c r="BC103" s="9">
        <f t="shared" si="51"/>
        <v>20</v>
      </c>
      <c r="BD103" s="3">
        <f t="shared" si="52"/>
        <v>30</v>
      </c>
      <c r="BE103" s="3">
        <f t="shared" si="53"/>
        <v>46</v>
      </c>
    </row>
    <row r="104" spans="1:58" s="3" customFormat="1" x14ac:dyDescent="0.2">
      <c r="A104" s="3" t="s">
        <v>199</v>
      </c>
      <c r="B104" s="3" t="str">
        <f>LOWER(VLOOKUP(A104,Xtal_Templ!A:B,2,FALSE))</f>
        <v>par1_human</v>
      </c>
      <c r="C104" s="3">
        <f>VLOOKUP($A104,'SegEnds_NonXtal_BW#'!$A:$Z,3,FALSE)+D104-50</f>
        <v>11</v>
      </c>
      <c r="D104" s="3">
        <v>32</v>
      </c>
      <c r="E104" s="3">
        <f>IF(ISERROR(VLOOKUP($A104,'SegEnds_NonXtal_BW#'!$A:$Z,4,FALSE)+VLOOKUP($A104,A:AL,4,FALSE)-50),"-",(VLOOKUP($A104,'SegEnds_NonXtal_BW#'!$A:$Z,4,FALSE)+VLOOKUP($A104,A:AL,4,FALSE)-50))</f>
        <v>42</v>
      </c>
      <c r="F104" s="3" t="str">
        <f>IF(ISERROR(VLOOKUP($A104,'SegEnds_NonXtal_BW#'!$A:$Z,5,FALSE)+VLOOKUP($A104,A:AL,7,FALSE)-50),"-",(VLOOKUP($A104,'SegEnds_NonXtal_BW#'!$A:$Z,5,FALSE)+VLOOKUP($A104,A:AL,7,FALSE)-50))</f>
        <v>-</v>
      </c>
      <c r="G104" s="3" t="s">
        <v>23</v>
      </c>
      <c r="H104" s="3" t="str">
        <f>IF(ISERROR(VLOOKUP($A104,'SegEnds_NonXtal_BW#'!$A:$Z,6,FALSE)+VLOOKUP($A104,A:AL,7,FALSE)-50),"-",(VLOOKUP($A104,'SegEnds_NonXtal_BW#'!$A:$Z,6,FALSE)+VLOOKUP($A104,A:AL,7,FALSE)-50))</f>
        <v>-</v>
      </c>
      <c r="I104" s="3">
        <f>VLOOKUP($A104,'SegEnds_NonXtal_BW#'!$A:$Z,7,FALSE)+J104-50</f>
        <v>48</v>
      </c>
      <c r="J104" s="3">
        <v>61</v>
      </c>
      <c r="K104" s="3">
        <f>VLOOKUP($A104,'SegEnds_NonXtal_BW#'!$A:$Z,8,FALSE)+VLOOKUP($A104,A:AL,10,FALSE)-50</f>
        <v>77</v>
      </c>
      <c r="L104" s="3">
        <f t="shared" si="68"/>
        <v>80</v>
      </c>
      <c r="M104" s="3">
        <v>81</v>
      </c>
      <c r="N104" s="3">
        <f t="shared" si="69"/>
        <v>83</v>
      </c>
      <c r="O104" s="3">
        <f t="shared" si="70"/>
        <v>84</v>
      </c>
      <c r="P104" s="3">
        <v>113</v>
      </c>
      <c r="Q104" s="3">
        <f>VLOOKUP($A104,'SegEnds_NonXtal_BW#'!$A:$Z,12,FALSE)+VLOOKUP($A104,A:AL,16,FALSE)-50</f>
        <v>119</v>
      </c>
      <c r="R104" s="3">
        <f>IF(ISERROR(VLOOKUP($A104,'SegEnds_NonXtal_BW#'!$A:$Z,13,FALSE)+VLOOKUP($A104,A:AL,19,FALSE)-50),"-",VLOOKUP($A104,'SegEnds_NonXtal_BW#'!$A:$Z,13,FALSE)+VLOOKUP($A104,A:AL,19,FALSE)-50)</f>
        <v>120</v>
      </c>
      <c r="S104" s="3">
        <v>120</v>
      </c>
      <c r="T104" s="100">
        <f>IF(ISERROR(VLOOKUP($A104,'SegEnds_NonXtal_BW#'!$A:$Z,14,FALSE)+VLOOKUP($A104,A:AL,19,FALSE)-50),"-",(VLOOKUP($A104,'SegEnds_NonXtal_BW#'!$A:$Z,14,FALSE)+VLOOKUP($A104,A:AL,19,FALSE)-50))</f>
        <v>127</v>
      </c>
      <c r="U104" s="9">
        <f>IF(ISERROR(VLOOKUP($A104,'SegEnds_NonXtal_BW#'!$A:$Z,15,FALSE)+VLOOKUP($A104,A:AL,22,FALSE)-50),"-",VLOOKUP($A104,'SegEnds_NonXtal_BW#'!$A:$Z,15,FALSE)+VLOOKUP($A104,A:AL,22,FALSE)-50)</f>
        <v>128</v>
      </c>
      <c r="V104" s="3">
        <v>140</v>
      </c>
      <c r="W104" s="3">
        <f>IF(ISERROR(VLOOKUP($A104,'SegEnds_NonXtal_BW#'!$A:$Z,16,FALSE)+VLOOKUP($A104,A:AL,22,FALSE)-50),"-",(VLOOKUP($A104,'SegEnds_NonXtal_BW#'!$A:$Z,16,FALSE)+VLOOKUP($A104,A:AL,22,FALSE)-50))</f>
        <v>153</v>
      </c>
      <c r="X104" s="3">
        <f>IF(ISERROR(VLOOKUP($A104,'SegEnds_NonXtal_BW#'!$A:$Z,17,FALSE)+VLOOKUP($A104,A:AL,25,FALSE)-50),"-",(VLOOKUP($A104,'SegEnds_NonXtal_BW#'!$A:$Z,17,FALSE)+VLOOKUP($A104,A:AL,25,FALSE)-50))</f>
        <v>169</v>
      </c>
      <c r="Y104" s="3">
        <v>169</v>
      </c>
      <c r="Z104" s="3">
        <f t="shared" si="64"/>
        <v>171</v>
      </c>
      <c r="AA104" s="3">
        <f>IF(ISERROR(VLOOKUP($A104,'SegEnds_NonXtal_BW#'!$A:$Z,19,FALSE)+VLOOKUP($A104,A:AL,28,FALSE)-50),"-",(VLOOKUP($A104,'SegEnds_NonXtal_BW#'!$A:$Z,19,FALSE)+VLOOKUP($A104,A:AL,28,FALSE)-50))</f>
        <v>178</v>
      </c>
      <c r="AB104" s="3">
        <v>196</v>
      </c>
      <c r="AC104" s="3">
        <f>IF(ISERROR((VLOOKUP($A104,'SegEnds_NonXtal_BW#'!$A:$Z,20,FALSE)+VLOOKUP($A104,A:AL,28,FALSE)-50)),"-",(VLOOKUP($A104,'SegEnds_NonXtal_BW#'!$A:$Z,20,FALSE)+VLOOKUP($A104,A:AL,28,FALSE)-50))</f>
        <v>214</v>
      </c>
      <c r="AD104" s="3">
        <f>IF(ISERROR(VLOOKUP($A104,'SegEnds_NonXtal_BW#'!$A:$Z,21,FALSE)+VLOOKUP($A104,A:AL,31,FALSE)-50),"-",(VLOOKUP($A104,'SegEnds_NonXtal_BW#'!$A:$Z,21,FALSE)+VLOOKUP($A104,A:AL,31,FALSE)-50))</f>
        <v>218</v>
      </c>
      <c r="AE104" s="3">
        <v>240</v>
      </c>
      <c r="AF104" s="3">
        <f>IF(ISERROR((VLOOKUP($A104,'SegEnds_NonXtal_BW#'!$A:$Z,22,FALSE)+VLOOKUP($A104,A:AL,31,FALSE)-50)),"-",(VLOOKUP($A104,'SegEnds_NonXtal_BW#'!$A:$Z,22,FALSE)+VLOOKUP($A104,A:AL,31,FALSE)-50))</f>
        <v>251</v>
      </c>
      <c r="AG104" s="3">
        <f>IF(ISERROR(VLOOKUP($A104,'SegEnds_NonXtal_BW#'!$A:$Z,23,FALSE)+VLOOKUP($A104,A:AL,34,FALSE)-50),"-",(VLOOKUP($A104,'SegEnds_NonXtal_BW#'!$A:$Z,23,FALSE)+VLOOKUP($A104,A:AL,34,FALSE)-50))</f>
        <v>256</v>
      </c>
      <c r="AH104" s="3">
        <v>273</v>
      </c>
      <c r="AI104" s="3">
        <f>IF(ISERROR((VLOOKUP($A104,'SegEnds_NonXtal_BW#'!$A:$Z,24,FALSE)+VLOOKUP($A104,A:AL,34,FALSE)-50)),"-",(VLOOKUP($A104,'SegEnds_NonXtal_BW#'!$A:$Z,24,FALSE)+VLOOKUP($A104,A:AL,34,FALSE)-50))</f>
        <v>279</v>
      </c>
      <c r="AJ104" s="3">
        <f>IF(ISERROR(VLOOKUP($A104,'SegEnds_NonXtal_BW#'!$A:$Z,25,FALSE)+VLOOKUP($A104,A:AL,37,FALSE)-50),"-",(VLOOKUP($A104,'SegEnds_NonXtal_BW#'!$A:$Z,25,FALSE)+VLOOKUP($A104,A:AL,37,FALSE)-50))</f>
        <v>280</v>
      </c>
      <c r="AK104" s="3">
        <v>283</v>
      </c>
      <c r="AL104" s="3">
        <f>IF(ISERROR((VLOOKUP($A104,'SegEnds_NonXtal_BW#'!$A:$Z,26,FALSE)+VLOOKUP($A104,A:AL,37,FALSE)-50)),"-",(VLOOKUP($A104,'SegEnds_NonXtal_BW#'!$A:$Z,26,FALSE)+VLOOKUP($A104,A:AL,37,FALSE)-50))</f>
        <v>294</v>
      </c>
      <c r="AM104" s="28" t="str">
        <f>VLOOKUP(A104,Classification!A:B,2,FALSE)</f>
        <v>A</v>
      </c>
      <c r="AN104" s="28" t="b">
        <f t="shared" si="55"/>
        <v>1</v>
      </c>
      <c r="AO104" s="3" t="str">
        <f>IF(ISERROR(MATCH(A104,'SegEnds_Xtal_Prot#'!B:B, 0)), "NoXtal", "Xtal")</f>
        <v>NoXtal</v>
      </c>
      <c r="AP104" s="3" t="str">
        <f t="shared" si="39"/>
        <v>-</v>
      </c>
      <c r="AQ104" s="3" t="str">
        <f t="shared" si="40"/>
        <v>-</v>
      </c>
      <c r="AR104" s="3">
        <f t="shared" si="41"/>
        <v>3</v>
      </c>
      <c r="AS104" s="3">
        <f t="shared" si="42"/>
        <v>1</v>
      </c>
      <c r="AT104" s="3">
        <f t="shared" si="43"/>
        <v>1</v>
      </c>
      <c r="AU104" s="3">
        <f t="shared" si="44"/>
        <v>1</v>
      </c>
      <c r="AV104" s="3">
        <f t="shared" si="45"/>
        <v>16</v>
      </c>
      <c r="AW104" s="3">
        <f t="shared" si="46"/>
        <v>7</v>
      </c>
      <c r="AX104" s="3">
        <f t="shared" si="47"/>
        <v>4</v>
      </c>
      <c r="AY104" s="3">
        <f t="shared" si="48"/>
        <v>5</v>
      </c>
      <c r="AZ104" s="3">
        <f t="shared" si="49"/>
        <v>1</v>
      </c>
      <c r="BA104" s="3">
        <f>IF(ISERROR(LEN(VLOOKUP(A104,Seqs!A:E,2,FALSE))-AL104),"-",LEN(VLOOKUP(A104,Seqs!A:E,2,FALSE))-AL104)</f>
        <v>52</v>
      </c>
      <c r="BB104" s="16">
        <f t="shared" si="50"/>
        <v>29</v>
      </c>
      <c r="BC104" s="9">
        <f t="shared" si="51"/>
        <v>20</v>
      </c>
      <c r="BD104" s="3">
        <f t="shared" si="52"/>
        <v>29</v>
      </c>
      <c r="BE104" s="3">
        <f t="shared" si="53"/>
        <v>44</v>
      </c>
    </row>
    <row r="105" spans="1:58" s="3" customFormat="1" x14ac:dyDescent="0.2">
      <c r="A105" s="3" t="s">
        <v>200</v>
      </c>
      <c r="B105" s="3" t="str">
        <f>LOWER(VLOOKUP(A105,Xtal_Templ!A:B,2,FALSE))</f>
        <v>ox2r_human</v>
      </c>
      <c r="C105" s="3">
        <f>VLOOKUP($A105,'SegEnds_NonXtal_BW#'!$A:$Z,3,FALSE)+D105-50</f>
        <v>39</v>
      </c>
      <c r="D105" s="3">
        <v>58</v>
      </c>
      <c r="E105" s="3">
        <f>IF(ISERROR(VLOOKUP($A105,'SegEnds_NonXtal_BW#'!$A:$Z,4,FALSE)+VLOOKUP($A105,A:AL,4,FALSE)-50),"-",(VLOOKUP($A105,'SegEnds_NonXtal_BW#'!$A:$Z,4,FALSE)+VLOOKUP($A105,A:AL,4,FALSE)-50))</f>
        <v>68</v>
      </c>
      <c r="F105" s="3" t="str">
        <f>IF(ISERROR(VLOOKUP($A105,'SegEnds_NonXtal_BW#'!$A:$Z,5,FALSE)+VLOOKUP($A105,A:AL,7,FALSE)-50),"-",(VLOOKUP($A105,'SegEnds_NonXtal_BW#'!$A:$Z,5,FALSE)+VLOOKUP($A105,A:AL,7,FALSE)-50))</f>
        <v>-</v>
      </c>
      <c r="G105" s="3" t="s">
        <v>23</v>
      </c>
      <c r="H105" s="3" t="str">
        <f>IF(ISERROR(VLOOKUP($A105,'SegEnds_NonXtal_BW#'!$A:$Z,6,FALSE)+VLOOKUP($A105,A:AL,7,FALSE)-50),"-",(VLOOKUP($A105,'SegEnds_NonXtal_BW#'!$A:$Z,6,FALSE)+VLOOKUP($A105,A:AL,7,FALSE)-50))</f>
        <v>-</v>
      </c>
      <c r="I105" s="3">
        <f>VLOOKUP($A105,'SegEnds_NonXtal_BW#'!$A:$Z,7,FALSE)+J105-50</f>
        <v>72</v>
      </c>
      <c r="J105" s="3">
        <v>85</v>
      </c>
      <c r="K105" s="3">
        <f>VLOOKUP($A105,'SegEnds_NonXtal_BW#'!$A:$Z,8,FALSE)+VLOOKUP($A105,A:AL,10,FALSE)-50</f>
        <v>101</v>
      </c>
      <c r="L105" s="3">
        <f t="shared" si="68"/>
        <v>103</v>
      </c>
      <c r="M105" s="3">
        <v>104</v>
      </c>
      <c r="N105" s="3">
        <f t="shared" si="69"/>
        <v>106</v>
      </c>
      <c r="O105" s="3">
        <f t="shared" si="70"/>
        <v>107</v>
      </c>
      <c r="P105" s="3">
        <v>136</v>
      </c>
      <c r="Q105" s="3">
        <f>VLOOKUP($A105,'SegEnds_NonXtal_BW#'!$A:$Z,12,FALSE)+VLOOKUP($A105,A:AL,16,FALSE)-50</f>
        <v>142</v>
      </c>
      <c r="R105" s="3">
        <f>IF(ISERROR(VLOOKUP($A105,'SegEnds_NonXtal_BW#'!$A:$Z,13,FALSE)+VLOOKUP($A105,A:AL,19,FALSE)-50),"-",VLOOKUP($A105,'SegEnds_NonXtal_BW#'!$A:$Z,13,FALSE)+VLOOKUP($A105,A:AL,19,FALSE)-50)</f>
        <v>143</v>
      </c>
      <c r="S105" s="3">
        <v>143</v>
      </c>
      <c r="T105" s="100">
        <f>IF(ISERROR(VLOOKUP($A105,'SegEnds_NonXtal_BW#'!$A:$Z,14,FALSE)+VLOOKUP($A105,A:AL,19,FALSE)-50),"-",(VLOOKUP($A105,'SegEnds_NonXtal_BW#'!$A:$Z,14,FALSE)+VLOOKUP($A105,A:AL,19,FALSE)-50))</f>
        <v>150</v>
      </c>
      <c r="U105" s="9">
        <f>IF(ISERROR(VLOOKUP($A105,'SegEnds_NonXtal_BW#'!$A:$Z,15,FALSE)+VLOOKUP($A105,A:AL,22,FALSE)-50),"-",VLOOKUP($A105,'SegEnds_NonXtal_BW#'!$A:$Z,15,FALSE)+VLOOKUP($A105,A:AL,22,FALSE)-50)</f>
        <v>151</v>
      </c>
      <c r="V105" s="3">
        <v>163</v>
      </c>
      <c r="W105" s="3">
        <f>IF(ISERROR(VLOOKUP($A105,'SegEnds_NonXtal_BW#'!$A:$Z,16,FALSE)+VLOOKUP($A105,A:AL,22,FALSE)-50),"-",(VLOOKUP($A105,'SegEnds_NonXtal_BW#'!$A:$Z,16,FALSE)+VLOOKUP($A105,A:AL,22,FALSE)-50))</f>
        <v>177</v>
      </c>
      <c r="X105" s="3">
        <f>IF(ISERROR(VLOOKUP($A105,'SegEnds_NonXtal_BW#'!$A:$Z,17,FALSE)+VLOOKUP($A105,A:AL,25,FALSE)-50),"-",(VLOOKUP($A105,'SegEnds_NonXtal_BW#'!$A:$Z,17,FALSE)+VLOOKUP($A105,A:AL,25,FALSE)-50))</f>
        <v>194</v>
      </c>
      <c r="Y105" s="3">
        <v>194</v>
      </c>
      <c r="Z105" s="3">
        <f t="shared" si="64"/>
        <v>196</v>
      </c>
      <c r="AA105" s="3">
        <f>IF(ISERROR(VLOOKUP($A105,'SegEnds_NonXtal_BW#'!$A:$Z,19,FALSE)+VLOOKUP($A105,A:AL,28,FALSE)-50),"-",(VLOOKUP($A105,'SegEnds_NonXtal_BW#'!$A:$Z,19,FALSE)+VLOOKUP($A105,A:AL,28,FALSE)-50))</f>
        <v>202</v>
      </c>
      <c r="AB105" s="3">
        <v>219</v>
      </c>
      <c r="AC105" s="3">
        <f>IF(ISERROR((VLOOKUP($A105,'SegEnds_NonXtal_BW#'!$A:$Z,20,FALSE)+VLOOKUP($A105,A:AL,28,FALSE)-50)),"-",(VLOOKUP($A105,'SegEnds_NonXtal_BW#'!$A:$Z,20,FALSE)+VLOOKUP($A105,A:AL,28,FALSE)-50))</f>
        <v>245</v>
      </c>
      <c r="AD105" s="3">
        <f>IF(ISERROR(VLOOKUP($A105,'SegEnds_NonXtal_BW#'!$A:$Z,21,FALSE)+VLOOKUP($A105,A:AL,31,FALSE)-50),"-",(VLOOKUP($A105,'SegEnds_NonXtal_BW#'!$A:$Z,21,FALSE)+VLOOKUP($A105,A:AL,31,FALSE)-50))</f>
        <v>269</v>
      </c>
      <c r="AE105" s="3">
        <v>295</v>
      </c>
      <c r="AF105" s="3">
        <f>IF(ISERROR((VLOOKUP($A105,'SegEnds_NonXtal_BW#'!$A:$Z,22,FALSE)+VLOOKUP($A105,A:AL,31,FALSE)-50)),"-",(VLOOKUP($A105,'SegEnds_NonXtal_BW#'!$A:$Z,22,FALSE)+VLOOKUP($A105,A:AL,31,FALSE)-50))</f>
        <v>306</v>
      </c>
      <c r="AG105" s="3">
        <f>IF(ISERROR(VLOOKUP($A105,'SegEnds_NonXtal_BW#'!$A:$Z,23,FALSE)+VLOOKUP($A105,A:AL,34,FALSE)-50),"-",(VLOOKUP($A105,'SegEnds_NonXtal_BW#'!$A:$Z,23,FALSE)+VLOOKUP($A105,A:AL,34,FALSE)-50))</f>
        <v>312</v>
      </c>
      <c r="AH105" s="3">
        <v>334</v>
      </c>
      <c r="AI105" s="3">
        <f>IF(ISERROR((VLOOKUP($A105,'SegEnds_NonXtal_BW#'!$A:$Z,24,FALSE)+VLOOKUP($A105,A:AL,34,FALSE)-50)),"-",(VLOOKUP($A105,'SegEnds_NonXtal_BW#'!$A:$Z,24,FALSE)+VLOOKUP($A105,A:AL,34,FALSE)-50))</f>
        <v>340</v>
      </c>
      <c r="AJ105" s="3">
        <f>IF(ISERROR(VLOOKUP($A105,'SegEnds_NonXtal_BW#'!$A:$Z,25,FALSE)+VLOOKUP($A105,A:AL,37,FALSE)-50),"-",(VLOOKUP($A105,'SegEnds_NonXtal_BW#'!$A:$Z,25,FALSE)+VLOOKUP($A105,A:AL,37,FALSE)-50))</f>
        <v>341</v>
      </c>
      <c r="AK105" s="3">
        <v>344</v>
      </c>
      <c r="AL105" s="3">
        <f>IF(ISERROR((VLOOKUP($A105,'SegEnds_NonXtal_BW#'!$A:$Z,26,FALSE)+VLOOKUP($A105,A:AL,37,FALSE)-50)),"-",(VLOOKUP($A105,'SegEnds_NonXtal_BW#'!$A:$Z,26,FALSE)+VLOOKUP($A105,A:AL,37,FALSE)-50))</f>
        <v>352</v>
      </c>
      <c r="AM105" s="28" t="str">
        <f>VLOOKUP(A105,Classification!A:B,2,FALSE)</f>
        <v>A</v>
      </c>
      <c r="AN105" s="28" t="b">
        <f t="shared" si="55"/>
        <v>1</v>
      </c>
      <c r="AO105" s="3" t="str">
        <f>IF(ISERROR(MATCH(A105,'SegEnds_Xtal_Prot#'!B:B, 0)), "NoXtal", "Xtal")</f>
        <v>NoXtal</v>
      </c>
      <c r="AP105" s="3" t="str">
        <f t="shared" si="39"/>
        <v>-</v>
      </c>
      <c r="AQ105" s="3" t="str">
        <f t="shared" si="40"/>
        <v>-</v>
      </c>
      <c r="AR105" s="3">
        <f t="shared" si="41"/>
        <v>2</v>
      </c>
      <c r="AS105" s="3">
        <f t="shared" si="42"/>
        <v>1</v>
      </c>
      <c r="AT105" s="3">
        <f t="shared" si="43"/>
        <v>1</v>
      </c>
      <c r="AU105" s="3">
        <f t="shared" si="44"/>
        <v>1</v>
      </c>
      <c r="AV105" s="3">
        <f t="shared" si="45"/>
        <v>17</v>
      </c>
      <c r="AW105" s="3">
        <f t="shared" si="46"/>
        <v>6</v>
      </c>
      <c r="AX105" s="3">
        <f t="shared" si="47"/>
        <v>24</v>
      </c>
      <c r="AY105" s="3">
        <f t="shared" si="48"/>
        <v>6</v>
      </c>
      <c r="AZ105" s="3">
        <f t="shared" si="49"/>
        <v>1</v>
      </c>
      <c r="BA105" s="3">
        <f>IF(ISERROR(LEN(VLOOKUP(A105,Seqs!A:E,2,FALSE))-AL105),"-",LEN(VLOOKUP(A105,Seqs!A:E,2,FALSE))-AL105)</f>
        <v>25</v>
      </c>
      <c r="BB105" s="16">
        <f t="shared" si="50"/>
        <v>27</v>
      </c>
      <c r="BC105" s="9">
        <f t="shared" si="51"/>
        <v>20</v>
      </c>
      <c r="BD105" s="3">
        <f t="shared" si="52"/>
        <v>27</v>
      </c>
      <c r="BE105" s="3">
        <f t="shared" si="53"/>
        <v>76</v>
      </c>
      <c r="BF105" s="3">
        <f>AH105-AE105</f>
        <v>39</v>
      </c>
    </row>
    <row r="106" spans="1:58" s="3" customFormat="1" x14ac:dyDescent="0.2">
      <c r="A106" s="3" t="s">
        <v>201</v>
      </c>
      <c r="B106" s="3" t="str">
        <f>LOWER(VLOOKUP(A106,Xtal_Templ!A:B,2,FALSE))</f>
        <v>pd2r2_human</v>
      </c>
      <c r="C106" s="3">
        <f>VLOOKUP($A106,'SegEnds_NonXtal_BW#'!$A:$Z,3,FALSE)+D106-50</f>
        <v>26</v>
      </c>
      <c r="D106" s="3">
        <v>44</v>
      </c>
      <c r="E106" s="3">
        <f>IF(ISERROR(VLOOKUP($A106,'SegEnds_NonXtal_BW#'!$A:$Z,4,FALSE)+VLOOKUP($A106,A:AL,4,FALSE)-50),"-",(VLOOKUP($A106,'SegEnds_NonXtal_BW#'!$A:$Z,4,FALSE)+VLOOKUP($A106,A:AL,4,FALSE)-50))</f>
        <v>54</v>
      </c>
      <c r="F106" s="3" t="str">
        <f>IF(ISERROR(VLOOKUP($A106,'SegEnds_NonXtal_BW#'!$A:$Z,5,FALSE)+VLOOKUP($A106,A:AL,7,FALSE)-50),"-",(VLOOKUP($A106,'SegEnds_NonXtal_BW#'!$A:$Z,5,FALSE)+VLOOKUP($A106,A:AL,7,FALSE)-50))</f>
        <v>-</v>
      </c>
      <c r="G106" s="3" t="s">
        <v>23</v>
      </c>
      <c r="H106" s="3" t="str">
        <f>IF(ISERROR(VLOOKUP($A106,'SegEnds_NonXtal_BW#'!$A:$Z,6,FALSE)+VLOOKUP($A106,A:AL,7,FALSE)-50),"-",(VLOOKUP($A106,'SegEnds_NonXtal_BW#'!$A:$Z,6,FALSE)+VLOOKUP($A106,A:AL,7,FALSE)-50))</f>
        <v>-</v>
      </c>
      <c r="I106" s="3">
        <f>VLOOKUP($A106,'SegEnds_NonXtal_BW#'!$A:$Z,7,FALSE)+J106-50</f>
        <v>58</v>
      </c>
      <c r="J106" s="3">
        <v>71</v>
      </c>
      <c r="K106" s="3">
        <f>VLOOKUP($A106,'SegEnds_NonXtal_BW#'!$A:$Z,8,FALSE)+VLOOKUP($A106,A:AL,10,FALSE)-50</f>
        <v>88</v>
      </c>
      <c r="L106" s="3">
        <f t="shared" si="68"/>
        <v>90</v>
      </c>
      <c r="M106" s="3">
        <v>91</v>
      </c>
      <c r="N106" s="3">
        <f t="shared" si="69"/>
        <v>93</v>
      </c>
      <c r="O106" s="3">
        <f t="shared" si="70"/>
        <v>94</v>
      </c>
      <c r="P106" s="3">
        <v>123</v>
      </c>
      <c r="Q106" s="3">
        <f>VLOOKUP($A106,'SegEnds_NonXtal_BW#'!$A:$Z,12,FALSE)+VLOOKUP($A106,A:AL,16,FALSE)-50</f>
        <v>129</v>
      </c>
      <c r="R106" s="3">
        <f>IF(ISERROR(VLOOKUP($A106,'SegEnds_NonXtal_BW#'!$A:$Z,13,FALSE)+VLOOKUP($A106,A:AL,19,FALSE)-50),"-",VLOOKUP($A106,'SegEnds_NonXtal_BW#'!$A:$Z,13,FALSE)+VLOOKUP($A106,A:AL,19,FALSE)-50)</f>
        <v>130</v>
      </c>
      <c r="S106" s="3">
        <v>130</v>
      </c>
      <c r="T106" s="100">
        <f>IF(ISERROR(VLOOKUP($A106,'SegEnds_NonXtal_BW#'!$A:$Z,14,FALSE)+VLOOKUP($A106,A:AL,19,FALSE)-50),"-",(VLOOKUP($A106,'SegEnds_NonXtal_BW#'!$A:$Z,14,FALSE)+VLOOKUP($A106,A:AL,19,FALSE)-50))</f>
        <v>137</v>
      </c>
      <c r="U106" s="9">
        <f>IF(ISERROR(VLOOKUP($A106,'SegEnds_NonXtal_BW#'!$A:$Z,15,FALSE)+VLOOKUP($A106,A:AL,22,FALSE)-50),"-",VLOOKUP($A106,'SegEnds_NonXtal_BW#'!$A:$Z,15,FALSE)+VLOOKUP($A106,A:AL,22,FALSE)-50)</f>
        <v>138</v>
      </c>
      <c r="V106" s="3">
        <v>150</v>
      </c>
      <c r="W106" s="3">
        <f>IF(ISERROR(VLOOKUP($A106,'SegEnds_NonXtal_BW#'!$A:$Z,16,FALSE)+VLOOKUP($A106,A:AL,22,FALSE)-50),"-",(VLOOKUP($A106,'SegEnds_NonXtal_BW#'!$A:$Z,16,FALSE)+VLOOKUP($A106,A:AL,22,FALSE)-50))</f>
        <v>164</v>
      </c>
      <c r="X106" s="3">
        <f>IF(ISERROR(VLOOKUP($A106,'SegEnds_NonXtal_BW#'!$A:$Z,17,FALSE)+VLOOKUP($A106,A:AL,25,FALSE)-50),"-",(VLOOKUP($A106,'SegEnds_NonXtal_BW#'!$A:$Z,17,FALSE)+VLOOKUP($A106,A:AL,25,FALSE)-50))</f>
        <v>176</v>
      </c>
      <c r="Y106" s="3">
        <v>176</v>
      </c>
      <c r="Z106" s="3">
        <f t="shared" si="64"/>
        <v>178</v>
      </c>
      <c r="AA106" s="3">
        <f>IF(ISERROR(VLOOKUP($A106,'SegEnds_NonXtal_BW#'!$A:$Z,19,FALSE)+VLOOKUP($A106,A:AL,28,FALSE)-50),"-",(VLOOKUP($A106,'SegEnds_NonXtal_BW#'!$A:$Z,19,FALSE)+VLOOKUP($A106,A:AL,28,FALSE)-50))</f>
        <v>189</v>
      </c>
      <c r="AB106" s="3">
        <v>213</v>
      </c>
      <c r="AC106" s="3">
        <f>IF(ISERROR((VLOOKUP($A106,'SegEnds_NonXtal_BW#'!$A:$Z,20,FALSE)+VLOOKUP($A106,A:AL,28,FALSE)-50)),"-",(VLOOKUP($A106,'SegEnds_NonXtal_BW#'!$A:$Z,20,FALSE)+VLOOKUP($A106,A:AL,28,FALSE)-50))</f>
        <v>231</v>
      </c>
      <c r="AD106" s="3">
        <f>IF(ISERROR(VLOOKUP($A106,'SegEnds_NonXtal_BW#'!$A:$Z,21,FALSE)+VLOOKUP($A106,A:AL,31,FALSE)-50),"-",(VLOOKUP($A106,'SegEnds_NonXtal_BW#'!$A:$Z,21,FALSE)+VLOOKUP($A106,A:AL,31,FALSE)-50))</f>
        <v>236</v>
      </c>
      <c r="AE106" s="3">
        <v>256</v>
      </c>
      <c r="AF106" s="3">
        <f>IF(ISERROR((VLOOKUP($A106,'SegEnds_NonXtal_BW#'!$A:$Z,22,FALSE)+VLOOKUP($A106,A:AL,31,FALSE)-50)),"-",(VLOOKUP($A106,'SegEnds_NonXtal_BW#'!$A:$Z,22,FALSE)+VLOOKUP($A106,A:AL,31,FALSE)-50))</f>
        <v>267</v>
      </c>
      <c r="AG106" s="3">
        <f>IF(ISERROR(VLOOKUP($A106,'SegEnds_NonXtal_BW#'!$A:$Z,23,FALSE)+VLOOKUP($A106,A:AL,34,FALSE)-50),"-",(VLOOKUP($A106,'SegEnds_NonXtal_BW#'!$A:$Z,23,FALSE)+VLOOKUP($A106,A:AL,34,FALSE)-50))</f>
        <v>276</v>
      </c>
      <c r="AH106" s="3">
        <v>298</v>
      </c>
      <c r="AI106" s="3">
        <f>IF(ISERROR((VLOOKUP($A106,'SegEnds_NonXtal_BW#'!$A:$Z,24,FALSE)+VLOOKUP($A106,A:AL,34,FALSE)-50)),"-",(VLOOKUP($A106,'SegEnds_NonXtal_BW#'!$A:$Z,24,FALSE)+VLOOKUP($A106,A:AL,34,FALSE)-50))</f>
        <v>304</v>
      </c>
      <c r="AJ106" s="3">
        <f>IF(ISERROR(VLOOKUP($A106,'SegEnds_NonXtal_BW#'!$A:$Z,25,FALSE)+VLOOKUP($A106,A:AL,37,FALSE)-50),"-",(VLOOKUP($A106,'SegEnds_NonXtal_BW#'!$A:$Z,25,FALSE)+VLOOKUP($A106,A:AL,37,FALSE)-50))</f>
        <v>305</v>
      </c>
      <c r="AK106" s="3">
        <v>308</v>
      </c>
      <c r="AL106" s="3">
        <f>IF(ISERROR((VLOOKUP($A106,'SegEnds_NonXtal_BW#'!$A:$Z,26,FALSE)+VLOOKUP($A106,A:AL,37,FALSE)-50)),"-",(VLOOKUP($A106,'SegEnds_NonXtal_BW#'!$A:$Z,26,FALSE)+VLOOKUP($A106,A:AL,37,FALSE)-50))</f>
        <v>322</v>
      </c>
      <c r="AM106" s="28" t="str">
        <f>VLOOKUP(A106,Classification!A:B,2,FALSE)</f>
        <v>A</v>
      </c>
      <c r="AN106" s="28" t="b">
        <f t="shared" si="55"/>
        <v>1</v>
      </c>
      <c r="AO106" s="3" t="str">
        <f>IF(ISERROR(MATCH(A106,'SegEnds_Xtal_Prot#'!B:B, 0)), "NoXtal", "Xtal")</f>
        <v>NoXtal</v>
      </c>
      <c r="AP106" s="3" t="str">
        <f t="shared" si="39"/>
        <v>-</v>
      </c>
      <c r="AQ106" s="3" t="str">
        <f t="shared" si="40"/>
        <v>-</v>
      </c>
      <c r="AR106" s="3">
        <f t="shared" si="41"/>
        <v>2</v>
      </c>
      <c r="AS106" s="3">
        <f t="shared" si="42"/>
        <v>1</v>
      </c>
      <c r="AT106" s="3">
        <f t="shared" si="43"/>
        <v>1</v>
      </c>
      <c r="AU106" s="3">
        <f t="shared" si="44"/>
        <v>1</v>
      </c>
      <c r="AV106" s="3">
        <f t="shared" si="45"/>
        <v>12</v>
      </c>
      <c r="AW106" s="3">
        <f t="shared" si="46"/>
        <v>11</v>
      </c>
      <c r="AX106" s="3">
        <f t="shared" si="47"/>
        <v>5</v>
      </c>
      <c r="AY106" s="3">
        <f t="shared" si="48"/>
        <v>9</v>
      </c>
      <c r="AZ106" s="3">
        <f t="shared" si="49"/>
        <v>1</v>
      </c>
      <c r="BA106" s="3">
        <f>IF(ISERROR(LEN(VLOOKUP(A106,Seqs!A:E,2,FALSE))-AL106),"-",LEN(VLOOKUP(A106,Seqs!A:E,2,FALSE))-AL106)</f>
        <v>28</v>
      </c>
      <c r="BB106" s="16">
        <f t="shared" si="50"/>
        <v>27</v>
      </c>
      <c r="BC106" s="9">
        <f t="shared" si="51"/>
        <v>20</v>
      </c>
      <c r="BD106" s="3">
        <f t="shared" si="52"/>
        <v>27</v>
      </c>
      <c r="BE106" s="3">
        <f t="shared" si="53"/>
        <v>43</v>
      </c>
    </row>
    <row r="107" spans="1:58" s="3" customFormat="1" x14ac:dyDescent="0.2">
      <c r="A107" s="3" t="s">
        <v>202</v>
      </c>
      <c r="B107" s="3" t="str">
        <f>LOWER(VLOOKUP(A107,Xtal_Templ!A:B,2,FALSE))</f>
        <v>pd2r2_human</v>
      </c>
      <c r="C107" s="3">
        <f>VLOOKUP($A107,'SegEnds_NonXtal_BW#'!$A:$Z,3,FALSE)+D107-50</f>
        <v>26</v>
      </c>
      <c r="D107" s="3">
        <v>44</v>
      </c>
      <c r="E107" s="3">
        <f>IF(ISERROR(VLOOKUP($A107,'SegEnds_NonXtal_BW#'!$A:$Z,4,FALSE)+VLOOKUP($A107,A:AL,4,FALSE)-50),"-",(VLOOKUP($A107,'SegEnds_NonXtal_BW#'!$A:$Z,4,FALSE)+VLOOKUP($A107,A:AL,4,FALSE)-50))</f>
        <v>54</v>
      </c>
      <c r="F107" s="3" t="str">
        <f>IF(ISERROR(VLOOKUP($A107,'SegEnds_NonXtal_BW#'!$A:$Z,5,FALSE)+VLOOKUP($A107,A:AL,7,FALSE)-50),"-",(VLOOKUP($A107,'SegEnds_NonXtal_BW#'!$A:$Z,5,FALSE)+VLOOKUP($A107,A:AL,7,FALSE)-50))</f>
        <v>-</v>
      </c>
      <c r="G107" s="3" t="s">
        <v>23</v>
      </c>
      <c r="H107" s="3" t="str">
        <f>IF(ISERROR(VLOOKUP($A107,'SegEnds_NonXtal_BW#'!$A:$Z,6,FALSE)+VLOOKUP($A107,A:AL,7,FALSE)-50),"-",(VLOOKUP($A107,'SegEnds_NonXtal_BW#'!$A:$Z,6,FALSE)+VLOOKUP($A107,A:AL,7,FALSE)-50))</f>
        <v>-</v>
      </c>
      <c r="I107" s="3">
        <f>VLOOKUP($A107,'SegEnds_NonXtal_BW#'!$A:$Z,7,FALSE)+J107-50</f>
        <v>58</v>
      </c>
      <c r="J107" s="3">
        <v>71</v>
      </c>
      <c r="K107" s="3">
        <f>VLOOKUP($A107,'SegEnds_NonXtal_BW#'!$A:$Z,8,FALSE)+VLOOKUP($A107,A:AL,10,FALSE)-50</f>
        <v>88</v>
      </c>
      <c r="L107" s="3">
        <f t="shared" si="68"/>
        <v>90</v>
      </c>
      <c r="M107" s="3">
        <v>91</v>
      </c>
      <c r="N107" s="3">
        <f t="shared" si="69"/>
        <v>93</v>
      </c>
      <c r="O107" s="3">
        <f t="shared" si="70"/>
        <v>94</v>
      </c>
      <c r="P107" s="3">
        <v>123</v>
      </c>
      <c r="Q107" s="3">
        <f>VLOOKUP($A107,'SegEnds_NonXtal_BW#'!$A:$Z,12,FALSE)+VLOOKUP($A107,A:AL,16,FALSE)-50</f>
        <v>129</v>
      </c>
      <c r="R107" s="3">
        <f>IF(ISERROR(VLOOKUP($A107,'SegEnds_NonXtal_BW#'!$A:$Z,13,FALSE)+VLOOKUP($A107,A:AL,19,FALSE)-50),"-",VLOOKUP($A107,'SegEnds_NonXtal_BW#'!$A:$Z,13,FALSE)+VLOOKUP($A107,A:AL,19,FALSE)-50)</f>
        <v>130</v>
      </c>
      <c r="S107" s="3">
        <v>130</v>
      </c>
      <c r="T107" s="100">
        <f>IF(ISERROR(VLOOKUP($A107,'SegEnds_NonXtal_BW#'!$A:$Z,14,FALSE)+VLOOKUP($A107,A:AL,19,FALSE)-50),"-",(VLOOKUP($A107,'SegEnds_NonXtal_BW#'!$A:$Z,14,FALSE)+VLOOKUP($A107,A:AL,19,FALSE)-50))</f>
        <v>137</v>
      </c>
      <c r="U107" s="9">
        <f>IF(ISERROR(VLOOKUP($A107,'SegEnds_NonXtal_BW#'!$A:$Z,15,FALSE)+VLOOKUP($A107,A:AL,22,FALSE)-50),"-",VLOOKUP($A107,'SegEnds_NonXtal_BW#'!$A:$Z,15,FALSE)+VLOOKUP($A107,A:AL,22,FALSE)-50)</f>
        <v>138</v>
      </c>
      <c r="V107" s="3">
        <v>150</v>
      </c>
      <c r="W107" s="3">
        <f>IF(ISERROR(VLOOKUP($A107,'SegEnds_NonXtal_BW#'!$A:$Z,16,FALSE)+VLOOKUP($A107,A:AL,22,FALSE)-50),"-",(VLOOKUP($A107,'SegEnds_NonXtal_BW#'!$A:$Z,16,FALSE)+VLOOKUP($A107,A:AL,22,FALSE)-50))</f>
        <v>164</v>
      </c>
      <c r="X107" s="3">
        <f>IF(ISERROR(VLOOKUP($A107,'SegEnds_NonXtal_BW#'!$A:$Z,17,FALSE)+VLOOKUP($A107,A:AL,25,FALSE)-50),"-",(VLOOKUP($A107,'SegEnds_NonXtal_BW#'!$A:$Z,17,FALSE)+VLOOKUP($A107,A:AL,25,FALSE)-50))</f>
        <v>176</v>
      </c>
      <c r="Y107" s="3">
        <v>176</v>
      </c>
      <c r="Z107" s="3">
        <f t="shared" si="64"/>
        <v>178</v>
      </c>
      <c r="AA107" s="3">
        <f>IF(ISERROR(VLOOKUP($A107,'SegEnds_NonXtal_BW#'!$A:$Z,19,FALSE)+VLOOKUP($A107,A:AL,28,FALSE)-50),"-",(VLOOKUP($A107,'SegEnds_NonXtal_BW#'!$A:$Z,19,FALSE)+VLOOKUP($A107,A:AL,28,FALSE)-50))</f>
        <v>189</v>
      </c>
      <c r="AB107" s="3">
        <v>213</v>
      </c>
      <c r="AC107" s="3">
        <f>IF(ISERROR((VLOOKUP($A107,'SegEnds_NonXtal_BW#'!$A:$Z,20,FALSE)+VLOOKUP($A107,A:AL,28,FALSE)-50)),"-",(VLOOKUP($A107,'SegEnds_NonXtal_BW#'!$A:$Z,20,FALSE)+VLOOKUP($A107,A:AL,28,FALSE)-50))</f>
        <v>231</v>
      </c>
      <c r="AD107" s="3">
        <f>IF(ISERROR(VLOOKUP($A107,'SegEnds_NonXtal_BW#'!$A:$Z,21,FALSE)+VLOOKUP($A107,A:AL,31,FALSE)-50),"-",(VLOOKUP($A107,'SegEnds_NonXtal_BW#'!$A:$Z,21,FALSE)+VLOOKUP($A107,A:AL,31,FALSE)-50))</f>
        <v>236</v>
      </c>
      <c r="AE107" s="3">
        <v>256</v>
      </c>
      <c r="AF107" s="3">
        <f>IF(ISERROR((VLOOKUP($A107,'SegEnds_NonXtal_BW#'!$A:$Z,22,FALSE)+VLOOKUP($A107,A:AL,31,FALSE)-50)),"-",(VLOOKUP($A107,'SegEnds_NonXtal_BW#'!$A:$Z,22,FALSE)+VLOOKUP($A107,A:AL,31,FALSE)-50))</f>
        <v>267</v>
      </c>
      <c r="AG107" s="3">
        <f>IF(ISERROR(VLOOKUP($A107,'SegEnds_NonXtal_BW#'!$A:$Z,23,FALSE)+VLOOKUP($A107,A:AL,34,FALSE)-50),"-",(VLOOKUP($A107,'SegEnds_NonXtal_BW#'!$A:$Z,23,FALSE)+VLOOKUP($A107,A:AL,34,FALSE)-50))</f>
        <v>273</v>
      </c>
      <c r="AH107" s="3">
        <v>299</v>
      </c>
      <c r="AI107" s="3">
        <f>IF(ISERROR((VLOOKUP($A107,'SegEnds_NonXtal_BW#'!$A:$Z,24,FALSE)+VLOOKUP($A107,A:AL,34,FALSE)-50)),"-",(VLOOKUP($A107,'SegEnds_NonXtal_BW#'!$A:$Z,24,FALSE)+VLOOKUP($A107,A:AL,34,FALSE)-50))</f>
        <v>305</v>
      </c>
      <c r="AJ107" s="3">
        <f>IF(ISERROR(VLOOKUP($A107,'SegEnds_NonXtal_BW#'!$A:$Z,25,FALSE)+VLOOKUP($A107,A:AL,37,FALSE)-50),"-",(VLOOKUP($A107,'SegEnds_NonXtal_BW#'!$A:$Z,25,FALSE)+VLOOKUP($A107,A:AL,37,FALSE)-50))</f>
        <v>306</v>
      </c>
      <c r="AK107" s="3">
        <v>309</v>
      </c>
      <c r="AL107" s="3">
        <f>IF(ISERROR((VLOOKUP($A107,'SegEnds_NonXtal_BW#'!$A:$Z,26,FALSE)+VLOOKUP($A107,A:AL,37,FALSE)-50)),"-",(VLOOKUP($A107,'SegEnds_NonXtal_BW#'!$A:$Z,26,FALSE)+VLOOKUP($A107,A:AL,37,FALSE)-50))</f>
        <v>323</v>
      </c>
      <c r="AM107" s="28" t="str">
        <f>VLOOKUP(A107,Classification!A:B,2,FALSE)</f>
        <v>A</v>
      </c>
      <c r="AN107" s="28" t="b">
        <f t="shared" si="55"/>
        <v>1</v>
      </c>
      <c r="AO107" s="3" t="str">
        <f>IF(ISERROR(MATCH(A107,'SegEnds_Xtal_Prot#'!B:B, 0)), "NoXtal", "Xtal")</f>
        <v>NoXtal</v>
      </c>
      <c r="AP107" s="3" t="str">
        <f t="shared" si="39"/>
        <v>-</v>
      </c>
      <c r="AQ107" s="3" t="str">
        <f t="shared" si="40"/>
        <v>-</v>
      </c>
      <c r="AR107" s="3">
        <f t="shared" si="41"/>
        <v>2</v>
      </c>
      <c r="AS107" s="3">
        <f t="shared" si="42"/>
        <v>1</v>
      </c>
      <c r="AT107" s="3">
        <f t="shared" si="43"/>
        <v>1</v>
      </c>
      <c r="AU107" s="3">
        <f t="shared" si="44"/>
        <v>1</v>
      </c>
      <c r="AV107" s="3">
        <f t="shared" si="45"/>
        <v>12</v>
      </c>
      <c r="AW107" s="3">
        <f t="shared" si="46"/>
        <v>11</v>
      </c>
      <c r="AX107" s="3">
        <f t="shared" si="47"/>
        <v>5</v>
      </c>
      <c r="AY107" s="3">
        <f t="shared" si="48"/>
        <v>6</v>
      </c>
      <c r="AZ107" s="3">
        <f t="shared" si="49"/>
        <v>1</v>
      </c>
      <c r="BA107" s="3">
        <f>IF(ISERROR(LEN(VLOOKUP(A107,Seqs!A:E,2,FALSE))-AL107),"-",LEN(VLOOKUP(A107,Seqs!A:E,2,FALSE))-AL107)</f>
        <v>28</v>
      </c>
      <c r="BB107" s="16">
        <f t="shared" si="50"/>
        <v>27</v>
      </c>
      <c r="BC107" s="9">
        <f t="shared" si="51"/>
        <v>20</v>
      </c>
      <c r="BD107" s="3">
        <f t="shared" si="52"/>
        <v>27</v>
      </c>
      <c r="BE107" s="3">
        <f t="shared" si="53"/>
        <v>43</v>
      </c>
    </row>
    <row r="108" spans="1:58" s="3" customFormat="1" x14ac:dyDescent="0.2">
      <c r="A108" s="3" t="s">
        <v>203</v>
      </c>
      <c r="B108" s="3" t="str">
        <f>LOWER(VLOOKUP(A108,Xtal_Templ!A:B,2,FALSE))</f>
        <v>pd2r2_human</v>
      </c>
      <c r="C108" s="3">
        <f>VLOOKUP($A108,'SegEnds_NonXtal_BW#'!$A:$Z,3,FALSE)+D108-50</f>
        <v>26</v>
      </c>
      <c r="D108" s="3">
        <v>44</v>
      </c>
      <c r="E108" s="3">
        <f>IF(ISERROR(VLOOKUP($A108,'SegEnds_NonXtal_BW#'!$A:$Z,4,FALSE)+VLOOKUP($A108,A:AL,4,FALSE)-50),"-",(VLOOKUP($A108,'SegEnds_NonXtal_BW#'!$A:$Z,4,FALSE)+VLOOKUP($A108,A:AL,4,FALSE)-50))</f>
        <v>54</v>
      </c>
      <c r="F108" s="3" t="str">
        <f>IF(ISERROR(VLOOKUP($A108,'SegEnds_NonXtal_BW#'!$A:$Z,5,FALSE)+VLOOKUP($A108,A:AL,7,FALSE)-50),"-",(VLOOKUP($A108,'SegEnds_NonXtal_BW#'!$A:$Z,5,FALSE)+VLOOKUP($A108,A:AL,7,FALSE)-50))</f>
        <v>-</v>
      </c>
      <c r="G108" s="3" t="s">
        <v>23</v>
      </c>
      <c r="H108" s="3" t="str">
        <f>IF(ISERROR(VLOOKUP($A108,'SegEnds_NonXtal_BW#'!$A:$Z,6,FALSE)+VLOOKUP($A108,A:AL,7,FALSE)-50),"-",(VLOOKUP($A108,'SegEnds_NonXtal_BW#'!$A:$Z,6,FALSE)+VLOOKUP($A108,A:AL,7,FALSE)-50))</f>
        <v>-</v>
      </c>
      <c r="I108" s="3">
        <f>VLOOKUP($A108,'SegEnds_NonXtal_BW#'!$A:$Z,7,FALSE)+J108-50</f>
        <v>58</v>
      </c>
      <c r="J108" s="3">
        <v>71</v>
      </c>
      <c r="K108" s="3">
        <f>VLOOKUP($A108,'SegEnds_NonXtal_BW#'!$A:$Z,8,FALSE)+VLOOKUP($A108,A:AL,10,FALSE)-50</f>
        <v>88</v>
      </c>
      <c r="L108" s="3">
        <f t="shared" si="68"/>
        <v>90</v>
      </c>
      <c r="M108" s="3">
        <v>91</v>
      </c>
      <c r="N108" s="3">
        <f t="shared" si="69"/>
        <v>93</v>
      </c>
      <c r="O108" s="3">
        <f t="shared" si="70"/>
        <v>94</v>
      </c>
      <c r="P108" s="3">
        <v>123</v>
      </c>
      <c r="Q108" s="3">
        <f>VLOOKUP($A108,'SegEnds_NonXtal_BW#'!$A:$Z,12,FALSE)+VLOOKUP($A108,A:AL,16,FALSE)-50</f>
        <v>129</v>
      </c>
      <c r="R108" s="3">
        <f>IF(ISERROR(VLOOKUP($A108,'SegEnds_NonXtal_BW#'!$A:$Z,13,FALSE)+VLOOKUP($A108,A:AL,19,FALSE)-50),"-",VLOOKUP($A108,'SegEnds_NonXtal_BW#'!$A:$Z,13,FALSE)+VLOOKUP($A108,A:AL,19,FALSE)-50)</f>
        <v>130</v>
      </c>
      <c r="S108" s="3">
        <v>130</v>
      </c>
      <c r="T108" s="100">
        <f>IF(ISERROR(VLOOKUP($A108,'SegEnds_NonXtal_BW#'!$A:$Z,14,FALSE)+VLOOKUP($A108,A:AL,19,FALSE)-50),"-",(VLOOKUP($A108,'SegEnds_NonXtal_BW#'!$A:$Z,14,FALSE)+VLOOKUP($A108,A:AL,19,FALSE)-50))</f>
        <v>137</v>
      </c>
      <c r="U108" s="9">
        <f>IF(ISERROR(VLOOKUP($A108,'SegEnds_NonXtal_BW#'!$A:$Z,15,FALSE)+VLOOKUP($A108,A:AL,22,FALSE)-50),"-",VLOOKUP($A108,'SegEnds_NonXtal_BW#'!$A:$Z,15,FALSE)+VLOOKUP($A108,A:AL,22,FALSE)-50)</f>
        <v>138</v>
      </c>
      <c r="V108" s="3">
        <v>150</v>
      </c>
      <c r="W108" s="3">
        <f>IF(ISERROR(VLOOKUP($A108,'SegEnds_NonXtal_BW#'!$A:$Z,16,FALSE)+VLOOKUP($A108,A:AL,22,FALSE)-50),"-",(VLOOKUP($A108,'SegEnds_NonXtal_BW#'!$A:$Z,16,FALSE)+VLOOKUP($A108,A:AL,22,FALSE)-50))</f>
        <v>164</v>
      </c>
      <c r="X108" s="3">
        <f>IF(ISERROR(VLOOKUP($A108,'SegEnds_NonXtal_BW#'!$A:$Z,17,FALSE)+VLOOKUP($A108,A:AL,25,FALSE)-50),"-",(VLOOKUP($A108,'SegEnds_NonXtal_BW#'!$A:$Z,17,FALSE)+VLOOKUP($A108,A:AL,25,FALSE)-50))</f>
        <v>176</v>
      </c>
      <c r="Y108" s="3">
        <v>176</v>
      </c>
      <c r="Z108" s="3">
        <f t="shared" si="64"/>
        <v>178</v>
      </c>
      <c r="AA108" s="3">
        <f>IF(ISERROR(VLOOKUP($A108,'SegEnds_NonXtal_BW#'!$A:$Z,19,FALSE)+VLOOKUP($A108,A:AL,28,FALSE)-50),"-",(VLOOKUP($A108,'SegEnds_NonXtal_BW#'!$A:$Z,19,FALSE)+VLOOKUP($A108,A:AL,28,FALSE)-50))</f>
        <v>189</v>
      </c>
      <c r="AB108" s="3">
        <v>213</v>
      </c>
      <c r="AC108" s="3">
        <f>IF(ISERROR((VLOOKUP($A108,'SegEnds_NonXtal_BW#'!$A:$Z,20,FALSE)+VLOOKUP($A108,A:AL,28,FALSE)-50)),"-",(VLOOKUP($A108,'SegEnds_NonXtal_BW#'!$A:$Z,20,FALSE)+VLOOKUP($A108,A:AL,28,FALSE)-50))</f>
        <v>231</v>
      </c>
      <c r="AD108" s="3">
        <f>IF(ISERROR(VLOOKUP($A108,'SegEnds_NonXtal_BW#'!$A:$Z,21,FALSE)+VLOOKUP($A108,A:AL,31,FALSE)-50),"-",(VLOOKUP($A108,'SegEnds_NonXtal_BW#'!$A:$Z,21,FALSE)+VLOOKUP($A108,A:AL,31,FALSE)-50))</f>
        <v>236</v>
      </c>
      <c r="AE108" s="3">
        <v>256</v>
      </c>
      <c r="AF108" s="3">
        <f>IF(ISERROR((VLOOKUP($A108,'SegEnds_NonXtal_BW#'!$A:$Z,22,FALSE)+VLOOKUP($A108,A:AL,31,FALSE)-50)),"-",(VLOOKUP($A108,'SegEnds_NonXtal_BW#'!$A:$Z,22,FALSE)+VLOOKUP($A108,A:AL,31,FALSE)-50))</f>
        <v>267</v>
      </c>
      <c r="AG108" s="3">
        <f>IF(ISERROR(VLOOKUP($A108,'SegEnds_NonXtal_BW#'!$A:$Z,23,FALSE)+VLOOKUP($A108,A:AL,34,FALSE)-50),"-",(VLOOKUP($A108,'SegEnds_NonXtal_BW#'!$A:$Z,23,FALSE)+VLOOKUP($A108,A:AL,34,FALSE)-50))</f>
        <v>273</v>
      </c>
      <c r="AH108" s="3">
        <v>299</v>
      </c>
      <c r="AI108" s="3">
        <f>IF(ISERROR((VLOOKUP($A108,'SegEnds_NonXtal_BW#'!$A:$Z,24,FALSE)+VLOOKUP($A108,A:AL,34,FALSE)-50)),"-",(VLOOKUP($A108,'SegEnds_NonXtal_BW#'!$A:$Z,24,FALSE)+VLOOKUP($A108,A:AL,34,FALSE)-50))</f>
        <v>305</v>
      </c>
      <c r="AJ108" s="3">
        <f>IF(ISERROR(VLOOKUP($A108,'SegEnds_NonXtal_BW#'!$A:$Z,25,FALSE)+VLOOKUP($A108,A:AL,37,FALSE)-50),"-",(VLOOKUP($A108,'SegEnds_NonXtal_BW#'!$A:$Z,25,FALSE)+VLOOKUP($A108,A:AL,37,FALSE)-50))</f>
        <v>306</v>
      </c>
      <c r="AK108" s="3">
        <v>309</v>
      </c>
      <c r="AL108" s="3">
        <f>IF(ISERROR((VLOOKUP($A108,'SegEnds_NonXtal_BW#'!$A:$Z,26,FALSE)+VLOOKUP($A108,A:AL,37,FALSE)-50)),"-",(VLOOKUP($A108,'SegEnds_NonXtal_BW#'!$A:$Z,26,FALSE)+VLOOKUP($A108,A:AL,37,FALSE)-50))</f>
        <v>323</v>
      </c>
      <c r="AM108" s="28" t="str">
        <f>VLOOKUP(A108,Classification!A:B,2,FALSE)</f>
        <v>A</v>
      </c>
      <c r="AN108" s="28" t="b">
        <f t="shared" si="55"/>
        <v>1</v>
      </c>
      <c r="AO108" s="3" t="str">
        <f>IF(ISERROR(MATCH(A108,'SegEnds_Xtal_Prot#'!B:B, 0)), "NoXtal", "Xtal")</f>
        <v>NoXtal</v>
      </c>
      <c r="AP108" s="3" t="str">
        <f t="shared" si="39"/>
        <v>-</v>
      </c>
      <c r="AQ108" s="3" t="str">
        <f t="shared" si="40"/>
        <v>-</v>
      </c>
      <c r="AR108" s="3">
        <f t="shared" si="41"/>
        <v>2</v>
      </c>
      <c r="AS108" s="3">
        <f t="shared" si="42"/>
        <v>1</v>
      </c>
      <c r="AT108" s="3">
        <f t="shared" si="43"/>
        <v>1</v>
      </c>
      <c r="AU108" s="3">
        <f t="shared" si="44"/>
        <v>1</v>
      </c>
      <c r="AV108" s="3">
        <f t="shared" si="45"/>
        <v>12</v>
      </c>
      <c r="AW108" s="3">
        <f t="shared" si="46"/>
        <v>11</v>
      </c>
      <c r="AX108" s="3">
        <f t="shared" si="47"/>
        <v>5</v>
      </c>
      <c r="AY108" s="3">
        <f t="shared" si="48"/>
        <v>6</v>
      </c>
      <c r="AZ108" s="3">
        <f t="shared" si="49"/>
        <v>1</v>
      </c>
      <c r="BA108" s="3">
        <f>IF(ISERROR(LEN(VLOOKUP(A108,Seqs!A:E,2,FALSE))-AL108),"-",LEN(VLOOKUP(A108,Seqs!A:E,2,FALSE))-AL108)</f>
        <v>30</v>
      </c>
      <c r="BB108" s="16">
        <f t="shared" si="50"/>
        <v>27</v>
      </c>
      <c r="BC108" s="9">
        <f t="shared" si="51"/>
        <v>20</v>
      </c>
      <c r="BD108" s="3">
        <f t="shared" si="52"/>
        <v>27</v>
      </c>
      <c r="BE108" s="3">
        <f t="shared" si="53"/>
        <v>43</v>
      </c>
    </row>
    <row r="109" spans="1:58" s="3" customFormat="1" x14ac:dyDescent="0.2">
      <c r="A109" s="3" t="s">
        <v>204</v>
      </c>
      <c r="B109" s="3" t="str">
        <f>LOWER(VLOOKUP(A109,Xtal_Templ!A:B,2,FALSE))</f>
        <v>aa2ar_human</v>
      </c>
      <c r="C109" s="3">
        <f>VLOOKUP($A109,'SegEnds_NonXtal_BW#'!$A:$Z,3,FALSE)+D109-50</f>
        <v>357</v>
      </c>
      <c r="D109" s="3">
        <v>380</v>
      </c>
      <c r="E109" s="3">
        <f>IF(ISERROR(VLOOKUP($A109,'SegEnds_NonXtal_BW#'!$A:$Z,4,FALSE)+VLOOKUP($A109,A:AL,4,FALSE)-50),"-",(VLOOKUP($A109,'SegEnds_NonXtal_BW#'!$A:$Z,4,FALSE)+VLOOKUP($A109,A:AL,4,FALSE)-50))</f>
        <v>390</v>
      </c>
      <c r="F109" s="3">
        <f>G109-2</f>
        <v>392</v>
      </c>
      <c r="G109" s="3">
        <v>394</v>
      </c>
      <c r="H109" s="3">
        <f>G109+1</f>
        <v>395</v>
      </c>
      <c r="I109" s="3">
        <f>H109+1</f>
        <v>396</v>
      </c>
      <c r="J109" s="3">
        <v>408</v>
      </c>
      <c r="K109" s="3">
        <f>VLOOKUP($A109,'SegEnds_NonXtal_BW#'!$A:$Z,8,FALSE)+VLOOKUP($A109,A:AL,10,FALSE)-50</f>
        <v>425</v>
      </c>
      <c r="L109" s="3">
        <f t="shared" si="68"/>
        <v>435</v>
      </c>
      <c r="M109" s="3">
        <v>436</v>
      </c>
      <c r="N109" s="3">
        <f t="shared" si="69"/>
        <v>438</v>
      </c>
      <c r="O109" s="3">
        <f t="shared" si="70"/>
        <v>439</v>
      </c>
      <c r="P109" s="3">
        <v>467</v>
      </c>
      <c r="Q109" s="3">
        <f>VLOOKUP($A109,'SegEnds_NonXtal_BW#'!$A:$Z,12,FALSE)+VLOOKUP($A109,A:AL,16,FALSE)-50</f>
        <v>473</v>
      </c>
      <c r="R109" s="3">
        <f>IF(ISERROR(VLOOKUP($A109,'SegEnds_NonXtal_BW#'!$A:$Z,13,FALSE)+VLOOKUP($A109,A:AL,19,FALSE)-50),"-",VLOOKUP($A109,'SegEnds_NonXtal_BW#'!$A:$Z,13,FALSE)+VLOOKUP($A109,A:AL,19,FALSE)-50)</f>
        <v>474</v>
      </c>
      <c r="S109" s="3">
        <v>474</v>
      </c>
      <c r="T109" s="100">
        <f>IF(ISERROR(VLOOKUP($A109,'SegEnds_NonXtal_BW#'!$A:$Z,14,FALSE)+VLOOKUP($A109,A:AL,19,FALSE)-50),"-",(VLOOKUP($A109,'SegEnds_NonXtal_BW#'!$A:$Z,14,FALSE)+VLOOKUP($A109,A:AL,19,FALSE)-50))</f>
        <v>481</v>
      </c>
      <c r="U109" s="9">
        <f>IF(ISERROR(VLOOKUP($A109,'SegEnds_NonXtal_BW#'!$A:$Z,15,FALSE)+VLOOKUP($A109,A:AL,22,FALSE)-50),"-",VLOOKUP($A109,'SegEnds_NonXtal_BW#'!$A:$Z,15,FALSE)+VLOOKUP($A109,A:AL,22,FALSE)-50)</f>
        <v>482</v>
      </c>
      <c r="V109" s="3">
        <v>494</v>
      </c>
      <c r="W109" s="3">
        <f>IF(ISERROR(VLOOKUP($A109,'SegEnds_NonXtal_BW#'!$A:$Z,16,FALSE)+VLOOKUP($A109,A:AL,22,FALSE)-50),"-",(VLOOKUP($A109,'SegEnds_NonXtal_BW#'!$A:$Z,16,FALSE)+VLOOKUP($A109,A:AL,22,FALSE)-50))</f>
        <v>507</v>
      </c>
      <c r="X109" s="3">
        <f>IF(ISERROR(VLOOKUP($A109,'SegEnds_NonXtal_BW#'!$A:$Z,17,FALSE)+VLOOKUP($A109,A:AL,25,FALSE)-50),"-",(VLOOKUP($A109,'SegEnds_NonXtal_BW#'!$A:$Z,17,FALSE)+VLOOKUP($A109,A:AL,25,FALSE)-50))</f>
        <v>517</v>
      </c>
      <c r="Y109" s="3">
        <v>517</v>
      </c>
      <c r="Z109" s="3">
        <f t="shared" si="64"/>
        <v>519</v>
      </c>
      <c r="AA109" s="3">
        <f>IF(ISERROR(VLOOKUP($A109,'SegEnds_NonXtal_BW#'!$A:$Z,19,FALSE)+VLOOKUP($A109,A:AL,28,FALSE)-50),"-",(VLOOKUP($A109,'SegEnds_NonXtal_BW#'!$A:$Z,19,FALSE)+VLOOKUP($A109,A:AL,28,FALSE)-50))</f>
        <v>525</v>
      </c>
      <c r="AB109" s="3">
        <v>541</v>
      </c>
      <c r="AC109" s="3">
        <f>IF(ISERROR((VLOOKUP($A109,'SegEnds_NonXtal_BW#'!$A:$Z,20,FALSE)+VLOOKUP($A109,A:AL,28,FALSE)-50)),"-",(VLOOKUP($A109,'SegEnds_NonXtal_BW#'!$A:$Z,20,FALSE)+VLOOKUP($A109,A:AL,28,FALSE)-50))</f>
        <v>558</v>
      </c>
      <c r="AD109" s="3">
        <f>IF(ISERROR(VLOOKUP($A109,'SegEnds_NonXtal_BW#'!$A:$Z,21,FALSE)+VLOOKUP($A109,A:AL,31,FALSE)-50),"-",(VLOOKUP($A109,'SegEnds_NonXtal_BW#'!$A:$Z,21,FALSE)+VLOOKUP($A109,A:AL,31,FALSE)-50))</f>
        <v>563</v>
      </c>
      <c r="AE109" s="3">
        <v>587</v>
      </c>
      <c r="AF109" s="3">
        <f>IF(ISERROR((VLOOKUP($A109,'SegEnds_NonXtal_BW#'!$A:$Z,22,FALSE)+VLOOKUP($A109,A:AL,31,FALSE)-50)),"-",(VLOOKUP($A109,'SegEnds_NonXtal_BW#'!$A:$Z,22,FALSE)+VLOOKUP($A109,A:AL,31,FALSE)-50))</f>
        <v>598</v>
      </c>
      <c r="AG109" s="3">
        <f>IF(ISERROR(VLOOKUP($A109,'SegEnds_NonXtal_BW#'!$A:$Z,23,FALSE)+VLOOKUP($A109,A:AL,34,FALSE)-50),"-",(VLOOKUP($A109,'SegEnds_NonXtal_BW#'!$A:$Z,23,FALSE)+VLOOKUP($A109,A:AL,34,FALSE)-50))</f>
        <v>604</v>
      </c>
      <c r="AH109" s="3">
        <v>623</v>
      </c>
      <c r="AI109" s="3">
        <f>IF(ISERROR((VLOOKUP($A109,'SegEnds_NonXtal_BW#'!$A:$Z,24,FALSE)+VLOOKUP($A109,A:AL,34,FALSE)-50)),"-",(VLOOKUP($A109,'SegEnds_NonXtal_BW#'!$A:$Z,24,FALSE)+VLOOKUP($A109,A:AL,34,FALSE)-50))</f>
        <v>629</v>
      </c>
      <c r="AJ109" s="3">
        <f>IF(ISERROR(VLOOKUP($A109,'SegEnds_NonXtal_BW#'!$A:$Z,25,FALSE)+VLOOKUP($A109,A:AL,37,FALSE)-50),"-",(VLOOKUP($A109,'SegEnds_NonXtal_BW#'!$A:$Z,25,FALSE)+VLOOKUP($A109,A:AL,37,FALSE)-50))</f>
        <v>630</v>
      </c>
      <c r="AK109" s="3">
        <v>633</v>
      </c>
      <c r="AL109" s="3">
        <f>IF(ISERROR((VLOOKUP($A109,'SegEnds_NonXtal_BW#'!$A:$Z,26,FALSE)+VLOOKUP($A109,A:AL,37,FALSE)-50)),"-",(VLOOKUP($A109,'SegEnds_NonXtal_BW#'!$A:$Z,26,FALSE)+VLOOKUP($A109,A:AL,37,FALSE)-50))</f>
        <v>652</v>
      </c>
      <c r="AM109" s="28" t="str">
        <f>VLOOKUP(A109,Classification!A:B,2,FALSE)</f>
        <v>A</v>
      </c>
      <c r="AN109" s="28" t="b">
        <f t="shared" si="55"/>
        <v>1</v>
      </c>
      <c r="AO109" s="3" t="str">
        <f>IF(ISERROR(MATCH(A109,'SegEnds_Xtal_Prot#'!B:B, 0)), "NoXtal", "Xtal")</f>
        <v>NoXtal</v>
      </c>
      <c r="AP109" s="3">
        <f t="shared" si="39"/>
        <v>2</v>
      </c>
      <c r="AQ109" s="3">
        <f t="shared" si="40"/>
        <v>1</v>
      </c>
      <c r="AR109" s="3">
        <f t="shared" si="41"/>
        <v>10</v>
      </c>
      <c r="AS109" s="3">
        <f t="shared" si="42"/>
        <v>1</v>
      </c>
      <c r="AT109" s="3">
        <f t="shared" si="43"/>
        <v>1</v>
      </c>
      <c r="AU109" s="3">
        <f t="shared" si="44"/>
        <v>1</v>
      </c>
      <c r="AV109" s="3">
        <f t="shared" si="45"/>
        <v>10</v>
      </c>
      <c r="AW109" s="3">
        <f t="shared" si="46"/>
        <v>6</v>
      </c>
      <c r="AX109" s="3">
        <f t="shared" si="47"/>
        <v>5</v>
      </c>
      <c r="AY109" s="3">
        <f t="shared" si="48"/>
        <v>6</v>
      </c>
      <c r="AZ109" s="3">
        <f t="shared" si="49"/>
        <v>1</v>
      </c>
      <c r="BA109" s="3">
        <f>IF(ISERROR(LEN(VLOOKUP(A109,Seqs!A:E,2,FALSE))-AL109),"-",LEN(VLOOKUP(A109,Seqs!A:E,2,FALSE))-AL109)</f>
        <v>43</v>
      </c>
      <c r="BB109" s="16">
        <f t="shared" si="50"/>
        <v>28</v>
      </c>
      <c r="BC109" s="9">
        <f t="shared" si="51"/>
        <v>20</v>
      </c>
      <c r="BD109" s="3">
        <f t="shared" si="52"/>
        <v>28</v>
      </c>
      <c r="BE109" s="3">
        <f t="shared" si="53"/>
        <v>46</v>
      </c>
    </row>
    <row r="110" spans="1:58" s="3" customFormat="1" x14ac:dyDescent="0.2">
      <c r="A110" s="3" t="s">
        <v>205</v>
      </c>
      <c r="B110" s="3" t="str">
        <f>LOWER(VLOOKUP(A110,Xtal_Templ!A:B,2,FALSE))</f>
        <v>oprk_human</v>
      </c>
      <c r="C110" s="3">
        <f>VLOOKUP($A110,'SegEnds_NonXtal_BW#'!$A:$Z,3,FALSE)+D110-50</f>
        <v>31</v>
      </c>
      <c r="D110" s="3">
        <v>51</v>
      </c>
      <c r="E110" s="3">
        <f>IF(ISERROR(VLOOKUP($A110,'SegEnds_NonXtal_BW#'!$A:$Z,4,FALSE)+VLOOKUP($A110,A:AL,4,FALSE)-50),"-",(VLOOKUP($A110,'SegEnds_NonXtal_BW#'!$A:$Z,4,FALSE)+VLOOKUP($A110,A:AL,4,FALSE)-50))</f>
        <v>61</v>
      </c>
      <c r="F110" s="3" t="str">
        <f>IF(ISERROR(VLOOKUP($A110,'SegEnds_NonXtal_BW#'!$A:$Z,5,FALSE)+VLOOKUP($A110,A:AL,7,FALSE)-50),"-",(VLOOKUP($A110,'SegEnds_NonXtal_BW#'!$A:$Z,5,FALSE)+VLOOKUP($A110,A:AL,7,FALSE)-50))</f>
        <v>-</v>
      </c>
      <c r="G110" s="3" t="s">
        <v>23</v>
      </c>
      <c r="H110" s="3" t="str">
        <f>IF(ISERROR(VLOOKUP($A110,'SegEnds_NonXtal_BW#'!$A:$Z,6,FALSE)+VLOOKUP($A110,A:AL,7,FALSE)-50),"-",(VLOOKUP($A110,'SegEnds_NonXtal_BW#'!$A:$Z,6,FALSE)+VLOOKUP($A110,A:AL,7,FALSE)-50))</f>
        <v>-</v>
      </c>
      <c r="I110" s="3">
        <f>VLOOKUP($A110,'SegEnds_NonXtal_BW#'!$A:$Z,7,FALSE)+J110-50</f>
        <v>68</v>
      </c>
      <c r="J110" s="3">
        <v>81</v>
      </c>
      <c r="K110" s="3">
        <f>VLOOKUP($A110,'SegEnds_NonXtal_BW#'!$A:$Z,8,FALSE)+VLOOKUP($A110,A:AL,10,FALSE)-50</f>
        <v>98</v>
      </c>
      <c r="L110" s="3">
        <f t="shared" si="68"/>
        <v>100</v>
      </c>
      <c r="M110" s="3">
        <v>101</v>
      </c>
      <c r="N110" s="3">
        <f t="shared" si="69"/>
        <v>103</v>
      </c>
      <c r="O110" s="3">
        <f t="shared" si="70"/>
        <v>104</v>
      </c>
      <c r="P110" s="3">
        <v>133</v>
      </c>
      <c r="Q110" s="3">
        <f>VLOOKUP($A110,'SegEnds_NonXtal_BW#'!$A:$Z,12,FALSE)+VLOOKUP($A110,A:AL,16,FALSE)-50</f>
        <v>139</v>
      </c>
      <c r="R110" s="3">
        <f>IF(ISERROR(VLOOKUP($A110,'SegEnds_NonXtal_BW#'!$A:$Z,13,FALSE)+VLOOKUP($A110,A:AL,19,FALSE)-50),"-",VLOOKUP($A110,'SegEnds_NonXtal_BW#'!$A:$Z,13,FALSE)+VLOOKUP($A110,A:AL,19,FALSE)-50)</f>
        <v>140</v>
      </c>
      <c r="S110" s="3">
        <v>140</v>
      </c>
      <c r="T110" s="100">
        <f>IF(ISERROR(VLOOKUP($A110,'SegEnds_NonXtal_BW#'!$A:$Z,14,FALSE)+VLOOKUP($A110,A:AL,19,FALSE)-50),"-",(VLOOKUP($A110,'SegEnds_NonXtal_BW#'!$A:$Z,14,FALSE)+VLOOKUP($A110,A:AL,19,FALSE)-50))</f>
        <v>147</v>
      </c>
      <c r="U110" s="9">
        <f>IF(ISERROR(VLOOKUP($A110,'SegEnds_NonXtal_BW#'!$A:$Z,15,FALSE)+VLOOKUP($A110,A:AL,22,FALSE)-50),"-",VLOOKUP($A110,'SegEnds_NonXtal_BW#'!$A:$Z,15,FALSE)+VLOOKUP($A110,A:AL,22,FALSE)-50)</f>
        <v>148</v>
      </c>
      <c r="V110" s="3">
        <v>160</v>
      </c>
      <c r="W110" s="3">
        <f>IF(ISERROR(VLOOKUP($A110,'SegEnds_NonXtal_BW#'!$A:$Z,16,FALSE)+VLOOKUP($A110,A:AL,22,FALSE)-50),"-",(VLOOKUP($A110,'SegEnds_NonXtal_BW#'!$A:$Z,16,FALSE)+VLOOKUP($A110,A:AL,22,FALSE)-50))</f>
        <v>174</v>
      </c>
      <c r="X110" s="3">
        <f>IF(ISERROR(VLOOKUP($A110,'SegEnds_NonXtal_BW#'!$A:$Z,17,FALSE)+VLOOKUP($A110,A:AL,25,FALSE)-50),"-",(VLOOKUP($A110,'SegEnds_NonXtal_BW#'!$A:$Z,17,FALSE)+VLOOKUP($A110,A:AL,25,FALSE)-50))</f>
        <v>187</v>
      </c>
      <c r="Y110" s="3">
        <v>187</v>
      </c>
      <c r="Z110" s="3">
        <f t="shared" si="64"/>
        <v>189</v>
      </c>
      <c r="AA110" s="3">
        <f>IF(ISERROR(VLOOKUP($A110,'SegEnds_NonXtal_BW#'!$A:$Z,19,FALSE)+VLOOKUP($A110,A:AL,28,FALSE)-50),"-",(VLOOKUP($A110,'SegEnds_NonXtal_BW#'!$A:$Z,19,FALSE)+VLOOKUP($A110,A:AL,28,FALSE)-50))</f>
        <v>192</v>
      </c>
      <c r="AB110" s="3">
        <v>212</v>
      </c>
      <c r="AC110" s="3">
        <f>IF(ISERROR((VLOOKUP($A110,'SegEnds_NonXtal_BW#'!$A:$Z,20,FALSE)+VLOOKUP($A110,A:AL,28,FALSE)-50)),"-",(VLOOKUP($A110,'SegEnds_NonXtal_BW#'!$A:$Z,20,FALSE)+VLOOKUP($A110,A:AL,28,FALSE)-50))</f>
        <v>234</v>
      </c>
      <c r="AD110" s="3">
        <f>IF(ISERROR(VLOOKUP($A110,'SegEnds_NonXtal_BW#'!$A:$Z,21,FALSE)+VLOOKUP($A110,A:AL,31,FALSE)-50),"-",(VLOOKUP($A110,'SegEnds_NonXtal_BW#'!$A:$Z,21,FALSE)+VLOOKUP($A110,A:AL,31,FALSE)-50))</f>
        <v>241</v>
      </c>
      <c r="AE110" s="3">
        <v>262</v>
      </c>
      <c r="AF110" s="3">
        <f>IF(ISERROR((VLOOKUP($A110,'SegEnds_NonXtal_BW#'!$A:$Z,22,FALSE)+VLOOKUP($A110,A:AL,31,FALSE)-50)),"-",(VLOOKUP($A110,'SegEnds_NonXtal_BW#'!$A:$Z,22,FALSE)+VLOOKUP($A110,A:AL,31,FALSE)-50))</f>
        <v>273</v>
      </c>
      <c r="AG110" s="3">
        <f>IF(ISERROR(VLOOKUP($A110,'SegEnds_NonXtal_BW#'!$A:$Z,23,FALSE)+VLOOKUP($A110,A:AL,34,FALSE)-50),"-",(VLOOKUP($A110,'SegEnds_NonXtal_BW#'!$A:$Z,23,FALSE)+VLOOKUP($A110,A:AL,34,FALSE)-50))</f>
        <v>278</v>
      </c>
      <c r="AH110" s="3">
        <v>300</v>
      </c>
      <c r="AI110" s="3">
        <f>IF(ISERROR((VLOOKUP($A110,'SegEnds_NonXtal_BW#'!$A:$Z,24,FALSE)+VLOOKUP($A110,A:AL,34,FALSE)-50)),"-",(VLOOKUP($A110,'SegEnds_NonXtal_BW#'!$A:$Z,24,FALSE)+VLOOKUP($A110,A:AL,34,FALSE)-50))</f>
        <v>306</v>
      </c>
      <c r="AJ110" s="3">
        <f>IF(ISERROR(VLOOKUP($A110,'SegEnds_NonXtal_BW#'!$A:$Z,25,FALSE)+VLOOKUP($A110,A:AL,37,FALSE)-50),"-",(VLOOKUP($A110,'SegEnds_NonXtal_BW#'!$A:$Z,25,FALSE)+VLOOKUP($A110,A:AL,37,FALSE)-50))</f>
        <v>307</v>
      </c>
      <c r="AK110" s="3">
        <v>310</v>
      </c>
      <c r="AL110" s="3">
        <f>IF(ISERROR((VLOOKUP($A110,'SegEnds_NonXtal_BW#'!$A:$Z,26,FALSE)+VLOOKUP($A110,A:AL,37,FALSE)-50)),"-",(VLOOKUP($A110,'SegEnds_NonXtal_BW#'!$A:$Z,26,FALSE)+VLOOKUP($A110,A:AL,37,FALSE)-50))</f>
        <v>319</v>
      </c>
      <c r="AM110" s="28" t="str">
        <f>VLOOKUP(A110,Classification!A:B,2,FALSE)</f>
        <v>A</v>
      </c>
      <c r="AN110" s="28" t="b">
        <f t="shared" si="55"/>
        <v>1</v>
      </c>
      <c r="AO110" s="3" t="str">
        <f>IF(ISERROR(MATCH(A110,'SegEnds_Xtal_Prot#'!B:B, 0)), "NoXtal", "Xtal")</f>
        <v>NoXtal</v>
      </c>
      <c r="AP110" s="3" t="str">
        <f t="shared" si="39"/>
        <v>-</v>
      </c>
      <c r="AQ110" s="3" t="str">
        <f t="shared" si="40"/>
        <v>-</v>
      </c>
      <c r="AR110" s="3">
        <f t="shared" si="41"/>
        <v>2</v>
      </c>
      <c r="AS110" s="3">
        <f t="shared" si="42"/>
        <v>1</v>
      </c>
      <c r="AT110" s="3">
        <f t="shared" si="43"/>
        <v>1</v>
      </c>
      <c r="AU110" s="3">
        <f t="shared" si="44"/>
        <v>1</v>
      </c>
      <c r="AV110" s="3">
        <f t="shared" si="45"/>
        <v>13</v>
      </c>
      <c r="AW110" s="3">
        <f t="shared" si="46"/>
        <v>3</v>
      </c>
      <c r="AX110" s="3">
        <f t="shared" si="47"/>
        <v>7</v>
      </c>
      <c r="AY110" s="3">
        <f t="shared" si="48"/>
        <v>5</v>
      </c>
      <c r="AZ110" s="3">
        <f t="shared" si="49"/>
        <v>1</v>
      </c>
      <c r="BA110" s="3">
        <f>IF(ISERROR(LEN(VLOOKUP(A110,Seqs!A:E,2,FALSE))-AL110),"-",LEN(VLOOKUP(A110,Seqs!A:E,2,FALSE))-AL110)</f>
        <v>30</v>
      </c>
      <c r="BB110" s="16">
        <f t="shared" si="50"/>
        <v>30</v>
      </c>
      <c r="BC110" s="9">
        <f t="shared" si="51"/>
        <v>20</v>
      </c>
      <c r="BD110" s="3">
        <f t="shared" si="52"/>
        <v>30</v>
      </c>
      <c r="BE110" s="3">
        <f t="shared" si="53"/>
        <v>50</v>
      </c>
    </row>
    <row r="111" spans="1:58" s="3" customFormat="1" x14ac:dyDescent="0.2">
      <c r="A111" s="3" t="s">
        <v>206</v>
      </c>
      <c r="B111" s="3" t="str">
        <f>LOWER(VLOOKUP(A111,Xtal_Templ!A:B,2,FALSE))</f>
        <v>oprk_human</v>
      </c>
      <c r="C111" s="3">
        <f>VLOOKUP($A111,'SegEnds_NonXtal_BW#'!$A:$Z,3,FALSE)+D111-50</f>
        <v>23</v>
      </c>
      <c r="D111" s="3">
        <v>43</v>
      </c>
      <c r="E111" s="3">
        <f>IF(ISERROR(VLOOKUP($A111,'SegEnds_NonXtal_BW#'!$A:$Z,4,FALSE)+VLOOKUP($A111,A:AL,4,FALSE)-50),"-",(VLOOKUP($A111,'SegEnds_NonXtal_BW#'!$A:$Z,4,FALSE)+VLOOKUP($A111,A:AL,4,FALSE)-50))</f>
        <v>53</v>
      </c>
      <c r="F111" s="3">
        <f>G111-2</f>
        <v>54</v>
      </c>
      <c r="G111" s="3">
        <v>56</v>
      </c>
      <c r="H111" s="3">
        <f t="shared" ref="H111:I115" si="71">G111+1</f>
        <v>57</v>
      </c>
      <c r="I111" s="3">
        <f t="shared" si="71"/>
        <v>58</v>
      </c>
      <c r="J111" s="3">
        <v>71</v>
      </c>
      <c r="K111" s="3">
        <f>VLOOKUP($A111,'SegEnds_NonXtal_BW#'!$A:$Z,8,FALSE)+VLOOKUP($A111,A:AL,10,FALSE)-50</f>
        <v>88</v>
      </c>
      <c r="L111" s="3">
        <f t="shared" si="68"/>
        <v>90</v>
      </c>
      <c r="M111" s="3">
        <v>91</v>
      </c>
      <c r="N111" s="3">
        <f t="shared" si="69"/>
        <v>93</v>
      </c>
      <c r="O111" s="3">
        <f t="shared" si="70"/>
        <v>94</v>
      </c>
      <c r="P111" s="3">
        <v>123</v>
      </c>
      <c r="Q111" s="3">
        <f>VLOOKUP($A111,'SegEnds_NonXtal_BW#'!$A:$Z,12,FALSE)+VLOOKUP($A111,A:AL,16,FALSE)-50</f>
        <v>129</v>
      </c>
      <c r="R111" s="3">
        <f>IF(ISERROR(VLOOKUP($A111,'SegEnds_NonXtal_BW#'!$A:$Z,13,FALSE)+VLOOKUP($A111,A:AL,19,FALSE)-50),"-",VLOOKUP($A111,'SegEnds_NonXtal_BW#'!$A:$Z,13,FALSE)+VLOOKUP($A111,A:AL,19,FALSE)-50)</f>
        <v>130</v>
      </c>
      <c r="S111" s="3">
        <v>130</v>
      </c>
      <c r="T111" s="100">
        <f>IF(ISERROR(VLOOKUP($A111,'SegEnds_NonXtal_BW#'!$A:$Z,14,FALSE)+VLOOKUP($A111,A:AL,19,FALSE)-50),"-",(VLOOKUP($A111,'SegEnds_NonXtal_BW#'!$A:$Z,14,FALSE)+VLOOKUP($A111,A:AL,19,FALSE)-50))</f>
        <v>137</v>
      </c>
      <c r="U111" s="9">
        <f>IF(ISERROR(VLOOKUP($A111,'SegEnds_NonXtal_BW#'!$A:$Z,15,FALSE)+VLOOKUP($A111,A:AL,22,FALSE)-50),"-",VLOOKUP($A111,'SegEnds_NonXtal_BW#'!$A:$Z,15,FALSE)+VLOOKUP($A111,A:AL,22,FALSE)-50)</f>
        <v>138</v>
      </c>
      <c r="V111" s="3">
        <v>150</v>
      </c>
      <c r="W111" s="3">
        <f>IF(ISERROR(VLOOKUP($A111,'SegEnds_NonXtal_BW#'!$A:$Z,16,FALSE)+VLOOKUP($A111,A:AL,22,FALSE)-50),"-",(VLOOKUP($A111,'SegEnds_NonXtal_BW#'!$A:$Z,16,FALSE)+VLOOKUP($A111,A:AL,22,FALSE)-50))</f>
        <v>164</v>
      </c>
      <c r="X111" s="3">
        <f>IF(ISERROR(VLOOKUP($A111,'SegEnds_NonXtal_BW#'!$A:$Z,17,FALSE)+VLOOKUP($A111,A:AL,25,FALSE)-50),"-",(VLOOKUP($A111,'SegEnds_NonXtal_BW#'!$A:$Z,17,FALSE)+VLOOKUP($A111,A:AL,25,FALSE)-50))</f>
        <v>175</v>
      </c>
      <c r="Y111" s="3">
        <v>175</v>
      </c>
      <c r="Z111" s="3">
        <f t="shared" si="64"/>
        <v>177</v>
      </c>
      <c r="AA111" s="3">
        <f>IF(ISERROR(VLOOKUP($A111,'SegEnds_NonXtal_BW#'!$A:$Z,19,FALSE)+VLOOKUP($A111,A:AL,28,FALSE)-50),"-",(VLOOKUP($A111,'SegEnds_NonXtal_BW#'!$A:$Z,19,FALSE)+VLOOKUP($A111,A:AL,28,FALSE)-50))</f>
        <v>179</v>
      </c>
      <c r="AB111" s="3">
        <v>199</v>
      </c>
      <c r="AC111" s="3">
        <f>IF(ISERROR((VLOOKUP($A111,'SegEnds_NonXtal_BW#'!$A:$Z,20,FALSE)+VLOOKUP($A111,A:AL,28,FALSE)-50)),"-",(VLOOKUP($A111,'SegEnds_NonXtal_BW#'!$A:$Z,20,FALSE)+VLOOKUP($A111,A:AL,28,FALSE)-50))</f>
        <v>221</v>
      </c>
      <c r="AD111" s="3">
        <f>IF(ISERROR(VLOOKUP($A111,'SegEnds_NonXtal_BW#'!$A:$Z,21,FALSE)+VLOOKUP($A111,A:AL,31,FALSE)-50),"-",(VLOOKUP($A111,'SegEnds_NonXtal_BW#'!$A:$Z,21,FALSE)+VLOOKUP($A111,A:AL,31,FALSE)-50))</f>
        <v>225</v>
      </c>
      <c r="AE111" s="3">
        <v>251</v>
      </c>
      <c r="AF111" s="3">
        <f>IF(ISERROR((VLOOKUP($A111,'SegEnds_NonXtal_BW#'!$A:$Z,22,FALSE)+VLOOKUP($A111,A:AL,31,FALSE)-50)),"-",(VLOOKUP($A111,'SegEnds_NonXtal_BW#'!$A:$Z,22,FALSE)+VLOOKUP($A111,A:AL,31,FALSE)-50))</f>
        <v>262</v>
      </c>
      <c r="AG111" s="3">
        <f>IF(ISERROR(VLOOKUP($A111,'SegEnds_NonXtal_BW#'!$A:$Z,23,FALSE)+VLOOKUP($A111,A:AL,34,FALSE)-50),"-",(VLOOKUP($A111,'SegEnds_NonXtal_BW#'!$A:$Z,23,FALSE)+VLOOKUP($A111,A:AL,34,FALSE)-50))</f>
        <v>267</v>
      </c>
      <c r="AH111" s="3">
        <v>289</v>
      </c>
      <c r="AI111" s="3">
        <f>IF(ISERROR((VLOOKUP($A111,'SegEnds_NonXtal_BW#'!$A:$Z,24,FALSE)+VLOOKUP($A111,A:AL,34,FALSE)-50)),"-",(VLOOKUP($A111,'SegEnds_NonXtal_BW#'!$A:$Z,24,FALSE)+VLOOKUP($A111,A:AL,34,FALSE)-50))</f>
        <v>295</v>
      </c>
      <c r="AJ111" s="3">
        <f>IF(ISERROR(VLOOKUP($A111,'SegEnds_NonXtal_BW#'!$A:$Z,25,FALSE)+VLOOKUP($A111,A:AL,37,FALSE)-50),"-",(VLOOKUP($A111,'SegEnds_NonXtal_BW#'!$A:$Z,25,FALSE)+VLOOKUP($A111,A:AL,37,FALSE)-50))</f>
        <v>296</v>
      </c>
      <c r="AK111" s="3">
        <v>299</v>
      </c>
      <c r="AL111" s="3">
        <f>IF(ISERROR((VLOOKUP($A111,'SegEnds_NonXtal_BW#'!$A:$Z,26,FALSE)+VLOOKUP($A111,A:AL,37,FALSE)-50)),"-",(VLOOKUP($A111,'SegEnds_NonXtal_BW#'!$A:$Z,26,FALSE)+VLOOKUP($A111,A:AL,37,FALSE)-50))</f>
        <v>308</v>
      </c>
      <c r="AM111" s="28" t="str">
        <f>VLOOKUP(A111,Classification!A:B,2,FALSE)</f>
        <v>A</v>
      </c>
      <c r="AN111" s="28" t="b">
        <f t="shared" si="55"/>
        <v>1</v>
      </c>
      <c r="AO111" s="3" t="str">
        <f>IF(ISERROR(MATCH(A111,'SegEnds_Xtal_Prot#'!B:B, 0)), "NoXtal", "Xtal")</f>
        <v>NoXtal</v>
      </c>
      <c r="AP111" s="3">
        <f t="shared" si="39"/>
        <v>1</v>
      </c>
      <c r="AQ111" s="3">
        <f t="shared" si="40"/>
        <v>1</v>
      </c>
      <c r="AR111" s="3">
        <f t="shared" si="41"/>
        <v>2</v>
      </c>
      <c r="AS111" s="3">
        <f t="shared" si="42"/>
        <v>1</v>
      </c>
      <c r="AT111" s="3">
        <f t="shared" si="43"/>
        <v>1</v>
      </c>
      <c r="AU111" s="3">
        <f t="shared" si="44"/>
        <v>1</v>
      </c>
      <c r="AV111" s="3">
        <f t="shared" si="45"/>
        <v>11</v>
      </c>
      <c r="AW111" s="3">
        <f t="shared" si="46"/>
        <v>2</v>
      </c>
      <c r="AX111" s="3">
        <f t="shared" si="47"/>
        <v>4</v>
      </c>
      <c r="AY111" s="3">
        <f t="shared" si="48"/>
        <v>5</v>
      </c>
      <c r="AZ111" s="3">
        <f t="shared" si="49"/>
        <v>1</v>
      </c>
      <c r="BA111" s="3">
        <f>IF(ISERROR(LEN(VLOOKUP(A111,Seqs!A:E,2,FALSE))-AL111),"-",LEN(VLOOKUP(A111,Seqs!A:E,2,FALSE))-AL111)</f>
        <v>79</v>
      </c>
      <c r="BB111" s="16">
        <f t="shared" si="50"/>
        <v>28</v>
      </c>
      <c r="BC111" s="9">
        <f t="shared" si="51"/>
        <v>20</v>
      </c>
      <c r="BD111" s="3">
        <f t="shared" si="52"/>
        <v>28</v>
      </c>
      <c r="BE111" s="3">
        <f t="shared" si="53"/>
        <v>52</v>
      </c>
    </row>
    <row r="112" spans="1:58" s="3" customFormat="1" x14ac:dyDescent="0.2">
      <c r="A112" s="3" t="s">
        <v>207</v>
      </c>
      <c r="B112" s="3" t="str">
        <f>LOWER(VLOOKUP(A112,Xtal_Templ!A:B,2,FALSE))</f>
        <v>oprk_human</v>
      </c>
      <c r="C112" s="3">
        <f>VLOOKUP($A112,'SegEnds_NonXtal_BW#'!$A:$Z,3,FALSE)+D112-50</f>
        <v>15</v>
      </c>
      <c r="D112" s="3">
        <v>35</v>
      </c>
      <c r="E112" s="3">
        <f>IF(ISERROR(VLOOKUP($A112,'SegEnds_NonXtal_BW#'!$A:$Z,4,FALSE)+VLOOKUP($A112,A:AL,4,FALSE)-50),"-",(VLOOKUP($A112,'SegEnds_NonXtal_BW#'!$A:$Z,4,FALSE)+VLOOKUP($A112,A:AL,4,FALSE)-50))</f>
        <v>45</v>
      </c>
      <c r="F112" s="3">
        <f>G112-2</f>
        <v>47</v>
      </c>
      <c r="G112" s="3">
        <v>49</v>
      </c>
      <c r="H112" s="3">
        <f t="shared" si="71"/>
        <v>50</v>
      </c>
      <c r="I112" s="3">
        <f t="shared" si="71"/>
        <v>51</v>
      </c>
      <c r="J112" s="3">
        <v>68</v>
      </c>
      <c r="K112" s="3">
        <f>VLOOKUP($A112,'SegEnds_NonXtal_BW#'!$A:$Z,8,FALSE)+VLOOKUP($A112,A:AL,10,FALSE)-50</f>
        <v>85</v>
      </c>
      <c r="L112" s="3">
        <f t="shared" si="68"/>
        <v>87</v>
      </c>
      <c r="M112" s="3">
        <v>88</v>
      </c>
      <c r="N112" s="3">
        <f t="shared" si="69"/>
        <v>90</v>
      </c>
      <c r="O112" s="3">
        <f t="shared" si="70"/>
        <v>91</v>
      </c>
      <c r="P112" s="3">
        <v>120</v>
      </c>
      <c r="Q112" s="3">
        <f>VLOOKUP($A112,'SegEnds_NonXtal_BW#'!$A:$Z,12,FALSE)+VLOOKUP($A112,A:AL,16,FALSE)-50</f>
        <v>126</v>
      </c>
      <c r="R112" s="3">
        <f>IF(ISERROR(VLOOKUP($A112,'SegEnds_NonXtal_BW#'!$A:$Z,13,FALSE)+VLOOKUP($A112,A:AL,19,FALSE)-50),"-",VLOOKUP($A112,'SegEnds_NonXtal_BW#'!$A:$Z,13,FALSE)+VLOOKUP($A112,A:AL,19,FALSE)-50)</f>
        <v>127</v>
      </c>
      <c r="S112" s="3">
        <v>127</v>
      </c>
      <c r="T112" s="100">
        <f>IF(ISERROR(VLOOKUP($A112,'SegEnds_NonXtal_BW#'!$A:$Z,14,FALSE)+VLOOKUP($A112,A:AL,19,FALSE)-50),"-",(VLOOKUP($A112,'SegEnds_NonXtal_BW#'!$A:$Z,14,FALSE)+VLOOKUP($A112,A:AL,19,FALSE)-50))</f>
        <v>134</v>
      </c>
      <c r="U112" s="9">
        <f>IF(ISERROR(VLOOKUP($A112,'SegEnds_NonXtal_BW#'!$A:$Z,15,FALSE)+VLOOKUP($A112,A:AL,22,FALSE)-50),"-",VLOOKUP($A112,'SegEnds_NonXtal_BW#'!$A:$Z,15,FALSE)+VLOOKUP($A112,A:AL,22,FALSE)-50)</f>
        <v>135</v>
      </c>
      <c r="V112" s="3">
        <v>147</v>
      </c>
      <c r="W112" s="3">
        <f>IF(ISERROR(VLOOKUP($A112,'SegEnds_NonXtal_BW#'!$A:$Z,16,FALSE)+VLOOKUP($A112,A:AL,22,FALSE)-50),"-",(VLOOKUP($A112,'SegEnds_NonXtal_BW#'!$A:$Z,16,FALSE)+VLOOKUP($A112,A:AL,22,FALSE)-50))</f>
        <v>161</v>
      </c>
      <c r="X112" s="3">
        <f>IF(ISERROR(VLOOKUP($A112,'SegEnds_NonXtal_BW#'!$A:$Z,17,FALSE)+VLOOKUP($A112,A:AL,25,FALSE)-50),"-",(VLOOKUP($A112,'SegEnds_NonXtal_BW#'!$A:$Z,17,FALSE)+VLOOKUP($A112,A:AL,25,FALSE)-50))</f>
        <v>172</v>
      </c>
      <c r="Y112" s="3">
        <v>172</v>
      </c>
      <c r="Z112" s="3">
        <f t="shared" si="64"/>
        <v>174</v>
      </c>
      <c r="AA112" s="3">
        <f>IF(ISERROR(VLOOKUP($A112,'SegEnds_NonXtal_BW#'!$A:$Z,19,FALSE)+VLOOKUP($A112,A:AL,28,FALSE)-50),"-",(VLOOKUP($A112,'SegEnds_NonXtal_BW#'!$A:$Z,19,FALSE)+VLOOKUP($A112,A:AL,28,FALSE)-50))</f>
        <v>176</v>
      </c>
      <c r="AB112" s="3">
        <v>196</v>
      </c>
      <c r="AC112" s="3">
        <f>IF(ISERROR((VLOOKUP($A112,'SegEnds_NonXtal_BW#'!$A:$Z,20,FALSE)+VLOOKUP($A112,A:AL,28,FALSE)-50)),"-",(VLOOKUP($A112,'SegEnds_NonXtal_BW#'!$A:$Z,20,FALSE)+VLOOKUP($A112,A:AL,28,FALSE)-50))</f>
        <v>218</v>
      </c>
      <c r="AD112" s="3">
        <f>IF(ISERROR(VLOOKUP($A112,'SegEnds_NonXtal_BW#'!$A:$Z,21,FALSE)+VLOOKUP($A112,A:AL,31,FALSE)-50),"-",(VLOOKUP($A112,'SegEnds_NonXtal_BW#'!$A:$Z,21,FALSE)+VLOOKUP($A112,A:AL,31,FALSE)-50))</f>
        <v>224</v>
      </c>
      <c r="AE112" s="3">
        <v>250</v>
      </c>
      <c r="AF112" s="3">
        <f>IF(ISERROR((VLOOKUP($A112,'SegEnds_NonXtal_BW#'!$A:$Z,22,FALSE)+VLOOKUP($A112,A:AL,31,FALSE)-50)),"-",(VLOOKUP($A112,'SegEnds_NonXtal_BW#'!$A:$Z,22,FALSE)+VLOOKUP($A112,A:AL,31,FALSE)-50))</f>
        <v>261</v>
      </c>
      <c r="AG112" s="3">
        <f>IF(ISERROR(VLOOKUP($A112,'SegEnds_NonXtal_BW#'!$A:$Z,23,FALSE)+VLOOKUP($A112,A:AL,34,FALSE)-50),"-",(VLOOKUP($A112,'SegEnds_NonXtal_BW#'!$A:$Z,23,FALSE)+VLOOKUP($A112,A:AL,34,FALSE)-50))</f>
        <v>266</v>
      </c>
      <c r="AH112" s="3">
        <v>288</v>
      </c>
      <c r="AI112" s="3">
        <f>IF(ISERROR((VLOOKUP($A112,'SegEnds_NonXtal_BW#'!$A:$Z,24,FALSE)+VLOOKUP($A112,A:AL,34,FALSE)-50)),"-",(VLOOKUP($A112,'SegEnds_NonXtal_BW#'!$A:$Z,24,FALSE)+VLOOKUP($A112,A:AL,34,FALSE)-50))</f>
        <v>294</v>
      </c>
      <c r="AJ112" s="3">
        <f>IF(ISERROR(VLOOKUP($A112,'SegEnds_NonXtal_BW#'!$A:$Z,25,FALSE)+VLOOKUP($A112,A:AL,37,FALSE)-50),"-",(VLOOKUP($A112,'SegEnds_NonXtal_BW#'!$A:$Z,25,FALSE)+VLOOKUP($A112,A:AL,37,FALSE)-50))</f>
        <v>295</v>
      </c>
      <c r="AK112" s="3">
        <v>298</v>
      </c>
      <c r="AL112" s="3">
        <f>IF(ISERROR((VLOOKUP($A112,'SegEnds_NonXtal_BW#'!$A:$Z,26,FALSE)+VLOOKUP($A112,A:AL,37,FALSE)-50)),"-",(VLOOKUP($A112,'SegEnds_NonXtal_BW#'!$A:$Z,26,FALSE)+VLOOKUP($A112,A:AL,37,FALSE)-50))</f>
        <v>307</v>
      </c>
      <c r="AM112" s="28" t="str">
        <f>VLOOKUP(A112,Classification!A:B,2,FALSE)</f>
        <v>A</v>
      </c>
      <c r="AN112" s="28" t="b">
        <f t="shared" si="55"/>
        <v>1</v>
      </c>
      <c r="AO112" s="3" t="str">
        <f>IF(ISERROR(MATCH(A112,'SegEnds_Xtal_Prot#'!B:B, 0)), "NoXtal", "Xtal")</f>
        <v>NoXtal</v>
      </c>
      <c r="AP112" s="3">
        <f t="shared" si="39"/>
        <v>2</v>
      </c>
      <c r="AQ112" s="3">
        <f t="shared" si="40"/>
        <v>1</v>
      </c>
      <c r="AR112" s="3">
        <f t="shared" si="41"/>
        <v>2</v>
      </c>
      <c r="AS112" s="3">
        <f t="shared" si="42"/>
        <v>1</v>
      </c>
      <c r="AT112" s="3">
        <f t="shared" si="43"/>
        <v>1</v>
      </c>
      <c r="AU112" s="3">
        <f t="shared" si="44"/>
        <v>1</v>
      </c>
      <c r="AV112" s="3">
        <f t="shared" si="45"/>
        <v>11</v>
      </c>
      <c r="AW112" s="3">
        <f t="shared" si="46"/>
        <v>2</v>
      </c>
      <c r="AX112" s="3">
        <f t="shared" si="47"/>
        <v>6</v>
      </c>
      <c r="AY112" s="3">
        <f t="shared" si="48"/>
        <v>5</v>
      </c>
      <c r="AZ112" s="3">
        <f t="shared" si="49"/>
        <v>1</v>
      </c>
      <c r="BA112" s="3">
        <f>IF(ISERROR(LEN(VLOOKUP(A112,Seqs!A:E,2,FALSE))-AL112),"-",LEN(VLOOKUP(A112,Seqs!A:E,2,FALSE))-AL112)</f>
        <v>61</v>
      </c>
      <c r="BB112" s="16">
        <f t="shared" si="50"/>
        <v>33</v>
      </c>
      <c r="BC112" s="9">
        <f t="shared" si="51"/>
        <v>20</v>
      </c>
      <c r="BD112" s="3">
        <f t="shared" si="52"/>
        <v>33</v>
      </c>
      <c r="BE112" s="3">
        <f t="shared" si="53"/>
        <v>54</v>
      </c>
    </row>
    <row r="113" spans="1:60" s="3" customFormat="1" x14ac:dyDescent="0.2">
      <c r="A113" s="3" t="s">
        <v>208</v>
      </c>
      <c r="B113" s="3" t="str">
        <f>LOWER(VLOOKUP(A113,Xtal_Templ!A:B,2,FALSE))</f>
        <v>ox2r_human</v>
      </c>
      <c r="C113" s="3">
        <f>VLOOKUP($A113,'SegEnds_NonXtal_BW#'!$A:$Z,3,FALSE)+D113-50</f>
        <v>53</v>
      </c>
      <c r="D113" s="3">
        <v>72</v>
      </c>
      <c r="E113" s="3">
        <f>IF(ISERROR(VLOOKUP($A113,'SegEnds_NonXtal_BW#'!$A:$Z,4,FALSE)+VLOOKUP($A113,A:AL,4,FALSE)-50),"-",(VLOOKUP($A113,'SegEnds_NonXtal_BW#'!$A:$Z,4,FALSE)+VLOOKUP($A113,A:AL,4,FALSE)-50))</f>
        <v>82</v>
      </c>
      <c r="F113" s="3">
        <f>G113-2</f>
        <v>83</v>
      </c>
      <c r="G113" s="3">
        <v>85</v>
      </c>
      <c r="H113" s="3">
        <f t="shared" si="71"/>
        <v>86</v>
      </c>
      <c r="I113" s="3">
        <f t="shared" si="71"/>
        <v>87</v>
      </c>
      <c r="J113" s="3">
        <v>100</v>
      </c>
      <c r="K113" s="3">
        <f>VLOOKUP($A113,'SegEnds_NonXtal_BW#'!$A:$Z,8,FALSE)+VLOOKUP($A113,A:AL,10,FALSE)-50</f>
        <v>118</v>
      </c>
      <c r="L113" s="3">
        <f t="shared" si="68"/>
        <v>119</v>
      </c>
      <c r="M113" s="3">
        <v>120</v>
      </c>
      <c r="N113" s="3">
        <f t="shared" si="69"/>
        <v>122</v>
      </c>
      <c r="O113" s="3">
        <f t="shared" si="70"/>
        <v>123</v>
      </c>
      <c r="P113" s="3">
        <v>152</v>
      </c>
      <c r="Q113" s="3">
        <f>VLOOKUP($A113,'SegEnds_NonXtal_BW#'!$A:$Z,12,FALSE)+VLOOKUP($A113,A:AL,16,FALSE)-50</f>
        <v>158</v>
      </c>
      <c r="R113" s="3">
        <f>IF(ISERROR(VLOOKUP($A113,'SegEnds_NonXtal_BW#'!$A:$Z,13,FALSE)+VLOOKUP($A113,A:AL,19,FALSE)-50),"-",VLOOKUP($A113,'SegEnds_NonXtal_BW#'!$A:$Z,13,FALSE)+VLOOKUP($A113,A:AL,19,FALSE)-50)</f>
        <v>159</v>
      </c>
      <c r="S113" s="3">
        <v>159</v>
      </c>
      <c r="T113" s="100">
        <f>IF(ISERROR(VLOOKUP($A113,'SegEnds_NonXtal_BW#'!$A:$Z,14,FALSE)+VLOOKUP($A113,A:AL,19,FALSE)-50),"-",(VLOOKUP($A113,'SegEnds_NonXtal_BW#'!$A:$Z,14,FALSE)+VLOOKUP($A113,A:AL,19,FALSE)-50))</f>
        <v>166</v>
      </c>
      <c r="U113" s="9">
        <f>IF(ISERROR(VLOOKUP($A113,'SegEnds_NonXtal_BW#'!$A:$Z,15,FALSE)+VLOOKUP($A113,A:AL,22,FALSE)-50),"-",VLOOKUP($A113,'SegEnds_NonXtal_BW#'!$A:$Z,15,FALSE)+VLOOKUP($A113,A:AL,22,FALSE)-50)</f>
        <v>167</v>
      </c>
      <c r="V113" s="3">
        <v>179</v>
      </c>
      <c r="W113" s="3">
        <f>IF(ISERROR(VLOOKUP($A113,'SegEnds_NonXtal_BW#'!$A:$Z,16,FALSE)+VLOOKUP($A113,A:AL,22,FALSE)-50),"-",(VLOOKUP($A113,'SegEnds_NonXtal_BW#'!$A:$Z,16,FALSE)+VLOOKUP($A113,A:AL,22,FALSE)-50))</f>
        <v>193</v>
      </c>
      <c r="X113" s="3">
        <f>IF(ISERROR(VLOOKUP($A113,'SegEnds_NonXtal_BW#'!$A:$Z,17,FALSE)+VLOOKUP($A113,A:AL,25,FALSE)-50),"-",(VLOOKUP($A113,'SegEnds_NonXtal_BW#'!$A:$Z,17,FALSE)+VLOOKUP($A113,A:AL,25,FALSE)-50))</f>
        <v>205</v>
      </c>
      <c r="Y113" s="3">
        <v>205</v>
      </c>
      <c r="Z113" s="3">
        <f t="shared" si="64"/>
        <v>207</v>
      </c>
      <c r="AA113" s="3">
        <f>IF(ISERROR(VLOOKUP($A113,'SegEnds_NonXtal_BW#'!$A:$Z,19,FALSE)+VLOOKUP($A113,A:AL,28,FALSE)-50),"-",(VLOOKUP($A113,'SegEnds_NonXtal_BW#'!$A:$Z,19,FALSE)+VLOOKUP($A113,A:AL,28,FALSE)-50))</f>
        <v>213</v>
      </c>
      <c r="AB113" s="3">
        <v>230</v>
      </c>
      <c r="AC113" s="3">
        <f>IF(ISERROR((VLOOKUP($A113,'SegEnds_NonXtal_BW#'!$A:$Z,20,FALSE)+VLOOKUP($A113,A:AL,28,FALSE)-50)),"-",(VLOOKUP($A113,'SegEnds_NonXtal_BW#'!$A:$Z,20,FALSE)+VLOOKUP($A113,A:AL,28,FALSE)-50))</f>
        <v>256</v>
      </c>
      <c r="AD113" s="3">
        <f>IF(ISERROR(VLOOKUP($A113,'SegEnds_NonXtal_BW#'!$A:$Z,21,FALSE)+VLOOKUP($A113,A:AL,31,FALSE)-50),"-",(VLOOKUP($A113,'SegEnds_NonXtal_BW#'!$A:$Z,21,FALSE)+VLOOKUP($A113,A:AL,31,FALSE)-50))</f>
        <v>322</v>
      </c>
      <c r="AE113" s="3">
        <v>348</v>
      </c>
      <c r="AF113" s="3">
        <f>IF(ISERROR((VLOOKUP($A113,'SegEnds_NonXtal_BW#'!$A:$Z,22,FALSE)+VLOOKUP($A113,A:AL,31,FALSE)-50)),"-",(VLOOKUP($A113,'SegEnds_NonXtal_BW#'!$A:$Z,22,FALSE)+VLOOKUP($A113,A:AL,31,FALSE)-50))</f>
        <v>359</v>
      </c>
      <c r="AG113" s="3">
        <f>IF(ISERROR(VLOOKUP($A113,'SegEnds_NonXtal_BW#'!$A:$Z,23,FALSE)+VLOOKUP($A113,A:AL,34,FALSE)-50),"-",(VLOOKUP($A113,'SegEnds_NonXtal_BW#'!$A:$Z,23,FALSE)+VLOOKUP($A113,A:AL,34,FALSE)-50))</f>
        <v>365</v>
      </c>
      <c r="AH113" s="3">
        <v>387</v>
      </c>
      <c r="AI113" s="3">
        <f>IF(ISERROR((VLOOKUP($A113,'SegEnds_NonXtal_BW#'!$A:$Z,24,FALSE)+VLOOKUP($A113,A:AL,34,FALSE)-50)),"-",(VLOOKUP($A113,'SegEnds_NonXtal_BW#'!$A:$Z,24,FALSE)+VLOOKUP($A113,A:AL,34,FALSE)-50))</f>
        <v>393</v>
      </c>
      <c r="AJ113" s="3">
        <f>IF(ISERROR(VLOOKUP($A113,'SegEnds_NonXtal_BW#'!$A:$Z,25,FALSE)+VLOOKUP($A113,A:AL,37,FALSE)-50),"-",(VLOOKUP($A113,'SegEnds_NonXtal_BW#'!$A:$Z,25,FALSE)+VLOOKUP($A113,A:AL,37,FALSE)-50))</f>
        <v>394</v>
      </c>
      <c r="AK113" s="3">
        <v>397</v>
      </c>
      <c r="AL113" s="3">
        <f>IF(ISERROR((VLOOKUP($A113,'SegEnds_NonXtal_BW#'!$A:$Z,26,FALSE)+VLOOKUP($A113,A:AL,37,FALSE)-50)),"-",(VLOOKUP($A113,'SegEnds_NonXtal_BW#'!$A:$Z,26,FALSE)+VLOOKUP($A113,A:AL,37,FALSE)-50))</f>
        <v>405</v>
      </c>
      <c r="AM113" s="28" t="str">
        <f>VLOOKUP(A113,Classification!A:B,2,FALSE)</f>
        <v>A</v>
      </c>
      <c r="AN113" s="28" t="b">
        <f t="shared" si="55"/>
        <v>1</v>
      </c>
      <c r="AO113" s="3" t="str">
        <f>IF(ISERROR(MATCH(A113,'SegEnds_Xtal_Prot#'!B:B, 0)), "NoXtal", "Xtal")</f>
        <v>NoXtal</v>
      </c>
      <c r="AP113" s="3">
        <f t="shared" si="39"/>
        <v>1</v>
      </c>
      <c r="AQ113" s="3">
        <f t="shared" si="40"/>
        <v>1</v>
      </c>
      <c r="AR113" s="3">
        <f t="shared" si="41"/>
        <v>1</v>
      </c>
      <c r="AS113" s="3">
        <f t="shared" si="42"/>
        <v>1</v>
      </c>
      <c r="AT113" s="3">
        <f t="shared" si="43"/>
        <v>1</v>
      </c>
      <c r="AU113" s="3">
        <f t="shared" si="44"/>
        <v>1</v>
      </c>
      <c r="AV113" s="3">
        <f t="shared" si="45"/>
        <v>12</v>
      </c>
      <c r="AW113" s="3">
        <f t="shared" si="46"/>
        <v>6</v>
      </c>
      <c r="AX113" s="3">
        <f t="shared" si="47"/>
        <v>66</v>
      </c>
      <c r="AY113" s="3">
        <f t="shared" si="48"/>
        <v>6</v>
      </c>
      <c r="AZ113" s="3">
        <f t="shared" si="49"/>
        <v>1</v>
      </c>
      <c r="BA113" s="3">
        <f>IF(ISERROR(LEN(VLOOKUP(A113,Seqs!A:E,2,FALSE))-AL113),"-",LEN(VLOOKUP(A113,Seqs!A:E,2,FALSE))-AL113)</f>
        <v>42</v>
      </c>
      <c r="BB113" s="16">
        <f t="shared" si="50"/>
        <v>28</v>
      </c>
      <c r="BC113" s="9">
        <f t="shared" si="51"/>
        <v>20</v>
      </c>
      <c r="BD113" s="3">
        <f t="shared" si="52"/>
        <v>28</v>
      </c>
      <c r="BE113" s="3">
        <f t="shared" si="53"/>
        <v>118</v>
      </c>
    </row>
    <row r="114" spans="1:60" s="3" customFormat="1" x14ac:dyDescent="0.2">
      <c r="A114" s="3" t="s">
        <v>209</v>
      </c>
      <c r="B114" s="3" t="str">
        <f>LOWER(VLOOKUP(A114,Xtal_Templ!A:B,2,FALSE))</f>
        <v>ntr1_rat</v>
      </c>
      <c r="C114" s="3">
        <f>VLOOKUP($A114,'SegEnds_NonXtal_BW#'!$A:$Z,3,FALSE)+D114-50</f>
        <v>40</v>
      </c>
      <c r="D114" s="3">
        <v>61</v>
      </c>
      <c r="E114" s="3">
        <f>IF(ISERROR(VLOOKUP($A114,'SegEnds_NonXtal_BW#'!$A:$Z,4,FALSE)+VLOOKUP($A114,A:AL,4,FALSE)-50),"-",(VLOOKUP($A114,'SegEnds_NonXtal_BW#'!$A:$Z,4,FALSE)+VLOOKUP($A114,A:AL,4,FALSE)-50))</f>
        <v>71</v>
      </c>
      <c r="F114" s="3">
        <f>G114-2</f>
        <v>72</v>
      </c>
      <c r="G114" s="3">
        <v>74</v>
      </c>
      <c r="H114" s="3">
        <f t="shared" si="71"/>
        <v>75</v>
      </c>
      <c r="I114" s="3">
        <f t="shared" si="71"/>
        <v>76</v>
      </c>
      <c r="J114" s="3">
        <v>89</v>
      </c>
      <c r="K114" s="3">
        <f>VLOOKUP($A114,'SegEnds_NonXtal_BW#'!$A:$Z,8,FALSE)+VLOOKUP($A114,A:AL,10,FALSE)-50</f>
        <v>106</v>
      </c>
      <c r="L114" s="3">
        <f t="shared" si="68"/>
        <v>108</v>
      </c>
      <c r="M114" s="3">
        <v>109</v>
      </c>
      <c r="N114" s="3">
        <f t="shared" si="69"/>
        <v>111</v>
      </c>
      <c r="O114" s="3">
        <f t="shared" si="70"/>
        <v>112</v>
      </c>
      <c r="P114" s="3">
        <v>141</v>
      </c>
      <c r="Q114" s="3">
        <f>VLOOKUP($A114,'SegEnds_NonXtal_BW#'!$A:$Z,12,FALSE)+VLOOKUP($A114,A:AL,16,FALSE)-50</f>
        <v>147</v>
      </c>
      <c r="R114" s="3">
        <f>IF(ISERROR(VLOOKUP($A114,'SegEnds_NonXtal_BW#'!$A:$Z,13,FALSE)+VLOOKUP($A114,A:AL,19,FALSE)-50),"-",VLOOKUP($A114,'SegEnds_NonXtal_BW#'!$A:$Z,13,FALSE)+VLOOKUP($A114,A:AL,19,FALSE)-50)</f>
        <v>148</v>
      </c>
      <c r="S114" s="3">
        <v>148</v>
      </c>
      <c r="T114" s="100">
        <f>IF(ISERROR(VLOOKUP($A114,'SegEnds_NonXtal_BW#'!$A:$Z,14,FALSE)+VLOOKUP($A114,A:AL,19,FALSE)-50),"-",(VLOOKUP($A114,'SegEnds_NonXtal_BW#'!$A:$Z,14,FALSE)+VLOOKUP($A114,A:AL,19,FALSE)-50))</f>
        <v>155</v>
      </c>
      <c r="U114" s="9">
        <f>IF(ISERROR(VLOOKUP($A114,'SegEnds_NonXtal_BW#'!$A:$Z,15,FALSE)+VLOOKUP($A114,A:AL,22,FALSE)-50),"-",VLOOKUP($A114,'SegEnds_NonXtal_BW#'!$A:$Z,15,FALSE)+VLOOKUP($A114,A:AL,22,FALSE)-50)</f>
        <v>156</v>
      </c>
      <c r="V114" s="3">
        <v>168</v>
      </c>
      <c r="W114" s="3">
        <f>IF(ISERROR(VLOOKUP($A114,'SegEnds_NonXtal_BW#'!$A:$Z,16,FALSE)+VLOOKUP($A114,A:AL,22,FALSE)-50),"-",(VLOOKUP($A114,'SegEnds_NonXtal_BW#'!$A:$Z,16,FALSE)+VLOOKUP($A114,A:AL,22,FALSE)-50))</f>
        <v>182</v>
      </c>
      <c r="X114" s="3">
        <f>IF(ISERROR(VLOOKUP($A114,'SegEnds_NonXtal_BW#'!$A:$Z,17,FALSE)+VLOOKUP($A114,A:AL,25,FALSE)-50),"-",(VLOOKUP($A114,'SegEnds_NonXtal_BW#'!$A:$Z,17,FALSE)+VLOOKUP($A114,A:AL,25,FALSE)-50))</f>
        <v>198</v>
      </c>
      <c r="Y114" s="3">
        <v>198</v>
      </c>
      <c r="Z114" s="3">
        <f t="shared" si="64"/>
        <v>200</v>
      </c>
      <c r="AA114" s="3">
        <f>IF(ISERROR(VLOOKUP($A114,'SegEnds_NonXtal_BW#'!$A:$Z,19,FALSE)+VLOOKUP($A114,A:AL,28,FALSE)-50),"-",(VLOOKUP($A114,'SegEnds_NonXtal_BW#'!$A:$Z,19,FALSE)+VLOOKUP($A114,A:AL,28,FALSE)-50))</f>
        <v>206</v>
      </c>
      <c r="AB114" s="3">
        <v>224</v>
      </c>
      <c r="AC114" s="3">
        <f>IF(ISERROR((VLOOKUP($A114,'SegEnds_NonXtal_BW#'!$A:$Z,20,FALSE)+VLOOKUP($A114,A:AL,28,FALSE)-50)),"-",(VLOOKUP($A114,'SegEnds_NonXtal_BW#'!$A:$Z,20,FALSE)+VLOOKUP($A114,A:AL,28,FALSE)-50))</f>
        <v>246</v>
      </c>
      <c r="AD114" s="3">
        <f>IF(ISERROR(VLOOKUP($A114,'SegEnds_NonXtal_BW#'!$A:$Z,21,FALSE)+VLOOKUP($A114,A:AL,31,FALSE)-50),"-",(VLOOKUP($A114,'SegEnds_NonXtal_BW#'!$A:$Z,21,FALSE)+VLOOKUP($A114,A:AL,31,FALSE)-50))</f>
        <v>252</v>
      </c>
      <c r="AE114" s="3">
        <v>278</v>
      </c>
      <c r="AF114" s="3">
        <f>IF(ISERROR((VLOOKUP($A114,'SegEnds_NonXtal_BW#'!$A:$Z,22,FALSE)+VLOOKUP($A114,A:AL,31,FALSE)-50)),"-",(VLOOKUP($A114,'SegEnds_NonXtal_BW#'!$A:$Z,22,FALSE)+VLOOKUP($A114,A:AL,31,FALSE)-50))</f>
        <v>289</v>
      </c>
      <c r="AG114" s="3">
        <f>IF(ISERROR(VLOOKUP($A114,'SegEnds_NonXtal_BW#'!$A:$Z,23,FALSE)+VLOOKUP($A114,A:AL,34,FALSE)-50),"-",(VLOOKUP($A114,'SegEnds_NonXtal_BW#'!$A:$Z,23,FALSE)+VLOOKUP($A114,A:AL,34,FALSE)-50))</f>
        <v>298</v>
      </c>
      <c r="AH114" s="3">
        <v>320</v>
      </c>
      <c r="AI114" s="3">
        <f>IF(ISERROR((VLOOKUP($A114,'SegEnds_NonXtal_BW#'!$A:$Z,24,FALSE)+VLOOKUP($A114,A:AL,34,FALSE)-50)),"-",(VLOOKUP($A114,'SegEnds_NonXtal_BW#'!$A:$Z,24,FALSE)+VLOOKUP($A114,A:AL,34,FALSE)-50))</f>
        <v>326</v>
      </c>
      <c r="AJ114" s="3">
        <f>IF(ISERROR(VLOOKUP($A114,'SegEnds_NonXtal_BW#'!$A:$Z,25,FALSE)+VLOOKUP($A114,A:AL,37,FALSE)-50),"-",(VLOOKUP($A114,'SegEnds_NonXtal_BW#'!$A:$Z,25,FALSE)+VLOOKUP($A114,A:AL,37,FALSE)-50))</f>
        <v>327</v>
      </c>
      <c r="AK114" s="3">
        <v>330</v>
      </c>
      <c r="AL114" s="3">
        <f>IF(ISERROR((VLOOKUP($A114,'SegEnds_NonXtal_BW#'!$A:$Z,26,FALSE)+VLOOKUP($A114,A:AL,37,FALSE)-50)),"-",(VLOOKUP($A114,'SegEnds_NonXtal_BW#'!$A:$Z,26,FALSE)+VLOOKUP($A114,A:AL,37,FALSE)-50))</f>
        <v>338</v>
      </c>
      <c r="AM114" s="28" t="str">
        <f>VLOOKUP(A114,Classification!A:B,2,FALSE)</f>
        <v>A</v>
      </c>
      <c r="AN114" s="28" t="b">
        <f t="shared" si="55"/>
        <v>1</v>
      </c>
      <c r="AO114" s="3" t="str">
        <f>IF(ISERROR(MATCH(A114,'SegEnds_Xtal_Prot#'!B:B, 0)), "NoXtal", "Xtal")</f>
        <v>NoXtal</v>
      </c>
      <c r="AP114" s="3">
        <f t="shared" si="39"/>
        <v>1</v>
      </c>
      <c r="AQ114" s="3">
        <f t="shared" si="40"/>
        <v>1</v>
      </c>
      <c r="AR114" s="3">
        <f t="shared" si="41"/>
        <v>2</v>
      </c>
      <c r="AS114" s="3">
        <f t="shared" si="42"/>
        <v>1</v>
      </c>
      <c r="AT114" s="3">
        <f t="shared" si="43"/>
        <v>1</v>
      </c>
      <c r="AU114" s="3">
        <f t="shared" si="44"/>
        <v>1</v>
      </c>
      <c r="AV114" s="3">
        <f t="shared" si="45"/>
        <v>16</v>
      </c>
      <c r="AW114" s="3">
        <f t="shared" si="46"/>
        <v>6</v>
      </c>
      <c r="AX114" s="3">
        <f t="shared" si="47"/>
        <v>6</v>
      </c>
      <c r="AY114" s="3">
        <f t="shared" si="48"/>
        <v>9</v>
      </c>
      <c r="AZ114" s="3">
        <f t="shared" si="49"/>
        <v>1</v>
      </c>
      <c r="BA114" s="3">
        <f>IF(ISERROR(LEN(VLOOKUP(A114,Seqs!A:E,2,FALSE))-AL114),"-",LEN(VLOOKUP(A114,Seqs!A:E,2,FALSE))-AL114)</f>
        <v>28</v>
      </c>
      <c r="BB114" s="16">
        <f t="shared" si="50"/>
        <v>28</v>
      </c>
      <c r="BC114" s="9">
        <f t="shared" si="51"/>
        <v>20</v>
      </c>
      <c r="BD114" s="3">
        <f t="shared" si="52"/>
        <v>28</v>
      </c>
      <c r="BE114" s="3">
        <f t="shared" si="53"/>
        <v>54</v>
      </c>
      <c r="BF114" s="3">
        <f>AH114-AE114</f>
        <v>42</v>
      </c>
    </row>
    <row r="115" spans="1:60" s="3" customFormat="1" x14ac:dyDescent="0.2">
      <c r="A115" s="3" t="s">
        <v>212</v>
      </c>
      <c r="B115" s="3" t="str">
        <f>LOWER(VLOOKUP(A115,Xtal_Templ!A:B,2,FALSE))</f>
        <v>5ht2c_human</v>
      </c>
      <c r="C115" s="3">
        <f>VLOOKUP($A115,'SegEnds_NonXtal_BW#'!$A:$Z,3,FALSE)+D115-50</f>
        <v>32</v>
      </c>
      <c r="D115" s="3">
        <v>49</v>
      </c>
      <c r="E115" s="3">
        <f>IF(ISERROR(VLOOKUP($A115,'SegEnds_NonXtal_BW#'!$A:$Z,4,FALSE)+VLOOKUP($A115,A:AL,4,FALSE)-50),"-",(VLOOKUP($A115,'SegEnds_NonXtal_BW#'!$A:$Z,4,FALSE)+VLOOKUP($A115,A:AL,4,FALSE)-50))</f>
        <v>59</v>
      </c>
      <c r="F115" s="3">
        <f>G115-2</f>
        <v>60</v>
      </c>
      <c r="G115" s="3">
        <v>62</v>
      </c>
      <c r="H115" s="3">
        <f t="shared" si="71"/>
        <v>63</v>
      </c>
      <c r="I115" s="3">
        <f t="shared" si="71"/>
        <v>64</v>
      </c>
      <c r="J115" s="3">
        <v>77</v>
      </c>
      <c r="K115" s="3">
        <f>VLOOKUP($A115,'SegEnds_NonXtal_BW#'!$A:$Z,8,FALSE)+VLOOKUP($A115,A:AL,10,FALSE)-50</f>
        <v>95</v>
      </c>
      <c r="L115" s="3">
        <f t="shared" si="68"/>
        <v>96</v>
      </c>
      <c r="M115" s="3">
        <v>97</v>
      </c>
      <c r="N115" s="3">
        <f t="shared" si="69"/>
        <v>99</v>
      </c>
      <c r="O115" s="3">
        <f t="shared" si="70"/>
        <v>100</v>
      </c>
      <c r="P115" s="3">
        <v>129</v>
      </c>
      <c r="Q115" s="3">
        <f>VLOOKUP($A115,'SegEnds_NonXtal_BW#'!$A:$Z,12,FALSE)+VLOOKUP($A115,A:AL,16,FALSE)-50</f>
        <v>135</v>
      </c>
      <c r="R115" s="3">
        <f>IF(ISERROR(VLOOKUP($A115,'SegEnds_NonXtal_BW#'!$A:$Z,13,FALSE)+VLOOKUP($A115,A:AL,19,FALSE)-50),"-",VLOOKUP($A115,'SegEnds_NonXtal_BW#'!$A:$Z,13,FALSE)+VLOOKUP($A115,A:AL,19,FALSE)-50)</f>
        <v>136</v>
      </c>
      <c r="S115" s="3">
        <v>136</v>
      </c>
      <c r="T115" s="100">
        <f>IF(ISERROR(VLOOKUP($A115,'SegEnds_NonXtal_BW#'!$A:$Z,14,FALSE)+VLOOKUP($A115,A:AL,19,FALSE)-50),"-",(VLOOKUP($A115,'SegEnds_NonXtal_BW#'!$A:$Z,14,FALSE)+VLOOKUP($A115,A:AL,19,FALSE)-50))</f>
        <v>143</v>
      </c>
      <c r="U115" s="9">
        <f>IF(ISERROR(VLOOKUP($A115,'SegEnds_NonXtal_BW#'!$A:$Z,15,FALSE)+VLOOKUP($A115,A:AL,22,FALSE)-50),"-",VLOOKUP($A115,'SegEnds_NonXtal_BW#'!$A:$Z,15,FALSE)+VLOOKUP($A115,A:AL,22,FALSE)-50)</f>
        <v>144</v>
      </c>
      <c r="V115" s="3">
        <v>156</v>
      </c>
      <c r="W115" s="3">
        <f>IF(ISERROR(VLOOKUP($A115,'SegEnds_NonXtal_BW#'!$A:$Z,16,FALSE)+VLOOKUP($A115,A:AL,22,FALSE)-50),"-",(VLOOKUP($A115,'SegEnds_NonXtal_BW#'!$A:$Z,16,FALSE)+VLOOKUP($A115,A:AL,22,FALSE)-50))</f>
        <v>173</v>
      </c>
      <c r="X115" s="3">
        <f>IF(ISERROR(VLOOKUP($A115,'SegEnds_NonXtal_BW#'!$A:$Z,17,FALSE)+VLOOKUP($A115,A:AL,25,FALSE)-50),"-",(VLOOKUP($A115,'SegEnds_NonXtal_BW#'!$A:$Z,17,FALSE)+VLOOKUP($A115,A:AL,25,FALSE)-50))</f>
        <v>182</v>
      </c>
      <c r="Y115" s="3">
        <v>182</v>
      </c>
      <c r="Z115" s="3">
        <f t="shared" si="64"/>
        <v>184</v>
      </c>
      <c r="AA115" s="3">
        <f>IF(ISERROR(VLOOKUP($A115,'SegEnds_NonXtal_BW#'!$A:$Z,19,FALSE)+VLOOKUP($A115,A:AL,28,FALSE)-50),"-",(VLOOKUP($A115,'SegEnds_NonXtal_BW#'!$A:$Z,19,FALSE)+VLOOKUP($A115,A:AL,28,FALSE)-50))</f>
        <v>189</v>
      </c>
      <c r="AB115" s="3">
        <v>204</v>
      </c>
      <c r="AC115" s="3">
        <f>IF(ISERROR((VLOOKUP($A115,'SegEnds_NonXtal_BW#'!$A:$Z,20,FALSE)+VLOOKUP($A115,A:AL,28,FALSE)-50)),"-",(VLOOKUP($A115,'SegEnds_NonXtal_BW#'!$A:$Z,20,FALSE)+VLOOKUP($A115,A:AL,28,FALSE)-50))</f>
        <v>229</v>
      </c>
      <c r="AD115" s="3">
        <f>IF(ISERROR(VLOOKUP($A115,'SegEnds_NonXtal_BW#'!$A:$Z,21,FALSE)+VLOOKUP($A115,A:AL,31,FALSE)-50),"-",(VLOOKUP($A115,'SegEnds_NonXtal_BW#'!$A:$Z,21,FALSE)+VLOOKUP($A115,A:AL,31,FALSE)-50))</f>
        <v>388</v>
      </c>
      <c r="AE115" s="3">
        <v>414</v>
      </c>
      <c r="AF115" s="3">
        <f>IF(ISERROR((VLOOKUP($A115,'SegEnds_NonXtal_BW#'!$A:$Z,22,FALSE)+VLOOKUP($A115,A:AL,31,FALSE)-50)),"-",(VLOOKUP($A115,'SegEnds_NonXtal_BW#'!$A:$Z,22,FALSE)+VLOOKUP($A115,A:AL,31,FALSE)-50))</f>
        <v>425</v>
      </c>
      <c r="AG115" s="3">
        <f>IF(ISERROR(VLOOKUP($A115,'SegEnds_NonXtal_BW#'!$A:$Z,23,FALSE)+VLOOKUP($A115,A:AL,34,FALSE)-50),"-",(VLOOKUP($A115,'SegEnds_NonXtal_BW#'!$A:$Z,23,FALSE)+VLOOKUP($A115,A:AL,34,FALSE)-50))</f>
        <v>432</v>
      </c>
      <c r="AH115" s="3">
        <v>451</v>
      </c>
      <c r="AI115" s="3">
        <f>IF(ISERROR((VLOOKUP($A115,'SegEnds_NonXtal_BW#'!$A:$Z,24,FALSE)+VLOOKUP($A115,A:AL,34,FALSE)-50)),"-",(VLOOKUP($A115,'SegEnds_NonXtal_BW#'!$A:$Z,24,FALSE)+VLOOKUP($A115,A:AL,34,FALSE)-50))</f>
        <v>457</v>
      </c>
      <c r="AJ115" s="3">
        <f>IF(ISERROR(VLOOKUP($A115,'SegEnds_NonXtal_BW#'!$A:$Z,25,FALSE)+VLOOKUP($A115,A:AL,37,FALSE)-50),"-",(VLOOKUP($A115,'SegEnds_NonXtal_BW#'!$A:$Z,25,FALSE)+VLOOKUP($A115,A:AL,37,FALSE)-50))</f>
        <v>458</v>
      </c>
      <c r="AK115" s="3">
        <v>461</v>
      </c>
      <c r="AL115" s="3">
        <f>IF(ISERROR((VLOOKUP($A115,'SegEnds_NonXtal_BW#'!$A:$Z,26,FALSE)+VLOOKUP($A115,A:AL,37,FALSE)-50)),"-",(VLOOKUP($A115,'SegEnds_NonXtal_BW#'!$A:$Z,26,FALSE)+VLOOKUP($A115,A:AL,37,FALSE)-50))</f>
        <v>471</v>
      </c>
      <c r="AM115" s="28" t="str">
        <f>VLOOKUP(A115,Classification!A:B,2,FALSE)</f>
        <v>A</v>
      </c>
      <c r="AN115" s="28" t="b">
        <f t="shared" si="55"/>
        <v>1</v>
      </c>
      <c r="AO115" s="3" t="str">
        <f>IF(ISERROR(MATCH(A115,'SegEnds_Xtal_Prot#'!B:B, 0)), "NoXtal", "Xtal")</f>
        <v>NoXtal</v>
      </c>
      <c r="AP115" s="3">
        <f t="shared" si="39"/>
        <v>1</v>
      </c>
      <c r="AQ115" s="3">
        <f t="shared" si="40"/>
        <v>1</v>
      </c>
      <c r="AR115" s="3">
        <f t="shared" si="41"/>
        <v>1</v>
      </c>
      <c r="AS115" s="3">
        <f t="shared" si="42"/>
        <v>1</v>
      </c>
      <c r="AT115" s="3">
        <f t="shared" si="43"/>
        <v>1</v>
      </c>
      <c r="AU115" s="3">
        <f t="shared" si="44"/>
        <v>1</v>
      </c>
      <c r="AV115" s="3">
        <f t="shared" si="45"/>
        <v>9</v>
      </c>
      <c r="AW115" s="3">
        <f t="shared" si="46"/>
        <v>5</v>
      </c>
      <c r="AX115" s="3">
        <f t="shared" si="47"/>
        <v>159</v>
      </c>
      <c r="AY115" s="3">
        <f t="shared" si="48"/>
        <v>7</v>
      </c>
      <c r="AZ115" s="3">
        <f t="shared" si="49"/>
        <v>1</v>
      </c>
      <c r="BA115" s="3">
        <f>IF(ISERROR(LEN(VLOOKUP(A115,Seqs!A:E,2,FALSE))-AL115),"-",LEN(VLOOKUP(A115,Seqs!A:E,2,FALSE))-AL115)</f>
        <v>37</v>
      </c>
      <c r="BB115" s="16">
        <f t="shared" si="50"/>
        <v>28</v>
      </c>
      <c r="BC115" s="9">
        <f t="shared" si="51"/>
        <v>20</v>
      </c>
      <c r="BD115" s="3">
        <f t="shared" si="52"/>
        <v>28</v>
      </c>
      <c r="BE115" s="3">
        <f t="shared" si="53"/>
        <v>210</v>
      </c>
    </row>
    <row r="116" spans="1:60" s="3" customFormat="1" x14ac:dyDescent="0.2">
      <c r="A116" s="3" t="s">
        <v>213</v>
      </c>
      <c r="B116" s="3" t="str">
        <f>LOWER(VLOOKUP(A116,Xtal_Templ!A:B,2,FALSE))</f>
        <v>aa1r_human</v>
      </c>
      <c r="C116" s="3">
        <f>VLOOKUP($A116,'SegEnds_NonXtal_BW#'!$A:$Z,3,FALSE)+D116-50</f>
        <v>1</v>
      </c>
      <c r="D116" s="3">
        <v>22</v>
      </c>
      <c r="E116" s="3">
        <f>IF(ISERROR(VLOOKUP($A116,'SegEnds_NonXtal_BW#'!$A:$Z,4,FALSE)+VLOOKUP($A116,A:AL,4,FALSE)-50),"-",(VLOOKUP($A116,'SegEnds_NonXtal_BW#'!$A:$Z,4,FALSE)+VLOOKUP($A116,A:AL,4,FALSE)-50))</f>
        <v>32</v>
      </c>
      <c r="F116" s="3" t="str">
        <f>IF(ISERROR(VLOOKUP($A116,'SegEnds_NonXtal_BW#'!$A:$Z,5,FALSE)+VLOOKUP($A116,A:AL,7,FALSE)-50),"-",(VLOOKUP($A116,'SegEnds_NonXtal_BW#'!$A:$Z,5,FALSE)+VLOOKUP($A116,A:AL,7,FALSE)-50))</f>
        <v>-</v>
      </c>
      <c r="G116" s="3" t="s">
        <v>23</v>
      </c>
      <c r="H116" s="3" t="str">
        <f>IF(ISERROR(VLOOKUP($A116,'SegEnds_NonXtal_BW#'!$A:$Z,6,FALSE)+VLOOKUP($A116,A:AL,7,FALSE)-50),"-",(VLOOKUP($A116,'SegEnds_NonXtal_BW#'!$A:$Z,6,FALSE)+VLOOKUP($A116,A:AL,7,FALSE)-50))</f>
        <v>-</v>
      </c>
      <c r="I116" s="3">
        <f>VLOOKUP($A116,'SegEnds_NonXtal_BW#'!$A:$Z,7,FALSE)+J116-50</f>
        <v>38</v>
      </c>
      <c r="J116" s="3">
        <v>51</v>
      </c>
      <c r="K116" s="3">
        <f>VLOOKUP($A116,'SegEnds_NonXtal_BW#'!$A:$Z,8,FALSE)+VLOOKUP($A116,A:AL,10,FALSE)-50</f>
        <v>67</v>
      </c>
      <c r="L116" s="3" t="str">
        <f>IF(ISERROR(VLOOKUP($A116,'SegEnds_NonXtal_BW#'!$A:$Z,9,FALSE)+VLOOKUP($A116,A:AL,13,FALSE)-50),"-",(VLOOKUP($A116,'SegEnds_NonXtal_BW#'!$A:$Z,9,FALSE)+VLOOKUP($A116,A:AL,13,FALSE)-50))</f>
        <v>-</v>
      </c>
      <c r="M116" s="3" t="s">
        <v>23</v>
      </c>
      <c r="N116" s="3" t="str">
        <f>IF(ISERROR(VLOOKUP($A116,'SegEnds_NonXtal_BW#'!$A:$Z,10,FALSE)+VLOOKUP($A116,A:AL,13,FALSE)-50),"-",(VLOOKUP($A116,'SegEnds_NonXtal_BW#'!$A:$Z,10,FALSE)+VLOOKUP($A116,A:AL,13,FALSE)-50))</f>
        <v>-</v>
      </c>
      <c r="O116" s="3">
        <f>VLOOKUP($A116,'SegEnds_NonXtal_BW#'!$A:$Z,11,FALSE)+VLOOKUP($A116,A:AL,16,FALSE)-50</f>
        <v>71</v>
      </c>
      <c r="P116" s="3">
        <v>103</v>
      </c>
      <c r="Q116" s="3">
        <f>VLOOKUP($A116,'SegEnds_NonXtal_BW#'!$A:$Z,12,FALSE)+VLOOKUP($A116,A:AL,16,FALSE)-50</f>
        <v>109</v>
      </c>
      <c r="R116" s="3">
        <f>IF(ISERROR(VLOOKUP($A116,'SegEnds_NonXtal_BW#'!$A:$Z,13,FALSE)+VLOOKUP($A116,A:AL,19,FALSE)-50),"-",VLOOKUP($A116,'SegEnds_NonXtal_BW#'!$A:$Z,13,FALSE)+VLOOKUP($A116,A:AL,19,FALSE)-50)</f>
        <v>110</v>
      </c>
      <c r="S116" s="3">
        <v>110</v>
      </c>
      <c r="T116" s="100">
        <f>IF(ISERROR(VLOOKUP($A116,'SegEnds_NonXtal_BW#'!$A:$Z,14,FALSE)+VLOOKUP($A116,A:AL,19,FALSE)-50),"-",(VLOOKUP($A116,'SegEnds_NonXtal_BW#'!$A:$Z,14,FALSE)+VLOOKUP($A116,A:AL,19,FALSE)-50))</f>
        <v>117</v>
      </c>
      <c r="U116" s="9">
        <f>IF(ISERROR(VLOOKUP($A116,'SegEnds_NonXtal_BW#'!$A:$Z,15,FALSE)+VLOOKUP($A116,A:AL,22,FALSE)-50),"-",VLOOKUP($A116,'SegEnds_NonXtal_BW#'!$A:$Z,15,FALSE)+VLOOKUP($A116,A:AL,22,FALSE)-50)</f>
        <v>118</v>
      </c>
      <c r="V116" s="3">
        <v>130</v>
      </c>
      <c r="W116" s="3">
        <f>IF(ISERROR(VLOOKUP($A116,'SegEnds_NonXtal_BW#'!$A:$Z,16,FALSE)+VLOOKUP($A116,A:AL,22,FALSE)-50),"-",(VLOOKUP($A116,'SegEnds_NonXtal_BW#'!$A:$Z,16,FALSE)+VLOOKUP($A116,A:AL,22,FALSE)-50))</f>
        <v>143</v>
      </c>
      <c r="X116" s="3">
        <f>Y116</f>
        <v>155</v>
      </c>
      <c r="Y116" s="3">
        <v>155</v>
      </c>
      <c r="Z116" s="3">
        <f t="shared" si="64"/>
        <v>157</v>
      </c>
      <c r="AA116" s="3">
        <f>IF(ISERROR(VLOOKUP($A116,'SegEnds_NonXtal_BW#'!$A:$Z,19,FALSE)+VLOOKUP($A116,A:AL,28,FALSE)-50),"-",(VLOOKUP($A116,'SegEnds_NonXtal_BW#'!$A:$Z,19,FALSE)+VLOOKUP($A116,A:AL,28,FALSE)-50))</f>
        <v>161</v>
      </c>
      <c r="AB116" s="3">
        <v>176</v>
      </c>
      <c r="AC116" s="3">
        <f>IF(ISERROR((VLOOKUP($A116,'SegEnds_NonXtal_BW#'!$A:$Z,20,FALSE)+VLOOKUP($A116,A:AL,28,FALSE)-50)),"-",(VLOOKUP($A116,'SegEnds_NonXtal_BW#'!$A:$Z,20,FALSE)+VLOOKUP($A116,A:AL,28,FALSE)-50))</f>
        <v>200</v>
      </c>
      <c r="AD116" s="3">
        <f>IF(ISERROR(VLOOKUP($A116,'SegEnds_NonXtal_BW#'!$A:$Z,21,FALSE)+VLOOKUP($A116,A:AL,31,FALSE)-50),"-",(VLOOKUP($A116,'SegEnds_NonXtal_BW#'!$A:$Z,21,FALSE)+VLOOKUP($A116,A:AL,31,FALSE)-50))</f>
        <v>211</v>
      </c>
      <c r="AE116" s="3">
        <v>240</v>
      </c>
      <c r="AF116" s="3">
        <f>IF(ISERROR((VLOOKUP($A116,'SegEnds_NonXtal_BW#'!$A:$Z,22,FALSE)+VLOOKUP($A116,A:AL,31,FALSE)-50)),"-",(VLOOKUP($A116,'SegEnds_NonXtal_BW#'!$A:$Z,22,FALSE)+VLOOKUP($A116,A:AL,31,FALSE)-50))</f>
        <v>251</v>
      </c>
      <c r="AG116" s="3">
        <f>IF(ISERROR(VLOOKUP($A116,'SegEnds_NonXtal_BW#'!$A:$Z,23,FALSE)+VLOOKUP($A116,A:AL,34,FALSE)-50),"-",(VLOOKUP($A116,'SegEnds_NonXtal_BW#'!$A:$Z,23,FALSE)+VLOOKUP($A116,A:AL,34,FALSE)-50))</f>
        <v>257</v>
      </c>
      <c r="AH116" s="3">
        <v>276</v>
      </c>
      <c r="AI116" s="3">
        <v>282</v>
      </c>
      <c r="AJ116" s="3">
        <f>IF(ISERROR(VLOOKUP($A116,'SegEnds_NonXtal_BW#'!$A:$Z,25,FALSE)+VLOOKUP($A116,A:AL,37,FALSE)-50),"-",(VLOOKUP($A116,'SegEnds_NonXtal_BW#'!$A:$Z,25,FALSE)+VLOOKUP($A116,A:AL,37,FALSE)-50))</f>
        <v>283</v>
      </c>
      <c r="AK116" s="3">
        <v>286</v>
      </c>
      <c r="AL116" s="3">
        <f>IF(ISERROR((VLOOKUP($A116,'SegEnds_NonXtal_BW#'!$A:$Z,26,FALSE)+VLOOKUP($A116,A:AL,37,FALSE)-50)),"-",(VLOOKUP($A116,'SegEnds_NonXtal_BW#'!$A:$Z,26,FALSE)+VLOOKUP($A116,A:AL,37,FALSE)-50))</f>
        <v>305</v>
      </c>
      <c r="AM116" s="28" t="str">
        <f>VLOOKUP(A116,Classification!A:B,2,FALSE)</f>
        <v>A</v>
      </c>
      <c r="AN116" s="28" t="b">
        <f t="shared" si="55"/>
        <v>1</v>
      </c>
      <c r="AO116" s="3" t="str">
        <f>IF(ISERROR(MATCH(A116,'SegEnds_Xtal_Prot#'!B:B, 0)), "NoXtal", "Xtal")</f>
        <v>NoXtal</v>
      </c>
      <c r="AP116" s="3" t="str">
        <f t="shared" si="39"/>
        <v>-</v>
      </c>
      <c r="AQ116" s="3" t="str">
        <f t="shared" si="40"/>
        <v>-</v>
      </c>
      <c r="AR116" s="3" t="str">
        <f t="shared" si="41"/>
        <v>-</v>
      </c>
      <c r="AS116" s="3" t="str">
        <f t="shared" si="42"/>
        <v>-</v>
      </c>
      <c r="AT116" s="3">
        <f t="shared" si="43"/>
        <v>1</v>
      </c>
      <c r="AU116" s="3">
        <f t="shared" si="44"/>
        <v>1</v>
      </c>
      <c r="AV116" s="3">
        <f t="shared" si="45"/>
        <v>12</v>
      </c>
      <c r="AW116" s="3">
        <f t="shared" si="46"/>
        <v>4</v>
      </c>
      <c r="AX116" s="3">
        <f t="shared" si="47"/>
        <v>11</v>
      </c>
      <c r="AY116" s="3">
        <f t="shared" si="48"/>
        <v>6</v>
      </c>
      <c r="AZ116" s="3">
        <f t="shared" si="49"/>
        <v>1</v>
      </c>
      <c r="BA116" s="3">
        <f>IF(ISERROR(LEN(VLOOKUP(A116,Seqs!A:E,2,FALSE))-AL116),"-",LEN(VLOOKUP(A116,Seqs!A:E,2,FALSE))-AL116)</f>
        <v>30</v>
      </c>
      <c r="BB116" s="16">
        <f t="shared" si="50"/>
        <v>29</v>
      </c>
      <c r="BC116" s="9">
        <f t="shared" si="51"/>
        <v>20</v>
      </c>
      <c r="BD116" s="3">
        <f t="shared" si="52"/>
        <v>29</v>
      </c>
      <c r="BE116" s="3">
        <f t="shared" si="53"/>
        <v>64</v>
      </c>
    </row>
    <row r="117" spans="1:60" s="3" customFormat="1" x14ac:dyDescent="0.2">
      <c r="A117" s="3" t="s">
        <v>217</v>
      </c>
      <c r="B117" s="3" t="str">
        <f>LOWER(VLOOKUP(A117,Xtal_Templ!A:B,2,FALSE))</f>
        <v>hrh1_human</v>
      </c>
      <c r="C117" s="3">
        <f>VLOOKUP($A117,'SegEnds_NonXtal_BW#'!$A:$Z,3,FALSE)+D117-50</f>
        <v>18</v>
      </c>
      <c r="D117" s="3">
        <v>34</v>
      </c>
      <c r="E117" s="3">
        <f>IF(ISERROR(VLOOKUP($A117,'SegEnds_NonXtal_BW#'!$A:$Z,4,FALSE)+VLOOKUP($A117,A:AL,4,FALSE)-50),"-",(VLOOKUP($A117,'SegEnds_NonXtal_BW#'!$A:$Z,4,FALSE)+VLOOKUP($A117,A:AL,4,FALSE)-50))</f>
        <v>44</v>
      </c>
      <c r="F117" s="3">
        <f>G117-2</f>
        <v>45</v>
      </c>
      <c r="G117" s="3">
        <v>47</v>
      </c>
      <c r="H117" s="3">
        <f>G117+1</f>
        <v>48</v>
      </c>
      <c r="I117" s="3">
        <f>H117+1</f>
        <v>49</v>
      </c>
      <c r="J117" s="3">
        <v>62</v>
      </c>
      <c r="K117" s="3">
        <f>VLOOKUP($A117,'SegEnds_NonXtal_BW#'!$A:$Z,8,FALSE)+VLOOKUP($A117,A:AL,10,FALSE)-50</f>
        <v>78</v>
      </c>
      <c r="L117" s="3">
        <f t="shared" ref="L117:L122" si="72">M117-1</f>
        <v>80</v>
      </c>
      <c r="M117" s="3">
        <v>81</v>
      </c>
      <c r="N117" s="3">
        <f t="shared" ref="N117:N122" si="73">M117+2</f>
        <v>83</v>
      </c>
      <c r="O117" s="3">
        <f t="shared" ref="O117:O122" si="74">N117+1</f>
        <v>84</v>
      </c>
      <c r="P117" s="3">
        <v>113</v>
      </c>
      <c r="Q117" s="3">
        <f>VLOOKUP($A117,'SegEnds_NonXtal_BW#'!$A:$Z,12,FALSE)+VLOOKUP($A117,A:AL,16,FALSE)-50</f>
        <v>119</v>
      </c>
      <c r="R117" s="3">
        <f>IF(ISERROR(VLOOKUP($A117,'SegEnds_NonXtal_BW#'!$A:$Z,13,FALSE)+VLOOKUP($A117,A:AL,19,FALSE)-50),"-",VLOOKUP($A117,'SegEnds_NonXtal_BW#'!$A:$Z,13,FALSE)+VLOOKUP($A117,A:AL,19,FALSE)-50)</f>
        <v>120</v>
      </c>
      <c r="S117" s="3">
        <v>120</v>
      </c>
      <c r="T117" s="100">
        <f>IF(ISERROR(VLOOKUP($A117,'SegEnds_NonXtal_BW#'!$A:$Z,14,FALSE)+VLOOKUP($A117,A:AL,19,FALSE)-50),"-",(VLOOKUP($A117,'SegEnds_NonXtal_BW#'!$A:$Z,14,FALSE)+VLOOKUP($A117,A:AL,19,FALSE)-50))</f>
        <v>127</v>
      </c>
      <c r="U117" s="9">
        <f>IF(ISERROR(VLOOKUP($A117,'SegEnds_NonXtal_BW#'!$A:$Z,15,FALSE)+VLOOKUP($A117,A:AL,22,FALSE)-50),"-",VLOOKUP($A117,'SegEnds_NonXtal_BW#'!$A:$Z,15,FALSE)+VLOOKUP($A117,A:AL,22,FALSE)-50)</f>
        <v>128</v>
      </c>
      <c r="V117" s="3">
        <v>140</v>
      </c>
      <c r="W117" s="3">
        <f>IF(ISERROR(VLOOKUP($A117,'SegEnds_NonXtal_BW#'!$A:$Z,16,FALSE)+VLOOKUP($A117,A:AL,22,FALSE)-50),"-",(VLOOKUP($A117,'SegEnds_NonXtal_BW#'!$A:$Z,16,FALSE)+VLOOKUP($A117,A:AL,22,FALSE)-50))</f>
        <v>152</v>
      </c>
      <c r="X117" s="3">
        <f>IF(ISERROR(VLOOKUP($A117,'SegEnds_NonXtal_BW#'!$A:$Z,17,FALSE)+VLOOKUP($A117,A:AL,25,FALSE)-50),"-",(VLOOKUP($A117,'SegEnds_NonXtal_BW#'!$A:$Z,17,FALSE)+VLOOKUP($A117,A:AL,25,FALSE)-50))</f>
        <v>166</v>
      </c>
      <c r="Y117" s="3">
        <v>166</v>
      </c>
      <c r="Z117" s="3">
        <f t="shared" si="64"/>
        <v>168</v>
      </c>
      <c r="AA117" s="3">
        <f>IF(ISERROR(VLOOKUP($A117,'SegEnds_NonXtal_BW#'!$A:$Z,19,FALSE)+VLOOKUP($A117,A:AL,28,FALSE)-50),"-",(VLOOKUP($A117,'SegEnds_NonXtal_BW#'!$A:$Z,19,FALSE)+VLOOKUP($A117,A:AL,28,FALSE)-50))</f>
        <v>181</v>
      </c>
      <c r="AB117" s="3">
        <v>196</v>
      </c>
      <c r="AC117" s="3">
        <f>IF(ISERROR((VLOOKUP($A117,'SegEnds_NonXtal_BW#'!$A:$Z,20,FALSE)+VLOOKUP($A117,A:AL,28,FALSE)-50)),"-",(VLOOKUP($A117,'SegEnds_NonXtal_BW#'!$A:$Z,20,FALSE)+VLOOKUP($A117,A:AL,28,FALSE)-50))</f>
        <v>214</v>
      </c>
      <c r="AD117" s="3">
        <f>IF(ISERROR(VLOOKUP($A117,'SegEnds_NonXtal_BW#'!$A:$Z,21,FALSE)+VLOOKUP($A117,A:AL,31,FALSE)-50),"-",(VLOOKUP($A117,'SegEnds_NonXtal_BW#'!$A:$Z,21,FALSE)+VLOOKUP($A117,A:AL,31,FALSE)-50))</f>
        <v>218</v>
      </c>
      <c r="AE117" s="3">
        <v>240</v>
      </c>
      <c r="AF117" s="3">
        <f>IF(ISERROR((VLOOKUP($A117,'SegEnds_NonXtal_BW#'!$A:$Z,22,FALSE)+VLOOKUP($A117,A:AL,31,FALSE)-50)),"-",(VLOOKUP($A117,'SegEnds_NonXtal_BW#'!$A:$Z,22,FALSE)+VLOOKUP($A117,A:AL,31,FALSE)-50))</f>
        <v>251</v>
      </c>
      <c r="AG117" s="3">
        <f>IF(ISERROR(VLOOKUP($A117,'SegEnds_NonXtal_BW#'!$A:$Z,23,FALSE)+VLOOKUP($A117,A:AL,34,FALSE)-50),"-",(VLOOKUP($A117,'SegEnds_NonXtal_BW#'!$A:$Z,23,FALSE)+VLOOKUP($A117,A:AL,34,FALSE)-50))</f>
        <v>258</v>
      </c>
      <c r="AH117" s="3">
        <v>280</v>
      </c>
      <c r="AI117" s="3">
        <f>IF(ISERROR((VLOOKUP($A117,'SegEnds_NonXtal_BW#'!$A:$Z,24,FALSE)+VLOOKUP($A117,A:AL,34,FALSE)-50)),"-",(VLOOKUP($A117,'SegEnds_NonXtal_BW#'!$A:$Z,24,FALSE)+VLOOKUP($A117,A:AL,34,FALSE)-50))</f>
        <v>286</v>
      </c>
      <c r="AJ117" s="3">
        <v>288</v>
      </c>
      <c r="AK117" s="3">
        <v>291</v>
      </c>
      <c r="AL117" s="3">
        <v>300</v>
      </c>
      <c r="AM117" s="28" t="str">
        <f>VLOOKUP(A117,Classification!A:B,2,FALSE)</f>
        <v>A</v>
      </c>
      <c r="AN117" s="28" t="b">
        <f t="shared" si="55"/>
        <v>1</v>
      </c>
      <c r="AO117" s="3" t="str">
        <f>IF(ISERROR(MATCH(A117,'SegEnds_Xtal_Prot#'!B:B, 0)), "NoXtal", "Xtal")</f>
        <v>NoXtal</v>
      </c>
      <c r="AP117" s="3">
        <f t="shared" si="39"/>
        <v>1</v>
      </c>
      <c r="AQ117" s="3">
        <f t="shared" si="40"/>
        <v>1</v>
      </c>
      <c r="AR117" s="3">
        <f t="shared" si="41"/>
        <v>2</v>
      </c>
      <c r="AS117" s="3">
        <f t="shared" si="42"/>
        <v>1</v>
      </c>
      <c r="AT117" s="3">
        <f t="shared" si="43"/>
        <v>1</v>
      </c>
      <c r="AU117" s="3">
        <f t="shared" si="44"/>
        <v>1</v>
      </c>
      <c r="AV117" s="3">
        <f t="shared" si="45"/>
        <v>14</v>
      </c>
      <c r="AW117" s="3">
        <f t="shared" si="46"/>
        <v>13</v>
      </c>
      <c r="AX117" s="3">
        <f t="shared" si="47"/>
        <v>4</v>
      </c>
      <c r="AY117" s="3">
        <f t="shared" si="48"/>
        <v>7</v>
      </c>
      <c r="AZ117" s="3">
        <f t="shared" si="49"/>
        <v>2</v>
      </c>
      <c r="BA117" s="3">
        <f>IF(ISERROR(LEN(VLOOKUP(A117,Seqs!A:E,2,FALSE))-AL117),"-",LEN(VLOOKUP(A117,Seqs!A:E,2,FALSE))-AL117)</f>
        <v>5</v>
      </c>
      <c r="BB117" s="16">
        <f t="shared" si="50"/>
        <v>28</v>
      </c>
      <c r="BC117" s="9">
        <f t="shared" si="51"/>
        <v>20</v>
      </c>
      <c r="BD117" s="3">
        <f t="shared" si="52"/>
        <v>28</v>
      </c>
      <c r="BE117" s="3">
        <f t="shared" si="53"/>
        <v>44</v>
      </c>
      <c r="BF117" s="3">
        <f>AH117-AE117</f>
        <v>40</v>
      </c>
    </row>
    <row r="118" spans="1:60" s="3" customFormat="1" x14ac:dyDescent="0.2">
      <c r="A118" s="3" t="s">
        <v>220</v>
      </c>
      <c r="B118" s="3" t="str">
        <f>LOWER(VLOOKUP(A118,Xtal_Templ!A:B,2,FALSE))</f>
        <v>aa1r_human</v>
      </c>
      <c r="C118" s="3">
        <f>VLOOKUP($A118,'SegEnds_NonXtal_BW#'!$A:$Z,3,FALSE)+D118-50</f>
        <v>46</v>
      </c>
      <c r="D118" s="3">
        <v>67</v>
      </c>
      <c r="E118" s="3">
        <f>IF(ISERROR(VLOOKUP($A118,'SegEnds_NonXtal_BW#'!$A:$Z,4,FALSE)+VLOOKUP($A118,A:AL,4,FALSE)-50),"-",(VLOOKUP($A118,'SegEnds_NonXtal_BW#'!$A:$Z,4,FALSE)+VLOOKUP($A118,A:AL,4,FALSE)-50))</f>
        <v>77</v>
      </c>
      <c r="F118" s="3">
        <f>G118-2</f>
        <v>78</v>
      </c>
      <c r="G118" s="3">
        <v>80</v>
      </c>
      <c r="H118" s="3">
        <f>G118+1</f>
        <v>81</v>
      </c>
      <c r="I118" s="3">
        <f>H118+1</f>
        <v>82</v>
      </c>
      <c r="J118" s="3">
        <v>96</v>
      </c>
      <c r="K118" s="3">
        <f>VLOOKUP($A118,'SegEnds_NonXtal_BW#'!$A:$Z,8,FALSE)+VLOOKUP($A118,A:AL,10,FALSE)-50</f>
        <v>112</v>
      </c>
      <c r="L118" s="3">
        <f t="shared" si="72"/>
        <v>113</v>
      </c>
      <c r="M118" s="3">
        <v>114</v>
      </c>
      <c r="N118" s="3">
        <f t="shared" si="73"/>
        <v>116</v>
      </c>
      <c r="O118" s="3">
        <f t="shared" si="74"/>
        <v>117</v>
      </c>
      <c r="P118" s="3">
        <v>146</v>
      </c>
      <c r="Q118" s="3">
        <f>VLOOKUP($A118,'SegEnds_NonXtal_BW#'!$A:$Z,12,FALSE)+VLOOKUP($A118,A:AL,16,FALSE)-50</f>
        <v>152</v>
      </c>
      <c r="R118" s="3">
        <f>IF(ISERROR(VLOOKUP($A118,'SegEnds_NonXtal_BW#'!$A:$Z,13,FALSE)+VLOOKUP($A118,A:AL,19,FALSE)-50),"-",VLOOKUP($A118,'SegEnds_NonXtal_BW#'!$A:$Z,13,FALSE)+VLOOKUP($A118,A:AL,19,FALSE)-50)</f>
        <v>153</v>
      </c>
      <c r="S118" s="3">
        <v>153</v>
      </c>
      <c r="T118" s="100">
        <f>IF(ISERROR(VLOOKUP($A118,'SegEnds_NonXtal_BW#'!$A:$Z,14,FALSE)+VLOOKUP($A118,A:AL,19,FALSE)-50),"-",(VLOOKUP($A118,'SegEnds_NonXtal_BW#'!$A:$Z,14,FALSE)+VLOOKUP($A118,A:AL,19,FALSE)-50))</f>
        <v>160</v>
      </c>
      <c r="U118" s="9">
        <f>IF(ISERROR(VLOOKUP($A118,'SegEnds_NonXtal_BW#'!$A:$Z,15,FALSE)+VLOOKUP($A118,A:AL,22,FALSE)-50),"-",VLOOKUP($A118,'SegEnds_NonXtal_BW#'!$A:$Z,15,FALSE)+VLOOKUP($A118,A:AL,22,FALSE)-50)</f>
        <v>161</v>
      </c>
      <c r="V118" s="3">
        <v>173</v>
      </c>
      <c r="W118" s="3">
        <f>IF(ISERROR(VLOOKUP($A118,'SegEnds_NonXtal_BW#'!$A:$Z,16,FALSE)+VLOOKUP($A118,A:AL,22,FALSE)-50),"-",(VLOOKUP($A118,'SegEnds_NonXtal_BW#'!$A:$Z,16,FALSE)+VLOOKUP($A118,A:AL,22,FALSE)-50))</f>
        <v>186</v>
      </c>
      <c r="X118" s="3" t="str">
        <f>IF(ISERROR(VLOOKUP($A118,'SegEnds_NonXtal_BW#'!$A:$Z,17,FALSE)+VLOOKUP($A118,A:AL,25,FALSE)-50),"-",(VLOOKUP($A118,'SegEnds_NonXtal_BW#'!$A:$Z,17,FALSE)+VLOOKUP($A118,A:AL,25,FALSE)-50))</f>
        <v>-</v>
      </c>
      <c r="Y118" s="3" t="s">
        <v>23</v>
      </c>
      <c r="Z118" s="3" t="str">
        <f>IF(ISERROR(VLOOKUP($A118,'SegEnds_NonXtal_BW#'!$A:$Z,18,FALSE)+VLOOKUP($A118,A:AL,25,FALSE)-50),"-",(VLOOKUP($A118,'SegEnds_NonXtal_BW#'!$A:$Z,18,FALSE)+VLOOKUP($A118,A:AL,25,FALSE)-50))</f>
        <v>-</v>
      </c>
      <c r="AA118" s="3">
        <f>IF(ISERROR(VLOOKUP($A118,'SegEnds_NonXtal_BW#'!$A:$Z,19,FALSE)+VLOOKUP($A118,A:AL,28,FALSE)-50),"-",(VLOOKUP($A118,'SegEnds_NonXtal_BW#'!$A:$Z,19,FALSE)+VLOOKUP($A118,A:AL,28,FALSE)-50))</f>
        <v>196</v>
      </c>
      <c r="AB118" s="3">
        <v>211</v>
      </c>
      <c r="AC118" s="3">
        <f>IF(ISERROR((VLOOKUP($A118,'SegEnds_NonXtal_BW#'!$A:$Z,20,FALSE)+VLOOKUP($A118,A:AL,28,FALSE)-50)),"-",(VLOOKUP($A118,'SegEnds_NonXtal_BW#'!$A:$Z,20,FALSE)+VLOOKUP($A118,A:AL,28,FALSE)-50))</f>
        <v>237</v>
      </c>
      <c r="AD118" s="3">
        <f>IF(ISERROR(VLOOKUP($A118,'SegEnds_NonXtal_BW#'!$A:$Z,21,FALSE)+VLOOKUP($A118,A:AL,31,FALSE)-50),"-",(VLOOKUP($A118,'SegEnds_NonXtal_BW#'!$A:$Z,21,FALSE)+VLOOKUP($A118,A:AL,31,FALSE)-50))</f>
        <v>253</v>
      </c>
      <c r="AE118" s="3">
        <v>279</v>
      </c>
      <c r="AF118" s="3">
        <f>IF(ISERROR((VLOOKUP($A118,'SegEnds_NonXtal_BW#'!$A:$Z,22,FALSE)+VLOOKUP($A118,A:AL,31,FALSE)-50)),"-",(VLOOKUP($A118,'SegEnds_NonXtal_BW#'!$A:$Z,22,FALSE)+VLOOKUP($A118,A:AL,31,FALSE)-50))</f>
        <v>287</v>
      </c>
      <c r="AG118" s="3">
        <f>IF(ISERROR(VLOOKUP($A118,'SegEnds_NonXtal_BW#'!$A:$Z,23,FALSE)+VLOOKUP($A118,A:AL,34,FALSE)-50),"-",(VLOOKUP($A118,'SegEnds_NonXtal_BW#'!$A:$Z,23,FALSE)+VLOOKUP($A118,A:AL,34,FALSE)-50))</f>
        <v>295</v>
      </c>
      <c r="AH118" s="3">
        <v>309</v>
      </c>
      <c r="AI118" s="3">
        <v>316</v>
      </c>
      <c r="AJ118" s="3">
        <f>IF(ISERROR(VLOOKUP($A118,'SegEnds_NonXtal_BW#'!$A:$Z,25,FALSE)+VLOOKUP($A118,A:AL,37,FALSE)-50),"-",(VLOOKUP($A118,'SegEnds_NonXtal_BW#'!$A:$Z,25,FALSE)+VLOOKUP($A118,A:AL,37,FALSE)-50))</f>
        <v>317</v>
      </c>
      <c r="AK118" s="3">
        <v>320</v>
      </c>
      <c r="AL118" s="3">
        <f>IF(ISERROR((VLOOKUP($A118,'SegEnds_NonXtal_BW#'!$A:$Z,26,FALSE)+VLOOKUP($A118,A:AL,37,FALSE)-50)),"-",(VLOOKUP($A118,'SegEnds_NonXtal_BW#'!$A:$Z,26,FALSE)+VLOOKUP($A118,A:AL,37,FALSE)-50))</f>
        <v>339</v>
      </c>
      <c r="AM118" s="28" t="str">
        <f>VLOOKUP(A118,Classification!A:B,2,FALSE)</f>
        <v>A</v>
      </c>
      <c r="AN118" s="28" t="b">
        <f t="shared" si="55"/>
        <v>1</v>
      </c>
      <c r="AO118" s="3" t="str">
        <f>IF(ISERROR(MATCH(A118,'SegEnds_Xtal_Prot#'!B:B, 0)), "NoXtal", "Xtal")</f>
        <v>NoXtal</v>
      </c>
      <c r="AP118" s="3">
        <f t="shared" si="39"/>
        <v>1</v>
      </c>
      <c r="AQ118" s="3">
        <f t="shared" si="40"/>
        <v>1</v>
      </c>
      <c r="AR118" s="3">
        <f t="shared" si="41"/>
        <v>1</v>
      </c>
      <c r="AS118" s="3">
        <f t="shared" si="42"/>
        <v>1</v>
      </c>
      <c r="AT118" s="3">
        <f t="shared" si="43"/>
        <v>1</v>
      </c>
      <c r="AU118" s="3">
        <f t="shared" si="44"/>
        <v>1</v>
      </c>
      <c r="AV118" s="3" t="str">
        <f t="shared" si="45"/>
        <v>-</v>
      </c>
      <c r="AW118" s="3" t="str">
        <f t="shared" si="46"/>
        <v>-</v>
      </c>
      <c r="AX118" s="3">
        <f t="shared" si="47"/>
        <v>16</v>
      </c>
      <c r="AY118" s="3">
        <f t="shared" si="48"/>
        <v>8</v>
      </c>
      <c r="AZ118" s="3">
        <f t="shared" si="49"/>
        <v>1</v>
      </c>
      <c r="BA118" s="3">
        <f>IF(ISERROR(LEN(VLOOKUP(A118,Seqs!A:E,2,FALSE))-AL118),"-",LEN(VLOOKUP(A118,Seqs!A:E,2,FALSE))-AL118)</f>
        <v>8</v>
      </c>
      <c r="BB118" s="16">
        <f t="shared" si="50"/>
        <v>29</v>
      </c>
      <c r="BC118" s="9">
        <f t="shared" si="51"/>
        <v>20</v>
      </c>
      <c r="BD118" s="3">
        <f t="shared" si="52"/>
        <v>29</v>
      </c>
      <c r="BE118" s="3">
        <f t="shared" si="53"/>
        <v>68</v>
      </c>
      <c r="BF118" s="3">
        <f>AH118-AE118</f>
        <v>30</v>
      </c>
    </row>
    <row r="119" spans="1:60" s="3" customFormat="1" x14ac:dyDescent="0.2">
      <c r="A119" s="3" t="s">
        <v>224</v>
      </c>
      <c r="B119" s="3" t="str">
        <f>LOWER(VLOOKUP(A119,Xtal_Templ!A:B,2,FALSE))</f>
        <v>pd2r2_human</v>
      </c>
      <c r="C119" s="3">
        <f>VLOOKUP($A119,'SegEnds_NonXtal_BW#'!$A:$Z,3,FALSE)+D119-50</f>
        <v>29</v>
      </c>
      <c r="D119" s="3">
        <v>47</v>
      </c>
      <c r="E119" s="3">
        <f>IF(ISERROR(VLOOKUP($A119,'SegEnds_NonXtal_BW#'!$A:$Z,4,FALSE)+VLOOKUP($A119,A:AL,4,FALSE)-50),"-",(VLOOKUP($A119,'SegEnds_NonXtal_BW#'!$A:$Z,4,FALSE)+VLOOKUP($A119,A:AL,4,FALSE)-50))</f>
        <v>57</v>
      </c>
      <c r="F119" s="3" t="str">
        <f>IF(ISERROR(VLOOKUP($A119,'SegEnds_NonXtal_BW#'!$A:$Z,5,FALSE)+VLOOKUP($A119,A:AL,7,FALSE)-50),"-",(VLOOKUP($A119,'SegEnds_NonXtal_BW#'!$A:$Z,5,FALSE)+VLOOKUP($A119,A:AL,7,FALSE)-50))</f>
        <v>-</v>
      </c>
      <c r="G119" s="3" t="s">
        <v>23</v>
      </c>
      <c r="H119" s="3" t="str">
        <f>IF(ISERROR(VLOOKUP($A119,'SegEnds_NonXtal_BW#'!$A:$Z,6,FALSE)+VLOOKUP($A119,A:AL,7,FALSE)-50),"-",(VLOOKUP($A119,'SegEnds_NonXtal_BW#'!$A:$Z,6,FALSE)+VLOOKUP($A119,A:AL,7,FALSE)-50))</f>
        <v>-</v>
      </c>
      <c r="I119" s="3">
        <f>VLOOKUP($A119,'SegEnds_NonXtal_BW#'!$A:$Z,7,FALSE)+J119-50</f>
        <v>64</v>
      </c>
      <c r="J119" s="3">
        <v>77</v>
      </c>
      <c r="K119" s="3">
        <f>VLOOKUP($A119,'SegEnds_NonXtal_BW#'!$A:$Z,8,FALSE)+VLOOKUP($A119,A:AL,10,FALSE)-50</f>
        <v>94</v>
      </c>
      <c r="L119" s="3">
        <f t="shared" si="72"/>
        <v>96</v>
      </c>
      <c r="M119" s="3">
        <v>97</v>
      </c>
      <c r="N119" s="3">
        <f t="shared" si="73"/>
        <v>99</v>
      </c>
      <c r="O119" s="3">
        <f t="shared" si="74"/>
        <v>100</v>
      </c>
      <c r="P119" s="3">
        <v>129</v>
      </c>
      <c r="Q119" s="3">
        <f>VLOOKUP($A119,'SegEnds_NonXtal_BW#'!$A:$Z,12,FALSE)+VLOOKUP($A119,A:AL,16,FALSE)-50</f>
        <v>135</v>
      </c>
      <c r="R119" s="3">
        <f>IF(ISERROR(VLOOKUP($A119,'SegEnds_NonXtal_BW#'!$A:$Z,13,FALSE)+VLOOKUP($A119,A:AL,19,FALSE)-50),"-",VLOOKUP($A119,'SegEnds_NonXtal_BW#'!$A:$Z,13,FALSE)+VLOOKUP($A119,A:AL,19,FALSE)-50)</f>
        <v>136</v>
      </c>
      <c r="S119" s="3">
        <v>136</v>
      </c>
      <c r="T119" s="100">
        <f>IF(ISERROR(VLOOKUP($A119,'SegEnds_NonXtal_BW#'!$A:$Z,14,FALSE)+VLOOKUP($A119,A:AL,19,FALSE)-50),"-",(VLOOKUP($A119,'SegEnds_NonXtal_BW#'!$A:$Z,14,FALSE)+VLOOKUP($A119,A:AL,19,FALSE)-50))</f>
        <v>143</v>
      </c>
      <c r="U119" s="9">
        <f>IF(ISERROR(VLOOKUP($A119,'SegEnds_NonXtal_BW#'!$A:$Z,15,FALSE)+VLOOKUP($A119,A:AL,22,FALSE)-50),"-",VLOOKUP($A119,'SegEnds_NonXtal_BW#'!$A:$Z,15,FALSE)+VLOOKUP($A119,A:AL,22,FALSE)-50)</f>
        <v>144</v>
      </c>
      <c r="V119" s="3">
        <v>156</v>
      </c>
      <c r="W119" s="3">
        <f>IF(ISERROR(VLOOKUP($A119,'SegEnds_NonXtal_BW#'!$A:$Z,16,FALSE)+VLOOKUP($A119,A:AL,22,FALSE)-50),"-",(VLOOKUP($A119,'SegEnds_NonXtal_BW#'!$A:$Z,16,FALSE)+VLOOKUP($A119,A:AL,22,FALSE)-50))</f>
        <v>170</v>
      </c>
      <c r="X119" s="3">
        <f>IF(ISERROR(VLOOKUP($A119,'SegEnds_NonXtal_BW#'!$A:$Z,17,FALSE)+VLOOKUP($A119,A:AL,25,FALSE)-50),"-",(VLOOKUP($A119,'SegEnds_NonXtal_BW#'!$A:$Z,17,FALSE)+VLOOKUP($A119,A:AL,25,FALSE)-50))</f>
        <v>182</v>
      </c>
      <c r="Y119" s="3">
        <v>182</v>
      </c>
      <c r="Z119" s="3">
        <f t="shared" ref="Z119:Z128" si="75">Y119+2</f>
        <v>184</v>
      </c>
      <c r="AA119" s="3">
        <f>IF(ISERROR(VLOOKUP($A119,'SegEnds_NonXtal_BW#'!$A:$Z,19,FALSE)+VLOOKUP($A119,A:AL,28,FALSE)-50),"-",(VLOOKUP($A119,'SegEnds_NonXtal_BW#'!$A:$Z,19,FALSE)+VLOOKUP($A119,A:AL,28,FALSE)-50))</f>
        <v>189</v>
      </c>
      <c r="AB119" s="3">
        <v>204</v>
      </c>
      <c r="AC119" s="3">
        <f>IF(ISERROR((VLOOKUP($A119,'SegEnds_NonXtal_BW#'!$A:$Z,20,FALSE)+VLOOKUP($A119,A:AL,28,FALSE)-50)),"-",(VLOOKUP($A119,'SegEnds_NonXtal_BW#'!$A:$Z,20,FALSE)+VLOOKUP($A119,A:AL,28,FALSE)-50))</f>
        <v>222</v>
      </c>
      <c r="AD119" s="3">
        <f>IF(ISERROR(VLOOKUP($A119,'SegEnds_NonXtal_BW#'!$A:$Z,21,FALSE)+VLOOKUP($A119,A:AL,31,FALSE)-50),"-",(VLOOKUP($A119,'SegEnds_NonXtal_BW#'!$A:$Z,21,FALSE)+VLOOKUP($A119,A:AL,31,FALSE)-50))</f>
        <v>226</v>
      </c>
      <c r="AE119" s="3">
        <v>252</v>
      </c>
      <c r="AF119" s="3">
        <f>IF(ISERROR((VLOOKUP($A119,'SegEnds_NonXtal_BW#'!$A:$Z,22,FALSE)+VLOOKUP($A119,A:AL,31,FALSE)-50)),"-",(VLOOKUP($A119,'SegEnds_NonXtal_BW#'!$A:$Z,22,FALSE)+VLOOKUP($A119,A:AL,31,FALSE)-50))</f>
        <v>263</v>
      </c>
      <c r="AG119" s="3">
        <f>IF(ISERROR(VLOOKUP($A119,'SegEnds_NonXtal_BW#'!$A:$Z,23,FALSE)+VLOOKUP($A119,A:AL,34,FALSE)-50),"-",(VLOOKUP($A119,'SegEnds_NonXtal_BW#'!$A:$Z,23,FALSE)+VLOOKUP($A119,A:AL,34,FALSE)-50))</f>
        <v>270</v>
      </c>
      <c r="AH119" s="3">
        <v>292</v>
      </c>
      <c r="AI119" s="3">
        <f>IF(ISERROR((VLOOKUP($A119,'SegEnds_NonXtal_BW#'!$A:$Z,24,FALSE)+VLOOKUP($A119,A:AL,34,FALSE)-50)),"-",(VLOOKUP($A119,'SegEnds_NonXtal_BW#'!$A:$Z,24,FALSE)+VLOOKUP($A119,A:AL,34,FALSE)-50))</f>
        <v>298</v>
      </c>
      <c r="AJ119" s="3">
        <f>IF(ISERROR(VLOOKUP($A119,'SegEnds_NonXtal_BW#'!$A:$Z,25,FALSE)+VLOOKUP($A119,A:AL,37,FALSE)-50),"-",(VLOOKUP($A119,'SegEnds_NonXtal_BW#'!$A:$Z,25,FALSE)+VLOOKUP($A119,A:AL,37,FALSE)-50))</f>
        <v>299</v>
      </c>
      <c r="AK119" s="3">
        <v>302</v>
      </c>
      <c r="AL119" s="3">
        <f>IF(ISERROR((VLOOKUP($A119,'SegEnds_NonXtal_BW#'!$A:$Z,26,FALSE)+VLOOKUP($A119,A:AL,37,FALSE)-50)),"-",(VLOOKUP($A119,'SegEnds_NonXtal_BW#'!$A:$Z,26,FALSE)+VLOOKUP($A119,A:AL,37,FALSE)-50))</f>
        <v>316</v>
      </c>
      <c r="AM119" s="28" t="str">
        <f>VLOOKUP(A119,Classification!A:B,2,FALSE)</f>
        <v>A</v>
      </c>
      <c r="AN119" s="28" t="b">
        <f t="shared" si="55"/>
        <v>1</v>
      </c>
      <c r="AO119" s="3" t="str">
        <f>IF(ISERROR(MATCH(A119,'SegEnds_Xtal_Prot#'!B:B, 0)), "NoXtal", "Xtal")</f>
        <v>NoXtal</v>
      </c>
      <c r="AP119" s="3" t="str">
        <f t="shared" si="39"/>
        <v>-</v>
      </c>
      <c r="AQ119" s="3" t="str">
        <f t="shared" si="40"/>
        <v>-</v>
      </c>
      <c r="AR119" s="3">
        <f t="shared" si="41"/>
        <v>2</v>
      </c>
      <c r="AS119" s="3">
        <f t="shared" si="42"/>
        <v>1</v>
      </c>
      <c r="AT119" s="3">
        <f t="shared" si="43"/>
        <v>1</v>
      </c>
      <c r="AU119" s="3">
        <f t="shared" si="44"/>
        <v>1</v>
      </c>
      <c r="AV119" s="3">
        <f t="shared" si="45"/>
        <v>12</v>
      </c>
      <c r="AW119" s="3">
        <f t="shared" si="46"/>
        <v>5</v>
      </c>
      <c r="AX119" s="3">
        <f t="shared" si="47"/>
        <v>4</v>
      </c>
      <c r="AY119" s="3">
        <f t="shared" si="48"/>
        <v>7</v>
      </c>
      <c r="AZ119" s="3">
        <f t="shared" si="49"/>
        <v>1</v>
      </c>
      <c r="BA119" s="3">
        <f>IF(ISERROR(LEN(VLOOKUP(A119,Seqs!A:E,2,FALSE))-AL119),"-",LEN(VLOOKUP(A119,Seqs!A:E,2,FALSE))-AL119)</f>
        <v>154</v>
      </c>
      <c r="BB119" s="16">
        <f t="shared" si="50"/>
        <v>30</v>
      </c>
      <c r="BC119" s="9">
        <f t="shared" si="51"/>
        <v>20</v>
      </c>
      <c r="BD119" s="3">
        <f t="shared" si="52"/>
        <v>30</v>
      </c>
      <c r="BE119" s="3">
        <f t="shared" si="53"/>
        <v>48</v>
      </c>
    </row>
    <row r="120" spans="1:60" s="3" customFormat="1" x14ac:dyDescent="0.2">
      <c r="A120" s="3" t="s">
        <v>225</v>
      </c>
      <c r="B120" s="3" t="str">
        <f>LOWER(VLOOKUP(A120,Xtal_Templ!A:B,2,FALSE))</f>
        <v>ox2r_human</v>
      </c>
      <c r="C120" s="3">
        <f>VLOOKUP($A120,'SegEnds_NonXtal_BW#'!$A:$Z,3,FALSE)+D120-50</f>
        <v>6</v>
      </c>
      <c r="D120" s="3">
        <v>25</v>
      </c>
      <c r="E120" s="3">
        <f>IF(ISERROR(VLOOKUP($A120,'SegEnds_NonXtal_BW#'!$A:$Z,4,FALSE)+VLOOKUP($A120,A:AL,4,FALSE)-50),"-",(VLOOKUP($A120,'SegEnds_NonXtal_BW#'!$A:$Z,4,FALSE)+VLOOKUP($A120,A:AL,4,FALSE)-50))</f>
        <v>35</v>
      </c>
      <c r="F120" s="3">
        <f>G120-2</f>
        <v>36</v>
      </c>
      <c r="G120" s="3">
        <v>38</v>
      </c>
      <c r="H120" s="3">
        <f t="shared" ref="H120:I122" si="76">G120+1</f>
        <v>39</v>
      </c>
      <c r="I120" s="3">
        <f t="shared" si="76"/>
        <v>40</v>
      </c>
      <c r="J120" s="105">
        <v>52</v>
      </c>
      <c r="K120" s="3">
        <f>VLOOKUP($A120,'SegEnds_NonXtal_BW#'!$A:$Z,8,FALSE)+VLOOKUP($A120,A:AL,10,FALSE)-50</f>
        <v>70</v>
      </c>
      <c r="L120" s="3">
        <f t="shared" si="72"/>
        <v>75</v>
      </c>
      <c r="M120" s="3">
        <v>76</v>
      </c>
      <c r="N120" s="3">
        <f t="shared" si="73"/>
        <v>78</v>
      </c>
      <c r="O120" s="3">
        <f t="shared" si="74"/>
        <v>79</v>
      </c>
      <c r="P120" s="3">
        <v>108</v>
      </c>
      <c r="Q120" s="3">
        <f>VLOOKUP($A120,'SegEnds_NonXtal_BW#'!$A:$Z,12,FALSE)+VLOOKUP($A120,A:AL,16,FALSE)-50</f>
        <v>114</v>
      </c>
      <c r="R120" s="3">
        <f>IF(ISERROR(VLOOKUP($A120,'SegEnds_NonXtal_BW#'!$A:$Z,13,FALSE)+VLOOKUP($A120,A:AL,19,FALSE)-50),"-",VLOOKUP($A120,'SegEnds_NonXtal_BW#'!$A:$Z,13,FALSE)+VLOOKUP($A120,A:AL,19,FALSE)-50)</f>
        <v>115</v>
      </c>
      <c r="S120" s="3">
        <v>115</v>
      </c>
      <c r="T120" s="100">
        <f>IF(ISERROR(VLOOKUP($A120,'SegEnds_NonXtal_BW#'!$A:$Z,14,FALSE)+VLOOKUP($A120,A:AL,19,FALSE)-50),"-",(VLOOKUP($A120,'SegEnds_NonXtal_BW#'!$A:$Z,14,FALSE)+VLOOKUP($A120,A:AL,19,FALSE)-50))</f>
        <v>122</v>
      </c>
      <c r="U120" s="9">
        <f>IF(ISERROR(VLOOKUP($A120,'SegEnds_NonXtal_BW#'!$A:$Z,15,FALSE)+VLOOKUP($A120,A:AL,22,FALSE)-50),"-",VLOOKUP($A120,'SegEnds_NonXtal_BW#'!$A:$Z,15,FALSE)+VLOOKUP($A120,A:AL,22,FALSE)-50)</f>
        <v>123</v>
      </c>
      <c r="V120" s="3">
        <v>135</v>
      </c>
      <c r="W120" s="3">
        <f>IF(ISERROR(VLOOKUP($A120,'SegEnds_NonXtal_BW#'!$A:$Z,16,FALSE)+VLOOKUP($A120,A:AL,22,FALSE)-50),"-",(VLOOKUP($A120,'SegEnds_NonXtal_BW#'!$A:$Z,16,FALSE)+VLOOKUP($A120,A:AL,22,FALSE)-50))</f>
        <v>148</v>
      </c>
      <c r="X120" s="3">
        <f>IF(ISERROR(VLOOKUP($A120,'SegEnds_NonXtal_BW#'!$A:$Z,17,FALSE)+VLOOKUP($A120,A:AL,25,FALSE)-50),"-",(VLOOKUP($A120,'SegEnds_NonXtal_BW#'!$A:$Z,17,FALSE)+VLOOKUP($A120,A:AL,25,FALSE)-50))</f>
        <v>161</v>
      </c>
      <c r="Y120" s="3">
        <v>161</v>
      </c>
      <c r="Z120" s="3">
        <f t="shared" si="75"/>
        <v>163</v>
      </c>
      <c r="AA120" s="3">
        <f>IF(ISERROR(VLOOKUP($A120,'SegEnds_NonXtal_BW#'!$A:$Z,19,FALSE)+VLOOKUP($A120,A:AL,28,FALSE)-50),"-",(VLOOKUP($A120,'SegEnds_NonXtal_BW#'!$A:$Z,19,FALSE)+VLOOKUP($A120,A:AL,28,FALSE)-50))</f>
        <v>169</v>
      </c>
      <c r="AB120" s="3">
        <v>184</v>
      </c>
      <c r="AC120" s="3">
        <f>IF(ISERROR((VLOOKUP($A120,'SegEnds_NonXtal_BW#'!$A:$Z,20,FALSE)+VLOOKUP($A120,A:AL,28,FALSE)-50)),"-",(VLOOKUP($A120,'SegEnds_NonXtal_BW#'!$A:$Z,20,FALSE)+VLOOKUP($A120,A:AL,28,FALSE)-50))</f>
        <v>210</v>
      </c>
      <c r="AD120" s="3">
        <f>IF(ISERROR(VLOOKUP($A120,'SegEnds_NonXtal_BW#'!$A:$Z,21,FALSE)+VLOOKUP($A120,A:AL,31,FALSE)-50),"-",(VLOOKUP($A120,'SegEnds_NonXtal_BW#'!$A:$Z,21,FALSE)+VLOOKUP($A120,A:AL,31,FALSE)-50))</f>
        <v>234</v>
      </c>
      <c r="AE120" s="3">
        <v>260</v>
      </c>
      <c r="AF120" s="3">
        <f>IF(ISERROR((VLOOKUP($A120,'SegEnds_NonXtal_BW#'!$A:$Z,22,FALSE)+VLOOKUP($A120,A:AL,31,FALSE)-50)),"-",(VLOOKUP($A120,'SegEnds_NonXtal_BW#'!$A:$Z,22,FALSE)+VLOOKUP($A120,A:AL,31,FALSE)-50))</f>
        <v>271</v>
      </c>
      <c r="AG120" s="3">
        <f>IF(ISERROR(VLOOKUP($A120,'SegEnds_NonXtal_BW#'!$A:$Z,23,FALSE)+VLOOKUP($A120,A:AL,34,FALSE)-50),"-",(VLOOKUP($A120,'SegEnds_NonXtal_BW#'!$A:$Z,23,FALSE)+VLOOKUP($A120,A:AL,34,FALSE)-50))</f>
        <v>276</v>
      </c>
      <c r="AH120" s="3">
        <v>294</v>
      </c>
      <c r="AI120" s="3">
        <v>299</v>
      </c>
      <c r="AJ120" s="3">
        <f>IF(ISERROR(VLOOKUP($A120,'SegEnds_NonXtal_BW#'!$A:$Z,25,FALSE)+VLOOKUP($A120,A:AL,37,FALSE)-50),"-",(VLOOKUP($A120,'SegEnds_NonXtal_BW#'!$A:$Z,25,FALSE)+VLOOKUP($A120,A:AL,37,FALSE)-50))</f>
        <v>300</v>
      </c>
      <c r="AK120" s="3">
        <v>303</v>
      </c>
      <c r="AL120" s="3">
        <f>IF(ISERROR((VLOOKUP($A120,'SegEnds_NonXtal_BW#'!$A:$Z,26,FALSE)+VLOOKUP($A120,A:AL,37,FALSE)-50)),"-",(VLOOKUP($A120,'SegEnds_NonXtal_BW#'!$A:$Z,26,FALSE)+VLOOKUP($A120,A:AL,37,FALSE)-50))</f>
        <v>311</v>
      </c>
      <c r="AM120" s="28" t="str">
        <f>VLOOKUP(A120,Classification!A:B,2,FALSE)</f>
        <v>A</v>
      </c>
      <c r="AN120" s="28" t="b">
        <f t="shared" si="55"/>
        <v>1</v>
      </c>
      <c r="AO120" s="3" t="str">
        <f>IF(ISERROR(MATCH(A120,'SegEnds_Xtal_Prot#'!B:B, 0)), "NoXtal", "Xtal")</f>
        <v>NoXtal</v>
      </c>
      <c r="AP120" s="3">
        <f t="shared" si="39"/>
        <v>1</v>
      </c>
      <c r="AQ120" s="3">
        <f t="shared" si="40"/>
        <v>1</v>
      </c>
      <c r="AR120" s="3">
        <f t="shared" si="41"/>
        <v>5</v>
      </c>
      <c r="AS120" s="3">
        <f t="shared" si="42"/>
        <v>1</v>
      </c>
      <c r="AT120" s="3">
        <f t="shared" si="43"/>
        <v>1</v>
      </c>
      <c r="AU120" s="3">
        <f t="shared" si="44"/>
        <v>1</v>
      </c>
      <c r="AV120" s="3">
        <f t="shared" si="45"/>
        <v>13</v>
      </c>
      <c r="AW120" s="3">
        <f t="shared" si="46"/>
        <v>6</v>
      </c>
      <c r="AX120" s="3">
        <f t="shared" si="47"/>
        <v>24</v>
      </c>
      <c r="AY120" s="3">
        <f t="shared" si="48"/>
        <v>5</v>
      </c>
      <c r="AZ120" s="3">
        <f t="shared" si="49"/>
        <v>1</v>
      </c>
      <c r="BA120" s="3">
        <f>IF(ISERROR(LEN(VLOOKUP(A120,Seqs!A:E,2,FALSE))-AL120),"-",LEN(VLOOKUP(A120,Seqs!A:E,2,FALSE))-AL120)</f>
        <v>298</v>
      </c>
      <c r="BB120" s="16">
        <f t="shared" si="50"/>
        <v>27</v>
      </c>
      <c r="BC120" s="9">
        <f t="shared" si="51"/>
        <v>20</v>
      </c>
      <c r="BD120" s="3">
        <f t="shared" si="52"/>
        <v>27</v>
      </c>
      <c r="BE120" s="3">
        <f t="shared" si="53"/>
        <v>76</v>
      </c>
    </row>
    <row r="121" spans="1:60" s="3" customFormat="1" x14ac:dyDescent="0.2">
      <c r="A121" s="3" t="s">
        <v>227</v>
      </c>
      <c r="B121" s="3" t="str">
        <f>LOWER(VLOOKUP(A121,Xtal_Templ!A:B,2,FALSE))</f>
        <v>5ht1b_human</v>
      </c>
      <c r="C121" s="3">
        <f>VLOOKUP($A121,'SegEnds_NonXtal_BW#'!$A:$Z,3,FALSE)+D121-50</f>
        <v>23</v>
      </c>
      <c r="D121" s="3">
        <v>45</v>
      </c>
      <c r="E121" s="3">
        <f>IF(ISERROR(VLOOKUP($A121,'SegEnds_NonXtal_BW#'!$A:$Z,4,FALSE)+VLOOKUP($A121,A:AL,4,FALSE)-50),"-",(VLOOKUP($A121,'SegEnds_NonXtal_BW#'!$A:$Z,4,FALSE)+VLOOKUP($A121,A:AL,4,FALSE)-50))</f>
        <v>55</v>
      </c>
      <c r="F121" s="3">
        <f>G121-2</f>
        <v>56</v>
      </c>
      <c r="G121" s="3">
        <v>58</v>
      </c>
      <c r="H121" s="3">
        <f t="shared" si="76"/>
        <v>59</v>
      </c>
      <c r="I121" s="3">
        <f t="shared" si="76"/>
        <v>60</v>
      </c>
      <c r="J121" s="3">
        <v>73</v>
      </c>
      <c r="K121" s="3">
        <f>VLOOKUP($A121,'SegEnds_NonXtal_BW#'!$A:$Z,8,FALSE)+VLOOKUP($A121,A:AL,10,FALSE)-50</f>
        <v>91</v>
      </c>
      <c r="L121" s="3">
        <f t="shared" si="72"/>
        <v>92</v>
      </c>
      <c r="M121" s="3">
        <v>93</v>
      </c>
      <c r="N121" s="3">
        <f t="shared" si="73"/>
        <v>95</v>
      </c>
      <c r="O121" s="3">
        <f t="shared" si="74"/>
        <v>96</v>
      </c>
      <c r="P121" s="3">
        <v>125</v>
      </c>
      <c r="Q121" s="3">
        <f>VLOOKUP($A121,'SegEnds_NonXtal_BW#'!$A:$Z,12,FALSE)+VLOOKUP($A121,A:AL,16,FALSE)-50</f>
        <v>131</v>
      </c>
      <c r="R121" s="3">
        <f>IF(ISERROR(VLOOKUP($A121,'SegEnds_NonXtal_BW#'!$A:$Z,13,FALSE)+VLOOKUP($A121,A:AL,19,FALSE)-50),"-",VLOOKUP($A121,'SegEnds_NonXtal_BW#'!$A:$Z,13,FALSE)+VLOOKUP($A121,A:AL,19,FALSE)-50)</f>
        <v>132</v>
      </c>
      <c r="S121" s="3">
        <v>132</v>
      </c>
      <c r="T121" s="100">
        <f>IF(ISERROR(VLOOKUP($A121,'SegEnds_NonXtal_BW#'!$A:$Z,14,FALSE)+VLOOKUP($A121,A:AL,19,FALSE)-50),"-",(VLOOKUP($A121,'SegEnds_NonXtal_BW#'!$A:$Z,14,FALSE)+VLOOKUP($A121,A:AL,19,FALSE)-50))</f>
        <v>139</v>
      </c>
      <c r="U121" s="9">
        <f>IF(ISERROR(VLOOKUP($A121,'SegEnds_NonXtal_BW#'!$A:$Z,15,FALSE)+VLOOKUP($A121,A:AL,22,FALSE)-50),"-",VLOOKUP($A121,'SegEnds_NonXtal_BW#'!$A:$Z,15,FALSE)+VLOOKUP($A121,A:AL,22,FALSE)-50)</f>
        <v>140</v>
      </c>
      <c r="V121" s="3">
        <v>152</v>
      </c>
      <c r="W121" s="3">
        <f>IF(ISERROR(VLOOKUP($A121,'SegEnds_NonXtal_BW#'!$A:$Z,16,FALSE)+VLOOKUP($A121,A:AL,22,FALSE)-50),"-",(VLOOKUP($A121,'SegEnds_NonXtal_BW#'!$A:$Z,16,FALSE)+VLOOKUP($A121,A:AL,22,FALSE)-50))</f>
        <v>165</v>
      </c>
      <c r="X121" s="3">
        <f>IF(ISERROR(VLOOKUP($A121,'SegEnds_NonXtal_BW#'!$A:$Z,17,FALSE)+VLOOKUP($A121,A:AL,25,FALSE)-50),"-",(VLOOKUP($A121,'SegEnds_NonXtal_BW#'!$A:$Z,17,FALSE)+VLOOKUP($A121,A:AL,25,FALSE)-50))</f>
        <v>178</v>
      </c>
      <c r="Y121" s="3">
        <v>178</v>
      </c>
      <c r="Z121" s="3">
        <f t="shared" si="75"/>
        <v>180</v>
      </c>
      <c r="AA121" s="3">
        <f>IF(ISERROR(VLOOKUP($A121,'SegEnds_NonXtal_BW#'!$A:$Z,19,FALSE)+VLOOKUP($A121,A:AL,28,FALSE)-50),"-",(VLOOKUP($A121,'SegEnds_NonXtal_BW#'!$A:$Z,19,FALSE)+VLOOKUP($A121,A:AL,28,FALSE)-50))</f>
        <v>185</v>
      </c>
      <c r="AB121" s="3">
        <v>200</v>
      </c>
      <c r="AC121" s="3">
        <f>IF(ISERROR((VLOOKUP($A121,'SegEnds_NonXtal_BW#'!$A:$Z,20,FALSE)+VLOOKUP($A121,A:AL,28,FALSE)-50)),"-",(VLOOKUP($A121,'SegEnds_NonXtal_BW#'!$A:$Z,20,FALSE)+VLOOKUP($A121,A:AL,28,FALSE)-50))</f>
        <v>226</v>
      </c>
      <c r="AD121" s="3">
        <f>IF(ISERROR(VLOOKUP($A121,'SegEnds_NonXtal_BW#'!$A:$Z,21,FALSE)+VLOOKUP($A121,A:AL,31,FALSE)-50),"-",(VLOOKUP($A121,'SegEnds_NonXtal_BW#'!$A:$Z,21,FALSE)+VLOOKUP($A121,A:AL,31,FALSE)-50))</f>
        <v>259</v>
      </c>
      <c r="AE121" s="3">
        <v>285</v>
      </c>
      <c r="AF121" s="3">
        <f>IF(ISERROR((VLOOKUP($A121,'SegEnds_NonXtal_BW#'!$A:$Z,22,FALSE)+VLOOKUP($A121,A:AL,31,FALSE)-50)),"-",(VLOOKUP($A121,'SegEnds_NonXtal_BW#'!$A:$Z,22,FALSE)+VLOOKUP($A121,A:AL,31,FALSE)-50))</f>
        <v>296</v>
      </c>
      <c r="AG121" s="3">
        <f>IF(ISERROR(VLOOKUP($A121,'SegEnds_NonXtal_BW#'!$A:$Z,23,FALSE)+VLOOKUP($A121,A:AL,34,FALSE)-50),"-",(VLOOKUP($A121,'SegEnds_NonXtal_BW#'!$A:$Z,23,FALSE)+VLOOKUP($A121,A:AL,34,FALSE)-50))</f>
        <v>302</v>
      </c>
      <c r="AH121" s="3">
        <v>321</v>
      </c>
      <c r="AI121" s="3">
        <f>IF(ISERROR((VLOOKUP($A121,'SegEnds_NonXtal_BW#'!$A:$Z,24,FALSE)+VLOOKUP($A121,A:AL,34,FALSE)-50)),"-",(VLOOKUP($A121,'SegEnds_NonXtal_BW#'!$A:$Z,24,FALSE)+VLOOKUP($A121,A:AL,34,FALSE)-50))</f>
        <v>327</v>
      </c>
      <c r="AJ121" s="3">
        <f>IF(ISERROR(VLOOKUP($A121,'SegEnds_NonXtal_BW#'!$A:$Z,25,FALSE)+VLOOKUP($A121,A:AL,37,FALSE)-50),"-",(VLOOKUP($A121,'SegEnds_NonXtal_BW#'!$A:$Z,25,FALSE)+VLOOKUP($A121,A:AL,37,FALSE)-50))</f>
        <v>328</v>
      </c>
      <c r="AK121" s="3">
        <v>331</v>
      </c>
      <c r="AL121" s="3">
        <f>IF(ISERROR((VLOOKUP($A121,'SegEnds_NonXtal_BW#'!$A:$Z,26,FALSE)+VLOOKUP($A121,A:AL,37,FALSE)-50)),"-",(VLOOKUP($A121,'SegEnds_NonXtal_BW#'!$A:$Z,26,FALSE)+VLOOKUP($A121,A:AL,37,FALSE)-50))</f>
        <v>339</v>
      </c>
      <c r="AM121" s="28" t="str">
        <f>VLOOKUP(A121,Classification!A:B,2,FALSE)</f>
        <v>A</v>
      </c>
      <c r="AN121" s="28" t="b">
        <f t="shared" si="55"/>
        <v>1</v>
      </c>
      <c r="AO121" s="3" t="str">
        <f>IF(ISERROR(MATCH(A121,'SegEnds_Xtal_Prot#'!B:B, 0)), "NoXtal", "Xtal")</f>
        <v>NoXtal</v>
      </c>
      <c r="AP121" s="3">
        <f t="shared" si="39"/>
        <v>1</v>
      </c>
      <c r="AQ121" s="3">
        <f t="shared" si="40"/>
        <v>1</v>
      </c>
      <c r="AR121" s="3">
        <f t="shared" si="41"/>
        <v>1</v>
      </c>
      <c r="AS121" s="3">
        <f t="shared" si="42"/>
        <v>1</v>
      </c>
      <c r="AT121" s="3">
        <f t="shared" si="43"/>
        <v>1</v>
      </c>
      <c r="AU121" s="3">
        <f t="shared" si="44"/>
        <v>1</v>
      </c>
      <c r="AV121" s="3">
        <f t="shared" si="45"/>
        <v>13</v>
      </c>
      <c r="AW121" s="3">
        <f t="shared" si="46"/>
        <v>5</v>
      </c>
      <c r="AX121" s="3">
        <f t="shared" si="47"/>
        <v>33</v>
      </c>
      <c r="AY121" s="3">
        <f t="shared" si="48"/>
        <v>6</v>
      </c>
      <c r="AZ121" s="3">
        <f t="shared" si="49"/>
        <v>1</v>
      </c>
      <c r="BA121" s="3">
        <f>IF(ISERROR(LEN(VLOOKUP(A121,Seqs!A:E,2,FALSE))-AL121),"-",LEN(VLOOKUP(A121,Seqs!A:E,2,FALSE))-AL121)</f>
        <v>190</v>
      </c>
      <c r="BB121" s="16">
        <f t="shared" si="50"/>
        <v>28</v>
      </c>
      <c r="BC121" s="9">
        <f t="shared" si="51"/>
        <v>20</v>
      </c>
      <c r="BD121" s="3">
        <f t="shared" si="52"/>
        <v>28</v>
      </c>
      <c r="BE121" s="3">
        <f t="shared" si="53"/>
        <v>85</v>
      </c>
    </row>
    <row r="122" spans="1:60" s="3" customFormat="1" x14ac:dyDescent="0.2">
      <c r="A122" s="3" t="s">
        <v>228</v>
      </c>
      <c r="B122" s="3" t="str">
        <f>LOWER(VLOOKUP(A122,Xtal_Templ!A:B,2,FALSE))</f>
        <v>npy1r_human</v>
      </c>
      <c r="C122" s="3">
        <f>VLOOKUP($A122,'SegEnds_NonXtal_BW#'!$A:$Z,3,FALSE)+D122-50</f>
        <v>9</v>
      </c>
      <c r="D122" s="3">
        <v>31</v>
      </c>
      <c r="E122" s="3">
        <f>IF(ISERROR(VLOOKUP($A122,'SegEnds_NonXtal_BW#'!$A:$Z,4,FALSE)+VLOOKUP($A122,A:AL,4,FALSE)-50),"-",(VLOOKUP($A122,'SegEnds_NonXtal_BW#'!$A:$Z,4,FALSE)+VLOOKUP($A122,A:AL,4,FALSE)-50))</f>
        <v>41</v>
      </c>
      <c r="F122" s="3">
        <f>G122-2</f>
        <v>42</v>
      </c>
      <c r="G122" s="3">
        <v>44</v>
      </c>
      <c r="H122" s="3">
        <f t="shared" si="76"/>
        <v>45</v>
      </c>
      <c r="I122" s="3">
        <f t="shared" si="76"/>
        <v>46</v>
      </c>
      <c r="J122" s="105">
        <v>58</v>
      </c>
      <c r="K122" s="3">
        <f>VLOOKUP($A122,'SegEnds_NonXtal_BW#'!$A:$Z,8,FALSE)+VLOOKUP($A122,A:AL,10,FALSE)-50</f>
        <v>76</v>
      </c>
      <c r="L122" s="3">
        <f t="shared" si="72"/>
        <v>82</v>
      </c>
      <c r="M122" s="3">
        <v>83</v>
      </c>
      <c r="N122" s="3">
        <f t="shared" si="73"/>
        <v>85</v>
      </c>
      <c r="O122" s="3">
        <f t="shared" si="74"/>
        <v>86</v>
      </c>
      <c r="P122" s="3">
        <v>115</v>
      </c>
      <c r="Q122" s="3">
        <f>VLOOKUP($A122,'SegEnds_NonXtal_BW#'!$A:$Z,12,FALSE)+VLOOKUP($A122,A:AL,16,FALSE)-50</f>
        <v>121</v>
      </c>
      <c r="R122" s="3">
        <f>IF(ISERROR(VLOOKUP($A122,'SegEnds_NonXtal_BW#'!$A:$Z,13,FALSE)+VLOOKUP($A122,A:AL,19,FALSE)-50),"-",VLOOKUP($A122,'SegEnds_NonXtal_BW#'!$A:$Z,13,FALSE)+VLOOKUP($A122,A:AL,19,FALSE)-50)</f>
        <v>122</v>
      </c>
      <c r="S122" s="3">
        <v>122</v>
      </c>
      <c r="T122" s="100">
        <f>IF(ISERROR(VLOOKUP($A122,'SegEnds_NonXtal_BW#'!$A:$Z,14,FALSE)+VLOOKUP($A122,A:AL,19,FALSE)-50),"-",(VLOOKUP($A122,'SegEnds_NonXtal_BW#'!$A:$Z,14,FALSE)+VLOOKUP($A122,A:AL,19,FALSE)-50))</f>
        <v>129</v>
      </c>
      <c r="U122" s="9">
        <f>IF(ISERROR(VLOOKUP($A122,'SegEnds_NonXtal_BW#'!$A:$Z,15,FALSE)+VLOOKUP($A122,A:AL,22,FALSE)-50),"-",VLOOKUP($A122,'SegEnds_NonXtal_BW#'!$A:$Z,15,FALSE)+VLOOKUP($A122,A:AL,22,FALSE)-50)</f>
        <v>130</v>
      </c>
      <c r="V122" s="3">
        <v>142</v>
      </c>
      <c r="W122" s="3">
        <f>IF(ISERROR(VLOOKUP($A122,'SegEnds_NonXtal_BW#'!$A:$Z,16,FALSE)+VLOOKUP($A122,A:AL,22,FALSE)-50),"-",(VLOOKUP($A122,'SegEnds_NonXtal_BW#'!$A:$Z,16,FALSE)+VLOOKUP($A122,A:AL,22,FALSE)-50))</f>
        <v>156</v>
      </c>
      <c r="X122" s="3">
        <f>IF(ISERROR(VLOOKUP($A122,'SegEnds_NonXtal_BW#'!$A:$Z,17,FALSE)+VLOOKUP($A122,A:AL,25,FALSE)-50),"-",(VLOOKUP($A122,'SegEnds_NonXtal_BW#'!$A:$Z,17,FALSE)+VLOOKUP($A122,A:AL,25,FALSE)-50))</f>
        <v>168</v>
      </c>
      <c r="Y122" s="3">
        <v>168</v>
      </c>
      <c r="Z122" s="3">
        <f t="shared" si="75"/>
        <v>170</v>
      </c>
      <c r="AA122" s="3">
        <f>IF(ISERROR(VLOOKUP($A122,'SegEnds_NonXtal_BW#'!$A:$Z,19,FALSE)+VLOOKUP($A122,A:AL,28,FALSE)-50),"-",(VLOOKUP($A122,'SegEnds_NonXtal_BW#'!$A:$Z,19,FALSE)+VLOOKUP($A122,A:AL,28,FALSE)-50))</f>
        <v>176</v>
      </c>
      <c r="AB122" s="3">
        <v>191</v>
      </c>
      <c r="AC122" s="3">
        <f>IF(ISERROR((VLOOKUP($A122,'SegEnds_NonXtal_BW#'!$A:$Z,20,FALSE)+VLOOKUP($A122,A:AL,28,FALSE)-50)),"-",(VLOOKUP($A122,'SegEnds_NonXtal_BW#'!$A:$Z,20,FALSE)+VLOOKUP($A122,A:AL,28,FALSE)-50))</f>
        <v>215</v>
      </c>
      <c r="AD122" s="3">
        <f>IF(ISERROR(VLOOKUP($A122,'SegEnds_NonXtal_BW#'!$A:$Z,21,FALSE)+VLOOKUP($A122,A:AL,31,FALSE)-50),"-",(VLOOKUP($A122,'SegEnds_NonXtal_BW#'!$A:$Z,21,FALSE)+VLOOKUP($A122,A:AL,31,FALSE)-50))</f>
        <v>261</v>
      </c>
      <c r="AE122" s="3">
        <v>287</v>
      </c>
      <c r="AF122" s="3">
        <f>IF(ISERROR((VLOOKUP($A122,'SegEnds_NonXtal_BW#'!$A:$Z,22,FALSE)+VLOOKUP($A122,A:AL,31,FALSE)-50)),"-",(VLOOKUP($A122,'SegEnds_NonXtal_BW#'!$A:$Z,22,FALSE)+VLOOKUP($A122,A:AL,31,FALSE)-50))</f>
        <v>298</v>
      </c>
      <c r="AG122" s="3">
        <f>IF(ISERROR(VLOOKUP($A122,'SegEnds_NonXtal_BW#'!$A:$Z,23,FALSE)+VLOOKUP($A122,A:AL,34,FALSE)-50),"-",(VLOOKUP($A122,'SegEnds_NonXtal_BW#'!$A:$Z,23,FALSE)+VLOOKUP($A122,A:AL,34,FALSE)-50))</f>
        <v>303</v>
      </c>
      <c r="AH122" s="3">
        <v>321</v>
      </c>
      <c r="AI122" s="3">
        <v>326</v>
      </c>
      <c r="AJ122" s="3">
        <f>IF(ISERROR(VLOOKUP($A122,'SegEnds_NonXtal_BW#'!$A:$Z,25,FALSE)+VLOOKUP($A122,A:AL,37,FALSE)-50),"-",(VLOOKUP($A122,'SegEnds_NonXtal_BW#'!$A:$Z,25,FALSE)+VLOOKUP($A122,A:AL,37,FALSE)-50))</f>
        <v>327</v>
      </c>
      <c r="AK122" s="3">
        <v>330</v>
      </c>
      <c r="AL122" s="3">
        <f>IF(ISERROR((VLOOKUP($A122,'SegEnds_NonXtal_BW#'!$A:$Z,26,FALSE)+VLOOKUP($A122,A:AL,37,FALSE)-50)),"-",(VLOOKUP($A122,'SegEnds_NonXtal_BW#'!$A:$Z,26,FALSE)+VLOOKUP($A122,A:AL,37,FALSE)-50))</f>
        <v>338</v>
      </c>
      <c r="AM122" s="28" t="str">
        <f>VLOOKUP(A122,Classification!A:B,2,FALSE)</f>
        <v>A</v>
      </c>
      <c r="AN122" s="28" t="b">
        <f t="shared" si="55"/>
        <v>1</v>
      </c>
      <c r="AO122" s="3" t="str">
        <f>IF(ISERROR(MATCH(A122,'SegEnds_Xtal_Prot#'!B:B, 0)), "NoXtal", "Xtal")</f>
        <v>NoXtal</v>
      </c>
      <c r="AP122" s="3">
        <f t="shared" si="39"/>
        <v>1</v>
      </c>
      <c r="AQ122" s="3">
        <f t="shared" si="40"/>
        <v>1</v>
      </c>
      <c r="AR122" s="3">
        <f t="shared" si="41"/>
        <v>6</v>
      </c>
      <c r="AS122" s="3">
        <f t="shared" si="42"/>
        <v>1</v>
      </c>
      <c r="AT122" s="3">
        <f t="shared" si="43"/>
        <v>1</v>
      </c>
      <c r="AU122" s="3">
        <f t="shared" si="44"/>
        <v>1</v>
      </c>
      <c r="AV122" s="3">
        <f t="shared" si="45"/>
        <v>12</v>
      </c>
      <c r="AW122" s="3">
        <f t="shared" si="46"/>
        <v>6</v>
      </c>
      <c r="AX122" s="3">
        <f t="shared" si="47"/>
        <v>46</v>
      </c>
      <c r="AY122" s="3">
        <f t="shared" si="48"/>
        <v>5</v>
      </c>
      <c r="AZ122" s="3">
        <f t="shared" si="49"/>
        <v>1</v>
      </c>
      <c r="BA122" s="3">
        <f>IF(ISERROR(LEN(VLOOKUP(A122,Seqs!A:E,2,FALSE))-AL122),"-",LEN(VLOOKUP(A122,Seqs!A:E,2,FALSE))-AL122)</f>
        <v>250</v>
      </c>
      <c r="BB122" s="16">
        <f t="shared" si="50"/>
        <v>27</v>
      </c>
      <c r="BC122" s="9">
        <f t="shared" si="51"/>
        <v>20</v>
      </c>
      <c r="BD122" s="3">
        <f t="shared" si="52"/>
        <v>27</v>
      </c>
      <c r="BE122" s="3">
        <f t="shared" si="53"/>
        <v>96</v>
      </c>
    </row>
    <row r="123" spans="1:60" s="9" customFormat="1" x14ac:dyDescent="0.2">
      <c r="A123" s="3" t="s">
        <v>229</v>
      </c>
      <c r="B123" s="3" t="str">
        <f>LOWER(VLOOKUP(A123,Xtal_Templ!A:B,2,FALSE))</f>
        <v>p2y12_human</v>
      </c>
      <c r="C123" s="3">
        <f>VLOOKUP($A123,'SegEnds_NonXtal_BW#'!$A:$Z,3,FALSE)+D123-50</f>
        <v>10</v>
      </c>
      <c r="D123" s="3">
        <v>32</v>
      </c>
      <c r="E123" s="3">
        <f>IF(ISERROR(VLOOKUP($A123,'SegEnds_NonXtal_BW#'!$A:$Z,4,FALSE)+VLOOKUP($A123,A:AL,4,FALSE)-50),"-",(VLOOKUP($A123,'SegEnds_NonXtal_BW#'!$A:$Z,4,FALSE)+VLOOKUP($A123,A:AL,4,FALSE)-50))</f>
        <v>42</v>
      </c>
      <c r="F123" s="3" t="str">
        <f>IF(ISERROR(VLOOKUP($A123,'SegEnds_NonXtal_BW#'!$A:$Z,5,FALSE)+VLOOKUP($A123,A:AL,7,FALSE)-50),"-",(VLOOKUP($A123,'SegEnds_NonXtal_BW#'!$A:$Z,5,FALSE)+VLOOKUP($A123,A:AL,7,FALSE)-50))</f>
        <v>-</v>
      </c>
      <c r="G123" s="3" t="s">
        <v>23</v>
      </c>
      <c r="H123" s="3" t="str">
        <f>IF(ISERROR(VLOOKUP($A123,'SegEnds_NonXtal_BW#'!$A:$Z,6,FALSE)+VLOOKUP($A123,A:AL,7,FALSE)-50),"-",(VLOOKUP($A123,'SegEnds_NonXtal_BW#'!$A:$Z,6,FALSE)+VLOOKUP($A123,A:AL,7,FALSE)-50))</f>
        <v>-</v>
      </c>
      <c r="I123" s="3">
        <f>VLOOKUP($A123,'SegEnds_NonXtal_BW#'!$A:$Z,7,FALSE)+J123-50</f>
        <v>47</v>
      </c>
      <c r="J123" s="3">
        <v>60</v>
      </c>
      <c r="K123" s="3">
        <f>VLOOKUP($A123,'SegEnds_NonXtal_BW#'!$A:$Z,8,FALSE)+VLOOKUP($A123,A:AL,10,FALSE)-50</f>
        <v>76</v>
      </c>
      <c r="L123" s="3" t="str">
        <f>IF(ISERROR(VLOOKUP($A123,'SegEnds_NonXtal_BW#'!$A:$Z,9,FALSE)+VLOOKUP($A123,A:AL,13,FALSE)-50),"-",(VLOOKUP($A123,'SegEnds_NonXtal_BW#'!$A:$Z,9,FALSE)+VLOOKUP($A123,A:AL,13,FALSE)-50))</f>
        <v>-</v>
      </c>
      <c r="M123" s="3" t="s">
        <v>23</v>
      </c>
      <c r="N123" s="3" t="str">
        <f>IF(ISERROR(VLOOKUP($A123,'SegEnds_NonXtal_BW#'!$A:$Z,10,FALSE)+VLOOKUP($A123,A:AL,13,FALSE)-50),"-",(VLOOKUP($A123,'SegEnds_NonXtal_BW#'!$A:$Z,10,FALSE)+VLOOKUP($A123,A:AL,13,FALSE)-50))</f>
        <v>-</v>
      </c>
      <c r="O123" s="3">
        <f>VLOOKUP($A123,'SegEnds_NonXtal_BW#'!$A:$Z,11,FALSE)+VLOOKUP($A123,A:AL,16,FALSE)-50</f>
        <v>80</v>
      </c>
      <c r="P123" s="3">
        <v>112</v>
      </c>
      <c r="Q123" s="3">
        <f>VLOOKUP($A123,'SegEnds_NonXtal_BW#'!$A:$Z,12,FALSE)+VLOOKUP($A123,A:AL,16,FALSE)-50</f>
        <v>118</v>
      </c>
      <c r="R123" s="3">
        <f>IF(ISERROR(VLOOKUP($A123,'SegEnds_NonXtal_BW#'!$A:$Z,13,FALSE)+VLOOKUP($A123,A:AL,19,FALSE)-50),"-",VLOOKUP($A123,'SegEnds_NonXtal_BW#'!$A:$Z,13,FALSE)+VLOOKUP($A123,A:AL,19,FALSE)-50)</f>
        <v>119</v>
      </c>
      <c r="S123" s="3">
        <v>119</v>
      </c>
      <c r="T123" s="100">
        <f>IF(ISERROR(VLOOKUP($A123,'SegEnds_NonXtal_BW#'!$A:$Z,14,FALSE)+VLOOKUP($A123,A:AL,19,FALSE)-50),"-",(VLOOKUP($A123,'SegEnds_NonXtal_BW#'!$A:$Z,14,FALSE)+VLOOKUP($A123,A:AL,19,FALSE)-50))</f>
        <v>126</v>
      </c>
      <c r="U123" s="9">
        <f>IF(ISERROR(VLOOKUP($A123,'SegEnds_NonXtal_BW#'!$A:$Z,15,FALSE)+VLOOKUP($A123,A:AL,22,FALSE)-50),"-",VLOOKUP($A123,'SegEnds_NonXtal_BW#'!$A:$Z,15,FALSE)+VLOOKUP($A123,A:AL,22,FALSE)-50)</f>
        <v>127</v>
      </c>
      <c r="V123" s="3">
        <v>139</v>
      </c>
      <c r="W123" s="3">
        <f>IF(ISERROR(VLOOKUP($A123,'SegEnds_NonXtal_BW#'!$A:$Z,16,FALSE)+VLOOKUP($A123,A:AL,22,FALSE)-50),"-",(VLOOKUP($A123,'SegEnds_NonXtal_BW#'!$A:$Z,16,FALSE)+VLOOKUP($A123,A:AL,22,FALSE)-50))</f>
        <v>153</v>
      </c>
      <c r="X123" s="3">
        <f>IF(ISERROR(VLOOKUP($A123,'SegEnds_NonXtal_BW#'!$A:$Z,17,FALSE)+VLOOKUP($A123,A:AL,25,FALSE)-50),"-",(VLOOKUP($A123,'SegEnds_NonXtal_BW#'!$A:$Z,17,FALSE)+VLOOKUP($A123,A:AL,25,FALSE)-50))</f>
        <v>165</v>
      </c>
      <c r="Y123" s="3">
        <v>165</v>
      </c>
      <c r="Z123" s="3">
        <f t="shared" si="75"/>
        <v>167</v>
      </c>
      <c r="AA123" s="3">
        <f>IF(ISERROR(VLOOKUP($A123,'SegEnds_NonXtal_BW#'!$A:$Z,19,FALSE)+VLOOKUP($A123,A:AL,28,FALSE)-50),"-",(VLOOKUP($A123,'SegEnds_NonXtal_BW#'!$A:$Z,19,FALSE)+VLOOKUP($A123,A:AL,28,FALSE)-50))</f>
        <v>171</v>
      </c>
      <c r="AB123" s="3">
        <v>191</v>
      </c>
      <c r="AC123" s="3">
        <f>IF(ISERROR((VLOOKUP($A123,'SegEnds_NonXtal_BW#'!$A:$Z,20,FALSE)+VLOOKUP($A123,A:AL,28,FALSE)-50)),"-",(VLOOKUP($A123,'SegEnds_NonXtal_BW#'!$A:$Z,20,FALSE)+VLOOKUP($A123,A:AL,28,FALSE)-50))</f>
        <v>208</v>
      </c>
      <c r="AD123" s="3">
        <f>IF(ISERROR(VLOOKUP($A123,'SegEnds_NonXtal_BW#'!$A:$Z,21,FALSE)+VLOOKUP($A123,A:AL,31,FALSE)-50),"-",(VLOOKUP($A123,'SegEnds_NonXtal_BW#'!$A:$Z,21,FALSE)+VLOOKUP($A123,A:AL,31,FALSE)-50))</f>
        <v>214</v>
      </c>
      <c r="AE123" s="3">
        <v>238</v>
      </c>
      <c r="AF123" s="3">
        <f>IF(ISERROR((VLOOKUP($A123,'SegEnds_NonXtal_BW#'!$A:$Z,22,FALSE)+VLOOKUP($A123,A:AL,31,FALSE)-50)),"-",(VLOOKUP($A123,'SegEnds_NonXtal_BW#'!$A:$Z,22,FALSE)+VLOOKUP($A123,A:AL,31,FALSE)-50))</f>
        <v>252</v>
      </c>
      <c r="AG123" s="3">
        <f>IF(ISERROR(VLOOKUP($A123,'SegEnds_NonXtal_BW#'!$A:$Z,23,FALSE)+VLOOKUP($A123,A:AL,34,FALSE)-50),"-",(VLOOKUP($A123,'SegEnds_NonXtal_BW#'!$A:$Z,23,FALSE)+VLOOKUP($A123,A:AL,34,FALSE)-50))</f>
        <v>256</v>
      </c>
      <c r="AH123" s="3">
        <v>282</v>
      </c>
      <c r="AI123" s="3">
        <f>IF(ISERROR((VLOOKUP($A123,'SegEnds_NonXtal_BW#'!$A:$Z,24,FALSE)+VLOOKUP($A123,A:AL,34,FALSE)-50)),"-",(VLOOKUP($A123,'SegEnds_NonXtal_BW#'!$A:$Z,24,FALSE)+VLOOKUP($A123,A:AL,34,FALSE)-50))</f>
        <v>288</v>
      </c>
      <c r="AJ123" s="3">
        <f>IF(ISERROR(VLOOKUP($A123,'SegEnds_NonXtal_BW#'!$A:$Z,25,FALSE)+VLOOKUP($A123,A:AL,37,FALSE)-50),"-",(VLOOKUP($A123,'SegEnds_NonXtal_BW#'!$A:$Z,25,FALSE)+VLOOKUP($A123,A:AL,37,FALSE)-50))</f>
        <v>289</v>
      </c>
      <c r="AK123" s="3">
        <v>292</v>
      </c>
      <c r="AL123" s="3">
        <f>IF(ISERROR((VLOOKUP($A123,'SegEnds_NonXtal_BW#'!$A:$Z,26,FALSE)+VLOOKUP($A123,A:AL,37,FALSE)-50)),"-",(VLOOKUP($A123,'SegEnds_NonXtal_BW#'!$A:$Z,26,FALSE)+VLOOKUP($A123,A:AL,37,FALSE)-50))</f>
        <v>299</v>
      </c>
      <c r="AM123" s="28" t="str">
        <f>VLOOKUP(A123,Classification!A:B,2,FALSE)</f>
        <v>A</v>
      </c>
      <c r="AN123" s="28" t="b">
        <f t="shared" si="55"/>
        <v>1</v>
      </c>
      <c r="AO123" s="3" t="str">
        <f>IF(ISERROR(MATCH(A123,'SegEnds_Xtal_Prot#'!B:B, 0)), "NoXtal", "Xtal")</f>
        <v>NoXtal</v>
      </c>
      <c r="AP123" s="3" t="str">
        <f t="shared" si="39"/>
        <v>-</v>
      </c>
      <c r="AQ123" s="3" t="str">
        <f t="shared" si="40"/>
        <v>-</v>
      </c>
      <c r="AR123" s="3" t="str">
        <f t="shared" si="41"/>
        <v>-</v>
      </c>
      <c r="AS123" s="3" t="str">
        <f t="shared" si="42"/>
        <v>-</v>
      </c>
      <c r="AT123" s="3">
        <f t="shared" si="43"/>
        <v>1</v>
      </c>
      <c r="AU123" s="3">
        <f t="shared" si="44"/>
        <v>1</v>
      </c>
      <c r="AV123" s="3">
        <f t="shared" si="45"/>
        <v>12</v>
      </c>
      <c r="AW123" s="3">
        <f t="shared" si="46"/>
        <v>4</v>
      </c>
      <c r="AX123" s="3">
        <f t="shared" si="47"/>
        <v>6</v>
      </c>
      <c r="AY123" s="3">
        <f t="shared" si="48"/>
        <v>4</v>
      </c>
      <c r="AZ123" s="3">
        <f t="shared" si="49"/>
        <v>1</v>
      </c>
      <c r="BA123" s="3">
        <f>IF(ISERROR(LEN(VLOOKUP(A123,Seqs!A:E,2,FALSE))-AL123),"-",LEN(VLOOKUP(A123,Seqs!A:E,2,FALSE))-AL123)</f>
        <v>20</v>
      </c>
      <c r="BB123" s="16">
        <f t="shared" si="50"/>
        <v>28</v>
      </c>
      <c r="BC123" s="9">
        <f t="shared" si="51"/>
        <v>20</v>
      </c>
      <c r="BD123" s="3">
        <f t="shared" si="52"/>
        <v>28</v>
      </c>
      <c r="BE123" s="3">
        <f t="shared" si="53"/>
        <v>47</v>
      </c>
      <c r="BF123" s="3">
        <f>AH123-AE123</f>
        <v>44</v>
      </c>
      <c r="BG123" s="3"/>
      <c r="BH123" s="3"/>
    </row>
    <row r="124" spans="1:60" s="3" customFormat="1" x14ac:dyDescent="0.2">
      <c r="A124" s="3" t="s">
        <v>230</v>
      </c>
      <c r="B124" s="3" t="str">
        <f>LOWER(VLOOKUP(A124,Xtal_Templ!A:B,2,FALSE))</f>
        <v>ox1r_human</v>
      </c>
      <c r="C124" s="3">
        <f>VLOOKUP($A124,'SegEnds_NonXtal_BW#'!$A:$Z,3,FALSE)+D124-50</f>
        <v>22</v>
      </c>
      <c r="D124" s="3">
        <v>40</v>
      </c>
      <c r="E124" s="3">
        <f>IF(ISERROR(VLOOKUP($A124,'SegEnds_NonXtal_BW#'!$A:$Z,4,FALSE)+VLOOKUP($A124,A:AL,4,FALSE)-50),"-",(VLOOKUP($A124,'SegEnds_NonXtal_BW#'!$A:$Z,4,FALSE)+VLOOKUP($A124,A:AL,4,FALSE)-50))</f>
        <v>50</v>
      </c>
      <c r="F124" s="3">
        <f>G124-2</f>
        <v>51</v>
      </c>
      <c r="G124" s="3">
        <v>53</v>
      </c>
      <c r="H124" s="3">
        <f t="shared" ref="H124:I127" si="77">G124+1</f>
        <v>54</v>
      </c>
      <c r="I124" s="3">
        <f t="shared" si="77"/>
        <v>55</v>
      </c>
      <c r="J124" s="3">
        <v>68</v>
      </c>
      <c r="K124" s="3">
        <f>VLOOKUP($A124,'SegEnds_NonXtal_BW#'!$A:$Z,8,FALSE)+VLOOKUP($A124,A:AL,10,FALSE)-50</f>
        <v>85</v>
      </c>
      <c r="L124" s="3">
        <f t="shared" ref="L124:L132" si="78">M124-1</f>
        <v>88</v>
      </c>
      <c r="M124" s="3">
        <v>89</v>
      </c>
      <c r="N124" s="3">
        <f t="shared" ref="N124:N132" si="79">M124+2</f>
        <v>91</v>
      </c>
      <c r="O124" s="3">
        <f t="shared" ref="O124:O132" si="80">N124+1</f>
        <v>92</v>
      </c>
      <c r="P124" s="3">
        <v>121</v>
      </c>
      <c r="Q124" s="3">
        <f>VLOOKUP($A124,'SegEnds_NonXtal_BW#'!$A:$Z,12,FALSE)+VLOOKUP($A124,A:AL,16,FALSE)-50</f>
        <v>127</v>
      </c>
      <c r="R124" s="3">
        <f>IF(ISERROR(VLOOKUP($A124,'SegEnds_NonXtal_BW#'!$A:$Z,13,FALSE)+VLOOKUP($A124,A:AL,19,FALSE)-50),"-",VLOOKUP($A124,'SegEnds_NonXtal_BW#'!$A:$Z,13,FALSE)+VLOOKUP($A124,A:AL,19,FALSE)-50)</f>
        <v>128</v>
      </c>
      <c r="S124" s="3">
        <v>128</v>
      </c>
      <c r="T124" s="100">
        <f>IF(ISERROR(VLOOKUP($A124,'SegEnds_NonXtal_BW#'!$A:$Z,14,FALSE)+VLOOKUP($A124,A:AL,19,FALSE)-50),"-",(VLOOKUP($A124,'SegEnds_NonXtal_BW#'!$A:$Z,14,FALSE)+VLOOKUP($A124,A:AL,19,FALSE)-50))</f>
        <v>135</v>
      </c>
      <c r="U124" s="9">
        <f>IF(ISERROR(VLOOKUP($A124,'SegEnds_NonXtal_BW#'!$A:$Z,15,FALSE)+VLOOKUP($A124,A:AL,22,FALSE)-50),"-",VLOOKUP($A124,'SegEnds_NonXtal_BW#'!$A:$Z,15,FALSE)+VLOOKUP($A124,A:AL,22,FALSE)-50)</f>
        <v>136</v>
      </c>
      <c r="V124" s="3">
        <v>148</v>
      </c>
      <c r="W124" s="3">
        <f>IF(ISERROR(VLOOKUP($A124,'SegEnds_NonXtal_BW#'!$A:$Z,16,FALSE)+VLOOKUP($A124,A:AL,22,FALSE)-50),"-",(VLOOKUP($A124,'SegEnds_NonXtal_BW#'!$A:$Z,16,FALSE)+VLOOKUP($A124,A:AL,22,FALSE)-50))</f>
        <v>162</v>
      </c>
      <c r="X124" s="3">
        <f>IF(ISERROR(VLOOKUP($A124,'SegEnds_NonXtal_BW#'!$A:$Z,17,FALSE)+VLOOKUP($A124,A:AL,25,FALSE)-50),"-",(VLOOKUP($A124,'SegEnds_NonXtal_BW#'!$A:$Z,17,FALSE)+VLOOKUP($A124,A:AL,25,FALSE)-50))</f>
        <v>174</v>
      </c>
      <c r="Y124" s="3">
        <v>174</v>
      </c>
      <c r="Z124" s="3">
        <f t="shared" si="75"/>
        <v>176</v>
      </c>
      <c r="AA124" s="3">
        <f>IF(ISERROR(VLOOKUP($A124,'SegEnds_NonXtal_BW#'!$A:$Z,19,FALSE)+VLOOKUP($A124,A:AL,28,FALSE)-50),"-",(VLOOKUP($A124,'SegEnds_NonXtal_BW#'!$A:$Z,19,FALSE)+VLOOKUP($A124,A:AL,28,FALSE)-50))</f>
        <v>220</v>
      </c>
      <c r="AB124" s="3">
        <v>235</v>
      </c>
      <c r="AC124" s="3">
        <f>IF(ISERROR((VLOOKUP($A124,'SegEnds_NonXtal_BW#'!$A:$Z,20,FALSE)+VLOOKUP($A124,A:AL,28,FALSE)-50)),"-",(VLOOKUP($A124,'SegEnds_NonXtal_BW#'!$A:$Z,20,FALSE)+VLOOKUP($A124,A:AL,28,FALSE)-50))</f>
        <v>259</v>
      </c>
      <c r="AD124" s="3">
        <f>IF(ISERROR(VLOOKUP($A124,'SegEnds_NonXtal_BW#'!$A:$Z,21,FALSE)+VLOOKUP($A124,A:AL,31,FALSE)-50),"-",(VLOOKUP($A124,'SegEnds_NonXtal_BW#'!$A:$Z,21,FALSE)+VLOOKUP($A124,A:AL,31,FALSE)-50))</f>
        <v>272</v>
      </c>
      <c r="AE124" s="3">
        <v>301</v>
      </c>
      <c r="AF124" s="3">
        <f>IF(ISERROR((VLOOKUP($A124,'SegEnds_NonXtal_BW#'!$A:$Z,22,FALSE)+VLOOKUP($A124,A:AL,31,FALSE)-50)),"-",(VLOOKUP($A124,'SegEnds_NonXtal_BW#'!$A:$Z,22,FALSE)+VLOOKUP($A124,A:AL,31,FALSE)-50))</f>
        <v>312</v>
      </c>
      <c r="AG124" s="3">
        <f>IF(ISERROR(VLOOKUP($A124,'SegEnds_NonXtal_BW#'!$A:$Z,23,FALSE)+VLOOKUP($A124,A:AL,34,FALSE)-50),"-",(VLOOKUP($A124,'SegEnds_NonXtal_BW#'!$A:$Z,23,FALSE)+VLOOKUP($A124,A:AL,34,FALSE)-50))</f>
        <v>318</v>
      </c>
      <c r="AH124" s="3">
        <v>337</v>
      </c>
      <c r="AI124" s="3">
        <f>IF(ISERROR((VLOOKUP($A124,'SegEnds_NonXtal_BW#'!$A:$Z,24,FALSE)+VLOOKUP($A124,A:AL,34,FALSE)-50)),"-",(VLOOKUP($A124,'SegEnds_NonXtal_BW#'!$A:$Z,24,FALSE)+VLOOKUP($A124,A:AL,34,FALSE)-50))</f>
        <v>343</v>
      </c>
      <c r="AJ124" s="3">
        <f>IF(ISERROR(VLOOKUP($A124,'SegEnds_NonXtal_BW#'!$A:$Z,25,FALSE)+VLOOKUP($A124,A:AL,37,FALSE)-50),"-",(VLOOKUP($A124,'SegEnds_NonXtal_BW#'!$A:$Z,25,FALSE)+VLOOKUP($A124,A:AL,37,FALSE)-50))</f>
        <v>344</v>
      </c>
      <c r="AK124" s="3">
        <v>347</v>
      </c>
      <c r="AL124" s="3">
        <f>IF(ISERROR((VLOOKUP($A124,'SegEnds_NonXtal_BW#'!$A:$Z,26,FALSE)+VLOOKUP($A124,A:AL,37,FALSE)-50)),"-",(VLOOKUP($A124,'SegEnds_NonXtal_BW#'!$A:$Z,26,FALSE)+VLOOKUP($A124,A:AL,37,FALSE)-50))</f>
        <v>355</v>
      </c>
      <c r="AM124" s="28" t="str">
        <f>VLOOKUP(A124,Classification!A:B,2,FALSE)</f>
        <v>A</v>
      </c>
      <c r="AN124" s="28" t="b">
        <f t="shared" si="55"/>
        <v>1</v>
      </c>
      <c r="AO124" s="3" t="str">
        <f>IF(ISERROR(MATCH(A124,'SegEnds_Xtal_Prot#'!B:B, 0)), "NoXtal", "Xtal")</f>
        <v>NoXtal</v>
      </c>
      <c r="AP124" s="3">
        <f t="shared" si="39"/>
        <v>1</v>
      </c>
      <c r="AQ124" s="3">
        <f t="shared" si="40"/>
        <v>1</v>
      </c>
      <c r="AR124" s="3">
        <f t="shared" si="41"/>
        <v>3</v>
      </c>
      <c r="AS124" s="3">
        <f t="shared" si="42"/>
        <v>1</v>
      </c>
      <c r="AT124" s="3">
        <f t="shared" si="43"/>
        <v>1</v>
      </c>
      <c r="AU124" s="3">
        <f t="shared" si="44"/>
        <v>1</v>
      </c>
      <c r="AV124" s="3">
        <f t="shared" si="45"/>
        <v>12</v>
      </c>
      <c r="AW124" s="3">
        <f t="shared" si="46"/>
        <v>44</v>
      </c>
      <c r="AX124" s="3">
        <f t="shared" si="47"/>
        <v>13</v>
      </c>
      <c r="AY124" s="3">
        <f t="shared" si="48"/>
        <v>6</v>
      </c>
      <c r="AZ124" s="3">
        <f t="shared" si="49"/>
        <v>1</v>
      </c>
      <c r="BA124" s="3">
        <f>IF(ISERROR(LEN(VLOOKUP(A124,Seqs!A:E,2,FALSE))-AL124),"-",LEN(VLOOKUP(A124,Seqs!A:E,2,FALSE))-AL124)</f>
        <v>18</v>
      </c>
      <c r="BB124" s="16">
        <f t="shared" si="50"/>
        <v>28</v>
      </c>
      <c r="BC124" s="9">
        <f t="shared" si="51"/>
        <v>20</v>
      </c>
      <c r="BD124" s="3">
        <f t="shared" si="52"/>
        <v>28</v>
      </c>
      <c r="BE124" s="3">
        <f t="shared" si="53"/>
        <v>66</v>
      </c>
      <c r="BF124" s="3">
        <f>AH124-AE124</f>
        <v>36</v>
      </c>
    </row>
    <row r="125" spans="1:60" s="3" customFormat="1" x14ac:dyDescent="0.2">
      <c r="A125" s="3" t="s">
        <v>233</v>
      </c>
      <c r="B125" s="3" t="str">
        <f>LOWER(VLOOKUP(A125,Xtal_Templ!A:B,2,FALSE))</f>
        <v>apj_human</v>
      </c>
      <c r="C125" s="3">
        <f>VLOOKUP($A125,'SegEnds_NonXtal_BW#'!$A:$Z,3,FALSE)+D125-50</f>
        <v>54</v>
      </c>
      <c r="D125" s="3">
        <v>71</v>
      </c>
      <c r="E125" s="3">
        <f>IF(ISERROR(VLOOKUP($A125,'SegEnds_NonXtal_BW#'!$A:$Z,4,FALSE)+VLOOKUP($A125,A:AL,4,FALSE)-50),"-",(VLOOKUP($A125,'SegEnds_NonXtal_BW#'!$A:$Z,4,FALSE)+VLOOKUP($A125,A:AL,4,FALSE)-50))</f>
        <v>81</v>
      </c>
      <c r="F125" s="3">
        <f>G125-2</f>
        <v>82</v>
      </c>
      <c r="G125" s="3">
        <v>84</v>
      </c>
      <c r="H125" s="3">
        <f t="shared" si="77"/>
        <v>85</v>
      </c>
      <c r="I125" s="3">
        <f t="shared" si="77"/>
        <v>86</v>
      </c>
      <c r="J125" s="3">
        <v>99</v>
      </c>
      <c r="K125" s="3">
        <f>VLOOKUP($A125,'SegEnds_NonXtal_BW#'!$A:$Z,8,FALSE)+VLOOKUP($A125,A:AL,10,FALSE)-50</f>
        <v>116</v>
      </c>
      <c r="L125" s="3">
        <f t="shared" si="78"/>
        <v>118</v>
      </c>
      <c r="M125" s="3">
        <v>119</v>
      </c>
      <c r="N125" s="3">
        <f t="shared" si="79"/>
        <v>121</v>
      </c>
      <c r="O125" s="3">
        <f t="shared" si="80"/>
        <v>122</v>
      </c>
      <c r="P125" s="3">
        <v>151</v>
      </c>
      <c r="Q125" s="3">
        <f>VLOOKUP($A125,'SegEnds_NonXtal_BW#'!$A:$Z,12,FALSE)+VLOOKUP($A125,A:AL,16,FALSE)-50</f>
        <v>157</v>
      </c>
      <c r="R125" s="3">
        <f>IF(ISERROR(VLOOKUP($A125,'SegEnds_NonXtal_BW#'!$A:$Z,13,FALSE)+VLOOKUP($A125,A:AL,19,FALSE)-50),"-",VLOOKUP($A125,'SegEnds_NonXtal_BW#'!$A:$Z,13,FALSE)+VLOOKUP($A125,A:AL,19,FALSE)-50)</f>
        <v>158</v>
      </c>
      <c r="S125" s="3">
        <v>158</v>
      </c>
      <c r="T125" s="100">
        <f>IF(ISERROR(VLOOKUP($A125,'SegEnds_NonXtal_BW#'!$A:$Z,14,FALSE)+VLOOKUP($A125,A:AL,19,FALSE)-50),"-",(VLOOKUP($A125,'SegEnds_NonXtal_BW#'!$A:$Z,14,FALSE)+VLOOKUP($A125,A:AL,19,FALSE)-50))</f>
        <v>165</v>
      </c>
      <c r="U125" s="9">
        <f>IF(ISERROR(VLOOKUP($A125,'SegEnds_NonXtal_BW#'!$A:$Z,15,FALSE)+VLOOKUP($A125,A:AL,22,FALSE)-50),"-",VLOOKUP($A125,'SegEnds_NonXtal_BW#'!$A:$Z,15,FALSE)+VLOOKUP($A125,A:AL,22,FALSE)-50)</f>
        <v>166</v>
      </c>
      <c r="V125" s="3">
        <v>178</v>
      </c>
      <c r="W125" s="3">
        <f>IF(ISERROR(VLOOKUP($A125,'SegEnds_NonXtal_BW#'!$A:$Z,16,FALSE)+VLOOKUP($A125,A:AL,22,FALSE)-50),"-",(VLOOKUP($A125,'SegEnds_NonXtal_BW#'!$A:$Z,16,FALSE)+VLOOKUP($A125,A:AL,22,FALSE)-50))</f>
        <v>192</v>
      </c>
      <c r="X125" s="3">
        <f>IF(ISERROR(VLOOKUP($A125,'SegEnds_NonXtal_BW#'!$A:$Z,17,FALSE)+VLOOKUP($A125,A:AL,25,FALSE)-50),"-",(VLOOKUP($A125,'SegEnds_NonXtal_BW#'!$A:$Z,17,FALSE)+VLOOKUP($A125,A:AL,25,FALSE)-50))</f>
        <v>202</v>
      </c>
      <c r="Y125" s="3">
        <v>202</v>
      </c>
      <c r="Z125" s="3">
        <f t="shared" si="75"/>
        <v>204</v>
      </c>
      <c r="AA125" s="3">
        <f>IF(ISERROR(VLOOKUP($A125,'SegEnds_NonXtal_BW#'!$A:$Z,19,FALSE)+VLOOKUP($A125,A:AL,28,FALSE)-50),"-",(VLOOKUP($A125,'SegEnds_NonXtal_BW#'!$A:$Z,19,FALSE)+VLOOKUP($A125,A:AL,28,FALSE)-50))</f>
        <v>210</v>
      </c>
      <c r="AB125" s="3">
        <v>230</v>
      </c>
      <c r="AC125" s="3">
        <f>IF(ISERROR((VLOOKUP($A125,'SegEnds_NonXtal_BW#'!$A:$Z,20,FALSE)+VLOOKUP($A125,A:AL,28,FALSE)-50)),"-",(VLOOKUP($A125,'SegEnds_NonXtal_BW#'!$A:$Z,20,FALSE)+VLOOKUP($A125,A:AL,28,FALSE)-50))</f>
        <v>248</v>
      </c>
      <c r="AD125" s="3">
        <f>IF(ISERROR(VLOOKUP($A125,'SegEnds_NonXtal_BW#'!$A:$Z,21,FALSE)+VLOOKUP($A125,A:AL,31,FALSE)-50),"-",(VLOOKUP($A125,'SegEnds_NonXtal_BW#'!$A:$Z,21,FALSE)+VLOOKUP($A125,A:AL,31,FALSE)-50))</f>
        <v>253</v>
      </c>
      <c r="AE125" s="3">
        <v>273</v>
      </c>
      <c r="AF125" s="3">
        <f>IF(ISERROR((VLOOKUP($A125,'SegEnds_NonXtal_BW#'!$A:$Z,22,FALSE)+VLOOKUP($A125,A:AL,31,FALSE)-50)),"-",(VLOOKUP($A125,'SegEnds_NonXtal_BW#'!$A:$Z,22,FALSE)+VLOOKUP($A125,A:AL,31,FALSE)-50))</f>
        <v>287</v>
      </c>
      <c r="AG125" s="3">
        <f>IF(ISERROR(VLOOKUP($A125,'SegEnds_NonXtal_BW#'!$A:$Z,23,FALSE)+VLOOKUP($A125,A:AL,34,FALSE)-50),"-",(VLOOKUP($A125,'SegEnds_NonXtal_BW#'!$A:$Z,23,FALSE)+VLOOKUP($A125,A:AL,34,FALSE)-50))</f>
        <v>291</v>
      </c>
      <c r="AH125" s="3">
        <v>317</v>
      </c>
      <c r="AI125" s="3">
        <f>IF(ISERROR((VLOOKUP($A125,'SegEnds_NonXtal_BW#'!$A:$Z,24,FALSE)+VLOOKUP($A125,A:AL,34,FALSE)-50)),"-",(VLOOKUP($A125,'SegEnds_NonXtal_BW#'!$A:$Z,24,FALSE)+VLOOKUP($A125,A:AL,34,FALSE)-50))</f>
        <v>323</v>
      </c>
      <c r="AJ125" s="3">
        <f>IF(ISERROR(VLOOKUP($A125,'SegEnds_NonXtal_BW#'!$A:$Z,25,FALSE)+VLOOKUP($A125,A:AL,37,FALSE)-50),"-",(VLOOKUP($A125,'SegEnds_NonXtal_BW#'!$A:$Z,25,FALSE)+VLOOKUP($A125,A:AL,37,FALSE)-50))</f>
        <v>324</v>
      </c>
      <c r="AK125" s="3">
        <v>327</v>
      </c>
      <c r="AL125" s="3">
        <f>IF(ISERROR((VLOOKUP($A125,'SegEnds_NonXtal_BW#'!$A:$Z,26,FALSE)+VLOOKUP($A125,A:AL,37,FALSE)-50)),"-",(VLOOKUP($A125,'SegEnds_NonXtal_BW#'!$A:$Z,26,FALSE)+VLOOKUP($A125,A:AL,37,FALSE)-50))</f>
        <v>338</v>
      </c>
      <c r="AM125" s="28" t="str">
        <f>VLOOKUP(A125,Classification!A:B,2,FALSE)</f>
        <v>A</v>
      </c>
      <c r="AN125" s="28" t="b">
        <f t="shared" si="55"/>
        <v>1</v>
      </c>
      <c r="AO125" s="3" t="str">
        <f>IF(ISERROR(MATCH(A125,'SegEnds_Xtal_Prot#'!B:B, 0)), "NoXtal", "Xtal")</f>
        <v>NoXtal</v>
      </c>
      <c r="AP125" s="3">
        <f t="shared" si="39"/>
        <v>1</v>
      </c>
      <c r="AQ125" s="3">
        <f t="shared" si="40"/>
        <v>1</v>
      </c>
      <c r="AR125" s="3">
        <f t="shared" si="41"/>
        <v>2</v>
      </c>
      <c r="AS125" s="3">
        <f t="shared" si="42"/>
        <v>1</v>
      </c>
      <c r="AT125" s="3">
        <f t="shared" si="43"/>
        <v>1</v>
      </c>
      <c r="AU125" s="3">
        <f t="shared" si="44"/>
        <v>1</v>
      </c>
      <c r="AV125" s="3">
        <f t="shared" si="45"/>
        <v>10</v>
      </c>
      <c r="AW125" s="3">
        <f t="shared" si="46"/>
        <v>6</v>
      </c>
      <c r="AX125" s="3">
        <f t="shared" si="47"/>
        <v>5</v>
      </c>
      <c r="AY125" s="3">
        <f t="shared" si="48"/>
        <v>4</v>
      </c>
      <c r="AZ125" s="3">
        <f t="shared" si="49"/>
        <v>1</v>
      </c>
      <c r="BA125" s="3">
        <f>IF(ISERROR(LEN(VLOOKUP(A125,Seqs!A:E,2,FALSE))-AL125),"-",LEN(VLOOKUP(A125,Seqs!A:E,2,FALSE))-AL125)</f>
        <v>66</v>
      </c>
      <c r="BB125" s="16">
        <f t="shared" si="50"/>
        <v>28</v>
      </c>
      <c r="BC125" s="9">
        <f t="shared" si="51"/>
        <v>20</v>
      </c>
      <c r="BD125" s="3">
        <f t="shared" si="52"/>
        <v>28</v>
      </c>
      <c r="BE125" s="3">
        <f t="shared" si="53"/>
        <v>43</v>
      </c>
    </row>
    <row r="126" spans="1:60" s="3" customFormat="1" x14ac:dyDescent="0.2">
      <c r="A126" s="3" t="s">
        <v>234</v>
      </c>
      <c r="B126" s="3" t="str">
        <f>LOWER(VLOOKUP(A126,Xtal_Templ!A:B,2,FALSE))</f>
        <v>ccr5_human</v>
      </c>
      <c r="C126" s="3">
        <f>VLOOKUP($A126,'SegEnds_NonXtal_BW#'!$A:$Z,3,FALSE)+D126-50</f>
        <v>23</v>
      </c>
      <c r="D126" s="3">
        <v>49</v>
      </c>
      <c r="E126" s="3">
        <f>IF(ISERROR(VLOOKUP($A126,'SegEnds_NonXtal_BW#'!$A:$Z,4,FALSE)+VLOOKUP($A126,A:AL,4,FALSE)-50),"-",(VLOOKUP($A126,'SegEnds_NonXtal_BW#'!$A:$Z,4,FALSE)+VLOOKUP($A126,A:AL,4,FALSE)-50))</f>
        <v>59</v>
      </c>
      <c r="F126" s="3">
        <f>G126-2</f>
        <v>60</v>
      </c>
      <c r="G126" s="3">
        <v>62</v>
      </c>
      <c r="H126" s="3">
        <f t="shared" si="77"/>
        <v>63</v>
      </c>
      <c r="I126" s="3">
        <f t="shared" si="77"/>
        <v>64</v>
      </c>
      <c r="J126" s="3">
        <v>77</v>
      </c>
      <c r="K126" s="3">
        <f>VLOOKUP($A126,'SegEnds_NonXtal_BW#'!$A:$Z,8,FALSE)+VLOOKUP($A126,A:AL,10,FALSE)-50</f>
        <v>93</v>
      </c>
      <c r="L126" s="3">
        <f t="shared" si="78"/>
        <v>96</v>
      </c>
      <c r="M126" s="3">
        <v>97</v>
      </c>
      <c r="N126" s="3">
        <f t="shared" si="79"/>
        <v>99</v>
      </c>
      <c r="O126" s="3">
        <f t="shared" si="80"/>
        <v>100</v>
      </c>
      <c r="P126" s="3">
        <v>129</v>
      </c>
      <c r="Q126" s="3">
        <f>VLOOKUP($A126,'SegEnds_NonXtal_BW#'!$A:$Z,12,FALSE)+VLOOKUP($A126,A:AL,16,FALSE)-50</f>
        <v>135</v>
      </c>
      <c r="R126" s="3">
        <f>IF(ISERROR(VLOOKUP($A126,'SegEnds_NonXtal_BW#'!$A:$Z,13,FALSE)+VLOOKUP($A126,A:AL,19,FALSE)-50),"-",VLOOKUP($A126,'SegEnds_NonXtal_BW#'!$A:$Z,13,FALSE)+VLOOKUP($A126,A:AL,19,FALSE)-50)</f>
        <v>136</v>
      </c>
      <c r="S126" s="3">
        <v>136</v>
      </c>
      <c r="T126" s="100">
        <f>IF(ISERROR(VLOOKUP($A126,'SegEnds_NonXtal_BW#'!$A:$Z,14,FALSE)+VLOOKUP($A126,A:AL,19,FALSE)-50),"-",(VLOOKUP($A126,'SegEnds_NonXtal_BW#'!$A:$Z,14,FALSE)+VLOOKUP($A126,A:AL,19,FALSE)-50))</f>
        <v>143</v>
      </c>
      <c r="U126" s="9">
        <f>IF(ISERROR(VLOOKUP($A126,'SegEnds_NonXtal_BW#'!$A:$Z,15,FALSE)+VLOOKUP($A126,A:AL,22,FALSE)-50),"-",VLOOKUP($A126,'SegEnds_NonXtal_BW#'!$A:$Z,15,FALSE)+VLOOKUP($A126,A:AL,22,FALSE)-50)</f>
        <v>144</v>
      </c>
      <c r="V126" s="3">
        <v>156</v>
      </c>
      <c r="W126" s="3">
        <f>IF(ISERROR(VLOOKUP($A126,'SegEnds_NonXtal_BW#'!$A:$Z,16,FALSE)+VLOOKUP($A126,A:AL,22,FALSE)-50),"-",(VLOOKUP($A126,'SegEnds_NonXtal_BW#'!$A:$Z,16,FALSE)+VLOOKUP($A126,A:AL,22,FALSE)-50))</f>
        <v>170</v>
      </c>
      <c r="X126" s="3">
        <f>IF(ISERROR(VLOOKUP($A126,'SegEnds_NonXtal_BW#'!$A:$Z,17,FALSE)+VLOOKUP($A126,A:AL,25,FALSE)-50),"-",(VLOOKUP($A126,'SegEnds_NonXtal_BW#'!$A:$Z,17,FALSE)+VLOOKUP($A126,A:AL,25,FALSE)-50))</f>
        <v>181</v>
      </c>
      <c r="Y126" s="3">
        <v>181</v>
      </c>
      <c r="Z126" s="3">
        <f t="shared" si="75"/>
        <v>183</v>
      </c>
      <c r="AA126" s="3">
        <f>IF(ISERROR(VLOOKUP($A126,'SegEnds_NonXtal_BW#'!$A:$Z,19,FALSE)+VLOOKUP($A126,A:AL,28,FALSE)-50),"-",(VLOOKUP($A126,'SegEnds_NonXtal_BW#'!$A:$Z,19,FALSE)+VLOOKUP($A126,A:AL,28,FALSE)-50))</f>
        <v>188</v>
      </c>
      <c r="AB126" s="3">
        <v>208</v>
      </c>
      <c r="AC126" s="3">
        <f>IF(ISERROR((VLOOKUP($A126,'SegEnds_NonXtal_BW#'!$A:$Z,20,FALSE)+VLOOKUP($A126,A:AL,28,FALSE)-50)),"-",(VLOOKUP($A126,'SegEnds_NonXtal_BW#'!$A:$Z,20,FALSE)+VLOOKUP($A126,A:AL,28,FALSE)-50))</f>
        <v>226</v>
      </c>
      <c r="AD126" s="3">
        <f>IF(ISERROR(VLOOKUP($A126,'SegEnds_NonXtal_BW#'!$A:$Z,21,FALSE)+VLOOKUP($A126,A:AL,31,FALSE)-50),"-",(VLOOKUP($A126,'SegEnds_NonXtal_BW#'!$A:$Z,21,FALSE)+VLOOKUP($A126,A:AL,31,FALSE)-50))</f>
        <v>232</v>
      </c>
      <c r="AE126" s="3">
        <v>259</v>
      </c>
      <c r="AF126" s="3">
        <f>IF(ISERROR((VLOOKUP($A126,'SegEnds_NonXtal_BW#'!$A:$Z,22,FALSE)+VLOOKUP($A126,A:AL,31,FALSE)-50)),"-",(VLOOKUP($A126,'SegEnds_NonXtal_BW#'!$A:$Z,22,FALSE)+VLOOKUP($A126,A:AL,31,FALSE)-50))</f>
        <v>273</v>
      </c>
      <c r="AG126" s="3">
        <f>IF(ISERROR(VLOOKUP($A126,'SegEnds_NonXtal_BW#'!$A:$Z,23,FALSE)+VLOOKUP($A126,A:AL,34,FALSE)-50),"-",(VLOOKUP($A126,'SegEnds_NonXtal_BW#'!$A:$Z,23,FALSE)+VLOOKUP($A126,A:AL,34,FALSE)-50))</f>
        <v>279</v>
      </c>
      <c r="AH126" s="3">
        <v>305</v>
      </c>
      <c r="AI126" s="3">
        <f>IF(ISERROR((VLOOKUP($A126,'SegEnds_NonXtal_BW#'!$A:$Z,24,FALSE)+VLOOKUP($A126,A:AL,34,FALSE)-50)),"-",(VLOOKUP($A126,'SegEnds_NonXtal_BW#'!$A:$Z,24,FALSE)+VLOOKUP($A126,A:AL,34,FALSE)-50))</f>
        <v>311</v>
      </c>
      <c r="AJ126" s="3">
        <f>IF(ISERROR(VLOOKUP($A126,'SegEnds_NonXtal_BW#'!$A:$Z,25,FALSE)+VLOOKUP($A126,A:AL,37,FALSE)-50),"-",(VLOOKUP($A126,'SegEnds_NonXtal_BW#'!$A:$Z,25,FALSE)+VLOOKUP($A126,A:AL,37,FALSE)-50))</f>
        <v>312</v>
      </c>
      <c r="AK126" s="3">
        <v>315</v>
      </c>
      <c r="AL126" s="3">
        <f>IF(ISERROR((VLOOKUP($A126,'SegEnds_NonXtal_BW#'!$A:$Z,26,FALSE)+VLOOKUP($A126,A:AL,37,FALSE)-50)),"-",(VLOOKUP($A126,'SegEnds_NonXtal_BW#'!$A:$Z,26,FALSE)+VLOOKUP($A126,A:AL,37,FALSE)-50))</f>
        <v>324</v>
      </c>
      <c r="AM126" s="28" t="str">
        <f>VLOOKUP(A126,Classification!A:B,2,FALSE)</f>
        <v>A</v>
      </c>
      <c r="AN126" s="28" t="b">
        <f t="shared" si="55"/>
        <v>1</v>
      </c>
      <c r="AO126" s="3" t="str">
        <f>IF(ISERROR(MATCH(A126,'SegEnds_Xtal_Prot#'!B:B, 0)), "NoXtal", "Xtal")</f>
        <v>NoXtal</v>
      </c>
      <c r="AP126" s="3">
        <f t="shared" si="39"/>
        <v>1</v>
      </c>
      <c r="AQ126" s="3">
        <f t="shared" si="40"/>
        <v>1</v>
      </c>
      <c r="AR126" s="3">
        <f t="shared" si="41"/>
        <v>3</v>
      </c>
      <c r="AS126" s="3">
        <f t="shared" si="42"/>
        <v>1</v>
      </c>
      <c r="AT126" s="3">
        <f t="shared" si="43"/>
        <v>1</v>
      </c>
      <c r="AU126" s="3">
        <f t="shared" si="44"/>
        <v>1</v>
      </c>
      <c r="AV126" s="3">
        <f t="shared" si="45"/>
        <v>11</v>
      </c>
      <c r="AW126" s="3">
        <f t="shared" si="46"/>
        <v>5</v>
      </c>
      <c r="AX126" s="3">
        <f t="shared" si="47"/>
        <v>6</v>
      </c>
      <c r="AY126" s="3">
        <f t="shared" si="48"/>
        <v>6</v>
      </c>
      <c r="AZ126" s="3">
        <f t="shared" si="49"/>
        <v>1</v>
      </c>
      <c r="BA126" s="3">
        <f>IF(ISERROR(LEN(VLOOKUP(A126,Seqs!A:E,2,FALSE))-AL126),"-",LEN(VLOOKUP(A126,Seqs!A:E,2,FALSE))-AL126)</f>
        <v>37</v>
      </c>
      <c r="BB126" s="16">
        <f t="shared" si="50"/>
        <v>28</v>
      </c>
      <c r="BC126" s="9">
        <f t="shared" si="51"/>
        <v>20</v>
      </c>
      <c r="BD126" s="3">
        <f t="shared" si="52"/>
        <v>28</v>
      </c>
      <c r="BE126" s="3">
        <f t="shared" si="53"/>
        <v>51</v>
      </c>
    </row>
    <row r="127" spans="1:60" s="3" customFormat="1" x14ac:dyDescent="0.2">
      <c r="A127" s="3" t="s">
        <v>236</v>
      </c>
      <c r="B127" s="3" t="str">
        <f>LOWER(VLOOKUP(A127,Xtal_Templ!A:B,2,FALSE))</f>
        <v>ccr5_human</v>
      </c>
      <c r="C127" s="3">
        <f>VLOOKUP($A127,'SegEnds_NonXtal_BW#'!$A:$Z,3,FALSE)+D127-50</f>
        <v>51</v>
      </c>
      <c r="D127" s="3">
        <v>77</v>
      </c>
      <c r="E127" s="3">
        <f>IF(ISERROR(VLOOKUP($A127,'SegEnds_NonXtal_BW#'!$A:$Z,4,FALSE)+VLOOKUP($A127,A:AL,4,FALSE)-50),"-",(VLOOKUP($A127,'SegEnds_NonXtal_BW#'!$A:$Z,4,FALSE)+VLOOKUP($A127,A:AL,4,FALSE)-50))</f>
        <v>87</v>
      </c>
      <c r="F127" s="3">
        <f>G127-2</f>
        <v>88</v>
      </c>
      <c r="G127" s="3">
        <v>90</v>
      </c>
      <c r="H127" s="3">
        <f t="shared" si="77"/>
        <v>91</v>
      </c>
      <c r="I127" s="3">
        <f t="shared" si="77"/>
        <v>92</v>
      </c>
      <c r="J127" s="3">
        <v>105</v>
      </c>
      <c r="K127" s="3">
        <f>VLOOKUP($A127,'SegEnds_NonXtal_BW#'!$A:$Z,8,FALSE)+VLOOKUP($A127,A:AL,10,FALSE)-50</f>
        <v>121</v>
      </c>
      <c r="L127" s="3">
        <f t="shared" si="78"/>
        <v>123</v>
      </c>
      <c r="M127" s="3">
        <v>124</v>
      </c>
      <c r="N127" s="3">
        <f t="shared" si="79"/>
        <v>126</v>
      </c>
      <c r="O127" s="3">
        <f t="shared" si="80"/>
        <v>127</v>
      </c>
      <c r="P127" s="3">
        <v>155</v>
      </c>
      <c r="Q127" s="3">
        <f>VLOOKUP($A127,'SegEnds_NonXtal_BW#'!$A:$Z,12,FALSE)+VLOOKUP($A127,A:AL,16,FALSE)-50</f>
        <v>161</v>
      </c>
      <c r="R127" s="3">
        <f>IF(ISERROR(VLOOKUP($A127,'SegEnds_NonXtal_BW#'!$A:$Z,13,FALSE)+VLOOKUP($A127,A:AL,19,FALSE)-50),"-",VLOOKUP($A127,'SegEnds_NonXtal_BW#'!$A:$Z,13,FALSE)+VLOOKUP($A127,A:AL,19,FALSE)-50)</f>
        <v>162</v>
      </c>
      <c r="S127" s="3">
        <v>162</v>
      </c>
      <c r="T127" s="100">
        <f>IF(ISERROR(VLOOKUP($A127,'SegEnds_NonXtal_BW#'!$A:$Z,14,FALSE)+VLOOKUP($A127,A:AL,19,FALSE)-50),"-",(VLOOKUP($A127,'SegEnds_NonXtal_BW#'!$A:$Z,14,FALSE)+VLOOKUP($A127,A:AL,19,FALSE)-50))</f>
        <v>169</v>
      </c>
      <c r="U127" s="9">
        <f>IF(ISERROR(VLOOKUP($A127,'SegEnds_NonXtal_BW#'!$A:$Z,15,FALSE)+VLOOKUP($A127,A:AL,22,FALSE)-50),"-",VLOOKUP($A127,'SegEnds_NonXtal_BW#'!$A:$Z,15,FALSE)+VLOOKUP($A127,A:AL,22,FALSE)-50)</f>
        <v>170</v>
      </c>
      <c r="V127" s="3">
        <v>182</v>
      </c>
      <c r="W127" s="3">
        <f>IF(ISERROR(VLOOKUP($A127,'SegEnds_NonXtal_BW#'!$A:$Z,16,FALSE)+VLOOKUP($A127,A:AL,22,FALSE)-50),"-",(VLOOKUP($A127,'SegEnds_NonXtal_BW#'!$A:$Z,16,FALSE)+VLOOKUP($A127,A:AL,22,FALSE)-50))</f>
        <v>196</v>
      </c>
      <c r="X127" s="3">
        <f>IF(ISERROR(VLOOKUP($A127,'SegEnds_NonXtal_BW#'!$A:$Z,17,FALSE)+VLOOKUP($A127,A:AL,25,FALSE)-50),"-",(VLOOKUP($A127,'SegEnds_NonXtal_BW#'!$A:$Z,17,FALSE)+VLOOKUP($A127,A:AL,25,FALSE)-50))</f>
        <v>205</v>
      </c>
      <c r="Y127" s="3">
        <v>205</v>
      </c>
      <c r="Z127" s="3">
        <f t="shared" si="75"/>
        <v>207</v>
      </c>
      <c r="AA127" s="3">
        <f>IF(ISERROR(VLOOKUP($A127,'SegEnds_NonXtal_BW#'!$A:$Z,19,FALSE)+VLOOKUP($A127,A:AL,28,FALSE)-50),"-",(VLOOKUP($A127,'SegEnds_NonXtal_BW#'!$A:$Z,19,FALSE)+VLOOKUP($A127,A:AL,28,FALSE)-50))</f>
        <v>210</v>
      </c>
      <c r="AB127" s="3">
        <v>226</v>
      </c>
      <c r="AC127" s="3">
        <f>IF(ISERROR((VLOOKUP($A127,'SegEnds_NonXtal_BW#'!$A:$Z,20,FALSE)+VLOOKUP($A127,A:AL,28,FALSE)-50)),"-",(VLOOKUP($A127,'SegEnds_NonXtal_BW#'!$A:$Z,20,FALSE)+VLOOKUP($A127,A:AL,28,FALSE)-50))</f>
        <v>244</v>
      </c>
      <c r="AD127" s="3">
        <f>IF(ISERROR(VLOOKUP($A127,'SegEnds_NonXtal_BW#'!$A:$Z,21,FALSE)+VLOOKUP($A127,A:AL,31,FALSE)-50),"-",(VLOOKUP($A127,'SegEnds_NonXtal_BW#'!$A:$Z,21,FALSE)+VLOOKUP($A127,A:AL,31,FALSE)-50))</f>
        <v>248</v>
      </c>
      <c r="AE127" s="3">
        <v>274</v>
      </c>
      <c r="AF127" s="3">
        <f>IF(ISERROR((VLOOKUP($A127,'SegEnds_NonXtal_BW#'!$A:$Z,22,FALSE)+VLOOKUP($A127,A:AL,31,FALSE)-50)),"-",(VLOOKUP($A127,'SegEnds_NonXtal_BW#'!$A:$Z,22,FALSE)+VLOOKUP($A127,A:AL,31,FALSE)-50))</f>
        <v>288</v>
      </c>
      <c r="AG127" s="3">
        <f>IF(ISERROR(VLOOKUP($A127,'SegEnds_NonXtal_BW#'!$A:$Z,23,FALSE)+VLOOKUP($A127,A:AL,34,FALSE)-50),"-",(VLOOKUP($A127,'SegEnds_NonXtal_BW#'!$A:$Z,23,FALSE)+VLOOKUP($A127,A:AL,34,FALSE)-50))</f>
        <v>295</v>
      </c>
      <c r="AH127" s="3">
        <v>321</v>
      </c>
      <c r="AI127" s="3">
        <f>IF(ISERROR((VLOOKUP($A127,'SegEnds_NonXtal_BW#'!$A:$Z,24,FALSE)+VLOOKUP($A127,A:AL,34,FALSE)-50)),"-",(VLOOKUP($A127,'SegEnds_NonXtal_BW#'!$A:$Z,24,FALSE)+VLOOKUP($A127,A:AL,34,FALSE)-50))</f>
        <v>327</v>
      </c>
      <c r="AJ127" s="3">
        <f>IF(ISERROR(VLOOKUP($A127,'SegEnds_NonXtal_BW#'!$A:$Z,25,FALSE)+VLOOKUP($A127,A:AL,37,FALSE)-50),"-",(VLOOKUP($A127,'SegEnds_NonXtal_BW#'!$A:$Z,25,FALSE)+VLOOKUP($A127,A:AL,37,FALSE)-50))</f>
        <v>328</v>
      </c>
      <c r="AK127" s="3">
        <v>331</v>
      </c>
      <c r="AL127" s="3">
        <f>IF(ISERROR((VLOOKUP($A127,'SegEnds_NonXtal_BW#'!$A:$Z,26,FALSE)+VLOOKUP($A127,A:AL,37,FALSE)-50)),"-",(VLOOKUP($A127,'SegEnds_NonXtal_BW#'!$A:$Z,26,FALSE)+VLOOKUP($A127,A:AL,37,FALSE)-50))</f>
        <v>340</v>
      </c>
      <c r="AM127" s="28" t="str">
        <f>VLOOKUP(A127,Classification!A:B,2,FALSE)</f>
        <v>A</v>
      </c>
      <c r="AN127" s="28" t="b">
        <f t="shared" si="55"/>
        <v>1</v>
      </c>
      <c r="AO127" s="3" t="str">
        <f>IF(ISERROR(MATCH(A127,'SegEnds_Xtal_Prot#'!B:B, 0)), "NoXtal", "Xtal")</f>
        <v>NoXtal</v>
      </c>
      <c r="AP127" s="3">
        <f t="shared" si="39"/>
        <v>1</v>
      </c>
      <c r="AQ127" s="3">
        <f t="shared" si="40"/>
        <v>1</v>
      </c>
      <c r="AR127" s="3">
        <f t="shared" si="41"/>
        <v>2</v>
      </c>
      <c r="AS127" s="3">
        <f t="shared" si="42"/>
        <v>1</v>
      </c>
      <c r="AT127" s="3">
        <f t="shared" si="43"/>
        <v>1</v>
      </c>
      <c r="AU127" s="3">
        <f t="shared" si="44"/>
        <v>1</v>
      </c>
      <c r="AV127" s="3">
        <f t="shared" si="45"/>
        <v>9</v>
      </c>
      <c r="AW127" s="3">
        <f t="shared" si="46"/>
        <v>3</v>
      </c>
      <c r="AX127" s="3">
        <f t="shared" si="47"/>
        <v>4</v>
      </c>
      <c r="AY127" s="3">
        <f t="shared" si="48"/>
        <v>7</v>
      </c>
      <c r="AZ127" s="3">
        <f t="shared" si="49"/>
        <v>1</v>
      </c>
      <c r="BA127" s="3">
        <f>IF(ISERROR(LEN(VLOOKUP(A127,Seqs!A:E,2,FALSE))-AL127),"-",LEN(VLOOKUP(A127,Seqs!A:E,2,FALSE))-AL127)</f>
        <v>35</v>
      </c>
      <c r="BB127" s="16">
        <f t="shared" si="50"/>
        <v>28</v>
      </c>
      <c r="BC127" s="9">
        <f t="shared" si="51"/>
        <v>20</v>
      </c>
      <c r="BD127" s="3">
        <f t="shared" si="52"/>
        <v>28</v>
      </c>
      <c r="BE127" s="3">
        <f t="shared" si="53"/>
        <v>48</v>
      </c>
    </row>
    <row r="128" spans="1:60" s="3" customFormat="1" x14ac:dyDescent="0.2">
      <c r="A128" s="3" t="s">
        <v>237</v>
      </c>
      <c r="B128" s="3" t="str">
        <f>LOWER(VLOOKUP(A128,Xtal_Templ!A:B,2,FALSE))</f>
        <v>agtr1_human</v>
      </c>
      <c r="C128" s="3">
        <f>VLOOKUP($A128,'SegEnds_NonXtal_BW#'!$A:$Z,3,FALSE)+D128-50</f>
        <v>36</v>
      </c>
      <c r="D128" s="3">
        <v>56</v>
      </c>
      <c r="E128" s="3">
        <f>IF(ISERROR(VLOOKUP($A128,'SegEnds_NonXtal_BW#'!$A:$Z,4,FALSE)+VLOOKUP($A128,A:AL,4,FALSE)-50),"-",(VLOOKUP($A128,'SegEnds_NonXtal_BW#'!$A:$Z,4,FALSE)+VLOOKUP($A128,A:AL,4,FALSE)-50))</f>
        <v>66</v>
      </c>
      <c r="F128" s="3" t="str">
        <f>IF(ISERROR(VLOOKUP($A128,'SegEnds_NonXtal_BW#'!$A:$Z,5,FALSE)+VLOOKUP($A128,A:AL,7,FALSE)-50),"-",(VLOOKUP($A128,'SegEnds_NonXtal_BW#'!$A:$Z,5,FALSE)+VLOOKUP($A128,A:AL,7,FALSE)-50))</f>
        <v>-</v>
      </c>
      <c r="G128" s="3" t="s">
        <v>23</v>
      </c>
      <c r="H128" s="3" t="str">
        <f>IF(ISERROR(VLOOKUP($A128,'SegEnds_NonXtal_BW#'!$A:$Z,6,FALSE)+VLOOKUP($A128,A:AL,7,FALSE)-50),"-",(VLOOKUP($A128,'SegEnds_NonXtal_BW#'!$A:$Z,6,FALSE)+VLOOKUP($A128,A:AL,7,FALSE)-50))</f>
        <v>-</v>
      </c>
      <c r="I128" s="3">
        <f>VLOOKUP($A128,'SegEnds_NonXtal_BW#'!$A:$Z,7,FALSE)+J128-50</f>
        <v>70</v>
      </c>
      <c r="J128" s="3">
        <v>83</v>
      </c>
      <c r="K128" s="3">
        <f>VLOOKUP($A128,'SegEnds_NonXtal_BW#'!$A:$Z,8,FALSE)+VLOOKUP($A128,A:AL,10,FALSE)-50</f>
        <v>99</v>
      </c>
      <c r="L128" s="3">
        <f t="shared" si="78"/>
        <v>102</v>
      </c>
      <c r="M128" s="3">
        <v>103</v>
      </c>
      <c r="N128" s="3">
        <f t="shared" si="79"/>
        <v>105</v>
      </c>
      <c r="O128" s="3">
        <f t="shared" si="80"/>
        <v>106</v>
      </c>
      <c r="P128" s="3">
        <v>135</v>
      </c>
      <c r="Q128" s="3">
        <f>VLOOKUP($A128,'SegEnds_NonXtal_BW#'!$A:$Z,12,FALSE)+VLOOKUP($A128,A:AL,16,FALSE)-50</f>
        <v>141</v>
      </c>
      <c r="R128" s="3">
        <f>IF(ISERROR(VLOOKUP($A128,'SegEnds_NonXtal_BW#'!$A:$Z,13,FALSE)+VLOOKUP($A128,A:AL,19,FALSE)-50),"-",VLOOKUP($A128,'SegEnds_NonXtal_BW#'!$A:$Z,13,FALSE)+VLOOKUP($A128,A:AL,19,FALSE)-50)</f>
        <v>142</v>
      </c>
      <c r="S128" s="3">
        <v>142</v>
      </c>
      <c r="T128" s="100">
        <f>IF(ISERROR(VLOOKUP($A128,'SegEnds_NonXtal_BW#'!$A:$Z,14,FALSE)+VLOOKUP($A128,A:AL,19,FALSE)-50),"-",(VLOOKUP($A128,'SegEnds_NonXtal_BW#'!$A:$Z,14,FALSE)+VLOOKUP($A128,A:AL,19,FALSE)-50))</f>
        <v>149</v>
      </c>
      <c r="U128" s="9">
        <f>IF(ISERROR(VLOOKUP($A128,'SegEnds_NonXtal_BW#'!$A:$Z,15,FALSE)+VLOOKUP($A128,A:AL,22,FALSE)-50),"-",VLOOKUP($A128,'SegEnds_NonXtal_BW#'!$A:$Z,15,FALSE)+VLOOKUP($A128,A:AL,22,FALSE)-50)</f>
        <v>150</v>
      </c>
      <c r="V128" s="3">
        <v>162</v>
      </c>
      <c r="W128" s="3">
        <f>IF(ISERROR(VLOOKUP($A128,'SegEnds_NonXtal_BW#'!$A:$Z,16,FALSE)+VLOOKUP($A128,A:AL,22,FALSE)-50),"-",(VLOOKUP($A128,'SegEnds_NonXtal_BW#'!$A:$Z,16,FALSE)+VLOOKUP($A128,A:AL,22,FALSE)-50))</f>
        <v>176</v>
      </c>
      <c r="X128" s="3">
        <f>IF(ISERROR(VLOOKUP($A128,'SegEnds_NonXtal_BW#'!$A:$Z,17,FALSE)+VLOOKUP($A128,A:AL,25,FALSE)-50),"-",(VLOOKUP($A128,'SegEnds_NonXtal_BW#'!$A:$Z,17,FALSE)+VLOOKUP($A128,A:AL,25,FALSE)-50))</f>
        <v>187</v>
      </c>
      <c r="Y128" s="3">
        <v>187</v>
      </c>
      <c r="Z128" s="3">
        <f t="shared" si="75"/>
        <v>189</v>
      </c>
      <c r="AA128" s="3">
        <f>IF(ISERROR(VLOOKUP($A128,'SegEnds_NonXtal_BW#'!$A:$Z,19,FALSE)+VLOOKUP($A128,A:AL,28,FALSE)-50),"-",(VLOOKUP($A128,'SegEnds_NonXtal_BW#'!$A:$Z,19,FALSE)+VLOOKUP($A128,A:AL,28,FALSE)-50))</f>
        <v>202</v>
      </c>
      <c r="AB128" s="3">
        <v>218</v>
      </c>
      <c r="AC128" s="3">
        <f>IF(ISERROR((VLOOKUP($A128,'SegEnds_NonXtal_BW#'!$A:$Z,20,FALSE)+VLOOKUP($A128,A:AL,28,FALSE)-50)),"-",(VLOOKUP($A128,'SegEnds_NonXtal_BW#'!$A:$Z,20,FALSE)+VLOOKUP($A128,A:AL,28,FALSE)-50))</f>
        <v>236</v>
      </c>
      <c r="AD128" s="3">
        <f>IF(ISERROR(VLOOKUP($A128,'SegEnds_NonXtal_BW#'!$A:$Z,21,FALSE)+VLOOKUP($A128,A:AL,31,FALSE)-50),"-",(VLOOKUP($A128,'SegEnds_NonXtal_BW#'!$A:$Z,21,FALSE)+VLOOKUP($A128,A:AL,31,FALSE)-50))</f>
        <v>241</v>
      </c>
      <c r="AE128" s="3">
        <v>261</v>
      </c>
      <c r="AF128" s="3">
        <f>IF(ISERROR((VLOOKUP($A128,'SegEnds_NonXtal_BW#'!$A:$Z,22,FALSE)+VLOOKUP($A128,A:AL,31,FALSE)-50)),"-",(VLOOKUP($A128,'SegEnds_NonXtal_BW#'!$A:$Z,22,FALSE)+VLOOKUP($A128,A:AL,31,FALSE)-50))</f>
        <v>272</v>
      </c>
      <c r="AG128" s="3">
        <f>IF(ISERROR(VLOOKUP($A128,'SegEnds_NonXtal_BW#'!$A:$Z,23,FALSE)+VLOOKUP($A128,A:AL,34,FALSE)-50),"-",(VLOOKUP($A128,'SegEnds_NonXtal_BW#'!$A:$Z,23,FALSE)+VLOOKUP($A128,A:AL,34,FALSE)-50))</f>
        <v>279</v>
      </c>
      <c r="AH128" s="3">
        <v>301</v>
      </c>
      <c r="AI128" s="3">
        <f>IF(ISERROR((VLOOKUP($A128,'SegEnds_NonXtal_BW#'!$A:$Z,24,FALSE)+VLOOKUP($A128,A:AL,34,FALSE)-50)),"-",(VLOOKUP($A128,'SegEnds_NonXtal_BW#'!$A:$Z,24,FALSE)+VLOOKUP($A128,A:AL,34,FALSE)-50))</f>
        <v>307</v>
      </c>
      <c r="AJ128" s="3">
        <f>IF(ISERROR(VLOOKUP($A128,'SegEnds_NonXtal_BW#'!$A:$Z,25,FALSE)+VLOOKUP($A128,A:AL,37,FALSE)-50),"-",(VLOOKUP($A128,'SegEnds_NonXtal_BW#'!$A:$Z,25,FALSE)+VLOOKUP($A128,A:AL,37,FALSE)-50))</f>
        <v>308</v>
      </c>
      <c r="AK128" s="3">
        <v>311</v>
      </c>
      <c r="AL128" s="3">
        <f>IF(ISERROR((VLOOKUP($A128,'SegEnds_NonXtal_BW#'!$A:$Z,26,FALSE)+VLOOKUP($A128,A:AL,37,FALSE)-50)),"-",(VLOOKUP($A128,'SegEnds_NonXtal_BW#'!$A:$Z,26,FALSE)+VLOOKUP($A128,A:AL,37,FALSE)-50))</f>
        <v>322</v>
      </c>
      <c r="AM128" s="28" t="str">
        <f>VLOOKUP(A128,Classification!A:B,2,FALSE)</f>
        <v>A</v>
      </c>
      <c r="AN128" s="28" t="b">
        <f t="shared" si="55"/>
        <v>1</v>
      </c>
      <c r="AO128" s="3" t="str">
        <f>IF(ISERROR(MATCH(A128,'SegEnds_Xtal_Prot#'!B:B, 0)), "NoXtal", "Xtal")</f>
        <v>NoXtal</v>
      </c>
      <c r="AP128" s="3" t="str">
        <f t="shared" si="39"/>
        <v>-</v>
      </c>
      <c r="AQ128" s="3" t="str">
        <f t="shared" si="40"/>
        <v>-</v>
      </c>
      <c r="AR128" s="3">
        <f t="shared" si="41"/>
        <v>3</v>
      </c>
      <c r="AS128" s="3">
        <f t="shared" si="42"/>
        <v>1</v>
      </c>
      <c r="AT128" s="3">
        <f t="shared" si="43"/>
        <v>1</v>
      </c>
      <c r="AU128" s="3">
        <f t="shared" si="44"/>
        <v>1</v>
      </c>
      <c r="AV128" s="3">
        <f t="shared" si="45"/>
        <v>11</v>
      </c>
      <c r="AW128" s="3">
        <f t="shared" si="46"/>
        <v>13</v>
      </c>
      <c r="AX128" s="3">
        <f t="shared" si="47"/>
        <v>5</v>
      </c>
      <c r="AY128" s="3">
        <f t="shared" si="48"/>
        <v>7</v>
      </c>
      <c r="AZ128" s="3">
        <f t="shared" si="49"/>
        <v>1</v>
      </c>
      <c r="BA128" s="3">
        <f>IF(ISERROR(LEN(VLOOKUP(A128,Seqs!A:E,2,FALSE))-AL128),"-",LEN(VLOOKUP(A128,Seqs!A:E,2,FALSE))-AL128)</f>
        <v>33</v>
      </c>
      <c r="BB128" s="16">
        <f t="shared" si="50"/>
        <v>27</v>
      </c>
      <c r="BC128" s="9">
        <f t="shared" si="51"/>
        <v>20</v>
      </c>
      <c r="BD128" s="3">
        <f t="shared" si="52"/>
        <v>27</v>
      </c>
      <c r="BE128" s="3">
        <f t="shared" si="53"/>
        <v>43</v>
      </c>
    </row>
    <row r="129" spans="1:58" s="3" customFormat="1" x14ac:dyDescent="0.2">
      <c r="A129" s="3" t="s">
        <v>238</v>
      </c>
      <c r="B129" s="3" t="str">
        <f>LOWER(VLOOKUP(A129,Xtal_Templ!A:B,2,FALSE))</f>
        <v>lpar1_human</v>
      </c>
      <c r="C129" s="3">
        <f>VLOOKUP($A129,'SegEnds_NonXtal_BW#'!$A:$Z,3,FALSE)+D129-50</f>
        <v>42</v>
      </c>
      <c r="D129" s="3">
        <v>62</v>
      </c>
      <c r="E129" s="3">
        <f>IF(ISERROR(VLOOKUP($A129,'SegEnds_NonXtal_BW#'!$A:$Z,4,FALSE)+VLOOKUP($A129,A:AL,4,FALSE)-50),"-",(VLOOKUP($A129,'SegEnds_NonXtal_BW#'!$A:$Z,4,FALSE)+VLOOKUP($A129,A:AL,4,FALSE)-50))</f>
        <v>72</v>
      </c>
      <c r="F129" s="3" t="str">
        <f>IF(ISERROR(VLOOKUP($A129,'SegEnds_NonXtal_BW#'!$A:$Z,5,FALSE)+VLOOKUP($A129,A:AL,7,FALSE)-50),"-",(VLOOKUP($A129,'SegEnds_NonXtal_BW#'!$A:$Z,5,FALSE)+VLOOKUP($A129,A:AL,7,FALSE)-50))</f>
        <v>-</v>
      </c>
      <c r="G129" s="3" t="s">
        <v>23</v>
      </c>
      <c r="H129" s="3" t="str">
        <f>IF(ISERROR(VLOOKUP($A129,'SegEnds_NonXtal_BW#'!$A:$Z,6,FALSE)+VLOOKUP($A129,A:AL,7,FALSE)-50),"-",(VLOOKUP($A129,'SegEnds_NonXtal_BW#'!$A:$Z,6,FALSE)+VLOOKUP($A129,A:AL,7,FALSE)-50))</f>
        <v>-</v>
      </c>
      <c r="I129" s="3">
        <f>VLOOKUP($A129,'SegEnds_NonXtal_BW#'!$A:$Z,7,FALSE)+J129-50</f>
        <v>77</v>
      </c>
      <c r="J129" s="3">
        <v>90</v>
      </c>
      <c r="K129" s="3">
        <f>VLOOKUP($A129,'SegEnds_NonXtal_BW#'!$A:$Z,8,FALSE)+VLOOKUP($A129,A:AL,10,FALSE)-50</f>
        <v>102</v>
      </c>
      <c r="L129" s="3">
        <f t="shared" si="78"/>
        <v>104</v>
      </c>
      <c r="M129" s="3">
        <v>105</v>
      </c>
      <c r="N129" s="3">
        <f t="shared" si="79"/>
        <v>107</v>
      </c>
      <c r="O129" s="3">
        <f t="shared" si="80"/>
        <v>108</v>
      </c>
      <c r="P129" s="3">
        <v>138</v>
      </c>
      <c r="Q129" s="3">
        <f>VLOOKUP($A129,'SegEnds_NonXtal_BW#'!$A:$Z,12,FALSE)+VLOOKUP($A129,A:AL,16,FALSE)-50</f>
        <v>144</v>
      </c>
      <c r="R129" s="3">
        <f>S129</f>
        <v>145</v>
      </c>
      <c r="S129" s="3">
        <v>145</v>
      </c>
      <c r="T129" s="100">
        <f>S129+7</f>
        <v>152</v>
      </c>
      <c r="U129" s="9">
        <f>IF(ISERROR(VLOOKUP($A129,'SegEnds_NonXtal_BW#'!$A:$Z,15,FALSE)+VLOOKUP($A129,A:AL,22,FALSE)-50),"-",VLOOKUP($A129,'SegEnds_NonXtal_BW#'!$A:$Z,15,FALSE)+VLOOKUP($A129,A:AL,22,FALSE)-50)</f>
        <v>153</v>
      </c>
      <c r="V129" s="3">
        <v>165</v>
      </c>
      <c r="W129" s="3">
        <f>IF(ISERROR(VLOOKUP($A129,'SegEnds_NonXtal_BW#'!$A:$Z,16,FALSE)+VLOOKUP($A129,A:AL,22,FALSE)-50),"-",(VLOOKUP($A129,'SegEnds_NonXtal_BW#'!$A:$Z,16,FALSE)+VLOOKUP($A129,A:AL,22,FALSE)-50))</f>
        <v>178</v>
      </c>
      <c r="X129" s="3" t="str">
        <f>IF(ISERROR(VLOOKUP($A129,'SegEnds_NonXtal_BW#'!$A:$Z,17,FALSE)+VLOOKUP($A129,A:AL,25,FALSE)-50),"-",(VLOOKUP($A129,'SegEnds_NonXtal_BW#'!$A:$Z,17,FALSE)+VLOOKUP($A129,A:AL,25,FALSE)-50))</f>
        <v>-</v>
      </c>
      <c r="Y129" s="3" t="s">
        <v>23</v>
      </c>
      <c r="Z129" s="3" t="str">
        <f>IF(ISERROR(VLOOKUP($A129,'SegEnds_NonXtal_BW#'!$A:$Z,18,FALSE)+VLOOKUP($A129,A:AL,25,FALSE)-50),"-",(VLOOKUP($A129,'SegEnds_NonXtal_BW#'!$A:$Z,18,FALSE)+VLOOKUP($A129,A:AL,25,FALSE)-50))</f>
        <v>-</v>
      </c>
      <c r="AA129" s="3">
        <f>IF(ISERROR(VLOOKUP($A129,'SegEnds_NonXtal_BW#'!$A:$Z,19,FALSE)+VLOOKUP($A129,A:AL,28,FALSE)-50),"-",(VLOOKUP($A129,'SegEnds_NonXtal_BW#'!$A:$Z,19,FALSE)+VLOOKUP($A129,A:AL,28,FALSE)-50))</f>
        <v>195</v>
      </c>
      <c r="AB129" s="3">
        <v>209</v>
      </c>
      <c r="AC129" s="3">
        <f>IF(ISERROR((VLOOKUP($A129,'SegEnds_NonXtal_BW#'!$A:$Z,20,FALSE)+VLOOKUP($A129,A:AL,28,FALSE)-50)),"-",(VLOOKUP($A129,'SegEnds_NonXtal_BW#'!$A:$Z,20,FALSE)+VLOOKUP($A129,A:AL,28,FALSE)-50))</f>
        <v>232</v>
      </c>
      <c r="AD129" s="3">
        <f>IF(ISERROR(VLOOKUP($A129,'SegEnds_NonXtal_BW#'!$A:$Z,21,FALSE)+VLOOKUP($A129,A:AL,31,FALSE)-50),"-",(VLOOKUP($A129,'SegEnds_NonXtal_BW#'!$A:$Z,21,FALSE)+VLOOKUP($A129,A:AL,31,FALSE)-50))</f>
        <v>238</v>
      </c>
      <c r="AE129" s="3">
        <v>266</v>
      </c>
      <c r="AF129" s="3">
        <f>IF(ISERROR((VLOOKUP($A129,'SegEnds_NonXtal_BW#'!$A:$Z,22,FALSE)+VLOOKUP($A129,A:AL,31,FALSE)-50)),"-",(VLOOKUP($A129,'SegEnds_NonXtal_BW#'!$A:$Z,22,FALSE)+VLOOKUP($A129,A:AL,31,FALSE)-50))</f>
        <v>277</v>
      </c>
      <c r="AG129" s="3">
        <f>IF(ISERROR(VLOOKUP($A129,'SegEnds_NonXtal_BW#'!$A:$Z,23,FALSE)+VLOOKUP($A129,A:AL,34,FALSE)-50),"-",(VLOOKUP($A129,'SegEnds_NonXtal_BW#'!$A:$Z,23,FALSE)+VLOOKUP($A129,A:AL,34,FALSE)-50))</f>
        <v>282</v>
      </c>
      <c r="AH129" s="3">
        <v>298</v>
      </c>
      <c r="AI129" s="3">
        <f>IF(ISERROR((VLOOKUP($A129,'SegEnds_NonXtal_BW#'!$A:$Z,24,FALSE)+VLOOKUP($A129,A:AL,34,FALSE)-50)),"-",(VLOOKUP($A129,'SegEnds_NonXtal_BW#'!$A:$Z,24,FALSE)+VLOOKUP($A129,A:AL,34,FALSE)-50))</f>
        <v>304</v>
      </c>
      <c r="AJ129" s="3">
        <f>IF(ISERROR(VLOOKUP($A129,'SegEnds_NonXtal_BW#'!$A:$Z,25,FALSE)+VLOOKUP($A129,A:AL,37,FALSE)-50),"-",(VLOOKUP($A129,'SegEnds_NonXtal_BW#'!$A:$Z,25,FALSE)+VLOOKUP($A129,A:AL,37,FALSE)-50))</f>
        <v>305</v>
      </c>
      <c r="AK129" s="3">
        <v>308</v>
      </c>
      <c r="AL129" s="3">
        <f>IF(ISERROR((VLOOKUP($A129,'SegEnds_NonXtal_BW#'!$A:$Z,26,FALSE)+VLOOKUP($A129,A:AL,37,FALSE)-50)),"-",(VLOOKUP($A129,'SegEnds_NonXtal_BW#'!$A:$Z,26,FALSE)+VLOOKUP($A129,A:AL,37,FALSE)-50))</f>
        <v>317</v>
      </c>
      <c r="AM129" s="28" t="str">
        <f>VLOOKUP(A129,Classification!A:B,2,FALSE)</f>
        <v>A</v>
      </c>
      <c r="AN129" s="28" t="b">
        <f t="shared" si="55"/>
        <v>1</v>
      </c>
      <c r="AO129" s="3" t="str">
        <f>IF(ISERROR(MATCH(A129,'SegEnds_Xtal_Prot#'!B:B, 0)), "NoXtal", "Xtal")</f>
        <v>NoXtal</v>
      </c>
      <c r="AP129" s="3" t="str">
        <f t="shared" si="39"/>
        <v>-</v>
      </c>
      <c r="AQ129" s="3" t="str">
        <f t="shared" si="40"/>
        <v>-</v>
      </c>
      <c r="AR129" s="3">
        <f t="shared" si="41"/>
        <v>2</v>
      </c>
      <c r="AS129" s="3">
        <f t="shared" si="42"/>
        <v>1</v>
      </c>
      <c r="AT129" s="3">
        <f t="shared" si="43"/>
        <v>1</v>
      </c>
      <c r="AU129" s="3">
        <f t="shared" si="44"/>
        <v>1</v>
      </c>
      <c r="AV129" s="3" t="str">
        <f t="shared" si="45"/>
        <v>-</v>
      </c>
      <c r="AW129" s="3" t="str">
        <f t="shared" si="46"/>
        <v>-</v>
      </c>
      <c r="AX129" s="3">
        <f t="shared" si="47"/>
        <v>6</v>
      </c>
      <c r="AY129" s="3">
        <f t="shared" si="48"/>
        <v>5</v>
      </c>
      <c r="AZ129" s="3">
        <f t="shared" si="49"/>
        <v>1</v>
      </c>
      <c r="BA129" s="3">
        <f>IF(ISERROR(LEN(VLOOKUP(A129,Seqs!A:E,2,FALSE))-AL129),"-",LEN(VLOOKUP(A129,Seqs!A:E,2,FALSE))-AL129)</f>
        <v>17</v>
      </c>
      <c r="BB129" s="16">
        <f t="shared" si="50"/>
        <v>28</v>
      </c>
      <c r="BC129" s="9">
        <f t="shared" si="51"/>
        <v>20</v>
      </c>
      <c r="BD129" s="3">
        <f t="shared" si="52"/>
        <v>28</v>
      </c>
      <c r="BE129" s="3">
        <f t="shared" si="53"/>
        <v>57</v>
      </c>
      <c r="BF129" s="3">
        <f>AH129-AE129</f>
        <v>32</v>
      </c>
    </row>
    <row r="130" spans="1:58" s="3" customFormat="1" x14ac:dyDescent="0.2">
      <c r="A130" s="3" t="s">
        <v>239</v>
      </c>
      <c r="B130" s="3" t="str">
        <f>LOWER(VLOOKUP(A130,Xtal_Templ!A:B,2,FALSE))</f>
        <v>agtr1_human</v>
      </c>
      <c r="C130" s="3">
        <f>VLOOKUP($A130,'SegEnds_NonXtal_BW#'!$A:$Z,3,FALSE)+D130-50</f>
        <v>31</v>
      </c>
      <c r="D130" s="3">
        <v>51</v>
      </c>
      <c r="E130" s="3">
        <f>IF(ISERROR(VLOOKUP($A130,'SegEnds_NonXtal_BW#'!$A:$Z,4,FALSE)+VLOOKUP($A130,A:AL,4,FALSE)-50),"-",(VLOOKUP($A130,'SegEnds_NonXtal_BW#'!$A:$Z,4,FALSE)+VLOOKUP($A130,A:AL,4,FALSE)-50))</f>
        <v>61</v>
      </c>
      <c r="F130" s="3" t="str">
        <f>IF(ISERROR(VLOOKUP($A130,'SegEnds_NonXtal_BW#'!$A:$Z,5,FALSE)+VLOOKUP($A130,A:AL,7,FALSE)-50),"-",(VLOOKUP($A130,'SegEnds_NonXtal_BW#'!$A:$Z,5,FALSE)+VLOOKUP($A130,A:AL,7,FALSE)-50))</f>
        <v>-</v>
      </c>
      <c r="G130" s="3" t="s">
        <v>23</v>
      </c>
      <c r="H130" s="3" t="str">
        <f>IF(ISERROR(VLOOKUP($A130,'SegEnds_NonXtal_BW#'!$A:$Z,6,FALSE)+VLOOKUP($A130,A:AL,7,FALSE)-50),"-",(VLOOKUP($A130,'SegEnds_NonXtal_BW#'!$A:$Z,6,FALSE)+VLOOKUP($A130,A:AL,7,FALSE)-50))</f>
        <v>-</v>
      </c>
      <c r="I130" s="3">
        <f>VLOOKUP($A130,'SegEnds_NonXtal_BW#'!$A:$Z,7,FALSE)+J130-50</f>
        <v>66</v>
      </c>
      <c r="J130" s="3">
        <v>79</v>
      </c>
      <c r="K130" s="3">
        <f>VLOOKUP($A130,'SegEnds_NonXtal_BW#'!$A:$Z,8,FALSE)+VLOOKUP($A130,A:AL,10,FALSE)-50</f>
        <v>95</v>
      </c>
      <c r="L130" s="3">
        <f t="shared" si="78"/>
        <v>98</v>
      </c>
      <c r="M130" s="3">
        <v>99</v>
      </c>
      <c r="N130" s="3">
        <f t="shared" si="79"/>
        <v>101</v>
      </c>
      <c r="O130" s="3">
        <f t="shared" si="80"/>
        <v>102</v>
      </c>
      <c r="P130" s="3">
        <v>131</v>
      </c>
      <c r="Q130" s="3">
        <f>VLOOKUP($A130,'SegEnds_NonXtal_BW#'!$A:$Z,12,FALSE)+VLOOKUP($A130,A:AL,16,FALSE)-50</f>
        <v>137</v>
      </c>
      <c r="R130" s="3">
        <f>IF(ISERROR(VLOOKUP($A130,'SegEnds_NonXtal_BW#'!$A:$Z,13,FALSE)+VLOOKUP($A130,A:AL,19,FALSE)-50),"-",VLOOKUP($A130,'SegEnds_NonXtal_BW#'!$A:$Z,13,FALSE)+VLOOKUP($A130,A:AL,19,FALSE)-50)</f>
        <v>138</v>
      </c>
      <c r="S130" s="3">
        <v>138</v>
      </c>
      <c r="T130" s="100">
        <f>IF(ISERROR(VLOOKUP($A130,'SegEnds_NonXtal_BW#'!$A:$Z,14,FALSE)+VLOOKUP($A130,A:AL,19,FALSE)-50),"-",(VLOOKUP($A130,'SegEnds_NonXtal_BW#'!$A:$Z,14,FALSE)+VLOOKUP($A130,A:AL,19,FALSE)-50))</f>
        <v>145</v>
      </c>
      <c r="U130" s="9">
        <f>IF(ISERROR(VLOOKUP($A130,'SegEnds_NonXtal_BW#'!$A:$Z,15,FALSE)+VLOOKUP($A130,A:AL,22,FALSE)-50),"-",VLOOKUP($A130,'SegEnds_NonXtal_BW#'!$A:$Z,15,FALSE)+VLOOKUP($A130,A:AL,22,FALSE)-50)</f>
        <v>146</v>
      </c>
      <c r="V130" s="3">
        <v>158</v>
      </c>
      <c r="W130" s="3">
        <f>IF(ISERROR(VLOOKUP($A130,'SegEnds_NonXtal_BW#'!$A:$Z,16,FALSE)+VLOOKUP($A130,A:AL,22,FALSE)-50),"-",(VLOOKUP($A130,'SegEnds_NonXtal_BW#'!$A:$Z,16,FALSE)+VLOOKUP($A130,A:AL,22,FALSE)-50))</f>
        <v>172</v>
      </c>
      <c r="X130" s="3">
        <f>IF(ISERROR(VLOOKUP($A130,'SegEnds_NonXtal_BW#'!$A:$Z,17,FALSE)+VLOOKUP($A130,A:AL,25,FALSE)-50),"-",(VLOOKUP($A130,'SegEnds_NonXtal_BW#'!$A:$Z,17,FALSE)+VLOOKUP($A130,A:AL,25,FALSE)-50))</f>
        <v>183</v>
      </c>
      <c r="Y130" s="3">
        <v>183</v>
      </c>
      <c r="Z130" s="3">
        <f>Y130+2</f>
        <v>185</v>
      </c>
      <c r="AA130" s="3">
        <f>IF(ISERROR(VLOOKUP($A130,'SegEnds_NonXtal_BW#'!$A:$Z,19,FALSE)+VLOOKUP($A130,A:AL,28,FALSE)-50),"-",(VLOOKUP($A130,'SegEnds_NonXtal_BW#'!$A:$Z,19,FALSE)+VLOOKUP($A130,A:AL,28,FALSE)-50))</f>
        <v>191</v>
      </c>
      <c r="AB130" s="3">
        <v>207</v>
      </c>
      <c r="AC130" s="3">
        <f>IF(ISERROR((VLOOKUP($A130,'SegEnds_NonXtal_BW#'!$A:$Z,20,FALSE)+VLOOKUP($A130,A:AL,28,FALSE)-50)),"-",(VLOOKUP($A130,'SegEnds_NonXtal_BW#'!$A:$Z,20,FALSE)+VLOOKUP($A130,A:AL,28,FALSE)-50))</f>
        <v>225</v>
      </c>
      <c r="AD130" s="3">
        <f>IF(ISERROR(VLOOKUP($A130,'SegEnds_NonXtal_BW#'!$A:$Z,21,FALSE)+VLOOKUP($A130,A:AL,31,FALSE)-50),"-",(VLOOKUP($A130,'SegEnds_NonXtal_BW#'!$A:$Z,21,FALSE)+VLOOKUP($A130,A:AL,31,FALSE)-50))</f>
        <v>230</v>
      </c>
      <c r="AE130" s="3">
        <v>256</v>
      </c>
      <c r="AF130" s="3">
        <f>IF(ISERROR((VLOOKUP($A130,'SegEnds_NonXtal_BW#'!$A:$Z,22,FALSE)+VLOOKUP($A130,A:AL,31,FALSE)-50)),"-",(VLOOKUP($A130,'SegEnds_NonXtal_BW#'!$A:$Z,22,FALSE)+VLOOKUP($A130,A:AL,31,FALSE)-50))</f>
        <v>267</v>
      </c>
      <c r="AG130" s="3">
        <f>IF(ISERROR(VLOOKUP($A130,'SegEnds_NonXtal_BW#'!$A:$Z,23,FALSE)+VLOOKUP($A130,A:AL,34,FALSE)-50),"-",(VLOOKUP($A130,'SegEnds_NonXtal_BW#'!$A:$Z,23,FALSE)+VLOOKUP($A130,A:AL,34,FALSE)-50))</f>
        <v>273</v>
      </c>
      <c r="AH130" s="3">
        <v>299</v>
      </c>
      <c r="AI130" s="3">
        <f>IF(ISERROR((VLOOKUP($A130,'SegEnds_NonXtal_BW#'!$A:$Z,24,FALSE)+VLOOKUP($A130,A:AL,34,FALSE)-50)),"-",(VLOOKUP($A130,'SegEnds_NonXtal_BW#'!$A:$Z,24,FALSE)+VLOOKUP($A130,A:AL,34,FALSE)-50))</f>
        <v>305</v>
      </c>
      <c r="AJ130" s="3">
        <f>IF(ISERROR(VLOOKUP($A130,'SegEnds_NonXtal_BW#'!$A:$Z,25,FALSE)+VLOOKUP($A130,A:AL,37,FALSE)-50),"-",(VLOOKUP($A130,'SegEnds_NonXtal_BW#'!$A:$Z,25,FALSE)+VLOOKUP($A130,A:AL,37,FALSE)-50))</f>
        <v>306</v>
      </c>
      <c r="AK130" s="3">
        <v>309</v>
      </c>
      <c r="AL130" s="3">
        <f>IF(ISERROR((VLOOKUP($A130,'SegEnds_NonXtal_BW#'!$A:$Z,26,FALSE)+VLOOKUP($A130,A:AL,37,FALSE)-50)),"-",(VLOOKUP($A130,'SegEnds_NonXtal_BW#'!$A:$Z,26,FALSE)+VLOOKUP($A130,A:AL,37,FALSE)-50))</f>
        <v>320</v>
      </c>
      <c r="AM130" s="28" t="str">
        <f>VLOOKUP(A130,Classification!A:B,2,FALSE)</f>
        <v>A</v>
      </c>
      <c r="AN130" s="28" t="b">
        <f t="shared" si="55"/>
        <v>1</v>
      </c>
      <c r="AO130" s="3" t="str">
        <f>IF(ISERROR(MATCH(A130,'SegEnds_Xtal_Prot#'!B:B, 0)), "NoXtal", "Xtal")</f>
        <v>NoXtal</v>
      </c>
      <c r="AP130" s="3" t="str">
        <f t="shared" si="39"/>
        <v>-</v>
      </c>
      <c r="AQ130" s="3" t="str">
        <f t="shared" si="40"/>
        <v>-</v>
      </c>
      <c r="AR130" s="3">
        <f t="shared" si="41"/>
        <v>3</v>
      </c>
      <c r="AS130" s="3">
        <f t="shared" si="42"/>
        <v>1</v>
      </c>
      <c r="AT130" s="3">
        <f t="shared" si="43"/>
        <v>1</v>
      </c>
      <c r="AU130" s="3">
        <f t="shared" si="44"/>
        <v>1</v>
      </c>
      <c r="AV130" s="3">
        <f t="shared" si="45"/>
        <v>11</v>
      </c>
      <c r="AW130" s="3">
        <f t="shared" si="46"/>
        <v>6</v>
      </c>
      <c r="AX130" s="3">
        <f t="shared" si="47"/>
        <v>5</v>
      </c>
      <c r="AY130" s="3">
        <f t="shared" si="48"/>
        <v>6</v>
      </c>
      <c r="AZ130" s="3">
        <f t="shared" si="49"/>
        <v>1</v>
      </c>
      <c r="BA130" s="3">
        <f>IF(ISERROR(LEN(VLOOKUP(A130,Seqs!A:E,2,FALSE))-AL130),"-",LEN(VLOOKUP(A130,Seqs!A:E,2,FALSE))-AL130)</f>
        <v>40</v>
      </c>
      <c r="BB130" s="16">
        <f t="shared" si="50"/>
        <v>28</v>
      </c>
      <c r="BC130" s="9">
        <f t="shared" si="51"/>
        <v>20</v>
      </c>
      <c r="BD130" s="3">
        <f t="shared" si="52"/>
        <v>28</v>
      </c>
      <c r="BE130" s="3">
        <f t="shared" si="53"/>
        <v>49</v>
      </c>
    </row>
    <row r="131" spans="1:58" s="3" customFormat="1" x14ac:dyDescent="0.2">
      <c r="A131" s="3" t="s">
        <v>240</v>
      </c>
      <c r="B131" s="3" t="str">
        <f>LOWER(VLOOKUP(A131,Xtal_Templ!A:B,2,FALSE))</f>
        <v>apj_human</v>
      </c>
      <c r="C131" s="3">
        <f>VLOOKUP($A131,'SegEnds_NonXtal_BW#'!$A:$Z,3,FALSE)+D131-50</f>
        <v>60</v>
      </c>
      <c r="D131" s="3">
        <v>77</v>
      </c>
      <c r="E131" s="3">
        <f>IF(ISERROR(VLOOKUP($A131,'SegEnds_NonXtal_BW#'!$A:$Z,4,FALSE)+VLOOKUP($A131,A:AL,4,FALSE)-50),"-",(VLOOKUP($A131,'SegEnds_NonXtal_BW#'!$A:$Z,4,FALSE)+VLOOKUP($A131,A:AL,4,FALSE)-50))</f>
        <v>87</v>
      </c>
      <c r="F131" s="3" t="str">
        <f>IF(ISERROR(VLOOKUP($A131,'SegEnds_NonXtal_BW#'!$A:$Z,5,FALSE)+VLOOKUP($A131,A:AL,7,FALSE)-50),"-",(VLOOKUP($A131,'SegEnds_NonXtal_BW#'!$A:$Z,5,FALSE)+VLOOKUP($A131,A:AL,7,FALSE)-50))</f>
        <v>-</v>
      </c>
      <c r="G131" s="3" t="s">
        <v>23</v>
      </c>
      <c r="H131" s="3" t="str">
        <f>IF(ISERROR(VLOOKUP($A131,'SegEnds_NonXtal_BW#'!$A:$Z,6,FALSE)+VLOOKUP($A131,A:AL,7,FALSE)-50),"-",(VLOOKUP($A131,'SegEnds_NonXtal_BW#'!$A:$Z,6,FALSE)+VLOOKUP($A131,A:AL,7,FALSE)-50))</f>
        <v>-</v>
      </c>
      <c r="I131" s="3">
        <f>VLOOKUP($A131,'SegEnds_NonXtal_BW#'!$A:$Z,7,FALSE)+J131-50</f>
        <v>92</v>
      </c>
      <c r="J131" s="3">
        <v>105</v>
      </c>
      <c r="K131" s="3">
        <f>VLOOKUP($A131,'SegEnds_NonXtal_BW#'!$A:$Z,8,FALSE)+VLOOKUP($A131,A:AL,10,FALSE)-50</f>
        <v>122</v>
      </c>
      <c r="L131" s="3">
        <f t="shared" si="78"/>
        <v>124</v>
      </c>
      <c r="M131" s="3">
        <v>125</v>
      </c>
      <c r="N131" s="3">
        <f t="shared" si="79"/>
        <v>127</v>
      </c>
      <c r="O131" s="3">
        <f t="shared" si="80"/>
        <v>128</v>
      </c>
      <c r="P131" s="3">
        <v>157</v>
      </c>
      <c r="Q131" s="3">
        <f>VLOOKUP($A131,'SegEnds_NonXtal_BW#'!$A:$Z,12,FALSE)+VLOOKUP($A131,A:AL,16,FALSE)-50</f>
        <v>163</v>
      </c>
      <c r="R131" s="3">
        <f>IF(ISERROR(VLOOKUP($A131,'SegEnds_NonXtal_BW#'!$A:$Z,13,FALSE)+VLOOKUP($A131,A:AL,19,FALSE)-50),"-",VLOOKUP($A131,'SegEnds_NonXtal_BW#'!$A:$Z,13,FALSE)+VLOOKUP($A131,A:AL,19,FALSE)-50)</f>
        <v>164</v>
      </c>
      <c r="S131" s="3">
        <v>164</v>
      </c>
      <c r="T131" s="100">
        <f>IF(ISERROR(VLOOKUP($A131,'SegEnds_NonXtal_BW#'!$A:$Z,14,FALSE)+VLOOKUP($A131,A:AL,19,FALSE)-50),"-",(VLOOKUP($A131,'SegEnds_NonXtal_BW#'!$A:$Z,14,FALSE)+VLOOKUP($A131,A:AL,19,FALSE)-50))</f>
        <v>171</v>
      </c>
      <c r="U131" s="9">
        <f>IF(ISERROR(VLOOKUP($A131,'SegEnds_NonXtal_BW#'!$A:$Z,15,FALSE)+VLOOKUP($A131,A:AL,22,FALSE)-50),"-",VLOOKUP($A131,'SegEnds_NonXtal_BW#'!$A:$Z,15,FALSE)+VLOOKUP($A131,A:AL,22,FALSE)-50)</f>
        <v>172</v>
      </c>
      <c r="V131" s="3">
        <v>184</v>
      </c>
      <c r="W131" s="3">
        <f>IF(ISERROR(VLOOKUP($A131,'SegEnds_NonXtal_BW#'!$A:$Z,16,FALSE)+VLOOKUP($A131,A:AL,22,FALSE)-50),"-",(VLOOKUP($A131,'SegEnds_NonXtal_BW#'!$A:$Z,16,FALSE)+VLOOKUP($A131,A:AL,22,FALSE)-50))</f>
        <v>198</v>
      </c>
      <c r="X131" s="3">
        <f>IF(ISERROR(VLOOKUP($A131,'SegEnds_NonXtal_BW#'!$A:$Z,17,FALSE)+VLOOKUP($A131,A:AL,25,FALSE)-50),"-",(VLOOKUP($A131,'SegEnds_NonXtal_BW#'!$A:$Z,17,FALSE)+VLOOKUP($A131,A:AL,25,FALSE)-50))</f>
        <v>209</v>
      </c>
      <c r="Y131" s="3">
        <v>209</v>
      </c>
      <c r="Z131" s="3">
        <f>Y131+2</f>
        <v>211</v>
      </c>
      <c r="AA131" s="3">
        <f>IF(ISERROR(VLOOKUP($A131,'SegEnds_NonXtal_BW#'!$A:$Z,19,FALSE)+VLOOKUP($A131,A:AL,28,FALSE)-50),"-",(VLOOKUP($A131,'SegEnds_NonXtal_BW#'!$A:$Z,19,FALSE)+VLOOKUP($A131,A:AL,28,FALSE)-50))</f>
        <v>212</v>
      </c>
      <c r="AB131" s="3">
        <v>232</v>
      </c>
      <c r="AC131" s="3">
        <f>IF(ISERROR((VLOOKUP($A131,'SegEnds_NonXtal_BW#'!$A:$Z,20,FALSE)+VLOOKUP($A131,A:AL,28,FALSE)-50)),"-",(VLOOKUP($A131,'SegEnds_NonXtal_BW#'!$A:$Z,20,FALSE)+VLOOKUP($A131,A:AL,28,FALSE)-50))</f>
        <v>249</v>
      </c>
      <c r="AD131" s="3">
        <f>IF(ISERROR(VLOOKUP($A131,'SegEnds_NonXtal_BW#'!$A:$Z,21,FALSE)+VLOOKUP($A131,A:AL,31,FALSE)-50),"-",(VLOOKUP($A131,'SegEnds_NonXtal_BW#'!$A:$Z,21,FALSE)+VLOOKUP($A131,A:AL,31,FALSE)-50))</f>
        <v>254</v>
      </c>
      <c r="AE131" s="3">
        <v>278</v>
      </c>
      <c r="AF131" s="3">
        <f>IF(ISERROR((VLOOKUP($A131,'SegEnds_NonXtal_BW#'!$A:$Z,22,FALSE)+VLOOKUP($A131,A:AL,31,FALSE)-50)),"-",(VLOOKUP($A131,'SegEnds_NonXtal_BW#'!$A:$Z,22,FALSE)+VLOOKUP($A131,A:AL,31,FALSE)-50))</f>
        <v>292</v>
      </c>
      <c r="AG131" s="3">
        <f>IF(ISERROR(VLOOKUP($A131,'SegEnds_NonXtal_BW#'!$A:$Z,23,FALSE)+VLOOKUP($A131,A:AL,34,FALSE)-50),"-",(VLOOKUP($A131,'SegEnds_NonXtal_BW#'!$A:$Z,23,FALSE)+VLOOKUP($A131,A:AL,34,FALSE)-50))</f>
        <v>296</v>
      </c>
      <c r="AH131" s="3">
        <v>322</v>
      </c>
      <c r="AI131" s="3">
        <f>IF(ISERROR((VLOOKUP($A131,'SegEnds_NonXtal_BW#'!$A:$Z,24,FALSE)+VLOOKUP($A131,A:AL,34,FALSE)-50)),"-",(VLOOKUP($A131,'SegEnds_NonXtal_BW#'!$A:$Z,24,FALSE)+VLOOKUP($A131,A:AL,34,FALSE)-50))</f>
        <v>328</v>
      </c>
      <c r="AJ131" s="3">
        <f>IF(ISERROR(VLOOKUP($A131,'SegEnds_NonXtal_BW#'!$A:$Z,25,FALSE)+VLOOKUP($A131,A:AL,37,FALSE)-50),"-",(VLOOKUP($A131,'SegEnds_NonXtal_BW#'!$A:$Z,25,FALSE)+VLOOKUP($A131,A:AL,37,FALSE)-50))</f>
        <v>329</v>
      </c>
      <c r="AK131" s="3">
        <v>332</v>
      </c>
      <c r="AL131" s="3">
        <f>IF(ISERROR((VLOOKUP($A131,'SegEnds_NonXtal_BW#'!$A:$Z,26,FALSE)+VLOOKUP($A131,A:AL,37,FALSE)-50)),"-",(VLOOKUP($A131,'SegEnds_NonXtal_BW#'!$A:$Z,26,FALSE)+VLOOKUP($A131,A:AL,37,FALSE)-50))</f>
        <v>343</v>
      </c>
      <c r="AM131" s="28" t="str">
        <f>VLOOKUP(A131,Classification!A:B,2,FALSE)</f>
        <v>A</v>
      </c>
      <c r="AN131" s="28" t="b">
        <f t="shared" si="55"/>
        <v>1</v>
      </c>
      <c r="AO131" s="3" t="str">
        <f>IF(ISERROR(MATCH(A131,'SegEnds_Xtal_Prot#'!B:B, 0)), "NoXtal", "Xtal")</f>
        <v>NoXtal</v>
      </c>
      <c r="AP131" s="3" t="str">
        <f t="shared" si="39"/>
        <v>-</v>
      </c>
      <c r="AQ131" s="3" t="str">
        <f t="shared" si="40"/>
        <v>-</v>
      </c>
      <c r="AR131" s="3">
        <f t="shared" si="41"/>
        <v>2</v>
      </c>
      <c r="AS131" s="3">
        <f t="shared" si="42"/>
        <v>1</v>
      </c>
      <c r="AT131" s="3">
        <f t="shared" si="43"/>
        <v>1</v>
      </c>
      <c r="AU131" s="3">
        <f t="shared" si="44"/>
        <v>1</v>
      </c>
      <c r="AV131" s="3">
        <f t="shared" si="45"/>
        <v>11</v>
      </c>
      <c r="AW131" s="3">
        <f t="shared" si="46"/>
        <v>1</v>
      </c>
      <c r="AX131" s="3">
        <f t="shared" si="47"/>
        <v>5</v>
      </c>
      <c r="AY131" s="3">
        <f t="shared" si="48"/>
        <v>4</v>
      </c>
      <c r="AZ131" s="3">
        <f t="shared" si="49"/>
        <v>1</v>
      </c>
      <c r="BA131" s="3">
        <f>IF(ISERROR(LEN(VLOOKUP(A131,Seqs!A:E,2,FALSE))-AL131),"-",LEN(VLOOKUP(A131,Seqs!A:E,2,FALSE))-AL131)</f>
        <v>24</v>
      </c>
      <c r="BB131" s="16">
        <f t="shared" si="50"/>
        <v>28</v>
      </c>
      <c r="BC131" s="9">
        <f t="shared" si="51"/>
        <v>20</v>
      </c>
      <c r="BD131" s="3">
        <f t="shared" si="52"/>
        <v>28</v>
      </c>
      <c r="BE131" s="3">
        <f t="shared" si="53"/>
        <v>46</v>
      </c>
      <c r="BF131" s="3">
        <f>AH131-AE131</f>
        <v>44</v>
      </c>
    </row>
    <row r="132" spans="1:58" s="3" customFormat="1" x14ac:dyDescent="0.2">
      <c r="A132" s="3" t="s">
        <v>241</v>
      </c>
      <c r="B132" s="3" t="str">
        <f>LOWER(VLOOKUP(A132,Xtal_Templ!A:B,2,FALSE))</f>
        <v>oprk_human</v>
      </c>
      <c r="C132" s="3">
        <f>VLOOKUP($A132,'SegEnds_NonXtal_BW#'!$A:$Z,3,FALSE)+D132-50</f>
        <v>20</v>
      </c>
      <c r="D132" s="3">
        <v>40</v>
      </c>
      <c r="E132" s="3">
        <f>IF(ISERROR(VLOOKUP($A132,'SegEnds_NonXtal_BW#'!$A:$Z,4,FALSE)+VLOOKUP($A132,A:AL,4,FALSE)-50),"-",(VLOOKUP($A132,'SegEnds_NonXtal_BW#'!$A:$Z,4,FALSE)+VLOOKUP($A132,A:AL,4,FALSE)-50))</f>
        <v>50</v>
      </c>
      <c r="F132" s="3" t="str">
        <f>IF(ISERROR(VLOOKUP($A132,'SegEnds_NonXtal_BW#'!$A:$Z,5,FALSE)+VLOOKUP($A132,A:AL,7,FALSE)-50),"-",(VLOOKUP($A132,'SegEnds_NonXtal_BW#'!$A:$Z,5,FALSE)+VLOOKUP($A132,A:AL,7,FALSE)-50))</f>
        <v>-</v>
      </c>
      <c r="G132" s="3" t="s">
        <v>23</v>
      </c>
      <c r="H132" s="3" t="str">
        <f>IF(ISERROR(VLOOKUP($A132,'SegEnds_NonXtal_BW#'!$A:$Z,6,FALSE)+VLOOKUP($A132,A:AL,7,FALSE)-50),"-",(VLOOKUP($A132,'SegEnds_NonXtal_BW#'!$A:$Z,6,FALSE)+VLOOKUP($A132,A:AL,7,FALSE)-50))</f>
        <v>-</v>
      </c>
      <c r="I132" s="3">
        <f>VLOOKUP($A132,'SegEnds_NonXtal_BW#'!$A:$Z,7,FALSE)+J132-50</f>
        <v>55</v>
      </c>
      <c r="J132" s="3">
        <v>68</v>
      </c>
      <c r="K132" s="3">
        <f>VLOOKUP($A132,'SegEnds_NonXtal_BW#'!$A:$Z,8,FALSE)+VLOOKUP($A132,A:AL,10,FALSE)-50</f>
        <v>84</v>
      </c>
      <c r="L132" s="3">
        <f t="shared" si="78"/>
        <v>86</v>
      </c>
      <c r="M132" s="3">
        <v>87</v>
      </c>
      <c r="N132" s="3">
        <f t="shared" si="79"/>
        <v>89</v>
      </c>
      <c r="O132" s="3">
        <f t="shared" si="80"/>
        <v>90</v>
      </c>
      <c r="P132" s="3">
        <v>119</v>
      </c>
      <c r="Q132" s="3">
        <f>VLOOKUP($A132,'SegEnds_NonXtal_BW#'!$A:$Z,12,FALSE)+VLOOKUP($A132,A:AL,16,FALSE)-50</f>
        <v>125</v>
      </c>
      <c r="R132" s="3">
        <f>IF(ISERROR(VLOOKUP($A132,'SegEnds_NonXtal_BW#'!$A:$Z,13,FALSE)+VLOOKUP($A132,A:AL,19,FALSE)-50),"-",VLOOKUP($A132,'SegEnds_NonXtal_BW#'!$A:$Z,13,FALSE)+VLOOKUP($A132,A:AL,19,FALSE)-50)</f>
        <v>126</v>
      </c>
      <c r="S132" s="3">
        <v>126</v>
      </c>
      <c r="T132" s="100">
        <f>IF(ISERROR(VLOOKUP($A132,'SegEnds_NonXtal_BW#'!$A:$Z,14,FALSE)+VLOOKUP($A132,A:AL,19,FALSE)-50),"-",(VLOOKUP($A132,'SegEnds_NonXtal_BW#'!$A:$Z,14,FALSE)+VLOOKUP($A132,A:AL,19,FALSE)-50))</f>
        <v>133</v>
      </c>
      <c r="U132" s="9">
        <f>IF(ISERROR(VLOOKUP($A132,'SegEnds_NonXtal_BW#'!$A:$Z,15,FALSE)+VLOOKUP($A132,A:AL,22,FALSE)-50),"-",VLOOKUP($A132,'SegEnds_NonXtal_BW#'!$A:$Z,15,FALSE)+VLOOKUP($A132,A:AL,22,FALSE)-50)</f>
        <v>134</v>
      </c>
      <c r="V132" s="3">
        <v>146</v>
      </c>
      <c r="W132" s="3">
        <f>IF(ISERROR(VLOOKUP($A132,'SegEnds_NonXtal_BW#'!$A:$Z,16,FALSE)+VLOOKUP($A132,A:AL,22,FALSE)-50),"-",(VLOOKUP($A132,'SegEnds_NonXtal_BW#'!$A:$Z,16,FALSE)+VLOOKUP($A132,A:AL,22,FALSE)-50))</f>
        <v>160</v>
      </c>
      <c r="X132" s="3">
        <f>IF(ISERROR(VLOOKUP($A132,'SegEnds_NonXtal_BW#'!$A:$Z,17,FALSE)+VLOOKUP($A132,A:AL,25,FALSE)-50),"-",(VLOOKUP($A132,'SegEnds_NonXtal_BW#'!$A:$Z,17,FALSE)+VLOOKUP($A132,A:AL,25,FALSE)-50))</f>
        <v>172</v>
      </c>
      <c r="Y132" s="3">
        <v>172</v>
      </c>
      <c r="Z132" s="3">
        <f>Y132+2</f>
        <v>174</v>
      </c>
      <c r="AA132" s="3">
        <f>IF(ISERROR(VLOOKUP($A132,'SegEnds_NonXtal_BW#'!$A:$Z,19,FALSE)+VLOOKUP($A132,A:AL,28,FALSE)-50),"-",(VLOOKUP($A132,'SegEnds_NonXtal_BW#'!$A:$Z,19,FALSE)+VLOOKUP($A132,A:AL,28,FALSE)-50))</f>
        <v>179</v>
      </c>
      <c r="AB132" s="3">
        <v>199</v>
      </c>
      <c r="AC132" s="3">
        <f>IF(ISERROR((VLOOKUP($A132,'SegEnds_NonXtal_BW#'!$A:$Z,20,FALSE)+VLOOKUP($A132,A:AL,28,FALSE)-50)),"-",(VLOOKUP($A132,'SegEnds_NonXtal_BW#'!$A:$Z,20,FALSE)+VLOOKUP($A132,A:AL,28,FALSE)-50))</f>
        <v>217</v>
      </c>
      <c r="AD132" s="3">
        <f>IF(ISERROR(VLOOKUP($A132,'SegEnds_NonXtal_BW#'!$A:$Z,21,FALSE)+VLOOKUP($A132,A:AL,31,FALSE)-50),"-",(VLOOKUP($A132,'SegEnds_NonXtal_BW#'!$A:$Z,21,FALSE)+VLOOKUP($A132,A:AL,31,FALSE)-50))</f>
        <v>221</v>
      </c>
      <c r="AE132" s="3">
        <v>247</v>
      </c>
      <c r="AF132" s="3">
        <f>IF(ISERROR((VLOOKUP($A132,'SegEnds_NonXtal_BW#'!$A:$Z,22,FALSE)+VLOOKUP($A132,A:AL,31,FALSE)-50)),"-",(VLOOKUP($A132,'SegEnds_NonXtal_BW#'!$A:$Z,22,FALSE)+VLOOKUP($A132,A:AL,31,FALSE)-50))</f>
        <v>258</v>
      </c>
      <c r="AG132" s="3">
        <f>IF(ISERROR(VLOOKUP($A132,'SegEnds_NonXtal_BW#'!$A:$Z,23,FALSE)+VLOOKUP($A132,A:AL,34,FALSE)-50),"-",(VLOOKUP($A132,'SegEnds_NonXtal_BW#'!$A:$Z,23,FALSE)+VLOOKUP($A132,A:AL,34,FALSE)-50))</f>
        <v>264</v>
      </c>
      <c r="AH132" s="3">
        <v>283</v>
      </c>
      <c r="AI132" s="3">
        <f>IF(ISERROR((VLOOKUP($A132,'SegEnds_NonXtal_BW#'!$A:$Z,24,FALSE)+VLOOKUP($A132,A:AL,34,FALSE)-50)),"-",(VLOOKUP($A132,'SegEnds_NonXtal_BW#'!$A:$Z,24,FALSE)+VLOOKUP($A132,A:AL,34,FALSE)-50))</f>
        <v>289</v>
      </c>
      <c r="AJ132" s="3">
        <f>IF(ISERROR(VLOOKUP($A132,'SegEnds_NonXtal_BW#'!$A:$Z,25,FALSE)+VLOOKUP($A132,A:AL,37,FALSE)-50),"-",(VLOOKUP($A132,'SegEnds_NonXtal_BW#'!$A:$Z,25,FALSE)+VLOOKUP($A132,A:AL,37,FALSE)-50))</f>
        <v>290</v>
      </c>
      <c r="AK132" s="3">
        <v>293</v>
      </c>
      <c r="AL132" s="3">
        <f>IF(ISERROR((VLOOKUP($A132,'SegEnds_NonXtal_BW#'!$A:$Z,26,FALSE)+VLOOKUP($A132,A:AL,37,FALSE)-50)),"-",(VLOOKUP($A132,'SegEnds_NonXtal_BW#'!$A:$Z,26,FALSE)+VLOOKUP($A132,A:AL,37,FALSE)-50))</f>
        <v>302</v>
      </c>
      <c r="AM132" s="28" t="str">
        <f>VLOOKUP(A132,Classification!A:B,2,FALSE)</f>
        <v>A</v>
      </c>
      <c r="AN132" s="28" t="b">
        <f t="shared" si="55"/>
        <v>1</v>
      </c>
      <c r="AO132" s="3" t="str">
        <f>IF(ISERROR(MATCH(A132,'SegEnds_Xtal_Prot#'!B:B, 0)), "NoXtal", "Xtal")</f>
        <v>NoXtal</v>
      </c>
      <c r="AP132" s="3" t="str">
        <f t="shared" ref="AP132:AP195" si="81">IF(ISERROR(F132-E132),"-",F132-E132)</f>
        <v>-</v>
      </c>
      <c r="AQ132" s="3" t="str">
        <f t="shared" ref="AQ132:AQ195" si="82">IF(ISERROR(I132-H132),"-",I132-H132)</f>
        <v>-</v>
      </c>
      <c r="AR132" s="3">
        <f t="shared" ref="AR132:AR195" si="83">IF(ISERROR(L132-K132),"-",L132-K132)</f>
        <v>2</v>
      </c>
      <c r="AS132" s="3">
        <f t="shared" ref="AS132:AS195" si="84">IF(ISERROR(O132-N132),"-",O132-N132)</f>
        <v>1</v>
      </c>
      <c r="AT132" s="3">
        <f t="shared" ref="AT132:AT195" si="85">IF(ISERROR(R132-Q132),"-",R132-Q132)</f>
        <v>1</v>
      </c>
      <c r="AU132" s="3">
        <f t="shared" ref="AU132:AU195" si="86">IF(ISERROR(U132-T132),"-",U132-T132)</f>
        <v>1</v>
      </c>
      <c r="AV132" s="3">
        <f t="shared" ref="AV132:AV195" si="87">IF(ISERROR(X132-W132),"-",X132-W132)</f>
        <v>12</v>
      </c>
      <c r="AW132" s="3">
        <f t="shared" ref="AW132:AW195" si="88">IF(ISERROR(AA132-Z132),"-",AA132-Z132)</f>
        <v>5</v>
      </c>
      <c r="AX132" s="3">
        <f t="shared" ref="AX132:AX195" si="89">IF(ISERROR(AD132-AC132),"-",AD132-AC132)</f>
        <v>4</v>
      </c>
      <c r="AY132" s="3">
        <f t="shared" ref="AY132:AY195" si="90">IF(ISERROR(AG132-AF132),"-",AG132-AF132)</f>
        <v>6</v>
      </c>
      <c r="AZ132" s="3">
        <f t="shared" ref="AZ132:AZ195" si="91">IF(ISERROR(AJ132-AI132),"-",AJ132-AI132)</f>
        <v>1</v>
      </c>
      <c r="BA132" s="3">
        <f>IF(ISERROR(LEN(VLOOKUP(A132,Seqs!A:E,2,FALSE))-AL132),"-",LEN(VLOOKUP(A132,Seqs!A:E,2,FALSE))-AL132)</f>
        <v>29</v>
      </c>
      <c r="BB132" s="16">
        <f t="shared" ref="BB132:BB195" si="92">J132-D132</f>
        <v>28</v>
      </c>
      <c r="BC132" s="9">
        <f t="shared" ref="BC132:BC195" si="93">IF(ISERROR(V132-S132),"-",V132-S132)</f>
        <v>20</v>
      </c>
      <c r="BD132" s="3">
        <f t="shared" ref="BD132:BD195" si="94">J132-D132</f>
        <v>28</v>
      </c>
      <c r="BE132" s="3">
        <f t="shared" ref="BE132:BE195" si="95">AE132-AB132</f>
        <v>48</v>
      </c>
      <c r="BF132" s="3">
        <f>AH132-AE132</f>
        <v>36</v>
      </c>
    </row>
    <row r="133" spans="1:58" s="3" customFormat="1" x14ac:dyDescent="0.2">
      <c r="A133" s="3" t="s">
        <v>243</v>
      </c>
      <c r="B133" s="3" t="str">
        <f>LOWER(VLOOKUP(A133,Xtal_Templ!A:B,2,FALSE))</f>
        <v>oprk_human</v>
      </c>
      <c r="C133" s="3">
        <f>VLOOKUP($A133,'SegEnds_NonXtal_BW#'!$A:$Z,3,FALSE)+D133-50</f>
        <v>51</v>
      </c>
      <c r="D133" s="3">
        <v>71</v>
      </c>
      <c r="E133" s="3">
        <f>IF(ISERROR(VLOOKUP($A133,'SegEnds_NonXtal_BW#'!$A:$Z,4,FALSE)+VLOOKUP($A133,A:AL,4,FALSE)-50),"-",(VLOOKUP($A133,'SegEnds_NonXtal_BW#'!$A:$Z,4,FALSE)+VLOOKUP($A133,A:AL,4,FALSE)-50))</f>
        <v>81</v>
      </c>
      <c r="F133" s="3">
        <f t="shared" ref="F133:F138" si="96">G133-2</f>
        <v>82</v>
      </c>
      <c r="G133" s="3">
        <v>84</v>
      </c>
      <c r="H133" s="3">
        <f t="shared" ref="H133:I138" si="97">G133+1</f>
        <v>85</v>
      </c>
      <c r="I133" s="3">
        <f t="shared" si="97"/>
        <v>86</v>
      </c>
      <c r="J133" s="3">
        <v>99</v>
      </c>
      <c r="K133" s="3">
        <f>VLOOKUP($A133,'SegEnds_NonXtal_BW#'!$A:$Z,8,FALSE)+VLOOKUP($A133,A:AL,10,FALSE)-50</f>
        <v>115</v>
      </c>
      <c r="L133" s="3" t="str">
        <f>IF(ISERROR(VLOOKUP($A133,'SegEnds_NonXtal_BW#'!$A:$Z,9,FALSE)+VLOOKUP($A133,A:AL,13,FALSE)-50),"-",(VLOOKUP($A133,'SegEnds_NonXtal_BW#'!$A:$Z,9,FALSE)+VLOOKUP($A133,A:AL,13,FALSE)-50))</f>
        <v>-</v>
      </c>
      <c r="M133" s="3" t="s">
        <v>23</v>
      </c>
      <c r="N133" s="3" t="str">
        <f>IF(ISERROR(VLOOKUP($A133,'SegEnds_NonXtal_BW#'!$A:$Z,10,FALSE)+VLOOKUP($A133,A:AL,13,FALSE)-50),"-",(VLOOKUP($A133,'SegEnds_NonXtal_BW#'!$A:$Z,10,FALSE)+VLOOKUP($A133,A:AL,13,FALSE)-50))</f>
        <v>-</v>
      </c>
      <c r="O133" s="3">
        <f>VLOOKUP($A133,'SegEnds_NonXtal_BW#'!$A:$Z,11,FALSE)+VLOOKUP($A133,A:AL,16,FALSE)-50</f>
        <v>122</v>
      </c>
      <c r="P133" s="3">
        <v>148</v>
      </c>
      <c r="Q133" s="3">
        <f>VLOOKUP($A133,'SegEnds_NonXtal_BW#'!$A:$Z,12,FALSE)+VLOOKUP($A133,A:AL,16,FALSE)-50</f>
        <v>154</v>
      </c>
      <c r="R133" s="3">
        <f>IF(ISERROR(VLOOKUP($A133,'SegEnds_NonXtal_BW#'!$A:$Z,13,FALSE)+VLOOKUP($A133,A:AL,19,FALSE)-50),"-",VLOOKUP($A133,'SegEnds_NonXtal_BW#'!$A:$Z,13,FALSE)+VLOOKUP($A133,A:AL,19,FALSE)-50)</f>
        <v>155</v>
      </c>
      <c r="S133" s="3">
        <v>155</v>
      </c>
      <c r="T133" s="100">
        <f>IF(ISERROR(VLOOKUP($A133,'SegEnds_NonXtal_BW#'!$A:$Z,14,FALSE)+VLOOKUP($A133,A:AL,19,FALSE)-50),"-",(VLOOKUP($A133,'SegEnds_NonXtal_BW#'!$A:$Z,14,FALSE)+VLOOKUP($A133,A:AL,19,FALSE)-50))</f>
        <v>162</v>
      </c>
      <c r="U133" s="9">
        <f>IF(ISERROR(VLOOKUP($A133,'SegEnds_NonXtal_BW#'!$A:$Z,15,FALSE)+VLOOKUP($A133,A:AL,22,FALSE)-50),"-",VLOOKUP($A133,'SegEnds_NonXtal_BW#'!$A:$Z,15,FALSE)+VLOOKUP($A133,A:AL,22,FALSE)-50)</f>
        <v>163</v>
      </c>
      <c r="V133" s="3">
        <v>175</v>
      </c>
      <c r="W133" s="3">
        <f>IF(ISERROR(VLOOKUP($A133,'SegEnds_NonXtal_BW#'!$A:$Z,16,FALSE)+VLOOKUP($A133,A:AL,22,FALSE)-50),"-",(VLOOKUP($A133,'SegEnds_NonXtal_BW#'!$A:$Z,16,FALSE)+VLOOKUP($A133,A:AL,22,FALSE)-50))</f>
        <v>189</v>
      </c>
      <c r="X133" s="3" t="str">
        <f>IF(ISERROR(VLOOKUP($A133,'SegEnds_NonXtal_BW#'!$A:$Z,17,FALSE)+VLOOKUP($A133,A:AL,25,FALSE)-50),"-",(VLOOKUP($A133,'SegEnds_NonXtal_BW#'!$A:$Z,17,FALSE)+VLOOKUP($A133,A:AL,25,FALSE)-50))</f>
        <v>-</v>
      </c>
      <c r="Y133" s="3" t="s">
        <v>23</v>
      </c>
      <c r="Z133" s="3" t="str">
        <f>IF(ISERROR(VLOOKUP($A133,'SegEnds_NonXtal_BW#'!$A:$Z,18,FALSE)+VLOOKUP($A133,A:AL,25,FALSE)-50),"-",(VLOOKUP($A133,'SegEnds_NonXtal_BW#'!$A:$Z,18,FALSE)+VLOOKUP($A133,A:AL,25,FALSE)-50))</f>
        <v>-</v>
      </c>
      <c r="AA133" s="3">
        <f>IF(ISERROR(VLOOKUP($A133,'SegEnds_NonXtal_BW#'!$A:$Z,19,FALSE)+VLOOKUP($A133,A:AL,28,FALSE)-50),"-",(VLOOKUP($A133,'SegEnds_NonXtal_BW#'!$A:$Z,19,FALSE)+VLOOKUP($A133,A:AL,28,FALSE)-50))</f>
        <v>196</v>
      </c>
      <c r="AB133" s="3">
        <v>208</v>
      </c>
      <c r="AC133" s="3">
        <f>IF(ISERROR((VLOOKUP($A133,'SegEnds_NonXtal_BW#'!$A:$Z,20,FALSE)+VLOOKUP($A133,A:AL,28,FALSE)-50)),"-",(VLOOKUP($A133,'SegEnds_NonXtal_BW#'!$A:$Z,20,FALSE)+VLOOKUP($A133,A:AL,28,FALSE)-50))</f>
        <v>226</v>
      </c>
      <c r="AD133" s="3">
        <f>IF(ISERROR(VLOOKUP($A133,'SegEnds_NonXtal_BW#'!$A:$Z,21,FALSE)+VLOOKUP($A133,A:AL,31,FALSE)-50),"-",(VLOOKUP($A133,'SegEnds_NonXtal_BW#'!$A:$Z,21,FALSE)+VLOOKUP($A133,A:AL,31,FALSE)-50))</f>
        <v>230</v>
      </c>
      <c r="AE133" s="3">
        <v>256</v>
      </c>
      <c r="AF133" s="3">
        <f>IF(ISERROR((VLOOKUP($A133,'SegEnds_NonXtal_BW#'!$A:$Z,22,FALSE)+VLOOKUP($A133,A:AL,31,FALSE)-50)),"-",(VLOOKUP($A133,'SegEnds_NonXtal_BW#'!$A:$Z,22,FALSE)+VLOOKUP($A133,A:AL,31,FALSE)-50))</f>
        <v>267</v>
      </c>
      <c r="AG133" s="3">
        <f>IF(ISERROR(VLOOKUP($A133,'SegEnds_NonXtal_BW#'!$A:$Z,23,FALSE)+VLOOKUP($A133,A:AL,34,FALSE)-50),"-",(VLOOKUP($A133,'SegEnds_NonXtal_BW#'!$A:$Z,23,FALSE)+VLOOKUP($A133,A:AL,34,FALSE)-50))</f>
        <v>272</v>
      </c>
      <c r="AH133" s="3">
        <v>294</v>
      </c>
      <c r="AI133" s="3">
        <f>IF(ISERROR((VLOOKUP($A133,'SegEnds_NonXtal_BW#'!$A:$Z,24,FALSE)+VLOOKUP($A133,A:AL,34,FALSE)-50)),"-",(VLOOKUP($A133,'SegEnds_NonXtal_BW#'!$A:$Z,24,FALSE)+VLOOKUP($A133,A:AL,34,FALSE)-50))</f>
        <v>300</v>
      </c>
      <c r="AJ133" s="3">
        <f>IF(ISERROR(VLOOKUP($A133,'SegEnds_NonXtal_BW#'!$A:$Z,25,FALSE)+VLOOKUP($A133,A:AL,37,FALSE)-50),"-",(VLOOKUP($A133,'SegEnds_NonXtal_BW#'!$A:$Z,25,FALSE)+VLOOKUP($A133,A:AL,37,FALSE)-50))</f>
        <v>301</v>
      </c>
      <c r="AK133" s="3">
        <v>304</v>
      </c>
      <c r="AL133" s="3">
        <f>IF(ISERROR((VLOOKUP($A133,'SegEnds_NonXtal_BW#'!$A:$Z,26,FALSE)+VLOOKUP($A133,A:AL,37,FALSE)-50)),"-",(VLOOKUP($A133,'SegEnds_NonXtal_BW#'!$A:$Z,26,FALSE)+VLOOKUP($A133,A:AL,37,FALSE)-50))</f>
        <v>313</v>
      </c>
      <c r="AM133" s="28" t="str">
        <f>VLOOKUP(A133,Classification!A:B,2,FALSE)</f>
        <v>A</v>
      </c>
      <c r="AN133" s="28" t="b">
        <f t="shared" ref="AN133:AN196" si="98">AND(IF(Y133="-",IF(AA133-W133&gt;3,TRUE,FALSE),TRUE),IF(M133="-",IF(O133-K133&gt;3,TRUE,FALSE),TRUE),IF(AG133-AF133&gt;1,TRUE,FALSE),C133&lt;E133,OR(E133&lt;F133,F133="-"),OR(F133&lt;H133,F133="-"),OR(H133&lt;I133,H133="-"),I133&lt;K133,OR(K133&lt;L133,L133="-"),OR(L133&lt;N133,L133="-"),OR(N133&lt;O133,N133="-"),O133&lt;Q133,OR(Q133&lt;R133,R133="-"),OR(R133&lt;T133,R133="-"),OR(T133&lt;U133,T133="-"),U133&lt;W133,OR(W133&lt;X133,X133="-"),OR(X133&lt;Z133,X133="-"),OR(Z133&lt;AA133,Z133="-"),AA133&lt;AC133,AC133&lt;AD133,AD133&lt;AF133,AF133&lt;AG133,AG133&lt;AI133,OR(AI133&lt;AJ133,AJ133="-"),OR(AJ133&lt;AL133,AJ133="-"))</f>
        <v>1</v>
      </c>
      <c r="AO133" s="3" t="str">
        <f>IF(ISERROR(MATCH(A133,'SegEnds_Xtal_Prot#'!B:B, 0)), "NoXtal", "Xtal")</f>
        <v>NoXtal</v>
      </c>
      <c r="AP133" s="3">
        <f t="shared" si="81"/>
        <v>1</v>
      </c>
      <c r="AQ133" s="3">
        <f t="shared" si="82"/>
        <v>1</v>
      </c>
      <c r="AR133" s="3" t="str">
        <f t="shared" si="83"/>
        <v>-</v>
      </c>
      <c r="AS133" s="3" t="str">
        <f t="shared" si="84"/>
        <v>-</v>
      </c>
      <c r="AT133" s="3">
        <f t="shared" si="85"/>
        <v>1</v>
      </c>
      <c r="AU133" s="3">
        <f t="shared" si="86"/>
        <v>1</v>
      </c>
      <c r="AV133" s="3" t="str">
        <f t="shared" si="87"/>
        <v>-</v>
      </c>
      <c r="AW133" s="3" t="str">
        <f t="shared" si="88"/>
        <v>-</v>
      </c>
      <c r="AX133" s="3">
        <f t="shared" si="89"/>
        <v>4</v>
      </c>
      <c r="AY133" s="3">
        <f t="shared" si="90"/>
        <v>5</v>
      </c>
      <c r="AZ133" s="3">
        <f t="shared" si="91"/>
        <v>1</v>
      </c>
      <c r="BA133" s="3">
        <f>IF(ISERROR(LEN(VLOOKUP(A133,Seqs!A:E,2,FALSE))-AL133),"-",LEN(VLOOKUP(A133,Seqs!A:E,2,FALSE))-AL133)</f>
        <v>45</v>
      </c>
      <c r="BB133" s="16">
        <f t="shared" si="92"/>
        <v>28</v>
      </c>
      <c r="BC133" s="9">
        <f t="shared" si="93"/>
        <v>20</v>
      </c>
      <c r="BD133" s="3">
        <f t="shared" si="94"/>
        <v>28</v>
      </c>
      <c r="BE133" s="3">
        <f t="shared" si="95"/>
        <v>48</v>
      </c>
    </row>
    <row r="134" spans="1:58" s="3" customFormat="1" x14ac:dyDescent="0.2">
      <c r="A134" s="3" t="s">
        <v>244</v>
      </c>
      <c r="B134" s="3" t="str">
        <f>LOWER(VLOOKUP(A134,Xtal_Templ!A:B,2,FALSE))</f>
        <v>5ht2c_human</v>
      </c>
      <c r="C134" s="3">
        <f>VLOOKUP($A134,'SegEnds_NonXtal_BW#'!$A:$Z,3,FALSE)+D134-50</f>
        <v>29</v>
      </c>
      <c r="D134" s="3">
        <v>46</v>
      </c>
      <c r="E134" s="3">
        <f>IF(ISERROR(VLOOKUP($A134,'SegEnds_NonXtal_BW#'!$A:$Z,4,FALSE)+VLOOKUP($A134,A:AL,4,FALSE)-50),"-",(VLOOKUP($A134,'SegEnds_NonXtal_BW#'!$A:$Z,4,FALSE)+VLOOKUP($A134,A:AL,4,FALSE)-50))</f>
        <v>56</v>
      </c>
      <c r="F134" s="3">
        <f t="shared" si="96"/>
        <v>57</v>
      </c>
      <c r="G134" s="3">
        <v>59</v>
      </c>
      <c r="H134" s="3">
        <f t="shared" si="97"/>
        <v>60</v>
      </c>
      <c r="I134" s="3">
        <f t="shared" si="97"/>
        <v>61</v>
      </c>
      <c r="J134" s="3">
        <v>75</v>
      </c>
      <c r="K134" s="3">
        <f>VLOOKUP($A134,'SegEnds_NonXtal_BW#'!$A:$Z,8,FALSE)+VLOOKUP($A134,A:AL,10,FALSE)-50</f>
        <v>91</v>
      </c>
      <c r="L134" s="3" t="str">
        <f>IF(ISERROR(VLOOKUP($A134,'SegEnds_NonXtal_BW#'!$A:$Z,9,FALSE)+VLOOKUP($A134,A:AL,13,FALSE)-50),"-",(VLOOKUP($A134,'SegEnds_NonXtal_BW#'!$A:$Z,9,FALSE)+VLOOKUP($A134,A:AL,13,FALSE)-50))</f>
        <v>-</v>
      </c>
      <c r="M134" s="3" t="s">
        <v>23</v>
      </c>
      <c r="N134" s="3" t="str">
        <f>IF(ISERROR(VLOOKUP($A134,'SegEnds_NonXtal_BW#'!$A:$Z,10,FALSE)+VLOOKUP($A134,A:AL,13,FALSE)-50),"-",(VLOOKUP($A134,'SegEnds_NonXtal_BW#'!$A:$Z,10,FALSE)+VLOOKUP($A134,A:AL,13,FALSE)-50))</f>
        <v>-</v>
      </c>
      <c r="O134" s="3">
        <f>VLOOKUP($A134,'SegEnds_NonXtal_BW#'!$A:$Z,11,FALSE)+VLOOKUP($A134,A:AL,16,FALSE)-50</f>
        <v>95</v>
      </c>
      <c r="P134" s="3">
        <v>127</v>
      </c>
      <c r="Q134" s="3">
        <f>VLOOKUP($A134,'SegEnds_NonXtal_BW#'!$A:$Z,12,FALSE)+VLOOKUP($A134,A:AL,16,FALSE)-50</f>
        <v>133</v>
      </c>
      <c r="R134" s="3">
        <f>IF(ISERROR(VLOOKUP($A134,'SegEnds_NonXtal_BW#'!$A:$Z,13,FALSE)+VLOOKUP($A134,A:AL,19,FALSE)-50),"-",VLOOKUP($A134,'SegEnds_NonXtal_BW#'!$A:$Z,13,FALSE)+VLOOKUP($A134,A:AL,19,FALSE)-50)</f>
        <v>134</v>
      </c>
      <c r="S134" s="3">
        <v>134</v>
      </c>
      <c r="T134" s="100">
        <f>IF(ISERROR(VLOOKUP($A134,'SegEnds_NonXtal_BW#'!$A:$Z,14,FALSE)+VLOOKUP($A134,A:AL,19,FALSE)-50),"-",(VLOOKUP($A134,'SegEnds_NonXtal_BW#'!$A:$Z,14,FALSE)+VLOOKUP($A134,A:AL,19,FALSE)-50))</f>
        <v>141</v>
      </c>
      <c r="U134" s="9">
        <f>IF(ISERROR(VLOOKUP($A134,'SegEnds_NonXtal_BW#'!$A:$Z,15,FALSE)+VLOOKUP($A134,A:AL,22,FALSE)-50),"-",VLOOKUP($A134,'SegEnds_NonXtal_BW#'!$A:$Z,15,FALSE)+VLOOKUP($A134,A:AL,22,FALSE)-50)</f>
        <v>142</v>
      </c>
      <c r="V134" s="3">
        <v>154</v>
      </c>
      <c r="W134" s="3">
        <f>IF(ISERROR(VLOOKUP($A134,'SegEnds_NonXtal_BW#'!$A:$Z,16,FALSE)+VLOOKUP($A134,A:AL,22,FALSE)-50),"-",(VLOOKUP($A134,'SegEnds_NonXtal_BW#'!$A:$Z,16,FALSE)+VLOOKUP($A134,A:AL,22,FALSE)-50))</f>
        <v>171</v>
      </c>
      <c r="X134" s="3">
        <f>IF(ISERROR(VLOOKUP($A134,'SegEnds_NonXtal_BW#'!$A:$Z,17,FALSE)+VLOOKUP($A134,A:AL,25,FALSE)-50),"-",(VLOOKUP($A134,'SegEnds_NonXtal_BW#'!$A:$Z,17,FALSE)+VLOOKUP($A134,A:AL,25,FALSE)-50))</f>
        <v>181</v>
      </c>
      <c r="Y134" s="3">
        <v>181</v>
      </c>
      <c r="Z134" s="3">
        <f>Y134+2</f>
        <v>183</v>
      </c>
      <c r="AA134" s="3">
        <f>IF(ISERROR(VLOOKUP($A134,'SegEnds_NonXtal_BW#'!$A:$Z,19,FALSE)+VLOOKUP($A134,A:AL,28,FALSE)-50),"-",(VLOOKUP($A134,'SegEnds_NonXtal_BW#'!$A:$Z,19,FALSE)+VLOOKUP($A134,A:AL,28,FALSE)-50))</f>
        <v>187</v>
      </c>
      <c r="AB134" s="3">
        <v>202</v>
      </c>
      <c r="AC134" s="3">
        <f>IF(ISERROR((VLOOKUP($A134,'SegEnds_NonXtal_BW#'!$A:$Z,20,FALSE)+VLOOKUP($A134,A:AL,28,FALSE)-50)),"-",(VLOOKUP($A134,'SegEnds_NonXtal_BW#'!$A:$Z,20,FALSE)+VLOOKUP($A134,A:AL,28,FALSE)-50))</f>
        <v>226</v>
      </c>
      <c r="AD134" s="3">
        <f>IF(ISERROR(VLOOKUP($A134,'SegEnds_NonXtal_BW#'!$A:$Z,21,FALSE)+VLOOKUP($A134,A:AL,31,FALSE)-50),"-",(VLOOKUP($A134,'SegEnds_NonXtal_BW#'!$A:$Z,21,FALSE)+VLOOKUP($A134,A:AL,31,FALSE)-50))</f>
        <v>238</v>
      </c>
      <c r="AE134" s="3">
        <v>267</v>
      </c>
      <c r="AF134" s="3">
        <f>IF(ISERROR((VLOOKUP($A134,'SegEnds_NonXtal_BW#'!$A:$Z,22,FALSE)+VLOOKUP($A134,A:AL,31,FALSE)-50)),"-",(VLOOKUP($A134,'SegEnds_NonXtal_BW#'!$A:$Z,22,FALSE)+VLOOKUP($A134,A:AL,31,FALSE)-50))</f>
        <v>278</v>
      </c>
      <c r="AG134" s="3">
        <f>IF(ISERROR(VLOOKUP($A134,'SegEnds_NonXtal_BW#'!$A:$Z,23,FALSE)+VLOOKUP($A134,A:AL,34,FALSE)-50),"-",(VLOOKUP($A134,'SegEnds_NonXtal_BW#'!$A:$Z,23,FALSE)+VLOOKUP($A134,A:AL,34,FALSE)-50))</f>
        <v>283</v>
      </c>
      <c r="AH134" s="3">
        <v>301</v>
      </c>
      <c r="AI134" s="3">
        <f>IF(ISERROR((VLOOKUP($A134,'SegEnds_NonXtal_BW#'!$A:$Z,24,FALSE)+VLOOKUP($A134,A:AL,34,FALSE)-50)),"-",(VLOOKUP($A134,'SegEnds_NonXtal_BW#'!$A:$Z,24,FALSE)+VLOOKUP($A134,A:AL,34,FALSE)-50))</f>
        <v>307</v>
      </c>
      <c r="AJ134" s="3">
        <f>IF(ISERROR(VLOOKUP($A134,'SegEnds_NonXtal_BW#'!$A:$Z,25,FALSE)+VLOOKUP($A134,A:AL,37,FALSE)-50),"-",(VLOOKUP($A134,'SegEnds_NonXtal_BW#'!$A:$Z,25,FALSE)+VLOOKUP($A134,A:AL,37,FALSE)-50))</f>
        <v>308</v>
      </c>
      <c r="AK134" s="3">
        <v>311</v>
      </c>
      <c r="AL134" s="3">
        <f>IF(ISERROR((VLOOKUP($A134,'SegEnds_NonXtal_BW#'!$A:$Z,26,FALSE)+VLOOKUP($A134,A:AL,37,FALSE)-50)),"-",(VLOOKUP($A134,'SegEnds_NonXtal_BW#'!$A:$Z,26,FALSE)+VLOOKUP($A134,A:AL,37,FALSE)-50))</f>
        <v>321</v>
      </c>
      <c r="AM134" s="28" t="str">
        <f>VLOOKUP(A134,Classification!A:B,2,FALSE)</f>
        <v>A</v>
      </c>
      <c r="AN134" s="28" t="b">
        <f t="shared" si="98"/>
        <v>1</v>
      </c>
      <c r="AO134" s="3" t="str">
        <f>IF(ISERROR(MATCH(A134,'SegEnds_Xtal_Prot#'!B:B, 0)), "NoXtal", "Xtal")</f>
        <v>NoXtal</v>
      </c>
      <c r="AP134" s="3">
        <f t="shared" si="81"/>
        <v>1</v>
      </c>
      <c r="AQ134" s="3">
        <f t="shared" si="82"/>
        <v>1</v>
      </c>
      <c r="AR134" s="3" t="str">
        <f t="shared" si="83"/>
        <v>-</v>
      </c>
      <c r="AS134" s="3" t="str">
        <f t="shared" si="84"/>
        <v>-</v>
      </c>
      <c r="AT134" s="3">
        <f t="shared" si="85"/>
        <v>1</v>
      </c>
      <c r="AU134" s="3">
        <f t="shared" si="86"/>
        <v>1</v>
      </c>
      <c r="AV134" s="3">
        <f t="shared" si="87"/>
        <v>10</v>
      </c>
      <c r="AW134" s="3">
        <f t="shared" si="88"/>
        <v>4</v>
      </c>
      <c r="AX134" s="3">
        <f t="shared" si="89"/>
        <v>12</v>
      </c>
      <c r="AY134" s="3">
        <f t="shared" si="90"/>
        <v>5</v>
      </c>
      <c r="AZ134" s="3">
        <f t="shared" si="91"/>
        <v>1</v>
      </c>
      <c r="BA134" s="3">
        <f>IF(ISERROR(LEN(VLOOKUP(A134,Seqs!A:E,2,FALSE))-AL134),"-",LEN(VLOOKUP(A134,Seqs!A:E,2,FALSE))-AL134)</f>
        <v>28</v>
      </c>
      <c r="BB134" s="16">
        <f t="shared" si="92"/>
        <v>29</v>
      </c>
      <c r="BC134" s="9">
        <f t="shared" si="93"/>
        <v>20</v>
      </c>
      <c r="BD134" s="3">
        <f t="shared" si="94"/>
        <v>29</v>
      </c>
      <c r="BE134" s="3">
        <f t="shared" si="95"/>
        <v>65</v>
      </c>
    </row>
    <row r="135" spans="1:58" s="3" customFormat="1" x14ac:dyDescent="0.2">
      <c r="A135" s="3" t="s">
        <v>246</v>
      </c>
      <c r="B135" s="3" t="str">
        <f>LOWER(VLOOKUP(A135,Xtal_Templ!A:B,2,FALSE))</f>
        <v>agtr1_human</v>
      </c>
      <c r="C135" s="3">
        <f>VLOOKUP($A135,'SegEnds_NonXtal_BW#'!$A:$Z,3,FALSE)+D135-50</f>
        <v>37</v>
      </c>
      <c r="D135" s="3">
        <v>57</v>
      </c>
      <c r="E135" s="3">
        <f>IF(ISERROR(VLOOKUP($A135,'SegEnds_NonXtal_BW#'!$A:$Z,4,FALSE)+VLOOKUP($A135,A:AL,4,FALSE)-50),"-",(VLOOKUP($A135,'SegEnds_NonXtal_BW#'!$A:$Z,4,FALSE)+VLOOKUP($A135,A:AL,4,FALSE)-50))</f>
        <v>67</v>
      </c>
      <c r="F135" s="3">
        <f t="shared" si="96"/>
        <v>68</v>
      </c>
      <c r="G135" s="3">
        <v>70</v>
      </c>
      <c r="H135" s="3">
        <f t="shared" si="97"/>
        <v>71</v>
      </c>
      <c r="I135" s="3">
        <f t="shared" si="97"/>
        <v>72</v>
      </c>
      <c r="J135" s="3">
        <v>85</v>
      </c>
      <c r="K135" s="3">
        <f>VLOOKUP($A135,'SegEnds_NonXtal_BW#'!$A:$Z,8,FALSE)+VLOOKUP($A135,A:AL,10,FALSE)-50</f>
        <v>101</v>
      </c>
      <c r="L135" s="3">
        <f>M135-1</f>
        <v>104</v>
      </c>
      <c r="M135" s="3">
        <v>105</v>
      </c>
      <c r="N135" s="3">
        <f>M135+2</f>
        <v>107</v>
      </c>
      <c r="O135" s="3">
        <f>N135+1</f>
        <v>108</v>
      </c>
      <c r="P135" s="3">
        <v>137</v>
      </c>
      <c r="Q135" s="3">
        <f>VLOOKUP($A135,'SegEnds_NonXtal_BW#'!$A:$Z,12,FALSE)+VLOOKUP($A135,A:AL,16,FALSE)-50</f>
        <v>143</v>
      </c>
      <c r="R135" s="3">
        <f>IF(ISERROR(VLOOKUP($A135,'SegEnds_NonXtal_BW#'!$A:$Z,13,FALSE)+VLOOKUP($A135,A:AL,19,FALSE)-50),"-",VLOOKUP($A135,'SegEnds_NonXtal_BW#'!$A:$Z,13,FALSE)+VLOOKUP($A135,A:AL,19,FALSE)-50)</f>
        <v>144</v>
      </c>
      <c r="S135" s="3">
        <v>144</v>
      </c>
      <c r="T135" s="100">
        <f>IF(ISERROR(VLOOKUP($A135,'SegEnds_NonXtal_BW#'!$A:$Z,14,FALSE)+VLOOKUP($A135,A:AL,19,FALSE)-50),"-",(VLOOKUP($A135,'SegEnds_NonXtal_BW#'!$A:$Z,14,FALSE)+VLOOKUP($A135,A:AL,19,FALSE)-50))</f>
        <v>151</v>
      </c>
      <c r="U135" s="9">
        <f>IF(ISERROR(VLOOKUP($A135,'SegEnds_NonXtal_BW#'!$A:$Z,15,FALSE)+VLOOKUP($A135,A:AL,22,FALSE)-50),"-",VLOOKUP($A135,'SegEnds_NonXtal_BW#'!$A:$Z,15,FALSE)+VLOOKUP($A135,A:AL,22,FALSE)-50)</f>
        <v>152</v>
      </c>
      <c r="V135" s="3">
        <v>164</v>
      </c>
      <c r="W135" s="3">
        <f>IF(ISERROR(VLOOKUP($A135,'SegEnds_NonXtal_BW#'!$A:$Z,16,FALSE)+VLOOKUP($A135,A:AL,22,FALSE)-50),"-",(VLOOKUP($A135,'SegEnds_NonXtal_BW#'!$A:$Z,16,FALSE)+VLOOKUP($A135,A:AL,22,FALSE)-50))</f>
        <v>178</v>
      </c>
      <c r="X135" s="3">
        <f>IF(ISERROR(VLOOKUP($A135,'SegEnds_NonXtal_BW#'!$A:$Z,17,FALSE)+VLOOKUP($A135,A:AL,25,FALSE)-50),"-",(VLOOKUP($A135,'SegEnds_NonXtal_BW#'!$A:$Z,17,FALSE)+VLOOKUP($A135,A:AL,25,FALSE)-50))</f>
        <v>191</v>
      </c>
      <c r="Y135" s="3">
        <v>191</v>
      </c>
      <c r="Z135" s="3">
        <f>Y135+2</f>
        <v>193</v>
      </c>
      <c r="AA135" s="3">
        <f>IF(ISERROR(VLOOKUP($A135,'SegEnds_NonXtal_BW#'!$A:$Z,19,FALSE)+VLOOKUP($A135,A:AL,28,FALSE)-50),"-",(VLOOKUP($A135,'SegEnds_NonXtal_BW#'!$A:$Z,19,FALSE)+VLOOKUP($A135,A:AL,28,FALSE)-50))</f>
        <v>198</v>
      </c>
      <c r="AB135" s="3">
        <v>214</v>
      </c>
      <c r="AC135" s="3">
        <f>IF(ISERROR((VLOOKUP($A135,'SegEnds_NonXtal_BW#'!$A:$Z,20,FALSE)+VLOOKUP($A135,A:AL,28,FALSE)-50)),"-",(VLOOKUP($A135,'SegEnds_NonXtal_BW#'!$A:$Z,20,FALSE)+VLOOKUP($A135,A:AL,28,FALSE)-50))</f>
        <v>231</v>
      </c>
      <c r="AD135" s="3">
        <f>IF(ISERROR(VLOOKUP($A135,'SegEnds_NonXtal_BW#'!$A:$Z,21,FALSE)+VLOOKUP($A135,A:AL,31,FALSE)-50),"-",(VLOOKUP($A135,'SegEnds_NonXtal_BW#'!$A:$Z,21,FALSE)+VLOOKUP($A135,A:AL,31,FALSE)-50))</f>
        <v>237</v>
      </c>
      <c r="AE135" s="3">
        <v>259</v>
      </c>
      <c r="AF135" s="3">
        <f>IF(ISERROR((VLOOKUP($A135,'SegEnds_NonXtal_BW#'!$A:$Z,22,FALSE)+VLOOKUP($A135,A:AL,31,FALSE)-50)),"-",(VLOOKUP($A135,'SegEnds_NonXtal_BW#'!$A:$Z,22,FALSE)+VLOOKUP($A135,A:AL,31,FALSE)-50))</f>
        <v>273</v>
      </c>
      <c r="AG135" s="3">
        <f>IF(ISERROR(VLOOKUP($A135,'SegEnds_NonXtal_BW#'!$A:$Z,23,FALSE)+VLOOKUP($A135,A:AL,34,FALSE)-50),"-",(VLOOKUP($A135,'SegEnds_NonXtal_BW#'!$A:$Z,23,FALSE)+VLOOKUP($A135,A:AL,34,FALSE)-50))</f>
        <v>278</v>
      </c>
      <c r="AH135" s="3">
        <v>304</v>
      </c>
      <c r="AI135" s="3">
        <f>IF(ISERROR((VLOOKUP($A135,'SegEnds_NonXtal_BW#'!$A:$Z,24,FALSE)+VLOOKUP($A135,A:AL,34,FALSE)-50)),"-",(VLOOKUP($A135,'SegEnds_NonXtal_BW#'!$A:$Z,24,FALSE)+VLOOKUP($A135,A:AL,34,FALSE)-50))</f>
        <v>310</v>
      </c>
      <c r="AJ135" s="3">
        <f>IF(ISERROR(VLOOKUP($A135,'SegEnds_NonXtal_BW#'!$A:$Z,25,FALSE)+VLOOKUP($A135,A:AL,37,FALSE)-50),"-",(VLOOKUP($A135,'SegEnds_NonXtal_BW#'!$A:$Z,25,FALSE)+VLOOKUP($A135,A:AL,37,FALSE)-50))</f>
        <v>311</v>
      </c>
      <c r="AK135" s="3">
        <v>314</v>
      </c>
      <c r="AL135" s="3">
        <f>IF(ISERROR((VLOOKUP($A135,'SegEnds_NonXtal_BW#'!$A:$Z,26,FALSE)+VLOOKUP($A135,A:AL,37,FALSE)-50)),"-",(VLOOKUP($A135,'SegEnds_NonXtal_BW#'!$A:$Z,26,FALSE)+VLOOKUP($A135,A:AL,37,FALSE)-50))</f>
        <v>325</v>
      </c>
      <c r="AM135" s="28" t="str">
        <f>VLOOKUP(A135,Classification!A:B,2,FALSE)</f>
        <v>A</v>
      </c>
      <c r="AN135" s="28" t="b">
        <f t="shared" si="98"/>
        <v>1</v>
      </c>
      <c r="AO135" s="3" t="str">
        <f>IF(ISERROR(MATCH(A135,'SegEnds_Xtal_Prot#'!B:B, 0)), "NoXtal", "Xtal")</f>
        <v>NoXtal</v>
      </c>
      <c r="AP135" s="3">
        <f t="shared" si="81"/>
        <v>1</v>
      </c>
      <c r="AQ135" s="3">
        <f t="shared" si="82"/>
        <v>1</v>
      </c>
      <c r="AR135" s="3">
        <f t="shared" si="83"/>
        <v>3</v>
      </c>
      <c r="AS135" s="3">
        <f t="shared" si="84"/>
        <v>1</v>
      </c>
      <c r="AT135" s="3">
        <f t="shared" si="85"/>
        <v>1</v>
      </c>
      <c r="AU135" s="3">
        <f t="shared" si="86"/>
        <v>1</v>
      </c>
      <c r="AV135" s="3">
        <f t="shared" si="87"/>
        <v>13</v>
      </c>
      <c r="AW135" s="3">
        <f t="shared" si="88"/>
        <v>5</v>
      </c>
      <c r="AX135" s="3">
        <f t="shared" si="89"/>
        <v>6</v>
      </c>
      <c r="AY135" s="3">
        <f t="shared" si="90"/>
        <v>5</v>
      </c>
      <c r="AZ135" s="3">
        <f t="shared" si="91"/>
        <v>1</v>
      </c>
      <c r="BA135" s="3">
        <f>IF(ISERROR(LEN(VLOOKUP(A135,Seqs!A:E,2,FALSE))-AL135),"-",LEN(VLOOKUP(A135,Seqs!A:E,2,FALSE))-AL135)</f>
        <v>36</v>
      </c>
      <c r="BB135" s="16">
        <f t="shared" si="92"/>
        <v>28</v>
      </c>
      <c r="BC135" s="9">
        <f t="shared" si="93"/>
        <v>20</v>
      </c>
      <c r="BD135" s="3">
        <f t="shared" si="94"/>
        <v>28</v>
      </c>
      <c r="BE135" s="3">
        <f t="shared" si="95"/>
        <v>45</v>
      </c>
    </row>
    <row r="136" spans="1:58" s="3" customFormat="1" x14ac:dyDescent="0.2">
      <c r="A136" s="3" t="s">
        <v>247</v>
      </c>
      <c r="B136" s="3" t="str">
        <f>LOWER(VLOOKUP(A136,Xtal_Templ!A:B,2,FALSE))</f>
        <v>drd2_human</v>
      </c>
      <c r="C136" s="3">
        <f>VLOOKUP($A136,'SegEnds_NonXtal_BW#'!$A:$Z,3,FALSE)+D136-50</f>
        <v>2</v>
      </c>
      <c r="D136" s="3">
        <v>23</v>
      </c>
      <c r="E136" s="3">
        <f>IF(ISERROR(VLOOKUP($A136,'SegEnds_NonXtal_BW#'!$A:$Z,4,FALSE)+VLOOKUP($A136,A:AL,4,FALSE)-50),"-",(VLOOKUP($A136,'SegEnds_NonXtal_BW#'!$A:$Z,4,FALSE)+VLOOKUP($A136,A:AL,4,FALSE)-50))</f>
        <v>33</v>
      </c>
      <c r="F136" s="3">
        <f t="shared" si="96"/>
        <v>34</v>
      </c>
      <c r="G136" s="3">
        <v>36</v>
      </c>
      <c r="H136" s="3">
        <f t="shared" si="97"/>
        <v>37</v>
      </c>
      <c r="I136" s="3">
        <f t="shared" si="97"/>
        <v>38</v>
      </c>
      <c r="J136" s="3">
        <v>52</v>
      </c>
      <c r="K136" s="3">
        <f>VLOOKUP($A136,'SegEnds_NonXtal_BW#'!$A:$Z,8,FALSE)+VLOOKUP($A136,A:AL,10,FALSE)-50</f>
        <v>70</v>
      </c>
      <c r="L136" s="3" t="str">
        <f>IF(ISERROR(VLOOKUP($A136,'SegEnds_NonXtal_BW#'!$A:$Z,9,FALSE)+VLOOKUP($A136,A:AL,13,FALSE)-50),"-",(VLOOKUP($A136,'SegEnds_NonXtal_BW#'!$A:$Z,9,FALSE)+VLOOKUP($A136,A:AL,13,FALSE)-50))</f>
        <v>-</v>
      </c>
      <c r="M136" s="3" t="s">
        <v>23</v>
      </c>
      <c r="N136" s="3" t="str">
        <f>IF(ISERROR(VLOOKUP($A136,'SegEnds_NonXtal_BW#'!$A:$Z,10,FALSE)+VLOOKUP($A136,A:AL,13,FALSE)-50),"-",(VLOOKUP($A136,'SegEnds_NonXtal_BW#'!$A:$Z,10,FALSE)+VLOOKUP($A136,A:AL,13,FALSE)-50))</f>
        <v>-</v>
      </c>
      <c r="O136" s="3">
        <f>VLOOKUP($A136,'SegEnds_NonXtal_BW#'!$A:$Z,11,FALSE)+VLOOKUP($A136,A:AL,16,FALSE)-50</f>
        <v>75</v>
      </c>
      <c r="P136" s="3">
        <v>104</v>
      </c>
      <c r="Q136" s="3">
        <f>VLOOKUP($A136,'SegEnds_NonXtal_BW#'!$A:$Z,12,FALSE)+VLOOKUP($A136,A:AL,16,FALSE)-50</f>
        <v>110</v>
      </c>
      <c r="R136" s="3">
        <f>IF(ISERROR(VLOOKUP($A136,'SegEnds_NonXtal_BW#'!$A:$Z,13,FALSE)+VLOOKUP($A136,A:AL,19,FALSE)-50),"-",VLOOKUP($A136,'SegEnds_NonXtal_BW#'!$A:$Z,13,FALSE)+VLOOKUP($A136,A:AL,19,FALSE)-50)</f>
        <v>111</v>
      </c>
      <c r="S136" s="3">
        <v>111</v>
      </c>
      <c r="T136" s="100">
        <f>IF(ISERROR(VLOOKUP($A136,'SegEnds_NonXtal_BW#'!$A:$Z,14,FALSE)+VLOOKUP($A136,A:AL,19,FALSE)-50),"-",(VLOOKUP($A136,'SegEnds_NonXtal_BW#'!$A:$Z,14,FALSE)+VLOOKUP($A136,A:AL,19,FALSE)-50))</f>
        <v>118</v>
      </c>
      <c r="U136" s="9">
        <f>IF(ISERROR(VLOOKUP($A136,'SegEnds_NonXtal_BW#'!$A:$Z,15,FALSE)+VLOOKUP($A136,A:AL,22,FALSE)-50),"-",VLOOKUP($A136,'SegEnds_NonXtal_BW#'!$A:$Z,15,FALSE)+VLOOKUP($A136,A:AL,22,FALSE)-50)</f>
        <v>119</v>
      </c>
      <c r="V136" s="3">
        <v>131</v>
      </c>
      <c r="W136" s="3">
        <f>IF(ISERROR(VLOOKUP($A136,'SegEnds_NonXtal_BW#'!$A:$Z,16,FALSE)+VLOOKUP($A136,A:AL,22,FALSE)-50),"-",(VLOOKUP($A136,'SegEnds_NonXtal_BW#'!$A:$Z,16,FALSE)+VLOOKUP($A136,A:AL,22,FALSE)-50))</f>
        <v>143</v>
      </c>
      <c r="X136" s="3">
        <f>IF(ISERROR(VLOOKUP($A136,'SegEnds_NonXtal_BW#'!$A:$Z,17,FALSE)+VLOOKUP($A136,A:AL,25,FALSE)-50),"-",(VLOOKUP($A136,'SegEnds_NonXtal_BW#'!$A:$Z,17,FALSE)+VLOOKUP($A136,A:AL,25,FALSE)-50))</f>
        <v>159</v>
      </c>
      <c r="Y136" s="3">
        <v>159</v>
      </c>
      <c r="Z136" s="3">
        <f>Y136+2</f>
        <v>161</v>
      </c>
      <c r="AA136" s="3">
        <f>IF(ISERROR(VLOOKUP($A136,'SegEnds_NonXtal_BW#'!$A:$Z,19,FALSE)+VLOOKUP($A136,A:AL,28,FALSE)-50),"-",(VLOOKUP($A136,'SegEnds_NonXtal_BW#'!$A:$Z,19,FALSE)+VLOOKUP($A136,A:AL,28,FALSE)-50))</f>
        <v>169</v>
      </c>
      <c r="AB136" s="3">
        <v>184</v>
      </c>
      <c r="AC136" s="3">
        <f>IF(ISERROR((VLOOKUP($A136,'SegEnds_NonXtal_BW#'!$A:$Z,20,FALSE)+VLOOKUP($A136,A:AL,28,FALSE)-50)),"-",(VLOOKUP($A136,'SegEnds_NonXtal_BW#'!$A:$Z,20,FALSE)+VLOOKUP($A136,A:AL,28,FALSE)-50))</f>
        <v>210</v>
      </c>
      <c r="AD136" s="3">
        <f>IF(ISERROR(VLOOKUP($A136,'SegEnds_NonXtal_BW#'!$A:$Z,21,FALSE)+VLOOKUP($A136,A:AL,31,FALSE)-50),"-",(VLOOKUP($A136,'SegEnds_NonXtal_BW#'!$A:$Z,21,FALSE)+VLOOKUP($A136,A:AL,31,FALSE)-50))</f>
        <v>230</v>
      </c>
      <c r="AE136" s="3">
        <v>256</v>
      </c>
      <c r="AF136" s="3">
        <f>IF(ISERROR((VLOOKUP($A136,'SegEnds_NonXtal_BW#'!$A:$Z,22,FALSE)+VLOOKUP($A136,A:AL,31,FALSE)-50)),"-",(VLOOKUP($A136,'SegEnds_NonXtal_BW#'!$A:$Z,22,FALSE)+VLOOKUP($A136,A:AL,31,FALSE)-50))</f>
        <v>267</v>
      </c>
      <c r="AG136" s="3">
        <f>IF(ISERROR(VLOOKUP($A136,'SegEnds_NonXtal_BW#'!$A:$Z,23,FALSE)+VLOOKUP($A136,A:AL,34,FALSE)-50),"-",(VLOOKUP($A136,'SegEnds_NonXtal_BW#'!$A:$Z,23,FALSE)+VLOOKUP($A136,A:AL,34,FALSE)-50))</f>
        <v>272</v>
      </c>
      <c r="AH136" s="3">
        <v>291</v>
      </c>
      <c r="AI136" s="3">
        <f>IF(ISERROR((VLOOKUP($A136,'SegEnds_NonXtal_BW#'!$A:$Z,24,FALSE)+VLOOKUP($A136,A:AL,34,FALSE)-50)),"-",(VLOOKUP($A136,'SegEnds_NonXtal_BW#'!$A:$Z,24,FALSE)+VLOOKUP($A136,A:AL,34,FALSE)-50))</f>
        <v>297</v>
      </c>
      <c r="AJ136" s="3">
        <f>IF(ISERROR(VLOOKUP($A136,'SegEnds_NonXtal_BW#'!$A:$Z,25,FALSE)+VLOOKUP($A136,A:AL,37,FALSE)-50),"-",(VLOOKUP($A136,'SegEnds_NonXtal_BW#'!$A:$Z,25,FALSE)+VLOOKUP($A136,A:AL,37,FALSE)-50))</f>
        <v>298</v>
      </c>
      <c r="AK136" s="3">
        <v>301</v>
      </c>
      <c r="AL136" s="3">
        <f>IF(ISERROR((VLOOKUP($A136,'SegEnds_NonXtal_BW#'!$A:$Z,26,FALSE)+VLOOKUP($A136,A:AL,37,FALSE)-50)),"-",(VLOOKUP($A136,'SegEnds_NonXtal_BW#'!$A:$Z,26,FALSE)+VLOOKUP($A136,A:AL,37,FALSE)-50))</f>
        <v>310</v>
      </c>
      <c r="AM136" s="28" t="str">
        <f>VLOOKUP(A136,Classification!A:B,2,FALSE)</f>
        <v>A</v>
      </c>
      <c r="AN136" s="28" t="b">
        <f t="shared" si="98"/>
        <v>1</v>
      </c>
      <c r="AO136" s="3" t="str">
        <f>IF(ISERROR(MATCH(A136,'SegEnds_Xtal_Prot#'!B:B, 0)), "NoXtal", "Xtal")</f>
        <v>NoXtal</v>
      </c>
      <c r="AP136" s="3">
        <f t="shared" si="81"/>
        <v>1</v>
      </c>
      <c r="AQ136" s="3">
        <f t="shared" si="82"/>
        <v>1</v>
      </c>
      <c r="AR136" s="3" t="str">
        <f t="shared" si="83"/>
        <v>-</v>
      </c>
      <c r="AS136" s="3" t="str">
        <f t="shared" si="84"/>
        <v>-</v>
      </c>
      <c r="AT136" s="3">
        <f t="shared" si="85"/>
        <v>1</v>
      </c>
      <c r="AU136" s="3">
        <f t="shared" si="86"/>
        <v>1</v>
      </c>
      <c r="AV136" s="3">
        <f t="shared" si="87"/>
        <v>16</v>
      </c>
      <c r="AW136" s="3">
        <f t="shared" si="88"/>
        <v>8</v>
      </c>
      <c r="AX136" s="3">
        <f t="shared" si="89"/>
        <v>20</v>
      </c>
      <c r="AY136" s="3">
        <f t="shared" si="90"/>
        <v>5</v>
      </c>
      <c r="AZ136" s="3">
        <f t="shared" si="91"/>
        <v>1</v>
      </c>
      <c r="BA136" s="3">
        <f>IF(ISERROR(LEN(VLOOKUP(A136,Seqs!A:E,2,FALSE))-AL136),"-",LEN(VLOOKUP(A136,Seqs!A:E,2,FALSE))-AL136)</f>
        <v>27</v>
      </c>
      <c r="BB136" s="16">
        <f t="shared" si="92"/>
        <v>29</v>
      </c>
      <c r="BC136" s="9">
        <f t="shared" si="93"/>
        <v>20</v>
      </c>
      <c r="BD136" s="3">
        <f t="shared" si="94"/>
        <v>29</v>
      </c>
      <c r="BE136" s="3">
        <f t="shared" si="95"/>
        <v>72</v>
      </c>
      <c r="BF136" s="3">
        <f>AH136-AE136</f>
        <v>35</v>
      </c>
    </row>
    <row r="137" spans="1:58" s="3" customFormat="1" x14ac:dyDescent="0.2">
      <c r="A137" s="3" t="s">
        <v>249</v>
      </c>
      <c r="B137" s="3" t="str">
        <f>LOWER(VLOOKUP(A137,Xtal_Templ!A:B,2,FALSE))</f>
        <v>lpar1_human</v>
      </c>
      <c r="C137" s="3">
        <f>VLOOKUP($A137,'SegEnds_NonXtal_BW#'!$A:$Z,3,FALSE)+D137-50</f>
        <v>38</v>
      </c>
      <c r="D137" s="3">
        <v>58</v>
      </c>
      <c r="E137" s="3">
        <f>IF(ISERROR(VLOOKUP($A137,'SegEnds_NonXtal_BW#'!$A:$Z,4,FALSE)+VLOOKUP($A137,A:AL,4,FALSE)-50),"-",(VLOOKUP($A137,'SegEnds_NonXtal_BW#'!$A:$Z,4,FALSE)+VLOOKUP($A137,A:AL,4,FALSE)-50))</f>
        <v>68</v>
      </c>
      <c r="F137" s="3">
        <f t="shared" si="96"/>
        <v>69</v>
      </c>
      <c r="G137" s="3">
        <v>71</v>
      </c>
      <c r="H137" s="3">
        <f t="shared" si="97"/>
        <v>72</v>
      </c>
      <c r="I137" s="3">
        <f t="shared" si="97"/>
        <v>73</v>
      </c>
      <c r="J137" s="3">
        <v>86</v>
      </c>
      <c r="K137" s="3">
        <f>VLOOKUP($A137,'SegEnds_NonXtal_BW#'!$A:$Z,8,FALSE)+VLOOKUP($A137,A:AL,10,FALSE)-50</f>
        <v>98</v>
      </c>
      <c r="L137" s="3">
        <f>M137-1</f>
        <v>100</v>
      </c>
      <c r="M137" s="3">
        <v>101</v>
      </c>
      <c r="N137" s="3">
        <f>M137+2</f>
        <v>103</v>
      </c>
      <c r="O137" s="3">
        <f>N137+1</f>
        <v>104</v>
      </c>
      <c r="P137" s="3">
        <v>134</v>
      </c>
      <c r="Q137" s="3">
        <f>VLOOKUP($A137,'SegEnds_NonXtal_BW#'!$A:$Z,12,FALSE)+VLOOKUP($A137,A:AL,16,FALSE)-50</f>
        <v>140</v>
      </c>
      <c r="R137" s="3">
        <f>S137</f>
        <v>141</v>
      </c>
      <c r="S137" s="3">
        <v>141</v>
      </c>
      <c r="T137" s="100">
        <f>S137+7</f>
        <v>148</v>
      </c>
      <c r="U137" s="9">
        <f>IF(ISERROR(VLOOKUP($A137,'SegEnds_NonXtal_BW#'!$A:$Z,15,FALSE)+VLOOKUP($A137,A:AL,22,FALSE)-50),"-",VLOOKUP($A137,'SegEnds_NonXtal_BW#'!$A:$Z,15,FALSE)+VLOOKUP($A137,A:AL,22,FALSE)-50)</f>
        <v>149</v>
      </c>
      <c r="V137" s="3">
        <v>161</v>
      </c>
      <c r="W137" s="3">
        <f>IF(ISERROR(VLOOKUP($A137,'SegEnds_NonXtal_BW#'!$A:$Z,16,FALSE)+VLOOKUP($A137,A:AL,22,FALSE)-50),"-",(VLOOKUP($A137,'SegEnds_NonXtal_BW#'!$A:$Z,16,FALSE)+VLOOKUP($A137,A:AL,22,FALSE)-50))</f>
        <v>174</v>
      </c>
      <c r="X137" s="3" t="str">
        <f>IF(ISERROR(VLOOKUP($A137,'SegEnds_NonXtal_BW#'!$A:$Z,17,FALSE)+VLOOKUP($A137,A:AL,25,FALSE)-50),"-",(VLOOKUP($A137,'SegEnds_NonXtal_BW#'!$A:$Z,17,FALSE)+VLOOKUP($A137,A:AL,25,FALSE)-50))</f>
        <v>-</v>
      </c>
      <c r="Y137" s="3" t="s">
        <v>23</v>
      </c>
      <c r="Z137" s="3" t="str">
        <f>IF(ISERROR(VLOOKUP($A137,'SegEnds_NonXtal_BW#'!$A:$Z,18,FALSE)+VLOOKUP($A137,A:AL,25,FALSE)-50),"-",(VLOOKUP($A137,'SegEnds_NonXtal_BW#'!$A:$Z,18,FALSE)+VLOOKUP($A137,A:AL,25,FALSE)-50))</f>
        <v>-</v>
      </c>
      <c r="AA137" s="3">
        <f>IF(ISERROR(VLOOKUP($A137,'SegEnds_NonXtal_BW#'!$A:$Z,19,FALSE)+VLOOKUP($A137,A:AL,28,FALSE)-50),"-",(VLOOKUP($A137,'SegEnds_NonXtal_BW#'!$A:$Z,19,FALSE)+VLOOKUP($A137,A:AL,28,FALSE)-50))</f>
        <v>191</v>
      </c>
      <c r="AB137" s="3">
        <v>205</v>
      </c>
      <c r="AC137" s="3">
        <f>IF(ISERROR((VLOOKUP($A137,'SegEnds_NonXtal_BW#'!$A:$Z,20,FALSE)+VLOOKUP($A137,A:AL,28,FALSE)-50)),"-",(VLOOKUP($A137,'SegEnds_NonXtal_BW#'!$A:$Z,20,FALSE)+VLOOKUP($A137,A:AL,28,FALSE)-50))</f>
        <v>228</v>
      </c>
      <c r="AD137" s="3">
        <f>IF(ISERROR(VLOOKUP($A137,'SegEnds_NonXtal_BW#'!$A:$Z,21,FALSE)+VLOOKUP($A137,A:AL,31,FALSE)-50),"-",(VLOOKUP($A137,'SegEnds_NonXtal_BW#'!$A:$Z,21,FALSE)+VLOOKUP($A137,A:AL,31,FALSE)-50))</f>
        <v>234</v>
      </c>
      <c r="AE137" s="3">
        <v>262</v>
      </c>
      <c r="AF137" s="3">
        <f>IF(ISERROR((VLOOKUP($A137,'SegEnds_NonXtal_BW#'!$A:$Z,22,FALSE)+VLOOKUP($A137,A:AL,31,FALSE)-50)),"-",(VLOOKUP($A137,'SegEnds_NonXtal_BW#'!$A:$Z,22,FALSE)+VLOOKUP($A137,A:AL,31,FALSE)-50))</f>
        <v>273</v>
      </c>
      <c r="AG137" s="3">
        <f>IF(ISERROR(VLOOKUP($A137,'SegEnds_NonXtal_BW#'!$A:$Z,23,FALSE)+VLOOKUP($A137,A:AL,34,FALSE)-50),"-",(VLOOKUP($A137,'SegEnds_NonXtal_BW#'!$A:$Z,23,FALSE)+VLOOKUP($A137,A:AL,34,FALSE)-50))</f>
        <v>278</v>
      </c>
      <c r="AH137" s="3">
        <v>294</v>
      </c>
      <c r="AI137" s="3">
        <f>IF(ISERROR((VLOOKUP($A137,'SegEnds_NonXtal_BW#'!$A:$Z,24,FALSE)+VLOOKUP($A137,A:AL,34,FALSE)-50)),"-",(VLOOKUP($A137,'SegEnds_NonXtal_BW#'!$A:$Z,24,FALSE)+VLOOKUP($A137,A:AL,34,FALSE)-50))</f>
        <v>300</v>
      </c>
      <c r="AJ137" s="3">
        <f>IF(ISERROR(VLOOKUP($A137,'SegEnds_NonXtal_BW#'!$A:$Z,25,FALSE)+VLOOKUP($A137,A:AL,37,FALSE)-50),"-",(VLOOKUP($A137,'SegEnds_NonXtal_BW#'!$A:$Z,25,FALSE)+VLOOKUP($A137,A:AL,37,FALSE)-50))</f>
        <v>301</v>
      </c>
      <c r="AK137" s="3">
        <v>304</v>
      </c>
      <c r="AL137" s="3">
        <f>IF(ISERROR((VLOOKUP($A137,'SegEnds_NonXtal_BW#'!$A:$Z,26,FALSE)+VLOOKUP($A137,A:AL,37,FALSE)-50)),"-",(VLOOKUP($A137,'SegEnds_NonXtal_BW#'!$A:$Z,26,FALSE)+VLOOKUP($A137,A:AL,37,FALSE)-50))</f>
        <v>313</v>
      </c>
      <c r="AM137" s="28" t="str">
        <f>VLOOKUP(A137,Classification!A:B,2,FALSE)</f>
        <v>A</v>
      </c>
      <c r="AN137" s="28" t="b">
        <f t="shared" si="98"/>
        <v>1</v>
      </c>
      <c r="AO137" s="3" t="str">
        <f>IF(ISERROR(MATCH(A137,'SegEnds_Xtal_Prot#'!B:B, 0)), "NoXtal", "Xtal")</f>
        <v>NoXtal</v>
      </c>
      <c r="AP137" s="3">
        <f t="shared" si="81"/>
        <v>1</v>
      </c>
      <c r="AQ137" s="3">
        <f t="shared" si="82"/>
        <v>1</v>
      </c>
      <c r="AR137" s="3">
        <f t="shared" si="83"/>
        <v>2</v>
      </c>
      <c r="AS137" s="3">
        <f t="shared" si="84"/>
        <v>1</v>
      </c>
      <c r="AT137" s="3">
        <f t="shared" si="85"/>
        <v>1</v>
      </c>
      <c r="AU137" s="3">
        <f t="shared" si="86"/>
        <v>1</v>
      </c>
      <c r="AV137" s="3" t="str">
        <f t="shared" si="87"/>
        <v>-</v>
      </c>
      <c r="AW137" s="3" t="str">
        <f t="shared" si="88"/>
        <v>-</v>
      </c>
      <c r="AX137" s="3">
        <f t="shared" si="89"/>
        <v>6</v>
      </c>
      <c r="AY137" s="3">
        <f t="shared" si="90"/>
        <v>5</v>
      </c>
      <c r="AZ137" s="3">
        <f t="shared" si="91"/>
        <v>1</v>
      </c>
      <c r="BA137" s="3">
        <f>IF(ISERROR(LEN(VLOOKUP(A137,Seqs!A:E,2,FALSE))-AL137),"-",LEN(VLOOKUP(A137,Seqs!A:E,2,FALSE))-AL137)</f>
        <v>17</v>
      </c>
      <c r="BB137" s="16">
        <f t="shared" si="92"/>
        <v>28</v>
      </c>
      <c r="BC137" s="9">
        <f t="shared" si="93"/>
        <v>20</v>
      </c>
      <c r="BD137" s="3">
        <f t="shared" si="94"/>
        <v>28</v>
      </c>
      <c r="BE137" s="3">
        <f t="shared" si="95"/>
        <v>57</v>
      </c>
      <c r="BF137" s="3">
        <f>AH137-AE137</f>
        <v>32</v>
      </c>
    </row>
    <row r="138" spans="1:58" s="3" customFormat="1" x14ac:dyDescent="0.2">
      <c r="A138" s="3" t="s">
        <v>250</v>
      </c>
      <c r="B138" s="3" t="str">
        <f>LOWER(VLOOKUP(A138,Xtal_Templ!A:B,2,FALSE))</f>
        <v>oprd_human</v>
      </c>
      <c r="C138" s="3">
        <f>VLOOKUP($A138,'SegEnds_NonXtal_BW#'!$A:$Z,3,FALSE)+D138-50</f>
        <v>4</v>
      </c>
      <c r="D138" s="3">
        <v>32</v>
      </c>
      <c r="E138" s="3">
        <f>IF(ISERROR(VLOOKUP($A138,'SegEnds_NonXtal_BW#'!$A:$Z,4,FALSE)+VLOOKUP($A138,A:AL,4,FALSE)-50),"-",(VLOOKUP($A138,'SegEnds_NonXtal_BW#'!$A:$Z,4,FALSE)+VLOOKUP($A138,A:AL,4,FALSE)-50))</f>
        <v>42</v>
      </c>
      <c r="F138" s="3">
        <f t="shared" si="96"/>
        <v>43</v>
      </c>
      <c r="G138" s="3">
        <v>45</v>
      </c>
      <c r="H138" s="3">
        <f t="shared" si="97"/>
        <v>46</v>
      </c>
      <c r="I138" s="3">
        <f t="shared" si="97"/>
        <v>47</v>
      </c>
      <c r="J138" s="3">
        <v>60</v>
      </c>
      <c r="K138" s="3">
        <f>VLOOKUP($A138,'SegEnds_NonXtal_BW#'!$A:$Z,8,FALSE)+VLOOKUP($A138,A:AL,10,FALSE)-50</f>
        <v>76</v>
      </c>
      <c r="L138" s="3">
        <f>M138-1</f>
        <v>79</v>
      </c>
      <c r="M138" s="3">
        <v>80</v>
      </c>
      <c r="N138" s="3">
        <f>M138+2</f>
        <v>82</v>
      </c>
      <c r="O138" s="3">
        <f>N138+1</f>
        <v>83</v>
      </c>
      <c r="P138" s="3">
        <v>112</v>
      </c>
      <c r="Q138" s="3">
        <f>VLOOKUP($A138,'SegEnds_NonXtal_BW#'!$A:$Z,12,FALSE)+VLOOKUP($A138,A:AL,16,FALSE)-50</f>
        <v>118</v>
      </c>
      <c r="R138" s="3">
        <f>IF(ISERROR(VLOOKUP($A138,'SegEnds_NonXtal_BW#'!$A:$Z,13,FALSE)+VLOOKUP($A138,A:AL,19,FALSE)-50),"-",VLOOKUP($A138,'SegEnds_NonXtal_BW#'!$A:$Z,13,FALSE)+VLOOKUP($A138,A:AL,19,FALSE)-50)</f>
        <v>119</v>
      </c>
      <c r="S138" s="3">
        <v>119</v>
      </c>
      <c r="T138" s="100">
        <f>IF(ISERROR(VLOOKUP($A138,'SegEnds_NonXtal_BW#'!$A:$Z,14,FALSE)+VLOOKUP($A138,A:AL,19,FALSE)-50),"-",(VLOOKUP($A138,'SegEnds_NonXtal_BW#'!$A:$Z,14,FALSE)+VLOOKUP($A138,A:AL,19,FALSE)-50))</f>
        <v>126</v>
      </c>
      <c r="U138" s="9">
        <f>IF(ISERROR(VLOOKUP($A138,'SegEnds_NonXtal_BW#'!$A:$Z,15,FALSE)+VLOOKUP($A138,A:AL,22,FALSE)-50),"-",VLOOKUP($A138,'SegEnds_NonXtal_BW#'!$A:$Z,15,FALSE)+VLOOKUP($A138,A:AL,22,FALSE)-50)</f>
        <v>127</v>
      </c>
      <c r="V138" s="3">
        <v>139</v>
      </c>
      <c r="W138" s="3">
        <f>IF(ISERROR(VLOOKUP($A138,'SegEnds_NonXtal_BW#'!$A:$Z,16,FALSE)+VLOOKUP($A138,A:AL,22,FALSE)-50),"-",(VLOOKUP($A138,'SegEnds_NonXtal_BW#'!$A:$Z,16,FALSE)+VLOOKUP($A138,A:AL,22,FALSE)-50))</f>
        <v>153</v>
      </c>
      <c r="X138" s="3">
        <f>IF(ISERROR(VLOOKUP($A138,'SegEnds_NonXtal_BW#'!$A:$Z,17,FALSE)+VLOOKUP($A138,A:AL,25,FALSE)-50),"-",(VLOOKUP($A138,'SegEnds_NonXtal_BW#'!$A:$Z,17,FALSE)+VLOOKUP($A138,A:AL,25,FALSE)-50))</f>
        <v>162</v>
      </c>
      <c r="Y138" s="3">
        <v>162</v>
      </c>
      <c r="Z138" s="3">
        <f t="shared" ref="Z138:Z148" si="99">Y138+2</f>
        <v>164</v>
      </c>
      <c r="AA138" s="3">
        <f>IF(ISERROR(VLOOKUP($A138,'SegEnds_NonXtal_BW#'!$A:$Z,19,FALSE)+VLOOKUP($A138,A:AL,28,FALSE)-50),"-",(VLOOKUP($A138,'SegEnds_NonXtal_BW#'!$A:$Z,19,FALSE)+VLOOKUP($A138,A:AL,28,FALSE)-50))</f>
        <v>170</v>
      </c>
      <c r="AB138" s="3">
        <v>189</v>
      </c>
      <c r="AC138" s="3">
        <f>IF(ISERROR((VLOOKUP($A138,'SegEnds_NonXtal_BW#'!$A:$Z,20,FALSE)+VLOOKUP($A138,A:AL,28,FALSE)-50)),"-",(VLOOKUP($A138,'SegEnds_NonXtal_BW#'!$A:$Z,20,FALSE)+VLOOKUP($A138,A:AL,28,FALSE)-50))</f>
        <v>207</v>
      </c>
      <c r="AD138" s="3">
        <f>IF(ISERROR(VLOOKUP($A138,'SegEnds_NonXtal_BW#'!$A:$Z,21,FALSE)+VLOOKUP($A138,A:AL,31,FALSE)-50),"-",(VLOOKUP($A138,'SegEnds_NonXtal_BW#'!$A:$Z,21,FALSE)+VLOOKUP($A138,A:AL,31,FALSE)-50))</f>
        <v>211</v>
      </c>
      <c r="AE138" s="3">
        <v>237</v>
      </c>
      <c r="AF138" s="3">
        <f>IF(ISERROR((VLOOKUP($A138,'SegEnds_NonXtal_BW#'!$A:$Z,22,FALSE)+VLOOKUP($A138,A:AL,31,FALSE)-50)),"-",(VLOOKUP($A138,'SegEnds_NonXtal_BW#'!$A:$Z,22,FALSE)+VLOOKUP($A138,A:AL,31,FALSE)-50))</f>
        <v>248</v>
      </c>
      <c r="AG138" s="3">
        <f>IF(ISERROR(VLOOKUP($A138,'SegEnds_NonXtal_BW#'!$A:$Z,23,FALSE)+VLOOKUP($A138,A:AL,34,FALSE)-50),"-",(VLOOKUP($A138,'SegEnds_NonXtal_BW#'!$A:$Z,23,FALSE)+VLOOKUP($A138,A:AL,34,FALSE)-50))</f>
        <v>257</v>
      </c>
      <c r="AH138" s="3">
        <v>279</v>
      </c>
      <c r="AI138" s="3">
        <f>IF(ISERROR((VLOOKUP($A138,'SegEnds_NonXtal_BW#'!$A:$Z,24,FALSE)+VLOOKUP($A138,A:AL,34,FALSE)-50)),"-",(VLOOKUP($A138,'SegEnds_NonXtal_BW#'!$A:$Z,24,FALSE)+VLOOKUP($A138,A:AL,34,FALSE)-50))</f>
        <v>285</v>
      </c>
      <c r="AJ138" s="3">
        <f>IF(ISERROR(VLOOKUP($A138,'SegEnds_NonXtal_BW#'!$A:$Z,25,FALSE)+VLOOKUP($A138,A:AL,37,FALSE)-50),"-",(VLOOKUP($A138,'SegEnds_NonXtal_BW#'!$A:$Z,25,FALSE)+VLOOKUP($A138,A:AL,37,FALSE)-50))</f>
        <v>286</v>
      </c>
      <c r="AK138" s="3">
        <v>289</v>
      </c>
      <c r="AL138" s="3">
        <f>IF(ISERROR((VLOOKUP($A138,'SegEnds_NonXtal_BW#'!$A:$Z,26,FALSE)+VLOOKUP($A138,A:AL,37,FALSE)-50)),"-",(VLOOKUP($A138,'SegEnds_NonXtal_BW#'!$A:$Z,26,FALSE)+VLOOKUP($A138,A:AL,37,FALSE)-50))</f>
        <v>299</v>
      </c>
      <c r="AM138" s="28" t="str">
        <f>VLOOKUP(A138,Classification!A:B,2,FALSE)</f>
        <v>A</v>
      </c>
      <c r="AN138" s="28" t="b">
        <f t="shared" si="98"/>
        <v>1</v>
      </c>
      <c r="AO138" s="3" t="str">
        <f>IF(ISERROR(MATCH(A138,'SegEnds_Xtal_Prot#'!B:B, 0)), "NoXtal", "Xtal")</f>
        <v>NoXtal</v>
      </c>
      <c r="AP138" s="3">
        <f t="shared" si="81"/>
        <v>1</v>
      </c>
      <c r="AQ138" s="3">
        <f t="shared" si="82"/>
        <v>1</v>
      </c>
      <c r="AR138" s="3">
        <f t="shared" si="83"/>
        <v>3</v>
      </c>
      <c r="AS138" s="3">
        <f t="shared" si="84"/>
        <v>1</v>
      </c>
      <c r="AT138" s="3">
        <f t="shared" si="85"/>
        <v>1</v>
      </c>
      <c r="AU138" s="3">
        <f t="shared" si="86"/>
        <v>1</v>
      </c>
      <c r="AV138" s="3">
        <f t="shared" si="87"/>
        <v>9</v>
      </c>
      <c r="AW138" s="3">
        <f t="shared" si="88"/>
        <v>6</v>
      </c>
      <c r="AX138" s="3">
        <f t="shared" si="89"/>
        <v>4</v>
      </c>
      <c r="AY138" s="3">
        <f t="shared" si="90"/>
        <v>9</v>
      </c>
      <c r="AZ138" s="3">
        <f t="shared" si="91"/>
        <v>1</v>
      </c>
      <c r="BA138" s="3">
        <f>IF(ISERROR(LEN(VLOOKUP(A138,Seqs!A:E,2,FALSE))-AL138),"-",LEN(VLOOKUP(A138,Seqs!A:E,2,FALSE))-AL138)</f>
        <v>20</v>
      </c>
      <c r="BB138" s="16">
        <f t="shared" si="92"/>
        <v>28</v>
      </c>
      <c r="BC138" s="9">
        <f t="shared" si="93"/>
        <v>20</v>
      </c>
      <c r="BD138" s="3">
        <f t="shared" si="94"/>
        <v>28</v>
      </c>
      <c r="BE138" s="3">
        <f t="shared" si="95"/>
        <v>48</v>
      </c>
      <c r="BF138" s="3">
        <f>AH138-AE138</f>
        <v>42</v>
      </c>
    </row>
    <row r="139" spans="1:58" s="3" customFormat="1" x14ac:dyDescent="0.2">
      <c r="A139" s="3" t="s">
        <v>251</v>
      </c>
      <c r="B139" s="3" t="str">
        <f>LOWER(VLOOKUP(A139,Xtal_Templ!A:B,2,FALSE))</f>
        <v>oprd_human</v>
      </c>
      <c r="C139" s="3">
        <f>VLOOKUP($A139,'SegEnds_NonXtal_BW#'!$A:$Z,3,FALSE)+D139-50</f>
        <v>33</v>
      </c>
      <c r="D139" s="3">
        <v>61</v>
      </c>
      <c r="E139" s="3">
        <f>IF(ISERROR(VLOOKUP($A139,'SegEnds_NonXtal_BW#'!$A:$Z,4,FALSE)+VLOOKUP($A139,A:AL,4,FALSE)-50),"-",(VLOOKUP($A139,'SegEnds_NonXtal_BW#'!$A:$Z,4,FALSE)+VLOOKUP($A139,A:AL,4,FALSE)-50))</f>
        <v>71</v>
      </c>
      <c r="F139" s="3" t="str">
        <f>IF(ISERROR(VLOOKUP($A139,'SegEnds_NonXtal_BW#'!$A:$Z,5,FALSE)+VLOOKUP($A139,A:AL,7,FALSE)-50),"-",(VLOOKUP($A139,'SegEnds_NonXtal_BW#'!$A:$Z,5,FALSE)+VLOOKUP($A139,A:AL,7,FALSE)-50))</f>
        <v>-</v>
      </c>
      <c r="G139" s="3" t="s">
        <v>23</v>
      </c>
      <c r="H139" s="3" t="str">
        <f>IF(ISERROR(VLOOKUP($A139,'SegEnds_NonXtal_BW#'!$A:$Z,6,FALSE)+VLOOKUP($A139,A:AL,7,FALSE)-50),"-",(VLOOKUP($A139,'SegEnds_NonXtal_BW#'!$A:$Z,6,FALSE)+VLOOKUP($A139,A:AL,7,FALSE)-50))</f>
        <v>-</v>
      </c>
      <c r="I139" s="3">
        <f>VLOOKUP($A139,'SegEnds_NonXtal_BW#'!$A:$Z,7,FALSE)+J139-50</f>
        <v>75</v>
      </c>
      <c r="J139" s="3">
        <v>88</v>
      </c>
      <c r="K139" s="3">
        <f>VLOOKUP($A139,'SegEnds_NonXtal_BW#'!$A:$Z,8,FALSE)+VLOOKUP($A139,A:AL,10,FALSE)-50</f>
        <v>104</v>
      </c>
      <c r="L139" s="3">
        <f>M139-1</f>
        <v>106</v>
      </c>
      <c r="M139" s="3">
        <v>107</v>
      </c>
      <c r="N139" s="3">
        <f>M139+2</f>
        <v>109</v>
      </c>
      <c r="O139" s="3">
        <f>N139+1</f>
        <v>110</v>
      </c>
      <c r="P139" s="3">
        <v>139</v>
      </c>
      <c r="Q139" s="3">
        <f>VLOOKUP($A139,'SegEnds_NonXtal_BW#'!$A:$Z,12,FALSE)+VLOOKUP($A139,A:AL,16,FALSE)-50</f>
        <v>145</v>
      </c>
      <c r="R139" s="3">
        <f>IF(ISERROR(VLOOKUP($A139,'SegEnds_NonXtal_BW#'!$A:$Z,13,FALSE)+VLOOKUP($A139,A:AL,19,FALSE)-50),"-",VLOOKUP($A139,'SegEnds_NonXtal_BW#'!$A:$Z,13,FALSE)+VLOOKUP($A139,A:AL,19,FALSE)-50)</f>
        <v>146</v>
      </c>
      <c r="S139" s="3">
        <v>146</v>
      </c>
      <c r="T139" s="100">
        <f>IF(ISERROR(VLOOKUP($A139,'SegEnds_NonXtal_BW#'!$A:$Z,14,FALSE)+VLOOKUP($A139,A:AL,19,FALSE)-50),"-",(VLOOKUP($A139,'SegEnds_NonXtal_BW#'!$A:$Z,14,FALSE)+VLOOKUP($A139,A:AL,19,FALSE)-50))</f>
        <v>153</v>
      </c>
      <c r="U139" s="9">
        <f>IF(ISERROR(VLOOKUP($A139,'SegEnds_NonXtal_BW#'!$A:$Z,15,FALSE)+VLOOKUP($A139,A:AL,22,FALSE)-50),"-",VLOOKUP($A139,'SegEnds_NonXtal_BW#'!$A:$Z,15,FALSE)+VLOOKUP($A139,A:AL,22,FALSE)-50)</f>
        <v>154</v>
      </c>
      <c r="V139" s="3">
        <v>166</v>
      </c>
      <c r="W139" s="3">
        <f>IF(ISERROR(VLOOKUP($A139,'SegEnds_NonXtal_BW#'!$A:$Z,16,FALSE)+VLOOKUP($A139,A:AL,22,FALSE)-50),"-",(VLOOKUP($A139,'SegEnds_NonXtal_BW#'!$A:$Z,16,FALSE)+VLOOKUP($A139,A:AL,22,FALSE)-50))</f>
        <v>180</v>
      </c>
      <c r="X139" s="3">
        <f>IF(ISERROR(VLOOKUP($A139,'SegEnds_NonXtal_BW#'!$A:$Z,17,FALSE)+VLOOKUP($A139,A:AL,25,FALSE)-50),"-",(VLOOKUP($A139,'SegEnds_NonXtal_BW#'!$A:$Z,17,FALSE)+VLOOKUP($A139,A:AL,25,FALSE)-50))</f>
        <v>191</v>
      </c>
      <c r="Y139" s="3">
        <v>191</v>
      </c>
      <c r="Z139" s="3">
        <f t="shared" si="99"/>
        <v>193</v>
      </c>
      <c r="AA139" s="3">
        <f>IF(ISERROR(VLOOKUP($A139,'SegEnds_NonXtal_BW#'!$A:$Z,19,FALSE)+VLOOKUP($A139,A:AL,28,FALSE)-50),"-",(VLOOKUP($A139,'SegEnds_NonXtal_BW#'!$A:$Z,19,FALSE)+VLOOKUP($A139,A:AL,28,FALSE)-50))</f>
        <v>209</v>
      </c>
      <c r="AB139" s="3">
        <v>228</v>
      </c>
      <c r="AC139" s="3">
        <f>IF(ISERROR((VLOOKUP($A139,'SegEnds_NonXtal_BW#'!$A:$Z,20,FALSE)+VLOOKUP($A139,A:AL,28,FALSE)-50)),"-",(VLOOKUP($A139,'SegEnds_NonXtal_BW#'!$A:$Z,20,FALSE)+VLOOKUP($A139,A:AL,28,FALSE)-50))</f>
        <v>246</v>
      </c>
      <c r="AD139" s="3">
        <f>IF(ISERROR(VLOOKUP($A139,'SegEnds_NonXtal_BW#'!$A:$Z,21,FALSE)+VLOOKUP($A139,A:AL,31,FALSE)-50),"-",(VLOOKUP($A139,'SegEnds_NonXtal_BW#'!$A:$Z,21,FALSE)+VLOOKUP($A139,A:AL,31,FALSE)-50))</f>
        <v>251</v>
      </c>
      <c r="AE139" s="3">
        <v>271</v>
      </c>
      <c r="AF139" s="3">
        <f>IF(ISERROR((VLOOKUP($A139,'SegEnds_NonXtal_BW#'!$A:$Z,22,FALSE)+VLOOKUP($A139,A:AL,31,FALSE)-50)),"-",(VLOOKUP($A139,'SegEnds_NonXtal_BW#'!$A:$Z,22,FALSE)+VLOOKUP($A139,A:AL,31,FALSE)-50))</f>
        <v>282</v>
      </c>
      <c r="AG139" s="3">
        <f>IF(ISERROR(VLOOKUP($A139,'SegEnds_NonXtal_BW#'!$A:$Z,23,FALSE)+VLOOKUP($A139,A:AL,34,FALSE)-50),"-",(VLOOKUP($A139,'SegEnds_NonXtal_BW#'!$A:$Z,23,FALSE)+VLOOKUP($A139,A:AL,34,FALSE)-50))</f>
        <v>291</v>
      </c>
      <c r="AH139" s="3">
        <v>313</v>
      </c>
      <c r="AI139" s="3">
        <f>IF(ISERROR((VLOOKUP($A139,'SegEnds_NonXtal_BW#'!$A:$Z,24,FALSE)+VLOOKUP($A139,A:AL,34,FALSE)-50)),"-",(VLOOKUP($A139,'SegEnds_NonXtal_BW#'!$A:$Z,24,FALSE)+VLOOKUP($A139,A:AL,34,FALSE)-50))</f>
        <v>319</v>
      </c>
      <c r="AJ139" s="3">
        <f>IF(ISERROR(VLOOKUP($A139,'SegEnds_NonXtal_BW#'!$A:$Z,25,FALSE)+VLOOKUP($A139,A:AL,37,FALSE)-50),"-",(VLOOKUP($A139,'SegEnds_NonXtal_BW#'!$A:$Z,25,FALSE)+VLOOKUP($A139,A:AL,37,FALSE)-50))</f>
        <v>320</v>
      </c>
      <c r="AK139" s="3">
        <v>323</v>
      </c>
      <c r="AL139" s="3">
        <f>IF(ISERROR((VLOOKUP($A139,'SegEnds_NonXtal_BW#'!$A:$Z,26,FALSE)+VLOOKUP($A139,A:AL,37,FALSE)-50)),"-",(VLOOKUP($A139,'SegEnds_NonXtal_BW#'!$A:$Z,26,FALSE)+VLOOKUP($A139,A:AL,37,FALSE)-50))</f>
        <v>333</v>
      </c>
      <c r="AM139" s="28" t="str">
        <f>VLOOKUP(A139,Classification!A:B,2,FALSE)</f>
        <v>A</v>
      </c>
      <c r="AN139" s="28" t="b">
        <f t="shared" si="98"/>
        <v>1</v>
      </c>
      <c r="AO139" s="3" t="str">
        <f>IF(ISERROR(MATCH(A139,'SegEnds_Xtal_Prot#'!B:B, 0)), "NoXtal", "Xtal")</f>
        <v>NoXtal</v>
      </c>
      <c r="AP139" s="3" t="str">
        <f t="shared" si="81"/>
        <v>-</v>
      </c>
      <c r="AQ139" s="3" t="str">
        <f t="shared" si="82"/>
        <v>-</v>
      </c>
      <c r="AR139" s="3">
        <f t="shared" si="83"/>
        <v>2</v>
      </c>
      <c r="AS139" s="3">
        <f t="shared" si="84"/>
        <v>1</v>
      </c>
      <c r="AT139" s="3">
        <f t="shared" si="85"/>
        <v>1</v>
      </c>
      <c r="AU139" s="3">
        <f t="shared" si="86"/>
        <v>1</v>
      </c>
      <c r="AV139" s="3">
        <f t="shared" si="87"/>
        <v>11</v>
      </c>
      <c r="AW139" s="3">
        <f t="shared" si="88"/>
        <v>16</v>
      </c>
      <c r="AX139" s="3">
        <f t="shared" si="89"/>
        <v>5</v>
      </c>
      <c r="AY139" s="3">
        <f t="shared" si="90"/>
        <v>9</v>
      </c>
      <c r="AZ139" s="3">
        <f t="shared" si="91"/>
        <v>1</v>
      </c>
      <c r="BA139" s="3">
        <f>IF(ISERROR(LEN(VLOOKUP(A139,Seqs!A:E,2,FALSE))-AL139),"-",LEN(VLOOKUP(A139,Seqs!A:E,2,FALSE))-AL139)</f>
        <v>23</v>
      </c>
      <c r="BB139" s="16">
        <f t="shared" si="92"/>
        <v>27</v>
      </c>
      <c r="BC139" s="9">
        <f t="shared" si="93"/>
        <v>20</v>
      </c>
      <c r="BD139" s="3">
        <f t="shared" si="94"/>
        <v>27</v>
      </c>
      <c r="BE139" s="3">
        <f t="shared" si="95"/>
        <v>43</v>
      </c>
      <c r="BF139" s="3">
        <f>AH139-AE139</f>
        <v>42</v>
      </c>
    </row>
    <row r="140" spans="1:58" s="3" customFormat="1" x14ac:dyDescent="0.2">
      <c r="A140" s="3" t="s">
        <v>252</v>
      </c>
      <c r="B140" s="3" t="str">
        <f>LOWER(VLOOKUP(A140,Xtal_Templ!A:B,2,FALSE))</f>
        <v>agtr1_human</v>
      </c>
      <c r="C140" s="3">
        <f>VLOOKUP($A140,'SegEnds_NonXtal_BW#'!$A:$Z,3,FALSE)+D140-50</f>
        <v>27</v>
      </c>
      <c r="D140" s="3">
        <v>47</v>
      </c>
      <c r="E140" s="3">
        <f>IF(ISERROR(VLOOKUP($A140,'SegEnds_NonXtal_BW#'!$A:$Z,4,FALSE)+VLOOKUP($A140,A:AL,4,FALSE)-50),"-",(VLOOKUP($A140,'SegEnds_NonXtal_BW#'!$A:$Z,4,FALSE)+VLOOKUP($A140,A:AL,4,FALSE)-50))</f>
        <v>57</v>
      </c>
      <c r="F140" s="3" t="str">
        <f>IF(ISERROR(VLOOKUP($A140,'SegEnds_NonXtal_BW#'!$A:$Z,5,FALSE)+VLOOKUP($A140,A:AL,7,FALSE)-50),"-",(VLOOKUP($A140,'SegEnds_NonXtal_BW#'!$A:$Z,5,FALSE)+VLOOKUP($A140,A:AL,7,FALSE)-50))</f>
        <v>-</v>
      </c>
      <c r="G140" s="3" t="s">
        <v>23</v>
      </c>
      <c r="H140" s="3" t="str">
        <f>IF(ISERROR(VLOOKUP($A140,'SegEnds_NonXtal_BW#'!$A:$Z,6,FALSE)+VLOOKUP($A140,A:AL,7,FALSE)-50),"-",(VLOOKUP($A140,'SegEnds_NonXtal_BW#'!$A:$Z,6,FALSE)+VLOOKUP($A140,A:AL,7,FALSE)-50))</f>
        <v>-</v>
      </c>
      <c r="I140" s="3">
        <f>VLOOKUP($A140,'SegEnds_NonXtal_BW#'!$A:$Z,7,FALSE)+J140-50</f>
        <v>61</v>
      </c>
      <c r="J140" s="3">
        <v>74</v>
      </c>
      <c r="K140" s="3">
        <f>VLOOKUP($A140,'SegEnds_NonXtal_BW#'!$A:$Z,8,FALSE)+VLOOKUP($A140,A:AL,10,FALSE)-50</f>
        <v>90</v>
      </c>
      <c r="L140" s="3">
        <f>M140-1</f>
        <v>93</v>
      </c>
      <c r="M140" s="3">
        <v>94</v>
      </c>
      <c r="N140" s="3">
        <f>M140+2</f>
        <v>96</v>
      </c>
      <c r="O140" s="3">
        <f>N140+1</f>
        <v>97</v>
      </c>
      <c r="P140" s="3">
        <v>126</v>
      </c>
      <c r="Q140" s="3">
        <f>VLOOKUP($A140,'SegEnds_NonXtal_BW#'!$A:$Z,12,FALSE)+VLOOKUP($A140,A:AL,16,FALSE)-50</f>
        <v>132</v>
      </c>
      <c r="R140" s="3">
        <f>IF(ISERROR(VLOOKUP($A140,'SegEnds_NonXtal_BW#'!$A:$Z,13,FALSE)+VLOOKUP($A140,A:AL,19,FALSE)-50),"-",VLOOKUP($A140,'SegEnds_NonXtal_BW#'!$A:$Z,13,FALSE)+VLOOKUP($A140,A:AL,19,FALSE)-50)</f>
        <v>133</v>
      </c>
      <c r="S140" s="3">
        <v>133</v>
      </c>
      <c r="T140" s="100">
        <f>IF(ISERROR(VLOOKUP($A140,'SegEnds_NonXtal_BW#'!$A:$Z,14,FALSE)+VLOOKUP($A140,A:AL,19,FALSE)-50),"-",(VLOOKUP($A140,'SegEnds_NonXtal_BW#'!$A:$Z,14,FALSE)+VLOOKUP($A140,A:AL,19,FALSE)-50))</f>
        <v>140</v>
      </c>
      <c r="U140" s="9">
        <f>IF(ISERROR(VLOOKUP($A140,'SegEnds_NonXtal_BW#'!$A:$Z,15,FALSE)+VLOOKUP($A140,A:AL,22,FALSE)-50),"-",VLOOKUP($A140,'SegEnds_NonXtal_BW#'!$A:$Z,15,FALSE)+VLOOKUP($A140,A:AL,22,FALSE)-50)</f>
        <v>141</v>
      </c>
      <c r="V140" s="3">
        <v>153</v>
      </c>
      <c r="W140" s="3">
        <f>IF(ISERROR(VLOOKUP($A140,'SegEnds_NonXtal_BW#'!$A:$Z,16,FALSE)+VLOOKUP($A140,A:AL,22,FALSE)-50),"-",(VLOOKUP($A140,'SegEnds_NonXtal_BW#'!$A:$Z,16,FALSE)+VLOOKUP($A140,A:AL,22,FALSE)-50))</f>
        <v>167</v>
      </c>
      <c r="X140" s="3">
        <f>IF(ISERROR(VLOOKUP($A140,'SegEnds_NonXtal_BW#'!$A:$Z,17,FALSE)+VLOOKUP($A140,A:AL,25,FALSE)-50),"-",(VLOOKUP($A140,'SegEnds_NonXtal_BW#'!$A:$Z,17,FALSE)+VLOOKUP($A140,A:AL,25,FALSE)-50))</f>
        <v>179</v>
      </c>
      <c r="Y140" s="3">
        <v>179</v>
      </c>
      <c r="Z140" s="3">
        <f t="shared" si="99"/>
        <v>181</v>
      </c>
      <c r="AA140" s="3">
        <f>IF(ISERROR(VLOOKUP($A140,'SegEnds_NonXtal_BW#'!$A:$Z,19,FALSE)+VLOOKUP($A140,A:AL,28,FALSE)-50),"-",(VLOOKUP($A140,'SegEnds_NonXtal_BW#'!$A:$Z,19,FALSE)+VLOOKUP($A140,A:AL,28,FALSE)-50))</f>
        <v>201</v>
      </c>
      <c r="AB140" s="3">
        <v>217</v>
      </c>
      <c r="AC140" s="3">
        <f>IF(ISERROR((VLOOKUP($A140,'SegEnds_NonXtal_BW#'!$A:$Z,20,FALSE)+VLOOKUP($A140,A:AL,28,FALSE)-50)),"-",(VLOOKUP($A140,'SegEnds_NonXtal_BW#'!$A:$Z,20,FALSE)+VLOOKUP($A140,A:AL,28,FALSE)-50))</f>
        <v>235</v>
      </c>
      <c r="AD140" s="3">
        <f>IF(ISERROR(VLOOKUP($A140,'SegEnds_NonXtal_BW#'!$A:$Z,21,FALSE)+VLOOKUP($A140,A:AL,31,FALSE)-50),"-",(VLOOKUP($A140,'SegEnds_NonXtal_BW#'!$A:$Z,21,FALSE)+VLOOKUP($A140,A:AL,31,FALSE)-50))</f>
        <v>240</v>
      </c>
      <c r="AE140" s="3">
        <v>260</v>
      </c>
      <c r="AF140" s="3">
        <f>IF(ISERROR((VLOOKUP($A140,'SegEnds_NonXtal_BW#'!$A:$Z,22,FALSE)+VLOOKUP($A140,A:AL,31,FALSE)-50)),"-",(VLOOKUP($A140,'SegEnds_NonXtal_BW#'!$A:$Z,22,FALSE)+VLOOKUP($A140,A:AL,31,FALSE)-50))</f>
        <v>271</v>
      </c>
      <c r="AG140" s="3">
        <f>IF(ISERROR(VLOOKUP($A140,'SegEnds_NonXtal_BW#'!$A:$Z,23,FALSE)+VLOOKUP($A140,A:AL,34,FALSE)-50),"-",(VLOOKUP($A140,'SegEnds_NonXtal_BW#'!$A:$Z,23,FALSE)+VLOOKUP($A140,A:AL,34,FALSE)-50))</f>
        <v>277</v>
      </c>
      <c r="AH140" s="3">
        <v>296</v>
      </c>
      <c r="AI140" s="3">
        <f>IF(ISERROR((VLOOKUP($A140,'SegEnds_NonXtal_BW#'!$A:$Z,24,FALSE)+VLOOKUP($A140,A:AL,34,FALSE)-50)),"-",(VLOOKUP($A140,'SegEnds_NonXtal_BW#'!$A:$Z,24,FALSE)+VLOOKUP($A140,A:AL,34,FALSE)-50))</f>
        <v>302</v>
      </c>
      <c r="AJ140" s="3">
        <f>IF(ISERROR(VLOOKUP($A140,'SegEnds_NonXtal_BW#'!$A:$Z,25,FALSE)+VLOOKUP($A140,A:AL,37,FALSE)-50),"-",(VLOOKUP($A140,'SegEnds_NonXtal_BW#'!$A:$Z,25,FALSE)+VLOOKUP($A140,A:AL,37,FALSE)-50))</f>
        <v>303</v>
      </c>
      <c r="AK140" s="3">
        <v>306</v>
      </c>
      <c r="AL140" s="3">
        <f>IF(ISERROR((VLOOKUP($A140,'SegEnds_NonXtal_BW#'!$A:$Z,26,FALSE)+VLOOKUP($A140,A:AL,37,FALSE)-50)),"-",(VLOOKUP($A140,'SegEnds_NonXtal_BW#'!$A:$Z,26,FALSE)+VLOOKUP($A140,A:AL,37,FALSE)-50))</f>
        <v>317</v>
      </c>
      <c r="AM140" s="28" t="str">
        <f>VLOOKUP(A140,Classification!A:B,2,FALSE)</f>
        <v>A</v>
      </c>
      <c r="AN140" s="28" t="b">
        <f t="shared" si="98"/>
        <v>1</v>
      </c>
      <c r="AO140" s="3" t="str">
        <f>IF(ISERROR(MATCH(A140,'SegEnds_Xtal_Prot#'!B:B, 0)), "NoXtal", "Xtal")</f>
        <v>NoXtal</v>
      </c>
      <c r="AP140" s="3" t="str">
        <f t="shared" si="81"/>
        <v>-</v>
      </c>
      <c r="AQ140" s="3" t="str">
        <f t="shared" si="82"/>
        <v>-</v>
      </c>
      <c r="AR140" s="3">
        <f t="shared" si="83"/>
        <v>3</v>
      </c>
      <c r="AS140" s="3">
        <f t="shared" si="84"/>
        <v>1</v>
      </c>
      <c r="AT140" s="3">
        <f t="shared" si="85"/>
        <v>1</v>
      </c>
      <c r="AU140" s="3">
        <f t="shared" si="86"/>
        <v>1</v>
      </c>
      <c r="AV140" s="3">
        <f t="shared" si="87"/>
        <v>12</v>
      </c>
      <c r="AW140" s="3">
        <f t="shared" si="88"/>
        <v>20</v>
      </c>
      <c r="AX140" s="3">
        <f t="shared" si="89"/>
        <v>5</v>
      </c>
      <c r="AY140" s="3">
        <f t="shared" si="90"/>
        <v>6</v>
      </c>
      <c r="AZ140" s="3">
        <f t="shared" si="91"/>
        <v>1</v>
      </c>
      <c r="BA140" s="3">
        <f>IF(ISERROR(LEN(VLOOKUP(A140,Seqs!A:E,2,FALSE))-AL140),"-",LEN(VLOOKUP(A140,Seqs!A:E,2,FALSE))-AL140)</f>
        <v>16</v>
      </c>
      <c r="BB140" s="16">
        <f t="shared" si="92"/>
        <v>27</v>
      </c>
      <c r="BC140" s="9">
        <f t="shared" si="93"/>
        <v>20</v>
      </c>
      <c r="BD140" s="3">
        <f t="shared" si="94"/>
        <v>27</v>
      </c>
      <c r="BE140" s="3">
        <f t="shared" si="95"/>
        <v>43</v>
      </c>
      <c r="BF140" s="3">
        <f>AH140-AE140</f>
        <v>36</v>
      </c>
    </row>
    <row r="141" spans="1:58" s="3" customFormat="1" x14ac:dyDescent="0.2">
      <c r="A141" s="3" t="s">
        <v>253</v>
      </c>
      <c r="B141" s="3" t="str">
        <f>LOWER(VLOOKUP(A141,Xtal_Templ!A:B,2,FALSE))</f>
        <v>ptafr_human</v>
      </c>
      <c r="C141" s="3">
        <f>VLOOKUP($A141,'SegEnds_NonXtal_BW#'!$A:$Z,3,FALSE)+D141-50</f>
        <v>49</v>
      </c>
      <c r="D141" s="3">
        <v>72</v>
      </c>
      <c r="E141" s="3">
        <f>IF(ISERROR(VLOOKUP($A141,'SegEnds_NonXtal_BW#'!$A:$Z,4,FALSE)+VLOOKUP($A141,A:AL,4,FALSE)-50),"-",(VLOOKUP($A141,'SegEnds_NonXtal_BW#'!$A:$Z,4,FALSE)+VLOOKUP($A141,A:AL,4,FALSE)-50))</f>
        <v>83</v>
      </c>
      <c r="F141" s="3" t="str">
        <f>IF(ISERROR(VLOOKUP($A141,'SegEnds_NonXtal_BW#'!$A:$Z,5,FALSE)+VLOOKUP($A141,A:AL,7,FALSE)-50),"-",(VLOOKUP($A141,'SegEnds_NonXtal_BW#'!$A:$Z,5,FALSE)+VLOOKUP($A141,A:AL,7,FALSE)-50))</f>
        <v>-</v>
      </c>
      <c r="G141" s="3" t="s">
        <v>23</v>
      </c>
      <c r="H141" s="3" t="str">
        <f>IF(ISERROR(VLOOKUP($A141,'SegEnds_NonXtal_BW#'!$A:$Z,6,FALSE)+VLOOKUP($A141,A:AL,7,FALSE)-50),"-",(VLOOKUP($A141,'SegEnds_NonXtal_BW#'!$A:$Z,6,FALSE)+VLOOKUP($A141,A:AL,7,FALSE)-50))</f>
        <v>-</v>
      </c>
      <c r="I141" s="3">
        <f>VLOOKUP($A141,'SegEnds_NonXtal_BW#'!$A:$Z,7,FALSE)+J141-50</f>
        <v>87</v>
      </c>
      <c r="J141" s="3">
        <v>100</v>
      </c>
      <c r="K141" s="3">
        <f>VLOOKUP($A141,'SegEnds_NonXtal_BW#'!$A:$Z,8,FALSE)+VLOOKUP($A141,A:AL,10,FALSE)-50</f>
        <v>117</v>
      </c>
      <c r="L141" s="3">
        <f>M141-1</f>
        <v>119</v>
      </c>
      <c r="M141" s="3">
        <v>120</v>
      </c>
      <c r="N141" s="3">
        <f>M141+2</f>
        <v>122</v>
      </c>
      <c r="O141" s="3">
        <f>N141+1</f>
        <v>123</v>
      </c>
      <c r="P141" s="3">
        <v>152</v>
      </c>
      <c r="Q141" s="3">
        <f>VLOOKUP($A141,'SegEnds_NonXtal_BW#'!$A:$Z,12,FALSE)+VLOOKUP($A141,A:AL,16,FALSE)-50</f>
        <v>158</v>
      </c>
      <c r="R141" s="3">
        <f>IF(ISERROR(VLOOKUP($A141,'SegEnds_NonXtal_BW#'!$A:$Z,13,FALSE)+VLOOKUP($A141,A:AL,19,FALSE)-50),"-",VLOOKUP($A141,'SegEnds_NonXtal_BW#'!$A:$Z,13,FALSE)+VLOOKUP($A141,A:AL,19,FALSE)-50)</f>
        <v>159</v>
      </c>
      <c r="S141" s="3">
        <v>159</v>
      </c>
      <c r="T141" s="100">
        <f>IF(ISERROR(VLOOKUP($A141,'SegEnds_NonXtal_BW#'!$A:$Z,14,FALSE)+VLOOKUP($A141,A:AL,19,FALSE)-50),"-",(VLOOKUP($A141,'SegEnds_NonXtal_BW#'!$A:$Z,14,FALSE)+VLOOKUP($A141,A:AL,19,FALSE)-50))</f>
        <v>166</v>
      </c>
      <c r="U141" s="9">
        <f>IF(ISERROR(VLOOKUP($A141,'SegEnds_NonXtal_BW#'!$A:$Z,15,FALSE)+VLOOKUP($A141,A:AL,22,FALSE)-50),"-",VLOOKUP($A141,'SegEnds_NonXtal_BW#'!$A:$Z,15,FALSE)+VLOOKUP($A141,A:AL,22,FALSE)-50)</f>
        <v>167</v>
      </c>
      <c r="V141" s="3">
        <v>179</v>
      </c>
      <c r="W141" s="3">
        <f>IF(ISERROR(VLOOKUP($A141,'SegEnds_NonXtal_BW#'!$A:$Z,16,FALSE)+VLOOKUP($A141,A:AL,22,FALSE)-50),"-",(VLOOKUP($A141,'SegEnds_NonXtal_BW#'!$A:$Z,16,FALSE)+VLOOKUP($A141,A:AL,22,FALSE)-50))</f>
        <v>192</v>
      </c>
      <c r="X141" s="3">
        <f>IF(ISERROR(VLOOKUP($A141,'SegEnds_NonXtal_BW#'!$A:$Z,17,FALSE)+VLOOKUP($A141,A:AL,25,FALSE)-50),"-",(VLOOKUP($A141,'SegEnds_NonXtal_BW#'!$A:$Z,17,FALSE)+VLOOKUP($A141,A:AL,25,FALSE)-50))</f>
        <v>204</v>
      </c>
      <c r="Y141" s="3">
        <v>204</v>
      </c>
      <c r="Z141" s="3">
        <f t="shared" si="99"/>
        <v>206</v>
      </c>
      <c r="AA141" s="3">
        <f>IF(ISERROR(VLOOKUP($A141,'SegEnds_NonXtal_BW#'!$A:$Z,19,FALSE)+VLOOKUP($A141,A:AL,28,FALSE)-50),"-",(VLOOKUP($A141,'SegEnds_NonXtal_BW#'!$A:$Z,19,FALSE)+VLOOKUP($A141,A:AL,28,FALSE)-50))</f>
        <v>213</v>
      </c>
      <c r="AB141" s="3">
        <v>230</v>
      </c>
      <c r="AC141" s="3">
        <f>IF(ISERROR((VLOOKUP($A141,'SegEnds_NonXtal_BW#'!$A:$Z,20,FALSE)+VLOOKUP($A141,A:AL,28,FALSE)-50)),"-",(VLOOKUP($A141,'SegEnds_NonXtal_BW#'!$A:$Z,20,FALSE)+VLOOKUP($A141,A:AL,28,FALSE)-50))</f>
        <v>248</v>
      </c>
      <c r="AD141" s="3">
        <f>IF(ISERROR(VLOOKUP($A141,'SegEnds_NonXtal_BW#'!$A:$Z,21,FALSE)+VLOOKUP($A141,A:AL,31,FALSE)-50),"-",(VLOOKUP($A141,'SegEnds_NonXtal_BW#'!$A:$Z,21,FALSE)+VLOOKUP($A141,A:AL,31,FALSE)-50))</f>
        <v>254</v>
      </c>
      <c r="AE141" s="3">
        <v>281</v>
      </c>
      <c r="AF141" s="3">
        <f>IF(ISERROR((VLOOKUP($A141,'SegEnds_NonXtal_BW#'!$A:$Z,22,FALSE)+VLOOKUP($A141,A:AL,31,FALSE)-50)),"-",(VLOOKUP($A141,'SegEnds_NonXtal_BW#'!$A:$Z,22,FALSE)+VLOOKUP($A141,A:AL,31,FALSE)-50))</f>
        <v>292</v>
      </c>
      <c r="AG141" s="3">
        <f>IF(ISERROR(VLOOKUP($A141,'SegEnds_NonXtal_BW#'!$A:$Z,23,FALSE)+VLOOKUP($A141,A:AL,34,FALSE)-50),"-",(VLOOKUP($A141,'SegEnds_NonXtal_BW#'!$A:$Z,23,FALSE)+VLOOKUP($A141,A:AL,34,FALSE)-50))</f>
        <v>298</v>
      </c>
      <c r="AH141" s="3">
        <v>324</v>
      </c>
      <c r="AI141" s="3">
        <f>IF(ISERROR((VLOOKUP($A141,'SegEnds_NonXtal_BW#'!$A:$Z,24,FALSE)+VLOOKUP($A141,A:AL,34,FALSE)-50)),"-",(VLOOKUP($A141,'SegEnds_NonXtal_BW#'!$A:$Z,24,FALSE)+VLOOKUP($A141,A:AL,34,FALSE)-50))</f>
        <v>333</v>
      </c>
      <c r="AJ141" s="3">
        <f>IF(ISERROR(VLOOKUP($A141,'SegEnds_NonXtal_BW#'!$A:$Z,25,FALSE)+VLOOKUP($A141,A:AL,37,FALSE)-50),"-",(VLOOKUP($A141,'SegEnds_NonXtal_BW#'!$A:$Z,25,FALSE)+VLOOKUP($A141,A:AL,37,FALSE)-50))</f>
        <v>334</v>
      </c>
      <c r="AK141" s="3">
        <v>334</v>
      </c>
      <c r="AL141" s="3">
        <f>IF(ISERROR((VLOOKUP($A141,'SegEnds_NonXtal_BW#'!$A:$Z,26,FALSE)+VLOOKUP($A141,A:AL,37,FALSE)-50)),"-",(VLOOKUP($A141,'SegEnds_NonXtal_BW#'!$A:$Z,26,FALSE)+VLOOKUP($A141,A:AL,37,FALSE)-50))</f>
        <v>347</v>
      </c>
      <c r="AM141" s="28" t="str">
        <f>VLOOKUP(A141,Classification!A:B,2,FALSE)</f>
        <v>A</v>
      </c>
      <c r="AN141" s="28" t="b">
        <f t="shared" si="98"/>
        <v>1</v>
      </c>
      <c r="AO141" s="3" t="str">
        <f>IF(ISERROR(MATCH(A141,'SegEnds_Xtal_Prot#'!B:B, 0)), "NoXtal", "Xtal")</f>
        <v>NoXtal</v>
      </c>
      <c r="AP141" s="3" t="str">
        <f t="shared" si="81"/>
        <v>-</v>
      </c>
      <c r="AQ141" s="3" t="str">
        <f t="shared" si="82"/>
        <v>-</v>
      </c>
      <c r="AR141" s="3">
        <f t="shared" si="83"/>
        <v>2</v>
      </c>
      <c r="AS141" s="3">
        <f t="shared" si="84"/>
        <v>1</v>
      </c>
      <c r="AT141" s="3">
        <f t="shared" si="85"/>
        <v>1</v>
      </c>
      <c r="AU141" s="3">
        <f t="shared" si="86"/>
        <v>1</v>
      </c>
      <c r="AV141" s="3">
        <f t="shared" si="87"/>
        <v>12</v>
      </c>
      <c r="AW141" s="3">
        <f t="shared" si="88"/>
        <v>7</v>
      </c>
      <c r="AX141" s="3">
        <f t="shared" si="89"/>
        <v>6</v>
      </c>
      <c r="AY141" s="3">
        <f t="shared" si="90"/>
        <v>6</v>
      </c>
      <c r="AZ141" s="3">
        <f t="shared" si="91"/>
        <v>1</v>
      </c>
      <c r="BA141" s="3">
        <f>IF(ISERROR(LEN(VLOOKUP(A141,Seqs!A:E,2,FALSE))-AL141),"-",LEN(VLOOKUP(A141,Seqs!A:E,2,FALSE))-AL141)</f>
        <v>34</v>
      </c>
      <c r="BB141" s="16">
        <f t="shared" si="92"/>
        <v>28</v>
      </c>
      <c r="BC141" s="9">
        <f t="shared" si="93"/>
        <v>20</v>
      </c>
      <c r="BD141" s="3">
        <f t="shared" si="94"/>
        <v>28</v>
      </c>
      <c r="BE141" s="3">
        <f t="shared" si="95"/>
        <v>51</v>
      </c>
    </row>
    <row r="142" spans="1:58" s="3" customFormat="1" x14ac:dyDescent="0.2">
      <c r="A142" s="3" t="s">
        <v>254</v>
      </c>
      <c r="B142" s="3" t="str">
        <f>LOWER(VLOOKUP(A142,Xtal_Templ!A:B,2,FALSE))</f>
        <v>ccr2_human</v>
      </c>
      <c r="C142" s="3">
        <f>VLOOKUP($A142,'SegEnds_NonXtal_BW#'!$A:$Z,3,FALSE)+D142-50</f>
        <v>15</v>
      </c>
      <c r="D142" s="3">
        <v>38</v>
      </c>
      <c r="E142" s="3">
        <f>IF(ISERROR(VLOOKUP($A142,'SegEnds_NonXtal_BW#'!$A:$Z,4,FALSE)+VLOOKUP($A142,A:AL,4,FALSE)-50),"-",(VLOOKUP($A142,'SegEnds_NonXtal_BW#'!$A:$Z,4,FALSE)+VLOOKUP($A142,A:AL,4,FALSE)-50))</f>
        <v>48</v>
      </c>
      <c r="F142" s="3">
        <f>G142-2</f>
        <v>49</v>
      </c>
      <c r="G142" s="3">
        <v>51</v>
      </c>
      <c r="H142" s="3">
        <f>G142+1</f>
        <v>52</v>
      </c>
      <c r="I142" s="3">
        <f>H142+1</f>
        <v>53</v>
      </c>
      <c r="J142" s="3">
        <v>66</v>
      </c>
      <c r="K142" s="3">
        <f>VLOOKUP($A142,'SegEnds_NonXtal_BW#'!$A:$Z,8,FALSE)+VLOOKUP($A142,A:AL,10,FALSE)-50</f>
        <v>82</v>
      </c>
      <c r="L142" s="3" t="str">
        <f>IF(ISERROR(VLOOKUP($A142,'SegEnds_NonXtal_BW#'!$A:$Z,9,FALSE)+VLOOKUP($A142,A:AL,13,FALSE)-50),"-",(VLOOKUP($A142,'SegEnds_NonXtal_BW#'!$A:$Z,9,FALSE)+VLOOKUP($A142,A:AL,13,FALSE)-50))</f>
        <v>-</v>
      </c>
      <c r="M142" s="3" t="s">
        <v>23</v>
      </c>
      <c r="N142" s="3" t="str">
        <f>IF(ISERROR(VLOOKUP($A142,'SegEnds_NonXtal_BW#'!$A:$Z,10,FALSE)+VLOOKUP($A142,A:AL,13,FALSE)-50),"-",(VLOOKUP($A142,'SegEnds_NonXtal_BW#'!$A:$Z,10,FALSE)+VLOOKUP($A142,A:AL,13,FALSE)-50))</f>
        <v>-</v>
      </c>
      <c r="O142" s="3">
        <f>VLOOKUP($A142,'SegEnds_NonXtal_BW#'!$A:$Z,11,FALSE)+VLOOKUP($A142,A:AL,16,FALSE)-50</f>
        <v>88</v>
      </c>
      <c r="P142" s="3">
        <v>114</v>
      </c>
      <c r="Q142" s="3">
        <f>VLOOKUP($A142,'SegEnds_NonXtal_BW#'!$A:$Z,12,FALSE)+VLOOKUP($A142,A:AL,16,FALSE)-50</f>
        <v>120</v>
      </c>
      <c r="R142" s="3">
        <f>IF(ISERROR(VLOOKUP($A142,'SegEnds_NonXtal_BW#'!$A:$Z,13,FALSE)+VLOOKUP($A142,A:AL,19,FALSE)-50),"-",VLOOKUP($A142,'SegEnds_NonXtal_BW#'!$A:$Z,13,FALSE)+VLOOKUP($A142,A:AL,19,FALSE)-50)</f>
        <v>121</v>
      </c>
      <c r="S142" s="3">
        <v>121</v>
      </c>
      <c r="T142" s="100">
        <f>IF(ISERROR(VLOOKUP($A142,'SegEnds_NonXtal_BW#'!$A:$Z,14,FALSE)+VLOOKUP($A142,A:AL,19,FALSE)-50),"-",(VLOOKUP($A142,'SegEnds_NonXtal_BW#'!$A:$Z,14,FALSE)+VLOOKUP($A142,A:AL,19,FALSE)-50))</f>
        <v>128</v>
      </c>
      <c r="U142" s="9">
        <f>IF(ISERROR(VLOOKUP($A142,'SegEnds_NonXtal_BW#'!$A:$Z,15,FALSE)+VLOOKUP($A142,A:AL,22,FALSE)-50),"-",VLOOKUP($A142,'SegEnds_NonXtal_BW#'!$A:$Z,15,FALSE)+VLOOKUP($A142,A:AL,22,FALSE)-50)</f>
        <v>129</v>
      </c>
      <c r="V142" s="3">
        <v>141</v>
      </c>
      <c r="W142" s="3">
        <f>IF(ISERROR(VLOOKUP($A142,'SegEnds_NonXtal_BW#'!$A:$Z,16,FALSE)+VLOOKUP($A142,A:AL,22,FALSE)-50),"-",(VLOOKUP($A142,'SegEnds_NonXtal_BW#'!$A:$Z,16,FALSE)+VLOOKUP($A142,A:AL,22,FALSE)-50))</f>
        <v>155</v>
      </c>
      <c r="X142" s="3">
        <f>IF(ISERROR(VLOOKUP($A142,'SegEnds_NonXtal_BW#'!$A:$Z,17,FALSE)+VLOOKUP($A142,A:AL,25,FALSE)-50),"-",(VLOOKUP($A142,'SegEnds_NonXtal_BW#'!$A:$Z,17,FALSE)+VLOOKUP($A142,A:AL,25,FALSE)-50))</f>
        <v>162</v>
      </c>
      <c r="Y142" s="3">
        <v>162</v>
      </c>
      <c r="Z142" s="3">
        <f t="shared" si="99"/>
        <v>164</v>
      </c>
      <c r="AA142" s="3">
        <f>IF(ISERROR(VLOOKUP($A142,'SegEnds_NonXtal_BW#'!$A:$Z,19,FALSE)+VLOOKUP($A142,A:AL,28,FALSE)-50),"-",(VLOOKUP($A142,'SegEnds_NonXtal_BW#'!$A:$Z,19,FALSE)+VLOOKUP($A142,A:AL,28,FALSE)-50))</f>
        <v>168</v>
      </c>
      <c r="AB142" s="3">
        <v>183</v>
      </c>
      <c r="AC142" s="3">
        <f>IF(ISERROR((VLOOKUP($A142,'SegEnds_NonXtal_BW#'!$A:$Z,20,FALSE)+VLOOKUP($A142,A:AL,28,FALSE)-50)),"-",(VLOOKUP($A142,'SegEnds_NonXtal_BW#'!$A:$Z,20,FALSE)+VLOOKUP($A142,A:AL,28,FALSE)-50))</f>
        <v>201</v>
      </c>
      <c r="AD142" s="3">
        <f>IF(ISERROR(VLOOKUP($A142,'SegEnds_NonXtal_BW#'!$A:$Z,21,FALSE)+VLOOKUP($A142,A:AL,31,FALSE)-50),"-",(VLOOKUP($A142,'SegEnds_NonXtal_BW#'!$A:$Z,21,FALSE)+VLOOKUP($A142,A:AL,31,FALSE)-50))</f>
        <v>206</v>
      </c>
      <c r="AE142" s="3">
        <v>232</v>
      </c>
      <c r="AF142" s="3">
        <f>IF(ISERROR((VLOOKUP($A142,'SegEnds_NonXtal_BW#'!$A:$Z,22,FALSE)+VLOOKUP($A142,A:AL,31,FALSE)-50)),"-",(VLOOKUP($A142,'SegEnds_NonXtal_BW#'!$A:$Z,22,FALSE)+VLOOKUP($A142,A:AL,31,FALSE)-50))</f>
        <v>243</v>
      </c>
      <c r="AG142" s="3">
        <f>IF(ISERROR(VLOOKUP($A142,'SegEnds_NonXtal_BW#'!$A:$Z,23,FALSE)+VLOOKUP($A142,A:AL,34,FALSE)-50),"-",(VLOOKUP($A142,'SegEnds_NonXtal_BW#'!$A:$Z,23,FALSE)+VLOOKUP($A142,A:AL,34,FALSE)-50))</f>
        <v>251</v>
      </c>
      <c r="AH142" s="3">
        <v>273</v>
      </c>
      <c r="AI142" s="3">
        <f>IF(ISERROR((VLOOKUP($A142,'SegEnds_NonXtal_BW#'!$A:$Z,24,FALSE)+VLOOKUP($A142,A:AL,34,FALSE)-50)),"-",(VLOOKUP($A142,'SegEnds_NonXtal_BW#'!$A:$Z,24,FALSE)+VLOOKUP($A142,A:AL,34,FALSE)-50))</f>
        <v>279</v>
      </c>
      <c r="AJ142" s="3">
        <f>IF(ISERROR(VLOOKUP($A142,'SegEnds_NonXtal_BW#'!$A:$Z,25,FALSE)+VLOOKUP($A142,A:AL,37,FALSE)-50),"-",(VLOOKUP($A142,'SegEnds_NonXtal_BW#'!$A:$Z,25,FALSE)+VLOOKUP($A142,A:AL,37,FALSE)-50))</f>
        <v>280</v>
      </c>
      <c r="AK142" s="3">
        <v>283</v>
      </c>
      <c r="AL142" s="3">
        <f>IF(ISERROR((VLOOKUP($A142,'SegEnds_NonXtal_BW#'!$A:$Z,26,FALSE)+VLOOKUP($A142,A:AL,37,FALSE)-50)),"-",(VLOOKUP($A142,'SegEnds_NonXtal_BW#'!$A:$Z,26,FALSE)+VLOOKUP($A142,A:AL,37,FALSE)-50))</f>
        <v>291</v>
      </c>
      <c r="AM142" s="28" t="str">
        <f>VLOOKUP(A142,Classification!A:B,2,FALSE)</f>
        <v>A</v>
      </c>
      <c r="AN142" s="28" t="b">
        <f t="shared" si="98"/>
        <v>1</v>
      </c>
      <c r="AO142" s="3" t="str">
        <f>IF(ISERROR(MATCH(A142,'SegEnds_Xtal_Prot#'!B:B, 0)), "NoXtal", "Xtal")</f>
        <v>NoXtal</v>
      </c>
      <c r="AP142" s="3">
        <f t="shared" si="81"/>
        <v>1</v>
      </c>
      <c r="AQ142" s="3">
        <f t="shared" si="82"/>
        <v>1</v>
      </c>
      <c r="AR142" s="3" t="str">
        <f t="shared" si="83"/>
        <v>-</v>
      </c>
      <c r="AS142" s="3" t="str">
        <f t="shared" si="84"/>
        <v>-</v>
      </c>
      <c r="AT142" s="3">
        <f t="shared" si="85"/>
        <v>1</v>
      </c>
      <c r="AU142" s="3">
        <f t="shared" si="86"/>
        <v>1</v>
      </c>
      <c r="AV142" s="3">
        <f t="shared" si="87"/>
        <v>7</v>
      </c>
      <c r="AW142" s="3">
        <f t="shared" si="88"/>
        <v>4</v>
      </c>
      <c r="AX142" s="3">
        <f t="shared" si="89"/>
        <v>5</v>
      </c>
      <c r="AY142" s="3">
        <f t="shared" si="90"/>
        <v>8</v>
      </c>
      <c r="AZ142" s="3">
        <f t="shared" si="91"/>
        <v>1</v>
      </c>
      <c r="BA142" s="3">
        <f>IF(ISERROR(LEN(VLOOKUP(A142,Seqs!A:E,2,FALSE))-AL142),"-",LEN(VLOOKUP(A142,Seqs!A:E,2,FALSE))-AL142)</f>
        <v>18</v>
      </c>
      <c r="BB142" s="16">
        <f t="shared" si="92"/>
        <v>28</v>
      </c>
      <c r="BC142" s="9">
        <f t="shared" si="93"/>
        <v>20</v>
      </c>
      <c r="BD142" s="3">
        <f t="shared" si="94"/>
        <v>28</v>
      </c>
      <c r="BE142" s="3">
        <f t="shared" si="95"/>
        <v>49</v>
      </c>
      <c r="BF142" s="3">
        <f>AH142-AE142</f>
        <v>41</v>
      </c>
    </row>
    <row r="143" spans="1:58" s="3" customFormat="1" x14ac:dyDescent="0.2">
      <c r="A143" s="3" t="s">
        <v>255</v>
      </c>
      <c r="B143" s="3" t="str">
        <f>LOWER(VLOOKUP(A143,Xtal_Templ!A:B,2,FALSE))</f>
        <v>ednrb_human</v>
      </c>
      <c r="C143" s="3">
        <f>VLOOKUP($A143,'SegEnds_NonXtal_BW#'!$A:$Z,3,FALSE)+D143-50</f>
        <v>251</v>
      </c>
      <c r="D143" s="3">
        <v>279</v>
      </c>
      <c r="E143" s="3">
        <f>IF(ISERROR(VLOOKUP($A143,'SegEnds_NonXtal_BW#'!$A:$Z,4,FALSE)+VLOOKUP($A143,A:AL,4,FALSE)-50),"-",(VLOOKUP($A143,'SegEnds_NonXtal_BW#'!$A:$Z,4,FALSE)+VLOOKUP($A143,A:AL,4,FALSE)-50))</f>
        <v>289</v>
      </c>
      <c r="F143" s="3">
        <f>G143-2</f>
        <v>290</v>
      </c>
      <c r="G143" s="3">
        <v>292</v>
      </c>
      <c r="H143" s="3">
        <f>G143+1</f>
        <v>293</v>
      </c>
      <c r="I143" s="3">
        <f>H143+1</f>
        <v>294</v>
      </c>
      <c r="J143" s="3">
        <v>307</v>
      </c>
      <c r="K143" s="3">
        <f>VLOOKUP($A143,'SegEnds_NonXtal_BW#'!$A:$Z,8,FALSE)+VLOOKUP($A143,A:AL,10,FALSE)-50</f>
        <v>324</v>
      </c>
      <c r="L143" s="3">
        <f>M143-1</f>
        <v>326</v>
      </c>
      <c r="M143" s="3">
        <v>327</v>
      </c>
      <c r="N143" s="3">
        <f>M143+2</f>
        <v>329</v>
      </c>
      <c r="O143" s="3">
        <f>N143+1</f>
        <v>330</v>
      </c>
      <c r="P143" s="3">
        <v>359</v>
      </c>
      <c r="Q143" s="3">
        <f>VLOOKUP($A143,'SegEnds_NonXtal_BW#'!$A:$Z,12,FALSE)+VLOOKUP($A143,A:AL,16,FALSE)-50</f>
        <v>365</v>
      </c>
      <c r="R143" s="3">
        <f>IF(ISERROR(VLOOKUP($A143,'SegEnds_NonXtal_BW#'!$A:$Z,13,FALSE)+VLOOKUP($A143,A:AL,19,FALSE)-50),"-",VLOOKUP($A143,'SegEnds_NonXtal_BW#'!$A:$Z,13,FALSE)+VLOOKUP($A143,A:AL,19,FALSE)-50)</f>
        <v>367</v>
      </c>
      <c r="S143" s="3">
        <v>367</v>
      </c>
      <c r="T143" s="100">
        <f>IF(ISERROR(VLOOKUP($A143,'SegEnds_NonXtal_BW#'!$A:$Z,14,FALSE)+VLOOKUP($A143,A:AL,19,FALSE)-50),"-",(VLOOKUP($A143,'SegEnds_NonXtal_BW#'!$A:$Z,14,FALSE)+VLOOKUP($A143,A:AL,19,FALSE)-50))</f>
        <v>374</v>
      </c>
      <c r="U143" s="9">
        <f>IF(ISERROR(VLOOKUP($A143,'SegEnds_NonXtal_BW#'!$A:$Z,15,FALSE)+VLOOKUP($A143,A:AL,22,FALSE)-50),"-",VLOOKUP($A143,'SegEnds_NonXtal_BW#'!$A:$Z,15,FALSE)+VLOOKUP($A143,A:AL,22,FALSE)-50)</f>
        <v>375</v>
      </c>
      <c r="V143" s="3">
        <v>387</v>
      </c>
      <c r="W143" s="3">
        <f>IF(ISERROR(VLOOKUP($A143,'SegEnds_NonXtal_BW#'!$A:$Z,16,FALSE)+VLOOKUP($A143,A:AL,22,FALSE)-50),"-",(VLOOKUP($A143,'SegEnds_NonXtal_BW#'!$A:$Z,16,FALSE)+VLOOKUP($A143,A:AL,22,FALSE)-50))</f>
        <v>401</v>
      </c>
      <c r="X143" s="3">
        <f>IF(ISERROR(VLOOKUP($A143,'SegEnds_NonXtal_BW#'!$A:$Z,17,FALSE)+VLOOKUP($A143,A:AL,25,FALSE)-50),"-",(VLOOKUP($A143,'SegEnds_NonXtal_BW#'!$A:$Z,17,FALSE)+VLOOKUP($A143,A:AL,25,FALSE)-50))</f>
        <v>419</v>
      </c>
      <c r="Y143" s="3">
        <v>419</v>
      </c>
      <c r="Z143" s="3">
        <f t="shared" si="99"/>
        <v>421</v>
      </c>
      <c r="AA143" s="3">
        <f>IF(ISERROR(VLOOKUP($A143,'SegEnds_NonXtal_BW#'!$A:$Z,19,FALSE)+VLOOKUP($A143,A:AL,28,FALSE)-50),"-",(VLOOKUP($A143,'SegEnds_NonXtal_BW#'!$A:$Z,19,FALSE)+VLOOKUP($A143,A:AL,28,FALSE)-50))</f>
        <v>432</v>
      </c>
      <c r="AB143" s="3">
        <v>454</v>
      </c>
      <c r="AC143" s="3">
        <f>IF(ISERROR((VLOOKUP($A143,'SegEnds_NonXtal_BW#'!$A:$Z,20,FALSE)+VLOOKUP($A143,A:AL,28,FALSE)-50)),"-",(VLOOKUP($A143,'SegEnds_NonXtal_BW#'!$A:$Z,20,FALSE)+VLOOKUP($A143,A:AL,28,FALSE)-50))</f>
        <v>476</v>
      </c>
      <c r="AD143" s="3">
        <f>IF(ISERROR(VLOOKUP($A143,'SegEnds_NonXtal_BW#'!$A:$Z,21,FALSE)+VLOOKUP($A143,A:AL,31,FALSE)-50),"-",(VLOOKUP($A143,'SegEnds_NonXtal_BW#'!$A:$Z,21,FALSE)+VLOOKUP($A143,A:AL,31,FALSE)-50))</f>
        <v>481</v>
      </c>
      <c r="AE143" s="3">
        <v>507</v>
      </c>
      <c r="AF143" s="3">
        <f>IF(ISERROR((VLOOKUP($A143,'SegEnds_NonXtal_BW#'!$A:$Z,22,FALSE)+VLOOKUP($A143,A:AL,31,FALSE)-50)),"-",(VLOOKUP($A143,'SegEnds_NonXtal_BW#'!$A:$Z,22,FALSE)+VLOOKUP($A143,A:AL,31,FALSE)-50))</f>
        <v>518</v>
      </c>
      <c r="AG143" s="3">
        <f>IF(ISERROR(VLOOKUP($A143,'SegEnds_NonXtal_BW#'!$A:$Z,23,FALSE)+VLOOKUP($A143,A:AL,34,FALSE)-50),"-",(VLOOKUP($A143,'SegEnds_NonXtal_BW#'!$A:$Z,23,FALSE)+VLOOKUP($A143,A:AL,34,FALSE)-50))</f>
        <v>524</v>
      </c>
      <c r="AH143" s="3">
        <v>546</v>
      </c>
      <c r="AI143" s="3">
        <f>IF(ISERROR((VLOOKUP($A143,'SegEnds_NonXtal_BW#'!$A:$Z,24,FALSE)+VLOOKUP($A143,A:AL,34,FALSE)-50)),"-",(VLOOKUP($A143,'SegEnds_NonXtal_BW#'!$A:$Z,24,FALSE)+VLOOKUP($A143,A:AL,34,FALSE)-50))</f>
        <v>552</v>
      </c>
      <c r="AJ143" s="3">
        <f>IF(ISERROR(VLOOKUP($A143,'SegEnds_NonXtal_BW#'!$A:$Z,25,FALSE)+VLOOKUP($A143,A:AL,37,FALSE)-50),"-",(VLOOKUP($A143,'SegEnds_NonXtal_BW#'!$A:$Z,25,FALSE)+VLOOKUP($A143,A:AL,37,FALSE)-50))</f>
        <v>553</v>
      </c>
      <c r="AK143" s="3">
        <v>556</v>
      </c>
      <c r="AL143" s="3">
        <f>IF(ISERROR((VLOOKUP($A143,'SegEnds_NonXtal_BW#'!$A:$Z,26,FALSE)+VLOOKUP($A143,A:AL,37,FALSE)-50)),"-",(VLOOKUP($A143,'SegEnds_NonXtal_BW#'!$A:$Z,26,FALSE)+VLOOKUP($A143,A:AL,37,FALSE)-50))</f>
        <v>566</v>
      </c>
      <c r="AM143" s="28" t="str">
        <f>VLOOKUP(A143,Classification!A:B,2,FALSE)</f>
        <v>A</v>
      </c>
      <c r="AN143" s="28" t="b">
        <f t="shared" si="98"/>
        <v>1</v>
      </c>
      <c r="AO143" s="3" t="str">
        <f>IF(ISERROR(MATCH(A143,'SegEnds_Xtal_Prot#'!B:B, 0)), "NoXtal", "Xtal")</f>
        <v>NoXtal</v>
      </c>
      <c r="AP143" s="3">
        <f t="shared" si="81"/>
        <v>1</v>
      </c>
      <c r="AQ143" s="3">
        <f t="shared" si="82"/>
        <v>1</v>
      </c>
      <c r="AR143" s="3">
        <f t="shared" si="83"/>
        <v>2</v>
      </c>
      <c r="AS143" s="3">
        <f t="shared" si="84"/>
        <v>1</v>
      </c>
      <c r="AT143" s="3">
        <f t="shared" si="85"/>
        <v>2</v>
      </c>
      <c r="AU143" s="3">
        <f t="shared" si="86"/>
        <v>1</v>
      </c>
      <c r="AV143" s="3">
        <f t="shared" si="87"/>
        <v>18</v>
      </c>
      <c r="AW143" s="3">
        <f t="shared" si="88"/>
        <v>11</v>
      </c>
      <c r="AX143" s="3">
        <f t="shared" si="89"/>
        <v>5</v>
      </c>
      <c r="AY143" s="3">
        <f t="shared" si="90"/>
        <v>6</v>
      </c>
      <c r="AZ143" s="3">
        <f t="shared" si="91"/>
        <v>1</v>
      </c>
      <c r="BA143" s="3">
        <f>IF(ISERROR(LEN(VLOOKUP(A143,Seqs!A:E,2,FALSE))-AL143),"-",LEN(VLOOKUP(A143,Seqs!A:E,2,FALSE))-AL143)</f>
        <v>47</v>
      </c>
      <c r="BB143" s="16">
        <f t="shared" si="92"/>
        <v>28</v>
      </c>
      <c r="BC143" s="9">
        <f t="shared" si="93"/>
        <v>20</v>
      </c>
      <c r="BD143" s="3">
        <f t="shared" si="94"/>
        <v>28</v>
      </c>
      <c r="BE143" s="3">
        <f t="shared" si="95"/>
        <v>53</v>
      </c>
    </row>
    <row r="144" spans="1:58" s="3" customFormat="1" x14ac:dyDescent="0.2">
      <c r="A144" s="3" t="s">
        <v>256</v>
      </c>
      <c r="B144" s="3" t="str">
        <f>LOWER(VLOOKUP(A144,Xtal_Templ!A:B,2,FALSE))</f>
        <v>ntr1_rat</v>
      </c>
      <c r="C144" s="3">
        <f>VLOOKUP($A144,'SegEnds_NonXtal_BW#'!$A:$Z,3,FALSE)+D144-50</f>
        <v>27</v>
      </c>
      <c r="D144" s="3">
        <v>48</v>
      </c>
      <c r="E144" s="3">
        <f>IF(ISERROR(VLOOKUP($A144,'SegEnds_NonXtal_BW#'!$A:$Z,4,FALSE)+VLOOKUP($A144,A:AL,4,FALSE)-50),"-",(VLOOKUP($A144,'SegEnds_NonXtal_BW#'!$A:$Z,4,FALSE)+VLOOKUP($A144,A:AL,4,FALSE)-50))</f>
        <v>58</v>
      </c>
      <c r="F144" s="3" t="str">
        <f>IF(ISERROR(VLOOKUP($A144,'SegEnds_NonXtal_BW#'!$A:$Z,5,FALSE)+VLOOKUP($A144,A:AL,7,FALSE)-50),"-",(VLOOKUP($A144,'SegEnds_NonXtal_BW#'!$A:$Z,5,FALSE)+VLOOKUP($A144,A:AL,7,FALSE)-50))</f>
        <v>-</v>
      </c>
      <c r="G144" s="3" t="s">
        <v>23</v>
      </c>
      <c r="H144" s="3" t="str">
        <f>IF(ISERROR(VLOOKUP($A144,'SegEnds_NonXtal_BW#'!$A:$Z,6,FALSE)+VLOOKUP($A144,A:AL,7,FALSE)-50),"-",(VLOOKUP($A144,'SegEnds_NonXtal_BW#'!$A:$Z,6,FALSE)+VLOOKUP($A144,A:AL,7,FALSE)-50))</f>
        <v>-</v>
      </c>
      <c r="I144" s="3">
        <f>VLOOKUP($A144,'SegEnds_NonXtal_BW#'!$A:$Z,7,FALSE)+J144-50</f>
        <v>66</v>
      </c>
      <c r="J144" s="3">
        <v>79</v>
      </c>
      <c r="K144" s="3">
        <f>VLOOKUP($A144,'SegEnds_NonXtal_BW#'!$A:$Z,8,FALSE)+VLOOKUP($A144,A:AL,10,FALSE)-50</f>
        <v>97</v>
      </c>
      <c r="L144" s="3" t="str">
        <f>IF(ISERROR(VLOOKUP($A144,'SegEnds_NonXtal_BW#'!$A:$Z,9,FALSE)+VLOOKUP($A144,A:AL,13,FALSE)-50),"-",(VLOOKUP($A144,'SegEnds_NonXtal_BW#'!$A:$Z,9,FALSE)+VLOOKUP($A144,A:AL,13,FALSE)-50))</f>
        <v>-</v>
      </c>
      <c r="M144" s="3" t="s">
        <v>23</v>
      </c>
      <c r="N144" s="3" t="str">
        <f>IF(ISERROR(VLOOKUP($A144,'SegEnds_NonXtal_BW#'!$A:$Z,10,FALSE)+VLOOKUP($A144,A:AL,13,FALSE)-50),"-",(VLOOKUP($A144,'SegEnds_NonXtal_BW#'!$A:$Z,10,FALSE)+VLOOKUP($A144,A:AL,13,FALSE)-50))</f>
        <v>-</v>
      </c>
      <c r="O144" s="3">
        <f>VLOOKUP($A144,'SegEnds_NonXtal_BW#'!$A:$Z,11,FALSE)+VLOOKUP($A144,A:AL,16,FALSE)-50</f>
        <v>101</v>
      </c>
      <c r="P144" s="3">
        <v>133</v>
      </c>
      <c r="Q144" s="3">
        <f>VLOOKUP($A144,'SegEnds_NonXtal_BW#'!$A:$Z,12,FALSE)+VLOOKUP($A144,A:AL,16,FALSE)-50</f>
        <v>139</v>
      </c>
      <c r="R144" s="3">
        <f>IF(ISERROR(VLOOKUP($A144,'SegEnds_NonXtal_BW#'!$A:$Z,13,FALSE)+VLOOKUP($A144,A:AL,19,FALSE)-50),"-",VLOOKUP($A144,'SegEnds_NonXtal_BW#'!$A:$Z,13,FALSE)+VLOOKUP($A144,A:AL,19,FALSE)-50)</f>
        <v>140</v>
      </c>
      <c r="S144" s="3">
        <v>140</v>
      </c>
      <c r="T144" s="100">
        <f>IF(ISERROR(VLOOKUP($A144,'SegEnds_NonXtal_BW#'!$A:$Z,14,FALSE)+VLOOKUP($A144,A:AL,19,FALSE)-50),"-",(VLOOKUP($A144,'SegEnds_NonXtal_BW#'!$A:$Z,14,FALSE)+VLOOKUP($A144,A:AL,19,FALSE)-50))</f>
        <v>147</v>
      </c>
      <c r="U144" s="9">
        <f>IF(ISERROR(VLOOKUP($A144,'SegEnds_NonXtal_BW#'!$A:$Z,15,FALSE)+VLOOKUP($A144,A:AL,22,FALSE)-50),"-",VLOOKUP($A144,'SegEnds_NonXtal_BW#'!$A:$Z,15,FALSE)+VLOOKUP($A144,A:AL,22,FALSE)-50)</f>
        <v>148</v>
      </c>
      <c r="V144" s="3">
        <v>160</v>
      </c>
      <c r="W144" s="3">
        <f>IF(ISERROR(VLOOKUP($A144,'SegEnds_NonXtal_BW#'!$A:$Z,16,FALSE)+VLOOKUP($A144,A:AL,22,FALSE)-50),"-",(VLOOKUP($A144,'SegEnds_NonXtal_BW#'!$A:$Z,16,FALSE)+VLOOKUP($A144,A:AL,22,FALSE)-50))</f>
        <v>174</v>
      </c>
      <c r="X144" s="3">
        <f>IF(ISERROR(VLOOKUP($A144,'SegEnds_NonXtal_BW#'!$A:$Z,17,FALSE)+VLOOKUP($A144,A:AL,25,FALSE)-50),"-",(VLOOKUP($A144,'SegEnds_NonXtal_BW#'!$A:$Z,17,FALSE)+VLOOKUP($A144,A:AL,25,FALSE)-50))</f>
        <v>210</v>
      </c>
      <c r="Y144" s="3">
        <v>210</v>
      </c>
      <c r="Z144" s="3">
        <f t="shared" si="99"/>
        <v>212</v>
      </c>
      <c r="AA144" s="3">
        <f>IF(ISERROR(VLOOKUP($A144,'SegEnds_NonXtal_BW#'!$A:$Z,19,FALSE)+VLOOKUP($A144,A:AL,28,FALSE)-50),"-",(VLOOKUP($A144,'SegEnds_NonXtal_BW#'!$A:$Z,19,FALSE)+VLOOKUP($A144,A:AL,28,FALSE)-50))</f>
        <v>216</v>
      </c>
      <c r="AB144" s="3">
        <v>231</v>
      </c>
      <c r="AC144" s="3">
        <f>IF(ISERROR((VLOOKUP($A144,'SegEnds_NonXtal_BW#'!$A:$Z,20,FALSE)+VLOOKUP($A144,A:AL,28,FALSE)-50)),"-",(VLOOKUP($A144,'SegEnds_NonXtal_BW#'!$A:$Z,20,FALSE)+VLOOKUP($A144,A:AL,28,FALSE)-50))</f>
        <v>257</v>
      </c>
      <c r="AD144" s="3">
        <f>IF(ISERROR(VLOOKUP($A144,'SegEnds_NonXtal_BW#'!$A:$Z,21,FALSE)+VLOOKUP($A144,A:AL,31,FALSE)-50),"-",(VLOOKUP($A144,'SegEnds_NonXtal_BW#'!$A:$Z,21,FALSE)+VLOOKUP($A144,A:AL,31,FALSE)-50))</f>
        <v>272</v>
      </c>
      <c r="AE144" s="3">
        <v>298</v>
      </c>
      <c r="AF144" s="3">
        <f>IF(ISERROR((VLOOKUP($A144,'SegEnds_NonXtal_BW#'!$A:$Z,22,FALSE)+VLOOKUP($A144,A:AL,31,FALSE)-50)),"-",(VLOOKUP($A144,'SegEnds_NonXtal_BW#'!$A:$Z,22,FALSE)+VLOOKUP($A144,A:AL,31,FALSE)-50))</f>
        <v>309</v>
      </c>
      <c r="AG144" s="3">
        <f>IF(ISERROR(VLOOKUP($A144,'SegEnds_NonXtal_BW#'!$A:$Z,23,FALSE)+VLOOKUP($A144,A:AL,34,FALSE)-50),"-",(VLOOKUP($A144,'SegEnds_NonXtal_BW#'!$A:$Z,23,FALSE)+VLOOKUP($A144,A:AL,34,FALSE)-50))</f>
        <v>315</v>
      </c>
      <c r="AH144" s="3">
        <v>341</v>
      </c>
      <c r="AI144" s="3">
        <f>IF(ISERROR((VLOOKUP($A144,'SegEnds_NonXtal_BW#'!$A:$Z,24,FALSE)+VLOOKUP($A144,A:AL,34,FALSE)-50)),"-",(VLOOKUP($A144,'SegEnds_NonXtal_BW#'!$A:$Z,24,FALSE)+VLOOKUP($A144,A:AL,34,FALSE)-50))</f>
        <v>347</v>
      </c>
      <c r="AJ144" s="3">
        <f>IF(ISERROR(VLOOKUP($A144,'SegEnds_NonXtal_BW#'!$A:$Z,25,FALSE)+VLOOKUP($A144,A:AL,37,FALSE)-50),"-",(VLOOKUP($A144,'SegEnds_NonXtal_BW#'!$A:$Z,25,FALSE)+VLOOKUP($A144,A:AL,37,FALSE)-50))</f>
        <v>348</v>
      </c>
      <c r="AK144" s="3">
        <v>351</v>
      </c>
      <c r="AL144" s="3">
        <f>IF(ISERROR((VLOOKUP($A144,'SegEnds_NonXtal_BW#'!$A:$Z,26,FALSE)+VLOOKUP($A144,A:AL,37,FALSE)-50)),"-",(VLOOKUP($A144,'SegEnds_NonXtal_BW#'!$A:$Z,26,FALSE)+VLOOKUP($A144,A:AL,37,FALSE)-50))</f>
        <v>359</v>
      </c>
      <c r="AM144" s="28" t="str">
        <f>VLOOKUP(A144,Classification!A:B,2,FALSE)</f>
        <v>A</v>
      </c>
      <c r="AN144" s="28" t="b">
        <f t="shared" si="98"/>
        <v>1</v>
      </c>
      <c r="AO144" s="3" t="str">
        <f>IF(ISERROR(MATCH(A144,'SegEnds_Xtal_Prot#'!B:B, 0)), "NoXtal", "Xtal")</f>
        <v>NoXtal</v>
      </c>
      <c r="AP144" s="3" t="str">
        <f t="shared" si="81"/>
        <v>-</v>
      </c>
      <c r="AQ144" s="3" t="str">
        <f t="shared" si="82"/>
        <v>-</v>
      </c>
      <c r="AR144" s="3" t="str">
        <f t="shared" si="83"/>
        <v>-</v>
      </c>
      <c r="AS144" s="3" t="str">
        <f t="shared" si="84"/>
        <v>-</v>
      </c>
      <c r="AT144" s="3">
        <f t="shared" si="85"/>
        <v>1</v>
      </c>
      <c r="AU144" s="3">
        <f t="shared" si="86"/>
        <v>1</v>
      </c>
      <c r="AV144" s="3">
        <f t="shared" si="87"/>
        <v>36</v>
      </c>
      <c r="AW144" s="3">
        <f t="shared" si="88"/>
        <v>4</v>
      </c>
      <c r="AX144" s="3">
        <f t="shared" si="89"/>
        <v>15</v>
      </c>
      <c r="AY144" s="3">
        <f t="shared" si="90"/>
        <v>6</v>
      </c>
      <c r="AZ144" s="3">
        <f t="shared" si="91"/>
        <v>1</v>
      </c>
      <c r="BA144" s="3">
        <f>IF(ISERROR(LEN(VLOOKUP(A144,Seqs!A:E,2,FALSE))-AL144),"-",LEN(VLOOKUP(A144,Seqs!A:E,2,FALSE))-AL144)</f>
        <v>94</v>
      </c>
      <c r="BB144" s="16">
        <f t="shared" si="92"/>
        <v>31</v>
      </c>
      <c r="BC144" s="9">
        <f t="shared" si="93"/>
        <v>20</v>
      </c>
      <c r="BD144" s="3">
        <f t="shared" si="94"/>
        <v>31</v>
      </c>
      <c r="BE144" s="3">
        <f t="shared" si="95"/>
        <v>67</v>
      </c>
    </row>
    <row r="145" spans="1:58" s="3" customFormat="1" x14ac:dyDescent="0.2">
      <c r="A145" s="3" t="s">
        <v>257</v>
      </c>
      <c r="B145" s="3" t="str">
        <f>LOWER(VLOOKUP(A145,Xtal_Templ!A:B,2,FALSE))</f>
        <v>ptafr_human</v>
      </c>
      <c r="C145" s="3">
        <f>VLOOKUP($A145,'SegEnds_NonXtal_BW#'!$A:$Z,3,FALSE)+D145-50</f>
        <v>12</v>
      </c>
      <c r="D145" s="3">
        <v>35</v>
      </c>
      <c r="E145" s="3">
        <f>IF(ISERROR(VLOOKUP($A145,'SegEnds_NonXtal_BW#'!$A:$Z,4,FALSE)+VLOOKUP($A145,A:AL,4,FALSE)-50),"-",(VLOOKUP($A145,'SegEnds_NonXtal_BW#'!$A:$Z,4,FALSE)+VLOOKUP($A145,A:AL,4,FALSE)-50))</f>
        <v>46</v>
      </c>
      <c r="F145" s="3" t="str">
        <f>IF(ISERROR(VLOOKUP($A145,'SegEnds_NonXtal_BW#'!$A:$Z,5,FALSE)+VLOOKUP($A145,A:AL,7,FALSE)-50),"-",(VLOOKUP($A145,'SegEnds_NonXtal_BW#'!$A:$Z,5,FALSE)+VLOOKUP($A145,A:AL,7,FALSE)-50))</f>
        <v>-</v>
      </c>
      <c r="G145" s="3" t="s">
        <v>23</v>
      </c>
      <c r="H145" s="3" t="str">
        <f>IF(ISERROR(VLOOKUP($A145,'SegEnds_NonXtal_BW#'!$A:$Z,6,FALSE)+VLOOKUP($A145,A:AL,7,FALSE)-50),"-",(VLOOKUP($A145,'SegEnds_NonXtal_BW#'!$A:$Z,6,FALSE)+VLOOKUP($A145,A:AL,7,FALSE)-50))</f>
        <v>-</v>
      </c>
      <c r="I145" s="3">
        <f>VLOOKUP($A145,'SegEnds_NonXtal_BW#'!$A:$Z,7,FALSE)+J145-50</f>
        <v>50</v>
      </c>
      <c r="J145" s="3">
        <v>63</v>
      </c>
      <c r="K145" s="3">
        <f>VLOOKUP($A145,'SegEnds_NonXtal_BW#'!$A:$Z,8,FALSE)+VLOOKUP($A145,A:AL,10,FALSE)-50</f>
        <v>80</v>
      </c>
      <c r="L145" s="3">
        <f>M145-1</f>
        <v>82</v>
      </c>
      <c r="M145" s="3">
        <v>83</v>
      </c>
      <c r="N145" s="3">
        <f>M145+2</f>
        <v>85</v>
      </c>
      <c r="O145" s="3">
        <f>N145+1</f>
        <v>86</v>
      </c>
      <c r="P145" s="3">
        <v>115</v>
      </c>
      <c r="Q145" s="3">
        <f>VLOOKUP($A145,'SegEnds_NonXtal_BW#'!$A:$Z,12,FALSE)+VLOOKUP($A145,A:AL,16,FALSE)-50</f>
        <v>121</v>
      </c>
      <c r="R145" s="3">
        <f>IF(ISERROR(VLOOKUP($A145,'SegEnds_NonXtal_BW#'!$A:$Z,13,FALSE)+VLOOKUP($A145,A:AL,19,FALSE)-50),"-",VLOOKUP($A145,'SegEnds_NonXtal_BW#'!$A:$Z,13,FALSE)+VLOOKUP($A145,A:AL,19,FALSE)-50)</f>
        <v>122</v>
      </c>
      <c r="S145" s="3">
        <v>122</v>
      </c>
      <c r="T145" s="100">
        <f>IF(ISERROR(VLOOKUP($A145,'SegEnds_NonXtal_BW#'!$A:$Z,14,FALSE)+VLOOKUP($A145,A:AL,19,FALSE)-50),"-",(VLOOKUP($A145,'SegEnds_NonXtal_BW#'!$A:$Z,14,FALSE)+VLOOKUP($A145,A:AL,19,FALSE)-50))</f>
        <v>129</v>
      </c>
      <c r="U145" s="9">
        <f>IF(ISERROR(VLOOKUP($A145,'SegEnds_NonXtal_BW#'!$A:$Z,15,FALSE)+VLOOKUP($A145,A:AL,22,FALSE)-50),"-",VLOOKUP($A145,'SegEnds_NonXtal_BW#'!$A:$Z,15,FALSE)+VLOOKUP($A145,A:AL,22,FALSE)-50)</f>
        <v>130</v>
      </c>
      <c r="V145" s="3">
        <v>142</v>
      </c>
      <c r="W145" s="3">
        <f>IF(ISERROR(VLOOKUP($A145,'SegEnds_NonXtal_BW#'!$A:$Z,16,FALSE)+VLOOKUP($A145,A:AL,22,FALSE)-50),"-",(VLOOKUP($A145,'SegEnds_NonXtal_BW#'!$A:$Z,16,FALSE)+VLOOKUP($A145,A:AL,22,FALSE)-50))</f>
        <v>155</v>
      </c>
      <c r="X145" s="3">
        <f>IF(ISERROR(VLOOKUP($A145,'SegEnds_NonXtal_BW#'!$A:$Z,17,FALSE)+VLOOKUP($A145,A:AL,25,FALSE)-50),"-",(VLOOKUP($A145,'SegEnds_NonXtal_BW#'!$A:$Z,17,FALSE)+VLOOKUP($A145,A:AL,25,FALSE)-50))</f>
        <v>168</v>
      </c>
      <c r="Y145" s="3">
        <v>168</v>
      </c>
      <c r="Z145" s="3">
        <f t="shared" si="99"/>
        <v>170</v>
      </c>
      <c r="AA145" s="3">
        <f>IF(ISERROR(VLOOKUP($A145,'SegEnds_NonXtal_BW#'!$A:$Z,19,FALSE)+VLOOKUP($A145,A:AL,28,FALSE)-50),"-",(VLOOKUP($A145,'SegEnds_NonXtal_BW#'!$A:$Z,19,FALSE)+VLOOKUP($A145,A:AL,28,FALSE)-50))</f>
        <v>176</v>
      </c>
      <c r="AB145" s="3">
        <v>193</v>
      </c>
      <c r="AC145" s="3">
        <f>IF(ISERROR((VLOOKUP($A145,'SegEnds_NonXtal_BW#'!$A:$Z,20,FALSE)+VLOOKUP($A145,A:AL,28,FALSE)-50)),"-",(VLOOKUP($A145,'SegEnds_NonXtal_BW#'!$A:$Z,20,FALSE)+VLOOKUP($A145,A:AL,28,FALSE)-50))</f>
        <v>210</v>
      </c>
      <c r="AD145" s="3">
        <f>IF(ISERROR(VLOOKUP($A145,'SegEnds_NonXtal_BW#'!$A:$Z,21,FALSE)+VLOOKUP($A145,A:AL,31,FALSE)-50),"-",(VLOOKUP($A145,'SegEnds_NonXtal_BW#'!$A:$Z,21,FALSE)+VLOOKUP($A145,A:AL,31,FALSE)-50))</f>
        <v>215</v>
      </c>
      <c r="AE145" s="3">
        <v>239</v>
      </c>
      <c r="AF145" s="3">
        <f>IF(ISERROR((VLOOKUP($A145,'SegEnds_NonXtal_BW#'!$A:$Z,22,FALSE)+VLOOKUP($A145,A:AL,31,FALSE)-50)),"-",(VLOOKUP($A145,'SegEnds_NonXtal_BW#'!$A:$Z,22,FALSE)+VLOOKUP($A145,A:AL,31,FALSE)-50))</f>
        <v>253</v>
      </c>
      <c r="AG145" s="3">
        <f>IF(ISERROR(VLOOKUP($A145,'SegEnds_NonXtal_BW#'!$A:$Z,23,FALSE)+VLOOKUP($A145,A:AL,34,FALSE)-50),"-",(VLOOKUP($A145,'SegEnds_NonXtal_BW#'!$A:$Z,23,FALSE)+VLOOKUP($A145,A:AL,34,FALSE)-50))</f>
        <v>257</v>
      </c>
      <c r="AH145" s="3">
        <v>283</v>
      </c>
      <c r="AI145" s="3">
        <f>IF(ISERROR((VLOOKUP($A145,'SegEnds_NonXtal_BW#'!$A:$Z,24,FALSE)+VLOOKUP($A145,A:AL,34,FALSE)-50)),"-",(VLOOKUP($A145,'SegEnds_NonXtal_BW#'!$A:$Z,24,FALSE)+VLOOKUP($A145,A:AL,34,FALSE)-50))</f>
        <v>292</v>
      </c>
      <c r="AJ145" s="3">
        <f>IF(ISERROR(VLOOKUP($A145,'SegEnds_NonXtal_BW#'!$A:$Z,25,FALSE)+VLOOKUP($A145,A:AL,37,FALSE)-50),"-",(VLOOKUP($A145,'SegEnds_NonXtal_BW#'!$A:$Z,25,FALSE)+VLOOKUP($A145,A:AL,37,FALSE)-50))</f>
        <v>293</v>
      </c>
      <c r="AK145" s="3">
        <v>293</v>
      </c>
      <c r="AL145" s="3">
        <f>IF(ISERROR((VLOOKUP($A145,'SegEnds_NonXtal_BW#'!$A:$Z,26,FALSE)+VLOOKUP($A145,A:AL,37,FALSE)-50)),"-",(VLOOKUP($A145,'SegEnds_NonXtal_BW#'!$A:$Z,26,FALSE)+VLOOKUP($A145,A:AL,37,FALSE)-50))</f>
        <v>306</v>
      </c>
      <c r="AM145" s="28" t="str">
        <f>VLOOKUP(A145,Classification!A:B,2,FALSE)</f>
        <v>A</v>
      </c>
      <c r="AN145" s="28" t="b">
        <f t="shared" si="98"/>
        <v>1</v>
      </c>
      <c r="AO145" s="3" t="str">
        <f>IF(ISERROR(MATCH(A145,'SegEnds_Xtal_Prot#'!B:B, 0)), "NoXtal", "Xtal")</f>
        <v>NoXtal</v>
      </c>
      <c r="AP145" s="3" t="str">
        <f t="shared" si="81"/>
        <v>-</v>
      </c>
      <c r="AQ145" s="3" t="str">
        <f t="shared" si="82"/>
        <v>-</v>
      </c>
      <c r="AR145" s="3">
        <f t="shared" si="83"/>
        <v>2</v>
      </c>
      <c r="AS145" s="3">
        <f t="shared" si="84"/>
        <v>1</v>
      </c>
      <c r="AT145" s="3">
        <f t="shared" si="85"/>
        <v>1</v>
      </c>
      <c r="AU145" s="3">
        <f t="shared" si="86"/>
        <v>1</v>
      </c>
      <c r="AV145" s="3">
        <f t="shared" si="87"/>
        <v>13</v>
      </c>
      <c r="AW145" s="3">
        <f t="shared" si="88"/>
        <v>6</v>
      </c>
      <c r="AX145" s="3">
        <f t="shared" si="89"/>
        <v>5</v>
      </c>
      <c r="AY145" s="3">
        <f t="shared" si="90"/>
        <v>4</v>
      </c>
      <c r="AZ145" s="3">
        <f t="shared" si="91"/>
        <v>1</v>
      </c>
      <c r="BA145" s="3">
        <f>IF(ISERROR(LEN(VLOOKUP(A145,Seqs!A:E,2,FALSE))-AL145),"-",LEN(VLOOKUP(A145,Seqs!A:E,2,FALSE))-AL145)</f>
        <v>56</v>
      </c>
      <c r="BB145" s="16">
        <f t="shared" si="92"/>
        <v>28</v>
      </c>
      <c r="BC145" s="9">
        <f t="shared" si="93"/>
        <v>20</v>
      </c>
      <c r="BD145" s="3">
        <f t="shared" si="94"/>
        <v>28</v>
      </c>
      <c r="BE145" s="3">
        <f t="shared" si="95"/>
        <v>46</v>
      </c>
    </row>
    <row r="146" spans="1:58" s="3" customFormat="1" x14ac:dyDescent="0.2">
      <c r="A146" s="3" t="s">
        <v>258</v>
      </c>
      <c r="B146" s="3" t="str">
        <f>LOWER(VLOOKUP(A146,Xtal_Templ!A:B,2,FALSE))</f>
        <v>par1_human</v>
      </c>
      <c r="C146" s="3">
        <f>VLOOKUP($A146,'SegEnds_NonXtal_BW#'!$A:$Z,3,FALSE)+D146-50</f>
        <v>11</v>
      </c>
      <c r="D146" s="3">
        <v>32</v>
      </c>
      <c r="E146" s="3">
        <f>IF(ISERROR(VLOOKUP($A146,'SegEnds_NonXtal_BW#'!$A:$Z,4,FALSE)+VLOOKUP($A146,A:AL,4,FALSE)-50),"-",(VLOOKUP($A146,'SegEnds_NonXtal_BW#'!$A:$Z,4,FALSE)+VLOOKUP($A146,A:AL,4,FALSE)-50))</f>
        <v>42</v>
      </c>
      <c r="F146" s="3" t="str">
        <f>IF(ISERROR(VLOOKUP($A146,'SegEnds_NonXtal_BW#'!$A:$Z,5,FALSE)+VLOOKUP($A146,A:AL,7,FALSE)-50),"-",(VLOOKUP($A146,'SegEnds_NonXtal_BW#'!$A:$Z,5,FALSE)+VLOOKUP($A146,A:AL,7,FALSE)-50))</f>
        <v>-</v>
      </c>
      <c r="G146" s="3" t="s">
        <v>23</v>
      </c>
      <c r="H146" s="3" t="str">
        <f>IF(ISERROR(VLOOKUP($A146,'SegEnds_NonXtal_BW#'!$A:$Z,6,FALSE)+VLOOKUP($A146,A:AL,7,FALSE)-50),"-",(VLOOKUP($A146,'SegEnds_NonXtal_BW#'!$A:$Z,6,FALSE)+VLOOKUP($A146,A:AL,7,FALSE)-50))</f>
        <v>-</v>
      </c>
      <c r="I146" s="3">
        <f>VLOOKUP($A146,'SegEnds_NonXtal_BW#'!$A:$Z,7,FALSE)+J146-50</f>
        <v>48</v>
      </c>
      <c r="J146" s="3">
        <v>61</v>
      </c>
      <c r="K146" s="3">
        <f>VLOOKUP($A146,'SegEnds_NonXtal_BW#'!$A:$Z,8,FALSE)+VLOOKUP($A146,A:AL,10,FALSE)-50</f>
        <v>77</v>
      </c>
      <c r="L146" s="3">
        <f>M146-1</f>
        <v>80</v>
      </c>
      <c r="M146" s="3">
        <v>81</v>
      </c>
      <c r="N146" s="3">
        <f>M146+2</f>
        <v>83</v>
      </c>
      <c r="O146" s="3">
        <f>N146+1</f>
        <v>84</v>
      </c>
      <c r="P146" s="3">
        <v>113</v>
      </c>
      <c r="Q146" s="3">
        <f>VLOOKUP($A146,'SegEnds_NonXtal_BW#'!$A:$Z,12,FALSE)+VLOOKUP($A146,A:AL,16,FALSE)-50</f>
        <v>119</v>
      </c>
      <c r="R146" s="3">
        <f>IF(ISERROR(VLOOKUP($A146,'SegEnds_NonXtal_BW#'!$A:$Z,13,FALSE)+VLOOKUP($A146,A:AL,19,FALSE)-50),"-",VLOOKUP($A146,'SegEnds_NonXtal_BW#'!$A:$Z,13,FALSE)+VLOOKUP($A146,A:AL,19,FALSE)-50)</f>
        <v>120</v>
      </c>
      <c r="S146" s="3">
        <v>120</v>
      </c>
      <c r="T146" s="100">
        <f>IF(ISERROR(VLOOKUP($A146,'SegEnds_NonXtal_BW#'!$A:$Z,14,FALSE)+VLOOKUP($A146,A:AL,19,FALSE)-50),"-",(VLOOKUP($A146,'SegEnds_NonXtal_BW#'!$A:$Z,14,FALSE)+VLOOKUP($A146,A:AL,19,FALSE)-50))</f>
        <v>127</v>
      </c>
      <c r="U146" s="9">
        <f>IF(ISERROR(VLOOKUP($A146,'SegEnds_NonXtal_BW#'!$A:$Z,15,FALSE)+VLOOKUP($A146,A:AL,22,FALSE)-50),"-",VLOOKUP($A146,'SegEnds_NonXtal_BW#'!$A:$Z,15,FALSE)+VLOOKUP($A146,A:AL,22,FALSE)-50)</f>
        <v>128</v>
      </c>
      <c r="V146" s="3">
        <v>140</v>
      </c>
      <c r="W146" s="3">
        <f>IF(ISERROR(VLOOKUP($A146,'SegEnds_NonXtal_BW#'!$A:$Z,16,FALSE)+VLOOKUP($A146,A:AL,22,FALSE)-50),"-",(VLOOKUP($A146,'SegEnds_NonXtal_BW#'!$A:$Z,16,FALSE)+VLOOKUP($A146,A:AL,22,FALSE)-50))</f>
        <v>153</v>
      </c>
      <c r="X146" s="3">
        <f>IF(ISERROR(VLOOKUP($A146,'SegEnds_NonXtal_BW#'!$A:$Z,17,FALSE)+VLOOKUP($A146,A:AL,25,FALSE)-50),"-",(VLOOKUP($A146,'SegEnds_NonXtal_BW#'!$A:$Z,17,FALSE)+VLOOKUP($A146,A:AL,25,FALSE)-50))</f>
        <v>169</v>
      </c>
      <c r="Y146" s="3">
        <v>169</v>
      </c>
      <c r="Z146" s="3">
        <f t="shared" si="99"/>
        <v>171</v>
      </c>
      <c r="AA146" s="3">
        <f>IF(ISERROR(VLOOKUP($A146,'SegEnds_NonXtal_BW#'!$A:$Z,19,FALSE)+VLOOKUP($A146,A:AL,28,FALSE)-50),"-",(VLOOKUP($A146,'SegEnds_NonXtal_BW#'!$A:$Z,19,FALSE)+VLOOKUP($A146,A:AL,28,FALSE)-50))</f>
        <v>178</v>
      </c>
      <c r="AB146" s="3">
        <v>196</v>
      </c>
      <c r="AC146" s="3">
        <f>IF(ISERROR((VLOOKUP($A146,'SegEnds_NonXtal_BW#'!$A:$Z,20,FALSE)+VLOOKUP($A146,A:AL,28,FALSE)-50)),"-",(VLOOKUP($A146,'SegEnds_NonXtal_BW#'!$A:$Z,20,FALSE)+VLOOKUP($A146,A:AL,28,FALSE)-50))</f>
        <v>214</v>
      </c>
      <c r="AD146" s="3">
        <f>IF(ISERROR(VLOOKUP($A146,'SegEnds_NonXtal_BW#'!$A:$Z,21,FALSE)+VLOOKUP($A146,A:AL,31,FALSE)-50),"-",(VLOOKUP($A146,'SegEnds_NonXtal_BW#'!$A:$Z,21,FALSE)+VLOOKUP($A146,A:AL,31,FALSE)-50))</f>
        <v>218</v>
      </c>
      <c r="AE146" s="3">
        <v>240</v>
      </c>
      <c r="AF146" s="3">
        <f>IF(ISERROR((VLOOKUP($A146,'SegEnds_NonXtal_BW#'!$A:$Z,22,FALSE)+VLOOKUP($A146,A:AL,31,FALSE)-50)),"-",(VLOOKUP($A146,'SegEnds_NonXtal_BW#'!$A:$Z,22,FALSE)+VLOOKUP($A146,A:AL,31,FALSE)-50))</f>
        <v>251</v>
      </c>
      <c r="AG146" s="3">
        <f>IF(ISERROR(VLOOKUP($A146,'SegEnds_NonXtal_BW#'!$A:$Z,23,FALSE)+VLOOKUP($A146,A:AL,34,FALSE)-50),"-",(VLOOKUP($A146,'SegEnds_NonXtal_BW#'!$A:$Z,23,FALSE)+VLOOKUP($A146,A:AL,34,FALSE)-50))</f>
        <v>256</v>
      </c>
      <c r="AH146" s="3">
        <v>273</v>
      </c>
      <c r="AI146" s="3">
        <f>IF(ISERROR((VLOOKUP($A146,'SegEnds_NonXtal_BW#'!$A:$Z,24,FALSE)+VLOOKUP($A146,A:AL,34,FALSE)-50)),"-",(VLOOKUP($A146,'SegEnds_NonXtal_BW#'!$A:$Z,24,FALSE)+VLOOKUP($A146,A:AL,34,FALSE)-50))</f>
        <v>279</v>
      </c>
      <c r="AJ146" s="3">
        <f>IF(ISERROR(VLOOKUP($A146,'SegEnds_NonXtal_BW#'!$A:$Z,25,FALSE)+VLOOKUP($A146,A:AL,37,FALSE)-50),"-",(VLOOKUP($A146,'SegEnds_NonXtal_BW#'!$A:$Z,25,FALSE)+VLOOKUP($A146,A:AL,37,FALSE)-50))</f>
        <v>280</v>
      </c>
      <c r="AK146" s="3">
        <v>283</v>
      </c>
      <c r="AL146" s="3">
        <f>IF(ISERROR((VLOOKUP($A146,'SegEnds_NonXtal_BW#'!$A:$Z,26,FALSE)+VLOOKUP($A146,A:AL,37,FALSE)-50)),"-",(VLOOKUP($A146,'SegEnds_NonXtal_BW#'!$A:$Z,26,FALSE)+VLOOKUP($A146,A:AL,37,FALSE)-50))</f>
        <v>294</v>
      </c>
      <c r="AM146" s="28" t="str">
        <f>VLOOKUP(A146,Classification!A:B,2,FALSE)</f>
        <v>A</v>
      </c>
      <c r="AN146" s="28" t="b">
        <f t="shared" si="98"/>
        <v>1</v>
      </c>
      <c r="AO146" s="3" t="str">
        <f>IF(ISERROR(MATCH(A146,'SegEnds_Xtal_Prot#'!B:B, 0)), "NoXtal", "Xtal")</f>
        <v>NoXtal</v>
      </c>
      <c r="AP146" s="3" t="str">
        <f t="shared" si="81"/>
        <v>-</v>
      </c>
      <c r="AQ146" s="3" t="str">
        <f t="shared" si="82"/>
        <v>-</v>
      </c>
      <c r="AR146" s="3">
        <f t="shared" si="83"/>
        <v>3</v>
      </c>
      <c r="AS146" s="3">
        <f t="shared" si="84"/>
        <v>1</v>
      </c>
      <c r="AT146" s="3">
        <f t="shared" si="85"/>
        <v>1</v>
      </c>
      <c r="AU146" s="3">
        <f t="shared" si="86"/>
        <v>1</v>
      </c>
      <c r="AV146" s="3">
        <f t="shared" si="87"/>
        <v>16</v>
      </c>
      <c r="AW146" s="3">
        <f t="shared" si="88"/>
        <v>7</v>
      </c>
      <c r="AX146" s="3">
        <f t="shared" si="89"/>
        <v>4</v>
      </c>
      <c r="AY146" s="3">
        <f t="shared" si="90"/>
        <v>5</v>
      </c>
      <c r="AZ146" s="3">
        <f t="shared" si="91"/>
        <v>1</v>
      </c>
      <c r="BA146" s="3">
        <f>IF(ISERROR(LEN(VLOOKUP(A146,Seqs!A:E,2,FALSE))-AL146),"-",LEN(VLOOKUP(A146,Seqs!A:E,2,FALSE))-AL146)</f>
        <v>52</v>
      </c>
      <c r="BB146" s="16">
        <f t="shared" si="92"/>
        <v>29</v>
      </c>
      <c r="BC146" s="9">
        <f t="shared" si="93"/>
        <v>20</v>
      </c>
      <c r="BD146" s="3">
        <f t="shared" si="94"/>
        <v>29</v>
      </c>
      <c r="BE146" s="3">
        <f t="shared" si="95"/>
        <v>44</v>
      </c>
    </row>
    <row r="147" spans="1:58" s="3" customFormat="1" x14ac:dyDescent="0.2">
      <c r="A147" s="3" t="s">
        <v>260</v>
      </c>
      <c r="B147" s="3" t="str">
        <f>LOWER(VLOOKUP(A147,Xtal_Templ!A:B,2,FALSE))</f>
        <v>5ht2b_human</v>
      </c>
      <c r="C147" s="3">
        <f>VLOOKUP($A147,'SegEnds_NonXtal_BW#'!$A:$Z,3,FALSE)+D147-50</f>
        <v>39</v>
      </c>
      <c r="D147" s="3">
        <v>58</v>
      </c>
      <c r="E147" s="3">
        <f>IF(ISERROR(VLOOKUP($A147,'SegEnds_NonXtal_BW#'!$A:$Z,4,FALSE)+VLOOKUP($A147,A:AL,4,FALSE)-50),"-",(VLOOKUP($A147,'SegEnds_NonXtal_BW#'!$A:$Z,4,FALSE)+VLOOKUP($A147,A:AL,4,FALSE)-50))</f>
        <v>68</v>
      </c>
      <c r="F147" s="3">
        <f>G147-2</f>
        <v>69</v>
      </c>
      <c r="G147" s="3">
        <v>71</v>
      </c>
      <c r="H147" s="3">
        <f>G147+1</f>
        <v>72</v>
      </c>
      <c r="I147" s="3">
        <f>H147+1</f>
        <v>73</v>
      </c>
      <c r="J147" s="3">
        <v>87</v>
      </c>
      <c r="K147" s="3">
        <f>VLOOKUP($A147,'SegEnds_NonXtal_BW#'!$A:$Z,8,FALSE)+VLOOKUP($A147,A:AL,10,FALSE)-50</f>
        <v>103</v>
      </c>
      <c r="L147" s="3" t="str">
        <f>IF(ISERROR(VLOOKUP($A147,'SegEnds_NonXtal_BW#'!$A:$Z,9,FALSE)+VLOOKUP($A147,A:AL,13,FALSE)-50),"-",(VLOOKUP($A147,'SegEnds_NonXtal_BW#'!$A:$Z,9,FALSE)+VLOOKUP($A147,A:AL,13,FALSE)-50))</f>
        <v>-</v>
      </c>
      <c r="M147" s="3" t="s">
        <v>23</v>
      </c>
      <c r="N147" s="3" t="str">
        <f>IF(ISERROR(VLOOKUP($A147,'SegEnds_NonXtal_BW#'!$A:$Z,10,FALSE)+VLOOKUP($A147,A:AL,13,FALSE)-50),"-",(VLOOKUP($A147,'SegEnds_NonXtal_BW#'!$A:$Z,10,FALSE)+VLOOKUP($A147,A:AL,13,FALSE)-50))</f>
        <v>-</v>
      </c>
      <c r="O147" s="3">
        <f>VLOOKUP($A147,'SegEnds_NonXtal_BW#'!$A:$Z,11,FALSE)+VLOOKUP($A147,A:AL,16,FALSE)-50</f>
        <v>107</v>
      </c>
      <c r="P147" s="3">
        <v>139</v>
      </c>
      <c r="Q147" s="3">
        <f>VLOOKUP($A147,'SegEnds_NonXtal_BW#'!$A:$Z,12,FALSE)+VLOOKUP($A147,A:AL,16,FALSE)-50</f>
        <v>145</v>
      </c>
      <c r="R147" s="3">
        <f>IF(ISERROR(VLOOKUP($A147,'SegEnds_NonXtal_BW#'!$A:$Z,13,FALSE)+VLOOKUP($A147,A:AL,19,FALSE)-50),"-",VLOOKUP($A147,'SegEnds_NonXtal_BW#'!$A:$Z,13,FALSE)+VLOOKUP($A147,A:AL,19,FALSE)-50)</f>
        <v>146</v>
      </c>
      <c r="S147" s="3">
        <v>146</v>
      </c>
      <c r="T147" s="100">
        <f>IF(ISERROR(VLOOKUP($A147,'SegEnds_NonXtal_BW#'!$A:$Z,14,FALSE)+VLOOKUP($A147,A:AL,19,FALSE)-50),"-",(VLOOKUP($A147,'SegEnds_NonXtal_BW#'!$A:$Z,14,FALSE)+VLOOKUP($A147,A:AL,19,FALSE)-50))</f>
        <v>153</v>
      </c>
      <c r="U147" s="9">
        <f>IF(ISERROR(VLOOKUP($A147,'SegEnds_NonXtal_BW#'!$A:$Z,15,FALSE)+VLOOKUP($A147,A:AL,22,FALSE)-50),"-",VLOOKUP($A147,'SegEnds_NonXtal_BW#'!$A:$Z,15,FALSE)+VLOOKUP($A147,A:AL,22,FALSE)-50)</f>
        <v>154</v>
      </c>
      <c r="V147" s="3">
        <v>166</v>
      </c>
      <c r="W147" s="3">
        <f>IF(ISERROR(VLOOKUP($A147,'SegEnds_NonXtal_BW#'!$A:$Z,16,FALSE)+VLOOKUP($A147,A:AL,22,FALSE)-50),"-",(VLOOKUP($A147,'SegEnds_NonXtal_BW#'!$A:$Z,16,FALSE)+VLOOKUP($A147,A:AL,22,FALSE)-50))</f>
        <v>180</v>
      </c>
      <c r="X147" s="3">
        <f>IF(ISERROR(VLOOKUP($A147,'SegEnds_NonXtal_BW#'!$A:$Z,17,FALSE)+VLOOKUP($A147,A:AL,25,FALSE)-50),"-",(VLOOKUP($A147,'SegEnds_NonXtal_BW#'!$A:$Z,17,FALSE)+VLOOKUP($A147,A:AL,25,FALSE)-50))</f>
        <v>193</v>
      </c>
      <c r="Y147" s="3">
        <v>193</v>
      </c>
      <c r="Z147" s="3">
        <f t="shared" si="99"/>
        <v>195</v>
      </c>
      <c r="AA147" s="3">
        <f>IF(ISERROR(VLOOKUP($A147,'SegEnds_NonXtal_BW#'!$A:$Z,19,FALSE)+VLOOKUP($A147,A:AL,28,FALSE)-50),"-",(VLOOKUP($A147,'SegEnds_NonXtal_BW#'!$A:$Z,19,FALSE)+VLOOKUP($A147,A:AL,28,FALSE)-50))</f>
        <v>199</v>
      </c>
      <c r="AB147" s="3">
        <v>214</v>
      </c>
      <c r="AC147" s="3">
        <f>IF(ISERROR((VLOOKUP($A147,'SegEnds_NonXtal_BW#'!$A:$Z,20,FALSE)+VLOOKUP($A147,A:AL,28,FALSE)-50)),"-",(VLOOKUP($A147,'SegEnds_NonXtal_BW#'!$A:$Z,20,FALSE)+VLOOKUP($A147,A:AL,28,FALSE)-50))</f>
        <v>238</v>
      </c>
      <c r="AD147" s="3">
        <f>IF(ISERROR(VLOOKUP($A147,'SegEnds_NonXtal_BW#'!$A:$Z,21,FALSE)+VLOOKUP($A147,A:AL,31,FALSE)-50),"-",(VLOOKUP($A147,'SegEnds_NonXtal_BW#'!$A:$Z,21,FALSE)+VLOOKUP($A147,A:AL,31,FALSE)-50))</f>
        <v>251</v>
      </c>
      <c r="AE147" s="3">
        <v>280</v>
      </c>
      <c r="AF147" s="3">
        <f>IF(ISERROR((VLOOKUP($A147,'SegEnds_NonXtal_BW#'!$A:$Z,22,FALSE)+VLOOKUP($A147,A:AL,31,FALSE)-50)),"-",(VLOOKUP($A147,'SegEnds_NonXtal_BW#'!$A:$Z,22,FALSE)+VLOOKUP($A147,A:AL,31,FALSE)-50))</f>
        <v>291</v>
      </c>
      <c r="AG147" s="3">
        <f>IF(ISERROR(VLOOKUP($A147,'SegEnds_NonXtal_BW#'!$A:$Z,23,FALSE)+VLOOKUP($A147,A:AL,34,FALSE)-50),"-",(VLOOKUP($A147,'SegEnds_NonXtal_BW#'!$A:$Z,23,FALSE)+VLOOKUP($A147,A:AL,34,FALSE)-50))</f>
        <v>296</v>
      </c>
      <c r="AH147" s="3">
        <v>314</v>
      </c>
      <c r="AI147" s="3">
        <f>IF(ISERROR((VLOOKUP($A147,'SegEnds_NonXtal_BW#'!$A:$Z,24,FALSE)+VLOOKUP($A147,A:AL,34,FALSE)-50)),"-",(VLOOKUP($A147,'SegEnds_NonXtal_BW#'!$A:$Z,24,FALSE)+VLOOKUP($A147,A:AL,34,FALSE)-50))</f>
        <v>320</v>
      </c>
      <c r="AJ147" s="3">
        <f>IF(ISERROR(VLOOKUP($A147,'SegEnds_NonXtal_BW#'!$A:$Z,25,FALSE)+VLOOKUP($A147,A:AL,37,FALSE)-50),"-",(VLOOKUP($A147,'SegEnds_NonXtal_BW#'!$A:$Z,25,FALSE)+VLOOKUP($A147,A:AL,37,FALSE)-50))</f>
        <v>321</v>
      </c>
      <c r="AK147" s="3">
        <v>324</v>
      </c>
      <c r="AL147" s="3">
        <f>IF(ISERROR((VLOOKUP($A147,'SegEnds_NonXtal_BW#'!$A:$Z,26,FALSE)+VLOOKUP($A147,A:AL,37,FALSE)-50)),"-",(VLOOKUP($A147,'SegEnds_NonXtal_BW#'!$A:$Z,26,FALSE)+VLOOKUP($A147,A:AL,37,FALSE)-50))</f>
        <v>332</v>
      </c>
      <c r="AM147" s="28" t="str">
        <f>VLOOKUP(A147,Classification!A:B,2,FALSE)</f>
        <v>A</v>
      </c>
      <c r="AN147" s="28" t="b">
        <f t="shared" si="98"/>
        <v>1</v>
      </c>
      <c r="AO147" s="3" t="str">
        <f>IF(ISERROR(MATCH(A147,'SegEnds_Xtal_Prot#'!B:B, 0)), "NoXtal", "Xtal")</f>
        <v>NoXtal</v>
      </c>
      <c r="AP147" s="3">
        <f t="shared" si="81"/>
        <v>1</v>
      </c>
      <c r="AQ147" s="3">
        <f t="shared" si="82"/>
        <v>1</v>
      </c>
      <c r="AR147" s="3" t="str">
        <f t="shared" si="83"/>
        <v>-</v>
      </c>
      <c r="AS147" s="3" t="str">
        <f t="shared" si="84"/>
        <v>-</v>
      </c>
      <c r="AT147" s="3">
        <f t="shared" si="85"/>
        <v>1</v>
      </c>
      <c r="AU147" s="3">
        <f t="shared" si="86"/>
        <v>1</v>
      </c>
      <c r="AV147" s="3">
        <f t="shared" si="87"/>
        <v>13</v>
      </c>
      <c r="AW147" s="3">
        <f t="shared" si="88"/>
        <v>4</v>
      </c>
      <c r="AX147" s="3">
        <f t="shared" si="89"/>
        <v>13</v>
      </c>
      <c r="AY147" s="3">
        <f t="shared" si="90"/>
        <v>5</v>
      </c>
      <c r="AZ147" s="3">
        <f t="shared" si="91"/>
        <v>1</v>
      </c>
      <c r="BA147" s="3">
        <f>IF(ISERROR(LEN(VLOOKUP(A147,Seqs!A:E,2,FALSE))-AL147),"-",LEN(VLOOKUP(A147,Seqs!A:E,2,FALSE))-AL147)</f>
        <v>29</v>
      </c>
      <c r="BB147" s="16">
        <f t="shared" si="92"/>
        <v>29</v>
      </c>
      <c r="BC147" s="9">
        <f t="shared" si="93"/>
        <v>20</v>
      </c>
      <c r="BD147" s="3">
        <f t="shared" si="94"/>
        <v>29</v>
      </c>
      <c r="BE147" s="3">
        <f t="shared" si="95"/>
        <v>66</v>
      </c>
      <c r="BF147" s="3">
        <f>AH147-AE147</f>
        <v>34</v>
      </c>
    </row>
    <row r="148" spans="1:58" s="3" customFormat="1" x14ac:dyDescent="0.2">
      <c r="A148" s="3" t="s">
        <v>261</v>
      </c>
      <c r="B148" s="3" t="str">
        <f>LOWER(VLOOKUP(A148,Xtal_Templ!A:B,2,FALSE))</f>
        <v>oprk_human</v>
      </c>
      <c r="C148" s="3">
        <f>VLOOKUP($A148,'SegEnds_NonXtal_BW#'!$A:$Z,3,FALSE)+D148-50</f>
        <v>18</v>
      </c>
      <c r="D148" s="3">
        <v>38</v>
      </c>
      <c r="E148" s="3">
        <f>IF(ISERROR(VLOOKUP($A148,'SegEnds_NonXtal_BW#'!$A:$Z,4,FALSE)+VLOOKUP($A148,A:AL,4,FALSE)-50),"-",(VLOOKUP($A148,'SegEnds_NonXtal_BW#'!$A:$Z,4,FALSE)+VLOOKUP($A148,A:AL,4,FALSE)-50))</f>
        <v>48</v>
      </c>
      <c r="F148" s="3" t="str">
        <f>IF(ISERROR(VLOOKUP($A148,'SegEnds_NonXtal_BW#'!$A:$Z,5,FALSE)+VLOOKUP($A148,A:AL,7,FALSE)-50),"-",(VLOOKUP($A148,'SegEnds_NonXtal_BW#'!$A:$Z,5,FALSE)+VLOOKUP($A148,A:AL,7,FALSE)-50))</f>
        <v>-</v>
      </c>
      <c r="G148" s="3" t="s">
        <v>23</v>
      </c>
      <c r="H148" s="3" t="str">
        <f>IF(ISERROR(VLOOKUP($A148,'SegEnds_NonXtal_BW#'!$A:$Z,6,FALSE)+VLOOKUP($A148,A:AL,7,FALSE)-50),"-",(VLOOKUP($A148,'SegEnds_NonXtal_BW#'!$A:$Z,6,FALSE)+VLOOKUP($A148,A:AL,7,FALSE)-50))</f>
        <v>-</v>
      </c>
      <c r="I148" s="3">
        <f>VLOOKUP($A148,'SegEnds_NonXtal_BW#'!$A:$Z,7,FALSE)+J148-50</f>
        <v>57</v>
      </c>
      <c r="J148" s="3">
        <v>70</v>
      </c>
      <c r="K148" s="3">
        <f>VLOOKUP($A148,'SegEnds_NonXtal_BW#'!$A:$Z,8,FALSE)+VLOOKUP($A148,A:AL,10,FALSE)-50</f>
        <v>86</v>
      </c>
      <c r="L148" s="3" t="str">
        <f>IF(ISERROR(VLOOKUP($A148,'SegEnds_NonXtal_BW#'!$A:$Z,9,FALSE)+VLOOKUP($A148,A:AL,13,FALSE)-50),"-",(VLOOKUP($A148,'SegEnds_NonXtal_BW#'!$A:$Z,9,FALSE)+VLOOKUP($A148,A:AL,13,FALSE)-50))</f>
        <v>-</v>
      </c>
      <c r="M148" s="3" t="s">
        <v>23</v>
      </c>
      <c r="N148" s="3" t="str">
        <f>IF(ISERROR(VLOOKUP($A148,'SegEnds_NonXtal_BW#'!$A:$Z,10,FALSE)+VLOOKUP($A148,A:AL,13,FALSE)-50),"-",(VLOOKUP($A148,'SegEnds_NonXtal_BW#'!$A:$Z,10,FALSE)+VLOOKUP($A148,A:AL,13,FALSE)-50))</f>
        <v>-</v>
      </c>
      <c r="O148" s="3">
        <f>VLOOKUP($A148,'SegEnds_NonXtal_BW#'!$A:$Z,11,FALSE)+VLOOKUP($A148,A:AL,16,FALSE)-50</f>
        <v>93</v>
      </c>
      <c r="P148" s="3">
        <v>119</v>
      </c>
      <c r="Q148" s="3">
        <f>VLOOKUP($A148,'SegEnds_NonXtal_BW#'!$A:$Z,12,FALSE)+VLOOKUP($A148,A:AL,16,FALSE)-50</f>
        <v>125</v>
      </c>
      <c r="R148" s="3">
        <f>IF(ISERROR(VLOOKUP($A148,'SegEnds_NonXtal_BW#'!$A:$Z,13,FALSE)+VLOOKUP($A148,A:AL,19,FALSE)-50),"-",VLOOKUP($A148,'SegEnds_NonXtal_BW#'!$A:$Z,13,FALSE)+VLOOKUP($A148,A:AL,19,FALSE)-50)</f>
        <v>126</v>
      </c>
      <c r="S148" s="3">
        <v>126</v>
      </c>
      <c r="T148" s="100">
        <f>IF(ISERROR(VLOOKUP($A148,'SegEnds_NonXtal_BW#'!$A:$Z,14,FALSE)+VLOOKUP($A148,A:AL,19,FALSE)-50),"-",(VLOOKUP($A148,'SegEnds_NonXtal_BW#'!$A:$Z,14,FALSE)+VLOOKUP($A148,A:AL,19,FALSE)-50))</f>
        <v>133</v>
      </c>
      <c r="U148" s="9">
        <f>IF(ISERROR(VLOOKUP($A148,'SegEnds_NonXtal_BW#'!$A:$Z,15,FALSE)+VLOOKUP($A148,A:AL,22,FALSE)-50),"-",VLOOKUP($A148,'SegEnds_NonXtal_BW#'!$A:$Z,15,FALSE)+VLOOKUP($A148,A:AL,22,FALSE)-50)</f>
        <v>134</v>
      </c>
      <c r="V148" s="3">
        <v>146</v>
      </c>
      <c r="W148" s="3">
        <f>IF(ISERROR(VLOOKUP($A148,'SegEnds_NonXtal_BW#'!$A:$Z,16,FALSE)+VLOOKUP($A148,A:AL,22,FALSE)-50),"-",(VLOOKUP($A148,'SegEnds_NonXtal_BW#'!$A:$Z,16,FALSE)+VLOOKUP($A148,A:AL,22,FALSE)-50))</f>
        <v>160</v>
      </c>
      <c r="X148" s="3">
        <f>IF(ISERROR(VLOOKUP($A148,'SegEnds_NonXtal_BW#'!$A:$Z,17,FALSE)+VLOOKUP($A148,A:AL,25,FALSE)-50),"-",(VLOOKUP($A148,'SegEnds_NonXtal_BW#'!$A:$Z,17,FALSE)+VLOOKUP($A148,A:AL,25,FALSE)-50))</f>
        <v>168</v>
      </c>
      <c r="Y148" s="3">
        <v>168</v>
      </c>
      <c r="Z148" s="3">
        <f t="shared" si="99"/>
        <v>170</v>
      </c>
      <c r="AA148" s="3">
        <f>IF(ISERROR(VLOOKUP($A148,'SegEnds_NonXtal_BW#'!$A:$Z,19,FALSE)+VLOOKUP($A148,A:AL,28,FALSE)-50),"-",(VLOOKUP($A148,'SegEnds_NonXtal_BW#'!$A:$Z,19,FALSE)+VLOOKUP($A148,A:AL,28,FALSE)-50))</f>
        <v>173</v>
      </c>
      <c r="AB148" s="3">
        <v>193</v>
      </c>
      <c r="AC148" s="3">
        <f>IF(ISERROR((VLOOKUP($A148,'SegEnds_NonXtal_BW#'!$A:$Z,20,FALSE)+VLOOKUP($A148,A:AL,28,FALSE)-50)),"-",(VLOOKUP($A148,'SegEnds_NonXtal_BW#'!$A:$Z,20,FALSE)+VLOOKUP($A148,A:AL,28,FALSE)-50))</f>
        <v>211</v>
      </c>
      <c r="AD148" s="3">
        <f>IF(ISERROR(VLOOKUP($A148,'SegEnds_NonXtal_BW#'!$A:$Z,21,FALSE)+VLOOKUP($A148,A:AL,31,FALSE)-50),"-",(VLOOKUP($A148,'SegEnds_NonXtal_BW#'!$A:$Z,21,FALSE)+VLOOKUP($A148,A:AL,31,FALSE)-50))</f>
        <v>215</v>
      </c>
      <c r="AE148" s="3">
        <v>241</v>
      </c>
      <c r="AF148" s="3">
        <f>IF(ISERROR((VLOOKUP($A148,'SegEnds_NonXtal_BW#'!$A:$Z,22,FALSE)+VLOOKUP($A148,A:AL,31,FALSE)-50)),"-",(VLOOKUP($A148,'SegEnds_NonXtal_BW#'!$A:$Z,22,FALSE)+VLOOKUP($A148,A:AL,31,FALSE)-50))</f>
        <v>255</v>
      </c>
      <c r="AG148" s="3">
        <f>IF(ISERROR(VLOOKUP($A148,'SegEnds_NonXtal_BW#'!$A:$Z,23,FALSE)+VLOOKUP($A148,A:AL,34,FALSE)-50),"-",(VLOOKUP($A148,'SegEnds_NonXtal_BW#'!$A:$Z,23,FALSE)+VLOOKUP($A148,A:AL,34,FALSE)-50))</f>
        <v>259</v>
      </c>
      <c r="AH148" s="3">
        <v>285</v>
      </c>
      <c r="AI148" s="3">
        <f>IF(ISERROR((VLOOKUP($A148,'SegEnds_NonXtal_BW#'!$A:$Z,24,FALSE)+VLOOKUP($A148,A:AL,34,FALSE)-50)),"-",(VLOOKUP($A148,'SegEnds_NonXtal_BW#'!$A:$Z,24,FALSE)+VLOOKUP($A148,A:AL,34,FALSE)-50))</f>
        <v>291</v>
      </c>
      <c r="AJ148" s="3">
        <f>IF(ISERROR(VLOOKUP($A148,'SegEnds_NonXtal_BW#'!$A:$Z,25,FALSE)+VLOOKUP($A148,A:AL,37,FALSE)-50),"-",(VLOOKUP($A148,'SegEnds_NonXtal_BW#'!$A:$Z,25,FALSE)+VLOOKUP($A148,A:AL,37,FALSE)-50))</f>
        <v>292</v>
      </c>
      <c r="AK148" s="3">
        <v>295</v>
      </c>
      <c r="AL148" s="3">
        <f>IF(ISERROR((VLOOKUP($A148,'SegEnds_NonXtal_BW#'!$A:$Z,26,FALSE)+VLOOKUP($A148,A:AL,37,FALSE)-50)),"-",(VLOOKUP($A148,'SegEnds_NonXtal_BW#'!$A:$Z,26,FALSE)+VLOOKUP($A148,A:AL,37,FALSE)-50))</f>
        <v>304</v>
      </c>
      <c r="AM148" s="28" t="str">
        <f>VLOOKUP(A148,Classification!A:B,2,FALSE)</f>
        <v>A</v>
      </c>
      <c r="AN148" s="28" t="b">
        <f t="shared" si="98"/>
        <v>1</v>
      </c>
      <c r="AO148" s="3" t="str">
        <f>IF(ISERROR(MATCH(A148,'SegEnds_Xtal_Prot#'!B:B, 0)), "NoXtal", "Xtal")</f>
        <v>NoXtal</v>
      </c>
      <c r="AP148" s="3" t="str">
        <f t="shared" si="81"/>
        <v>-</v>
      </c>
      <c r="AQ148" s="3" t="str">
        <f t="shared" si="82"/>
        <v>-</v>
      </c>
      <c r="AR148" s="3" t="str">
        <f t="shared" si="83"/>
        <v>-</v>
      </c>
      <c r="AS148" s="3" t="str">
        <f t="shared" si="84"/>
        <v>-</v>
      </c>
      <c r="AT148" s="3">
        <f t="shared" si="85"/>
        <v>1</v>
      </c>
      <c r="AU148" s="3">
        <f t="shared" si="86"/>
        <v>1</v>
      </c>
      <c r="AV148" s="3">
        <f t="shared" si="87"/>
        <v>8</v>
      </c>
      <c r="AW148" s="3">
        <f t="shared" si="88"/>
        <v>3</v>
      </c>
      <c r="AX148" s="3">
        <f t="shared" si="89"/>
        <v>4</v>
      </c>
      <c r="AY148" s="3">
        <f t="shared" si="90"/>
        <v>4</v>
      </c>
      <c r="AZ148" s="3">
        <f t="shared" si="91"/>
        <v>1</v>
      </c>
      <c r="BA148" s="3">
        <f>IF(ISERROR(LEN(VLOOKUP(A148,Seqs!A:E,2,FALSE))-AL148),"-",LEN(VLOOKUP(A148,Seqs!A:E,2,FALSE))-AL148)</f>
        <v>15</v>
      </c>
      <c r="BB148" s="16">
        <f t="shared" si="92"/>
        <v>32</v>
      </c>
      <c r="BC148" s="9">
        <f t="shared" si="93"/>
        <v>20</v>
      </c>
      <c r="BD148" s="3">
        <f t="shared" si="94"/>
        <v>32</v>
      </c>
      <c r="BE148" s="3">
        <f t="shared" si="95"/>
        <v>48</v>
      </c>
      <c r="BF148" s="3">
        <f>AH148-AE148</f>
        <v>44</v>
      </c>
    </row>
    <row r="149" spans="1:58" s="3" customFormat="1" x14ac:dyDescent="0.2">
      <c r="A149" s="3" t="s">
        <v>262</v>
      </c>
      <c r="B149" s="3" t="str">
        <f>LOWER(VLOOKUP(A149,Xtal_Templ!A:B,2,FALSE))</f>
        <v>s1pr1_human</v>
      </c>
      <c r="C149" s="3">
        <f>VLOOKUP($A149,'SegEnds_NonXtal_BW#'!$A:$Z,3,FALSE)+D149-50</f>
        <v>69</v>
      </c>
      <c r="D149" s="3">
        <v>90</v>
      </c>
      <c r="E149" s="3">
        <f>IF(ISERROR(VLOOKUP($A149,'SegEnds_NonXtal_BW#'!$A:$Z,4,FALSE)+VLOOKUP($A149,A:AL,4,FALSE)-50),"-",(VLOOKUP($A149,'SegEnds_NonXtal_BW#'!$A:$Z,4,FALSE)+VLOOKUP($A149,A:AL,4,FALSE)-50))</f>
        <v>100</v>
      </c>
      <c r="F149" s="3">
        <f>G149-2</f>
        <v>101</v>
      </c>
      <c r="G149" s="3">
        <v>103</v>
      </c>
      <c r="H149" s="3">
        <f>G149+1</f>
        <v>104</v>
      </c>
      <c r="I149" s="3">
        <f>H149+1</f>
        <v>105</v>
      </c>
      <c r="J149" s="3">
        <v>118</v>
      </c>
      <c r="K149" s="3">
        <f>VLOOKUP($A149,'SegEnds_NonXtal_BW#'!$A:$Z,8,FALSE)+VLOOKUP($A149,A:AL,10,FALSE)-50</f>
        <v>130</v>
      </c>
      <c r="L149" s="3">
        <f>M149-1</f>
        <v>132</v>
      </c>
      <c r="M149" s="3">
        <v>133</v>
      </c>
      <c r="N149" s="3">
        <f>M149+2</f>
        <v>135</v>
      </c>
      <c r="O149" s="3">
        <f>N149+1</f>
        <v>136</v>
      </c>
      <c r="P149" s="3">
        <v>166</v>
      </c>
      <c r="Q149" s="3">
        <f>VLOOKUP($A149,'SegEnds_NonXtal_BW#'!$A:$Z,12,FALSE)+VLOOKUP($A149,A:AL,16,FALSE)-50</f>
        <v>172</v>
      </c>
      <c r="R149" s="3">
        <f>S149</f>
        <v>173</v>
      </c>
      <c r="S149" s="3">
        <v>173</v>
      </c>
      <c r="T149" s="100">
        <f>S149+7</f>
        <v>180</v>
      </c>
      <c r="U149" s="9">
        <f>IF(ISERROR(VLOOKUP($A149,'SegEnds_NonXtal_BW#'!$A:$Z,15,FALSE)+VLOOKUP($A149,A:AL,22,FALSE)-50),"-",VLOOKUP($A149,'SegEnds_NonXtal_BW#'!$A:$Z,15,FALSE)+VLOOKUP($A149,A:AL,22,FALSE)-50)</f>
        <v>181</v>
      </c>
      <c r="V149" s="3">
        <v>193</v>
      </c>
      <c r="W149" s="3">
        <f>IF(ISERROR(VLOOKUP($A149,'SegEnds_NonXtal_BW#'!$A:$Z,16,FALSE)+VLOOKUP($A149,A:AL,22,FALSE)-50),"-",(VLOOKUP($A149,'SegEnds_NonXtal_BW#'!$A:$Z,16,FALSE)+VLOOKUP($A149,A:AL,22,FALSE)-50))</f>
        <v>206</v>
      </c>
      <c r="X149" s="3" t="str">
        <f>IF(ISERROR(VLOOKUP($A149,'SegEnds_NonXtal_BW#'!$A:$Z,17,FALSE)+VLOOKUP($A149,A:AL,25,FALSE)-50),"-",(VLOOKUP($A149,'SegEnds_NonXtal_BW#'!$A:$Z,17,FALSE)+VLOOKUP($A149,A:AL,25,FALSE)-50))</f>
        <v>-</v>
      </c>
      <c r="Y149" s="3" t="s">
        <v>23</v>
      </c>
      <c r="Z149" s="3" t="str">
        <f>IF(ISERROR(VLOOKUP($A149,'SegEnds_NonXtal_BW#'!$A:$Z,18,FALSE)+VLOOKUP($A149,A:AL,25,FALSE)-50),"-",(VLOOKUP($A149,'SegEnds_NonXtal_BW#'!$A:$Z,18,FALSE)+VLOOKUP($A149,A:AL,25,FALSE)-50))</f>
        <v>-</v>
      </c>
      <c r="AA149" s="3">
        <f>IF(ISERROR(VLOOKUP($A149,'SegEnds_NonXtal_BW#'!$A:$Z,19,FALSE)+VLOOKUP($A149,A:AL,28,FALSE)-50),"-",(VLOOKUP($A149,'SegEnds_NonXtal_BW#'!$A:$Z,19,FALSE)+VLOOKUP($A149,A:AL,28,FALSE)-50))</f>
        <v>223</v>
      </c>
      <c r="AB149" s="3">
        <v>237</v>
      </c>
      <c r="AC149" s="3">
        <f>IF(ISERROR((VLOOKUP($A149,'SegEnds_NonXtal_BW#'!$A:$Z,20,FALSE)+VLOOKUP($A149,A:AL,28,FALSE)-50)),"-",(VLOOKUP($A149,'SegEnds_NonXtal_BW#'!$A:$Z,20,FALSE)+VLOOKUP($A149,A:AL,28,FALSE)-50))</f>
        <v>260</v>
      </c>
      <c r="AD149" s="3">
        <f>IF(ISERROR(VLOOKUP($A149,'SegEnds_NonXtal_BW#'!$A:$Z,21,FALSE)+VLOOKUP($A149,A:AL,31,FALSE)-50),"-",(VLOOKUP($A149,'SegEnds_NonXtal_BW#'!$A:$Z,21,FALSE)+VLOOKUP($A149,A:AL,31,FALSE)-50))</f>
        <v>266</v>
      </c>
      <c r="AE149" s="3">
        <v>294</v>
      </c>
      <c r="AF149" s="3">
        <f>IF(ISERROR((VLOOKUP($A149,'SegEnds_NonXtal_BW#'!$A:$Z,22,FALSE)+VLOOKUP($A149,A:AL,31,FALSE)-50)),"-",(VLOOKUP($A149,'SegEnds_NonXtal_BW#'!$A:$Z,22,FALSE)+VLOOKUP($A149,A:AL,31,FALSE)-50))</f>
        <v>305</v>
      </c>
      <c r="AG149" s="3">
        <f>IF(ISERROR(VLOOKUP($A149,'SegEnds_NonXtal_BW#'!$A:$Z,23,FALSE)+VLOOKUP($A149,A:AL,34,FALSE)-50),"-",(VLOOKUP($A149,'SegEnds_NonXtal_BW#'!$A:$Z,23,FALSE)+VLOOKUP($A149,A:AL,34,FALSE)-50))</f>
        <v>310</v>
      </c>
      <c r="AH149" s="3">
        <v>326</v>
      </c>
      <c r="AI149" s="3">
        <f>IF(ISERROR((VLOOKUP($A149,'SegEnds_NonXtal_BW#'!$A:$Z,24,FALSE)+VLOOKUP($A149,A:AL,34,FALSE)-50)),"-",(VLOOKUP($A149,'SegEnds_NonXtal_BW#'!$A:$Z,24,FALSE)+VLOOKUP($A149,A:AL,34,FALSE)-50))</f>
        <v>332</v>
      </c>
      <c r="AJ149" s="3">
        <f>IF(ISERROR(VLOOKUP($A149,'SegEnds_NonXtal_BW#'!$A:$Z,25,FALSE)+VLOOKUP($A149,A:AL,37,FALSE)-50),"-",(VLOOKUP($A149,'SegEnds_NonXtal_BW#'!$A:$Z,25,FALSE)+VLOOKUP($A149,A:AL,37,FALSE)-50))</f>
        <v>333</v>
      </c>
      <c r="AK149" s="3">
        <v>336</v>
      </c>
      <c r="AL149" s="3">
        <f>IF(ISERROR((VLOOKUP($A149,'SegEnds_NonXtal_BW#'!$A:$Z,26,FALSE)+VLOOKUP($A149,A:AL,37,FALSE)-50)),"-",(VLOOKUP($A149,'SegEnds_NonXtal_BW#'!$A:$Z,26,FALSE)+VLOOKUP($A149,A:AL,37,FALSE)-50))</f>
        <v>345</v>
      </c>
      <c r="AM149" s="28" t="str">
        <f>VLOOKUP(A149,Classification!A:B,2,FALSE)</f>
        <v>A</v>
      </c>
      <c r="AN149" s="28" t="b">
        <f t="shared" si="98"/>
        <v>1</v>
      </c>
      <c r="AO149" s="3" t="str">
        <f>IF(ISERROR(MATCH(A149,'SegEnds_Xtal_Prot#'!B:B, 0)), "NoXtal", "Xtal")</f>
        <v>NoXtal</v>
      </c>
      <c r="AP149" s="3">
        <f t="shared" si="81"/>
        <v>1</v>
      </c>
      <c r="AQ149" s="3">
        <f t="shared" si="82"/>
        <v>1</v>
      </c>
      <c r="AR149" s="3">
        <f t="shared" si="83"/>
        <v>2</v>
      </c>
      <c r="AS149" s="3">
        <f t="shared" si="84"/>
        <v>1</v>
      </c>
      <c r="AT149" s="3">
        <f t="shared" si="85"/>
        <v>1</v>
      </c>
      <c r="AU149" s="3">
        <f t="shared" si="86"/>
        <v>1</v>
      </c>
      <c r="AV149" s="3" t="str">
        <f t="shared" si="87"/>
        <v>-</v>
      </c>
      <c r="AW149" s="3" t="str">
        <f t="shared" si="88"/>
        <v>-</v>
      </c>
      <c r="AX149" s="3">
        <f t="shared" si="89"/>
        <v>6</v>
      </c>
      <c r="AY149" s="3">
        <f t="shared" si="90"/>
        <v>5</v>
      </c>
      <c r="AZ149" s="3">
        <f t="shared" si="91"/>
        <v>1</v>
      </c>
      <c r="BA149" s="3">
        <f>IF(ISERROR(LEN(VLOOKUP(A149,Seqs!A:E,2,FALSE))-AL149),"-",LEN(VLOOKUP(A149,Seqs!A:E,2,FALSE))-AL149)</f>
        <v>17</v>
      </c>
      <c r="BB149" s="16">
        <f t="shared" si="92"/>
        <v>28</v>
      </c>
      <c r="BC149" s="9">
        <f t="shared" si="93"/>
        <v>20</v>
      </c>
      <c r="BD149" s="3">
        <f t="shared" si="94"/>
        <v>28</v>
      </c>
      <c r="BE149" s="3">
        <f t="shared" si="95"/>
        <v>57</v>
      </c>
      <c r="BF149" s="3">
        <f>AH149-AE149</f>
        <v>32</v>
      </c>
    </row>
    <row r="150" spans="1:58" s="3" customFormat="1" x14ac:dyDescent="0.2">
      <c r="A150" s="3" t="s">
        <v>263</v>
      </c>
      <c r="B150" s="3" t="str">
        <f>LOWER(VLOOKUP(A150,Xtal_Templ!A:B,2,FALSE))</f>
        <v>ox2r_human</v>
      </c>
      <c r="C150" s="3">
        <f>VLOOKUP($A150,'SegEnds_NonXtal_BW#'!$A:$Z,3,FALSE)+D150-50</f>
        <v>41</v>
      </c>
      <c r="D150" s="3">
        <v>60</v>
      </c>
      <c r="E150" s="3">
        <f>IF(ISERROR(VLOOKUP($A150,'SegEnds_NonXtal_BW#'!$A:$Z,4,FALSE)+VLOOKUP($A150,A:AL,4,FALSE)-50),"-",(VLOOKUP($A150,'SegEnds_NonXtal_BW#'!$A:$Z,4,FALSE)+VLOOKUP($A150,A:AL,4,FALSE)-50))</f>
        <v>70</v>
      </c>
      <c r="F150" s="3" t="str">
        <f>IF(ISERROR(VLOOKUP($A150,'SegEnds_NonXtal_BW#'!$A:$Z,5,FALSE)+VLOOKUP($A150,A:AL,7,FALSE)-50),"-",(VLOOKUP($A150,'SegEnds_NonXtal_BW#'!$A:$Z,5,FALSE)+VLOOKUP($A150,A:AL,7,FALSE)-50))</f>
        <v>-</v>
      </c>
      <c r="G150" s="3" t="s">
        <v>23</v>
      </c>
      <c r="H150" s="3" t="str">
        <f>IF(ISERROR(VLOOKUP($A150,'SegEnds_NonXtal_BW#'!$A:$Z,6,FALSE)+VLOOKUP($A150,A:AL,7,FALSE)-50),"-",(VLOOKUP($A150,'SegEnds_NonXtal_BW#'!$A:$Z,6,FALSE)+VLOOKUP($A150,A:AL,7,FALSE)-50))</f>
        <v>-</v>
      </c>
      <c r="I150" s="3">
        <f>VLOOKUP($A150,'SegEnds_NonXtal_BW#'!$A:$Z,7,FALSE)+J150-50</f>
        <v>73</v>
      </c>
      <c r="J150" s="3">
        <v>86</v>
      </c>
      <c r="K150" s="3">
        <f>VLOOKUP($A150,'SegEnds_NonXtal_BW#'!$A:$Z,8,FALSE)+VLOOKUP($A150,A:AL,10,FALSE)-50</f>
        <v>104</v>
      </c>
      <c r="L150" s="3">
        <f>M150-1</f>
        <v>106</v>
      </c>
      <c r="M150" s="3">
        <v>107</v>
      </c>
      <c r="N150" s="3">
        <f>M150+2</f>
        <v>109</v>
      </c>
      <c r="O150" s="3">
        <f>N150+1</f>
        <v>110</v>
      </c>
      <c r="P150" s="3">
        <v>140</v>
      </c>
      <c r="Q150" s="3">
        <f>VLOOKUP($A150,'SegEnds_NonXtal_BW#'!$A:$Z,12,FALSE)+VLOOKUP($A150,A:AL,16,FALSE)-50</f>
        <v>146</v>
      </c>
      <c r="R150" s="3">
        <f>IF(ISERROR(VLOOKUP($A150,'SegEnds_NonXtal_BW#'!$A:$Z,13,FALSE)+VLOOKUP($A150,A:AL,19,FALSE)-50),"-",VLOOKUP($A150,'SegEnds_NonXtal_BW#'!$A:$Z,13,FALSE)+VLOOKUP($A150,A:AL,19,FALSE)-50)</f>
        <v>147</v>
      </c>
      <c r="S150" s="3">
        <v>147</v>
      </c>
      <c r="T150" s="100">
        <f>IF(ISERROR(VLOOKUP($A150,'SegEnds_NonXtal_BW#'!$A:$Z,14,FALSE)+VLOOKUP($A150,A:AL,19,FALSE)-50),"-",(VLOOKUP($A150,'SegEnds_NonXtal_BW#'!$A:$Z,14,FALSE)+VLOOKUP($A150,A:AL,19,FALSE)-50))</f>
        <v>154</v>
      </c>
      <c r="U150" s="9">
        <f>IF(ISERROR(VLOOKUP($A150,'SegEnds_NonXtal_BW#'!$A:$Z,15,FALSE)+VLOOKUP($A150,A:AL,22,FALSE)-50),"-",VLOOKUP($A150,'SegEnds_NonXtal_BW#'!$A:$Z,15,FALSE)+VLOOKUP($A150,A:AL,22,FALSE)-50)</f>
        <v>155</v>
      </c>
      <c r="V150" s="3">
        <v>167</v>
      </c>
      <c r="W150" s="3">
        <f>IF(ISERROR(VLOOKUP($A150,'SegEnds_NonXtal_BW#'!$A:$Z,16,FALSE)+VLOOKUP($A150,A:AL,22,FALSE)-50),"-",(VLOOKUP($A150,'SegEnds_NonXtal_BW#'!$A:$Z,16,FALSE)+VLOOKUP($A150,A:AL,22,FALSE)-50))</f>
        <v>181</v>
      </c>
      <c r="X150" s="3">
        <f>IF(ISERROR(VLOOKUP($A150,'SegEnds_NonXtal_BW#'!$A:$Z,17,FALSE)+VLOOKUP($A150,A:AL,25,FALSE)-50),"-",(VLOOKUP($A150,'SegEnds_NonXtal_BW#'!$A:$Z,17,FALSE)+VLOOKUP($A150,A:AL,25,FALSE)-50))</f>
        <v>195</v>
      </c>
      <c r="Y150" s="3">
        <v>195</v>
      </c>
      <c r="Z150" s="3">
        <f>Y150+2</f>
        <v>197</v>
      </c>
      <c r="AA150" s="3">
        <f>IF(ISERROR(VLOOKUP($A150,'SegEnds_NonXtal_BW#'!$A:$Z,19,FALSE)+VLOOKUP($A150,A:AL,28,FALSE)-50),"-",(VLOOKUP($A150,'SegEnds_NonXtal_BW#'!$A:$Z,19,FALSE)+VLOOKUP($A150,A:AL,28,FALSE)-50))</f>
        <v>205</v>
      </c>
      <c r="AB150" s="3">
        <v>220</v>
      </c>
      <c r="AC150" s="3">
        <f>IF(ISERROR((VLOOKUP($A150,'SegEnds_NonXtal_BW#'!$A:$Z,20,FALSE)+VLOOKUP($A150,A:AL,28,FALSE)-50)),"-",(VLOOKUP($A150,'SegEnds_NonXtal_BW#'!$A:$Z,20,FALSE)+VLOOKUP($A150,A:AL,28,FALSE)-50))</f>
        <v>246</v>
      </c>
      <c r="AD150" s="3">
        <f>IF(ISERROR(VLOOKUP($A150,'SegEnds_NonXtal_BW#'!$A:$Z,21,FALSE)+VLOOKUP($A150,A:AL,31,FALSE)-50),"-",(VLOOKUP($A150,'SegEnds_NonXtal_BW#'!$A:$Z,21,FALSE)+VLOOKUP($A150,A:AL,31,FALSE)-50))</f>
        <v>276</v>
      </c>
      <c r="AE150" s="3">
        <v>302</v>
      </c>
      <c r="AF150" s="3">
        <f>IF(ISERROR((VLOOKUP($A150,'SegEnds_NonXtal_BW#'!$A:$Z,22,FALSE)+VLOOKUP($A150,A:AL,31,FALSE)-50)),"-",(VLOOKUP($A150,'SegEnds_NonXtal_BW#'!$A:$Z,22,FALSE)+VLOOKUP($A150,A:AL,31,FALSE)-50))</f>
        <v>313</v>
      </c>
      <c r="AG150" s="3">
        <f>IF(ISERROR(VLOOKUP($A150,'SegEnds_NonXtal_BW#'!$A:$Z,23,FALSE)+VLOOKUP($A150,A:AL,34,FALSE)-50),"-",(VLOOKUP($A150,'SegEnds_NonXtal_BW#'!$A:$Z,23,FALSE)+VLOOKUP($A150,A:AL,34,FALSE)-50))</f>
        <v>319</v>
      </c>
      <c r="AH150" s="3">
        <v>338</v>
      </c>
      <c r="AI150" s="3">
        <f>IF(ISERROR((VLOOKUP($A150,'SegEnds_NonXtal_BW#'!$A:$Z,24,FALSE)+VLOOKUP($A150,A:AL,34,FALSE)-50)),"-",(VLOOKUP($A150,'SegEnds_NonXtal_BW#'!$A:$Z,24,FALSE)+VLOOKUP($A150,A:AL,34,FALSE)-50))</f>
        <v>344</v>
      </c>
      <c r="AJ150" s="3">
        <f>IF(ISERROR(VLOOKUP($A150,'SegEnds_NonXtal_BW#'!$A:$Z,25,FALSE)+VLOOKUP($A150,A:AL,37,FALSE)-50),"-",(VLOOKUP($A150,'SegEnds_NonXtal_BW#'!$A:$Z,25,FALSE)+VLOOKUP($A150,A:AL,37,FALSE)-50))</f>
        <v>345</v>
      </c>
      <c r="AK150" s="3">
        <v>348</v>
      </c>
      <c r="AL150" s="3">
        <f>IF(ISERROR((VLOOKUP($A150,'SegEnds_NonXtal_BW#'!$A:$Z,26,FALSE)+VLOOKUP($A150,A:AL,37,FALSE)-50)),"-",(VLOOKUP($A150,'SegEnds_NonXtal_BW#'!$A:$Z,26,FALSE)+VLOOKUP($A150,A:AL,37,FALSE)-50))</f>
        <v>356</v>
      </c>
      <c r="AM150" s="28" t="str">
        <f>VLOOKUP(A150,Classification!A:B,2,FALSE)</f>
        <v>A</v>
      </c>
      <c r="AN150" s="28" t="b">
        <f t="shared" si="98"/>
        <v>1</v>
      </c>
      <c r="AO150" s="3" t="str">
        <f>IF(ISERROR(MATCH(A150,'SegEnds_Xtal_Prot#'!B:B, 0)), "NoXtal", "Xtal")</f>
        <v>NoXtal</v>
      </c>
      <c r="AP150" s="3" t="str">
        <f t="shared" si="81"/>
        <v>-</v>
      </c>
      <c r="AQ150" s="3" t="str">
        <f t="shared" si="82"/>
        <v>-</v>
      </c>
      <c r="AR150" s="3">
        <f t="shared" si="83"/>
        <v>2</v>
      </c>
      <c r="AS150" s="3">
        <f t="shared" si="84"/>
        <v>1</v>
      </c>
      <c r="AT150" s="3">
        <f t="shared" si="85"/>
        <v>1</v>
      </c>
      <c r="AU150" s="3">
        <f t="shared" si="86"/>
        <v>1</v>
      </c>
      <c r="AV150" s="3">
        <f t="shared" si="87"/>
        <v>14</v>
      </c>
      <c r="AW150" s="3">
        <f t="shared" si="88"/>
        <v>8</v>
      </c>
      <c r="AX150" s="3">
        <f t="shared" si="89"/>
        <v>30</v>
      </c>
      <c r="AY150" s="3">
        <f t="shared" si="90"/>
        <v>6</v>
      </c>
      <c r="AZ150" s="3">
        <f t="shared" si="91"/>
        <v>1</v>
      </c>
      <c r="BA150" s="3">
        <f>IF(ISERROR(LEN(VLOOKUP(A150,Seqs!A:E,2,FALSE))-AL150),"-",LEN(VLOOKUP(A150,Seqs!A:E,2,FALSE))-AL150)</f>
        <v>95</v>
      </c>
      <c r="BB150" s="16">
        <f t="shared" si="92"/>
        <v>26</v>
      </c>
      <c r="BC150" s="9">
        <f t="shared" si="93"/>
        <v>20</v>
      </c>
      <c r="BD150" s="3">
        <f t="shared" si="94"/>
        <v>26</v>
      </c>
      <c r="BE150" s="3">
        <f t="shared" si="95"/>
        <v>82</v>
      </c>
    </row>
    <row r="151" spans="1:58" s="3" customFormat="1" x14ac:dyDescent="0.2">
      <c r="A151" s="3" t="s">
        <v>267</v>
      </c>
      <c r="B151" s="3" t="str">
        <f>LOWER(VLOOKUP(A151,Xtal_Templ!A:B,2,FALSE))</f>
        <v>drd2_human</v>
      </c>
      <c r="C151" s="3">
        <f>VLOOKUP($A151,'SegEnds_NonXtal_BW#'!$A:$Z,3,FALSE)+D151-50</f>
        <v>2</v>
      </c>
      <c r="D151" s="3">
        <v>23</v>
      </c>
      <c r="E151" s="3">
        <f>IF(ISERROR(VLOOKUP($A151,'SegEnds_NonXtal_BW#'!$A:$Z,4,FALSE)+VLOOKUP($A151,A:AL,4,FALSE)-50),"-",(VLOOKUP($A151,'SegEnds_NonXtal_BW#'!$A:$Z,4,FALSE)+VLOOKUP($A151,A:AL,4,FALSE)-50))</f>
        <v>33</v>
      </c>
      <c r="F151" s="3">
        <f>G151-2</f>
        <v>34</v>
      </c>
      <c r="G151" s="3">
        <v>36</v>
      </c>
      <c r="H151" s="3">
        <f>G151+1</f>
        <v>37</v>
      </c>
      <c r="I151" s="3">
        <f>H151+1</f>
        <v>38</v>
      </c>
      <c r="J151" s="3">
        <v>52</v>
      </c>
      <c r="K151" s="3">
        <f>VLOOKUP($A151,'SegEnds_NonXtal_BW#'!$A:$Z,8,FALSE)+VLOOKUP($A151,A:AL,10,FALSE)-50</f>
        <v>70</v>
      </c>
      <c r="L151" s="3" t="str">
        <f>IF(ISERROR(VLOOKUP($A151,'SegEnds_NonXtal_BW#'!$A:$Z,9,FALSE)+VLOOKUP($A151,A:AL,13,FALSE)-50),"-",(VLOOKUP($A151,'SegEnds_NonXtal_BW#'!$A:$Z,9,FALSE)+VLOOKUP($A151,A:AL,13,FALSE)-50))</f>
        <v>-</v>
      </c>
      <c r="M151" s="3" t="s">
        <v>23</v>
      </c>
      <c r="N151" s="3" t="str">
        <f>IF(ISERROR(VLOOKUP($A151,'SegEnds_NonXtal_BW#'!$A:$Z,10,FALSE)+VLOOKUP($A151,A:AL,13,FALSE)-50),"-",(VLOOKUP($A151,'SegEnds_NonXtal_BW#'!$A:$Z,10,FALSE)+VLOOKUP($A151,A:AL,13,FALSE)-50))</f>
        <v>-</v>
      </c>
      <c r="O151" s="3">
        <f>VLOOKUP($A151,'SegEnds_NonXtal_BW#'!$A:$Z,11,FALSE)+VLOOKUP($A151,A:AL,16,FALSE)-50</f>
        <v>75</v>
      </c>
      <c r="P151" s="3">
        <v>104</v>
      </c>
      <c r="Q151" s="3">
        <f>VLOOKUP($A151,'SegEnds_NonXtal_BW#'!$A:$Z,12,FALSE)+VLOOKUP($A151,A:AL,16,FALSE)-50</f>
        <v>110</v>
      </c>
      <c r="R151" s="3">
        <f>IF(ISERROR(VLOOKUP($A151,'SegEnds_NonXtal_BW#'!$A:$Z,13,FALSE)+VLOOKUP($A151,A:AL,19,FALSE)-50),"-",VLOOKUP($A151,'SegEnds_NonXtal_BW#'!$A:$Z,13,FALSE)+VLOOKUP($A151,A:AL,19,FALSE)-50)</f>
        <v>111</v>
      </c>
      <c r="S151" s="3">
        <v>111</v>
      </c>
      <c r="T151" s="100">
        <f>IF(ISERROR(VLOOKUP($A151,'SegEnds_NonXtal_BW#'!$A:$Z,14,FALSE)+VLOOKUP($A151,A:AL,19,FALSE)-50),"-",(VLOOKUP($A151,'SegEnds_NonXtal_BW#'!$A:$Z,14,FALSE)+VLOOKUP($A151,A:AL,19,FALSE)-50))</f>
        <v>118</v>
      </c>
      <c r="U151" s="9">
        <f>IF(ISERROR(VLOOKUP($A151,'SegEnds_NonXtal_BW#'!$A:$Z,15,FALSE)+VLOOKUP($A151,A:AL,22,FALSE)-50),"-",VLOOKUP($A151,'SegEnds_NonXtal_BW#'!$A:$Z,15,FALSE)+VLOOKUP($A151,A:AL,22,FALSE)-50)</f>
        <v>119</v>
      </c>
      <c r="V151" s="3">
        <v>131</v>
      </c>
      <c r="W151" s="3">
        <f>IF(ISERROR(VLOOKUP($A151,'SegEnds_NonXtal_BW#'!$A:$Z,16,FALSE)+VLOOKUP($A151,A:AL,22,FALSE)-50),"-",(VLOOKUP($A151,'SegEnds_NonXtal_BW#'!$A:$Z,16,FALSE)+VLOOKUP($A151,A:AL,22,FALSE)-50))</f>
        <v>143</v>
      </c>
      <c r="X151" s="3">
        <f>IF(ISERROR(VLOOKUP($A151,'SegEnds_NonXtal_BW#'!$A:$Z,17,FALSE)+VLOOKUP($A151,A:AL,25,FALSE)-50),"-",(VLOOKUP($A151,'SegEnds_NonXtal_BW#'!$A:$Z,17,FALSE)+VLOOKUP($A151,A:AL,25,FALSE)-50))</f>
        <v>156</v>
      </c>
      <c r="Y151" s="3">
        <v>156</v>
      </c>
      <c r="Z151" s="3">
        <f>Y151+2</f>
        <v>158</v>
      </c>
      <c r="AA151" s="3">
        <f>IF(ISERROR(VLOOKUP($A151,'SegEnds_NonXtal_BW#'!$A:$Z,19,FALSE)+VLOOKUP($A151,A:AL,28,FALSE)-50),"-",(VLOOKUP($A151,'SegEnds_NonXtal_BW#'!$A:$Z,19,FALSE)+VLOOKUP($A151,A:AL,28,FALSE)-50))</f>
        <v>169</v>
      </c>
      <c r="AB151" s="3">
        <v>184</v>
      </c>
      <c r="AC151" s="3">
        <f>IF(ISERROR((VLOOKUP($A151,'SegEnds_NonXtal_BW#'!$A:$Z,20,FALSE)+VLOOKUP($A151,A:AL,28,FALSE)-50)),"-",(VLOOKUP($A151,'SegEnds_NonXtal_BW#'!$A:$Z,20,FALSE)+VLOOKUP($A151,A:AL,28,FALSE)-50))</f>
        <v>210</v>
      </c>
      <c r="AD151" s="3">
        <f>IF(ISERROR(VLOOKUP($A151,'SegEnds_NonXtal_BW#'!$A:$Z,21,FALSE)+VLOOKUP($A151,A:AL,31,FALSE)-50),"-",(VLOOKUP($A151,'SegEnds_NonXtal_BW#'!$A:$Z,21,FALSE)+VLOOKUP($A151,A:AL,31,FALSE)-50))</f>
        <v>230</v>
      </c>
      <c r="AE151" s="3">
        <v>256</v>
      </c>
      <c r="AF151" s="3">
        <f>IF(ISERROR((VLOOKUP($A151,'SegEnds_NonXtal_BW#'!$A:$Z,22,FALSE)+VLOOKUP($A151,A:AL,31,FALSE)-50)),"-",(VLOOKUP($A151,'SegEnds_NonXtal_BW#'!$A:$Z,22,FALSE)+VLOOKUP($A151,A:AL,31,FALSE)-50))</f>
        <v>267</v>
      </c>
      <c r="AG151" s="3">
        <f>IF(ISERROR(VLOOKUP($A151,'SegEnds_NonXtal_BW#'!$A:$Z,23,FALSE)+VLOOKUP($A151,A:AL,34,FALSE)-50),"-",(VLOOKUP($A151,'SegEnds_NonXtal_BW#'!$A:$Z,23,FALSE)+VLOOKUP($A151,A:AL,34,FALSE)-50))</f>
        <v>272</v>
      </c>
      <c r="AH151" s="3">
        <v>291</v>
      </c>
      <c r="AI151" s="3">
        <f>IF(ISERROR((VLOOKUP($A151,'SegEnds_NonXtal_BW#'!$A:$Z,24,FALSE)+VLOOKUP($A151,A:AL,34,FALSE)-50)),"-",(VLOOKUP($A151,'SegEnds_NonXtal_BW#'!$A:$Z,24,FALSE)+VLOOKUP($A151,A:AL,34,FALSE)-50))</f>
        <v>297</v>
      </c>
      <c r="AJ151" s="3">
        <f>IF(ISERROR(VLOOKUP($A151,'SegEnds_NonXtal_BW#'!$A:$Z,25,FALSE)+VLOOKUP($A151,A:AL,37,FALSE)-50),"-",(VLOOKUP($A151,'SegEnds_NonXtal_BW#'!$A:$Z,25,FALSE)+VLOOKUP($A151,A:AL,37,FALSE)-50))</f>
        <v>298</v>
      </c>
      <c r="AK151" s="3">
        <v>301</v>
      </c>
      <c r="AL151" s="3">
        <f>IF(ISERROR((VLOOKUP($A151,'SegEnds_NonXtal_BW#'!$A:$Z,26,FALSE)+VLOOKUP($A151,A:AL,37,FALSE)-50)),"-",(VLOOKUP($A151,'SegEnds_NonXtal_BW#'!$A:$Z,26,FALSE)+VLOOKUP($A151,A:AL,37,FALSE)-50))</f>
        <v>310</v>
      </c>
      <c r="AM151" s="28" t="str">
        <f>VLOOKUP(A151,Classification!A:B,2,FALSE)</f>
        <v>A</v>
      </c>
      <c r="AN151" s="28" t="b">
        <f t="shared" si="98"/>
        <v>1</v>
      </c>
      <c r="AO151" s="3" t="str">
        <f>IF(ISERROR(MATCH(A151,'SegEnds_Xtal_Prot#'!B:B, 0)), "NoXtal", "Xtal")</f>
        <v>NoXtal</v>
      </c>
      <c r="AP151" s="3">
        <f t="shared" si="81"/>
        <v>1</v>
      </c>
      <c r="AQ151" s="3">
        <f t="shared" si="82"/>
        <v>1</v>
      </c>
      <c r="AR151" s="3" t="str">
        <f t="shared" si="83"/>
        <v>-</v>
      </c>
      <c r="AS151" s="3" t="str">
        <f t="shared" si="84"/>
        <v>-</v>
      </c>
      <c r="AT151" s="3">
        <f t="shared" si="85"/>
        <v>1</v>
      </c>
      <c r="AU151" s="3">
        <f t="shared" si="86"/>
        <v>1</v>
      </c>
      <c r="AV151" s="3">
        <f t="shared" si="87"/>
        <v>13</v>
      </c>
      <c r="AW151" s="3">
        <f t="shared" si="88"/>
        <v>11</v>
      </c>
      <c r="AX151" s="3">
        <f t="shared" si="89"/>
        <v>20</v>
      </c>
      <c r="AY151" s="3">
        <f t="shared" si="90"/>
        <v>5</v>
      </c>
      <c r="AZ151" s="3">
        <f t="shared" si="91"/>
        <v>1</v>
      </c>
      <c r="BA151" s="3">
        <f>IF(ISERROR(LEN(VLOOKUP(A151,Seqs!A:E,2,FALSE))-AL151),"-",LEN(VLOOKUP(A151,Seqs!A:E,2,FALSE))-AL151)</f>
        <v>53</v>
      </c>
      <c r="BB151" s="16">
        <f t="shared" si="92"/>
        <v>29</v>
      </c>
      <c r="BC151" s="9">
        <f t="shared" si="93"/>
        <v>20</v>
      </c>
      <c r="BD151" s="3">
        <f t="shared" si="94"/>
        <v>29</v>
      </c>
      <c r="BE151" s="3">
        <f t="shared" si="95"/>
        <v>72</v>
      </c>
    </row>
    <row r="152" spans="1:58" s="3" customFormat="1" x14ac:dyDescent="0.2">
      <c r="A152" s="3" t="s">
        <v>268</v>
      </c>
      <c r="B152" s="3" t="str">
        <f>LOWER(VLOOKUP(A152,Xtal_Templ!A:B,2,FALSE))</f>
        <v>oprm_mouse</v>
      </c>
      <c r="C152" s="3">
        <f>VLOOKUP($A152,'SegEnds_NonXtal_BW#'!$A:$Z,3,FALSE)+D152-50</f>
        <v>12</v>
      </c>
      <c r="D152" s="3">
        <v>33</v>
      </c>
      <c r="E152" s="3">
        <f>IF(ISERROR(VLOOKUP($A152,'SegEnds_NonXtal_BW#'!$A:$Z,4,FALSE)+VLOOKUP($A152,A:AL,4,FALSE)-50),"-",(VLOOKUP($A152,'SegEnds_NonXtal_BW#'!$A:$Z,4,FALSE)+VLOOKUP($A152,A:AL,4,FALSE)-50))</f>
        <v>43</v>
      </c>
      <c r="F152" s="3" t="str">
        <f>IF(ISERROR(VLOOKUP($A152,'SegEnds_NonXtal_BW#'!$A:$Z,5,FALSE)+VLOOKUP($A152,A:AL,7,FALSE)-50),"-",(VLOOKUP($A152,'SegEnds_NonXtal_BW#'!$A:$Z,5,FALSE)+VLOOKUP($A152,A:AL,7,FALSE)-50))</f>
        <v>-</v>
      </c>
      <c r="G152" s="3" t="s">
        <v>23</v>
      </c>
      <c r="H152" s="3" t="str">
        <f>IF(ISERROR(VLOOKUP($A152,'SegEnds_NonXtal_BW#'!$A:$Z,6,FALSE)+VLOOKUP($A152,A:AL,7,FALSE)-50),"-",(VLOOKUP($A152,'SegEnds_NonXtal_BW#'!$A:$Z,6,FALSE)+VLOOKUP($A152,A:AL,7,FALSE)-50))</f>
        <v>-</v>
      </c>
      <c r="I152" s="3">
        <f>VLOOKUP($A152,'SegEnds_NonXtal_BW#'!$A:$Z,7,FALSE)+J152-50</f>
        <v>48</v>
      </c>
      <c r="J152" s="3">
        <v>61</v>
      </c>
      <c r="K152" s="3">
        <f>VLOOKUP($A152,'SegEnds_NonXtal_BW#'!$A:$Z,8,FALSE)+VLOOKUP($A152,A:AL,10,FALSE)-50</f>
        <v>78</v>
      </c>
      <c r="L152" s="3">
        <f>M152-1</f>
        <v>80</v>
      </c>
      <c r="M152" s="3">
        <v>81</v>
      </c>
      <c r="N152" s="3">
        <f>M152+2</f>
        <v>83</v>
      </c>
      <c r="O152" s="3">
        <f>N152+1</f>
        <v>84</v>
      </c>
      <c r="P152" s="3">
        <v>117</v>
      </c>
      <c r="Q152" s="3">
        <f>VLOOKUP($A152,'SegEnds_NonXtal_BW#'!$A:$Z,12,FALSE)+VLOOKUP($A152,A:AL,16,FALSE)-50</f>
        <v>123</v>
      </c>
      <c r="R152" s="3">
        <f>IF(ISERROR(VLOOKUP($A152,'SegEnds_NonXtal_BW#'!$A:$Z,13,FALSE)+VLOOKUP($A152,A:AL,19,FALSE)-50),"-",VLOOKUP($A152,'SegEnds_NonXtal_BW#'!$A:$Z,13,FALSE)+VLOOKUP($A152,A:AL,19,FALSE)-50)</f>
        <v>140</v>
      </c>
      <c r="S152" s="3">
        <v>140</v>
      </c>
      <c r="T152" s="100">
        <f>IF(ISERROR(VLOOKUP($A152,'SegEnds_NonXtal_BW#'!$A:$Z,14,FALSE)+VLOOKUP($A152,A:AL,19,FALSE)-50),"-",(VLOOKUP($A152,'SegEnds_NonXtal_BW#'!$A:$Z,14,FALSE)+VLOOKUP($A152,A:AL,19,FALSE)-50))</f>
        <v>147</v>
      </c>
      <c r="U152" s="9">
        <f>IF(ISERROR(VLOOKUP($A152,'SegEnds_NonXtal_BW#'!$A:$Z,15,FALSE)+VLOOKUP($A152,A:AL,22,FALSE)-50),"-",VLOOKUP($A152,'SegEnds_NonXtal_BW#'!$A:$Z,15,FALSE)+VLOOKUP($A152,A:AL,22,FALSE)-50)</f>
        <v>148</v>
      </c>
      <c r="V152" s="3">
        <v>160</v>
      </c>
      <c r="W152" s="3">
        <f>IF(ISERROR(VLOOKUP($A152,'SegEnds_NonXtal_BW#'!$A:$Z,16,FALSE)+VLOOKUP($A152,A:AL,22,FALSE)-50),"-",(VLOOKUP($A152,'SegEnds_NonXtal_BW#'!$A:$Z,16,FALSE)+VLOOKUP($A152,A:AL,22,FALSE)-50))</f>
        <v>174</v>
      </c>
      <c r="X152" s="3" t="str">
        <f>IF(ISERROR(VLOOKUP($A152,'SegEnds_NonXtal_BW#'!$A:$Z,17,FALSE)+VLOOKUP($A152,A:AL,25,FALSE)-50),"-",(VLOOKUP($A152,'SegEnds_NonXtal_BW#'!$A:$Z,17,FALSE)+VLOOKUP($A152,A:AL,25,FALSE)-50))</f>
        <v>-</v>
      </c>
      <c r="Y152" s="3" t="s">
        <v>23</v>
      </c>
      <c r="Z152" s="3" t="str">
        <f>IF(ISERROR(VLOOKUP($A152,'SegEnds_NonXtal_BW#'!$A:$Z,18,FALSE)+VLOOKUP($A152,A:AL,25,FALSE)-50),"-",(VLOOKUP($A152,'SegEnds_NonXtal_BW#'!$A:$Z,18,FALSE)+VLOOKUP($A152,A:AL,25,FALSE)-50))</f>
        <v>-</v>
      </c>
      <c r="AA152" s="3">
        <f>IF(ISERROR(VLOOKUP($A152,'SegEnds_NonXtal_BW#'!$A:$Z,19,FALSE)+VLOOKUP($A152,A:AL,28,FALSE)-50),"-",(VLOOKUP($A152,'SegEnds_NonXtal_BW#'!$A:$Z,19,FALSE)+VLOOKUP($A152,A:AL,28,FALSE)-50))</f>
        <v>194</v>
      </c>
      <c r="AB152" s="3">
        <v>213</v>
      </c>
      <c r="AC152" s="3">
        <f>IF(ISERROR((VLOOKUP($A152,'SegEnds_NonXtal_BW#'!$A:$Z,20,FALSE)+VLOOKUP($A152,A:AL,28,FALSE)-50)),"-",(VLOOKUP($A152,'SegEnds_NonXtal_BW#'!$A:$Z,20,FALSE)+VLOOKUP($A152,A:AL,28,FALSE)-50))</f>
        <v>231</v>
      </c>
      <c r="AD152" s="3">
        <f>IF(ISERROR(VLOOKUP($A152,'SegEnds_NonXtal_BW#'!$A:$Z,21,FALSE)+VLOOKUP($A152,A:AL,31,FALSE)-50),"-",(VLOOKUP($A152,'SegEnds_NonXtal_BW#'!$A:$Z,21,FALSE)+VLOOKUP($A152,A:AL,31,FALSE)-50))</f>
        <v>237</v>
      </c>
      <c r="AE152" s="3">
        <v>264</v>
      </c>
      <c r="AF152" s="3">
        <f>IF(ISERROR((VLOOKUP($A152,'SegEnds_NonXtal_BW#'!$A:$Z,22,FALSE)+VLOOKUP($A152,A:AL,31,FALSE)-50)),"-",(VLOOKUP($A152,'SegEnds_NonXtal_BW#'!$A:$Z,22,FALSE)+VLOOKUP($A152,A:AL,31,FALSE)-50))</f>
        <v>275</v>
      </c>
      <c r="AG152" s="3">
        <f>IF(ISERROR(VLOOKUP($A152,'SegEnds_NonXtal_BW#'!$A:$Z,23,FALSE)+VLOOKUP($A152,A:AL,34,FALSE)-50),"-",(VLOOKUP($A152,'SegEnds_NonXtal_BW#'!$A:$Z,23,FALSE)+VLOOKUP($A152,A:AL,34,FALSE)-50))</f>
        <v>284</v>
      </c>
      <c r="AH152" s="3">
        <v>306</v>
      </c>
      <c r="AI152" s="3">
        <f>IF(ISERROR((VLOOKUP($A152,'SegEnds_NonXtal_BW#'!$A:$Z,24,FALSE)+VLOOKUP($A152,A:AL,34,FALSE)-50)),"-",(VLOOKUP($A152,'SegEnds_NonXtal_BW#'!$A:$Z,24,FALSE)+VLOOKUP($A152,A:AL,34,FALSE)-50))</f>
        <v>312</v>
      </c>
      <c r="AJ152" s="3">
        <f>IF(ISERROR(VLOOKUP($A152,'SegEnds_NonXtal_BW#'!$A:$Z,25,FALSE)+VLOOKUP($A152,A:AL,37,FALSE)-50),"-",(VLOOKUP($A152,'SegEnds_NonXtal_BW#'!$A:$Z,25,FALSE)+VLOOKUP($A152,A:AL,37,FALSE)-50))</f>
        <v>313</v>
      </c>
      <c r="AK152" s="3">
        <v>316</v>
      </c>
      <c r="AL152" s="3">
        <f>IF(ISERROR((VLOOKUP($A152,'SegEnds_NonXtal_BW#'!$A:$Z,26,FALSE)+VLOOKUP($A152,A:AL,37,FALSE)-50)),"-",(VLOOKUP($A152,'SegEnds_NonXtal_BW#'!$A:$Z,26,FALSE)+VLOOKUP($A152,A:AL,37,FALSE)-50))</f>
        <v>325</v>
      </c>
      <c r="AM152" s="28" t="str">
        <f>VLOOKUP(A152,Classification!A:B,2,FALSE)</f>
        <v>A</v>
      </c>
      <c r="AN152" s="28" t="b">
        <f t="shared" si="98"/>
        <v>1</v>
      </c>
      <c r="AO152" s="3" t="str">
        <f>IF(ISERROR(MATCH(A152,'SegEnds_Xtal_Prot#'!B:B, 0)), "NoXtal", "Xtal")</f>
        <v>NoXtal</v>
      </c>
      <c r="AP152" s="3" t="str">
        <f t="shared" si="81"/>
        <v>-</v>
      </c>
      <c r="AQ152" s="3" t="str">
        <f t="shared" si="82"/>
        <v>-</v>
      </c>
      <c r="AR152" s="3">
        <f t="shared" si="83"/>
        <v>2</v>
      </c>
      <c r="AS152" s="3">
        <f t="shared" si="84"/>
        <v>1</v>
      </c>
      <c r="AT152" s="3">
        <f t="shared" si="85"/>
        <v>17</v>
      </c>
      <c r="AU152" s="3">
        <f t="shared" si="86"/>
        <v>1</v>
      </c>
      <c r="AV152" s="3" t="str">
        <f t="shared" si="87"/>
        <v>-</v>
      </c>
      <c r="AW152" s="3" t="str">
        <f t="shared" si="88"/>
        <v>-</v>
      </c>
      <c r="AX152" s="3">
        <f t="shared" si="89"/>
        <v>6</v>
      </c>
      <c r="AY152" s="3">
        <f t="shared" si="90"/>
        <v>9</v>
      </c>
      <c r="AZ152" s="3">
        <f t="shared" si="91"/>
        <v>1</v>
      </c>
      <c r="BA152" s="3">
        <f>IF(ISERROR(LEN(VLOOKUP(A152,Seqs!A:E,2,FALSE))-AL152),"-",LEN(VLOOKUP(A152,Seqs!A:E,2,FALSE))-AL152)</f>
        <v>11</v>
      </c>
      <c r="BB152" s="16">
        <f t="shared" si="92"/>
        <v>28</v>
      </c>
      <c r="BC152" s="9">
        <f t="shared" si="93"/>
        <v>20</v>
      </c>
      <c r="BD152" s="3">
        <f t="shared" si="94"/>
        <v>28</v>
      </c>
      <c r="BE152" s="3">
        <f t="shared" si="95"/>
        <v>51</v>
      </c>
      <c r="BF152" s="3">
        <f>AH152-AE152</f>
        <v>42</v>
      </c>
    </row>
    <row r="153" spans="1:58" s="3" customFormat="1" x14ac:dyDescent="0.2">
      <c r="A153" s="3" t="s">
        <v>270</v>
      </c>
      <c r="B153" s="3" t="str">
        <f>LOWER(VLOOKUP(A153,Xtal_Templ!A:B,2,FALSE))</f>
        <v>5ht2c_human</v>
      </c>
      <c r="C153" s="3">
        <f>VLOOKUP($A153,'SegEnds_NonXtal_BW#'!$A:$Z,3,FALSE)+D153-50</f>
        <v>21</v>
      </c>
      <c r="D153" s="3">
        <v>38</v>
      </c>
      <c r="E153" s="3">
        <f>IF(ISERROR(VLOOKUP($A153,'SegEnds_NonXtal_BW#'!$A:$Z,4,FALSE)+VLOOKUP($A153,A:AL,4,FALSE)-50),"-",(VLOOKUP($A153,'SegEnds_NonXtal_BW#'!$A:$Z,4,FALSE)+VLOOKUP($A153,A:AL,4,FALSE)-50))</f>
        <v>48</v>
      </c>
      <c r="F153" s="3">
        <f>G153-2</f>
        <v>49</v>
      </c>
      <c r="G153" s="3">
        <v>51</v>
      </c>
      <c r="H153" s="3">
        <f>G153+1</f>
        <v>52</v>
      </c>
      <c r="I153" s="3">
        <f>H153+1</f>
        <v>53</v>
      </c>
      <c r="J153" s="3">
        <v>66</v>
      </c>
      <c r="K153" s="3">
        <f>VLOOKUP($A153,'SegEnds_NonXtal_BW#'!$A:$Z,8,FALSE)+VLOOKUP($A153,A:AL,10,FALSE)-50</f>
        <v>84</v>
      </c>
      <c r="L153" s="3" t="str">
        <f>IF(ISERROR(VLOOKUP($A153,'SegEnds_NonXtal_BW#'!$A:$Z,9,FALSE)+VLOOKUP($A153,A:AL,13,FALSE)-50),"-",(VLOOKUP($A153,'SegEnds_NonXtal_BW#'!$A:$Z,9,FALSE)+VLOOKUP($A153,A:AL,13,FALSE)-50))</f>
        <v>-</v>
      </c>
      <c r="M153" s="3" t="s">
        <v>23</v>
      </c>
      <c r="N153" s="3" t="str">
        <f>IF(ISERROR(VLOOKUP($A153,'SegEnds_NonXtal_BW#'!$A:$Z,10,FALSE)+VLOOKUP($A153,A:AL,13,FALSE)-50),"-",(VLOOKUP($A153,'SegEnds_NonXtal_BW#'!$A:$Z,10,FALSE)+VLOOKUP($A153,A:AL,13,FALSE)-50))</f>
        <v>-</v>
      </c>
      <c r="O153" s="3">
        <f>VLOOKUP($A153,'SegEnds_NonXtal_BW#'!$A:$Z,11,FALSE)+VLOOKUP($A153,A:AL,16,FALSE)-50</f>
        <v>89</v>
      </c>
      <c r="P153" s="3">
        <v>118</v>
      </c>
      <c r="Q153" s="3">
        <f>VLOOKUP($A153,'SegEnds_NonXtal_BW#'!$A:$Z,12,FALSE)+VLOOKUP($A153,A:AL,16,FALSE)-50</f>
        <v>124</v>
      </c>
      <c r="R153" s="3">
        <f>IF(ISERROR(VLOOKUP($A153,'SegEnds_NonXtal_BW#'!$A:$Z,13,FALSE)+VLOOKUP($A153,A:AL,19,FALSE)-50),"-",VLOOKUP($A153,'SegEnds_NonXtal_BW#'!$A:$Z,13,FALSE)+VLOOKUP($A153,A:AL,19,FALSE)-50)</f>
        <v>125</v>
      </c>
      <c r="S153" s="3">
        <v>125</v>
      </c>
      <c r="T153" s="100">
        <f>IF(ISERROR(VLOOKUP($A153,'SegEnds_NonXtal_BW#'!$A:$Z,14,FALSE)+VLOOKUP($A153,A:AL,19,FALSE)-50),"-",(VLOOKUP($A153,'SegEnds_NonXtal_BW#'!$A:$Z,14,FALSE)+VLOOKUP($A153,A:AL,19,FALSE)-50))</f>
        <v>132</v>
      </c>
      <c r="U153" s="9">
        <f>IF(ISERROR(VLOOKUP($A153,'SegEnds_NonXtal_BW#'!$A:$Z,15,FALSE)+VLOOKUP($A153,A:AL,22,FALSE)-50),"-",VLOOKUP($A153,'SegEnds_NonXtal_BW#'!$A:$Z,15,FALSE)+VLOOKUP($A153,A:AL,22,FALSE)-50)</f>
        <v>133</v>
      </c>
      <c r="V153" s="3">
        <v>145</v>
      </c>
      <c r="W153" s="3">
        <f>IF(ISERROR(VLOOKUP($A153,'SegEnds_NonXtal_BW#'!$A:$Z,16,FALSE)+VLOOKUP($A153,A:AL,22,FALSE)-50),"-",(VLOOKUP($A153,'SegEnds_NonXtal_BW#'!$A:$Z,16,FALSE)+VLOOKUP($A153,A:AL,22,FALSE)-50))</f>
        <v>162</v>
      </c>
      <c r="X153" s="3">
        <f>IF(ISERROR(VLOOKUP($A153,'SegEnds_NonXtal_BW#'!$A:$Z,17,FALSE)+VLOOKUP($A153,A:AL,25,FALSE)-50),"-",(VLOOKUP($A153,'SegEnds_NonXtal_BW#'!$A:$Z,17,FALSE)+VLOOKUP($A153,A:AL,25,FALSE)-50))</f>
        <v>168</v>
      </c>
      <c r="Y153" s="3">
        <v>168</v>
      </c>
      <c r="Z153" s="3">
        <f>Y153+2</f>
        <v>170</v>
      </c>
      <c r="AA153" s="3">
        <f>IF(ISERROR(VLOOKUP($A153,'SegEnds_NonXtal_BW#'!$A:$Z,19,FALSE)+VLOOKUP($A153,A:AL,28,FALSE)-50),"-",(VLOOKUP($A153,'SegEnds_NonXtal_BW#'!$A:$Z,19,FALSE)+VLOOKUP($A153,A:AL,28,FALSE)-50))</f>
        <v>220</v>
      </c>
      <c r="AB153" s="3">
        <v>235</v>
      </c>
      <c r="AC153" s="3">
        <f>IF(ISERROR((VLOOKUP($A153,'SegEnds_NonXtal_BW#'!$A:$Z,20,FALSE)+VLOOKUP($A153,A:AL,28,FALSE)-50)),"-",(VLOOKUP($A153,'SegEnds_NonXtal_BW#'!$A:$Z,20,FALSE)+VLOOKUP($A153,A:AL,28,FALSE)-50))</f>
        <v>259</v>
      </c>
      <c r="AD153" s="3">
        <f>IF(ISERROR(VLOOKUP($A153,'SegEnds_NonXtal_BW#'!$A:$Z,21,FALSE)+VLOOKUP($A153,A:AL,31,FALSE)-50),"-",(VLOOKUP($A153,'SegEnds_NonXtal_BW#'!$A:$Z,21,FALSE)+VLOOKUP($A153,A:AL,31,FALSE)-50))</f>
        <v>308</v>
      </c>
      <c r="AE153" s="3">
        <v>334</v>
      </c>
      <c r="AF153" s="3">
        <f>IF(ISERROR((VLOOKUP($A153,'SegEnds_NonXtal_BW#'!$A:$Z,22,FALSE)+VLOOKUP($A153,A:AL,31,FALSE)-50)),"-",(VLOOKUP($A153,'SegEnds_NonXtal_BW#'!$A:$Z,22,FALSE)+VLOOKUP($A153,A:AL,31,FALSE)-50))</f>
        <v>345</v>
      </c>
      <c r="AG153" s="3">
        <f>IF(ISERROR(VLOOKUP($A153,'SegEnds_NonXtal_BW#'!$A:$Z,23,FALSE)+VLOOKUP($A153,A:AL,34,FALSE)-50),"-",(VLOOKUP($A153,'SegEnds_NonXtal_BW#'!$A:$Z,23,FALSE)+VLOOKUP($A153,A:AL,34,FALSE)-50))</f>
        <v>350</v>
      </c>
      <c r="AH153" s="3">
        <v>367</v>
      </c>
      <c r="AI153" s="3">
        <f>IF(ISERROR((VLOOKUP($A153,'SegEnds_NonXtal_BW#'!$A:$Z,24,FALSE)+VLOOKUP($A153,A:AL,34,FALSE)-50)),"-",(VLOOKUP($A153,'SegEnds_NonXtal_BW#'!$A:$Z,24,FALSE)+VLOOKUP($A153,A:AL,34,FALSE)-50))</f>
        <v>373</v>
      </c>
      <c r="AJ153" s="3">
        <f>IF(ISERROR(VLOOKUP($A153,'SegEnds_NonXtal_BW#'!$A:$Z,25,FALSE)+VLOOKUP($A153,A:AL,37,FALSE)-50),"-",(VLOOKUP($A153,'SegEnds_NonXtal_BW#'!$A:$Z,25,FALSE)+VLOOKUP($A153,A:AL,37,FALSE)-50))</f>
        <v>374</v>
      </c>
      <c r="AK153" s="3">
        <v>377</v>
      </c>
      <c r="AL153" s="3">
        <f>IF(ISERROR((VLOOKUP($A153,'SegEnds_NonXtal_BW#'!$A:$Z,26,FALSE)+VLOOKUP($A153,A:AL,37,FALSE)-50)),"-",(VLOOKUP($A153,'SegEnds_NonXtal_BW#'!$A:$Z,26,FALSE)+VLOOKUP($A153,A:AL,37,FALSE)-50))</f>
        <v>387</v>
      </c>
      <c r="AM153" s="28" t="str">
        <f>VLOOKUP(A153,Classification!A:B,2,FALSE)</f>
        <v>A</v>
      </c>
      <c r="AN153" s="28" t="b">
        <f t="shared" si="98"/>
        <v>1</v>
      </c>
      <c r="AO153" s="3" t="str">
        <f>IF(ISERROR(MATCH(A153,'SegEnds_Xtal_Prot#'!B:B, 0)), "NoXtal", "Xtal")</f>
        <v>NoXtal</v>
      </c>
      <c r="AP153" s="3">
        <f t="shared" si="81"/>
        <v>1</v>
      </c>
      <c r="AQ153" s="3">
        <f t="shared" si="82"/>
        <v>1</v>
      </c>
      <c r="AR153" s="3" t="str">
        <f t="shared" si="83"/>
        <v>-</v>
      </c>
      <c r="AS153" s="3" t="str">
        <f t="shared" si="84"/>
        <v>-</v>
      </c>
      <c r="AT153" s="3">
        <f t="shared" si="85"/>
        <v>1</v>
      </c>
      <c r="AU153" s="3">
        <f t="shared" si="86"/>
        <v>1</v>
      </c>
      <c r="AV153" s="3">
        <f t="shared" si="87"/>
        <v>6</v>
      </c>
      <c r="AW153" s="3">
        <f t="shared" si="88"/>
        <v>50</v>
      </c>
      <c r="AX153" s="3">
        <f t="shared" si="89"/>
        <v>49</v>
      </c>
      <c r="AY153" s="3">
        <f t="shared" si="90"/>
        <v>5</v>
      </c>
      <c r="AZ153" s="3">
        <f t="shared" si="91"/>
        <v>1</v>
      </c>
      <c r="BA153" s="3">
        <f>IF(ISERROR(LEN(VLOOKUP(A153,Seqs!A:E,2,FALSE))-AL153),"-",LEN(VLOOKUP(A153,Seqs!A:E,2,FALSE))-AL153)</f>
        <v>9</v>
      </c>
      <c r="BB153" s="16">
        <f t="shared" si="92"/>
        <v>28</v>
      </c>
      <c r="BC153" s="9">
        <f t="shared" si="93"/>
        <v>20</v>
      </c>
      <c r="BD153" s="3">
        <f t="shared" si="94"/>
        <v>28</v>
      </c>
      <c r="BE153" s="3">
        <f t="shared" si="95"/>
        <v>99</v>
      </c>
      <c r="BF153" s="3">
        <f>AH153-AE153</f>
        <v>33</v>
      </c>
    </row>
    <row r="154" spans="1:58" s="3" customFormat="1" x14ac:dyDescent="0.2">
      <c r="A154" s="3" t="s">
        <v>271</v>
      </c>
      <c r="B154" s="3" t="str">
        <f>LOWER(VLOOKUP(A154,Xtal_Templ!A:B,2,FALSE))</f>
        <v>5ht2c_human</v>
      </c>
      <c r="C154" s="3">
        <f>VLOOKUP($A154,'SegEnds_NonXtal_BW#'!$A:$Z,3,FALSE)+D154-50</f>
        <v>21</v>
      </c>
      <c r="D154" s="3">
        <v>38</v>
      </c>
      <c r="E154" s="3">
        <f>IF(ISERROR(VLOOKUP($A154,'SegEnds_NonXtal_BW#'!$A:$Z,4,FALSE)+VLOOKUP($A154,A:AL,4,FALSE)-50),"-",(VLOOKUP($A154,'SegEnds_NonXtal_BW#'!$A:$Z,4,FALSE)+VLOOKUP($A154,A:AL,4,FALSE)-50))</f>
        <v>48</v>
      </c>
      <c r="F154" s="3">
        <f>G154-2</f>
        <v>49</v>
      </c>
      <c r="G154" s="3">
        <v>51</v>
      </c>
      <c r="H154" s="3">
        <f>G154+1</f>
        <v>52</v>
      </c>
      <c r="I154" s="3">
        <f>H154+1</f>
        <v>53</v>
      </c>
      <c r="J154" s="3">
        <v>66</v>
      </c>
      <c r="K154" s="3">
        <f>VLOOKUP($A154,'SegEnds_NonXtal_BW#'!$A:$Z,8,FALSE)+VLOOKUP($A154,A:AL,10,FALSE)-50</f>
        <v>84</v>
      </c>
      <c r="L154" s="3">
        <f>M154-1</f>
        <v>86</v>
      </c>
      <c r="M154" s="3">
        <v>87</v>
      </c>
      <c r="N154" s="3">
        <f>M154+2</f>
        <v>89</v>
      </c>
      <c r="O154" s="3">
        <f>N154+1</f>
        <v>90</v>
      </c>
      <c r="P154" s="3">
        <v>119</v>
      </c>
      <c r="Q154" s="3">
        <f>VLOOKUP($A154,'SegEnds_NonXtal_BW#'!$A:$Z,12,FALSE)+VLOOKUP($A154,A:AL,16,FALSE)-50</f>
        <v>125</v>
      </c>
      <c r="R154" s="3">
        <f>IF(ISERROR(VLOOKUP($A154,'SegEnds_NonXtal_BW#'!$A:$Z,13,FALSE)+VLOOKUP($A154,A:AL,19,FALSE)-50),"-",VLOOKUP($A154,'SegEnds_NonXtal_BW#'!$A:$Z,13,FALSE)+VLOOKUP($A154,A:AL,19,FALSE)-50)</f>
        <v>126</v>
      </c>
      <c r="S154" s="3">
        <v>126</v>
      </c>
      <c r="T154" s="100">
        <f>IF(ISERROR(VLOOKUP($A154,'SegEnds_NonXtal_BW#'!$A:$Z,14,FALSE)+VLOOKUP($A154,A:AL,19,FALSE)-50),"-",(VLOOKUP($A154,'SegEnds_NonXtal_BW#'!$A:$Z,14,FALSE)+VLOOKUP($A154,A:AL,19,FALSE)-50))</f>
        <v>133</v>
      </c>
      <c r="U154" s="9">
        <f>IF(ISERROR(VLOOKUP($A154,'SegEnds_NonXtal_BW#'!$A:$Z,15,FALSE)+VLOOKUP($A154,A:AL,22,FALSE)-50),"-",VLOOKUP($A154,'SegEnds_NonXtal_BW#'!$A:$Z,15,FALSE)+VLOOKUP($A154,A:AL,22,FALSE)-50)</f>
        <v>134</v>
      </c>
      <c r="V154" s="3">
        <v>146</v>
      </c>
      <c r="W154" s="3">
        <f>IF(ISERROR(VLOOKUP($A154,'SegEnds_NonXtal_BW#'!$A:$Z,16,FALSE)+VLOOKUP($A154,A:AL,22,FALSE)-50),"-",(VLOOKUP($A154,'SegEnds_NonXtal_BW#'!$A:$Z,16,FALSE)+VLOOKUP($A154,A:AL,22,FALSE)-50))</f>
        <v>163</v>
      </c>
      <c r="X154" s="3">
        <f>IF(ISERROR(VLOOKUP($A154,'SegEnds_NonXtal_BW#'!$A:$Z,17,FALSE)+VLOOKUP($A154,A:AL,25,FALSE)-50),"-",(VLOOKUP($A154,'SegEnds_NonXtal_BW#'!$A:$Z,17,FALSE)+VLOOKUP($A154,A:AL,25,FALSE)-50))</f>
        <v>172</v>
      </c>
      <c r="Y154" s="3">
        <v>172</v>
      </c>
      <c r="Z154" s="3">
        <f>Y154+2</f>
        <v>174</v>
      </c>
      <c r="AA154" s="3">
        <f>IF(ISERROR(VLOOKUP($A154,'SegEnds_NonXtal_BW#'!$A:$Z,19,FALSE)+VLOOKUP($A154,A:AL,28,FALSE)-50),"-",(VLOOKUP($A154,'SegEnds_NonXtal_BW#'!$A:$Z,19,FALSE)+VLOOKUP($A154,A:AL,28,FALSE)-50))</f>
        <v>218</v>
      </c>
      <c r="AB154" s="3">
        <v>233</v>
      </c>
      <c r="AC154" s="3">
        <f>IF(ISERROR((VLOOKUP($A154,'SegEnds_NonXtal_BW#'!$A:$Z,20,FALSE)+VLOOKUP($A154,A:AL,28,FALSE)-50)),"-",(VLOOKUP($A154,'SegEnds_NonXtal_BW#'!$A:$Z,20,FALSE)+VLOOKUP($A154,A:AL,28,FALSE)-50))</f>
        <v>259</v>
      </c>
      <c r="AD154" s="3">
        <f>IF(ISERROR(VLOOKUP($A154,'SegEnds_NonXtal_BW#'!$A:$Z,21,FALSE)+VLOOKUP($A154,A:AL,31,FALSE)-50),"-",(VLOOKUP($A154,'SegEnds_NonXtal_BW#'!$A:$Z,21,FALSE)+VLOOKUP($A154,A:AL,31,FALSE)-50))</f>
        <v>274</v>
      </c>
      <c r="AE154" s="3">
        <v>300</v>
      </c>
      <c r="AF154" s="3">
        <f>IF(ISERROR((VLOOKUP($A154,'SegEnds_NonXtal_BW#'!$A:$Z,22,FALSE)+VLOOKUP($A154,A:AL,31,FALSE)-50)),"-",(VLOOKUP($A154,'SegEnds_NonXtal_BW#'!$A:$Z,22,FALSE)+VLOOKUP($A154,A:AL,31,FALSE)-50))</f>
        <v>311</v>
      </c>
      <c r="AG154" s="3">
        <f>IF(ISERROR(VLOOKUP($A154,'SegEnds_NonXtal_BW#'!$A:$Z,23,FALSE)+VLOOKUP($A154,A:AL,34,FALSE)-50),"-",(VLOOKUP($A154,'SegEnds_NonXtal_BW#'!$A:$Z,23,FALSE)+VLOOKUP($A154,A:AL,34,FALSE)-50))</f>
        <v>317</v>
      </c>
      <c r="AH154" s="3">
        <v>336</v>
      </c>
      <c r="AI154" s="3">
        <f>IF(ISERROR((VLOOKUP($A154,'SegEnds_NonXtal_BW#'!$A:$Z,24,FALSE)+VLOOKUP($A154,A:AL,34,FALSE)-50)),"-",(VLOOKUP($A154,'SegEnds_NonXtal_BW#'!$A:$Z,24,FALSE)+VLOOKUP($A154,A:AL,34,FALSE)-50))</f>
        <v>342</v>
      </c>
      <c r="AJ154" s="3">
        <f>IF(ISERROR(VLOOKUP($A154,'SegEnds_NonXtal_BW#'!$A:$Z,25,FALSE)+VLOOKUP($A154,A:AL,37,FALSE)-50),"-",(VLOOKUP($A154,'SegEnds_NonXtal_BW#'!$A:$Z,25,FALSE)+VLOOKUP($A154,A:AL,37,FALSE)-50))</f>
        <v>343</v>
      </c>
      <c r="AK154" s="3">
        <v>346</v>
      </c>
      <c r="AL154" s="3">
        <f>IF(ISERROR((VLOOKUP($A154,'SegEnds_NonXtal_BW#'!$A:$Z,26,FALSE)+VLOOKUP($A154,A:AL,37,FALSE)-50)),"-",(VLOOKUP($A154,'SegEnds_NonXtal_BW#'!$A:$Z,26,FALSE)+VLOOKUP($A154,A:AL,37,FALSE)-50))</f>
        <v>356</v>
      </c>
      <c r="AM154" s="28" t="str">
        <f>VLOOKUP(A154,Classification!A:B,2,FALSE)</f>
        <v>A</v>
      </c>
      <c r="AN154" s="28" t="b">
        <f t="shared" si="98"/>
        <v>1</v>
      </c>
      <c r="AO154" s="3" t="str">
        <f>IF(ISERROR(MATCH(A154,'SegEnds_Xtal_Prot#'!B:B, 0)), "NoXtal", "Xtal")</f>
        <v>NoXtal</v>
      </c>
      <c r="AP154" s="3">
        <f t="shared" si="81"/>
        <v>1</v>
      </c>
      <c r="AQ154" s="3">
        <f t="shared" si="82"/>
        <v>1</v>
      </c>
      <c r="AR154" s="3">
        <f t="shared" si="83"/>
        <v>2</v>
      </c>
      <c r="AS154" s="3">
        <f t="shared" si="84"/>
        <v>1</v>
      </c>
      <c r="AT154" s="3">
        <f t="shared" si="85"/>
        <v>1</v>
      </c>
      <c r="AU154" s="3">
        <f t="shared" si="86"/>
        <v>1</v>
      </c>
      <c r="AV154" s="3">
        <f t="shared" si="87"/>
        <v>9</v>
      </c>
      <c r="AW154" s="3">
        <f t="shared" si="88"/>
        <v>44</v>
      </c>
      <c r="AX154" s="3">
        <f t="shared" si="89"/>
        <v>15</v>
      </c>
      <c r="AY154" s="3">
        <f t="shared" si="90"/>
        <v>6</v>
      </c>
      <c r="AZ154" s="3">
        <f t="shared" si="91"/>
        <v>1</v>
      </c>
      <c r="BA154" s="3">
        <f>IF(ISERROR(LEN(VLOOKUP(A154,Seqs!A:E,2,FALSE))-AL154),"-",LEN(VLOOKUP(A154,Seqs!A:E,2,FALSE))-AL154)</f>
        <v>14</v>
      </c>
      <c r="BB154" s="16">
        <f t="shared" si="92"/>
        <v>28</v>
      </c>
      <c r="BC154" s="9">
        <f t="shared" si="93"/>
        <v>20</v>
      </c>
      <c r="BD154" s="3">
        <f t="shared" si="94"/>
        <v>28</v>
      </c>
      <c r="BE154" s="3">
        <f t="shared" si="95"/>
        <v>67</v>
      </c>
      <c r="BF154" s="3">
        <f>AH154-AE154</f>
        <v>36</v>
      </c>
    </row>
    <row r="155" spans="1:58" s="3" customFormat="1" x14ac:dyDescent="0.2">
      <c r="A155" s="3" t="s">
        <v>272</v>
      </c>
      <c r="B155" s="3" t="str">
        <f>LOWER(VLOOKUP(A155,Xtal_Templ!A:B,2,FALSE))</f>
        <v>p2y12_human</v>
      </c>
      <c r="C155" s="3">
        <f>VLOOKUP($A155,'SegEnds_NonXtal_BW#'!$A:$Z,3,FALSE)+D155-50</f>
        <v>38</v>
      </c>
      <c r="D155" s="3">
        <v>60</v>
      </c>
      <c r="E155" s="3">
        <f>IF(ISERROR(VLOOKUP($A155,'SegEnds_NonXtal_BW#'!$A:$Z,4,FALSE)+VLOOKUP($A155,A:AL,4,FALSE)-50),"-",(VLOOKUP($A155,'SegEnds_NonXtal_BW#'!$A:$Z,4,FALSE)+VLOOKUP($A155,A:AL,4,FALSE)-50))</f>
        <v>70</v>
      </c>
      <c r="F155" s="3" t="str">
        <f>IF(ISERROR(VLOOKUP($A155,'SegEnds_NonXtal_BW#'!$A:$Z,5,FALSE)+VLOOKUP($A155,A:AL,7,FALSE)-50),"-",(VLOOKUP($A155,'SegEnds_NonXtal_BW#'!$A:$Z,5,FALSE)+VLOOKUP($A155,A:AL,7,FALSE)-50))</f>
        <v>-</v>
      </c>
      <c r="G155" s="3" t="s">
        <v>23</v>
      </c>
      <c r="H155" s="3" t="str">
        <f>IF(ISERROR(VLOOKUP($A155,'SegEnds_NonXtal_BW#'!$A:$Z,6,FALSE)+VLOOKUP($A155,A:AL,7,FALSE)-50),"-",(VLOOKUP($A155,'SegEnds_NonXtal_BW#'!$A:$Z,6,FALSE)+VLOOKUP($A155,A:AL,7,FALSE)-50))</f>
        <v>-</v>
      </c>
      <c r="I155" s="3">
        <f>VLOOKUP($A155,'SegEnds_NonXtal_BW#'!$A:$Z,7,FALSE)+J155-50</f>
        <v>74</v>
      </c>
      <c r="J155" s="3">
        <v>87</v>
      </c>
      <c r="K155" s="3">
        <f>VLOOKUP($A155,'SegEnds_NonXtal_BW#'!$A:$Z,8,FALSE)+VLOOKUP($A155,A:AL,10,FALSE)-50</f>
        <v>103</v>
      </c>
      <c r="L155" s="3">
        <f>M155-1</f>
        <v>106</v>
      </c>
      <c r="M155" s="3">
        <v>107</v>
      </c>
      <c r="N155" s="3">
        <f>M155+2</f>
        <v>109</v>
      </c>
      <c r="O155" s="3">
        <f>N155+1</f>
        <v>110</v>
      </c>
      <c r="P155" s="3">
        <v>139</v>
      </c>
      <c r="Q155" s="3">
        <f>VLOOKUP($A155,'SegEnds_NonXtal_BW#'!$A:$Z,12,FALSE)+VLOOKUP($A155,A:AL,16,FALSE)-50</f>
        <v>145</v>
      </c>
      <c r="R155" s="3">
        <f>IF(ISERROR(VLOOKUP($A155,'SegEnds_NonXtal_BW#'!$A:$Z,13,FALSE)+VLOOKUP($A155,A:AL,19,FALSE)-50),"-",VLOOKUP($A155,'SegEnds_NonXtal_BW#'!$A:$Z,13,FALSE)+VLOOKUP($A155,A:AL,19,FALSE)-50)</f>
        <v>146</v>
      </c>
      <c r="S155" s="3">
        <v>146</v>
      </c>
      <c r="T155" s="100">
        <f>IF(ISERROR(VLOOKUP($A155,'SegEnds_NonXtal_BW#'!$A:$Z,14,FALSE)+VLOOKUP($A155,A:AL,19,FALSE)-50),"-",(VLOOKUP($A155,'SegEnds_NonXtal_BW#'!$A:$Z,14,FALSE)+VLOOKUP($A155,A:AL,19,FALSE)-50))</f>
        <v>153</v>
      </c>
      <c r="U155" s="9">
        <f>IF(ISERROR(VLOOKUP($A155,'SegEnds_NonXtal_BW#'!$A:$Z,15,FALSE)+VLOOKUP($A155,A:AL,22,FALSE)-50),"-",VLOOKUP($A155,'SegEnds_NonXtal_BW#'!$A:$Z,15,FALSE)+VLOOKUP($A155,A:AL,22,FALSE)-50)</f>
        <v>154</v>
      </c>
      <c r="V155" s="3">
        <v>166</v>
      </c>
      <c r="W155" s="3">
        <f>IF(ISERROR(VLOOKUP($A155,'SegEnds_NonXtal_BW#'!$A:$Z,16,FALSE)+VLOOKUP($A155,A:AL,22,FALSE)-50),"-",(VLOOKUP($A155,'SegEnds_NonXtal_BW#'!$A:$Z,16,FALSE)+VLOOKUP($A155,A:AL,22,FALSE)-50))</f>
        <v>180</v>
      </c>
      <c r="X155" s="3">
        <f>IF(ISERROR(VLOOKUP($A155,'SegEnds_NonXtal_BW#'!$A:$Z,17,FALSE)+VLOOKUP($A155,A:AL,25,FALSE)-50),"-",(VLOOKUP($A155,'SegEnds_NonXtal_BW#'!$A:$Z,17,FALSE)+VLOOKUP($A155,A:AL,25,FALSE)-50))</f>
        <v>192</v>
      </c>
      <c r="Y155" s="3">
        <v>192</v>
      </c>
      <c r="Z155" s="3">
        <f>Y155+2</f>
        <v>194</v>
      </c>
      <c r="AA155" s="3">
        <f>IF(ISERROR(VLOOKUP($A155,'SegEnds_NonXtal_BW#'!$A:$Z,19,FALSE)+VLOOKUP($A155,A:AL,28,FALSE)-50),"-",(VLOOKUP($A155,'SegEnds_NonXtal_BW#'!$A:$Z,19,FALSE)+VLOOKUP($A155,A:AL,28,FALSE)-50))</f>
        <v>198</v>
      </c>
      <c r="AB155" s="3">
        <v>218</v>
      </c>
      <c r="AC155" s="3">
        <f>IF(ISERROR((VLOOKUP($A155,'SegEnds_NonXtal_BW#'!$A:$Z,20,FALSE)+VLOOKUP($A155,A:AL,28,FALSE)-50)),"-",(VLOOKUP($A155,'SegEnds_NonXtal_BW#'!$A:$Z,20,FALSE)+VLOOKUP($A155,A:AL,28,FALSE)-50))</f>
        <v>236</v>
      </c>
      <c r="AD155" s="3">
        <f>IF(ISERROR(VLOOKUP($A155,'SegEnds_NonXtal_BW#'!$A:$Z,21,FALSE)+VLOOKUP($A155,A:AL,31,FALSE)-50),"-",(VLOOKUP($A155,'SegEnds_NonXtal_BW#'!$A:$Z,21,FALSE)+VLOOKUP($A155,A:AL,31,FALSE)-50))</f>
        <v>241</v>
      </c>
      <c r="AE155" s="3">
        <v>267</v>
      </c>
      <c r="AF155" s="3">
        <f>IF(ISERROR((VLOOKUP($A155,'SegEnds_NonXtal_BW#'!$A:$Z,22,FALSE)+VLOOKUP($A155,A:AL,31,FALSE)-50)),"-",(VLOOKUP($A155,'SegEnds_NonXtal_BW#'!$A:$Z,22,FALSE)+VLOOKUP($A155,A:AL,31,FALSE)-50))</f>
        <v>281</v>
      </c>
      <c r="AG155" s="3">
        <f>IF(ISERROR(VLOOKUP($A155,'SegEnds_NonXtal_BW#'!$A:$Z,23,FALSE)+VLOOKUP($A155,A:AL,34,FALSE)-50),"-",(VLOOKUP($A155,'SegEnds_NonXtal_BW#'!$A:$Z,23,FALSE)+VLOOKUP($A155,A:AL,34,FALSE)-50))</f>
        <v>285</v>
      </c>
      <c r="AH155" s="3">
        <v>311</v>
      </c>
      <c r="AI155" s="3">
        <f>IF(ISERROR((VLOOKUP($A155,'SegEnds_NonXtal_BW#'!$A:$Z,24,FALSE)+VLOOKUP($A155,A:AL,34,FALSE)-50)),"-",(VLOOKUP($A155,'SegEnds_NonXtal_BW#'!$A:$Z,24,FALSE)+VLOOKUP($A155,A:AL,34,FALSE)-50))</f>
        <v>317</v>
      </c>
      <c r="AJ155" s="3">
        <f>IF(ISERROR(VLOOKUP($A155,'SegEnds_NonXtal_BW#'!$A:$Z,25,FALSE)+VLOOKUP($A155,A:AL,37,FALSE)-50),"-",(VLOOKUP($A155,'SegEnds_NonXtal_BW#'!$A:$Z,25,FALSE)+VLOOKUP($A155,A:AL,37,FALSE)-50))</f>
        <v>318</v>
      </c>
      <c r="AK155" s="3">
        <v>321</v>
      </c>
      <c r="AL155" s="3">
        <f>IF(ISERROR((VLOOKUP($A155,'SegEnds_NonXtal_BW#'!$A:$Z,26,FALSE)+VLOOKUP($A155,A:AL,37,FALSE)-50)),"-",(VLOOKUP($A155,'SegEnds_NonXtal_BW#'!$A:$Z,26,FALSE)+VLOOKUP($A155,A:AL,37,FALSE)-50))</f>
        <v>328</v>
      </c>
      <c r="AM155" s="28" t="str">
        <f>VLOOKUP(A155,Classification!A:B,2,FALSE)</f>
        <v>A</v>
      </c>
      <c r="AN155" s="28" t="b">
        <f t="shared" si="98"/>
        <v>1</v>
      </c>
      <c r="AO155" s="3" t="str">
        <f>IF(ISERROR(MATCH(A155,'SegEnds_Xtal_Prot#'!B:B, 0)), "NoXtal", "Xtal")</f>
        <v>NoXtal</v>
      </c>
      <c r="AP155" s="3" t="str">
        <f t="shared" si="81"/>
        <v>-</v>
      </c>
      <c r="AQ155" s="3" t="str">
        <f t="shared" si="82"/>
        <v>-</v>
      </c>
      <c r="AR155" s="3">
        <f t="shared" si="83"/>
        <v>3</v>
      </c>
      <c r="AS155" s="3">
        <f t="shared" si="84"/>
        <v>1</v>
      </c>
      <c r="AT155" s="3">
        <f t="shared" si="85"/>
        <v>1</v>
      </c>
      <c r="AU155" s="3">
        <f t="shared" si="86"/>
        <v>1</v>
      </c>
      <c r="AV155" s="3">
        <f t="shared" si="87"/>
        <v>12</v>
      </c>
      <c r="AW155" s="3">
        <f t="shared" si="88"/>
        <v>4</v>
      </c>
      <c r="AX155" s="3">
        <f t="shared" si="89"/>
        <v>5</v>
      </c>
      <c r="AY155" s="3">
        <f t="shared" si="90"/>
        <v>4</v>
      </c>
      <c r="AZ155" s="3">
        <f t="shared" si="91"/>
        <v>1</v>
      </c>
      <c r="BA155" s="3">
        <f>IF(ISERROR(LEN(VLOOKUP(A155,Seqs!A:E,2,FALSE))-AL155),"-",LEN(VLOOKUP(A155,Seqs!A:E,2,FALSE))-AL155)</f>
        <v>30</v>
      </c>
      <c r="BB155" s="16">
        <f t="shared" si="92"/>
        <v>27</v>
      </c>
      <c r="BC155" s="9">
        <f t="shared" si="93"/>
        <v>20</v>
      </c>
      <c r="BD155" s="3">
        <f t="shared" si="94"/>
        <v>27</v>
      </c>
      <c r="BE155" s="3">
        <f t="shared" si="95"/>
        <v>49</v>
      </c>
    </row>
    <row r="156" spans="1:58" s="3" customFormat="1" x14ac:dyDescent="0.2">
      <c r="A156" s="3" t="s">
        <v>273</v>
      </c>
      <c r="B156" s="3" t="str">
        <f>LOWER(VLOOKUP(A156,Xtal_Templ!A:B,2,FALSE))</f>
        <v>ox1r_human</v>
      </c>
      <c r="C156" s="3">
        <f>VLOOKUP($A156,'SegEnds_NonXtal_BW#'!$A:$Z,3,FALSE)+D156-50</f>
        <v>31</v>
      </c>
      <c r="D156" s="3">
        <v>49</v>
      </c>
      <c r="E156" s="3">
        <f>IF(ISERROR(VLOOKUP($A156,'SegEnds_NonXtal_BW#'!$A:$Z,4,FALSE)+VLOOKUP($A156,A:AL,4,FALSE)-50),"-",(VLOOKUP($A156,'SegEnds_NonXtal_BW#'!$A:$Z,4,FALSE)+VLOOKUP($A156,A:AL,4,FALSE)-50))</f>
        <v>59</v>
      </c>
      <c r="F156" s="3">
        <f>G156-2</f>
        <v>60</v>
      </c>
      <c r="G156" s="3">
        <v>62</v>
      </c>
      <c r="H156" s="3">
        <f>G156+1</f>
        <v>63</v>
      </c>
      <c r="I156" s="3">
        <f>H156+1</f>
        <v>64</v>
      </c>
      <c r="J156" s="3">
        <v>77</v>
      </c>
      <c r="K156" s="3">
        <f>VLOOKUP($A156,'SegEnds_NonXtal_BW#'!$A:$Z,8,FALSE)+VLOOKUP($A156,A:AL,10,FALSE)-50</f>
        <v>94</v>
      </c>
      <c r="L156" s="3" t="str">
        <f>IF(ISERROR(VLOOKUP($A156,'SegEnds_NonXtal_BW#'!$A:$Z,9,FALSE)+VLOOKUP($A156,A:AL,13,FALSE)-50),"-",(VLOOKUP($A156,'SegEnds_NonXtal_BW#'!$A:$Z,9,FALSE)+VLOOKUP($A156,A:AL,13,FALSE)-50))</f>
        <v>-</v>
      </c>
      <c r="M156" s="3" t="s">
        <v>23</v>
      </c>
      <c r="N156" s="3" t="str">
        <f>IF(ISERROR(VLOOKUP($A156,'SegEnds_NonXtal_BW#'!$A:$Z,10,FALSE)+VLOOKUP($A156,A:AL,13,FALSE)-50),"-",(VLOOKUP($A156,'SegEnds_NonXtal_BW#'!$A:$Z,10,FALSE)+VLOOKUP($A156,A:AL,13,FALSE)-50))</f>
        <v>-</v>
      </c>
      <c r="O156" s="3">
        <f>VLOOKUP($A156,'SegEnds_NonXtal_BW#'!$A:$Z,11,FALSE)+VLOOKUP($A156,A:AL,16,FALSE)-50</f>
        <v>106</v>
      </c>
      <c r="P156" s="3">
        <v>138</v>
      </c>
      <c r="Q156" s="3">
        <f>VLOOKUP($A156,'SegEnds_NonXtal_BW#'!$A:$Z,12,FALSE)+VLOOKUP($A156,A:AL,16,FALSE)-50</f>
        <v>144</v>
      </c>
      <c r="R156" s="3">
        <f>IF(ISERROR(VLOOKUP($A156,'SegEnds_NonXtal_BW#'!$A:$Z,13,FALSE)+VLOOKUP($A156,A:AL,19,FALSE)-50),"-",VLOOKUP($A156,'SegEnds_NonXtal_BW#'!$A:$Z,13,FALSE)+VLOOKUP($A156,A:AL,19,FALSE)-50)</f>
        <v>146</v>
      </c>
      <c r="S156" s="3">
        <v>146</v>
      </c>
      <c r="T156" s="100">
        <f>IF(ISERROR(VLOOKUP($A156,'SegEnds_NonXtal_BW#'!$A:$Z,14,FALSE)+VLOOKUP($A156,A:AL,19,FALSE)-50),"-",(VLOOKUP($A156,'SegEnds_NonXtal_BW#'!$A:$Z,14,FALSE)+VLOOKUP($A156,A:AL,19,FALSE)-50))</f>
        <v>153</v>
      </c>
      <c r="U156" s="9">
        <f>IF(ISERROR(VLOOKUP($A156,'SegEnds_NonXtal_BW#'!$A:$Z,15,FALSE)+VLOOKUP($A156,A:AL,22,FALSE)-50),"-",VLOOKUP($A156,'SegEnds_NonXtal_BW#'!$A:$Z,15,FALSE)+VLOOKUP($A156,A:AL,22,FALSE)-50)</f>
        <v>154</v>
      </c>
      <c r="V156" s="3">
        <v>166</v>
      </c>
      <c r="W156" s="3">
        <f>IF(ISERROR(VLOOKUP($A156,'SegEnds_NonXtal_BW#'!$A:$Z,16,FALSE)+VLOOKUP($A156,A:AL,22,FALSE)-50),"-",(VLOOKUP($A156,'SegEnds_NonXtal_BW#'!$A:$Z,16,FALSE)+VLOOKUP($A156,A:AL,22,FALSE)-50))</f>
        <v>180</v>
      </c>
      <c r="X156" s="3" t="str">
        <f>IF(ISERROR(VLOOKUP($A156,'SegEnds_NonXtal_BW#'!$A:$Z,17,FALSE)+VLOOKUP($A156,A:AL,25,FALSE)-50),"-",(VLOOKUP($A156,'SegEnds_NonXtal_BW#'!$A:$Z,17,FALSE)+VLOOKUP($A156,A:AL,25,FALSE)-50))</f>
        <v>-</v>
      </c>
      <c r="Y156" s="3" t="s">
        <v>23</v>
      </c>
      <c r="Z156" s="3" t="str">
        <f>IF(ISERROR(VLOOKUP($A156,'SegEnds_NonXtal_BW#'!$A:$Z,18,FALSE)+VLOOKUP($A156,A:AL,25,FALSE)-50),"-",(VLOOKUP($A156,'SegEnds_NonXtal_BW#'!$A:$Z,18,FALSE)+VLOOKUP($A156,A:AL,25,FALSE)-50))</f>
        <v>-</v>
      </c>
      <c r="AA156" s="3">
        <f>IF(ISERROR(VLOOKUP($A156,'SegEnds_NonXtal_BW#'!$A:$Z,19,FALSE)+VLOOKUP($A156,A:AL,28,FALSE)-50),"-",(VLOOKUP($A156,'SegEnds_NonXtal_BW#'!$A:$Z,19,FALSE)+VLOOKUP($A156,A:AL,28,FALSE)-50))</f>
        <v>223</v>
      </c>
      <c r="AB156" s="3">
        <v>238</v>
      </c>
      <c r="AC156" s="3">
        <f>IF(ISERROR((VLOOKUP($A156,'SegEnds_NonXtal_BW#'!$A:$Z,20,FALSE)+VLOOKUP($A156,A:AL,28,FALSE)-50)),"-",(VLOOKUP($A156,'SegEnds_NonXtal_BW#'!$A:$Z,20,FALSE)+VLOOKUP($A156,A:AL,28,FALSE)-50))</f>
        <v>262</v>
      </c>
      <c r="AD156" s="3">
        <f>IF(ISERROR(VLOOKUP($A156,'SegEnds_NonXtal_BW#'!$A:$Z,21,FALSE)+VLOOKUP($A156,A:AL,31,FALSE)-50),"-",(VLOOKUP($A156,'SegEnds_NonXtal_BW#'!$A:$Z,21,FALSE)+VLOOKUP($A156,A:AL,31,FALSE)-50))</f>
        <v>270</v>
      </c>
      <c r="AE156" s="3">
        <v>299</v>
      </c>
      <c r="AF156" s="3">
        <f>IF(ISERROR((VLOOKUP($A156,'SegEnds_NonXtal_BW#'!$A:$Z,22,FALSE)+VLOOKUP($A156,A:AL,31,FALSE)-50)),"-",(VLOOKUP($A156,'SegEnds_NonXtal_BW#'!$A:$Z,22,FALSE)+VLOOKUP($A156,A:AL,31,FALSE)-50))</f>
        <v>310</v>
      </c>
      <c r="AG156" s="3">
        <f>IF(ISERROR(VLOOKUP($A156,'SegEnds_NonXtal_BW#'!$A:$Z,23,FALSE)+VLOOKUP($A156,A:AL,34,FALSE)-50),"-",(VLOOKUP($A156,'SegEnds_NonXtal_BW#'!$A:$Z,23,FALSE)+VLOOKUP($A156,A:AL,34,FALSE)-50))</f>
        <v>315</v>
      </c>
      <c r="AH156" s="3">
        <v>333</v>
      </c>
      <c r="AI156" s="3">
        <f>IF(ISERROR((VLOOKUP($A156,'SegEnds_NonXtal_BW#'!$A:$Z,24,FALSE)+VLOOKUP($A156,A:AL,34,FALSE)-50)),"-",(VLOOKUP($A156,'SegEnds_NonXtal_BW#'!$A:$Z,24,FALSE)+VLOOKUP($A156,A:AL,34,FALSE)-50))</f>
        <v>339</v>
      </c>
      <c r="AJ156" s="3">
        <f>IF(ISERROR(VLOOKUP($A156,'SegEnds_NonXtal_BW#'!$A:$Z,25,FALSE)+VLOOKUP($A156,A:AL,37,FALSE)-50),"-",(VLOOKUP($A156,'SegEnds_NonXtal_BW#'!$A:$Z,25,FALSE)+VLOOKUP($A156,A:AL,37,FALSE)-50))</f>
        <v>340</v>
      </c>
      <c r="AK156" s="3">
        <v>343</v>
      </c>
      <c r="AL156" s="3">
        <f>IF(ISERROR((VLOOKUP($A156,'SegEnds_NonXtal_BW#'!$A:$Z,26,FALSE)+VLOOKUP($A156,A:AL,37,FALSE)-50)),"-",(VLOOKUP($A156,'SegEnds_NonXtal_BW#'!$A:$Z,26,FALSE)+VLOOKUP($A156,A:AL,37,FALSE)-50))</f>
        <v>351</v>
      </c>
      <c r="AM156" s="28" t="str">
        <f>VLOOKUP(A156,Classification!A:B,2,FALSE)</f>
        <v>A</v>
      </c>
      <c r="AN156" s="28" t="b">
        <f t="shared" si="98"/>
        <v>1</v>
      </c>
      <c r="AO156" s="3" t="str">
        <f>IF(ISERROR(MATCH(A156,'SegEnds_Xtal_Prot#'!B:B, 0)), "NoXtal", "Xtal")</f>
        <v>NoXtal</v>
      </c>
      <c r="AP156" s="3">
        <f t="shared" si="81"/>
        <v>1</v>
      </c>
      <c r="AQ156" s="3">
        <f t="shared" si="82"/>
        <v>1</v>
      </c>
      <c r="AR156" s="3" t="str">
        <f t="shared" si="83"/>
        <v>-</v>
      </c>
      <c r="AS156" s="3" t="str">
        <f t="shared" si="84"/>
        <v>-</v>
      </c>
      <c r="AT156" s="3">
        <f t="shared" si="85"/>
        <v>2</v>
      </c>
      <c r="AU156" s="3">
        <f t="shared" si="86"/>
        <v>1</v>
      </c>
      <c r="AV156" s="3" t="str">
        <f t="shared" si="87"/>
        <v>-</v>
      </c>
      <c r="AW156" s="3" t="str">
        <f t="shared" si="88"/>
        <v>-</v>
      </c>
      <c r="AX156" s="3">
        <f t="shared" si="89"/>
        <v>8</v>
      </c>
      <c r="AY156" s="3">
        <f t="shared" si="90"/>
        <v>5</v>
      </c>
      <c r="AZ156" s="3">
        <f t="shared" si="91"/>
        <v>1</v>
      </c>
      <c r="BA156" s="3">
        <f>IF(ISERROR(LEN(VLOOKUP(A156,Seqs!A:E,2,FALSE))-AL156),"-",LEN(VLOOKUP(A156,Seqs!A:E,2,FALSE))-AL156)</f>
        <v>33</v>
      </c>
      <c r="BB156" s="16">
        <f t="shared" si="92"/>
        <v>28</v>
      </c>
      <c r="BC156" s="9">
        <f t="shared" si="93"/>
        <v>20</v>
      </c>
      <c r="BD156" s="3">
        <f t="shared" si="94"/>
        <v>28</v>
      </c>
      <c r="BE156" s="3">
        <f t="shared" si="95"/>
        <v>61</v>
      </c>
    </row>
    <row r="157" spans="1:58" s="3" customFormat="1" x14ac:dyDescent="0.2">
      <c r="A157" s="3" t="s">
        <v>274</v>
      </c>
      <c r="B157" s="3" t="str">
        <f>LOWER(VLOOKUP(A157,Xtal_Templ!A:B,2,FALSE))</f>
        <v>ednrb_human</v>
      </c>
      <c r="C157" s="3">
        <f>VLOOKUP($A157,'SegEnds_NonXtal_BW#'!$A:$Z,3,FALSE)+D157-50</f>
        <v>30</v>
      </c>
      <c r="D157" s="3">
        <v>58</v>
      </c>
      <c r="E157" s="3">
        <f>IF(ISERROR(VLOOKUP($A157,'SegEnds_NonXtal_BW#'!$A:$Z,4,FALSE)+VLOOKUP($A157,A:AL,4,FALSE)-50),"-",(VLOOKUP($A157,'SegEnds_NonXtal_BW#'!$A:$Z,4,FALSE)+VLOOKUP($A157,A:AL,4,FALSE)-50))</f>
        <v>68</v>
      </c>
      <c r="F157" s="3">
        <f>G157-2</f>
        <v>69</v>
      </c>
      <c r="G157" s="3">
        <v>71</v>
      </c>
      <c r="H157" s="3">
        <f>G157+1</f>
        <v>72</v>
      </c>
      <c r="I157" s="3">
        <f>H157+1</f>
        <v>73</v>
      </c>
      <c r="J157" s="3">
        <v>86</v>
      </c>
      <c r="K157" s="3">
        <f>VLOOKUP($A157,'SegEnds_NonXtal_BW#'!$A:$Z,8,FALSE)+VLOOKUP($A157,A:AL,10,FALSE)-50</f>
        <v>103</v>
      </c>
      <c r="L157" s="3">
        <f t="shared" ref="L157:L163" si="100">M157-1</f>
        <v>105</v>
      </c>
      <c r="M157" s="3">
        <v>106</v>
      </c>
      <c r="N157" s="3">
        <f t="shared" ref="N157:N163" si="101">M157+2</f>
        <v>108</v>
      </c>
      <c r="O157" s="3">
        <f t="shared" ref="O157:O163" si="102">N157+1</f>
        <v>109</v>
      </c>
      <c r="P157" s="3">
        <v>138</v>
      </c>
      <c r="Q157" s="3">
        <f>VLOOKUP($A157,'SegEnds_NonXtal_BW#'!$A:$Z,12,FALSE)+VLOOKUP($A157,A:AL,16,FALSE)-50</f>
        <v>144</v>
      </c>
      <c r="R157" s="3">
        <f>IF(ISERROR(VLOOKUP($A157,'SegEnds_NonXtal_BW#'!$A:$Z,13,FALSE)+VLOOKUP($A157,A:AL,19,FALSE)-50),"-",VLOOKUP($A157,'SegEnds_NonXtal_BW#'!$A:$Z,13,FALSE)+VLOOKUP($A157,A:AL,19,FALSE)-50)</f>
        <v>145</v>
      </c>
      <c r="S157" s="3">
        <v>145</v>
      </c>
      <c r="T157" s="100">
        <f>IF(ISERROR(VLOOKUP($A157,'SegEnds_NonXtal_BW#'!$A:$Z,14,FALSE)+VLOOKUP($A157,A:AL,19,FALSE)-50),"-",(VLOOKUP($A157,'SegEnds_NonXtal_BW#'!$A:$Z,14,FALSE)+VLOOKUP($A157,A:AL,19,FALSE)-50))</f>
        <v>152</v>
      </c>
      <c r="U157" s="9">
        <f>IF(ISERROR(VLOOKUP($A157,'SegEnds_NonXtal_BW#'!$A:$Z,15,FALSE)+VLOOKUP($A157,A:AL,22,FALSE)-50),"-",VLOOKUP($A157,'SegEnds_NonXtal_BW#'!$A:$Z,15,FALSE)+VLOOKUP($A157,A:AL,22,FALSE)-50)</f>
        <v>153</v>
      </c>
      <c r="V157" s="3">
        <v>165</v>
      </c>
      <c r="W157" s="3">
        <f>IF(ISERROR(VLOOKUP($A157,'SegEnds_NonXtal_BW#'!$A:$Z,16,FALSE)+VLOOKUP($A157,A:AL,22,FALSE)-50),"-",(VLOOKUP($A157,'SegEnds_NonXtal_BW#'!$A:$Z,16,FALSE)+VLOOKUP($A157,A:AL,22,FALSE)-50))</f>
        <v>179</v>
      </c>
      <c r="X157" s="3">
        <f>IF(ISERROR(VLOOKUP($A157,'SegEnds_NonXtal_BW#'!$A:$Z,17,FALSE)+VLOOKUP($A157,A:AL,25,FALSE)-50),"-",(VLOOKUP($A157,'SegEnds_NonXtal_BW#'!$A:$Z,17,FALSE)+VLOOKUP($A157,A:AL,25,FALSE)-50))</f>
        <v>196</v>
      </c>
      <c r="Y157" s="3">
        <v>196</v>
      </c>
      <c r="Z157" s="3">
        <f t="shared" ref="Z157:Z172" si="103">Y157+2</f>
        <v>198</v>
      </c>
      <c r="AA157" s="3">
        <f>IF(ISERROR(VLOOKUP($A157,'SegEnds_NonXtal_BW#'!$A:$Z,19,FALSE)+VLOOKUP($A157,A:AL,28,FALSE)-50),"-",(VLOOKUP($A157,'SegEnds_NonXtal_BW#'!$A:$Z,19,FALSE)+VLOOKUP($A157,A:AL,28,FALSE)-50))</f>
        <v>200</v>
      </c>
      <c r="AB157" s="3">
        <v>222</v>
      </c>
      <c r="AC157" s="3">
        <f>IF(ISERROR((VLOOKUP($A157,'SegEnds_NonXtal_BW#'!$A:$Z,20,FALSE)+VLOOKUP($A157,A:AL,28,FALSE)-50)),"-",(VLOOKUP($A157,'SegEnds_NonXtal_BW#'!$A:$Z,20,FALSE)+VLOOKUP($A157,A:AL,28,FALSE)-50))</f>
        <v>245</v>
      </c>
      <c r="AD157" s="3">
        <f>IF(ISERROR(VLOOKUP($A157,'SegEnds_NonXtal_BW#'!$A:$Z,21,FALSE)+VLOOKUP($A157,A:AL,31,FALSE)-50),"-",(VLOOKUP($A157,'SegEnds_NonXtal_BW#'!$A:$Z,21,FALSE)+VLOOKUP($A157,A:AL,31,FALSE)-50))</f>
        <v>251</v>
      </c>
      <c r="AE157" s="3">
        <v>279</v>
      </c>
      <c r="AF157" s="3">
        <f>IF(ISERROR((VLOOKUP($A157,'SegEnds_NonXtal_BW#'!$A:$Z,22,FALSE)+VLOOKUP($A157,A:AL,31,FALSE)-50)),"-",(VLOOKUP($A157,'SegEnds_NonXtal_BW#'!$A:$Z,22,FALSE)+VLOOKUP($A157,A:AL,31,FALSE)-50))</f>
        <v>290</v>
      </c>
      <c r="AG157" s="3">
        <f>IF(ISERROR(VLOOKUP($A157,'SegEnds_NonXtal_BW#'!$A:$Z,23,FALSE)+VLOOKUP($A157,A:AL,34,FALSE)-50),"-",(VLOOKUP($A157,'SegEnds_NonXtal_BW#'!$A:$Z,23,FALSE)+VLOOKUP($A157,A:AL,34,FALSE)-50))</f>
        <v>297</v>
      </c>
      <c r="AH157" s="3">
        <v>319</v>
      </c>
      <c r="AI157" s="3">
        <f>IF(ISERROR((VLOOKUP($A157,'SegEnds_NonXtal_BW#'!$A:$Z,24,FALSE)+VLOOKUP($A157,A:AL,34,FALSE)-50)),"-",(VLOOKUP($A157,'SegEnds_NonXtal_BW#'!$A:$Z,24,FALSE)+VLOOKUP($A157,A:AL,34,FALSE)-50))</f>
        <v>325</v>
      </c>
      <c r="AJ157" s="3">
        <f>IF(ISERROR(VLOOKUP($A157,'SegEnds_NonXtal_BW#'!$A:$Z,25,FALSE)+VLOOKUP($A157,A:AL,37,FALSE)-50),"-",(VLOOKUP($A157,'SegEnds_NonXtal_BW#'!$A:$Z,25,FALSE)+VLOOKUP($A157,A:AL,37,FALSE)-50))</f>
        <v>326</v>
      </c>
      <c r="AK157" s="3">
        <v>329</v>
      </c>
      <c r="AL157" s="3">
        <f>IF(ISERROR((VLOOKUP($A157,'SegEnds_NonXtal_BW#'!$A:$Z,26,FALSE)+VLOOKUP($A157,A:AL,37,FALSE)-50)),"-",(VLOOKUP($A157,'SegEnds_NonXtal_BW#'!$A:$Z,26,FALSE)+VLOOKUP($A157,A:AL,37,FALSE)-50))</f>
        <v>339</v>
      </c>
      <c r="AM157" s="28" t="str">
        <f>VLOOKUP(A157,Classification!A:B,2,FALSE)</f>
        <v>A</v>
      </c>
      <c r="AN157" s="28" t="b">
        <f t="shared" si="98"/>
        <v>1</v>
      </c>
      <c r="AO157" s="3" t="str">
        <f>IF(ISERROR(MATCH(A157,'SegEnds_Xtal_Prot#'!B:B, 0)), "NoXtal", "Xtal")</f>
        <v>NoXtal</v>
      </c>
      <c r="AP157" s="3">
        <f t="shared" si="81"/>
        <v>1</v>
      </c>
      <c r="AQ157" s="3">
        <f t="shared" si="82"/>
        <v>1</v>
      </c>
      <c r="AR157" s="3">
        <f t="shared" si="83"/>
        <v>2</v>
      </c>
      <c r="AS157" s="3">
        <f t="shared" si="84"/>
        <v>1</v>
      </c>
      <c r="AT157" s="3">
        <f t="shared" si="85"/>
        <v>1</v>
      </c>
      <c r="AU157" s="3">
        <f t="shared" si="86"/>
        <v>1</v>
      </c>
      <c r="AV157" s="3">
        <f t="shared" si="87"/>
        <v>17</v>
      </c>
      <c r="AW157" s="3">
        <f t="shared" si="88"/>
        <v>2</v>
      </c>
      <c r="AX157" s="3">
        <f t="shared" si="89"/>
        <v>6</v>
      </c>
      <c r="AY157" s="3">
        <f t="shared" si="90"/>
        <v>7</v>
      </c>
      <c r="AZ157" s="3">
        <f t="shared" si="91"/>
        <v>1</v>
      </c>
      <c r="BA157" s="3">
        <f>IF(ISERROR(LEN(VLOOKUP(A157,Seqs!A:E,2,FALSE))-AL157),"-",LEN(VLOOKUP(A157,Seqs!A:E,2,FALSE))-AL157)</f>
        <v>45</v>
      </c>
      <c r="BB157" s="16">
        <f t="shared" si="92"/>
        <v>28</v>
      </c>
      <c r="BC157" s="9">
        <f t="shared" si="93"/>
        <v>20</v>
      </c>
      <c r="BD157" s="3">
        <f t="shared" si="94"/>
        <v>28</v>
      </c>
      <c r="BE157" s="3">
        <f t="shared" si="95"/>
        <v>57</v>
      </c>
    </row>
    <row r="158" spans="1:58" s="3" customFormat="1" x14ac:dyDescent="0.2">
      <c r="A158" s="3" t="s">
        <v>275</v>
      </c>
      <c r="B158" s="3" t="str">
        <f>LOWER(VLOOKUP(A158,Xtal_Templ!A:B,2,FALSE))</f>
        <v>p2ry1_human</v>
      </c>
      <c r="C158" s="3">
        <f>VLOOKUP($A158,'SegEnds_NonXtal_BW#'!$A:$Z,3,FALSE)+D158-50</f>
        <v>13</v>
      </c>
      <c r="D158" s="3">
        <v>33</v>
      </c>
      <c r="E158" s="3">
        <f>IF(ISERROR(VLOOKUP($A158,'SegEnds_NonXtal_BW#'!$A:$Z,4,FALSE)+VLOOKUP($A158,A:AL,4,FALSE)-50),"-",(VLOOKUP($A158,'SegEnds_NonXtal_BW#'!$A:$Z,4,FALSE)+VLOOKUP($A158,A:AL,4,FALSE)-50))</f>
        <v>43</v>
      </c>
      <c r="F158" s="3" t="str">
        <f>IF(ISERROR(VLOOKUP($A158,'SegEnds_NonXtal_BW#'!$A:$Z,5,FALSE)+VLOOKUP($A158,A:AL,7,FALSE)-50),"-",(VLOOKUP($A158,'SegEnds_NonXtal_BW#'!$A:$Z,5,FALSE)+VLOOKUP($A158,A:AL,7,FALSE)-50))</f>
        <v>-</v>
      </c>
      <c r="G158" s="3" t="s">
        <v>23</v>
      </c>
      <c r="H158" s="3" t="str">
        <f>IF(ISERROR(VLOOKUP($A158,'SegEnds_NonXtal_BW#'!$A:$Z,6,FALSE)+VLOOKUP($A158,A:AL,7,FALSE)-50),"-",(VLOOKUP($A158,'SegEnds_NonXtal_BW#'!$A:$Z,6,FALSE)+VLOOKUP($A158,A:AL,7,FALSE)-50))</f>
        <v>-</v>
      </c>
      <c r="I158" s="3">
        <f>VLOOKUP($A158,'SegEnds_NonXtal_BW#'!$A:$Z,7,FALSE)+J158-50</f>
        <v>48</v>
      </c>
      <c r="J158" s="3">
        <v>61</v>
      </c>
      <c r="K158" s="3">
        <f>VLOOKUP($A158,'SegEnds_NonXtal_BW#'!$A:$Z,8,FALSE)+VLOOKUP($A158,A:AL,10,FALSE)-50</f>
        <v>77</v>
      </c>
      <c r="L158" s="3">
        <f t="shared" si="100"/>
        <v>80</v>
      </c>
      <c r="M158" s="3">
        <v>81</v>
      </c>
      <c r="N158" s="3">
        <f t="shared" si="101"/>
        <v>83</v>
      </c>
      <c r="O158" s="3">
        <f t="shared" si="102"/>
        <v>84</v>
      </c>
      <c r="P158" s="3">
        <v>113</v>
      </c>
      <c r="Q158" s="3">
        <f>VLOOKUP($A158,'SegEnds_NonXtal_BW#'!$A:$Z,12,FALSE)+VLOOKUP($A158,A:AL,16,FALSE)-50</f>
        <v>119</v>
      </c>
      <c r="R158" s="3">
        <f>IF(ISERROR(VLOOKUP($A158,'SegEnds_NonXtal_BW#'!$A:$Z,13,FALSE)+VLOOKUP($A158,A:AL,19,FALSE)-50),"-",VLOOKUP($A158,'SegEnds_NonXtal_BW#'!$A:$Z,13,FALSE)+VLOOKUP($A158,A:AL,19,FALSE)-50)</f>
        <v>120</v>
      </c>
      <c r="S158" s="3">
        <v>120</v>
      </c>
      <c r="T158" s="100">
        <f>IF(ISERROR(VLOOKUP($A158,'SegEnds_NonXtal_BW#'!$A:$Z,14,FALSE)+VLOOKUP($A158,A:AL,19,FALSE)-50),"-",(VLOOKUP($A158,'SegEnds_NonXtal_BW#'!$A:$Z,14,FALSE)+VLOOKUP($A158,A:AL,19,FALSE)-50))</f>
        <v>127</v>
      </c>
      <c r="U158" s="9">
        <f>IF(ISERROR(VLOOKUP($A158,'SegEnds_NonXtal_BW#'!$A:$Z,15,FALSE)+VLOOKUP($A158,A:AL,22,FALSE)-50),"-",VLOOKUP($A158,'SegEnds_NonXtal_BW#'!$A:$Z,15,FALSE)+VLOOKUP($A158,A:AL,22,FALSE)-50)</f>
        <v>128</v>
      </c>
      <c r="V158" s="3">
        <v>140</v>
      </c>
      <c r="W158" s="3">
        <f>IF(ISERROR(VLOOKUP($A158,'SegEnds_NonXtal_BW#'!$A:$Z,16,FALSE)+VLOOKUP($A158,A:AL,22,FALSE)-50),"-",(VLOOKUP($A158,'SegEnds_NonXtal_BW#'!$A:$Z,16,FALSE)+VLOOKUP($A158,A:AL,22,FALSE)-50))</f>
        <v>154</v>
      </c>
      <c r="X158" s="3">
        <f>IF(ISERROR(VLOOKUP($A158,'SegEnds_NonXtal_BW#'!$A:$Z,17,FALSE)+VLOOKUP($A158,A:AL,25,FALSE)-50),"-",(VLOOKUP($A158,'SegEnds_NonXtal_BW#'!$A:$Z,17,FALSE)+VLOOKUP($A158,A:AL,25,FALSE)-50))</f>
        <v>165</v>
      </c>
      <c r="Y158" s="3">
        <v>165</v>
      </c>
      <c r="Z158" s="3">
        <f t="shared" si="103"/>
        <v>167</v>
      </c>
      <c r="AA158" s="3">
        <f>IF(ISERROR(VLOOKUP($A158,'SegEnds_NonXtal_BW#'!$A:$Z,19,FALSE)+VLOOKUP($A158,A:AL,28,FALSE)-50),"-",(VLOOKUP($A158,'SegEnds_NonXtal_BW#'!$A:$Z,19,FALSE)+VLOOKUP($A158,A:AL,28,FALSE)-50))</f>
        <v>170</v>
      </c>
      <c r="AB158" s="3">
        <v>188</v>
      </c>
      <c r="AC158" s="3">
        <f>IF(ISERROR((VLOOKUP($A158,'SegEnds_NonXtal_BW#'!$A:$Z,20,FALSE)+VLOOKUP($A158,A:AL,28,FALSE)-50)),"-",(VLOOKUP($A158,'SegEnds_NonXtal_BW#'!$A:$Z,20,FALSE)+VLOOKUP($A158,A:AL,28,FALSE)-50))</f>
        <v>205</v>
      </c>
      <c r="AD158" s="3">
        <f>IF(ISERROR(VLOOKUP($A158,'SegEnds_NonXtal_BW#'!$A:$Z,21,FALSE)+VLOOKUP($A158,A:AL,31,FALSE)-50),"-",(VLOOKUP($A158,'SegEnds_NonXtal_BW#'!$A:$Z,21,FALSE)+VLOOKUP($A158,A:AL,31,FALSE)-50))</f>
        <v>211</v>
      </c>
      <c r="AE158" s="3">
        <v>235</v>
      </c>
      <c r="AF158" s="3">
        <f>IF(ISERROR((VLOOKUP($A158,'SegEnds_NonXtal_BW#'!$A:$Z,22,FALSE)+VLOOKUP($A158,A:AL,31,FALSE)-50)),"-",(VLOOKUP($A158,'SegEnds_NonXtal_BW#'!$A:$Z,22,FALSE)+VLOOKUP($A158,A:AL,31,FALSE)-50))</f>
        <v>246</v>
      </c>
      <c r="AG158" s="3">
        <f>IF(ISERROR(VLOOKUP($A158,'SegEnds_NonXtal_BW#'!$A:$Z,23,FALSE)+VLOOKUP($A158,A:AL,34,FALSE)-50),"-",(VLOOKUP($A158,'SegEnds_NonXtal_BW#'!$A:$Z,23,FALSE)+VLOOKUP($A158,A:AL,34,FALSE)-50))</f>
        <v>253</v>
      </c>
      <c r="AH158" s="3">
        <v>275</v>
      </c>
      <c r="AI158" s="3">
        <f>IF(ISERROR((VLOOKUP($A158,'SegEnds_NonXtal_BW#'!$A:$Z,24,FALSE)+VLOOKUP($A158,A:AL,34,FALSE)-50)),"-",(VLOOKUP($A158,'SegEnds_NonXtal_BW#'!$A:$Z,24,FALSE)+VLOOKUP($A158,A:AL,34,FALSE)-50))</f>
        <v>281</v>
      </c>
      <c r="AJ158" s="3">
        <f>IF(ISERROR(VLOOKUP($A158,'SegEnds_NonXtal_BW#'!$A:$Z,25,FALSE)+VLOOKUP($A158,A:AL,37,FALSE)-50),"-",(VLOOKUP($A158,'SegEnds_NonXtal_BW#'!$A:$Z,25,FALSE)+VLOOKUP($A158,A:AL,37,FALSE)-50))</f>
        <v>282</v>
      </c>
      <c r="AK158" s="3">
        <v>285</v>
      </c>
      <c r="AL158" s="3">
        <f>IF(ISERROR((VLOOKUP($A158,'SegEnds_NonXtal_BW#'!$A:$Z,26,FALSE)+VLOOKUP($A158,A:AL,37,FALSE)-50)),"-",(VLOOKUP($A158,'SegEnds_NonXtal_BW#'!$A:$Z,26,FALSE)+VLOOKUP($A158,A:AL,37,FALSE)-50))</f>
        <v>294</v>
      </c>
      <c r="AM158" s="28" t="str">
        <f>VLOOKUP(A158,Classification!A:B,2,FALSE)</f>
        <v>A</v>
      </c>
      <c r="AN158" s="28" t="b">
        <f t="shared" si="98"/>
        <v>1</v>
      </c>
      <c r="AO158" s="3" t="str">
        <f>IF(ISERROR(MATCH(A158,'SegEnds_Xtal_Prot#'!B:B, 0)), "NoXtal", "Xtal")</f>
        <v>NoXtal</v>
      </c>
      <c r="AP158" s="3" t="str">
        <f t="shared" si="81"/>
        <v>-</v>
      </c>
      <c r="AQ158" s="3" t="str">
        <f t="shared" si="82"/>
        <v>-</v>
      </c>
      <c r="AR158" s="3">
        <f t="shared" si="83"/>
        <v>3</v>
      </c>
      <c r="AS158" s="3">
        <f t="shared" si="84"/>
        <v>1</v>
      </c>
      <c r="AT158" s="3">
        <f t="shared" si="85"/>
        <v>1</v>
      </c>
      <c r="AU158" s="3">
        <f t="shared" si="86"/>
        <v>1</v>
      </c>
      <c r="AV158" s="3">
        <f t="shared" si="87"/>
        <v>11</v>
      </c>
      <c r="AW158" s="3">
        <f t="shared" si="88"/>
        <v>3</v>
      </c>
      <c r="AX158" s="3">
        <f t="shared" si="89"/>
        <v>6</v>
      </c>
      <c r="AY158" s="3">
        <f t="shared" si="90"/>
        <v>7</v>
      </c>
      <c r="AZ158" s="3">
        <f t="shared" si="91"/>
        <v>1</v>
      </c>
      <c r="BA158" s="3">
        <f>IF(ISERROR(LEN(VLOOKUP(A158,Seqs!A:E,2,FALSE))-AL158),"-",LEN(VLOOKUP(A158,Seqs!A:E,2,FALSE))-AL158)</f>
        <v>52</v>
      </c>
      <c r="BB158" s="16">
        <f t="shared" si="92"/>
        <v>28</v>
      </c>
      <c r="BC158" s="9">
        <f t="shared" si="93"/>
        <v>20</v>
      </c>
      <c r="BD158" s="3">
        <f t="shared" si="94"/>
        <v>28</v>
      </c>
      <c r="BE158" s="3">
        <f t="shared" si="95"/>
        <v>47</v>
      </c>
    </row>
    <row r="159" spans="1:58" s="3" customFormat="1" x14ac:dyDescent="0.2">
      <c r="A159" s="3" t="s">
        <v>276</v>
      </c>
      <c r="B159" s="3" t="str">
        <f>LOWER(VLOOKUP(A159,Xtal_Templ!A:B,2,FALSE))</f>
        <v>oprk_human</v>
      </c>
      <c r="C159" s="3">
        <f>VLOOKUP($A159,'SegEnds_NonXtal_BW#'!$A:$Z,3,FALSE)+D159-50</f>
        <v>25</v>
      </c>
      <c r="D159" s="3">
        <v>45</v>
      </c>
      <c r="E159" s="3">
        <f>IF(ISERROR(VLOOKUP($A159,'SegEnds_NonXtal_BW#'!$A:$Z,4,FALSE)+VLOOKUP($A159,A:AL,4,FALSE)-50),"-",(VLOOKUP($A159,'SegEnds_NonXtal_BW#'!$A:$Z,4,FALSE)+VLOOKUP($A159,A:AL,4,FALSE)-50))</f>
        <v>55</v>
      </c>
      <c r="F159" s="3" t="str">
        <f>IF(ISERROR(VLOOKUP($A159,'SegEnds_NonXtal_BW#'!$A:$Z,5,FALSE)+VLOOKUP($A159,A:AL,7,FALSE)-50),"-",(VLOOKUP($A159,'SegEnds_NonXtal_BW#'!$A:$Z,5,FALSE)+VLOOKUP($A159,A:AL,7,FALSE)-50))</f>
        <v>-</v>
      </c>
      <c r="G159" s="3" t="s">
        <v>23</v>
      </c>
      <c r="H159" s="3" t="str">
        <f>IF(ISERROR(VLOOKUP($A159,'SegEnds_NonXtal_BW#'!$A:$Z,6,FALSE)+VLOOKUP($A159,A:AL,7,FALSE)-50),"-",(VLOOKUP($A159,'SegEnds_NonXtal_BW#'!$A:$Z,6,FALSE)+VLOOKUP($A159,A:AL,7,FALSE)-50))</f>
        <v>-</v>
      </c>
      <c r="I159" s="3">
        <f>VLOOKUP($A159,'SegEnds_NonXtal_BW#'!$A:$Z,7,FALSE)+J159-50</f>
        <v>60</v>
      </c>
      <c r="J159" s="3">
        <v>73</v>
      </c>
      <c r="K159" s="3">
        <f>VLOOKUP($A159,'SegEnds_NonXtal_BW#'!$A:$Z,8,FALSE)+VLOOKUP($A159,A:AL,10,FALSE)-50</f>
        <v>90</v>
      </c>
      <c r="L159" s="3">
        <f t="shared" si="100"/>
        <v>92</v>
      </c>
      <c r="M159" s="3">
        <v>93</v>
      </c>
      <c r="N159" s="3">
        <f t="shared" si="101"/>
        <v>95</v>
      </c>
      <c r="O159" s="3">
        <f t="shared" si="102"/>
        <v>96</v>
      </c>
      <c r="P159" s="3">
        <v>125</v>
      </c>
      <c r="Q159" s="3">
        <f>VLOOKUP($A159,'SegEnds_NonXtal_BW#'!$A:$Z,12,FALSE)+VLOOKUP($A159,A:AL,16,FALSE)-50</f>
        <v>131</v>
      </c>
      <c r="R159" s="3">
        <f>IF(ISERROR(VLOOKUP($A159,'SegEnds_NonXtal_BW#'!$A:$Z,13,FALSE)+VLOOKUP($A159,A:AL,19,FALSE)-50),"-",VLOOKUP($A159,'SegEnds_NonXtal_BW#'!$A:$Z,13,FALSE)+VLOOKUP($A159,A:AL,19,FALSE)-50)</f>
        <v>132</v>
      </c>
      <c r="S159" s="3">
        <v>132</v>
      </c>
      <c r="T159" s="100">
        <f>IF(ISERROR(VLOOKUP($A159,'SegEnds_NonXtal_BW#'!$A:$Z,14,FALSE)+VLOOKUP($A159,A:AL,19,FALSE)-50),"-",(VLOOKUP($A159,'SegEnds_NonXtal_BW#'!$A:$Z,14,FALSE)+VLOOKUP($A159,A:AL,19,FALSE)-50))</f>
        <v>139</v>
      </c>
      <c r="U159" s="9">
        <f>IF(ISERROR(VLOOKUP($A159,'SegEnds_NonXtal_BW#'!$A:$Z,15,FALSE)+VLOOKUP($A159,A:AL,22,FALSE)-50),"-",VLOOKUP($A159,'SegEnds_NonXtal_BW#'!$A:$Z,15,FALSE)+VLOOKUP($A159,A:AL,22,FALSE)-50)</f>
        <v>140</v>
      </c>
      <c r="V159" s="3">
        <v>152</v>
      </c>
      <c r="W159" s="3">
        <f>IF(ISERROR(VLOOKUP($A159,'SegEnds_NonXtal_BW#'!$A:$Z,16,FALSE)+VLOOKUP($A159,A:AL,22,FALSE)-50),"-",(VLOOKUP($A159,'SegEnds_NonXtal_BW#'!$A:$Z,16,FALSE)+VLOOKUP($A159,A:AL,22,FALSE)-50))</f>
        <v>166</v>
      </c>
      <c r="X159" s="3">
        <f>IF(ISERROR(VLOOKUP($A159,'SegEnds_NonXtal_BW#'!$A:$Z,17,FALSE)+VLOOKUP($A159,A:AL,25,FALSE)-50),"-",(VLOOKUP($A159,'SegEnds_NonXtal_BW#'!$A:$Z,17,FALSE)+VLOOKUP($A159,A:AL,25,FALSE)-50))</f>
        <v>177</v>
      </c>
      <c r="Y159" s="3">
        <v>177</v>
      </c>
      <c r="Z159" s="3">
        <f t="shared" si="103"/>
        <v>179</v>
      </c>
      <c r="AA159" s="3">
        <f>IF(ISERROR(VLOOKUP($A159,'SegEnds_NonXtal_BW#'!$A:$Z,19,FALSE)+VLOOKUP($A159,A:AL,28,FALSE)-50),"-",(VLOOKUP($A159,'SegEnds_NonXtal_BW#'!$A:$Z,19,FALSE)+VLOOKUP($A159,A:AL,28,FALSE)-50))</f>
        <v>180</v>
      </c>
      <c r="AB159" s="3">
        <v>200</v>
      </c>
      <c r="AC159" s="3">
        <f>IF(ISERROR((VLOOKUP($A159,'SegEnds_NonXtal_BW#'!$A:$Z,20,FALSE)+VLOOKUP($A159,A:AL,28,FALSE)-50)),"-",(VLOOKUP($A159,'SegEnds_NonXtal_BW#'!$A:$Z,20,FALSE)+VLOOKUP($A159,A:AL,28,FALSE)-50))</f>
        <v>217</v>
      </c>
      <c r="AD159" s="3">
        <f>IF(ISERROR(VLOOKUP($A159,'SegEnds_NonXtal_BW#'!$A:$Z,21,FALSE)+VLOOKUP($A159,A:AL,31,FALSE)-50),"-",(VLOOKUP($A159,'SegEnds_NonXtal_BW#'!$A:$Z,21,FALSE)+VLOOKUP($A159,A:AL,31,FALSE)-50))</f>
        <v>222</v>
      </c>
      <c r="AE159" s="3">
        <v>246</v>
      </c>
      <c r="AF159" s="3">
        <f>IF(ISERROR((VLOOKUP($A159,'SegEnds_NonXtal_BW#'!$A:$Z,22,FALSE)+VLOOKUP($A159,A:AL,31,FALSE)-50)),"-",(VLOOKUP($A159,'SegEnds_NonXtal_BW#'!$A:$Z,22,FALSE)+VLOOKUP($A159,A:AL,31,FALSE)-50))</f>
        <v>260</v>
      </c>
      <c r="AG159" s="3">
        <f>IF(ISERROR(VLOOKUP($A159,'SegEnds_NonXtal_BW#'!$A:$Z,23,FALSE)+VLOOKUP($A159,A:AL,34,FALSE)-50),"-",(VLOOKUP($A159,'SegEnds_NonXtal_BW#'!$A:$Z,23,FALSE)+VLOOKUP($A159,A:AL,34,FALSE)-50))</f>
        <v>265</v>
      </c>
      <c r="AH159" s="3">
        <v>291</v>
      </c>
      <c r="AI159" s="3">
        <f>IF(ISERROR((VLOOKUP($A159,'SegEnds_NonXtal_BW#'!$A:$Z,24,FALSE)+VLOOKUP($A159,A:AL,34,FALSE)-50)),"-",(VLOOKUP($A159,'SegEnds_NonXtal_BW#'!$A:$Z,24,FALSE)+VLOOKUP($A159,A:AL,34,FALSE)-50))</f>
        <v>297</v>
      </c>
      <c r="AJ159" s="3">
        <f>IF(ISERROR(VLOOKUP($A159,'SegEnds_NonXtal_BW#'!$A:$Z,25,FALSE)+VLOOKUP($A159,A:AL,37,FALSE)-50),"-",(VLOOKUP($A159,'SegEnds_NonXtal_BW#'!$A:$Z,25,FALSE)+VLOOKUP($A159,A:AL,37,FALSE)-50))</f>
        <v>298</v>
      </c>
      <c r="AK159" s="3">
        <v>301</v>
      </c>
      <c r="AL159" s="3">
        <f>IF(ISERROR((VLOOKUP($A159,'SegEnds_NonXtal_BW#'!$A:$Z,26,FALSE)+VLOOKUP($A159,A:AL,37,FALSE)-50)),"-",(VLOOKUP($A159,'SegEnds_NonXtal_BW#'!$A:$Z,26,FALSE)+VLOOKUP($A159,A:AL,37,FALSE)-50))</f>
        <v>310</v>
      </c>
      <c r="AM159" s="28" t="str">
        <f>VLOOKUP(A159,Classification!A:B,2,FALSE)</f>
        <v>A</v>
      </c>
      <c r="AN159" s="28" t="b">
        <f t="shared" si="98"/>
        <v>1</v>
      </c>
      <c r="AO159" s="3" t="str">
        <f>IF(ISERROR(MATCH(A159,'SegEnds_Xtal_Prot#'!B:B, 0)), "NoXtal", "Xtal")</f>
        <v>NoXtal</v>
      </c>
      <c r="AP159" s="3" t="str">
        <f t="shared" si="81"/>
        <v>-</v>
      </c>
      <c r="AQ159" s="3" t="str">
        <f t="shared" si="82"/>
        <v>-</v>
      </c>
      <c r="AR159" s="3">
        <f t="shared" si="83"/>
        <v>2</v>
      </c>
      <c r="AS159" s="3">
        <f t="shared" si="84"/>
        <v>1</v>
      </c>
      <c r="AT159" s="3">
        <f t="shared" si="85"/>
        <v>1</v>
      </c>
      <c r="AU159" s="3">
        <f t="shared" si="86"/>
        <v>1</v>
      </c>
      <c r="AV159" s="3">
        <f t="shared" si="87"/>
        <v>11</v>
      </c>
      <c r="AW159" s="3">
        <f t="shared" si="88"/>
        <v>1</v>
      </c>
      <c r="AX159" s="3">
        <f t="shared" si="89"/>
        <v>5</v>
      </c>
      <c r="AY159" s="3">
        <f t="shared" si="90"/>
        <v>5</v>
      </c>
      <c r="AZ159" s="3">
        <f t="shared" si="91"/>
        <v>1</v>
      </c>
      <c r="BA159" s="3">
        <f>IF(ISERROR(LEN(VLOOKUP(A159,Seqs!A:E,2,FALSE))-AL159),"-",LEN(VLOOKUP(A159,Seqs!A:E,2,FALSE))-AL159)</f>
        <v>53</v>
      </c>
      <c r="BB159" s="16">
        <f t="shared" si="92"/>
        <v>28</v>
      </c>
      <c r="BC159" s="9">
        <f t="shared" si="93"/>
        <v>20</v>
      </c>
      <c r="BD159" s="3">
        <f t="shared" si="94"/>
        <v>28</v>
      </c>
      <c r="BE159" s="3">
        <f t="shared" si="95"/>
        <v>46</v>
      </c>
    </row>
    <row r="160" spans="1:58" s="3" customFormat="1" x14ac:dyDescent="0.2">
      <c r="A160" s="3" t="s">
        <v>277</v>
      </c>
      <c r="B160" s="3" t="str">
        <f>LOWER(VLOOKUP(A160,Xtal_Templ!A:B,2,FALSE))</f>
        <v>p2ry1_human</v>
      </c>
      <c r="C160" s="3">
        <f>VLOOKUP($A160,'SegEnds_NonXtal_BW#'!$A:$Z,3,FALSE)+D160-50</f>
        <v>25</v>
      </c>
      <c r="D160" s="3">
        <v>45</v>
      </c>
      <c r="E160" s="3">
        <f>IF(ISERROR(VLOOKUP($A160,'SegEnds_NonXtal_BW#'!$A:$Z,4,FALSE)+VLOOKUP($A160,A:AL,4,FALSE)-50),"-",(VLOOKUP($A160,'SegEnds_NonXtal_BW#'!$A:$Z,4,FALSE)+VLOOKUP($A160,A:AL,4,FALSE)-50))</f>
        <v>55</v>
      </c>
      <c r="F160" s="3" t="str">
        <f>IF(ISERROR(VLOOKUP($A160,'SegEnds_NonXtal_BW#'!$A:$Z,5,FALSE)+VLOOKUP($A160,A:AL,7,FALSE)-50),"-",(VLOOKUP($A160,'SegEnds_NonXtal_BW#'!$A:$Z,5,FALSE)+VLOOKUP($A160,A:AL,7,FALSE)-50))</f>
        <v>-</v>
      </c>
      <c r="G160" s="3" t="s">
        <v>23</v>
      </c>
      <c r="H160" s="3" t="str">
        <f>IF(ISERROR(VLOOKUP($A160,'SegEnds_NonXtal_BW#'!$A:$Z,6,FALSE)+VLOOKUP($A160,A:AL,7,FALSE)-50),"-",(VLOOKUP($A160,'SegEnds_NonXtal_BW#'!$A:$Z,6,FALSE)+VLOOKUP($A160,A:AL,7,FALSE)-50))</f>
        <v>-</v>
      </c>
      <c r="I160" s="3">
        <f>VLOOKUP($A160,'SegEnds_NonXtal_BW#'!$A:$Z,7,FALSE)+J160-50</f>
        <v>60</v>
      </c>
      <c r="J160" s="3">
        <v>73</v>
      </c>
      <c r="K160" s="3">
        <f>VLOOKUP($A160,'SegEnds_NonXtal_BW#'!$A:$Z,8,FALSE)+VLOOKUP($A160,A:AL,10,FALSE)-50</f>
        <v>89</v>
      </c>
      <c r="L160" s="3">
        <f t="shared" si="100"/>
        <v>92</v>
      </c>
      <c r="M160" s="3">
        <v>93</v>
      </c>
      <c r="N160" s="3">
        <f t="shared" si="101"/>
        <v>95</v>
      </c>
      <c r="O160" s="3">
        <f t="shared" si="102"/>
        <v>96</v>
      </c>
      <c r="P160" s="3">
        <v>125</v>
      </c>
      <c r="Q160" s="3">
        <f>VLOOKUP($A160,'SegEnds_NonXtal_BW#'!$A:$Z,12,FALSE)+VLOOKUP($A160,A:AL,16,FALSE)-50</f>
        <v>131</v>
      </c>
      <c r="R160" s="3">
        <f>IF(ISERROR(VLOOKUP($A160,'SegEnds_NonXtal_BW#'!$A:$Z,13,FALSE)+VLOOKUP($A160,A:AL,19,FALSE)-50),"-",VLOOKUP($A160,'SegEnds_NonXtal_BW#'!$A:$Z,13,FALSE)+VLOOKUP($A160,A:AL,19,FALSE)-50)</f>
        <v>132</v>
      </c>
      <c r="S160" s="3">
        <v>132</v>
      </c>
      <c r="T160" s="100">
        <f>IF(ISERROR(VLOOKUP($A160,'SegEnds_NonXtal_BW#'!$A:$Z,14,FALSE)+VLOOKUP($A160,A:AL,19,FALSE)-50),"-",(VLOOKUP($A160,'SegEnds_NonXtal_BW#'!$A:$Z,14,FALSE)+VLOOKUP($A160,A:AL,19,FALSE)-50))</f>
        <v>139</v>
      </c>
      <c r="U160" s="9">
        <f>IF(ISERROR(VLOOKUP($A160,'SegEnds_NonXtal_BW#'!$A:$Z,15,FALSE)+VLOOKUP($A160,A:AL,22,FALSE)-50),"-",VLOOKUP($A160,'SegEnds_NonXtal_BW#'!$A:$Z,15,FALSE)+VLOOKUP($A160,A:AL,22,FALSE)-50)</f>
        <v>140</v>
      </c>
      <c r="V160" s="3">
        <v>152</v>
      </c>
      <c r="W160" s="3">
        <f>IF(ISERROR(VLOOKUP($A160,'SegEnds_NonXtal_BW#'!$A:$Z,16,FALSE)+VLOOKUP($A160,A:AL,22,FALSE)-50),"-",(VLOOKUP($A160,'SegEnds_NonXtal_BW#'!$A:$Z,16,FALSE)+VLOOKUP($A160,A:AL,22,FALSE)-50))</f>
        <v>166</v>
      </c>
      <c r="X160" s="3">
        <f>IF(ISERROR(VLOOKUP($A160,'SegEnds_NonXtal_BW#'!$A:$Z,17,FALSE)+VLOOKUP($A160,A:AL,25,FALSE)-50),"-",(VLOOKUP($A160,'SegEnds_NonXtal_BW#'!$A:$Z,17,FALSE)+VLOOKUP($A160,A:AL,25,FALSE)-50))</f>
        <v>177</v>
      </c>
      <c r="Y160" s="3">
        <v>177</v>
      </c>
      <c r="Z160" s="3">
        <f t="shared" si="103"/>
        <v>179</v>
      </c>
      <c r="AA160" s="3">
        <f>IF(ISERROR(VLOOKUP($A160,'SegEnds_NonXtal_BW#'!$A:$Z,19,FALSE)+VLOOKUP($A160,A:AL,28,FALSE)-50),"-",(VLOOKUP($A160,'SegEnds_NonXtal_BW#'!$A:$Z,19,FALSE)+VLOOKUP($A160,A:AL,28,FALSE)-50))</f>
        <v>182</v>
      </c>
      <c r="AB160" s="3">
        <v>200</v>
      </c>
      <c r="AC160" s="3">
        <f>IF(ISERROR((VLOOKUP($A160,'SegEnds_NonXtal_BW#'!$A:$Z,20,FALSE)+VLOOKUP($A160,A:AL,28,FALSE)-50)),"-",(VLOOKUP($A160,'SegEnds_NonXtal_BW#'!$A:$Z,20,FALSE)+VLOOKUP($A160,A:AL,28,FALSE)-50))</f>
        <v>217</v>
      </c>
      <c r="AD160" s="3">
        <f>IF(ISERROR(VLOOKUP($A160,'SegEnds_NonXtal_BW#'!$A:$Z,21,FALSE)+VLOOKUP($A160,A:AL,31,FALSE)-50),"-",(VLOOKUP($A160,'SegEnds_NonXtal_BW#'!$A:$Z,21,FALSE)+VLOOKUP($A160,A:AL,31,FALSE)-50))</f>
        <v>222</v>
      </c>
      <c r="AE160" s="3">
        <v>246</v>
      </c>
      <c r="AF160" s="3">
        <f>IF(ISERROR((VLOOKUP($A160,'SegEnds_NonXtal_BW#'!$A:$Z,22,FALSE)+VLOOKUP($A160,A:AL,31,FALSE)-50)),"-",(VLOOKUP($A160,'SegEnds_NonXtal_BW#'!$A:$Z,22,FALSE)+VLOOKUP($A160,A:AL,31,FALSE)-50))</f>
        <v>260</v>
      </c>
      <c r="AG160" s="3">
        <f>IF(ISERROR(VLOOKUP($A160,'SegEnds_NonXtal_BW#'!$A:$Z,23,FALSE)+VLOOKUP($A160,A:AL,34,FALSE)-50),"-",(VLOOKUP($A160,'SegEnds_NonXtal_BW#'!$A:$Z,23,FALSE)+VLOOKUP($A160,A:AL,34,FALSE)-50))</f>
        <v>265</v>
      </c>
      <c r="AH160" s="3">
        <v>291</v>
      </c>
      <c r="AI160" s="3">
        <f>IF(ISERROR((VLOOKUP($A160,'SegEnds_NonXtal_BW#'!$A:$Z,24,FALSE)+VLOOKUP($A160,A:AL,34,FALSE)-50)),"-",(VLOOKUP($A160,'SegEnds_NonXtal_BW#'!$A:$Z,24,FALSE)+VLOOKUP($A160,A:AL,34,FALSE)-50))</f>
        <v>297</v>
      </c>
      <c r="AJ160" s="3">
        <f>IF(ISERROR(VLOOKUP($A160,'SegEnds_NonXtal_BW#'!$A:$Z,25,FALSE)+VLOOKUP($A160,A:AL,37,FALSE)-50),"-",(VLOOKUP($A160,'SegEnds_NonXtal_BW#'!$A:$Z,25,FALSE)+VLOOKUP($A160,A:AL,37,FALSE)-50))</f>
        <v>298</v>
      </c>
      <c r="AK160" s="3">
        <v>301</v>
      </c>
      <c r="AL160" s="3">
        <f>IF(ISERROR((VLOOKUP($A160,'SegEnds_NonXtal_BW#'!$A:$Z,26,FALSE)+VLOOKUP($A160,A:AL,37,FALSE)-50)),"-",(VLOOKUP($A160,'SegEnds_NonXtal_BW#'!$A:$Z,26,FALSE)+VLOOKUP($A160,A:AL,37,FALSE)-50))</f>
        <v>310</v>
      </c>
      <c r="AM160" s="28" t="str">
        <f>VLOOKUP(A160,Classification!A:B,2,FALSE)</f>
        <v>A</v>
      </c>
      <c r="AN160" s="28" t="b">
        <f t="shared" si="98"/>
        <v>1</v>
      </c>
      <c r="AO160" s="3" t="str">
        <f>IF(ISERROR(MATCH(A160,'SegEnds_Xtal_Prot#'!B:B, 0)), "NoXtal", "Xtal")</f>
        <v>NoXtal</v>
      </c>
      <c r="AP160" s="3" t="str">
        <f t="shared" si="81"/>
        <v>-</v>
      </c>
      <c r="AQ160" s="3" t="str">
        <f t="shared" si="82"/>
        <v>-</v>
      </c>
      <c r="AR160" s="3">
        <f t="shared" si="83"/>
        <v>3</v>
      </c>
      <c r="AS160" s="3">
        <f t="shared" si="84"/>
        <v>1</v>
      </c>
      <c r="AT160" s="3">
        <f t="shared" si="85"/>
        <v>1</v>
      </c>
      <c r="AU160" s="3">
        <f t="shared" si="86"/>
        <v>1</v>
      </c>
      <c r="AV160" s="3">
        <f t="shared" si="87"/>
        <v>11</v>
      </c>
      <c r="AW160" s="3">
        <f t="shared" si="88"/>
        <v>3</v>
      </c>
      <c r="AX160" s="3">
        <f t="shared" si="89"/>
        <v>5</v>
      </c>
      <c r="AY160" s="3">
        <f t="shared" si="90"/>
        <v>5</v>
      </c>
      <c r="AZ160" s="3">
        <f t="shared" si="91"/>
        <v>1</v>
      </c>
      <c r="BA160" s="3">
        <f>IF(ISERROR(LEN(VLOOKUP(A160,Seqs!A:E,2,FALSE))-AL160),"-",LEN(VLOOKUP(A160,Seqs!A:E,2,FALSE))-AL160)</f>
        <v>77</v>
      </c>
      <c r="BB160" s="16">
        <f t="shared" si="92"/>
        <v>28</v>
      </c>
      <c r="BC160" s="9">
        <f t="shared" si="93"/>
        <v>20</v>
      </c>
      <c r="BD160" s="3">
        <f t="shared" si="94"/>
        <v>28</v>
      </c>
      <c r="BE160" s="3">
        <f t="shared" si="95"/>
        <v>46</v>
      </c>
    </row>
    <row r="161" spans="1:58" s="3" customFormat="1" x14ac:dyDescent="0.2">
      <c r="A161" s="3" t="s">
        <v>278</v>
      </c>
      <c r="B161" s="3" t="str">
        <f>LOWER(VLOOKUP(A161,Xtal_Templ!A:B,2,FALSE))</f>
        <v>hrh1_human</v>
      </c>
      <c r="C161" s="3">
        <f>VLOOKUP($A161,'SegEnds_NonXtal_BW#'!$A:$Z,3,FALSE)+D161-50</f>
        <v>29</v>
      </c>
      <c r="D161" s="3">
        <v>45</v>
      </c>
      <c r="E161" s="3">
        <f>IF(ISERROR(VLOOKUP($A161,'SegEnds_NonXtal_BW#'!$A:$Z,4,FALSE)+VLOOKUP($A161,A:AL,4,FALSE)-50),"-",(VLOOKUP($A161,'SegEnds_NonXtal_BW#'!$A:$Z,4,FALSE)+VLOOKUP($A161,A:AL,4,FALSE)-50))</f>
        <v>55</v>
      </c>
      <c r="F161" s="3">
        <f>G161-2</f>
        <v>56</v>
      </c>
      <c r="G161" s="3">
        <v>58</v>
      </c>
      <c r="H161" s="3">
        <f t="shared" ref="H161:I163" si="104">G161+1</f>
        <v>59</v>
      </c>
      <c r="I161" s="3">
        <f t="shared" si="104"/>
        <v>60</v>
      </c>
      <c r="J161" s="3">
        <v>73</v>
      </c>
      <c r="K161" s="3">
        <f>VLOOKUP($A161,'SegEnds_NonXtal_BW#'!$A:$Z,8,FALSE)+VLOOKUP($A161,A:AL,10,FALSE)-50</f>
        <v>90</v>
      </c>
      <c r="L161" s="3">
        <f t="shared" si="100"/>
        <v>92</v>
      </c>
      <c r="M161" s="3">
        <v>93</v>
      </c>
      <c r="N161" s="3">
        <f t="shared" si="101"/>
        <v>95</v>
      </c>
      <c r="O161" s="3">
        <f t="shared" si="102"/>
        <v>96</v>
      </c>
      <c r="P161" s="3">
        <v>125</v>
      </c>
      <c r="Q161" s="3">
        <f>VLOOKUP($A161,'SegEnds_NonXtal_BW#'!$A:$Z,12,FALSE)+VLOOKUP($A161,A:AL,16,FALSE)-50</f>
        <v>131</v>
      </c>
      <c r="R161" s="3">
        <f>IF(ISERROR(VLOOKUP($A161,'SegEnds_NonXtal_BW#'!$A:$Z,13,FALSE)+VLOOKUP($A161,A:AL,19,FALSE)-50),"-",VLOOKUP($A161,'SegEnds_NonXtal_BW#'!$A:$Z,13,FALSE)+VLOOKUP($A161,A:AL,19,FALSE)-50)</f>
        <v>132</v>
      </c>
      <c r="S161" s="3">
        <v>132</v>
      </c>
      <c r="T161" s="100">
        <f>IF(ISERROR(VLOOKUP($A161,'SegEnds_NonXtal_BW#'!$A:$Z,14,FALSE)+VLOOKUP($A161,A:AL,19,FALSE)-50),"-",(VLOOKUP($A161,'SegEnds_NonXtal_BW#'!$A:$Z,14,FALSE)+VLOOKUP($A161,A:AL,19,FALSE)-50))</f>
        <v>139</v>
      </c>
      <c r="U161" s="9">
        <f>IF(ISERROR(VLOOKUP($A161,'SegEnds_NonXtal_BW#'!$A:$Z,15,FALSE)+VLOOKUP($A161,A:AL,22,FALSE)-50),"-",VLOOKUP($A161,'SegEnds_NonXtal_BW#'!$A:$Z,15,FALSE)+VLOOKUP($A161,A:AL,22,FALSE)-50)</f>
        <v>140</v>
      </c>
      <c r="V161" s="3">
        <v>152</v>
      </c>
      <c r="W161" s="3">
        <f>IF(ISERROR(VLOOKUP($A161,'SegEnds_NonXtal_BW#'!$A:$Z,16,FALSE)+VLOOKUP($A161,A:AL,22,FALSE)-50),"-",(VLOOKUP($A161,'SegEnds_NonXtal_BW#'!$A:$Z,16,FALSE)+VLOOKUP($A161,A:AL,22,FALSE)-50))</f>
        <v>164</v>
      </c>
      <c r="X161" s="3">
        <f>IF(ISERROR(VLOOKUP($A161,'SegEnds_NonXtal_BW#'!$A:$Z,17,FALSE)+VLOOKUP($A161,A:AL,25,FALSE)-50),"-",(VLOOKUP($A161,'SegEnds_NonXtal_BW#'!$A:$Z,17,FALSE)+VLOOKUP($A161,A:AL,25,FALSE)-50))</f>
        <v>180</v>
      </c>
      <c r="Y161" s="3">
        <v>180</v>
      </c>
      <c r="Z161" s="3">
        <f t="shared" si="103"/>
        <v>182</v>
      </c>
      <c r="AA161" s="3">
        <f>IF(ISERROR(VLOOKUP($A161,'SegEnds_NonXtal_BW#'!$A:$Z,19,FALSE)+VLOOKUP($A161,A:AL,28,FALSE)-50),"-",(VLOOKUP($A161,'SegEnds_NonXtal_BW#'!$A:$Z,19,FALSE)+VLOOKUP($A161,A:AL,28,FALSE)-50))</f>
        <v>187</v>
      </c>
      <c r="AB161" s="3">
        <v>202</v>
      </c>
      <c r="AC161" s="3">
        <f>IF(ISERROR((VLOOKUP($A161,'SegEnds_NonXtal_BW#'!$A:$Z,20,FALSE)+VLOOKUP($A161,A:AL,28,FALSE)-50)),"-",(VLOOKUP($A161,'SegEnds_NonXtal_BW#'!$A:$Z,20,FALSE)+VLOOKUP($A161,A:AL,28,FALSE)-50))</f>
        <v>228</v>
      </c>
      <c r="AD161" s="3">
        <f>IF(ISERROR(VLOOKUP($A161,'SegEnds_NonXtal_BW#'!$A:$Z,21,FALSE)+VLOOKUP($A161,A:AL,31,FALSE)-50),"-",(VLOOKUP($A161,'SegEnds_NonXtal_BW#'!$A:$Z,21,FALSE)+VLOOKUP($A161,A:AL,31,FALSE)-50))</f>
        <v>404</v>
      </c>
      <c r="AE161" s="3">
        <v>430</v>
      </c>
      <c r="AF161" s="3">
        <f>IF(ISERROR((VLOOKUP($A161,'SegEnds_NonXtal_BW#'!$A:$Z,22,FALSE)+VLOOKUP($A161,A:AL,31,FALSE)-50)),"-",(VLOOKUP($A161,'SegEnds_NonXtal_BW#'!$A:$Z,22,FALSE)+VLOOKUP($A161,A:AL,31,FALSE)-50))</f>
        <v>441</v>
      </c>
      <c r="AG161" s="3">
        <f>IF(ISERROR(VLOOKUP($A161,'SegEnds_NonXtal_BW#'!$A:$Z,23,FALSE)+VLOOKUP($A161,A:AL,34,FALSE)-50),"-",(VLOOKUP($A161,'SegEnds_NonXtal_BW#'!$A:$Z,23,FALSE)+VLOOKUP($A161,A:AL,34,FALSE)-50))</f>
        <v>446</v>
      </c>
      <c r="AH161" s="3">
        <v>465</v>
      </c>
      <c r="AI161" s="3">
        <f>IF(ISERROR((VLOOKUP($A161,'SegEnds_NonXtal_BW#'!$A:$Z,24,FALSE)+VLOOKUP($A161,A:AL,34,FALSE)-50)),"-",(VLOOKUP($A161,'SegEnds_NonXtal_BW#'!$A:$Z,24,FALSE)+VLOOKUP($A161,A:AL,34,FALSE)-50))</f>
        <v>471</v>
      </c>
      <c r="AJ161" s="3">
        <f>IF(ISERROR(VLOOKUP($A161,'SegEnds_NonXtal_BW#'!$A:$Z,25,FALSE)+VLOOKUP($A161,A:AL,37,FALSE)-50),"-",(VLOOKUP($A161,'SegEnds_NonXtal_BW#'!$A:$Z,25,FALSE)+VLOOKUP($A161,A:AL,37,FALSE)-50))</f>
        <v>472</v>
      </c>
      <c r="AK161" s="3">
        <v>475</v>
      </c>
      <c r="AL161" s="3">
        <f>IF(ISERROR((VLOOKUP($A161,'SegEnds_NonXtal_BW#'!$A:$Z,26,FALSE)+VLOOKUP($A161,A:AL,37,FALSE)-50)),"-",(VLOOKUP($A161,'SegEnds_NonXtal_BW#'!$A:$Z,26,FALSE)+VLOOKUP($A161,A:AL,37,FALSE)-50))</f>
        <v>484</v>
      </c>
      <c r="AM161" s="28" t="str">
        <f>VLOOKUP(A161,Classification!A:B,2,FALSE)</f>
        <v>A</v>
      </c>
      <c r="AN161" s="28" t="b">
        <f t="shared" si="98"/>
        <v>1</v>
      </c>
      <c r="AO161" s="3" t="str">
        <f>IF(ISERROR(MATCH(A161,'SegEnds_Xtal_Prot#'!B:B, 0)), "NoXtal", "Xtal")</f>
        <v>Xtal</v>
      </c>
      <c r="AP161" s="3">
        <f t="shared" si="81"/>
        <v>1</v>
      </c>
      <c r="AQ161" s="3">
        <f t="shared" si="82"/>
        <v>1</v>
      </c>
      <c r="AR161" s="3">
        <f t="shared" si="83"/>
        <v>2</v>
      </c>
      <c r="AS161" s="3">
        <f t="shared" si="84"/>
        <v>1</v>
      </c>
      <c r="AT161" s="3">
        <f t="shared" si="85"/>
        <v>1</v>
      </c>
      <c r="AU161" s="3">
        <f t="shared" si="86"/>
        <v>1</v>
      </c>
      <c r="AV161" s="3">
        <f t="shared" si="87"/>
        <v>16</v>
      </c>
      <c r="AW161" s="3">
        <f t="shared" si="88"/>
        <v>5</v>
      </c>
      <c r="AX161" s="3">
        <f t="shared" si="89"/>
        <v>176</v>
      </c>
      <c r="AY161" s="3">
        <f t="shared" si="90"/>
        <v>5</v>
      </c>
      <c r="AZ161" s="3">
        <f t="shared" si="91"/>
        <v>1</v>
      </c>
      <c r="BA161" s="3">
        <f>IF(ISERROR(LEN(VLOOKUP(A161,Seqs!A:E,2,FALSE))-AL161),"-",LEN(VLOOKUP(A161,Seqs!A:E,2,FALSE))-AL161)</f>
        <v>3</v>
      </c>
      <c r="BB161" s="16">
        <f t="shared" si="92"/>
        <v>28</v>
      </c>
      <c r="BC161" s="9">
        <f t="shared" si="93"/>
        <v>20</v>
      </c>
      <c r="BD161" s="3">
        <f t="shared" si="94"/>
        <v>28</v>
      </c>
      <c r="BE161" s="3">
        <f t="shared" si="95"/>
        <v>228</v>
      </c>
      <c r="BF161" s="3">
        <f>AH161-AE161</f>
        <v>35</v>
      </c>
    </row>
    <row r="162" spans="1:58" s="3" customFormat="1" x14ac:dyDescent="0.2">
      <c r="A162" s="3" t="s">
        <v>279</v>
      </c>
      <c r="B162" s="3" t="str">
        <f>LOWER(VLOOKUP(A162,Xtal_Templ!A:B,2,FALSE))</f>
        <v>adrb2_human</v>
      </c>
      <c r="C162" s="3">
        <f>VLOOKUP($A162,'SegEnds_NonXtal_BW#'!$A:$Z,3,FALSE)+D162-50</f>
        <v>11</v>
      </c>
      <c r="D162" s="3">
        <v>36</v>
      </c>
      <c r="E162" s="3">
        <f>IF(ISERROR(VLOOKUP($A162,'SegEnds_NonXtal_BW#'!$A:$Z,4,FALSE)+VLOOKUP($A162,A:AL,4,FALSE)-50),"-",(VLOOKUP($A162,'SegEnds_NonXtal_BW#'!$A:$Z,4,FALSE)+VLOOKUP($A162,A:AL,4,FALSE)-50))</f>
        <v>46</v>
      </c>
      <c r="F162" s="3">
        <f>G162-2</f>
        <v>47</v>
      </c>
      <c r="G162" s="3">
        <v>49</v>
      </c>
      <c r="H162" s="3">
        <f t="shared" si="104"/>
        <v>50</v>
      </c>
      <c r="I162" s="3">
        <f t="shared" si="104"/>
        <v>51</v>
      </c>
      <c r="J162" s="3">
        <v>64</v>
      </c>
      <c r="K162" s="3">
        <f>VLOOKUP($A162,'SegEnds_NonXtal_BW#'!$A:$Z,8,FALSE)+VLOOKUP($A162,A:AL,10,FALSE)-50</f>
        <v>81</v>
      </c>
      <c r="L162" s="3">
        <f t="shared" si="100"/>
        <v>83</v>
      </c>
      <c r="M162" s="3">
        <v>84</v>
      </c>
      <c r="N162" s="3">
        <f t="shared" si="101"/>
        <v>86</v>
      </c>
      <c r="O162" s="3">
        <f t="shared" si="102"/>
        <v>87</v>
      </c>
      <c r="P162" s="3">
        <v>116</v>
      </c>
      <c r="Q162" s="3">
        <f>VLOOKUP($A162,'SegEnds_NonXtal_BW#'!$A:$Z,12,FALSE)+VLOOKUP($A162,A:AL,16,FALSE)-50</f>
        <v>122</v>
      </c>
      <c r="R162" s="3">
        <f>IF(ISERROR(VLOOKUP($A162,'SegEnds_NonXtal_BW#'!$A:$Z,13,FALSE)+VLOOKUP($A162,A:AL,19,FALSE)-50),"-",VLOOKUP($A162,'SegEnds_NonXtal_BW#'!$A:$Z,13,FALSE)+VLOOKUP($A162,A:AL,19,FALSE)-50)</f>
        <v>123</v>
      </c>
      <c r="S162" s="3">
        <v>123</v>
      </c>
      <c r="T162" s="100">
        <f>IF(ISERROR(VLOOKUP($A162,'SegEnds_NonXtal_BW#'!$A:$Z,14,FALSE)+VLOOKUP($A162,A:AL,19,FALSE)-50),"-",(VLOOKUP($A162,'SegEnds_NonXtal_BW#'!$A:$Z,14,FALSE)+VLOOKUP($A162,A:AL,19,FALSE)-50))</f>
        <v>130</v>
      </c>
      <c r="U162" s="9">
        <f>IF(ISERROR(VLOOKUP($A162,'SegEnds_NonXtal_BW#'!$A:$Z,15,FALSE)+VLOOKUP($A162,A:AL,22,FALSE)-50),"-",VLOOKUP($A162,'SegEnds_NonXtal_BW#'!$A:$Z,15,FALSE)+VLOOKUP($A162,A:AL,22,FALSE)-50)</f>
        <v>131</v>
      </c>
      <c r="V162" s="3">
        <v>143</v>
      </c>
      <c r="W162" s="3">
        <f>IF(ISERROR(VLOOKUP($A162,'SegEnds_NonXtal_BW#'!$A:$Z,16,FALSE)+VLOOKUP($A162,A:AL,22,FALSE)-50),"-",(VLOOKUP($A162,'SegEnds_NonXtal_BW#'!$A:$Z,16,FALSE)+VLOOKUP($A162,A:AL,22,FALSE)-50))</f>
        <v>157</v>
      </c>
      <c r="X162" s="3">
        <f>IF(ISERROR(VLOOKUP($A162,'SegEnds_NonXtal_BW#'!$A:$Z,17,FALSE)+VLOOKUP($A162,A:AL,25,FALSE)-50),"-",(VLOOKUP($A162,'SegEnds_NonXtal_BW#'!$A:$Z,17,FALSE)+VLOOKUP($A162,A:AL,25,FALSE)-50))</f>
        <v>174</v>
      </c>
      <c r="Y162" s="3">
        <v>174</v>
      </c>
      <c r="Z162" s="3">
        <f t="shared" si="103"/>
        <v>176</v>
      </c>
      <c r="AA162" s="3">
        <f>IF(ISERROR(VLOOKUP($A162,'SegEnds_NonXtal_BW#'!$A:$Z,19,FALSE)+VLOOKUP($A162,A:AL,28,FALSE)-50),"-",(VLOOKUP($A162,'SegEnds_NonXtal_BW#'!$A:$Z,19,FALSE)+VLOOKUP($A162,A:AL,28,FALSE)-50))</f>
        <v>179</v>
      </c>
      <c r="AB162" s="3">
        <v>194</v>
      </c>
      <c r="AC162" s="3">
        <f>IF(ISERROR((VLOOKUP($A162,'SegEnds_NonXtal_BW#'!$A:$Z,20,FALSE)+VLOOKUP($A162,A:AL,28,FALSE)-50)),"-",(VLOOKUP($A162,'SegEnds_NonXtal_BW#'!$A:$Z,20,FALSE)+VLOOKUP($A162,A:AL,28,FALSE)-50))</f>
        <v>217</v>
      </c>
      <c r="AD162" s="3">
        <f>IF(ISERROR(VLOOKUP($A162,'SegEnds_NonXtal_BW#'!$A:$Z,21,FALSE)+VLOOKUP($A162,A:AL,31,FALSE)-50),"-",(VLOOKUP($A162,'SegEnds_NonXtal_BW#'!$A:$Z,21,FALSE)+VLOOKUP($A162,A:AL,31,FALSE)-50))</f>
        <v>221</v>
      </c>
      <c r="AE162" s="3">
        <v>249</v>
      </c>
      <c r="AF162" s="3">
        <f>IF(ISERROR((VLOOKUP($A162,'SegEnds_NonXtal_BW#'!$A:$Z,22,FALSE)+VLOOKUP($A162,A:AL,31,FALSE)-50)),"-",(VLOOKUP($A162,'SegEnds_NonXtal_BW#'!$A:$Z,22,FALSE)+VLOOKUP($A162,A:AL,31,FALSE)-50))</f>
        <v>260</v>
      </c>
      <c r="AG162" s="3">
        <f>IF(ISERROR(VLOOKUP($A162,'SegEnds_NonXtal_BW#'!$A:$Z,23,FALSE)+VLOOKUP($A162,A:AL,34,FALSE)-50),"-",(VLOOKUP($A162,'SegEnds_NonXtal_BW#'!$A:$Z,23,FALSE)+VLOOKUP($A162,A:AL,34,FALSE)-50))</f>
        <v>266</v>
      </c>
      <c r="AH162" s="3">
        <v>285</v>
      </c>
      <c r="AI162" s="3">
        <v>291</v>
      </c>
      <c r="AJ162" s="3">
        <f>IF(ISERROR(VLOOKUP($A162,'SegEnds_NonXtal_BW#'!$A:$Z,25,FALSE)+VLOOKUP($A162,A:AL,37,FALSE)-50),"-",(VLOOKUP($A162,'SegEnds_NonXtal_BW#'!$A:$Z,25,FALSE)+VLOOKUP($A162,A:AL,37,FALSE)-50))</f>
        <v>292</v>
      </c>
      <c r="AK162" s="3">
        <v>295</v>
      </c>
      <c r="AL162" s="3">
        <f>IF(ISERROR((VLOOKUP($A162,'SegEnds_NonXtal_BW#'!$A:$Z,26,FALSE)+VLOOKUP($A162,A:AL,37,FALSE)-50)),"-",(VLOOKUP($A162,'SegEnds_NonXtal_BW#'!$A:$Z,26,FALSE)+VLOOKUP($A162,A:AL,37,FALSE)-50))</f>
        <v>304</v>
      </c>
      <c r="AM162" s="28" t="str">
        <f>VLOOKUP(A162,Classification!A:B,2,FALSE)</f>
        <v>A</v>
      </c>
      <c r="AN162" s="28" t="b">
        <f t="shared" si="98"/>
        <v>1</v>
      </c>
      <c r="AO162" s="3" t="str">
        <f>IF(ISERROR(MATCH(A162,'SegEnds_Xtal_Prot#'!B:B, 0)), "NoXtal", "Xtal")</f>
        <v>NoXtal</v>
      </c>
      <c r="AP162" s="3">
        <f t="shared" si="81"/>
        <v>1</v>
      </c>
      <c r="AQ162" s="3">
        <f t="shared" si="82"/>
        <v>1</v>
      </c>
      <c r="AR162" s="3">
        <f t="shared" si="83"/>
        <v>2</v>
      </c>
      <c r="AS162" s="3">
        <f t="shared" si="84"/>
        <v>1</v>
      </c>
      <c r="AT162" s="3">
        <f t="shared" si="85"/>
        <v>1</v>
      </c>
      <c r="AU162" s="3">
        <f t="shared" si="86"/>
        <v>1</v>
      </c>
      <c r="AV162" s="3">
        <f t="shared" si="87"/>
        <v>17</v>
      </c>
      <c r="AW162" s="3">
        <f t="shared" si="88"/>
        <v>3</v>
      </c>
      <c r="AX162" s="3">
        <f t="shared" si="89"/>
        <v>4</v>
      </c>
      <c r="AY162" s="3">
        <f t="shared" si="90"/>
        <v>6</v>
      </c>
      <c r="AZ162" s="3">
        <f t="shared" si="91"/>
        <v>1</v>
      </c>
      <c r="BA162" s="3">
        <f>IF(ISERROR(LEN(VLOOKUP(A162,Seqs!A:E,2,FALSE))-AL162),"-",LEN(VLOOKUP(A162,Seqs!A:E,2,FALSE))-AL162)</f>
        <v>55</v>
      </c>
      <c r="BB162" s="16">
        <f t="shared" si="92"/>
        <v>28</v>
      </c>
      <c r="BC162" s="9">
        <f t="shared" si="93"/>
        <v>20</v>
      </c>
      <c r="BD162" s="3">
        <f t="shared" si="94"/>
        <v>28</v>
      </c>
      <c r="BE162" s="3">
        <f t="shared" si="95"/>
        <v>55</v>
      </c>
    </row>
    <row r="163" spans="1:58" s="3" customFormat="1" x14ac:dyDescent="0.2">
      <c r="A163" s="3" t="s">
        <v>282</v>
      </c>
      <c r="B163" s="3" t="str">
        <f>LOWER(VLOOKUP(A163,Xtal_Templ!A:B,2,FALSE))</f>
        <v>oprk_human</v>
      </c>
      <c r="C163" s="3">
        <f>VLOOKUP($A163,'SegEnds_NonXtal_BW#'!$A:$Z,3,FALSE)+D163-50</f>
        <v>40</v>
      </c>
      <c r="D163" s="3">
        <v>60</v>
      </c>
      <c r="E163" s="3">
        <f>IF(ISERROR(VLOOKUP($A163,'SegEnds_NonXtal_BW#'!$A:$Z,4,FALSE)+VLOOKUP($A163,A:AL,4,FALSE)-50),"-",(VLOOKUP($A163,'SegEnds_NonXtal_BW#'!$A:$Z,4,FALSE)+VLOOKUP($A163,A:AL,4,FALSE)-50))</f>
        <v>70</v>
      </c>
      <c r="F163" s="3">
        <f>G163-2</f>
        <v>71</v>
      </c>
      <c r="G163" s="3">
        <v>73</v>
      </c>
      <c r="H163" s="3">
        <f t="shared" si="104"/>
        <v>74</v>
      </c>
      <c r="I163" s="3">
        <f t="shared" si="104"/>
        <v>75</v>
      </c>
      <c r="J163" s="3">
        <v>88</v>
      </c>
      <c r="K163" s="3">
        <f>VLOOKUP($A163,'SegEnds_NonXtal_BW#'!$A:$Z,8,FALSE)+VLOOKUP($A163,A:AL,10,FALSE)-50</f>
        <v>105</v>
      </c>
      <c r="L163" s="3">
        <f t="shared" si="100"/>
        <v>107</v>
      </c>
      <c r="M163" s="3">
        <v>108</v>
      </c>
      <c r="N163" s="3">
        <f t="shared" si="101"/>
        <v>110</v>
      </c>
      <c r="O163" s="3">
        <f t="shared" si="102"/>
        <v>111</v>
      </c>
      <c r="P163" s="3">
        <v>140</v>
      </c>
      <c r="Q163" s="3">
        <f>VLOOKUP($A163,'SegEnds_NonXtal_BW#'!$A:$Z,12,FALSE)+VLOOKUP($A163,A:AL,16,FALSE)-50</f>
        <v>146</v>
      </c>
      <c r="R163" s="3">
        <f>IF(ISERROR(VLOOKUP($A163,'SegEnds_NonXtal_BW#'!$A:$Z,13,FALSE)+VLOOKUP($A163,A:AL,19,FALSE)-50),"-",VLOOKUP($A163,'SegEnds_NonXtal_BW#'!$A:$Z,13,FALSE)+VLOOKUP($A163,A:AL,19,FALSE)-50)</f>
        <v>147</v>
      </c>
      <c r="S163" s="3">
        <v>147</v>
      </c>
      <c r="T163" s="100">
        <f>IF(ISERROR(VLOOKUP($A163,'SegEnds_NonXtal_BW#'!$A:$Z,14,FALSE)+VLOOKUP($A163,A:AL,19,FALSE)-50),"-",(VLOOKUP($A163,'SegEnds_NonXtal_BW#'!$A:$Z,14,FALSE)+VLOOKUP($A163,A:AL,19,FALSE)-50))</f>
        <v>154</v>
      </c>
      <c r="U163" s="9">
        <f>IF(ISERROR(VLOOKUP($A163,'SegEnds_NonXtal_BW#'!$A:$Z,15,FALSE)+VLOOKUP($A163,A:AL,22,FALSE)-50),"-",VLOOKUP($A163,'SegEnds_NonXtal_BW#'!$A:$Z,15,FALSE)+VLOOKUP($A163,A:AL,22,FALSE)-50)</f>
        <v>155</v>
      </c>
      <c r="V163" s="3">
        <v>167</v>
      </c>
      <c r="W163" s="3">
        <f>IF(ISERROR(VLOOKUP($A163,'SegEnds_NonXtal_BW#'!$A:$Z,16,FALSE)+VLOOKUP($A163,A:AL,22,FALSE)-50),"-",(VLOOKUP($A163,'SegEnds_NonXtal_BW#'!$A:$Z,16,FALSE)+VLOOKUP($A163,A:AL,22,FALSE)-50))</f>
        <v>181</v>
      </c>
      <c r="X163" s="3">
        <f>IF(ISERROR(VLOOKUP($A163,'SegEnds_NonXtal_BW#'!$A:$Z,17,FALSE)+VLOOKUP($A163,A:AL,25,FALSE)-50),"-",(VLOOKUP($A163,'SegEnds_NonXtal_BW#'!$A:$Z,17,FALSE)+VLOOKUP($A163,A:AL,25,FALSE)-50))</f>
        <v>191</v>
      </c>
      <c r="Y163" s="3">
        <v>191</v>
      </c>
      <c r="Z163" s="3">
        <f t="shared" si="103"/>
        <v>193</v>
      </c>
      <c r="AA163" s="3">
        <f>IF(ISERROR(VLOOKUP($A163,'SegEnds_NonXtal_BW#'!$A:$Z,19,FALSE)+VLOOKUP($A163,A:AL,28,FALSE)-50),"-",(VLOOKUP($A163,'SegEnds_NonXtal_BW#'!$A:$Z,19,FALSE)+VLOOKUP($A163,A:AL,28,FALSE)-50))</f>
        <v>196</v>
      </c>
      <c r="AB163" s="3">
        <v>216</v>
      </c>
      <c r="AC163" s="3">
        <f>IF(ISERROR((VLOOKUP($A163,'SegEnds_NonXtal_BW#'!$A:$Z,20,FALSE)+VLOOKUP($A163,A:AL,28,FALSE)-50)),"-",(VLOOKUP($A163,'SegEnds_NonXtal_BW#'!$A:$Z,20,FALSE)+VLOOKUP($A163,A:AL,28,FALSE)-50))</f>
        <v>240</v>
      </c>
      <c r="AD163" s="3">
        <f>IF(ISERROR(VLOOKUP($A163,'SegEnds_NonXtal_BW#'!$A:$Z,21,FALSE)+VLOOKUP($A163,A:AL,31,FALSE)-50),"-",(VLOOKUP($A163,'SegEnds_NonXtal_BW#'!$A:$Z,21,FALSE)+VLOOKUP($A163,A:AL,31,FALSE)-50))</f>
        <v>249</v>
      </c>
      <c r="AE163" s="3">
        <v>278</v>
      </c>
      <c r="AF163" s="3">
        <f>IF(ISERROR((VLOOKUP($A163,'SegEnds_NonXtal_BW#'!$A:$Z,22,FALSE)+VLOOKUP($A163,A:AL,31,FALSE)-50)),"-",(VLOOKUP($A163,'SegEnds_NonXtal_BW#'!$A:$Z,22,FALSE)+VLOOKUP($A163,A:AL,31,FALSE)-50))</f>
        <v>289</v>
      </c>
      <c r="AG163" s="3">
        <f>IF(ISERROR(VLOOKUP($A163,'SegEnds_NonXtal_BW#'!$A:$Z,23,FALSE)+VLOOKUP($A163,A:AL,34,FALSE)-50),"-",(VLOOKUP($A163,'SegEnds_NonXtal_BW#'!$A:$Z,23,FALSE)+VLOOKUP($A163,A:AL,34,FALSE)-50))</f>
        <v>298</v>
      </c>
      <c r="AH163" s="3">
        <v>320</v>
      </c>
      <c r="AI163" s="3">
        <f>IF(ISERROR((VLOOKUP($A163,'SegEnds_NonXtal_BW#'!$A:$Z,24,FALSE)+VLOOKUP($A163,A:AL,34,FALSE)-50)),"-",(VLOOKUP($A163,'SegEnds_NonXtal_BW#'!$A:$Z,24,FALSE)+VLOOKUP($A163,A:AL,34,FALSE)-50))</f>
        <v>326</v>
      </c>
      <c r="AJ163" s="3">
        <f>IF(ISERROR(VLOOKUP($A163,'SegEnds_NonXtal_BW#'!$A:$Z,25,FALSE)+VLOOKUP($A163,A:AL,37,FALSE)-50),"-",(VLOOKUP($A163,'SegEnds_NonXtal_BW#'!$A:$Z,25,FALSE)+VLOOKUP($A163,A:AL,37,FALSE)-50))</f>
        <v>327</v>
      </c>
      <c r="AK163" s="3">
        <v>330</v>
      </c>
      <c r="AL163" s="3">
        <f>IF(ISERROR((VLOOKUP($A163,'SegEnds_NonXtal_BW#'!$A:$Z,26,FALSE)+VLOOKUP($A163,A:AL,37,FALSE)-50)),"-",(VLOOKUP($A163,'SegEnds_NonXtal_BW#'!$A:$Z,26,FALSE)+VLOOKUP($A163,A:AL,37,FALSE)-50))</f>
        <v>339</v>
      </c>
      <c r="AM163" s="28" t="str">
        <f>VLOOKUP(A163,Classification!A:B,2,FALSE)</f>
        <v>A</v>
      </c>
      <c r="AN163" s="28" t="b">
        <f t="shared" si="98"/>
        <v>1</v>
      </c>
      <c r="AO163" s="3" t="str">
        <f>IF(ISERROR(MATCH(A163,'SegEnds_Xtal_Prot#'!B:B, 0)), "NoXtal", "Xtal")</f>
        <v>NoXtal</v>
      </c>
      <c r="AP163" s="3">
        <f t="shared" si="81"/>
        <v>1</v>
      </c>
      <c r="AQ163" s="3">
        <f t="shared" si="82"/>
        <v>1</v>
      </c>
      <c r="AR163" s="3">
        <f t="shared" si="83"/>
        <v>2</v>
      </c>
      <c r="AS163" s="3">
        <f t="shared" si="84"/>
        <v>1</v>
      </c>
      <c r="AT163" s="3">
        <f t="shared" si="85"/>
        <v>1</v>
      </c>
      <c r="AU163" s="3">
        <f t="shared" si="86"/>
        <v>1</v>
      </c>
      <c r="AV163" s="3">
        <f t="shared" si="87"/>
        <v>10</v>
      </c>
      <c r="AW163" s="3">
        <f t="shared" si="88"/>
        <v>3</v>
      </c>
      <c r="AX163" s="3">
        <f t="shared" si="89"/>
        <v>9</v>
      </c>
      <c r="AY163" s="3">
        <f t="shared" si="90"/>
        <v>9</v>
      </c>
      <c r="AZ163" s="3">
        <f t="shared" si="91"/>
        <v>1</v>
      </c>
      <c r="BA163" s="3">
        <f>IF(ISERROR(LEN(VLOOKUP(A163,Seqs!A:E,2,FALSE))-AL163),"-",LEN(VLOOKUP(A163,Seqs!A:E,2,FALSE))-AL163)</f>
        <v>59</v>
      </c>
      <c r="BB163" s="16">
        <f t="shared" si="92"/>
        <v>28</v>
      </c>
      <c r="BC163" s="9">
        <f t="shared" si="93"/>
        <v>20</v>
      </c>
      <c r="BD163" s="3">
        <f t="shared" si="94"/>
        <v>28</v>
      </c>
      <c r="BE163" s="3">
        <f t="shared" si="95"/>
        <v>62</v>
      </c>
    </row>
    <row r="164" spans="1:58" s="3" customFormat="1" x14ac:dyDescent="0.2">
      <c r="A164" s="3" t="s">
        <v>283</v>
      </c>
      <c r="B164" s="3" t="str">
        <f>LOWER(VLOOKUP(A164,Xtal_Templ!A:B,2,FALSE))</f>
        <v>agtr1_human</v>
      </c>
      <c r="C164" s="3">
        <f>VLOOKUP($A164,'SegEnds_NonXtal_BW#'!$A:$Z,3,FALSE)+D164-50</f>
        <v>536</v>
      </c>
      <c r="D164" s="3">
        <v>556</v>
      </c>
      <c r="E164" s="3">
        <f>IF(ISERROR(VLOOKUP($A164,'SegEnds_NonXtal_BW#'!$A:$Z,4,FALSE)+VLOOKUP($A164,A:AL,4,FALSE)-50),"-",(VLOOKUP($A164,'SegEnds_NonXtal_BW#'!$A:$Z,4,FALSE)+VLOOKUP($A164,A:AL,4,FALSE)-50))</f>
        <v>566</v>
      </c>
      <c r="F164" s="3" t="str">
        <f>IF(ISERROR(VLOOKUP($A164,'SegEnds_NonXtal_BW#'!$A:$Z,5,FALSE)+VLOOKUP($A164,A:AL,7,FALSE)-50),"-",(VLOOKUP($A164,'SegEnds_NonXtal_BW#'!$A:$Z,5,FALSE)+VLOOKUP($A164,A:AL,7,FALSE)-50))</f>
        <v>-</v>
      </c>
      <c r="G164" s="3" t="s">
        <v>23</v>
      </c>
      <c r="H164" s="3" t="str">
        <f>IF(ISERROR(VLOOKUP($A164,'SegEnds_NonXtal_BW#'!$A:$Z,6,FALSE)+VLOOKUP($A164,A:AL,7,FALSE)-50),"-",(VLOOKUP($A164,'SegEnds_NonXtal_BW#'!$A:$Z,6,FALSE)+VLOOKUP($A164,A:AL,7,FALSE)-50))</f>
        <v>-</v>
      </c>
      <c r="I164" s="3">
        <f>VLOOKUP($A164,'SegEnds_NonXtal_BW#'!$A:$Z,7,FALSE)+J164-50</f>
        <v>571</v>
      </c>
      <c r="J164" s="3">
        <v>584</v>
      </c>
      <c r="K164" s="3">
        <f>VLOOKUP($A164,'SegEnds_NonXtal_BW#'!$A:$Z,8,FALSE)+VLOOKUP($A164,A:AL,10,FALSE)-50</f>
        <v>601</v>
      </c>
      <c r="L164" s="3" t="str">
        <f>IF(ISERROR(VLOOKUP($A164,'SegEnds_NonXtal_BW#'!$A:$Z,9,FALSE)+VLOOKUP($A164,A:AL,13,FALSE)-50),"-",(VLOOKUP($A164,'SegEnds_NonXtal_BW#'!$A:$Z,9,FALSE)+VLOOKUP($A164,A:AL,13,FALSE)-50))</f>
        <v>-</v>
      </c>
      <c r="M164" s="3" t="s">
        <v>23</v>
      </c>
      <c r="N164" s="3" t="str">
        <f>IF(ISERROR(VLOOKUP($A164,'SegEnds_NonXtal_BW#'!$A:$Z,10,FALSE)+VLOOKUP($A164,A:AL,13,FALSE)-50),"-",(VLOOKUP($A164,'SegEnds_NonXtal_BW#'!$A:$Z,10,FALSE)+VLOOKUP($A164,A:AL,13,FALSE)-50))</f>
        <v>-</v>
      </c>
      <c r="O164" s="3">
        <f>VLOOKUP($A164,'SegEnds_NonXtal_BW#'!$A:$Z,11,FALSE)+VLOOKUP($A164,A:AL,16,FALSE)-50</f>
        <v>611</v>
      </c>
      <c r="P164" s="3">
        <v>643</v>
      </c>
      <c r="Q164" s="3">
        <f>VLOOKUP($A164,'SegEnds_NonXtal_BW#'!$A:$Z,12,FALSE)+VLOOKUP($A164,A:AL,16,FALSE)-50</f>
        <v>649</v>
      </c>
      <c r="R164" s="3">
        <f>IF(ISERROR(VLOOKUP($A164,'SegEnds_NonXtal_BW#'!$A:$Z,13,FALSE)+VLOOKUP($A164,A:AL,19,FALSE)-50),"-",VLOOKUP($A164,'SegEnds_NonXtal_BW#'!$A:$Z,13,FALSE)+VLOOKUP($A164,A:AL,19,FALSE)-50)</f>
        <v>650</v>
      </c>
      <c r="S164" s="3">
        <v>650</v>
      </c>
      <c r="T164" s="100">
        <f>IF(ISERROR(VLOOKUP($A164,'SegEnds_NonXtal_BW#'!$A:$Z,14,FALSE)+VLOOKUP($A164,A:AL,19,FALSE)-50),"-",(VLOOKUP($A164,'SegEnds_NonXtal_BW#'!$A:$Z,14,FALSE)+VLOOKUP($A164,A:AL,19,FALSE)-50))</f>
        <v>657</v>
      </c>
      <c r="U164" s="9">
        <f>IF(ISERROR(VLOOKUP($A164,'SegEnds_NonXtal_BW#'!$A:$Z,15,FALSE)+VLOOKUP($A164,A:AL,22,FALSE)-50),"-",VLOOKUP($A164,'SegEnds_NonXtal_BW#'!$A:$Z,15,FALSE)+VLOOKUP($A164,A:AL,22,FALSE)-50)</f>
        <v>658</v>
      </c>
      <c r="V164" s="3">
        <v>670</v>
      </c>
      <c r="W164" s="3">
        <f>IF(ISERROR(VLOOKUP($A164,'SegEnds_NonXtal_BW#'!$A:$Z,16,FALSE)+VLOOKUP($A164,A:AL,22,FALSE)-50),"-",(VLOOKUP($A164,'SegEnds_NonXtal_BW#'!$A:$Z,16,FALSE)+VLOOKUP($A164,A:AL,22,FALSE)-50))</f>
        <v>684</v>
      </c>
      <c r="X164" s="3">
        <f>IF(ISERROR(VLOOKUP($A164,'SegEnds_NonXtal_BW#'!$A:$Z,17,FALSE)+VLOOKUP($A164,A:AL,25,FALSE)-50),"-",(VLOOKUP($A164,'SegEnds_NonXtal_BW#'!$A:$Z,17,FALSE)+VLOOKUP($A164,A:AL,25,FALSE)-50))</f>
        <v>693</v>
      </c>
      <c r="Y164" s="3">
        <v>693</v>
      </c>
      <c r="Z164" s="3">
        <f t="shared" si="103"/>
        <v>695</v>
      </c>
      <c r="AA164" s="3">
        <f>IF(ISERROR(VLOOKUP($A164,'SegEnds_NonXtal_BW#'!$A:$Z,19,FALSE)+VLOOKUP($A164,A:AL,28,FALSE)-50),"-",(VLOOKUP($A164,'SegEnds_NonXtal_BW#'!$A:$Z,19,FALSE)+VLOOKUP($A164,A:AL,28,FALSE)-50))</f>
        <v>701</v>
      </c>
      <c r="AB164" s="3">
        <v>717</v>
      </c>
      <c r="AC164" s="3">
        <f>IF(ISERROR((VLOOKUP($A164,'SegEnds_NonXtal_BW#'!$A:$Z,20,FALSE)+VLOOKUP($A164,A:AL,28,FALSE)-50)),"-",(VLOOKUP($A164,'SegEnds_NonXtal_BW#'!$A:$Z,20,FALSE)+VLOOKUP($A164,A:AL,28,FALSE)-50))</f>
        <v>734</v>
      </c>
      <c r="AD164" s="3">
        <f>IF(ISERROR(VLOOKUP($A164,'SegEnds_NonXtal_BW#'!$A:$Z,21,FALSE)+VLOOKUP($A164,A:AL,31,FALSE)-50),"-",(VLOOKUP($A164,'SegEnds_NonXtal_BW#'!$A:$Z,21,FALSE)+VLOOKUP($A164,A:AL,31,FALSE)-50))</f>
        <v>740</v>
      </c>
      <c r="AE164" s="3">
        <v>762</v>
      </c>
      <c r="AF164" s="3">
        <f>IF(ISERROR((VLOOKUP($A164,'SegEnds_NonXtal_BW#'!$A:$Z,22,FALSE)+VLOOKUP($A164,A:AL,31,FALSE)-50)),"-",(VLOOKUP($A164,'SegEnds_NonXtal_BW#'!$A:$Z,22,FALSE)+VLOOKUP($A164,A:AL,31,FALSE)-50))</f>
        <v>773</v>
      </c>
      <c r="AG164" s="3">
        <f>IF(ISERROR(VLOOKUP($A164,'SegEnds_NonXtal_BW#'!$A:$Z,23,FALSE)+VLOOKUP($A164,A:AL,34,FALSE)-50),"-",(VLOOKUP($A164,'SegEnds_NonXtal_BW#'!$A:$Z,23,FALSE)+VLOOKUP($A164,A:AL,34,FALSE)-50))</f>
        <v>779</v>
      </c>
      <c r="AH164" s="3">
        <v>798</v>
      </c>
      <c r="AI164" s="3">
        <f>IF(ISERROR((VLOOKUP($A164,'SegEnds_NonXtal_BW#'!$A:$Z,24,FALSE)+VLOOKUP($A164,A:AL,34,FALSE)-50)),"-",(VLOOKUP($A164,'SegEnds_NonXtal_BW#'!$A:$Z,24,FALSE)+VLOOKUP($A164,A:AL,34,FALSE)-50))</f>
        <v>804</v>
      </c>
      <c r="AJ164" s="3">
        <f>IF(ISERROR(VLOOKUP($A164,'SegEnds_NonXtal_BW#'!$A:$Z,25,FALSE)+VLOOKUP($A164,A:AL,37,FALSE)-50),"-",(VLOOKUP($A164,'SegEnds_NonXtal_BW#'!$A:$Z,25,FALSE)+VLOOKUP($A164,A:AL,37,FALSE)-50))</f>
        <v>805</v>
      </c>
      <c r="AK164" s="3">
        <v>808</v>
      </c>
      <c r="AL164" s="3">
        <f>IF(ISERROR((VLOOKUP($A164,'SegEnds_NonXtal_BW#'!$A:$Z,26,FALSE)+VLOOKUP($A164,A:AL,37,FALSE)-50)),"-",(VLOOKUP($A164,'SegEnds_NonXtal_BW#'!$A:$Z,26,FALSE)+VLOOKUP($A164,A:AL,37,FALSE)-50))</f>
        <v>819</v>
      </c>
      <c r="AM164" s="28" t="str">
        <f>VLOOKUP(A164,Classification!A:B,2,FALSE)</f>
        <v>A</v>
      </c>
      <c r="AN164" s="28" t="b">
        <f t="shared" si="98"/>
        <v>1</v>
      </c>
      <c r="AO164" s="3" t="str">
        <f>IF(ISERROR(MATCH(A164,'SegEnds_Xtal_Prot#'!B:B, 0)), "NoXtal", "Xtal")</f>
        <v>NoXtal</v>
      </c>
      <c r="AP164" s="3" t="str">
        <f t="shared" si="81"/>
        <v>-</v>
      </c>
      <c r="AQ164" s="3" t="str">
        <f t="shared" si="82"/>
        <v>-</v>
      </c>
      <c r="AR164" s="3" t="str">
        <f t="shared" si="83"/>
        <v>-</v>
      </c>
      <c r="AS164" s="3" t="str">
        <f t="shared" si="84"/>
        <v>-</v>
      </c>
      <c r="AT164" s="3">
        <f t="shared" si="85"/>
        <v>1</v>
      </c>
      <c r="AU164" s="3">
        <f t="shared" si="86"/>
        <v>1</v>
      </c>
      <c r="AV164" s="3">
        <f t="shared" si="87"/>
        <v>9</v>
      </c>
      <c r="AW164" s="3">
        <f t="shared" si="88"/>
        <v>6</v>
      </c>
      <c r="AX164" s="3">
        <f t="shared" si="89"/>
        <v>6</v>
      </c>
      <c r="AY164" s="3">
        <f t="shared" si="90"/>
        <v>6</v>
      </c>
      <c r="AZ164" s="3">
        <f t="shared" si="91"/>
        <v>1</v>
      </c>
      <c r="BA164" s="3">
        <f>IF(ISERROR(LEN(VLOOKUP(A164,Seqs!A:E,2,FALSE))-AL164),"-",LEN(VLOOKUP(A164,Seqs!A:E,2,FALSE))-AL164)</f>
        <v>132</v>
      </c>
      <c r="BB164" s="16">
        <f t="shared" si="92"/>
        <v>28</v>
      </c>
      <c r="BC164" s="9">
        <f t="shared" si="93"/>
        <v>20</v>
      </c>
      <c r="BD164" s="3">
        <f t="shared" si="94"/>
        <v>28</v>
      </c>
      <c r="BE164" s="3">
        <f t="shared" si="95"/>
        <v>45</v>
      </c>
    </row>
    <row r="165" spans="1:58" s="3" customFormat="1" x14ac:dyDescent="0.2">
      <c r="A165" s="3" t="s">
        <v>284</v>
      </c>
      <c r="B165" s="3" t="str">
        <f>LOWER(VLOOKUP(A165,Xtal_Templ!A:B,2,FALSE))</f>
        <v>aa2ar_human</v>
      </c>
      <c r="C165" s="3">
        <f>VLOOKUP($A165,'SegEnds_NonXtal_BW#'!$A:$Z,3,FALSE)+D165-50</f>
        <v>552</v>
      </c>
      <c r="D165" s="3">
        <v>575</v>
      </c>
      <c r="E165" s="3">
        <f>IF(ISERROR(VLOOKUP($A165,'SegEnds_NonXtal_BW#'!$A:$Z,4,FALSE)+VLOOKUP($A165,A:AL,4,FALSE)-50),"-",(VLOOKUP($A165,'SegEnds_NonXtal_BW#'!$A:$Z,4,FALSE)+VLOOKUP($A165,A:AL,4,FALSE)-50))</f>
        <v>585</v>
      </c>
      <c r="F165" s="3" t="str">
        <f>IF(ISERROR(VLOOKUP($A165,'SegEnds_NonXtal_BW#'!$A:$Z,5,FALSE)+VLOOKUP($A165,A:AL,7,FALSE)-50),"-",(VLOOKUP($A165,'SegEnds_NonXtal_BW#'!$A:$Z,5,FALSE)+VLOOKUP($A165,A:AL,7,FALSE)-50))</f>
        <v>-</v>
      </c>
      <c r="G165" s="3" t="s">
        <v>23</v>
      </c>
      <c r="H165" s="3" t="str">
        <f>IF(ISERROR(VLOOKUP($A165,'SegEnds_NonXtal_BW#'!$A:$Z,6,FALSE)+VLOOKUP($A165,A:AL,7,FALSE)-50),"-",(VLOOKUP($A165,'SegEnds_NonXtal_BW#'!$A:$Z,6,FALSE)+VLOOKUP($A165,A:AL,7,FALSE)-50))</f>
        <v>-</v>
      </c>
      <c r="I165" s="3">
        <f>VLOOKUP($A165,'SegEnds_NonXtal_BW#'!$A:$Z,7,FALSE)+J165-50</f>
        <v>590</v>
      </c>
      <c r="J165" s="3">
        <v>603</v>
      </c>
      <c r="K165" s="3">
        <f>VLOOKUP($A165,'SegEnds_NonXtal_BW#'!$A:$Z,8,FALSE)+VLOOKUP($A165,A:AL,10,FALSE)-50</f>
        <v>620</v>
      </c>
      <c r="L165" s="3" t="str">
        <f>IF(ISERROR(VLOOKUP($A165,'SegEnds_NonXtal_BW#'!$A:$Z,9,FALSE)+VLOOKUP($A165,A:AL,13,FALSE)-50),"-",(VLOOKUP($A165,'SegEnds_NonXtal_BW#'!$A:$Z,9,FALSE)+VLOOKUP($A165,A:AL,13,FALSE)-50))</f>
        <v>-</v>
      </c>
      <c r="M165" s="3" t="s">
        <v>23</v>
      </c>
      <c r="N165" s="3" t="str">
        <f>IF(ISERROR(VLOOKUP($A165,'SegEnds_NonXtal_BW#'!$A:$Z,10,FALSE)+VLOOKUP($A165,A:AL,13,FALSE)-50),"-",(VLOOKUP($A165,'SegEnds_NonXtal_BW#'!$A:$Z,10,FALSE)+VLOOKUP($A165,A:AL,13,FALSE)-50))</f>
        <v>-</v>
      </c>
      <c r="O165" s="3">
        <f>VLOOKUP($A165,'SegEnds_NonXtal_BW#'!$A:$Z,11,FALSE)+VLOOKUP($A165,A:AL,16,FALSE)-50</f>
        <v>630</v>
      </c>
      <c r="P165" s="3">
        <v>662</v>
      </c>
      <c r="Q165" s="3">
        <f>VLOOKUP($A165,'SegEnds_NonXtal_BW#'!$A:$Z,12,FALSE)+VLOOKUP($A165,A:AL,16,FALSE)-50</f>
        <v>668</v>
      </c>
      <c r="R165" s="3">
        <f>IF(ISERROR(VLOOKUP($A165,'SegEnds_NonXtal_BW#'!$A:$Z,13,FALSE)+VLOOKUP($A165,A:AL,19,FALSE)-50),"-",VLOOKUP($A165,'SegEnds_NonXtal_BW#'!$A:$Z,13,FALSE)+VLOOKUP($A165,A:AL,19,FALSE)-50)</f>
        <v>669</v>
      </c>
      <c r="S165" s="3">
        <v>669</v>
      </c>
      <c r="T165" s="100">
        <f>IF(ISERROR(VLOOKUP($A165,'SegEnds_NonXtal_BW#'!$A:$Z,14,FALSE)+VLOOKUP($A165,A:AL,19,FALSE)-50),"-",(VLOOKUP($A165,'SegEnds_NonXtal_BW#'!$A:$Z,14,FALSE)+VLOOKUP($A165,A:AL,19,FALSE)-50))</f>
        <v>676</v>
      </c>
      <c r="U165" s="9">
        <f>IF(ISERROR(VLOOKUP($A165,'SegEnds_NonXtal_BW#'!$A:$Z,15,FALSE)+VLOOKUP($A165,A:AL,22,FALSE)-50),"-",VLOOKUP($A165,'SegEnds_NonXtal_BW#'!$A:$Z,15,FALSE)+VLOOKUP($A165,A:AL,22,FALSE)-50)</f>
        <v>677</v>
      </c>
      <c r="V165" s="3">
        <v>689</v>
      </c>
      <c r="W165" s="3">
        <f>IF(ISERROR(VLOOKUP($A165,'SegEnds_NonXtal_BW#'!$A:$Z,16,FALSE)+VLOOKUP($A165,A:AL,22,FALSE)-50),"-",(VLOOKUP($A165,'SegEnds_NonXtal_BW#'!$A:$Z,16,FALSE)+VLOOKUP($A165,A:AL,22,FALSE)-50))</f>
        <v>702</v>
      </c>
      <c r="X165" s="3">
        <f>IF(ISERROR(VLOOKUP($A165,'SegEnds_NonXtal_BW#'!$A:$Z,17,FALSE)+VLOOKUP($A165,A:AL,25,FALSE)-50),"-",(VLOOKUP($A165,'SegEnds_NonXtal_BW#'!$A:$Z,17,FALSE)+VLOOKUP($A165,A:AL,25,FALSE)-50))</f>
        <v>712</v>
      </c>
      <c r="Y165" s="3">
        <v>712</v>
      </c>
      <c r="Z165" s="3">
        <f t="shared" si="103"/>
        <v>714</v>
      </c>
      <c r="AA165" s="3">
        <f>IF(ISERROR(VLOOKUP($A165,'SegEnds_NonXtal_BW#'!$A:$Z,19,FALSE)+VLOOKUP($A165,A:AL,28,FALSE)-50),"-",(VLOOKUP($A165,'SegEnds_NonXtal_BW#'!$A:$Z,19,FALSE)+VLOOKUP($A165,A:AL,28,FALSE)-50))</f>
        <v>720</v>
      </c>
      <c r="AB165" s="3">
        <v>736</v>
      </c>
      <c r="AC165" s="3">
        <f>IF(ISERROR((VLOOKUP($A165,'SegEnds_NonXtal_BW#'!$A:$Z,20,FALSE)+VLOOKUP($A165,A:AL,28,FALSE)-50)),"-",(VLOOKUP($A165,'SegEnds_NonXtal_BW#'!$A:$Z,20,FALSE)+VLOOKUP($A165,A:AL,28,FALSE)-50))</f>
        <v>753</v>
      </c>
      <c r="AD165" s="3">
        <f>IF(ISERROR(VLOOKUP($A165,'SegEnds_NonXtal_BW#'!$A:$Z,21,FALSE)+VLOOKUP($A165,A:AL,31,FALSE)-50),"-",(VLOOKUP($A165,'SegEnds_NonXtal_BW#'!$A:$Z,21,FALSE)+VLOOKUP($A165,A:AL,31,FALSE)-50))</f>
        <v>759</v>
      </c>
      <c r="AE165" s="3">
        <v>781</v>
      </c>
      <c r="AF165" s="3">
        <f>IF(ISERROR((VLOOKUP($A165,'SegEnds_NonXtal_BW#'!$A:$Z,22,FALSE)+VLOOKUP($A165,A:AL,31,FALSE)-50)),"-",(VLOOKUP($A165,'SegEnds_NonXtal_BW#'!$A:$Z,22,FALSE)+VLOOKUP($A165,A:AL,31,FALSE)-50))</f>
        <v>792</v>
      </c>
      <c r="AG165" s="3">
        <f>IF(ISERROR(VLOOKUP($A165,'SegEnds_NonXtal_BW#'!$A:$Z,23,FALSE)+VLOOKUP($A165,A:AL,34,FALSE)-50),"-",(VLOOKUP($A165,'SegEnds_NonXtal_BW#'!$A:$Z,23,FALSE)+VLOOKUP($A165,A:AL,34,FALSE)-50))</f>
        <v>798</v>
      </c>
      <c r="AH165" s="3">
        <v>817</v>
      </c>
      <c r="AI165" s="3">
        <f>IF(ISERROR((VLOOKUP($A165,'SegEnds_NonXtal_BW#'!$A:$Z,24,FALSE)+VLOOKUP($A165,A:AL,34,FALSE)-50)),"-",(VLOOKUP($A165,'SegEnds_NonXtal_BW#'!$A:$Z,24,FALSE)+VLOOKUP($A165,A:AL,34,FALSE)-50))</f>
        <v>823</v>
      </c>
      <c r="AJ165" s="3">
        <f>IF(ISERROR(VLOOKUP($A165,'SegEnds_NonXtal_BW#'!$A:$Z,25,FALSE)+VLOOKUP($A165,A:AL,37,FALSE)-50),"-",(VLOOKUP($A165,'SegEnds_NonXtal_BW#'!$A:$Z,25,FALSE)+VLOOKUP($A165,A:AL,37,FALSE)-50))</f>
        <v>824</v>
      </c>
      <c r="AK165" s="3">
        <v>827</v>
      </c>
      <c r="AL165" s="3">
        <f>IF(ISERROR((VLOOKUP($A165,'SegEnds_NonXtal_BW#'!$A:$Z,26,FALSE)+VLOOKUP($A165,A:AL,37,FALSE)-50)),"-",(VLOOKUP($A165,'SegEnds_NonXtal_BW#'!$A:$Z,26,FALSE)+VLOOKUP($A165,A:AL,37,FALSE)-50))</f>
        <v>846</v>
      </c>
      <c r="AM165" s="28" t="str">
        <f>VLOOKUP(A165,Classification!A:B,2,FALSE)</f>
        <v>A</v>
      </c>
      <c r="AN165" s="28" t="b">
        <f t="shared" si="98"/>
        <v>1</v>
      </c>
      <c r="AO165" s="3" t="str">
        <f>IF(ISERROR(MATCH(A165,'SegEnds_Xtal_Prot#'!B:B, 0)), "NoXtal", "Xtal")</f>
        <v>NoXtal</v>
      </c>
      <c r="AP165" s="3" t="str">
        <f t="shared" si="81"/>
        <v>-</v>
      </c>
      <c r="AQ165" s="3" t="str">
        <f t="shared" si="82"/>
        <v>-</v>
      </c>
      <c r="AR165" s="3" t="str">
        <f t="shared" si="83"/>
        <v>-</v>
      </c>
      <c r="AS165" s="3" t="str">
        <f t="shared" si="84"/>
        <v>-</v>
      </c>
      <c r="AT165" s="3">
        <f t="shared" si="85"/>
        <v>1</v>
      </c>
      <c r="AU165" s="3">
        <f t="shared" si="86"/>
        <v>1</v>
      </c>
      <c r="AV165" s="3">
        <f t="shared" si="87"/>
        <v>10</v>
      </c>
      <c r="AW165" s="3">
        <f t="shared" si="88"/>
        <v>6</v>
      </c>
      <c r="AX165" s="3">
        <f t="shared" si="89"/>
        <v>6</v>
      </c>
      <c r="AY165" s="3">
        <f t="shared" si="90"/>
        <v>6</v>
      </c>
      <c r="AZ165" s="3">
        <f t="shared" si="91"/>
        <v>1</v>
      </c>
      <c r="BA165" s="3">
        <f>IF(ISERROR(LEN(VLOOKUP(A165,Seqs!A:E,2,FALSE))-AL165),"-",LEN(VLOOKUP(A165,Seqs!A:E,2,FALSE))-AL165)</f>
        <v>61</v>
      </c>
      <c r="BB165" s="16">
        <f t="shared" si="92"/>
        <v>28</v>
      </c>
      <c r="BC165" s="9">
        <f t="shared" si="93"/>
        <v>20</v>
      </c>
      <c r="BD165" s="3">
        <f t="shared" si="94"/>
        <v>28</v>
      </c>
      <c r="BE165" s="3">
        <f t="shared" si="95"/>
        <v>45</v>
      </c>
    </row>
    <row r="166" spans="1:58" s="3" customFormat="1" x14ac:dyDescent="0.2">
      <c r="A166" s="3" t="s">
        <v>285</v>
      </c>
      <c r="B166" s="3" t="str">
        <f>LOWER(VLOOKUP(A166,Xtal_Templ!A:B,2,FALSE))</f>
        <v>adrb2_human</v>
      </c>
      <c r="C166" s="3">
        <f>VLOOKUP($A166,'SegEnds_NonXtal_BW#'!$A:$Z,3,FALSE)+D166-50</f>
        <v>554</v>
      </c>
      <c r="D166" s="3">
        <v>579</v>
      </c>
      <c r="E166" s="3">
        <f>IF(ISERROR(VLOOKUP($A166,'SegEnds_NonXtal_BW#'!$A:$Z,4,FALSE)+VLOOKUP($A166,A:AL,4,FALSE)-50),"-",(VLOOKUP($A166,'SegEnds_NonXtal_BW#'!$A:$Z,4,FALSE)+VLOOKUP($A166,A:AL,4,FALSE)-50))</f>
        <v>589</v>
      </c>
      <c r="F166" s="3" t="str">
        <f>IF(ISERROR(VLOOKUP($A166,'SegEnds_NonXtal_BW#'!$A:$Z,5,FALSE)+VLOOKUP($A166,A:AL,7,FALSE)-50),"-",(VLOOKUP($A166,'SegEnds_NonXtal_BW#'!$A:$Z,5,FALSE)+VLOOKUP($A166,A:AL,7,FALSE)-50))</f>
        <v>-</v>
      </c>
      <c r="G166" s="3" t="s">
        <v>23</v>
      </c>
      <c r="H166" s="3" t="str">
        <f>IF(ISERROR(VLOOKUP($A166,'SegEnds_NonXtal_BW#'!$A:$Z,6,FALSE)+VLOOKUP($A166,A:AL,7,FALSE)-50),"-",(VLOOKUP($A166,'SegEnds_NonXtal_BW#'!$A:$Z,6,FALSE)+VLOOKUP($A166,A:AL,7,FALSE)-50))</f>
        <v>-</v>
      </c>
      <c r="I166" s="3">
        <f>VLOOKUP($A166,'SegEnds_NonXtal_BW#'!$A:$Z,7,FALSE)+J166-50</f>
        <v>595</v>
      </c>
      <c r="J166" s="3">
        <v>608</v>
      </c>
      <c r="K166" s="3">
        <f>VLOOKUP($A166,'SegEnds_NonXtal_BW#'!$A:$Z,8,FALSE)+VLOOKUP($A166,A:AL,10,FALSE)-50</f>
        <v>625</v>
      </c>
      <c r="L166" s="3" t="str">
        <f>IF(ISERROR(VLOOKUP($A166,'SegEnds_NonXtal_BW#'!$A:$Z,9,FALSE)+VLOOKUP($A166,A:AL,13,FALSE)-50),"-",(VLOOKUP($A166,'SegEnds_NonXtal_BW#'!$A:$Z,9,FALSE)+VLOOKUP($A166,A:AL,13,FALSE)-50))</f>
        <v>-</v>
      </c>
      <c r="M166" s="3" t="s">
        <v>23</v>
      </c>
      <c r="N166" s="3" t="str">
        <f>IF(ISERROR(VLOOKUP($A166,'SegEnds_NonXtal_BW#'!$A:$Z,10,FALSE)+VLOOKUP($A166,A:AL,13,FALSE)-50),"-",(VLOOKUP($A166,'SegEnds_NonXtal_BW#'!$A:$Z,10,FALSE)+VLOOKUP($A166,A:AL,13,FALSE)-50))</f>
        <v>-</v>
      </c>
      <c r="O166" s="3">
        <f>VLOOKUP($A166,'SegEnds_NonXtal_BW#'!$A:$Z,11,FALSE)+VLOOKUP($A166,A:AL,16,FALSE)-50</f>
        <v>635</v>
      </c>
      <c r="P166" s="3">
        <v>667</v>
      </c>
      <c r="Q166" s="3">
        <f>VLOOKUP($A166,'SegEnds_NonXtal_BW#'!$A:$Z,12,FALSE)+VLOOKUP($A166,A:AL,16,FALSE)-50</f>
        <v>673</v>
      </c>
      <c r="R166" s="3">
        <f>IF(ISERROR(VLOOKUP($A166,'SegEnds_NonXtal_BW#'!$A:$Z,13,FALSE)+VLOOKUP($A166,A:AL,19,FALSE)-50),"-",VLOOKUP($A166,'SegEnds_NonXtal_BW#'!$A:$Z,13,FALSE)+VLOOKUP($A166,A:AL,19,FALSE)-50)</f>
        <v>674</v>
      </c>
      <c r="S166" s="3">
        <v>674</v>
      </c>
      <c r="T166" s="100">
        <f>IF(ISERROR(VLOOKUP($A166,'SegEnds_NonXtal_BW#'!$A:$Z,14,FALSE)+VLOOKUP($A166,A:AL,19,FALSE)-50),"-",(VLOOKUP($A166,'SegEnds_NonXtal_BW#'!$A:$Z,14,FALSE)+VLOOKUP($A166,A:AL,19,FALSE)-50))</f>
        <v>681</v>
      </c>
      <c r="U166" s="9">
        <f>IF(ISERROR(VLOOKUP($A166,'SegEnds_NonXtal_BW#'!$A:$Z,15,FALSE)+VLOOKUP($A166,A:AL,22,FALSE)-50),"-",VLOOKUP($A166,'SegEnds_NonXtal_BW#'!$A:$Z,15,FALSE)+VLOOKUP($A166,A:AL,22,FALSE)-50)</f>
        <v>682</v>
      </c>
      <c r="V166" s="3">
        <v>694</v>
      </c>
      <c r="W166" s="3">
        <f>IF(ISERROR(VLOOKUP($A166,'SegEnds_NonXtal_BW#'!$A:$Z,16,FALSE)+VLOOKUP($A166,A:AL,22,FALSE)-50),"-",(VLOOKUP($A166,'SegEnds_NonXtal_BW#'!$A:$Z,16,FALSE)+VLOOKUP($A166,A:AL,22,FALSE)-50))</f>
        <v>708</v>
      </c>
      <c r="X166" s="3">
        <f>IF(ISERROR(VLOOKUP($A166,'SegEnds_NonXtal_BW#'!$A:$Z,17,FALSE)+VLOOKUP($A166,A:AL,25,FALSE)-50),"-",(VLOOKUP($A166,'SegEnds_NonXtal_BW#'!$A:$Z,17,FALSE)+VLOOKUP($A166,A:AL,25,FALSE)-50))</f>
        <v>717</v>
      </c>
      <c r="Y166" s="3">
        <v>717</v>
      </c>
      <c r="Z166" s="3">
        <f t="shared" si="103"/>
        <v>719</v>
      </c>
      <c r="AA166" s="3">
        <f>IF(ISERROR(VLOOKUP($A166,'SegEnds_NonXtal_BW#'!$A:$Z,19,FALSE)+VLOOKUP($A166,A:AL,28,FALSE)-50),"-",(VLOOKUP($A166,'SegEnds_NonXtal_BW#'!$A:$Z,19,FALSE)+VLOOKUP($A166,A:AL,28,FALSE)-50))</f>
        <v>728</v>
      </c>
      <c r="AB166" s="3">
        <v>743</v>
      </c>
      <c r="AC166" s="3">
        <f>IF(ISERROR((VLOOKUP($A166,'SegEnds_NonXtal_BW#'!$A:$Z,20,FALSE)+VLOOKUP($A166,A:AL,28,FALSE)-50)),"-",(VLOOKUP($A166,'SegEnds_NonXtal_BW#'!$A:$Z,20,FALSE)+VLOOKUP($A166,A:AL,28,FALSE)-50))</f>
        <v>760</v>
      </c>
      <c r="AD166" s="3">
        <f>IF(ISERROR(VLOOKUP($A166,'SegEnds_NonXtal_BW#'!$A:$Z,21,FALSE)+VLOOKUP($A166,A:AL,31,FALSE)-50),"-",(VLOOKUP($A166,'SegEnds_NonXtal_BW#'!$A:$Z,21,FALSE)+VLOOKUP($A166,A:AL,31,FALSE)-50))</f>
        <v>766</v>
      </c>
      <c r="AE166" s="3">
        <v>788</v>
      </c>
      <c r="AF166" s="3">
        <f>IF(ISERROR((VLOOKUP($A166,'SegEnds_NonXtal_BW#'!$A:$Z,22,FALSE)+VLOOKUP($A166,A:AL,31,FALSE)-50)),"-",(VLOOKUP($A166,'SegEnds_NonXtal_BW#'!$A:$Z,22,FALSE)+VLOOKUP($A166,A:AL,31,FALSE)-50))</f>
        <v>799</v>
      </c>
      <c r="AG166" s="3">
        <f>IF(ISERROR(VLOOKUP($A166,'SegEnds_NonXtal_BW#'!$A:$Z,23,FALSE)+VLOOKUP($A166,A:AL,34,FALSE)-50),"-",(VLOOKUP($A166,'SegEnds_NonXtal_BW#'!$A:$Z,23,FALSE)+VLOOKUP($A166,A:AL,34,FALSE)-50))</f>
        <v>805</v>
      </c>
      <c r="AH166" s="3">
        <v>824</v>
      </c>
      <c r="AI166" s="3">
        <f>IF(ISERROR((VLOOKUP($A166,'SegEnds_NonXtal_BW#'!$A:$Z,24,FALSE)+VLOOKUP($A166,A:AL,34,FALSE)-50)),"-",(VLOOKUP($A166,'SegEnds_NonXtal_BW#'!$A:$Z,24,FALSE)+VLOOKUP($A166,A:AL,34,FALSE)-50))</f>
        <v>830</v>
      </c>
      <c r="AJ166" s="3">
        <f>IF(ISERROR(VLOOKUP($A166,'SegEnds_NonXtal_BW#'!$A:$Z,25,FALSE)+VLOOKUP($A166,A:AL,37,FALSE)-50),"-",(VLOOKUP($A166,'SegEnds_NonXtal_BW#'!$A:$Z,25,FALSE)+VLOOKUP($A166,A:AL,37,FALSE)-50))</f>
        <v>831</v>
      </c>
      <c r="AK166" s="3">
        <v>834</v>
      </c>
      <c r="AL166" s="3">
        <f>IF(ISERROR((VLOOKUP($A166,'SegEnds_NonXtal_BW#'!$A:$Z,26,FALSE)+VLOOKUP($A166,A:AL,37,FALSE)-50)),"-",(VLOOKUP($A166,'SegEnds_NonXtal_BW#'!$A:$Z,26,FALSE)+VLOOKUP($A166,A:AL,37,FALSE)-50))</f>
        <v>843</v>
      </c>
      <c r="AM166" s="28" t="str">
        <f>VLOOKUP(A166,Classification!A:B,2,FALSE)</f>
        <v>A</v>
      </c>
      <c r="AN166" s="28" t="b">
        <f t="shared" si="98"/>
        <v>1</v>
      </c>
      <c r="AO166" s="3" t="str">
        <f>IF(ISERROR(MATCH(A166,'SegEnds_Xtal_Prot#'!B:B, 0)), "NoXtal", "Xtal")</f>
        <v>NoXtal</v>
      </c>
      <c r="AP166" s="3" t="str">
        <f t="shared" si="81"/>
        <v>-</v>
      </c>
      <c r="AQ166" s="3" t="str">
        <f t="shared" si="82"/>
        <v>-</v>
      </c>
      <c r="AR166" s="3" t="str">
        <f t="shared" si="83"/>
        <v>-</v>
      </c>
      <c r="AS166" s="3" t="str">
        <f t="shared" si="84"/>
        <v>-</v>
      </c>
      <c r="AT166" s="3">
        <f t="shared" si="85"/>
        <v>1</v>
      </c>
      <c r="AU166" s="3">
        <f t="shared" si="86"/>
        <v>1</v>
      </c>
      <c r="AV166" s="3">
        <f t="shared" si="87"/>
        <v>9</v>
      </c>
      <c r="AW166" s="3">
        <f t="shared" si="88"/>
        <v>9</v>
      </c>
      <c r="AX166" s="3">
        <f t="shared" si="89"/>
        <v>6</v>
      </c>
      <c r="AY166" s="3">
        <f t="shared" si="90"/>
        <v>6</v>
      </c>
      <c r="AZ166" s="3">
        <f t="shared" si="91"/>
        <v>1</v>
      </c>
      <c r="BA166" s="3">
        <f>IF(ISERROR(LEN(VLOOKUP(A166,Seqs!A:E,2,FALSE))-AL166),"-",LEN(VLOOKUP(A166,Seqs!A:E,2,FALSE))-AL166)</f>
        <v>124</v>
      </c>
      <c r="BB166" s="16">
        <f t="shared" si="92"/>
        <v>29</v>
      </c>
      <c r="BC166" s="9">
        <f t="shared" si="93"/>
        <v>20</v>
      </c>
      <c r="BD166" s="3">
        <f t="shared" si="94"/>
        <v>29</v>
      </c>
      <c r="BE166" s="3">
        <f t="shared" si="95"/>
        <v>45</v>
      </c>
    </row>
    <row r="167" spans="1:58" s="3" customFormat="1" x14ac:dyDescent="0.2">
      <c r="A167" s="3" t="s">
        <v>288</v>
      </c>
      <c r="B167" s="3" t="str">
        <f>LOWER(VLOOKUP(A167,Xtal_Templ!A:B,2,FALSE))</f>
        <v>oprk_human</v>
      </c>
      <c r="C167" s="3">
        <f>VLOOKUP($A167,'SegEnds_NonXtal_BW#'!$A:$Z,3,FALSE)+D167-50</f>
        <v>37</v>
      </c>
      <c r="D167" s="3">
        <v>57</v>
      </c>
      <c r="E167" s="3">
        <f>IF(ISERROR(VLOOKUP($A167,'SegEnds_NonXtal_BW#'!$A:$Z,4,FALSE)+VLOOKUP($A167,A:AL,4,FALSE)-50),"-",(VLOOKUP($A167,'SegEnds_NonXtal_BW#'!$A:$Z,4,FALSE)+VLOOKUP($A167,A:AL,4,FALSE)-50))</f>
        <v>67</v>
      </c>
      <c r="F167" s="3">
        <f t="shared" ref="F167:F172" si="105">G167-2</f>
        <v>68</v>
      </c>
      <c r="G167" s="3">
        <v>70</v>
      </c>
      <c r="H167" s="3">
        <f t="shared" ref="H167:I172" si="106">G167+1</f>
        <v>71</v>
      </c>
      <c r="I167" s="3">
        <f t="shared" si="106"/>
        <v>72</v>
      </c>
      <c r="J167" s="3">
        <v>85</v>
      </c>
      <c r="K167" s="3">
        <f>VLOOKUP($A167,'SegEnds_NonXtal_BW#'!$A:$Z,8,FALSE)+VLOOKUP($A167,A:AL,10,FALSE)-50</f>
        <v>101</v>
      </c>
      <c r="L167" s="3">
        <f t="shared" ref="L167:L172" si="107">M167-1</f>
        <v>103</v>
      </c>
      <c r="M167" s="3">
        <v>104</v>
      </c>
      <c r="N167" s="3">
        <f t="shared" ref="N167:N172" si="108">M167+2</f>
        <v>106</v>
      </c>
      <c r="O167" s="3">
        <f t="shared" ref="O167:O172" si="109">N167+1</f>
        <v>107</v>
      </c>
      <c r="P167" s="3">
        <v>136</v>
      </c>
      <c r="Q167" s="3">
        <f>VLOOKUP($A167,'SegEnds_NonXtal_BW#'!$A:$Z,12,FALSE)+VLOOKUP($A167,A:AL,16,FALSE)-50</f>
        <v>142</v>
      </c>
      <c r="R167" s="3">
        <f>IF(ISERROR(VLOOKUP($A167,'SegEnds_NonXtal_BW#'!$A:$Z,13,FALSE)+VLOOKUP($A167,A:AL,19,FALSE)-50),"-",VLOOKUP($A167,'SegEnds_NonXtal_BW#'!$A:$Z,13,FALSE)+VLOOKUP($A167,A:AL,19,FALSE)-50)</f>
        <v>143</v>
      </c>
      <c r="S167" s="3">
        <v>143</v>
      </c>
      <c r="T167" s="100">
        <f>IF(ISERROR(VLOOKUP($A167,'SegEnds_NonXtal_BW#'!$A:$Z,14,FALSE)+VLOOKUP($A167,A:AL,19,FALSE)-50),"-",(VLOOKUP($A167,'SegEnds_NonXtal_BW#'!$A:$Z,14,FALSE)+VLOOKUP($A167,A:AL,19,FALSE)-50))</f>
        <v>150</v>
      </c>
      <c r="U167" s="9">
        <f>IF(ISERROR(VLOOKUP($A167,'SegEnds_NonXtal_BW#'!$A:$Z,15,FALSE)+VLOOKUP($A167,A:AL,22,FALSE)-50),"-",VLOOKUP($A167,'SegEnds_NonXtal_BW#'!$A:$Z,15,FALSE)+VLOOKUP($A167,A:AL,22,FALSE)-50)</f>
        <v>151</v>
      </c>
      <c r="V167" s="3">
        <v>163</v>
      </c>
      <c r="W167" s="3">
        <f>IF(ISERROR(VLOOKUP($A167,'SegEnds_NonXtal_BW#'!$A:$Z,16,FALSE)+VLOOKUP($A167,A:AL,22,FALSE)-50),"-",(VLOOKUP($A167,'SegEnds_NonXtal_BW#'!$A:$Z,16,FALSE)+VLOOKUP($A167,A:AL,22,FALSE)-50))</f>
        <v>177</v>
      </c>
      <c r="X167" s="3">
        <f>IF(ISERROR(VLOOKUP($A167,'SegEnds_NonXtal_BW#'!$A:$Z,17,FALSE)+VLOOKUP($A167,A:AL,25,FALSE)-50),"-",(VLOOKUP($A167,'SegEnds_NonXtal_BW#'!$A:$Z,17,FALSE)+VLOOKUP($A167,A:AL,25,FALSE)-50))</f>
        <v>188</v>
      </c>
      <c r="Y167" s="3">
        <v>188</v>
      </c>
      <c r="Z167" s="3">
        <f t="shared" si="103"/>
        <v>190</v>
      </c>
      <c r="AA167" s="3">
        <f>IF(ISERROR(VLOOKUP($A167,'SegEnds_NonXtal_BW#'!$A:$Z,19,FALSE)+VLOOKUP($A167,A:AL,28,FALSE)-50),"-",(VLOOKUP($A167,'SegEnds_NonXtal_BW#'!$A:$Z,19,FALSE)+VLOOKUP($A167,A:AL,28,FALSE)-50))</f>
        <v>196</v>
      </c>
      <c r="AB167" s="3">
        <v>216</v>
      </c>
      <c r="AC167" s="3">
        <f>IF(ISERROR((VLOOKUP($A167,'SegEnds_NonXtal_BW#'!$A:$Z,20,FALSE)+VLOOKUP($A167,A:AL,28,FALSE)-50)),"-",(VLOOKUP($A167,'SegEnds_NonXtal_BW#'!$A:$Z,20,FALSE)+VLOOKUP($A167,A:AL,28,FALSE)-50))</f>
        <v>234</v>
      </c>
      <c r="AD167" s="3">
        <f>IF(ISERROR(VLOOKUP($A167,'SegEnds_NonXtal_BW#'!$A:$Z,21,FALSE)+VLOOKUP($A167,A:AL,31,FALSE)-50),"-",(VLOOKUP($A167,'SegEnds_NonXtal_BW#'!$A:$Z,21,FALSE)+VLOOKUP($A167,A:AL,31,FALSE)-50))</f>
        <v>238</v>
      </c>
      <c r="AE167" s="3">
        <v>264</v>
      </c>
      <c r="AF167" s="3">
        <f>IF(ISERROR((VLOOKUP($A167,'SegEnds_NonXtal_BW#'!$A:$Z,22,FALSE)+VLOOKUP($A167,A:AL,31,FALSE)-50)),"-",(VLOOKUP($A167,'SegEnds_NonXtal_BW#'!$A:$Z,22,FALSE)+VLOOKUP($A167,A:AL,31,FALSE)-50))</f>
        <v>278</v>
      </c>
      <c r="AG167" s="3">
        <f>IF(ISERROR(VLOOKUP($A167,'SegEnds_NonXtal_BW#'!$A:$Z,23,FALSE)+VLOOKUP($A167,A:AL,34,FALSE)-50),"-",(VLOOKUP($A167,'SegEnds_NonXtal_BW#'!$A:$Z,23,FALSE)+VLOOKUP($A167,A:AL,34,FALSE)-50))</f>
        <v>282</v>
      </c>
      <c r="AH167" s="3">
        <v>308</v>
      </c>
      <c r="AI167" s="3">
        <f>IF(ISERROR((VLOOKUP($A167,'SegEnds_NonXtal_BW#'!$A:$Z,24,FALSE)+VLOOKUP($A167,A:AL,34,FALSE)-50)),"-",(VLOOKUP($A167,'SegEnds_NonXtal_BW#'!$A:$Z,24,FALSE)+VLOOKUP($A167,A:AL,34,FALSE)-50))</f>
        <v>314</v>
      </c>
      <c r="AJ167" s="3">
        <f>IF(ISERROR(VLOOKUP($A167,'SegEnds_NonXtal_BW#'!$A:$Z,25,FALSE)+VLOOKUP($A167,A:AL,37,FALSE)-50),"-",(VLOOKUP($A167,'SegEnds_NonXtal_BW#'!$A:$Z,25,FALSE)+VLOOKUP($A167,A:AL,37,FALSE)-50))</f>
        <v>315</v>
      </c>
      <c r="AK167" s="3">
        <v>318</v>
      </c>
      <c r="AL167" s="3">
        <f>IF(ISERROR((VLOOKUP($A167,'SegEnds_NonXtal_BW#'!$A:$Z,26,FALSE)+VLOOKUP($A167,A:AL,37,FALSE)-50)),"-",(VLOOKUP($A167,'SegEnds_NonXtal_BW#'!$A:$Z,26,FALSE)+VLOOKUP($A167,A:AL,37,FALSE)-50))</f>
        <v>327</v>
      </c>
      <c r="AM167" s="28" t="str">
        <f>VLOOKUP(A167,Classification!A:B,2,FALSE)</f>
        <v>A</v>
      </c>
      <c r="AN167" s="28" t="b">
        <f t="shared" si="98"/>
        <v>1</v>
      </c>
      <c r="AO167" s="3" t="str">
        <f>IF(ISERROR(MATCH(A167,'SegEnds_Xtal_Prot#'!B:B, 0)), "NoXtal", "Xtal")</f>
        <v>NoXtal</v>
      </c>
      <c r="AP167" s="3">
        <f t="shared" si="81"/>
        <v>1</v>
      </c>
      <c r="AQ167" s="3">
        <f t="shared" si="82"/>
        <v>1</v>
      </c>
      <c r="AR167" s="3">
        <f t="shared" si="83"/>
        <v>2</v>
      </c>
      <c r="AS167" s="3">
        <f t="shared" si="84"/>
        <v>1</v>
      </c>
      <c r="AT167" s="3">
        <f t="shared" si="85"/>
        <v>1</v>
      </c>
      <c r="AU167" s="3">
        <f t="shared" si="86"/>
        <v>1</v>
      </c>
      <c r="AV167" s="3">
        <f t="shared" si="87"/>
        <v>11</v>
      </c>
      <c r="AW167" s="3">
        <f t="shared" si="88"/>
        <v>6</v>
      </c>
      <c r="AX167" s="3">
        <f t="shared" si="89"/>
        <v>4</v>
      </c>
      <c r="AY167" s="3">
        <f t="shared" si="90"/>
        <v>4</v>
      </c>
      <c r="AZ167" s="3">
        <f t="shared" si="91"/>
        <v>1</v>
      </c>
      <c r="BA167" s="3">
        <f>IF(ISERROR(LEN(VLOOKUP(A167,Seqs!A:E,2,FALSE))-AL167),"-",LEN(VLOOKUP(A167,Seqs!A:E,2,FALSE))-AL167)</f>
        <v>43</v>
      </c>
      <c r="BB167" s="16">
        <f t="shared" si="92"/>
        <v>28</v>
      </c>
      <c r="BC167" s="9">
        <f t="shared" si="93"/>
        <v>20</v>
      </c>
      <c r="BD167" s="3">
        <f t="shared" si="94"/>
        <v>28</v>
      </c>
      <c r="BE167" s="3">
        <f t="shared" si="95"/>
        <v>48</v>
      </c>
    </row>
    <row r="168" spans="1:58" s="3" customFormat="1" x14ac:dyDescent="0.2">
      <c r="A168" s="3" t="s">
        <v>289</v>
      </c>
      <c r="B168" s="3" t="str">
        <f>LOWER(VLOOKUP(A168,Xtal_Templ!A:B,2,FALSE))</f>
        <v>par2_human</v>
      </c>
      <c r="C168" s="3">
        <f>VLOOKUP($A168,'SegEnds_NonXtal_BW#'!$A:$Z,3,FALSE)+D168-50</f>
        <v>18</v>
      </c>
      <c r="D168" s="3">
        <v>40</v>
      </c>
      <c r="E168" s="3">
        <f>IF(ISERROR(VLOOKUP($A168,'SegEnds_NonXtal_BW#'!$A:$Z,4,FALSE)+VLOOKUP($A168,A:AL,4,FALSE)-50),"-",(VLOOKUP($A168,'SegEnds_NonXtal_BW#'!$A:$Z,4,FALSE)+VLOOKUP($A168,A:AL,4,FALSE)-50))</f>
        <v>50</v>
      </c>
      <c r="F168" s="3">
        <f t="shared" si="105"/>
        <v>51</v>
      </c>
      <c r="G168" s="3">
        <v>53</v>
      </c>
      <c r="H168" s="3">
        <f t="shared" si="106"/>
        <v>54</v>
      </c>
      <c r="I168" s="3">
        <f t="shared" si="106"/>
        <v>55</v>
      </c>
      <c r="J168" s="3">
        <v>68</v>
      </c>
      <c r="K168" s="3">
        <f>VLOOKUP($A168,'SegEnds_NonXtal_BW#'!$A:$Z,8,FALSE)+VLOOKUP($A168,A:AL,10,FALSE)-50</f>
        <v>84</v>
      </c>
      <c r="L168" s="3">
        <f t="shared" si="107"/>
        <v>86</v>
      </c>
      <c r="M168" s="3">
        <v>87</v>
      </c>
      <c r="N168" s="3">
        <f t="shared" si="108"/>
        <v>89</v>
      </c>
      <c r="O168" s="3">
        <f t="shared" si="109"/>
        <v>90</v>
      </c>
      <c r="P168" s="3">
        <v>119</v>
      </c>
      <c r="Q168" s="3">
        <f>VLOOKUP($A168,'SegEnds_NonXtal_BW#'!$A:$Z,12,FALSE)+VLOOKUP($A168,A:AL,16,FALSE)-50</f>
        <v>125</v>
      </c>
      <c r="R168" s="3">
        <f>IF(ISERROR(VLOOKUP($A168,'SegEnds_NonXtal_BW#'!$A:$Z,13,FALSE)+VLOOKUP($A168,A:AL,19,FALSE)-50),"-",VLOOKUP($A168,'SegEnds_NonXtal_BW#'!$A:$Z,13,FALSE)+VLOOKUP($A168,A:AL,19,FALSE)-50)</f>
        <v>126</v>
      </c>
      <c r="S168" s="3">
        <v>126</v>
      </c>
      <c r="T168" s="100">
        <f>IF(ISERROR(VLOOKUP($A168,'SegEnds_NonXtal_BW#'!$A:$Z,14,FALSE)+VLOOKUP($A168,A:AL,19,FALSE)-50),"-",(VLOOKUP($A168,'SegEnds_NonXtal_BW#'!$A:$Z,14,FALSE)+VLOOKUP($A168,A:AL,19,FALSE)-50))</f>
        <v>133</v>
      </c>
      <c r="U168" s="9">
        <f>IF(ISERROR(VLOOKUP($A168,'SegEnds_NonXtal_BW#'!$A:$Z,15,FALSE)+VLOOKUP($A168,A:AL,22,FALSE)-50),"-",VLOOKUP($A168,'SegEnds_NonXtal_BW#'!$A:$Z,15,FALSE)+VLOOKUP($A168,A:AL,22,FALSE)-50)</f>
        <v>134</v>
      </c>
      <c r="V168" s="3">
        <v>146</v>
      </c>
      <c r="W168" s="3">
        <f>IF(ISERROR(VLOOKUP($A168,'SegEnds_NonXtal_BW#'!$A:$Z,16,FALSE)+VLOOKUP($A168,A:AL,22,FALSE)-50),"-",(VLOOKUP($A168,'SegEnds_NonXtal_BW#'!$A:$Z,16,FALSE)+VLOOKUP($A168,A:AL,22,FALSE)-50))</f>
        <v>158</v>
      </c>
      <c r="X168" s="3">
        <f>IF(ISERROR(VLOOKUP($A168,'SegEnds_NonXtal_BW#'!$A:$Z,17,FALSE)+VLOOKUP($A168,A:AL,25,FALSE)-50),"-",(VLOOKUP($A168,'SegEnds_NonXtal_BW#'!$A:$Z,17,FALSE)+VLOOKUP($A168,A:AL,25,FALSE)-50))</f>
        <v>175</v>
      </c>
      <c r="Y168" s="3">
        <v>175</v>
      </c>
      <c r="Z168" s="3">
        <f t="shared" si="103"/>
        <v>177</v>
      </c>
      <c r="AA168" s="3">
        <f>IF(ISERROR(VLOOKUP($A168,'SegEnds_NonXtal_BW#'!$A:$Z,19,FALSE)+VLOOKUP($A168,A:AL,28,FALSE)-50),"-",(VLOOKUP($A168,'SegEnds_NonXtal_BW#'!$A:$Z,19,FALSE)+VLOOKUP($A168,A:AL,28,FALSE)-50))</f>
        <v>184</v>
      </c>
      <c r="AB168" s="3">
        <v>203</v>
      </c>
      <c r="AC168" s="3">
        <f>IF(ISERROR((VLOOKUP($A168,'SegEnds_NonXtal_BW#'!$A:$Z,20,FALSE)+VLOOKUP($A168,A:AL,28,FALSE)-50)),"-",(VLOOKUP($A168,'SegEnds_NonXtal_BW#'!$A:$Z,20,FALSE)+VLOOKUP($A168,A:AL,28,FALSE)-50))</f>
        <v>220</v>
      </c>
      <c r="AD168" s="3">
        <f>IF(ISERROR(VLOOKUP($A168,'SegEnds_NonXtal_BW#'!$A:$Z,21,FALSE)+VLOOKUP($A168,A:AL,31,FALSE)-50),"-",(VLOOKUP($A168,'SegEnds_NonXtal_BW#'!$A:$Z,21,FALSE)+VLOOKUP($A168,A:AL,31,FALSE)-50))</f>
        <v>225</v>
      </c>
      <c r="AE168" s="3">
        <v>249</v>
      </c>
      <c r="AF168" s="3">
        <f>IF(ISERROR((VLOOKUP($A168,'SegEnds_NonXtal_BW#'!$A:$Z,22,FALSE)+VLOOKUP($A168,A:AL,31,FALSE)-50)),"-",(VLOOKUP($A168,'SegEnds_NonXtal_BW#'!$A:$Z,22,FALSE)+VLOOKUP($A168,A:AL,31,FALSE)-50))</f>
        <v>263</v>
      </c>
      <c r="AG168" s="3">
        <f>IF(ISERROR(VLOOKUP($A168,'SegEnds_NonXtal_BW#'!$A:$Z,23,FALSE)+VLOOKUP($A168,A:AL,34,FALSE)-50),"-",(VLOOKUP($A168,'SegEnds_NonXtal_BW#'!$A:$Z,23,FALSE)+VLOOKUP($A168,A:AL,34,FALSE)-50))</f>
        <v>268</v>
      </c>
      <c r="AH168" s="3">
        <v>294</v>
      </c>
      <c r="AI168" s="3">
        <f>IF(ISERROR((VLOOKUP($A168,'SegEnds_NonXtal_BW#'!$A:$Z,24,FALSE)+VLOOKUP($A168,A:AL,34,FALSE)-50)),"-",(VLOOKUP($A168,'SegEnds_NonXtal_BW#'!$A:$Z,24,FALSE)+VLOOKUP($A168,A:AL,34,FALSE)-50))</f>
        <v>300</v>
      </c>
      <c r="AJ168" s="3">
        <f>IF(ISERROR(VLOOKUP($A168,'SegEnds_NonXtal_BW#'!$A:$Z,25,FALSE)+VLOOKUP($A168,A:AL,37,FALSE)-50),"-",(VLOOKUP($A168,'SegEnds_NonXtal_BW#'!$A:$Z,25,FALSE)+VLOOKUP($A168,A:AL,37,FALSE)-50))</f>
        <v>301</v>
      </c>
      <c r="AK168" s="3">
        <v>304</v>
      </c>
      <c r="AL168" s="3">
        <f>IF(ISERROR((VLOOKUP($A168,'SegEnds_NonXtal_BW#'!$A:$Z,26,FALSE)+VLOOKUP($A168,A:AL,37,FALSE)-50)),"-",(VLOOKUP($A168,'SegEnds_NonXtal_BW#'!$A:$Z,26,FALSE)+VLOOKUP($A168,A:AL,37,FALSE)-50))</f>
        <v>315</v>
      </c>
      <c r="AM168" s="28" t="str">
        <f>VLOOKUP(A168,Classification!A:B,2,FALSE)</f>
        <v>A</v>
      </c>
      <c r="AN168" s="28" t="b">
        <f t="shared" si="98"/>
        <v>1</v>
      </c>
      <c r="AO168" s="3" t="str">
        <f>IF(ISERROR(MATCH(A168,'SegEnds_Xtal_Prot#'!B:B, 0)), "NoXtal", "Xtal")</f>
        <v>NoXtal</v>
      </c>
      <c r="AP168" s="3">
        <f t="shared" si="81"/>
        <v>1</v>
      </c>
      <c r="AQ168" s="3">
        <f t="shared" si="82"/>
        <v>1</v>
      </c>
      <c r="AR168" s="3">
        <f t="shared" si="83"/>
        <v>2</v>
      </c>
      <c r="AS168" s="3">
        <f t="shared" si="84"/>
        <v>1</v>
      </c>
      <c r="AT168" s="3">
        <f t="shared" si="85"/>
        <v>1</v>
      </c>
      <c r="AU168" s="3">
        <f t="shared" si="86"/>
        <v>1</v>
      </c>
      <c r="AV168" s="3">
        <f t="shared" si="87"/>
        <v>17</v>
      </c>
      <c r="AW168" s="3">
        <f t="shared" si="88"/>
        <v>7</v>
      </c>
      <c r="AX168" s="3">
        <f t="shared" si="89"/>
        <v>5</v>
      </c>
      <c r="AY168" s="3">
        <f t="shared" si="90"/>
        <v>5</v>
      </c>
      <c r="AZ168" s="3">
        <f t="shared" si="91"/>
        <v>1</v>
      </c>
      <c r="BA168" s="3">
        <f>IF(ISERROR(LEN(VLOOKUP(A168,Seqs!A:E,2,FALSE))-AL168),"-",LEN(VLOOKUP(A168,Seqs!A:E,2,FALSE))-AL168)</f>
        <v>57</v>
      </c>
      <c r="BB168" s="16">
        <f t="shared" si="92"/>
        <v>28</v>
      </c>
      <c r="BC168" s="9">
        <f t="shared" si="93"/>
        <v>20</v>
      </c>
      <c r="BD168" s="3">
        <f t="shared" si="94"/>
        <v>28</v>
      </c>
      <c r="BE168" s="3">
        <f t="shared" si="95"/>
        <v>46</v>
      </c>
    </row>
    <row r="169" spans="1:58" s="3" customFormat="1" x14ac:dyDescent="0.2">
      <c r="A169" s="3" t="s">
        <v>290</v>
      </c>
      <c r="B169" s="3" t="str">
        <f>LOWER(VLOOKUP(A169,Xtal_Templ!A:B,2,FALSE))</f>
        <v>ptafr_human</v>
      </c>
      <c r="C169" s="3">
        <f>VLOOKUP($A169,'SegEnds_NonXtal_BW#'!$A:$Z,3,FALSE)+D169-50</f>
        <v>12</v>
      </c>
      <c r="D169" s="3">
        <v>35</v>
      </c>
      <c r="E169" s="3">
        <f>IF(ISERROR(VLOOKUP($A169,'SegEnds_NonXtal_BW#'!$A:$Z,4,FALSE)+VLOOKUP($A169,A:AL,4,FALSE)-50),"-",(VLOOKUP($A169,'SegEnds_NonXtal_BW#'!$A:$Z,4,FALSE)+VLOOKUP($A169,A:AL,4,FALSE)-50))</f>
        <v>45</v>
      </c>
      <c r="F169" s="3">
        <f t="shared" si="105"/>
        <v>46</v>
      </c>
      <c r="G169" s="3">
        <v>48</v>
      </c>
      <c r="H169" s="3">
        <f t="shared" si="106"/>
        <v>49</v>
      </c>
      <c r="I169" s="3">
        <f t="shared" si="106"/>
        <v>50</v>
      </c>
      <c r="J169" s="3">
        <v>63</v>
      </c>
      <c r="K169" s="3">
        <f>VLOOKUP($A169,'SegEnds_NonXtal_BW#'!$A:$Z,8,FALSE)+VLOOKUP($A169,A:AL,10,FALSE)-50</f>
        <v>79</v>
      </c>
      <c r="L169" s="3">
        <f t="shared" si="107"/>
        <v>81</v>
      </c>
      <c r="M169" s="3">
        <v>82</v>
      </c>
      <c r="N169" s="3">
        <f t="shared" si="108"/>
        <v>84</v>
      </c>
      <c r="O169" s="3">
        <f t="shared" si="109"/>
        <v>85</v>
      </c>
      <c r="P169" s="3">
        <v>114</v>
      </c>
      <c r="Q169" s="3">
        <f>VLOOKUP($A169,'SegEnds_NonXtal_BW#'!$A:$Z,12,FALSE)+VLOOKUP($A169,A:AL,16,FALSE)-50</f>
        <v>120</v>
      </c>
      <c r="R169" s="3">
        <f>IF(ISERROR(VLOOKUP($A169,'SegEnds_NonXtal_BW#'!$A:$Z,13,FALSE)+VLOOKUP($A169,A:AL,19,FALSE)-50),"-",VLOOKUP($A169,'SegEnds_NonXtal_BW#'!$A:$Z,13,FALSE)+VLOOKUP($A169,A:AL,19,FALSE)-50)</f>
        <v>121</v>
      </c>
      <c r="S169" s="3">
        <v>121</v>
      </c>
      <c r="T169" s="100">
        <f>IF(ISERROR(VLOOKUP($A169,'SegEnds_NonXtal_BW#'!$A:$Z,14,FALSE)+VLOOKUP($A169,A:AL,19,FALSE)-50),"-",(VLOOKUP($A169,'SegEnds_NonXtal_BW#'!$A:$Z,14,FALSE)+VLOOKUP($A169,A:AL,19,FALSE)-50))</f>
        <v>128</v>
      </c>
      <c r="U169" s="9">
        <f>IF(ISERROR(VLOOKUP($A169,'SegEnds_NonXtal_BW#'!$A:$Z,15,FALSE)+VLOOKUP($A169,A:AL,22,FALSE)-50),"-",VLOOKUP($A169,'SegEnds_NonXtal_BW#'!$A:$Z,15,FALSE)+VLOOKUP($A169,A:AL,22,FALSE)-50)</f>
        <v>129</v>
      </c>
      <c r="V169" s="3">
        <v>141</v>
      </c>
      <c r="W169" s="3">
        <f>IF(ISERROR(VLOOKUP($A169,'SegEnds_NonXtal_BW#'!$A:$Z,16,FALSE)+VLOOKUP($A169,A:AL,22,FALSE)-50),"-",(VLOOKUP($A169,'SegEnds_NonXtal_BW#'!$A:$Z,16,FALSE)+VLOOKUP($A169,A:AL,22,FALSE)-50))</f>
        <v>154</v>
      </c>
      <c r="X169" s="3">
        <f>IF(ISERROR(VLOOKUP($A169,'SegEnds_NonXtal_BW#'!$A:$Z,17,FALSE)+VLOOKUP($A169,A:AL,25,FALSE)-50),"-",(VLOOKUP($A169,'SegEnds_NonXtal_BW#'!$A:$Z,17,FALSE)+VLOOKUP($A169,A:AL,25,FALSE)-50))</f>
        <v>168</v>
      </c>
      <c r="Y169" s="3">
        <v>168</v>
      </c>
      <c r="Z169" s="3">
        <f t="shared" si="103"/>
        <v>170</v>
      </c>
      <c r="AA169" s="3">
        <f>IF(ISERROR(VLOOKUP($A169,'SegEnds_NonXtal_BW#'!$A:$Z,19,FALSE)+VLOOKUP($A169,A:AL,28,FALSE)-50),"-",(VLOOKUP($A169,'SegEnds_NonXtal_BW#'!$A:$Z,19,FALSE)+VLOOKUP($A169,A:AL,28,FALSE)-50))</f>
        <v>179</v>
      </c>
      <c r="AB169" s="3">
        <v>196</v>
      </c>
      <c r="AC169" s="3">
        <f>IF(ISERROR((VLOOKUP($A169,'SegEnds_NonXtal_BW#'!$A:$Z,20,FALSE)+VLOOKUP($A169,A:AL,28,FALSE)-50)),"-",(VLOOKUP($A169,'SegEnds_NonXtal_BW#'!$A:$Z,20,FALSE)+VLOOKUP($A169,A:AL,28,FALSE)-50))</f>
        <v>214</v>
      </c>
      <c r="AD169" s="3">
        <f>IF(ISERROR(VLOOKUP($A169,'SegEnds_NonXtal_BW#'!$A:$Z,21,FALSE)+VLOOKUP($A169,A:AL,31,FALSE)-50),"-",(VLOOKUP($A169,'SegEnds_NonXtal_BW#'!$A:$Z,21,FALSE)+VLOOKUP($A169,A:AL,31,FALSE)-50))</f>
        <v>218</v>
      </c>
      <c r="AE169" s="3">
        <v>244</v>
      </c>
      <c r="AF169" s="3">
        <f>IF(ISERROR((VLOOKUP($A169,'SegEnds_NonXtal_BW#'!$A:$Z,22,FALSE)+VLOOKUP($A169,A:AL,31,FALSE)-50)),"-",(VLOOKUP($A169,'SegEnds_NonXtal_BW#'!$A:$Z,22,FALSE)+VLOOKUP($A169,A:AL,31,FALSE)-50))</f>
        <v>258</v>
      </c>
      <c r="AG169" s="3">
        <f>IF(ISERROR(VLOOKUP($A169,'SegEnds_NonXtal_BW#'!$A:$Z,23,FALSE)+VLOOKUP($A169,A:AL,34,FALSE)-50),"-",(VLOOKUP($A169,'SegEnds_NonXtal_BW#'!$A:$Z,23,FALSE)+VLOOKUP($A169,A:AL,34,FALSE)-50))</f>
        <v>262</v>
      </c>
      <c r="AH169" s="3">
        <v>288</v>
      </c>
      <c r="AI169" s="3">
        <f>IF(ISERROR((VLOOKUP($A169,'SegEnds_NonXtal_BW#'!$A:$Z,24,FALSE)+VLOOKUP($A169,A:AL,34,FALSE)-50)),"-",(VLOOKUP($A169,'SegEnds_NonXtal_BW#'!$A:$Z,24,FALSE)+VLOOKUP($A169,A:AL,34,FALSE)-50))</f>
        <v>297</v>
      </c>
      <c r="AJ169" s="3">
        <f>IF(ISERROR(VLOOKUP($A169,'SegEnds_NonXtal_BW#'!$A:$Z,25,FALSE)+VLOOKUP($A169,A:AL,37,FALSE)-50),"-",(VLOOKUP($A169,'SegEnds_NonXtal_BW#'!$A:$Z,25,FALSE)+VLOOKUP($A169,A:AL,37,FALSE)-50))</f>
        <v>298</v>
      </c>
      <c r="AK169" s="3">
        <v>298</v>
      </c>
      <c r="AL169" s="3">
        <f>IF(ISERROR((VLOOKUP($A169,'SegEnds_NonXtal_BW#'!$A:$Z,26,FALSE)+VLOOKUP($A169,A:AL,37,FALSE)-50)),"-",(VLOOKUP($A169,'SegEnds_NonXtal_BW#'!$A:$Z,26,FALSE)+VLOOKUP($A169,A:AL,37,FALSE)-50))</f>
        <v>311</v>
      </c>
      <c r="AM169" s="28" t="str">
        <f>VLOOKUP(A169,Classification!A:B,2,FALSE)</f>
        <v>A</v>
      </c>
      <c r="AN169" s="28" t="b">
        <f t="shared" si="98"/>
        <v>1</v>
      </c>
      <c r="AO169" s="3" t="str">
        <f>IF(ISERROR(MATCH(A169,'SegEnds_Xtal_Prot#'!B:B, 0)), "NoXtal", "Xtal")</f>
        <v>NoXtal</v>
      </c>
      <c r="AP169" s="3">
        <f t="shared" si="81"/>
        <v>1</v>
      </c>
      <c r="AQ169" s="3">
        <f t="shared" si="82"/>
        <v>1</v>
      </c>
      <c r="AR169" s="3">
        <f t="shared" si="83"/>
        <v>2</v>
      </c>
      <c r="AS169" s="3">
        <f t="shared" si="84"/>
        <v>1</v>
      </c>
      <c r="AT169" s="3">
        <f t="shared" si="85"/>
        <v>1</v>
      </c>
      <c r="AU169" s="3">
        <f t="shared" si="86"/>
        <v>1</v>
      </c>
      <c r="AV169" s="3">
        <f t="shared" si="87"/>
        <v>14</v>
      </c>
      <c r="AW169" s="3">
        <f t="shared" si="88"/>
        <v>9</v>
      </c>
      <c r="AX169" s="3">
        <f t="shared" si="89"/>
        <v>4</v>
      </c>
      <c r="AY169" s="3">
        <f t="shared" si="90"/>
        <v>4</v>
      </c>
      <c r="AZ169" s="3">
        <f t="shared" si="91"/>
        <v>1</v>
      </c>
      <c r="BA169" s="3">
        <f>IF(ISERROR(LEN(VLOOKUP(A169,Seqs!A:E,2,FALSE))-AL169),"-",LEN(VLOOKUP(A169,Seqs!A:E,2,FALSE))-AL169)</f>
        <v>33</v>
      </c>
      <c r="BB169" s="16">
        <f t="shared" si="92"/>
        <v>28</v>
      </c>
      <c r="BC169" s="9">
        <f t="shared" si="93"/>
        <v>20</v>
      </c>
      <c r="BD169" s="3">
        <f t="shared" si="94"/>
        <v>28</v>
      </c>
      <c r="BE169" s="3">
        <f t="shared" si="95"/>
        <v>48</v>
      </c>
    </row>
    <row r="170" spans="1:58" s="3" customFormat="1" x14ac:dyDescent="0.2">
      <c r="A170" s="3" t="s">
        <v>291</v>
      </c>
      <c r="B170" s="3" t="str">
        <f>LOWER(VLOOKUP(A170,Xtal_Templ!A:B,2,FALSE))</f>
        <v>hrh1_human</v>
      </c>
      <c r="C170" s="3">
        <f>VLOOKUP($A170,'SegEnds_NonXtal_BW#'!$A:$Z,3,FALSE)+D170-50</f>
        <v>361</v>
      </c>
      <c r="D170" s="3">
        <v>377</v>
      </c>
      <c r="E170" s="3">
        <f>IF(ISERROR(VLOOKUP($A170,'SegEnds_NonXtal_BW#'!$A:$Z,4,FALSE)+VLOOKUP($A170,A:AL,4,FALSE)-50),"-",(VLOOKUP($A170,'SegEnds_NonXtal_BW#'!$A:$Z,4,FALSE)+VLOOKUP($A170,A:AL,4,FALSE)-50))</f>
        <v>387</v>
      </c>
      <c r="F170" s="3">
        <f t="shared" si="105"/>
        <v>389</v>
      </c>
      <c r="G170" s="3">
        <v>391</v>
      </c>
      <c r="H170" s="3">
        <f t="shared" si="106"/>
        <v>392</v>
      </c>
      <c r="I170" s="3">
        <f t="shared" si="106"/>
        <v>393</v>
      </c>
      <c r="J170" s="3">
        <v>405</v>
      </c>
      <c r="K170" s="3">
        <f>VLOOKUP($A170,'SegEnds_NonXtal_BW#'!$A:$Z,8,FALSE)+VLOOKUP($A170,A:AL,10,FALSE)-50</f>
        <v>422</v>
      </c>
      <c r="L170" s="3">
        <f t="shared" si="107"/>
        <v>432</v>
      </c>
      <c r="M170" s="3">
        <v>433</v>
      </c>
      <c r="N170" s="3">
        <f t="shared" si="108"/>
        <v>435</v>
      </c>
      <c r="O170" s="3">
        <f t="shared" si="109"/>
        <v>436</v>
      </c>
      <c r="P170" s="3">
        <v>464</v>
      </c>
      <c r="Q170" s="3">
        <f>VLOOKUP($A170,'SegEnds_NonXtal_BW#'!$A:$Z,12,FALSE)+VLOOKUP($A170,A:AL,16,FALSE)-50</f>
        <v>470</v>
      </c>
      <c r="R170" s="3">
        <f>IF(ISERROR(VLOOKUP($A170,'SegEnds_NonXtal_BW#'!$A:$Z,13,FALSE)+VLOOKUP($A170,A:AL,19,FALSE)-50),"-",VLOOKUP($A170,'SegEnds_NonXtal_BW#'!$A:$Z,13,FALSE)+VLOOKUP($A170,A:AL,19,FALSE)-50)</f>
        <v>471</v>
      </c>
      <c r="S170" s="3">
        <v>471</v>
      </c>
      <c r="T170" s="100">
        <f>IF(ISERROR(VLOOKUP($A170,'SegEnds_NonXtal_BW#'!$A:$Z,14,FALSE)+VLOOKUP($A170,A:AL,19,FALSE)-50),"-",(VLOOKUP($A170,'SegEnds_NonXtal_BW#'!$A:$Z,14,FALSE)+VLOOKUP($A170,A:AL,19,FALSE)-50))</f>
        <v>478</v>
      </c>
      <c r="U170" s="9">
        <f>IF(ISERROR(VLOOKUP($A170,'SegEnds_NonXtal_BW#'!$A:$Z,15,FALSE)+VLOOKUP($A170,A:AL,22,FALSE)-50),"-",VLOOKUP($A170,'SegEnds_NonXtal_BW#'!$A:$Z,15,FALSE)+VLOOKUP($A170,A:AL,22,FALSE)-50)</f>
        <v>479</v>
      </c>
      <c r="V170" s="3">
        <v>491</v>
      </c>
      <c r="W170" s="3">
        <f>IF(ISERROR(VLOOKUP($A170,'SegEnds_NonXtal_BW#'!$A:$Z,16,FALSE)+VLOOKUP($A170,A:AL,22,FALSE)-50),"-",(VLOOKUP($A170,'SegEnds_NonXtal_BW#'!$A:$Z,16,FALSE)+VLOOKUP($A170,A:AL,22,FALSE)-50))</f>
        <v>503</v>
      </c>
      <c r="X170" s="3">
        <f>IF(ISERROR(VLOOKUP($A170,'SegEnds_NonXtal_BW#'!$A:$Z,17,FALSE)+VLOOKUP($A170,A:AL,25,FALSE)-50),"-",(VLOOKUP($A170,'SegEnds_NonXtal_BW#'!$A:$Z,17,FALSE)+VLOOKUP($A170,A:AL,25,FALSE)-50))</f>
        <v>514</v>
      </c>
      <c r="Y170" s="3">
        <v>514</v>
      </c>
      <c r="Z170" s="3">
        <f t="shared" si="103"/>
        <v>516</v>
      </c>
      <c r="AA170" s="3">
        <f>IF(ISERROR(VLOOKUP($A170,'SegEnds_NonXtal_BW#'!$A:$Z,19,FALSE)+VLOOKUP($A170,A:AL,28,FALSE)-50),"-",(VLOOKUP($A170,'SegEnds_NonXtal_BW#'!$A:$Z,19,FALSE)+VLOOKUP($A170,A:AL,28,FALSE)-50))</f>
        <v>523</v>
      </c>
      <c r="AB170" s="3">
        <v>538</v>
      </c>
      <c r="AC170" s="3">
        <f>IF(ISERROR((VLOOKUP($A170,'SegEnds_NonXtal_BW#'!$A:$Z,20,FALSE)+VLOOKUP($A170,A:AL,28,FALSE)-50)),"-",(VLOOKUP($A170,'SegEnds_NonXtal_BW#'!$A:$Z,20,FALSE)+VLOOKUP($A170,A:AL,28,FALSE)-50))</f>
        <v>555</v>
      </c>
      <c r="AD170" s="3">
        <f>IF(ISERROR(VLOOKUP($A170,'SegEnds_NonXtal_BW#'!$A:$Z,21,FALSE)+VLOOKUP($A170,A:AL,31,FALSE)-50),"-",(VLOOKUP($A170,'SegEnds_NonXtal_BW#'!$A:$Z,21,FALSE)+VLOOKUP($A170,A:AL,31,FALSE)-50))</f>
        <v>560</v>
      </c>
      <c r="AE170" s="3">
        <v>584</v>
      </c>
      <c r="AF170" s="3">
        <f>IF(ISERROR((VLOOKUP($A170,'SegEnds_NonXtal_BW#'!$A:$Z,22,FALSE)+VLOOKUP($A170,A:AL,31,FALSE)-50)),"-",(VLOOKUP($A170,'SegEnds_NonXtal_BW#'!$A:$Z,22,FALSE)+VLOOKUP($A170,A:AL,31,FALSE)-50))</f>
        <v>595</v>
      </c>
      <c r="AG170" s="3">
        <f>IF(ISERROR(VLOOKUP($A170,'SegEnds_NonXtal_BW#'!$A:$Z,23,FALSE)+VLOOKUP($A170,A:AL,34,FALSE)-50),"-",(VLOOKUP($A170,'SegEnds_NonXtal_BW#'!$A:$Z,23,FALSE)+VLOOKUP($A170,A:AL,34,FALSE)-50))</f>
        <v>601</v>
      </c>
      <c r="AH170" s="3">
        <v>620</v>
      </c>
      <c r="AI170" s="3">
        <f>IF(ISERROR((VLOOKUP($A170,'SegEnds_NonXtal_BW#'!$A:$Z,24,FALSE)+VLOOKUP($A170,A:AL,34,FALSE)-50)),"-",(VLOOKUP($A170,'SegEnds_NonXtal_BW#'!$A:$Z,24,FALSE)+VLOOKUP($A170,A:AL,34,FALSE)-50))</f>
        <v>626</v>
      </c>
      <c r="AJ170" s="3">
        <f>IF(ISERROR(VLOOKUP($A170,'SegEnds_NonXtal_BW#'!$A:$Z,25,FALSE)+VLOOKUP($A170,A:AL,37,FALSE)-50),"-",(VLOOKUP($A170,'SegEnds_NonXtal_BW#'!$A:$Z,25,FALSE)+VLOOKUP($A170,A:AL,37,FALSE)-50))</f>
        <v>627</v>
      </c>
      <c r="AK170" s="3">
        <v>630</v>
      </c>
      <c r="AL170" s="3">
        <f>IF(ISERROR((VLOOKUP($A170,'SegEnds_NonXtal_BW#'!$A:$Z,26,FALSE)+VLOOKUP($A170,A:AL,37,FALSE)-50)),"-",(VLOOKUP($A170,'SegEnds_NonXtal_BW#'!$A:$Z,26,FALSE)+VLOOKUP($A170,A:AL,37,FALSE)-50))</f>
        <v>639</v>
      </c>
      <c r="AM170" s="28" t="str">
        <f>VLOOKUP(A170,Classification!A:B,2,FALSE)</f>
        <v>A</v>
      </c>
      <c r="AN170" s="28" t="b">
        <f t="shared" si="98"/>
        <v>1</v>
      </c>
      <c r="AO170" s="3" t="str">
        <f>IF(ISERROR(MATCH(A170,'SegEnds_Xtal_Prot#'!B:B, 0)), "NoXtal", "Xtal")</f>
        <v>NoXtal</v>
      </c>
      <c r="AP170" s="3">
        <f t="shared" si="81"/>
        <v>2</v>
      </c>
      <c r="AQ170" s="3">
        <f t="shared" si="82"/>
        <v>1</v>
      </c>
      <c r="AR170" s="3">
        <f t="shared" si="83"/>
        <v>10</v>
      </c>
      <c r="AS170" s="3">
        <f t="shared" si="84"/>
        <v>1</v>
      </c>
      <c r="AT170" s="3">
        <f t="shared" si="85"/>
        <v>1</v>
      </c>
      <c r="AU170" s="3">
        <f t="shared" si="86"/>
        <v>1</v>
      </c>
      <c r="AV170" s="3">
        <f t="shared" si="87"/>
        <v>11</v>
      </c>
      <c r="AW170" s="3">
        <f t="shared" si="88"/>
        <v>7</v>
      </c>
      <c r="AX170" s="3">
        <f t="shared" si="89"/>
        <v>5</v>
      </c>
      <c r="AY170" s="3">
        <f t="shared" si="90"/>
        <v>6</v>
      </c>
      <c r="AZ170" s="3">
        <f t="shared" si="91"/>
        <v>1</v>
      </c>
      <c r="BA170" s="3">
        <f>IF(ISERROR(LEN(VLOOKUP(A170,Seqs!A:E,2,FALSE))-AL170),"-",LEN(VLOOKUP(A170,Seqs!A:E,2,FALSE))-AL170)</f>
        <v>60</v>
      </c>
      <c r="BB170" s="16">
        <f t="shared" si="92"/>
        <v>28</v>
      </c>
      <c r="BC170" s="9">
        <f t="shared" si="93"/>
        <v>20</v>
      </c>
      <c r="BD170" s="3">
        <f t="shared" si="94"/>
        <v>28</v>
      </c>
      <c r="BE170" s="3">
        <f t="shared" si="95"/>
        <v>46</v>
      </c>
    </row>
    <row r="171" spans="1:58" s="3" customFormat="1" x14ac:dyDescent="0.2">
      <c r="A171" s="3" t="s">
        <v>292</v>
      </c>
      <c r="B171" s="3" t="str">
        <f>LOWER(VLOOKUP(A171,Xtal_Templ!A:B,2,FALSE))</f>
        <v>pd2r2_human</v>
      </c>
      <c r="C171" s="3">
        <f>VLOOKUP($A171,'SegEnds_NonXtal_BW#'!$A:$Z,3,FALSE)+D171-50</f>
        <v>18</v>
      </c>
      <c r="D171" s="3">
        <v>36</v>
      </c>
      <c r="E171" s="3">
        <f>IF(ISERROR(VLOOKUP($A171,'SegEnds_NonXtal_BW#'!$A:$Z,4,FALSE)+VLOOKUP($A171,A:AL,4,FALSE)-50),"-",(VLOOKUP($A171,'SegEnds_NonXtal_BW#'!$A:$Z,4,FALSE)+VLOOKUP($A171,A:AL,4,FALSE)-50))</f>
        <v>46</v>
      </c>
      <c r="F171" s="3">
        <f t="shared" si="105"/>
        <v>47</v>
      </c>
      <c r="G171" s="3">
        <v>49</v>
      </c>
      <c r="H171" s="3">
        <f t="shared" si="106"/>
        <v>50</v>
      </c>
      <c r="I171" s="3">
        <f t="shared" si="106"/>
        <v>51</v>
      </c>
      <c r="J171" s="3">
        <v>64</v>
      </c>
      <c r="K171" s="3">
        <f>VLOOKUP($A171,'SegEnds_NonXtal_BW#'!$A:$Z,8,FALSE)+VLOOKUP($A171,A:AL,10,FALSE)-50</f>
        <v>80</v>
      </c>
      <c r="L171" s="3">
        <f t="shared" si="107"/>
        <v>82</v>
      </c>
      <c r="M171" s="3">
        <v>83</v>
      </c>
      <c r="N171" s="3">
        <f t="shared" si="108"/>
        <v>85</v>
      </c>
      <c r="O171" s="3">
        <f t="shared" si="109"/>
        <v>86</v>
      </c>
      <c r="P171" s="3">
        <v>115</v>
      </c>
      <c r="Q171" s="3">
        <f>VLOOKUP($A171,'SegEnds_NonXtal_BW#'!$A:$Z,12,FALSE)+VLOOKUP($A171,A:AL,16,FALSE)-50</f>
        <v>121</v>
      </c>
      <c r="R171" s="3">
        <f>IF(ISERROR(VLOOKUP($A171,'SegEnds_NonXtal_BW#'!$A:$Z,13,FALSE)+VLOOKUP($A171,A:AL,19,FALSE)-50),"-",VLOOKUP($A171,'SegEnds_NonXtal_BW#'!$A:$Z,13,FALSE)+VLOOKUP($A171,A:AL,19,FALSE)-50)</f>
        <v>122</v>
      </c>
      <c r="S171" s="3">
        <v>122</v>
      </c>
      <c r="T171" s="100">
        <f>IF(ISERROR(VLOOKUP($A171,'SegEnds_NonXtal_BW#'!$A:$Z,14,FALSE)+VLOOKUP($A171,A:AL,19,FALSE)-50),"-",(VLOOKUP($A171,'SegEnds_NonXtal_BW#'!$A:$Z,14,FALSE)+VLOOKUP($A171,A:AL,19,FALSE)-50))</f>
        <v>129</v>
      </c>
      <c r="U171" s="9">
        <f>IF(ISERROR(VLOOKUP($A171,'SegEnds_NonXtal_BW#'!$A:$Z,15,FALSE)+VLOOKUP($A171,A:AL,22,FALSE)-50),"-",VLOOKUP($A171,'SegEnds_NonXtal_BW#'!$A:$Z,15,FALSE)+VLOOKUP($A171,A:AL,22,FALSE)-50)</f>
        <v>130</v>
      </c>
      <c r="V171" s="3">
        <v>142</v>
      </c>
      <c r="W171" s="3">
        <f>IF(ISERROR(VLOOKUP($A171,'SegEnds_NonXtal_BW#'!$A:$Z,16,FALSE)+VLOOKUP($A171,A:AL,22,FALSE)-50),"-",(VLOOKUP($A171,'SegEnds_NonXtal_BW#'!$A:$Z,16,FALSE)+VLOOKUP($A171,A:AL,22,FALSE)-50))</f>
        <v>156</v>
      </c>
      <c r="X171" s="3">
        <f>IF(ISERROR(VLOOKUP($A171,'SegEnds_NonXtal_BW#'!$A:$Z,17,FALSE)+VLOOKUP($A171,A:AL,25,FALSE)-50),"-",(VLOOKUP($A171,'SegEnds_NonXtal_BW#'!$A:$Z,17,FALSE)+VLOOKUP($A171,A:AL,25,FALSE)-50))</f>
        <v>168</v>
      </c>
      <c r="Y171" s="3">
        <v>168</v>
      </c>
      <c r="Z171" s="3">
        <f t="shared" si="103"/>
        <v>170</v>
      </c>
      <c r="AA171" s="3">
        <f>IF(ISERROR(VLOOKUP($A171,'SegEnds_NonXtal_BW#'!$A:$Z,19,FALSE)+VLOOKUP($A171,A:AL,28,FALSE)-50),"-",(VLOOKUP($A171,'SegEnds_NonXtal_BW#'!$A:$Z,19,FALSE)+VLOOKUP($A171,A:AL,28,FALSE)-50))</f>
        <v>172</v>
      </c>
      <c r="AB171" s="3">
        <v>193</v>
      </c>
      <c r="AC171" s="3">
        <f>IF(ISERROR((VLOOKUP($A171,'SegEnds_NonXtal_BW#'!$A:$Z,20,FALSE)+VLOOKUP($A171,A:AL,28,FALSE)-50)),"-",(VLOOKUP($A171,'SegEnds_NonXtal_BW#'!$A:$Z,20,FALSE)+VLOOKUP($A171,A:AL,28,FALSE)-50))</f>
        <v>211</v>
      </c>
      <c r="AD171" s="3">
        <f>IF(ISERROR(VLOOKUP($A171,'SegEnds_NonXtal_BW#'!$A:$Z,21,FALSE)+VLOOKUP($A171,A:AL,31,FALSE)-50),"-",(VLOOKUP($A171,'SegEnds_NonXtal_BW#'!$A:$Z,21,FALSE)+VLOOKUP($A171,A:AL,31,FALSE)-50))</f>
        <v>216</v>
      </c>
      <c r="AE171" s="3">
        <v>236</v>
      </c>
      <c r="AF171" s="3">
        <f>IF(ISERROR((VLOOKUP($A171,'SegEnds_NonXtal_BW#'!$A:$Z,22,FALSE)+VLOOKUP($A171,A:AL,31,FALSE)-50)),"-",(VLOOKUP($A171,'SegEnds_NonXtal_BW#'!$A:$Z,22,FALSE)+VLOOKUP($A171,A:AL,31,FALSE)-50))</f>
        <v>250</v>
      </c>
      <c r="AG171" s="3">
        <f>IF(ISERROR(VLOOKUP($A171,'SegEnds_NonXtal_BW#'!$A:$Z,23,FALSE)+VLOOKUP($A171,A:AL,34,FALSE)-50),"-",(VLOOKUP($A171,'SegEnds_NonXtal_BW#'!$A:$Z,23,FALSE)+VLOOKUP($A171,A:AL,34,FALSE)-50))</f>
        <v>256</v>
      </c>
      <c r="AH171" s="3">
        <v>282</v>
      </c>
      <c r="AI171" s="3">
        <f>IF(ISERROR((VLOOKUP($A171,'SegEnds_NonXtal_BW#'!$A:$Z,24,FALSE)+VLOOKUP($A171,A:AL,34,FALSE)-50)),"-",(VLOOKUP($A171,'SegEnds_NonXtal_BW#'!$A:$Z,24,FALSE)+VLOOKUP($A171,A:AL,34,FALSE)-50))</f>
        <v>288</v>
      </c>
      <c r="AJ171" s="3">
        <f>IF(ISERROR(VLOOKUP($A171,'SegEnds_NonXtal_BW#'!$A:$Z,25,FALSE)+VLOOKUP($A171,A:AL,37,FALSE)-50),"-",(VLOOKUP($A171,'SegEnds_NonXtal_BW#'!$A:$Z,25,FALSE)+VLOOKUP($A171,A:AL,37,FALSE)-50))</f>
        <v>289</v>
      </c>
      <c r="AK171" s="3">
        <v>292</v>
      </c>
      <c r="AL171" s="3">
        <f>IF(ISERROR((VLOOKUP($A171,'SegEnds_NonXtal_BW#'!$A:$Z,26,FALSE)+VLOOKUP($A171,A:AL,37,FALSE)-50)),"-",(VLOOKUP($A171,'SegEnds_NonXtal_BW#'!$A:$Z,26,FALSE)+VLOOKUP($A171,A:AL,37,FALSE)-50))</f>
        <v>306</v>
      </c>
      <c r="AM171" s="28" t="str">
        <f>VLOOKUP(A171,Classification!A:B,2,FALSE)</f>
        <v>A</v>
      </c>
      <c r="AN171" s="28" t="b">
        <f>AND(IF(Y171="-",IF(AA171-W171&gt;3,TRUE,FALSE),TRUE),IF(M171="-",IF(O171-K171&gt;3,TRUE,FALSE),TRUE),IF(AG171-AF171&gt;1,TRUE,FALSE),C171&lt;E171,OR(E171&lt;F171,F171="-"),OR(F171&lt;H171,F171="-"),OR(H171&lt;I171,H171="-"),I171&lt;K171,OR(K171&lt;L171,L171="-"),OR(L171&lt;N171,L171="-"),OR(N171&lt;O171,N171="-"),O171&lt;Q171,OR(Q171&lt;R171,R171="-"),OR(R171&lt;T171,R171="-"),OR(T171&lt;U171,T171="-"),U171&lt;W171,OR(W171&lt;X171,X171="-"),OR(X171&lt;Z171,X171="-"),OR(Z171&lt;AA171,Z171="-"),AA171&lt;AC171,AC171&lt;AD171,AD171&lt;AF171,AF171&lt;AG171,AG171&lt;AI171,OR(AI171&lt;AJ171,AJ171="-"),OR(AJ171&lt;AL171,AJ171="-"))</f>
        <v>1</v>
      </c>
      <c r="AO171" s="3" t="str">
        <f>IF(ISERROR(MATCH(A171,'SegEnds_Xtal_Prot#'!B:B, 0)), "NoXtal", "Xtal")</f>
        <v>NoXtal</v>
      </c>
      <c r="AP171" s="3">
        <f t="shared" si="81"/>
        <v>1</v>
      </c>
      <c r="AQ171" s="3">
        <f t="shared" si="82"/>
        <v>1</v>
      </c>
      <c r="AR171" s="3">
        <f t="shared" si="83"/>
        <v>2</v>
      </c>
      <c r="AS171" s="3">
        <f t="shared" si="84"/>
        <v>1</v>
      </c>
      <c r="AT171" s="3">
        <f t="shared" si="85"/>
        <v>1</v>
      </c>
      <c r="AU171" s="3">
        <f t="shared" si="86"/>
        <v>1</v>
      </c>
      <c r="AV171" s="3">
        <f t="shared" si="87"/>
        <v>12</v>
      </c>
      <c r="AW171" s="3">
        <f t="shared" si="88"/>
        <v>2</v>
      </c>
      <c r="AX171" s="3">
        <f t="shared" si="89"/>
        <v>5</v>
      </c>
      <c r="AY171" s="3">
        <f t="shared" si="90"/>
        <v>6</v>
      </c>
      <c r="AZ171" s="3">
        <f t="shared" si="91"/>
        <v>1</v>
      </c>
      <c r="BA171" s="3">
        <f>IF(ISERROR(LEN(VLOOKUP(A171,Seqs!A:E,2,FALSE))-AL171),"-",LEN(VLOOKUP(A171,Seqs!A:E,2,FALSE))-AL171)</f>
        <v>46</v>
      </c>
      <c r="BB171" s="16">
        <f t="shared" si="92"/>
        <v>28</v>
      </c>
      <c r="BC171" s="9">
        <f t="shared" si="93"/>
        <v>20</v>
      </c>
      <c r="BD171" s="3">
        <f t="shared" si="94"/>
        <v>28</v>
      </c>
      <c r="BE171" s="3">
        <f t="shared" si="95"/>
        <v>43</v>
      </c>
    </row>
    <row r="172" spans="1:58" s="3" customFormat="1" x14ac:dyDescent="0.2">
      <c r="A172" s="3" t="s">
        <v>293</v>
      </c>
      <c r="B172" s="3" t="str">
        <f>LOWER(VLOOKUP(A172,Xtal_Templ!A:B,2,FALSE))</f>
        <v>pd2r2_human</v>
      </c>
      <c r="C172" s="3">
        <f>VLOOKUP($A172,'SegEnds_NonXtal_BW#'!$A:$Z,3,FALSE)+D172-50</f>
        <v>51</v>
      </c>
      <c r="D172" s="3">
        <v>69</v>
      </c>
      <c r="E172" s="3">
        <f>IF(ISERROR(VLOOKUP($A172,'SegEnds_NonXtal_BW#'!$A:$Z,4,FALSE)+VLOOKUP($A172,A:AL,4,FALSE)-50),"-",(VLOOKUP($A172,'SegEnds_NonXtal_BW#'!$A:$Z,4,FALSE)+VLOOKUP($A172,A:AL,4,FALSE)-50))</f>
        <v>79</v>
      </c>
      <c r="F172" s="3">
        <f t="shared" si="105"/>
        <v>80</v>
      </c>
      <c r="G172" s="3">
        <v>82</v>
      </c>
      <c r="H172" s="3">
        <f t="shared" si="106"/>
        <v>83</v>
      </c>
      <c r="I172" s="3">
        <f t="shared" si="106"/>
        <v>84</v>
      </c>
      <c r="J172" s="3">
        <v>99</v>
      </c>
      <c r="K172" s="3">
        <f>VLOOKUP($A172,'SegEnds_NonXtal_BW#'!$A:$Z,8,FALSE)+VLOOKUP($A172,A:AL,10,FALSE)-50</f>
        <v>115</v>
      </c>
      <c r="L172" s="3">
        <f t="shared" si="107"/>
        <v>117</v>
      </c>
      <c r="M172" s="3">
        <v>118</v>
      </c>
      <c r="N172" s="3">
        <f t="shared" si="108"/>
        <v>120</v>
      </c>
      <c r="O172" s="3">
        <f t="shared" si="109"/>
        <v>121</v>
      </c>
      <c r="P172" s="3">
        <v>150</v>
      </c>
      <c r="Q172" s="3">
        <f>VLOOKUP($A172,'SegEnds_NonXtal_BW#'!$A:$Z,12,FALSE)+VLOOKUP($A172,A:AL,16,FALSE)-50</f>
        <v>156</v>
      </c>
      <c r="R172" s="3">
        <f>IF(ISERROR(VLOOKUP($A172,'SegEnds_NonXtal_BW#'!$A:$Z,13,FALSE)+VLOOKUP($A172,A:AL,19,FALSE)-50),"-",VLOOKUP($A172,'SegEnds_NonXtal_BW#'!$A:$Z,13,FALSE)+VLOOKUP($A172,A:AL,19,FALSE)-50)</f>
        <v>157</v>
      </c>
      <c r="S172" s="3">
        <v>157</v>
      </c>
      <c r="T172" s="100">
        <f>IF(ISERROR(VLOOKUP($A172,'SegEnds_NonXtal_BW#'!$A:$Z,14,FALSE)+VLOOKUP($A172,A:AL,19,FALSE)-50),"-",(VLOOKUP($A172,'SegEnds_NonXtal_BW#'!$A:$Z,14,FALSE)+VLOOKUP($A172,A:AL,19,FALSE)-50))</f>
        <v>164</v>
      </c>
      <c r="U172" s="9">
        <f>IF(ISERROR(VLOOKUP($A172,'SegEnds_NonXtal_BW#'!$A:$Z,15,FALSE)+VLOOKUP($A172,A:AL,22,FALSE)-50),"-",VLOOKUP($A172,'SegEnds_NonXtal_BW#'!$A:$Z,15,FALSE)+VLOOKUP($A172,A:AL,22,FALSE)-50)</f>
        <v>165</v>
      </c>
      <c r="V172" s="3">
        <v>177</v>
      </c>
      <c r="W172" s="3">
        <f>IF(ISERROR(VLOOKUP($A172,'SegEnds_NonXtal_BW#'!$A:$Z,16,FALSE)+VLOOKUP($A172,A:AL,22,FALSE)-50),"-",(VLOOKUP($A172,'SegEnds_NonXtal_BW#'!$A:$Z,16,FALSE)+VLOOKUP($A172,A:AL,22,FALSE)-50))</f>
        <v>191</v>
      </c>
      <c r="X172" s="3">
        <f>IF(ISERROR(VLOOKUP($A172,'SegEnds_NonXtal_BW#'!$A:$Z,17,FALSE)+VLOOKUP($A172,A:AL,25,FALSE)-50),"-",(VLOOKUP($A172,'SegEnds_NonXtal_BW#'!$A:$Z,17,FALSE)+VLOOKUP($A172,A:AL,25,FALSE)-50))</f>
        <v>202</v>
      </c>
      <c r="Y172" s="3">
        <v>202</v>
      </c>
      <c r="Z172" s="3">
        <f t="shared" si="103"/>
        <v>204</v>
      </c>
      <c r="AA172" s="3">
        <f>IF(ISERROR(VLOOKUP($A172,'SegEnds_NonXtal_BW#'!$A:$Z,19,FALSE)+VLOOKUP($A172,A:AL,28,FALSE)-50),"-",(VLOOKUP($A172,'SegEnds_NonXtal_BW#'!$A:$Z,19,FALSE)+VLOOKUP($A172,A:AL,28,FALSE)-50))</f>
        <v>209</v>
      </c>
      <c r="AB172" s="3">
        <v>224</v>
      </c>
      <c r="AC172" s="3">
        <f>IF(ISERROR((VLOOKUP($A172,'SegEnds_NonXtal_BW#'!$A:$Z,20,FALSE)+VLOOKUP($A172,A:AL,28,FALSE)-50)),"-",(VLOOKUP($A172,'SegEnds_NonXtal_BW#'!$A:$Z,20,FALSE)+VLOOKUP($A172,A:AL,28,FALSE)-50))</f>
        <v>241</v>
      </c>
      <c r="AD172" s="3">
        <f>IF(ISERROR(VLOOKUP($A172,'SegEnds_NonXtal_BW#'!$A:$Z,21,FALSE)+VLOOKUP($A172,A:AL,31,FALSE)-50),"-",(VLOOKUP($A172,'SegEnds_NonXtal_BW#'!$A:$Z,21,FALSE)+VLOOKUP($A172,A:AL,31,FALSE)-50))</f>
        <v>246</v>
      </c>
      <c r="AE172" s="3">
        <v>270</v>
      </c>
      <c r="AF172" s="3">
        <f>IF(ISERROR((VLOOKUP($A172,'SegEnds_NonXtal_BW#'!$A:$Z,22,FALSE)+VLOOKUP($A172,A:AL,31,FALSE)-50)),"-",(VLOOKUP($A172,'SegEnds_NonXtal_BW#'!$A:$Z,22,FALSE)+VLOOKUP($A172,A:AL,31,FALSE)-50))</f>
        <v>284</v>
      </c>
      <c r="AG172" s="3">
        <f>IF(ISERROR(VLOOKUP($A172,'SegEnds_NonXtal_BW#'!$A:$Z,23,FALSE)+VLOOKUP($A172,A:AL,34,FALSE)-50),"-",(VLOOKUP($A172,'SegEnds_NonXtal_BW#'!$A:$Z,23,FALSE)+VLOOKUP($A172,A:AL,34,FALSE)-50))</f>
        <v>290</v>
      </c>
      <c r="AH172" s="3">
        <v>316</v>
      </c>
      <c r="AI172" s="3">
        <f>IF(ISERROR((VLOOKUP($A172,'SegEnds_NonXtal_BW#'!$A:$Z,24,FALSE)+VLOOKUP($A172,A:AL,34,FALSE)-50)),"-",(VLOOKUP($A172,'SegEnds_NonXtal_BW#'!$A:$Z,24,FALSE)+VLOOKUP($A172,A:AL,34,FALSE)-50))</f>
        <v>322</v>
      </c>
      <c r="AJ172" s="3">
        <f>IF(ISERROR(VLOOKUP($A172,'SegEnds_NonXtal_BW#'!$A:$Z,25,FALSE)+VLOOKUP($A172,A:AL,37,FALSE)-50),"-",(VLOOKUP($A172,'SegEnds_NonXtal_BW#'!$A:$Z,25,FALSE)+VLOOKUP($A172,A:AL,37,FALSE)-50))</f>
        <v>323</v>
      </c>
      <c r="AK172" s="3">
        <v>326</v>
      </c>
      <c r="AL172" s="3">
        <f>IF(ISERROR((VLOOKUP($A172,'SegEnds_NonXtal_BW#'!$A:$Z,26,FALSE)+VLOOKUP($A172,A:AL,37,FALSE)-50)),"-",(VLOOKUP($A172,'SegEnds_NonXtal_BW#'!$A:$Z,26,FALSE)+VLOOKUP($A172,A:AL,37,FALSE)-50))</f>
        <v>340</v>
      </c>
      <c r="AM172" s="28" t="str">
        <f>VLOOKUP(A172,Classification!A:B,2,FALSE)</f>
        <v>A</v>
      </c>
      <c r="AN172" s="28" t="b">
        <f t="shared" si="98"/>
        <v>1</v>
      </c>
      <c r="AO172" s="3" t="str">
        <f>IF(ISERROR(MATCH(A172,'SegEnds_Xtal_Prot#'!B:B, 0)), "NoXtal", "Xtal")</f>
        <v>NoXtal</v>
      </c>
      <c r="AP172" s="3">
        <f t="shared" si="81"/>
        <v>1</v>
      </c>
      <c r="AQ172" s="3">
        <f t="shared" si="82"/>
        <v>1</v>
      </c>
      <c r="AR172" s="3">
        <f t="shared" si="83"/>
        <v>2</v>
      </c>
      <c r="AS172" s="3">
        <f t="shared" si="84"/>
        <v>1</v>
      </c>
      <c r="AT172" s="3">
        <f t="shared" si="85"/>
        <v>1</v>
      </c>
      <c r="AU172" s="3">
        <f t="shared" si="86"/>
        <v>1</v>
      </c>
      <c r="AV172" s="3">
        <f t="shared" si="87"/>
        <v>11</v>
      </c>
      <c r="AW172" s="3">
        <f t="shared" si="88"/>
        <v>5</v>
      </c>
      <c r="AX172" s="3">
        <f t="shared" si="89"/>
        <v>5</v>
      </c>
      <c r="AY172" s="3">
        <f t="shared" si="90"/>
        <v>6</v>
      </c>
      <c r="AZ172" s="3">
        <f t="shared" si="91"/>
        <v>1</v>
      </c>
      <c r="BA172" s="3">
        <f>IF(ISERROR(LEN(VLOOKUP(A172,Seqs!A:E,2,FALSE))-AL172),"-",LEN(VLOOKUP(A172,Seqs!A:E,2,FALSE))-AL172)</f>
        <v>49</v>
      </c>
      <c r="BB172" s="16">
        <f t="shared" si="92"/>
        <v>30</v>
      </c>
      <c r="BC172" s="9">
        <f t="shared" si="93"/>
        <v>20</v>
      </c>
      <c r="BD172" s="3">
        <f t="shared" si="94"/>
        <v>30</v>
      </c>
      <c r="BE172" s="3">
        <f t="shared" si="95"/>
        <v>46</v>
      </c>
    </row>
    <row r="173" spans="1:58" s="3" customFormat="1" x14ac:dyDescent="0.2">
      <c r="A173" s="3" t="s">
        <v>294</v>
      </c>
      <c r="B173" s="3" t="str">
        <f>LOWER(VLOOKUP(A173,Xtal_Templ!A:B,2,FALSE))</f>
        <v>agtr1_human</v>
      </c>
      <c r="C173" s="3">
        <f>VLOOKUP($A173,'SegEnds_NonXtal_BW#'!$A:$Z,3,FALSE)+D173-50</f>
        <v>30</v>
      </c>
      <c r="D173" s="3">
        <v>50</v>
      </c>
      <c r="E173" s="3">
        <f>IF(ISERROR(VLOOKUP($A173,'SegEnds_NonXtal_BW#'!$A:$Z,4,FALSE)+VLOOKUP($A173,A:AL,4,FALSE)-50),"-",(VLOOKUP($A173,'SegEnds_NonXtal_BW#'!$A:$Z,4,FALSE)+VLOOKUP($A173,A:AL,4,FALSE)-50))</f>
        <v>60</v>
      </c>
      <c r="F173" s="3" t="str">
        <f>IF(ISERROR(VLOOKUP($A173,'SegEnds_NonXtal_BW#'!$A:$Z,5,FALSE)+VLOOKUP($A173,A:AL,7,FALSE)-50),"-",(VLOOKUP($A173,'SegEnds_NonXtal_BW#'!$A:$Z,5,FALSE)+VLOOKUP($A173,A:AL,7,FALSE)-50))</f>
        <v>-</v>
      </c>
      <c r="G173" s="3" t="s">
        <v>23</v>
      </c>
      <c r="H173" s="3" t="str">
        <f>IF(ISERROR(VLOOKUP($A173,'SegEnds_NonXtal_BW#'!$A:$Z,6,FALSE)+VLOOKUP($A173,A:AL,7,FALSE)-50),"-",(VLOOKUP($A173,'SegEnds_NonXtal_BW#'!$A:$Z,6,FALSE)+VLOOKUP($A173,A:AL,7,FALSE)-50))</f>
        <v>-</v>
      </c>
      <c r="I173" s="3">
        <f>VLOOKUP($A173,'SegEnds_NonXtal_BW#'!$A:$Z,7,FALSE)+J173-50</f>
        <v>64</v>
      </c>
      <c r="J173" s="3">
        <v>77</v>
      </c>
      <c r="K173" s="3">
        <f>VLOOKUP($A173,'SegEnds_NonXtal_BW#'!$A:$Z,8,FALSE)+VLOOKUP($A173,A:AL,10,FALSE)-50</f>
        <v>94</v>
      </c>
      <c r="L173" s="3" t="s">
        <v>23</v>
      </c>
      <c r="M173" s="3" t="s">
        <v>23</v>
      </c>
      <c r="N173" s="3" t="s">
        <v>23</v>
      </c>
      <c r="O173" s="3">
        <f>VLOOKUP($A173,'SegEnds_NonXtal_BW#'!$A:$Z,11,FALSE)+VLOOKUP($A173,A:AL,16,FALSE)-50</f>
        <v>98</v>
      </c>
      <c r="P173" s="3">
        <v>130</v>
      </c>
      <c r="Q173" s="3">
        <f>VLOOKUP($A173,'SegEnds_NonXtal_BW#'!$A:$Z,12,FALSE)+VLOOKUP($A173,A:AL,16,FALSE)-50</f>
        <v>136</v>
      </c>
      <c r="R173" s="3">
        <f>IF(ISERROR(VLOOKUP($A173,'SegEnds_NonXtal_BW#'!$A:$Z,13,FALSE)+VLOOKUP($A173,A:AL,19,FALSE)-50),"-",VLOOKUP($A173,'SegEnds_NonXtal_BW#'!$A:$Z,13,FALSE)+VLOOKUP($A173,A:AL,19,FALSE)-50)</f>
        <v>137</v>
      </c>
      <c r="S173" s="3">
        <v>137</v>
      </c>
      <c r="T173" s="100">
        <f>IF(ISERROR(VLOOKUP($A173,'SegEnds_NonXtal_BW#'!$A:$Z,14,FALSE)+VLOOKUP($A173,A:AL,19,FALSE)-50),"-",(VLOOKUP($A173,'SegEnds_NonXtal_BW#'!$A:$Z,14,FALSE)+VLOOKUP($A173,A:AL,19,FALSE)-50))</f>
        <v>144</v>
      </c>
      <c r="U173" s="9">
        <f>IF(ISERROR(VLOOKUP($A173,'SegEnds_NonXtal_BW#'!$A:$Z,15,FALSE)+VLOOKUP($A173,A:AL,22,FALSE)-50),"-",VLOOKUP($A173,'SegEnds_NonXtal_BW#'!$A:$Z,15,FALSE)+VLOOKUP($A173,A:AL,22,FALSE)-50)</f>
        <v>145</v>
      </c>
      <c r="V173" s="3">
        <v>157</v>
      </c>
      <c r="W173" s="3">
        <f>IF(ISERROR(VLOOKUP($A173,'SegEnds_NonXtal_BW#'!$A:$Z,16,FALSE)+VLOOKUP($A173,A:AL,22,FALSE)-50),"-",(VLOOKUP($A173,'SegEnds_NonXtal_BW#'!$A:$Z,16,FALSE)+VLOOKUP($A173,A:AL,22,FALSE)-50))</f>
        <v>171</v>
      </c>
      <c r="X173" s="3" t="str">
        <f>IF(ISERROR(VLOOKUP($A173,'SegEnds_NonXtal_BW#'!$A:$Z,17,FALSE)+VLOOKUP($A173,A:AL,25,FALSE)-50),"-",(VLOOKUP($A173,'SegEnds_NonXtal_BW#'!$A:$Z,17,FALSE)+VLOOKUP($A173,A:AL,25,FALSE)-50))</f>
        <v>-</v>
      </c>
      <c r="Y173" s="3" t="s">
        <v>23</v>
      </c>
      <c r="Z173" s="3" t="str">
        <f>IF(ISERROR(VLOOKUP($A173,'SegEnds_NonXtal_BW#'!$A:$Z,18,FALSE)+VLOOKUP($A173,A:AL,25,FALSE)-50),"-",(VLOOKUP($A173,'SegEnds_NonXtal_BW#'!$A:$Z,18,FALSE)+VLOOKUP($A173,A:AL,25,FALSE)-50))</f>
        <v>-</v>
      </c>
      <c r="AA173" s="3">
        <f>IF(ISERROR(VLOOKUP($A173,'SegEnds_NonXtal_BW#'!$A:$Z,19,FALSE)+VLOOKUP($A173,A:AL,28,FALSE)-50),"-",(VLOOKUP($A173,'SegEnds_NonXtal_BW#'!$A:$Z,19,FALSE)+VLOOKUP($A173,A:AL,28,FALSE)-50))</f>
        <v>185</v>
      </c>
      <c r="AB173" s="3">
        <v>201</v>
      </c>
      <c r="AC173" s="3">
        <f>IF(ISERROR((VLOOKUP($A173,'SegEnds_NonXtal_BW#'!$A:$Z,20,FALSE)+VLOOKUP($A173,A:AL,28,FALSE)-50)),"-",(VLOOKUP($A173,'SegEnds_NonXtal_BW#'!$A:$Z,20,FALSE)+VLOOKUP($A173,A:AL,28,FALSE)-50))</f>
        <v>219</v>
      </c>
      <c r="AD173" s="3">
        <f>IF(ISERROR(VLOOKUP($A173,'SegEnds_NonXtal_BW#'!$A:$Z,21,FALSE)+VLOOKUP($A173,A:AL,31,FALSE)-50),"-",(VLOOKUP($A173,'SegEnds_NonXtal_BW#'!$A:$Z,21,FALSE)+VLOOKUP($A173,A:AL,31,FALSE)-50))</f>
        <v>223</v>
      </c>
      <c r="AE173" s="3">
        <v>243</v>
      </c>
      <c r="AF173" s="3">
        <f>IF(ISERROR((VLOOKUP($A173,'SegEnds_NonXtal_BW#'!$A:$Z,22,FALSE)+VLOOKUP($A173,A:AL,31,FALSE)-50)),"-",(VLOOKUP($A173,'SegEnds_NonXtal_BW#'!$A:$Z,22,FALSE)+VLOOKUP($A173,A:AL,31,FALSE)-50))</f>
        <v>254</v>
      </c>
      <c r="AG173" s="3">
        <f>IF(ISERROR(VLOOKUP($A173,'SegEnds_NonXtal_BW#'!$A:$Z,23,FALSE)+VLOOKUP($A173,A:AL,34,FALSE)-50),"-",(VLOOKUP($A173,'SegEnds_NonXtal_BW#'!$A:$Z,23,FALSE)+VLOOKUP($A173,A:AL,34,FALSE)-50))</f>
        <v>259</v>
      </c>
      <c r="AH173" s="3">
        <v>277</v>
      </c>
      <c r="AI173" s="3">
        <f>IF(ISERROR((VLOOKUP($A173,'SegEnds_NonXtal_BW#'!$A:$Z,24,FALSE)+VLOOKUP($A173,A:AL,34,FALSE)-50)),"-",(VLOOKUP($A173,'SegEnds_NonXtal_BW#'!$A:$Z,24,FALSE)+VLOOKUP($A173,A:AL,34,FALSE)-50))</f>
        <v>283</v>
      </c>
      <c r="AJ173" s="3">
        <f>IF(ISERROR(VLOOKUP($A173,'SegEnds_NonXtal_BW#'!$A:$Z,25,FALSE)+VLOOKUP($A173,A:AL,37,FALSE)-50),"-",(VLOOKUP($A173,'SegEnds_NonXtal_BW#'!$A:$Z,25,FALSE)+VLOOKUP($A173,A:AL,37,FALSE)-50))</f>
        <v>284</v>
      </c>
      <c r="AK173" s="3">
        <v>287</v>
      </c>
      <c r="AL173" s="3">
        <f>IF(ISERROR((VLOOKUP($A173,'SegEnds_NonXtal_BW#'!$A:$Z,26,FALSE)+VLOOKUP($A173,A:AL,37,FALSE)-50)),"-",(VLOOKUP($A173,'SegEnds_NonXtal_BW#'!$A:$Z,26,FALSE)+VLOOKUP($A173,A:AL,37,FALSE)-50))</f>
        <v>298</v>
      </c>
      <c r="AM173" s="28" t="str">
        <f>VLOOKUP(A173,Classification!A:B,2,FALSE)</f>
        <v>A</v>
      </c>
      <c r="AN173" s="28" t="b">
        <f t="shared" si="98"/>
        <v>1</v>
      </c>
      <c r="AO173" s="3" t="str">
        <f>IF(ISERROR(MATCH(A173,'SegEnds_Xtal_Prot#'!B:B, 0)), "NoXtal", "Xtal")</f>
        <v>NoXtal</v>
      </c>
      <c r="AP173" s="3" t="str">
        <f t="shared" si="81"/>
        <v>-</v>
      </c>
      <c r="AQ173" s="3" t="str">
        <f t="shared" si="82"/>
        <v>-</v>
      </c>
      <c r="AR173" s="3" t="str">
        <f t="shared" si="83"/>
        <v>-</v>
      </c>
      <c r="AS173" s="3" t="str">
        <f t="shared" si="84"/>
        <v>-</v>
      </c>
      <c r="AT173" s="3">
        <f t="shared" si="85"/>
        <v>1</v>
      </c>
      <c r="AU173" s="3">
        <f t="shared" si="86"/>
        <v>1</v>
      </c>
      <c r="AV173" s="3" t="str">
        <f t="shared" si="87"/>
        <v>-</v>
      </c>
      <c r="AW173" s="3" t="str">
        <f t="shared" si="88"/>
        <v>-</v>
      </c>
      <c r="AX173" s="3">
        <f t="shared" si="89"/>
        <v>4</v>
      </c>
      <c r="AY173" s="3">
        <f t="shared" si="90"/>
        <v>5</v>
      </c>
      <c r="AZ173" s="3">
        <f t="shared" si="91"/>
        <v>1</v>
      </c>
      <c r="BA173" s="3">
        <f>IF(ISERROR(LEN(VLOOKUP(A173,Seqs!A:E,2,FALSE))-AL173),"-",LEN(VLOOKUP(A173,Seqs!A:E,2,FALSE))-AL173)</f>
        <v>27</v>
      </c>
      <c r="BB173" s="16">
        <f t="shared" si="92"/>
        <v>27</v>
      </c>
      <c r="BC173" s="9">
        <f t="shared" si="93"/>
        <v>20</v>
      </c>
      <c r="BD173" s="3">
        <f t="shared" si="94"/>
        <v>27</v>
      </c>
      <c r="BE173" s="3">
        <f t="shared" si="95"/>
        <v>42</v>
      </c>
      <c r="BF173" s="3">
        <f>AH173-AE173</f>
        <v>34</v>
      </c>
    </row>
    <row r="174" spans="1:58" s="3" customFormat="1" x14ac:dyDescent="0.2">
      <c r="A174" s="3" t="s">
        <v>295</v>
      </c>
      <c r="B174" s="3" t="str">
        <f>LOWER(VLOOKUP(A174,Xtal_Templ!A:B,2,FALSE))</f>
        <v>ccr9_human</v>
      </c>
      <c r="C174" s="3">
        <f>VLOOKUP($A174,'SegEnds_NonXtal_BW#'!$A:$Z,3,FALSE)+D174-50</f>
        <v>70</v>
      </c>
      <c r="D174" s="3">
        <v>93</v>
      </c>
      <c r="E174" s="3">
        <f>IF(ISERROR(VLOOKUP($A174,'SegEnds_NonXtal_BW#'!$A:$Z,4,FALSE)+VLOOKUP($A174,A:AL,4,FALSE)-50),"-",(VLOOKUP($A174,'SegEnds_NonXtal_BW#'!$A:$Z,4,FALSE)+VLOOKUP($A174,A:AL,4,FALSE)-50))</f>
        <v>103</v>
      </c>
      <c r="F174" s="3" t="str">
        <f>IF(ISERROR(VLOOKUP($A174,'SegEnds_NonXtal_BW#'!$A:$Z,5,FALSE)+VLOOKUP($A174,A:AL,7,FALSE)-50),"-",(VLOOKUP($A174,'SegEnds_NonXtal_BW#'!$A:$Z,5,FALSE)+VLOOKUP($A174,A:AL,7,FALSE)-50))</f>
        <v>-</v>
      </c>
      <c r="G174" s="3" t="s">
        <v>23</v>
      </c>
      <c r="H174" s="3" t="str">
        <f>IF(ISERROR(VLOOKUP($A174,'SegEnds_NonXtal_BW#'!$A:$Z,6,FALSE)+VLOOKUP($A174,A:AL,7,FALSE)-50),"-",(VLOOKUP($A174,'SegEnds_NonXtal_BW#'!$A:$Z,6,FALSE)+VLOOKUP($A174,A:AL,7,FALSE)-50))</f>
        <v>-</v>
      </c>
      <c r="I174" s="3">
        <f>VLOOKUP($A174,'SegEnds_NonXtal_BW#'!$A:$Z,7,FALSE)+J174-50</f>
        <v>106</v>
      </c>
      <c r="J174" s="3">
        <v>119</v>
      </c>
      <c r="K174" s="3">
        <f>VLOOKUP($A174,'SegEnds_NonXtal_BW#'!$A:$Z,8,FALSE)+VLOOKUP($A174,A:AL,10,FALSE)-50</f>
        <v>135</v>
      </c>
      <c r="L174" s="3" t="str">
        <f>IF(ISERROR(VLOOKUP($A174,'SegEnds_NonXtal_BW#'!$A:$Z,9,FALSE)+VLOOKUP($A174,A:AL,13,FALSE)-50),"-",(VLOOKUP($A174,'SegEnds_NonXtal_BW#'!$A:$Z,9,FALSE)+VLOOKUP($A174,A:AL,13,FALSE)-50))</f>
        <v>-</v>
      </c>
      <c r="M174" s="3" t="s">
        <v>23</v>
      </c>
      <c r="N174" s="3" t="str">
        <f>IF(ISERROR(VLOOKUP($A174,'SegEnds_NonXtal_BW#'!$A:$Z,10,FALSE)+VLOOKUP($A174,A:AL,13,FALSE)-50),"-",(VLOOKUP($A174,'SegEnds_NonXtal_BW#'!$A:$Z,10,FALSE)+VLOOKUP($A174,A:AL,13,FALSE)-50))</f>
        <v>-</v>
      </c>
      <c r="O174" s="3">
        <f>VLOOKUP($A174,'SegEnds_NonXtal_BW#'!$A:$Z,11,FALSE)+VLOOKUP($A174,A:AL,16,FALSE)-50</f>
        <v>139</v>
      </c>
      <c r="P174" s="3">
        <v>171</v>
      </c>
      <c r="Q174" s="3">
        <f>VLOOKUP($A174,'SegEnds_NonXtal_BW#'!$A:$Z,12,FALSE)+VLOOKUP($A174,A:AL,16,FALSE)-50</f>
        <v>177</v>
      </c>
      <c r="R174" s="3">
        <f>IF(ISERROR(VLOOKUP($A174,'SegEnds_NonXtal_BW#'!$A:$Z,13,FALSE)+VLOOKUP($A174,A:AL,19,FALSE)-50),"-",VLOOKUP($A174,'SegEnds_NonXtal_BW#'!$A:$Z,13,FALSE)+VLOOKUP($A174,A:AL,19,FALSE)-50)</f>
        <v>178</v>
      </c>
      <c r="S174" s="3">
        <v>178</v>
      </c>
      <c r="T174" s="100">
        <f>IF(ISERROR(VLOOKUP($A174,'SegEnds_NonXtal_BW#'!$A:$Z,14,FALSE)+VLOOKUP($A174,A:AL,19,FALSE)-50),"-",(VLOOKUP($A174,'SegEnds_NonXtal_BW#'!$A:$Z,14,FALSE)+VLOOKUP($A174,A:AL,19,FALSE)-50))</f>
        <v>185</v>
      </c>
      <c r="U174" s="9">
        <f>IF(ISERROR(VLOOKUP($A174,'SegEnds_NonXtal_BW#'!$A:$Z,15,FALSE)+VLOOKUP($A174,A:AL,22,FALSE)-50),"-",VLOOKUP($A174,'SegEnds_NonXtal_BW#'!$A:$Z,15,FALSE)+VLOOKUP($A174,A:AL,22,FALSE)-50)</f>
        <v>186</v>
      </c>
      <c r="V174" s="3">
        <v>198</v>
      </c>
      <c r="W174" s="3">
        <f>IF(ISERROR(VLOOKUP($A174,'SegEnds_NonXtal_BW#'!$A:$Z,16,FALSE)+VLOOKUP($A174,A:AL,22,FALSE)-50),"-",(VLOOKUP($A174,'SegEnds_NonXtal_BW#'!$A:$Z,16,FALSE)+VLOOKUP($A174,A:AL,22,FALSE)-50))</f>
        <v>212</v>
      </c>
      <c r="X174" s="3" t="str">
        <f>IF(ISERROR(VLOOKUP($A174,'SegEnds_NonXtal_BW#'!$A:$Z,17,FALSE)+VLOOKUP($A174,A:AL,25,FALSE)-50),"-",(VLOOKUP($A174,'SegEnds_NonXtal_BW#'!$A:$Z,17,FALSE)+VLOOKUP($A174,A:AL,25,FALSE)-50))</f>
        <v>-</v>
      </c>
      <c r="Y174" s="3" t="s">
        <v>23</v>
      </c>
      <c r="Z174" s="3" t="str">
        <f>IF(ISERROR(VLOOKUP($A174,'SegEnds_NonXtal_BW#'!$A:$Z,18,FALSE)+VLOOKUP($A174,A:AL,25,FALSE)-50),"-",(VLOOKUP($A174,'SegEnds_NonXtal_BW#'!$A:$Z,18,FALSE)+VLOOKUP($A174,A:AL,25,FALSE)-50))</f>
        <v>-</v>
      </c>
      <c r="AA174" s="3">
        <f>IF(ISERROR(VLOOKUP($A174,'SegEnds_NonXtal_BW#'!$A:$Z,19,FALSE)+VLOOKUP($A174,A:AL,28,FALSE)-50),"-",(VLOOKUP($A174,'SegEnds_NonXtal_BW#'!$A:$Z,19,FALSE)+VLOOKUP($A174,A:AL,28,FALSE)-50))</f>
        <v>220</v>
      </c>
      <c r="AB174" s="3">
        <v>237</v>
      </c>
      <c r="AC174" s="3">
        <f>IF(ISERROR((VLOOKUP($A174,'SegEnds_NonXtal_BW#'!$A:$Z,20,FALSE)+VLOOKUP($A174,A:AL,28,FALSE)-50)),"-",(VLOOKUP($A174,'SegEnds_NonXtal_BW#'!$A:$Z,20,FALSE)+VLOOKUP($A174,A:AL,28,FALSE)-50))</f>
        <v>255</v>
      </c>
      <c r="AD174" s="3">
        <f>IF(ISERROR(VLOOKUP($A174,'SegEnds_NonXtal_BW#'!$A:$Z,21,FALSE)+VLOOKUP($A174,A:AL,31,FALSE)-50),"-",(VLOOKUP($A174,'SegEnds_NonXtal_BW#'!$A:$Z,21,FALSE)+VLOOKUP($A174,A:AL,31,FALSE)-50))</f>
        <v>259</v>
      </c>
      <c r="AE174" s="3">
        <v>279</v>
      </c>
      <c r="AF174" s="3">
        <f>IF(ISERROR((VLOOKUP($A174,'SegEnds_NonXtal_BW#'!$A:$Z,22,FALSE)+VLOOKUP($A174,A:AL,31,FALSE)-50)),"-",(VLOOKUP($A174,'SegEnds_NonXtal_BW#'!$A:$Z,22,FALSE)+VLOOKUP($A174,A:AL,31,FALSE)-50))</f>
        <v>290</v>
      </c>
      <c r="AG174" s="3">
        <f>IF(ISERROR(VLOOKUP($A174,'SegEnds_NonXtal_BW#'!$A:$Z,23,FALSE)+VLOOKUP($A174,A:AL,34,FALSE)-50),"-",(VLOOKUP($A174,'SegEnds_NonXtal_BW#'!$A:$Z,23,FALSE)+VLOOKUP($A174,A:AL,34,FALSE)-50))</f>
        <v>295</v>
      </c>
      <c r="AH174" s="3">
        <v>311</v>
      </c>
      <c r="AI174" s="3">
        <f>IF(ISERROR((VLOOKUP($A174,'SegEnds_NonXtal_BW#'!$A:$Z,24,FALSE)+VLOOKUP($A174,A:AL,34,FALSE)-50)),"-",(VLOOKUP($A174,'SegEnds_NonXtal_BW#'!$A:$Z,24,FALSE)+VLOOKUP($A174,A:AL,34,FALSE)-50))</f>
        <v>317</v>
      </c>
      <c r="AJ174" s="3">
        <f>IF(ISERROR(VLOOKUP($A174,'SegEnds_NonXtal_BW#'!$A:$Z,25,FALSE)+VLOOKUP($A174,A:AL,37,FALSE)-50),"-",(VLOOKUP($A174,'SegEnds_NonXtal_BW#'!$A:$Z,25,FALSE)+VLOOKUP($A174,A:AL,37,FALSE)-50))</f>
        <v>318</v>
      </c>
      <c r="AK174" s="3">
        <v>321</v>
      </c>
      <c r="AL174" s="3">
        <f>IF(ISERROR((VLOOKUP($A174,'SegEnds_NonXtal_BW#'!$A:$Z,26,FALSE)+VLOOKUP($A174,A:AL,37,FALSE)-50)),"-",(VLOOKUP($A174,'SegEnds_NonXtal_BW#'!$A:$Z,26,FALSE)+VLOOKUP($A174,A:AL,37,FALSE)-50))</f>
        <v>338</v>
      </c>
      <c r="AM174" s="28" t="str">
        <f>VLOOKUP(A174,Classification!A:B,2,FALSE)</f>
        <v>A</v>
      </c>
      <c r="AN174" s="28" t="b">
        <f t="shared" si="98"/>
        <v>1</v>
      </c>
      <c r="AO174" s="3" t="str">
        <f>IF(ISERROR(MATCH(A174,'SegEnds_Xtal_Prot#'!B:B, 0)), "NoXtal", "Xtal")</f>
        <v>NoXtal</v>
      </c>
      <c r="AP174" s="3" t="str">
        <f t="shared" si="81"/>
        <v>-</v>
      </c>
      <c r="AQ174" s="3" t="str">
        <f t="shared" si="82"/>
        <v>-</v>
      </c>
      <c r="AR174" s="3" t="str">
        <f t="shared" si="83"/>
        <v>-</v>
      </c>
      <c r="AS174" s="3" t="str">
        <f t="shared" si="84"/>
        <v>-</v>
      </c>
      <c r="AT174" s="3">
        <f t="shared" si="85"/>
        <v>1</v>
      </c>
      <c r="AU174" s="3">
        <f t="shared" si="86"/>
        <v>1</v>
      </c>
      <c r="AV174" s="3" t="str">
        <f t="shared" si="87"/>
        <v>-</v>
      </c>
      <c r="AW174" s="3" t="str">
        <f t="shared" si="88"/>
        <v>-</v>
      </c>
      <c r="AX174" s="3">
        <f t="shared" si="89"/>
        <v>4</v>
      </c>
      <c r="AY174" s="3">
        <f t="shared" si="90"/>
        <v>5</v>
      </c>
      <c r="AZ174" s="3">
        <f t="shared" si="91"/>
        <v>1</v>
      </c>
      <c r="BA174" s="3">
        <f>IF(ISERROR(LEN(VLOOKUP(A174,Seqs!A:E,2,FALSE))-AL174),"-",LEN(VLOOKUP(A174,Seqs!A:E,2,FALSE))-AL174)</f>
        <v>40</v>
      </c>
      <c r="BB174" s="16">
        <f t="shared" si="92"/>
        <v>26</v>
      </c>
      <c r="BC174" s="9">
        <f t="shared" si="93"/>
        <v>20</v>
      </c>
      <c r="BD174" s="3">
        <f t="shared" si="94"/>
        <v>26</v>
      </c>
      <c r="BE174" s="3">
        <f t="shared" si="95"/>
        <v>42</v>
      </c>
    </row>
    <row r="175" spans="1:58" s="3" customFormat="1" x14ac:dyDescent="0.2">
      <c r="A175" s="3" t="s">
        <v>296</v>
      </c>
      <c r="B175" s="3" t="str">
        <f>LOWER(VLOOKUP(A175,Xtal_Templ!A:B,2,FALSE))</f>
        <v>lpar1_human</v>
      </c>
      <c r="C175" s="3">
        <f>VLOOKUP($A175,'SegEnds_NonXtal_BW#'!$A:$Z,3,FALSE)+D175-50</f>
        <v>36</v>
      </c>
      <c r="D175" s="3">
        <v>56</v>
      </c>
      <c r="E175" s="3">
        <f>IF(ISERROR(VLOOKUP($A175,'SegEnds_NonXtal_BW#'!$A:$Z,4,FALSE)+VLOOKUP($A175,A:AL,4,FALSE)-50),"-",(VLOOKUP($A175,'SegEnds_NonXtal_BW#'!$A:$Z,4,FALSE)+VLOOKUP($A175,A:AL,4,FALSE)-50))</f>
        <v>66</v>
      </c>
      <c r="F175" s="3">
        <f>G175-2</f>
        <v>67</v>
      </c>
      <c r="G175" s="3">
        <v>69</v>
      </c>
      <c r="H175" s="3">
        <f t="shared" ref="H175:I178" si="110">G175+1</f>
        <v>70</v>
      </c>
      <c r="I175" s="3">
        <f t="shared" si="110"/>
        <v>71</v>
      </c>
      <c r="J175" s="3">
        <v>84</v>
      </c>
      <c r="K175" s="3">
        <f>VLOOKUP($A175,'SegEnds_NonXtal_BW#'!$A:$Z,8,FALSE)+VLOOKUP($A175,A:AL,10,FALSE)-50</f>
        <v>101</v>
      </c>
      <c r="L175" s="3" t="str">
        <f>IF(ISERROR(VLOOKUP($A175,'SegEnds_NonXtal_BW#'!$A:$Z,9,FALSE)+VLOOKUP($A175,A:AL,13,FALSE)-50),"-",(VLOOKUP($A175,'SegEnds_NonXtal_BW#'!$A:$Z,9,FALSE)+VLOOKUP($A175,A:AL,13,FALSE)-50))</f>
        <v>-</v>
      </c>
      <c r="M175" s="3" t="s">
        <v>23</v>
      </c>
      <c r="N175" s="3" t="str">
        <f>IF(ISERROR(VLOOKUP($A175,'SegEnds_NonXtal_BW#'!$A:$Z,10,FALSE)+VLOOKUP($A175,A:AL,13,FALSE)-50),"-",(VLOOKUP($A175,'SegEnds_NonXtal_BW#'!$A:$Z,10,FALSE)+VLOOKUP($A175,A:AL,13,FALSE)-50))</f>
        <v>-</v>
      </c>
      <c r="O175" s="3">
        <f>VLOOKUP($A175,'SegEnds_NonXtal_BW#'!$A:$Z,11,FALSE)+VLOOKUP($A175,A:AL,16,FALSE)-50</f>
        <v>110</v>
      </c>
      <c r="P175" s="3">
        <v>142</v>
      </c>
      <c r="Q175" s="3">
        <f>VLOOKUP($A175,'SegEnds_NonXtal_BW#'!$A:$Z,12,FALSE)+VLOOKUP($A175,A:AL,16,FALSE)-50</f>
        <v>148</v>
      </c>
      <c r="R175" s="3">
        <f>S175</f>
        <v>149</v>
      </c>
      <c r="S175" s="3">
        <v>149</v>
      </c>
      <c r="T175" s="100">
        <f>S175+7</f>
        <v>156</v>
      </c>
      <c r="U175" s="9">
        <f>IF(ISERROR(VLOOKUP($A175,'SegEnds_NonXtal_BW#'!$A:$Z,15,FALSE)+VLOOKUP($A175,A:AL,22,FALSE)-50),"-",VLOOKUP($A175,'SegEnds_NonXtal_BW#'!$A:$Z,15,FALSE)+VLOOKUP($A175,A:AL,22,FALSE)-50)</f>
        <v>157</v>
      </c>
      <c r="V175" s="3">
        <v>169</v>
      </c>
      <c r="W175" s="3">
        <f>IF(ISERROR(VLOOKUP($A175,'SegEnds_NonXtal_BW#'!$A:$Z,16,FALSE)+VLOOKUP($A175,A:AL,22,FALSE)-50),"-",(VLOOKUP($A175,'SegEnds_NonXtal_BW#'!$A:$Z,16,FALSE)+VLOOKUP($A175,A:AL,22,FALSE)-50))</f>
        <v>182</v>
      </c>
      <c r="X175" s="3" t="str">
        <f>IF(ISERROR(VLOOKUP($A175,'SegEnds_NonXtal_BW#'!$A:$Z,17,FALSE)+VLOOKUP($A175,A:AL,25,FALSE)-50),"-",(VLOOKUP($A175,'SegEnds_NonXtal_BW#'!$A:$Z,17,FALSE)+VLOOKUP($A175,A:AL,25,FALSE)-50))</f>
        <v>-</v>
      </c>
      <c r="Y175" s="3" t="s">
        <v>23</v>
      </c>
      <c r="Z175" s="3" t="str">
        <f>IF(ISERROR(VLOOKUP($A175,'SegEnds_NonXtal_BW#'!$A:$Z,18,FALSE)+VLOOKUP($A175,A:AL,25,FALSE)-50),"-",(VLOOKUP($A175,'SegEnds_NonXtal_BW#'!$A:$Z,18,FALSE)+VLOOKUP($A175,A:AL,25,FALSE)-50))</f>
        <v>-</v>
      </c>
      <c r="AA175" s="3">
        <f>IF(ISERROR(VLOOKUP($A175,'SegEnds_NonXtal_BW#'!$A:$Z,19,FALSE)+VLOOKUP($A175,A:AL,28,FALSE)-50),"-",(VLOOKUP($A175,'SegEnds_NonXtal_BW#'!$A:$Z,19,FALSE)+VLOOKUP($A175,A:AL,28,FALSE)-50))</f>
        <v>192</v>
      </c>
      <c r="AB175" s="9">
        <v>209</v>
      </c>
      <c r="AC175" s="3">
        <f>IF(ISERROR((VLOOKUP($A175,'SegEnds_NonXtal_BW#'!$A:$Z,20,FALSE)+VLOOKUP($A175,A:AL,28,FALSE)-50)),"-",(VLOOKUP($A175,'SegEnds_NonXtal_BW#'!$A:$Z,20,FALSE)+VLOOKUP($A175,A:AL,28,FALSE)-50))</f>
        <v>227</v>
      </c>
      <c r="AD175" s="3">
        <f>IF(ISERROR(VLOOKUP($A175,'SegEnds_NonXtal_BW#'!$A:$Z,21,FALSE)+VLOOKUP($A175,A:AL,31,FALSE)-50),"-",(VLOOKUP($A175,'SegEnds_NonXtal_BW#'!$A:$Z,21,FALSE)+VLOOKUP($A175,A:AL,31,FALSE)-50))</f>
        <v>234</v>
      </c>
      <c r="AE175" s="3">
        <v>257</v>
      </c>
      <c r="AF175" s="3">
        <f>IF(ISERROR((VLOOKUP($A175,'SegEnds_NonXtal_BW#'!$A:$Z,22,FALSE)+VLOOKUP($A175,A:AL,31,FALSE)-50)),"-",(VLOOKUP($A175,'SegEnds_NonXtal_BW#'!$A:$Z,22,FALSE)+VLOOKUP($A175,A:AL,31,FALSE)-50))</f>
        <v>268</v>
      </c>
      <c r="AG175" s="3">
        <f>IF(ISERROR(VLOOKUP($A175,'SegEnds_NonXtal_BW#'!$A:$Z,23,FALSE)+VLOOKUP($A175,A:AL,34,FALSE)-50),"-",(VLOOKUP($A175,'SegEnds_NonXtal_BW#'!$A:$Z,23,FALSE)+VLOOKUP($A175,A:AL,34,FALSE)-50))</f>
        <v>274</v>
      </c>
      <c r="AH175" s="3">
        <v>296</v>
      </c>
      <c r="AI175" s="3">
        <f>IF(ISERROR((VLOOKUP($A175,'SegEnds_NonXtal_BW#'!$A:$Z,24,FALSE)+VLOOKUP($A175,A:AL,34,FALSE)-50)),"-",(VLOOKUP($A175,'SegEnds_NonXtal_BW#'!$A:$Z,24,FALSE)+VLOOKUP($A175,A:AL,34,FALSE)-50))</f>
        <v>302</v>
      </c>
      <c r="AJ175" s="3">
        <f>IF(ISERROR(VLOOKUP($A175,'SegEnds_NonXtal_BW#'!$A:$Z,25,FALSE)+VLOOKUP($A175,A:AL,37,FALSE)-50),"-",(VLOOKUP($A175,'SegEnds_NonXtal_BW#'!$A:$Z,25,FALSE)+VLOOKUP($A175,A:AL,37,FALSE)-50))</f>
        <v>303</v>
      </c>
      <c r="AK175" s="3">
        <v>306</v>
      </c>
      <c r="AL175" s="3">
        <f>IF(ISERROR((VLOOKUP($A175,'SegEnds_NonXtal_BW#'!$A:$Z,26,FALSE)+VLOOKUP($A175,A:AL,37,FALSE)-50)),"-",(VLOOKUP($A175,'SegEnds_NonXtal_BW#'!$A:$Z,26,FALSE)+VLOOKUP($A175,A:AL,37,FALSE)-50))</f>
        <v>315</v>
      </c>
      <c r="AM175" s="28" t="str">
        <f>VLOOKUP(A175,Classification!A:B,2,FALSE)</f>
        <v>A</v>
      </c>
      <c r="AN175" s="28" t="b">
        <f t="shared" si="98"/>
        <v>1</v>
      </c>
      <c r="AO175" s="3" t="str">
        <f>IF(ISERROR(MATCH(A175,'SegEnds_Xtal_Prot#'!B:B, 0)), "NoXtal", "Xtal")</f>
        <v>NoXtal</v>
      </c>
      <c r="AP175" s="3">
        <f t="shared" si="81"/>
        <v>1</v>
      </c>
      <c r="AQ175" s="3">
        <f t="shared" si="82"/>
        <v>1</v>
      </c>
      <c r="AR175" s="3" t="str">
        <f t="shared" si="83"/>
        <v>-</v>
      </c>
      <c r="AS175" s="3" t="str">
        <f t="shared" si="84"/>
        <v>-</v>
      </c>
      <c r="AT175" s="3">
        <f t="shared" si="85"/>
        <v>1</v>
      </c>
      <c r="AU175" s="3">
        <f t="shared" si="86"/>
        <v>1</v>
      </c>
      <c r="AV175" s="3" t="str">
        <f t="shared" si="87"/>
        <v>-</v>
      </c>
      <c r="AW175" s="3" t="str">
        <f t="shared" si="88"/>
        <v>-</v>
      </c>
      <c r="AX175" s="3">
        <f t="shared" si="89"/>
        <v>7</v>
      </c>
      <c r="AY175" s="3">
        <f t="shared" si="90"/>
        <v>6</v>
      </c>
      <c r="AZ175" s="3">
        <f t="shared" si="91"/>
        <v>1</v>
      </c>
      <c r="BA175" s="3">
        <f>IF(ISERROR(LEN(VLOOKUP(A175,Seqs!A:E,2,FALSE))-AL175),"-",LEN(VLOOKUP(A175,Seqs!A:E,2,FALSE))-AL175)</f>
        <v>8</v>
      </c>
      <c r="BB175" s="16">
        <f t="shared" si="92"/>
        <v>28</v>
      </c>
      <c r="BC175" s="9">
        <f t="shared" si="93"/>
        <v>20</v>
      </c>
      <c r="BD175" s="3">
        <f t="shared" si="94"/>
        <v>28</v>
      </c>
      <c r="BE175" s="3">
        <f t="shared" si="95"/>
        <v>48</v>
      </c>
      <c r="BF175" s="3">
        <f t="shared" ref="BF175:BF181" si="111">AH175-AE175</f>
        <v>39</v>
      </c>
    </row>
    <row r="176" spans="1:58" s="3" customFormat="1" x14ac:dyDescent="0.2">
      <c r="A176" s="3" t="s">
        <v>297</v>
      </c>
      <c r="B176" s="3" t="str">
        <f>LOWER(VLOOKUP(A176,Xtal_Templ!A:B,2,FALSE))</f>
        <v>s1pr1_human</v>
      </c>
      <c r="C176" s="3">
        <f>VLOOKUP($A176,'SegEnds_NonXtal_BW#'!$A:$Z,3,FALSE)+D176-50</f>
        <v>41</v>
      </c>
      <c r="D176" s="3">
        <v>62</v>
      </c>
      <c r="E176" s="3">
        <f>IF(ISERROR(VLOOKUP($A176,'SegEnds_NonXtal_BW#'!$A:$Z,4,FALSE)+VLOOKUP($A176,A:AL,4,FALSE)-50),"-",(VLOOKUP($A176,'SegEnds_NonXtal_BW#'!$A:$Z,4,FALSE)+VLOOKUP($A176,A:AL,4,FALSE)-50))</f>
        <v>72</v>
      </c>
      <c r="F176" s="3">
        <f>G176-2</f>
        <v>73</v>
      </c>
      <c r="G176" s="3">
        <v>75</v>
      </c>
      <c r="H176" s="3">
        <f t="shared" si="110"/>
        <v>76</v>
      </c>
      <c r="I176" s="3">
        <f t="shared" si="110"/>
        <v>77</v>
      </c>
      <c r="J176" s="3">
        <v>90</v>
      </c>
      <c r="K176" s="3">
        <f>VLOOKUP($A176,'SegEnds_NonXtal_BW#'!$A:$Z,8,FALSE)+VLOOKUP($A176,A:AL,10,FALSE)-50</f>
        <v>107</v>
      </c>
      <c r="L176" s="3" t="str">
        <f>IF(ISERROR(VLOOKUP($A176,'SegEnds_NonXtal_BW#'!$A:$Z,9,FALSE)+VLOOKUP($A176,A:AL,13,FALSE)-50),"-",(VLOOKUP($A176,'SegEnds_NonXtal_BW#'!$A:$Z,9,FALSE)+VLOOKUP($A176,A:AL,13,FALSE)-50))</f>
        <v>-</v>
      </c>
      <c r="M176" s="3" t="s">
        <v>23</v>
      </c>
      <c r="N176" s="3" t="str">
        <f>IF(ISERROR(VLOOKUP($A176,'SegEnds_NonXtal_BW#'!$A:$Z,10,FALSE)+VLOOKUP($A176,A:AL,13,FALSE)-50),"-",(VLOOKUP($A176,'SegEnds_NonXtal_BW#'!$A:$Z,10,FALSE)+VLOOKUP($A176,A:AL,13,FALSE)-50))</f>
        <v>-</v>
      </c>
      <c r="O176" s="3">
        <f>VLOOKUP($A176,'SegEnds_NonXtal_BW#'!$A:$Z,11,FALSE)+VLOOKUP($A176,A:AL,16,FALSE)-50</f>
        <v>115</v>
      </c>
      <c r="P176" s="3">
        <v>147</v>
      </c>
      <c r="Q176" s="3">
        <f>VLOOKUP($A176,'SegEnds_NonXtal_BW#'!$A:$Z,12,FALSE)+VLOOKUP($A176,A:AL,16,FALSE)-50</f>
        <v>153</v>
      </c>
      <c r="R176" s="3">
        <f>S176</f>
        <v>154</v>
      </c>
      <c r="S176" s="3">
        <v>154</v>
      </c>
      <c r="T176" s="100">
        <f>S176+7</f>
        <v>161</v>
      </c>
      <c r="U176" s="9">
        <f>IF(ISERROR(VLOOKUP($A176,'SegEnds_NonXtal_BW#'!$A:$Z,15,FALSE)+VLOOKUP($A176,A:AL,22,FALSE)-50),"-",VLOOKUP($A176,'SegEnds_NonXtal_BW#'!$A:$Z,15,FALSE)+VLOOKUP($A176,A:AL,22,FALSE)-50)</f>
        <v>162</v>
      </c>
      <c r="V176" s="3">
        <v>174</v>
      </c>
      <c r="W176" s="3">
        <f>IF(ISERROR(VLOOKUP($A176,'SegEnds_NonXtal_BW#'!$A:$Z,16,FALSE)+VLOOKUP($A176,A:AL,22,FALSE)-50),"-",(VLOOKUP($A176,'SegEnds_NonXtal_BW#'!$A:$Z,16,FALSE)+VLOOKUP($A176,A:AL,22,FALSE)-50))</f>
        <v>187</v>
      </c>
      <c r="X176" s="3" t="str">
        <f>IF(ISERROR(VLOOKUP($A176,'SegEnds_NonXtal_BW#'!$A:$Z,17,FALSE)+VLOOKUP($A176,A:AL,25,FALSE)-50),"-",(VLOOKUP($A176,'SegEnds_NonXtal_BW#'!$A:$Z,17,FALSE)+VLOOKUP($A176,A:AL,25,FALSE)-50))</f>
        <v>-</v>
      </c>
      <c r="Y176" s="3" t="s">
        <v>23</v>
      </c>
      <c r="Z176" s="3" t="str">
        <f>IF(ISERROR(VLOOKUP($A176,'SegEnds_NonXtal_BW#'!$A:$Z,18,FALSE)+VLOOKUP($A176,A:AL,25,FALSE)-50),"-",(VLOOKUP($A176,'SegEnds_NonXtal_BW#'!$A:$Z,18,FALSE)+VLOOKUP($A176,A:AL,25,FALSE)-50))</f>
        <v>-</v>
      </c>
      <c r="AA176" s="3">
        <f>IF(ISERROR(VLOOKUP($A176,'SegEnds_NonXtal_BW#'!$A:$Z,19,FALSE)+VLOOKUP($A176,A:AL,28,FALSE)-50),"-",(VLOOKUP($A176,'SegEnds_NonXtal_BW#'!$A:$Z,19,FALSE)+VLOOKUP($A176,A:AL,28,FALSE)-50))</f>
        <v>197</v>
      </c>
      <c r="AB176" s="9">
        <v>214</v>
      </c>
      <c r="AC176" s="3">
        <f>IF(ISERROR((VLOOKUP($A176,'SegEnds_NonXtal_BW#'!$A:$Z,20,FALSE)+VLOOKUP($A176,A:AL,28,FALSE)-50)),"-",(VLOOKUP($A176,'SegEnds_NonXtal_BW#'!$A:$Z,20,FALSE)+VLOOKUP($A176,A:AL,28,FALSE)-50))</f>
        <v>231</v>
      </c>
      <c r="AD176" s="3">
        <f>IF(ISERROR(VLOOKUP($A176,'SegEnds_NonXtal_BW#'!$A:$Z,21,FALSE)+VLOOKUP($A176,A:AL,31,FALSE)-50),"-",(VLOOKUP($A176,'SegEnds_NonXtal_BW#'!$A:$Z,21,FALSE)+VLOOKUP($A176,A:AL,31,FALSE)-50))</f>
        <v>237</v>
      </c>
      <c r="AE176" s="3">
        <v>260</v>
      </c>
      <c r="AF176" s="3">
        <f>IF(ISERROR((VLOOKUP($A176,'SegEnds_NonXtal_BW#'!$A:$Z,22,FALSE)+VLOOKUP($A176,A:AL,31,FALSE)-50)),"-",(VLOOKUP($A176,'SegEnds_NonXtal_BW#'!$A:$Z,22,FALSE)+VLOOKUP($A176,A:AL,31,FALSE)-50))</f>
        <v>271</v>
      </c>
      <c r="AG176" s="3">
        <f>IF(ISERROR(VLOOKUP($A176,'SegEnds_NonXtal_BW#'!$A:$Z,23,FALSE)+VLOOKUP($A176,A:AL,34,FALSE)-50),"-",(VLOOKUP($A176,'SegEnds_NonXtal_BW#'!$A:$Z,23,FALSE)+VLOOKUP($A176,A:AL,34,FALSE)-50))</f>
        <v>277</v>
      </c>
      <c r="AH176" s="3">
        <v>299</v>
      </c>
      <c r="AI176" s="3">
        <f>IF(ISERROR((VLOOKUP($A176,'SegEnds_NonXtal_BW#'!$A:$Z,24,FALSE)+VLOOKUP($A176,A:AL,34,FALSE)-50)),"-",(VLOOKUP($A176,'SegEnds_NonXtal_BW#'!$A:$Z,24,FALSE)+VLOOKUP($A176,A:AL,34,FALSE)-50))</f>
        <v>305</v>
      </c>
      <c r="AJ176" s="3">
        <f>IF(ISERROR(VLOOKUP($A176,'SegEnds_NonXtal_BW#'!$A:$Z,25,FALSE)+VLOOKUP($A176,A:AL,37,FALSE)-50),"-",(VLOOKUP($A176,'SegEnds_NonXtal_BW#'!$A:$Z,25,FALSE)+VLOOKUP($A176,A:AL,37,FALSE)-50))</f>
        <v>306</v>
      </c>
      <c r="AK176" s="3">
        <v>309</v>
      </c>
      <c r="AL176" s="3">
        <f>IF(ISERROR((VLOOKUP($A176,'SegEnds_NonXtal_BW#'!$A:$Z,26,FALSE)+VLOOKUP($A176,A:AL,37,FALSE)-50)),"-",(VLOOKUP($A176,'SegEnds_NonXtal_BW#'!$A:$Z,26,FALSE)+VLOOKUP($A176,A:AL,37,FALSE)-50))</f>
        <v>318</v>
      </c>
      <c r="AM176" s="28" t="str">
        <f>VLOOKUP(A176,Classification!A:B,2,FALSE)</f>
        <v>A</v>
      </c>
      <c r="AN176" s="28" t="b">
        <f t="shared" si="98"/>
        <v>1</v>
      </c>
      <c r="AO176" s="3" t="str">
        <f>IF(ISERROR(MATCH(A176,'SegEnds_Xtal_Prot#'!B:B, 0)), "NoXtal", "Xtal")</f>
        <v>NoXtal</v>
      </c>
      <c r="AP176" s="3">
        <f t="shared" si="81"/>
        <v>1</v>
      </c>
      <c r="AQ176" s="3">
        <f t="shared" si="82"/>
        <v>1</v>
      </c>
      <c r="AR176" s="3" t="str">
        <f t="shared" si="83"/>
        <v>-</v>
      </c>
      <c r="AS176" s="3" t="str">
        <f t="shared" si="84"/>
        <v>-</v>
      </c>
      <c r="AT176" s="3">
        <f t="shared" si="85"/>
        <v>1</v>
      </c>
      <c r="AU176" s="3">
        <f t="shared" si="86"/>
        <v>1</v>
      </c>
      <c r="AV176" s="3" t="str">
        <f t="shared" si="87"/>
        <v>-</v>
      </c>
      <c r="AW176" s="3" t="str">
        <f t="shared" si="88"/>
        <v>-</v>
      </c>
      <c r="AX176" s="3">
        <f t="shared" si="89"/>
        <v>6</v>
      </c>
      <c r="AY176" s="3">
        <f t="shared" si="90"/>
        <v>6</v>
      </c>
      <c r="AZ176" s="3">
        <f t="shared" si="91"/>
        <v>1</v>
      </c>
      <c r="BA176" s="3">
        <f>IF(ISERROR(LEN(VLOOKUP(A176,Seqs!A:E,2,FALSE))-AL176),"-",LEN(VLOOKUP(A176,Seqs!A:E,2,FALSE))-AL176)</f>
        <v>14</v>
      </c>
      <c r="BB176" s="16">
        <f t="shared" si="92"/>
        <v>28</v>
      </c>
      <c r="BC176" s="9">
        <f t="shared" si="93"/>
        <v>20</v>
      </c>
      <c r="BD176" s="3">
        <f t="shared" si="94"/>
        <v>28</v>
      </c>
      <c r="BE176" s="3">
        <f t="shared" si="95"/>
        <v>46</v>
      </c>
      <c r="BF176" s="3">
        <f t="shared" si="111"/>
        <v>39</v>
      </c>
    </row>
    <row r="177" spans="1:58" s="3" customFormat="1" x14ac:dyDescent="0.2">
      <c r="A177" s="3" t="s">
        <v>298</v>
      </c>
      <c r="B177" s="3" t="str">
        <f>LOWER(VLOOKUP(A177,Xtal_Templ!A:B,2,FALSE))</f>
        <v>lpar1_human</v>
      </c>
      <c r="C177" s="3">
        <f>VLOOKUP($A177,'SegEnds_NonXtal_BW#'!$A:$Z,3,FALSE)+D177-50</f>
        <v>34</v>
      </c>
      <c r="D177" s="3">
        <v>54</v>
      </c>
      <c r="E177" s="3">
        <f>IF(ISERROR(VLOOKUP($A177,'SegEnds_NonXtal_BW#'!$A:$Z,4,FALSE)+VLOOKUP($A177,A:AL,4,FALSE)-50),"-",(VLOOKUP($A177,'SegEnds_NonXtal_BW#'!$A:$Z,4,FALSE)+VLOOKUP($A177,A:AL,4,FALSE)-50))</f>
        <v>64</v>
      </c>
      <c r="F177" s="3">
        <f>G177-2</f>
        <v>65</v>
      </c>
      <c r="G177" s="3">
        <v>67</v>
      </c>
      <c r="H177" s="3">
        <f t="shared" si="110"/>
        <v>68</v>
      </c>
      <c r="I177" s="3">
        <f t="shared" si="110"/>
        <v>69</v>
      </c>
      <c r="J177" s="3">
        <v>82</v>
      </c>
      <c r="K177" s="3">
        <f>VLOOKUP($A177,'SegEnds_NonXtal_BW#'!$A:$Z,8,FALSE)+VLOOKUP($A177,A:AL,10,FALSE)-50</f>
        <v>95</v>
      </c>
      <c r="L177" s="3" t="str">
        <f>IF(ISERROR(VLOOKUP($A177,'SegEnds_NonXtal_BW#'!$A:$Z,9,FALSE)+VLOOKUP($A177,A:AL,13,FALSE)-50),"-",(VLOOKUP($A177,'SegEnds_NonXtal_BW#'!$A:$Z,9,FALSE)+VLOOKUP($A177,A:AL,13,FALSE)-50))</f>
        <v>-</v>
      </c>
      <c r="M177" s="3" t="s">
        <v>23</v>
      </c>
      <c r="N177" s="3" t="str">
        <f>IF(ISERROR(VLOOKUP($A177,'SegEnds_NonXtal_BW#'!$A:$Z,10,FALSE)+VLOOKUP($A177,A:AL,13,FALSE)-50),"-",(VLOOKUP($A177,'SegEnds_NonXtal_BW#'!$A:$Z,10,FALSE)+VLOOKUP($A177,A:AL,13,FALSE)-50))</f>
        <v>-</v>
      </c>
      <c r="O177" s="3">
        <f>VLOOKUP($A177,'SegEnds_NonXtal_BW#'!$A:$Z,11,FALSE)+VLOOKUP($A177,A:AL,16,FALSE)-50</f>
        <v>108</v>
      </c>
      <c r="P177" s="3">
        <v>140</v>
      </c>
      <c r="Q177" s="3">
        <f>VLOOKUP($A177,'SegEnds_NonXtal_BW#'!$A:$Z,12,FALSE)+VLOOKUP($A177,A:AL,16,FALSE)-50</f>
        <v>146</v>
      </c>
      <c r="R177" s="3">
        <f>IF(ISERROR(VLOOKUP($A177,'SegEnds_NonXtal_BW#'!$A:$Z,13,FALSE)+VLOOKUP($A177,A:AL,19,FALSE)-50),"-",VLOOKUP($A177,'SegEnds_NonXtal_BW#'!$A:$Z,13,FALSE)+VLOOKUP($A177,A:AL,19,FALSE)-50)</f>
        <v>147</v>
      </c>
      <c r="S177" s="3">
        <v>147</v>
      </c>
      <c r="T177" s="100">
        <f>IF(ISERROR(VLOOKUP($A177,'SegEnds_NonXtal_BW#'!$A:$Z,14,FALSE)+VLOOKUP($A177,A:AL,19,FALSE)-50),"-",(VLOOKUP($A177,'SegEnds_NonXtal_BW#'!$A:$Z,14,FALSE)+VLOOKUP($A177,A:AL,19,FALSE)-50))</f>
        <v>154</v>
      </c>
      <c r="U177" s="9">
        <f>IF(ISERROR(VLOOKUP($A177,'SegEnds_NonXtal_BW#'!$A:$Z,15,FALSE)+VLOOKUP($A177,A:AL,22,FALSE)-50),"-",VLOOKUP($A177,'SegEnds_NonXtal_BW#'!$A:$Z,15,FALSE)+VLOOKUP($A177,A:AL,22,FALSE)-50)</f>
        <v>155</v>
      </c>
      <c r="V177" s="3">
        <v>167</v>
      </c>
      <c r="W177" s="3">
        <f>IF(ISERROR(VLOOKUP($A177,'SegEnds_NonXtal_BW#'!$A:$Z,16,FALSE)+VLOOKUP($A177,A:AL,22,FALSE)-50),"-",(VLOOKUP($A177,'SegEnds_NonXtal_BW#'!$A:$Z,16,FALSE)+VLOOKUP($A177,A:AL,22,FALSE)-50))</f>
        <v>180</v>
      </c>
      <c r="X177" s="3" t="str">
        <f>IF(ISERROR(VLOOKUP($A177,'SegEnds_NonXtal_BW#'!$A:$Z,17,FALSE)+VLOOKUP($A177,A:AL,25,FALSE)-50),"-",(VLOOKUP($A177,'SegEnds_NonXtal_BW#'!$A:$Z,17,FALSE)+VLOOKUP($A177,A:AL,25,FALSE)-50))</f>
        <v>-</v>
      </c>
      <c r="Y177" s="3" t="s">
        <v>23</v>
      </c>
      <c r="Z177" s="3" t="str">
        <f>IF(ISERROR(VLOOKUP($A177,'SegEnds_NonXtal_BW#'!$A:$Z,18,FALSE)+VLOOKUP($A177,A:AL,25,FALSE)-50),"-",(VLOOKUP($A177,'SegEnds_NonXtal_BW#'!$A:$Z,18,FALSE)+VLOOKUP($A177,A:AL,25,FALSE)-50))</f>
        <v>-</v>
      </c>
      <c r="AA177" s="3">
        <f>IF(ISERROR(VLOOKUP($A177,'SegEnds_NonXtal_BW#'!$A:$Z,19,FALSE)+VLOOKUP($A177,A:AL,28,FALSE)-50),"-",(VLOOKUP($A177,'SegEnds_NonXtal_BW#'!$A:$Z,19,FALSE)+VLOOKUP($A177,A:AL,28,FALSE)-50))</f>
        <v>190</v>
      </c>
      <c r="AB177" s="9">
        <v>207</v>
      </c>
      <c r="AC177" s="3">
        <f>IF(ISERROR((VLOOKUP($A177,'SegEnds_NonXtal_BW#'!$A:$Z,20,FALSE)+VLOOKUP($A177,A:AL,28,FALSE)-50)),"-",(VLOOKUP($A177,'SegEnds_NonXtal_BW#'!$A:$Z,20,FALSE)+VLOOKUP($A177,A:AL,28,FALSE)-50))</f>
        <v>224</v>
      </c>
      <c r="AD177" s="3">
        <f>IF(ISERROR(VLOOKUP($A177,'SegEnds_NonXtal_BW#'!$A:$Z,21,FALSE)+VLOOKUP($A177,A:AL,31,FALSE)-50),"-",(VLOOKUP($A177,'SegEnds_NonXtal_BW#'!$A:$Z,21,FALSE)+VLOOKUP($A177,A:AL,31,FALSE)-50))</f>
        <v>230</v>
      </c>
      <c r="AE177" s="3">
        <v>253</v>
      </c>
      <c r="AF177" s="3">
        <f>IF(ISERROR((VLOOKUP($A177,'SegEnds_NonXtal_BW#'!$A:$Z,22,FALSE)+VLOOKUP($A177,A:AL,31,FALSE)-50)),"-",(VLOOKUP($A177,'SegEnds_NonXtal_BW#'!$A:$Z,22,FALSE)+VLOOKUP($A177,A:AL,31,FALSE)-50))</f>
        <v>264</v>
      </c>
      <c r="AG177" s="3">
        <f>IF(ISERROR(VLOOKUP($A177,'SegEnds_NonXtal_BW#'!$A:$Z,23,FALSE)+VLOOKUP($A177,A:AL,34,FALSE)-50),"-",(VLOOKUP($A177,'SegEnds_NonXtal_BW#'!$A:$Z,23,FALSE)+VLOOKUP($A177,A:AL,34,FALSE)-50))</f>
        <v>270</v>
      </c>
      <c r="AH177" s="3">
        <v>292</v>
      </c>
      <c r="AI177" s="3">
        <f>IF(ISERROR((VLOOKUP($A177,'SegEnds_NonXtal_BW#'!$A:$Z,24,FALSE)+VLOOKUP($A177,A:AL,34,FALSE)-50)),"-",(VLOOKUP($A177,'SegEnds_NonXtal_BW#'!$A:$Z,24,FALSE)+VLOOKUP($A177,A:AL,34,FALSE)-50))</f>
        <v>298</v>
      </c>
      <c r="AJ177" s="3">
        <f>IF(ISERROR(VLOOKUP($A177,'SegEnds_NonXtal_BW#'!$A:$Z,25,FALSE)+VLOOKUP($A177,A:AL,37,FALSE)-50),"-",(VLOOKUP($A177,'SegEnds_NonXtal_BW#'!$A:$Z,25,FALSE)+VLOOKUP($A177,A:AL,37,FALSE)-50))</f>
        <v>299</v>
      </c>
      <c r="AK177" s="3">
        <v>302</v>
      </c>
      <c r="AL177" s="3">
        <f>IF(ISERROR((VLOOKUP($A177,'SegEnds_NonXtal_BW#'!$A:$Z,26,FALSE)+VLOOKUP($A177,A:AL,37,FALSE)-50)),"-",(VLOOKUP($A177,'SegEnds_NonXtal_BW#'!$A:$Z,26,FALSE)+VLOOKUP($A177,A:AL,37,FALSE)-50))</f>
        <v>311</v>
      </c>
      <c r="AM177" s="28" t="str">
        <f>VLOOKUP(A177,Classification!A:B,2,FALSE)</f>
        <v>A</v>
      </c>
      <c r="AN177" s="28" t="b">
        <f t="shared" si="98"/>
        <v>1</v>
      </c>
      <c r="AO177" s="3" t="str">
        <f>IF(ISERROR(MATCH(A177,'SegEnds_Xtal_Prot#'!B:B, 0)), "NoXtal", "Xtal")</f>
        <v>NoXtal</v>
      </c>
      <c r="AP177" s="3">
        <f t="shared" si="81"/>
        <v>1</v>
      </c>
      <c r="AQ177" s="3">
        <f t="shared" si="82"/>
        <v>1</v>
      </c>
      <c r="AR177" s="3" t="str">
        <f t="shared" si="83"/>
        <v>-</v>
      </c>
      <c r="AS177" s="3" t="str">
        <f t="shared" si="84"/>
        <v>-</v>
      </c>
      <c r="AT177" s="3">
        <f t="shared" si="85"/>
        <v>1</v>
      </c>
      <c r="AU177" s="3">
        <f t="shared" si="86"/>
        <v>1</v>
      </c>
      <c r="AV177" s="3" t="str">
        <f t="shared" si="87"/>
        <v>-</v>
      </c>
      <c r="AW177" s="3" t="str">
        <f t="shared" si="88"/>
        <v>-</v>
      </c>
      <c r="AX177" s="3">
        <f t="shared" si="89"/>
        <v>6</v>
      </c>
      <c r="AY177" s="3">
        <f t="shared" si="90"/>
        <v>6</v>
      </c>
      <c r="AZ177" s="3">
        <f t="shared" si="91"/>
        <v>1</v>
      </c>
      <c r="BA177" s="3">
        <f>IF(ISERROR(LEN(VLOOKUP(A177,Seqs!A:E,2,FALSE))-AL177),"-",LEN(VLOOKUP(A177,Seqs!A:E,2,FALSE))-AL177)</f>
        <v>14</v>
      </c>
      <c r="BB177" s="16">
        <f t="shared" si="92"/>
        <v>28</v>
      </c>
      <c r="BC177" s="9">
        <f t="shared" si="93"/>
        <v>20</v>
      </c>
      <c r="BD177" s="3">
        <f t="shared" si="94"/>
        <v>28</v>
      </c>
      <c r="BE177" s="3">
        <f t="shared" si="95"/>
        <v>46</v>
      </c>
      <c r="BF177" s="3">
        <f t="shared" si="111"/>
        <v>39</v>
      </c>
    </row>
    <row r="178" spans="1:58" s="3" customFormat="1" x14ac:dyDescent="0.2">
      <c r="A178" s="3" t="s">
        <v>299</v>
      </c>
      <c r="B178" s="3" t="str">
        <f>LOWER(VLOOKUP(A178,Xtal_Templ!A:B,2,FALSE))</f>
        <v>oprk_human</v>
      </c>
      <c r="C178" s="3">
        <f>VLOOKUP($A178,'SegEnds_NonXtal_BW#'!$A:$Z,3,FALSE)+D178-50</f>
        <v>107</v>
      </c>
      <c r="D178" s="3">
        <v>127</v>
      </c>
      <c r="E178" s="3">
        <f>IF(ISERROR(VLOOKUP($A178,'SegEnds_NonXtal_BW#'!$A:$Z,4,FALSE)+VLOOKUP($A178,A:AL,4,FALSE)-50),"-",(VLOOKUP($A178,'SegEnds_NonXtal_BW#'!$A:$Z,4,FALSE)+VLOOKUP($A178,A:AL,4,FALSE)-50))</f>
        <v>137</v>
      </c>
      <c r="F178" s="3">
        <f>G178-2</f>
        <v>138</v>
      </c>
      <c r="G178" s="3">
        <v>140</v>
      </c>
      <c r="H178" s="3">
        <f t="shared" si="110"/>
        <v>141</v>
      </c>
      <c r="I178" s="3">
        <f t="shared" si="110"/>
        <v>142</v>
      </c>
      <c r="J178" s="3">
        <v>158</v>
      </c>
      <c r="K178" s="3">
        <f>VLOOKUP($A178,'SegEnds_NonXtal_BW#'!$A:$Z,8,FALSE)+VLOOKUP($A178,A:AL,10,FALSE)-50</f>
        <v>175</v>
      </c>
      <c r="L178" s="3">
        <f>M178-1</f>
        <v>177</v>
      </c>
      <c r="M178" s="3">
        <v>178</v>
      </c>
      <c r="N178" s="3">
        <f>M178+2</f>
        <v>180</v>
      </c>
      <c r="O178" s="3">
        <f>N178+1</f>
        <v>181</v>
      </c>
      <c r="P178" s="3">
        <v>210</v>
      </c>
      <c r="Q178" s="3">
        <f>VLOOKUP($A178,'SegEnds_NonXtal_BW#'!$A:$Z,12,FALSE)+VLOOKUP($A178,A:AL,16,FALSE)-50</f>
        <v>216</v>
      </c>
      <c r="R178" s="3">
        <f>IF(ISERROR(VLOOKUP($A178,'SegEnds_NonXtal_BW#'!$A:$Z,13,FALSE)+VLOOKUP($A178,A:AL,19,FALSE)-50),"-",VLOOKUP($A178,'SegEnds_NonXtal_BW#'!$A:$Z,13,FALSE)+VLOOKUP($A178,A:AL,19,FALSE)-50)</f>
        <v>217</v>
      </c>
      <c r="S178" s="3">
        <v>217</v>
      </c>
      <c r="T178" s="100">
        <f>IF(ISERROR(VLOOKUP($A178,'SegEnds_NonXtal_BW#'!$A:$Z,14,FALSE)+VLOOKUP($A178,A:AL,19,FALSE)-50),"-",(VLOOKUP($A178,'SegEnds_NonXtal_BW#'!$A:$Z,14,FALSE)+VLOOKUP($A178,A:AL,19,FALSE)-50))</f>
        <v>224</v>
      </c>
      <c r="U178" s="9">
        <f>IF(ISERROR(VLOOKUP($A178,'SegEnds_NonXtal_BW#'!$A:$Z,15,FALSE)+VLOOKUP($A178,A:AL,22,FALSE)-50),"-",VLOOKUP($A178,'SegEnds_NonXtal_BW#'!$A:$Z,15,FALSE)+VLOOKUP($A178,A:AL,22,FALSE)-50)</f>
        <v>225</v>
      </c>
      <c r="V178" s="3">
        <v>237</v>
      </c>
      <c r="W178" s="3">
        <f>IF(ISERROR(VLOOKUP($A178,'SegEnds_NonXtal_BW#'!$A:$Z,16,FALSE)+VLOOKUP($A178,A:AL,22,FALSE)-50),"-",(VLOOKUP($A178,'SegEnds_NonXtal_BW#'!$A:$Z,16,FALSE)+VLOOKUP($A178,A:AL,22,FALSE)-50))</f>
        <v>251</v>
      </c>
      <c r="X178" s="3">
        <f>IF(ISERROR(VLOOKUP($A178,'SegEnds_NonXtal_BW#'!$A:$Z,17,FALSE)+VLOOKUP($A178,A:AL,25,FALSE)-50),"-",(VLOOKUP($A178,'SegEnds_NonXtal_BW#'!$A:$Z,17,FALSE)+VLOOKUP($A178,A:AL,25,FALSE)-50))</f>
        <v>263</v>
      </c>
      <c r="Y178" s="3">
        <v>263</v>
      </c>
      <c r="Z178" s="3">
        <f>Y178+2</f>
        <v>265</v>
      </c>
      <c r="AA178" s="3">
        <f>IF(ISERROR(VLOOKUP($A178,'SegEnds_NonXtal_BW#'!$A:$Z,19,FALSE)+VLOOKUP($A178,A:AL,28,FALSE)-50),"-",(VLOOKUP($A178,'SegEnds_NonXtal_BW#'!$A:$Z,19,FALSE)+VLOOKUP($A178,A:AL,28,FALSE)-50))</f>
        <v>269</v>
      </c>
      <c r="AB178" s="3">
        <v>289</v>
      </c>
      <c r="AC178" s="3">
        <f>IF(ISERROR((VLOOKUP($A178,'SegEnds_NonXtal_BW#'!$A:$Z,20,FALSE)+VLOOKUP($A178,A:AL,28,FALSE)-50)),"-",(VLOOKUP($A178,'SegEnds_NonXtal_BW#'!$A:$Z,20,FALSE)+VLOOKUP($A178,A:AL,28,FALSE)-50))</f>
        <v>307</v>
      </c>
      <c r="AD178" s="3">
        <f>IF(ISERROR(VLOOKUP($A178,'SegEnds_NonXtal_BW#'!$A:$Z,21,FALSE)+VLOOKUP($A178,A:AL,31,FALSE)-50),"-",(VLOOKUP($A178,'SegEnds_NonXtal_BW#'!$A:$Z,21,FALSE)+VLOOKUP($A178,A:AL,31,FALSE)-50))</f>
        <v>313</v>
      </c>
      <c r="AE178" s="3">
        <v>340</v>
      </c>
      <c r="AF178" s="3">
        <f>IF(ISERROR((VLOOKUP($A178,'SegEnds_NonXtal_BW#'!$A:$Z,22,FALSE)+VLOOKUP($A178,A:AL,31,FALSE)-50)),"-",(VLOOKUP($A178,'SegEnds_NonXtal_BW#'!$A:$Z,22,FALSE)+VLOOKUP($A178,A:AL,31,FALSE)-50))</f>
        <v>351</v>
      </c>
      <c r="AG178" s="3">
        <f>IF(ISERROR(VLOOKUP($A178,'SegEnds_NonXtal_BW#'!$A:$Z,23,FALSE)+VLOOKUP($A178,A:AL,34,FALSE)-50),"-",(VLOOKUP($A178,'SegEnds_NonXtal_BW#'!$A:$Z,23,FALSE)+VLOOKUP($A178,A:AL,34,FALSE)-50))</f>
        <v>358</v>
      </c>
      <c r="AH178" s="3">
        <v>377</v>
      </c>
      <c r="AI178" s="3">
        <f>IF(ISERROR((VLOOKUP($A178,'SegEnds_NonXtal_BW#'!$A:$Z,24,FALSE)+VLOOKUP($A178,A:AL,34,FALSE)-50)),"-",(VLOOKUP($A178,'SegEnds_NonXtal_BW#'!$A:$Z,24,FALSE)+VLOOKUP($A178,A:AL,34,FALSE)-50))</f>
        <v>383</v>
      </c>
      <c r="AJ178" s="3">
        <f>IF(ISERROR(VLOOKUP($A178,'SegEnds_NonXtal_BW#'!$A:$Z,25,FALSE)+VLOOKUP($A178,A:AL,37,FALSE)-50),"-",(VLOOKUP($A178,'SegEnds_NonXtal_BW#'!$A:$Z,25,FALSE)+VLOOKUP($A178,A:AL,37,FALSE)-50))</f>
        <v>384</v>
      </c>
      <c r="AK178" s="3">
        <v>387</v>
      </c>
      <c r="AL178" s="3">
        <f>IF(ISERROR((VLOOKUP($A178,'SegEnds_NonXtal_BW#'!$A:$Z,26,FALSE)+VLOOKUP($A178,A:AL,37,FALSE)-50)),"-",(VLOOKUP($A178,'SegEnds_NonXtal_BW#'!$A:$Z,26,FALSE)+VLOOKUP($A178,A:AL,37,FALSE)-50))</f>
        <v>396</v>
      </c>
      <c r="AM178" s="28" t="str">
        <f>VLOOKUP(A178,Classification!A:B,2,FALSE)</f>
        <v>A</v>
      </c>
      <c r="AN178" s="28" t="b">
        <f t="shared" si="98"/>
        <v>1</v>
      </c>
      <c r="AO178" s="3" t="str">
        <f>IF(ISERROR(MATCH(A178,'SegEnds_Xtal_Prot#'!B:B, 0)), "NoXtal", "Xtal")</f>
        <v>NoXtal</v>
      </c>
      <c r="AP178" s="3">
        <f t="shared" si="81"/>
        <v>1</v>
      </c>
      <c r="AQ178" s="3">
        <f t="shared" si="82"/>
        <v>1</v>
      </c>
      <c r="AR178" s="3">
        <f t="shared" si="83"/>
        <v>2</v>
      </c>
      <c r="AS178" s="3">
        <f t="shared" si="84"/>
        <v>1</v>
      </c>
      <c r="AT178" s="3">
        <f t="shared" si="85"/>
        <v>1</v>
      </c>
      <c r="AU178" s="3">
        <f t="shared" si="86"/>
        <v>1</v>
      </c>
      <c r="AV178" s="3">
        <f t="shared" si="87"/>
        <v>12</v>
      </c>
      <c r="AW178" s="3">
        <f t="shared" si="88"/>
        <v>4</v>
      </c>
      <c r="AX178" s="3">
        <f t="shared" si="89"/>
        <v>6</v>
      </c>
      <c r="AY178" s="3">
        <f t="shared" si="90"/>
        <v>7</v>
      </c>
      <c r="AZ178" s="3">
        <f t="shared" si="91"/>
        <v>1</v>
      </c>
      <c r="BA178" s="3">
        <f>IF(ISERROR(LEN(VLOOKUP(A178,Seqs!A:E,2,FALSE))-AL178),"-",LEN(VLOOKUP(A178,Seqs!A:E,2,FALSE))-AL178)</f>
        <v>26</v>
      </c>
      <c r="BB178" s="16">
        <f t="shared" si="92"/>
        <v>31</v>
      </c>
      <c r="BC178" s="9">
        <f t="shared" si="93"/>
        <v>20</v>
      </c>
      <c r="BD178" s="3">
        <f t="shared" si="94"/>
        <v>31</v>
      </c>
      <c r="BE178" s="3">
        <f t="shared" si="95"/>
        <v>51</v>
      </c>
      <c r="BF178" s="3">
        <f t="shared" si="111"/>
        <v>37</v>
      </c>
    </row>
    <row r="179" spans="1:58" s="3" customFormat="1" x14ac:dyDescent="0.2">
      <c r="A179" s="3" t="s">
        <v>300</v>
      </c>
      <c r="B179" s="3" t="str">
        <f>LOWER(VLOOKUP(A179,Xtal_Templ!A:B,2,FALSE))</f>
        <v>oprd_human</v>
      </c>
      <c r="C179" s="3">
        <f>VLOOKUP($A179,'SegEnds_NonXtal_BW#'!$A:$Z,3,FALSE)+D179-50</f>
        <v>24</v>
      </c>
      <c r="D179" s="3">
        <v>52</v>
      </c>
      <c r="E179" s="3">
        <f>IF(ISERROR(VLOOKUP($A179,'SegEnds_NonXtal_BW#'!$A:$Z,4,FALSE)+VLOOKUP($A179,A:AL,4,FALSE)-50),"-",(VLOOKUP($A179,'SegEnds_NonXtal_BW#'!$A:$Z,4,FALSE)+VLOOKUP($A179,A:AL,4,FALSE)-50))</f>
        <v>62</v>
      </c>
      <c r="F179" s="3" t="str">
        <f>IF(ISERROR(VLOOKUP($A179,'SegEnds_NonXtal_BW#'!$A:$Z,5,FALSE)+VLOOKUP($A179,A:AL,7,FALSE)-50),"-",(VLOOKUP($A179,'SegEnds_NonXtal_BW#'!$A:$Z,5,FALSE)+VLOOKUP($A179,A:AL,7,FALSE)-50))</f>
        <v>-</v>
      </c>
      <c r="G179" s="3" t="s">
        <v>23</v>
      </c>
      <c r="H179" s="3" t="str">
        <f>IF(ISERROR(VLOOKUP($A179,'SegEnds_NonXtal_BW#'!$A:$Z,6,FALSE)+VLOOKUP($A179,A:AL,7,FALSE)-50),"-",(VLOOKUP($A179,'SegEnds_NonXtal_BW#'!$A:$Z,6,FALSE)+VLOOKUP($A179,A:AL,7,FALSE)-50))</f>
        <v>-</v>
      </c>
      <c r="I179" s="3">
        <f>VLOOKUP($A179,'SegEnds_NonXtal_BW#'!$A:$Z,7,FALSE)+J179-50</f>
        <v>66</v>
      </c>
      <c r="J179" s="3">
        <v>79</v>
      </c>
      <c r="K179" s="3">
        <f>VLOOKUP($A179,'SegEnds_NonXtal_BW#'!$A:$Z,8,FALSE)+VLOOKUP($A179,A:AL,10,FALSE)-50</f>
        <v>95</v>
      </c>
      <c r="L179" s="3">
        <f>M179-1</f>
        <v>98</v>
      </c>
      <c r="M179" s="3">
        <v>99</v>
      </c>
      <c r="N179" s="3">
        <f>M179+2</f>
        <v>101</v>
      </c>
      <c r="O179" s="3">
        <f>N179+1</f>
        <v>102</v>
      </c>
      <c r="P179" s="3">
        <v>131</v>
      </c>
      <c r="Q179" s="3">
        <f>VLOOKUP($A179,'SegEnds_NonXtal_BW#'!$A:$Z,12,FALSE)+VLOOKUP($A179,A:AL,16,FALSE)-50</f>
        <v>137</v>
      </c>
      <c r="R179" s="3">
        <f>IF(ISERROR(VLOOKUP($A179,'SegEnds_NonXtal_BW#'!$A:$Z,13,FALSE)+VLOOKUP($A179,A:AL,19,FALSE)-50),"-",VLOOKUP($A179,'SegEnds_NonXtal_BW#'!$A:$Z,13,FALSE)+VLOOKUP($A179,A:AL,19,FALSE)-50)</f>
        <v>138</v>
      </c>
      <c r="S179" s="3">
        <v>138</v>
      </c>
      <c r="T179" s="100">
        <f>IF(ISERROR(VLOOKUP($A179,'SegEnds_NonXtal_BW#'!$A:$Z,14,FALSE)+VLOOKUP($A179,A:AL,19,FALSE)-50),"-",(VLOOKUP($A179,'SegEnds_NonXtal_BW#'!$A:$Z,14,FALSE)+VLOOKUP($A179,A:AL,19,FALSE)-50))</f>
        <v>145</v>
      </c>
      <c r="U179" s="9">
        <f>IF(ISERROR(VLOOKUP($A179,'SegEnds_NonXtal_BW#'!$A:$Z,15,FALSE)+VLOOKUP($A179,A:AL,22,FALSE)-50),"-",VLOOKUP($A179,'SegEnds_NonXtal_BW#'!$A:$Z,15,FALSE)+VLOOKUP($A179,A:AL,22,FALSE)-50)</f>
        <v>146</v>
      </c>
      <c r="V179" s="3">
        <v>158</v>
      </c>
      <c r="W179" s="3">
        <f>IF(ISERROR(VLOOKUP($A179,'SegEnds_NonXtal_BW#'!$A:$Z,16,FALSE)+VLOOKUP($A179,A:AL,22,FALSE)-50),"-",(VLOOKUP($A179,'SegEnds_NonXtal_BW#'!$A:$Z,16,FALSE)+VLOOKUP($A179,A:AL,22,FALSE)-50))</f>
        <v>172</v>
      </c>
      <c r="X179" s="3">
        <f>IF(ISERROR(VLOOKUP($A179,'SegEnds_NonXtal_BW#'!$A:$Z,17,FALSE)+VLOOKUP($A179,A:AL,25,FALSE)-50),"-",(VLOOKUP($A179,'SegEnds_NonXtal_BW#'!$A:$Z,17,FALSE)+VLOOKUP($A179,A:AL,25,FALSE)-50))</f>
        <v>184</v>
      </c>
      <c r="Y179" s="3">
        <v>184</v>
      </c>
      <c r="Z179" s="3">
        <f>Y179+2</f>
        <v>186</v>
      </c>
      <c r="AA179" s="3">
        <f>IF(ISERROR(VLOOKUP($A179,'SegEnds_NonXtal_BW#'!$A:$Z,19,FALSE)+VLOOKUP($A179,A:AL,28,FALSE)-50),"-",(VLOOKUP($A179,'SegEnds_NonXtal_BW#'!$A:$Z,19,FALSE)+VLOOKUP($A179,A:AL,28,FALSE)-50))</f>
        <v>190</v>
      </c>
      <c r="AB179" s="3">
        <v>209</v>
      </c>
      <c r="AC179" s="3">
        <f>IF(ISERROR((VLOOKUP($A179,'SegEnds_NonXtal_BW#'!$A:$Z,20,FALSE)+VLOOKUP($A179,A:AL,28,FALSE)-50)),"-",(VLOOKUP($A179,'SegEnds_NonXtal_BW#'!$A:$Z,20,FALSE)+VLOOKUP($A179,A:AL,28,FALSE)-50))</f>
        <v>232</v>
      </c>
      <c r="AD179" s="3">
        <f>IF(ISERROR(VLOOKUP($A179,'SegEnds_NonXtal_BW#'!$A:$Z,21,FALSE)+VLOOKUP($A179,A:AL,31,FALSE)-50),"-",(VLOOKUP($A179,'SegEnds_NonXtal_BW#'!$A:$Z,21,FALSE)+VLOOKUP($A179,A:AL,31,FALSE)-50))</f>
        <v>238</v>
      </c>
      <c r="AE179" s="3">
        <v>266</v>
      </c>
      <c r="AF179" s="3">
        <f>IF(ISERROR((VLOOKUP($A179,'SegEnds_NonXtal_BW#'!$A:$Z,22,FALSE)+VLOOKUP($A179,A:AL,31,FALSE)-50)),"-",(VLOOKUP($A179,'SegEnds_NonXtal_BW#'!$A:$Z,22,FALSE)+VLOOKUP($A179,A:AL,31,FALSE)-50))</f>
        <v>277</v>
      </c>
      <c r="AG179" s="3">
        <f>IF(ISERROR(VLOOKUP($A179,'SegEnds_NonXtal_BW#'!$A:$Z,23,FALSE)+VLOOKUP($A179,A:AL,34,FALSE)-50),"-",(VLOOKUP($A179,'SegEnds_NonXtal_BW#'!$A:$Z,23,FALSE)+VLOOKUP($A179,A:AL,34,FALSE)-50))</f>
        <v>284</v>
      </c>
      <c r="AH179" s="3">
        <v>303</v>
      </c>
      <c r="AI179" s="3">
        <f>IF(ISERROR((VLOOKUP($A179,'SegEnds_NonXtal_BW#'!$A:$Z,24,FALSE)+VLOOKUP($A179,A:AL,34,FALSE)-50)),"-",(VLOOKUP($A179,'SegEnds_NonXtal_BW#'!$A:$Z,24,FALSE)+VLOOKUP($A179,A:AL,34,FALSE)-50))</f>
        <v>309</v>
      </c>
      <c r="AJ179" s="3">
        <f>IF(ISERROR(VLOOKUP($A179,'SegEnds_NonXtal_BW#'!$A:$Z,25,FALSE)+VLOOKUP($A179,A:AL,37,FALSE)-50),"-",(VLOOKUP($A179,'SegEnds_NonXtal_BW#'!$A:$Z,25,FALSE)+VLOOKUP($A179,A:AL,37,FALSE)-50))</f>
        <v>310</v>
      </c>
      <c r="AK179" s="3">
        <v>313</v>
      </c>
      <c r="AL179" s="3">
        <f>IF(ISERROR((VLOOKUP($A179,'SegEnds_NonXtal_BW#'!$A:$Z,26,FALSE)+VLOOKUP($A179,A:AL,37,FALSE)-50)),"-",(VLOOKUP($A179,'SegEnds_NonXtal_BW#'!$A:$Z,26,FALSE)+VLOOKUP($A179,A:AL,37,FALSE)-50))</f>
        <v>323</v>
      </c>
      <c r="AM179" s="28" t="str">
        <f>VLOOKUP(A179,Classification!A:B,2,FALSE)</f>
        <v>A</v>
      </c>
      <c r="AN179" s="28" t="b">
        <f t="shared" si="98"/>
        <v>1</v>
      </c>
      <c r="AO179" s="3" t="str">
        <f>IF(ISERROR(MATCH(A179,'SegEnds_Xtal_Prot#'!B:B, 0)), "NoXtal", "Xtal")</f>
        <v>NoXtal</v>
      </c>
      <c r="AP179" s="3" t="str">
        <f t="shared" si="81"/>
        <v>-</v>
      </c>
      <c r="AQ179" s="3" t="str">
        <f t="shared" si="82"/>
        <v>-</v>
      </c>
      <c r="AR179" s="3">
        <f t="shared" si="83"/>
        <v>3</v>
      </c>
      <c r="AS179" s="3">
        <f t="shared" si="84"/>
        <v>1</v>
      </c>
      <c r="AT179" s="3">
        <f t="shared" si="85"/>
        <v>1</v>
      </c>
      <c r="AU179" s="3">
        <f t="shared" si="86"/>
        <v>1</v>
      </c>
      <c r="AV179" s="3">
        <f t="shared" si="87"/>
        <v>12</v>
      </c>
      <c r="AW179" s="3">
        <f t="shared" si="88"/>
        <v>4</v>
      </c>
      <c r="AX179" s="3">
        <f t="shared" si="89"/>
        <v>6</v>
      </c>
      <c r="AY179" s="3">
        <f t="shared" si="90"/>
        <v>7</v>
      </c>
      <c r="AZ179" s="3">
        <f t="shared" si="91"/>
        <v>1</v>
      </c>
      <c r="BA179" s="3">
        <f>IF(ISERROR(LEN(VLOOKUP(A179,Seqs!A:E,2,FALSE))-AL179),"-",LEN(VLOOKUP(A179,Seqs!A:E,2,FALSE))-AL179)</f>
        <v>17</v>
      </c>
      <c r="BB179" s="16">
        <f t="shared" si="92"/>
        <v>27</v>
      </c>
      <c r="BC179" s="9">
        <f t="shared" si="93"/>
        <v>20</v>
      </c>
      <c r="BD179" s="3">
        <f t="shared" si="94"/>
        <v>27</v>
      </c>
      <c r="BE179" s="3">
        <f t="shared" si="95"/>
        <v>57</v>
      </c>
      <c r="BF179" s="3">
        <f t="shared" si="111"/>
        <v>37</v>
      </c>
    </row>
    <row r="180" spans="1:58" s="3" customFormat="1" x14ac:dyDescent="0.2">
      <c r="A180" s="3" t="s">
        <v>301</v>
      </c>
      <c r="B180" s="3" t="str">
        <f>LOWER(VLOOKUP(A180,Xtal_Templ!A:B,2,FALSE))</f>
        <v>c5ar1_human</v>
      </c>
      <c r="C180" s="3">
        <f>VLOOKUP($A180,'SegEnds_NonXtal_BW#'!$A:$Z,3,FALSE)+D180-50</f>
        <v>24</v>
      </c>
      <c r="D180" s="3">
        <v>45</v>
      </c>
      <c r="E180" s="3">
        <f>IF(ISERROR(VLOOKUP($A180,'SegEnds_NonXtal_BW#'!$A:$Z,4,FALSE)+VLOOKUP($A180,A:AL,4,FALSE)-50),"-",(VLOOKUP($A180,'SegEnds_NonXtal_BW#'!$A:$Z,4,FALSE)+VLOOKUP($A180,A:AL,4,FALSE)-50))</f>
        <v>55</v>
      </c>
      <c r="F180" s="3" t="str">
        <f>IF(ISERROR(VLOOKUP($A180,'SegEnds_NonXtal_BW#'!$A:$Z,5,FALSE)+VLOOKUP($A180,A:AL,7,FALSE)-50),"-",(VLOOKUP($A180,'SegEnds_NonXtal_BW#'!$A:$Z,5,FALSE)+VLOOKUP($A180,A:AL,7,FALSE)-50))</f>
        <v>-</v>
      </c>
      <c r="G180" s="3" t="s">
        <v>23</v>
      </c>
      <c r="H180" s="3" t="str">
        <f>IF(ISERROR(VLOOKUP($A180,'SegEnds_NonXtal_BW#'!$A:$Z,6,FALSE)+VLOOKUP($A180,A:AL,7,FALSE)-50),"-",(VLOOKUP($A180,'SegEnds_NonXtal_BW#'!$A:$Z,6,FALSE)+VLOOKUP($A180,A:AL,7,FALSE)-50))</f>
        <v>-</v>
      </c>
      <c r="I180" s="3">
        <f>VLOOKUP($A180,'SegEnds_NonXtal_BW#'!$A:$Z,7,FALSE)+J180-50</f>
        <v>59</v>
      </c>
      <c r="J180" s="3">
        <v>72</v>
      </c>
      <c r="K180" s="3">
        <f>VLOOKUP($A180,'SegEnds_NonXtal_BW#'!$A:$Z,8,FALSE)+VLOOKUP($A180,A:AL,10,FALSE)-50</f>
        <v>88</v>
      </c>
      <c r="L180" s="3" t="str">
        <f>IF(ISERROR(VLOOKUP($A180,'SegEnds_NonXtal_BW#'!$A:$Z,9,FALSE)+VLOOKUP($A180,A:AL,13,FALSE)-50),"-",(VLOOKUP($A180,'SegEnds_NonXtal_BW#'!$A:$Z,9,FALSE)+VLOOKUP($A180,A:AL,13,FALSE)-50))</f>
        <v>-</v>
      </c>
      <c r="M180" s="3" t="s">
        <v>23</v>
      </c>
      <c r="N180" s="3" t="str">
        <f>IF(ISERROR(VLOOKUP($A180,'SegEnds_NonXtal_BW#'!$A:$Z,10,FALSE)+VLOOKUP($A180,A:AL,13,FALSE)-50),"-",(VLOOKUP($A180,'SegEnds_NonXtal_BW#'!$A:$Z,10,FALSE)+VLOOKUP($A180,A:AL,13,FALSE)-50))</f>
        <v>-</v>
      </c>
      <c r="O180" s="3">
        <f>VLOOKUP($A180,'SegEnds_NonXtal_BW#'!$A:$Z,11,FALSE)+VLOOKUP($A180,A:AL,16,FALSE)-50</f>
        <v>94</v>
      </c>
      <c r="P180" s="3">
        <v>123</v>
      </c>
      <c r="Q180" s="3">
        <f>VLOOKUP($A180,'SegEnds_NonXtal_BW#'!$A:$Z,12,FALSE)+VLOOKUP($A180,A:AL,16,FALSE)-50</f>
        <v>129</v>
      </c>
      <c r="R180" s="3">
        <f>IF(ISERROR(VLOOKUP($A180,'SegEnds_NonXtal_BW#'!$A:$Z,13,FALSE)+VLOOKUP($A180,A:AL,19,FALSE)-50),"-",VLOOKUP($A180,'SegEnds_NonXtal_BW#'!$A:$Z,13,FALSE)+VLOOKUP($A180,A:AL,19,FALSE)-50)</f>
        <v>130</v>
      </c>
      <c r="S180" s="3">
        <v>130</v>
      </c>
      <c r="T180" s="100">
        <f>IF(ISERROR(VLOOKUP($A180,'SegEnds_NonXtal_BW#'!$A:$Z,14,FALSE)+VLOOKUP($A180,A:AL,19,FALSE)-50),"-",(VLOOKUP($A180,'SegEnds_NonXtal_BW#'!$A:$Z,14,FALSE)+VLOOKUP($A180,A:AL,19,FALSE)-50))</f>
        <v>137</v>
      </c>
      <c r="U180" s="9">
        <f>IF(ISERROR(VLOOKUP($A180,'SegEnds_NonXtal_BW#'!$A:$Z,15,FALSE)+VLOOKUP($A180,A:AL,22,FALSE)-50),"-",VLOOKUP($A180,'SegEnds_NonXtal_BW#'!$A:$Z,15,FALSE)+VLOOKUP($A180,A:AL,22,FALSE)-50)</f>
        <v>138</v>
      </c>
      <c r="V180" s="3">
        <v>150</v>
      </c>
      <c r="W180" s="3">
        <f>IF(ISERROR(VLOOKUP($A180,'SegEnds_NonXtal_BW#'!$A:$Z,16,FALSE)+VLOOKUP($A180,A:AL,22,FALSE)-50),"-",(VLOOKUP($A180,'SegEnds_NonXtal_BW#'!$A:$Z,16,FALSE)+VLOOKUP($A180,A:AL,22,FALSE)-50))</f>
        <v>164</v>
      </c>
      <c r="X180" s="3" t="str">
        <f>IF(ISERROR(VLOOKUP($A180,'SegEnds_NonXtal_BW#'!$A:$Z,17,FALSE)+VLOOKUP($A180,A:AL,25,FALSE)-50),"-",(VLOOKUP($A180,'SegEnds_NonXtal_BW#'!$A:$Z,17,FALSE)+VLOOKUP($A180,A:AL,25,FALSE)-50))</f>
        <v>-</v>
      </c>
      <c r="Y180" s="3" t="s">
        <v>23</v>
      </c>
      <c r="Z180" s="3" t="str">
        <f>IF(ISERROR(VLOOKUP($A180,'SegEnds_NonXtal_BW#'!$A:$Z,18,FALSE)+VLOOKUP($A180,A:AL,25,FALSE)-50),"-",(VLOOKUP($A180,'SegEnds_NonXtal_BW#'!$A:$Z,18,FALSE)+VLOOKUP($A180,A:AL,25,FALSE)-50))</f>
        <v>-</v>
      </c>
      <c r="AA180" s="3">
        <f>IF(ISERROR(VLOOKUP($A180,'SegEnds_NonXtal_BW#'!$A:$Z,19,FALSE)+VLOOKUP($A180,A:AL,28,FALSE)-50),"-",(VLOOKUP($A180,'SegEnds_NonXtal_BW#'!$A:$Z,19,FALSE)+VLOOKUP($A180,A:AL,28,FALSE)-50))</f>
        <v>173</v>
      </c>
      <c r="AB180" s="3">
        <v>192</v>
      </c>
      <c r="AC180" s="3">
        <f>IF(ISERROR((VLOOKUP($A180,'SegEnds_NonXtal_BW#'!$A:$Z,20,FALSE)+VLOOKUP($A180,A:AL,28,FALSE)-50)),"-",(VLOOKUP($A180,'SegEnds_NonXtal_BW#'!$A:$Z,20,FALSE)+VLOOKUP($A180,A:AL,28,FALSE)-50))</f>
        <v>210</v>
      </c>
      <c r="AD180" s="3">
        <f>IF(ISERROR(VLOOKUP($A180,'SegEnds_NonXtal_BW#'!$A:$Z,21,FALSE)+VLOOKUP($A180,A:AL,31,FALSE)-50),"-",(VLOOKUP($A180,'SegEnds_NonXtal_BW#'!$A:$Z,21,FALSE)+VLOOKUP($A180,A:AL,31,FALSE)-50))</f>
        <v>214</v>
      </c>
      <c r="AE180" s="3">
        <v>236</v>
      </c>
      <c r="AF180" s="3">
        <f>IF(ISERROR((VLOOKUP($A180,'SegEnds_NonXtal_BW#'!$A:$Z,22,FALSE)+VLOOKUP($A180,A:AL,31,FALSE)-50)),"-",(VLOOKUP($A180,'SegEnds_NonXtal_BW#'!$A:$Z,22,FALSE)+VLOOKUP($A180,A:AL,31,FALSE)-50))</f>
        <v>247</v>
      </c>
      <c r="AG180" s="3">
        <f>IF(ISERROR(VLOOKUP($A180,'SegEnds_NonXtal_BW#'!$A:$Z,23,FALSE)+VLOOKUP($A180,A:AL,34,FALSE)-50),"-",(VLOOKUP($A180,'SegEnds_NonXtal_BW#'!$A:$Z,23,FALSE)+VLOOKUP($A180,A:AL,34,FALSE)-50))</f>
        <v>254</v>
      </c>
      <c r="AH180" s="3">
        <v>273</v>
      </c>
      <c r="AI180" s="3">
        <f>IF(ISERROR((VLOOKUP($A180,'SegEnds_NonXtal_BW#'!$A:$Z,24,FALSE)+VLOOKUP($A180,A:AL,34,FALSE)-50)),"-",(VLOOKUP($A180,'SegEnds_NonXtal_BW#'!$A:$Z,24,FALSE)+VLOOKUP($A180,A:AL,34,FALSE)-50))</f>
        <v>279</v>
      </c>
      <c r="AJ180" s="3">
        <f>IF(ISERROR(VLOOKUP($A180,'SegEnds_NonXtal_BW#'!$A:$Z,25,FALSE)+VLOOKUP($A180,A:AL,37,FALSE)-50),"-",(VLOOKUP($A180,'SegEnds_NonXtal_BW#'!$A:$Z,25,FALSE)+VLOOKUP($A180,A:AL,37,FALSE)-50))</f>
        <v>280</v>
      </c>
      <c r="AK180" s="3">
        <v>283</v>
      </c>
      <c r="AL180" s="3">
        <f>IF(ISERROR((VLOOKUP($A180,'SegEnds_NonXtal_BW#'!$A:$Z,26,FALSE)+VLOOKUP($A180,A:AL,37,FALSE)-50)),"-",(VLOOKUP($A180,'SegEnds_NonXtal_BW#'!$A:$Z,26,FALSE)+VLOOKUP($A180,A:AL,37,FALSE)-50))</f>
        <v>289</v>
      </c>
      <c r="AM180" s="28" t="str">
        <f>VLOOKUP(A180,Classification!A:B,2,FALSE)</f>
        <v>A</v>
      </c>
      <c r="AN180" s="28" t="b">
        <f t="shared" si="98"/>
        <v>1</v>
      </c>
      <c r="AO180" s="3" t="str">
        <f>IF(ISERROR(MATCH(A180,'SegEnds_Xtal_Prot#'!B:B, 0)), "NoXtal", "Xtal")</f>
        <v>NoXtal</v>
      </c>
      <c r="AP180" s="3" t="str">
        <f t="shared" si="81"/>
        <v>-</v>
      </c>
      <c r="AQ180" s="3" t="str">
        <f t="shared" si="82"/>
        <v>-</v>
      </c>
      <c r="AR180" s="3" t="str">
        <f t="shared" si="83"/>
        <v>-</v>
      </c>
      <c r="AS180" s="3" t="str">
        <f t="shared" si="84"/>
        <v>-</v>
      </c>
      <c r="AT180" s="3">
        <f t="shared" si="85"/>
        <v>1</v>
      </c>
      <c r="AU180" s="3">
        <f t="shared" si="86"/>
        <v>1</v>
      </c>
      <c r="AV180" s="3" t="str">
        <f t="shared" si="87"/>
        <v>-</v>
      </c>
      <c r="AW180" s="3" t="str">
        <f t="shared" si="88"/>
        <v>-</v>
      </c>
      <c r="AX180" s="3">
        <f t="shared" si="89"/>
        <v>4</v>
      </c>
      <c r="AY180" s="3">
        <f t="shared" si="90"/>
        <v>7</v>
      </c>
      <c r="AZ180" s="3">
        <f t="shared" si="91"/>
        <v>1</v>
      </c>
      <c r="BA180" s="3">
        <f>IF(ISERROR(LEN(VLOOKUP(A180,Seqs!A:E,2,FALSE))-AL180),"-",LEN(VLOOKUP(A180,Seqs!A:E,2,FALSE))-AL180)</f>
        <v>32</v>
      </c>
      <c r="BB180" s="16">
        <f t="shared" si="92"/>
        <v>27</v>
      </c>
      <c r="BC180" s="9">
        <f t="shared" si="93"/>
        <v>20</v>
      </c>
      <c r="BD180" s="3">
        <f t="shared" si="94"/>
        <v>27</v>
      </c>
      <c r="BE180" s="3">
        <f t="shared" si="95"/>
        <v>44</v>
      </c>
      <c r="BF180" s="3">
        <f t="shared" si="111"/>
        <v>37</v>
      </c>
    </row>
    <row r="181" spans="1:58" s="3" customFormat="1" x14ac:dyDescent="0.2">
      <c r="A181" s="3" t="s">
        <v>302</v>
      </c>
      <c r="B181" s="3" t="str">
        <f>LOWER(VLOOKUP(A181,Xtal_Templ!A:B,2,FALSE))</f>
        <v>cxcr4_human</v>
      </c>
      <c r="C181" s="3">
        <f>VLOOKUP($A181,'SegEnds_NonXtal_BW#'!$A:$Z,3,FALSE)+D181-50</f>
        <v>16</v>
      </c>
      <c r="D181" s="3">
        <v>42</v>
      </c>
      <c r="E181" s="3">
        <f>IF(ISERROR(VLOOKUP($A181,'SegEnds_NonXtal_BW#'!$A:$Z,4,FALSE)+VLOOKUP($A181,A:AL,4,FALSE)-50),"-",(VLOOKUP($A181,'SegEnds_NonXtal_BW#'!$A:$Z,4,FALSE)+VLOOKUP($A181,A:AL,4,FALSE)-50))</f>
        <v>52</v>
      </c>
      <c r="F181" s="3" t="str">
        <f>IF(ISERROR(VLOOKUP($A181,'SegEnds_NonXtal_BW#'!$A:$Z,5,FALSE)+VLOOKUP($A181,A:AL,7,FALSE)-50),"-",(VLOOKUP($A181,'SegEnds_NonXtal_BW#'!$A:$Z,5,FALSE)+VLOOKUP($A181,A:AL,7,FALSE)-50))</f>
        <v>-</v>
      </c>
      <c r="G181" s="3" t="s">
        <v>23</v>
      </c>
      <c r="H181" s="3" t="str">
        <f>IF(ISERROR(VLOOKUP($A181,'SegEnds_NonXtal_BW#'!$A:$Z,6,FALSE)+VLOOKUP($A181,A:AL,7,FALSE)-50),"-",(VLOOKUP($A181,'SegEnds_NonXtal_BW#'!$A:$Z,6,FALSE)+VLOOKUP($A181,A:AL,7,FALSE)-50))</f>
        <v>-</v>
      </c>
      <c r="I181" s="3">
        <f>VLOOKUP($A181,'SegEnds_NonXtal_BW#'!$A:$Z,7,FALSE)+J181-50</f>
        <v>56</v>
      </c>
      <c r="J181" s="3">
        <v>69</v>
      </c>
      <c r="K181" s="3">
        <f>VLOOKUP($A181,'SegEnds_NonXtal_BW#'!$A:$Z,8,FALSE)+VLOOKUP($A181,A:AL,10,FALSE)-50</f>
        <v>85</v>
      </c>
      <c r="L181" s="3" t="str">
        <f>IF(ISERROR(VLOOKUP($A181,'SegEnds_NonXtal_BW#'!$A:$Z,9,FALSE)+VLOOKUP($A181,A:AL,13,FALSE)-50),"-",(VLOOKUP($A181,'SegEnds_NonXtal_BW#'!$A:$Z,9,FALSE)+VLOOKUP($A181,A:AL,13,FALSE)-50))</f>
        <v>-</v>
      </c>
      <c r="M181" s="3" t="s">
        <v>23</v>
      </c>
      <c r="N181" s="3" t="str">
        <f>IF(ISERROR(VLOOKUP($A181,'SegEnds_NonXtal_BW#'!$A:$Z,10,FALSE)+VLOOKUP($A181,A:AL,13,FALSE)-50),"-",(VLOOKUP($A181,'SegEnds_NonXtal_BW#'!$A:$Z,10,FALSE)+VLOOKUP($A181,A:AL,13,FALSE)-50))</f>
        <v>-</v>
      </c>
      <c r="O181" s="3">
        <f>VLOOKUP($A181,'SegEnds_NonXtal_BW#'!$A:$Z,11,FALSE)+VLOOKUP($A181,A:AL,16,FALSE)-50</f>
        <v>92</v>
      </c>
      <c r="P181" s="3">
        <v>121</v>
      </c>
      <c r="Q181" s="3">
        <f>VLOOKUP($A181,'SegEnds_NonXtal_BW#'!$A:$Z,12,FALSE)+VLOOKUP($A181,A:AL,16,FALSE)-50</f>
        <v>127</v>
      </c>
      <c r="R181" s="3">
        <f>IF(ISERROR(VLOOKUP($A181,'SegEnds_NonXtal_BW#'!$A:$Z,13,FALSE)+VLOOKUP($A181,A:AL,19,FALSE)-50),"-",VLOOKUP($A181,'SegEnds_NonXtal_BW#'!$A:$Z,13,FALSE)+VLOOKUP($A181,A:AL,19,FALSE)-50)</f>
        <v>128</v>
      </c>
      <c r="S181" s="3">
        <v>128</v>
      </c>
      <c r="T181" s="100">
        <f>IF(ISERROR(VLOOKUP($A181,'SegEnds_NonXtal_BW#'!$A:$Z,14,FALSE)+VLOOKUP($A181,A:AL,19,FALSE)-50),"-",(VLOOKUP($A181,'SegEnds_NonXtal_BW#'!$A:$Z,14,FALSE)+VLOOKUP($A181,A:AL,19,FALSE)-50))</f>
        <v>135</v>
      </c>
      <c r="U181" s="9">
        <f>IF(ISERROR(VLOOKUP($A181,'SegEnds_NonXtal_BW#'!$A:$Z,15,FALSE)+VLOOKUP($A181,A:AL,22,FALSE)-50),"-",VLOOKUP($A181,'SegEnds_NonXtal_BW#'!$A:$Z,15,FALSE)+VLOOKUP($A181,A:AL,22,FALSE)-50)</f>
        <v>136</v>
      </c>
      <c r="V181" s="3">
        <v>148</v>
      </c>
      <c r="W181" s="3">
        <f>IF(ISERROR(VLOOKUP($A181,'SegEnds_NonXtal_BW#'!$A:$Z,16,FALSE)+VLOOKUP($A181,A:AL,22,FALSE)-50),"-",(VLOOKUP($A181,'SegEnds_NonXtal_BW#'!$A:$Z,16,FALSE)+VLOOKUP($A181,A:AL,22,FALSE)-50))</f>
        <v>162</v>
      </c>
      <c r="X181" s="3" t="str">
        <f>IF(ISERROR(VLOOKUP($A181,'SegEnds_NonXtal_BW#'!$A:$Z,17,FALSE)+VLOOKUP($A181,A:AL,25,FALSE)-50),"-",(VLOOKUP($A181,'SegEnds_NonXtal_BW#'!$A:$Z,17,FALSE)+VLOOKUP($A181,A:AL,25,FALSE)-50))</f>
        <v>-</v>
      </c>
      <c r="Y181" s="3" t="s">
        <v>23</v>
      </c>
      <c r="Z181" s="3" t="str">
        <f>IF(ISERROR(VLOOKUP($A181,'SegEnds_NonXtal_BW#'!$A:$Z,18,FALSE)+VLOOKUP($A181,A:AL,25,FALSE)-50),"-",(VLOOKUP($A181,'SegEnds_NonXtal_BW#'!$A:$Z,18,FALSE)+VLOOKUP($A181,A:AL,25,FALSE)-50))</f>
        <v>-</v>
      </c>
      <c r="AA181" s="3">
        <f>IF(ISERROR(VLOOKUP($A181,'SegEnds_NonXtal_BW#'!$A:$Z,19,FALSE)+VLOOKUP($A181,A:AL,28,FALSE)-50),"-",(VLOOKUP($A181,'SegEnds_NonXtal_BW#'!$A:$Z,19,FALSE)+VLOOKUP($A181,A:AL,28,FALSE)-50))</f>
        <v>172</v>
      </c>
      <c r="AB181" s="3">
        <v>190</v>
      </c>
      <c r="AC181" s="3">
        <f>IF(ISERROR((VLOOKUP($A181,'SegEnds_NonXtal_BW#'!$A:$Z,20,FALSE)+VLOOKUP($A181,A:AL,28,FALSE)-50)),"-",(VLOOKUP($A181,'SegEnds_NonXtal_BW#'!$A:$Z,20,FALSE)+VLOOKUP($A181,A:AL,28,FALSE)-50))</f>
        <v>208</v>
      </c>
      <c r="AD181" s="3">
        <f>IF(ISERROR(VLOOKUP($A181,'SegEnds_NonXtal_BW#'!$A:$Z,21,FALSE)+VLOOKUP($A181,A:AL,31,FALSE)-50),"-",(VLOOKUP($A181,'SegEnds_NonXtal_BW#'!$A:$Z,21,FALSE)+VLOOKUP($A181,A:AL,31,FALSE)-50))</f>
        <v>212</v>
      </c>
      <c r="AE181" s="3">
        <v>232</v>
      </c>
      <c r="AF181" s="3">
        <f>IF(ISERROR((VLOOKUP($A181,'SegEnds_NonXtal_BW#'!$A:$Z,22,FALSE)+VLOOKUP($A181,A:AL,31,FALSE)-50)),"-",(VLOOKUP($A181,'SegEnds_NonXtal_BW#'!$A:$Z,22,FALSE)+VLOOKUP($A181,A:AL,31,FALSE)-50))</f>
        <v>243</v>
      </c>
      <c r="AG181" s="3">
        <f>IF(ISERROR(VLOOKUP($A181,'SegEnds_NonXtal_BW#'!$A:$Z,23,FALSE)+VLOOKUP($A181,A:AL,34,FALSE)-50),"-",(VLOOKUP($A181,'SegEnds_NonXtal_BW#'!$A:$Z,23,FALSE)+VLOOKUP($A181,A:AL,34,FALSE)-50))</f>
        <v>248</v>
      </c>
      <c r="AH181" s="3">
        <v>266</v>
      </c>
      <c r="AI181" s="3">
        <f>IF(ISERROR((VLOOKUP($A181,'SegEnds_NonXtal_BW#'!$A:$Z,24,FALSE)+VLOOKUP($A181,A:AL,34,FALSE)-50)),"-",(VLOOKUP($A181,'SegEnds_NonXtal_BW#'!$A:$Z,24,FALSE)+VLOOKUP($A181,A:AL,34,FALSE)-50))</f>
        <v>272</v>
      </c>
      <c r="AJ181" s="3">
        <f>IF(ISERROR(VLOOKUP($A181,'SegEnds_NonXtal_BW#'!$A:$Z,25,FALSE)+VLOOKUP($A181,A:AL,37,FALSE)-50),"-",(VLOOKUP($A181,'SegEnds_NonXtal_BW#'!$A:$Z,25,FALSE)+VLOOKUP($A181,A:AL,37,FALSE)-50))</f>
        <v>273</v>
      </c>
      <c r="AK181" s="3">
        <v>276</v>
      </c>
      <c r="AL181" s="3">
        <f>IF(ISERROR((VLOOKUP($A181,'SegEnds_NonXtal_BW#'!$A:$Z,26,FALSE)+VLOOKUP($A181,A:AL,37,FALSE)-50)),"-",(VLOOKUP($A181,'SegEnds_NonXtal_BW#'!$A:$Z,26,FALSE)+VLOOKUP($A181,A:AL,37,FALSE)-50))</f>
        <v>285</v>
      </c>
      <c r="AM181" s="28" t="str">
        <f>VLOOKUP(A181,Classification!A:B,2,FALSE)</f>
        <v>A</v>
      </c>
      <c r="AN181" s="28" t="b">
        <f t="shared" si="98"/>
        <v>1</v>
      </c>
      <c r="AO181" s="3" t="str">
        <f>IF(ISERROR(MATCH(A181,'SegEnds_Xtal_Prot#'!B:B, 0)), "NoXtal", "Xtal")</f>
        <v>NoXtal</v>
      </c>
      <c r="AP181" s="3" t="str">
        <f t="shared" si="81"/>
        <v>-</v>
      </c>
      <c r="AQ181" s="3" t="str">
        <f t="shared" si="82"/>
        <v>-</v>
      </c>
      <c r="AR181" s="3" t="str">
        <f t="shared" si="83"/>
        <v>-</v>
      </c>
      <c r="AS181" s="3" t="str">
        <f t="shared" si="84"/>
        <v>-</v>
      </c>
      <c r="AT181" s="3">
        <f t="shared" si="85"/>
        <v>1</v>
      </c>
      <c r="AU181" s="3">
        <f t="shared" si="86"/>
        <v>1</v>
      </c>
      <c r="AV181" s="3" t="str">
        <f t="shared" si="87"/>
        <v>-</v>
      </c>
      <c r="AW181" s="3" t="str">
        <f t="shared" si="88"/>
        <v>-</v>
      </c>
      <c r="AX181" s="3">
        <f t="shared" si="89"/>
        <v>4</v>
      </c>
      <c r="AY181" s="3">
        <f t="shared" si="90"/>
        <v>5</v>
      </c>
      <c r="AZ181" s="3">
        <f t="shared" si="91"/>
        <v>1</v>
      </c>
      <c r="BA181" s="3">
        <f>IF(ISERROR(LEN(VLOOKUP(A181,Seqs!A:E,2,FALSE))-AL181),"-",LEN(VLOOKUP(A181,Seqs!A:E,2,FALSE))-AL181)</f>
        <v>27</v>
      </c>
      <c r="BB181" s="16">
        <f t="shared" si="92"/>
        <v>27</v>
      </c>
      <c r="BC181" s="9">
        <f t="shared" si="93"/>
        <v>20</v>
      </c>
      <c r="BD181" s="3">
        <f t="shared" si="94"/>
        <v>27</v>
      </c>
      <c r="BE181" s="3">
        <f t="shared" si="95"/>
        <v>42</v>
      </c>
      <c r="BF181" s="3">
        <f t="shared" si="111"/>
        <v>34</v>
      </c>
    </row>
    <row r="182" spans="1:58" s="3" customFormat="1" x14ac:dyDescent="0.2">
      <c r="A182" s="3" t="s">
        <v>303</v>
      </c>
      <c r="B182" s="3" t="str">
        <f>LOWER(VLOOKUP(A182,Xtal_Templ!A:B,2,FALSE))</f>
        <v>c5ar1_human</v>
      </c>
      <c r="C182" s="3">
        <f>VLOOKUP($A182,'SegEnds_NonXtal_BW#'!$A:$Z,3,FALSE)+D182-50</f>
        <v>41</v>
      </c>
      <c r="D182" s="3">
        <v>62</v>
      </c>
      <c r="E182" s="3">
        <f>IF(ISERROR(VLOOKUP($A182,'SegEnds_NonXtal_BW#'!$A:$Z,4,FALSE)+VLOOKUP($A182,A:AL,4,FALSE)-50),"-",(VLOOKUP($A182,'SegEnds_NonXtal_BW#'!$A:$Z,4,FALSE)+VLOOKUP($A182,A:AL,4,FALSE)-50))</f>
        <v>72</v>
      </c>
      <c r="F182" s="3" t="str">
        <f>IF(ISERROR(VLOOKUP($A182,'SegEnds_NonXtal_BW#'!$A:$Z,5,FALSE)+VLOOKUP($A182,A:AL,7,FALSE)-50),"-",(VLOOKUP($A182,'SegEnds_NonXtal_BW#'!$A:$Z,5,FALSE)+VLOOKUP($A182,A:AL,7,FALSE)-50))</f>
        <v>-</v>
      </c>
      <c r="G182" s="3" t="s">
        <v>23</v>
      </c>
      <c r="H182" s="3" t="str">
        <f>IF(ISERROR(VLOOKUP($A182,'SegEnds_NonXtal_BW#'!$A:$Z,6,FALSE)+VLOOKUP($A182,A:AL,7,FALSE)-50),"-",(VLOOKUP($A182,'SegEnds_NonXtal_BW#'!$A:$Z,6,FALSE)+VLOOKUP($A182,A:AL,7,FALSE)-50))</f>
        <v>-</v>
      </c>
      <c r="I182" s="3">
        <f>VLOOKUP($A182,'SegEnds_NonXtal_BW#'!$A:$Z,7,FALSE)+J182-50</f>
        <v>76</v>
      </c>
      <c r="J182" s="3">
        <v>89</v>
      </c>
      <c r="K182" s="3">
        <f>VLOOKUP($A182,'SegEnds_NonXtal_BW#'!$A:$Z,8,FALSE)+VLOOKUP($A182,A:AL,10,FALSE)-50</f>
        <v>106</v>
      </c>
      <c r="L182" s="3" t="str">
        <f>IF(ISERROR(VLOOKUP($A182,'SegEnds_NonXtal_BW#'!$A:$Z,9,FALSE)+VLOOKUP($A182,A:AL,13,FALSE)-50),"-",(VLOOKUP($A182,'SegEnds_NonXtal_BW#'!$A:$Z,9,FALSE)+VLOOKUP($A182,A:AL,13,FALSE)-50))</f>
        <v>-</v>
      </c>
      <c r="M182" s="3" t="s">
        <v>23</v>
      </c>
      <c r="N182" s="3" t="str">
        <f>IF(ISERROR(VLOOKUP($A182,'SegEnds_NonXtal_BW#'!$A:$Z,10,FALSE)+VLOOKUP($A182,A:AL,13,FALSE)-50),"-",(VLOOKUP($A182,'SegEnds_NonXtal_BW#'!$A:$Z,10,FALSE)+VLOOKUP($A182,A:AL,13,FALSE)-50))</f>
        <v>-</v>
      </c>
      <c r="O182" s="3">
        <f>VLOOKUP($A182,'SegEnds_NonXtal_BW#'!$A:$Z,11,FALSE)+VLOOKUP($A182,A:AL,16,FALSE)-50</f>
        <v>112</v>
      </c>
      <c r="P182" s="3">
        <v>141</v>
      </c>
      <c r="Q182" s="3">
        <f>VLOOKUP($A182,'SegEnds_NonXtal_BW#'!$A:$Z,12,FALSE)+VLOOKUP($A182,A:AL,16,FALSE)-50</f>
        <v>147</v>
      </c>
      <c r="R182" s="3">
        <f>IF(ISERROR(VLOOKUP($A182,'SegEnds_NonXtal_BW#'!$A:$Z,13,FALSE)+VLOOKUP($A182,A:AL,19,FALSE)-50),"-",VLOOKUP($A182,'SegEnds_NonXtal_BW#'!$A:$Z,13,FALSE)+VLOOKUP($A182,A:AL,19,FALSE)-50)</f>
        <v>148</v>
      </c>
      <c r="S182" s="3">
        <v>148</v>
      </c>
      <c r="T182" s="100">
        <f>IF(ISERROR(VLOOKUP($A182,'SegEnds_NonXtal_BW#'!$A:$Z,14,FALSE)+VLOOKUP($A182,A:AL,19,FALSE)-50),"-",(VLOOKUP($A182,'SegEnds_NonXtal_BW#'!$A:$Z,14,FALSE)+VLOOKUP($A182,A:AL,19,FALSE)-50))</f>
        <v>155</v>
      </c>
      <c r="U182" s="9">
        <f>IF(ISERROR(VLOOKUP($A182,'SegEnds_NonXtal_BW#'!$A:$Z,15,FALSE)+VLOOKUP($A182,A:AL,22,FALSE)-50),"-",VLOOKUP($A182,'SegEnds_NonXtal_BW#'!$A:$Z,15,FALSE)+VLOOKUP($A182,A:AL,22,FALSE)-50)</f>
        <v>156</v>
      </c>
      <c r="V182" s="3">
        <v>168</v>
      </c>
      <c r="W182" s="3">
        <f>IF(ISERROR(VLOOKUP($A182,'SegEnds_NonXtal_BW#'!$A:$Z,16,FALSE)+VLOOKUP($A182,A:AL,22,FALSE)-50),"-",(VLOOKUP($A182,'SegEnds_NonXtal_BW#'!$A:$Z,16,FALSE)+VLOOKUP($A182,A:AL,22,FALSE)-50))</f>
        <v>182</v>
      </c>
      <c r="X182" s="3" t="str">
        <f>IF(ISERROR(VLOOKUP($A182,'SegEnds_NonXtal_BW#'!$A:$Z,17,FALSE)+VLOOKUP($A182,A:AL,25,FALSE)-50),"-",(VLOOKUP($A182,'SegEnds_NonXtal_BW#'!$A:$Z,17,FALSE)+VLOOKUP($A182,A:AL,25,FALSE)-50))</f>
        <v>-</v>
      </c>
      <c r="Y182" s="3" t="s">
        <v>23</v>
      </c>
      <c r="Z182" s="3" t="str">
        <f>IF(ISERROR(VLOOKUP($A182,'SegEnds_NonXtal_BW#'!$A:$Z,18,FALSE)+VLOOKUP($A182,A:AL,25,FALSE)-50),"-",(VLOOKUP($A182,'SegEnds_NonXtal_BW#'!$A:$Z,18,FALSE)+VLOOKUP($A182,A:AL,25,FALSE)-50))</f>
        <v>-</v>
      </c>
      <c r="AA182" s="3">
        <f>IF(ISERROR(VLOOKUP($A182,'SegEnds_NonXtal_BW#'!$A:$Z,19,FALSE)+VLOOKUP($A182,A:AL,28,FALSE)-50),"-",(VLOOKUP($A182,'SegEnds_NonXtal_BW#'!$A:$Z,19,FALSE)+VLOOKUP($A182,A:AL,28,FALSE)-50))</f>
        <v>192</v>
      </c>
      <c r="AB182" s="3">
        <v>211</v>
      </c>
      <c r="AC182" s="3">
        <f>IF(ISERROR((VLOOKUP($A182,'SegEnds_NonXtal_BW#'!$A:$Z,20,FALSE)+VLOOKUP($A182,A:AL,28,FALSE)-50)),"-",(VLOOKUP($A182,'SegEnds_NonXtal_BW#'!$A:$Z,20,FALSE)+VLOOKUP($A182,A:AL,28,FALSE)-50))</f>
        <v>229</v>
      </c>
      <c r="AD182" s="3">
        <f>IF(ISERROR(VLOOKUP($A182,'SegEnds_NonXtal_BW#'!$A:$Z,21,FALSE)+VLOOKUP($A182,A:AL,31,FALSE)-50),"-",(VLOOKUP($A182,'SegEnds_NonXtal_BW#'!$A:$Z,21,FALSE)+VLOOKUP($A182,A:AL,31,FALSE)-50))</f>
        <v>234</v>
      </c>
      <c r="AE182" s="3">
        <v>254</v>
      </c>
      <c r="AF182" s="3">
        <f>IF(ISERROR((VLOOKUP($A182,'SegEnds_NonXtal_BW#'!$A:$Z,22,FALSE)+VLOOKUP($A182,A:AL,31,FALSE)-50)),"-",(VLOOKUP($A182,'SegEnds_NonXtal_BW#'!$A:$Z,22,FALSE)+VLOOKUP($A182,A:AL,31,FALSE)-50))</f>
        <v>265</v>
      </c>
      <c r="AG182" s="3">
        <f>IF(ISERROR(VLOOKUP($A182,'SegEnds_NonXtal_BW#'!$A:$Z,23,FALSE)+VLOOKUP($A182,A:AL,34,FALSE)-50),"-",(VLOOKUP($A182,'SegEnds_NonXtal_BW#'!$A:$Z,23,FALSE)+VLOOKUP($A182,A:AL,34,FALSE)-50))</f>
        <v>270</v>
      </c>
      <c r="AH182" s="3">
        <v>288</v>
      </c>
      <c r="AI182" s="3">
        <f>IF(ISERROR((VLOOKUP($A182,'SegEnds_NonXtal_BW#'!$A:$Z,24,FALSE)+VLOOKUP($A182,A:AL,34,FALSE)-50)),"-",(VLOOKUP($A182,'SegEnds_NonXtal_BW#'!$A:$Z,24,FALSE)+VLOOKUP($A182,A:AL,34,FALSE)-50))</f>
        <v>294</v>
      </c>
      <c r="AJ182" s="3">
        <f>IF(ISERROR(VLOOKUP($A182,'SegEnds_NonXtal_BW#'!$A:$Z,25,FALSE)+VLOOKUP($A182,A:AL,37,FALSE)-50),"-",(VLOOKUP($A182,'SegEnds_NonXtal_BW#'!$A:$Z,25,FALSE)+VLOOKUP($A182,A:AL,37,FALSE)-50))</f>
        <v>295</v>
      </c>
      <c r="AK182" s="3">
        <v>298</v>
      </c>
      <c r="AL182" s="3">
        <f>IF(ISERROR((VLOOKUP($A182,'SegEnds_NonXtal_BW#'!$A:$Z,26,FALSE)+VLOOKUP($A182,A:AL,37,FALSE)-50)),"-",(VLOOKUP($A182,'SegEnds_NonXtal_BW#'!$A:$Z,26,FALSE)+VLOOKUP($A182,A:AL,37,FALSE)-50))</f>
        <v>304</v>
      </c>
      <c r="AM182" s="28" t="str">
        <f>VLOOKUP(A182,Classification!A:B,2,FALSE)</f>
        <v>A</v>
      </c>
      <c r="AN182" s="28" t="b">
        <f t="shared" si="98"/>
        <v>1</v>
      </c>
      <c r="AO182" s="3" t="str">
        <f>IF(ISERROR(MATCH(A182,'SegEnds_Xtal_Prot#'!B:B, 0)), "NoXtal", "Xtal")</f>
        <v>NoXtal</v>
      </c>
      <c r="AP182" s="3" t="str">
        <f t="shared" si="81"/>
        <v>-</v>
      </c>
      <c r="AQ182" s="3" t="str">
        <f t="shared" si="82"/>
        <v>-</v>
      </c>
      <c r="AR182" s="3" t="str">
        <f t="shared" si="83"/>
        <v>-</v>
      </c>
      <c r="AS182" s="3" t="str">
        <f t="shared" si="84"/>
        <v>-</v>
      </c>
      <c r="AT182" s="3">
        <f t="shared" si="85"/>
        <v>1</v>
      </c>
      <c r="AU182" s="3">
        <f t="shared" si="86"/>
        <v>1</v>
      </c>
      <c r="AV182" s="3" t="str">
        <f t="shared" si="87"/>
        <v>-</v>
      </c>
      <c r="AW182" s="3" t="str">
        <f t="shared" si="88"/>
        <v>-</v>
      </c>
      <c r="AX182" s="3">
        <f t="shared" si="89"/>
        <v>5</v>
      </c>
      <c r="AY182" s="3">
        <f t="shared" si="90"/>
        <v>5</v>
      </c>
      <c r="AZ182" s="3">
        <f t="shared" si="91"/>
        <v>1</v>
      </c>
      <c r="BA182" s="3">
        <f>IF(ISERROR(LEN(VLOOKUP(A182,Seqs!A:E,2,FALSE))-AL182),"-",LEN(VLOOKUP(A182,Seqs!A:E,2,FALSE))-AL182)</f>
        <v>39</v>
      </c>
      <c r="BB182" s="16">
        <f t="shared" si="92"/>
        <v>27</v>
      </c>
      <c r="BC182" s="9">
        <f t="shared" si="93"/>
        <v>20</v>
      </c>
      <c r="BD182" s="3">
        <f t="shared" si="94"/>
        <v>27</v>
      </c>
      <c r="BE182" s="3">
        <f t="shared" si="95"/>
        <v>43</v>
      </c>
    </row>
    <row r="183" spans="1:58" s="3" customFormat="1" x14ac:dyDescent="0.2">
      <c r="A183" s="3" t="s">
        <v>304</v>
      </c>
      <c r="B183" s="3" t="str">
        <f>LOWER(VLOOKUP(A183,Xtal_Templ!A:B,2,FALSE))</f>
        <v>pd2r2_human</v>
      </c>
      <c r="C183" s="3">
        <f>VLOOKUP($A183,'SegEnds_NonXtal_BW#'!$A:$Z,3,FALSE)+D183-50</f>
        <v>12</v>
      </c>
      <c r="D183" s="3">
        <v>30</v>
      </c>
      <c r="E183" s="3">
        <f>IF(ISERROR(VLOOKUP($A183,'SegEnds_NonXtal_BW#'!$A:$Z,4,FALSE)+VLOOKUP($A183,A:AL,4,FALSE)-50),"-",(VLOOKUP($A183,'SegEnds_NonXtal_BW#'!$A:$Z,4,FALSE)+VLOOKUP($A183,A:AL,4,FALSE)-50))</f>
        <v>40</v>
      </c>
      <c r="F183" s="3" t="str">
        <f>IF(ISERROR(VLOOKUP($A183,'SegEnds_NonXtal_BW#'!$A:$Z,5,FALSE)+VLOOKUP($A183,A:AL,7,FALSE)-50),"-",(VLOOKUP($A183,'SegEnds_NonXtal_BW#'!$A:$Z,5,FALSE)+VLOOKUP($A183,A:AL,7,FALSE)-50))</f>
        <v>-</v>
      </c>
      <c r="G183" s="3" t="s">
        <v>23</v>
      </c>
      <c r="H183" s="3" t="str">
        <f>IF(ISERROR(VLOOKUP($A183,'SegEnds_NonXtal_BW#'!$A:$Z,6,FALSE)+VLOOKUP($A183,A:AL,7,FALSE)-50),"-",(VLOOKUP($A183,'SegEnds_NonXtal_BW#'!$A:$Z,6,FALSE)+VLOOKUP($A183,A:AL,7,FALSE)-50))</f>
        <v>-</v>
      </c>
      <c r="I183" s="3">
        <f>VLOOKUP($A183,'SegEnds_NonXtal_BW#'!$A:$Z,7,FALSE)+J183-50</f>
        <v>44</v>
      </c>
      <c r="J183" s="3">
        <v>57</v>
      </c>
      <c r="K183" s="3">
        <f>VLOOKUP($A183,'SegEnds_NonXtal_BW#'!$A:$Z,8,FALSE)+VLOOKUP($A183,A:AL,10,FALSE)-50</f>
        <v>70</v>
      </c>
      <c r="L183" s="3" t="str">
        <f>IF(ISERROR(VLOOKUP($A183,'SegEnds_NonXtal_BW#'!$A:$Z,9,FALSE)+VLOOKUP($A183,A:AL,13,FALSE)-50),"-",(VLOOKUP($A183,'SegEnds_NonXtal_BW#'!$A:$Z,9,FALSE)+VLOOKUP($A183,A:AL,13,FALSE)-50))</f>
        <v>-</v>
      </c>
      <c r="M183" s="3" t="s">
        <v>23</v>
      </c>
      <c r="N183" s="3" t="str">
        <f>IF(ISERROR(VLOOKUP($A183,'SegEnds_NonXtal_BW#'!$A:$Z,10,FALSE)+VLOOKUP($A183,A:AL,13,FALSE)-50),"-",(VLOOKUP($A183,'SegEnds_NonXtal_BW#'!$A:$Z,10,FALSE)+VLOOKUP($A183,A:AL,13,FALSE)-50))</f>
        <v>-</v>
      </c>
      <c r="O183" s="3">
        <f>VLOOKUP($A183,'SegEnds_NonXtal_BW#'!$A:$Z,11,FALSE)+VLOOKUP($A183,A:AL,16,FALSE)-50</f>
        <v>77</v>
      </c>
      <c r="P183" s="3">
        <v>103</v>
      </c>
      <c r="Q183" s="3">
        <f>VLOOKUP($A183,'SegEnds_NonXtal_BW#'!$A:$Z,12,FALSE)+VLOOKUP($A183,A:AL,16,FALSE)-50</f>
        <v>109</v>
      </c>
      <c r="R183" s="3">
        <f>IF(ISERROR(VLOOKUP($A183,'SegEnds_NonXtal_BW#'!$A:$Z,13,FALSE)+VLOOKUP($A183,A:AL,19,FALSE)-50),"-",VLOOKUP($A183,'SegEnds_NonXtal_BW#'!$A:$Z,13,FALSE)+VLOOKUP($A183,A:AL,19,FALSE)-50)</f>
        <v>110</v>
      </c>
      <c r="S183" s="3">
        <v>110</v>
      </c>
      <c r="T183" s="100">
        <f>IF(ISERROR(VLOOKUP($A183,'SegEnds_NonXtal_BW#'!$A:$Z,14,FALSE)+VLOOKUP($A183,A:AL,19,FALSE)-50),"-",(VLOOKUP($A183,'SegEnds_NonXtal_BW#'!$A:$Z,14,FALSE)+VLOOKUP($A183,A:AL,19,FALSE)-50))</f>
        <v>117</v>
      </c>
      <c r="U183" s="9">
        <f>IF(ISERROR(VLOOKUP($A183,'SegEnds_NonXtal_BW#'!$A:$Z,15,FALSE)+VLOOKUP($A183,A:AL,22,FALSE)-50),"-",VLOOKUP($A183,'SegEnds_NonXtal_BW#'!$A:$Z,15,FALSE)+VLOOKUP($A183,A:AL,22,FALSE)-50)</f>
        <v>118</v>
      </c>
      <c r="V183" s="3">
        <v>130</v>
      </c>
      <c r="W183" s="3">
        <f>IF(ISERROR(VLOOKUP($A183,'SegEnds_NonXtal_BW#'!$A:$Z,16,FALSE)+VLOOKUP($A183,A:AL,22,FALSE)-50),"-",(VLOOKUP($A183,'SegEnds_NonXtal_BW#'!$A:$Z,16,FALSE)+VLOOKUP($A183,A:AL,22,FALSE)-50))</f>
        <v>144</v>
      </c>
      <c r="X183" s="3" t="str">
        <f>IF(ISERROR(VLOOKUP($A183,'SegEnds_NonXtal_BW#'!$A:$Z,17,FALSE)+VLOOKUP($A183,A:AL,25,FALSE)-50),"-",(VLOOKUP($A183,'SegEnds_NonXtal_BW#'!$A:$Z,17,FALSE)+VLOOKUP($A183,A:AL,25,FALSE)-50))</f>
        <v>-</v>
      </c>
      <c r="Y183" s="3" t="s">
        <v>23</v>
      </c>
      <c r="Z183" s="3" t="str">
        <f>IF(ISERROR(VLOOKUP($A183,'SegEnds_NonXtal_BW#'!$A:$Z,18,FALSE)+VLOOKUP($A183,A:AL,25,FALSE)-50),"-",(VLOOKUP($A183,'SegEnds_NonXtal_BW#'!$A:$Z,18,FALSE)+VLOOKUP($A183,A:AL,25,FALSE)-50))</f>
        <v>-</v>
      </c>
      <c r="AA183" s="3">
        <f>IF(ISERROR(VLOOKUP($A183,'SegEnds_NonXtal_BW#'!$A:$Z,19,FALSE)+VLOOKUP($A183,A:AL,28,FALSE)-50),"-",(VLOOKUP($A183,'SegEnds_NonXtal_BW#'!$A:$Z,19,FALSE)+VLOOKUP($A183,A:AL,28,FALSE)-50))</f>
        <v>148</v>
      </c>
      <c r="AB183" s="3">
        <v>172</v>
      </c>
      <c r="AC183" s="3">
        <f>IF(ISERROR((VLOOKUP($A183,'SegEnds_NonXtal_BW#'!$A:$Z,20,FALSE)+VLOOKUP($A183,A:AL,28,FALSE)-50)),"-",(VLOOKUP($A183,'SegEnds_NonXtal_BW#'!$A:$Z,20,FALSE)+VLOOKUP($A183,A:AL,28,FALSE)-50))</f>
        <v>189</v>
      </c>
      <c r="AD183" s="3">
        <f>IF(ISERROR(VLOOKUP($A183,'SegEnds_NonXtal_BW#'!$A:$Z,21,FALSE)+VLOOKUP($A183,A:AL,31,FALSE)-50),"-",(VLOOKUP($A183,'SegEnds_NonXtal_BW#'!$A:$Z,21,FALSE)+VLOOKUP($A183,A:AL,31,FALSE)-50))</f>
        <v>193</v>
      </c>
      <c r="AE183" s="3">
        <v>213</v>
      </c>
      <c r="AF183" s="3">
        <f>IF(ISERROR((VLOOKUP($A183,'SegEnds_NonXtal_BW#'!$A:$Z,22,FALSE)+VLOOKUP($A183,A:AL,31,FALSE)-50)),"-",(VLOOKUP($A183,'SegEnds_NonXtal_BW#'!$A:$Z,22,FALSE)+VLOOKUP($A183,A:AL,31,FALSE)-50))</f>
        <v>224</v>
      </c>
      <c r="AG183" s="3">
        <f>IF(ISERROR(VLOOKUP($A183,'SegEnds_NonXtal_BW#'!$A:$Z,23,FALSE)+VLOOKUP($A183,A:AL,34,FALSE)-50),"-",(VLOOKUP($A183,'SegEnds_NonXtal_BW#'!$A:$Z,23,FALSE)+VLOOKUP($A183,A:AL,34,FALSE)-50))</f>
        <v>229</v>
      </c>
      <c r="AH183" s="3">
        <v>247</v>
      </c>
      <c r="AI183" s="3">
        <f>IF(ISERROR((VLOOKUP($A183,'SegEnds_NonXtal_BW#'!$A:$Z,24,FALSE)+VLOOKUP($A183,A:AL,34,FALSE)-50)),"-",(VLOOKUP($A183,'SegEnds_NonXtal_BW#'!$A:$Z,24,FALSE)+VLOOKUP($A183,A:AL,34,FALSE)-50))</f>
        <v>253</v>
      </c>
      <c r="AJ183" s="3">
        <f>IF(ISERROR(VLOOKUP($A183,'SegEnds_NonXtal_BW#'!$A:$Z,25,FALSE)+VLOOKUP($A183,A:AL,37,FALSE)-50),"-",(VLOOKUP($A183,'SegEnds_NonXtal_BW#'!$A:$Z,25,FALSE)+VLOOKUP($A183,A:AL,37,FALSE)-50))</f>
        <v>254</v>
      </c>
      <c r="AK183" s="3">
        <v>257</v>
      </c>
      <c r="AL183" s="3">
        <f>IF(ISERROR((VLOOKUP($A183,'SegEnds_NonXtal_BW#'!$A:$Z,26,FALSE)+VLOOKUP($A183,A:AL,37,FALSE)-50)),"-",(VLOOKUP($A183,'SegEnds_NonXtal_BW#'!$A:$Z,26,FALSE)+VLOOKUP($A183,A:AL,37,FALSE)-50))</f>
        <v>271</v>
      </c>
      <c r="AM183" s="28" t="str">
        <f>VLOOKUP(A183,Classification!A:B,2,FALSE)</f>
        <v>A</v>
      </c>
      <c r="AN183" s="28" t="b">
        <f t="shared" si="98"/>
        <v>1</v>
      </c>
      <c r="AO183" s="3" t="str">
        <f>IF(ISERROR(MATCH(A183,'SegEnds_Xtal_Prot#'!B:B, 0)), "NoXtal", "Xtal")</f>
        <v>NoXtal</v>
      </c>
      <c r="AP183" s="3" t="str">
        <f t="shared" si="81"/>
        <v>-</v>
      </c>
      <c r="AQ183" s="3" t="str">
        <f t="shared" si="82"/>
        <v>-</v>
      </c>
      <c r="AR183" s="3" t="str">
        <f t="shared" si="83"/>
        <v>-</v>
      </c>
      <c r="AS183" s="3" t="str">
        <f t="shared" si="84"/>
        <v>-</v>
      </c>
      <c r="AT183" s="3">
        <f t="shared" si="85"/>
        <v>1</v>
      </c>
      <c r="AU183" s="3">
        <f t="shared" si="86"/>
        <v>1</v>
      </c>
      <c r="AV183" s="3" t="str">
        <f t="shared" si="87"/>
        <v>-</v>
      </c>
      <c r="AW183" s="3" t="str">
        <f t="shared" si="88"/>
        <v>-</v>
      </c>
      <c r="AX183" s="3">
        <f t="shared" si="89"/>
        <v>4</v>
      </c>
      <c r="AY183" s="3">
        <f t="shared" si="90"/>
        <v>5</v>
      </c>
      <c r="AZ183" s="3">
        <f t="shared" si="91"/>
        <v>1</v>
      </c>
      <c r="BA183" s="3">
        <f>IF(ISERROR(LEN(VLOOKUP(A183,Seqs!A:E,2,FALSE))-AL183),"-",LEN(VLOOKUP(A183,Seqs!A:E,2,FALSE))-AL183)</f>
        <v>18</v>
      </c>
      <c r="BB183" s="16">
        <f t="shared" si="92"/>
        <v>27</v>
      </c>
      <c r="BC183" s="9">
        <f t="shared" si="93"/>
        <v>20</v>
      </c>
      <c r="BD183" s="3">
        <f t="shared" si="94"/>
        <v>27</v>
      </c>
      <c r="BE183" s="3">
        <f t="shared" si="95"/>
        <v>41</v>
      </c>
      <c r="BF183" s="3">
        <f>AH183-AE183</f>
        <v>34</v>
      </c>
    </row>
    <row r="184" spans="1:58" s="3" customFormat="1" x14ac:dyDescent="0.2">
      <c r="A184" s="3" t="s">
        <v>305</v>
      </c>
      <c r="B184" s="3" t="str">
        <f>LOWER(VLOOKUP(A184,Xtal_Templ!A:B,2,FALSE))</f>
        <v>agtr1_human</v>
      </c>
      <c r="C184" s="3">
        <f>VLOOKUP($A184,'SegEnds_NonXtal_BW#'!$A:$Z,3,FALSE)+D184-50</f>
        <v>25</v>
      </c>
      <c r="D184" s="3">
        <v>45</v>
      </c>
      <c r="E184" s="3">
        <f>IF(ISERROR(VLOOKUP($A184,'SegEnds_NonXtal_BW#'!$A:$Z,4,FALSE)+VLOOKUP($A184,A:AL,4,FALSE)-50),"-",(VLOOKUP($A184,'SegEnds_NonXtal_BW#'!$A:$Z,4,FALSE)+VLOOKUP($A184,A:AL,4,FALSE)-50))</f>
        <v>55</v>
      </c>
      <c r="F184" s="3" t="str">
        <f>IF(ISERROR(VLOOKUP($A184,'SegEnds_NonXtal_BW#'!$A:$Z,5,FALSE)+VLOOKUP($A184,A:AL,7,FALSE)-50),"-",(VLOOKUP($A184,'SegEnds_NonXtal_BW#'!$A:$Z,5,FALSE)+VLOOKUP($A184,A:AL,7,FALSE)-50))</f>
        <v>-</v>
      </c>
      <c r="G184" s="3" t="s">
        <v>23</v>
      </c>
      <c r="H184" s="3" t="str">
        <f>IF(ISERROR(VLOOKUP($A184,'SegEnds_NonXtal_BW#'!$A:$Z,6,FALSE)+VLOOKUP($A184,A:AL,7,FALSE)-50),"-",(VLOOKUP($A184,'SegEnds_NonXtal_BW#'!$A:$Z,6,FALSE)+VLOOKUP($A184,A:AL,7,FALSE)-50))</f>
        <v>-</v>
      </c>
      <c r="I184" s="3">
        <f>VLOOKUP($A184,'SegEnds_NonXtal_BW#'!$A:$Z,7,FALSE)+J184-50</f>
        <v>59</v>
      </c>
      <c r="J184" s="3">
        <v>72</v>
      </c>
      <c r="K184" s="3">
        <f>VLOOKUP($A184,'SegEnds_NonXtal_BW#'!$A:$Z,8,FALSE)+VLOOKUP($A184,A:AL,10,FALSE)-50</f>
        <v>88</v>
      </c>
      <c r="L184" s="3" t="str">
        <f>IF(ISERROR(VLOOKUP($A184,'SegEnds_NonXtal_BW#'!$A:$Z,9,FALSE)+VLOOKUP($A184,A:AL,13,FALSE)-50),"-",(VLOOKUP($A184,'SegEnds_NonXtal_BW#'!$A:$Z,9,FALSE)+VLOOKUP($A184,A:AL,13,FALSE)-50))</f>
        <v>-</v>
      </c>
      <c r="M184" s="3" t="s">
        <v>23</v>
      </c>
      <c r="N184" s="3" t="str">
        <f>IF(ISERROR(VLOOKUP($A184,'SegEnds_NonXtal_BW#'!$A:$Z,10,FALSE)+VLOOKUP($A184,A:AL,13,FALSE)-50),"-",(VLOOKUP($A184,'SegEnds_NonXtal_BW#'!$A:$Z,10,FALSE)+VLOOKUP($A184,A:AL,13,FALSE)-50))</f>
        <v>-</v>
      </c>
      <c r="O184" s="3">
        <f>VLOOKUP($A184,'SegEnds_NonXtal_BW#'!$A:$Z,11,FALSE)+VLOOKUP($A184,A:AL,16,FALSE)-50</f>
        <v>94</v>
      </c>
      <c r="P184" s="3">
        <v>120</v>
      </c>
      <c r="Q184" s="3">
        <f>VLOOKUP($A184,'SegEnds_NonXtal_BW#'!$A:$Z,12,FALSE)+VLOOKUP($A184,A:AL,16,FALSE)-50</f>
        <v>126</v>
      </c>
      <c r="R184" s="3">
        <f>IF(ISERROR(VLOOKUP($A184,'SegEnds_NonXtal_BW#'!$A:$Z,13,FALSE)+VLOOKUP($A184,A:AL,19,FALSE)-50),"-",VLOOKUP($A184,'SegEnds_NonXtal_BW#'!$A:$Z,13,FALSE)+VLOOKUP($A184,A:AL,19,FALSE)-50)</f>
        <v>127</v>
      </c>
      <c r="S184" s="3">
        <v>127</v>
      </c>
      <c r="T184" s="100">
        <f>IF(ISERROR(VLOOKUP($A184,'SegEnds_NonXtal_BW#'!$A:$Z,14,FALSE)+VLOOKUP($A184,A:AL,19,FALSE)-50),"-",(VLOOKUP($A184,'SegEnds_NonXtal_BW#'!$A:$Z,14,FALSE)+VLOOKUP($A184,A:AL,19,FALSE)-50))</f>
        <v>134</v>
      </c>
      <c r="U184" s="9">
        <f>IF(ISERROR(VLOOKUP($A184,'SegEnds_NonXtal_BW#'!$A:$Z,15,FALSE)+VLOOKUP($A184,A:AL,22,FALSE)-50),"-",VLOOKUP($A184,'SegEnds_NonXtal_BW#'!$A:$Z,15,FALSE)+VLOOKUP($A184,A:AL,22,FALSE)-50)</f>
        <v>135</v>
      </c>
      <c r="V184" s="3">
        <v>147</v>
      </c>
      <c r="W184" s="3">
        <f>IF(ISERROR(VLOOKUP($A184,'SegEnds_NonXtal_BW#'!$A:$Z,16,FALSE)+VLOOKUP($A184,A:AL,22,FALSE)-50),"-",(VLOOKUP($A184,'SegEnds_NonXtal_BW#'!$A:$Z,16,FALSE)+VLOOKUP($A184,A:AL,22,FALSE)-50))</f>
        <v>161</v>
      </c>
      <c r="X184" s="3" t="str">
        <f>IF(ISERROR(VLOOKUP($A184,'SegEnds_NonXtal_BW#'!$A:$Z,17,FALSE)+VLOOKUP($A184,A:AL,25,FALSE)-50),"-",(VLOOKUP($A184,'SegEnds_NonXtal_BW#'!$A:$Z,17,FALSE)+VLOOKUP($A184,A:AL,25,FALSE)-50))</f>
        <v>-</v>
      </c>
      <c r="Y184" s="3" t="s">
        <v>23</v>
      </c>
      <c r="Z184" s="3" t="str">
        <f>IF(ISERROR(VLOOKUP($A184,'SegEnds_NonXtal_BW#'!$A:$Z,18,FALSE)+VLOOKUP($A184,A:AL,25,FALSE)-50),"-",(VLOOKUP($A184,'SegEnds_NonXtal_BW#'!$A:$Z,18,FALSE)+VLOOKUP($A184,A:AL,25,FALSE)-50))</f>
        <v>-</v>
      </c>
      <c r="AA184" s="3">
        <f>IF(ISERROR(VLOOKUP($A184,'SegEnds_NonXtal_BW#'!$A:$Z,19,FALSE)+VLOOKUP($A184,A:AL,28,FALSE)-50),"-",(VLOOKUP($A184,'SegEnds_NonXtal_BW#'!$A:$Z,19,FALSE)+VLOOKUP($A184,A:AL,28,FALSE)-50))</f>
        <v>173</v>
      </c>
      <c r="AB184" s="3">
        <v>189</v>
      </c>
      <c r="AC184" s="3">
        <f>IF(ISERROR((VLOOKUP($A184,'SegEnds_NonXtal_BW#'!$A:$Z,20,FALSE)+VLOOKUP($A184,A:AL,28,FALSE)-50)),"-",(VLOOKUP($A184,'SegEnds_NonXtal_BW#'!$A:$Z,20,FALSE)+VLOOKUP($A184,A:AL,28,FALSE)-50))</f>
        <v>207</v>
      </c>
      <c r="AD184" s="3">
        <f>IF(ISERROR(VLOOKUP($A184,'SegEnds_NonXtal_BW#'!$A:$Z,21,FALSE)+VLOOKUP($A184,A:AL,31,FALSE)-50),"-",(VLOOKUP($A184,'SegEnds_NonXtal_BW#'!$A:$Z,21,FALSE)+VLOOKUP($A184,A:AL,31,FALSE)-50))</f>
        <v>211</v>
      </c>
      <c r="AE184" s="3">
        <v>231</v>
      </c>
      <c r="AF184" s="3">
        <f>IF(ISERROR((VLOOKUP($A184,'SegEnds_NonXtal_BW#'!$A:$Z,22,FALSE)+VLOOKUP($A184,A:AL,31,FALSE)-50)),"-",(VLOOKUP($A184,'SegEnds_NonXtal_BW#'!$A:$Z,22,FALSE)+VLOOKUP($A184,A:AL,31,FALSE)-50))</f>
        <v>242</v>
      </c>
      <c r="AG184" s="3">
        <f>IF(ISERROR(VLOOKUP($A184,'SegEnds_NonXtal_BW#'!$A:$Z,23,FALSE)+VLOOKUP($A184,A:AL,34,FALSE)-50),"-",(VLOOKUP($A184,'SegEnds_NonXtal_BW#'!$A:$Z,23,FALSE)+VLOOKUP($A184,A:AL,34,FALSE)-50))</f>
        <v>247</v>
      </c>
      <c r="AH184" s="3">
        <v>269</v>
      </c>
      <c r="AI184" s="3">
        <f>IF(ISERROR((VLOOKUP($A184,'SegEnds_NonXtal_BW#'!$A:$Z,24,FALSE)+VLOOKUP($A184,A:AL,34,FALSE)-50)),"-",(VLOOKUP($A184,'SegEnds_NonXtal_BW#'!$A:$Z,24,FALSE)+VLOOKUP($A184,A:AL,34,FALSE)-50))</f>
        <v>275</v>
      </c>
      <c r="AJ184" s="3">
        <f>IF(ISERROR(VLOOKUP($A184,'SegEnds_NonXtal_BW#'!$A:$Z,25,FALSE)+VLOOKUP($A184,A:AL,37,FALSE)-50),"-",(VLOOKUP($A184,'SegEnds_NonXtal_BW#'!$A:$Z,25,FALSE)+VLOOKUP($A184,A:AL,37,FALSE)-50))</f>
        <v>276</v>
      </c>
      <c r="AK184" s="3">
        <v>279</v>
      </c>
      <c r="AL184" s="3">
        <f>IF(ISERROR((VLOOKUP($A184,'SegEnds_NonXtal_BW#'!$A:$Z,26,FALSE)+VLOOKUP($A184,A:AL,37,FALSE)-50)),"-",(VLOOKUP($A184,'SegEnds_NonXtal_BW#'!$A:$Z,26,FALSE)+VLOOKUP($A184,A:AL,37,FALSE)-50))</f>
        <v>290</v>
      </c>
      <c r="AM184" s="28" t="str">
        <f>VLOOKUP(A184,Classification!A:B,2,FALSE)</f>
        <v>A</v>
      </c>
      <c r="AN184" s="28" t="b">
        <f t="shared" si="98"/>
        <v>1</v>
      </c>
      <c r="AO184" s="3" t="str">
        <f>IF(ISERROR(MATCH(A184,'SegEnds_Xtal_Prot#'!B:B, 0)), "NoXtal", "Xtal")</f>
        <v>NoXtal</v>
      </c>
      <c r="AP184" s="3" t="str">
        <f t="shared" si="81"/>
        <v>-</v>
      </c>
      <c r="AQ184" s="3" t="str">
        <f t="shared" si="82"/>
        <v>-</v>
      </c>
      <c r="AR184" s="3" t="str">
        <f t="shared" si="83"/>
        <v>-</v>
      </c>
      <c r="AS184" s="3" t="str">
        <f t="shared" si="84"/>
        <v>-</v>
      </c>
      <c r="AT184" s="3">
        <f t="shared" si="85"/>
        <v>1</v>
      </c>
      <c r="AU184" s="3">
        <f t="shared" si="86"/>
        <v>1</v>
      </c>
      <c r="AV184" s="3" t="str">
        <f t="shared" si="87"/>
        <v>-</v>
      </c>
      <c r="AW184" s="3" t="str">
        <f t="shared" si="88"/>
        <v>-</v>
      </c>
      <c r="AX184" s="3">
        <f t="shared" si="89"/>
        <v>4</v>
      </c>
      <c r="AY184" s="3">
        <f t="shared" si="90"/>
        <v>5</v>
      </c>
      <c r="AZ184" s="3">
        <f t="shared" si="91"/>
        <v>1</v>
      </c>
      <c r="BA184" s="3">
        <f>IF(ISERROR(LEN(VLOOKUP(A184,Seqs!A:E,2,FALSE))-AL184),"-",LEN(VLOOKUP(A184,Seqs!A:E,2,FALSE))-AL184)</f>
        <v>32</v>
      </c>
      <c r="BB184" s="16">
        <f t="shared" si="92"/>
        <v>27</v>
      </c>
      <c r="BC184" s="9">
        <f t="shared" si="93"/>
        <v>20</v>
      </c>
      <c r="BD184" s="3">
        <f t="shared" si="94"/>
        <v>27</v>
      </c>
      <c r="BE184" s="3">
        <f t="shared" si="95"/>
        <v>42</v>
      </c>
    </row>
    <row r="185" spans="1:58" s="3" customFormat="1" x14ac:dyDescent="0.2">
      <c r="A185" s="3" t="s">
        <v>306</v>
      </c>
      <c r="B185" s="3" t="str">
        <f>LOWER(VLOOKUP(A185,Xtal_Templ!A:B,2,FALSE))</f>
        <v>c5ar1_human</v>
      </c>
      <c r="C185" s="3">
        <f>VLOOKUP($A185,'SegEnds_NonXtal_BW#'!$A:$Z,3,FALSE)+D185-50</f>
        <v>27</v>
      </c>
      <c r="D185" s="3">
        <v>48</v>
      </c>
      <c r="E185" s="3">
        <f>IF(ISERROR(VLOOKUP($A185,'SegEnds_NonXtal_BW#'!$A:$Z,4,FALSE)+VLOOKUP($A185,A:AL,4,FALSE)-50),"-",(VLOOKUP($A185,'SegEnds_NonXtal_BW#'!$A:$Z,4,FALSE)+VLOOKUP($A185,A:AL,4,FALSE)-50))</f>
        <v>58</v>
      </c>
      <c r="F185" s="3" t="str">
        <f>IF(ISERROR(VLOOKUP($A185,'SegEnds_NonXtal_BW#'!$A:$Z,5,FALSE)+VLOOKUP($A185,A:AL,7,FALSE)-50),"-",(VLOOKUP($A185,'SegEnds_NonXtal_BW#'!$A:$Z,5,FALSE)+VLOOKUP($A185,A:AL,7,FALSE)-50))</f>
        <v>-</v>
      </c>
      <c r="G185" s="3" t="s">
        <v>23</v>
      </c>
      <c r="H185" s="3" t="str">
        <f>IF(ISERROR(VLOOKUP($A185,'SegEnds_NonXtal_BW#'!$A:$Z,6,FALSE)+VLOOKUP($A185,A:AL,7,FALSE)-50),"-",(VLOOKUP($A185,'SegEnds_NonXtal_BW#'!$A:$Z,6,FALSE)+VLOOKUP($A185,A:AL,7,FALSE)-50))</f>
        <v>-</v>
      </c>
      <c r="I185" s="3">
        <f>VLOOKUP($A185,'SegEnds_NonXtal_BW#'!$A:$Z,7,FALSE)+J185-50</f>
        <v>62</v>
      </c>
      <c r="J185" s="3">
        <v>75</v>
      </c>
      <c r="K185" s="3">
        <f>VLOOKUP($A185,'SegEnds_NonXtal_BW#'!$A:$Z,8,FALSE)+VLOOKUP($A185,A:AL,10,FALSE)-50</f>
        <v>92</v>
      </c>
      <c r="L185" s="3" t="str">
        <f>IF(ISERROR(VLOOKUP($A185,'SegEnds_NonXtal_BW#'!$A:$Z,9,FALSE)+VLOOKUP($A185,A:AL,13,FALSE)-50),"-",(VLOOKUP($A185,'SegEnds_NonXtal_BW#'!$A:$Z,9,FALSE)+VLOOKUP($A185,A:AL,13,FALSE)-50))</f>
        <v>-</v>
      </c>
      <c r="M185" s="3" t="s">
        <v>23</v>
      </c>
      <c r="N185" s="3" t="str">
        <f>IF(ISERROR(VLOOKUP($A185,'SegEnds_NonXtal_BW#'!$A:$Z,10,FALSE)+VLOOKUP($A185,A:AL,13,FALSE)-50),"-",(VLOOKUP($A185,'SegEnds_NonXtal_BW#'!$A:$Z,10,FALSE)+VLOOKUP($A185,A:AL,13,FALSE)-50))</f>
        <v>-</v>
      </c>
      <c r="O185" s="3">
        <f>VLOOKUP($A185,'SegEnds_NonXtal_BW#'!$A:$Z,11,FALSE)+VLOOKUP($A185,A:AL,16,FALSE)-50</f>
        <v>98</v>
      </c>
      <c r="P185" s="3">
        <v>127</v>
      </c>
      <c r="Q185" s="3">
        <f>VLOOKUP($A185,'SegEnds_NonXtal_BW#'!$A:$Z,12,FALSE)+VLOOKUP($A185,A:AL,16,FALSE)-50</f>
        <v>133</v>
      </c>
      <c r="R185" s="3">
        <f>IF(ISERROR(VLOOKUP($A185,'SegEnds_NonXtal_BW#'!$A:$Z,13,FALSE)+VLOOKUP($A185,A:AL,19,FALSE)-50),"-",VLOOKUP($A185,'SegEnds_NonXtal_BW#'!$A:$Z,13,FALSE)+VLOOKUP($A185,A:AL,19,FALSE)-50)</f>
        <v>134</v>
      </c>
      <c r="S185" s="3">
        <v>134</v>
      </c>
      <c r="T185" s="100">
        <f>IF(ISERROR(VLOOKUP($A185,'SegEnds_NonXtal_BW#'!$A:$Z,14,FALSE)+VLOOKUP($A185,A:AL,19,FALSE)-50),"-",(VLOOKUP($A185,'SegEnds_NonXtal_BW#'!$A:$Z,14,FALSE)+VLOOKUP($A185,A:AL,19,FALSE)-50))</f>
        <v>141</v>
      </c>
      <c r="U185" s="9">
        <f>IF(ISERROR(VLOOKUP($A185,'SegEnds_NonXtal_BW#'!$A:$Z,15,FALSE)+VLOOKUP($A185,A:AL,22,FALSE)-50),"-",VLOOKUP($A185,'SegEnds_NonXtal_BW#'!$A:$Z,15,FALSE)+VLOOKUP($A185,A:AL,22,FALSE)-50)</f>
        <v>142</v>
      </c>
      <c r="V185" s="3">
        <v>154</v>
      </c>
      <c r="W185" s="3">
        <f>IF(ISERROR(VLOOKUP($A185,'SegEnds_NonXtal_BW#'!$A:$Z,16,FALSE)+VLOOKUP($A185,A:AL,22,FALSE)-50),"-",(VLOOKUP($A185,'SegEnds_NonXtal_BW#'!$A:$Z,16,FALSE)+VLOOKUP($A185,A:AL,22,FALSE)-50))</f>
        <v>168</v>
      </c>
      <c r="X185" s="3" t="str">
        <f>IF(ISERROR(VLOOKUP($A185,'SegEnds_NonXtal_BW#'!$A:$Z,17,FALSE)+VLOOKUP($A185,A:AL,25,FALSE)-50),"-",(VLOOKUP($A185,'SegEnds_NonXtal_BW#'!$A:$Z,17,FALSE)+VLOOKUP($A185,A:AL,25,FALSE)-50))</f>
        <v>-</v>
      </c>
      <c r="Y185" s="3" t="s">
        <v>23</v>
      </c>
      <c r="Z185" s="3" t="str">
        <f>IF(ISERROR(VLOOKUP($A185,'SegEnds_NonXtal_BW#'!$A:$Z,18,FALSE)+VLOOKUP($A185,A:AL,25,FALSE)-50),"-",(VLOOKUP($A185,'SegEnds_NonXtal_BW#'!$A:$Z,18,FALSE)+VLOOKUP($A185,A:AL,25,FALSE)-50))</f>
        <v>-</v>
      </c>
      <c r="AA185" s="3">
        <f>IF(ISERROR(VLOOKUP($A185,'SegEnds_NonXtal_BW#'!$A:$Z,19,FALSE)+VLOOKUP($A185,A:AL,28,FALSE)-50),"-",(VLOOKUP($A185,'SegEnds_NonXtal_BW#'!$A:$Z,19,FALSE)+VLOOKUP($A185,A:AL,28,FALSE)-50))</f>
        <v>177</v>
      </c>
      <c r="AB185" s="3">
        <v>196</v>
      </c>
      <c r="AC185" s="3">
        <f>IF(ISERROR((VLOOKUP($A185,'SegEnds_NonXtal_BW#'!$A:$Z,20,FALSE)+VLOOKUP($A185,A:AL,28,FALSE)-50)),"-",(VLOOKUP($A185,'SegEnds_NonXtal_BW#'!$A:$Z,20,FALSE)+VLOOKUP($A185,A:AL,28,FALSE)-50))</f>
        <v>214</v>
      </c>
      <c r="AD185" s="3">
        <f>IF(ISERROR(VLOOKUP($A185,'SegEnds_NonXtal_BW#'!$A:$Z,21,FALSE)+VLOOKUP($A185,A:AL,31,FALSE)-50),"-",(VLOOKUP($A185,'SegEnds_NonXtal_BW#'!$A:$Z,21,FALSE)+VLOOKUP($A185,A:AL,31,FALSE)-50))</f>
        <v>218</v>
      </c>
      <c r="AE185" s="3">
        <v>238</v>
      </c>
      <c r="AF185" s="3">
        <f>IF(ISERROR((VLOOKUP($A185,'SegEnds_NonXtal_BW#'!$A:$Z,22,FALSE)+VLOOKUP($A185,A:AL,31,FALSE)-50)),"-",(VLOOKUP($A185,'SegEnds_NonXtal_BW#'!$A:$Z,22,FALSE)+VLOOKUP($A185,A:AL,31,FALSE)-50))</f>
        <v>249</v>
      </c>
      <c r="AG185" s="3">
        <f>IF(ISERROR(VLOOKUP($A185,'SegEnds_NonXtal_BW#'!$A:$Z,23,FALSE)+VLOOKUP($A185,A:AL,34,FALSE)-50),"-",(VLOOKUP($A185,'SegEnds_NonXtal_BW#'!$A:$Z,23,FALSE)+VLOOKUP($A185,A:AL,34,FALSE)-50))</f>
        <v>254</v>
      </c>
      <c r="AH185" s="3">
        <v>276</v>
      </c>
      <c r="AI185" s="3">
        <f>IF(ISERROR((VLOOKUP($A185,'SegEnds_NonXtal_BW#'!$A:$Z,24,FALSE)+VLOOKUP($A185,A:AL,34,FALSE)-50)),"-",(VLOOKUP($A185,'SegEnds_NonXtal_BW#'!$A:$Z,24,FALSE)+VLOOKUP($A185,A:AL,34,FALSE)-50))</f>
        <v>282</v>
      </c>
      <c r="AJ185" s="3">
        <f>IF(ISERROR(VLOOKUP($A185,'SegEnds_NonXtal_BW#'!$A:$Z,25,FALSE)+VLOOKUP($A185,A:AL,37,FALSE)-50),"-",(VLOOKUP($A185,'SegEnds_NonXtal_BW#'!$A:$Z,25,FALSE)+VLOOKUP($A185,A:AL,37,FALSE)-50))</f>
        <v>283</v>
      </c>
      <c r="AK185" s="3">
        <v>286</v>
      </c>
      <c r="AL185" s="3">
        <f>IF(ISERROR((VLOOKUP($A185,'SegEnds_NonXtal_BW#'!$A:$Z,26,FALSE)+VLOOKUP($A185,A:AL,37,FALSE)-50)),"-",(VLOOKUP($A185,'SegEnds_NonXtal_BW#'!$A:$Z,26,FALSE)+VLOOKUP($A185,A:AL,37,FALSE)-50))</f>
        <v>292</v>
      </c>
      <c r="AM185" s="28" t="str">
        <f>VLOOKUP(A185,Classification!A:B,2,FALSE)</f>
        <v>A</v>
      </c>
      <c r="AN185" s="28" t="b">
        <f t="shared" si="98"/>
        <v>1</v>
      </c>
      <c r="AO185" s="3" t="str">
        <f>IF(ISERROR(MATCH(A185,'SegEnds_Xtal_Prot#'!B:B, 0)), "NoXtal", "Xtal")</f>
        <v>NoXtal</v>
      </c>
      <c r="AP185" s="3" t="str">
        <f t="shared" si="81"/>
        <v>-</v>
      </c>
      <c r="AQ185" s="3" t="str">
        <f t="shared" si="82"/>
        <v>-</v>
      </c>
      <c r="AR185" s="3" t="str">
        <f t="shared" si="83"/>
        <v>-</v>
      </c>
      <c r="AS185" s="3" t="str">
        <f t="shared" si="84"/>
        <v>-</v>
      </c>
      <c r="AT185" s="3">
        <f t="shared" si="85"/>
        <v>1</v>
      </c>
      <c r="AU185" s="3">
        <f t="shared" si="86"/>
        <v>1</v>
      </c>
      <c r="AV185" s="3" t="str">
        <f t="shared" si="87"/>
        <v>-</v>
      </c>
      <c r="AW185" s="3" t="str">
        <f t="shared" si="88"/>
        <v>-</v>
      </c>
      <c r="AX185" s="3">
        <f t="shared" si="89"/>
        <v>4</v>
      </c>
      <c r="AY185" s="3">
        <f t="shared" si="90"/>
        <v>5</v>
      </c>
      <c r="AZ185" s="3">
        <f t="shared" si="91"/>
        <v>1</v>
      </c>
      <c r="BA185" s="3">
        <f>IF(ISERROR(LEN(VLOOKUP(A185,Seqs!A:E,2,FALSE))-AL185),"-",LEN(VLOOKUP(A185,Seqs!A:E,2,FALSE))-AL185)</f>
        <v>38</v>
      </c>
      <c r="BB185" s="16">
        <f t="shared" si="92"/>
        <v>27</v>
      </c>
      <c r="BC185" s="9">
        <f t="shared" si="93"/>
        <v>20</v>
      </c>
      <c r="BD185" s="3">
        <f t="shared" si="94"/>
        <v>27</v>
      </c>
      <c r="BE185" s="3">
        <f t="shared" si="95"/>
        <v>42</v>
      </c>
    </row>
    <row r="186" spans="1:58" s="3" customFormat="1" x14ac:dyDescent="0.2">
      <c r="A186" s="3" t="s">
        <v>307</v>
      </c>
      <c r="B186" s="3" t="str">
        <f>LOWER(VLOOKUP(A186,Xtal_Templ!A:B,2,FALSE))</f>
        <v>pd2r2_human</v>
      </c>
      <c r="C186" s="3">
        <f>VLOOKUP($A186,'SegEnds_NonXtal_BW#'!$A:$Z,3,FALSE)+D186-50</f>
        <v>27</v>
      </c>
      <c r="D186" s="3">
        <v>45</v>
      </c>
      <c r="E186" s="3">
        <f>IF(ISERROR(VLOOKUP($A186,'SegEnds_NonXtal_BW#'!$A:$Z,4,FALSE)+VLOOKUP($A186,A:AL,4,FALSE)-50),"-",(VLOOKUP($A186,'SegEnds_NonXtal_BW#'!$A:$Z,4,FALSE)+VLOOKUP($A186,A:AL,4,FALSE)-50))</f>
        <v>55</v>
      </c>
      <c r="F186" s="3" t="str">
        <f>IF(ISERROR(VLOOKUP($A186,'SegEnds_NonXtal_BW#'!$A:$Z,5,FALSE)+VLOOKUP($A186,A:AL,7,FALSE)-50),"-",(VLOOKUP($A186,'SegEnds_NonXtal_BW#'!$A:$Z,5,FALSE)+VLOOKUP($A186,A:AL,7,FALSE)-50))</f>
        <v>-</v>
      </c>
      <c r="G186" s="3" t="s">
        <v>23</v>
      </c>
      <c r="H186" s="3" t="str">
        <f>IF(ISERROR(VLOOKUP($A186,'SegEnds_NonXtal_BW#'!$A:$Z,6,FALSE)+VLOOKUP($A186,A:AL,7,FALSE)-50),"-",(VLOOKUP($A186,'SegEnds_NonXtal_BW#'!$A:$Z,6,FALSE)+VLOOKUP($A186,A:AL,7,FALSE)-50))</f>
        <v>-</v>
      </c>
      <c r="I186" s="3">
        <f>VLOOKUP($A186,'SegEnds_NonXtal_BW#'!$A:$Z,7,FALSE)+J186-50</f>
        <v>59</v>
      </c>
      <c r="J186" s="3">
        <v>72</v>
      </c>
      <c r="K186" s="3">
        <f>VLOOKUP($A186,'SegEnds_NonXtal_BW#'!$A:$Z,8,FALSE)+VLOOKUP($A186,A:AL,10,FALSE)-50</f>
        <v>88</v>
      </c>
      <c r="L186" s="3" t="str">
        <f>IF(ISERROR(VLOOKUP($A186,'SegEnds_NonXtal_BW#'!$A:$Z,9,FALSE)+VLOOKUP($A186,A:AL,13,FALSE)-50),"-",(VLOOKUP($A186,'SegEnds_NonXtal_BW#'!$A:$Z,9,FALSE)+VLOOKUP($A186,A:AL,13,FALSE)-50))</f>
        <v>-</v>
      </c>
      <c r="M186" s="3" t="s">
        <v>23</v>
      </c>
      <c r="N186" s="3" t="str">
        <f>IF(ISERROR(VLOOKUP($A186,'SegEnds_NonXtal_BW#'!$A:$Z,10,FALSE)+VLOOKUP($A186,A:AL,13,FALSE)-50),"-",(VLOOKUP($A186,'SegEnds_NonXtal_BW#'!$A:$Z,10,FALSE)+VLOOKUP($A186,A:AL,13,FALSE)-50))</f>
        <v>-</v>
      </c>
      <c r="O186" s="3">
        <f>VLOOKUP($A186,'SegEnds_NonXtal_BW#'!$A:$Z,11,FALSE)+VLOOKUP($A186,A:AL,16,FALSE)-50</f>
        <v>94</v>
      </c>
      <c r="P186" s="3">
        <v>120</v>
      </c>
      <c r="Q186" s="3">
        <f>VLOOKUP($A186,'SegEnds_NonXtal_BW#'!$A:$Z,12,FALSE)+VLOOKUP($A186,A:AL,16,FALSE)-50</f>
        <v>126</v>
      </c>
      <c r="R186" s="3">
        <f>IF(ISERROR(VLOOKUP($A186,'SegEnds_NonXtal_BW#'!$A:$Z,13,FALSE)+VLOOKUP($A186,A:AL,19,FALSE)-50),"-",VLOOKUP($A186,'SegEnds_NonXtal_BW#'!$A:$Z,13,FALSE)+VLOOKUP($A186,A:AL,19,FALSE)-50)</f>
        <v>127</v>
      </c>
      <c r="S186" s="3">
        <v>127</v>
      </c>
      <c r="T186" s="100">
        <f>IF(ISERROR(VLOOKUP($A186,'SegEnds_NonXtal_BW#'!$A:$Z,14,FALSE)+VLOOKUP($A186,A:AL,19,FALSE)-50),"-",(VLOOKUP($A186,'SegEnds_NonXtal_BW#'!$A:$Z,14,FALSE)+VLOOKUP($A186,A:AL,19,FALSE)-50))</f>
        <v>134</v>
      </c>
      <c r="U186" s="9">
        <f>IF(ISERROR(VLOOKUP($A186,'SegEnds_NonXtal_BW#'!$A:$Z,15,FALSE)+VLOOKUP($A186,A:AL,22,FALSE)-50),"-",VLOOKUP($A186,'SegEnds_NonXtal_BW#'!$A:$Z,15,FALSE)+VLOOKUP($A186,A:AL,22,FALSE)-50)</f>
        <v>135</v>
      </c>
      <c r="V186" s="3">
        <v>147</v>
      </c>
      <c r="W186" s="3">
        <f>IF(ISERROR(VLOOKUP($A186,'SegEnds_NonXtal_BW#'!$A:$Z,16,FALSE)+VLOOKUP($A186,A:AL,22,FALSE)-50),"-",(VLOOKUP($A186,'SegEnds_NonXtal_BW#'!$A:$Z,16,FALSE)+VLOOKUP($A186,A:AL,22,FALSE)-50))</f>
        <v>161</v>
      </c>
      <c r="X186" s="3" t="str">
        <f>IF(ISERROR(VLOOKUP($A186,'SegEnds_NonXtal_BW#'!$A:$Z,17,FALSE)+VLOOKUP($A186,A:AL,25,FALSE)-50),"-",(VLOOKUP($A186,'SegEnds_NonXtal_BW#'!$A:$Z,17,FALSE)+VLOOKUP($A186,A:AL,25,FALSE)-50))</f>
        <v>-</v>
      </c>
      <c r="Y186" s="3" t="s">
        <v>23</v>
      </c>
      <c r="Z186" s="3" t="str">
        <f>IF(ISERROR(VLOOKUP($A186,'SegEnds_NonXtal_BW#'!$A:$Z,18,FALSE)+VLOOKUP($A186,A:AL,25,FALSE)-50),"-",(VLOOKUP($A186,'SegEnds_NonXtal_BW#'!$A:$Z,18,FALSE)+VLOOKUP($A186,A:AL,25,FALSE)-50))</f>
        <v>-</v>
      </c>
      <c r="AA186" s="3">
        <f>IF(ISERROR(VLOOKUP($A186,'SegEnds_NonXtal_BW#'!$A:$Z,19,FALSE)+VLOOKUP($A186,A:AL,28,FALSE)-50),"-",(VLOOKUP($A186,'SegEnds_NonXtal_BW#'!$A:$Z,19,FALSE)+VLOOKUP($A186,A:AL,28,FALSE)-50))</f>
        <v>165</v>
      </c>
      <c r="AB186" s="3">
        <v>189</v>
      </c>
      <c r="AC186" s="3">
        <f>IF(ISERROR((VLOOKUP($A186,'SegEnds_NonXtal_BW#'!$A:$Z,20,FALSE)+VLOOKUP($A186,A:AL,28,FALSE)-50)),"-",(VLOOKUP($A186,'SegEnds_NonXtal_BW#'!$A:$Z,20,FALSE)+VLOOKUP($A186,A:AL,28,FALSE)-50))</f>
        <v>207</v>
      </c>
      <c r="AD186" s="3">
        <f>IF(ISERROR(VLOOKUP($A186,'SegEnds_NonXtal_BW#'!$A:$Z,21,FALSE)+VLOOKUP($A186,A:AL,31,FALSE)-50),"-",(VLOOKUP($A186,'SegEnds_NonXtal_BW#'!$A:$Z,21,FALSE)+VLOOKUP($A186,A:AL,31,FALSE)-50))</f>
        <v>211</v>
      </c>
      <c r="AE186" s="3">
        <v>231</v>
      </c>
      <c r="AF186" s="3">
        <f>IF(ISERROR((VLOOKUP($A186,'SegEnds_NonXtal_BW#'!$A:$Z,22,FALSE)+VLOOKUP($A186,A:AL,31,FALSE)-50)),"-",(VLOOKUP($A186,'SegEnds_NonXtal_BW#'!$A:$Z,22,FALSE)+VLOOKUP($A186,A:AL,31,FALSE)-50))</f>
        <v>242</v>
      </c>
      <c r="AG186" s="3">
        <f>IF(ISERROR(VLOOKUP($A186,'SegEnds_NonXtal_BW#'!$A:$Z,23,FALSE)+VLOOKUP($A186,A:AL,34,FALSE)-50),"-",(VLOOKUP($A186,'SegEnds_NonXtal_BW#'!$A:$Z,23,FALSE)+VLOOKUP($A186,A:AL,34,FALSE)-50))</f>
        <v>247</v>
      </c>
      <c r="AH186" s="3">
        <v>269</v>
      </c>
      <c r="AI186" s="3">
        <f>IF(ISERROR((VLOOKUP($A186,'SegEnds_NonXtal_BW#'!$A:$Z,24,FALSE)+VLOOKUP($A186,A:AL,34,FALSE)-50)),"-",(VLOOKUP($A186,'SegEnds_NonXtal_BW#'!$A:$Z,24,FALSE)+VLOOKUP($A186,A:AL,34,FALSE)-50))</f>
        <v>275</v>
      </c>
      <c r="AJ186" s="3">
        <f>IF(ISERROR(VLOOKUP($A186,'SegEnds_NonXtal_BW#'!$A:$Z,25,FALSE)+VLOOKUP($A186,A:AL,37,FALSE)-50),"-",(VLOOKUP($A186,'SegEnds_NonXtal_BW#'!$A:$Z,25,FALSE)+VLOOKUP($A186,A:AL,37,FALSE)-50))</f>
        <v>276</v>
      </c>
      <c r="AK186" s="3">
        <v>279</v>
      </c>
      <c r="AL186" s="3">
        <f>IF(ISERROR((VLOOKUP($A186,'SegEnds_NonXtal_BW#'!$A:$Z,26,FALSE)+VLOOKUP($A186,A:AL,37,FALSE)-50)),"-",(VLOOKUP($A186,'SegEnds_NonXtal_BW#'!$A:$Z,26,FALSE)+VLOOKUP($A186,A:AL,37,FALSE)-50))</f>
        <v>293</v>
      </c>
      <c r="AM186" s="28" t="str">
        <f>VLOOKUP(A186,Classification!A:B,2,FALSE)</f>
        <v>A</v>
      </c>
      <c r="AN186" s="28" t="b">
        <f t="shared" si="98"/>
        <v>1</v>
      </c>
      <c r="AO186" s="3" t="str">
        <f>IF(ISERROR(MATCH(A186,'SegEnds_Xtal_Prot#'!B:B, 0)), "NoXtal", "Xtal")</f>
        <v>NoXtal</v>
      </c>
      <c r="AP186" s="3" t="str">
        <f t="shared" si="81"/>
        <v>-</v>
      </c>
      <c r="AQ186" s="3" t="str">
        <f t="shared" si="82"/>
        <v>-</v>
      </c>
      <c r="AR186" s="3" t="str">
        <f t="shared" si="83"/>
        <v>-</v>
      </c>
      <c r="AS186" s="3" t="str">
        <f t="shared" si="84"/>
        <v>-</v>
      </c>
      <c r="AT186" s="3">
        <f t="shared" si="85"/>
        <v>1</v>
      </c>
      <c r="AU186" s="3">
        <f t="shared" si="86"/>
        <v>1</v>
      </c>
      <c r="AV186" s="3" t="str">
        <f t="shared" si="87"/>
        <v>-</v>
      </c>
      <c r="AW186" s="3" t="str">
        <f t="shared" si="88"/>
        <v>-</v>
      </c>
      <c r="AX186" s="3">
        <f t="shared" si="89"/>
        <v>4</v>
      </c>
      <c r="AY186" s="3">
        <f t="shared" si="90"/>
        <v>5</v>
      </c>
      <c r="AZ186" s="3">
        <f t="shared" si="91"/>
        <v>1</v>
      </c>
      <c r="BA186" s="3">
        <f>IF(ISERROR(LEN(VLOOKUP(A186,Seqs!A:E,2,FALSE))-AL186),"-",LEN(VLOOKUP(A186,Seqs!A:E,2,FALSE))-AL186)</f>
        <v>29</v>
      </c>
      <c r="BB186" s="16">
        <f t="shared" si="92"/>
        <v>27</v>
      </c>
      <c r="BC186" s="9">
        <f t="shared" si="93"/>
        <v>20</v>
      </c>
      <c r="BD186" s="3">
        <f t="shared" si="94"/>
        <v>27</v>
      </c>
      <c r="BE186" s="3">
        <f t="shared" si="95"/>
        <v>42</v>
      </c>
    </row>
    <row r="187" spans="1:58" s="3" customFormat="1" x14ac:dyDescent="0.2">
      <c r="A187" s="3" t="s">
        <v>308</v>
      </c>
      <c r="B187" s="3" t="str">
        <f>LOWER(VLOOKUP(A187,Xtal_Templ!A:B,2,FALSE))</f>
        <v>c5ar1_human</v>
      </c>
      <c r="C187" s="3">
        <f>VLOOKUP($A187,'SegEnds_NonXtal_BW#'!$A:$Z,3,FALSE)+D187-50</f>
        <v>24</v>
      </c>
      <c r="D187" s="3">
        <v>45</v>
      </c>
      <c r="E187" s="3">
        <f>IF(ISERROR(VLOOKUP($A187,'SegEnds_NonXtal_BW#'!$A:$Z,4,FALSE)+VLOOKUP($A187,A:AL,4,FALSE)-50),"-",(VLOOKUP($A187,'SegEnds_NonXtal_BW#'!$A:$Z,4,FALSE)+VLOOKUP($A187,A:AL,4,FALSE)-50))</f>
        <v>55</v>
      </c>
      <c r="F187" s="3" t="str">
        <f>IF(ISERROR(VLOOKUP($A187,'SegEnds_NonXtal_BW#'!$A:$Z,5,FALSE)+VLOOKUP($A187,A:AL,7,FALSE)-50),"-",(VLOOKUP($A187,'SegEnds_NonXtal_BW#'!$A:$Z,5,FALSE)+VLOOKUP($A187,A:AL,7,FALSE)-50))</f>
        <v>-</v>
      </c>
      <c r="G187" s="3" t="s">
        <v>23</v>
      </c>
      <c r="H187" s="3" t="str">
        <f>IF(ISERROR(VLOOKUP($A187,'SegEnds_NonXtal_BW#'!$A:$Z,6,FALSE)+VLOOKUP($A187,A:AL,7,FALSE)-50),"-",(VLOOKUP($A187,'SegEnds_NonXtal_BW#'!$A:$Z,6,FALSE)+VLOOKUP($A187,A:AL,7,FALSE)-50))</f>
        <v>-</v>
      </c>
      <c r="I187" s="3">
        <f>VLOOKUP($A187,'SegEnds_NonXtal_BW#'!$A:$Z,7,FALSE)+J187-50</f>
        <v>59</v>
      </c>
      <c r="J187" s="3">
        <v>72</v>
      </c>
      <c r="K187" s="3">
        <f>VLOOKUP($A187,'SegEnds_NonXtal_BW#'!$A:$Z,8,FALSE)+VLOOKUP($A187,A:AL,10,FALSE)-50</f>
        <v>88</v>
      </c>
      <c r="L187" s="3" t="str">
        <f>IF(ISERROR(VLOOKUP($A187,'SegEnds_NonXtal_BW#'!$A:$Z,9,FALSE)+VLOOKUP($A187,A:AL,13,FALSE)-50),"-",(VLOOKUP($A187,'SegEnds_NonXtal_BW#'!$A:$Z,9,FALSE)+VLOOKUP($A187,A:AL,13,FALSE)-50))</f>
        <v>-</v>
      </c>
      <c r="M187" s="3" t="s">
        <v>23</v>
      </c>
      <c r="N187" s="3" t="str">
        <f>IF(ISERROR(VLOOKUP($A187,'SegEnds_NonXtal_BW#'!$A:$Z,10,FALSE)+VLOOKUP($A187,A:AL,13,FALSE)-50),"-",(VLOOKUP($A187,'SegEnds_NonXtal_BW#'!$A:$Z,10,FALSE)+VLOOKUP($A187,A:AL,13,FALSE)-50))</f>
        <v>-</v>
      </c>
      <c r="O187" s="3">
        <f>VLOOKUP($A187,'SegEnds_NonXtal_BW#'!$A:$Z,11,FALSE)+VLOOKUP($A187,A:AL,16,FALSE)-50</f>
        <v>94</v>
      </c>
      <c r="P187" s="3">
        <v>120</v>
      </c>
      <c r="Q187" s="3">
        <f>VLOOKUP($A187,'SegEnds_NonXtal_BW#'!$A:$Z,12,FALSE)+VLOOKUP($A187,A:AL,16,FALSE)-50</f>
        <v>126</v>
      </c>
      <c r="R187" s="3">
        <f>IF(ISERROR(VLOOKUP($A187,'SegEnds_NonXtal_BW#'!$A:$Z,13,FALSE)+VLOOKUP($A187,A:AL,19,FALSE)-50),"-",VLOOKUP($A187,'SegEnds_NonXtal_BW#'!$A:$Z,13,FALSE)+VLOOKUP($A187,A:AL,19,FALSE)-50)</f>
        <v>127</v>
      </c>
      <c r="S187" s="3">
        <v>127</v>
      </c>
      <c r="T187" s="100">
        <f>IF(ISERROR(VLOOKUP($A187,'SegEnds_NonXtal_BW#'!$A:$Z,14,FALSE)+VLOOKUP($A187,A:AL,19,FALSE)-50),"-",(VLOOKUP($A187,'SegEnds_NonXtal_BW#'!$A:$Z,14,FALSE)+VLOOKUP($A187,A:AL,19,FALSE)-50))</f>
        <v>134</v>
      </c>
      <c r="U187" s="9">
        <f>IF(ISERROR(VLOOKUP($A187,'SegEnds_NonXtal_BW#'!$A:$Z,15,FALSE)+VLOOKUP($A187,A:AL,22,FALSE)-50),"-",VLOOKUP($A187,'SegEnds_NonXtal_BW#'!$A:$Z,15,FALSE)+VLOOKUP($A187,A:AL,22,FALSE)-50)</f>
        <v>135</v>
      </c>
      <c r="V187" s="3">
        <v>147</v>
      </c>
      <c r="W187" s="3">
        <f>IF(ISERROR(VLOOKUP($A187,'SegEnds_NonXtal_BW#'!$A:$Z,16,FALSE)+VLOOKUP($A187,A:AL,22,FALSE)-50),"-",(VLOOKUP($A187,'SegEnds_NonXtal_BW#'!$A:$Z,16,FALSE)+VLOOKUP($A187,A:AL,22,FALSE)-50))</f>
        <v>161</v>
      </c>
      <c r="X187" s="3" t="str">
        <f>IF(ISERROR(VLOOKUP($A187,'SegEnds_NonXtal_BW#'!$A:$Z,17,FALSE)+VLOOKUP($A187,A:AL,25,FALSE)-50),"-",(VLOOKUP($A187,'SegEnds_NonXtal_BW#'!$A:$Z,17,FALSE)+VLOOKUP($A187,A:AL,25,FALSE)-50))</f>
        <v>-</v>
      </c>
      <c r="Y187" s="3" t="s">
        <v>23</v>
      </c>
      <c r="Z187" s="3" t="str">
        <f>IF(ISERROR(VLOOKUP($A187,'SegEnds_NonXtal_BW#'!$A:$Z,18,FALSE)+VLOOKUP($A187,A:AL,25,FALSE)-50),"-",(VLOOKUP($A187,'SegEnds_NonXtal_BW#'!$A:$Z,18,FALSE)+VLOOKUP($A187,A:AL,25,FALSE)-50))</f>
        <v>-</v>
      </c>
      <c r="AA187" s="3">
        <f>IF(ISERROR(VLOOKUP($A187,'SegEnds_NonXtal_BW#'!$A:$Z,19,FALSE)+VLOOKUP($A187,A:AL,28,FALSE)-50),"-",(VLOOKUP($A187,'SegEnds_NonXtal_BW#'!$A:$Z,19,FALSE)+VLOOKUP($A187,A:AL,28,FALSE)-50))</f>
        <v>170</v>
      </c>
      <c r="AB187" s="3">
        <v>189</v>
      </c>
      <c r="AC187" s="3">
        <f>IF(ISERROR((VLOOKUP($A187,'SegEnds_NonXtal_BW#'!$A:$Z,20,FALSE)+VLOOKUP($A187,A:AL,28,FALSE)-50)),"-",(VLOOKUP($A187,'SegEnds_NonXtal_BW#'!$A:$Z,20,FALSE)+VLOOKUP($A187,A:AL,28,FALSE)-50))</f>
        <v>207</v>
      </c>
      <c r="AD187" s="3">
        <f>IF(ISERROR(VLOOKUP($A187,'SegEnds_NonXtal_BW#'!$A:$Z,21,FALSE)+VLOOKUP($A187,A:AL,31,FALSE)-50),"-",(VLOOKUP($A187,'SegEnds_NonXtal_BW#'!$A:$Z,21,FALSE)+VLOOKUP($A187,A:AL,31,FALSE)-50))</f>
        <v>211</v>
      </c>
      <c r="AE187" s="3">
        <v>231</v>
      </c>
      <c r="AF187" s="3">
        <f>IF(ISERROR((VLOOKUP($A187,'SegEnds_NonXtal_BW#'!$A:$Z,22,FALSE)+VLOOKUP($A187,A:AL,31,FALSE)-50)),"-",(VLOOKUP($A187,'SegEnds_NonXtal_BW#'!$A:$Z,22,FALSE)+VLOOKUP($A187,A:AL,31,FALSE)-50))</f>
        <v>242</v>
      </c>
      <c r="AG187" s="3">
        <f>IF(ISERROR(VLOOKUP($A187,'SegEnds_NonXtal_BW#'!$A:$Z,23,FALSE)+VLOOKUP($A187,A:AL,34,FALSE)-50),"-",(VLOOKUP($A187,'SegEnds_NonXtal_BW#'!$A:$Z,23,FALSE)+VLOOKUP($A187,A:AL,34,FALSE)-50))</f>
        <v>247</v>
      </c>
      <c r="AH187" s="3">
        <v>269</v>
      </c>
      <c r="AI187" s="3">
        <f>IF(ISERROR((VLOOKUP($A187,'SegEnds_NonXtal_BW#'!$A:$Z,24,FALSE)+VLOOKUP($A187,A:AL,34,FALSE)-50)),"-",(VLOOKUP($A187,'SegEnds_NonXtal_BW#'!$A:$Z,24,FALSE)+VLOOKUP($A187,A:AL,34,FALSE)-50))</f>
        <v>275</v>
      </c>
      <c r="AJ187" s="3">
        <f>IF(ISERROR(VLOOKUP($A187,'SegEnds_NonXtal_BW#'!$A:$Z,25,FALSE)+VLOOKUP($A187,A:AL,37,FALSE)-50),"-",(VLOOKUP($A187,'SegEnds_NonXtal_BW#'!$A:$Z,25,FALSE)+VLOOKUP($A187,A:AL,37,FALSE)-50))</f>
        <v>276</v>
      </c>
      <c r="AK187" s="3">
        <v>279</v>
      </c>
      <c r="AL187" s="3">
        <f>IF(ISERROR((VLOOKUP($A187,'SegEnds_NonXtal_BW#'!$A:$Z,26,FALSE)+VLOOKUP($A187,A:AL,37,FALSE)-50)),"-",(VLOOKUP($A187,'SegEnds_NonXtal_BW#'!$A:$Z,26,FALSE)+VLOOKUP($A187,A:AL,37,FALSE)-50))</f>
        <v>285</v>
      </c>
      <c r="AM187" s="28" t="str">
        <f>VLOOKUP(A187,Classification!A:B,2,FALSE)</f>
        <v>A</v>
      </c>
      <c r="AN187" s="28" t="b">
        <f t="shared" si="98"/>
        <v>1</v>
      </c>
      <c r="AO187" s="3" t="str">
        <f>IF(ISERROR(MATCH(A187,'SegEnds_Xtal_Prot#'!B:B, 0)), "NoXtal", "Xtal")</f>
        <v>NoXtal</v>
      </c>
      <c r="AP187" s="3" t="str">
        <f t="shared" si="81"/>
        <v>-</v>
      </c>
      <c r="AQ187" s="3" t="str">
        <f t="shared" si="82"/>
        <v>-</v>
      </c>
      <c r="AR187" s="3" t="str">
        <f t="shared" si="83"/>
        <v>-</v>
      </c>
      <c r="AS187" s="3" t="str">
        <f t="shared" si="84"/>
        <v>-</v>
      </c>
      <c r="AT187" s="3">
        <f t="shared" si="85"/>
        <v>1</v>
      </c>
      <c r="AU187" s="3">
        <f t="shared" si="86"/>
        <v>1</v>
      </c>
      <c r="AV187" s="3" t="str">
        <f t="shared" si="87"/>
        <v>-</v>
      </c>
      <c r="AW187" s="3" t="str">
        <f t="shared" si="88"/>
        <v>-</v>
      </c>
      <c r="AX187" s="3">
        <f t="shared" si="89"/>
        <v>4</v>
      </c>
      <c r="AY187" s="3">
        <f t="shared" si="90"/>
        <v>5</v>
      </c>
      <c r="AZ187" s="3">
        <f t="shared" si="91"/>
        <v>1</v>
      </c>
      <c r="BA187" s="3">
        <f>IF(ISERROR(LEN(VLOOKUP(A187,Seqs!A:E,2,FALSE))-AL187),"-",LEN(VLOOKUP(A187,Seqs!A:E,2,FALSE))-AL187)</f>
        <v>37</v>
      </c>
      <c r="BB187" s="16">
        <f t="shared" si="92"/>
        <v>27</v>
      </c>
      <c r="BC187" s="9">
        <f t="shared" si="93"/>
        <v>20</v>
      </c>
      <c r="BD187" s="3">
        <f t="shared" si="94"/>
        <v>27</v>
      </c>
      <c r="BE187" s="3">
        <f t="shared" si="95"/>
        <v>42</v>
      </c>
    </row>
    <row r="188" spans="1:58" s="3" customFormat="1" x14ac:dyDescent="0.2">
      <c r="A188" s="3" t="s">
        <v>309</v>
      </c>
      <c r="B188" s="3" t="str">
        <f>LOWER(VLOOKUP(A188,Xtal_Templ!A:B,2,FALSE))</f>
        <v>s1pr1_human</v>
      </c>
      <c r="C188" s="3">
        <f>VLOOKUP($A188,'SegEnds_NonXtal_BW#'!$A:$Z,3,FALSE)+D188-50</f>
        <v>35</v>
      </c>
      <c r="D188" s="3">
        <v>56</v>
      </c>
      <c r="E188" s="3">
        <f>IF(ISERROR(VLOOKUP($A188,'SegEnds_NonXtal_BW#'!$A:$Z,4,FALSE)+VLOOKUP($A188,A:AL,4,FALSE)-50),"-",(VLOOKUP($A188,'SegEnds_NonXtal_BW#'!$A:$Z,4,FALSE)+VLOOKUP($A188,A:AL,4,FALSE)-50))</f>
        <v>66</v>
      </c>
      <c r="F188" s="3">
        <f t="shared" ref="F188:F197" si="112">G188-2</f>
        <v>67</v>
      </c>
      <c r="G188" s="3">
        <v>69</v>
      </c>
      <c r="H188" s="3">
        <f t="shared" ref="H188:I197" si="113">G188+1</f>
        <v>70</v>
      </c>
      <c r="I188" s="3">
        <f t="shared" si="113"/>
        <v>71</v>
      </c>
      <c r="J188" s="3">
        <v>84</v>
      </c>
      <c r="K188" s="3">
        <f>VLOOKUP($A188,'SegEnds_NonXtal_BW#'!$A:$Z,8,FALSE)+VLOOKUP($A188,A:AL,10,FALSE)-50</f>
        <v>101</v>
      </c>
      <c r="L188" s="3" t="str">
        <f>IF(ISERROR(VLOOKUP($A188,'SegEnds_NonXtal_BW#'!$A:$Z,9,FALSE)+VLOOKUP($A188,A:AL,13,FALSE)-50),"-",(VLOOKUP($A188,'SegEnds_NonXtal_BW#'!$A:$Z,9,FALSE)+VLOOKUP($A188,A:AL,13,FALSE)-50))</f>
        <v>-</v>
      </c>
      <c r="M188" s="3" t="s">
        <v>23</v>
      </c>
      <c r="N188" s="3" t="str">
        <f>IF(ISERROR(VLOOKUP($A188,'SegEnds_NonXtal_BW#'!$A:$Z,10,FALSE)+VLOOKUP($A188,A:AL,13,FALSE)-50),"-",(VLOOKUP($A188,'SegEnds_NonXtal_BW#'!$A:$Z,10,FALSE)+VLOOKUP($A188,A:AL,13,FALSE)-50))</f>
        <v>-</v>
      </c>
      <c r="O188" s="3">
        <f>VLOOKUP($A188,'SegEnds_NonXtal_BW#'!$A:$Z,11,FALSE)+VLOOKUP($A188,A:AL,16,FALSE)-50</f>
        <v>110</v>
      </c>
      <c r="P188" s="3">
        <v>142</v>
      </c>
      <c r="Q188" s="3">
        <f>VLOOKUP($A188,'SegEnds_NonXtal_BW#'!$A:$Z,12,FALSE)+VLOOKUP($A188,A:AL,16,FALSE)-50</f>
        <v>148</v>
      </c>
      <c r="R188" s="3">
        <f>S188</f>
        <v>149</v>
      </c>
      <c r="S188" s="3">
        <v>149</v>
      </c>
      <c r="T188" s="100">
        <f>S188+7</f>
        <v>156</v>
      </c>
      <c r="U188" s="9">
        <f>IF(ISERROR(VLOOKUP($A188,'SegEnds_NonXtal_BW#'!$A:$Z,15,FALSE)+VLOOKUP($A188,A:AL,22,FALSE)-50),"-",VLOOKUP($A188,'SegEnds_NonXtal_BW#'!$A:$Z,15,FALSE)+VLOOKUP($A188,A:AL,22,FALSE)-50)</f>
        <v>157</v>
      </c>
      <c r="V188" s="3">
        <v>169</v>
      </c>
      <c r="W188" s="3">
        <f>IF(ISERROR(VLOOKUP($A188,'SegEnds_NonXtal_BW#'!$A:$Z,16,FALSE)+VLOOKUP($A188,A:AL,22,FALSE)-50),"-",(VLOOKUP($A188,'SegEnds_NonXtal_BW#'!$A:$Z,16,FALSE)+VLOOKUP($A188,A:AL,22,FALSE)-50))</f>
        <v>182</v>
      </c>
      <c r="X188" s="3" t="str">
        <f>IF(ISERROR(VLOOKUP($A188,'SegEnds_NonXtal_BW#'!$A:$Z,17,FALSE)+VLOOKUP($A188,A:AL,25,FALSE)-50),"-",(VLOOKUP($A188,'SegEnds_NonXtal_BW#'!$A:$Z,17,FALSE)+VLOOKUP($A188,A:AL,25,FALSE)-50))</f>
        <v>-</v>
      </c>
      <c r="Y188" s="3" t="s">
        <v>23</v>
      </c>
      <c r="Z188" s="3" t="str">
        <f>IF(ISERROR(VLOOKUP($A188,'SegEnds_NonXtal_BW#'!$A:$Z,18,FALSE)+VLOOKUP($A188,A:AL,25,FALSE)-50),"-",(VLOOKUP($A188,'SegEnds_NonXtal_BW#'!$A:$Z,18,FALSE)+VLOOKUP($A188,A:AL,25,FALSE)-50))</f>
        <v>-</v>
      </c>
      <c r="AA188" s="3">
        <f>IF(ISERROR(VLOOKUP($A188,'SegEnds_NonXtal_BW#'!$A:$Z,19,FALSE)+VLOOKUP($A188,A:AL,28,FALSE)-50),"-",(VLOOKUP($A188,'SegEnds_NonXtal_BW#'!$A:$Z,19,FALSE)+VLOOKUP($A188,A:AL,28,FALSE)-50))</f>
        <v>192</v>
      </c>
      <c r="AB188" s="9">
        <v>209</v>
      </c>
      <c r="AC188" s="3">
        <f>IF(ISERROR((VLOOKUP($A188,'SegEnds_NonXtal_BW#'!$A:$Z,20,FALSE)+VLOOKUP($A188,A:AL,28,FALSE)-50)),"-",(VLOOKUP($A188,'SegEnds_NonXtal_BW#'!$A:$Z,20,FALSE)+VLOOKUP($A188,A:AL,28,FALSE)-50))</f>
        <v>226</v>
      </c>
      <c r="AD188" s="3">
        <f>IF(ISERROR(VLOOKUP($A188,'SegEnds_NonXtal_BW#'!$A:$Z,21,FALSE)+VLOOKUP($A188,A:AL,31,FALSE)-50),"-",(VLOOKUP($A188,'SegEnds_NonXtal_BW#'!$A:$Z,21,FALSE)+VLOOKUP($A188,A:AL,31,FALSE)-50))</f>
        <v>233</v>
      </c>
      <c r="AE188" s="3">
        <v>256</v>
      </c>
      <c r="AF188" s="3">
        <f>IF(ISERROR((VLOOKUP($A188,'SegEnds_NonXtal_BW#'!$A:$Z,22,FALSE)+VLOOKUP($A188,A:AL,31,FALSE)-50)),"-",(VLOOKUP($A188,'SegEnds_NonXtal_BW#'!$A:$Z,22,FALSE)+VLOOKUP($A188,A:AL,31,FALSE)-50))</f>
        <v>267</v>
      </c>
      <c r="AG188" s="3">
        <f>IF(ISERROR(VLOOKUP($A188,'SegEnds_NonXtal_BW#'!$A:$Z,23,FALSE)+VLOOKUP($A188,A:AL,34,FALSE)-50),"-",(VLOOKUP($A188,'SegEnds_NonXtal_BW#'!$A:$Z,23,FALSE)+VLOOKUP($A188,A:AL,34,FALSE)-50))</f>
        <v>273</v>
      </c>
      <c r="AH188" s="3">
        <v>295</v>
      </c>
      <c r="AI188" s="3">
        <f>IF(ISERROR((VLOOKUP($A188,'SegEnds_NonXtal_BW#'!$A:$Z,24,FALSE)+VLOOKUP($A188,A:AL,34,FALSE)-50)),"-",(VLOOKUP($A188,'SegEnds_NonXtal_BW#'!$A:$Z,24,FALSE)+VLOOKUP($A188,A:AL,34,FALSE)-50))</f>
        <v>301</v>
      </c>
      <c r="AJ188" s="3">
        <f>IF(ISERROR(VLOOKUP($A188,'SegEnds_NonXtal_BW#'!$A:$Z,25,FALSE)+VLOOKUP($A188,A:AL,37,FALSE)-50),"-",(VLOOKUP($A188,'SegEnds_NonXtal_BW#'!$A:$Z,25,FALSE)+VLOOKUP($A188,A:AL,37,FALSE)-50))</f>
        <v>302</v>
      </c>
      <c r="AK188" s="3">
        <v>305</v>
      </c>
      <c r="AL188" s="3">
        <f>IF(ISERROR((VLOOKUP($A188,'SegEnds_NonXtal_BW#'!$A:$Z,26,FALSE)+VLOOKUP($A188,A:AL,37,FALSE)-50)),"-",(VLOOKUP($A188,'SegEnds_NonXtal_BW#'!$A:$Z,26,FALSE)+VLOOKUP($A188,A:AL,37,FALSE)-50))</f>
        <v>314</v>
      </c>
      <c r="AM188" s="28" t="str">
        <f>VLOOKUP(A188,Classification!A:B,2,FALSE)</f>
        <v>A</v>
      </c>
      <c r="AN188" s="28" t="b">
        <f t="shared" si="98"/>
        <v>1</v>
      </c>
      <c r="AO188" s="3" t="str">
        <f>IF(ISERROR(MATCH(A188,'SegEnds_Xtal_Prot#'!B:B, 0)), "NoXtal", "Xtal")</f>
        <v>NoXtal</v>
      </c>
      <c r="AP188" s="3">
        <f t="shared" si="81"/>
        <v>1</v>
      </c>
      <c r="AQ188" s="3">
        <f t="shared" si="82"/>
        <v>1</v>
      </c>
      <c r="AR188" s="3" t="str">
        <f t="shared" si="83"/>
        <v>-</v>
      </c>
      <c r="AS188" s="3" t="str">
        <f t="shared" si="84"/>
        <v>-</v>
      </c>
      <c r="AT188" s="3">
        <f t="shared" si="85"/>
        <v>1</v>
      </c>
      <c r="AU188" s="3">
        <f t="shared" si="86"/>
        <v>1</v>
      </c>
      <c r="AV188" s="3" t="str">
        <f t="shared" si="87"/>
        <v>-</v>
      </c>
      <c r="AW188" s="3" t="str">
        <f t="shared" si="88"/>
        <v>-</v>
      </c>
      <c r="AX188" s="3">
        <f t="shared" si="89"/>
        <v>7</v>
      </c>
      <c r="AY188" s="3">
        <f t="shared" si="90"/>
        <v>6</v>
      </c>
      <c r="AZ188" s="3">
        <f t="shared" si="91"/>
        <v>1</v>
      </c>
      <c r="BA188" s="3">
        <f>IF(ISERROR(LEN(VLOOKUP(A188,Seqs!A:E,2,FALSE))-AL188),"-",LEN(VLOOKUP(A188,Seqs!A:E,2,FALSE))-AL188)</f>
        <v>3</v>
      </c>
      <c r="BB188" s="16">
        <f t="shared" si="92"/>
        <v>28</v>
      </c>
      <c r="BC188" s="9">
        <f t="shared" si="93"/>
        <v>20</v>
      </c>
      <c r="BD188" s="3">
        <f t="shared" si="94"/>
        <v>28</v>
      </c>
      <c r="BE188" s="3">
        <f t="shared" si="95"/>
        <v>47</v>
      </c>
      <c r="BF188" s="3">
        <f>AH188-AE188</f>
        <v>39</v>
      </c>
    </row>
    <row r="189" spans="1:58" s="3" customFormat="1" x14ac:dyDescent="0.2">
      <c r="A189" s="3" t="s">
        <v>310</v>
      </c>
      <c r="B189" s="3" t="str">
        <f>LOWER(VLOOKUP(A189,Xtal_Templ!A:B,2,FALSE))</f>
        <v>ntr1_rat</v>
      </c>
      <c r="C189" s="3">
        <f>VLOOKUP($A189,'SegEnds_NonXtal_BW#'!$A:$Z,3,FALSE)+D189-50</f>
        <v>35</v>
      </c>
      <c r="D189" s="3">
        <v>56</v>
      </c>
      <c r="E189" s="3">
        <f>IF(ISERROR(VLOOKUP($A189,'SegEnds_NonXtal_BW#'!$A:$Z,4,FALSE)+VLOOKUP($A189,A:AL,4,FALSE)-50),"-",(VLOOKUP($A189,'SegEnds_NonXtal_BW#'!$A:$Z,4,FALSE)+VLOOKUP($A189,A:AL,4,FALSE)-50))</f>
        <v>66</v>
      </c>
      <c r="F189" s="3">
        <f t="shared" si="112"/>
        <v>67</v>
      </c>
      <c r="G189" s="3">
        <v>69</v>
      </c>
      <c r="H189" s="3">
        <f t="shared" si="113"/>
        <v>70</v>
      </c>
      <c r="I189" s="3">
        <f t="shared" si="113"/>
        <v>71</v>
      </c>
      <c r="J189" s="3">
        <v>84</v>
      </c>
      <c r="K189" s="3">
        <f>VLOOKUP($A189,'SegEnds_NonXtal_BW#'!$A:$Z,8,FALSE)+VLOOKUP($A189,A:AL,10,FALSE)-50</f>
        <v>101</v>
      </c>
      <c r="L189" s="3">
        <f t="shared" ref="L189:L196" si="114">M189-1</f>
        <v>103</v>
      </c>
      <c r="M189" s="3">
        <v>104</v>
      </c>
      <c r="N189" s="3">
        <f t="shared" ref="N189:N196" si="115">M189+2</f>
        <v>106</v>
      </c>
      <c r="O189" s="3">
        <f t="shared" ref="O189:O214" si="116">N189+1</f>
        <v>107</v>
      </c>
      <c r="P189" s="3">
        <v>136</v>
      </c>
      <c r="Q189" s="3">
        <f>VLOOKUP($A189,'SegEnds_NonXtal_BW#'!$A:$Z,12,FALSE)+VLOOKUP($A189,A:AL,16,FALSE)-50</f>
        <v>142</v>
      </c>
      <c r="R189" s="3">
        <f>IF(ISERROR(VLOOKUP($A189,'SegEnds_NonXtal_BW#'!$A:$Z,13,FALSE)+VLOOKUP($A189,A:AL,19,FALSE)-50),"-",VLOOKUP($A189,'SegEnds_NonXtal_BW#'!$A:$Z,13,FALSE)+VLOOKUP($A189,A:AL,19,FALSE)-50)</f>
        <v>143</v>
      </c>
      <c r="S189" s="3">
        <v>143</v>
      </c>
      <c r="T189" s="100">
        <f>IF(ISERROR(VLOOKUP($A189,'SegEnds_NonXtal_BW#'!$A:$Z,14,FALSE)+VLOOKUP($A189,A:AL,19,FALSE)-50),"-",(VLOOKUP($A189,'SegEnds_NonXtal_BW#'!$A:$Z,14,FALSE)+VLOOKUP($A189,A:AL,19,FALSE)-50))</f>
        <v>150</v>
      </c>
      <c r="U189" s="9">
        <f>IF(ISERROR(VLOOKUP($A189,'SegEnds_NonXtal_BW#'!$A:$Z,15,FALSE)+VLOOKUP($A189,A:AL,22,FALSE)-50),"-",VLOOKUP($A189,'SegEnds_NonXtal_BW#'!$A:$Z,15,FALSE)+VLOOKUP($A189,A:AL,22,FALSE)-50)</f>
        <v>151</v>
      </c>
      <c r="V189" s="3">
        <v>163</v>
      </c>
      <c r="W189" s="3">
        <f>IF(ISERROR(VLOOKUP($A189,'SegEnds_NonXtal_BW#'!$A:$Z,16,FALSE)+VLOOKUP($A189,A:AL,22,FALSE)-50),"-",(VLOOKUP($A189,'SegEnds_NonXtal_BW#'!$A:$Z,16,FALSE)+VLOOKUP($A189,A:AL,22,FALSE)-50))</f>
        <v>177</v>
      </c>
      <c r="X189" s="3">
        <f>IF(ISERROR(VLOOKUP($A189,'SegEnds_NonXtal_BW#'!$A:$Z,17,FALSE)+VLOOKUP($A189,A:AL,25,FALSE)-50),"-",(VLOOKUP($A189,'SegEnds_NonXtal_BW#'!$A:$Z,17,FALSE)+VLOOKUP($A189,A:AL,25,FALSE)-50))</f>
        <v>235</v>
      </c>
      <c r="Y189" s="3">
        <v>235</v>
      </c>
      <c r="Z189" s="3">
        <f t="shared" ref="Z189:Z225" si="117">Y189+2</f>
        <v>237</v>
      </c>
      <c r="AA189" s="3">
        <f>IF(ISERROR(VLOOKUP($A189,'SegEnds_NonXtal_BW#'!$A:$Z,19,FALSE)+VLOOKUP($A189,A:AL,28,FALSE)-50),"-",(VLOOKUP($A189,'SegEnds_NonXtal_BW#'!$A:$Z,19,FALSE)+VLOOKUP($A189,A:AL,28,FALSE)-50))</f>
        <v>241</v>
      </c>
      <c r="AB189" s="3">
        <v>259</v>
      </c>
      <c r="AC189" s="3">
        <f>IF(ISERROR((VLOOKUP($A189,'SegEnds_NonXtal_BW#'!$A:$Z,20,FALSE)+VLOOKUP($A189,A:AL,28,FALSE)-50)),"-",(VLOOKUP($A189,'SegEnds_NonXtal_BW#'!$A:$Z,20,FALSE)+VLOOKUP($A189,A:AL,28,FALSE)-50))</f>
        <v>281</v>
      </c>
      <c r="AD189" s="3">
        <f>IF(ISERROR(VLOOKUP($A189,'SegEnds_NonXtal_BW#'!$A:$Z,21,FALSE)+VLOOKUP($A189,A:AL,31,FALSE)-50),"-",(VLOOKUP($A189,'SegEnds_NonXtal_BW#'!$A:$Z,21,FALSE)+VLOOKUP($A189,A:AL,31,FALSE)-50))</f>
        <v>287</v>
      </c>
      <c r="AE189" s="3">
        <v>313</v>
      </c>
      <c r="AF189" s="3">
        <f>IF(ISERROR((VLOOKUP($A189,'SegEnds_NonXtal_BW#'!$A:$Z,22,FALSE)+VLOOKUP($A189,A:AL,31,FALSE)-50)),"-",(VLOOKUP($A189,'SegEnds_NonXtal_BW#'!$A:$Z,22,FALSE)+VLOOKUP($A189,A:AL,31,FALSE)-50))</f>
        <v>324</v>
      </c>
      <c r="AG189" s="3">
        <f>IF(ISERROR(VLOOKUP($A189,'SegEnds_NonXtal_BW#'!$A:$Z,23,FALSE)+VLOOKUP($A189,A:AL,34,FALSE)-50),"-",(VLOOKUP($A189,'SegEnds_NonXtal_BW#'!$A:$Z,23,FALSE)+VLOOKUP($A189,A:AL,34,FALSE)-50))</f>
        <v>330</v>
      </c>
      <c r="AH189" s="3">
        <v>352</v>
      </c>
      <c r="AI189" s="3">
        <f>IF(ISERROR((VLOOKUP($A189,'SegEnds_NonXtal_BW#'!$A:$Z,24,FALSE)+VLOOKUP($A189,A:AL,34,FALSE)-50)),"-",(VLOOKUP($A189,'SegEnds_NonXtal_BW#'!$A:$Z,24,FALSE)+VLOOKUP($A189,A:AL,34,FALSE)-50))</f>
        <v>358</v>
      </c>
      <c r="AJ189" s="3">
        <f>IF(ISERROR(VLOOKUP($A189,'SegEnds_NonXtal_BW#'!$A:$Z,25,FALSE)+VLOOKUP($A189,A:AL,37,FALSE)-50),"-",(VLOOKUP($A189,'SegEnds_NonXtal_BW#'!$A:$Z,25,FALSE)+VLOOKUP($A189,A:AL,37,FALSE)-50))</f>
        <v>359</v>
      </c>
      <c r="AK189" s="3">
        <v>362</v>
      </c>
      <c r="AL189" s="3">
        <f>IF(ISERROR((VLOOKUP($A189,'SegEnds_NonXtal_BW#'!$A:$Z,26,FALSE)+VLOOKUP($A189,A:AL,37,FALSE)-50)),"-",(VLOOKUP($A189,'SegEnds_NonXtal_BW#'!$A:$Z,26,FALSE)+VLOOKUP($A189,A:AL,37,FALSE)-50))</f>
        <v>370</v>
      </c>
      <c r="AM189" s="28" t="str">
        <f>VLOOKUP(A189,Classification!A:B,2,FALSE)</f>
        <v>A</v>
      </c>
      <c r="AN189" s="28" t="b">
        <f t="shared" si="98"/>
        <v>1</v>
      </c>
      <c r="AO189" s="3" t="str">
        <f>IF(ISERROR(MATCH(A189,'SegEnds_Xtal_Prot#'!B:B, 0)), "NoXtal", "Xtal")</f>
        <v>NoXtal</v>
      </c>
      <c r="AP189" s="3">
        <f t="shared" si="81"/>
        <v>1</v>
      </c>
      <c r="AQ189" s="3">
        <f t="shared" si="82"/>
        <v>1</v>
      </c>
      <c r="AR189" s="3">
        <f t="shared" si="83"/>
        <v>2</v>
      </c>
      <c r="AS189" s="3">
        <f t="shared" si="84"/>
        <v>1</v>
      </c>
      <c r="AT189" s="3">
        <f t="shared" si="85"/>
        <v>1</v>
      </c>
      <c r="AU189" s="3">
        <f t="shared" si="86"/>
        <v>1</v>
      </c>
      <c r="AV189" s="3">
        <f t="shared" si="87"/>
        <v>58</v>
      </c>
      <c r="AW189" s="3">
        <f t="shared" si="88"/>
        <v>4</v>
      </c>
      <c r="AX189" s="3">
        <f t="shared" si="89"/>
        <v>6</v>
      </c>
      <c r="AY189" s="3">
        <f t="shared" si="90"/>
        <v>6</v>
      </c>
      <c r="AZ189" s="3">
        <f t="shared" si="91"/>
        <v>1</v>
      </c>
      <c r="BA189" s="3">
        <f>IF(ISERROR(LEN(VLOOKUP(A189,Seqs!A:E,2,FALSE))-AL189),"-",LEN(VLOOKUP(A189,Seqs!A:E,2,FALSE))-AL189)</f>
        <v>42</v>
      </c>
      <c r="BB189" s="16">
        <f t="shared" si="92"/>
        <v>28</v>
      </c>
      <c r="BC189" s="9">
        <f t="shared" si="93"/>
        <v>20</v>
      </c>
      <c r="BD189" s="3">
        <f t="shared" si="94"/>
        <v>28</v>
      </c>
      <c r="BE189" s="3">
        <f t="shared" si="95"/>
        <v>54</v>
      </c>
    </row>
    <row r="190" spans="1:58" s="3" customFormat="1" x14ac:dyDescent="0.2">
      <c r="A190" s="3" t="s">
        <v>311</v>
      </c>
      <c r="B190" s="3" t="str">
        <f>LOWER(VLOOKUP(A190,Xtal_Templ!A:B,2,FALSE))</f>
        <v>npy1r_human</v>
      </c>
      <c r="C190" s="3">
        <f>VLOOKUP($A190,'SegEnds_NonXtal_BW#'!$A:$Z,3,FALSE)+D190-50</f>
        <v>23</v>
      </c>
      <c r="D190" s="3">
        <v>45</v>
      </c>
      <c r="E190" s="3">
        <f>IF(ISERROR(VLOOKUP($A190,'SegEnds_NonXtal_BW#'!$A:$Z,4,FALSE)+VLOOKUP($A190,A:AL,4,FALSE)-50),"-",(VLOOKUP($A190,'SegEnds_NonXtal_BW#'!$A:$Z,4,FALSE)+VLOOKUP($A190,A:AL,4,FALSE)-50))</f>
        <v>55</v>
      </c>
      <c r="F190" s="3">
        <f t="shared" si="112"/>
        <v>56</v>
      </c>
      <c r="G190" s="3">
        <v>58</v>
      </c>
      <c r="H190" s="3">
        <f t="shared" si="113"/>
        <v>59</v>
      </c>
      <c r="I190" s="3">
        <f t="shared" si="113"/>
        <v>60</v>
      </c>
      <c r="J190" s="3">
        <v>73</v>
      </c>
      <c r="K190" s="3">
        <f>VLOOKUP($A190,'SegEnds_NonXtal_BW#'!$A:$Z,8,FALSE)+VLOOKUP($A190,A:AL,10,FALSE)-50</f>
        <v>91</v>
      </c>
      <c r="L190" s="3">
        <f t="shared" si="114"/>
        <v>92</v>
      </c>
      <c r="M190" s="3">
        <v>93</v>
      </c>
      <c r="N190" s="3">
        <f t="shared" si="115"/>
        <v>95</v>
      </c>
      <c r="O190" s="3">
        <f t="shared" si="116"/>
        <v>96</v>
      </c>
      <c r="P190" s="3">
        <v>125</v>
      </c>
      <c r="Q190" s="3">
        <f>VLOOKUP($A190,'SegEnds_NonXtal_BW#'!$A:$Z,12,FALSE)+VLOOKUP($A190,A:AL,16,FALSE)-50</f>
        <v>131</v>
      </c>
      <c r="R190" s="3">
        <f>IF(ISERROR(VLOOKUP($A190,'SegEnds_NonXtal_BW#'!$A:$Z,13,FALSE)+VLOOKUP($A190,A:AL,19,FALSE)-50),"-",VLOOKUP($A190,'SegEnds_NonXtal_BW#'!$A:$Z,13,FALSE)+VLOOKUP($A190,A:AL,19,FALSE)-50)</f>
        <v>132</v>
      </c>
      <c r="S190" s="3">
        <v>132</v>
      </c>
      <c r="T190" s="100">
        <f>IF(ISERROR(VLOOKUP($A190,'SegEnds_NonXtal_BW#'!$A:$Z,14,FALSE)+VLOOKUP($A190,A:AL,19,FALSE)-50),"-",(VLOOKUP($A190,'SegEnds_NonXtal_BW#'!$A:$Z,14,FALSE)+VLOOKUP($A190,A:AL,19,FALSE)-50))</f>
        <v>139</v>
      </c>
      <c r="U190" s="9">
        <f>IF(ISERROR(VLOOKUP($A190,'SegEnds_NonXtal_BW#'!$A:$Z,15,FALSE)+VLOOKUP($A190,A:AL,22,FALSE)-50),"-",VLOOKUP($A190,'SegEnds_NonXtal_BW#'!$A:$Z,15,FALSE)+VLOOKUP($A190,A:AL,22,FALSE)-50)</f>
        <v>140</v>
      </c>
      <c r="V190" s="3">
        <v>152</v>
      </c>
      <c r="W190" s="3">
        <f>IF(ISERROR(VLOOKUP($A190,'SegEnds_NonXtal_BW#'!$A:$Z,16,FALSE)+VLOOKUP($A190,A:AL,22,FALSE)-50),"-",(VLOOKUP($A190,'SegEnds_NonXtal_BW#'!$A:$Z,16,FALSE)+VLOOKUP($A190,A:AL,22,FALSE)-50))</f>
        <v>166</v>
      </c>
      <c r="X190" s="3">
        <f>IF(ISERROR(VLOOKUP($A190,'SegEnds_NonXtal_BW#'!$A:$Z,17,FALSE)+VLOOKUP($A190,A:AL,25,FALSE)-50),"-",(VLOOKUP($A190,'SegEnds_NonXtal_BW#'!$A:$Z,17,FALSE)+VLOOKUP($A190,A:AL,25,FALSE)-50))</f>
        <v>177</v>
      </c>
      <c r="Y190" s="3">
        <v>177</v>
      </c>
      <c r="Z190" s="3">
        <f t="shared" si="117"/>
        <v>179</v>
      </c>
      <c r="AA190" s="3">
        <f>IF(ISERROR(VLOOKUP($A190,'SegEnds_NonXtal_BW#'!$A:$Z,19,FALSE)+VLOOKUP($A190,A:AL,28,FALSE)-50),"-",(VLOOKUP($A190,'SegEnds_NonXtal_BW#'!$A:$Z,19,FALSE)+VLOOKUP($A190,A:AL,28,FALSE)-50))</f>
        <v>184</v>
      </c>
      <c r="AB190" s="3">
        <v>199</v>
      </c>
      <c r="AC190" s="3">
        <f>IF(ISERROR((VLOOKUP($A190,'SegEnds_NonXtal_BW#'!$A:$Z,20,FALSE)+VLOOKUP($A190,A:AL,28,FALSE)-50)),"-",(VLOOKUP($A190,'SegEnds_NonXtal_BW#'!$A:$Z,20,FALSE)+VLOOKUP($A190,A:AL,28,FALSE)-50))</f>
        <v>221</v>
      </c>
      <c r="AD190" s="3">
        <f>IF(ISERROR(VLOOKUP($A190,'SegEnds_NonXtal_BW#'!$A:$Z,21,FALSE)+VLOOKUP($A190,A:AL,31,FALSE)-50),"-",(VLOOKUP($A190,'SegEnds_NonXtal_BW#'!$A:$Z,21,FALSE)+VLOOKUP($A190,A:AL,31,FALSE)-50))</f>
        <v>227</v>
      </c>
      <c r="AE190" s="3">
        <v>253</v>
      </c>
      <c r="AF190" s="3">
        <f>IF(ISERROR((VLOOKUP($A190,'SegEnds_NonXtal_BW#'!$A:$Z,22,FALSE)+VLOOKUP($A190,A:AL,31,FALSE)-50)),"-",(VLOOKUP($A190,'SegEnds_NonXtal_BW#'!$A:$Z,22,FALSE)+VLOOKUP($A190,A:AL,31,FALSE)-50))</f>
        <v>264</v>
      </c>
      <c r="AG190" s="3">
        <f>IF(ISERROR(VLOOKUP($A190,'SegEnds_NonXtal_BW#'!$A:$Z,23,FALSE)+VLOOKUP($A190,A:AL,34,FALSE)-50),"-",(VLOOKUP($A190,'SegEnds_NonXtal_BW#'!$A:$Z,23,FALSE)+VLOOKUP($A190,A:AL,34,FALSE)-50))</f>
        <v>270</v>
      </c>
      <c r="AH190" s="3">
        <v>292</v>
      </c>
      <c r="AI190" s="3">
        <f>IF(ISERROR((VLOOKUP($A190,'SegEnds_NonXtal_BW#'!$A:$Z,24,FALSE)+VLOOKUP($A190,A:AL,34,FALSE)-50)),"-",(VLOOKUP($A190,'SegEnds_NonXtal_BW#'!$A:$Z,24,FALSE)+VLOOKUP($A190,A:AL,34,FALSE)-50))</f>
        <v>298</v>
      </c>
      <c r="AJ190" s="3">
        <f>IF(ISERROR(VLOOKUP($A190,'SegEnds_NonXtal_BW#'!$A:$Z,25,FALSE)+VLOOKUP($A190,A:AL,37,FALSE)-50),"-",(VLOOKUP($A190,'SegEnds_NonXtal_BW#'!$A:$Z,25,FALSE)+VLOOKUP($A190,A:AL,37,FALSE)-50))</f>
        <v>299</v>
      </c>
      <c r="AK190" s="3">
        <v>302</v>
      </c>
      <c r="AL190" s="3">
        <f>IF(ISERROR((VLOOKUP($A190,'SegEnds_NonXtal_BW#'!$A:$Z,26,FALSE)+VLOOKUP($A190,A:AL,37,FALSE)-50)),"-",(VLOOKUP($A190,'SegEnds_NonXtal_BW#'!$A:$Z,26,FALSE)+VLOOKUP($A190,A:AL,37,FALSE)-50))</f>
        <v>310</v>
      </c>
      <c r="AM190" s="28" t="str">
        <f>VLOOKUP(A190,Classification!A:B,2,FALSE)</f>
        <v>A</v>
      </c>
      <c r="AN190" s="28" t="b">
        <f t="shared" si="98"/>
        <v>1</v>
      </c>
      <c r="AO190" s="3" t="str">
        <f>IF(ISERROR(MATCH(A190,'SegEnds_Xtal_Prot#'!B:B, 0)), "NoXtal", "Xtal")</f>
        <v>NoXtal</v>
      </c>
      <c r="AP190" s="3">
        <f t="shared" si="81"/>
        <v>1</v>
      </c>
      <c r="AQ190" s="3">
        <f t="shared" si="82"/>
        <v>1</v>
      </c>
      <c r="AR190" s="3">
        <f t="shared" si="83"/>
        <v>1</v>
      </c>
      <c r="AS190" s="3">
        <f t="shared" si="84"/>
        <v>1</v>
      </c>
      <c r="AT190" s="3">
        <f t="shared" si="85"/>
        <v>1</v>
      </c>
      <c r="AU190" s="3">
        <f t="shared" si="86"/>
        <v>1</v>
      </c>
      <c r="AV190" s="3">
        <f t="shared" si="87"/>
        <v>11</v>
      </c>
      <c r="AW190" s="3">
        <f t="shared" si="88"/>
        <v>5</v>
      </c>
      <c r="AX190" s="3">
        <f t="shared" si="89"/>
        <v>6</v>
      </c>
      <c r="AY190" s="3">
        <f t="shared" si="90"/>
        <v>6</v>
      </c>
      <c r="AZ190" s="3">
        <f t="shared" si="91"/>
        <v>1</v>
      </c>
      <c r="BA190" s="3">
        <f>IF(ISERROR(LEN(VLOOKUP(A190,Seqs!A:E,2,FALSE))-AL190),"-",LEN(VLOOKUP(A190,Seqs!A:E,2,FALSE))-AL190)</f>
        <v>40</v>
      </c>
      <c r="BB190" s="16">
        <f t="shared" si="92"/>
        <v>28</v>
      </c>
      <c r="BC190" s="9">
        <f t="shared" si="93"/>
        <v>20</v>
      </c>
      <c r="BD190" s="3">
        <f t="shared" si="94"/>
        <v>28</v>
      </c>
      <c r="BE190" s="3">
        <f t="shared" si="95"/>
        <v>54</v>
      </c>
    </row>
    <row r="191" spans="1:58" s="3" customFormat="1" x14ac:dyDescent="0.2">
      <c r="A191" s="3" t="s">
        <v>312</v>
      </c>
      <c r="B191" s="3" t="str">
        <f>LOWER(VLOOKUP(A191,Xtal_Templ!A:B,2,FALSE))</f>
        <v>ox2r_human</v>
      </c>
      <c r="C191" s="3">
        <f>VLOOKUP($A191,'SegEnds_NonXtal_BW#'!$A:$Z,3,FALSE)+D191-50</f>
        <v>39</v>
      </c>
      <c r="D191" s="3">
        <v>58</v>
      </c>
      <c r="E191" s="3">
        <f>IF(ISERROR(VLOOKUP($A191,'SegEnds_NonXtal_BW#'!$A:$Z,4,FALSE)+VLOOKUP($A191,A:AL,4,FALSE)-50),"-",(VLOOKUP($A191,'SegEnds_NonXtal_BW#'!$A:$Z,4,FALSE)+VLOOKUP($A191,A:AL,4,FALSE)-50))</f>
        <v>68</v>
      </c>
      <c r="F191" s="3">
        <f t="shared" si="112"/>
        <v>69</v>
      </c>
      <c r="G191" s="3">
        <v>71</v>
      </c>
      <c r="H191" s="3">
        <f t="shared" si="113"/>
        <v>72</v>
      </c>
      <c r="I191" s="3">
        <f t="shared" si="113"/>
        <v>73</v>
      </c>
      <c r="J191" s="3">
        <v>86</v>
      </c>
      <c r="K191" s="3">
        <f>VLOOKUP($A191,'SegEnds_NonXtal_BW#'!$A:$Z,8,FALSE)+VLOOKUP($A191,A:AL,10,FALSE)-50</f>
        <v>104</v>
      </c>
      <c r="L191" s="3">
        <f t="shared" si="114"/>
        <v>105</v>
      </c>
      <c r="M191" s="3">
        <v>106</v>
      </c>
      <c r="N191" s="3">
        <f t="shared" si="115"/>
        <v>108</v>
      </c>
      <c r="O191" s="3">
        <f t="shared" si="116"/>
        <v>109</v>
      </c>
      <c r="P191" s="3">
        <v>138</v>
      </c>
      <c r="Q191" s="3">
        <f>VLOOKUP($A191,'SegEnds_NonXtal_BW#'!$A:$Z,12,FALSE)+VLOOKUP($A191,A:AL,16,FALSE)-50</f>
        <v>144</v>
      </c>
      <c r="R191" s="3">
        <f>IF(ISERROR(VLOOKUP($A191,'SegEnds_NonXtal_BW#'!$A:$Z,13,FALSE)+VLOOKUP($A191,A:AL,19,FALSE)-50),"-",VLOOKUP($A191,'SegEnds_NonXtal_BW#'!$A:$Z,13,FALSE)+VLOOKUP($A191,A:AL,19,FALSE)-50)</f>
        <v>145</v>
      </c>
      <c r="S191" s="3">
        <v>145</v>
      </c>
      <c r="T191" s="100">
        <f>IF(ISERROR(VLOOKUP($A191,'SegEnds_NonXtal_BW#'!$A:$Z,14,FALSE)+VLOOKUP($A191,A:AL,19,FALSE)-50),"-",(VLOOKUP($A191,'SegEnds_NonXtal_BW#'!$A:$Z,14,FALSE)+VLOOKUP($A191,A:AL,19,FALSE)-50))</f>
        <v>152</v>
      </c>
      <c r="U191" s="9">
        <f>IF(ISERROR(VLOOKUP($A191,'SegEnds_NonXtal_BW#'!$A:$Z,15,FALSE)+VLOOKUP($A191,A:AL,22,FALSE)-50),"-",VLOOKUP($A191,'SegEnds_NonXtal_BW#'!$A:$Z,15,FALSE)+VLOOKUP($A191,A:AL,22,FALSE)-50)</f>
        <v>153</v>
      </c>
      <c r="V191" s="3">
        <v>165</v>
      </c>
      <c r="W191" s="3">
        <f>IF(ISERROR(VLOOKUP($A191,'SegEnds_NonXtal_BW#'!$A:$Z,16,FALSE)+VLOOKUP($A191,A:AL,22,FALSE)-50),"-",(VLOOKUP($A191,'SegEnds_NonXtal_BW#'!$A:$Z,16,FALSE)+VLOOKUP($A191,A:AL,22,FALSE)-50))</f>
        <v>179</v>
      </c>
      <c r="X191" s="3">
        <f>IF(ISERROR(VLOOKUP($A191,'SegEnds_NonXtal_BW#'!$A:$Z,17,FALSE)+VLOOKUP($A191,A:AL,25,FALSE)-50),"-",(VLOOKUP($A191,'SegEnds_NonXtal_BW#'!$A:$Z,17,FALSE)+VLOOKUP($A191,A:AL,25,FALSE)-50))</f>
        <v>190</v>
      </c>
      <c r="Y191" s="3">
        <v>190</v>
      </c>
      <c r="Z191" s="3">
        <f t="shared" si="117"/>
        <v>192</v>
      </c>
      <c r="AA191" s="3">
        <f>IF(ISERROR(VLOOKUP($A191,'SegEnds_NonXtal_BW#'!$A:$Z,19,FALSE)+VLOOKUP($A191,A:AL,28,FALSE)-50),"-",(VLOOKUP($A191,'SegEnds_NonXtal_BW#'!$A:$Z,19,FALSE)+VLOOKUP($A191,A:AL,28,FALSE)-50))</f>
        <v>197</v>
      </c>
      <c r="AB191" s="3">
        <v>212</v>
      </c>
      <c r="AC191" s="3">
        <f>IF(ISERROR((VLOOKUP($A191,'SegEnds_NonXtal_BW#'!$A:$Z,20,FALSE)+VLOOKUP($A191,A:AL,28,FALSE)-50)),"-",(VLOOKUP($A191,'SegEnds_NonXtal_BW#'!$A:$Z,20,FALSE)+VLOOKUP($A191,A:AL,28,FALSE)-50))</f>
        <v>234</v>
      </c>
      <c r="AD191" s="3">
        <f>IF(ISERROR(VLOOKUP($A191,'SegEnds_NonXtal_BW#'!$A:$Z,21,FALSE)+VLOOKUP($A191,A:AL,31,FALSE)-50),"-",(VLOOKUP($A191,'SegEnds_NonXtal_BW#'!$A:$Z,21,FALSE)+VLOOKUP($A191,A:AL,31,FALSE)-50))</f>
        <v>240</v>
      </c>
      <c r="AE191" s="3">
        <v>266</v>
      </c>
      <c r="AF191" s="3">
        <f>IF(ISERROR((VLOOKUP($A191,'SegEnds_NonXtal_BW#'!$A:$Z,22,FALSE)+VLOOKUP($A191,A:AL,31,FALSE)-50)),"-",(VLOOKUP($A191,'SegEnds_NonXtal_BW#'!$A:$Z,22,FALSE)+VLOOKUP($A191,A:AL,31,FALSE)-50))</f>
        <v>277</v>
      </c>
      <c r="AG191" s="3">
        <f>IF(ISERROR(VLOOKUP($A191,'SegEnds_NonXtal_BW#'!$A:$Z,23,FALSE)+VLOOKUP($A191,A:AL,34,FALSE)-50),"-",(VLOOKUP($A191,'SegEnds_NonXtal_BW#'!$A:$Z,23,FALSE)+VLOOKUP($A191,A:AL,34,FALSE)-50))</f>
        <v>283</v>
      </c>
      <c r="AH191" s="3">
        <v>305</v>
      </c>
      <c r="AI191" s="3">
        <f>IF(ISERROR((VLOOKUP($A191,'SegEnds_NonXtal_BW#'!$A:$Z,24,FALSE)+VLOOKUP($A191,A:AL,34,FALSE)-50)),"-",(VLOOKUP($A191,'SegEnds_NonXtal_BW#'!$A:$Z,24,FALSE)+VLOOKUP($A191,A:AL,34,FALSE)-50))</f>
        <v>311</v>
      </c>
      <c r="AJ191" s="3">
        <f>IF(ISERROR(VLOOKUP($A191,'SegEnds_NonXtal_BW#'!$A:$Z,25,FALSE)+VLOOKUP($A191,A:AL,37,FALSE)-50),"-",(VLOOKUP($A191,'SegEnds_NonXtal_BW#'!$A:$Z,25,FALSE)+VLOOKUP($A191,A:AL,37,FALSE)-50))</f>
        <v>312</v>
      </c>
      <c r="AK191" s="3">
        <v>315</v>
      </c>
      <c r="AL191" s="3">
        <f>IF(ISERROR((VLOOKUP($A191,'SegEnds_NonXtal_BW#'!$A:$Z,26,FALSE)+VLOOKUP($A191,A:AL,37,FALSE)-50)),"-",(VLOOKUP($A191,'SegEnds_NonXtal_BW#'!$A:$Z,26,FALSE)+VLOOKUP($A191,A:AL,37,FALSE)-50))</f>
        <v>323</v>
      </c>
      <c r="AM191" s="28" t="str">
        <f>VLOOKUP(A191,Classification!A:B,2,FALSE)</f>
        <v>A</v>
      </c>
      <c r="AN191" s="28" t="b">
        <f t="shared" si="98"/>
        <v>1</v>
      </c>
      <c r="AO191" s="3" t="str">
        <f>IF(ISERROR(MATCH(A191,'SegEnds_Xtal_Prot#'!B:B, 0)), "NoXtal", "Xtal")</f>
        <v>NoXtal</v>
      </c>
      <c r="AP191" s="3">
        <f t="shared" si="81"/>
        <v>1</v>
      </c>
      <c r="AQ191" s="3">
        <f t="shared" si="82"/>
        <v>1</v>
      </c>
      <c r="AR191" s="3">
        <f t="shared" si="83"/>
        <v>1</v>
      </c>
      <c r="AS191" s="3">
        <f t="shared" si="84"/>
        <v>1</v>
      </c>
      <c r="AT191" s="3">
        <f t="shared" si="85"/>
        <v>1</v>
      </c>
      <c r="AU191" s="3">
        <f t="shared" si="86"/>
        <v>1</v>
      </c>
      <c r="AV191" s="3">
        <f t="shared" si="87"/>
        <v>11</v>
      </c>
      <c r="AW191" s="3">
        <f t="shared" si="88"/>
        <v>5</v>
      </c>
      <c r="AX191" s="3">
        <f t="shared" si="89"/>
        <v>6</v>
      </c>
      <c r="AY191" s="3">
        <f t="shared" si="90"/>
        <v>6</v>
      </c>
      <c r="AZ191" s="3">
        <f t="shared" si="91"/>
        <v>1</v>
      </c>
      <c r="BA191" s="3">
        <f>IF(ISERROR(LEN(VLOOKUP(A191,Seqs!A:E,2,FALSE))-AL191),"-",LEN(VLOOKUP(A191,Seqs!A:E,2,FALSE))-AL191)</f>
        <v>39</v>
      </c>
      <c r="BB191" s="16">
        <f t="shared" si="92"/>
        <v>28</v>
      </c>
      <c r="BC191" s="9">
        <f t="shared" si="93"/>
        <v>20</v>
      </c>
      <c r="BD191" s="3">
        <f t="shared" si="94"/>
        <v>28</v>
      </c>
      <c r="BE191" s="3">
        <f t="shared" si="95"/>
        <v>54</v>
      </c>
    </row>
    <row r="192" spans="1:58" s="3" customFormat="1" x14ac:dyDescent="0.2">
      <c r="A192" s="3" t="s">
        <v>313</v>
      </c>
      <c r="B192" s="3" t="str">
        <f>LOWER(VLOOKUP(A192,Xtal_Templ!A:B,2,FALSE))</f>
        <v>ox2r_human</v>
      </c>
      <c r="C192" s="3">
        <f>VLOOKUP($A192,'SegEnds_NonXtal_BW#'!$A:$Z,3,FALSE)+D192-50</f>
        <v>27</v>
      </c>
      <c r="D192" s="3">
        <v>46</v>
      </c>
      <c r="E192" s="3">
        <f>IF(ISERROR(VLOOKUP($A192,'SegEnds_NonXtal_BW#'!$A:$Z,4,FALSE)+VLOOKUP($A192,A:AL,4,FALSE)-50),"-",(VLOOKUP($A192,'SegEnds_NonXtal_BW#'!$A:$Z,4,FALSE)+VLOOKUP($A192,A:AL,4,FALSE)-50))</f>
        <v>56</v>
      </c>
      <c r="F192" s="3">
        <f t="shared" si="112"/>
        <v>57</v>
      </c>
      <c r="G192" s="3">
        <v>59</v>
      </c>
      <c r="H192" s="3">
        <f t="shared" si="113"/>
        <v>60</v>
      </c>
      <c r="I192" s="3">
        <f t="shared" si="113"/>
        <v>61</v>
      </c>
      <c r="J192" s="3">
        <v>74</v>
      </c>
      <c r="K192" s="3">
        <f>VLOOKUP($A192,'SegEnds_NonXtal_BW#'!$A:$Z,8,FALSE)+VLOOKUP($A192,A:AL,10,FALSE)-50</f>
        <v>92</v>
      </c>
      <c r="L192" s="3">
        <f t="shared" si="114"/>
        <v>93</v>
      </c>
      <c r="M192" s="3">
        <v>94</v>
      </c>
      <c r="N192" s="3">
        <f t="shared" si="115"/>
        <v>96</v>
      </c>
      <c r="O192" s="3">
        <f t="shared" si="116"/>
        <v>97</v>
      </c>
      <c r="P192" s="3">
        <v>126</v>
      </c>
      <c r="Q192" s="3">
        <f>VLOOKUP($A192,'SegEnds_NonXtal_BW#'!$A:$Z,12,FALSE)+VLOOKUP($A192,A:AL,16,FALSE)-50</f>
        <v>132</v>
      </c>
      <c r="R192" s="3">
        <f>IF(ISERROR(VLOOKUP($A192,'SegEnds_NonXtal_BW#'!$A:$Z,13,FALSE)+VLOOKUP($A192,A:AL,19,FALSE)-50),"-",VLOOKUP($A192,'SegEnds_NonXtal_BW#'!$A:$Z,13,FALSE)+VLOOKUP($A192,A:AL,19,FALSE)-50)</f>
        <v>133</v>
      </c>
      <c r="S192" s="3">
        <v>133</v>
      </c>
      <c r="T192" s="100">
        <f>IF(ISERROR(VLOOKUP($A192,'SegEnds_NonXtal_BW#'!$A:$Z,14,FALSE)+VLOOKUP($A192,A:AL,19,FALSE)-50),"-",(VLOOKUP($A192,'SegEnds_NonXtal_BW#'!$A:$Z,14,FALSE)+VLOOKUP($A192,A:AL,19,FALSE)-50))</f>
        <v>140</v>
      </c>
      <c r="U192" s="9">
        <f>IF(ISERROR(VLOOKUP($A192,'SegEnds_NonXtal_BW#'!$A:$Z,15,FALSE)+VLOOKUP($A192,A:AL,22,FALSE)-50),"-",VLOOKUP($A192,'SegEnds_NonXtal_BW#'!$A:$Z,15,FALSE)+VLOOKUP($A192,A:AL,22,FALSE)-50)</f>
        <v>141</v>
      </c>
      <c r="V192" s="3">
        <v>153</v>
      </c>
      <c r="W192" s="3">
        <f>IF(ISERROR(VLOOKUP($A192,'SegEnds_NonXtal_BW#'!$A:$Z,16,FALSE)+VLOOKUP($A192,A:AL,22,FALSE)-50),"-",(VLOOKUP($A192,'SegEnds_NonXtal_BW#'!$A:$Z,16,FALSE)+VLOOKUP($A192,A:AL,22,FALSE)-50))</f>
        <v>167</v>
      </c>
      <c r="X192" s="3">
        <f>IF(ISERROR(VLOOKUP($A192,'SegEnds_NonXtal_BW#'!$A:$Z,17,FALSE)+VLOOKUP($A192,A:AL,25,FALSE)-50),"-",(VLOOKUP($A192,'SegEnds_NonXtal_BW#'!$A:$Z,17,FALSE)+VLOOKUP($A192,A:AL,25,FALSE)-50))</f>
        <v>178</v>
      </c>
      <c r="Y192" s="3">
        <v>178</v>
      </c>
      <c r="Z192" s="3">
        <f t="shared" si="117"/>
        <v>180</v>
      </c>
      <c r="AA192" s="3">
        <f>IF(ISERROR(VLOOKUP($A192,'SegEnds_NonXtal_BW#'!$A:$Z,19,FALSE)+VLOOKUP($A192,A:AL,28,FALSE)-50),"-",(VLOOKUP($A192,'SegEnds_NonXtal_BW#'!$A:$Z,19,FALSE)+VLOOKUP($A192,A:AL,28,FALSE)-50))</f>
        <v>185</v>
      </c>
      <c r="AB192" s="3">
        <v>200</v>
      </c>
      <c r="AC192" s="3">
        <f>IF(ISERROR((VLOOKUP($A192,'SegEnds_NonXtal_BW#'!$A:$Z,20,FALSE)+VLOOKUP($A192,A:AL,28,FALSE)-50)),"-",(VLOOKUP($A192,'SegEnds_NonXtal_BW#'!$A:$Z,20,FALSE)+VLOOKUP($A192,A:AL,28,FALSE)-50))</f>
        <v>222</v>
      </c>
      <c r="AD192" s="3">
        <f>IF(ISERROR(VLOOKUP($A192,'SegEnds_NonXtal_BW#'!$A:$Z,21,FALSE)+VLOOKUP($A192,A:AL,31,FALSE)-50),"-",(VLOOKUP($A192,'SegEnds_NonXtal_BW#'!$A:$Z,21,FALSE)+VLOOKUP($A192,A:AL,31,FALSE)-50))</f>
        <v>226</v>
      </c>
      <c r="AE192" s="3">
        <v>252</v>
      </c>
      <c r="AF192" s="3">
        <f>IF(ISERROR((VLOOKUP($A192,'SegEnds_NonXtal_BW#'!$A:$Z,22,FALSE)+VLOOKUP($A192,A:AL,31,FALSE)-50)),"-",(VLOOKUP($A192,'SegEnds_NonXtal_BW#'!$A:$Z,22,FALSE)+VLOOKUP($A192,A:AL,31,FALSE)-50))</f>
        <v>263</v>
      </c>
      <c r="AG192" s="3">
        <f>IF(ISERROR(VLOOKUP($A192,'SegEnds_NonXtal_BW#'!$A:$Z,23,FALSE)+VLOOKUP($A192,A:AL,34,FALSE)-50),"-",(VLOOKUP($A192,'SegEnds_NonXtal_BW#'!$A:$Z,23,FALSE)+VLOOKUP($A192,A:AL,34,FALSE)-50))</f>
        <v>269</v>
      </c>
      <c r="AH192" s="3">
        <v>291</v>
      </c>
      <c r="AI192" s="3">
        <f>IF(ISERROR((VLOOKUP($A192,'SegEnds_NonXtal_BW#'!$A:$Z,24,FALSE)+VLOOKUP($A192,A:AL,34,FALSE)-50)),"-",(VLOOKUP($A192,'SegEnds_NonXtal_BW#'!$A:$Z,24,FALSE)+VLOOKUP($A192,A:AL,34,FALSE)-50))</f>
        <v>297</v>
      </c>
      <c r="AJ192" s="3">
        <f>IF(ISERROR(VLOOKUP($A192,'SegEnds_NonXtal_BW#'!$A:$Z,25,FALSE)+VLOOKUP($A192,A:AL,37,FALSE)-50),"-",(VLOOKUP($A192,'SegEnds_NonXtal_BW#'!$A:$Z,25,FALSE)+VLOOKUP($A192,A:AL,37,FALSE)-50))</f>
        <v>298</v>
      </c>
      <c r="AK192" s="3">
        <v>301</v>
      </c>
      <c r="AL192" s="3">
        <f>IF(ISERROR((VLOOKUP($A192,'SegEnds_NonXtal_BW#'!$A:$Z,26,FALSE)+VLOOKUP($A192,A:AL,37,FALSE)-50)),"-",(VLOOKUP($A192,'SegEnds_NonXtal_BW#'!$A:$Z,26,FALSE)+VLOOKUP($A192,A:AL,37,FALSE)-50))</f>
        <v>309</v>
      </c>
      <c r="AM192" s="28" t="str">
        <f>VLOOKUP(A192,Classification!A:B,2,FALSE)</f>
        <v>A</v>
      </c>
      <c r="AN192" s="28" t="b">
        <f t="shared" si="98"/>
        <v>1</v>
      </c>
      <c r="AO192" s="3" t="str">
        <f>IF(ISERROR(MATCH(A192,'SegEnds_Xtal_Prot#'!B:B, 0)), "NoXtal", "Xtal")</f>
        <v>NoXtal</v>
      </c>
      <c r="AP192" s="3">
        <f t="shared" si="81"/>
        <v>1</v>
      </c>
      <c r="AQ192" s="3">
        <f t="shared" si="82"/>
        <v>1</v>
      </c>
      <c r="AR192" s="3">
        <f t="shared" si="83"/>
        <v>1</v>
      </c>
      <c r="AS192" s="3">
        <f t="shared" si="84"/>
        <v>1</v>
      </c>
      <c r="AT192" s="3">
        <f t="shared" si="85"/>
        <v>1</v>
      </c>
      <c r="AU192" s="3">
        <f t="shared" si="86"/>
        <v>1</v>
      </c>
      <c r="AV192" s="3">
        <f t="shared" si="87"/>
        <v>11</v>
      </c>
      <c r="AW192" s="3">
        <f t="shared" si="88"/>
        <v>5</v>
      </c>
      <c r="AX192" s="3">
        <f t="shared" si="89"/>
        <v>4</v>
      </c>
      <c r="AY192" s="3">
        <f t="shared" si="90"/>
        <v>6</v>
      </c>
      <c r="AZ192" s="3">
        <f t="shared" si="91"/>
        <v>1</v>
      </c>
      <c r="BA192" s="3">
        <f>IF(ISERROR(LEN(VLOOKUP(A192,Seqs!A:E,2,FALSE))-AL192),"-",LEN(VLOOKUP(A192,Seqs!A:E,2,FALSE))-AL192)</f>
        <v>308</v>
      </c>
      <c r="BB192" s="16">
        <f t="shared" si="92"/>
        <v>28</v>
      </c>
      <c r="BC192" s="9">
        <f t="shared" si="93"/>
        <v>20</v>
      </c>
      <c r="BD192" s="3">
        <f t="shared" si="94"/>
        <v>28</v>
      </c>
      <c r="BE192" s="3">
        <f t="shared" si="95"/>
        <v>52</v>
      </c>
    </row>
    <row r="193" spans="1:57" s="3" customFormat="1" x14ac:dyDescent="0.2">
      <c r="A193" s="3" t="s">
        <v>317</v>
      </c>
      <c r="B193" s="3" t="str">
        <f>LOWER(VLOOKUP(A193,Xtal_Templ!A:B,2,FALSE))</f>
        <v>ednrb_human</v>
      </c>
      <c r="C193" s="3">
        <f>VLOOKUP($A193,'SegEnds_NonXtal_BW#'!$A:$Z,3,FALSE)+D193-50</f>
        <v>33</v>
      </c>
      <c r="D193" s="3">
        <v>61</v>
      </c>
      <c r="E193" s="3">
        <f>IF(ISERROR(VLOOKUP($A193,'SegEnds_NonXtal_BW#'!$A:$Z,4,FALSE)+VLOOKUP($A193,A:AL,4,FALSE)-50),"-",(VLOOKUP($A193,'SegEnds_NonXtal_BW#'!$A:$Z,4,FALSE)+VLOOKUP($A193,A:AL,4,FALSE)-50))</f>
        <v>71</v>
      </c>
      <c r="F193" s="3">
        <f t="shared" si="112"/>
        <v>72</v>
      </c>
      <c r="G193" s="3">
        <v>74</v>
      </c>
      <c r="H193" s="3">
        <f t="shared" si="113"/>
        <v>75</v>
      </c>
      <c r="I193" s="3">
        <f t="shared" si="113"/>
        <v>76</v>
      </c>
      <c r="J193" s="3">
        <v>89</v>
      </c>
      <c r="K193" s="3">
        <f>VLOOKUP($A193,'SegEnds_NonXtal_BW#'!$A:$Z,8,FALSE)+VLOOKUP($A193,A:AL,10,FALSE)-50</f>
        <v>106</v>
      </c>
      <c r="L193" s="3">
        <f t="shared" si="114"/>
        <v>108</v>
      </c>
      <c r="M193" s="3">
        <v>109</v>
      </c>
      <c r="N193" s="3">
        <f t="shared" si="115"/>
        <v>111</v>
      </c>
      <c r="O193" s="3">
        <f t="shared" si="116"/>
        <v>112</v>
      </c>
      <c r="P193" s="3">
        <v>141</v>
      </c>
      <c r="Q193" s="3">
        <f>VLOOKUP($A193,'SegEnds_NonXtal_BW#'!$A:$Z,12,FALSE)+VLOOKUP($A193,A:AL,16,FALSE)-50</f>
        <v>147</v>
      </c>
      <c r="R193" s="3">
        <f>IF(ISERROR(VLOOKUP($A193,'SegEnds_NonXtal_BW#'!$A:$Z,13,FALSE)+VLOOKUP($A193,A:AL,19,FALSE)-50),"-",VLOOKUP($A193,'SegEnds_NonXtal_BW#'!$A:$Z,13,FALSE)+VLOOKUP($A193,A:AL,19,FALSE)-50)</f>
        <v>148</v>
      </c>
      <c r="S193" s="3">
        <v>148</v>
      </c>
      <c r="T193" s="100">
        <f>IF(ISERROR(VLOOKUP($A193,'SegEnds_NonXtal_BW#'!$A:$Z,14,FALSE)+VLOOKUP($A193,A:AL,19,FALSE)-50),"-",(VLOOKUP($A193,'SegEnds_NonXtal_BW#'!$A:$Z,14,FALSE)+VLOOKUP($A193,A:AL,19,FALSE)-50))</f>
        <v>155</v>
      </c>
      <c r="U193" s="9">
        <f>IF(ISERROR(VLOOKUP($A193,'SegEnds_NonXtal_BW#'!$A:$Z,15,FALSE)+VLOOKUP($A193,A:AL,22,FALSE)-50),"-",VLOOKUP($A193,'SegEnds_NonXtal_BW#'!$A:$Z,15,FALSE)+VLOOKUP($A193,A:AL,22,FALSE)-50)</f>
        <v>156</v>
      </c>
      <c r="V193" s="3">
        <v>168</v>
      </c>
      <c r="W193" s="3">
        <f>IF(ISERROR(VLOOKUP($A193,'SegEnds_NonXtal_BW#'!$A:$Z,16,FALSE)+VLOOKUP($A193,A:AL,22,FALSE)-50),"-",(VLOOKUP($A193,'SegEnds_NonXtal_BW#'!$A:$Z,16,FALSE)+VLOOKUP($A193,A:AL,22,FALSE)-50))</f>
        <v>182</v>
      </c>
      <c r="X193" s="3">
        <f>IF(ISERROR(VLOOKUP($A193,'SegEnds_NonXtal_BW#'!$A:$Z,17,FALSE)+VLOOKUP($A193,A:AL,25,FALSE)-50),"-",(VLOOKUP($A193,'SegEnds_NonXtal_BW#'!$A:$Z,17,FALSE)+VLOOKUP($A193,A:AL,25,FALSE)-50))</f>
        <v>198</v>
      </c>
      <c r="Y193" s="3">
        <v>198</v>
      </c>
      <c r="Z193" s="3">
        <f t="shared" si="117"/>
        <v>200</v>
      </c>
      <c r="AA193" s="3">
        <f>IF(ISERROR(VLOOKUP($A193,'SegEnds_NonXtal_BW#'!$A:$Z,19,FALSE)+VLOOKUP($A193,A:AL,28,FALSE)-50),"-",(VLOOKUP($A193,'SegEnds_NonXtal_BW#'!$A:$Z,19,FALSE)+VLOOKUP($A193,A:AL,28,FALSE)-50))</f>
        <v>202</v>
      </c>
      <c r="AB193" s="3">
        <v>224</v>
      </c>
      <c r="AC193" s="3">
        <f>IF(ISERROR((VLOOKUP($A193,'SegEnds_NonXtal_BW#'!$A:$Z,20,FALSE)+VLOOKUP($A193,A:AL,28,FALSE)-50)),"-",(VLOOKUP($A193,'SegEnds_NonXtal_BW#'!$A:$Z,20,FALSE)+VLOOKUP($A193,A:AL,28,FALSE)-50))</f>
        <v>247</v>
      </c>
      <c r="AD193" s="3">
        <f>IF(ISERROR(VLOOKUP($A193,'SegEnds_NonXtal_BW#'!$A:$Z,21,FALSE)+VLOOKUP($A193,A:AL,31,FALSE)-50),"-",(VLOOKUP($A193,'SegEnds_NonXtal_BW#'!$A:$Z,21,FALSE)+VLOOKUP($A193,A:AL,31,FALSE)-50))</f>
        <v>253</v>
      </c>
      <c r="AE193" s="3">
        <v>281</v>
      </c>
      <c r="AF193" s="3">
        <f>IF(ISERROR((VLOOKUP($A193,'SegEnds_NonXtal_BW#'!$A:$Z,22,FALSE)+VLOOKUP($A193,A:AL,31,FALSE)-50)),"-",(VLOOKUP($A193,'SegEnds_NonXtal_BW#'!$A:$Z,22,FALSE)+VLOOKUP($A193,A:AL,31,FALSE)-50))</f>
        <v>292</v>
      </c>
      <c r="AG193" s="3">
        <f>IF(ISERROR(VLOOKUP($A193,'SegEnds_NonXtal_BW#'!$A:$Z,23,FALSE)+VLOOKUP($A193,A:AL,34,FALSE)-50),"-",(VLOOKUP($A193,'SegEnds_NonXtal_BW#'!$A:$Z,23,FALSE)+VLOOKUP($A193,A:AL,34,FALSE)-50))</f>
        <v>299</v>
      </c>
      <c r="AH193" s="3">
        <v>321</v>
      </c>
      <c r="AI193" s="3">
        <f>IF(ISERROR((VLOOKUP($A193,'SegEnds_NonXtal_BW#'!$A:$Z,24,FALSE)+VLOOKUP($A193,A:AL,34,FALSE)-50)),"-",(VLOOKUP($A193,'SegEnds_NonXtal_BW#'!$A:$Z,24,FALSE)+VLOOKUP($A193,A:AL,34,FALSE)-50))</f>
        <v>327</v>
      </c>
      <c r="AJ193" s="3">
        <f>IF(ISERROR(VLOOKUP($A193,'SegEnds_NonXtal_BW#'!$A:$Z,25,FALSE)+VLOOKUP($A193,A:AL,37,FALSE)-50),"-",(VLOOKUP($A193,'SegEnds_NonXtal_BW#'!$A:$Z,25,FALSE)+VLOOKUP($A193,A:AL,37,FALSE)-50))</f>
        <v>328</v>
      </c>
      <c r="AK193" s="3">
        <v>331</v>
      </c>
      <c r="AL193" s="3">
        <f>IF(ISERROR((VLOOKUP($A193,'SegEnds_NonXtal_BW#'!$A:$Z,26,FALSE)+VLOOKUP($A193,A:AL,37,FALSE)-50)),"-",(VLOOKUP($A193,'SegEnds_NonXtal_BW#'!$A:$Z,26,FALSE)+VLOOKUP($A193,A:AL,37,FALSE)-50))</f>
        <v>341</v>
      </c>
      <c r="AM193" s="28" t="str">
        <f>VLOOKUP(A193,Classification!A:B,2,FALSE)</f>
        <v>A</v>
      </c>
      <c r="AN193" s="28" t="b">
        <f t="shared" si="98"/>
        <v>1</v>
      </c>
      <c r="AO193" s="3" t="str">
        <f>IF(ISERROR(MATCH(A193,'SegEnds_Xtal_Prot#'!B:B, 0)), "NoXtal", "Xtal")</f>
        <v>NoXtal</v>
      </c>
      <c r="AP193" s="3">
        <f t="shared" si="81"/>
        <v>1</v>
      </c>
      <c r="AQ193" s="3">
        <f t="shared" si="82"/>
        <v>1</v>
      </c>
      <c r="AR193" s="3">
        <f t="shared" si="83"/>
        <v>2</v>
      </c>
      <c r="AS193" s="3">
        <f t="shared" si="84"/>
        <v>1</v>
      </c>
      <c r="AT193" s="3">
        <f t="shared" si="85"/>
        <v>1</v>
      </c>
      <c r="AU193" s="3">
        <f t="shared" si="86"/>
        <v>1</v>
      </c>
      <c r="AV193" s="3">
        <f t="shared" si="87"/>
        <v>16</v>
      </c>
      <c r="AW193" s="3">
        <f t="shared" si="88"/>
        <v>2</v>
      </c>
      <c r="AX193" s="3">
        <f t="shared" si="89"/>
        <v>6</v>
      </c>
      <c r="AY193" s="3">
        <f t="shared" si="90"/>
        <v>7</v>
      </c>
      <c r="AZ193" s="3">
        <f t="shared" si="91"/>
        <v>1</v>
      </c>
      <c r="BA193" s="3">
        <f>IF(ISERROR(LEN(VLOOKUP(A193,Seqs!A:E,2,FALSE))-AL193),"-",LEN(VLOOKUP(A193,Seqs!A:E,2,FALSE))-AL193)</f>
        <v>49</v>
      </c>
      <c r="BB193" s="16">
        <f t="shared" si="92"/>
        <v>28</v>
      </c>
      <c r="BC193" s="9">
        <f t="shared" si="93"/>
        <v>20</v>
      </c>
      <c r="BD193" s="3">
        <f t="shared" si="94"/>
        <v>28</v>
      </c>
      <c r="BE193" s="3">
        <f t="shared" si="95"/>
        <v>57</v>
      </c>
    </row>
    <row r="194" spans="1:57" s="3" customFormat="1" x14ac:dyDescent="0.2">
      <c r="A194" s="3" t="s">
        <v>318</v>
      </c>
      <c r="B194" s="3" t="str">
        <f>LOWER(VLOOKUP(A194,Xtal_Templ!A:B,2,FALSE))</f>
        <v>ntr1_rat</v>
      </c>
      <c r="C194" s="3">
        <f>VLOOKUP($A194,'SegEnds_NonXtal_BW#'!$A:$Z,3,FALSE)+D194-50</f>
        <v>57</v>
      </c>
      <c r="D194" s="3">
        <v>78</v>
      </c>
      <c r="E194" s="3">
        <f>IF(ISERROR(VLOOKUP($A194,'SegEnds_NonXtal_BW#'!$A:$Z,4,FALSE)+VLOOKUP($A194,A:AL,4,FALSE)-50),"-",(VLOOKUP($A194,'SegEnds_NonXtal_BW#'!$A:$Z,4,FALSE)+VLOOKUP($A194,A:AL,4,FALSE)-50))</f>
        <v>88</v>
      </c>
      <c r="F194" s="3">
        <f t="shared" si="112"/>
        <v>89</v>
      </c>
      <c r="G194" s="3">
        <v>91</v>
      </c>
      <c r="H194" s="3">
        <f t="shared" si="113"/>
        <v>92</v>
      </c>
      <c r="I194" s="3">
        <f t="shared" si="113"/>
        <v>93</v>
      </c>
      <c r="J194" s="3">
        <v>106</v>
      </c>
      <c r="K194" s="3">
        <f>VLOOKUP($A194,'SegEnds_NonXtal_BW#'!$A:$Z,8,FALSE)+VLOOKUP($A194,A:AL,10,FALSE)-50</f>
        <v>122</v>
      </c>
      <c r="L194" s="3">
        <f t="shared" si="114"/>
        <v>124</v>
      </c>
      <c r="M194" s="3">
        <v>125</v>
      </c>
      <c r="N194" s="3">
        <f t="shared" si="115"/>
        <v>127</v>
      </c>
      <c r="O194" s="3">
        <f t="shared" si="116"/>
        <v>128</v>
      </c>
      <c r="P194" s="3">
        <v>159</v>
      </c>
      <c r="Q194" s="3">
        <f>VLOOKUP($A194,'SegEnds_NonXtal_BW#'!$A:$Z,12,FALSE)+VLOOKUP($A194,A:AL,16,FALSE)-50</f>
        <v>165</v>
      </c>
      <c r="R194" s="3">
        <f>IF(ISERROR(VLOOKUP($A194,'SegEnds_NonXtal_BW#'!$A:$Z,13,FALSE)+VLOOKUP($A194,A:AL,19,FALSE)-50),"-",VLOOKUP($A194,'SegEnds_NonXtal_BW#'!$A:$Z,13,FALSE)+VLOOKUP($A194,A:AL,19,FALSE)-50)</f>
        <v>166</v>
      </c>
      <c r="S194" s="3">
        <v>166</v>
      </c>
      <c r="T194" s="100">
        <f>IF(ISERROR(VLOOKUP($A194,'SegEnds_NonXtal_BW#'!$A:$Z,14,FALSE)+VLOOKUP($A194,A:AL,19,FALSE)-50),"-",(VLOOKUP($A194,'SegEnds_NonXtal_BW#'!$A:$Z,14,FALSE)+VLOOKUP($A194,A:AL,19,FALSE)-50))</f>
        <v>173</v>
      </c>
      <c r="U194" s="9">
        <f>IF(ISERROR(VLOOKUP($A194,'SegEnds_NonXtal_BW#'!$A:$Z,15,FALSE)+VLOOKUP($A194,A:AL,22,FALSE)-50),"-",VLOOKUP($A194,'SegEnds_NonXtal_BW#'!$A:$Z,15,FALSE)+VLOOKUP($A194,A:AL,22,FALSE)-50)</f>
        <v>174</v>
      </c>
      <c r="V194" s="3">
        <v>186</v>
      </c>
      <c r="W194" s="3">
        <f>IF(ISERROR(VLOOKUP($A194,'SegEnds_NonXtal_BW#'!$A:$Z,16,FALSE)+VLOOKUP($A194,A:AL,22,FALSE)-50),"-",(VLOOKUP($A194,'SegEnds_NonXtal_BW#'!$A:$Z,16,FALSE)+VLOOKUP($A194,A:AL,22,FALSE)-50))</f>
        <v>200</v>
      </c>
      <c r="X194" s="3">
        <f>IF(ISERROR(VLOOKUP($A194,'SegEnds_NonXtal_BW#'!$A:$Z,17,FALSE)+VLOOKUP($A194,A:AL,25,FALSE)-50),"-",(VLOOKUP($A194,'SegEnds_NonXtal_BW#'!$A:$Z,17,FALSE)+VLOOKUP($A194,A:AL,25,FALSE)-50))</f>
        <v>219</v>
      </c>
      <c r="Y194" s="3">
        <v>219</v>
      </c>
      <c r="Z194" s="3">
        <f t="shared" si="117"/>
        <v>221</v>
      </c>
      <c r="AA194" s="3">
        <f>IF(ISERROR(VLOOKUP($A194,'SegEnds_NonXtal_BW#'!$A:$Z,19,FALSE)+VLOOKUP($A194,A:AL,28,FALSE)-50),"-",(VLOOKUP($A194,'SegEnds_NonXtal_BW#'!$A:$Z,19,FALSE)+VLOOKUP($A194,A:AL,28,FALSE)-50))</f>
        <v>225</v>
      </c>
      <c r="AB194" s="3">
        <v>243</v>
      </c>
      <c r="AC194" s="3">
        <f>IF(ISERROR((VLOOKUP($A194,'SegEnds_NonXtal_BW#'!$A:$Z,20,FALSE)+VLOOKUP($A194,A:AL,28,FALSE)-50)),"-",(VLOOKUP($A194,'SegEnds_NonXtal_BW#'!$A:$Z,20,FALSE)+VLOOKUP($A194,A:AL,28,FALSE)-50))</f>
        <v>269</v>
      </c>
      <c r="AD194" s="3">
        <f>IF(ISERROR(VLOOKUP($A194,'SegEnds_NonXtal_BW#'!$A:$Z,21,FALSE)+VLOOKUP($A194,A:AL,31,FALSE)-50),"-",(VLOOKUP($A194,'SegEnds_NonXtal_BW#'!$A:$Z,21,FALSE)+VLOOKUP($A194,A:AL,31,FALSE)-50))</f>
        <v>286</v>
      </c>
      <c r="AE194" s="3">
        <v>312</v>
      </c>
      <c r="AF194" s="3">
        <f>IF(ISERROR((VLOOKUP($A194,'SegEnds_NonXtal_BW#'!$A:$Z,22,FALSE)+VLOOKUP($A194,A:AL,31,FALSE)-50)),"-",(VLOOKUP($A194,'SegEnds_NonXtal_BW#'!$A:$Z,22,FALSE)+VLOOKUP($A194,A:AL,31,FALSE)-50))</f>
        <v>323</v>
      </c>
      <c r="AG194" s="3">
        <f>IF(ISERROR(VLOOKUP($A194,'SegEnds_NonXtal_BW#'!$A:$Z,23,FALSE)+VLOOKUP($A194,A:AL,34,FALSE)-50),"-",(VLOOKUP($A194,'SegEnds_NonXtal_BW#'!$A:$Z,23,FALSE)+VLOOKUP($A194,A:AL,34,FALSE)-50))</f>
        <v>331</v>
      </c>
      <c r="AH194" s="3">
        <v>353</v>
      </c>
      <c r="AI194" s="3">
        <f>IF(ISERROR((VLOOKUP($A194,'SegEnds_NonXtal_BW#'!$A:$Z,24,FALSE)+VLOOKUP($A194,A:AL,34,FALSE)-50)),"-",(VLOOKUP($A194,'SegEnds_NonXtal_BW#'!$A:$Z,24,FALSE)+VLOOKUP($A194,A:AL,34,FALSE)-50))</f>
        <v>359</v>
      </c>
      <c r="AJ194" s="3">
        <f>IF(ISERROR(VLOOKUP($A194,'SegEnds_NonXtal_BW#'!$A:$Z,25,FALSE)+VLOOKUP($A194,A:AL,37,FALSE)-50),"-",(VLOOKUP($A194,'SegEnds_NonXtal_BW#'!$A:$Z,25,FALSE)+VLOOKUP($A194,A:AL,37,FALSE)-50))</f>
        <v>360</v>
      </c>
      <c r="AK194" s="3">
        <v>363</v>
      </c>
      <c r="AL194" s="3">
        <f>IF(ISERROR((VLOOKUP($A194,'SegEnds_NonXtal_BW#'!$A:$Z,26,FALSE)+VLOOKUP($A194,A:AL,37,FALSE)-50)),"-",(VLOOKUP($A194,'SegEnds_NonXtal_BW#'!$A:$Z,26,FALSE)+VLOOKUP($A194,A:AL,37,FALSE)-50))</f>
        <v>371</v>
      </c>
      <c r="AM194" s="28" t="str">
        <f>VLOOKUP(A194,Classification!A:B,2,FALSE)</f>
        <v>A</v>
      </c>
      <c r="AN194" s="28" t="b">
        <f t="shared" si="98"/>
        <v>1</v>
      </c>
      <c r="AO194" s="3" t="str">
        <f>IF(ISERROR(MATCH(A194,'SegEnds_Xtal_Prot#'!B:B, 0)), "NoXtal", "Xtal")</f>
        <v>NoXtal</v>
      </c>
      <c r="AP194" s="3">
        <f t="shared" si="81"/>
        <v>1</v>
      </c>
      <c r="AQ194" s="3">
        <f t="shared" si="82"/>
        <v>1</v>
      </c>
      <c r="AR194" s="3">
        <f t="shared" si="83"/>
        <v>2</v>
      </c>
      <c r="AS194" s="3">
        <f t="shared" si="84"/>
        <v>1</v>
      </c>
      <c r="AT194" s="3">
        <f t="shared" si="85"/>
        <v>1</v>
      </c>
      <c r="AU194" s="3">
        <f t="shared" si="86"/>
        <v>1</v>
      </c>
      <c r="AV194" s="3">
        <f t="shared" si="87"/>
        <v>19</v>
      </c>
      <c r="AW194" s="3">
        <f t="shared" si="88"/>
        <v>4</v>
      </c>
      <c r="AX194" s="3">
        <f t="shared" si="89"/>
        <v>17</v>
      </c>
      <c r="AY194" s="3">
        <f t="shared" si="90"/>
        <v>8</v>
      </c>
      <c r="AZ194" s="3">
        <f t="shared" si="91"/>
        <v>1</v>
      </c>
      <c r="BA194" s="3">
        <f>IF(ISERROR(LEN(VLOOKUP(A194,Seqs!A:E,2,FALSE))-AL194),"-",LEN(VLOOKUP(A194,Seqs!A:E,2,FALSE))-AL194)</f>
        <v>55</v>
      </c>
      <c r="BB194" s="16">
        <f t="shared" si="92"/>
        <v>28</v>
      </c>
      <c r="BC194" s="9">
        <f t="shared" si="93"/>
        <v>20</v>
      </c>
      <c r="BD194" s="3">
        <f t="shared" si="94"/>
        <v>28</v>
      </c>
      <c r="BE194" s="3">
        <f t="shared" si="95"/>
        <v>69</v>
      </c>
    </row>
    <row r="195" spans="1:57" s="3" customFormat="1" x14ac:dyDescent="0.2">
      <c r="A195" s="3" t="s">
        <v>319</v>
      </c>
      <c r="B195" s="3" t="str">
        <f>LOWER(VLOOKUP(A195,Xtal_Templ!A:B,2,FALSE))</f>
        <v>ntr1_rat</v>
      </c>
      <c r="C195" s="3">
        <f>VLOOKUP($A195,'SegEnds_NonXtal_BW#'!$A:$Z,3,FALSE)+D195-50</f>
        <v>42</v>
      </c>
      <c r="D195" s="3">
        <v>63</v>
      </c>
      <c r="E195" s="3">
        <f>IF(ISERROR(VLOOKUP($A195,'SegEnds_NonXtal_BW#'!$A:$Z,4,FALSE)+VLOOKUP($A195,A:AL,4,FALSE)-50),"-",(VLOOKUP($A195,'SegEnds_NonXtal_BW#'!$A:$Z,4,FALSE)+VLOOKUP($A195,A:AL,4,FALSE)-50))</f>
        <v>73</v>
      </c>
      <c r="F195" s="3">
        <f t="shared" si="112"/>
        <v>74</v>
      </c>
      <c r="G195" s="3">
        <v>76</v>
      </c>
      <c r="H195" s="3">
        <f t="shared" si="113"/>
        <v>77</v>
      </c>
      <c r="I195" s="3">
        <f t="shared" si="113"/>
        <v>78</v>
      </c>
      <c r="J195" s="3">
        <v>91</v>
      </c>
      <c r="K195" s="3">
        <f>VLOOKUP($A195,'SegEnds_NonXtal_BW#'!$A:$Z,8,FALSE)+VLOOKUP($A195,A:AL,10,FALSE)-50</f>
        <v>107</v>
      </c>
      <c r="L195" s="3">
        <f t="shared" si="114"/>
        <v>109</v>
      </c>
      <c r="M195" s="3">
        <v>110</v>
      </c>
      <c r="N195" s="3">
        <f t="shared" si="115"/>
        <v>112</v>
      </c>
      <c r="O195" s="3">
        <f t="shared" si="116"/>
        <v>113</v>
      </c>
      <c r="P195" s="3">
        <v>144</v>
      </c>
      <c r="Q195" s="3">
        <f>VLOOKUP($A195,'SegEnds_NonXtal_BW#'!$A:$Z,12,FALSE)+VLOOKUP($A195,A:AL,16,FALSE)-50</f>
        <v>150</v>
      </c>
      <c r="R195" s="3">
        <f>IF(ISERROR(VLOOKUP($A195,'SegEnds_NonXtal_BW#'!$A:$Z,13,FALSE)+VLOOKUP($A195,A:AL,19,FALSE)-50),"-",VLOOKUP($A195,'SegEnds_NonXtal_BW#'!$A:$Z,13,FALSE)+VLOOKUP($A195,A:AL,19,FALSE)-50)</f>
        <v>151</v>
      </c>
      <c r="S195" s="3">
        <v>151</v>
      </c>
      <c r="T195" s="100">
        <f>IF(ISERROR(VLOOKUP($A195,'SegEnds_NonXtal_BW#'!$A:$Z,14,FALSE)+VLOOKUP($A195,A:AL,19,FALSE)-50),"-",(VLOOKUP($A195,'SegEnds_NonXtal_BW#'!$A:$Z,14,FALSE)+VLOOKUP($A195,A:AL,19,FALSE)-50))</f>
        <v>158</v>
      </c>
      <c r="U195" s="9">
        <f>IF(ISERROR(VLOOKUP($A195,'SegEnds_NonXtal_BW#'!$A:$Z,15,FALSE)+VLOOKUP($A195,A:AL,22,FALSE)-50),"-",VLOOKUP($A195,'SegEnds_NonXtal_BW#'!$A:$Z,15,FALSE)+VLOOKUP($A195,A:AL,22,FALSE)-50)</f>
        <v>159</v>
      </c>
      <c r="V195" s="3">
        <v>171</v>
      </c>
      <c r="W195" s="3">
        <f>IF(ISERROR(VLOOKUP($A195,'SegEnds_NonXtal_BW#'!$A:$Z,16,FALSE)+VLOOKUP($A195,A:AL,22,FALSE)-50),"-",(VLOOKUP($A195,'SegEnds_NonXtal_BW#'!$A:$Z,16,FALSE)+VLOOKUP($A195,A:AL,22,FALSE)-50))</f>
        <v>185</v>
      </c>
      <c r="X195" s="3">
        <f>IF(ISERROR(VLOOKUP($A195,'SegEnds_NonXtal_BW#'!$A:$Z,17,FALSE)+VLOOKUP($A195,A:AL,25,FALSE)-50),"-",(VLOOKUP($A195,'SegEnds_NonXtal_BW#'!$A:$Z,17,FALSE)+VLOOKUP($A195,A:AL,25,FALSE)-50))</f>
        <v>204</v>
      </c>
      <c r="Y195" s="3">
        <v>204</v>
      </c>
      <c r="Z195" s="3">
        <f t="shared" si="117"/>
        <v>206</v>
      </c>
      <c r="AA195" s="3">
        <f>IF(ISERROR(VLOOKUP($A195,'SegEnds_NonXtal_BW#'!$A:$Z,19,FALSE)+VLOOKUP($A195,A:AL,28,FALSE)-50),"-",(VLOOKUP($A195,'SegEnds_NonXtal_BW#'!$A:$Z,19,FALSE)+VLOOKUP($A195,A:AL,28,FALSE)-50))</f>
        <v>210</v>
      </c>
      <c r="AB195" s="3">
        <v>228</v>
      </c>
      <c r="AC195" s="3">
        <f>IF(ISERROR((VLOOKUP($A195,'SegEnds_NonXtal_BW#'!$A:$Z,20,FALSE)+VLOOKUP($A195,A:AL,28,FALSE)-50)),"-",(VLOOKUP($A195,'SegEnds_NonXtal_BW#'!$A:$Z,20,FALSE)+VLOOKUP($A195,A:AL,28,FALSE)-50))</f>
        <v>251</v>
      </c>
      <c r="AD195" s="3">
        <f>IF(ISERROR(VLOOKUP($A195,'SegEnds_NonXtal_BW#'!$A:$Z,21,FALSE)+VLOOKUP($A195,A:AL,31,FALSE)-50),"-",(VLOOKUP($A195,'SegEnds_NonXtal_BW#'!$A:$Z,21,FALSE)+VLOOKUP($A195,A:AL,31,FALSE)-50))</f>
        <v>255</v>
      </c>
      <c r="AE195" s="3">
        <v>283</v>
      </c>
      <c r="AF195" s="3">
        <f>IF(ISERROR((VLOOKUP($A195,'SegEnds_NonXtal_BW#'!$A:$Z,22,FALSE)+VLOOKUP($A195,A:AL,31,FALSE)-50)),"-",(VLOOKUP($A195,'SegEnds_NonXtal_BW#'!$A:$Z,22,FALSE)+VLOOKUP($A195,A:AL,31,FALSE)-50))</f>
        <v>294</v>
      </c>
      <c r="AG195" s="3">
        <f>IF(ISERROR(VLOOKUP($A195,'SegEnds_NonXtal_BW#'!$A:$Z,23,FALSE)+VLOOKUP($A195,A:AL,34,FALSE)-50),"-",(VLOOKUP($A195,'SegEnds_NonXtal_BW#'!$A:$Z,23,FALSE)+VLOOKUP($A195,A:AL,34,FALSE)-50))</f>
        <v>302</v>
      </c>
      <c r="AH195" s="3">
        <v>324</v>
      </c>
      <c r="AI195" s="3">
        <f>IF(ISERROR((VLOOKUP($A195,'SegEnds_NonXtal_BW#'!$A:$Z,24,FALSE)+VLOOKUP($A195,A:AL,34,FALSE)-50)),"-",(VLOOKUP($A195,'SegEnds_NonXtal_BW#'!$A:$Z,24,FALSE)+VLOOKUP($A195,A:AL,34,FALSE)-50))</f>
        <v>330</v>
      </c>
      <c r="AJ195" s="3">
        <f>IF(ISERROR(VLOOKUP($A195,'SegEnds_NonXtal_BW#'!$A:$Z,25,FALSE)+VLOOKUP($A195,A:AL,37,FALSE)-50),"-",(VLOOKUP($A195,'SegEnds_NonXtal_BW#'!$A:$Z,25,FALSE)+VLOOKUP($A195,A:AL,37,FALSE)-50))</f>
        <v>331</v>
      </c>
      <c r="AK195" s="3">
        <v>334</v>
      </c>
      <c r="AL195" s="3">
        <f>IF(ISERROR((VLOOKUP($A195,'SegEnds_NonXtal_BW#'!$A:$Z,26,FALSE)+VLOOKUP($A195,A:AL,37,FALSE)-50)),"-",(VLOOKUP($A195,'SegEnds_NonXtal_BW#'!$A:$Z,26,FALSE)+VLOOKUP($A195,A:AL,37,FALSE)-50))</f>
        <v>342</v>
      </c>
      <c r="AM195" s="28" t="str">
        <f>VLOOKUP(A195,Classification!A:B,2,FALSE)</f>
        <v>A</v>
      </c>
      <c r="AN195" s="28" t="b">
        <f t="shared" si="98"/>
        <v>1</v>
      </c>
      <c r="AO195" s="3" t="str">
        <f>IF(ISERROR(MATCH(A195,'SegEnds_Xtal_Prot#'!B:B, 0)), "NoXtal", "Xtal")</f>
        <v>NoXtal</v>
      </c>
      <c r="AP195" s="3">
        <f t="shared" si="81"/>
        <v>1</v>
      </c>
      <c r="AQ195" s="3">
        <f t="shared" si="82"/>
        <v>1</v>
      </c>
      <c r="AR195" s="3">
        <f t="shared" si="83"/>
        <v>2</v>
      </c>
      <c r="AS195" s="3">
        <f t="shared" si="84"/>
        <v>1</v>
      </c>
      <c r="AT195" s="3">
        <f t="shared" si="85"/>
        <v>1</v>
      </c>
      <c r="AU195" s="3">
        <f t="shared" si="86"/>
        <v>1</v>
      </c>
      <c r="AV195" s="3">
        <f t="shared" si="87"/>
        <v>19</v>
      </c>
      <c r="AW195" s="3">
        <f t="shared" si="88"/>
        <v>4</v>
      </c>
      <c r="AX195" s="3">
        <f t="shared" si="89"/>
        <v>4</v>
      </c>
      <c r="AY195" s="3">
        <f t="shared" si="90"/>
        <v>8</v>
      </c>
      <c r="AZ195" s="3">
        <f t="shared" si="91"/>
        <v>1</v>
      </c>
      <c r="BA195" s="3">
        <f>IF(ISERROR(LEN(VLOOKUP(A195,Seqs!A:E,2,FALSE))-AL195),"-",LEN(VLOOKUP(A195,Seqs!A:E,2,FALSE))-AL195)</f>
        <v>73</v>
      </c>
      <c r="BB195" s="16">
        <f t="shared" si="92"/>
        <v>28</v>
      </c>
      <c r="BC195" s="9">
        <f t="shared" si="93"/>
        <v>20</v>
      </c>
      <c r="BD195" s="3">
        <f t="shared" si="94"/>
        <v>28</v>
      </c>
      <c r="BE195" s="3">
        <f t="shared" si="95"/>
        <v>55</v>
      </c>
    </row>
    <row r="196" spans="1:57" s="3" customFormat="1" x14ac:dyDescent="0.2">
      <c r="A196" s="3" t="s">
        <v>127</v>
      </c>
      <c r="B196" s="3" t="str">
        <f>LOWER(VLOOKUP(A196,Xtal_Templ!A:B,2,FALSE))</f>
        <v>ntr1_rat</v>
      </c>
      <c r="C196" s="3">
        <f>VLOOKUP($A196,'SegEnds_NonXtal_BW#'!$A:$Z,3,FALSE)+D196-50</f>
        <v>60</v>
      </c>
      <c r="D196" s="3">
        <v>81</v>
      </c>
      <c r="E196" s="3">
        <f>IF(ISERROR(VLOOKUP($A196,'SegEnds_NonXtal_BW#'!$A:$Z,4,FALSE)+VLOOKUP($A196,A:AL,4,FALSE)-50),"-",(VLOOKUP($A196,'SegEnds_NonXtal_BW#'!$A:$Z,4,FALSE)+VLOOKUP($A196,A:AL,4,FALSE)-50))</f>
        <v>91</v>
      </c>
      <c r="F196" s="3">
        <f t="shared" si="112"/>
        <v>92</v>
      </c>
      <c r="G196" s="3">
        <v>94</v>
      </c>
      <c r="H196" s="3">
        <f t="shared" si="113"/>
        <v>95</v>
      </c>
      <c r="I196" s="3">
        <f t="shared" si="113"/>
        <v>96</v>
      </c>
      <c r="J196" s="3">
        <v>112</v>
      </c>
      <c r="K196" s="3">
        <f>VLOOKUP($A196,'SegEnds_NonXtal_BW#'!$A:$Z,8,FALSE)+VLOOKUP($A196,A:AL,10,FALSE)-50</f>
        <v>130</v>
      </c>
      <c r="L196" s="3">
        <f t="shared" si="114"/>
        <v>133</v>
      </c>
      <c r="M196" s="3">
        <v>134</v>
      </c>
      <c r="N196" s="3">
        <f t="shared" si="115"/>
        <v>136</v>
      </c>
      <c r="O196" s="3">
        <f t="shared" si="116"/>
        <v>137</v>
      </c>
      <c r="P196" s="3">
        <v>166</v>
      </c>
      <c r="Q196" s="3">
        <f>VLOOKUP($A196,'SegEnds_NonXtal_BW#'!$A:$Z,12,FALSE)+VLOOKUP($A196,A:AL,16,FALSE)-50</f>
        <v>172</v>
      </c>
      <c r="R196" s="3">
        <f>IF(ISERROR(VLOOKUP($A196,'SegEnds_NonXtal_BW#'!$A:$Z,13,FALSE)+VLOOKUP($A196,A:AL,19,FALSE)-50),"-",VLOOKUP($A196,'SegEnds_NonXtal_BW#'!$A:$Z,13,FALSE)+VLOOKUP($A196,A:AL,19,FALSE)-50)</f>
        <v>173</v>
      </c>
      <c r="S196" s="3">
        <v>173</v>
      </c>
      <c r="T196" s="100">
        <f>IF(ISERROR(VLOOKUP($A196,'SegEnds_NonXtal_BW#'!$A:$Z,14,FALSE)+VLOOKUP($A196,A:AL,19,FALSE)-50),"-",(VLOOKUP($A196,'SegEnds_NonXtal_BW#'!$A:$Z,14,FALSE)+VLOOKUP($A196,A:AL,19,FALSE)-50))</f>
        <v>180</v>
      </c>
      <c r="U196" s="9">
        <f>IF(ISERROR(VLOOKUP($A196,'SegEnds_NonXtal_BW#'!$A:$Z,15,FALSE)+VLOOKUP($A196,A:AL,22,FALSE)-50),"-",VLOOKUP($A196,'SegEnds_NonXtal_BW#'!$A:$Z,15,FALSE)+VLOOKUP($A196,A:AL,22,FALSE)-50)</f>
        <v>181</v>
      </c>
      <c r="V196" s="3">
        <v>193</v>
      </c>
      <c r="W196" s="3">
        <f>IF(ISERROR(VLOOKUP($A196,'SegEnds_NonXtal_BW#'!$A:$Z,16,FALSE)+VLOOKUP($A196,A:AL,22,FALSE)-50),"-",(VLOOKUP($A196,'SegEnds_NonXtal_BW#'!$A:$Z,16,FALSE)+VLOOKUP($A196,A:AL,22,FALSE)-50))</f>
        <v>207</v>
      </c>
      <c r="X196" s="3">
        <f>IF(ISERROR(VLOOKUP($A196,'SegEnds_NonXtal_BW#'!$A:$Z,17,FALSE)+VLOOKUP($A196,A:AL,25,FALSE)-50),"-",(VLOOKUP($A196,'SegEnds_NonXtal_BW#'!$A:$Z,17,FALSE)+VLOOKUP($A196,A:AL,25,FALSE)-50))</f>
        <v>224</v>
      </c>
      <c r="Y196" s="3">
        <v>224</v>
      </c>
      <c r="Z196" s="3">
        <f t="shared" si="117"/>
        <v>226</v>
      </c>
      <c r="AA196" s="3">
        <f>IF(ISERROR(VLOOKUP($A196,'SegEnds_NonXtal_BW#'!$A:$Z,19,FALSE)+VLOOKUP($A196,A:AL,28,FALSE)-50),"-",(VLOOKUP($A196,'SegEnds_NonXtal_BW#'!$A:$Z,19,FALSE)+VLOOKUP($A196,A:AL,28,FALSE)-50))</f>
        <v>230</v>
      </c>
      <c r="AB196" s="3">
        <v>248</v>
      </c>
      <c r="AC196" s="3">
        <f>IF(ISERROR((VLOOKUP($A196,'SegEnds_NonXtal_BW#'!$A:$Z,20,FALSE)+VLOOKUP($A196,A:AL,28,FALSE)-50)),"-",(VLOOKUP($A196,'SegEnds_NonXtal_BW#'!$A:$Z,20,FALSE)+VLOOKUP($A196,A:AL,28,FALSE)-50))</f>
        <v>274</v>
      </c>
      <c r="AD196" s="3">
        <f>IF(ISERROR(VLOOKUP($A196,'SegEnds_NonXtal_BW#'!$A:$Z,21,FALSE)+VLOOKUP($A196,A:AL,31,FALSE)-50),"-",(VLOOKUP($A196,'SegEnds_NonXtal_BW#'!$A:$Z,21,FALSE)+VLOOKUP($A196,A:AL,31,FALSE)-50))</f>
        <v>292</v>
      </c>
      <c r="AE196" s="3">
        <v>318</v>
      </c>
      <c r="AF196" s="3">
        <f>IF(ISERROR((VLOOKUP($A196,'SegEnds_NonXtal_BW#'!$A:$Z,22,FALSE)+VLOOKUP($A196,A:AL,31,FALSE)-50)),"-",(VLOOKUP($A196,'SegEnds_NonXtal_BW#'!$A:$Z,22,FALSE)+VLOOKUP($A196,A:AL,31,FALSE)-50))</f>
        <v>329</v>
      </c>
      <c r="AG196" s="3">
        <f>IF(ISERROR(VLOOKUP($A196,'SegEnds_NonXtal_BW#'!$A:$Z,23,FALSE)+VLOOKUP($A196,A:AL,34,FALSE)-50),"-",(VLOOKUP($A196,'SegEnds_NonXtal_BW#'!$A:$Z,23,FALSE)+VLOOKUP($A196,A:AL,34,FALSE)-50))</f>
        <v>335</v>
      </c>
      <c r="AH196" s="3">
        <v>361</v>
      </c>
      <c r="AI196" s="3">
        <f>IF(ISERROR((VLOOKUP($A196,'SegEnds_NonXtal_BW#'!$A:$Z,24,FALSE)+VLOOKUP($A196,A:AL,34,FALSE)-50)),"-",(VLOOKUP($A196,'SegEnds_NonXtal_BW#'!$A:$Z,24,FALSE)+VLOOKUP($A196,A:AL,34,FALSE)-50))</f>
        <v>367</v>
      </c>
      <c r="AJ196" s="3">
        <f>IF(ISERROR(VLOOKUP($A196,'SegEnds_NonXtal_BW#'!$A:$Z,25,FALSE)+VLOOKUP($A196,A:AL,37,FALSE)-50),"-",(VLOOKUP($A196,'SegEnds_NonXtal_BW#'!$A:$Z,25,FALSE)+VLOOKUP($A196,A:AL,37,FALSE)-50))</f>
        <v>368</v>
      </c>
      <c r="AK196" s="3">
        <v>371</v>
      </c>
      <c r="AL196" s="3">
        <f>IF(ISERROR((VLOOKUP($A196,'SegEnds_NonXtal_BW#'!$A:$Z,26,FALSE)+VLOOKUP($A196,A:AL,37,FALSE)-50)),"-",(VLOOKUP($A196,'SegEnds_NonXtal_BW#'!$A:$Z,26,FALSE)+VLOOKUP($A196,A:AL,37,FALSE)-50))</f>
        <v>379</v>
      </c>
      <c r="AM196" s="28" t="str">
        <f>VLOOKUP(A196,Classification!A:B,2,FALSE)</f>
        <v>A</v>
      </c>
      <c r="AN196" s="28" t="b">
        <f t="shared" si="98"/>
        <v>1</v>
      </c>
      <c r="AO196" s="3" t="str">
        <f>IF(ISERROR(MATCH(A196,'SegEnds_Xtal_Prot#'!B:B, 0)), "NoXtal", "Xtal")</f>
        <v>NoXtal</v>
      </c>
      <c r="AP196" s="3">
        <f t="shared" ref="AP196:AP259" si="118">IF(ISERROR(F196-E196),"-",F196-E196)</f>
        <v>1</v>
      </c>
      <c r="AQ196" s="3">
        <f t="shared" ref="AQ196:AQ259" si="119">IF(ISERROR(I196-H196),"-",I196-H196)</f>
        <v>1</v>
      </c>
      <c r="AR196" s="3">
        <f t="shared" ref="AR196:AR259" si="120">IF(ISERROR(L196-K196),"-",L196-K196)</f>
        <v>3</v>
      </c>
      <c r="AS196" s="3">
        <f t="shared" ref="AS196:AS259" si="121">IF(ISERROR(O196-N196),"-",O196-N196)</f>
        <v>1</v>
      </c>
      <c r="AT196" s="3">
        <f t="shared" ref="AT196:AT259" si="122">IF(ISERROR(R196-Q196),"-",R196-Q196)</f>
        <v>1</v>
      </c>
      <c r="AU196" s="3">
        <f t="shared" ref="AU196:AU259" si="123">IF(ISERROR(U196-T196),"-",U196-T196)</f>
        <v>1</v>
      </c>
      <c r="AV196" s="3">
        <f t="shared" ref="AV196:AV259" si="124">IF(ISERROR(X196-W196),"-",X196-W196)</f>
        <v>17</v>
      </c>
      <c r="AW196" s="3">
        <f t="shared" ref="AW196:AW259" si="125">IF(ISERROR(AA196-Z196),"-",AA196-Z196)</f>
        <v>4</v>
      </c>
      <c r="AX196" s="3">
        <f t="shared" ref="AX196:AX259" si="126">IF(ISERROR(AD196-AC196),"-",AD196-AC196)</f>
        <v>18</v>
      </c>
      <c r="AY196" s="3">
        <f t="shared" ref="AY196:AY259" si="127">IF(ISERROR(AG196-AF196),"-",AG196-AF196)</f>
        <v>6</v>
      </c>
      <c r="AZ196" s="3">
        <f t="shared" ref="AZ196:AZ259" si="128">IF(ISERROR(AJ196-AI196),"-",AJ196-AI196)</f>
        <v>1</v>
      </c>
      <c r="BA196" s="3">
        <f>IF(ISERROR(LEN(VLOOKUP(A196,Seqs!A:E,2,FALSE))-AL196),"-",LEN(VLOOKUP(A196,Seqs!A:E,2,FALSE))-AL196)</f>
        <v>39</v>
      </c>
      <c r="BB196" s="16">
        <f t="shared" ref="BB196:BB259" si="129">J196-D196</f>
        <v>31</v>
      </c>
      <c r="BC196" s="9">
        <f t="shared" ref="BC196:BC259" si="130">IF(ISERROR(V196-S196),"-",V196-S196)</f>
        <v>20</v>
      </c>
      <c r="BD196" s="3">
        <f t="shared" ref="BD196:BD259" si="131">J196-D196</f>
        <v>31</v>
      </c>
      <c r="BE196" s="3">
        <f t="shared" ref="BE196:BE259" si="132">AE196-AB196</f>
        <v>70</v>
      </c>
    </row>
    <row r="197" spans="1:57" s="3" customFormat="1" x14ac:dyDescent="0.2">
      <c r="A197" s="3" t="s">
        <v>914</v>
      </c>
      <c r="B197" s="3" t="str">
        <f>LOWER(VLOOKUP(A197,Xtal_Templ!A:B,2,FALSE))</f>
        <v>ntr1_rat</v>
      </c>
      <c r="C197" s="3">
        <f>VLOOKUP($A197,'SegEnds_NonXtal_BW#'!$A:$Z,3,FALSE)+D197-50</f>
        <v>61</v>
      </c>
      <c r="D197" s="3">
        <v>82</v>
      </c>
      <c r="E197" s="3">
        <f>IF(ISERROR(VLOOKUP($A197,'SegEnds_NonXtal_BW#'!$A:$Z,4,FALSE)+VLOOKUP($A197,A:AL,4,FALSE)-50),"-",(VLOOKUP($A197,'SegEnds_NonXtal_BW#'!$A:$Z,4,FALSE)+VLOOKUP($A197,A:AL,4,FALSE)-50))</f>
        <v>92</v>
      </c>
      <c r="F197" s="3">
        <f t="shared" si="112"/>
        <v>93</v>
      </c>
      <c r="G197" s="3">
        <v>95</v>
      </c>
      <c r="H197" s="3">
        <f t="shared" si="113"/>
        <v>96</v>
      </c>
      <c r="I197" s="3">
        <f t="shared" si="113"/>
        <v>97</v>
      </c>
      <c r="J197" s="3">
        <v>113</v>
      </c>
      <c r="K197" s="3">
        <f>VLOOKUP($A197,'SegEnds_NonXtal_BW#'!$A:$Z,8,FALSE)+VLOOKUP($A197,A:AL,10,FALSE)-50</f>
        <v>131</v>
      </c>
      <c r="L197" s="3">
        <f>IF(ISERROR(VLOOKUP($A197,'SegEnds_NonXtal_BW#'!$A:$Z,9,FALSE)+VLOOKUP($A197,A:AL,13,FALSE)-50),"-",(VLOOKUP($A197,'SegEnds_NonXtal_BW#'!$A:$Z,9,FALSE)+VLOOKUP($A197,A:AL,13,FALSE)-50))</f>
        <v>134</v>
      </c>
      <c r="M197" s="3">
        <v>135</v>
      </c>
      <c r="N197" s="3">
        <f>IF(ISERROR(VLOOKUP($A197,'SegEnds_NonXtal_BW#'!$A:$Z,10,FALSE)+VLOOKUP($A197,A:AL,13,FALSE)-50),"-",(VLOOKUP($A197,'SegEnds_NonXtal_BW#'!$A:$Z,10,FALSE)+VLOOKUP($A197,A:AL,13,FALSE)-50))</f>
        <v>137</v>
      </c>
      <c r="O197" s="3">
        <f t="shared" si="116"/>
        <v>138</v>
      </c>
      <c r="P197" s="3">
        <v>167</v>
      </c>
      <c r="Q197" s="3">
        <f>VLOOKUP($A197,'SegEnds_NonXtal_BW#'!$A:$Z,12,FALSE)+VLOOKUP($A197,A:AL,16,FALSE)-50</f>
        <v>173</v>
      </c>
      <c r="R197" s="3">
        <f>IF(ISERROR(VLOOKUP($A197,'SegEnds_NonXtal_BW#'!$A:$Z,13,FALSE)+VLOOKUP($A197,A:AL,19,FALSE)-50),"-",VLOOKUP($A197,'SegEnds_NonXtal_BW#'!$A:$Z,13,FALSE)+VLOOKUP($A197,A:AL,19,FALSE)-50)</f>
        <v>174</v>
      </c>
      <c r="S197" s="3">
        <v>174</v>
      </c>
      <c r="T197" s="100">
        <f>IF(ISERROR(VLOOKUP($A197,'SegEnds_NonXtal_BW#'!$A:$Z,14,FALSE)+VLOOKUP($A197,A:AL,19,FALSE)-50),"-",(VLOOKUP($A197,'SegEnds_NonXtal_BW#'!$A:$Z,14,FALSE)+VLOOKUP($A197,A:AL,19,FALSE)-50))</f>
        <v>181</v>
      </c>
      <c r="U197" s="9">
        <f>IF(ISERROR(VLOOKUP($A197,'SegEnds_NonXtal_BW#'!$A:$Z,15,FALSE)+VLOOKUP($A197,A:AL,22,FALSE)-50),"-",VLOOKUP($A197,'SegEnds_NonXtal_BW#'!$A:$Z,15,FALSE)+VLOOKUP($A197,A:AL,22,FALSE)-50)</f>
        <v>182</v>
      </c>
      <c r="V197" s="3">
        <v>194</v>
      </c>
      <c r="W197" s="3">
        <f>IF(ISERROR(VLOOKUP($A197,'SegEnds_NonXtal_BW#'!$A:$Z,16,FALSE)+VLOOKUP($A197,A:AL,22,FALSE)-50),"-",(VLOOKUP($A197,'SegEnds_NonXtal_BW#'!$A:$Z,16,FALSE)+VLOOKUP($A197,A:AL,22,FALSE)-50))</f>
        <v>208</v>
      </c>
      <c r="X197" s="3">
        <f>IF(ISERROR(VLOOKUP($A197,'SegEnds_NonXtal_BW#'!$A:$Z,17,FALSE)+VLOOKUP($A197,A:AL,25,FALSE)-50),"-",(VLOOKUP($A197,'SegEnds_NonXtal_BW#'!$A:$Z,17,FALSE)+VLOOKUP($A197,A:AL,25,FALSE)-50))</f>
        <v>225</v>
      </c>
      <c r="Y197" s="3">
        <v>225</v>
      </c>
      <c r="Z197" s="3">
        <f t="shared" si="117"/>
        <v>227</v>
      </c>
      <c r="AA197" s="3">
        <f>IF(ISERROR(VLOOKUP($A197,'SegEnds_NonXtal_BW#'!$A:$Z,19,FALSE)+VLOOKUP($A197,A:AL,28,FALSE)-50),"-",(VLOOKUP($A197,'SegEnds_NonXtal_BW#'!$A:$Z,19,FALSE)+VLOOKUP($A197,A:AL,28,FALSE)-50))</f>
        <v>231</v>
      </c>
      <c r="AB197" s="3">
        <v>249</v>
      </c>
      <c r="AC197" s="3">
        <f>IF(ISERROR((VLOOKUP($A197,'SegEnds_NonXtal_BW#'!$A:$Z,20,FALSE)+VLOOKUP($A197,A:AL,28,FALSE)-50)),"-",(VLOOKUP($A197,'SegEnds_NonXtal_BW#'!$A:$Z,20,FALSE)+VLOOKUP($A197,A:AL,28,FALSE)-50))</f>
        <v>275</v>
      </c>
      <c r="AD197" s="3">
        <f>IF(ISERROR(VLOOKUP($A197,'SegEnds_NonXtal_BW#'!$A:$Z,21,FALSE)+VLOOKUP($A197,A:AL,31,FALSE)-50),"-",(VLOOKUP($A197,'SegEnds_NonXtal_BW#'!$A:$Z,21,FALSE)+VLOOKUP($A197,A:AL,31,FALSE)-50))</f>
        <v>297</v>
      </c>
      <c r="AE197" s="3">
        <v>323</v>
      </c>
      <c r="AF197" s="3">
        <f>IF(ISERROR((VLOOKUP($A197,'SegEnds_NonXtal_BW#'!$A:$Z,22,FALSE)+VLOOKUP($A197,A:AL,31,FALSE)-50)),"-",(VLOOKUP($A197,'SegEnds_NonXtal_BW#'!$A:$Z,22,FALSE)+VLOOKUP($A197,A:AL,31,FALSE)-50))</f>
        <v>334</v>
      </c>
      <c r="AG197" s="3">
        <f>IF(ISERROR(VLOOKUP($A197,'SegEnds_NonXtal_BW#'!$A:$Z,23,FALSE)+VLOOKUP($A197,A:AL,34,FALSE)-50),"-",(VLOOKUP($A197,'SegEnds_NonXtal_BW#'!$A:$Z,23,FALSE)+VLOOKUP($A197,A:AL,34,FALSE)-50))</f>
        <v>340</v>
      </c>
      <c r="AH197" s="3">
        <v>366</v>
      </c>
      <c r="AI197" s="3">
        <f>IF(ISERROR((VLOOKUP($A197,'SegEnds_NonXtal_BW#'!$A:$Z,24,FALSE)+VLOOKUP($A197,A:AL,34,FALSE)-50)),"-",(VLOOKUP($A197,'SegEnds_NonXtal_BW#'!$A:$Z,24,FALSE)+VLOOKUP($A197,A:AL,34,FALSE)-50))</f>
        <v>372</v>
      </c>
      <c r="AJ197" s="3">
        <f>IF(ISERROR(VLOOKUP($A197,'SegEnds_NonXtal_BW#'!$A:$Z,25,FALSE)+VLOOKUP($A197,A:AL,37,FALSE)-50),"-",(VLOOKUP($A197,'SegEnds_NonXtal_BW#'!$A:$Z,25,FALSE)+VLOOKUP($A197,A:AL,37,FALSE)-50))</f>
        <v>373</v>
      </c>
      <c r="AK197" s="3">
        <v>376</v>
      </c>
      <c r="AL197" s="3">
        <f>IF(ISERROR((VLOOKUP($A197,'SegEnds_NonXtal_BW#'!$A:$Z,26,FALSE)+VLOOKUP($A197,A:AL,37,FALSE)-50)),"-",(VLOOKUP($A197,'SegEnds_NonXtal_BW#'!$A:$Z,26,FALSE)+VLOOKUP($A197,A:AL,37,FALSE)-50))</f>
        <v>384</v>
      </c>
      <c r="AM197" s="28" t="str">
        <f>VLOOKUP(A197,Classification!A:B,2,FALSE)</f>
        <v>A</v>
      </c>
      <c r="AN197" s="28" t="b">
        <f t="shared" ref="AN197:AN260" si="133">AND(IF(Y197="-",IF(AA197-W197&gt;3,TRUE,FALSE),TRUE),IF(M197="-",IF(O197-K197&gt;3,TRUE,FALSE),TRUE),IF(AG197-AF197&gt;1,TRUE,FALSE),C197&lt;E197,OR(E197&lt;F197,F197="-"),OR(F197&lt;H197,F197="-"),OR(H197&lt;I197,H197="-"),I197&lt;K197,OR(K197&lt;L197,L197="-"),OR(L197&lt;N197,L197="-"),OR(N197&lt;O197,N197="-"),O197&lt;Q197,OR(Q197&lt;R197,R197="-"),OR(R197&lt;T197,R197="-"),OR(T197&lt;U197,T197="-"),U197&lt;W197,OR(W197&lt;X197,X197="-"),OR(X197&lt;Z197,X197="-"),OR(Z197&lt;AA197,Z197="-"),AA197&lt;AC197,AC197&lt;AD197,AD197&lt;AF197,AF197&lt;AG197,AG197&lt;AI197,OR(AI197&lt;AJ197,AJ197="-"),OR(AJ197&lt;AL197,AJ197="-"))</f>
        <v>1</v>
      </c>
      <c r="AO197" s="3" t="str">
        <f>IF(ISERROR(MATCH(A197,'SegEnds_Xtal_Prot#'!B:B, 0)), "NoXtal", "Xtal")</f>
        <v>Xtal</v>
      </c>
      <c r="AP197" s="3">
        <f t="shared" si="118"/>
        <v>1</v>
      </c>
      <c r="AQ197" s="3">
        <f t="shared" si="119"/>
        <v>1</v>
      </c>
      <c r="AR197" s="3">
        <f t="shared" si="120"/>
        <v>3</v>
      </c>
      <c r="AS197" s="3">
        <f t="shared" si="121"/>
        <v>1</v>
      </c>
      <c r="AT197" s="3">
        <f t="shared" si="122"/>
        <v>1</v>
      </c>
      <c r="AU197" s="3">
        <f t="shared" si="123"/>
        <v>1</v>
      </c>
      <c r="AV197" s="3">
        <f t="shared" si="124"/>
        <v>17</v>
      </c>
      <c r="AW197" s="3">
        <f t="shared" si="125"/>
        <v>4</v>
      </c>
      <c r="AX197" s="3">
        <f t="shared" si="126"/>
        <v>22</v>
      </c>
      <c r="AY197" s="3">
        <f t="shared" si="127"/>
        <v>6</v>
      </c>
      <c r="AZ197" s="3">
        <f t="shared" si="128"/>
        <v>1</v>
      </c>
      <c r="BA197" s="3">
        <f>IF(ISERROR(LEN(VLOOKUP(A197,Seqs!A:E,2,FALSE))-AL197),"-",LEN(VLOOKUP(A197,Seqs!A:E,2,FALSE))-AL197)</f>
        <v>40</v>
      </c>
      <c r="BB197" s="16">
        <f t="shared" si="129"/>
        <v>31</v>
      </c>
      <c r="BC197" s="9">
        <f t="shared" si="130"/>
        <v>20</v>
      </c>
      <c r="BD197" s="3">
        <f t="shared" si="131"/>
        <v>31</v>
      </c>
      <c r="BE197" s="3">
        <f t="shared" si="132"/>
        <v>74</v>
      </c>
    </row>
    <row r="198" spans="1:57" s="3" customFormat="1" x14ac:dyDescent="0.2">
      <c r="A198" s="3" t="s">
        <v>330</v>
      </c>
      <c r="B198" s="3" t="str">
        <f>LOWER(VLOOKUP(A198,Xtal_Templ!A:B,2,FALSE))</f>
        <v>ntr1_rat</v>
      </c>
      <c r="C198" s="3">
        <f>VLOOKUP($A198,'SegEnds_NonXtal_BW#'!$A:$Z,3,FALSE)+D198-50</f>
        <v>29</v>
      </c>
      <c r="D198" s="3">
        <v>50</v>
      </c>
      <c r="E198" s="3">
        <f>IF(ISERROR(VLOOKUP($A198,'SegEnds_NonXtal_BW#'!$A:$Z,4,FALSE)+VLOOKUP($A198,A:AL,4,FALSE)-50),"-",(VLOOKUP($A198,'SegEnds_NonXtal_BW#'!$A:$Z,4,FALSE)+VLOOKUP($A198,A:AL,4,FALSE)-50))</f>
        <v>60</v>
      </c>
      <c r="F198" s="3" t="str">
        <f>IF(ISERROR(VLOOKUP($A198,'SegEnds_NonXtal_BW#'!$A:$Z,5,FALSE)+VLOOKUP($A198,A:AL,7,FALSE)-50),"-",(VLOOKUP($A198,'SegEnds_NonXtal_BW#'!$A:$Z,5,FALSE)+VLOOKUP($A198,A:AL,7,FALSE)-50))</f>
        <v>-</v>
      </c>
      <c r="G198" s="3" t="s">
        <v>23</v>
      </c>
      <c r="H198" s="3" t="str">
        <f>IF(ISERROR(VLOOKUP($A198,'SegEnds_NonXtal_BW#'!$A:$Z,6,FALSE)+VLOOKUP($A198,A:AL,7,FALSE)-50),"-",(VLOOKUP($A198,'SegEnds_NonXtal_BW#'!$A:$Z,6,FALSE)+VLOOKUP($A198,A:AL,7,FALSE)-50))</f>
        <v>-</v>
      </c>
      <c r="I198" s="3">
        <f>VLOOKUP($A198,'SegEnds_NonXtal_BW#'!$A:$Z,7,FALSE)+J198-50</f>
        <v>66</v>
      </c>
      <c r="J198" s="3">
        <v>79</v>
      </c>
      <c r="K198" s="3">
        <f>VLOOKUP($A198,'SegEnds_NonXtal_BW#'!$A:$Z,8,FALSE)+VLOOKUP($A198,A:AL,10,FALSE)-50</f>
        <v>97</v>
      </c>
      <c r="L198" s="3">
        <f>M198-1</f>
        <v>100</v>
      </c>
      <c r="M198" s="3">
        <v>101</v>
      </c>
      <c r="N198" s="3">
        <f>M198+2</f>
        <v>103</v>
      </c>
      <c r="O198" s="3">
        <f t="shared" si="116"/>
        <v>104</v>
      </c>
      <c r="P198" s="3">
        <v>133</v>
      </c>
      <c r="Q198" s="3">
        <f>VLOOKUP($A198,'SegEnds_NonXtal_BW#'!$A:$Z,12,FALSE)+VLOOKUP($A198,A:AL,16,FALSE)-50</f>
        <v>139</v>
      </c>
      <c r="R198" s="3">
        <f>IF(ISERROR(VLOOKUP($A198,'SegEnds_NonXtal_BW#'!$A:$Z,13,FALSE)+VLOOKUP($A198,A:AL,19,FALSE)-50),"-",VLOOKUP($A198,'SegEnds_NonXtal_BW#'!$A:$Z,13,FALSE)+VLOOKUP($A198,A:AL,19,FALSE)-50)</f>
        <v>140</v>
      </c>
      <c r="S198" s="3">
        <v>140</v>
      </c>
      <c r="T198" s="100">
        <f>IF(ISERROR(VLOOKUP($A198,'SegEnds_NonXtal_BW#'!$A:$Z,14,FALSE)+VLOOKUP($A198,A:AL,19,FALSE)-50),"-",(VLOOKUP($A198,'SegEnds_NonXtal_BW#'!$A:$Z,14,FALSE)+VLOOKUP($A198,A:AL,19,FALSE)-50))</f>
        <v>147</v>
      </c>
      <c r="U198" s="9">
        <f>IF(ISERROR(VLOOKUP($A198,'SegEnds_NonXtal_BW#'!$A:$Z,15,FALSE)+VLOOKUP($A198,A:AL,22,FALSE)-50),"-",VLOOKUP($A198,'SegEnds_NonXtal_BW#'!$A:$Z,15,FALSE)+VLOOKUP($A198,A:AL,22,FALSE)-50)</f>
        <v>148</v>
      </c>
      <c r="V198" s="3">
        <v>160</v>
      </c>
      <c r="W198" s="3">
        <f>IF(ISERROR(VLOOKUP($A198,'SegEnds_NonXtal_BW#'!$A:$Z,16,FALSE)+VLOOKUP($A198,A:AL,22,FALSE)-50),"-",(VLOOKUP($A198,'SegEnds_NonXtal_BW#'!$A:$Z,16,FALSE)+VLOOKUP($A198,A:AL,22,FALSE)-50))</f>
        <v>174</v>
      </c>
      <c r="X198" s="3">
        <f>IF(ISERROR(VLOOKUP($A198,'SegEnds_NonXtal_BW#'!$A:$Z,17,FALSE)+VLOOKUP($A198,A:AL,25,FALSE)-50),"-",(VLOOKUP($A198,'SegEnds_NonXtal_BW#'!$A:$Z,17,FALSE)+VLOOKUP($A198,A:AL,25,FALSE)-50))</f>
        <v>194</v>
      </c>
      <c r="Y198" s="3">
        <v>194</v>
      </c>
      <c r="Z198" s="3">
        <f t="shared" si="117"/>
        <v>196</v>
      </c>
      <c r="AA198" s="3">
        <f>IF(ISERROR(VLOOKUP($A198,'SegEnds_NonXtal_BW#'!$A:$Z,19,FALSE)+VLOOKUP($A198,A:AL,28,FALSE)-50),"-",(VLOOKUP($A198,'SegEnds_NonXtal_BW#'!$A:$Z,19,FALSE)+VLOOKUP($A198,A:AL,28,FALSE)-50))</f>
        <v>200</v>
      </c>
      <c r="AB198" s="3">
        <v>218</v>
      </c>
      <c r="AC198" s="3">
        <f>IF(ISERROR((VLOOKUP($A198,'SegEnds_NonXtal_BW#'!$A:$Z,20,FALSE)+VLOOKUP($A198,A:AL,28,FALSE)-50)),"-",(VLOOKUP($A198,'SegEnds_NonXtal_BW#'!$A:$Z,20,FALSE)+VLOOKUP($A198,A:AL,28,FALSE)-50))</f>
        <v>242</v>
      </c>
      <c r="AD198" s="3">
        <f>IF(ISERROR(VLOOKUP($A198,'SegEnds_NonXtal_BW#'!$A:$Z,21,FALSE)+VLOOKUP($A198,A:AL,31,FALSE)-50),"-",(VLOOKUP($A198,'SegEnds_NonXtal_BW#'!$A:$Z,21,FALSE)+VLOOKUP($A198,A:AL,31,FALSE)-50))</f>
        <v>286</v>
      </c>
      <c r="AE198" s="3">
        <v>312</v>
      </c>
      <c r="AF198" s="3">
        <f>IF(ISERROR((VLOOKUP($A198,'SegEnds_NonXtal_BW#'!$A:$Z,22,FALSE)+VLOOKUP($A198,A:AL,31,FALSE)-50)),"-",(VLOOKUP($A198,'SegEnds_NonXtal_BW#'!$A:$Z,22,FALSE)+VLOOKUP($A198,A:AL,31,FALSE)-50))</f>
        <v>323</v>
      </c>
      <c r="AG198" s="3">
        <f>IF(ISERROR(VLOOKUP($A198,'SegEnds_NonXtal_BW#'!$A:$Z,23,FALSE)+VLOOKUP($A198,A:AL,34,FALSE)-50),"-",(VLOOKUP($A198,'SegEnds_NonXtal_BW#'!$A:$Z,23,FALSE)+VLOOKUP($A198,A:AL,34,FALSE)-50))</f>
        <v>329</v>
      </c>
      <c r="AH198" s="3">
        <v>355</v>
      </c>
      <c r="AI198" s="3">
        <f>IF(ISERROR((VLOOKUP($A198,'SegEnds_NonXtal_BW#'!$A:$Z,24,FALSE)+VLOOKUP($A198,A:AL,34,FALSE)-50)),"-",(VLOOKUP($A198,'SegEnds_NonXtal_BW#'!$A:$Z,24,FALSE)+VLOOKUP($A198,A:AL,34,FALSE)-50))</f>
        <v>361</v>
      </c>
      <c r="AJ198" s="3">
        <f>IF(ISERROR(VLOOKUP($A198,'SegEnds_NonXtal_BW#'!$A:$Z,25,FALSE)+VLOOKUP($A198,A:AL,37,FALSE)-50),"-",(VLOOKUP($A198,'SegEnds_NonXtal_BW#'!$A:$Z,25,FALSE)+VLOOKUP($A198,A:AL,37,FALSE)-50))</f>
        <v>362</v>
      </c>
      <c r="AK198" s="3">
        <v>365</v>
      </c>
      <c r="AL198" s="3">
        <f>IF(ISERROR((VLOOKUP($A198,'SegEnds_NonXtal_BW#'!$A:$Z,26,FALSE)+VLOOKUP($A198,A:AL,37,FALSE)-50)),"-",(VLOOKUP($A198,'SegEnds_NonXtal_BW#'!$A:$Z,26,FALSE)+VLOOKUP($A198,A:AL,37,FALSE)-50))</f>
        <v>373</v>
      </c>
      <c r="AM198" s="28" t="str">
        <f>VLOOKUP(A198,Classification!A:B,2,FALSE)</f>
        <v>A</v>
      </c>
      <c r="AN198" s="28" t="b">
        <f t="shared" si="133"/>
        <v>1</v>
      </c>
      <c r="AO198" s="3" t="str">
        <f>IF(ISERROR(MATCH(A198,'SegEnds_Xtal_Prot#'!B:B, 0)), "NoXtal", "Xtal")</f>
        <v>NoXtal</v>
      </c>
      <c r="AP198" s="3" t="str">
        <f t="shared" si="118"/>
        <v>-</v>
      </c>
      <c r="AQ198" s="3" t="str">
        <f t="shared" si="119"/>
        <v>-</v>
      </c>
      <c r="AR198" s="3">
        <f t="shared" si="120"/>
        <v>3</v>
      </c>
      <c r="AS198" s="3">
        <f t="shared" si="121"/>
        <v>1</v>
      </c>
      <c r="AT198" s="3">
        <f t="shared" si="122"/>
        <v>1</v>
      </c>
      <c r="AU198" s="3">
        <f t="shared" si="123"/>
        <v>1</v>
      </c>
      <c r="AV198" s="3">
        <f t="shared" si="124"/>
        <v>20</v>
      </c>
      <c r="AW198" s="3">
        <f t="shared" si="125"/>
        <v>4</v>
      </c>
      <c r="AX198" s="3">
        <f t="shared" si="126"/>
        <v>44</v>
      </c>
      <c r="AY198" s="3">
        <f t="shared" si="127"/>
        <v>6</v>
      </c>
      <c r="AZ198" s="3">
        <f t="shared" si="128"/>
        <v>1</v>
      </c>
      <c r="BA198" s="3">
        <f>IF(ISERROR(LEN(VLOOKUP(A198,Seqs!A:E,2,FALSE))-AL198),"-",LEN(VLOOKUP(A198,Seqs!A:E,2,FALSE))-AL198)</f>
        <v>37</v>
      </c>
      <c r="BB198" s="16">
        <f t="shared" si="129"/>
        <v>29</v>
      </c>
      <c r="BC198" s="9">
        <f t="shared" si="130"/>
        <v>20</v>
      </c>
      <c r="BD198" s="3">
        <f t="shared" si="131"/>
        <v>29</v>
      </c>
      <c r="BE198" s="3">
        <f t="shared" si="132"/>
        <v>94</v>
      </c>
    </row>
    <row r="199" spans="1:57" s="3" customFormat="1" x14ac:dyDescent="0.2">
      <c r="A199" s="3" t="s">
        <v>331</v>
      </c>
      <c r="B199" s="3" t="str">
        <f>LOWER(VLOOKUP(A199,Xtal_Templ!A:B,2,FALSE))</f>
        <v>agtr2_human</v>
      </c>
      <c r="C199" s="3">
        <f>VLOOKUP($A199,'SegEnds_NonXtal_BW#'!$A:$Z,3,FALSE)+D199-50</f>
        <v>22</v>
      </c>
      <c r="D199" s="3">
        <v>39</v>
      </c>
      <c r="E199" s="3">
        <f>IF(ISERROR(VLOOKUP($A199,'SegEnds_NonXtal_BW#'!$A:$Z,4,FALSE)+VLOOKUP($A199,A:AL,4,FALSE)-50),"-",(VLOOKUP($A199,'SegEnds_NonXtal_BW#'!$A:$Z,4,FALSE)+VLOOKUP($A199,A:AL,4,FALSE)-50))</f>
        <v>49</v>
      </c>
      <c r="F199" s="3">
        <f>IF(ISERROR(VLOOKUP($A199,'SegEnds_NonXtal_BW#'!$A:$Z,5,FALSE)+VLOOKUP($A199,A:AL,7,FALSE)-50),"-",(VLOOKUP($A199,'SegEnds_NonXtal_BW#'!$A:$Z,5,FALSE)+VLOOKUP($A199,A:AL,7,FALSE)-50))</f>
        <v>50</v>
      </c>
      <c r="G199" s="3">
        <v>52</v>
      </c>
      <c r="H199" s="3">
        <f>IF(ISERROR(VLOOKUP($A199,'SegEnds_NonXtal_BW#'!$A:$Z,6,FALSE)+VLOOKUP($A199,A:AL,7,FALSE)-50),"-",(VLOOKUP($A199,'SegEnds_NonXtal_BW#'!$A:$Z,6,FALSE)+VLOOKUP($A199,A:AL,7,FALSE)-50))</f>
        <v>53</v>
      </c>
      <c r="I199" s="3">
        <f>VLOOKUP($A199,'SegEnds_NonXtal_BW#'!$A:$Z,7,FALSE)+J199-50</f>
        <v>54</v>
      </c>
      <c r="J199" s="3">
        <v>67</v>
      </c>
      <c r="K199" s="3">
        <f>VLOOKUP($A199,'SegEnds_NonXtal_BW#'!$A:$Z,8,FALSE)+VLOOKUP($A199,A:AL,10,FALSE)-50</f>
        <v>83</v>
      </c>
      <c r="L199" s="3">
        <f>M199-1</f>
        <v>86</v>
      </c>
      <c r="M199" s="3">
        <v>87</v>
      </c>
      <c r="N199" s="3">
        <f>M199+2</f>
        <v>89</v>
      </c>
      <c r="O199" s="3">
        <f t="shared" si="116"/>
        <v>90</v>
      </c>
      <c r="P199" s="3">
        <v>119</v>
      </c>
      <c r="Q199" s="3">
        <f>VLOOKUP($A199,'SegEnds_NonXtal_BW#'!$A:$Z,12,FALSE)+VLOOKUP($A199,A:AL,16,FALSE)-50</f>
        <v>125</v>
      </c>
      <c r="R199" s="3">
        <f>IF(ISERROR(VLOOKUP($A199,'SegEnds_NonXtal_BW#'!$A:$Z,13,FALSE)+VLOOKUP($A199,A:AL,19,FALSE)-50),"-",VLOOKUP($A199,'SegEnds_NonXtal_BW#'!$A:$Z,13,FALSE)+VLOOKUP($A199,A:AL,19,FALSE)-50)</f>
        <v>126</v>
      </c>
      <c r="S199" s="3">
        <v>126</v>
      </c>
      <c r="T199" s="100">
        <f>IF(ISERROR(VLOOKUP($A199,'SegEnds_NonXtal_BW#'!$A:$Z,14,FALSE)+VLOOKUP($A199,A:AL,19,FALSE)-50),"-",(VLOOKUP($A199,'SegEnds_NonXtal_BW#'!$A:$Z,14,FALSE)+VLOOKUP($A199,A:AL,19,FALSE)-50))</f>
        <v>133</v>
      </c>
      <c r="U199" s="9">
        <f>IF(ISERROR(VLOOKUP($A199,'SegEnds_NonXtal_BW#'!$A:$Z,15,FALSE)+VLOOKUP($A199,A:AL,22,FALSE)-50),"-",VLOOKUP($A199,'SegEnds_NonXtal_BW#'!$A:$Z,15,FALSE)+VLOOKUP($A199,A:AL,22,FALSE)-50)</f>
        <v>134</v>
      </c>
      <c r="V199" s="3">
        <v>146</v>
      </c>
      <c r="W199" s="3">
        <f>IF(ISERROR(VLOOKUP($A199,'SegEnds_NonXtal_BW#'!$A:$Z,16,FALSE)+VLOOKUP($A199,A:AL,22,FALSE)-50),"-",(VLOOKUP($A199,'SegEnds_NonXtal_BW#'!$A:$Z,16,FALSE)+VLOOKUP($A199,A:AL,22,FALSE)-50))</f>
        <v>160</v>
      </c>
      <c r="X199" s="3">
        <f>IF(ISERROR(VLOOKUP($A199,'SegEnds_NonXtal_BW#'!$A:$Z,17,FALSE)+VLOOKUP($A199,A:AL,25,FALSE)-50),"-",(VLOOKUP($A199,'SegEnds_NonXtal_BW#'!$A:$Z,17,FALSE)+VLOOKUP($A199,A:AL,25,FALSE)-50))</f>
        <v>172</v>
      </c>
      <c r="Y199" s="3">
        <v>172</v>
      </c>
      <c r="Z199" s="3">
        <f t="shared" si="117"/>
        <v>174</v>
      </c>
      <c r="AA199" s="3">
        <f>IF(ISERROR(VLOOKUP($A199,'SegEnds_NonXtal_BW#'!$A:$Z,19,FALSE)+VLOOKUP($A199,A:AL,28,FALSE)-50),"-",(VLOOKUP($A199,'SegEnds_NonXtal_BW#'!$A:$Z,19,FALSE)+VLOOKUP($A199,A:AL,28,FALSE)-50))</f>
        <v>177</v>
      </c>
      <c r="AB199" s="3">
        <v>197</v>
      </c>
      <c r="AC199" s="3">
        <f>IF(ISERROR((VLOOKUP($A199,'SegEnds_NonXtal_BW#'!$A:$Z,20,FALSE)+VLOOKUP($A199,A:AL,28,FALSE)-50)),"-",(VLOOKUP($A199,'SegEnds_NonXtal_BW#'!$A:$Z,20,FALSE)+VLOOKUP($A199,A:AL,28,FALSE)-50))</f>
        <v>214</v>
      </c>
      <c r="AD199" s="3">
        <f>IF(ISERROR(VLOOKUP($A199,'SegEnds_NonXtal_BW#'!$A:$Z,21,FALSE)+VLOOKUP($A199,A:AL,31,FALSE)-50),"-",(VLOOKUP($A199,'SegEnds_NonXtal_BW#'!$A:$Z,21,FALSE)+VLOOKUP($A199,A:AL,31,FALSE)-50))</f>
        <v>219</v>
      </c>
      <c r="AE199" s="3">
        <v>243</v>
      </c>
      <c r="AF199" s="3">
        <f>IF(ISERROR((VLOOKUP($A199,'SegEnds_NonXtal_BW#'!$A:$Z,22,FALSE)+VLOOKUP($A199,A:AL,31,FALSE)-50)),"-",(VLOOKUP($A199,'SegEnds_NonXtal_BW#'!$A:$Z,22,FALSE)+VLOOKUP($A199,A:AL,31,FALSE)-50))</f>
        <v>254</v>
      </c>
      <c r="AG199" s="3">
        <f>IF(ISERROR(VLOOKUP($A199,'SegEnds_NonXtal_BW#'!$A:$Z,23,FALSE)+VLOOKUP($A199,A:AL,34,FALSE)-50),"-",(VLOOKUP($A199,'SegEnds_NonXtal_BW#'!$A:$Z,23,FALSE)+VLOOKUP($A199,A:AL,34,FALSE)-50))</f>
        <v>261</v>
      </c>
      <c r="AH199" s="3">
        <v>283</v>
      </c>
      <c r="AI199" s="3">
        <f>IF(ISERROR((VLOOKUP($A199,'SegEnds_NonXtal_BW#'!$A:$Z,24,FALSE)+VLOOKUP($A199,A:AL,34,FALSE)-50)),"-",(VLOOKUP($A199,'SegEnds_NonXtal_BW#'!$A:$Z,24,FALSE)+VLOOKUP($A199,A:AL,34,FALSE)-50))</f>
        <v>289</v>
      </c>
      <c r="AJ199" s="3">
        <f>IF(ISERROR(VLOOKUP($A199,'SegEnds_NonXtal_BW#'!$A:$Z,25,FALSE)+VLOOKUP($A199,A:AL,37,FALSE)-50),"-",(VLOOKUP($A199,'SegEnds_NonXtal_BW#'!$A:$Z,25,FALSE)+VLOOKUP($A199,A:AL,37,FALSE)-50))</f>
        <v>290</v>
      </c>
      <c r="AK199" s="3">
        <v>293</v>
      </c>
      <c r="AL199" s="3">
        <f>IF(ISERROR((VLOOKUP($A199,'SegEnds_NonXtal_BW#'!$A:$Z,26,FALSE)+VLOOKUP($A199,A:AL,37,FALSE)-50)),"-",(VLOOKUP($A199,'SegEnds_NonXtal_BW#'!$A:$Z,26,FALSE)+VLOOKUP($A199,A:AL,37,FALSE)-50))</f>
        <v>304</v>
      </c>
      <c r="AM199" s="28" t="str">
        <f>VLOOKUP(A199,Classification!A:B,2,FALSE)</f>
        <v>A</v>
      </c>
      <c r="AN199" s="28" t="b">
        <f t="shared" si="133"/>
        <v>1</v>
      </c>
      <c r="AO199" s="3" t="str">
        <f>IF(ISERROR(MATCH(A199,'SegEnds_Xtal_Prot#'!B:B, 0)), "NoXtal", "Xtal")</f>
        <v>NoXtal</v>
      </c>
      <c r="AP199" s="3">
        <f t="shared" si="118"/>
        <v>1</v>
      </c>
      <c r="AQ199" s="3">
        <f t="shared" si="119"/>
        <v>1</v>
      </c>
      <c r="AR199" s="3">
        <f t="shared" si="120"/>
        <v>3</v>
      </c>
      <c r="AS199" s="3">
        <f t="shared" si="121"/>
        <v>1</v>
      </c>
      <c r="AT199" s="3">
        <f t="shared" si="122"/>
        <v>1</v>
      </c>
      <c r="AU199" s="3">
        <f t="shared" si="123"/>
        <v>1</v>
      </c>
      <c r="AV199" s="3">
        <f t="shared" si="124"/>
        <v>12</v>
      </c>
      <c r="AW199" s="3">
        <f t="shared" si="125"/>
        <v>3</v>
      </c>
      <c r="AX199" s="3">
        <f t="shared" si="126"/>
        <v>5</v>
      </c>
      <c r="AY199" s="3">
        <f t="shared" si="127"/>
        <v>7</v>
      </c>
      <c r="AZ199" s="3">
        <f t="shared" si="128"/>
        <v>1</v>
      </c>
      <c r="BA199" s="3">
        <f>IF(ISERROR(LEN(VLOOKUP(A199,Seqs!A:E,2,FALSE))-AL199),"-",LEN(VLOOKUP(A199,Seqs!A:E,2,FALSE))-AL199)</f>
        <v>61</v>
      </c>
      <c r="BB199" s="16">
        <f t="shared" si="129"/>
        <v>28</v>
      </c>
      <c r="BC199" s="9">
        <f t="shared" si="130"/>
        <v>20</v>
      </c>
      <c r="BD199" s="3">
        <f t="shared" si="131"/>
        <v>28</v>
      </c>
      <c r="BE199" s="3">
        <f t="shared" si="132"/>
        <v>46</v>
      </c>
    </row>
    <row r="200" spans="1:57" s="3" customFormat="1" x14ac:dyDescent="0.2">
      <c r="A200" s="3" t="s">
        <v>333</v>
      </c>
      <c r="B200" s="3" t="s">
        <v>920</v>
      </c>
      <c r="C200" s="3">
        <f>VLOOKUP($A200,'SegEnds_NonXtal_BW#'!$A:$Z,3,FALSE)+D200-50</f>
        <v>67</v>
      </c>
      <c r="D200" s="3">
        <v>88</v>
      </c>
      <c r="E200" s="3">
        <f>IF(ISERROR(VLOOKUP($A200,'SegEnds_NonXtal_BW#'!$A:$Z,4,FALSE)+VLOOKUP($A200,A:AL,4,FALSE)-50),"-",(VLOOKUP($A200,'SegEnds_NonXtal_BW#'!$A:$Z,4,FALSE)+VLOOKUP($A200,A:AL,4,FALSE)-50))</f>
        <v>98</v>
      </c>
      <c r="F200" s="3">
        <f t="shared" ref="F200:F208" si="134">G200-2</f>
        <v>99</v>
      </c>
      <c r="G200" s="3">
        <v>101</v>
      </c>
      <c r="H200" s="3">
        <f t="shared" ref="H200:I208" si="135">G200+1</f>
        <v>102</v>
      </c>
      <c r="I200" s="3">
        <f t="shared" si="135"/>
        <v>103</v>
      </c>
      <c r="J200" s="3">
        <v>116</v>
      </c>
      <c r="K200" s="3">
        <v>134</v>
      </c>
      <c r="L200" s="3">
        <f>M200-1</f>
        <v>135</v>
      </c>
      <c r="M200" s="3">
        <v>136</v>
      </c>
      <c r="N200" s="3">
        <f>M200+2</f>
        <v>138</v>
      </c>
      <c r="O200" s="3">
        <f t="shared" si="116"/>
        <v>139</v>
      </c>
      <c r="P200" s="3">
        <v>168</v>
      </c>
      <c r="Q200" s="3">
        <f>VLOOKUP($A200,'SegEnds_NonXtal_BW#'!$A:$Z,12,FALSE)+VLOOKUP($A200,A:AL,16,FALSE)-50</f>
        <v>174</v>
      </c>
      <c r="R200" s="3">
        <f>IF(ISERROR(VLOOKUP($A200,'SegEnds_NonXtal_BW#'!$A:$Z,13,FALSE)+VLOOKUP($A200,A:AL,19,FALSE)-50),"-",VLOOKUP($A200,'SegEnds_NonXtal_BW#'!$A:$Z,13,FALSE)+VLOOKUP($A200,A:AL,19,FALSE)-50)</f>
        <v>175</v>
      </c>
      <c r="S200" s="3">
        <v>175</v>
      </c>
      <c r="T200" s="100">
        <f>IF(ISERROR(VLOOKUP($A200,'SegEnds_NonXtal_BW#'!$A:$Z,14,FALSE)+VLOOKUP($A200,A:AL,19,FALSE)-50),"-",(VLOOKUP($A200,'SegEnds_NonXtal_BW#'!$A:$Z,14,FALSE)+VLOOKUP($A200,A:AL,19,FALSE)-50))</f>
        <v>182</v>
      </c>
      <c r="U200" s="9">
        <f>IF(ISERROR(VLOOKUP($A200,'SegEnds_NonXtal_BW#'!$A:$Z,15,FALSE)+VLOOKUP($A200,A:AL,22,FALSE)-50),"-",VLOOKUP($A200,'SegEnds_NonXtal_BW#'!$A:$Z,15,FALSE)+VLOOKUP($A200,A:AL,22,FALSE)-50)</f>
        <v>183</v>
      </c>
      <c r="V200" s="3">
        <v>195</v>
      </c>
      <c r="W200" s="3">
        <f>IF(ISERROR(VLOOKUP($A200,'SegEnds_NonXtal_BW#'!$A:$Z,16,FALSE)+VLOOKUP($A200,A:AL,22,FALSE)-50),"-",(VLOOKUP($A200,'SegEnds_NonXtal_BW#'!$A:$Z,16,FALSE)+VLOOKUP($A200,A:AL,22,FALSE)-50))</f>
        <v>207</v>
      </c>
      <c r="X200" s="3">
        <f>IF(ISERROR(VLOOKUP($A200,'SegEnds_NonXtal_BW#'!$A:$Z,17,FALSE)+VLOOKUP($A200,A:AL,25,FALSE)-50),"-",(VLOOKUP($A200,'SegEnds_NonXtal_BW#'!$A:$Z,17,FALSE)+VLOOKUP($A200,A:AL,25,FALSE)-50))</f>
        <v>221</v>
      </c>
      <c r="Y200" s="3">
        <v>221</v>
      </c>
      <c r="Z200" s="3">
        <f t="shared" si="117"/>
        <v>223</v>
      </c>
      <c r="AA200" s="3">
        <f>IF(ISERROR(VLOOKUP($A200,'SegEnds_NonXtal_BW#'!$A:$Z,19,FALSE)+VLOOKUP($A200,A:AL,28,FALSE)-50),"-",(VLOOKUP($A200,'SegEnds_NonXtal_BW#'!$A:$Z,19,FALSE)+VLOOKUP($A200,A:AL,28,FALSE)-50))</f>
        <v>231</v>
      </c>
      <c r="AB200" s="3">
        <v>247</v>
      </c>
      <c r="AC200" s="3">
        <f>IF(ISERROR((VLOOKUP($A200,'SegEnds_NonXtal_BW#'!$A:$Z,20,FALSE)+VLOOKUP($A200,A:AL,28,FALSE)-50)),"-",(VLOOKUP($A200,'SegEnds_NonXtal_BW#'!$A:$Z,20,FALSE)+VLOOKUP($A200,A:AL,28,FALSE)-50))</f>
        <v>271</v>
      </c>
      <c r="AD200" s="3">
        <f>IF(ISERROR(VLOOKUP($A200,'SegEnds_NonXtal_BW#'!$A:$Z,21,FALSE)+VLOOKUP($A200,A:AL,31,FALSE)-50),"-",(VLOOKUP($A200,'SegEnds_NonXtal_BW#'!$A:$Z,21,FALSE)+VLOOKUP($A200,A:AL,31,FALSE)-50))</f>
        <v>282</v>
      </c>
      <c r="AE200" s="3">
        <v>311</v>
      </c>
      <c r="AF200" s="3">
        <f>IF(ISERROR((VLOOKUP($A200,'SegEnds_NonXtal_BW#'!$A:$Z,22,FALSE)+VLOOKUP($A200,A:AL,31,FALSE)-50)),"-",(VLOOKUP($A200,'SegEnds_NonXtal_BW#'!$A:$Z,22,FALSE)+VLOOKUP($A200,A:AL,31,FALSE)-50))</f>
        <v>322</v>
      </c>
      <c r="AG200" s="3">
        <f>IF(ISERROR(VLOOKUP($A200,'SegEnds_NonXtal_BW#'!$A:$Z,23,FALSE)+VLOOKUP($A200,A:AL,34,FALSE)-50),"-",(VLOOKUP($A200,'SegEnds_NonXtal_BW#'!$A:$Z,23,FALSE)+VLOOKUP($A200,A:AL,34,FALSE)-50))</f>
        <v>328</v>
      </c>
      <c r="AH200" s="3">
        <v>347</v>
      </c>
      <c r="AI200" s="3">
        <f>IF(ISERROR((VLOOKUP($A200,'SegEnds_NonXtal_BW#'!$A:$Z,24,FALSE)+VLOOKUP($A200,A:AL,34,FALSE)-50)),"-",(VLOOKUP($A200,'SegEnds_NonXtal_BW#'!$A:$Z,24,FALSE)+VLOOKUP($A200,A:AL,34,FALSE)-50))</f>
        <v>353</v>
      </c>
      <c r="AJ200" s="3">
        <f>IF(ISERROR(VLOOKUP($A200,'SegEnds_NonXtal_BW#'!$A:$Z,25,FALSE)+VLOOKUP($A200,A:AL,37,FALSE)-50),"-",(VLOOKUP($A200,'SegEnds_NonXtal_BW#'!$A:$Z,25,FALSE)+VLOOKUP($A200,A:AL,37,FALSE)-50))</f>
        <v>354</v>
      </c>
      <c r="AK200" s="3">
        <v>357</v>
      </c>
      <c r="AL200" s="3">
        <f>IF(ISERROR((VLOOKUP($A200,'SegEnds_NonXtal_BW#'!$A:$Z,26,FALSE)+VLOOKUP($A200,A:AL,37,FALSE)-50)),"-",(VLOOKUP($A200,'SegEnds_NonXtal_BW#'!$A:$Z,26,FALSE)+VLOOKUP($A200,A:AL,37,FALSE)-50))</f>
        <v>366</v>
      </c>
      <c r="AM200" s="28" t="str">
        <f>VLOOKUP(A200,Classification!A:B,2,FALSE)</f>
        <v>A</v>
      </c>
      <c r="AN200" s="28" t="b">
        <f t="shared" si="133"/>
        <v>1</v>
      </c>
      <c r="AO200" s="3" t="str">
        <f>IF(ISERROR(MATCH(A200,'SegEnds_Xtal_Prot#'!B:B, 0)), "NoXtal", "Xtal")</f>
        <v>NoXtal</v>
      </c>
      <c r="AP200" s="3">
        <f t="shared" si="118"/>
        <v>1</v>
      </c>
      <c r="AQ200" s="3">
        <f t="shared" si="119"/>
        <v>1</v>
      </c>
      <c r="AR200" s="3">
        <f t="shared" si="120"/>
        <v>1</v>
      </c>
      <c r="AS200" s="3">
        <f t="shared" si="121"/>
        <v>1</v>
      </c>
      <c r="AT200" s="3">
        <f t="shared" si="122"/>
        <v>1</v>
      </c>
      <c r="AU200" s="3">
        <f t="shared" si="123"/>
        <v>1</v>
      </c>
      <c r="AV200" s="3">
        <f t="shared" si="124"/>
        <v>14</v>
      </c>
      <c r="AW200" s="3">
        <f t="shared" si="125"/>
        <v>8</v>
      </c>
      <c r="AX200" s="3">
        <f t="shared" si="126"/>
        <v>11</v>
      </c>
      <c r="AY200" s="3">
        <f t="shared" si="127"/>
        <v>6</v>
      </c>
      <c r="AZ200" s="3">
        <f t="shared" si="128"/>
        <v>1</v>
      </c>
      <c r="BA200" s="3">
        <f>IF(ISERROR(LEN(VLOOKUP(A200,Seqs!A:E,2,FALSE))-AL200),"-",LEN(VLOOKUP(A200,Seqs!A:E,2,FALSE))-AL200)</f>
        <v>112</v>
      </c>
      <c r="BB200" s="16">
        <f t="shared" si="129"/>
        <v>28</v>
      </c>
      <c r="BC200" s="9">
        <f t="shared" si="130"/>
        <v>20</v>
      </c>
      <c r="BD200" s="3">
        <f t="shared" si="131"/>
        <v>28</v>
      </c>
      <c r="BE200" s="3">
        <f t="shared" si="132"/>
        <v>64</v>
      </c>
    </row>
    <row r="201" spans="1:57" s="3" customFormat="1" x14ac:dyDescent="0.2">
      <c r="A201" s="3" t="s">
        <v>335</v>
      </c>
      <c r="B201" s="3" t="str">
        <f>LOWER(VLOOKUP(A201,Xtal_Templ!A:B,2,FALSE))</f>
        <v>oprd_human</v>
      </c>
      <c r="C201" s="3">
        <f>VLOOKUP($A201,'SegEnds_NonXtal_BW#'!$A:$Z,3,FALSE)+D201-50</f>
        <v>39</v>
      </c>
      <c r="D201" s="3">
        <v>67</v>
      </c>
      <c r="E201" s="3">
        <f>IF(ISERROR(VLOOKUP($A201,'SegEnds_NonXtal_BW#'!$A:$Z,4,FALSE)+VLOOKUP($A201,A:AL,4,FALSE)-50),"-",(VLOOKUP($A201,'SegEnds_NonXtal_BW#'!$A:$Z,4,FALSE)+VLOOKUP($A201,A:AL,4,FALSE)-50))</f>
        <v>77</v>
      </c>
      <c r="F201" s="3">
        <f t="shared" si="134"/>
        <v>78</v>
      </c>
      <c r="G201" s="3">
        <v>80</v>
      </c>
      <c r="H201" s="3">
        <f t="shared" si="135"/>
        <v>81</v>
      </c>
      <c r="I201" s="3">
        <f t="shared" si="135"/>
        <v>82</v>
      </c>
      <c r="J201" s="3">
        <v>95</v>
      </c>
      <c r="K201" s="3">
        <f>VLOOKUP($A201,'SegEnds_NonXtal_BW#'!$A:$Z,8,FALSE)+VLOOKUP($A201,A:AL,10,FALSE)-50</f>
        <v>111</v>
      </c>
      <c r="L201" s="3">
        <f>M201-1</f>
        <v>113</v>
      </c>
      <c r="M201" s="3">
        <v>114</v>
      </c>
      <c r="N201" s="3">
        <f>M201+2</f>
        <v>116</v>
      </c>
      <c r="O201" s="3">
        <f t="shared" si="116"/>
        <v>117</v>
      </c>
      <c r="P201" s="3">
        <v>146</v>
      </c>
      <c r="Q201" s="3">
        <f>VLOOKUP($A201,'SegEnds_NonXtal_BW#'!$A:$Z,12,FALSE)+VLOOKUP($A201,A:AL,16,FALSE)-50</f>
        <v>152</v>
      </c>
      <c r="R201" s="3">
        <f>IF(ISERROR(VLOOKUP($A201,'SegEnds_NonXtal_BW#'!$A:$Z,13,FALSE)+VLOOKUP($A201,A:AL,19,FALSE)-50),"-",VLOOKUP($A201,'SegEnds_NonXtal_BW#'!$A:$Z,13,FALSE)+VLOOKUP($A201,A:AL,19,FALSE)-50)</f>
        <v>153</v>
      </c>
      <c r="S201" s="3">
        <v>153</v>
      </c>
      <c r="T201" s="100">
        <f>IF(ISERROR(VLOOKUP($A201,'SegEnds_NonXtal_BW#'!$A:$Z,14,FALSE)+VLOOKUP($A201,A:AL,19,FALSE)-50),"-",(VLOOKUP($A201,'SegEnds_NonXtal_BW#'!$A:$Z,14,FALSE)+VLOOKUP($A201,A:AL,19,FALSE)-50))</f>
        <v>160</v>
      </c>
      <c r="U201" s="9">
        <f>IF(ISERROR(VLOOKUP($A201,'SegEnds_NonXtal_BW#'!$A:$Z,15,FALSE)+VLOOKUP($A201,A:AL,22,FALSE)-50),"-",VLOOKUP($A201,'SegEnds_NonXtal_BW#'!$A:$Z,15,FALSE)+VLOOKUP($A201,A:AL,22,FALSE)-50)</f>
        <v>161</v>
      </c>
      <c r="V201" s="3">
        <v>173</v>
      </c>
      <c r="W201" s="3">
        <f>IF(ISERROR(VLOOKUP($A201,'SegEnds_NonXtal_BW#'!$A:$Z,16,FALSE)+VLOOKUP($A201,A:AL,22,FALSE)-50),"-",(VLOOKUP($A201,'SegEnds_NonXtal_BW#'!$A:$Z,16,FALSE)+VLOOKUP($A201,A:AL,22,FALSE)-50))</f>
        <v>187</v>
      </c>
      <c r="X201" s="3">
        <f>IF(ISERROR(VLOOKUP($A201,'SegEnds_NonXtal_BW#'!$A:$Z,17,FALSE)+VLOOKUP($A201,A:AL,25,FALSE)-50),"-",(VLOOKUP($A201,'SegEnds_NonXtal_BW#'!$A:$Z,17,FALSE)+VLOOKUP($A201,A:AL,25,FALSE)-50))</f>
        <v>198</v>
      </c>
      <c r="Y201" s="3">
        <v>198</v>
      </c>
      <c r="Z201" s="3">
        <f t="shared" si="117"/>
        <v>200</v>
      </c>
      <c r="AA201" s="3">
        <f>IF(ISERROR(VLOOKUP($A201,'SegEnds_NonXtal_BW#'!$A:$Z,19,FALSE)+VLOOKUP($A201,A:AL,28,FALSE)-50),"-",(VLOOKUP($A201,'SegEnds_NonXtal_BW#'!$A:$Z,19,FALSE)+VLOOKUP($A201,A:AL,28,FALSE)-50))</f>
        <v>206</v>
      </c>
      <c r="AB201" s="3">
        <v>225</v>
      </c>
      <c r="AC201" s="3">
        <f>IF(ISERROR((VLOOKUP($A201,'SegEnds_NonXtal_BW#'!$A:$Z,20,FALSE)+VLOOKUP($A201,A:AL,28,FALSE)-50)),"-",(VLOOKUP($A201,'SegEnds_NonXtal_BW#'!$A:$Z,20,FALSE)+VLOOKUP($A201,A:AL,28,FALSE)-50))</f>
        <v>243</v>
      </c>
      <c r="AD201" s="3">
        <f>IF(ISERROR(VLOOKUP($A201,'SegEnds_NonXtal_BW#'!$A:$Z,21,FALSE)+VLOOKUP($A201,A:AL,31,FALSE)-50),"-",(VLOOKUP($A201,'SegEnds_NonXtal_BW#'!$A:$Z,21,FALSE)+VLOOKUP($A201,A:AL,31,FALSE)-50))</f>
        <v>249</v>
      </c>
      <c r="AE201" s="3">
        <v>276</v>
      </c>
      <c r="AF201" s="3">
        <f>IF(ISERROR((VLOOKUP($A201,'SegEnds_NonXtal_BW#'!$A:$Z,22,FALSE)+VLOOKUP($A201,A:AL,31,FALSE)-50)),"-",(VLOOKUP($A201,'SegEnds_NonXtal_BW#'!$A:$Z,22,FALSE)+VLOOKUP($A201,A:AL,31,FALSE)-50))</f>
        <v>287</v>
      </c>
      <c r="AG201" s="3">
        <f>IF(ISERROR(VLOOKUP($A201,'SegEnds_NonXtal_BW#'!$A:$Z,23,FALSE)+VLOOKUP($A201,A:AL,34,FALSE)-50),"-",(VLOOKUP($A201,'SegEnds_NonXtal_BW#'!$A:$Z,23,FALSE)+VLOOKUP($A201,A:AL,34,FALSE)-50))</f>
        <v>293</v>
      </c>
      <c r="AH201" s="3">
        <v>315</v>
      </c>
      <c r="AI201" s="3">
        <f>IF(ISERROR((VLOOKUP($A201,'SegEnds_NonXtal_BW#'!$A:$Z,24,FALSE)+VLOOKUP($A201,A:AL,34,FALSE)-50)),"-",(VLOOKUP($A201,'SegEnds_NonXtal_BW#'!$A:$Z,24,FALSE)+VLOOKUP($A201,A:AL,34,FALSE)-50))</f>
        <v>321</v>
      </c>
      <c r="AJ201" s="3">
        <f>IF(ISERROR(VLOOKUP($A201,'SegEnds_NonXtal_BW#'!$A:$Z,25,FALSE)+VLOOKUP($A201,A:AL,37,FALSE)-50),"-",(VLOOKUP($A201,'SegEnds_NonXtal_BW#'!$A:$Z,25,FALSE)+VLOOKUP($A201,A:AL,37,FALSE)-50))</f>
        <v>322</v>
      </c>
      <c r="AK201" s="3">
        <v>325</v>
      </c>
      <c r="AL201" s="3">
        <f>IF(ISERROR((VLOOKUP($A201,'SegEnds_NonXtal_BW#'!$A:$Z,26,FALSE)+VLOOKUP($A201,A:AL,37,FALSE)-50)),"-",(VLOOKUP($A201,'SegEnds_NonXtal_BW#'!$A:$Z,26,FALSE)+VLOOKUP($A201,A:AL,37,FALSE)-50))</f>
        <v>335</v>
      </c>
      <c r="AM201" s="28" t="str">
        <f>VLOOKUP(A201,Classification!A:B,2,FALSE)</f>
        <v>A</v>
      </c>
      <c r="AN201" s="28" t="b">
        <f t="shared" si="133"/>
        <v>1</v>
      </c>
      <c r="AO201" s="3" t="str">
        <f>IF(ISERROR(MATCH(A201,'SegEnds_Xtal_Prot#'!B:B, 0)), "NoXtal", "Xtal")</f>
        <v>Xtal</v>
      </c>
      <c r="AP201" s="3">
        <f t="shared" si="118"/>
        <v>1</v>
      </c>
      <c r="AQ201" s="3">
        <f t="shared" si="119"/>
        <v>1</v>
      </c>
      <c r="AR201" s="3">
        <f t="shared" si="120"/>
        <v>2</v>
      </c>
      <c r="AS201" s="3">
        <f t="shared" si="121"/>
        <v>1</v>
      </c>
      <c r="AT201" s="3">
        <f t="shared" si="122"/>
        <v>1</v>
      </c>
      <c r="AU201" s="3">
        <f t="shared" si="123"/>
        <v>1</v>
      </c>
      <c r="AV201" s="3">
        <f t="shared" si="124"/>
        <v>11</v>
      </c>
      <c r="AW201" s="3">
        <f t="shared" si="125"/>
        <v>6</v>
      </c>
      <c r="AX201" s="3">
        <f t="shared" si="126"/>
        <v>6</v>
      </c>
      <c r="AY201" s="3">
        <f t="shared" si="127"/>
        <v>6</v>
      </c>
      <c r="AZ201" s="3">
        <f t="shared" si="128"/>
        <v>1</v>
      </c>
      <c r="BA201" s="3">
        <f>IF(ISERROR(LEN(VLOOKUP(A201,Seqs!A:E,2,FALSE))-AL201),"-",LEN(VLOOKUP(A201,Seqs!A:E,2,FALSE))-AL201)</f>
        <v>37</v>
      </c>
      <c r="BB201" s="16">
        <f t="shared" si="129"/>
        <v>28</v>
      </c>
      <c r="BC201" s="9">
        <f t="shared" si="130"/>
        <v>20</v>
      </c>
      <c r="BD201" s="3">
        <f t="shared" si="131"/>
        <v>28</v>
      </c>
      <c r="BE201" s="3">
        <f t="shared" si="132"/>
        <v>51</v>
      </c>
    </row>
    <row r="202" spans="1:57" s="3" customFormat="1" x14ac:dyDescent="0.2">
      <c r="A202" s="3" t="s">
        <v>916</v>
      </c>
      <c r="B202" s="3" t="str">
        <f>LOWER(VLOOKUP(A202,Xtal_Templ!A:B,2,FALSE))</f>
        <v>oprd_human</v>
      </c>
      <c r="C202" s="3">
        <f>VLOOKUP($A202,'SegEnds_NonXtal_BW#'!$A:$Z,3,FALSE)+D202-50</f>
        <v>39</v>
      </c>
      <c r="D202" s="3">
        <v>67</v>
      </c>
      <c r="E202" s="3">
        <f>IF(ISERROR(VLOOKUP($A202,'SegEnds_NonXtal_BW#'!$A:$Z,4,FALSE)+VLOOKUP($A202,A:AL,4,FALSE)-50),"-",(VLOOKUP($A202,'SegEnds_NonXtal_BW#'!$A:$Z,4,FALSE)+VLOOKUP($A202,A:AL,4,FALSE)-50))</f>
        <v>77</v>
      </c>
      <c r="F202" s="3">
        <f t="shared" si="134"/>
        <v>78</v>
      </c>
      <c r="G202" s="3">
        <v>80</v>
      </c>
      <c r="H202" s="3">
        <f t="shared" si="135"/>
        <v>81</v>
      </c>
      <c r="I202" s="3">
        <f t="shared" si="135"/>
        <v>82</v>
      </c>
      <c r="J202" s="3">
        <v>95</v>
      </c>
      <c r="K202" s="3">
        <f>VLOOKUP($A202,'SegEnds_NonXtal_BW#'!$A:$Z,8,FALSE)+VLOOKUP($A202,A:AL,10,FALSE)-50</f>
        <v>111</v>
      </c>
      <c r="L202" s="3">
        <f>IF(ISERROR(VLOOKUP($A202,'SegEnds_NonXtal_BW#'!$A:$Z,9,FALSE)+VLOOKUP($A202,A:AL,13,FALSE)-50),"-",(VLOOKUP($A202,'SegEnds_NonXtal_BW#'!$A:$Z,9,FALSE)+VLOOKUP($A202,A:AL,13,FALSE)-50))</f>
        <v>113</v>
      </c>
      <c r="M202" s="3">
        <v>114</v>
      </c>
      <c r="N202" s="3">
        <f>IF(ISERROR(VLOOKUP($A202,'SegEnds_NonXtal_BW#'!$A:$Z,10,FALSE)+VLOOKUP($A202,A:AL,13,FALSE)-50),"-",(VLOOKUP($A202,'SegEnds_NonXtal_BW#'!$A:$Z,10,FALSE)+VLOOKUP($A202,A:AL,13,FALSE)-50))</f>
        <v>116</v>
      </c>
      <c r="O202" s="3">
        <f t="shared" si="116"/>
        <v>117</v>
      </c>
      <c r="P202" s="3">
        <v>146</v>
      </c>
      <c r="Q202" s="3">
        <f>VLOOKUP($A202,'SegEnds_NonXtal_BW#'!$A:$Z,12,FALSE)+VLOOKUP($A202,A:AL,16,FALSE)-50</f>
        <v>152</v>
      </c>
      <c r="R202" s="3">
        <f>IF(ISERROR(VLOOKUP($A202,'SegEnds_NonXtal_BW#'!$A:$Z,13,FALSE)+VLOOKUP($A202,A:AL,19,FALSE)-50),"-",VLOOKUP($A202,'SegEnds_NonXtal_BW#'!$A:$Z,13,FALSE)+VLOOKUP($A202,A:AL,19,FALSE)-50)</f>
        <v>153</v>
      </c>
      <c r="S202" s="3">
        <v>153</v>
      </c>
      <c r="T202" s="100">
        <f>IF(ISERROR(VLOOKUP($A202,'SegEnds_NonXtal_BW#'!$A:$Z,14,FALSE)+VLOOKUP($A202,A:AL,19,FALSE)-50),"-",(VLOOKUP($A202,'SegEnds_NonXtal_BW#'!$A:$Z,14,FALSE)+VLOOKUP($A202,A:AL,19,FALSE)-50))</f>
        <v>160</v>
      </c>
      <c r="U202" s="9">
        <f>IF(ISERROR(VLOOKUP($A202,'SegEnds_NonXtal_BW#'!$A:$Z,15,FALSE)+VLOOKUP($A202,A:AL,22,FALSE)-50),"-",VLOOKUP($A202,'SegEnds_NonXtal_BW#'!$A:$Z,15,FALSE)+VLOOKUP($A202,A:AL,22,FALSE)-50)</f>
        <v>161</v>
      </c>
      <c r="V202" s="3">
        <v>173</v>
      </c>
      <c r="W202" s="3">
        <f>IF(ISERROR(VLOOKUP($A202,'SegEnds_NonXtal_BW#'!$A:$Z,16,FALSE)+VLOOKUP($A202,A:AL,22,FALSE)-50),"-",(VLOOKUP($A202,'SegEnds_NonXtal_BW#'!$A:$Z,16,FALSE)+VLOOKUP($A202,A:AL,22,FALSE)-50))</f>
        <v>187</v>
      </c>
      <c r="X202" s="3">
        <f>IF(ISERROR(VLOOKUP($A202,'SegEnds_NonXtal_BW#'!$A:$Z,17,FALSE)+VLOOKUP($A202,A:AL,25,FALSE)-50),"-",(VLOOKUP($A202,'SegEnds_NonXtal_BW#'!$A:$Z,17,FALSE)+VLOOKUP($A202,A:AL,25,FALSE)-50))</f>
        <v>198</v>
      </c>
      <c r="Y202" s="3">
        <v>198</v>
      </c>
      <c r="Z202" s="3">
        <f t="shared" si="117"/>
        <v>200</v>
      </c>
      <c r="AA202" s="3">
        <f>IF(ISERROR(VLOOKUP($A202,'SegEnds_NonXtal_BW#'!$A:$Z,19,FALSE)+VLOOKUP($A202,A:AL,28,FALSE)-50),"-",(VLOOKUP($A202,'SegEnds_NonXtal_BW#'!$A:$Z,19,FALSE)+VLOOKUP($A202,A:AL,28,FALSE)-50))</f>
        <v>206</v>
      </c>
      <c r="AB202" s="3">
        <v>225</v>
      </c>
      <c r="AC202" s="3">
        <f>IF(ISERROR((VLOOKUP($A202,'SegEnds_NonXtal_BW#'!$A:$Z,20,FALSE)+VLOOKUP($A202,A:AL,28,FALSE)-50)),"-",(VLOOKUP($A202,'SegEnds_NonXtal_BW#'!$A:$Z,20,FALSE)+VLOOKUP($A202,A:AL,28,FALSE)-50))</f>
        <v>243</v>
      </c>
      <c r="AD202" s="3">
        <f>IF(ISERROR(VLOOKUP($A202,'SegEnds_NonXtal_BW#'!$A:$Z,21,FALSE)+VLOOKUP($A202,A:AL,31,FALSE)-50),"-",(VLOOKUP($A202,'SegEnds_NonXtal_BW#'!$A:$Z,21,FALSE)+VLOOKUP($A202,A:AL,31,FALSE)-50))</f>
        <v>249</v>
      </c>
      <c r="AE202" s="3">
        <v>276</v>
      </c>
      <c r="AF202" s="3">
        <f>IF(ISERROR((VLOOKUP($A202,'SegEnds_NonXtal_BW#'!$A:$Z,22,FALSE)+VLOOKUP($A202,A:AL,31,FALSE)-50)),"-",(VLOOKUP($A202,'SegEnds_NonXtal_BW#'!$A:$Z,22,FALSE)+VLOOKUP($A202,A:AL,31,FALSE)-50))</f>
        <v>287</v>
      </c>
      <c r="AG202" s="3">
        <f>IF(ISERROR(VLOOKUP($A202,'SegEnds_NonXtal_BW#'!$A:$Z,23,FALSE)+VLOOKUP($A202,A:AL,34,FALSE)-50),"-",(VLOOKUP($A202,'SegEnds_NonXtal_BW#'!$A:$Z,23,FALSE)+VLOOKUP($A202,A:AL,34,FALSE)-50))</f>
        <v>293</v>
      </c>
      <c r="AH202" s="3">
        <v>315</v>
      </c>
      <c r="AI202" s="3">
        <f>IF(ISERROR((VLOOKUP($A202,'SegEnds_NonXtal_BW#'!$A:$Z,24,FALSE)+VLOOKUP($A202,A:AL,34,FALSE)-50)),"-",(VLOOKUP($A202,'SegEnds_NonXtal_BW#'!$A:$Z,24,FALSE)+VLOOKUP($A202,A:AL,34,FALSE)-50))</f>
        <v>321</v>
      </c>
      <c r="AJ202" s="3">
        <f>IF(ISERROR(VLOOKUP($A202,'SegEnds_NonXtal_BW#'!$A:$Z,25,FALSE)+VLOOKUP($A202,A:AL,37,FALSE)-50),"-",(VLOOKUP($A202,'SegEnds_NonXtal_BW#'!$A:$Z,25,FALSE)+VLOOKUP($A202,A:AL,37,FALSE)-50))</f>
        <v>322</v>
      </c>
      <c r="AK202" s="3">
        <v>325</v>
      </c>
      <c r="AL202" s="3">
        <f>IF(ISERROR((VLOOKUP($A202,'SegEnds_NonXtal_BW#'!$A:$Z,26,FALSE)+VLOOKUP($A202,A:AL,37,FALSE)-50)),"-",(VLOOKUP($A202,'SegEnds_NonXtal_BW#'!$A:$Z,26,FALSE)+VLOOKUP($A202,A:AL,37,FALSE)-50))</f>
        <v>335</v>
      </c>
      <c r="AM202" s="28" t="str">
        <f>VLOOKUP(A202,Classification!A:B,2,FALSE)</f>
        <v>A</v>
      </c>
      <c r="AN202" s="28" t="b">
        <f t="shared" si="133"/>
        <v>1</v>
      </c>
      <c r="AO202" s="3" t="str">
        <f>IF(ISERROR(MATCH(A202,'SegEnds_Xtal_Prot#'!B:B, 0)), "NoXtal", "Xtal")</f>
        <v>Xtal</v>
      </c>
      <c r="AP202" s="3">
        <f t="shared" si="118"/>
        <v>1</v>
      </c>
      <c r="AQ202" s="3">
        <f t="shared" si="119"/>
        <v>1</v>
      </c>
      <c r="AR202" s="3">
        <f t="shared" si="120"/>
        <v>2</v>
      </c>
      <c r="AS202" s="3">
        <f t="shared" si="121"/>
        <v>1</v>
      </c>
      <c r="AT202" s="3">
        <f t="shared" si="122"/>
        <v>1</v>
      </c>
      <c r="AU202" s="3">
        <f t="shared" si="123"/>
        <v>1</v>
      </c>
      <c r="AV202" s="3">
        <f t="shared" si="124"/>
        <v>11</v>
      </c>
      <c r="AW202" s="3">
        <f t="shared" si="125"/>
        <v>6</v>
      </c>
      <c r="AX202" s="3">
        <f t="shared" si="126"/>
        <v>6</v>
      </c>
      <c r="AY202" s="3">
        <f t="shared" si="127"/>
        <v>6</v>
      </c>
      <c r="AZ202" s="3">
        <f t="shared" si="128"/>
        <v>1</v>
      </c>
      <c r="BA202" s="3">
        <f>IF(ISERROR(LEN(VLOOKUP(A202,Seqs!A:E,2,FALSE))-AL202),"-",LEN(VLOOKUP(A202,Seqs!A:E,2,FALSE))-AL202)</f>
        <v>37</v>
      </c>
      <c r="BB202" s="16">
        <f t="shared" si="129"/>
        <v>28</v>
      </c>
      <c r="BC202" s="9">
        <f t="shared" si="130"/>
        <v>20</v>
      </c>
      <c r="BD202" s="3">
        <f t="shared" si="131"/>
        <v>28</v>
      </c>
      <c r="BE202" s="3">
        <f t="shared" si="132"/>
        <v>51</v>
      </c>
    </row>
    <row r="203" spans="1:57" s="3" customFormat="1" x14ac:dyDescent="0.2">
      <c r="A203" s="3" t="s">
        <v>336</v>
      </c>
      <c r="B203" s="3" t="str">
        <f>LOWER(VLOOKUP(A203,Xtal_Templ!A:B,2,FALSE))</f>
        <v>oprk_human</v>
      </c>
      <c r="C203" s="3">
        <f>VLOOKUP($A203,'SegEnds_NonXtal_BW#'!$A:$Z,3,FALSE)+D203-50</f>
        <v>57</v>
      </c>
      <c r="D203" s="3">
        <v>77</v>
      </c>
      <c r="E203" s="3">
        <f>IF(ISERROR(VLOOKUP($A203,'SegEnds_NonXtal_BW#'!$A:$Z,4,FALSE)+VLOOKUP($A203,A:AL,4,FALSE)-50),"-",(VLOOKUP($A203,'SegEnds_NonXtal_BW#'!$A:$Z,4,FALSE)+VLOOKUP($A203,A:AL,4,FALSE)-50))</f>
        <v>87</v>
      </c>
      <c r="F203" s="3">
        <f t="shared" si="134"/>
        <v>88</v>
      </c>
      <c r="G203" s="3">
        <v>90</v>
      </c>
      <c r="H203" s="3">
        <f t="shared" si="135"/>
        <v>91</v>
      </c>
      <c r="I203" s="3">
        <f t="shared" si="135"/>
        <v>92</v>
      </c>
      <c r="J203" s="3">
        <v>105</v>
      </c>
      <c r="K203" s="3">
        <f>VLOOKUP($A203,'SegEnds_NonXtal_BW#'!$A:$Z,8,FALSE)+VLOOKUP($A203,A:AL,10,FALSE)-50</f>
        <v>121</v>
      </c>
      <c r="L203" s="3">
        <f>M203-1</f>
        <v>123</v>
      </c>
      <c r="M203" s="3">
        <v>124</v>
      </c>
      <c r="N203" s="3">
        <f>M203+2</f>
        <v>126</v>
      </c>
      <c r="O203" s="3">
        <f t="shared" si="116"/>
        <v>127</v>
      </c>
      <c r="P203" s="3">
        <v>156</v>
      </c>
      <c r="Q203" s="3">
        <f>VLOOKUP($A203,'SegEnds_NonXtal_BW#'!$A:$Z,12,FALSE)+VLOOKUP($A203,A:AL,16,FALSE)-50</f>
        <v>162</v>
      </c>
      <c r="R203" s="3">
        <f>IF(ISERROR(VLOOKUP($A203,'SegEnds_NonXtal_BW#'!$A:$Z,13,FALSE)+VLOOKUP($A203,A:AL,19,FALSE)-50),"-",VLOOKUP($A203,'SegEnds_NonXtal_BW#'!$A:$Z,13,FALSE)+VLOOKUP($A203,A:AL,19,FALSE)-50)</f>
        <v>163</v>
      </c>
      <c r="S203" s="3">
        <v>163</v>
      </c>
      <c r="T203" s="100">
        <f>IF(ISERROR(VLOOKUP($A203,'SegEnds_NonXtal_BW#'!$A:$Z,14,FALSE)+VLOOKUP($A203,A:AL,19,FALSE)-50),"-",(VLOOKUP($A203,'SegEnds_NonXtal_BW#'!$A:$Z,14,FALSE)+VLOOKUP($A203,A:AL,19,FALSE)-50))</f>
        <v>170</v>
      </c>
      <c r="U203" s="9">
        <f>IF(ISERROR(VLOOKUP($A203,'SegEnds_NonXtal_BW#'!$A:$Z,15,FALSE)+VLOOKUP($A203,A:AL,22,FALSE)-50),"-",VLOOKUP($A203,'SegEnds_NonXtal_BW#'!$A:$Z,15,FALSE)+VLOOKUP($A203,A:AL,22,FALSE)-50)</f>
        <v>171</v>
      </c>
      <c r="V203" s="3">
        <v>183</v>
      </c>
      <c r="W203" s="3">
        <f>IF(ISERROR(VLOOKUP($A203,'SegEnds_NonXtal_BW#'!$A:$Z,16,FALSE)+VLOOKUP($A203,A:AL,22,FALSE)-50),"-",(VLOOKUP($A203,'SegEnds_NonXtal_BW#'!$A:$Z,16,FALSE)+VLOOKUP($A203,A:AL,22,FALSE)-50))</f>
        <v>197</v>
      </c>
      <c r="X203" s="3">
        <f>IF(ISERROR(VLOOKUP($A203,'SegEnds_NonXtal_BW#'!$A:$Z,17,FALSE)+VLOOKUP($A203,A:AL,25,FALSE)-50),"-",(VLOOKUP($A203,'SegEnds_NonXtal_BW#'!$A:$Z,17,FALSE)+VLOOKUP($A203,A:AL,25,FALSE)-50))</f>
        <v>210</v>
      </c>
      <c r="Y203" s="3">
        <v>210</v>
      </c>
      <c r="Z203" s="3">
        <f t="shared" si="117"/>
        <v>212</v>
      </c>
      <c r="AA203" s="3">
        <f>IF(ISERROR(VLOOKUP($A203,'SegEnds_NonXtal_BW#'!$A:$Z,19,FALSE)+VLOOKUP($A203,A:AL,28,FALSE)-50),"-",(VLOOKUP($A203,'SegEnds_NonXtal_BW#'!$A:$Z,19,FALSE)+VLOOKUP($A203,A:AL,28,FALSE)-50))</f>
        <v>218</v>
      </c>
      <c r="AB203" s="3">
        <v>238</v>
      </c>
      <c r="AC203" s="3">
        <f>IF(ISERROR((VLOOKUP($A203,'SegEnds_NonXtal_BW#'!$A:$Z,20,FALSE)+VLOOKUP($A203,A:AL,28,FALSE)-50)),"-",(VLOOKUP($A203,'SegEnds_NonXtal_BW#'!$A:$Z,20,FALSE)+VLOOKUP($A203,A:AL,28,FALSE)-50))</f>
        <v>256</v>
      </c>
      <c r="AD203" s="3">
        <f>IF(ISERROR(VLOOKUP($A203,'SegEnds_NonXtal_BW#'!$A:$Z,21,FALSE)+VLOOKUP($A203,A:AL,31,FALSE)-50),"-",(VLOOKUP($A203,'SegEnds_NonXtal_BW#'!$A:$Z,21,FALSE)+VLOOKUP($A203,A:AL,31,FALSE)-50))</f>
        <v>262</v>
      </c>
      <c r="AE203" s="3">
        <v>289</v>
      </c>
      <c r="AF203" s="3">
        <f>IF(ISERROR((VLOOKUP($A203,'SegEnds_NonXtal_BW#'!$A:$Z,22,FALSE)+VLOOKUP($A203,A:AL,31,FALSE)-50)),"-",(VLOOKUP($A203,'SegEnds_NonXtal_BW#'!$A:$Z,22,FALSE)+VLOOKUP($A203,A:AL,31,FALSE)-50))</f>
        <v>300</v>
      </c>
      <c r="AG203" s="3">
        <f>IF(ISERROR(VLOOKUP($A203,'SegEnds_NonXtal_BW#'!$A:$Z,23,FALSE)+VLOOKUP($A203,A:AL,34,FALSE)-50),"-",(VLOOKUP($A203,'SegEnds_NonXtal_BW#'!$A:$Z,23,FALSE)+VLOOKUP($A203,A:AL,34,FALSE)-50))</f>
        <v>305</v>
      </c>
      <c r="AH203" s="3">
        <v>327</v>
      </c>
      <c r="AI203" s="3">
        <f>IF(ISERROR((VLOOKUP($A203,'SegEnds_NonXtal_BW#'!$A:$Z,24,FALSE)+VLOOKUP($A203,A:AL,34,FALSE)-50)),"-",(VLOOKUP($A203,'SegEnds_NonXtal_BW#'!$A:$Z,24,FALSE)+VLOOKUP($A203,A:AL,34,FALSE)-50))</f>
        <v>333</v>
      </c>
      <c r="AJ203" s="3">
        <f>IF(ISERROR(VLOOKUP($A203,'SegEnds_NonXtal_BW#'!$A:$Z,25,FALSE)+VLOOKUP($A203,A:AL,37,FALSE)-50),"-",(VLOOKUP($A203,'SegEnds_NonXtal_BW#'!$A:$Z,25,FALSE)+VLOOKUP($A203,A:AL,37,FALSE)-50))</f>
        <v>334</v>
      </c>
      <c r="AK203" s="3">
        <v>337</v>
      </c>
      <c r="AL203" s="3">
        <f>IF(ISERROR((VLOOKUP($A203,'SegEnds_NonXtal_BW#'!$A:$Z,26,FALSE)+VLOOKUP($A203,A:AL,37,FALSE)-50)),"-",(VLOOKUP($A203,'SegEnds_NonXtal_BW#'!$A:$Z,26,FALSE)+VLOOKUP($A203,A:AL,37,FALSE)-50))</f>
        <v>346</v>
      </c>
      <c r="AM203" s="28" t="str">
        <f>VLOOKUP(A203,Classification!A:B,2,FALSE)</f>
        <v>A</v>
      </c>
      <c r="AN203" s="28" t="b">
        <f t="shared" si="133"/>
        <v>1</v>
      </c>
      <c r="AO203" s="3" t="str">
        <f>IF(ISERROR(MATCH(A203,'SegEnds_Xtal_Prot#'!B:B, 0)), "NoXtal", "Xtal")</f>
        <v>Xtal</v>
      </c>
      <c r="AP203" s="3">
        <f t="shared" si="118"/>
        <v>1</v>
      </c>
      <c r="AQ203" s="3">
        <f t="shared" si="119"/>
        <v>1</v>
      </c>
      <c r="AR203" s="3">
        <f t="shared" si="120"/>
        <v>2</v>
      </c>
      <c r="AS203" s="3">
        <f t="shared" si="121"/>
        <v>1</v>
      </c>
      <c r="AT203" s="3">
        <f t="shared" si="122"/>
        <v>1</v>
      </c>
      <c r="AU203" s="3">
        <f t="shared" si="123"/>
        <v>1</v>
      </c>
      <c r="AV203" s="3">
        <f t="shared" si="124"/>
        <v>13</v>
      </c>
      <c r="AW203" s="3">
        <f t="shared" si="125"/>
        <v>6</v>
      </c>
      <c r="AX203" s="3">
        <f t="shared" si="126"/>
        <v>6</v>
      </c>
      <c r="AY203" s="3">
        <f t="shared" si="127"/>
        <v>5</v>
      </c>
      <c r="AZ203" s="3">
        <f t="shared" si="128"/>
        <v>1</v>
      </c>
      <c r="BA203" s="3">
        <f>IF(ISERROR(LEN(VLOOKUP(A203,Seqs!A:E,2,FALSE))-AL203),"-",LEN(VLOOKUP(A203,Seqs!A:E,2,FALSE))-AL203)</f>
        <v>34</v>
      </c>
      <c r="BB203" s="16">
        <f t="shared" si="129"/>
        <v>28</v>
      </c>
      <c r="BC203" s="9">
        <f t="shared" si="130"/>
        <v>20</v>
      </c>
      <c r="BD203" s="3">
        <f t="shared" si="131"/>
        <v>28</v>
      </c>
      <c r="BE203" s="3">
        <f t="shared" si="132"/>
        <v>51</v>
      </c>
    </row>
    <row r="204" spans="1:57" s="3" customFormat="1" x14ac:dyDescent="0.2">
      <c r="A204" s="3" t="s">
        <v>337</v>
      </c>
      <c r="B204" s="3" t="str">
        <f>LOWER(VLOOKUP(A204,Xtal_Templ!A:B,2,FALSE))</f>
        <v>oprm_mouse</v>
      </c>
      <c r="C204" s="3">
        <f>VLOOKUP($A204,'SegEnds_NonXtal_BW#'!$A:$Z,3,FALSE)+D204-50</f>
        <v>67</v>
      </c>
      <c r="D204" s="3">
        <v>88</v>
      </c>
      <c r="E204" s="3">
        <f>IF(ISERROR(VLOOKUP($A204,'SegEnds_NonXtal_BW#'!$A:$Z,4,FALSE)+VLOOKUP($A204,A:AL,4,FALSE)-50),"-",(VLOOKUP($A204,'SegEnds_NonXtal_BW#'!$A:$Z,4,FALSE)+VLOOKUP($A204,A:AL,4,FALSE)-50))</f>
        <v>98</v>
      </c>
      <c r="F204" s="3">
        <f t="shared" si="134"/>
        <v>99</v>
      </c>
      <c r="G204" s="3">
        <v>101</v>
      </c>
      <c r="H204" s="3">
        <f t="shared" si="135"/>
        <v>102</v>
      </c>
      <c r="I204" s="3">
        <f t="shared" si="135"/>
        <v>103</v>
      </c>
      <c r="J204" s="3">
        <v>116</v>
      </c>
      <c r="K204" s="3">
        <f>VLOOKUP($A204,'SegEnds_NonXtal_BW#'!$A:$Z,8,FALSE)+VLOOKUP($A204,A:AL,10,FALSE)-50</f>
        <v>132</v>
      </c>
      <c r="L204" s="3">
        <f>M204-1</f>
        <v>134</v>
      </c>
      <c r="M204" s="3">
        <v>135</v>
      </c>
      <c r="N204" s="3">
        <f>M204+2</f>
        <v>137</v>
      </c>
      <c r="O204" s="3">
        <f t="shared" si="116"/>
        <v>138</v>
      </c>
      <c r="P204" s="3">
        <v>167</v>
      </c>
      <c r="Q204" s="3">
        <f>VLOOKUP($A204,'SegEnds_NonXtal_BW#'!$A:$Z,12,FALSE)+VLOOKUP($A204,A:AL,16,FALSE)-50</f>
        <v>173</v>
      </c>
      <c r="R204" s="3">
        <f>IF(ISERROR(VLOOKUP($A204,'SegEnds_NonXtal_BW#'!$A:$Z,13,FALSE)+VLOOKUP($A204,A:AL,19,FALSE)-50),"-",VLOOKUP($A204,'SegEnds_NonXtal_BW#'!$A:$Z,13,FALSE)+VLOOKUP($A204,A:AL,19,FALSE)-50)</f>
        <v>174</v>
      </c>
      <c r="S204" s="3">
        <v>174</v>
      </c>
      <c r="T204" s="100">
        <f>IF(ISERROR(VLOOKUP($A204,'SegEnds_NonXtal_BW#'!$A:$Z,14,FALSE)+VLOOKUP($A204,A:AL,19,FALSE)-50),"-",(VLOOKUP($A204,'SegEnds_NonXtal_BW#'!$A:$Z,14,FALSE)+VLOOKUP($A204,A:AL,19,FALSE)-50))</f>
        <v>181</v>
      </c>
      <c r="U204" s="9">
        <f>IF(ISERROR(VLOOKUP($A204,'SegEnds_NonXtal_BW#'!$A:$Z,15,FALSE)+VLOOKUP($A204,A:AL,22,FALSE)-50),"-",VLOOKUP($A204,'SegEnds_NonXtal_BW#'!$A:$Z,15,FALSE)+VLOOKUP($A204,A:AL,22,FALSE)-50)</f>
        <v>182</v>
      </c>
      <c r="V204" s="3">
        <v>194</v>
      </c>
      <c r="W204" s="3">
        <f>IF(ISERROR(VLOOKUP($A204,'SegEnds_NonXtal_BW#'!$A:$Z,16,FALSE)+VLOOKUP($A204,A:AL,22,FALSE)-50),"-",(VLOOKUP($A204,'SegEnds_NonXtal_BW#'!$A:$Z,16,FALSE)+VLOOKUP($A204,A:AL,22,FALSE)-50))</f>
        <v>208</v>
      </c>
      <c r="X204" s="3">
        <f>IF(ISERROR(VLOOKUP($A204,'SegEnds_NonXtal_BW#'!$A:$Z,17,FALSE)+VLOOKUP($A204,A:AL,25,FALSE)-50),"-",(VLOOKUP($A204,'SegEnds_NonXtal_BW#'!$A:$Z,17,FALSE)+VLOOKUP($A204,A:AL,25,FALSE)-50))</f>
        <v>219</v>
      </c>
      <c r="Y204" s="3">
        <v>219</v>
      </c>
      <c r="Z204" s="3">
        <f t="shared" si="117"/>
        <v>221</v>
      </c>
      <c r="AA204" s="3">
        <f>IF(ISERROR(VLOOKUP($A204,'SegEnds_NonXtal_BW#'!$A:$Z,19,FALSE)+VLOOKUP($A204,A:AL,28,FALSE)-50),"-",(VLOOKUP($A204,'SegEnds_NonXtal_BW#'!$A:$Z,19,FALSE)+VLOOKUP($A204,A:AL,28,FALSE)-50))</f>
        <v>227</v>
      </c>
      <c r="AB204" s="3">
        <v>246</v>
      </c>
      <c r="AC204" s="3">
        <f>IF(ISERROR((VLOOKUP($A204,'SegEnds_NonXtal_BW#'!$A:$Z,20,FALSE)+VLOOKUP($A204,A:AL,28,FALSE)-50)),"-",(VLOOKUP($A204,'SegEnds_NonXtal_BW#'!$A:$Z,20,FALSE)+VLOOKUP($A204,A:AL,28,FALSE)-50))</f>
        <v>264</v>
      </c>
      <c r="AD204" s="3">
        <f>IF(ISERROR(VLOOKUP($A204,'SegEnds_NonXtal_BW#'!$A:$Z,21,FALSE)+VLOOKUP($A204,A:AL,31,FALSE)-50),"-",(VLOOKUP($A204,'SegEnds_NonXtal_BW#'!$A:$Z,21,FALSE)+VLOOKUP($A204,A:AL,31,FALSE)-50))</f>
        <v>270</v>
      </c>
      <c r="AE204" s="3">
        <v>297</v>
      </c>
      <c r="AF204" s="3">
        <f>IF(ISERROR((VLOOKUP($A204,'SegEnds_NonXtal_BW#'!$A:$Z,22,FALSE)+VLOOKUP($A204,A:AL,31,FALSE)-50)),"-",(VLOOKUP($A204,'SegEnds_NonXtal_BW#'!$A:$Z,22,FALSE)+VLOOKUP($A204,A:AL,31,FALSE)-50))</f>
        <v>308</v>
      </c>
      <c r="AG204" s="3">
        <f>IF(ISERROR(VLOOKUP($A204,'SegEnds_NonXtal_BW#'!$A:$Z,23,FALSE)+VLOOKUP($A204,A:AL,34,FALSE)-50),"-",(VLOOKUP($A204,'SegEnds_NonXtal_BW#'!$A:$Z,23,FALSE)+VLOOKUP($A204,A:AL,34,FALSE)-50))</f>
        <v>313</v>
      </c>
      <c r="AH204" s="3">
        <v>335</v>
      </c>
      <c r="AI204" s="3">
        <f>IF(ISERROR((VLOOKUP($A204,'SegEnds_NonXtal_BW#'!$A:$Z,24,FALSE)+VLOOKUP($A204,A:AL,34,FALSE)-50)),"-",(VLOOKUP($A204,'SegEnds_NonXtal_BW#'!$A:$Z,24,FALSE)+VLOOKUP($A204,A:AL,34,FALSE)-50))</f>
        <v>341</v>
      </c>
      <c r="AJ204" s="3">
        <f>IF(ISERROR(VLOOKUP($A204,'SegEnds_NonXtal_BW#'!$A:$Z,25,FALSE)+VLOOKUP($A204,A:AL,37,FALSE)-50),"-",(VLOOKUP($A204,'SegEnds_NonXtal_BW#'!$A:$Z,25,FALSE)+VLOOKUP($A204,A:AL,37,FALSE)-50))</f>
        <v>342</v>
      </c>
      <c r="AK204" s="3">
        <v>345</v>
      </c>
      <c r="AL204" s="3">
        <f>IF(ISERROR((VLOOKUP($A204,'SegEnds_NonXtal_BW#'!$A:$Z,26,FALSE)+VLOOKUP($A204,A:AL,37,FALSE)-50)),"-",(VLOOKUP($A204,'SegEnds_NonXtal_BW#'!$A:$Z,26,FALSE)+VLOOKUP($A204,A:AL,37,FALSE)-50))</f>
        <v>354</v>
      </c>
      <c r="AM204" s="28" t="str">
        <f>VLOOKUP(A204,Classification!A:B,2,FALSE)</f>
        <v>A</v>
      </c>
      <c r="AN204" s="28" t="b">
        <f t="shared" si="133"/>
        <v>1</v>
      </c>
      <c r="AO204" s="3" t="str">
        <f>IF(ISERROR(MATCH(A204,'SegEnds_Xtal_Prot#'!B:B, 0)), "NoXtal", "Xtal")</f>
        <v>NoXtal</v>
      </c>
      <c r="AP204" s="3">
        <f t="shared" si="118"/>
        <v>1</v>
      </c>
      <c r="AQ204" s="3">
        <f t="shared" si="119"/>
        <v>1</v>
      </c>
      <c r="AR204" s="3">
        <f t="shared" si="120"/>
        <v>2</v>
      </c>
      <c r="AS204" s="3">
        <f t="shared" si="121"/>
        <v>1</v>
      </c>
      <c r="AT204" s="3">
        <f t="shared" si="122"/>
        <v>1</v>
      </c>
      <c r="AU204" s="3">
        <f t="shared" si="123"/>
        <v>1</v>
      </c>
      <c r="AV204" s="3">
        <f t="shared" si="124"/>
        <v>11</v>
      </c>
      <c r="AW204" s="3">
        <f t="shared" si="125"/>
        <v>6</v>
      </c>
      <c r="AX204" s="3">
        <f t="shared" si="126"/>
        <v>6</v>
      </c>
      <c r="AY204" s="3">
        <f t="shared" si="127"/>
        <v>5</v>
      </c>
      <c r="AZ204" s="3">
        <f t="shared" si="128"/>
        <v>1</v>
      </c>
      <c r="BA204" s="3">
        <f>IF(ISERROR(LEN(VLOOKUP(A204,Seqs!A:E,2,FALSE))-AL204),"-",LEN(VLOOKUP(A204,Seqs!A:E,2,FALSE))-AL204)</f>
        <v>46</v>
      </c>
      <c r="BB204" s="16">
        <f t="shared" si="129"/>
        <v>28</v>
      </c>
      <c r="BC204" s="9">
        <f t="shared" si="130"/>
        <v>20</v>
      </c>
      <c r="BD204" s="3">
        <f t="shared" si="131"/>
        <v>28</v>
      </c>
      <c r="BE204" s="3">
        <f t="shared" si="132"/>
        <v>51</v>
      </c>
    </row>
    <row r="205" spans="1:57" s="3" customFormat="1" x14ac:dyDescent="0.2">
      <c r="A205" s="3" t="s">
        <v>918</v>
      </c>
      <c r="B205" s="3" t="str">
        <f>LOWER(VLOOKUP(A205,Xtal_Templ!A:B,2,FALSE))</f>
        <v>oprm_mouse</v>
      </c>
      <c r="C205" s="3">
        <f>VLOOKUP($A205,'SegEnds_NonXtal_BW#'!$A:$Z,3,FALSE)+D205-50</f>
        <v>65</v>
      </c>
      <c r="D205" s="3">
        <v>86</v>
      </c>
      <c r="E205" s="3">
        <f>IF(ISERROR(VLOOKUP($A205,'SegEnds_NonXtal_BW#'!$A:$Z,4,FALSE)+VLOOKUP($A205,A:AL,4,FALSE)-50),"-",(VLOOKUP($A205,'SegEnds_NonXtal_BW#'!$A:$Z,4,FALSE)+VLOOKUP($A205,A:AL,4,FALSE)-50))</f>
        <v>96</v>
      </c>
      <c r="F205" s="3">
        <f t="shared" si="134"/>
        <v>97</v>
      </c>
      <c r="G205" s="3">
        <v>99</v>
      </c>
      <c r="H205" s="3">
        <f t="shared" si="135"/>
        <v>100</v>
      </c>
      <c r="I205" s="3">
        <f t="shared" si="135"/>
        <v>101</v>
      </c>
      <c r="J205" s="3">
        <v>114</v>
      </c>
      <c r="K205" s="3">
        <f>VLOOKUP($A205,'SegEnds_NonXtal_BW#'!$A:$Z,8,FALSE)+VLOOKUP($A205,A:AL,10,FALSE)-50</f>
        <v>130</v>
      </c>
      <c r="L205" s="3">
        <f>IF(ISERROR(VLOOKUP($A205,'SegEnds_NonXtal_BW#'!$A:$Z,9,FALSE)+VLOOKUP($A205,A:AL,13,FALSE)-50),"-",(VLOOKUP($A205,'SegEnds_NonXtal_BW#'!$A:$Z,9,FALSE)+VLOOKUP($A205,A:AL,13,FALSE)-50))</f>
        <v>132</v>
      </c>
      <c r="M205" s="3">
        <v>133</v>
      </c>
      <c r="N205" s="3">
        <f>IF(ISERROR(VLOOKUP($A205,'SegEnds_NonXtal_BW#'!$A:$Z,10,FALSE)+VLOOKUP($A205,A:AL,13,FALSE)-50),"-",(VLOOKUP($A205,'SegEnds_NonXtal_BW#'!$A:$Z,10,FALSE)+VLOOKUP($A205,A:AL,13,FALSE)-50))</f>
        <v>135</v>
      </c>
      <c r="O205" s="3">
        <f t="shared" si="116"/>
        <v>136</v>
      </c>
      <c r="P205" s="3">
        <v>165</v>
      </c>
      <c r="Q205" s="3">
        <f>VLOOKUP($A205,'SegEnds_NonXtal_BW#'!$A:$Z,12,FALSE)+VLOOKUP($A205,A:AL,16,FALSE)-50</f>
        <v>171</v>
      </c>
      <c r="R205" s="3">
        <f>IF(ISERROR(VLOOKUP($A205,'SegEnds_NonXtal_BW#'!$A:$Z,13,FALSE)+VLOOKUP($A205,A:AL,19,FALSE)-50),"-",VLOOKUP($A205,'SegEnds_NonXtal_BW#'!$A:$Z,13,FALSE)+VLOOKUP($A205,A:AL,19,FALSE)-50)</f>
        <v>172</v>
      </c>
      <c r="S205" s="3">
        <v>172</v>
      </c>
      <c r="T205" s="100">
        <f>IF(ISERROR(VLOOKUP($A205,'SegEnds_NonXtal_BW#'!$A:$Z,14,FALSE)+VLOOKUP($A205,A:AL,19,FALSE)-50),"-",(VLOOKUP($A205,'SegEnds_NonXtal_BW#'!$A:$Z,14,FALSE)+VLOOKUP($A205,A:AL,19,FALSE)-50))</f>
        <v>179</v>
      </c>
      <c r="U205" s="9">
        <f>IF(ISERROR(VLOOKUP($A205,'SegEnds_NonXtal_BW#'!$A:$Z,15,FALSE)+VLOOKUP($A205,A:AL,22,FALSE)-50),"-",VLOOKUP($A205,'SegEnds_NonXtal_BW#'!$A:$Z,15,FALSE)+VLOOKUP($A205,A:AL,22,FALSE)-50)</f>
        <v>180</v>
      </c>
      <c r="V205" s="3">
        <v>192</v>
      </c>
      <c r="W205" s="3">
        <f>IF(ISERROR(VLOOKUP($A205,'SegEnds_NonXtal_BW#'!$A:$Z,16,FALSE)+VLOOKUP($A205,A:AL,22,FALSE)-50),"-",(VLOOKUP($A205,'SegEnds_NonXtal_BW#'!$A:$Z,16,FALSE)+VLOOKUP($A205,A:AL,22,FALSE)-50))</f>
        <v>206</v>
      </c>
      <c r="X205" s="3">
        <f>IF(ISERROR(VLOOKUP($A205,'SegEnds_NonXtal_BW#'!$A:$Z,17,FALSE)+VLOOKUP($A205,A:AL,25,FALSE)-50),"-",(VLOOKUP($A205,'SegEnds_NonXtal_BW#'!$A:$Z,17,FALSE)+VLOOKUP($A205,A:AL,25,FALSE)-50))</f>
        <v>217</v>
      </c>
      <c r="Y205" s="3">
        <v>217</v>
      </c>
      <c r="Z205" s="3">
        <f t="shared" si="117"/>
        <v>219</v>
      </c>
      <c r="AA205" s="3">
        <f>IF(ISERROR(VLOOKUP($A205,'SegEnds_NonXtal_BW#'!$A:$Z,19,FALSE)+VLOOKUP($A205,A:AL,28,FALSE)-50),"-",(VLOOKUP($A205,'SegEnds_NonXtal_BW#'!$A:$Z,19,FALSE)+VLOOKUP($A205,A:AL,28,FALSE)-50))</f>
        <v>225</v>
      </c>
      <c r="AB205" s="3">
        <v>244</v>
      </c>
      <c r="AC205" s="3">
        <f>IF(ISERROR((VLOOKUP($A205,'SegEnds_NonXtal_BW#'!$A:$Z,20,FALSE)+VLOOKUP($A205,A:AL,28,FALSE)-50)),"-",(VLOOKUP($A205,'SegEnds_NonXtal_BW#'!$A:$Z,20,FALSE)+VLOOKUP($A205,A:AL,28,FALSE)-50))</f>
        <v>262</v>
      </c>
      <c r="AD205" s="3">
        <f>IF(ISERROR(VLOOKUP($A205,'SegEnds_NonXtal_BW#'!$A:$Z,21,FALSE)+VLOOKUP($A205,A:AL,31,FALSE)-50),"-",(VLOOKUP($A205,'SegEnds_NonXtal_BW#'!$A:$Z,21,FALSE)+VLOOKUP($A205,A:AL,31,FALSE)-50))</f>
        <v>268</v>
      </c>
      <c r="AE205" s="3">
        <v>295</v>
      </c>
      <c r="AF205" s="3">
        <f>IF(ISERROR((VLOOKUP($A205,'SegEnds_NonXtal_BW#'!$A:$Z,22,FALSE)+VLOOKUP($A205,A:AL,31,FALSE)-50)),"-",(VLOOKUP($A205,'SegEnds_NonXtal_BW#'!$A:$Z,22,FALSE)+VLOOKUP($A205,A:AL,31,FALSE)-50))</f>
        <v>306</v>
      </c>
      <c r="AG205" s="3">
        <f>IF(ISERROR(VLOOKUP($A205,'SegEnds_NonXtal_BW#'!$A:$Z,23,FALSE)+VLOOKUP($A205,A:AL,34,FALSE)-50),"-",(VLOOKUP($A205,'SegEnds_NonXtal_BW#'!$A:$Z,23,FALSE)+VLOOKUP($A205,A:AL,34,FALSE)-50))</f>
        <v>311</v>
      </c>
      <c r="AH205" s="3">
        <v>333</v>
      </c>
      <c r="AI205" s="3">
        <f>IF(ISERROR((VLOOKUP($A205,'SegEnds_NonXtal_BW#'!$A:$Z,24,FALSE)+VLOOKUP($A205,A:AL,34,FALSE)-50)),"-",(VLOOKUP($A205,'SegEnds_NonXtal_BW#'!$A:$Z,24,FALSE)+VLOOKUP($A205,A:AL,34,FALSE)-50))</f>
        <v>339</v>
      </c>
      <c r="AJ205" s="3">
        <f>IF(ISERROR(VLOOKUP($A205,'SegEnds_NonXtal_BW#'!$A:$Z,25,FALSE)+VLOOKUP($A205,A:AL,37,FALSE)-50),"-",(VLOOKUP($A205,'SegEnds_NonXtal_BW#'!$A:$Z,25,FALSE)+VLOOKUP($A205,A:AL,37,FALSE)-50))</f>
        <v>340</v>
      </c>
      <c r="AK205" s="3">
        <v>343</v>
      </c>
      <c r="AL205" s="3">
        <f>IF(ISERROR((VLOOKUP($A205,'SegEnds_NonXtal_BW#'!$A:$Z,26,FALSE)+VLOOKUP($A205,A:AL,37,FALSE)-50)),"-",(VLOOKUP($A205,'SegEnds_NonXtal_BW#'!$A:$Z,26,FALSE)+VLOOKUP($A205,A:AL,37,FALSE)-50))</f>
        <v>352</v>
      </c>
      <c r="AM205" s="28" t="str">
        <f>VLOOKUP(A205,Classification!A:B,2,FALSE)</f>
        <v>A</v>
      </c>
      <c r="AN205" s="28" t="b">
        <f t="shared" si="133"/>
        <v>1</v>
      </c>
      <c r="AO205" s="3" t="str">
        <f>IF(ISERROR(MATCH(A205,'SegEnds_Xtal_Prot#'!B:B, 0)), "NoXtal", "Xtal")</f>
        <v>Xtal</v>
      </c>
      <c r="AP205" s="3">
        <f t="shared" si="118"/>
        <v>1</v>
      </c>
      <c r="AQ205" s="3">
        <f t="shared" si="119"/>
        <v>1</v>
      </c>
      <c r="AR205" s="3">
        <f t="shared" si="120"/>
        <v>2</v>
      </c>
      <c r="AS205" s="3">
        <f t="shared" si="121"/>
        <v>1</v>
      </c>
      <c r="AT205" s="3">
        <f t="shared" si="122"/>
        <v>1</v>
      </c>
      <c r="AU205" s="3">
        <f t="shared" si="123"/>
        <v>1</v>
      </c>
      <c r="AV205" s="3">
        <f t="shared" si="124"/>
        <v>11</v>
      </c>
      <c r="AW205" s="3">
        <f t="shared" si="125"/>
        <v>6</v>
      </c>
      <c r="AX205" s="3">
        <f t="shared" si="126"/>
        <v>6</v>
      </c>
      <c r="AY205" s="3">
        <f t="shared" si="127"/>
        <v>5</v>
      </c>
      <c r="AZ205" s="3">
        <f t="shared" si="128"/>
        <v>1</v>
      </c>
      <c r="BA205" s="3">
        <f>IF(ISERROR(LEN(VLOOKUP(A205,Seqs!A:E,2,FALSE))-AL205),"-",LEN(VLOOKUP(A205,Seqs!A:E,2,FALSE))-AL205)</f>
        <v>46</v>
      </c>
      <c r="BB205" s="16">
        <f t="shared" si="129"/>
        <v>28</v>
      </c>
      <c r="BC205" s="9">
        <f t="shared" si="130"/>
        <v>20</v>
      </c>
      <c r="BD205" s="3">
        <f t="shared" si="131"/>
        <v>28</v>
      </c>
      <c r="BE205" s="3">
        <f t="shared" si="132"/>
        <v>51</v>
      </c>
    </row>
    <row r="206" spans="1:57" s="3" customFormat="1" x14ac:dyDescent="0.2">
      <c r="A206" s="3" t="s">
        <v>1174</v>
      </c>
      <c r="B206" s="3" t="str">
        <f>LOWER(VLOOKUP(A206,Xtal_Templ!A:B,2,FALSE))</f>
        <v>oprx_human</v>
      </c>
      <c r="C206" s="3">
        <f>VLOOKUP($A206,'SegEnds_NonXtal_BW#'!$A:$Z,3,FALSE)+D206-50</f>
        <v>48</v>
      </c>
      <c r="D206" s="3">
        <v>69</v>
      </c>
      <c r="E206" s="3">
        <f>IF(ISERROR(VLOOKUP($A206,'SegEnds_NonXtal_BW#'!$A:$Z,4,FALSE)+VLOOKUP($A206,A:AL,4,FALSE)-50),"-",(VLOOKUP($A206,'SegEnds_NonXtal_BW#'!$A:$Z,4,FALSE)+VLOOKUP($A206,A:AL,4,FALSE)-50))</f>
        <v>79</v>
      </c>
      <c r="F206" s="3">
        <f t="shared" si="134"/>
        <v>80</v>
      </c>
      <c r="G206" s="3">
        <v>82</v>
      </c>
      <c r="H206" s="3">
        <f t="shared" si="135"/>
        <v>83</v>
      </c>
      <c r="I206" s="3">
        <f t="shared" si="135"/>
        <v>84</v>
      </c>
      <c r="J206" s="3">
        <v>97</v>
      </c>
      <c r="K206" s="3">
        <f>VLOOKUP($A206,'SegEnds_NonXtal_BW#'!$A:$Z,8,FALSE)+VLOOKUP($A206,A:AL,10,FALSE)-50</f>
        <v>113</v>
      </c>
      <c r="L206" s="3">
        <f>M206-1</f>
        <v>115</v>
      </c>
      <c r="M206" s="3">
        <v>116</v>
      </c>
      <c r="N206" s="3">
        <f>M206+2</f>
        <v>118</v>
      </c>
      <c r="O206" s="3">
        <f t="shared" si="116"/>
        <v>119</v>
      </c>
      <c r="P206" s="3">
        <v>148</v>
      </c>
      <c r="Q206" s="3">
        <f>VLOOKUP($A206,'SegEnds_NonXtal_BW#'!$A:$Z,12,FALSE)+VLOOKUP($A206,A:AL,16,FALSE)-50</f>
        <v>154</v>
      </c>
      <c r="R206" s="3">
        <f>IF(ISERROR(VLOOKUP($A206,'SegEnds_NonXtal_BW#'!$A:$Z,13,FALSE)+VLOOKUP($A206,A:AL,19,FALSE)-50),"-",VLOOKUP($A206,'SegEnds_NonXtal_BW#'!$A:$Z,13,FALSE)+VLOOKUP($A206,A:AL,19,FALSE)-50)</f>
        <v>155</v>
      </c>
      <c r="S206" s="3">
        <v>155</v>
      </c>
      <c r="T206" s="100">
        <f>IF(ISERROR(VLOOKUP($A206,'SegEnds_NonXtal_BW#'!$A:$Z,14,FALSE)+VLOOKUP($A206,A:AL,19,FALSE)-50),"-",(VLOOKUP($A206,'SegEnds_NonXtal_BW#'!$A:$Z,14,FALSE)+VLOOKUP($A206,A:AL,19,FALSE)-50))</f>
        <v>162</v>
      </c>
      <c r="U206" s="9">
        <f>IF(ISERROR(VLOOKUP($A206,'SegEnds_NonXtal_BW#'!$A:$Z,15,FALSE)+VLOOKUP($A206,A:AL,22,FALSE)-50),"-",VLOOKUP($A206,'SegEnds_NonXtal_BW#'!$A:$Z,15,FALSE)+VLOOKUP($A206,A:AL,22,FALSE)-50)</f>
        <v>163</v>
      </c>
      <c r="V206" s="3">
        <v>175</v>
      </c>
      <c r="W206" s="3">
        <f>IF(ISERROR(VLOOKUP($A206,'SegEnds_NonXtal_BW#'!$A:$Z,16,FALSE)+VLOOKUP($A206,A:AL,22,FALSE)-50),"-",(VLOOKUP($A206,'SegEnds_NonXtal_BW#'!$A:$Z,16,FALSE)+VLOOKUP($A206,A:AL,22,FALSE)-50))</f>
        <v>189</v>
      </c>
      <c r="X206" s="3">
        <f>IF(ISERROR(VLOOKUP($A206,'SegEnds_NonXtal_BW#'!$A:$Z,17,FALSE)+VLOOKUP($A206,A:AL,25,FALSE)-50),"-",(VLOOKUP($A206,'SegEnds_NonXtal_BW#'!$A:$Z,17,FALSE)+VLOOKUP($A206,A:AL,25,FALSE)-50))</f>
        <v>200</v>
      </c>
      <c r="Y206" s="3">
        <v>200</v>
      </c>
      <c r="Z206" s="3">
        <f t="shared" si="117"/>
        <v>202</v>
      </c>
      <c r="AA206" s="3">
        <f>IF(ISERROR(VLOOKUP($A206,'SegEnds_NonXtal_BW#'!$A:$Z,19,FALSE)+VLOOKUP($A206,A:AL,28,FALSE)-50),"-",(VLOOKUP($A206,'SegEnds_NonXtal_BW#'!$A:$Z,19,FALSE)+VLOOKUP($A206,A:AL,28,FALSE)-50))</f>
        <v>208</v>
      </c>
      <c r="AB206" s="3">
        <v>227</v>
      </c>
      <c r="AC206" s="3">
        <f>IF(ISERROR((VLOOKUP($A206,'SegEnds_NonXtal_BW#'!$A:$Z,20,FALSE)+VLOOKUP($A206,A:AL,28,FALSE)-50)),"-",(VLOOKUP($A206,'SegEnds_NonXtal_BW#'!$A:$Z,20,FALSE)+VLOOKUP($A206,A:AL,28,FALSE)-50))</f>
        <v>245</v>
      </c>
      <c r="AD206" s="3">
        <f>IF(ISERROR(VLOOKUP($A206,'SegEnds_NonXtal_BW#'!$A:$Z,21,FALSE)+VLOOKUP($A206,A:AL,31,FALSE)-50),"-",(VLOOKUP($A206,'SegEnds_NonXtal_BW#'!$A:$Z,21,FALSE)+VLOOKUP($A206,A:AL,31,FALSE)-50))</f>
        <v>251</v>
      </c>
      <c r="AE206" s="3">
        <v>278</v>
      </c>
      <c r="AF206" s="3">
        <f>IF(ISERROR((VLOOKUP($A206,'SegEnds_NonXtal_BW#'!$A:$Z,22,FALSE)+VLOOKUP($A206,A:AL,31,FALSE)-50)),"-",(VLOOKUP($A206,'SegEnds_NonXtal_BW#'!$A:$Z,22,FALSE)+VLOOKUP($A206,A:AL,31,FALSE)-50))</f>
        <v>289</v>
      </c>
      <c r="AG206" s="3">
        <f>IF(ISERROR(VLOOKUP($A206,'SegEnds_NonXtal_BW#'!$A:$Z,23,FALSE)+VLOOKUP($A206,A:AL,34,FALSE)-50),"-",(VLOOKUP($A206,'SegEnds_NonXtal_BW#'!$A:$Z,23,FALSE)+VLOOKUP($A206,A:AL,34,FALSE)-50))</f>
        <v>294</v>
      </c>
      <c r="AH206" s="3">
        <v>316</v>
      </c>
      <c r="AI206" s="3">
        <f>IF(ISERROR((VLOOKUP($A206,'SegEnds_NonXtal_BW#'!$A:$Z,24,FALSE)+VLOOKUP($A206,A:AL,34,FALSE)-50)),"-",(VLOOKUP($A206,'SegEnds_NonXtal_BW#'!$A:$Z,24,FALSE)+VLOOKUP($A206,A:AL,34,FALSE)-50))</f>
        <v>322</v>
      </c>
      <c r="AJ206" s="3">
        <f>IF(ISERROR(VLOOKUP($A206,'SegEnds_NonXtal_BW#'!$A:$Z,25,FALSE)+VLOOKUP($A206,A:AL,37,FALSE)-50),"-",(VLOOKUP($A206,'SegEnds_NonXtal_BW#'!$A:$Z,25,FALSE)+VLOOKUP($A206,A:AL,37,FALSE)-50))</f>
        <v>323</v>
      </c>
      <c r="AK206" s="3">
        <v>326</v>
      </c>
      <c r="AL206" s="3">
        <f>IF(ISERROR((VLOOKUP($A206,'SegEnds_NonXtal_BW#'!$A:$Z,26,FALSE)+VLOOKUP($A206,A:AL,37,FALSE)-50)),"-",(VLOOKUP($A206,'SegEnds_NonXtal_BW#'!$A:$Z,26,FALSE)+VLOOKUP($A206,A:AL,37,FALSE)-50))</f>
        <v>335</v>
      </c>
      <c r="AM206" s="28" t="str">
        <f>VLOOKUP(A206,Classification!A:B,2,FALSE)</f>
        <v>A</v>
      </c>
      <c r="AN206" s="28" t="b">
        <f t="shared" si="133"/>
        <v>1</v>
      </c>
      <c r="AO206" s="3" t="str">
        <f>IF(ISERROR(MATCH(A206,'SegEnds_Xtal_Prot#'!B:B, 0)), "NoXtal", "Xtal")</f>
        <v>Xtal</v>
      </c>
      <c r="AP206" s="3">
        <f t="shared" si="118"/>
        <v>1</v>
      </c>
      <c r="AQ206" s="3">
        <f t="shared" si="119"/>
        <v>1</v>
      </c>
      <c r="AR206" s="3">
        <f t="shared" si="120"/>
        <v>2</v>
      </c>
      <c r="AS206" s="3">
        <f t="shared" si="121"/>
        <v>1</v>
      </c>
      <c r="AT206" s="3">
        <f t="shared" si="122"/>
        <v>1</v>
      </c>
      <c r="AU206" s="3">
        <f t="shared" si="123"/>
        <v>1</v>
      </c>
      <c r="AV206" s="3">
        <f t="shared" si="124"/>
        <v>11</v>
      </c>
      <c r="AW206" s="3">
        <f t="shared" si="125"/>
        <v>6</v>
      </c>
      <c r="AX206" s="3">
        <f t="shared" si="126"/>
        <v>6</v>
      </c>
      <c r="AY206" s="3">
        <f t="shared" si="127"/>
        <v>5</v>
      </c>
      <c r="AZ206" s="3">
        <f t="shared" si="128"/>
        <v>1</v>
      </c>
      <c r="BA206" s="3">
        <f>IF(ISERROR(LEN(VLOOKUP(A206,Seqs!A:E,2,FALSE))-AL206),"-",LEN(VLOOKUP(A206,Seqs!A:E,2,FALSE))-AL206)</f>
        <v>35</v>
      </c>
      <c r="BB206" s="16">
        <f t="shared" si="129"/>
        <v>28</v>
      </c>
      <c r="BC206" s="9">
        <f t="shared" si="130"/>
        <v>20</v>
      </c>
      <c r="BD206" s="3">
        <f t="shared" si="131"/>
        <v>28</v>
      </c>
      <c r="BE206" s="3">
        <f t="shared" si="132"/>
        <v>51</v>
      </c>
    </row>
    <row r="207" spans="1:57" s="3" customFormat="1" x14ac:dyDescent="0.2">
      <c r="A207" s="3" t="s">
        <v>922</v>
      </c>
      <c r="B207" s="3" t="str">
        <f>LOWER(VLOOKUP(A207,Xtal_Templ!A:B,2,FALSE))</f>
        <v>opsd_todpa</v>
      </c>
      <c r="C207" s="3">
        <f>VLOOKUP($A207,'SegEnds_NonXtal_BW#'!$A:$Z,3,FALSE)+D207-50</f>
        <v>31</v>
      </c>
      <c r="D207" s="3">
        <v>52</v>
      </c>
      <c r="E207" s="3">
        <f>IF(ISERROR(VLOOKUP($A207,'SegEnds_NonXtal_BW#'!$A:$Z,4,FALSE)+VLOOKUP($A207,A:AL,4,FALSE)-50),"-",(VLOOKUP($A207,'SegEnds_NonXtal_BW#'!$A:$Z,4,FALSE)+VLOOKUP($A207,A:AL,4,FALSE)-50))</f>
        <v>62</v>
      </c>
      <c r="F207" s="3">
        <f t="shared" si="134"/>
        <v>63</v>
      </c>
      <c r="G207" s="3">
        <v>65</v>
      </c>
      <c r="H207" s="3">
        <f t="shared" si="135"/>
        <v>66</v>
      </c>
      <c r="I207" s="3">
        <f t="shared" si="135"/>
        <v>67</v>
      </c>
      <c r="J207" s="3">
        <v>80</v>
      </c>
      <c r="K207" s="3">
        <f>VLOOKUP($A207,'SegEnds_NonXtal_BW#'!$A:$Z,8,FALSE)+VLOOKUP($A207,A:AL,10,FALSE)-50</f>
        <v>99</v>
      </c>
      <c r="L207" s="3">
        <f>IF(ISERROR(VLOOKUP($A207,'SegEnds_NonXtal_BW#'!$A:$Z,9,FALSE)+VLOOKUP($A207,A:AL,13,FALSE)-50),"-",(VLOOKUP($A207,'SegEnds_NonXtal_BW#'!$A:$Z,9,FALSE)+VLOOKUP($A207,A:AL,13,FALSE)-50))</f>
        <v>100</v>
      </c>
      <c r="M207" s="3">
        <v>101</v>
      </c>
      <c r="N207" s="3">
        <f>IF(ISERROR(VLOOKUP($A207,'SegEnds_NonXtal_BW#'!$A:$Z,10,FALSE)+VLOOKUP($A207,A:AL,13,FALSE)-50),"-",(VLOOKUP($A207,'SegEnds_NonXtal_BW#'!$A:$Z,10,FALSE)+VLOOKUP($A207,A:AL,13,FALSE)-50))</f>
        <v>103</v>
      </c>
      <c r="O207" s="3">
        <f t="shared" si="116"/>
        <v>104</v>
      </c>
      <c r="P207" s="3">
        <v>133</v>
      </c>
      <c r="Q207" s="3">
        <f>VLOOKUP($A207,'SegEnds_NonXtal_BW#'!$A:$Z,12,FALSE)+VLOOKUP($A207,A:AL,16,FALSE)-50</f>
        <v>139</v>
      </c>
      <c r="R207" s="3">
        <f>IF(ISERROR(VLOOKUP($A207,'SegEnds_NonXtal_BW#'!$A:$Z,13,FALSE)+VLOOKUP($A207,A:AL,19,FALSE)-50),"-",VLOOKUP($A207,'SegEnds_NonXtal_BW#'!$A:$Z,13,FALSE)+VLOOKUP($A207,A:AL,19,FALSE)-50)</f>
        <v>140</v>
      </c>
      <c r="S207" s="3">
        <v>140</v>
      </c>
      <c r="T207" s="100">
        <f>IF(ISERROR(VLOOKUP($A207,'SegEnds_NonXtal_BW#'!$A:$Z,14,FALSE)+VLOOKUP($A207,A:AL,19,FALSE)-50),"-",(VLOOKUP($A207,'SegEnds_NonXtal_BW#'!$A:$Z,14,FALSE)+VLOOKUP($A207,A:AL,19,FALSE)-50))</f>
        <v>147</v>
      </c>
      <c r="U207" s="9">
        <f>IF(ISERROR(VLOOKUP($A207,'SegEnds_NonXtal_BW#'!$A:$Z,15,FALSE)+VLOOKUP($A207,A:AL,22,FALSE)-50),"-",VLOOKUP($A207,'SegEnds_NonXtal_BW#'!$A:$Z,15,FALSE)+VLOOKUP($A207,A:AL,22,FALSE)-50)</f>
        <v>148</v>
      </c>
      <c r="V207" s="3">
        <v>160</v>
      </c>
      <c r="W207" s="3">
        <f>IF(ISERROR(VLOOKUP($A207,'SegEnds_NonXtal_BW#'!$A:$Z,16,FALSE)+VLOOKUP($A207,A:AL,22,FALSE)-50),"-",(VLOOKUP($A207,'SegEnds_NonXtal_BW#'!$A:$Z,16,FALSE)+VLOOKUP($A207,A:AL,22,FALSE)-50))</f>
        <v>172</v>
      </c>
      <c r="X207" s="3">
        <f>IF(ISERROR(VLOOKUP($A207,'SegEnds_NonXtal_BW#'!$A:$Z,17,FALSE)+VLOOKUP($A207,A:AL,25,FALSE)-50),"-",(VLOOKUP($A207,'SegEnds_NonXtal_BW#'!$A:$Z,17,FALSE)+VLOOKUP($A207,A:AL,25,FALSE)-50))</f>
        <v>186</v>
      </c>
      <c r="Y207" s="3">
        <v>186</v>
      </c>
      <c r="Z207" s="3">
        <f t="shared" si="117"/>
        <v>188</v>
      </c>
      <c r="AA207" s="3">
        <f>IF(ISERROR(VLOOKUP($A207,'SegEnds_NonXtal_BW#'!$A:$Z,19,FALSE)+VLOOKUP($A207,A:AL,28,FALSE)-50),"-",(VLOOKUP($A207,'SegEnds_NonXtal_BW#'!$A:$Z,19,FALSE)+VLOOKUP($A207,A:AL,28,FALSE)-50))</f>
        <v>194</v>
      </c>
      <c r="AB207" s="3">
        <v>212</v>
      </c>
      <c r="AC207" s="3">
        <v>239</v>
      </c>
      <c r="AD207" s="3">
        <v>244</v>
      </c>
      <c r="AE207" s="3">
        <v>276</v>
      </c>
      <c r="AF207" s="3">
        <f>IF(ISERROR((VLOOKUP($A207,'SegEnds_NonXtal_BW#'!$A:$Z,22,FALSE)+VLOOKUP($A207,A:AL,31,FALSE)-50)),"-",(VLOOKUP($A207,'SegEnds_NonXtal_BW#'!$A:$Z,22,FALSE)+VLOOKUP($A207,A:AL,31,FALSE)-50))</f>
        <v>287</v>
      </c>
      <c r="AG207" s="3">
        <f>IF(ISERROR(VLOOKUP($A207,'SegEnds_NonXtal_BW#'!$A:$Z,23,FALSE)+VLOOKUP($A207,A:AL,34,FALSE)-50),"-",(VLOOKUP($A207,'SegEnds_NonXtal_BW#'!$A:$Z,23,FALSE)+VLOOKUP($A207,A:AL,34,FALSE)-50))</f>
        <v>293</v>
      </c>
      <c r="AH207" s="3">
        <v>312</v>
      </c>
      <c r="AI207" s="3">
        <f>IF(ISERROR((VLOOKUP($A207,'SegEnds_NonXtal_BW#'!$A:$Z,24,FALSE)+VLOOKUP($A207,A:AL,34,FALSE)-50)),"-",(VLOOKUP($A207,'SegEnds_NonXtal_BW#'!$A:$Z,24,FALSE)+VLOOKUP($A207,A:AL,34,FALSE)-50))</f>
        <v>318</v>
      </c>
      <c r="AJ207" s="3">
        <f>IF(ISERROR(VLOOKUP($A207,'SegEnds_NonXtal_BW#'!$A:$Z,25,FALSE)+VLOOKUP($A207,A:AL,37,FALSE)-50),"-",(VLOOKUP($A207,'SegEnds_NonXtal_BW#'!$A:$Z,25,FALSE)+VLOOKUP($A207,A:AL,37,FALSE)-50))</f>
        <v>319</v>
      </c>
      <c r="AK207" s="3">
        <v>322</v>
      </c>
      <c r="AL207" s="3">
        <f>IF(ISERROR((VLOOKUP($A207,'SegEnds_NonXtal_BW#'!$A:$Z,26,FALSE)+VLOOKUP($A207,A:AL,37,FALSE)-50)),"-",(VLOOKUP($A207,'SegEnds_NonXtal_BW#'!$A:$Z,26,FALSE)+VLOOKUP($A207,A:AL,37,FALSE)-50))</f>
        <v>330</v>
      </c>
      <c r="AM207" s="28" t="str">
        <f>VLOOKUP(A207,Classification!A:B,2,FALSE)</f>
        <v>A</v>
      </c>
      <c r="AN207" s="28" t="b">
        <f t="shared" si="133"/>
        <v>1</v>
      </c>
      <c r="AO207" s="3" t="str">
        <f>IF(ISERROR(MATCH(A207,'SegEnds_Xtal_Prot#'!B:B, 0)), "NoXtal", "Xtal")</f>
        <v>Xtal</v>
      </c>
      <c r="AP207" s="3">
        <f t="shared" si="118"/>
        <v>1</v>
      </c>
      <c r="AQ207" s="3">
        <f t="shared" si="119"/>
        <v>1</v>
      </c>
      <c r="AR207" s="3">
        <f t="shared" si="120"/>
        <v>1</v>
      </c>
      <c r="AS207" s="3">
        <f t="shared" si="121"/>
        <v>1</v>
      </c>
      <c r="AT207" s="3">
        <f t="shared" si="122"/>
        <v>1</v>
      </c>
      <c r="AU207" s="3">
        <f t="shared" si="123"/>
        <v>1</v>
      </c>
      <c r="AV207" s="3">
        <f t="shared" si="124"/>
        <v>14</v>
      </c>
      <c r="AW207" s="3">
        <f t="shared" si="125"/>
        <v>6</v>
      </c>
      <c r="AX207" s="3">
        <f t="shared" si="126"/>
        <v>5</v>
      </c>
      <c r="AY207" s="3">
        <f t="shared" si="127"/>
        <v>6</v>
      </c>
      <c r="AZ207" s="3">
        <f t="shared" si="128"/>
        <v>1</v>
      </c>
      <c r="BA207" s="3">
        <f>IF(ISERROR(LEN(VLOOKUP(A207,Seqs!A:E,2,FALSE))-AL207),"-",LEN(VLOOKUP(A207,Seqs!A:E,2,FALSE))-AL207)</f>
        <v>118</v>
      </c>
      <c r="BB207" s="16">
        <f t="shared" si="129"/>
        <v>28</v>
      </c>
      <c r="BC207" s="9">
        <f t="shared" si="130"/>
        <v>20</v>
      </c>
      <c r="BD207" s="3">
        <f t="shared" si="131"/>
        <v>28</v>
      </c>
      <c r="BE207" s="3">
        <f t="shared" si="132"/>
        <v>64</v>
      </c>
    </row>
    <row r="208" spans="1:57" s="3" customFormat="1" x14ac:dyDescent="0.2">
      <c r="A208" s="3" t="s">
        <v>342</v>
      </c>
      <c r="B208" s="3" t="str">
        <f>LOWER(VLOOKUP(A208,Xtal_Templ!A:B,2,FALSE))</f>
        <v>pd2r2_human</v>
      </c>
      <c r="C208" s="3">
        <f>VLOOKUP($A208,'SegEnds_NonXtal_BW#'!$A:$Z,3,FALSE)+D208-50</f>
        <v>92</v>
      </c>
      <c r="D208" s="3">
        <v>110</v>
      </c>
      <c r="E208" s="3">
        <f>IF(ISERROR(VLOOKUP($A208,'SegEnds_NonXtal_BW#'!$A:$Z,4,FALSE)+VLOOKUP($A208,A:AL,4,FALSE)-50),"-",(VLOOKUP($A208,'SegEnds_NonXtal_BW#'!$A:$Z,4,FALSE)+VLOOKUP($A208,A:AL,4,FALSE)-50))</f>
        <v>120</v>
      </c>
      <c r="F208" s="3">
        <f t="shared" si="134"/>
        <v>121</v>
      </c>
      <c r="G208" s="3">
        <v>123</v>
      </c>
      <c r="H208" s="3">
        <f t="shared" si="135"/>
        <v>124</v>
      </c>
      <c r="I208" s="3">
        <f t="shared" si="135"/>
        <v>125</v>
      </c>
      <c r="J208" s="3">
        <v>138</v>
      </c>
      <c r="K208" s="3">
        <f>VLOOKUP($A208,'SegEnds_NonXtal_BW#'!$A:$Z,8,FALSE)+VLOOKUP($A208,A:AL,10,FALSE)-50</f>
        <v>155</v>
      </c>
      <c r="L208" s="3">
        <f t="shared" ref="L208:L214" si="136">M208-1</f>
        <v>157</v>
      </c>
      <c r="M208" s="3">
        <v>158</v>
      </c>
      <c r="N208" s="3">
        <f t="shared" ref="N208:N214" si="137">M208+2</f>
        <v>160</v>
      </c>
      <c r="O208" s="3">
        <f t="shared" si="116"/>
        <v>161</v>
      </c>
      <c r="P208" s="3">
        <v>190</v>
      </c>
      <c r="Q208" s="3">
        <f>VLOOKUP($A208,'SegEnds_NonXtal_BW#'!$A:$Z,12,FALSE)+VLOOKUP($A208,A:AL,16,FALSE)-50</f>
        <v>196</v>
      </c>
      <c r="R208" s="3">
        <f>IF(ISERROR(VLOOKUP($A208,'SegEnds_NonXtal_BW#'!$A:$Z,13,FALSE)+VLOOKUP($A208,A:AL,19,FALSE)-50),"-",VLOOKUP($A208,'SegEnds_NonXtal_BW#'!$A:$Z,13,FALSE)+VLOOKUP($A208,A:AL,19,FALSE)-50)</f>
        <v>197</v>
      </c>
      <c r="S208" s="3">
        <v>197</v>
      </c>
      <c r="T208" s="100">
        <f>IF(ISERROR(VLOOKUP($A208,'SegEnds_NonXtal_BW#'!$A:$Z,14,FALSE)+VLOOKUP($A208,A:AL,19,FALSE)-50),"-",(VLOOKUP($A208,'SegEnds_NonXtal_BW#'!$A:$Z,14,FALSE)+VLOOKUP($A208,A:AL,19,FALSE)-50))</f>
        <v>204</v>
      </c>
      <c r="U208" s="9">
        <f>IF(ISERROR(VLOOKUP($A208,'SegEnds_NonXtal_BW#'!$A:$Z,15,FALSE)+VLOOKUP($A208,A:AL,22,FALSE)-50),"-",VLOOKUP($A208,'SegEnds_NonXtal_BW#'!$A:$Z,15,FALSE)+VLOOKUP($A208,A:AL,22,FALSE)-50)</f>
        <v>205</v>
      </c>
      <c r="V208" s="3">
        <v>217</v>
      </c>
      <c r="W208" s="3">
        <f>IF(ISERROR(VLOOKUP($A208,'SegEnds_NonXtal_BW#'!$A:$Z,16,FALSE)+VLOOKUP($A208,A:AL,22,FALSE)-50),"-",(VLOOKUP($A208,'SegEnds_NonXtal_BW#'!$A:$Z,16,FALSE)+VLOOKUP($A208,A:AL,22,FALSE)-50))</f>
        <v>231</v>
      </c>
      <c r="X208" s="3">
        <f>IF(ISERROR(VLOOKUP($A208,'SegEnds_NonXtal_BW#'!$A:$Z,17,FALSE)+VLOOKUP($A208,A:AL,25,FALSE)-50),"-",(VLOOKUP($A208,'SegEnds_NonXtal_BW#'!$A:$Z,17,FALSE)+VLOOKUP($A208,A:AL,25,FALSE)-50))</f>
        <v>237</v>
      </c>
      <c r="Y208" s="3">
        <v>237</v>
      </c>
      <c r="Z208" s="3">
        <f t="shared" si="117"/>
        <v>239</v>
      </c>
      <c r="AA208" s="3">
        <f>IF(ISERROR(VLOOKUP($A208,'SegEnds_NonXtal_BW#'!$A:$Z,19,FALSE)+VLOOKUP($A208,A:AL,28,FALSE)-50),"-",(VLOOKUP($A208,'SegEnds_NonXtal_BW#'!$A:$Z,19,FALSE)+VLOOKUP($A208,A:AL,28,FALSE)-50))</f>
        <v>240</v>
      </c>
      <c r="AB208" s="3">
        <v>264</v>
      </c>
      <c r="AC208" s="3">
        <f>IF(ISERROR((VLOOKUP($A208,'SegEnds_NonXtal_BW#'!$A:$Z,20,FALSE)+VLOOKUP($A208,A:AL,28,FALSE)-50)),"-",(VLOOKUP($A208,'SegEnds_NonXtal_BW#'!$A:$Z,20,FALSE)+VLOOKUP($A208,A:AL,28,FALSE)-50))</f>
        <v>281</v>
      </c>
      <c r="AD208" s="3">
        <f>IF(ISERROR(VLOOKUP($A208,'SegEnds_NonXtal_BW#'!$A:$Z,21,FALSE)+VLOOKUP($A208,A:AL,31,FALSE)-50),"-",(VLOOKUP($A208,'SegEnds_NonXtal_BW#'!$A:$Z,21,FALSE)+VLOOKUP($A208,A:AL,31,FALSE)-50))</f>
        <v>286</v>
      </c>
      <c r="AE208" s="3">
        <v>310</v>
      </c>
      <c r="AF208" s="3">
        <f>IF(ISERROR((VLOOKUP($A208,'SegEnds_NonXtal_BW#'!$A:$Z,22,FALSE)+VLOOKUP($A208,A:AL,31,FALSE)-50)),"-",(VLOOKUP($A208,'SegEnds_NonXtal_BW#'!$A:$Z,22,FALSE)+VLOOKUP($A208,A:AL,31,FALSE)-50))</f>
        <v>321</v>
      </c>
      <c r="AG208" s="3">
        <f>IF(ISERROR(VLOOKUP($A208,'SegEnds_NonXtal_BW#'!$A:$Z,23,FALSE)+VLOOKUP($A208,A:AL,34,FALSE)-50),"-",(VLOOKUP($A208,'SegEnds_NonXtal_BW#'!$A:$Z,23,FALSE)+VLOOKUP($A208,A:AL,34,FALSE)-50))</f>
        <v>330</v>
      </c>
      <c r="AH208" s="3">
        <v>352</v>
      </c>
      <c r="AI208" s="3">
        <f>IF(ISERROR((VLOOKUP($A208,'SegEnds_NonXtal_BW#'!$A:$Z,24,FALSE)+VLOOKUP($A208,A:AL,34,FALSE)-50)),"-",(VLOOKUP($A208,'SegEnds_NonXtal_BW#'!$A:$Z,24,FALSE)+VLOOKUP($A208,A:AL,34,FALSE)-50))</f>
        <v>358</v>
      </c>
      <c r="AJ208" s="3">
        <f>IF(ISERROR(VLOOKUP($A208,'SegEnds_NonXtal_BW#'!$A:$Z,25,FALSE)+VLOOKUP($A208,A:AL,37,FALSE)-50),"-",(VLOOKUP($A208,'SegEnds_NonXtal_BW#'!$A:$Z,25,FALSE)+VLOOKUP($A208,A:AL,37,FALSE)-50))</f>
        <v>359</v>
      </c>
      <c r="AK208" s="3">
        <v>362</v>
      </c>
      <c r="AL208" s="3">
        <f>IF(ISERROR((VLOOKUP($A208,'SegEnds_NonXtal_BW#'!$A:$Z,26,FALSE)+VLOOKUP($A208,A:AL,37,FALSE)-50)),"-",(VLOOKUP($A208,'SegEnds_NonXtal_BW#'!$A:$Z,26,FALSE)+VLOOKUP($A208,A:AL,37,FALSE)-50))</f>
        <v>376</v>
      </c>
      <c r="AM208" s="28" t="str">
        <f>VLOOKUP(A208,Classification!A:B,2,FALSE)</f>
        <v>A</v>
      </c>
      <c r="AN208" s="28" t="b">
        <f t="shared" si="133"/>
        <v>1</v>
      </c>
      <c r="AO208" s="3" t="str">
        <f>IF(ISERROR(MATCH(A208,'SegEnds_Xtal_Prot#'!B:B, 0)), "NoXtal", "Xtal")</f>
        <v>NoXtal</v>
      </c>
      <c r="AP208" s="3">
        <f t="shared" si="118"/>
        <v>1</v>
      </c>
      <c r="AQ208" s="3">
        <f t="shared" si="119"/>
        <v>1</v>
      </c>
      <c r="AR208" s="3">
        <f t="shared" si="120"/>
        <v>2</v>
      </c>
      <c r="AS208" s="3">
        <f t="shared" si="121"/>
        <v>1</v>
      </c>
      <c r="AT208" s="3">
        <f t="shared" si="122"/>
        <v>1</v>
      </c>
      <c r="AU208" s="3">
        <f t="shared" si="123"/>
        <v>1</v>
      </c>
      <c r="AV208" s="3">
        <f t="shared" si="124"/>
        <v>6</v>
      </c>
      <c r="AW208" s="3">
        <f t="shared" si="125"/>
        <v>1</v>
      </c>
      <c r="AX208" s="3">
        <f t="shared" si="126"/>
        <v>5</v>
      </c>
      <c r="AY208" s="3">
        <f t="shared" si="127"/>
        <v>9</v>
      </c>
      <c r="AZ208" s="3">
        <f t="shared" si="128"/>
        <v>1</v>
      </c>
      <c r="BA208" s="3">
        <f>IF(ISERROR(LEN(VLOOKUP(A208,Seqs!A:E,2,FALSE))-AL208),"-",LEN(VLOOKUP(A208,Seqs!A:E,2,FALSE))-AL208)</f>
        <v>47</v>
      </c>
      <c r="BB208" s="16">
        <f t="shared" si="129"/>
        <v>28</v>
      </c>
      <c r="BC208" s="9">
        <f t="shared" si="130"/>
        <v>20</v>
      </c>
      <c r="BD208" s="3">
        <f t="shared" si="131"/>
        <v>28</v>
      </c>
      <c r="BE208" s="3">
        <f t="shared" si="132"/>
        <v>46</v>
      </c>
    </row>
    <row r="209" spans="1:59" s="3" customFormat="1" x14ac:dyDescent="0.2">
      <c r="A209" s="3" t="s">
        <v>343</v>
      </c>
      <c r="B209" s="3" t="str">
        <f>LOWER(VLOOKUP(A209,Xtal_Templ!A:B,2,FALSE))</f>
        <v>p2ry1_human</v>
      </c>
      <c r="C209" s="3">
        <f>VLOOKUP($A209,'SegEnds_NonXtal_BW#'!$A:$Z,3,FALSE)+D209-50</f>
        <v>31</v>
      </c>
      <c r="D209" s="3">
        <v>51</v>
      </c>
      <c r="E209" s="3">
        <f>IF(ISERROR(VLOOKUP($A209,'SegEnds_NonXtal_BW#'!$A:$Z,4,FALSE)+VLOOKUP($A209,A:AL,4,FALSE)-50),"-",(VLOOKUP($A209,'SegEnds_NonXtal_BW#'!$A:$Z,4,FALSE)+VLOOKUP($A209,A:AL,4,FALSE)-50))</f>
        <v>61</v>
      </c>
      <c r="F209" s="3" t="str">
        <f>IF(ISERROR(VLOOKUP($A209,'SegEnds_NonXtal_BW#'!$A:$Z,5,FALSE)+VLOOKUP($A209,A:AL,7,FALSE)-50),"-",(VLOOKUP($A209,'SegEnds_NonXtal_BW#'!$A:$Z,5,FALSE)+VLOOKUP($A209,A:AL,7,FALSE)-50))</f>
        <v>-</v>
      </c>
      <c r="G209" s="3" t="s">
        <v>23</v>
      </c>
      <c r="H209" s="3" t="str">
        <f>IF(ISERROR(VLOOKUP($A209,'SegEnds_NonXtal_BW#'!$A:$Z,6,FALSE)+VLOOKUP($A209,A:AL,7,FALSE)-50),"-",(VLOOKUP($A209,'SegEnds_NonXtal_BW#'!$A:$Z,6,FALSE)+VLOOKUP($A209,A:AL,7,FALSE)-50))</f>
        <v>-</v>
      </c>
      <c r="I209" s="3">
        <f>VLOOKUP($A209,'SegEnds_NonXtal_BW#'!$A:$Z,7,FALSE)+J209-50</f>
        <v>66</v>
      </c>
      <c r="J209" s="3">
        <v>79</v>
      </c>
      <c r="K209" s="3">
        <f>VLOOKUP($A209,'SegEnds_NonXtal_BW#'!$A:$Z,8,FALSE)+VLOOKUP($A209,A:AL,10,FALSE)-50</f>
        <v>95</v>
      </c>
      <c r="L209" s="3">
        <f t="shared" si="136"/>
        <v>98</v>
      </c>
      <c r="M209" s="3">
        <v>99</v>
      </c>
      <c r="N209" s="3">
        <f t="shared" si="137"/>
        <v>101</v>
      </c>
      <c r="O209" s="3">
        <f t="shared" si="116"/>
        <v>102</v>
      </c>
      <c r="P209" s="3">
        <v>131</v>
      </c>
      <c r="Q209" s="3">
        <f>VLOOKUP($A209,'SegEnds_NonXtal_BW#'!$A:$Z,12,FALSE)+VLOOKUP($A209,A:AL,16,FALSE)-50</f>
        <v>137</v>
      </c>
      <c r="R209" s="3">
        <f>IF(ISERROR(VLOOKUP($A209,'SegEnds_NonXtal_BW#'!$A:$Z,13,FALSE)+VLOOKUP($A209,A:AL,19,FALSE)-50),"-",VLOOKUP($A209,'SegEnds_NonXtal_BW#'!$A:$Z,13,FALSE)+VLOOKUP($A209,A:AL,19,FALSE)-50)</f>
        <v>138</v>
      </c>
      <c r="S209" s="3">
        <v>138</v>
      </c>
      <c r="T209" s="100">
        <f>IF(ISERROR(VLOOKUP($A209,'SegEnds_NonXtal_BW#'!$A:$Z,14,FALSE)+VLOOKUP($A209,A:AL,19,FALSE)-50),"-",(VLOOKUP($A209,'SegEnds_NonXtal_BW#'!$A:$Z,14,FALSE)+VLOOKUP($A209,A:AL,19,FALSE)-50))</f>
        <v>145</v>
      </c>
      <c r="U209" s="9">
        <f>IF(ISERROR(VLOOKUP($A209,'SegEnds_NonXtal_BW#'!$A:$Z,15,FALSE)+VLOOKUP($A209,A:AL,22,FALSE)-50),"-",VLOOKUP($A209,'SegEnds_NonXtal_BW#'!$A:$Z,15,FALSE)+VLOOKUP($A209,A:AL,22,FALSE)-50)</f>
        <v>146</v>
      </c>
      <c r="V209" s="3">
        <v>158</v>
      </c>
      <c r="W209" s="3">
        <f>IF(ISERROR(VLOOKUP($A209,'SegEnds_NonXtal_BW#'!$A:$Z,16,FALSE)+VLOOKUP($A209,A:AL,22,FALSE)-50),"-",(VLOOKUP($A209,'SegEnds_NonXtal_BW#'!$A:$Z,16,FALSE)+VLOOKUP($A209,A:AL,22,FALSE)-50))</f>
        <v>172</v>
      </c>
      <c r="X209" s="3">
        <f>IF(ISERROR(VLOOKUP($A209,'SegEnds_NonXtal_BW#'!$A:$Z,17,FALSE)+VLOOKUP($A209,A:AL,25,FALSE)-50),"-",(VLOOKUP($A209,'SegEnds_NonXtal_BW#'!$A:$Z,17,FALSE)+VLOOKUP($A209,A:AL,25,FALSE)-50))</f>
        <v>183</v>
      </c>
      <c r="Y209" s="3">
        <v>183</v>
      </c>
      <c r="Z209" s="3">
        <f t="shared" si="117"/>
        <v>185</v>
      </c>
      <c r="AA209" s="3">
        <f>IF(ISERROR(VLOOKUP($A209,'SegEnds_NonXtal_BW#'!$A:$Z,19,FALSE)+VLOOKUP($A209,A:AL,28,FALSE)-50),"-",(VLOOKUP($A209,'SegEnds_NonXtal_BW#'!$A:$Z,19,FALSE)+VLOOKUP($A209,A:AL,28,FALSE)-50))</f>
        <v>192</v>
      </c>
      <c r="AB209" s="3">
        <v>210</v>
      </c>
      <c r="AC209" s="3">
        <f>IF(ISERROR((VLOOKUP($A209,'SegEnds_NonXtal_BW#'!$A:$Z,20,FALSE)+VLOOKUP($A209,A:AL,28,FALSE)-50)),"-",(VLOOKUP($A209,'SegEnds_NonXtal_BW#'!$A:$Z,20,FALSE)+VLOOKUP($A209,A:AL,28,FALSE)-50))</f>
        <v>227</v>
      </c>
      <c r="AD209" s="3">
        <f>IF(ISERROR(VLOOKUP($A209,'SegEnds_NonXtal_BW#'!$A:$Z,21,FALSE)+VLOOKUP($A209,A:AL,31,FALSE)-50),"-",(VLOOKUP($A209,'SegEnds_NonXtal_BW#'!$A:$Z,21,FALSE)+VLOOKUP($A209,A:AL,31,FALSE)-50))</f>
        <v>232</v>
      </c>
      <c r="AE209" s="3">
        <v>256</v>
      </c>
      <c r="AF209" s="3">
        <f>IF(ISERROR((VLOOKUP($A209,'SegEnds_NonXtal_BW#'!$A:$Z,22,FALSE)+VLOOKUP($A209,A:AL,31,FALSE)-50)),"-",(VLOOKUP($A209,'SegEnds_NonXtal_BW#'!$A:$Z,22,FALSE)+VLOOKUP($A209,A:AL,31,FALSE)-50))</f>
        <v>267</v>
      </c>
      <c r="AG209" s="3">
        <f>IF(ISERROR(VLOOKUP($A209,'SegEnds_NonXtal_BW#'!$A:$Z,23,FALSE)+VLOOKUP($A209,A:AL,34,FALSE)-50),"-",(VLOOKUP($A209,'SegEnds_NonXtal_BW#'!$A:$Z,23,FALSE)+VLOOKUP($A209,A:AL,34,FALSE)-50))</f>
        <v>273</v>
      </c>
      <c r="AH209" s="3">
        <v>299</v>
      </c>
      <c r="AI209" s="3">
        <f>IF(ISERROR((VLOOKUP($A209,'SegEnds_NonXtal_BW#'!$A:$Z,24,FALSE)+VLOOKUP($A209,A:AL,34,FALSE)-50)),"-",(VLOOKUP($A209,'SegEnds_NonXtal_BW#'!$A:$Z,24,FALSE)+VLOOKUP($A209,A:AL,34,FALSE)-50))</f>
        <v>305</v>
      </c>
      <c r="AJ209" s="3">
        <f>IF(ISERROR(VLOOKUP($A209,'SegEnds_NonXtal_BW#'!$A:$Z,25,FALSE)+VLOOKUP($A209,A:AL,37,FALSE)-50),"-",(VLOOKUP($A209,'SegEnds_NonXtal_BW#'!$A:$Z,25,FALSE)+VLOOKUP($A209,A:AL,37,FALSE)-50))</f>
        <v>306</v>
      </c>
      <c r="AK209" s="3">
        <v>309</v>
      </c>
      <c r="AL209" s="3">
        <f>IF(ISERROR((VLOOKUP($A209,'SegEnds_NonXtal_BW#'!$A:$Z,26,FALSE)+VLOOKUP($A209,A:AL,37,FALSE)-50)),"-",(VLOOKUP($A209,'SegEnds_NonXtal_BW#'!$A:$Z,26,FALSE)+VLOOKUP($A209,A:AL,37,FALSE)-50))</f>
        <v>318</v>
      </c>
      <c r="AM209" s="28" t="str">
        <f>VLOOKUP(A209,Classification!A:B,2,FALSE)</f>
        <v>A</v>
      </c>
      <c r="AN209" s="28" t="b">
        <f t="shared" si="133"/>
        <v>1</v>
      </c>
      <c r="AO209" s="3" t="str">
        <f>IF(ISERROR(MATCH(A209,'SegEnds_Xtal_Prot#'!B:B, 0)), "NoXtal", "Xtal")</f>
        <v>NoXtal</v>
      </c>
      <c r="AP209" s="3" t="str">
        <f t="shared" si="118"/>
        <v>-</v>
      </c>
      <c r="AQ209" s="3" t="str">
        <f t="shared" si="119"/>
        <v>-</v>
      </c>
      <c r="AR209" s="3">
        <f t="shared" si="120"/>
        <v>3</v>
      </c>
      <c r="AS209" s="3">
        <f t="shared" si="121"/>
        <v>1</v>
      </c>
      <c r="AT209" s="3">
        <f t="shared" si="122"/>
        <v>1</v>
      </c>
      <c r="AU209" s="3">
        <f t="shared" si="123"/>
        <v>1</v>
      </c>
      <c r="AV209" s="3">
        <f t="shared" si="124"/>
        <v>11</v>
      </c>
      <c r="AW209" s="3">
        <f t="shared" si="125"/>
        <v>7</v>
      </c>
      <c r="AX209" s="3">
        <f t="shared" si="126"/>
        <v>5</v>
      </c>
      <c r="AY209" s="3">
        <f t="shared" si="127"/>
        <v>6</v>
      </c>
      <c r="AZ209" s="3">
        <f t="shared" si="128"/>
        <v>1</v>
      </c>
      <c r="BA209" s="3">
        <f>IF(ISERROR(LEN(VLOOKUP(A209,Seqs!A:E,2,FALSE))-AL209),"-",LEN(VLOOKUP(A209,Seqs!A:E,2,FALSE))-AL209)</f>
        <v>19</v>
      </c>
      <c r="BB209" s="16">
        <f t="shared" si="129"/>
        <v>28</v>
      </c>
      <c r="BC209" s="9">
        <f t="shared" si="130"/>
        <v>20</v>
      </c>
      <c r="BD209" s="3">
        <f t="shared" si="131"/>
        <v>28</v>
      </c>
      <c r="BE209" s="3">
        <f t="shared" si="132"/>
        <v>46</v>
      </c>
      <c r="BF209" s="3">
        <f>AH209-AE209</f>
        <v>43</v>
      </c>
    </row>
    <row r="210" spans="1:59" s="3" customFormat="1" x14ac:dyDescent="0.2">
      <c r="A210" s="3" t="s">
        <v>345</v>
      </c>
      <c r="B210" s="3" t="str">
        <f>LOWER(VLOOKUP(A210,Xtal_Templ!A:B,2,FALSE))</f>
        <v>p2ry1_human</v>
      </c>
      <c r="C210" s="3">
        <f>VLOOKUP($A210,'SegEnds_NonXtal_BW#'!$A:$Z,3,FALSE)+D210-50</f>
        <v>49</v>
      </c>
      <c r="D210" s="3">
        <v>69</v>
      </c>
      <c r="E210" s="3">
        <f>IF(ISERROR(VLOOKUP($A210,'SegEnds_NonXtal_BW#'!$A:$Z,4,FALSE)+VLOOKUP($A210,A:AL,4,FALSE)-50),"-",(VLOOKUP($A210,'SegEnds_NonXtal_BW#'!$A:$Z,4,FALSE)+VLOOKUP($A210,A:AL,4,FALSE)-50))</f>
        <v>79</v>
      </c>
      <c r="F210" s="3" t="str">
        <f>IF(ISERROR(VLOOKUP($A210,'SegEnds_NonXtal_BW#'!$A:$Z,5,FALSE)+VLOOKUP($A210,A:AL,7,FALSE)-50),"-",(VLOOKUP($A210,'SegEnds_NonXtal_BW#'!$A:$Z,5,FALSE)+VLOOKUP($A210,A:AL,7,FALSE)-50))</f>
        <v>-</v>
      </c>
      <c r="G210" s="3" t="s">
        <v>23</v>
      </c>
      <c r="H210" s="3" t="str">
        <f>IF(ISERROR(VLOOKUP($A210,'SegEnds_NonXtal_BW#'!$A:$Z,6,FALSE)+VLOOKUP($A210,A:AL,7,FALSE)-50),"-",(VLOOKUP($A210,'SegEnds_NonXtal_BW#'!$A:$Z,6,FALSE)+VLOOKUP($A210,A:AL,7,FALSE)-50))</f>
        <v>-</v>
      </c>
      <c r="I210" s="3">
        <f>VLOOKUP($A210,'SegEnds_NonXtal_BW#'!$A:$Z,7,FALSE)+J210-50</f>
        <v>84</v>
      </c>
      <c r="J210" s="3">
        <v>97</v>
      </c>
      <c r="K210" s="3">
        <f>VLOOKUP($A210,'SegEnds_NonXtal_BW#'!$A:$Z,8,FALSE)+VLOOKUP($A210,A:AL,10,FALSE)-50</f>
        <v>113</v>
      </c>
      <c r="L210" s="3">
        <f t="shared" si="136"/>
        <v>116</v>
      </c>
      <c r="M210" s="3">
        <v>117</v>
      </c>
      <c r="N210" s="3">
        <f t="shared" si="137"/>
        <v>119</v>
      </c>
      <c r="O210" s="3">
        <f t="shared" si="116"/>
        <v>120</v>
      </c>
      <c r="P210" s="3">
        <v>149</v>
      </c>
      <c r="Q210" s="3">
        <f>VLOOKUP($A210,'SegEnds_NonXtal_BW#'!$A:$Z,12,FALSE)+VLOOKUP($A210,A:AL,16,FALSE)-50</f>
        <v>155</v>
      </c>
      <c r="R210" s="3">
        <f>IF(ISERROR(VLOOKUP($A210,'SegEnds_NonXtal_BW#'!$A:$Z,13,FALSE)+VLOOKUP($A210,A:AL,19,FALSE)-50),"-",VLOOKUP($A210,'SegEnds_NonXtal_BW#'!$A:$Z,13,FALSE)+VLOOKUP($A210,A:AL,19,FALSE)-50)</f>
        <v>156</v>
      </c>
      <c r="S210" s="3">
        <v>156</v>
      </c>
      <c r="T210" s="100">
        <f>IF(ISERROR(VLOOKUP($A210,'SegEnds_NonXtal_BW#'!$A:$Z,14,FALSE)+VLOOKUP($A210,A:AL,19,FALSE)-50),"-",(VLOOKUP($A210,'SegEnds_NonXtal_BW#'!$A:$Z,14,FALSE)+VLOOKUP($A210,A:AL,19,FALSE)-50))</f>
        <v>163</v>
      </c>
      <c r="U210" s="9">
        <f>IF(ISERROR(VLOOKUP($A210,'SegEnds_NonXtal_BW#'!$A:$Z,15,FALSE)+VLOOKUP($A210,A:AL,22,FALSE)-50),"-",VLOOKUP($A210,'SegEnds_NonXtal_BW#'!$A:$Z,15,FALSE)+VLOOKUP($A210,A:AL,22,FALSE)-50)</f>
        <v>164</v>
      </c>
      <c r="V210" s="3">
        <v>176</v>
      </c>
      <c r="W210" s="3">
        <f>IF(ISERROR(VLOOKUP($A210,'SegEnds_NonXtal_BW#'!$A:$Z,16,FALSE)+VLOOKUP($A210,A:AL,22,FALSE)-50),"-",(VLOOKUP($A210,'SegEnds_NonXtal_BW#'!$A:$Z,16,FALSE)+VLOOKUP($A210,A:AL,22,FALSE)-50))</f>
        <v>190</v>
      </c>
      <c r="X210" s="3">
        <f>IF(ISERROR(VLOOKUP($A210,'SegEnds_NonXtal_BW#'!$A:$Z,17,FALSE)+VLOOKUP($A210,A:AL,25,FALSE)-50),"-",(VLOOKUP($A210,'SegEnds_NonXtal_BW#'!$A:$Z,17,FALSE)+VLOOKUP($A210,A:AL,25,FALSE)-50))</f>
        <v>202</v>
      </c>
      <c r="Y210" s="3">
        <v>202</v>
      </c>
      <c r="Z210" s="3">
        <f t="shared" si="117"/>
        <v>204</v>
      </c>
      <c r="AA210" s="3">
        <f>IF(ISERROR(VLOOKUP($A210,'SegEnds_NonXtal_BW#'!$A:$Z,19,FALSE)+VLOOKUP($A210,A:AL,28,FALSE)-50),"-",(VLOOKUP($A210,'SegEnds_NonXtal_BW#'!$A:$Z,19,FALSE)+VLOOKUP($A210,A:AL,28,FALSE)-50))</f>
        <v>211</v>
      </c>
      <c r="AB210" s="3">
        <v>229</v>
      </c>
      <c r="AC210" s="3">
        <f>IF(ISERROR((VLOOKUP($A210,'SegEnds_NonXtal_BW#'!$A:$Z,20,FALSE)+VLOOKUP($A210,A:AL,28,FALSE)-50)),"-",(VLOOKUP($A210,'SegEnds_NonXtal_BW#'!$A:$Z,20,FALSE)+VLOOKUP($A210,A:AL,28,FALSE)-50))</f>
        <v>247</v>
      </c>
      <c r="AD210" s="3">
        <f>IF(ISERROR(VLOOKUP($A210,'SegEnds_NonXtal_BW#'!$A:$Z,21,FALSE)+VLOOKUP($A210,A:AL,31,FALSE)-50),"-",(VLOOKUP($A210,'SegEnds_NonXtal_BW#'!$A:$Z,21,FALSE)+VLOOKUP($A210,A:AL,31,FALSE)-50))</f>
        <v>253</v>
      </c>
      <c r="AE210" s="3">
        <v>275</v>
      </c>
      <c r="AF210" s="3">
        <f>IF(ISERROR((VLOOKUP($A210,'SegEnds_NonXtal_BW#'!$A:$Z,22,FALSE)+VLOOKUP($A210,A:AL,31,FALSE)-50)),"-",(VLOOKUP($A210,'SegEnds_NonXtal_BW#'!$A:$Z,22,FALSE)+VLOOKUP($A210,A:AL,31,FALSE)-50))</f>
        <v>289</v>
      </c>
      <c r="AG210" s="3">
        <f>IF(ISERROR(VLOOKUP($A210,'SegEnds_NonXtal_BW#'!$A:$Z,23,FALSE)+VLOOKUP($A210,A:AL,34,FALSE)-50),"-",(VLOOKUP($A210,'SegEnds_NonXtal_BW#'!$A:$Z,23,FALSE)+VLOOKUP($A210,A:AL,34,FALSE)-50))</f>
        <v>295</v>
      </c>
      <c r="AH210" s="3">
        <v>321</v>
      </c>
      <c r="AI210" s="3">
        <f>IF(ISERROR((VLOOKUP($A210,'SegEnds_NonXtal_BW#'!$A:$Z,24,FALSE)+VLOOKUP($A210,A:AL,34,FALSE)-50)),"-",(VLOOKUP($A210,'SegEnds_NonXtal_BW#'!$A:$Z,24,FALSE)+VLOOKUP($A210,A:AL,34,FALSE)-50))</f>
        <v>327</v>
      </c>
      <c r="AJ210" s="3">
        <f>IF(ISERROR(VLOOKUP($A210,'SegEnds_NonXtal_BW#'!$A:$Z,25,FALSE)+VLOOKUP($A210,A:AL,37,FALSE)-50),"-",(VLOOKUP($A210,'SegEnds_NonXtal_BW#'!$A:$Z,25,FALSE)+VLOOKUP($A210,A:AL,37,FALSE)-50))</f>
        <v>328</v>
      </c>
      <c r="AK210" s="3">
        <v>331</v>
      </c>
      <c r="AL210" s="3">
        <f>IF(ISERROR((VLOOKUP($A210,'SegEnds_NonXtal_BW#'!$A:$Z,26,FALSE)+VLOOKUP($A210,A:AL,37,FALSE)-50)),"-",(VLOOKUP($A210,'SegEnds_NonXtal_BW#'!$A:$Z,26,FALSE)+VLOOKUP($A210,A:AL,37,FALSE)-50))</f>
        <v>340</v>
      </c>
      <c r="AM210" s="28" t="str">
        <f>VLOOKUP(A210,Classification!A:B,2,FALSE)</f>
        <v>A</v>
      </c>
      <c r="AN210" s="28" t="b">
        <f t="shared" si="133"/>
        <v>1</v>
      </c>
      <c r="AO210" s="3" t="str">
        <f>IF(ISERROR(MATCH(A210,'SegEnds_Xtal_Prot#'!B:B, 0)), "NoXtal", "Xtal")</f>
        <v>Xtal</v>
      </c>
      <c r="AP210" s="3" t="str">
        <f t="shared" si="118"/>
        <v>-</v>
      </c>
      <c r="AQ210" s="3" t="str">
        <f t="shared" si="119"/>
        <v>-</v>
      </c>
      <c r="AR210" s="3">
        <f t="shared" si="120"/>
        <v>3</v>
      </c>
      <c r="AS210" s="3">
        <f t="shared" si="121"/>
        <v>1</v>
      </c>
      <c r="AT210" s="3">
        <f t="shared" si="122"/>
        <v>1</v>
      </c>
      <c r="AU210" s="3">
        <f t="shared" si="123"/>
        <v>1</v>
      </c>
      <c r="AV210" s="3">
        <f t="shared" si="124"/>
        <v>12</v>
      </c>
      <c r="AW210" s="3">
        <f t="shared" si="125"/>
        <v>7</v>
      </c>
      <c r="AX210" s="3">
        <f t="shared" si="126"/>
        <v>6</v>
      </c>
      <c r="AY210" s="3">
        <f t="shared" si="127"/>
        <v>6</v>
      </c>
      <c r="AZ210" s="3">
        <f t="shared" si="128"/>
        <v>1</v>
      </c>
      <c r="BA210" s="3">
        <f>IF(ISERROR(LEN(VLOOKUP(A210,Seqs!A:E,2,FALSE))-AL210),"-",LEN(VLOOKUP(A210,Seqs!A:E,2,FALSE))-AL210)</f>
        <v>33</v>
      </c>
      <c r="BB210" s="16">
        <f t="shared" si="129"/>
        <v>28</v>
      </c>
      <c r="BC210" s="9">
        <f t="shared" si="130"/>
        <v>20</v>
      </c>
      <c r="BD210" s="3">
        <f t="shared" si="131"/>
        <v>28</v>
      </c>
      <c r="BE210" s="3">
        <f t="shared" si="132"/>
        <v>46</v>
      </c>
    </row>
    <row r="211" spans="1:59" s="3" customFormat="1" x14ac:dyDescent="0.2">
      <c r="A211" s="3" t="s">
        <v>346</v>
      </c>
      <c r="B211" s="3" t="str">
        <f>LOWER(VLOOKUP(A211,Xtal_Templ!A:B,2,FALSE))</f>
        <v>p2ry1_human</v>
      </c>
      <c r="C211" s="3">
        <f>VLOOKUP($A211,'SegEnds_NonXtal_BW#'!$A:$Z,3,FALSE)+D211-50</f>
        <v>31</v>
      </c>
      <c r="D211" s="3">
        <v>51</v>
      </c>
      <c r="E211" s="3">
        <f>IF(ISERROR(VLOOKUP($A211,'SegEnds_NonXtal_BW#'!$A:$Z,4,FALSE)+VLOOKUP($A211,A:AL,4,FALSE)-50),"-",(VLOOKUP($A211,'SegEnds_NonXtal_BW#'!$A:$Z,4,FALSE)+VLOOKUP($A211,A:AL,4,FALSE)-50))</f>
        <v>61</v>
      </c>
      <c r="F211" s="3" t="str">
        <f>IF(ISERROR(VLOOKUP($A211,'SegEnds_NonXtal_BW#'!$A:$Z,5,FALSE)+VLOOKUP($A211,A:AL,7,FALSE)-50),"-",(VLOOKUP($A211,'SegEnds_NonXtal_BW#'!$A:$Z,5,FALSE)+VLOOKUP($A211,A:AL,7,FALSE)-50))</f>
        <v>-</v>
      </c>
      <c r="G211" s="3" t="s">
        <v>23</v>
      </c>
      <c r="H211" s="3" t="str">
        <f>IF(ISERROR(VLOOKUP($A211,'SegEnds_NonXtal_BW#'!$A:$Z,6,FALSE)+VLOOKUP($A211,A:AL,7,FALSE)-50),"-",(VLOOKUP($A211,'SegEnds_NonXtal_BW#'!$A:$Z,6,FALSE)+VLOOKUP($A211,A:AL,7,FALSE)-50))</f>
        <v>-</v>
      </c>
      <c r="I211" s="3">
        <f>VLOOKUP($A211,'SegEnds_NonXtal_BW#'!$A:$Z,7,FALSE)+J211-50</f>
        <v>66</v>
      </c>
      <c r="J211" s="3">
        <v>79</v>
      </c>
      <c r="K211" s="3">
        <f>VLOOKUP($A211,'SegEnds_NonXtal_BW#'!$A:$Z,8,FALSE)+VLOOKUP($A211,A:AL,10,FALSE)-50</f>
        <v>95</v>
      </c>
      <c r="L211" s="3">
        <f t="shared" si="136"/>
        <v>98</v>
      </c>
      <c r="M211" s="3">
        <v>99</v>
      </c>
      <c r="N211" s="3">
        <f t="shared" si="137"/>
        <v>101</v>
      </c>
      <c r="O211" s="3">
        <f t="shared" si="116"/>
        <v>102</v>
      </c>
      <c r="P211" s="3">
        <v>131</v>
      </c>
      <c r="Q211" s="3">
        <f>VLOOKUP($A211,'SegEnds_NonXtal_BW#'!$A:$Z,12,FALSE)+VLOOKUP($A211,A:AL,16,FALSE)-50</f>
        <v>137</v>
      </c>
      <c r="R211" s="3">
        <f>IF(ISERROR(VLOOKUP($A211,'SegEnds_NonXtal_BW#'!$A:$Z,13,FALSE)+VLOOKUP($A211,A:AL,19,FALSE)-50),"-",VLOOKUP($A211,'SegEnds_NonXtal_BW#'!$A:$Z,13,FALSE)+VLOOKUP($A211,A:AL,19,FALSE)-50)</f>
        <v>138</v>
      </c>
      <c r="S211" s="3">
        <v>138</v>
      </c>
      <c r="T211" s="100">
        <f>IF(ISERROR(VLOOKUP($A211,'SegEnds_NonXtal_BW#'!$A:$Z,14,FALSE)+VLOOKUP($A211,A:AL,19,FALSE)-50),"-",(VLOOKUP($A211,'SegEnds_NonXtal_BW#'!$A:$Z,14,FALSE)+VLOOKUP($A211,A:AL,19,FALSE)-50))</f>
        <v>145</v>
      </c>
      <c r="U211" s="9">
        <f>IF(ISERROR(VLOOKUP($A211,'SegEnds_NonXtal_BW#'!$A:$Z,15,FALSE)+VLOOKUP($A211,A:AL,22,FALSE)-50),"-",VLOOKUP($A211,'SegEnds_NonXtal_BW#'!$A:$Z,15,FALSE)+VLOOKUP($A211,A:AL,22,FALSE)-50)</f>
        <v>146</v>
      </c>
      <c r="V211" s="3">
        <v>158</v>
      </c>
      <c r="W211" s="3">
        <f>IF(ISERROR(VLOOKUP($A211,'SegEnds_NonXtal_BW#'!$A:$Z,16,FALSE)+VLOOKUP($A211,A:AL,22,FALSE)-50),"-",(VLOOKUP($A211,'SegEnds_NonXtal_BW#'!$A:$Z,16,FALSE)+VLOOKUP($A211,A:AL,22,FALSE)-50))</f>
        <v>172</v>
      </c>
      <c r="X211" s="3">
        <f>IF(ISERROR(VLOOKUP($A211,'SegEnds_NonXtal_BW#'!$A:$Z,17,FALSE)+VLOOKUP($A211,A:AL,25,FALSE)-50),"-",(VLOOKUP($A211,'SegEnds_NonXtal_BW#'!$A:$Z,17,FALSE)+VLOOKUP($A211,A:AL,25,FALSE)-50))</f>
        <v>183</v>
      </c>
      <c r="Y211" s="3">
        <v>183</v>
      </c>
      <c r="Z211" s="3">
        <f t="shared" si="117"/>
        <v>185</v>
      </c>
      <c r="AA211" s="3">
        <f>IF(ISERROR(VLOOKUP($A211,'SegEnds_NonXtal_BW#'!$A:$Z,19,FALSE)+VLOOKUP($A211,A:AL,28,FALSE)-50),"-",(VLOOKUP($A211,'SegEnds_NonXtal_BW#'!$A:$Z,19,FALSE)+VLOOKUP($A211,A:AL,28,FALSE)-50))</f>
        <v>192</v>
      </c>
      <c r="AB211" s="3">
        <v>210</v>
      </c>
      <c r="AC211" s="3">
        <f>IF(ISERROR((VLOOKUP($A211,'SegEnds_NonXtal_BW#'!$A:$Z,20,FALSE)+VLOOKUP($A211,A:AL,28,FALSE)-50)),"-",(VLOOKUP($A211,'SegEnds_NonXtal_BW#'!$A:$Z,20,FALSE)+VLOOKUP($A211,A:AL,28,FALSE)-50))</f>
        <v>232</v>
      </c>
      <c r="AD211" s="3">
        <f>IF(ISERROR(VLOOKUP($A211,'SegEnds_NonXtal_BW#'!$A:$Z,21,FALSE)+VLOOKUP($A211,A:AL,31,FALSE)-50),"-",(VLOOKUP($A211,'SegEnds_NonXtal_BW#'!$A:$Z,21,FALSE)+VLOOKUP($A211,A:AL,31,FALSE)-50))</f>
        <v>239</v>
      </c>
      <c r="AE211" s="3">
        <v>260</v>
      </c>
      <c r="AF211" s="3">
        <f>IF(ISERROR((VLOOKUP($A211,'SegEnds_NonXtal_BW#'!$A:$Z,22,FALSE)+VLOOKUP($A211,A:AL,31,FALSE)-50)),"-",(VLOOKUP($A211,'SegEnds_NonXtal_BW#'!$A:$Z,22,FALSE)+VLOOKUP($A211,A:AL,31,FALSE)-50))</f>
        <v>271</v>
      </c>
      <c r="AG211" s="3">
        <f>IF(ISERROR(VLOOKUP($A211,'SegEnds_NonXtal_BW#'!$A:$Z,23,FALSE)+VLOOKUP($A211,A:AL,34,FALSE)-50),"-",(VLOOKUP($A211,'SegEnds_NonXtal_BW#'!$A:$Z,23,FALSE)+VLOOKUP($A211,A:AL,34,FALSE)-50))</f>
        <v>277</v>
      </c>
      <c r="AH211" s="3">
        <v>303</v>
      </c>
      <c r="AI211" s="3">
        <f>IF(ISERROR((VLOOKUP($A211,'SegEnds_NonXtal_BW#'!$A:$Z,24,FALSE)+VLOOKUP($A211,A:AL,34,FALSE)-50)),"-",(VLOOKUP($A211,'SegEnds_NonXtal_BW#'!$A:$Z,24,FALSE)+VLOOKUP($A211,A:AL,34,FALSE)-50))</f>
        <v>309</v>
      </c>
      <c r="AJ211" s="3">
        <f>IF(ISERROR(VLOOKUP($A211,'SegEnds_NonXtal_BW#'!$A:$Z,25,FALSE)+VLOOKUP($A211,A:AL,37,FALSE)-50),"-",(VLOOKUP($A211,'SegEnds_NonXtal_BW#'!$A:$Z,25,FALSE)+VLOOKUP($A211,A:AL,37,FALSE)-50))</f>
        <v>310</v>
      </c>
      <c r="AK211" s="3">
        <v>313</v>
      </c>
      <c r="AL211" s="3">
        <f>IF(ISERROR((VLOOKUP($A211,'SegEnds_NonXtal_BW#'!$A:$Z,26,FALSE)+VLOOKUP($A211,A:AL,37,FALSE)-50)),"-",(VLOOKUP($A211,'SegEnds_NonXtal_BW#'!$A:$Z,26,FALSE)+VLOOKUP($A211,A:AL,37,FALSE)-50))</f>
        <v>322</v>
      </c>
      <c r="AM211" s="28" t="str">
        <f>VLOOKUP(A211,Classification!A:B,2,FALSE)</f>
        <v>A</v>
      </c>
      <c r="AN211" s="28" t="b">
        <f t="shared" si="133"/>
        <v>1</v>
      </c>
      <c r="AO211" s="3" t="str">
        <f>IF(ISERROR(MATCH(A211,'SegEnds_Xtal_Prot#'!B:B, 0)), "NoXtal", "Xtal")</f>
        <v>NoXtal</v>
      </c>
      <c r="AP211" s="3" t="str">
        <f t="shared" si="118"/>
        <v>-</v>
      </c>
      <c r="AQ211" s="3" t="str">
        <f t="shared" si="119"/>
        <v>-</v>
      </c>
      <c r="AR211" s="3">
        <f t="shared" si="120"/>
        <v>3</v>
      </c>
      <c r="AS211" s="3">
        <f t="shared" si="121"/>
        <v>1</v>
      </c>
      <c r="AT211" s="3">
        <f t="shared" si="122"/>
        <v>1</v>
      </c>
      <c r="AU211" s="3">
        <f t="shared" si="123"/>
        <v>1</v>
      </c>
      <c r="AV211" s="3">
        <f t="shared" si="124"/>
        <v>11</v>
      </c>
      <c r="AW211" s="3">
        <f t="shared" si="125"/>
        <v>7</v>
      </c>
      <c r="AX211" s="3">
        <f t="shared" si="126"/>
        <v>7</v>
      </c>
      <c r="AY211" s="3">
        <f t="shared" si="127"/>
        <v>6</v>
      </c>
      <c r="AZ211" s="3">
        <f t="shared" si="128"/>
        <v>1</v>
      </c>
      <c r="BA211" s="3">
        <f>IF(ISERROR(LEN(VLOOKUP(A211,Seqs!A:E,2,FALSE))-AL211),"-",LEN(VLOOKUP(A211,Seqs!A:E,2,FALSE))-AL211)</f>
        <v>55</v>
      </c>
      <c r="BB211" s="16">
        <f t="shared" si="129"/>
        <v>28</v>
      </c>
      <c r="BC211" s="9">
        <f t="shared" si="130"/>
        <v>20</v>
      </c>
      <c r="BD211" s="3">
        <f t="shared" si="131"/>
        <v>28</v>
      </c>
      <c r="BE211" s="3">
        <f t="shared" si="132"/>
        <v>50</v>
      </c>
    </row>
    <row r="212" spans="1:59" s="3" customFormat="1" x14ac:dyDescent="0.2">
      <c r="A212" s="3" t="s">
        <v>347</v>
      </c>
      <c r="B212" s="3" t="str">
        <f>LOWER(VLOOKUP(A212,Xtal_Templ!A:B,2,FALSE))</f>
        <v>p2ry1_human</v>
      </c>
      <c r="C212" s="3">
        <f>VLOOKUP($A212,'SegEnds_NonXtal_BW#'!$A:$Z,3,FALSE)+D212-50</f>
        <v>33</v>
      </c>
      <c r="D212" s="3">
        <v>53</v>
      </c>
      <c r="E212" s="3">
        <f>IF(ISERROR(VLOOKUP($A212,'SegEnds_NonXtal_BW#'!$A:$Z,4,FALSE)+VLOOKUP($A212,A:AL,4,FALSE)-50),"-",(VLOOKUP($A212,'SegEnds_NonXtal_BW#'!$A:$Z,4,FALSE)+VLOOKUP($A212,A:AL,4,FALSE)-50))</f>
        <v>63</v>
      </c>
      <c r="F212" s="3" t="str">
        <f>IF(ISERROR(VLOOKUP($A212,'SegEnds_NonXtal_BW#'!$A:$Z,5,FALSE)+VLOOKUP($A212,A:AL,7,FALSE)-50),"-",(VLOOKUP($A212,'SegEnds_NonXtal_BW#'!$A:$Z,5,FALSE)+VLOOKUP($A212,A:AL,7,FALSE)-50))</f>
        <v>-</v>
      </c>
      <c r="G212" s="3" t="s">
        <v>23</v>
      </c>
      <c r="H212" s="3" t="str">
        <f>IF(ISERROR(VLOOKUP($A212,'SegEnds_NonXtal_BW#'!$A:$Z,6,FALSE)+VLOOKUP($A212,A:AL,7,FALSE)-50),"-",(VLOOKUP($A212,'SegEnds_NonXtal_BW#'!$A:$Z,6,FALSE)+VLOOKUP($A212,A:AL,7,FALSE)-50))</f>
        <v>-</v>
      </c>
      <c r="I212" s="3">
        <f>VLOOKUP($A212,'SegEnds_NonXtal_BW#'!$A:$Z,7,FALSE)+J212-50</f>
        <v>68</v>
      </c>
      <c r="J212" s="3">
        <v>81</v>
      </c>
      <c r="K212" s="3">
        <f>VLOOKUP($A212,'SegEnds_NonXtal_BW#'!$A:$Z,8,FALSE)+VLOOKUP($A212,A:AL,10,FALSE)-50</f>
        <v>97</v>
      </c>
      <c r="L212" s="3">
        <f t="shared" si="136"/>
        <v>100</v>
      </c>
      <c r="M212" s="3">
        <v>101</v>
      </c>
      <c r="N212" s="3">
        <f t="shared" si="137"/>
        <v>103</v>
      </c>
      <c r="O212" s="3">
        <f t="shared" si="116"/>
        <v>104</v>
      </c>
      <c r="P212" s="3">
        <v>133</v>
      </c>
      <c r="Q212" s="3">
        <f>VLOOKUP($A212,'SegEnds_NonXtal_BW#'!$A:$Z,12,FALSE)+VLOOKUP($A212,A:AL,16,FALSE)-50</f>
        <v>139</v>
      </c>
      <c r="R212" s="3">
        <f>IF(ISERROR(VLOOKUP($A212,'SegEnds_NonXtal_BW#'!$A:$Z,13,FALSE)+VLOOKUP($A212,A:AL,19,FALSE)-50),"-",VLOOKUP($A212,'SegEnds_NonXtal_BW#'!$A:$Z,13,FALSE)+VLOOKUP($A212,A:AL,19,FALSE)-50)</f>
        <v>140</v>
      </c>
      <c r="S212" s="3">
        <v>140</v>
      </c>
      <c r="T212" s="100">
        <f>IF(ISERROR(VLOOKUP($A212,'SegEnds_NonXtal_BW#'!$A:$Z,14,FALSE)+VLOOKUP($A212,A:AL,19,FALSE)-50),"-",(VLOOKUP($A212,'SegEnds_NonXtal_BW#'!$A:$Z,14,FALSE)+VLOOKUP($A212,A:AL,19,FALSE)-50))</f>
        <v>147</v>
      </c>
      <c r="U212" s="9">
        <f>IF(ISERROR(VLOOKUP($A212,'SegEnds_NonXtal_BW#'!$A:$Z,15,FALSE)+VLOOKUP($A212,A:AL,22,FALSE)-50),"-",VLOOKUP($A212,'SegEnds_NonXtal_BW#'!$A:$Z,15,FALSE)+VLOOKUP($A212,A:AL,22,FALSE)-50)</f>
        <v>148</v>
      </c>
      <c r="V212" s="3">
        <v>160</v>
      </c>
      <c r="W212" s="3">
        <f>IF(ISERROR(VLOOKUP($A212,'SegEnds_NonXtal_BW#'!$A:$Z,16,FALSE)+VLOOKUP($A212,A:AL,22,FALSE)-50),"-",(VLOOKUP($A212,'SegEnds_NonXtal_BW#'!$A:$Z,16,FALSE)+VLOOKUP($A212,A:AL,22,FALSE)-50))</f>
        <v>174</v>
      </c>
      <c r="X212" s="3">
        <f>IF(ISERROR(VLOOKUP($A212,'SegEnds_NonXtal_BW#'!$A:$Z,17,FALSE)+VLOOKUP($A212,A:AL,25,FALSE)-50),"-",(VLOOKUP($A212,'SegEnds_NonXtal_BW#'!$A:$Z,17,FALSE)+VLOOKUP($A212,A:AL,25,FALSE)-50))</f>
        <v>185</v>
      </c>
      <c r="Y212" s="3">
        <v>185</v>
      </c>
      <c r="Z212" s="3">
        <f t="shared" si="117"/>
        <v>187</v>
      </c>
      <c r="AA212" s="3">
        <f>IF(ISERROR(VLOOKUP($A212,'SegEnds_NonXtal_BW#'!$A:$Z,19,FALSE)+VLOOKUP($A212,A:AL,28,FALSE)-50),"-",(VLOOKUP($A212,'SegEnds_NonXtal_BW#'!$A:$Z,19,FALSE)+VLOOKUP($A212,A:AL,28,FALSE)-50))</f>
        <v>194</v>
      </c>
      <c r="AB212" s="3">
        <v>212</v>
      </c>
      <c r="AC212" s="3">
        <f>IF(ISERROR((VLOOKUP($A212,'SegEnds_NonXtal_BW#'!$A:$Z,20,FALSE)+VLOOKUP($A212,A:AL,28,FALSE)-50)),"-",(VLOOKUP($A212,'SegEnds_NonXtal_BW#'!$A:$Z,20,FALSE)+VLOOKUP($A212,A:AL,28,FALSE)-50))</f>
        <v>230</v>
      </c>
      <c r="AD212" s="3">
        <f>IF(ISERROR(VLOOKUP($A212,'SegEnds_NonXtal_BW#'!$A:$Z,21,FALSE)+VLOOKUP($A212,A:AL,31,FALSE)-50),"-",(VLOOKUP($A212,'SegEnds_NonXtal_BW#'!$A:$Z,21,FALSE)+VLOOKUP($A212,A:AL,31,FALSE)-50))</f>
        <v>234</v>
      </c>
      <c r="AE212" s="3">
        <v>260</v>
      </c>
      <c r="AF212" s="3">
        <f>IF(ISERROR((VLOOKUP($A212,'SegEnds_NonXtal_BW#'!$A:$Z,22,FALSE)+VLOOKUP($A212,A:AL,31,FALSE)-50)),"-",(VLOOKUP($A212,'SegEnds_NonXtal_BW#'!$A:$Z,22,FALSE)+VLOOKUP($A212,A:AL,31,FALSE)-50))</f>
        <v>271</v>
      </c>
      <c r="AG212" s="3">
        <f>IF(ISERROR(VLOOKUP($A212,'SegEnds_NonXtal_BW#'!$A:$Z,23,FALSE)+VLOOKUP($A212,A:AL,34,FALSE)-50),"-",(VLOOKUP($A212,'SegEnds_NonXtal_BW#'!$A:$Z,23,FALSE)+VLOOKUP($A212,A:AL,34,FALSE)-50))</f>
        <v>277</v>
      </c>
      <c r="AH212" s="3">
        <v>303</v>
      </c>
      <c r="AI212" s="3">
        <f>IF(ISERROR((VLOOKUP($A212,'SegEnds_NonXtal_BW#'!$A:$Z,24,FALSE)+VLOOKUP($A212,A:AL,34,FALSE)-50)),"-",(VLOOKUP($A212,'SegEnds_NonXtal_BW#'!$A:$Z,24,FALSE)+VLOOKUP($A212,A:AL,34,FALSE)-50))</f>
        <v>309</v>
      </c>
      <c r="AJ212" s="3">
        <f>IF(ISERROR(VLOOKUP($A212,'SegEnds_NonXtal_BW#'!$A:$Z,25,FALSE)+VLOOKUP($A212,A:AL,37,FALSE)-50),"-",(VLOOKUP($A212,'SegEnds_NonXtal_BW#'!$A:$Z,25,FALSE)+VLOOKUP($A212,A:AL,37,FALSE)-50))</f>
        <v>310</v>
      </c>
      <c r="AK212" s="3">
        <v>313</v>
      </c>
      <c r="AL212" s="3">
        <f>IF(ISERROR((VLOOKUP($A212,'SegEnds_NonXtal_BW#'!$A:$Z,26,FALSE)+VLOOKUP($A212,A:AL,37,FALSE)-50)),"-",(VLOOKUP($A212,'SegEnds_NonXtal_BW#'!$A:$Z,26,FALSE)+VLOOKUP($A212,A:AL,37,FALSE)-50))</f>
        <v>322</v>
      </c>
      <c r="AM212" s="28" t="str">
        <f>VLOOKUP(A212,Classification!A:B,2,FALSE)</f>
        <v>A</v>
      </c>
      <c r="AN212" s="28" t="b">
        <f t="shared" si="133"/>
        <v>1</v>
      </c>
      <c r="AO212" s="3" t="str">
        <f>IF(ISERROR(MATCH(A212,'SegEnds_Xtal_Prot#'!B:B, 0)), "NoXtal", "Xtal")</f>
        <v>NoXtal</v>
      </c>
      <c r="AP212" s="3" t="str">
        <f t="shared" si="118"/>
        <v>-</v>
      </c>
      <c r="AQ212" s="3" t="str">
        <f t="shared" si="119"/>
        <v>-</v>
      </c>
      <c r="AR212" s="3">
        <f t="shared" si="120"/>
        <v>3</v>
      </c>
      <c r="AS212" s="3">
        <f t="shared" si="121"/>
        <v>1</v>
      </c>
      <c r="AT212" s="3">
        <f t="shared" si="122"/>
        <v>1</v>
      </c>
      <c r="AU212" s="3">
        <f t="shared" si="123"/>
        <v>1</v>
      </c>
      <c r="AV212" s="3">
        <f t="shared" si="124"/>
        <v>11</v>
      </c>
      <c r="AW212" s="3">
        <f t="shared" si="125"/>
        <v>7</v>
      </c>
      <c r="AX212" s="3">
        <f t="shared" si="126"/>
        <v>4</v>
      </c>
      <c r="AY212" s="3">
        <f t="shared" si="127"/>
        <v>6</v>
      </c>
      <c r="AZ212" s="3">
        <f t="shared" si="128"/>
        <v>1</v>
      </c>
      <c r="BA212" s="3">
        <f>IF(ISERROR(LEN(VLOOKUP(A212,Seqs!A:E,2,FALSE))-AL212),"-",LEN(VLOOKUP(A212,Seqs!A:E,2,FALSE))-AL212)</f>
        <v>43</v>
      </c>
      <c r="BB212" s="16">
        <f t="shared" si="129"/>
        <v>28</v>
      </c>
      <c r="BC212" s="9">
        <f t="shared" si="130"/>
        <v>20</v>
      </c>
      <c r="BD212" s="3">
        <f t="shared" si="131"/>
        <v>28</v>
      </c>
      <c r="BE212" s="3">
        <f t="shared" si="132"/>
        <v>48</v>
      </c>
    </row>
    <row r="213" spans="1:59" s="3" customFormat="1" x14ac:dyDescent="0.2">
      <c r="A213" s="3" t="s">
        <v>349</v>
      </c>
      <c r="B213" s="3" t="str">
        <f>LOWER(VLOOKUP(A213,Xtal_Templ!A:B,2,FALSE))</f>
        <v>par1_human</v>
      </c>
      <c r="C213" s="3">
        <f>VLOOKUP($A213,'SegEnds_NonXtal_BW#'!$A:$Z,3,FALSE)+D213-50</f>
        <v>20</v>
      </c>
      <c r="D213" s="3">
        <v>41</v>
      </c>
      <c r="E213" s="3">
        <f>IF(ISERROR(VLOOKUP($A213,'SegEnds_NonXtal_BW#'!$A:$Z,4,FALSE)+VLOOKUP($A213,A:AL,4,FALSE)-50),"-",(VLOOKUP($A213,'SegEnds_NonXtal_BW#'!$A:$Z,4,FALSE)+VLOOKUP($A213,A:AL,4,FALSE)-50))</f>
        <v>51</v>
      </c>
      <c r="F213" s="3" t="str">
        <f>IF(ISERROR(VLOOKUP($A213,'SegEnds_NonXtal_BW#'!$A:$Z,5,FALSE)+VLOOKUP($A213,A:AL,7,FALSE)-50),"-",(VLOOKUP($A213,'SegEnds_NonXtal_BW#'!$A:$Z,5,FALSE)+VLOOKUP($A213,A:AL,7,FALSE)-50))</f>
        <v>-</v>
      </c>
      <c r="G213" s="3" t="s">
        <v>23</v>
      </c>
      <c r="H213" s="3" t="str">
        <f>IF(ISERROR(VLOOKUP($A213,'SegEnds_NonXtal_BW#'!$A:$Z,6,FALSE)+VLOOKUP($A213,A:AL,7,FALSE)-50),"-",(VLOOKUP($A213,'SegEnds_NonXtal_BW#'!$A:$Z,6,FALSE)+VLOOKUP($A213,A:AL,7,FALSE)-50))</f>
        <v>-</v>
      </c>
      <c r="I213" s="3">
        <f>VLOOKUP($A213,'SegEnds_NonXtal_BW#'!$A:$Z,7,FALSE)+J213-50</f>
        <v>56</v>
      </c>
      <c r="J213" s="3">
        <v>69</v>
      </c>
      <c r="K213" s="3">
        <f>VLOOKUP($A213,'SegEnds_NonXtal_BW#'!$A:$Z,8,FALSE)+VLOOKUP($A213,A:AL,10,FALSE)-50</f>
        <v>85</v>
      </c>
      <c r="L213" s="3">
        <f t="shared" si="136"/>
        <v>88</v>
      </c>
      <c r="M213" s="3">
        <v>89</v>
      </c>
      <c r="N213" s="3">
        <f t="shared" si="137"/>
        <v>91</v>
      </c>
      <c r="O213" s="3">
        <f t="shared" si="116"/>
        <v>92</v>
      </c>
      <c r="P213" s="3">
        <v>121</v>
      </c>
      <c r="Q213" s="3">
        <f>VLOOKUP($A213,'SegEnds_NonXtal_BW#'!$A:$Z,12,FALSE)+VLOOKUP($A213,A:AL,16,FALSE)-50</f>
        <v>127</v>
      </c>
      <c r="R213" s="3">
        <f>IF(ISERROR(VLOOKUP($A213,'SegEnds_NonXtal_BW#'!$A:$Z,13,FALSE)+VLOOKUP($A213,A:AL,19,FALSE)-50),"-",VLOOKUP($A213,'SegEnds_NonXtal_BW#'!$A:$Z,13,FALSE)+VLOOKUP($A213,A:AL,19,FALSE)-50)</f>
        <v>128</v>
      </c>
      <c r="S213" s="3">
        <v>128</v>
      </c>
      <c r="T213" s="100">
        <f>IF(ISERROR(VLOOKUP($A213,'SegEnds_NonXtal_BW#'!$A:$Z,14,FALSE)+VLOOKUP($A213,A:AL,19,FALSE)-50),"-",(VLOOKUP($A213,'SegEnds_NonXtal_BW#'!$A:$Z,14,FALSE)+VLOOKUP($A213,A:AL,19,FALSE)-50))</f>
        <v>135</v>
      </c>
      <c r="U213" s="9">
        <f>IF(ISERROR(VLOOKUP($A213,'SegEnds_NonXtal_BW#'!$A:$Z,15,FALSE)+VLOOKUP($A213,A:AL,22,FALSE)-50),"-",VLOOKUP($A213,'SegEnds_NonXtal_BW#'!$A:$Z,15,FALSE)+VLOOKUP($A213,A:AL,22,FALSE)-50)</f>
        <v>136</v>
      </c>
      <c r="V213" s="3">
        <v>148</v>
      </c>
      <c r="W213" s="3">
        <f>IF(ISERROR(VLOOKUP($A213,'SegEnds_NonXtal_BW#'!$A:$Z,16,FALSE)+VLOOKUP($A213,A:AL,22,FALSE)-50),"-",(VLOOKUP($A213,'SegEnds_NonXtal_BW#'!$A:$Z,16,FALSE)+VLOOKUP($A213,A:AL,22,FALSE)-50))</f>
        <v>161</v>
      </c>
      <c r="X213" s="3">
        <f>IF(ISERROR(VLOOKUP($A213,'SegEnds_NonXtal_BW#'!$A:$Z,17,FALSE)+VLOOKUP($A213,A:AL,25,FALSE)-50),"-",(VLOOKUP($A213,'SegEnds_NonXtal_BW#'!$A:$Z,17,FALSE)+VLOOKUP($A213,A:AL,25,FALSE)-50))</f>
        <v>175</v>
      </c>
      <c r="Y213" s="3">
        <v>175</v>
      </c>
      <c r="Z213" s="3">
        <f t="shared" si="117"/>
        <v>177</v>
      </c>
      <c r="AA213" s="3">
        <f>IF(ISERROR(VLOOKUP($A213,'SegEnds_NonXtal_BW#'!$A:$Z,19,FALSE)+VLOOKUP($A213,A:AL,28,FALSE)-50),"-",(VLOOKUP($A213,'SegEnds_NonXtal_BW#'!$A:$Z,19,FALSE)+VLOOKUP($A213,A:AL,28,FALSE)-50))</f>
        <v>187</v>
      </c>
      <c r="AB213" s="3">
        <v>205</v>
      </c>
      <c r="AC213" s="3">
        <f>IF(ISERROR((VLOOKUP($A213,'SegEnds_NonXtal_BW#'!$A:$Z,20,FALSE)+VLOOKUP($A213,A:AL,28,FALSE)-50)),"-",(VLOOKUP($A213,'SegEnds_NonXtal_BW#'!$A:$Z,20,FALSE)+VLOOKUP($A213,A:AL,28,FALSE)-50))</f>
        <v>222</v>
      </c>
      <c r="AD213" s="3">
        <f>IF(ISERROR(VLOOKUP($A213,'SegEnds_NonXtal_BW#'!$A:$Z,21,FALSE)+VLOOKUP($A213,A:AL,31,FALSE)-50),"-",(VLOOKUP($A213,'SegEnds_NonXtal_BW#'!$A:$Z,21,FALSE)+VLOOKUP($A213,A:AL,31,FALSE)-50))</f>
        <v>228</v>
      </c>
      <c r="AE213" s="3">
        <v>252</v>
      </c>
      <c r="AF213" s="3">
        <f>IF(ISERROR((VLOOKUP($A213,'SegEnds_NonXtal_BW#'!$A:$Z,22,FALSE)+VLOOKUP($A213,A:AL,31,FALSE)-50)),"-",(VLOOKUP($A213,'SegEnds_NonXtal_BW#'!$A:$Z,22,FALSE)+VLOOKUP($A213,A:AL,31,FALSE)-50))</f>
        <v>263</v>
      </c>
      <c r="AG213" s="3">
        <f>IF(ISERROR(VLOOKUP($A213,'SegEnds_NonXtal_BW#'!$A:$Z,23,FALSE)+VLOOKUP($A213,A:AL,34,FALSE)-50),"-",(VLOOKUP($A213,'SegEnds_NonXtal_BW#'!$A:$Z,23,FALSE)+VLOOKUP($A213,A:AL,34,FALSE)-50))</f>
        <v>268</v>
      </c>
      <c r="AH213" s="3">
        <v>290</v>
      </c>
      <c r="AI213" s="3">
        <f>IF(ISERROR((VLOOKUP($A213,'SegEnds_NonXtal_BW#'!$A:$Z,24,FALSE)+VLOOKUP($A213,A:AL,34,FALSE)-50)),"-",(VLOOKUP($A213,'SegEnds_NonXtal_BW#'!$A:$Z,24,FALSE)+VLOOKUP($A213,A:AL,34,FALSE)-50))</f>
        <v>296</v>
      </c>
      <c r="AJ213" s="3">
        <f>IF(ISERROR(VLOOKUP($A213,'SegEnds_NonXtal_BW#'!$A:$Z,25,FALSE)+VLOOKUP($A213,A:AL,37,FALSE)-50),"-",(VLOOKUP($A213,'SegEnds_NonXtal_BW#'!$A:$Z,25,FALSE)+VLOOKUP($A213,A:AL,37,FALSE)-50))</f>
        <v>297</v>
      </c>
      <c r="AK213" s="3">
        <v>300</v>
      </c>
      <c r="AL213" s="3">
        <f>IF(ISERROR((VLOOKUP($A213,'SegEnds_NonXtal_BW#'!$A:$Z,26,FALSE)+VLOOKUP($A213,A:AL,37,FALSE)-50)),"-",(VLOOKUP($A213,'SegEnds_NonXtal_BW#'!$A:$Z,26,FALSE)+VLOOKUP($A213,A:AL,37,FALSE)-50))</f>
        <v>311</v>
      </c>
      <c r="AM213" s="28" t="str">
        <f>VLOOKUP(A213,Classification!A:B,2,FALSE)</f>
        <v>A</v>
      </c>
      <c r="AN213" s="28" t="b">
        <f t="shared" si="133"/>
        <v>1</v>
      </c>
      <c r="AO213" s="3" t="str">
        <f>IF(ISERROR(MATCH(A213,'SegEnds_Xtal_Prot#'!B:B, 0)), "NoXtal", "Xtal")</f>
        <v>NoXtal</v>
      </c>
      <c r="AP213" s="3" t="str">
        <f t="shared" si="118"/>
        <v>-</v>
      </c>
      <c r="AQ213" s="3" t="str">
        <f t="shared" si="119"/>
        <v>-</v>
      </c>
      <c r="AR213" s="3">
        <f t="shared" si="120"/>
        <v>3</v>
      </c>
      <c r="AS213" s="3">
        <f t="shared" si="121"/>
        <v>1</v>
      </c>
      <c r="AT213" s="3">
        <f t="shared" si="122"/>
        <v>1</v>
      </c>
      <c r="AU213" s="3">
        <f t="shared" si="123"/>
        <v>1</v>
      </c>
      <c r="AV213" s="3">
        <f t="shared" si="124"/>
        <v>14</v>
      </c>
      <c r="AW213" s="3">
        <f t="shared" si="125"/>
        <v>10</v>
      </c>
      <c r="AX213" s="3">
        <f t="shared" si="126"/>
        <v>6</v>
      </c>
      <c r="AY213" s="3">
        <f t="shared" si="127"/>
        <v>5</v>
      </c>
      <c r="AZ213" s="3">
        <f t="shared" si="128"/>
        <v>1</v>
      </c>
      <c r="BA213" s="3">
        <f>IF(ISERROR(LEN(VLOOKUP(A213,Seqs!A:E,2,FALSE))-AL213),"-",LEN(VLOOKUP(A213,Seqs!A:E,2,FALSE))-AL213)</f>
        <v>48</v>
      </c>
      <c r="BB213" s="16">
        <f t="shared" si="129"/>
        <v>28</v>
      </c>
      <c r="BC213" s="9">
        <f t="shared" si="130"/>
        <v>20</v>
      </c>
      <c r="BD213" s="3">
        <f t="shared" si="131"/>
        <v>28</v>
      </c>
      <c r="BE213" s="3">
        <f t="shared" si="132"/>
        <v>47</v>
      </c>
    </row>
    <row r="214" spans="1:59" s="3" customFormat="1" x14ac:dyDescent="0.2">
      <c r="A214" s="3" t="s">
        <v>351</v>
      </c>
      <c r="B214" s="3" t="str">
        <f>LOWER(VLOOKUP(A214,Xtal_Templ!A:B,2,FALSE))</f>
        <v>p2ry1_human</v>
      </c>
      <c r="C214" s="3">
        <f>VLOOKUP($A214,'SegEnds_NonXtal_BW#'!$A:$Z,3,FALSE)+D214-50</f>
        <v>26</v>
      </c>
      <c r="D214" s="3">
        <v>46</v>
      </c>
      <c r="E214" s="3">
        <f>IF(ISERROR(VLOOKUP($A214,'SegEnds_NonXtal_BW#'!$A:$Z,4,FALSE)+VLOOKUP($A214,A:AL,4,FALSE)-50),"-",(VLOOKUP($A214,'SegEnds_NonXtal_BW#'!$A:$Z,4,FALSE)+VLOOKUP($A214,A:AL,4,FALSE)-50))</f>
        <v>56</v>
      </c>
      <c r="F214" s="3" t="str">
        <f>IF(ISERROR(VLOOKUP($A214,'SegEnds_NonXtal_BW#'!$A:$Z,5,FALSE)+VLOOKUP($A214,A:AL,7,FALSE)-50),"-",(VLOOKUP($A214,'SegEnds_NonXtal_BW#'!$A:$Z,5,FALSE)+VLOOKUP($A214,A:AL,7,FALSE)-50))</f>
        <v>-</v>
      </c>
      <c r="G214" s="3" t="s">
        <v>23</v>
      </c>
      <c r="H214" s="3" t="str">
        <f>IF(ISERROR(VLOOKUP($A214,'SegEnds_NonXtal_BW#'!$A:$Z,6,FALSE)+VLOOKUP($A214,A:AL,7,FALSE)-50),"-",(VLOOKUP($A214,'SegEnds_NonXtal_BW#'!$A:$Z,6,FALSE)+VLOOKUP($A214,A:AL,7,FALSE)-50))</f>
        <v>-</v>
      </c>
      <c r="I214" s="3">
        <f>VLOOKUP($A214,'SegEnds_NonXtal_BW#'!$A:$Z,7,FALSE)+J214-50</f>
        <v>62</v>
      </c>
      <c r="J214" s="3">
        <v>75</v>
      </c>
      <c r="K214" s="3">
        <f>VLOOKUP($A214,'SegEnds_NonXtal_BW#'!$A:$Z,8,FALSE)+VLOOKUP($A214,A:AL,10,FALSE)-50</f>
        <v>91</v>
      </c>
      <c r="L214" s="3">
        <f t="shared" si="136"/>
        <v>94</v>
      </c>
      <c r="M214" s="3">
        <v>95</v>
      </c>
      <c r="N214" s="3">
        <f t="shared" si="137"/>
        <v>97</v>
      </c>
      <c r="O214" s="3">
        <f t="shared" si="116"/>
        <v>98</v>
      </c>
      <c r="P214" s="3">
        <v>127</v>
      </c>
      <c r="Q214" s="3">
        <f>VLOOKUP($A214,'SegEnds_NonXtal_BW#'!$A:$Z,12,FALSE)+VLOOKUP($A214,A:AL,16,FALSE)-50</f>
        <v>133</v>
      </c>
      <c r="R214" s="3">
        <f>IF(ISERROR(VLOOKUP($A214,'SegEnds_NonXtal_BW#'!$A:$Z,13,FALSE)+VLOOKUP($A214,A:AL,19,FALSE)-50),"-",VLOOKUP($A214,'SegEnds_NonXtal_BW#'!$A:$Z,13,FALSE)+VLOOKUP($A214,A:AL,19,FALSE)-50)</f>
        <v>134</v>
      </c>
      <c r="S214" s="3">
        <v>134</v>
      </c>
      <c r="T214" s="100">
        <f>IF(ISERROR(VLOOKUP($A214,'SegEnds_NonXtal_BW#'!$A:$Z,14,FALSE)+VLOOKUP($A214,A:AL,19,FALSE)-50),"-",(VLOOKUP($A214,'SegEnds_NonXtal_BW#'!$A:$Z,14,FALSE)+VLOOKUP($A214,A:AL,19,FALSE)-50))</f>
        <v>141</v>
      </c>
      <c r="U214" s="9">
        <f>IF(ISERROR(VLOOKUP($A214,'SegEnds_NonXtal_BW#'!$A:$Z,15,FALSE)+VLOOKUP($A214,A:AL,22,FALSE)-50),"-",VLOOKUP($A214,'SegEnds_NonXtal_BW#'!$A:$Z,15,FALSE)+VLOOKUP($A214,A:AL,22,FALSE)-50)</f>
        <v>142</v>
      </c>
      <c r="V214" s="3">
        <v>154</v>
      </c>
      <c r="W214" s="3">
        <f>IF(ISERROR(VLOOKUP($A214,'SegEnds_NonXtal_BW#'!$A:$Z,16,FALSE)+VLOOKUP($A214,A:AL,22,FALSE)-50),"-",(VLOOKUP($A214,'SegEnds_NonXtal_BW#'!$A:$Z,16,FALSE)+VLOOKUP($A214,A:AL,22,FALSE)-50))</f>
        <v>168</v>
      </c>
      <c r="X214" s="3">
        <f>IF(ISERROR(VLOOKUP($A214,'SegEnds_NonXtal_BW#'!$A:$Z,17,FALSE)+VLOOKUP($A214,A:AL,25,FALSE)-50),"-",(VLOOKUP($A214,'SegEnds_NonXtal_BW#'!$A:$Z,17,FALSE)+VLOOKUP($A214,A:AL,25,FALSE)-50))</f>
        <v>191</v>
      </c>
      <c r="Y214" s="3">
        <v>191</v>
      </c>
      <c r="Z214" s="3">
        <f t="shared" si="117"/>
        <v>193</v>
      </c>
      <c r="AA214" s="3">
        <f>IF(ISERROR(VLOOKUP($A214,'SegEnds_NonXtal_BW#'!$A:$Z,19,FALSE)+VLOOKUP($A214,A:AL,28,FALSE)-50),"-",(VLOOKUP($A214,'SegEnds_NonXtal_BW#'!$A:$Z,19,FALSE)+VLOOKUP($A214,A:AL,28,FALSE)-50))</f>
        <v>199</v>
      </c>
      <c r="AB214" s="3">
        <v>217</v>
      </c>
      <c r="AC214" s="3">
        <f>IF(ISERROR((VLOOKUP($A214,'SegEnds_NonXtal_BW#'!$A:$Z,20,FALSE)+VLOOKUP($A214,A:AL,28,FALSE)-50)),"-",(VLOOKUP($A214,'SegEnds_NonXtal_BW#'!$A:$Z,20,FALSE)+VLOOKUP($A214,A:AL,28,FALSE)-50))</f>
        <v>234</v>
      </c>
      <c r="AD214" s="3">
        <f>IF(ISERROR(VLOOKUP($A214,'SegEnds_NonXtal_BW#'!$A:$Z,21,FALSE)+VLOOKUP($A214,A:AL,31,FALSE)-50),"-",(VLOOKUP($A214,'SegEnds_NonXtal_BW#'!$A:$Z,21,FALSE)+VLOOKUP($A214,A:AL,31,FALSE)-50))</f>
        <v>239</v>
      </c>
      <c r="AE214" s="3">
        <v>263</v>
      </c>
      <c r="AF214" s="3">
        <f>IF(ISERROR((VLOOKUP($A214,'SegEnds_NonXtal_BW#'!$A:$Z,22,FALSE)+VLOOKUP($A214,A:AL,31,FALSE)-50)),"-",(VLOOKUP($A214,'SegEnds_NonXtal_BW#'!$A:$Z,22,FALSE)+VLOOKUP($A214,A:AL,31,FALSE)-50))</f>
        <v>277</v>
      </c>
      <c r="AG214" s="3">
        <f>IF(ISERROR(VLOOKUP($A214,'SegEnds_NonXtal_BW#'!$A:$Z,23,FALSE)+VLOOKUP($A214,A:AL,34,FALSE)-50),"-",(VLOOKUP($A214,'SegEnds_NonXtal_BW#'!$A:$Z,23,FALSE)+VLOOKUP($A214,A:AL,34,FALSE)-50))</f>
        <v>292</v>
      </c>
      <c r="AH214" s="3">
        <v>318</v>
      </c>
      <c r="AI214" s="3">
        <f>IF(ISERROR((VLOOKUP($A214,'SegEnds_NonXtal_BW#'!$A:$Z,24,FALSE)+VLOOKUP($A214,A:AL,34,FALSE)-50)),"-",(VLOOKUP($A214,'SegEnds_NonXtal_BW#'!$A:$Z,24,FALSE)+VLOOKUP($A214,A:AL,34,FALSE)-50))</f>
        <v>324</v>
      </c>
      <c r="AJ214" s="3">
        <f>IF(ISERROR(VLOOKUP($A214,'SegEnds_NonXtal_BW#'!$A:$Z,25,FALSE)+VLOOKUP($A214,A:AL,37,FALSE)-50),"-",(VLOOKUP($A214,'SegEnds_NonXtal_BW#'!$A:$Z,25,FALSE)+VLOOKUP($A214,A:AL,37,FALSE)-50))</f>
        <v>325</v>
      </c>
      <c r="AK214" s="3">
        <v>328</v>
      </c>
      <c r="AL214" s="3">
        <f>IF(ISERROR((VLOOKUP($A214,'SegEnds_NonXtal_BW#'!$A:$Z,26,FALSE)+VLOOKUP($A214,A:AL,37,FALSE)-50)),"-",(VLOOKUP($A214,'SegEnds_NonXtal_BW#'!$A:$Z,26,FALSE)+VLOOKUP($A214,A:AL,37,FALSE)-50))</f>
        <v>337</v>
      </c>
      <c r="AM214" s="28" t="str">
        <f>VLOOKUP(A214,Classification!A:B,2,FALSE)</f>
        <v>A</v>
      </c>
      <c r="AN214" s="28" t="b">
        <f t="shared" si="133"/>
        <v>1</v>
      </c>
      <c r="AO214" s="3" t="str">
        <f>IF(ISERROR(MATCH(A214,'SegEnds_Xtal_Prot#'!B:B, 0)), "NoXtal", "Xtal")</f>
        <v>NoXtal</v>
      </c>
      <c r="AP214" s="3" t="str">
        <f t="shared" si="118"/>
        <v>-</v>
      </c>
      <c r="AQ214" s="3" t="str">
        <f t="shared" si="119"/>
        <v>-</v>
      </c>
      <c r="AR214" s="3">
        <f t="shared" si="120"/>
        <v>3</v>
      </c>
      <c r="AS214" s="3">
        <f t="shared" si="121"/>
        <v>1</v>
      </c>
      <c r="AT214" s="3">
        <f t="shared" si="122"/>
        <v>1</v>
      </c>
      <c r="AU214" s="3">
        <f t="shared" si="123"/>
        <v>1</v>
      </c>
      <c r="AV214" s="3">
        <f t="shared" si="124"/>
        <v>23</v>
      </c>
      <c r="AW214" s="3">
        <f t="shared" si="125"/>
        <v>6</v>
      </c>
      <c r="AX214" s="3">
        <f t="shared" si="126"/>
        <v>5</v>
      </c>
      <c r="AY214" s="3">
        <f t="shared" si="127"/>
        <v>15</v>
      </c>
      <c r="AZ214" s="3">
        <f t="shared" si="128"/>
        <v>1</v>
      </c>
      <c r="BA214" s="3">
        <f>IF(ISERROR(LEN(VLOOKUP(A214,Seqs!A:E,2,FALSE))-AL214),"-",LEN(VLOOKUP(A214,Seqs!A:E,2,FALSE))-AL214)</f>
        <v>37</v>
      </c>
      <c r="BB214" s="16">
        <f t="shared" si="129"/>
        <v>29</v>
      </c>
      <c r="BC214" s="9">
        <f t="shared" si="130"/>
        <v>20</v>
      </c>
      <c r="BD214" s="3">
        <f t="shared" si="131"/>
        <v>29</v>
      </c>
      <c r="BE214" s="3">
        <f t="shared" si="132"/>
        <v>46</v>
      </c>
    </row>
    <row r="215" spans="1:59" s="3" customFormat="1" x14ac:dyDescent="0.2">
      <c r="A215" s="3" t="s">
        <v>352</v>
      </c>
      <c r="B215" s="3" t="str">
        <f>LOWER(VLOOKUP(A215,Xtal_Templ!A:B,2,FALSE))</f>
        <v>p2y12_human</v>
      </c>
      <c r="C215" s="3">
        <f>VLOOKUP($A215,'SegEnds_NonXtal_BW#'!$A:$Z,3,FALSE)+D215-50</f>
        <v>21</v>
      </c>
      <c r="D215" s="3">
        <v>43</v>
      </c>
      <c r="E215" s="3">
        <f>IF(ISERROR(VLOOKUP($A215,'SegEnds_NonXtal_BW#'!$A:$Z,4,FALSE)+VLOOKUP($A215,A:AL,4,FALSE)-50),"-",(VLOOKUP($A215,'SegEnds_NonXtal_BW#'!$A:$Z,4,FALSE)+VLOOKUP($A215,A:AL,4,FALSE)-50))</f>
        <v>53</v>
      </c>
      <c r="F215" s="3" t="str">
        <f>IF(ISERROR(VLOOKUP($A215,'SegEnds_NonXtal_BW#'!$A:$Z,5,FALSE)+VLOOKUP($A215,A:AL,7,FALSE)-50),"-",(VLOOKUP($A215,'SegEnds_NonXtal_BW#'!$A:$Z,5,FALSE)+VLOOKUP($A215,A:AL,7,FALSE)-50))</f>
        <v>-</v>
      </c>
      <c r="G215" s="3" t="s">
        <v>23</v>
      </c>
      <c r="H215" s="3" t="str">
        <f>IF(ISERROR(VLOOKUP($A215,'SegEnds_NonXtal_BW#'!$A:$Z,6,FALSE)+VLOOKUP($A215,A:AL,7,FALSE)-50),"-",(VLOOKUP($A215,'SegEnds_NonXtal_BW#'!$A:$Z,6,FALSE)+VLOOKUP($A215,A:AL,7,FALSE)-50))</f>
        <v>-</v>
      </c>
      <c r="I215" s="3">
        <f>VLOOKUP($A215,'SegEnds_NonXtal_BW#'!$A:$Z,7,FALSE)+J215-50</f>
        <v>57</v>
      </c>
      <c r="J215" s="3">
        <v>70</v>
      </c>
      <c r="K215" s="3">
        <f>VLOOKUP($A215,'SegEnds_NonXtal_BW#'!$A:$Z,8,FALSE)+VLOOKUP($A215,A:AL,10,FALSE)-50</f>
        <v>86</v>
      </c>
      <c r="L215" s="3" t="str">
        <f>IF(ISERROR(VLOOKUP($A215,'SegEnds_NonXtal_BW#'!$A:$Z,9,FALSE)+VLOOKUP($A215,A:AL,13,FALSE)-50),"-",(VLOOKUP($A215,'SegEnds_NonXtal_BW#'!$A:$Z,9,FALSE)+VLOOKUP($A215,A:AL,13,FALSE)-50))</f>
        <v>-</v>
      </c>
      <c r="M215" s="3" t="s">
        <v>23</v>
      </c>
      <c r="N215" s="3" t="str">
        <f>IF(ISERROR(VLOOKUP($A215,'SegEnds_NonXtal_BW#'!$A:$Z,10,FALSE)+VLOOKUP($A215,A:AL,13,FALSE)-50),"-",(VLOOKUP($A215,'SegEnds_NonXtal_BW#'!$A:$Z,10,FALSE)+VLOOKUP($A215,A:AL,13,FALSE)-50))</f>
        <v>-</v>
      </c>
      <c r="O215" s="3">
        <f>VLOOKUP($A215,'SegEnds_NonXtal_BW#'!$A:$Z,11,FALSE)+VLOOKUP($A215,A:AL,16,FALSE)-50</f>
        <v>90</v>
      </c>
      <c r="P215" s="3">
        <v>122</v>
      </c>
      <c r="Q215" s="3">
        <f>VLOOKUP($A215,'SegEnds_NonXtal_BW#'!$A:$Z,12,FALSE)+VLOOKUP($A215,A:AL,16,FALSE)-50</f>
        <v>128</v>
      </c>
      <c r="R215" s="3">
        <f>IF(ISERROR(VLOOKUP($A215,'SegEnds_NonXtal_BW#'!$A:$Z,13,FALSE)+VLOOKUP($A215,A:AL,19,FALSE)-50),"-",VLOOKUP($A215,'SegEnds_NonXtal_BW#'!$A:$Z,13,FALSE)+VLOOKUP($A215,A:AL,19,FALSE)-50)</f>
        <v>129</v>
      </c>
      <c r="S215" s="3">
        <v>129</v>
      </c>
      <c r="T215" s="100">
        <f>IF(ISERROR(VLOOKUP($A215,'SegEnds_NonXtal_BW#'!$A:$Z,14,FALSE)+VLOOKUP($A215,A:AL,19,FALSE)-50),"-",(VLOOKUP($A215,'SegEnds_NonXtal_BW#'!$A:$Z,14,FALSE)+VLOOKUP($A215,A:AL,19,FALSE)-50))</f>
        <v>136</v>
      </c>
      <c r="U215" s="9">
        <f>IF(ISERROR(VLOOKUP($A215,'SegEnds_NonXtal_BW#'!$A:$Z,15,FALSE)+VLOOKUP($A215,A:AL,22,FALSE)-50),"-",VLOOKUP($A215,'SegEnds_NonXtal_BW#'!$A:$Z,15,FALSE)+VLOOKUP($A215,A:AL,22,FALSE)-50)</f>
        <v>137</v>
      </c>
      <c r="V215" s="3">
        <v>149</v>
      </c>
      <c r="W215" s="3">
        <f>IF(ISERROR(VLOOKUP($A215,'SegEnds_NonXtal_BW#'!$A:$Z,16,FALSE)+VLOOKUP($A215,A:AL,22,FALSE)-50),"-",(VLOOKUP($A215,'SegEnds_NonXtal_BW#'!$A:$Z,16,FALSE)+VLOOKUP($A215,A:AL,22,FALSE)-50))</f>
        <v>163</v>
      </c>
      <c r="X215" s="3">
        <f>IF(ISERROR(VLOOKUP($A215,'SegEnds_NonXtal_BW#'!$A:$Z,17,FALSE)+VLOOKUP($A215,A:AL,25,FALSE)-50),"-",(VLOOKUP($A215,'SegEnds_NonXtal_BW#'!$A:$Z,17,FALSE)+VLOOKUP($A215,A:AL,25,FALSE)-50))</f>
        <v>175</v>
      </c>
      <c r="Y215" s="3">
        <v>175</v>
      </c>
      <c r="Z215" s="3">
        <f t="shared" si="117"/>
        <v>177</v>
      </c>
      <c r="AA215" s="3">
        <f>IF(ISERROR(VLOOKUP($A215,'SegEnds_NonXtal_BW#'!$A:$Z,19,FALSE)+VLOOKUP($A215,A:AL,28,FALSE)-50),"-",(VLOOKUP($A215,'SegEnds_NonXtal_BW#'!$A:$Z,19,FALSE)+VLOOKUP($A215,A:AL,28,FALSE)-50))</f>
        <v>181</v>
      </c>
      <c r="AB215" s="3">
        <v>201</v>
      </c>
      <c r="AC215" s="3">
        <f>IF(ISERROR((VLOOKUP($A215,'SegEnds_NonXtal_BW#'!$A:$Z,20,FALSE)+VLOOKUP($A215,A:AL,28,FALSE)-50)),"-",(VLOOKUP($A215,'SegEnds_NonXtal_BW#'!$A:$Z,20,FALSE)+VLOOKUP($A215,A:AL,28,FALSE)-50))</f>
        <v>223</v>
      </c>
      <c r="AD215" s="3">
        <f>IF(ISERROR(VLOOKUP($A215,'SegEnds_NonXtal_BW#'!$A:$Z,21,FALSE)+VLOOKUP($A215,A:AL,31,FALSE)-50),"-",(VLOOKUP($A215,'SegEnds_NonXtal_BW#'!$A:$Z,21,FALSE)+VLOOKUP($A215,A:AL,31,FALSE)-50))</f>
        <v>230</v>
      </c>
      <c r="AE215" s="3">
        <v>251</v>
      </c>
      <c r="AF215" s="3">
        <f>IF(ISERROR((VLOOKUP($A215,'SegEnds_NonXtal_BW#'!$A:$Z,22,FALSE)+VLOOKUP($A215,A:AL,31,FALSE)-50)),"-",(VLOOKUP($A215,'SegEnds_NonXtal_BW#'!$A:$Z,22,FALSE)+VLOOKUP($A215,A:AL,31,FALSE)-50))</f>
        <v>265</v>
      </c>
      <c r="AG215" s="3">
        <f>IF(ISERROR(VLOOKUP($A215,'SegEnds_NonXtal_BW#'!$A:$Z,23,FALSE)+VLOOKUP($A215,A:AL,34,FALSE)-50),"-",(VLOOKUP($A215,'SegEnds_NonXtal_BW#'!$A:$Z,23,FALSE)+VLOOKUP($A215,A:AL,34,FALSE)-50))</f>
        <v>269</v>
      </c>
      <c r="AH215" s="3">
        <v>295</v>
      </c>
      <c r="AI215" s="3">
        <f>IF(ISERROR((VLOOKUP($A215,'SegEnds_NonXtal_BW#'!$A:$Z,24,FALSE)+VLOOKUP($A215,A:AL,34,FALSE)-50)),"-",(VLOOKUP($A215,'SegEnds_NonXtal_BW#'!$A:$Z,24,FALSE)+VLOOKUP($A215,A:AL,34,FALSE)-50))</f>
        <v>301</v>
      </c>
      <c r="AJ215" s="3">
        <f>IF(ISERROR(VLOOKUP($A215,'SegEnds_NonXtal_BW#'!$A:$Z,25,FALSE)+VLOOKUP($A215,A:AL,37,FALSE)-50),"-",(VLOOKUP($A215,'SegEnds_NonXtal_BW#'!$A:$Z,25,FALSE)+VLOOKUP($A215,A:AL,37,FALSE)-50))</f>
        <v>302</v>
      </c>
      <c r="AK215" s="3">
        <v>305</v>
      </c>
      <c r="AL215" s="3">
        <f>IF(ISERROR((VLOOKUP($A215,'SegEnds_NonXtal_BW#'!$A:$Z,26,FALSE)+VLOOKUP($A215,A:AL,37,FALSE)-50)),"-",(VLOOKUP($A215,'SegEnds_NonXtal_BW#'!$A:$Z,26,FALSE)+VLOOKUP($A215,A:AL,37,FALSE)-50))</f>
        <v>312</v>
      </c>
      <c r="AM215" s="28" t="str">
        <f>VLOOKUP(A215,Classification!A:B,2,FALSE)</f>
        <v>A</v>
      </c>
      <c r="AN215" s="28" t="b">
        <f t="shared" si="133"/>
        <v>1</v>
      </c>
      <c r="AO215" s="3" t="str">
        <f>IF(ISERROR(MATCH(A215,'SegEnds_Xtal_Prot#'!B:B, 0)), "NoXtal", "Xtal")</f>
        <v>Xtal</v>
      </c>
      <c r="AP215" s="3" t="str">
        <f t="shared" si="118"/>
        <v>-</v>
      </c>
      <c r="AQ215" s="3" t="str">
        <f t="shared" si="119"/>
        <v>-</v>
      </c>
      <c r="AR215" s="3" t="str">
        <f t="shared" si="120"/>
        <v>-</v>
      </c>
      <c r="AS215" s="3" t="str">
        <f t="shared" si="121"/>
        <v>-</v>
      </c>
      <c r="AT215" s="3">
        <f t="shared" si="122"/>
        <v>1</v>
      </c>
      <c r="AU215" s="3">
        <f t="shared" si="123"/>
        <v>1</v>
      </c>
      <c r="AV215" s="3">
        <f t="shared" si="124"/>
        <v>12</v>
      </c>
      <c r="AW215" s="3">
        <f t="shared" si="125"/>
        <v>4</v>
      </c>
      <c r="AX215" s="3">
        <f t="shared" si="126"/>
        <v>7</v>
      </c>
      <c r="AY215" s="3">
        <f t="shared" si="127"/>
        <v>4</v>
      </c>
      <c r="AZ215" s="3">
        <f t="shared" si="128"/>
        <v>1</v>
      </c>
      <c r="BA215" s="3">
        <f>IF(ISERROR(LEN(VLOOKUP(A215,Seqs!A:E,2,FALSE))-AL215),"-",LEN(VLOOKUP(A215,Seqs!A:E,2,FALSE))-AL215)</f>
        <v>30</v>
      </c>
      <c r="BB215" s="16">
        <f t="shared" si="129"/>
        <v>27</v>
      </c>
      <c r="BC215" s="9">
        <f t="shared" si="130"/>
        <v>20</v>
      </c>
      <c r="BD215" s="3">
        <f t="shared" si="131"/>
        <v>27</v>
      </c>
      <c r="BE215" s="3">
        <f t="shared" si="132"/>
        <v>50</v>
      </c>
    </row>
    <row r="216" spans="1:59" s="3" customFormat="1" x14ac:dyDescent="0.2">
      <c r="A216" s="3" t="s">
        <v>353</v>
      </c>
      <c r="B216" s="3" t="str">
        <f>LOWER(VLOOKUP(A216,Xtal_Templ!A:B,2,FALSE))</f>
        <v>p2y12_human</v>
      </c>
      <c r="C216" s="3">
        <f>VLOOKUP($A216,'SegEnds_NonXtal_BW#'!$A:$Z,3,FALSE)+D216-50</f>
        <v>40</v>
      </c>
      <c r="D216" s="3">
        <v>62</v>
      </c>
      <c r="E216" s="3">
        <f>IF(ISERROR(VLOOKUP($A216,'SegEnds_NonXtal_BW#'!$A:$Z,4,FALSE)+VLOOKUP($A216,A:AL,4,FALSE)-50),"-",(VLOOKUP($A216,'SegEnds_NonXtal_BW#'!$A:$Z,4,FALSE)+VLOOKUP($A216,A:AL,4,FALSE)-50))</f>
        <v>72</v>
      </c>
      <c r="F216" s="3" t="str">
        <f>IF(ISERROR(VLOOKUP($A216,'SegEnds_NonXtal_BW#'!$A:$Z,5,FALSE)+VLOOKUP($A216,A:AL,7,FALSE)-50),"-",(VLOOKUP($A216,'SegEnds_NonXtal_BW#'!$A:$Z,5,FALSE)+VLOOKUP($A216,A:AL,7,FALSE)-50))</f>
        <v>-</v>
      </c>
      <c r="G216" s="3" t="s">
        <v>23</v>
      </c>
      <c r="H216" s="3" t="str">
        <f>IF(ISERROR(VLOOKUP($A216,'SegEnds_NonXtal_BW#'!$A:$Z,6,FALSE)+VLOOKUP($A216,A:AL,7,FALSE)-50),"-",(VLOOKUP($A216,'SegEnds_NonXtal_BW#'!$A:$Z,6,FALSE)+VLOOKUP($A216,A:AL,7,FALSE)-50))</f>
        <v>-</v>
      </c>
      <c r="I216" s="3">
        <f>VLOOKUP($A216,'SegEnds_NonXtal_BW#'!$A:$Z,7,FALSE)+J216-50</f>
        <v>76</v>
      </c>
      <c r="J216" s="3">
        <v>89</v>
      </c>
      <c r="K216" s="3">
        <f>VLOOKUP($A216,'SegEnds_NonXtal_BW#'!$A:$Z,8,FALSE)+VLOOKUP($A216,A:AL,10,FALSE)-50</f>
        <v>105</v>
      </c>
      <c r="L216" s="3" t="s">
        <v>23</v>
      </c>
      <c r="M216" s="3" t="s">
        <v>23</v>
      </c>
      <c r="N216" s="3" t="s">
        <v>23</v>
      </c>
      <c r="O216" s="3">
        <f>VLOOKUP($A216,'SegEnds_NonXtal_BW#'!$A:$Z,11,FALSE)+VLOOKUP($A216,A:AL,16,FALSE)-50</f>
        <v>109</v>
      </c>
      <c r="P216" s="3">
        <v>141</v>
      </c>
      <c r="Q216" s="3">
        <f>VLOOKUP($A216,'SegEnds_NonXtal_BW#'!$A:$Z,12,FALSE)+VLOOKUP($A216,A:AL,16,FALSE)-50</f>
        <v>147</v>
      </c>
      <c r="R216" s="3">
        <f>IF(ISERROR(VLOOKUP($A216,'SegEnds_NonXtal_BW#'!$A:$Z,13,FALSE)+VLOOKUP($A216,A:AL,19,FALSE)-50),"-",VLOOKUP($A216,'SegEnds_NonXtal_BW#'!$A:$Z,13,FALSE)+VLOOKUP($A216,A:AL,19,FALSE)-50)</f>
        <v>148</v>
      </c>
      <c r="S216" s="3">
        <v>148</v>
      </c>
      <c r="T216" s="100">
        <f>IF(ISERROR(VLOOKUP($A216,'SegEnds_NonXtal_BW#'!$A:$Z,14,FALSE)+VLOOKUP($A216,A:AL,19,FALSE)-50),"-",(VLOOKUP($A216,'SegEnds_NonXtal_BW#'!$A:$Z,14,FALSE)+VLOOKUP($A216,A:AL,19,FALSE)-50))</f>
        <v>155</v>
      </c>
      <c r="U216" s="9">
        <f>IF(ISERROR(VLOOKUP($A216,'SegEnds_NonXtal_BW#'!$A:$Z,15,FALSE)+VLOOKUP($A216,A:AL,22,FALSE)-50),"-",VLOOKUP($A216,'SegEnds_NonXtal_BW#'!$A:$Z,15,FALSE)+VLOOKUP($A216,A:AL,22,FALSE)-50)</f>
        <v>156</v>
      </c>
      <c r="V216" s="3">
        <v>168</v>
      </c>
      <c r="W216" s="3">
        <f>IF(ISERROR(VLOOKUP($A216,'SegEnds_NonXtal_BW#'!$A:$Z,16,FALSE)+VLOOKUP($A216,A:AL,22,FALSE)-50),"-",(VLOOKUP($A216,'SegEnds_NonXtal_BW#'!$A:$Z,16,FALSE)+VLOOKUP($A216,A:AL,22,FALSE)-50))</f>
        <v>182</v>
      </c>
      <c r="X216" s="3">
        <f>IF(ISERROR(VLOOKUP($A216,'SegEnds_NonXtal_BW#'!$A:$Z,17,FALSE)+VLOOKUP($A216,A:AL,25,FALSE)-50),"-",(VLOOKUP($A216,'SegEnds_NonXtal_BW#'!$A:$Z,17,FALSE)+VLOOKUP($A216,A:AL,25,FALSE)-50))</f>
        <v>194</v>
      </c>
      <c r="Y216" s="3">
        <v>194</v>
      </c>
      <c r="Z216" s="3">
        <f t="shared" si="117"/>
        <v>196</v>
      </c>
      <c r="AA216" s="3">
        <f>IF(ISERROR(VLOOKUP($A216,'SegEnds_NonXtal_BW#'!$A:$Z,19,FALSE)+VLOOKUP($A216,A:AL,28,FALSE)-50),"-",(VLOOKUP($A216,'SegEnds_NonXtal_BW#'!$A:$Z,19,FALSE)+VLOOKUP($A216,A:AL,28,FALSE)-50))</f>
        <v>200</v>
      </c>
      <c r="AB216" s="3">
        <v>220</v>
      </c>
      <c r="AC216" s="3">
        <f>IF(ISERROR((VLOOKUP($A216,'SegEnds_NonXtal_BW#'!$A:$Z,20,FALSE)+VLOOKUP($A216,A:AL,28,FALSE)-50)),"-",(VLOOKUP($A216,'SegEnds_NonXtal_BW#'!$A:$Z,20,FALSE)+VLOOKUP($A216,A:AL,28,FALSE)-50))</f>
        <v>242</v>
      </c>
      <c r="AD216" s="3">
        <f>IF(ISERROR(VLOOKUP($A216,'SegEnds_NonXtal_BW#'!$A:$Z,21,FALSE)+VLOOKUP($A216,A:AL,31,FALSE)-50),"-",(VLOOKUP($A216,'SegEnds_NonXtal_BW#'!$A:$Z,21,FALSE)+VLOOKUP($A216,A:AL,31,FALSE)-50))</f>
        <v>249</v>
      </c>
      <c r="AE216" s="3">
        <v>270</v>
      </c>
      <c r="AF216" s="3">
        <f>IF(ISERROR((VLOOKUP($A216,'SegEnds_NonXtal_BW#'!$A:$Z,22,FALSE)+VLOOKUP($A216,A:AL,31,FALSE)-50)),"-",(VLOOKUP($A216,'SegEnds_NonXtal_BW#'!$A:$Z,22,FALSE)+VLOOKUP($A216,A:AL,31,FALSE)-50))</f>
        <v>284</v>
      </c>
      <c r="AG216" s="3">
        <f>IF(ISERROR(VLOOKUP($A216,'SegEnds_NonXtal_BW#'!$A:$Z,23,FALSE)+VLOOKUP($A216,A:AL,34,FALSE)-50),"-",(VLOOKUP($A216,'SegEnds_NonXtal_BW#'!$A:$Z,23,FALSE)+VLOOKUP($A216,A:AL,34,FALSE)-50))</f>
        <v>288</v>
      </c>
      <c r="AH216" s="3">
        <v>314</v>
      </c>
      <c r="AI216" s="3">
        <f>IF(ISERROR((VLOOKUP($A216,'SegEnds_NonXtal_BW#'!$A:$Z,24,FALSE)+VLOOKUP($A216,A:AL,34,FALSE)-50)),"-",(VLOOKUP($A216,'SegEnds_NonXtal_BW#'!$A:$Z,24,FALSE)+VLOOKUP($A216,A:AL,34,FALSE)-50))</f>
        <v>320</v>
      </c>
      <c r="AJ216" s="3">
        <f>IF(ISERROR(VLOOKUP($A216,'SegEnds_NonXtal_BW#'!$A:$Z,25,FALSE)+VLOOKUP($A216,A:AL,37,FALSE)-50),"-",(VLOOKUP($A216,'SegEnds_NonXtal_BW#'!$A:$Z,25,FALSE)+VLOOKUP($A216,A:AL,37,FALSE)-50))</f>
        <v>321</v>
      </c>
      <c r="AK216" s="3">
        <v>324</v>
      </c>
      <c r="AL216" s="3">
        <f>IF(ISERROR((VLOOKUP($A216,'SegEnds_NonXtal_BW#'!$A:$Z,26,FALSE)+VLOOKUP($A216,A:AL,37,FALSE)-50)),"-",(VLOOKUP($A216,'SegEnds_NonXtal_BW#'!$A:$Z,26,FALSE)+VLOOKUP($A216,A:AL,37,FALSE)-50))</f>
        <v>331</v>
      </c>
      <c r="AM216" s="28" t="str">
        <f>VLOOKUP(A216,Classification!A:B,2,FALSE)</f>
        <v>A</v>
      </c>
      <c r="AN216" s="28" t="b">
        <f t="shared" si="133"/>
        <v>1</v>
      </c>
      <c r="AO216" s="3" t="str">
        <f>IF(ISERROR(MATCH(A216,'SegEnds_Xtal_Prot#'!B:B, 0)), "NoXtal", "Xtal")</f>
        <v>NoXtal</v>
      </c>
      <c r="AP216" s="3" t="str">
        <f t="shared" si="118"/>
        <v>-</v>
      </c>
      <c r="AQ216" s="3" t="str">
        <f t="shared" si="119"/>
        <v>-</v>
      </c>
      <c r="AR216" s="3" t="str">
        <f t="shared" si="120"/>
        <v>-</v>
      </c>
      <c r="AS216" s="3" t="str">
        <f t="shared" si="121"/>
        <v>-</v>
      </c>
      <c r="AT216" s="3">
        <f t="shared" si="122"/>
        <v>1</v>
      </c>
      <c r="AU216" s="3">
        <f t="shared" si="123"/>
        <v>1</v>
      </c>
      <c r="AV216" s="3">
        <f t="shared" si="124"/>
        <v>12</v>
      </c>
      <c r="AW216" s="3">
        <f t="shared" si="125"/>
        <v>4</v>
      </c>
      <c r="AX216" s="3">
        <f t="shared" si="126"/>
        <v>7</v>
      </c>
      <c r="AY216" s="3">
        <f t="shared" si="127"/>
        <v>4</v>
      </c>
      <c r="AZ216" s="3">
        <f t="shared" si="128"/>
        <v>1</v>
      </c>
      <c r="BA216" s="3">
        <f>IF(ISERROR(LEN(VLOOKUP(A216,Seqs!A:E,2,FALSE))-AL216),"-",LEN(VLOOKUP(A216,Seqs!A:E,2,FALSE))-AL216)</f>
        <v>23</v>
      </c>
      <c r="BB216" s="16">
        <f t="shared" si="129"/>
        <v>27</v>
      </c>
      <c r="BC216" s="9">
        <f t="shared" si="130"/>
        <v>20</v>
      </c>
      <c r="BD216" s="3">
        <f t="shared" si="131"/>
        <v>27</v>
      </c>
      <c r="BE216" s="3">
        <f t="shared" si="132"/>
        <v>50</v>
      </c>
      <c r="BF216" s="3">
        <f>AH216-AE216</f>
        <v>44</v>
      </c>
    </row>
    <row r="217" spans="1:59" s="3" customFormat="1" x14ac:dyDescent="0.2">
      <c r="A217" s="3" t="s">
        <v>354</v>
      </c>
      <c r="B217" s="3" t="str">
        <f>LOWER(VLOOKUP(A217,Xtal_Templ!A:B,2,FALSE))</f>
        <v>p2y12_human</v>
      </c>
      <c r="C217" s="3">
        <f>VLOOKUP($A217,'SegEnds_NonXtal_BW#'!$A:$Z,3,FALSE)+D217-50</f>
        <v>18</v>
      </c>
      <c r="D217" s="3">
        <v>40</v>
      </c>
      <c r="E217" s="3">
        <f>IF(ISERROR(VLOOKUP($A217,'SegEnds_NonXtal_BW#'!$A:$Z,4,FALSE)+VLOOKUP($A217,A:AL,4,FALSE)-50),"-",(VLOOKUP($A217,'SegEnds_NonXtal_BW#'!$A:$Z,4,FALSE)+VLOOKUP($A217,A:AL,4,FALSE)-50))</f>
        <v>50</v>
      </c>
      <c r="F217" s="3" t="str">
        <f>IF(ISERROR(VLOOKUP($A217,'SegEnds_NonXtal_BW#'!$A:$Z,5,FALSE)+VLOOKUP($A217,A:AL,7,FALSE)-50),"-",(VLOOKUP($A217,'SegEnds_NonXtal_BW#'!$A:$Z,5,FALSE)+VLOOKUP($A217,A:AL,7,FALSE)-50))</f>
        <v>-</v>
      </c>
      <c r="G217" s="3" t="s">
        <v>23</v>
      </c>
      <c r="H217" s="3" t="str">
        <f>IF(ISERROR(VLOOKUP($A217,'SegEnds_NonXtal_BW#'!$A:$Z,6,FALSE)+VLOOKUP($A217,A:AL,7,FALSE)-50),"-",(VLOOKUP($A217,'SegEnds_NonXtal_BW#'!$A:$Z,6,FALSE)+VLOOKUP($A217,A:AL,7,FALSE)-50))</f>
        <v>-</v>
      </c>
      <c r="I217" s="3">
        <f>VLOOKUP($A217,'SegEnds_NonXtal_BW#'!$A:$Z,7,FALSE)+J217-50</f>
        <v>54</v>
      </c>
      <c r="J217" s="3">
        <v>67</v>
      </c>
      <c r="K217" s="3">
        <f>VLOOKUP($A217,'SegEnds_NonXtal_BW#'!$A:$Z,8,FALSE)+VLOOKUP($A217,A:AL,10,FALSE)-50</f>
        <v>83</v>
      </c>
      <c r="L217" s="3" t="str">
        <f>IF(ISERROR(VLOOKUP($A217,'SegEnds_NonXtal_BW#'!$A:$Z,9,FALSE)+VLOOKUP($A217,A:AL,13,FALSE)-50),"-",(VLOOKUP($A217,'SegEnds_NonXtal_BW#'!$A:$Z,9,FALSE)+VLOOKUP($A217,A:AL,13,FALSE)-50))</f>
        <v>-</v>
      </c>
      <c r="M217" s="3" t="s">
        <v>23</v>
      </c>
      <c r="N217" s="3" t="str">
        <f>IF(ISERROR(VLOOKUP($A217,'SegEnds_NonXtal_BW#'!$A:$Z,10,FALSE)+VLOOKUP($A217,A:AL,13,FALSE)-50),"-",(VLOOKUP($A217,'SegEnds_NonXtal_BW#'!$A:$Z,10,FALSE)+VLOOKUP($A217,A:AL,13,FALSE)-50))</f>
        <v>-</v>
      </c>
      <c r="O217" s="3">
        <f>VLOOKUP($A217,'SegEnds_NonXtal_BW#'!$A:$Z,11,FALSE)+VLOOKUP($A217,A:AL,16,FALSE)-50</f>
        <v>87</v>
      </c>
      <c r="P217" s="3">
        <v>119</v>
      </c>
      <c r="Q217" s="3">
        <f>VLOOKUP($A217,'SegEnds_NonXtal_BW#'!$A:$Z,12,FALSE)+VLOOKUP($A217,A:AL,16,FALSE)-50</f>
        <v>125</v>
      </c>
      <c r="R217" s="3">
        <f>IF(ISERROR(VLOOKUP($A217,'SegEnds_NonXtal_BW#'!$A:$Z,13,FALSE)+VLOOKUP($A217,A:AL,19,FALSE)-50),"-",VLOOKUP($A217,'SegEnds_NonXtal_BW#'!$A:$Z,13,FALSE)+VLOOKUP($A217,A:AL,19,FALSE)-50)</f>
        <v>126</v>
      </c>
      <c r="S217" s="3">
        <v>126</v>
      </c>
      <c r="T217" s="100">
        <f>IF(ISERROR(VLOOKUP($A217,'SegEnds_NonXtal_BW#'!$A:$Z,14,FALSE)+VLOOKUP($A217,A:AL,19,FALSE)-50),"-",(VLOOKUP($A217,'SegEnds_NonXtal_BW#'!$A:$Z,14,FALSE)+VLOOKUP($A217,A:AL,19,FALSE)-50))</f>
        <v>133</v>
      </c>
      <c r="U217" s="9">
        <f>IF(ISERROR(VLOOKUP($A217,'SegEnds_NonXtal_BW#'!$A:$Z,15,FALSE)+VLOOKUP($A217,A:AL,22,FALSE)-50),"-",VLOOKUP($A217,'SegEnds_NonXtal_BW#'!$A:$Z,15,FALSE)+VLOOKUP($A217,A:AL,22,FALSE)-50)</f>
        <v>134</v>
      </c>
      <c r="V217" s="3">
        <v>146</v>
      </c>
      <c r="W217" s="3">
        <f>IF(ISERROR(VLOOKUP($A217,'SegEnds_NonXtal_BW#'!$A:$Z,16,FALSE)+VLOOKUP($A217,A:AL,22,FALSE)-50),"-",(VLOOKUP($A217,'SegEnds_NonXtal_BW#'!$A:$Z,16,FALSE)+VLOOKUP($A217,A:AL,22,FALSE)-50))</f>
        <v>160</v>
      </c>
      <c r="X217" s="3">
        <f>IF(ISERROR(VLOOKUP($A217,'SegEnds_NonXtal_BW#'!$A:$Z,17,FALSE)+VLOOKUP($A217,A:AL,25,FALSE)-50),"-",(VLOOKUP($A217,'SegEnds_NonXtal_BW#'!$A:$Z,17,FALSE)+VLOOKUP($A217,A:AL,25,FALSE)-50))</f>
        <v>172</v>
      </c>
      <c r="Y217" s="3">
        <v>172</v>
      </c>
      <c r="Z217" s="3">
        <f t="shared" si="117"/>
        <v>174</v>
      </c>
      <c r="AA217" s="3">
        <f>IF(ISERROR(VLOOKUP($A217,'SegEnds_NonXtal_BW#'!$A:$Z,19,FALSE)+VLOOKUP($A217,A:AL,28,FALSE)-50),"-",(VLOOKUP($A217,'SegEnds_NonXtal_BW#'!$A:$Z,19,FALSE)+VLOOKUP($A217,A:AL,28,FALSE)-50))</f>
        <v>178</v>
      </c>
      <c r="AB217" s="3">
        <v>198</v>
      </c>
      <c r="AC217" s="3">
        <f>IF(ISERROR((VLOOKUP($A217,'SegEnds_NonXtal_BW#'!$A:$Z,20,FALSE)+VLOOKUP($A217,A:AL,28,FALSE)-50)),"-",(VLOOKUP($A217,'SegEnds_NonXtal_BW#'!$A:$Z,20,FALSE)+VLOOKUP($A217,A:AL,28,FALSE)-50))</f>
        <v>220</v>
      </c>
      <c r="AD217" s="3">
        <f>IF(ISERROR(VLOOKUP($A217,'SegEnds_NonXtal_BW#'!$A:$Z,21,FALSE)+VLOOKUP($A217,A:AL,31,FALSE)-50),"-",(VLOOKUP($A217,'SegEnds_NonXtal_BW#'!$A:$Z,21,FALSE)+VLOOKUP($A217,A:AL,31,FALSE)-50))</f>
        <v>227</v>
      </c>
      <c r="AE217" s="3">
        <v>248</v>
      </c>
      <c r="AF217" s="3">
        <f>IF(ISERROR((VLOOKUP($A217,'SegEnds_NonXtal_BW#'!$A:$Z,22,FALSE)+VLOOKUP($A217,A:AL,31,FALSE)-50)),"-",(VLOOKUP($A217,'SegEnds_NonXtal_BW#'!$A:$Z,22,FALSE)+VLOOKUP($A217,A:AL,31,FALSE)-50))</f>
        <v>262</v>
      </c>
      <c r="AG217" s="3">
        <f>IF(ISERROR(VLOOKUP($A217,'SegEnds_NonXtal_BW#'!$A:$Z,23,FALSE)+VLOOKUP($A217,A:AL,34,FALSE)-50),"-",(VLOOKUP($A217,'SegEnds_NonXtal_BW#'!$A:$Z,23,FALSE)+VLOOKUP($A217,A:AL,34,FALSE)-50))</f>
        <v>266</v>
      </c>
      <c r="AH217" s="3">
        <v>292</v>
      </c>
      <c r="AI217" s="3">
        <f>IF(ISERROR((VLOOKUP($A217,'SegEnds_NonXtal_BW#'!$A:$Z,24,FALSE)+VLOOKUP($A217,A:AL,34,FALSE)-50)),"-",(VLOOKUP($A217,'SegEnds_NonXtal_BW#'!$A:$Z,24,FALSE)+VLOOKUP($A217,A:AL,34,FALSE)-50))</f>
        <v>298</v>
      </c>
      <c r="AJ217" s="3">
        <f>IF(ISERROR(VLOOKUP($A217,'SegEnds_NonXtal_BW#'!$A:$Z,25,FALSE)+VLOOKUP($A217,A:AL,37,FALSE)-50),"-",(VLOOKUP($A217,'SegEnds_NonXtal_BW#'!$A:$Z,25,FALSE)+VLOOKUP($A217,A:AL,37,FALSE)-50))</f>
        <v>299</v>
      </c>
      <c r="AK217" s="3">
        <v>302</v>
      </c>
      <c r="AL217" s="3">
        <f>IF(ISERROR((VLOOKUP($A217,'SegEnds_NonXtal_BW#'!$A:$Z,26,FALSE)+VLOOKUP($A217,A:AL,37,FALSE)-50)),"-",(VLOOKUP($A217,'SegEnds_NonXtal_BW#'!$A:$Z,26,FALSE)+VLOOKUP($A217,A:AL,37,FALSE)-50))</f>
        <v>309</v>
      </c>
      <c r="AM217" s="28" t="str">
        <f>VLOOKUP(A217,Classification!A:B,2,FALSE)</f>
        <v>A</v>
      </c>
      <c r="AN217" s="28" t="b">
        <f t="shared" si="133"/>
        <v>1</v>
      </c>
      <c r="AO217" s="3" t="str">
        <f>IF(ISERROR(MATCH(A217,'SegEnds_Xtal_Prot#'!B:B, 0)), "NoXtal", "Xtal")</f>
        <v>NoXtal</v>
      </c>
      <c r="AP217" s="3" t="str">
        <f t="shared" si="118"/>
        <v>-</v>
      </c>
      <c r="AQ217" s="3" t="str">
        <f t="shared" si="119"/>
        <v>-</v>
      </c>
      <c r="AR217" s="3" t="str">
        <f t="shared" si="120"/>
        <v>-</v>
      </c>
      <c r="AS217" s="3" t="str">
        <f t="shared" si="121"/>
        <v>-</v>
      </c>
      <c r="AT217" s="3">
        <f t="shared" si="122"/>
        <v>1</v>
      </c>
      <c r="AU217" s="3">
        <f t="shared" si="123"/>
        <v>1</v>
      </c>
      <c r="AV217" s="3">
        <f t="shared" si="124"/>
        <v>12</v>
      </c>
      <c r="AW217" s="3">
        <f t="shared" si="125"/>
        <v>4</v>
      </c>
      <c r="AX217" s="3">
        <f t="shared" si="126"/>
        <v>7</v>
      </c>
      <c r="AY217" s="3">
        <f t="shared" si="127"/>
        <v>4</v>
      </c>
      <c r="AZ217" s="3">
        <f t="shared" si="128"/>
        <v>1</v>
      </c>
      <c r="BA217" s="3">
        <f>IF(ISERROR(LEN(VLOOKUP(A217,Seqs!A:E,2,FALSE))-AL217),"-",LEN(VLOOKUP(A217,Seqs!A:E,2,FALSE))-AL217)</f>
        <v>29</v>
      </c>
      <c r="BB217" s="16">
        <f t="shared" si="129"/>
        <v>27</v>
      </c>
      <c r="BC217" s="9">
        <f t="shared" si="130"/>
        <v>20</v>
      </c>
      <c r="BD217" s="3">
        <f t="shared" si="131"/>
        <v>27</v>
      </c>
      <c r="BE217" s="3">
        <f t="shared" si="132"/>
        <v>50</v>
      </c>
      <c r="BF217" s="3">
        <f>AH217-AE217</f>
        <v>44</v>
      </c>
    </row>
    <row r="218" spans="1:59" s="3" customFormat="1" x14ac:dyDescent="0.2">
      <c r="A218" s="3" t="s">
        <v>355</v>
      </c>
      <c r="B218" s="3" t="str">
        <f>LOWER(VLOOKUP(A218,Xtal_Templ!A:B,2,FALSE))</f>
        <v>par1_human</v>
      </c>
      <c r="C218" s="3">
        <f>VLOOKUP($A218,'SegEnds_NonXtal_BW#'!$A:$Z,3,FALSE)+D218-50</f>
        <v>99</v>
      </c>
      <c r="D218" s="3">
        <v>120</v>
      </c>
      <c r="E218" s="3">
        <f>IF(ISERROR(VLOOKUP($A218,'SegEnds_NonXtal_BW#'!$A:$Z,4,FALSE)+VLOOKUP($A218,A:AL,4,FALSE)-50),"-",(VLOOKUP($A218,'SegEnds_NonXtal_BW#'!$A:$Z,4,FALSE)+VLOOKUP($A218,A:AL,4,FALSE)-50))</f>
        <v>130</v>
      </c>
      <c r="F218" s="3">
        <f>G218-2</f>
        <v>131</v>
      </c>
      <c r="G218" s="3">
        <v>133</v>
      </c>
      <c r="H218" s="3">
        <f>G218+1</f>
        <v>134</v>
      </c>
      <c r="I218" s="3">
        <f>H218+1</f>
        <v>135</v>
      </c>
      <c r="J218" s="3">
        <v>148</v>
      </c>
      <c r="K218" s="3">
        <f>VLOOKUP($A218,'SegEnds_NonXtal_BW#'!$A:$Z,8,FALSE)+VLOOKUP($A218,A:AL,10,FALSE)-50</f>
        <v>164</v>
      </c>
      <c r="L218" s="3">
        <f>M218-1</f>
        <v>167</v>
      </c>
      <c r="M218" s="3">
        <v>168</v>
      </c>
      <c r="N218" s="3">
        <f>M218+2</f>
        <v>170</v>
      </c>
      <c r="O218" s="3">
        <f>N218+1</f>
        <v>171</v>
      </c>
      <c r="P218" s="3">
        <v>200</v>
      </c>
      <c r="Q218" s="3">
        <f>VLOOKUP($A218,'SegEnds_NonXtal_BW#'!$A:$Z,12,FALSE)+VLOOKUP($A218,A:AL,16,FALSE)-50</f>
        <v>206</v>
      </c>
      <c r="R218" s="3">
        <f>IF(ISERROR(VLOOKUP($A218,'SegEnds_NonXtal_BW#'!$A:$Z,13,FALSE)+VLOOKUP($A218,A:AL,19,FALSE)-50),"-",VLOOKUP($A218,'SegEnds_NonXtal_BW#'!$A:$Z,13,FALSE)+VLOOKUP($A218,A:AL,19,FALSE)-50)</f>
        <v>207</v>
      </c>
      <c r="S218" s="3">
        <v>207</v>
      </c>
      <c r="T218" s="100">
        <f>IF(ISERROR(VLOOKUP($A218,'SegEnds_NonXtal_BW#'!$A:$Z,14,FALSE)+VLOOKUP($A218,A:AL,19,FALSE)-50),"-",(VLOOKUP($A218,'SegEnds_NonXtal_BW#'!$A:$Z,14,FALSE)+VLOOKUP($A218,A:AL,19,FALSE)-50))</f>
        <v>214</v>
      </c>
      <c r="U218" s="9">
        <f>IF(ISERROR(VLOOKUP($A218,'SegEnds_NonXtal_BW#'!$A:$Z,15,FALSE)+VLOOKUP($A218,A:AL,22,FALSE)-50),"-",VLOOKUP($A218,'SegEnds_NonXtal_BW#'!$A:$Z,15,FALSE)+VLOOKUP($A218,A:AL,22,FALSE)-50)</f>
        <v>215</v>
      </c>
      <c r="V218" s="3">
        <v>227</v>
      </c>
      <c r="W218" s="3">
        <f>IF(ISERROR(VLOOKUP($A218,'SegEnds_NonXtal_BW#'!$A:$Z,16,FALSE)+VLOOKUP($A218,A:AL,22,FALSE)-50),"-",(VLOOKUP($A218,'SegEnds_NonXtal_BW#'!$A:$Z,16,FALSE)+VLOOKUP($A218,A:AL,22,FALSE)-50))</f>
        <v>240</v>
      </c>
      <c r="X218" s="3">
        <f>IF(ISERROR(VLOOKUP($A218,'SegEnds_NonXtal_BW#'!$A:$Z,17,FALSE)+VLOOKUP($A218,A:AL,25,FALSE)-50),"-",(VLOOKUP($A218,'SegEnds_NonXtal_BW#'!$A:$Z,17,FALSE)+VLOOKUP($A218,A:AL,25,FALSE)-50))</f>
        <v>254</v>
      </c>
      <c r="Y218" s="3">
        <v>254</v>
      </c>
      <c r="Z218" s="3">
        <f t="shared" si="117"/>
        <v>256</v>
      </c>
      <c r="AA218" s="3">
        <f>IF(ISERROR(VLOOKUP($A218,'SegEnds_NonXtal_BW#'!$A:$Z,19,FALSE)+VLOOKUP($A218,A:AL,28,FALSE)-50),"-",(VLOOKUP($A218,'SegEnds_NonXtal_BW#'!$A:$Z,19,FALSE)+VLOOKUP($A218,A:AL,28,FALSE)-50))</f>
        <v>264</v>
      </c>
      <c r="AB218" s="3">
        <v>282</v>
      </c>
      <c r="AC218" s="3">
        <f>IF(ISERROR((VLOOKUP($A218,'SegEnds_NonXtal_BW#'!$A:$Z,20,FALSE)+VLOOKUP($A218,A:AL,28,FALSE)-50)),"-",(VLOOKUP($A218,'SegEnds_NonXtal_BW#'!$A:$Z,20,FALSE)+VLOOKUP($A218,A:AL,28,FALSE)-50))</f>
        <v>299</v>
      </c>
      <c r="AD218" s="3">
        <f>IF(ISERROR(VLOOKUP($A218,'SegEnds_NonXtal_BW#'!$A:$Z,21,FALSE)+VLOOKUP($A218,A:AL,31,FALSE)-50),"-",(VLOOKUP($A218,'SegEnds_NonXtal_BW#'!$A:$Z,21,FALSE)+VLOOKUP($A218,A:AL,31,FALSE)-50))</f>
        <v>304</v>
      </c>
      <c r="AE218" s="3">
        <v>328</v>
      </c>
      <c r="AF218" s="3">
        <f>IF(ISERROR((VLOOKUP($A218,'SegEnds_NonXtal_BW#'!$A:$Z,22,FALSE)+VLOOKUP($A218,A:AL,31,FALSE)-50)),"-",(VLOOKUP($A218,'SegEnds_NonXtal_BW#'!$A:$Z,22,FALSE)+VLOOKUP($A218,A:AL,31,FALSE)-50))</f>
        <v>340</v>
      </c>
      <c r="AG218" s="3">
        <f>IF(ISERROR(VLOOKUP($A218,'SegEnds_NonXtal_BW#'!$A:$Z,23,FALSE)+VLOOKUP($A218,A:AL,34,FALSE)-50),"-",(VLOOKUP($A218,'SegEnds_NonXtal_BW#'!$A:$Z,23,FALSE)+VLOOKUP($A218,A:AL,34,FALSE)-50))</f>
        <v>346</v>
      </c>
      <c r="AH218" s="3">
        <v>368</v>
      </c>
      <c r="AI218" s="3">
        <f>IF(ISERROR((VLOOKUP($A218,'SegEnds_NonXtal_BW#'!$A:$Z,24,FALSE)+VLOOKUP($A218,A:AL,34,FALSE)-50)),"-",(VLOOKUP($A218,'SegEnds_NonXtal_BW#'!$A:$Z,24,FALSE)+VLOOKUP($A218,A:AL,34,FALSE)-50))</f>
        <v>374</v>
      </c>
      <c r="AJ218" s="3">
        <f>IF(ISERROR(VLOOKUP($A218,'SegEnds_NonXtal_BW#'!$A:$Z,25,FALSE)+VLOOKUP($A218,A:AL,37,FALSE)-50),"-",(VLOOKUP($A218,'SegEnds_NonXtal_BW#'!$A:$Z,25,FALSE)+VLOOKUP($A218,A:AL,37,FALSE)-50))</f>
        <v>375</v>
      </c>
      <c r="AK218" s="3">
        <v>378</v>
      </c>
      <c r="AL218" s="3">
        <f>IF(ISERROR((VLOOKUP($A218,'SegEnds_NonXtal_BW#'!$A:$Z,26,FALSE)+VLOOKUP($A218,A:AL,37,FALSE)-50)),"-",(VLOOKUP($A218,'SegEnds_NonXtal_BW#'!$A:$Z,26,FALSE)+VLOOKUP($A218,A:AL,37,FALSE)-50))</f>
        <v>389</v>
      </c>
      <c r="AM218" s="28" t="str">
        <f>VLOOKUP(A218,Classification!A:B,2,FALSE)</f>
        <v>A</v>
      </c>
      <c r="AN218" s="28" t="b">
        <f t="shared" si="133"/>
        <v>1</v>
      </c>
      <c r="AO218" s="3" t="str">
        <f>IF(ISERROR(MATCH(A218,'SegEnds_Xtal_Prot#'!B:B, 0)), "NoXtal", "Xtal")</f>
        <v>Xtal</v>
      </c>
      <c r="AP218" s="3">
        <f t="shared" si="118"/>
        <v>1</v>
      </c>
      <c r="AQ218" s="3">
        <f t="shared" si="119"/>
        <v>1</v>
      </c>
      <c r="AR218" s="3">
        <f t="shared" si="120"/>
        <v>3</v>
      </c>
      <c r="AS218" s="3">
        <f t="shared" si="121"/>
        <v>1</v>
      </c>
      <c r="AT218" s="3">
        <f t="shared" si="122"/>
        <v>1</v>
      </c>
      <c r="AU218" s="3">
        <f t="shared" si="123"/>
        <v>1</v>
      </c>
      <c r="AV218" s="3">
        <f t="shared" si="124"/>
        <v>14</v>
      </c>
      <c r="AW218" s="3">
        <f t="shared" si="125"/>
        <v>8</v>
      </c>
      <c r="AX218" s="3">
        <f t="shared" si="126"/>
        <v>5</v>
      </c>
      <c r="AY218" s="3">
        <f t="shared" si="127"/>
        <v>6</v>
      </c>
      <c r="AZ218" s="3">
        <f t="shared" si="128"/>
        <v>1</v>
      </c>
      <c r="BA218" s="3">
        <f>IF(ISERROR(LEN(VLOOKUP(A218,Seqs!A:E,2,FALSE))-AL218),"-",LEN(VLOOKUP(A218,Seqs!A:E,2,FALSE))-AL218)</f>
        <v>36</v>
      </c>
      <c r="BB218" s="16">
        <f t="shared" si="129"/>
        <v>28</v>
      </c>
      <c r="BC218" s="9">
        <f t="shared" si="130"/>
        <v>20</v>
      </c>
      <c r="BD218" s="3">
        <f t="shared" si="131"/>
        <v>28</v>
      </c>
      <c r="BE218" s="3">
        <f t="shared" si="132"/>
        <v>46</v>
      </c>
    </row>
    <row r="219" spans="1:59" s="3" customFormat="1" x14ac:dyDescent="0.2">
      <c r="A219" s="3" t="s">
        <v>357</v>
      </c>
      <c r="B219" s="3" t="str">
        <f>LOWER(VLOOKUP(A219,Xtal_Templ!A:B,2,FALSE))</f>
        <v>par2_human</v>
      </c>
      <c r="C219" s="3">
        <f>VLOOKUP($A219,'SegEnds_NonXtal_BW#'!$A:$Z,3,FALSE)+D219-50</f>
        <v>90</v>
      </c>
      <c r="D219" s="3">
        <v>112</v>
      </c>
      <c r="E219" s="3">
        <f>IF(ISERROR(VLOOKUP($A219,'SegEnds_NonXtal_BW#'!$A:$Z,4,FALSE)+VLOOKUP($A219,A:AL,4,FALSE)-50),"-",(VLOOKUP($A219,'SegEnds_NonXtal_BW#'!$A:$Z,4,FALSE)+VLOOKUP($A219,A:AL,4,FALSE)-50))</f>
        <v>122</v>
      </c>
      <c r="F219" s="3" t="str">
        <f>IF(ISERROR(VLOOKUP($A219,'SegEnds_NonXtal_BW#'!$A:$Z,5,FALSE)+VLOOKUP($A219,A:AL,7,FALSE)-50),"-",(VLOOKUP($A219,'SegEnds_NonXtal_BW#'!$A:$Z,5,FALSE)+VLOOKUP($A219,A:AL,7,FALSE)-50))</f>
        <v>-</v>
      </c>
      <c r="G219" s="3" t="s">
        <v>23</v>
      </c>
      <c r="H219" s="3" t="str">
        <f>IF(ISERROR(VLOOKUP($A219,'SegEnds_NonXtal_BW#'!$A:$Z,6,FALSE)+VLOOKUP($A219,A:AL,7,FALSE)-50),"-",(VLOOKUP($A219,'SegEnds_NonXtal_BW#'!$A:$Z,6,FALSE)+VLOOKUP($A219,A:AL,7,FALSE)-50))</f>
        <v>-</v>
      </c>
      <c r="I219" s="3">
        <f>VLOOKUP($A219,'SegEnds_NonXtal_BW#'!$A:$Z,7,FALSE)+J219-50</f>
        <v>126</v>
      </c>
      <c r="J219" s="3">
        <v>139</v>
      </c>
      <c r="K219" s="3">
        <f>VLOOKUP($A219,'SegEnds_NonXtal_BW#'!$A:$Z,8,FALSE)+VLOOKUP($A219,A:AL,10,FALSE)-50</f>
        <v>155</v>
      </c>
      <c r="L219" s="3">
        <f>M219-1</f>
        <v>158</v>
      </c>
      <c r="M219" s="3">
        <v>159</v>
      </c>
      <c r="N219" s="3">
        <f>M219+2</f>
        <v>161</v>
      </c>
      <c r="O219" s="3">
        <f>N219+1</f>
        <v>162</v>
      </c>
      <c r="P219" s="3">
        <v>191</v>
      </c>
      <c r="Q219" s="3">
        <f>VLOOKUP($A219,'SegEnds_NonXtal_BW#'!$A:$Z,12,FALSE)+VLOOKUP($A219,A:AL,16,FALSE)-50</f>
        <v>197</v>
      </c>
      <c r="R219" s="3">
        <f>IF(ISERROR(VLOOKUP($A219,'SegEnds_NonXtal_BW#'!$A:$Z,13,FALSE)+VLOOKUP($A219,A:AL,19,FALSE)-50),"-",VLOOKUP($A219,'SegEnds_NonXtal_BW#'!$A:$Z,13,FALSE)+VLOOKUP($A219,A:AL,19,FALSE)-50)</f>
        <v>198</v>
      </c>
      <c r="S219" s="3">
        <v>198</v>
      </c>
      <c r="T219" s="100">
        <f>IF(ISERROR(VLOOKUP($A219,'SegEnds_NonXtal_BW#'!$A:$Z,14,FALSE)+VLOOKUP($A219,A:AL,19,FALSE)-50),"-",(VLOOKUP($A219,'SegEnds_NonXtal_BW#'!$A:$Z,14,FALSE)+VLOOKUP($A219,A:AL,19,FALSE)-50))</f>
        <v>205</v>
      </c>
      <c r="U219" s="9">
        <f>IF(ISERROR(VLOOKUP($A219,'SegEnds_NonXtal_BW#'!$A:$Z,15,FALSE)+VLOOKUP($A219,A:AL,22,FALSE)-50),"-",VLOOKUP($A219,'SegEnds_NonXtal_BW#'!$A:$Z,15,FALSE)+VLOOKUP($A219,A:AL,22,FALSE)-50)</f>
        <v>206</v>
      </c>
      <c r="V219" s="3">
        <v>218</v>
      </c>
      <c r="W219" s="3">
        <f>IF(ISERROR(VLOOKUP($A219,'SegEnds_NonXtal_BW#'!$A:$Z,16,FALSE)+VLOOKUP($A219,A:AL,22,FALSE)-50),"-",(VLOOKUP($A219,'SegEnds_NonXtal_BW#'!$A:$Z,16,FALSE)+VLOOKUP($A219,A:AL,22,FALSE)-50))</f>
        <v>230</v>
      </c>
      <c r="X219" s="3">
        <f>IF(ISERROR(VLOOKUP($A219,'SegEnds_NonXtal_BW#'!$A:$Z,17,FALSE)+VLOOKUP($A219,A:AL,25,FALSE)-50),"-",(VLOOKUP($A219,'SegEnds_NonXtal_BW#'!$A:$Z,17,FALSE)+VLOOKUP($A219,A:AL,25,FALSE)-50))</f>
        <v>252</v>
      </c>
      <c r="Y219" s="3">
        <v>252</v>
      </c>
      <c r="Z219" s="3">
        <f t="shared" si="117"/>
        <v>254</v>
      </c>
      <c r="AA219" s="3">
        <f>IF(ISERROR(VLOOKUP($A219,'SegEnds_NonXtal_BW#'!$A:$Z,19,FALSE)+VLOOKUP($A219,A:AL,28,FALSE)-50),"-",(VLOOKUP($A219,'SegEnds_NonXtal_BW#'!$A:$Z,19,FALSE)+VLOOKUP($A219,A:AL,28,FALSE)-50))</f>
        <v>259</v>
      </c>
      <c r="AB219" s="3">
        <v>274</v>
      </c>
      <c r="AC219" s="3">
        <f>IF(ISERROR((VLOOKUP($A219,'SegEnds_NonXtal_BW#'!$A:$Z,20,FALSE)+VLOOKUP($A219,A:AL,28,FALSE)-50)),"-",(VLOOKUP($A219,'SegEnds_NonXtal_BW#'!$A:$Z,20,FALSE)+VLOOKUP($A219,A:AL,28,FALSE)-50))</f>
        <v>292</v>
      </c>
      <c r="AD219" s="3">
        <f>IF(ISERROR(VLOOKUP($A219,'SegEnds_NonXtal_BW#'!$A:$Z,21,FALSE)+VLOOKUP($A219,A:AL,31,FALSE)-50),"-",(VLOOKUP($A219,'SegEnds_NonXtal_BW#'!$A:$Z,21,FALSE)+VLOOKUP($A219,A:AL,31,FALSE)-50))</f>
        <v>296</v>
      </c>
      <c r="AE219" s="3">
        <v>316</v>
      </c>
      <c r="AF219" s="3">
        <f>IF(ISERROR((VLOOKUP($A219,'SegEnds_NonXtal_BW#'!$A:$Z,22,FALSE)+VLOOKUP($A219,A:AL,31,FALSE)-50)),"-",(VLOOKUP($A219,'SegEnds_NonXtal_BW#'!$A:$Z,22,FALSE)+VLOOKUP($A219,A:AL,31,FALSE)-50))</f>
        <v>328</v>
      </c>
      <c r="AG219" s="3">
        <f>IF(ISERROR(VLOOKUP($A219,'SegEnds_NonXtal_BW#'!$A:$Z,23,FALSE)+VLOOKUP($A219,A:AL,34,FALSE)-50),"-",(VLOOKUP($A219,'SegEnds_NonXtal_BW#'!$A:$Z,23,FALSE)+VLOOKUP($A219,A:AL,34,FALSE)-50))</f>
        <v>333</v>
      </c>
      <c r="AH219" s="3">
        <v>355</v>
      </c>
      <c r="AI219" s="3">
        <f>IF(ISERROR((VLOOKUP($A219,'SegEnds_NonXtal_BW#'!$A:$Z,24,FALSE)+VLOOKUP($A219,A:AL,34,FALSE)-50)),"-",(VLOOKUP($A219,'SegEnds_NonXtal_BW#'!$A:$Z,24,FALSE)+VLOOKUP($A219,A:AL,34,FALSE)-50))</f>
        <v>361</v>
      </c>
      <c r="AJ219" s="3" t="s">
        <v>23</v>
      </c>
      <c r="AK219" s="3" t="s">
        <v>23</v>
      </c>
      <c r="AL219" s="3" t="s">
        <v>23</v>
      </c>
      <c r="AM219" s="28" t="str">
        <f>VLOOKUP(A219,Classification!A:B,2,FALSE)</f>
        <v>A</v>
      </c>
      <c r="AN219" s="28" t="b">
        <f t="shared" si="133"/>
        <v>1</v>
      </c>
      <c r="AO219" s="3" t="str">
        <f>IF(ISERROR(MATCH(A219,'SegEnds_Xtal_Prot#'!B:B, 0)), "NoXtal", "Xtal")</f>
        <v>NoXtal</v>
      </c>
      <c r="AP219" s="3" t="str">
        <f t="shared" si="118"/>
        <v>-</v>
      </c>
      <c r="AQ219" s="3" t="str">
        <f t="shared" si="119"/>
        <v>-</v>
      </c>
      <c r="AR219" s="3">
        <f t="shared" si="120"/>
        <v>3</v>
      </c>
      <c r="AS219" s="3">
        <f t="shared" si="121"/>
        <v>1</v>
      </c>
      <c r="AT219" s="3">
        <f t="shared" si="122"/>
        <v>1</v>
      </c>
      <c r="AU219" s="3">
        <f t="shared" si="123"/>
        <v>1</v>
      </c>
      <c r="AV219" s="3">
        <f t="shared" si="124"/>
        <v>22</v>
      </c>
      <c r="AW219" s="3">
        <f t="shared" si="125"/>
        <v>5</v>
      </c>
      <c r="AX219" s="3">
        <f t="shared" si="126"/>
        <v>4</v>
      </c>
      <c r="AY219" s="3">
        <f t="shared" si="127"/>
        <v>5</v>
      </c>
      <c r="AZ219" s="3" t="str">
        <f t="shared" si="128"/>
        <v>-</v>
      </c>
      <c r="BA219" s="3" t="str">
        <f>IF(ISERROR(LEN(VLOOKUP(A219,Seqs!A:E,2,FALSE))-AL219),"-",LEN(VLOOKUP(A219,Seqs!A:E,2,FALSE))-AL219)</f>
        <v>-</v>
      </c>
      <c r="BB219" s="16">
        <f t="shared" si="129"/>
        <v>27</v>
      </c>
      <c r="BC219" s="9">
        <f t="shared" si="130"/>
        <v>20</v>
      </c>
      <c r="BD219" s="3">
        <f t="shared" si="131"/>
        <v>27</v>
      </c>
      <c r="BE219" s="3">
        <f t="shared" si="132"/>
        <v>42</v>
      </c>
      <c r="BF219" s="3">
        <f>AH219-AE219</f>
        <v>39</v>
      </c>
      <c r="BG219" s="3" t="s">
        <v>1313</v>
      </c>
    </row>
    <row r="220" spans="1:59" s="3" customFormat="1" x14ac:dyDescent="0.2">
      <c r="A220" s="3" t="s">
        <v>358</v>
      </c>
      <c r="B220" s="3" t="str">
        <f>LOWER(VLOOKUP(A220,Xtal_Templ!A:B,2,FALSE))</f>
        <v>par2_human</v>
      </c>
      <c r="C220" s="3">
        <f>VLOOKUP($A220,'SegEnds_NonXtal_BW#'!$A:$Z,3,FALSE)+D220-50</f>
        <v>73</v>
      </c>
      <c r="D220" s="3">
        <v>95</v>
      </c>
      <c r="E220" s="3">
        <f>IF(ISERROR(VLOOKUP($A220,'SegEnds_NonXtal_BW#'!$A:$Z,4,FALSE)+VLOOKUP($A220,A:AL,4,FALSE)-50),"-",(VLOOKUP($A220,'SegEnds_NonXtal_BW#'!$A:$Z,4,FALSE)+VLOOKUP($A220,A:AL,4,FALSE)-50))</f>
        <v>105</v>
      </c>
      <c r="F220" s="3" t="str">
        <f>IF(ISERROR(VLOOKUP($A220,'SegEnds_NonXtal_BW#'!$A:$Z,5,FALSE)+VLOOKUP($A220,A:AL,7,FALSE)-50),"-",(VLOOKUP($A220,'SegEnds_NonXtal_BW#'!$A:$Z,5,FALSE)+VLOOKUP($A220,A:AL,7,FALSE)-50))</f>
        <v>-</v>
      </c>
      <c r="G220" s="3" t="s">
        <v>23</v>
      </c>
      <c r="H220" s="3" t="str">
        <f>IF(ISERROR(VLOOKUP($A220,'SegEnds_NonXtal_BW#'!$A:$Z,6,FALSE)+VLOOKUP($A220,A:AL,7,FALSE)-50),"-",(VLOOKUP($A220,'SegEnds_NonXtal_BW#'!$A:$Z,6,FALSE)+VLOOKUP($A220,A:AL,7,FALSE)-50))</f>
        <v>-</v>
      </c>
      <c r="I220" s="3">
        <f>VLOOKUP($A220,'SegEnds_NonXtal_BW#'!$A:$Z,7,FALSE)+J220-50</f>
        <v>109</v>
      </c>
      <c r="J220" s="3">
        <v>122</v>
      </c>
      <c r="K220" s="3">
        <f>VLOOKUP($A220,'SegEnds_NonXtal_BW#'!$A:$Z,8,FALSE)+VLOOKUP($A220,A:AL,10,FALSE)-50</f>
        <v>138</v>
      </c>
      <c r="L220" s="3">
        <f>M220-1</f>
        <v>141</v>
      </c>
      <c r="M220" s="3">
        <v>142</v>
      </c>
      <c r="N220" s="3">
        <f>M220+2</f>
        <v>144</v>
      </c>
      <c r="O220" s="3">
        <f>N220+1</f>
        <v>145</v>
      </c>
      <c r="P220" s="3">
        <v>174</v>
      </c>
      <c r="Q220" s="3">
        <f>VLOOKUP($A220,'SegEnds_NonXtal_BW#'!$A:$Z,12,FALSE)+VLOOKUP($A220,A:AL,16,FALSE)-50</f>
        <v>180</v>
      </c>
      <c r="R220" s="3">
        <f>IF(ISERROR(VLOOKUP($A220,'SegEnds_NonXtal_BW#'!$A:$Z,13,FALSE)+VLOOKUP($A220,A:AL,19,FALSE)-50),"-",VLOOKUP($A220,'SegEnds_NonXtal_BW#'!$A:$Z,13,FALSE)+VLOOKUP($A220,A:AL,19,FALSE)-50)</f>
        <v>181</v>
      </c>
      <c r="S220" s="3">
        <v>181</v>
      </c>
      <c r="T220" s="100">
        <f>IF(ISERROR(VLOOKUP($A220,'SegEnds_NonXtal_BW#'!$A:$Z,14,FALSE)+VLOOKUP($A220,A:AL,19,FALSE)-50),"-",(VLOOKUP($A220,'SegEnds_NonXtal_BW#'!$A:$Z,14,FALSE)+VLOOKUP($A220,A:AL,19,FALSE)-50))</f>
        <v>188</v>
      </c>
      <c r="U220" s="9">
        <f>IF(ISERROR(VLOOKUP($A220,'SegEnds_NonXtal_BW#'!$A:$Z,15,FALSE)+VLOOKUP($A220,A:AL,22,FALSE)-50),"-",VLOOKUP($A220,'SegEnds_NonXtal_BW#'!$A:$Z,15,FALSE)+VLOOKUP($A220,A:AL,22,FALSE)-50)</f>
        <v>189</v>
      </c>
      <c r="V220" s="3">
        <v>201</v>
      </c>
      <c r="W220" s="3">
        <f>IF(ISERROR(VLOOKUP($A220,'SegEnds_NonXtal_BW#'!$A:$Z,16,FALSE)+VLOOKUP($A220,A:AL,22,FALSE)-50),"-",(VLOOKUP($A220,'SegEnds_NonXtal_BW#'!$A:$Z,16,FALSE)+VLOOKUP($A220,A:AL,22,FALSE)-50))</f>
        <v>213</v>
      </c>
      <c r="X220" s="3">
        <f>IF(ISERROR(VLOOKUP($A220,'SegEnds_NonXtal_BW#'!$A:$Z,17,FALSE)+VLOOKUP($A220,A:AL,25,FALSE)-50),"-",(VLOOKUP($A220,'SegEnds_NonXtal_BW#'!$A:$Z,17,FALSE)+VLOOKUP($A220,A:AL,25,FALSE)-50))</f>
        <v>228</v>
      </c>
      <c r="Y220" s="3">
        <v>228</v>
      </c>
      <c r="Z220" s="3">
        <f t="shared" si="117"/>
        <v>230</v>
      </c>
      <c r="AA220" s="3">
        <f>IF(ISERROR(VLOOKUP($A220,'SegEnds_NonXtal_BW#'!$A:$Z,19,FALSE)+VLOOKUP($A220,A:AL,28,FALSE)-50),"-",(VLOOKUP($A220,'SegEnds_NonXtal_BW#'!$A:$Z,19,FALSE)+VLOOKUP($A220,A:AL,28,FALSE)-50))</f>
        <v>237</v>
      </c>
      <c r="AB220" s="3">
        <v>256</v>
      </c>
      <c r="AC220" s="3">
        <f>IF(ISERROR((VLOOKUP($A220,'SegEnds_NonXtal_BW#'!$A:$Z,20,FALSE)+VLOOKUP($A220,A:AL,28,FALSE)-50)),"-",(VLOOKUP($A220,'SegEnds_NonXtal_BW#'!$A:$Z,20,FALSE)+VLOOKUP($A220,A:AL,28,FALSE)-50))</f>
        <v>274</v>
      </c>
      <c r="AD220" s="3">
        <f>IF(ISERROR(VLOOKUP($A220,'SegEnds_NonXtal_BW#'!$A:$Z,21,FALSE)+VLOOKUP($A220,A:AL,31,FALSE)-50),"-",(VLOOKUP($A220,'SegEnds_NonXtal_BW#'!$A:$Z,21,FALSE)+VLOOKUP($A220,A:AL,31,FALSE)-50))</f>
        <v>278</v>
      </c>
      <c r="AE220" s="3">
        <v>298</v>
      </c>
      <c r="AF220" s="3">
        <f>IF(ISERROR((VLOOKUP($A220,'SegEnds_NonXtal_BW#'!$A:$Z,22,FALSE)+VLOOKUP($A220,A:AL,31,FALSE)-50)),"-",(VLOOKUP($A220,'SegEnds_NonXtal_BW#'!$A:$Z,22,FALSE)+VLOOKUP($A220,A:AL,31,FALSE)-50))</f>
        <v>310</v>
      </c>
      <c r="AG220" s="3">
        <f>IF(ISERROR(VLOOKUP($A220,'SegEnds_NonXtal_BW#'!$A:$Z,23,FALSE)+VLOOKUP($A220,A:AL,34,FALSE)-50),"-",(VLOOKUP($A220,'SegEnds_NonXtal_BW#'!$A:$Z,23,FALSE)+VLOOKUP($A220,A:AL,34,FALSE)-50))</f>
        <v>315</v>
      </c>
      <c r="AH220" s="3">
        <v>337</v>
      </c>
      <c r="AI220" s="3">
        <f>IF(ISERROR((VLOOKUP($A220,'SegEnds_NonXtal_BW#'!$A:$Z,24,FALSE)+VLOOKUP($A220,A:AL,34,FALSE)-50)),"-",(VLOOKUP($A220,'SegEnds_NonXtal_BW#'!$A:$Z,24,FALSE)+VLOOKUP($A220,A:AL,34,FALSE)-50))</f>
        <v>343</v>
      </c>
      <c r="AJ220" s="3">
        <f>IF(ISERROR(VLOOKUP($A220,'SegEnds_NonXtal_BW#'!$A:$Z,25,FALSE)+VLOOKUP($A220,A:AL,37,FALSE)-50),"-",(VLOOKUP($A220,'SegEnds_NonXtal_BW#'!$A:$Z,25,FALSE)+VLOOKUP($A220,A:AL,37,FALSE)-50))</f>
        <v>344</v>
      </c>
      <c r="AK220" s="3">
        <v>347</v>
      </c>
      <c r="AL220" s="3">
        <f>IF(ISERROR((VLOOKUP($A220,'SegEnds_NonXtal_BW#'!$A:$Z,26,FALSE)+VLOOKUP($A220,A:AL,37,FALSE)-50)),"-",(VLOOKUP($A220,'SegEnds_NonXtal_BW#'!$A:$Z,26,FALSE)+VLOOKUP($A220,A:AL,37,FALSE)-50))</f>
        <v>358</v>
      </c>
      <c r="AM220" s="28" t="str">
        <f>VLOOKUP(A220,Classification!A:B,2,FALSE)</f>
        <v>A</v>
      </c>
      <c r="AN220" s="28" t="b">
        <f t="shared" si="133"/>
        <v>1</v>
      </c>
      <c r="AO220" s="3" t="str">
        <f>IF(ISERROR(MATCH(A220,'SegEnds_Xtal_Prot#'!B:B, 0)), "NoXtal", "Xtal")</f>
        <v>NoXtal</v>
      </c>
      <c r="AP220" s="3" t="str">
        <f t="shared" si="118"/>
        <v>-</v>
      </c>
      <c r="AQ220" s="3" t="str">
        <f t="shared" si="119"/>
        <v>-</v>
      </c>
      <c r="AR220" s="3">
        <f t="shared" si="120"/>
        <v>3</v>
      </c>
      <c r="AS220" s="3">
        <f t="shared" si="121"/>
        <v>1</v>
      </c>
      <c r="AT220" s="3">
        <f t="shared" si="122"/>
        <v>1</v>
      </c>
      <c r="AU220" s="3">
        <f t="shared" si="123"/>
        <v>1</v>
      </c>
      <c r="AV220" s="3">
        <f t="shared" si="124"/>
        <v>15</v>
      </c>
      <c r="AW220" s="3">
        <f t="shared" si="125"/>
        <v>7</v>
      </c>
      <c r="AX220" s="3">
        <f t="shared" si="126"/>
        <v>4</v>
      </c>
      <c r="AY220" s="3">
        <f t="shared" si="127"/>
        <v>5</v>
      </c>
      <c r="AZ220" s="3">
        <f t="shared" si="128"/>
        <v>1</v>
      </c>
      <c r="BA220" s="3">
        <f>IF(ISERROR(LEN(VLOOKUP(A220,Seqs!A:E,2,FALSE))-AL220),"-",LEN(VLOOKUP(A220,Seqs!A:E,2,FALSE))-AL220)</f>
        <v>27</v>
      </c>
      <c r="BB220" s="16">
        <f t="shared" si="129"/>
        <v>27</v>
      </c>
      <c r="BC220" s="9">
        <f t="shared" si="130"/>
        <v>20</v>
      </c>
      <c r="BD220" s="3">
        <f t="shared" si="131"/>
        <v>27</v>
      </c>
      <c r="BE220" s="3">
        <f t="shared" si="132"/>
        <v>42</v>
      </c>
      <c r="BF220" s="3">
        <f>AH220-AE220</f>
        <v>39</v>
      </c>
    </row>
    <row r="221" spans="1:59" s="3" customFormat="1" x14ac:dyDescent="0.2">
      <c r="A221" s="3" t="s">
        <v>359</v>
      </c>
      <c r="B221" s="3" t="str">
        <f>LOWER(VLOOKUP(A221,Xtal_Templ!A:B,2,FALSE))</f>
        <v>pe2r4_human</v>
      </c>
      <c r="C221" s="3">
        <f>VLOOKUP($A221,'SegEnds_NonXtal_BW#'!$A:$Z,3,FALSE)+D221-50</f>
        <v>17</v>
      </c>
      <c r="D221" s="3">
        <v>34</v>
      </c>
      <c r="E221" s="3">
        <f>IF(ISERROR(VLOOKUP($A221,'SegEnds_NonXtal_BW#'!$A:$Z,4,FALSE)+VLOOKUP($A221,A:AL,4,FALSE)-50),"-",(VLOOKUP($A221,'SegEnds_NonXtal_BW#'!$A:$Z,4,FALSE)+VLOOKUP($A221,A:AL,4,FALSE)-50))</f>
        <v>42</v>
      </c>
      <c r="F221" s="3" t="str">
        <f>IF(ISERROR(VLOOKUP($A221,'SegEnds_NonXtal_BW#'!$A:$Z,5,FALSE)+VLOOKUP($A221,A:AL,7,FALSE)-50),"-",(VLOOKUP($A221,'SegEnds_NonXtal_BW#'!$A:$Z,5,FALSE)+VLOOKUP($A221,A:AL,7,FALSE)-50))</f>
        <v>-</v>
      </c>
      <c r="G221" s="3" t="s">
        <v>23</v>
      </c>
      <c r="H221" s="3" t="str">
        <f>IF(ISERROR(VLOOKUP($A221,'SegEnds_NonXtal_BW#'!$A:$Z,6,FALSE)+VLOOKUP($A221,A:AL,7,FALSE)-50),"-",(VLOOKUP($A221,'SegEnds_NonXtal_BW#'!$A:$Z,6,FALSE)+VLOOKUP($A221,A:AL,7,FALSE)-50))</f>
        <v>-</v>
      </c>
      <c r="I221" s="3">
        <f>VLOOKUP($A221,'SegEnds_NonXtal_BW#'!$A:$Z,7,FALSE)+J221-50</f>
        <v>59</v>
      </c>
      <c r="J221" s="3">
        <v>72</v>
      </c>
      <c r="K221" s="3">
        <f>VLOOKUP($A221,'SegEnds_NonXtal_BW#'!$A:$Z,8,FALSE)+VLOOKUP($A221,A:AL,10,FALSE)-50</f>
        <v>89</v>
      </c>
      <c r="L221" s="3" t="str">
        <f>IF(ISERROR(VLOOKUP($A221,'SegEnds_NonXtal_BW#'!$A:$Z,9,FALSE)+VLOOKUP($A221,A:AL,13,FALSE)-50),"-",(VLOOKUP($A221,'SegEnds_NonXtal_BW#'!$A:$Z,9,FALSE)+VLOOKUP($A221,A:AL,13,FALSE)-50))</f>
        <v>-</v>
      </c>
      <c r="M221" s="3" t="s">
        <v>23</v>
      </c>
      <c r="N221" s="3" t="str">
        <f>IF(ISERROR(VLOOKUP($A221,'SegEnds_NonXtal_BW#'!$A:$Z,10,FALSE)+VLOOKUP($A221,A:AL,13,FALSE)-50),"-",(VLOOKUP($A221,'SegEnds_NonXtal_BW#'!$A:$Z,10,FALSE)+VLOOKUP($A221,A:AL,13,FALSE)-50))</f>
        <v>-</v>
      </c>
      <c r="O221" s="3">
        <f>VLOOKUP($A221,'SegEnds_NonXtal_BW#'!$A:$Z,11,FALSE)+VLOOKUP($A221,A:AL,16,FALSE)-50</f>
        <v>98</v>
      </c>
      <c r="P221" s="3">
        <v>130</v>
      </c>
      <c r="Q221" s="3">
        <f>VLOOKUP($A221,'SegEnds_NonXtal_BW#'!$A:$Z,12,FALSE)+VLOOKUP($A221,A:AL,16,FALSE)-50</f>
        <v>136</v>
      </c>
      <c r="R221" s="3">
        <f>IF(ISERROR(VLOOKUP($A221,'SegEnds_NonXtal_BW#'!$A:$Z,13,FALSE)+VLOOKUP($A221,A:AL,19,FALSE)-50),"-",VLOOKUP($A221,'SegEnds_NonXtal_BW#'!$A:$Z,13,FALSE)+VLOOKUP($A221,A:AL,19,FALSE)-50)</f>
        <v>137</v>
      </c>
      <c r="S221" s="3">
        <v>137</v>
      </c>
      <c r="T221" s="100">
        <f>IF(ISERROR(VLOOKUP($A221,'SegEnds_NonXtal_BW#'!$A:$Z,14,FALSE)+VLOOKUP($A221,A:AL,19,FALSE)-50),"-",(VLOOKUP($A221,'SegEnds_NonXtal_BW#'!$A:$Z,14,FALSE)+VLOOKUP($A221,A:AL,19,FALSE)-50))</f>
        <v>144</v>
      </c>
      <c r="U221" s="9">
        <f>IF(ISERROR(VLOOKUP($A221,'SegEnds_NonXtal_BW#'!$A:$Z,15,FALSE)+VLOOKUP($A221,A:AL,22,FALSE)-50),"-",VLOOKUP($A221,'SegEnds_NonXtal_BW#'!$A:$Z,15,FALSE)+VLOOKUP($A221,A:AL,22,FALSE)-50)</f>
        <v>145</v>
      </c>
      <c r="V221" s="3">
        <v>157</v>
      </c>
      <c r="W221" s="3">
        <f>IF(ISERROR(VLOOKUP($A221,'SegEnds_NonXtal_BW#'!$A:$Z,16,FALSE)+VLOOKUP($A221,A:AL,22,FALSE)-50),"-",(VLOOKUP($A221,'SegEnds_NonXtal_BW#'!$A:$Z,16,FALSE)+VLOOKUP($A221,A:AL,22,FALSE)-50))</f>
        <v>170</v>
      </c>
      <c r="X221" s="3">
        <f>IF(ISERROR(VLOOKUP($A221,'SegEnds_NonXtal_BW#'!$A:$Z,17,FALSE)+VLOOKUP($A221,A:AL,25,FALSE)-50),"-",(VLOOKUP($A221,'SegEnds_NonXtal_BW#'!$A:$Z,17,FALSE)+VLOOKUP($A221,A:AL,25,FALSE)-50))</f>
        <v>183</v>
      </c>
      <c r="Y221" s="3">
        <v>183</v>
      </c>
      <c r="Z221" s="3">
        <f t="shared" si="117"/>
        <v>185</v>
      </c>
      <c r="AA221" s="3">
        <f>IF(ISERROR(VLOOKUP($A221,'SegEnds_NonXtal_BW#'!$A:$Z,19,FALSE)+VLOOKUP($A221,A:AL,28,FALSE)-50),"-",(VLOOKUP($A221,'SegEnds_NonXtal_BW#'!$A:$Z,19,FALSE)+VLOOKUP($A221,A:AL,28,FALSE)-50))</f>
        <v>193</v>
      </c>
      <c r="AB221" s="3">
        <v>212</v>
      </c>
      <c r="AC221" s="3">
        <f>IF(ISERROR((VLOOKUP($A221,'SegEnds_NonXtal_BW#'!$A:$Z,20,FALSE)+VLOOKUP($A221,A:AL,28,FALSE)-50)),"-",(VLOOKUP($A221,'SegEnds_NonXtal_BW#'!$A:$Z,20,FALSE)+VLOOKUP($A221,A:AL,28,FALSE)-50))</f>
        <v>238</v>
      </c>
      <c r="AD221" s="3">
        <f>IF(ISERROR(VLOOKUP($A221,'SegEnds_NonXtal_BW#'!$A:$Z,21,FALSE)+VLOOKUP($A221,A:AL,31,FALSE)-50),"-",(VLOOKUP($A221,'SegEnds_NonXtal_BW#'!$A:$Z,21,FALSE)+VLOOKUP($A221,A:AL,31,FALSE)-50))</f>
        <v>254</v>
      </c>
      <c r="AE221" s="3">
        <v>280</v>
      </c>
      <c r="AF221" s="3">
        <f>IF(ISERROR((VLOOKUP($A221,'SegEnds_NonXtal_BW#'!$A:$Z,22,FALSE)+VLOOKUP($A221,A:AL,31,FALSE)-50)),"-",(VLOOKUP($A221,'SegEnds_NonXtal_BW#'!$A:$Z,22,FALSE)+VLOOKUP($A221,A:AL,31,FALSE)-50))</f>
        <v>291</v>
      </c>
      <c r="AG221" s="3">
        <f>IF(ISERROR(VLOOKUP($A221,'SegEnds_NonXtal_BW#'!$A:$Z,23,FALSE)+VLOOKUP($A221,A:AL,34,FALSE)-50),"-",(VLOOKUP($A221,'SegEnds_NonXtal_BW#'!$A:$Z,23,FALSE)+VLOOKUP($A221,A:AL,34,FALSE)-50))</f>
        <v>298</v>
      </c>
      <c r="AH221" s="3">
        <v>320</v>
      </c>
      <c r="AI221" s="3">
        <f>IF(ISERROR((VLOOKUP($A221,'SegEnds_NonXtal_BW#'!$A:$Z,24,FALSE)+VLOOKUP($A221,A:AL,34,FALSE)-50)),"-",(VLOOKUP($A221,'SegEnds_NonXtal_BW#'!$A:$Z,24,FALSE)+VLOOKUP($A221,A:AL,34,FALSE)-50))</f>
        <v>326</v>
      </c>
      <c r="AJ221" s="3">
        <f>IF(ISERROR(VLOOKUP($A221,'SegEnds_NonXtal_BW#'!$A:$Z,25,FALSE)+VLOOKUP($A221,A:AL,37,FALSE)-50),"-",(VLOOKUP($A221,'SegEnds_NonXtal_BW#'!$A:$Z,25,FALSE)+VLOOKUP($A221,A:AL,37,FALSE)-50))</f>
        <v>327</v>
      </c>
      <c r="AK221" s="3">
        <v>330</v>
      </c>
      <c r="AL221" s="3">
        <f>IF(ISERROR((VLOOKUP($A221,'SegEnds_NonXtal_BW#'!$A:$Z,26,FALSE)+VLOOKUP($A221,A:AL,37,FALSE)-50)),"-",(VLOOKUP($A221,'SegEnds_NonXtal_BW#'!$A:$Z,26,FALSE)+VLOOKUP($A221,A:AL,37,FALSE)-50))</f>
        <v>340</v>
      </c>
      <c r="AM221" s="28" t="str">
        <f>VLOOKUP(A221,Classification!A:B,2,FALSE)</f>
        <v>A</v>
      </c>
      <c r="AN221" s="28" t="b">
        <f t="shared" si="133"/>
        <v>1</v>
      </c>
      <c r="AO221" s="3" t="str">
        <f>IF(ISERROR(MATCH(A221,'SegEnds_Xtal_Prot#'!B:B, 0)), "NoXtal", "Xtal")</f>
        <v>NoXtal</v>
      </c>
      <c r="AP221" s="3" t="str">
        <f t="shared" si="118"/>
        <v>-</v>
      </c>
      <c r="AQ221" s="3" t="str">
        <f t="shared" si="119"/>
        <v>-</v>
      </c>
      <c r="AR221" s="3" t="str">
        <f t="shared" si="120"/>
        <v>-</v>
      </c>
      <c r="AS221" s="3" t="str">
        <f t="shared" si="121"/>
        <v>-</v>
      </c>
      <c r="AT221" s="3">
        <f t="shared" si="122"/>
        <v>1</v>
      </c>
      <c r="AU221" s="3">
        <f t="shared" si="123"/>
        <v>1</v>
      </c>
      <c r="AV221" s="3">
        <f t="shared" si="124"/>
        <v>13</v>
      </c>
      <c r="AW221" s="3">
        <f t="shared" si="125"/>
        <v>8</v>
      </c>
      <c r="AX221" s="3">
        <f t="shared" si="126"/>
        <v>16</v>
      </c>
      <c r="AY221" s="3">
        <f t="shared" si="127"/>
        <v>7</v>
      </c>
      <c r="AZ221" s="3">
        <f t="shared" si="128"/>
        <v>1</v>
      </c>
      <c r="BA221" s="3">
        <f>IF(ISERROR(LEN(VLOOKUP(A221,Seqs!A:E,2,FALSE))-AL221),"-",LEN(VLOOKUP(A221,Seqs!A:E,2,FALSE))-AL221)</f>
        <v>19</v>
      </c>
      <c r="BB221" s="16">
        <f t="shared" si="129"/>
        <v>38</v>
      </c>
      <c r="BC221" s="9">
        <f t="shared" si="130"/>
        <v>20</v>
      </c>
      <c r="BD221" s="3">
        <f t="shared" si="131"/>
        <v>38</v>
      </c>
      <c r="BE221" s="3">
        <f t="shared" si="132"/>
        <v>68</v>
      </c>
      <c r="BF221" s="3">
        <f>AH221-AE221</f>
        <v>40</v>
      </c>
    </row>
    <row r="222" spans="1:59" s="3" customFormat="1" x14ac:dyDescent="0.2">
      <c r="A222" s="3" t="s">
        <v>360</v>
      </c>
      <c r="B222" s="3" t="str">
        <f>LOWER(VLOOKUP(A222,Xtal_Templ!A:B,2,FALSE))</f>
        <v>pd2r2_human</v>
      </c>
      <c r="C222" s="3">
        <f>VLOOKUP($A222,'SegEnds_NonXtal_BW#'!$A:$Z,3,FALSE)+D222-50</f>
        <v>32</v>
      </c>
      <c r="D222" s="3">
        <v>50</v>
      </c>
      <c r="E222" s="3">
        <f>IF(ISERROR(VLOOKUP($A222,'SegEnds_NonXtal_BW#'!$A:$Z,4,FALSE)+VLOOKUP($A222,A:AL,4,FALSE)-50),"-",(VLOOKUP($A222,'SegEnds_NonXtal_BW#'!$A:$Z,4,FALSE)+VLOOKUP($A222,A:AL,4,FALSE)-50))</f>
        <v>60</v>
      </c>
      <c r="F222" s="3" t="str">
        <f>IF(ISERROR(VLOOKUP($A222,'SegEnds_NonXtal_BW#'!$A:$Z,5,FALSE)+VLOOKUP($A222,A:AL,7,FALSE)-50),"-",(VLOOKUP($A222,'SegEnds_NonXtal_BW#'!$A:$Z,5,FALSE)+VLOOKUP($A222,A:AL,7,FALSE)-50))</f>
        <v>-</v>
      </c>
      <c r="G222" s="3" t="s">
        <v>23</v>
      </c>
      <c r="H222" s="3" t="str">
        <f>IF(ISERROR(VLOOKUP($A222,'SegEnds_NonXtal_BW#'!$A:$Z,6,FALSE)+VLOOKUP($A222,A:AL,7,FALSE)-50),"-",(VLOOKUP($A222,'SegEnds_NonXtal_BW#'!$A:$Z,6,FALSE)+VLOOKUP($A222,A:AL,7,FALSE)-50))</f>
        <v>-</v>
      </c>
      <c r="I222" s="3">
        <f>VLOOKUP($A222,'SegEnds_NonXtal_BW#'!$A:$Z,7,FALSE)+J222-50</f>
        <v>64</v>
      </c>
      <c r="J222" s="3">
        <v>77</v>
      </c>
      <c r="K222" s="3">
        <f>VLOOKUP($A222,'SegEnds_NonXtal_BW#'!$A:$Z,8,FALSE)+VLOOKUP($A222,A:AL,10,FALSE)-50</f>
        <v>94</v>
      </c>
      <c r="L222" s="3">
        <f>M222-1</f>
        <v>96</v>
      </c>
      <c r="M222" s="3">
        <v>97</v>
      </c>
      <c r="N222" s="3">
        <f>M222+2</f>
        <v>99</v>
      </c>
      <c r="O222" s="3">
        <f>N222+1</f>
        <v>100</v>
      </c>
      <c r="P222" s="3">
        <v>129</v>
      </c>
      <c r="Q222" s="3">
        <f>VLOOKUP($A222,'SegEnds_NonXtal_BW#'!$A:$Z,12,FALSE)+VLOOKUP($A222,A:AL,16,FALSE)-50</f>
        <v>135</v>
      </c>
      <c r="R222" s="3">
        <f>IF(ISERROR(VLOOKUP($A222,'SegEnds_NonXtal_BW#'!$A:$Z,13,FALSE)+VLOOKUP($A222,A:AL,19,FALSE)-50),"-",VLOOKUP($A222,'SegEnds_NonXtal_BW#'!$A:$Z,13,FALSE)+VLOOKUP($A222,A:AL,19,FALSE)-50)</f>
        <v>136</v>
      </c>
      <c r="S222" s="3">
        <v>136</v>
      </c>
      <c r="T222" s="100">
        <f>IF(ISERROR(VLOOKUP($A222,'SegEnds_NonXtal_BW#'!$A:$Z,14,FALSE)+VLOOKUP($A222,A:AL,19,FALSE)-50),"-",(VLOOKUP($A222,'SegEnds_NonXtal_BW#'!$A:$Z,14,FALSE)+VLOOKUP($A222,A:AL,19,FALSE)-50))</f>
        <v>143</v>
      </c>
      <c r="U222" s="9">
        <f>IF(ISERROR(VLOOKUP($A222,'SegEnds_NonXtal_BW#'!$A:$Z,15,FALSE)+VLOOKUP($A222,A:AL,22,FALSE)-50),"-",VLOOKUP($A222,'SegEnds_NonXtal_BW#'!$A:$Z,15,FALSE)+VLOOKUP($A222,A:AL,22,FALSE)-50)</f>
        <v>144</v>
      </c>
      <c r="V222" s="3">
        <v>156</v>
      </c>
      <c r="W222" s="3">
        <f>IF(ISERROR(VLOOKUP($A222,'SegEnds_NonXtal_BW#'!$A:$Z,16,FALSE)+VLOOKUP($A222,A:AL,22,FALSE)-50),"-",(VLOOKUP($A222,'SegEnds_NonXtal_BW#'!$A:$Z,16,FALSE)+VLOOKUP($A222,A:AL,22,FALSE)-50))</f>
        <v>170</v>
      </c>
      <c r="X222" s="3">
        <f>IF(ISERROR(VLOOKUP($A222,'SegEnds_NonXtal_BW#'!$A:$Z,17,FALSE)+VLOOKUP($A222,A:AL,25,FALSE)-50),"-",(VLOOKUP($A222,'SegEnds_NonXtal_BW#'!$A:$Z,17,FALSE)+VLOOKUP($A222,A:AL,25,FALSE)-50))</f>
        <v>182</v>
      </c>
      <c r="Y222" s="3">
        <v>182</v>
      </c>
      <c r="Z222" s="3">
        <f t="shared" si="117"/>
        <v>184</v>
      </c>
      <c r="AA222" s="3">
        <f>IF(ISERROR(VLOOKUP($A222,'SegEnds_NonXtal_BW#'!$A:$Z,19,FALSE)+VLOOKUP($A222,A:AL,28,FALSE)-50),"-",(VLOOKUP($A222,'SegEnds_NonXtal_BW#'!$A:$Z,19,FALSE)+VLOOKUP($A222,A:AL,28,FALSE)-50))</f>
        <v>194</v>
      </c>
      <c r="AB222" s="3">
        <v>218</v>
      </c>
      <c r="AC222" s="3">
        <f>IF(ISERROR((VLOOKUP($A222,'SegEnds_NonXtal_BW#'!$A:$Z,20,FALSE)+VLOOKUP($A222,A:AL,28,FALSE)-50)),"-",(VLOOKUP($A222,'SegEnds_NonXtal_BW#'!$A:$Z,20,FALSE)+VLOOKUP($A222,A:AL,28,FALSE)-50))</f>
        <v>236</v>
      </c>
      <c r="AD222" s="3">
        <f>IF(ISERROR(VLOOKUP($A222,'SegEnds_NonXtal_BW#'!$A:$Z,21,FALSE)+VLOOKUP($A222,A:AL,31,FALSE)-50),"-",(VLOOKUP($A222,'SegEnds_NonXtal_BW#'!$A:$Z,21,FALSE)+VLOOKUP($A222,A:AL,31,FALSE)-50))</f>
        <v>241</v>
      </c>
      <c r="AE222" s="3">
        <v>261</v>
      </c>
      <c r="AF222" s="3">
        <f>IF(ISERROR((VLOOKUP($A222,'SegEnds_NonXtal_BW#'!$A:$Z,22,FALSE)+VLOOKUP($A222,A:AL,31,FALSE)-50)),"-",(VLOOKUP($A222,'SegEnds_NonXtal_BW#'!$A:$Z,22,FALSE)+VLOOKUP($A222,A:AL,31,FALSE)-50))</f>
        <v>272</v>
      </c>
      <c r="AG222" s="3">
        <f>IF(ISERROR(VLOOKUP($A222,'SegEnds_NonXtal_BW#'!$A:$Z,23,FALSE)+VLOOKUP($A222,A:AL,34,FALSE)-50),"-",(VLOOKUP($A222,'SegEnds_NonXtal_BW#'!$A:$Z,23,FALSE)+VLOOKUP($A222,A:AL,34,FALSE)-50))</f>
        <v>278</v>
      </c>
      <c r="AH222" s="3">
        <v>301</v>
      </c>
      <c r="AI222" s="3">
        <f>IF(ISERROR((VLOOKUP($A222,'SegEnds_NonXtal_BW#'!$A:$Z,24,FALSE)+VLOOKUP($A222,A:AL,34,FALSE)-50)),"-",(VLOOKUP($A222,'SegEnds_NonXtal_BW#'!$A:$Z,24,FALSE)+VLOOKUP($A222,A:AL,34,FALSE)-50))</f>
        <v>307</v>
      </c>
      <c r="AJ222" s="3">
        <f>IF(ISERROR(VLOOKUP($A222,'SegEnds_NonXtal_BW#'!$A:$Z,25,FALSE)+VLOOKUP($A222,A:AL,37,FALSE)-50),"-",(VLOOKUP($A222,'SegEnds_NonXtal_BW#'!$A:$Z,25,FALSE)+VLOOKUP($A222,A:AL,37,FALSE)-50))</f>
        <v>308</v>
      </c>
      <c r="AK222" s="3">
        <v>311</v>
      </c>
      <c r="AL222" s="3">
        <f>IF(ISERROR((VLOOKUP($A222,'SegEnds_NonXtal_BW#'!$A:$Z,26,FALSE)+VLOOKUP($A222,A:AL,37,FALSE)-50)),"-",(VLOOKUP($A222,'SegEnds_NonXtal_BW#'!$A:$Z,26,FALSE)+VLOOKUP($A222,A:AL,37,FALSE)-50))</f>
        <v>325</v>
      </c>
      <c r="AM222" s="28" t="str">
        <f>VLOOKUP(A222,Classification!A:B,2,FALSE)</f>
        <v>A</v>
      </c>
      <c r="AN222" s="28" t="b">
        <f t="shared" si="133"/>
        <v>1</v>
      </c>
      <c r="AO222" s="3" t="str">
        <f>IF(ISERROR(MATCH(A222,'SegEnds_Xtal_Prot#'!B:B, 0)), "NoXtal", "Xtal")</f>
        <v>Xtal</v>
      </c>
      <c r="AP222" s="3" t="str">
        <f t="shared" si="118"/>
        <v>-</v>
      </c>
      <c r="AQ222" s="3" t="str">
        <f t="shared" si="119"/>
        <v>-</v>
      </c>
      <c r="AR222" s="3">
        <f t="shared" si="120"/>
        <v>2</v>
      </c>
      <c r="AS222" s="3">
        <f t="shared" si="121"/>
        <v>1</v>
      </c>
      <c r="AT222" s="3">
        <f t="shared" si="122"/>
        <v>1</v>
      </c>
      <c r="AU222" s="3">
        <f t="shared" si="123"/>
        <v>1</v>
      </c>
      <c r="AV222" s="3">
        <f t="shared" si="124"/>
        <v>12</v>
      </c>
      <c r="AW222" s="3">
        <f t="shared" si="125"/>
        <v>10</v>
      </c>
      <c r="AX222" s="3">
        <f t="shared" si="126"/>
        <v>5</v>
      </c>
      <c r="AY222" s="3">
        <f t="shared" si="127"/>
        <v>6</v>
      </c>
      <c r="AZ222" s="3">
        <f t="shared" si="128"/>
        <v>1</v>
      </c>
      <c r="BA222" s="3">
        <f>IF(ISERROR(LEN(VLOOKUP(A222,Seqs!A:E,2,FALSE))-AL222),"-",LEN(VLOOKUP(A222,Seqs!A:E,2,FALSE))-AL222)</f>
        <v>70</v>
      </c>
      <c r="BB222" s="16">
        <f t="shared" si="129"/>
        <v>27</v>
      </c>
      <c r="BC222" s="9">
        <f t="shared" si="130"/>
        <v>20</v>
      </c>
      <c r="BD222" s="3">
        <f t="shared" si="131"/>
        <v>27</v>
      </c>
      <c r="BE222" s="3">
        <f t="shared" si="132"/>
        <v>43</v>
      </c>
    </row>
    <row r="223" spans="1:59" s="3" customFormat="1" x14ac:dyDescent="0.2">
      <c r="A223" s="3" t="s">
        <v>361</v>
      </c>
      <c r="B223" s="3" t="str">
        <f>LOWER(VLOOKUP(A223,Xtal_Templ!A:B,2,FALSE))</f>
        <v>pe2r3_human</v>
      </c>
      <c r="C223" s="3">
        <f>VLOOKUP($A223,'SegEnds_NonXtal_BW#'!$A:$Z,3,FALSE)+D223-50</f>
        <v>36</v>
      </c>
      <c r="D223" s="3">
        <v>50</v>
      </c>
      <c r="E223" s="3">
        <f>IF(ISERROR(VLOOKUP($A223,'SegEnds_NonXtal_BW#'!$A:$Z,4,FALSE)+VLOOKUP($A223,A:AL,4,FALSE)-50),"-",(VLOOKUP($A223,'SegEnds_NonXtal_BW#'!$A:$Z,4,FALSE)+VLOOKUP($A223,A:AL,4,FALSE)-50))</f>
        <v>61</v>
      </c>
      <c r="F223" s="3">
        <f>G223-2</f>
        <v>62</v>
      </c>
      <c r="G223" s="3">
        <v>64</v>
      </c>
      <c r="H223" s="3">
        <f>G223+1</f>
        <v>65</v>
      </c>
      <c r="I223" s="3">
        <f>H223+1</f>
        <v>66</v>
      </c>
      <c r="J223" s="3">
        <v>84</v>
      </c>
      <c r="K223" s="3">
        <f>VLOOKUP($A223,'SegEnds_NonXtal_BW#'!$A:$Z,8,FALSE)+VLOOKUP($A223,A:AL,10,FALSE)-50</f>
        <v>100</v>
      </c>
      <c r="L223" s="3">
        <f>M223-1</f>
        <v>103</v>
      </c>
      <c r="M223" s="3">
        <v>104</v>
      </c>
      <c r="N223" s="3">
        <f>M223+2</f>
        <v>106</v>
      </c>
      <c r="O223" s="3">
        <f>N223+1</f>
        <v>107</v>
      </c>
      <c r="P223" s="3">
        <v>135</v>
      </c>
      <c r="Q223" s="3">
        <f>VLOOKUP($A223,'SegEnds_NonXtal_BW#'!$A:$Z,12,FALSE)+VLOOKUP($A223,A:AL,16,FALSE)-50</f>
        <v>141</v>
      </c>
      <c r="R223" s="3">
        <f>IF(ISERROR(VLOOKUP($A223,'SegEnds_NonXtal_BW#'!$A:$Z,13,FALSE)+VLOOKUP($A223,A:AL,19,FALSE)-50),"-",VLOOKUP($A223,'SegEnds_NonXtal_BW#'!$A:$Z,13,FALSE)+VLOOKUP($A223,A:AL,19,FALSE)-50)</f>
        <v>142</v>
      </c>
      <c r="S223" s="3">
        <v>142</v>
      </c>
      <c r="T223" s="100">
        <f>IF(ISERROR(VLOOKUP($A223,'SegEnds_NonXtal_BW#'!$A:$Z,14,FALSE)+VLOOKUP($A223,A:AL,19,FALSE)-50),"-",(VLOOKUP($A223,'SegEnds_NonXtal_BW#'!$A:$Z,14,FALSE)+VLOOKUP($A223,A:AL,19,FALSE)-50))</f>
        <v>149</v>
      </c>
      <c r="U223" s="9">
        <f>IF(ISERROR(VLOOKUP($A223,'SegEnds_NonXtal_BW#'!$A:$Z,15,FALSE)+VLOOKUP($A223,A:AL,22,FALSE)-50),"-",VLOOKUP($A223,'SegEnds_NonXtal_BW#'!$A:$Z,15,FALSE)+VLOOKUP($A223,A:AL,22,FALSE)-50)</f>
        <v>150</v>
      </c>
      <c r="V223" s="3">
        <v>162</v>
      </c>
      <c r="W223" s="3">
        <f>IF(ISERROR(VLOOKUP($A223,'SegEnds_NonXtal_BW#'!$A:$Z,16,FALSE)+VLOOKUP($A223,A:AL,22,FALSE)-50),"-",(VLOOKUP($A223,'SegEnds_NonXtal_BW#'!$A:$Z,16,FALSE)+VLOOKUP($A223,A:AL,22,FALSE)-50))</f>
        <v>175</v>
      </c>
      <c r="X223" s="3">
        <f>IF(ISERROR(VLOOKUP($A223,'SegEnds_NonXtal_BW#'!$A:$Z,17,FALSE)+VLOOKUP($A223,A:AL,25,FALSE)-50),"-",(VLOOKUP($A223,'SegEnds_NonXtal_BW#'!$A:$Z,17,FALSE)+VLOOKUP($A223,A:AL,25,FALSE)-50))</f>
        <v>188</v>
      </c>
      <c r="Y223" s="3">
        <v>188</v>
      </c>
      <c r="Z223" s="3">
        <f t="shared" si="117"/>
        <v>190</v>
      </c>
      <c r="AA223" s="3">
        <f>IF(ISERROR(VLOOKUP($A223,'SegEnds_NonXtal_BW#'!$A:$Z,19,FALSE)+VLOOKUP($A223,A:AL,28,FALSE)-50),"-",(VLOOKUP($A223,'SegEnds_NonXtal_BW#'!$A:$Z,19,FALSE)+VLOOKUP($A223,A:AL,28,FALSE)-50))</f>
        <v>198</v>
      </c>
      <c r="AB223" s="3">
        <v>216</v>
      </c>
      <c r="AC223" s="3">
        <f>IF(ISERROR((VLOOKUP($A223,'SegEnds_NonXtal_BW#'!$A:$Z,20,FALSE)+VLOOKUP($A223,A:AL,28,FALSE)-50)),"-",(VLOOKUP($A223,'SegEnds_NonXtal_BW#'!$A:$Z,20,FALSE)+VLOOKUP($A223,A:AL,28,FALSE)-50))</f>
        <v>240</v>
      </c>
      <c r="AD223" s="3">
        <f>IF(ISERROR(VLOOKUP($A223,'SegEnds_NonXtal_BW#'!$A:$Z,21,FALSE)+VLOOKUP($A223,A:AL,31,FALSE)-50),"-",(VLOOKUP($A223,'SegEnds_NonXtal_BW#'!$A:$Z,21,FALSE)+VLOOKUP($A223,A:AL,31,FALSE)-50))</f>
        <v>286</v>
      </c>
      <c r="AE223" s="3">
        <v>312</v>
      </c>
      <c r="AF223" s="3">
        <f>IF(ISERROR((VLOOKUP($A223,'SegEnds_NonXtal_BW#'!$A:$Z,22,FALSE)+VLOOKUP($A223,A:AL,31,FALSE)-50)),"-",(VLOOKUP($A223,'SegEnds_NonXtal_BW#'!$A:$Z,22,FALSE)+VLOOKUP($A223,A:AL,31,FALSE)-50))</f>
        <v>323</v>
      </c>
      <c r="AG223" s="3">
        <f>IF(ISERROR(VLOOKUP($A223,'SegEnds_NonXtal_BW#'!$A:$Z,23,FALSE)+VLOOKUP($A223,A:AL,34,FALSE)-50),"-",(VLOOKUP($A223,'SegEnds_NonXtal_BW#'!$A:$Z,23,FALSE)+VLOOKUP($A223,A:AL,34,FALSE)-50))</f>
        <v>329</v>
      </c>
      <c r="AH223" s="3">
        <v>348</v>
      </c>
      <c r="AI223" s="3">
        <f>IF(ISERROR((VLOOKUP($A223,'SegEnds_NonXtal_BW#'!$A:$Z,24,FALSE)+VLOOKUP($A223,A:AL,34,FALSE)-50)),"-",(VLOOKUP($A223,'SegEnds_NonXtal_BW#'!$A:$Z,24,FALSE)+VLOOKUP($A223,A:AL,34,FALSE)-50))</f>
        <v>351</v>
      </c>
      <c r="AJ223" s="3">
        <f>IF(ISERROR(VLOOKUP($A223,'SegEnds_NonXtal_BW#'!$A:$Z,25,FALSE)+VLOOKUP($A223,A:AL,37,FALSE)-50),"-",(VLOOKUP($A223,'SegEnds_NonXtal_BW#'!$A:$Z,25,FALSE)+VLOOKUP($A223,A:AL,37,FALSE)-50))</f>
        <v>352</v>
      </c>
      <c r="AK223" s="3">
        <v>358</v>
      </c>
      <c r="AL223" s="3">
        <f>IF(ISERROR((VLOOKUP($A223,'SegEnds_NonXtal_BW#'!$A:$Z,26,FALSE)+VLOOKUP($A223,A:AL,37,FALSE)-50)),"-",(VLOOKUP($A223,'SegEnds_NonXtal_BW#'!$A:$Z,26,FALSE)+VLOOKUP($A223,A:AL,37,FALSE)-50))</f>
        <v>374</v>
      </c>
      <c r="AM223" s="28" t="str">
        <f>VLOOKUP(A223,Classification!A:B,2,FALSE)</f>
        <v>A</v>
      </c>
      <c r="AN223" s="28" t="b">
        <f t="shared" si="133"/>
        <v>1</v>
      </c>
      <c r="AO223" s="3" t="str">
        <f>IF(ISERROR(MATCH(A223,'SegEnds_Xtal_Prot#'!B:B, 0)), "NoXtal", "Xtal")</f>
        <v>NoXtal</v>
      </c>
      <c r="AP223" s="3">
        <f t="shared" si="118"/>
        <v>1</v>
      </c>
      <c r="AQ223" s="3">
        <f t="shared" si="119"/>
        <v>1</v>
      </c>
      <c r="AR223" s="3">
        <f t="shared" si="120"/>
        <v>3</v>
      </c>
      <c r="AS223" s="3">
        <f t="shared" si="121"/>
        <v>1</v>
      </c>
      <c r="AT223" s="3">
        <f t="shared" si="122"/>
        <v>1</v>
      </c>
      <c r="AU223" s="3">
        <f t="shared" si="123"/>
        <v>1</v>
      </c>
      <c r="AV223" s="3">
        <f t="shared" si="124"/>
        <v>13</v>
      </c>
      <c r="AW223" s="3">
        <f t="shared" si="125"/>
        <v>8</v>
      </c>
      <c r="AX223" s="3">
        <f t="shared" si="126"/>
        <v>46</v>
      </c>
      <c r="AY223" s="3">
        <f t="shared" si="127"/>
        <v>6</v>
      </c>
      <c r="AZ223" s="3">
        <f t="shared" si="128"/>
        <v>1</v>
      </c>
      <c r="BA223" s="3">
        <f>IF(ISERROR(LEN(VLOOKUP(A223,Seqs!A:E,2,FALSE))-AL223),"-",LEN(VLOOKUP(A223,Seqs!A:E,2,FALSE))-AL223)</f>
        <v>28</v>
      </c>
      <c r="BB223" s="16">
        <f t="shared" si="129"/>
        <v>34</v>
      </c>
      <c r="BC223" s="9">
        <f t="shared" si="130"/>
        <v>20</v>
      </c>
      <c r="BD223" s="3">
        <f t="shared" si="131"/>
        <v>34</v>
      </c>
      <c r="BE223" s="3">
        <f t="shared" si="132"/>
        <v>96</v>
      </c>
    </row>
    <row r="224" spans="1:59" s="3" customFormat="1" x14ac:dyDescent="0.2">
      <c r="A224" s="3" t="s">
        <v>362</v>
      </c>
      <c r="B224" s="3" t="str">
        <f>LOWER(VLOOKUP(A224,Xtal_Templ!A:B,2,FALSE))</f>
        <v>pe2r4_human</v>
      </c>
      <c r="C224" s="3">
        <f>VLOOKUP($A224,'SegEnds_NonXtal_BW#'!$A:$Z,3,FALSE)+D224-50</f>
        <v>22</v>
      </c>
      <c r="D224" s="3">
        <v>39</v>
      </c>
      <c r="E224" s="3">
        <f>IF(ISERROR(VLOOKUP($A224,'SegEnds_NonXtal_BW#'!$A:$Z,4,FALSE)+VLOOKUP($A224,A:AL,4,FALSE)-50),"-",(VLOOKUP($A224,'SegEnds_NonXtal_BW#'!$A:$Z,4,FALSE)+VLOOKUP($A224,A:AL,4,FALSE)-50))</f>
        <v>47</v>
      </c>
      <c r="F224" s="3">
        <f>G224-2</f>
        <v>56</v>
      </c>
      <c r="G224" s="3">
        <v>58</v>
      </c>
      <c r="H224" s="3">
        <f>G224+1</f>
        <v>59</v>
      </c>
      <c r="I224" s="3">
        <f>H224+1</f>
        <v>60</v>
      </c>
      <c r="J224" s="3">
        <v>78</v>
      </c>
      <c r="K224" s="3">
        <f>VLOOKUP($A224,'SegEnds_NonXtal_BW#'!$A:$Z,8,FALSE)+VLOOKUP($A224,A:AL,10,FALSE)-50</f>
        <v>95</v>
      </c>
      <c r="L224" s="3" t="str">
        <f>IF(ISERROR(VLOOKUP($A224,'SegEnds_NonXtal_BW#'!$A:$Z,9,FALSE)+VLOOKUP($A224,A:AL,13,FALSE)-50),"-",(VLOOKUP($A224,'SegEnds_NonXtal_BW#'!$A:$Z,9,FALSE)+VLOOKUP($A224,A:AL,13,FALSE)-50))</f>
        <v>-</v>
      </c>
      <c r="M224" s="3" t="s">
        <v>23</v>
      </c>
      <c r="N224" s="3" t="str">
        <f>IF(ISERROR(VLOOKUP($A224,'SegEnds_NonXtal_BW#'!$A:$Z,10,FALSE)+VLOOKUP($A224,A:AL,13,FALSE)-50),"-",(VLOOKUP($A224,'SegEnds_NonXtal_BW#'!$A:$Z,10,FALSE)+VLOOKUP($A224,A:AL,13,FALSE)-50))</f>
        <v>-</v>
      </c>
      <c r="O224" s="3">
        <f>VLOOKUP($A224,'SegEnds_NonXtal_BW#'!$A:$Z,11,FALSE)+VLOOKUP($A224,A:AL,16,FALSE)-50</f>
        <v>102</v>
      </c>
      <c r="P224" s="3">
        <v>134</v>
      </c>
      <c r="Q224" s="3">
        <f>VLOOKUP($A224,'SegEnds_NonXtal_BW#'!$A:$Z,12,FALSE)+VLOOKUP($A224,A:AL,16,FALSE)-50</f>
        <v>140</v>
      </c>
      <c r="R224" s="3">
        <f>IF(ISERROR(VLOOKUP($A224,'SegEnds_NonXtal_BW#'!$A:$Z,13,FALSE)+VLOOKUP($A224,A:AL,19,FALSE)-50),"-",VLOOKUP($A224,'SegEnds_NonXtal_BW#'!$A:$Z,13,FALSE)+VLOOKUP($A224,A:AL,19,FALSE)-50)</f>
        <v>141</v>
      </c>
      <c r="S224" s="3">
        <v>141</v>
      </c>
      <c r="T224" s="100">
        <f>IF(ISERROR(VLOOKUP($A224,'SegEnds_NonXtal_BW#'!$A:$Z,14,FALSE)+VLOOKUP($A224,A:AL,19,FALSE)-50),"-",(VLOOKUP($A224,'SegEnds_NonXtal_BW#'!$A:$Z,14,FALSE)+VLOOKUP($A224,A:AL,19,FALSE)-50))</f>
        <v>148</v>
      </c>
      <c r="U224" s="9">
        <f>IF(ISERROR(VLOOKUP($A224,'SegEnds_NonXtal_BW#'!$A:$Z,15,FALSE)+VLOOKUP($A224,A:AL,22,FALSE)-50),"-",VLOOKUP($A224,'SegEnds_NonXtal_BW#'!$A:$Z,15,FALSE)+VLOOKUP($A224,A:AL,22,FALSE)-50)</f>
        <v>149</v>
      </c>
      <c r="V224" s="3">
        <v>161</v>
      </c>
      <c r="W224" s="3">
        <f>IF(ISERROR(VLOOKUP($A224,'SegEnds_NonXtal_BW#'!$A:$Z,16,FALSE)+VLOOKUP($A224,A:AL,22,FALSE)-50),"-",(VLOOKUP($A224,'SegEnds_NonXtal_BW#'!$A:$Z,16,FALSE)+VLOOKUP($A224,A:AL,22,FALSE)-50))</f>
        <v>174</v>
      </c>
      <c r="X224" s="3">
        <f>IF(ISERROR(VLOOKUP($A224,'SegEnds_NonXtal_BW#'!$A:$Z,17,FALSE)+VLOOKUP($A224,A:AL,25,FALSE)-50),"-",(VLOOKUP($A224,'SegEnds_NonXtal_BW#'!$A:$Z,17,FALSE)+VLOOKUP($A224,A:AL,25,FALSE)-50))</f>
        <v>187</v>
      </c>
      <c r="Y224" s="3">
        <v>187</v>
      </c>
      <c r="Z224" s="3">
        <f t="shared" si="117"/>
        <v>189</v>
      </c>
      <c r="AA224" s="3">
        <f>IF(ISERROR(VLOOKUP($A224,'SegEnds_NonXtal_BW#'!$A:$Z,19,FALSE)+VLOOKUP($A224,A:AL,28,FALSE)-50),"-",(VLOOKUP($A224,'SegEnds_NonXtal_BW#'!$A:$Z,19,FALSE)+VLOOKUP($A224,A:AL,28,FALSE)-50))</f>
        <v>194</v>
      </c>
      <c r="AB224" s="3">
        <v>209</v>
      </c>
      <c r="AC224" s="3">
        <f>IF(ISERROR((VLOOKUP($A224,'SegEnds_NonXtal_BW#'!$A:$Z,20,FALSE)+VLOOKUP($A224,A:AL,28,FALSE)-50)),"-",(VLOOKUP($A224,'SegEnds_NonXtal_BW#'!$A:$Z,20,FALSE)+VLOOKUP($A224,A:AL,28,FALSE)-50))</f>
        <v>235</v>
      </c>
      <c r="AD224" s="3">
        <f>IF(ISERROR(VLOOKUP($A224,'SegEnds_NonXtal_BW#'!$A:$Z,21,FALSE)+VLOOKUP($A224,A:AL,31,FALSE)-50),"-",(VLOOKUP($A224,'SegEnds_NonXtal_BW#'!$A:$Z,21,FALSE)+VLOOKUP($A224,A:AL,31,FALSE)-50))</f>
        <v>253</v>
      </c>
      <c r="AE224" s="3">
        <v>279</v>
      </c>
      <c r="AF224" s="3">
        <f>IF(ISERROR((VLOOKUP($A224,'SegEnds_NonXtal_BW#'!$A:$Z,22,FALSE)+VLOOKUP($A224,A:AL,31,FALSE)-50)),"-",(VLOOKUP($A224,'SegEnds_NonXtal_BW#'!$A:$Z,22,FALSE)+VLOOKUP($A224,A:AL,31,FALSE)-50))</f>
        <v>290</v>
      </c>
      <c r="AG224" s="3">
        <f>IF(ISERROR(VLOOKUP($A224,'SegEnds_NonXtal_BW#'!$A:$Z,23,FALSE)+VLOOKUP($A224,A:AL,34,FALSE)-50),"-",(VLOOKUP($A224,'SegEnds_NonXtal_BW#'!$A:$Z,23,FALSE)+VLOOKUP($A224,A:AL,34,FALSE)-50))</f>
        <v>295</v>
      </c>
      <c r="AH224" s="3">
        <v>312</v>
      </c>
      <c r="AI224" s="3">
        <f>IF(ISERROR((VLOOKUP($A224,'SegEnds_NonXtal_BW#'!$A:$Z,24,FALSE)+VLOOKUP($A224,A:AL,34,FALSE)-50)),"-",(VLOOKUP($A224,'SegEnds_NonXtal_BW#'!$A:$Z,24,FALSE)+VLOOKUP($A224,A:AL,34,FALSE)-50))</f>
        <v>318</v>
      </c>
      <c r="AJ224" s="3">
        <f>IF(ISERROR(VLOOKUP($A224,'SegEnds_NonXtal_BW#'!$A:$Z,25,FALSE)+VLOOKUP($A224,A:AL,37,FALSE)-50),"-",(VLOOKUP($A224,'SegEnds_NonXtal_BW#'!$A:$Z,25,FALSE)+VLOOKUP($A224,A:AL,37,FALSE)-50))</f>
        <v>319</v>
      </c>
      <c r="AK224" s="3">
        <v>322</v>
      </c>
      <c r="AL224" s="3">
        <f>IF(ISERROR((VLOOKUP($A224,'SegEnds_NonXtal_BW#'!$A:$Z,26,FALSE)+VLOOKUP($A224,A:AL,37,FALSE)-50)),"-",(VLOOKUP($A224,'SegEnds_NonXtal_BW#'!$A:$Z,26,FALSE)+VLOOKUP($A224,A:AL,37,FALSE)-50))</f>
        <v>332</v>
      </c>
      <c r="AM224" s="28" t="str">
        <f>VLOOKUP(A224,Classification!A:B,2,FALSE)</f>
        <v>A</v>
      </c>
      <c r="AN224" s="28" t="b">
        <f t="shared" si="133"/>
        <v>1</v>
      </c>
      <c r="AO224" s="3" t="str">
        <f>IF(ISERROR(MATCH(A224,'SegEnds_Xtal_Prot#'!B:B, 0)), "NoXtal", "Xtal")</f>
        <v>NoXtal</v>
      </c>
      <c r="AP224" s="3">
        <f t="shared" si="118"/>
        <v>9</v>
      </c>
      <c r="AQ224" s="3">
        <f t="shared" si="119"/>
        <v>1</v>
      </c>
      <c r="AR224" s="3" t="str">
        <f t="shared" si="120"/>
        <v>-</v>
      </c>
      <c r="AS224" s="3" t="str">
        <f t="shared" si="121"/>
        <v>-</v>
      </c>
      <c r="AT224" s="3">
        <f t="shared" si="122"/>
        <v>1</v>
      </c>
      <c r="AU224" s="3">
        <f t="shared" si="123"/>
        <v>1</v>
      </c>
      <c r="AV224" s="3">
        <f t="shared" si="124"/>
        <v>13</v>
      </c>
      <c r="AW224" s="3">
        <f t="shared" si="125"/>
        <v>5</v>
      </c>
      <c r="AX224" s="3">
        <f t="shared" si="126"/>
        <v>18</v>
      </c>
      <c r="AY224" s="3">
        <f t="shared" si="127"/>
        <v>5</v>
      </c>
      <c r="AZ224" s="3">
        <f t="shared" si="128"/>
        <v>1</v>
      </c>
      <c r="BA224" s="3">
        <f>IF(ISERROR(LEN(VLOOKUP(A224,Seqs!A:E,2,FALSE))-AL224),"-",LEN(VLOOKUP(A224,Seqs!A:E,2,FALSE))-AL224)</f>
        <v>26</v>
      </c>
      <c r="BB224" s="16">
        <f t="shared" si="129"/>
        <v>39</v>
      </c>
      <c r="BC224" s="9">
        <f t="shared" si="130"/>
        <v>20</v>
      </c>
      <c r="BD224" s="3">
        <f t="shared" si="131"/>
        <v>39</v>
      </c>
      <c r="BE224" s="3">
        <f t="shared" si="132"/>
        <v>70</v>
      </c>
      <c r="BF224" s="3">
        <f>AH224-AE224</f>
        <v>33</v>
      </c>
    </row>
    <row r="225" spans="1:58" s="3" customFormat="1" x14ac:dyDescent="0.2">
      <c r="A225" s="3" t="s">
        <v>363</v>
      </c>
      <c r="B225" s="3" t="str">
        <f>LOWER(VLOOKUP(A225,Xtal_Templ!A:B,2,FALSE))</f>
        <v>pe2r3_human</v>
      </c>
      <c r="C225" s="3">
        <f>VLOOKUP($A225,'SegEnds_NonXtal_BW#'!$A:$Z,3,FALSE)+D225-50</f>
        <v>52</v>
      </c>
      <c r="D225" s="3">
        <v>66</v>
      </c>
      <c r="E225" s="3">
        <f>IF(ISERROR(VLOOKUP($A225,'SegEnds_NonXtal_BW#'!$A:$Z,4,FALSE)+VLOOKUP($A225,A:AL,4,FALSE)-50),"-",(VLOOKUP($A225,'SegEnds_NonXtal_BW#'!$A:$Z,4,FALSE)+VLOOKUP($A225,A:AL,4,FALSE)-50))</f>
        <v>78</v>
      </c>
      <c r="F225" s="3" t="str">
        <f>IF(ISERROR(VLOOKUP($A225,'SegEnds_NonXtal_BW#'!$A:$Z,5,FALSE)+VLOOKUP($A225,A:AL,7,FALSE)-50),"-",(VLOOKUP($A225,'SegEnds_NonXtal_BW#'!$A:$Z,5,FALSE)+VLOOKUP($A225,A:AL,7,FALSE)-50))</f>
        <v>-</v>
      </c>
      <c r="G225" s="3" t="s">
        <v>23</v>
      </c>
      <c r="H225" s="3" t="str">
        <f>IF(ISERROR(VLOOKUP($A225,'SegEnds_NonXtal_BW#'!$A:$Z,6,FALSE)+VLOOKUP($A225,A:AL,7,FALSE)-50),"-",(VLOOKUP($A225,'SegEnds_NonXtal_BW#'!$A:$Z,6,FALSE)+VLOOKUP($A225,A:AL,7,FALSE)-50))</f>
        <v>-</v>
      </c>
      <c r="I225" s="3">
        <f>VLOOKUP($A225,'SegEnds_NonXtal_BW#'!$A:$Z,7,FALSE)+J225-50</f>
        <v>86</v>
      </c>
      <c r="J225" s="3">
        <v>99</v>
      </c>
      <c r="K225" s="3">
        <f>VLOOKUP($A225,'SegEnds_NonXtal_BW#'!$A:$Z,8,FALSE)+VLOOKUP($A225,A:AL,10,FALSE)-50</f>
        <v>117</v>
      </c>
      <c r="L225" s="3">
        <f>M225-1</f>
        <v>119</v>
      </c>
      <c r="M225" s="3">
        <v>120</v>
      </c>
      <c r="N225" s="3">
        <f>M225+2</f>
        <v>122</v>
      </c>
      <c r="O225" s="3">
        <f>N225+1</f>
        <v>123</v>
      </c>
      <c r="P225" s="3">
        <v>155</v>
      </c>
      <c r="Q225" s="3">
        <f>VLOOKUP($A225,'SegEnds_NonXtal_BW#'!$A:$Z,12,FALSE)+VLOOKUP($A225,A:AL,16,FALSE)-50</f>
        <v>161</v>
      </c>
      <c r="R225" s="3">
        <f>IF(ISERROR(VLOOKUP($A225,'SegEnds_NonXtal_BW#'!$A:$Z,13,FALSE)+VLOOKUP($A225,A:AL,19,FALSE)-50),"-",VLOOKUP($A225,'SegEnds_NonXtal_BW#'!$A:$Z,13,FALSE)+VLOOKUP($A225,A:AL,19,FALSE)-50)</f>
        <v>162</v>
      </c>
      <c r="S225" s="3">
        <v>162</v>
      </c>
      <c r="T225" s="100">
        <f>IF(ISERROR(VLOOKUP($A225,'SegEnds_NonXtal_BW#'!$A:$Z,14,FALSE)+VLOOKUP($A225,A:AL,19,FALSE)-50),"-",(VLOOKUP($A225,'SegEnds_NonXtal_BW#'!$A:$Z,14,FALSE)+VLOOKUP($A225,A:AL,19,FALSE)-50))</f>
        <v>169</v>
      </c>
      <c r="U225" s="9">
        <f>IF(ISERROR(VLOOKUP($A225,'SegEnds_NonXtal_BW#'!$A:$Z,15,FALSE)+VLOOKUP($A225,A:AL,22,FALSE)-50),"-",VLOOKUP($A225,'SegEnds_NonXtal_BW#'!$A:$Z,15,FALSE)+VLOOKUP($A225,A:AL,22,FALSE)-50)</f>
        <v>170</v>
      </c>
      <c r="V225" s="3">
        <v>182</v>
      </c>
      <c r="W225" s="3">
        <f>IF(ISERROR(VLOOKUP($A225,'SegEnds_NonXtal_BW#'!$A:$Z,16,FALSE)+VLOOKUP($A225,A:AL,22,FALSE)-50),"-",(VLOOKUP($A225,'SegEnds_NonXtal_BW#'!$A:$Z,16,FALSE)+VLOOKUP($A225,A:AL,22,FALSE)-50))</f>
        <v>195</v>
      </c>
      <c r="X225" s="3">
        <f>Y225</f>
        <v>208</v>
      </c>
      <c r="Y225" s="3">
        <v>208</v>
      </c>
      <c r="Z225" s="3">
        <f t="shared" si="117"/>
        <v>210</v>
      </c>
      <c r="AA225" s="3">
        <f>IF(ISERROR(VLOOKUP($A225,'SegEnds_NonXtal_BW#'!$A:$Z,19,FALSE)+VLOOKUP($A225,A:AL,28,FALSE)-50),"-",(VLOOKUP($A225,'SegEnds_NonXtal_BW#'!$A:$Z,19,FALSE)+VLOOKUP($A225,A:AL,28,FALSE)-50))</f>
        <v>225</v>
      </c>
      <c r="AB225" s="3">
        <v>243</v>
      </c>
      <c r="AC225" s="3">
        <f>IF(ISERROR((VLOOKUP($A225,'SegEnds_NonXtal_BW#'!$A:$Z,20,FALSE)+VLOOKUP($A225,A:AL,28,FALSE)-50)),"-",(VLOOKUP($A225,'SegEnds_NonXtal_BW#'!$A:$Z,20,FALSE)+VLOOKUP($A225,A:AL,28,FALSE)-50))</f>
        <v>265</v>
      </c>
      <c r="AD225" s="3">
        <f>IF(ISERROR(VLOOKUP($A225,'SegEnds_NonXtal_BW#'!$A:$Z,21,FALSE)+VLOOKUP($A225,A:AL,31,FALSE)-50),"-",(VLOOKUP($A225,'SegEnds_NonXtal_BW#'!$A:$Z,21,FALSE)+VLOOKUP($A225,A:AL,31,FALSE)-50))</f>
        <v>271</v>
      </c>
      <c r="AE225" s="3">
        <v>297</v>
      </c>
      <c r="AF225" s="3">
        <f>IF(ISERROR((VLOOKUP($A225,'SegEnds_NonXtal_BW#'!$A:$Z,22,FALSE)+VLOOKUP($A225,A:AL,31,FALSE)-50)),"-",(VLOOKUP($A225,'SegEnds_NonXtal_BW#'!$A:$Z,22,FALSE)+VLOOKUP($A225,A:AL,31,FALSE)-50))</f>
        <v>311</v>
      </c>
      <c r="AG225" s="3">
        <f>IF(ISERROR(VLOOKUP($A225,'SegEnds_NonXtal_BW#'!$A:$Z,23,FALSE)+VLOOKUP($A225,A:AL,34,FALSE)-50),"-",(VLOOKUP($A225,'SegEnds_NonXtal_BW#'!$A:$Z,23,FALSE)+VLOOKUP($A225,A:AL,34,FALSE)-50))</f>
        <v>317</v>
      </c>
      <c r="AH225" s="3">
        <v>343</v>
      </c>
      <c r="AI225" s="3">
        <f>IF(ISERROR((VLOOKUP($A225,'SegEnds_NonXtal_BW#'!$A:$Z,24,FALSE)+VLOOKUP($A225,A:AL,34,FALSE)-50)),"-",(VLOOKUP($A225,'SegEnds_NonXtal_BW#'!$A:$Z,24,FALSE)+VLOOKUP($A225,A:AL,34,FALSE)-50))</f>
        <v>346</v>
      </c>
      <c r="AJ225" s="3">
        <f>IF(ISERROR(VLOOKUP($A225,'SegEnds_NonXtal_BW#'!$A:$Z,25,FALSE)+VLOOKUP($A225,A:AL,37,FALSE)-50),"-",(VLOOKUP($A225,'SegEnds_NonXtal_BW#'!$A:$Z,25,FALSE)+VLOOKUP($A225,A:AL,37,FALSE)-50))</f>
        <v>347</v>
      </c>
      <c r="AK225" s="3">
        <v>353</v>
      </c>
      <c r="AL225" s="3">
        <f>IF(ISERROR((VLOOKUP($A225,'SegEnds_NonXtal_BW#'!$A:$Z,26,FALSE)+VLOOKUP($A225,A:AL,37,FALSE)-50)),"-",(VLOOKUP($A225,'SegEnds_NonXtal_BW#'!$A:$Z,26,FALSE)+VLOOKUP($A225,A:AL,37,FALSE)-50))</f>
        <v>369</v>
      </c>
      <c r="AM225" s="28" t="str">
        <f>VLOOKUP(A225,Classification!A:B,2,FALSE)</f>
        <v>A</v>
      </c>
      <c r="AN225" s="28" t="b">
        <f t="shared" si="133"/>
        <v>1</v>
      </c>
      <c r="AO225" s="3" t="str">
        <f>IF(ISERROR(MATCH(A225,'SegEnds_Xtal_Prot#'!B:B, 0)), "NoXtal", "Xtal")</f>
        <v>Xtal</v>
      </c>
      <c r="AP225" s="3" t="str">
        <f t="shared" si="118"/>
        <v>-</v>
      </c>
      <c r="AQ225" s="3" t="str">
        <f t="shared" si="119"/>
        <v>-</v>
      </c>
      <c r="AR225" s="3">
        <f t="shared" si="120"/>
        <v>2</v>
      </c>
      <c r="AS225" s="3">
        <f t="shared" si="121"/>
        <v>1</v>
      </c>
      <c r="AT225" s="3">
        <f t="shared" si="122"/>
        <v>1</v>
      </c>
      <c r="AU225" s="3">
        <f t="shared" si="123"/>
        <v>1</v>
      </c>
      <c r="AV225" s="3">
        <f t="shared" si="124"/>
        <v>13</v>
      </c>
      <c r="AW225" s="3">
        <f t="shared" si="125"/>
        <v>15</v>
      </c>
      <c r="AX225" s="3">
        <f t="shared" si="126"/>
        <v>6</v>
      </c>
      <c r="AY225" s="3">
        <f t="shared" si="127"/>
        <v>6</v>
      </c>
      <c r="AZ225" s="3">
        <f t="shared" si="128"/>
        <v>1</v>
      </c>
      <c r="BA225" s="3">
        <f>IF(ISERROR(LEN(VLOOKUP(A225,Seqs!A:E,2,FALSE))-AL225),"-",LEN(VLOOKUP(A225,Seqs!A:E,2,FALSE))-AL225)</f>
        <v>21</v>
      </c>
      <c r="BB225" s="16">
        <f t="shared" si="129"/>
        <v>33</v>
      </c>
      <c r="BC225" s="9">
        <f t="shared" si="130"/>
        <v>20</v>
      </c>
      <c r="BD225" s="3">
        <f t="shared" si="131"/>
        <v>33</v>
      </c>
      <c r="BE225" s="3">
        <f t="shared" si="132"/>
        <v>54</v>
      </c>
      <c r="BF225" s="3">
        <f>AH225-AE225</f>
        <v>46</v>
      </c>
    </row>
    <row r="226" spans="1:58" s="3" customFormat="1" x14ac:dyDescent="0.2">
      <c r="A226" s="3" t="s">
        <v>364</v>
      </c>
      <c r="B226" s="3" t="str">
        <f>LOWER(VLOOKUP(A226,Xtal_Templ!A:B,2,FALSE))</f>
        <v>pe2r4_human</v>
      </c>
      <c r="C226" s="3">
        <f>VLOOKUP($A226,'SegEnds_NonXtal_BW#'!$A:$Z,3,FALSE)+D226-50</f>
        <v>18</v>
      </c>
      <c r="D226" s="3">
        <v>35</v>
      </c>
      <c r="E226" s="3">
        <f>IF(ISERROR(VLOOKUP($A226,'SegEnds_NonXtal_BW#'!$A:$Z,4,FALSE)+VLOOKUP($A226,A:AL,4,FALSE)-50),"-",(VLOOKUP($A226,'SegEnds_NonXtal_BW#'!$A:$Z,4,FALSE)+VLOOKUP($A226,A:AL,4,FALSE)-50))</f>
        <v>43</v>
      </c>
      <c r="F226" s="3" t="str">
        <f>IF(ISERROR(VLOOKUP($A226,'SegEnds_NonXtal_BW#'!$A:$Z,5,FALSE)+VLOOKUP($A226,A:AL,7,FALSE)-50),"-",(VLOOKUP($A226,'SegEnds_NonXtal_BW#'!$A:$Z,5,FALSE)+VLOOKUP($A226,A:AL,7,FALSE)-50))</f>
        <v>-</v>
      </c>
      <c r="G226" s="3" t="s">
        <v>23</v>
      </c>
      <c r="H226" s="3" t="str">
        <f>IF(ISERROR(VLOOKUP($A226,'SegEnds_NonXtal_BW#'!$A:$Z,6,FALSE)+VLOOKUP($A226,A:AL,7,FALSE)-50),"-",(VLOOKUP($A226,'SegEnds_NonXtal_BW#'!$A:$Z,6,FALSE)+VLOOKUP($A226,A:AL,7,FALSE)-50))</f>
        <v>-</v>
      </c>
      <c r="I226" s="3">
        <f>VLOOKUP($A226,'SegEnds_NonXtal_BW#'!$A:$Z,7,FALSE)+J226-50</f>
        <v>52</v>
      </c>
      <c r="J226" s="3">
        <v>65</v>
      </c>
      <c r="K226" s="3">
        <f>VLOOKUP($A226,'SegEnds_NonXtal_BW#'!$A:$Z,8,FALSE)+VLOOKUP($A226,A:AL,10,FALSE)-50</f>
        <v>82</v>
      </c>
      <c r="L226" s="3" t="str">
        <f>IF(ISERROR(VLOOKUP($A226,'SegEnds_NonXtal_BW#'!$A:$Z,9,FALSE)+VLOOKUP($A226,A:AL,13,FALSE)-50),"-",(VLOOKUP($A226,'SegEnds_NonXtal_BW#'!$A:$Z,9,FALSE)+VLOOKUP($A226,A:AL,13,FALSE)-50))</f>
        <v>-</v>
      </c>
      <c r="M226" s="3" t="s">
        <v>23</v>
      </c>
      <c r="N226" s="3" t="str">
        <f>IF(ISERROR(VLOOKUP($A226,'SegEnds_NonXtal_BW#'!$A:$Z,10,FALSE)+VLOOKUP($A226,A:AL,13,FALSE)-50),"-",(VLOOKUP($A226,'SegEnds_NonXtal_BW#'!$A:$Z,10,FALSE)+VLOOKUP($A226,A:AL,13,FALSE)-50))</f>
        <v>-</v>
      </c>
      <c r="O226" s="3">
        <f>VLOOKUP($A226,'SegEnds_NonXtal_BW#'!$A:$Z,11,FALSE)+VLOOKUP($A226,A:AL,16,FALSE)-50</f>
        <v>88</v>
      </c>
      <c r="P226" s="3">
        <v>117</v>
      </c>
      <c r="Q226" s="3">
        <f>VLOOKUP($A226,'SegEnds_NonXtal_BW#'!$A:$Z,12,FALSE)+VLOOKUP($A226,A:AL,16,FALSE)-50</f>
        <v>123</v>
      </c>
      <c r="R226" s="3">
        <f>IF(ISERROR(VLOOKUP($A226,'SegEnds_NonXtal_BW#'!$A:$Z,13,FALSE)+VLOOKUP($A226,A:AL,19,FALSE)-50),"-",VLOOKUP($A226,'SegEnds_NonXtal_BW#'!$A:$Z,13,FALSE)+VLOOKUP($A226,A:AL,19,FALSE)-50)</f>
        <v>124</v>
      </c>
      <c r="S226" s="3">
        <v>124</v>
      </c>
      <c r="T226" s="100">
        <f>IF(ISERROR(VLOOKUP($A226,'SegEnds_NonXtal_BW#'!$A:$Z,14,FALSE)+VLOOKUP($A226,A:AL,19,FALSE)-50),"-",(VLOOKUP($A226,'SegEnds_NonXtal_BW#'!$A:$Z,14,FALSE)+VLOOKUP($A226,A:AL,19,FALSE)-50))</f>
        <v>131</v>
      </c>
      <c r="U226" s="9">
        <f>IF(ISERROR(VLOOKUP($A226,'SegEnds_NonXtal_BW#'!$A:$Z,15,FALSE)+VLOOKUP($A226,A:AL,22,FALSE)-50),"-",VLOOKUP($A226,'SegEnds_NonXtal_BW#'!$A:$Z,15,FALSE)+VLOOKUP($A226,A:AL,22,FALSE)-50)</f>
        <v>132</v>
      </c>
      <c r="V226" s="3">
        <v>144</v>
      </c>
      <c r="W226" s="3">
        <f>IF(ISERROR(VLOOKUP($A226,'SegEnds_NonXtal_BW#'!$A:$Z,16,FALSE)+VLOOKUP($A226,A:AL,22,FALSE)-50),"-",(VLOOKUP($A226,'SegEnds_NonXtal_BW#'!$A:$Z,16,FALSE)+VLOOKUP($A226,A:AL,22,FALSE)-50))</f>
        <v>157</v>
      </c>
      <c r="X226" s="3">
        <f>IF(ISERROR(VLOOKUP($A226,'SegEnds_NonXtal_BW#'!$A:$Z,17,FALSE)+VLOOKUP($A226,A:AL,25,FALSE)-50),"-",(VLOOKUP($A226,'SegEnds_NonXtal_BW#'!$A:$Z,17,FALSE)+VLOOKUP($A226,A:AL,25,FALSE)-50))</f>
        <v>170</v>
      </c>
      <c r="Y226" s="3">
        <v>170</v>
      </c>
      <c r="Z226" s="3">
        <f>IF(ISERROR(VLOOKUP($A226,'SegEnds_NonXtal_BW#'!$A:$Z,18,FALSE)+VLOOKUP($A226,A:AL,25,FALSE)-50),"-",(VLOOKUP($A226,'SegEnds_NonXtal_BW#'!$A:$Z,18,FALSE)+VLOOKUP($A226,A:AL,25,FALSE)-50))</f>
        <v>172</v>
      </c>
      <c r="AA226" s="3">
        <f>IF(ISERROR(VLOOKUP($A226,'SegEnds_NonXtal_BW#'!$A:$Z,19,FALSE)+VLOOKUP($A226,A:AL,28,FALSE)-50),"-",(VLOOKUP($A226,'SegEnds_NonXtal_BW#'!$A:$Z,19,FALSE)+VLOOKUP($A226,A:AL,28,FALSE)-50))</f>
        <v>178</v>
      </c>
      <c r="AB226" s="3">
        <v>197</v>
      </c>
      <c r="AC226" s="3">
        <f>IF(ISERROR((VLOOKUP($A226,'SegEnds_NonXtal_BW#'!$A:$Z,20,FALSE)+VLOOKUP($A226,A:AL,28,FALSE)-50)),"-",(VLOOKUP($A226,'SegEnds_NonXtal_BW#'!$A:$Z,20,FALSE)+VLOOKUP($A226,A:AL,28,FALSE)-50))</f>
        <v>223</v>
      </c>
      <c r="AD226" s="3">
        <f>IF(ISERROR(VLOOKUP($A226,'SegEnds_NonXtal_BW#'!$A:$Z,21,FALSE)+VLOOKUP($A226,A:AL,31,FALSE)-50),"-",(VLOOKUP($A226,'SegEnds_NonXtal_BW#'!$A:$Z,21,FALSE)+VLOOKUP($A226,A:AL,31,FALSE)-50))</f>
        <v>261</v>
      </c>
      <c r="AE226" s="3">
        <v>287</v>
      </c>
      <c r="AF226" s="3">
        <f>IF(ISERROR((VLOOKUP($A226,'SegEnds_NonXtal_BW#'!$A:$Z,22,FALSE)+VLOOKUP($A226,A:AL,31,FALSE)-50)),"-",(VLOOKUP($A226,'SegEnds_NonXtal_BW#'!$A:$Z,22,FALSE)+VLOOKUP($A226,A:AL,31,FALSE)-50))</f>
        <v>298</v>
      </c>
      <c r="AG226" s="3">
        <f>IF(ISERROR(VLOOKUP($A226,'SegEnds_NonXtal_BW#'!$A:$Z,23,FALSE)+VLOOKUP($A226,A:AL,34,FALSE)-50),"-",(VLOOKUP($A226,'SegEnds_NonXtal_BW#'!$A:$Z,23,FALSE)+VLOOKUP($A226,A:AL,34,FALSE)-50))</f>
        <v>304</v>
      </c>
      <c r="AH226" s="3">
        <v>326</v>
      </c>
      <c r="AI226" s="3">
        <f>IF(ISERROR((VLOOKUP($A226,'SegEnds_NonXtal_BW#'!$A:$Z,24,FALSE)+VLOOKUP($A226,A:AL,34,FALSE)-50)),"-",(VLOOKUP($A226,'SegEnds_NonXtal_BW#'!$A:$Z,24,FALSE)+VLOOKUP($A226,A:AL,34,FALSE)-50))</f>
        <v>332</v>
      </c>
      <c r="AJ226" s="3">
        <f>IF(ISERROR(VLOOKUP($A226,'SegEnds_NonXtal_BW#'!$A:$Z,25,FALSE)+VLOOKUP($A226,A:AL,37,FALSE)-50),"-",(VLOOKUP($A226,'SegEnds_NonXtal_BW#'!$A:$Z,25,FALSE)+VLOOKUP($A226,A:AL,37,FALSE)-50))</f>
        <v>333</v>
      </c>
      <c r="AK226" s="3">
        <v>336</v>
      </c>
      <c r="AL226" s="3">
        <f>IF(ISERROR((VLOOKUP($A226,'SegEnds_NonXtal_BW#'!$A:$Z,26,FALSE)+VLOOKUP($A226,A:AL,37,FALSE)-50)),"-",(VLOOKUP($A226,'SegEnds_NonXtal_BW#'!$A:$Z,26,FALSE)+VLOOKUP($A226,A:AL,37,FALSE)-50))</f>
        <v>346</v>
      </c>
      <c r="AM226" s="28" t="str">
        <f>VLOOKUP(A226,Classification!A:B,2,FALSE)</f>
        <v>A</v>
      </c>
      <c r="AN226" s="28" t="b">
        <f t="shared" si="133"/>
        <v>1</v>
      </c>
      <c r="AO226" s="3" t="str">
        <f>IF(ISERROR(MATCH(A226,'SegEnds_Xtal_Prot#'!B:B, 0)), "NoXtal", "Xtal")</f>
        <v>Xtal</v>
      </c>
      <c r="AP226" s="3" t="str">
        <f t="shared" si="118"/>
        <v>-</v>
      </c>
      <c r="AQ226" s="3" t="str">
        <f t="shared" si="119"/>
        <v>-</v>
      </c>
      <c r="AR226" s="3" t="str">
        <f t="shared" si="120"/>
        <v>-</v>
      </c>
      <c r="AS226" s="3" t="str">
        <f t="shared" si="121"/>
        <v>-</v>
      </c>
      <c r="AT226" s="3">
        <f t="shared" si="122"/>
        <v>1</v>
      </c>
      <c r="AU226" s="3">
        <f t="shared" si="123"/>
        <v>1</v>
      </c>
      <c r="AV226" s="3">
        <f t="shared" si="124"/>
        <v>13</v>
      </c>
      <c r="AW226" s="3">
        <f t="shared" si="125"/>
        <v>6</v>
      </c>
      <c r="AX226" s="3">
        <f t="shared" si="126"/>
        <v>38</v>
      </c>
      <c r="AY226" s="3">
        <f t="shared" si="127"/>
        <v>6</v>
      </c>
      <c r="AZ226" s="3">
        <f t="shared" si="128"/>
        <v>1</v>
      </c>
      <c r="BA226" s="3">
        <f>IF(ISERROR(LEN(VLOOKUP(A226,Seqs!A:E,2,FALSE))-AL226),"-",LEN(VLOOKUP(A226,Seqs!A:E,2,FALSE))-AL226)</f>
        <v>142</v>
      </c>
      <c r="BB226" s="16">
        <f t="shared" si="129"/>
        <v>30</v>
      </c>
      <c r="BC226" s="9">
        <f t="shared" si="130"/>
        <v>20</v>
      </c>
      <c r="BD226" s="3">
        <f t="shared" si="131"/>
        <v>30</v>
      </c>
      <c r="BE226" s="3">
        <f t="shared" si="132"/>
        <v>90</v>
      </c>
    </row>
    <row r="227" spans="1:58" s="3" customFormat="1" x14ac:dyDescent="0.2">
      <c r="A227" s="3" t="s">
        <v>365</v>
      </c>
      <c r="B227" s="3" t="str">
        <f>LOWER(VLOOKUP(A227,Xtal_Templ!A:B,2,FALSE))</f>
        <v>pe2r3_human</v>
      </c>
      <c r="C227" s="3">
        <f>VLOOKUP($A227,'SegEnds_NonXtal_BW#'!$A:$Z,3,FALSE)+D227-50</f>
        <v>30</v>
      </c>
      <c r="D227" s="3">
        <v>44</v>
      </c>
      <c r="E227" s="3">
        <f>IF(ISERROR(VLOOKUP($A227,'SegEnds_NonXtal_BW#'!$A:$Z,4,FALSE)+VLOOKUP($A227,A:AL,4,FALSE)-50),"-",(VLOOKUP($A227,'SegEnds_NonXtal_BW#'!$A:$Z,4,FALSE)+VLOOKUP($A227,A:AL,4,FALSE)-50))</f>
        <v>55</v>
      </c>
      <c r="F227" s="3">
        <f>G227-2</f>
        <v>56</v>
      </c>
      <c r="G227" s="3">
        <v>58</v>
      </c>
      <c r="H227" s="3">
        <f>G227+1</f>
        <v>59</v>
      </c>
      <c r="I227" s="3">
        <f>H227+1</f>
        <v>60</v>
      </c>
      <c r="J227" s="3">
        <v>77</v>
      </c>
      <c r="K227" s="3">
        <f>VLOOKUP($A227,'SegEnds_NonXtal_BW#'!$A:$Z,8,FALSE)+VLOOKUP($A227,A:AL,10,FALSE)-50</f>
        <v>95</v>
      </c>
      <c r="L227" s="3">
        <f>M227-1</f>
        <v>97</v>
      </c>
      <c r="M227" s="3">
        <v>98</v>
      </c>
      <c r="N227" s="3">
        <f>M227+2</f>
        <v>100</v>
      </c>
      <c r="O227" s="3">
        <f>N227+1</f>
        <v>101</v>
      </c>
      <c r="P227" s="3">
        <v>133</v>
      </c>
      <c r="Q227" s="3">
        <f>VLOOKUP($A227,'SegEnds_NonXtal_BW#'!$A:$Z,12,FALSE)+VLOOKUP($A227,A:AL,16,FALSE)-50</f>
        <v>139</v>
      </c>
      <c r="R227" s="3">
        <f>IF(ISERROR(VLOOKUP($A227,'SegEnds_NonXtal_BW#'!$A:$Z,13,FALSE)+VLOOKUP($A227,A:AL,19,FALSE)-50),"-",VLOOKUP($A227,'SegEnds_NonXtal_BW#'!$A:$Z,13,FALSE)+VLOOKUP($A227,A:AL,19,FALSE)-50)</f>
        <v>140</v>
      </c>
      <c r="S227" s="3">
        <v>140</v>
      </c>
      <c r="T227" s="100">
        <f>IF(ISERROR(VLOOKUP($A227,'SegEnds_NonXtal_BW#'!$A:$Z,14,FALSE)+VLOOKUP($A227,A:AL,19,FALSE)-50),"-",(VLOOKUP($A227,'SegEnds_NonXtal_BW#'!$A:$Z,14,FALSE)+VLOOKUP($A227,A:AL,19,FALSE)-50))</f>
        <v>147</v>
      </c>
      <c r="U227" s="9">
        <f>IF(ISERROR(VLOOKUP($A227,'SegEnds_NonXtal_BW#'!$A:$Z,15,FALSE)+VLOOKUP($A227,A:AL,22,FALSE)-50),"-",VLOOKUP($A227,'SegEnds_NonXtal_BW#'!$A:$Z,15,FALSE)+VLOOKUP($A227,A:AL,22,FALSE)-50)</f>
        <v>148</v>
      </c>
      <c r="V227" s="3">
        <v>160</v>
      </c>
      <c r="W227" s="3">
        <f>IF(ISERROR(VLOOKUP($A227,'SegEnds_NonXtal_BW#'!$A:$Z,16,FALSE)+VLOOKUP($A227,A:AL,22,FALSE)-50),"-",(VLOOKUP($A227,'SegEnds_NonXtal_BW#'!$A:$Z,16,FALSE)+VLOOKUP($A227,A:AL,22,FALSE)-50))</f>
        <v>173</v>
      </c>
      <c r="X227" s="3">
        <f>IF(ISERROR(VLOOKUP($A227,'SegEnds_NonXtal_BW#'!$A:$Z,17,FALSE)+VLOOKUP($A227,A:AL,25,FALSE)-50),"-",(VLOOKUP($A227,'SegEnds_NonXtal_BW#'!$A:$Z,17,FALSE)+VLOOKUP($A227,A:AL,25,FALSE)-50))</f>
        <v>186</v>
      </c>
      <c r="Y227" s="3">
        <v>186</v>
      </c>
      <c r="Z227" s="3">
        <f t="shared" ref="Z227:Z232" si="138">Y227+2</f>
        <v>188</v>
      </c>
      <c r="AA227" s="3">
        <f>IF(ISERROR(VLOOKUP($A227,'SegEnds_NonXtal_BW#'!$A:$Z,19,FALSE)+VLOOKUP($A227,A:AL,28,FALSE)-50),"-",(VLOOKUP($A227,'SegEnds_NonXtal_BW#'!$A:$Z,19,FALSE)+VLOOKUP($A227,A:AL,28,FALSE)-50))</f>
        <v>199</v>
      </c>
      <c r="AB227" s="3">
        <v>214</v>
      </c>
      <c r="AC227" s="3">
        <f>IF(ISERROR((VLOOKUP($A227,'SegEnds_NonXtal_BW#'!$A:$Z,20,FALSE)+VLOOKUP($A227,A:AL,28,FALSE)-50)),"-",(VLOOKUP($A227,'SegEnds_NonXtal_BW#'!$A:$Z,20,FALSE)+VLOOKUP($A227,A:AL,28,FALSE)-50))</f>
        <v>236</v>
      </c>
      <c r="AD227" s="3">
        <f>IF(ISERROR(VLOOKUP($A227,'SegEnds_NonXtal_BW#'!$A:$Z,21,FALSE)+VLOOKUP($A227,A:AL,31,FALSE)-50),"-",(VLOOKUP($A227,'SegEnds_NonXtal_BW#'!$A:$Z,21,FALSE)+VLOOKUP($A227,A:AL,31,FALSE)-50))</f>
        <v>243</v>
      </c>
      <c r="AE227" s="3">
        <v>264</v>
      </c>
      <c r="AF227" s="3">
        <f>IF(ISERROR((VLOOKUP($A227,'SegEnds_NonXtal_BW#'!$A:$Z,22,FALSE)+VLOOKUP($A227,A:AL,31,FALSE)-50)),"-",(VLOOKUP($A227,'SegEnds_NonXtal_BW#'!$A:$Z,22,FALSE)+VLOOKUP($A227,A:AL,31,FALSE)-50))</f>
        <v>275</v>
      </c>
      <c r="AG227" s="3">
        <f>IF(ISERROR(VLOOKUP($A227,'SegEnds_NonXtal_BW#'!$A:$Z,23,FALSE)+VLOOKUP($A227,A:AL,34,FALSE)-50),"-",(VLOOKUP($A227,'SegEnds_NonXtal_BW#'!$A:$Z,23,FALSE)+VLOOKUP($A227,A:AL,34,FALSE)-50))</f>
        <v>282</v>
      </c>
      <c r="AH227" s="3">
        <v>301</v>
      </c>
      <c r="AI227" s="3">
        <f>IF(ISERROR((VLOOKUP($A227,'SegEnds_NonXtal_BW#'!$A:$Z,24,FALSE)+VLOOKUP($A227,A:AL,34,FALSE)-50)),"-",(VLOOKUP($A227,'SegEnds_NonXtal_BW#'!$A:$Z,24,FALSE)+VLOOKUP($A227,A:AL,34,FALSE)-50))</f>
        <v>307</v>
      </c>
      <c r="AJ227" s="3">
        <f>IF(ISERROR(VLOOKUP($A227,'SegEnds_NonXtal_BW#'!$A:$Z,25,FALSE)+VLOOKUP($A227,A:AL,37,FALSE)-50),"-",(VLOOKUP($A227,'SegEnds_NonXtal_BW#'!$A:$Z,25,FALSE)+VLOOKUP($A227,A:AL,37,FALSE)-50))</f>
        <v>308</v>
      </c>
      <c r="AK227" s="3">
        <v>311</v>
      </c>
      <c r="AL227" s="3">
        <f>IF(ISERROR((VLOOKUP($A227,'SegEnds_NonXtal_BW#'!$A:$Z,26,FALSE)+VLOOKUP($A227,A:AL,37,FALSE)-50)),"-",(VLOOKUP($A227,'SegEnds_NonXtal_BW#'!$A:$Z,26,FALSE)+VLOOKUP($A227,A:AL,37,FALSE)-50))</f>
        <v>327</v>
      </c>
      <c r="AM227" s="28" t="str">
        <f>VLOOKUP(A227,Classification!A:B,2,FALSE)</f>
        <v>A</v>
      </c>
      <c r="AN227" s="28" t="b">
        <f t="shared" si="133"/>
        <v>1</v>
      </c>
      <c r="AO227" s="3" t="str">
        <f>IF(ISERROR(MATCH(A227,'SegEnds_Xtal_Prot#'!B:B, 0)), "NoXtal", "Xtal")</f>
        <v>NoXtal</v>
      </c>
      <c r="AP227" s="3">
        <f t="shared" si="118"/>
        <v>1</v>
      </c>
      <c r="AQ227" s="3">
        <f t="shared" si="119"/>
        <v>1</v>
      </c>
      <c r="AR227" s="3">
        <f t="shared" si="120"/>
        <v>2</v>
      </c>
      <c r="AS227" s="3">
        <f t="shared" si="121"/>
        <v>1</v>
      </c>
      <c r="AT227" s="3">
        <f t="shared" si="122"/>
        <v>1</v>
      </c>
      <c r="AU227" s="3">
        <f t="shared" si="123"/>
        <v>1</v>
      </c>
      <c r="AV227" s="3">
        <f t="shared" si="124"/>
        <v>13</v>
      </c>
      <c r="AW227" s="3">
        <f t="shared" si="125"/>
        <v>11</v>
      </c>
      <c r="AX227" s="3">
        <f t="shared" si="126"/>
        <v>7</v>
      </c>
      <c r="AY227" s="3">
        <f t="shared" si="127"/>
        <v>7</v>
      </c>
      <c r="AZ227" s="3">
        <f t="shared" si="128"/>
        <v>1</v>
      </c>
      <c r="BA227" s="3">
        <f>IF(ISERROR(LEN(VLOOKUP(A227,Seqs!A:E,2,FALSE))-AL227),"-",LEN(VLOOKUP(A227,Seqs!A:E,2,FALSE))-AL227)</f>
        <v>32</v>
      </c>
      <c r="BB227" s="16">
        <f t="shared" si="129"/>
        <v>33</v>
      </c>
      <c r="BC227" s="9">
        <f t="shared" si="130"/>
        <v>20</v>
      </c>
      <c r="BD227" s="3">
        <f t="shared" si="131"/>
        <v>33</v>
      </c>
      <c r="BE227" s="3">
        <f t="shared" si="132"/>
        <v>50</v>
      </c>
    </row>
    <row r="228" spans="1:58" s="3" customFormat="1" x14ac:dyDescent="0.2">
      <c r="A228" s="3" t="s">
        <v>366</v>
      </c>
      <c r="B228" s="3" t="str">
        <f>LOWER(VLOOKUP(A228,Xtal_Templ!A:B,2,FALSE))</f>
        <v>pe2r4_human</v>
      </c>
      <c r="C228" s="3">
        <f>VLOOKUP($A228,'SegEnds_NonXtal_BW#'!$A:$Z,3,FALSE)+D228-50</f>
        <v>14</v>
      </c>
      <c r="D228" s="3">
        <v>31</v>
      </c>
      <c r="E228" s="3">
        <f>IF(ISERROR(VLOOKUP($A228,'SegEnds_NonXtal_BW#'!$A:$Z,4,FALSE)+VLOOKUP($A228,A:AL,4,FALSE)-50),"-",(VLOOKUP($A228,'SegEnds_NonXtal_BW#'!$A:$Z,4,FALSE)+VLOOKUP($A228,A:AL,4,FALSE)-50))</f>
        <v>39</v>
      </c>
      <c r="F228" s="3" t="str">
        <f>IF(ISERROR(VLOOKUP($A228,'SegEnds_NonXtal_BW#'!$A:$Z,5,FALSE)+VLOOKUP($A228,A:AL,7,FALSE)-50),"-",(VLOOKUP($A228,'SegEnds_NonXtal_BW#'!$A:$Z,5,FALSE)+VLOOKUP($A228,A:AL,7,FALSE)-50))</f>
        <v>-</v>
      </c>
      <c r="G228" s="3" t="s">
        <v>23</v>
      </c>
      <c r="H228" s="3" t="str">
        <f>IF(ISERROR(VLOOKUP($A228,'SegEnds_NonXtal_BW#'!$A:$Z,6,FALSE)+VLOOKUP($A228,A:AL,7,FALSE)-50),"-",(VLOOKUP($A228,'SegEnds_NonXtal_BW#'!$A:$Z,6,FALSE)+VLOOKUP($A228,A:AL,7,FALSE)-50))</f>
        <v>-</v>
      </c>
      <c r="I228" s="3">
        <f>VLOOKUP($A228,'SegEnds_NonXtal_BW#'!$A:$Z,7,FALSE)+J228-50</f>
        <v>47</v>
      </c>
      <c r="J228" s="3">
        <v>60</v>
      </c>
      <c r="K228" s="3">
        <f>VLOOKUP($A228,'SegEnds_NonXtal_BW#'!$A:$Z,8,FALSE)+VLOOKUP($A228,A:AL,10,FALSE)-50</f>
        <v>77</v>
      </c>
      <c r="L228" s="3" t="str">
        <f>IF(ISERROR(VLOOKUP($A228,'SegEnds_NonXtal_BW#'!$A:$Z,9,FALSE)+VLOOKUP($A228,A:AL,13,FALSE)-50),"-",(VLOOKUP($A228,'SegEnds_NonXtal_BW#'!$A:$Z,9,FALSE)+VLOOKUP($A228,A:AL,13,FALSE)-50))</f>
        <v>-</v>
      </c>
      <c r="M228" s="3" t="s">
        <v>23</v>
      </c>
      <c r="N228" s="3" t="str">
        <f>IF(ISERROR(VLOOKUP($A228,'SegEnds_NonXtal_BW#'!$A:$Z,10,FALSE)+VLOOKUP($A228,A:AL,13,FALSE)-50),"-",(VLOOKUP($A228,'SegEnds_NonXtal_BW#'!$A:$Z,10,FALSE)+VLOOKUP($A228,A:AL,13,FALSE)-50))</f>
        <v>-</v>
      </c>
      <c r="O228" s="3">
        <f>VLOOKUP($A228,'SegEnds_NonXtal_BW#'!$A:$Z,11,FALSE)+VLOOKUP($A228,A:AL,16,FALSE)-50</f>
        <v>85</v>
      </c>
      <c r="P228" s="3">
        <v>117</v>
      </c>
      <c r="Q228" s="3">
        <f>VLOOKUP($A228,'SegEnds_NonXtal_BW#'!$A:$Z,12,FALSE)+VLOOKUP($A228,A:AL,16,FALSE)-50</f>
        <v>123</v>
      </c>
      <c r="R228" s="3">
        <f>IF(ISERROR(VLOOKUP($A228,'SegEnds_NonXtal_BW#'!$A:$Z,13,FALSE)+VLOOKUP($A228,A:AL,19,FALSE)-50),"-",VLOOKUP($A228,'SegEnds_NonXtal_BW#'!$A:$Z,13,FALSE)+VLOOKUP($A228,A:AL,19,FALSE)-50)</f>
        <v>124</v>
      </c>
      <c r="S228" s="3">
        <v>124</v>
      </c>
      <c r="T228" s="100">
        <f>IF(ISERROR(VLOOKUP($A228,'SegEnds_NonXtal_BW#'!$A:$Z,14,FALSE)+VLOOKUP($A228,A:AL,19,FALSE)-50),"-",(VLOOKUP($A228,'SegEnds_NonXtal_BW#'!$A:$Z,14,FALSE)+VLOOKUP($A228,A:AL,19,FALSE)-50))</f>
        <v>131</v>
      </c>
      <c r="U228" s="9">
        <f>IF(ISERROR(VLOOKUP($A228,'SegEnds_NonXtal_BW#'!$A:$Z,15,FALSE)+VLOOKUP($A228,A:AL,22,FALSE)-50),"-",VLOOKUP($A228,'SegEnds_NonXtal_BW#'!$A:$Z,15,FALSE)+VLOOKUP($A228,A:AL,22,FALSE)-50)</f>
        <v>132</v>
      </c>
      <c r="V228" s="3">
        <v>144</v>
      </c>
      <c r="W228" s="3">
        <f>IF(ISERROR(VLOOKUP($A228,'SegEnds_NonXtal_BW#'!$A:$Z,16,FALSE)+VLOOKUP($A228,A:AL,22,FALSE)-50),"-",(VLOOKUP($A228,'SegEnds_NonXtal_BW#'!$A:$Z,16,FALSE)+VLOOKUP($A228,A:AL,22,FALSE)-50))</f>
        <v>157</v>
      </c>
      <c r="X228" s="3">
        <f>IF(ISERROR(VLOOKUP($A228,'SegEnds_NonXtal_BW#'!$A:$Z,17,FALSE)+VLOOKUP($A228,A:AL,25,FALSE)-50),"-",(VLOOKUP($A228,'SegEnds_NonXtal_BW#'!$A:$Z,17,FALSE)+VLOOKUP($A228,A:AL,25,FALSE)-50))</f>
        <v>170</v>
      </c>
      <c r="Y228" s="3">
        <v>170</v>
      </c>
      <c r="Z228" s="3">
        <f t="shared" si="138"/>
        <v>172</v>
      </c>
      <c r="AA228" s="3">
        <f>IF(ISERROR(VLOOKUP($A228,'SegEnds_NonXtal_BW#'!$A:$Z,19,FALSE)+VLOOKUP($A228,A:AL,28,FALSE)-50),"-",(VLOOKUP($A228,'SegEnds_NonXtal_BW#'!$A:$Z,19,FALSE)+VLOOKUP($A228,A:AL,28,FALSE)-50))</f>
        <v>178</v>
      </c>
      <c r="AB228" s="3">
        <v>197</v>
      </c>
      <c r="AC228" s="3">
        <f>IF(ISERROR((VLOOKUP($A228,'SegEnds_NonXtal_BW#'!$A:$Z,20,FALSE)+VLOOKUP($A228,A:AL,28,FALSE)-50)),"-",(VLOOKUP($A228,'SegEnds_NonXtal_BW#'!$A:$Z,20,FALSE)+VLOOKUP($A228,A:AL,28,FALSE)-50))</f>
        <v>220</v>
      </c>
      <c r="AD228" s="3">
        <f>IF(ISERROR(VLOOKUP($A228,'SegEnds_NonXtal_BW#'!$A:$Z,21,FALSE)+VLOOKUP($A228,A:AL,31,FALSE)-50),"-",(VLOOKUP($A228,'SegEnds_NonXtal_BW#'!$A:$Z,21,FALSE)+VLOOKUP($A228,A:AL,31,FALSE)-50))</f>
        <v>226</v>
      </c>
      <c r="AE228" s="3">
        <v>254</v>
      </c>
      <c r="AF228" s="3">
        <f>IF(ISERROR((VLOOKUP($A228,'SegEnds_NonXtal_BW#'!$A:$Z,22,FALSE)+VLOOKUP($A228,A:AL,31,FALSE)-50)),"-",(VLOOKUP($A228,'SegEnds_NonXtal_BW#'!$A:$Z,22,FALSE)+VLOOKUP($A228,A:AL,31,FALSE)-50))</f>
        <v>265</v>
      </c>
      <c r="AG228" s="3">
        <f>IF(ISERROR(VLOOKUP($A228,'SegEnds_NonXtal_BW#'!$A:$Z,23,FALSE)+VLOOKUP($A228,A:AL,34,FALSE)-50),"-",(VLOOKUP($A228,'SegEnds_NonXtal_BW#'!$A:$Z,23,FALSE)+VLOOKUP($A228,A:AL,34,FALSE)-50))</f>
        <v>270</v>
      </c>
      <c r="AH228" s="3">
        <v>289</v>
      </c>
      <c r="AI228" s="3">
        <f>IF(ISERROR((VLOOKUP($A228,'SegEnds_NonXtal_BW#'!$A:$Z,24,FALSE)+VLOOKUP($A228,A:AL,34,FALSE)-50)),"-",(VLOOKUP($A228,'SegEnds_NonXtal_BW#'!$A:$Z,24,FALSE)+VLOOKUP($A228,A:AL,34,FALSE)-50))</f>
        <v>295</v>
      </c>
      <c r="AJ228" s="3">
        <f>IF(ISERROR(VLOOKUP($A228,'SegEnds_NonXtal_BW#'!$A:$Z,25,FALSE)+VLOOKUP($A228,A:AL,37,FALSE)-50),"-",(VLOOKUP($A228,'SegEnds_NonXtal_BW#'!$A:$Z,25,FALSE)+VLOOKUP($A228,A:AL,37,FALSE)-50))</f>
        <v>296</v>
      </c>
      <c r="AK228" s="3">
        <v>299</v>
      </c>
      <c r="AL228" s="3">
        <f>IF(ISERROR((VLOOKUP($A228,'SegEnds_NonXtal_BW#'!$A:$Z,26,FALSE)+VLOOKUP($A228,A:AL,37,FALSE)-50)),"-",(VLOOKUP($A228,'SegEnds_NonXtal_BW#'!$A:$Z,26,FALSE)+VLOOKUP($A228,A:AL,37,FALSE)-50))</f>
        <v>309</v>
      </c>
      <c r="AM228" s="28" t="str">
        <f>VLOOKUP(A228,Classification!A:B,2,FALSE)</f>
        <v>A</v>
      </c>
      <c r="AN228" s="28" t="b">
        <f t="shared" si="133"/>
        <v>1</v>
      </c>
      <c r="AO228" s="3" t="str">
        <f>IF(ISERROR(MATCH(A228,'SegEnds_Xtal_Prot#'!B:B, 0)), "NoXtal", "Xtal")</f>
        <v>NoXtal</v>
      </c>
      <c r="AP228" s="3" t="str">
        <f t="shared" si="118"/>
        <v>-</v>
      </c>
      <c r="AQ228" s="3" t="str">
        <f t="shared" si="119"/>
        <v>-</v>
      </c>
      <c r="AR228" s="3" t="str">
        <f t="shared" si="120"/>
        <v>-</v>
      </c>
      <c r="AS228" s="3" t="str">
        <f t="shared" si="121"/>
        <v>-</v>
      </c>
      <c r="AT228" s="3">
        <f t="shared" si="122"/>
        <v>1</v>
      </c>
      <c r="AU228" s="3">
        <f t="shared" si="123"/>
        <v>1</v>
      </c>
      <c r="AV228" s="3">
        <f t="shared" si="124"/>
        <v>13</v>
      </c>
      <c r="AW228" s="3">
        <f t="shared" si="125"/>
        <v>6</v>
      </c>
      <c r="AX228" s="3">
        <f t="shared" si="126"/>
        <v>6</v>
      </c>
      <c r="AY228" s="3">
        <f t="shared" si="127"/>
        <v>5</v>
      </c>
      <c r="AZ228" s="3">
        <f t="shared" si="128"/>
        <v>1</v>
      </c>
      <c r="BA228" s="3">
        <f>IF(ISERROR(LEN(VLOOKUP(A228,Seqs!A:E,2,FALSE))-AL228),"-",LEN(VLOOKUP(A228,Seqs!A:E,2,FALSE))-AL228)</f>
        <v>77</v>
      </c>
      <c r="BB228" s="16">
        <f t="shared" si="129"/>
        <v>29</v>
      </c>
      <c r="BC228" s="9">
        <f t="shared" si="130"/>
        <v>20</v>
      </c>
      <c r="BD228" s="3">
        <f t="shared" si="131"/>
        <v>29</v>
      </c>
      <c r="BE228" s="3">
        <f t="shared" si="132"/>
        <v>57</v>
      </c>
    </row>
    <row r="229" spans="1:58" s="3" customFormat="1" x14ac:dyDescent="0.2">
      <c r="A229" s="3" t="s">
        <v>370</v>
      </c>
      <c r="B229" s="3" t="str">
        <f>LOWER(VLOOKUP(A229,Xtal_Templ!A:B,2,FALSE))</f>
        <v>p2ry1_human</v>
      </c>
      <c r="C229" s="3">
        <f>VLOOKUP($A229,'SegEnds_NonXtal_BW#'!$A:$Z,3,FALSE)+D229-50</f>
        <v>12</v>
      </c>
      <c r="D229" s="3">
        <v>32</v>
      </c>
      <c r="E229" s="3">
        <f>IF(ISERROR(VLOOKUP($A229,'SegEnds_NonXtal_BW#'!$A:$Z,4,FALSE)+VLOOKUP($A229,A:AL,4,FALSE)-50),"-",(VLOOKUP($A229,'SegEnds_NonXtal_BW#'!$A:$Z,4,FALSE)+VLOOKUP($A229,A:AL,4,FALSE)-50))</f>
        <v>42</v>
      </c>
      <c r="F229" s="3" t="str">
        <f>IF(ISERROR(VLOOKUP($A229,'SegEnds_NonXtal_BW#'!$A:$Z,5,FALSE)+VLOOKUP($A229,A:AL,7,FALSE)-50),"-",(VLOOKUP($A229,'SegEnds_NonXtal_BW#'!$A:$Z,5,FALSE)+VLOOKUP($A229,A:AL,7,FALSE)-50))</f>
        <v>-</v>
      </c>
      <c r="G229" s="3" t="s">
        <v>23</v>
      </c>
      <c r="H229" s="3" t="str">
        <f>IF(ISERROR(VLOOKUP($A229,'SegEnds_NonXtal_BW#'!$A:$Z,6,FALSE)+VLOOKUP($A229,A:AL,7,FALSE)-50),"-",(VLOOKUP($A229,'SegEnds_NonXtal_BW#'!$A:$Z,6,FALSE)+VLOOKUP($A229,A:AL,7,FALSE)-50))</f>
        <v>-</v>
      </c>
      <c r="I229" s="3">
        <f>VLOOKUP($A229,'SegEnds_NonXtal_BW#'!$A:$Z,7,FALSE)+J229-50</f>
        <v>47</v>
      </c>
      <c r="J229" s="3">
        <v>60</v>
      </c>
      <c r="K229" s="3">
        <f>VLOOKUP($A229,'SegEnds_NonXtal_BW#'!$A:$Z,8,FALSE)+VLOOKUP($A229,A:AL,10,FALSE)-50</f>
        <v>76</v>
      </c>
      <c r="L229" s="3">
        <f>M229-1</f>
        <v>79</v>
      </c>
      <c r="M229" s="3">
        <v>80</v>
      </c>
      <c r="N229" s="3">
        <f>M229+2</f>
        <v>82</v>
      </c>
      <c r="O229" s="3">
        <f t="shared" ref="O229:O251" si="139">N229+1</f>
        <v>83</v>
      </c>
      <c r="P229" s="3">
        <v>112</v>
      </c>
      <c r="Q229" s="3">
        <f>VLOOKUP($A229,'SegEnds_NonXtal_BW#'!$A:$Z,12,FALSE)+VLOOKUP($A229,A:AL,16,FALSE)-50</f>
        <v>118</v>
      </c>
      <c r="R229" s="3">
        <f>IF(ISERROR(VLOOKUP($A229,'SegEnds_NonXtal_BW#'!$A:$Z,13,FALSE)+VLOOKUP($A229,A:AL,19,FALSE)-50),"-",VLOOKUP($A229,'SegEnds_NonXtal_BW#'!$A:$Z,13,FALSE)+VLOOKUP($A229,A:AL,19,FALSE)-50)</f>
        <v>119</v>
      </c>
      <c r="S229" s="3">
        <v>119</v>
      </c>
      <c r="T229" s="100">
        <f>IF(ISERROR(VLOOKUP($A229,'SegEnds_NonXtal_BW#'!$A:$Z,14,FALSE)+VLOOKUP($A229,A:AL,19,FALSE)-50),"-",(VLOOKUP($A229,'SegEnds_NonXtal_BW#'!$A:$Z,14,FALSE)+VLOOKUP($A229,A:AL,19,FALSE)-50))</f>
        <v>126</v>
      </c>
      <c r="U229" s="9">
        <f>IF(ISERROR(VLOOKUP($A229,'SegEnds_NonXtal_BW#'!$A:$Z,15,FALSE)+VLOOKUP($A229,A:AL,22,FALSE)-50),"-",VLOOKUP($A229,'SegEnds_NonXtal_BW#'!$A:$Z,15,FALSE)+VLOOKUP($A229,A:AL,22,FALSE)-50)</f>
        <v>127</v>
      </c>
      <c r="V229" s="3">
        <v>139</v>
      </c>
      <c r="W229" s="3">
        <f>IF(ISERROR(VLOOKUP($A229,'SegEnds_NonXtal_BW#'!$A:$Z,16,FALSE)+VLOOKUP($A229,A:AL,22,FALSE)-50),"-",(VLOOKUP($A229,'SegEnds_NonXtal_BW#'!$A:$Z,16,FALSE)+VLOOKUP($A229,A:AL,22,FALSE)-50))</f>
        <v>153</v>
      </c>
      <c r="X229" s="3">
        <f>IF(ISERROR(VLOOKUP($A229,'SegEnds_NonXtal_BW#'!$A:$Z,17,FALSE)+VLOOKUP($A229,A:AL,25,FALSE)-50),"-",(VLOOKUP($A229,'SegEnds_NonXtal_BW#'!$A:$Z,17,FALSE)+VLOOKUP($A229,A:AL,25,FALSE)-50))</f>
        <v>170</v>
      </c>
      <c r="Y229" s="3">
        <v>170</v>
      </c>
      <c r="Z229" s="3">
        <f t="shared" si="138"/>
        <v>172</v>
      </c>
      <c r="AA229" s="3">
        <f>IF(ISERROR(VLOOKUP($A229,'SegEnds_NonXtal_BW#'!$A:$Z,19,FALSE)+VLOOKUP($A229,A:AL,28,FALSE)-50),"-",(VLOOKUP($A229,'SegEnds_NonXtal_BW#'!$A:$Z,19,FALSE)+VLOOKUP($A229,A:AL,28,FALSE)-50))</f>
        <v>177</v>
      </c>
      <c r="AB229" s="3">
        <v>195</v>
      </c>
      <c r="AC229" s="3">
        <f>IF(ISERROR((VLOOKUP($A229,'SegEnds_NonXtal_BW#'!$A:$Z,20,FALSE)+VLOOKUP($A229,A:AL,28,FALSE)-50)),"-",(VLOOKUP($A229,'SegEnds_NonXtal_BW#'!$A:$Z,20,FALSE)+VLOOKUP($A229,A:AL,28,FALSE)-50))</f>
        <v>212</v>
      </c>
      <c r="AD229" s="3">
        <f>IF(ISERROR(VLOOKUP($A229,'SegEnds_NonXtal_BW#'!$A:$Z,21,FALSE)+VLOOKUP($A229,A:AL,31,FALSE)-50),"-",(VLOOKUP($A229,'SegEnds_NonXtal_BW#'!$A:$Z,21,FALSE)+VLOOKUP($A229,A:AL,31,FALSE)-50))</f>
        <v>217</v>
      </c>
      <c r="AE229" s="3">
        <v>241</v>
      </c>
      <c r="AF229" s="3">
        <f>IF(ISERROR((VLOOKUP($A229,'SegEnds_NonXtal_BW#'!$A:$Z,22,FALSE)+VLOOKUP($A229,A:AL,31,FALSE)-50)),"-",(VLOOKUP($A229,'SegEnds_NonXtal_BW#'!$A:$Z,22,FALSE)+VLOOKUP($A229,A:AL,31,FALSE)-50))</f>
        <v>255</v>
      </c>
      <c r="AG229" s="3">
        <f>IF(ISERROR(VLOOKUP($A229,'SegEnds_NonXtal_BW#'!$A:$Z,23,FALSE)+VLOOKUP($A229,A:AL,34,FALSE)-50),"-",(VLOOKUP($A229,'SegEnds_NonXtal_BW#'!$A:$Z,23,FALSE)+VLOOKUP($A229,A:AL,34,FALSE)-50))</f>
        <v>261</v>
      </c>
      <c r="AH229" s="3">
        <v>287</v>
      </c>
      <c r="AI229" s="3">
        <f>IF(ISERROR((VLOOKUP($A229,'SegEnds_NonXtal_BW#'!$A:$Z,24,FALSE)+VLOOKUP($A229,A:AL,34,FALSE)-50)),"-",(VLOOKUP($A229,'SegEnds_NonXtal_BW#'!$A:$Z,24,FALSE)+VLOOKUP($A229,A:AL,34,FALSE)-50))</f>
        <v>293</v>
      </c>
      <c r="AJ229" s="3">
        <f>IF(ISERROR(VLOOKUP($A229,'SegEnds_NonXtal_BW#'!$A:$Z,25,FALSE)+VLOOKUP($A229,A:AL,37,FALSE)-50),"-",(VLOOKUP($A229,'SegEnds_NonXtal_BW#'!$A:$Z,25,FALSE)+VLOOKUP($A229,A:AL,37,FALSE)-50))</f>
        <v>294</v>
      </c>
      <c r="AK229" s="3">
        <v>297</v>
      </c>
      <c r="AL229" s="3">
        <f>IF(ISERROR((VLOOKUP($A229,'SegEnds_NonXtal_BW#'!$A:$Z,26,FALSE)+VLOOKUP($A229,A:AL,37,FALSE)-50)),"-",(VLOOKUP($A229,'SegEnds_NonXtal_BW#'!$A:$Z,26,FALSE)+VLOOKUP($A229,A:AL,37,FALSE)-50))</f>
        <v>306</v>
      </c>
      <c r="AM229" s="28" t="str">
        <f>VLOOKUP(A229,Classification!A:B,2,FALSE)</f>
        <v>A</v>
      </c>
      <c r="AN229" s="28" t="b">
        <f t="shared" si="133"/>
        <v>1</v>
      </c>
      <c r="AO229" s="3" t="str">
        <f>IF(ISERROR(MATCH(A229,'SegEnds_Xtal_Prot#'!B:B, 0)), "NoXtal", "Xtal")</f>
        <v>NoXtal</v>
      </c>
      <c r="AP229" s="3" t="str">
        <f t="shared" si="118"/>
        <v>-</v>
      </c>
      <c r="AQ229" s="3" t="str">
        <f t="shared" si="119"/>
        <v>-</v>
      </c>
      <c r="AR229" s="3">
        <f t="shared" si="120"/>
        <v>3</v>
      </c>
      <c r="AS229" s="3">
        <f t="shared" si="121"/>
        <v>1</v>
      </c>
      <c r="AT229" s="3">
        <f t="shared" si="122"/>
        <v>1</v>
      </c>
      <c r="AU229" s="3">
        <f t="shared" si="123"/>
        <v>1</v>
      </c>
      <c r="AV229" s="3">
        <f t="shared" si="124"/>
        <v>17</v>
      </c>
      <c r="AW229" s="3">
        <f t="shared" si="125"/>
        <v>5</v>
      </c>
      <c r="AX229" s="3">
        <f t="shared" si="126"/>
        <v>5</v>
      </c>
      <c r="AY229" s="3">
        <f t="shared" si="127"/>
        <v>6</v>
      </c>
      <c r="AZ229" s="3">
        <f t="shared" si="128"/>
        <v>1</v>
      </c>
      <c r="BA229" s="3">
        <f>IF(ISERROR(LEN(VLOOKUP(A229,Seqs!A:E,2,FALSE))-AL229),"-",LEN(VLOOKUP(A229,Seqs!A:E,2,FALSE))-AL229)</f>
        <v>31</v>
      </c>
      <c r="BB229" s="16">
        <f t="shared" si="129"/>
        <v>28</v>
      </c>
      <c r="BC229" s="9">
        <f t="shared" si="130"/>
        <v>20</v>
      </c>
      <c r="BD229" s="3">
        <f t="shared" si="131"/>
        <v>28</v>
      </c>
      <c r="BE229" s="3">
        <f t="shared" si="132"/>
        <v>46</v>
      </c>
    </row>
    <row r="230" spans="1:58" s="3" customFormat="1" x14ac:dyDescent="0.2">
      <c r="A230" s="3" t="s">
        <v>371</v>
      </c>
      <c r="B230" s="3" t="str">
        <f>LOWER(VLOOKUP(A230,Xtal_Templ!A:B,2,FALSE))</f>
        <v>ptafr_human</v>
      </c>
      <c r="C230" s="3">
        <f>VLOOKUP($A230,'SegEnds_NonXtal_BW#'!$A:$Z,3,FALSE)+D230-50</f>
        <v>10</v>
      </c>
      <c r="D230" s="3">
        <v>33</v>
      </c>
      <c r="E230" s="3">
        <f>IF(ISERROR(VLOOKUP($A230,'SegEnds_NonXtal_BW#'!$A:$Z,4,FALSE)+VLOOKUP($A230,A:AL,4,FALSE)-50),"-",(VLOOKUP($A230,'SegEnds_NonXtal_BW#'!$A:$Z,4,FALSE)+VLOOKUP($A230,A:AL,4,FALSE)-50))</f>
        <v>44</v>
      </c>
      <c r="F230" s="3" t="str">
        <f>IF(ISERROR(VLOOKUP($A230,'SegEnds_NonXtal_BW#'!$A:$Z,5,FALSE)+VLOOKUP($A230,A:AL,7,FALSE)-50),"-",(VLOOKUP($A230,'SegEnds_NonXtal_BW#'!$A:$Z,5,FALSE)+VLOOKUP($A230,A:AL,7,FALSE)-50))</f>
        <v>-</v>
      </c>
      <c r="G230" s="3" t="s">
        <v>23</v>
      </c>
      <c r="H230" s="3" t="str">
        <f>IF(ISERROR(VLOOKUP($A230,'SegEnds_NonXtal_BW#'!$A:$Z,6,FALSE)+VLOOKUP($A230,A:AL,7,FALSE)-50),"-",(VLOOKUP($A230,'SegEnds_NonXtal_BW#'!$A:$Z,6,FALSE)+VLOOKUP($A230,A:AL,7,FALSE)-50))</f>
        <v>-</v>
      </c>
      <c r="I230" s="3">
        <f>VLOOKUP($A230,'SegEnds_NonXtal_BW#'!$A:$Z,7,FALSE)+J230-50</f>
        <v>49</v>
      </c>
      <c r="J230" s="3">
        <v>63</v>
      </c>
      <c r="K230" s="3">
        <f>VLOOKUP($A230,'SegEnds_NonXtal_BW#'!$A:$Z,8,FALSE)+VLOOKUP($A230,A:AL,10,FALSE)-50</f>
        <v>80</v>
      </c>
      <c r="L230" s="3">
        <f>M230-1</f>
        <v>82</v>
      </c>
      <c r="M230" s="3">
        <v>83</v>
      </c>
      <c r="N230" s="3">
        <f>M230+2</f>
        <v>85</v>
      </c>
      <c r="O230" s="3">
        <f t="shared" si="139"/>
        <v>86</v>
      </c>
      <c r="P230" s="3">
        <v>115</v>
      </c>
      <c r="Q230" s="3">
        <f>VLOOKUP($A230,'SegEnds_NonXtal_BW#'!$A:$Z,12,FALSE)+VLOOKUP($A230,A:AL,16,FALSE)-50</f>
        <v>121</v>
      </c>
      <c r="R230" s="3">
        <f>IF(ISERROR(VLOOKUP($A230,'SegEnds_NonXtal_BW#'!$A:$Z,13,FALSE)+VLOOKUP($A230,A:AL,19,FALSE)-50),"-",VLOOKUP($A230,'SegEnds_NonXtal_BW#'!$A:$Z,13,FALSE)+VLOOKUP($A230,A:AL,19,FALSE)-50)</f>
        <v>122</v>
      </c>
      <c r="S230" s="3">
        <v>122</v>
      </c>
      <c r="T230" s="100">
        <f>IF(ISERROR(VLOOKUP($A230,'SegEnds_NonXtal_BW#'!$A:$Z,14,FALSE)+VLOOKUP($A230,A:AL,19,FALSE)-50),"-",(VLOOKUP($A230,'SegEnds_NonXtal_BW#'!$A:$Z,14,FALSE)+VLOOKUP($A230,A:AL,19,FALSE)-50))</f>
        <v>129</v>
      </c>
      <c r="U230" s="9">
        <f>IF(ISERROR(VLOOKUP($A230,'SegEnds_NonXtal_BW#'!$A:$Z,15,FALSE)+VLOOKUP($A230,A:AL,22,FALSE)-50),"-",VLOOKUP($A230,'SegEnds_NonXtal_BW#'!$A:$Z,15,FALSE)+VLOOKUP($A230,A:AL,22,FALSE)-50)</f>
        <v>130</v>
      </c>
      <c r="V230" s="3">
        <v>142</v>
      </c>
      <c r="W230" s="3">
        <f>IF(ISERROR(VLOOKUP($A230,'SegEnds_NonXtal_BW#'!$A:$Z,16,FALSE)+VLOOKUP($A230,A:AL,22,FALSE)-50),"-",(VLOOKUP($A230,'SegEnds_NonXtal_BW#'!$A:$Z,16,FALSE)+VLOOKUP($A230,A:AL,22,FALSE)-50))</f>
        <v>155</v>
      </c>
      <c r="X230" s="3">
        <f>IF(ISERROR(VLOOKUP($A230,'SegEnds_NonXtal_BW#'!$A:$Z,17,FALSE)+VLOOKUP($A230,A:AL,25,FALSE)-50),"-",(VLOOKUP($A230,'SegEnds_NonXtal_BW#'!$A:$Z,17,FALSE)+VLOOKUP($A230,A:AL,25,FALSE)-50))</f>
        <v>173</v>
      </c>
      <c r="Y230" s="3">
        <v>173</v>
      </c>
      <c r="Z230" s="3">
        <f t="shared" si="138"/>
        <v>175</v>
      </c>
      <c r="AA230" s="3">
        <f>IF(ISERROR(VLOOKUP($A230,'SegEnds_NonXtal_BW#'!$A:$Z,19,FALSE)+VLOOKUP($A230,A:AL,28,FALSE)-50),"-",(VLOOKUP($A230,'SegEnds_NonXtal_BW#'!$A:$Z,19,FALSE)+VLOOKUP($A230,A:AL,28,FALSE)-50))</f>
        <v>181</v>
      </c>
      <c r="AB230" s="3">
        <v>198</v>
      </c>
      <c r="AC230" s="3">
        <f>IF(ISERROR((VLOOKUP($A230,'SegEnds_NonXtal_BW#'!$A:$Z,20,FALSE)+VLOOKUP($A230,A:AL,28,FALSE)-50)),"-",(VLOOKUP($A230,'SegEnds_NonXtal_BW#'!$A:$Z,20,FALSE)+VLOOKUP($A230,A:AL,28,FALSE)-50))</f>
        <v>216</v>
      </c>
      <c r="AD230" s="3">
        <f>IF(ISERROR(VLOOKUP($A230,'SegEnds_NonXtal_BW#'!$A:$Z,21,FALSE)+VLOOKUP($A230,A:AL,31,FALSE)-50),"-",(VLOOKUP($A230,'SegEnds_NonXtal_BW#'!$A:$Z,21,FALSE)+VLOOKUP($A230,A:AL,31,FALSE)-50))</f>
        <v>221</v>
      </c>
      <c r="AE230" s="3">
        <v>247</v>
      </c>
      <c r="AF230" s="3">
        <f>IF(ISERROR((VLOOKUP($A230,'SegEnds_NonXtal_BW#'!$A:$Z,22,FALSE)+VLOOKUP($A230,A:AL,31,FALSE)-50)),"-",(VLOOKUP($A230,'SegEnds_NonXtal_BW#'!$A:$Z,22,FALSE)+VLOOKUP($A230,A:AL,31,FALSE)-50))</f>
        <v>261</v>
      </c>
      <c r="AG230" s="3">
        <f>IF(ISERROR(VLOOKUP($A230,'SegEnds_NonXtal_BW#'!$A:$Z,23,FALSE)+VLOOKUP($A230,A:AL,34,FALSE)-50),"-",(VLOOKUP($A230,'SegEnds_NonXtal_BW#'!$A:$Z,23,FALSE)+VLOOKUP($A230,A:AL,34,FALSE)-50))</f>
        <v>264</v>
      </c>
      <c r="AH230" s="3">
        <v>290</v>
      </c>
      <c r="AI230" s="3">
        <f>IF(ISERROR((VLOOKUP($A230,'SegEnds_NonXtal_BW#'!$A:$Z,24,FALSE)+VLOOKUP($A230,A:AL,34,FALSE)-50)),"-",(VLOOKUP($A230,'SegEnds_NonXtal_BW#'!$A:$Z,24,FALSE)+VLOOKUP($A230,A:AL,34,FALSE)-50))</f>
        <v>299</v>
      </c>
      <c r="AJ230" s="3">
        <f>IF(ISERROR(VLOOKUP($A230,'SegEnds_NonXtal_BW#'!$A:$Z,25,FALSE)+VLOOKUP($A230,A:AL,37,FALSE)-50),"-",(VLOOKUP($A230,'SegEnds_NonXtal_BW#'!$A:$Z,25,FALSE)+VLOOKUP($A230,A:AL,37,FALSE)-50))</f>
        <v>300</v>
      </c>
      <c r="AK230" s="3">
        <v>300</v>
      </c>
      <c r="AL230" s="3">
        <f>IF(ISERROR((VLOOKUP($A230,'SegEnds_NonXtal_BW#'!$A:$Z,26,FALSE)+VLOOKUP($A230,A:AL,37,FALSE)-50)),"-",(VLOOKUP($A230,'SegEnds_NonXtal_BW#'!$A:$Z,26,FALSE)+VLOOKUP($A230,A:AL,37,FALSE)-50))</f>
        <v>313</v>
      </c>
      <c r="AM230" s="28" t="str">
        <f>VLOOKUP(A230,Classification!A:B,2,FALSE)</f>
        <v>A</v>
      </c>
      <c r="AN230" s="28" t="b">
        <f t="shared" si="133"/>
        <v>1</v>
      </c>
      <c r="AO230" s="3" t="str">
        <f>IF(ISERROR(MATCH(A230,'SegEnds_Xtal_Prot#'!B:B, 0)), "NoXtal", "Xtal")</f>
        <v>Xtal</v>
      </c>
      <c r="AP230" s="3" t="str">
        <f t="shared" si="118"/>
        <v>-</v>
      </c>
      <c r="AQ230" s="3" t="str">
        <f t="shared" si="119"/>
        <v>-</v>
      </c>
      <c r="AR230" s="3">
        <f t="shared" si="120"/>
        <v>2</v>
      </c>
      <c r="AS230" s="3">
        <f t="shared" si="121"/>
        <v>1</v>
      </c>
      <c r="AT230" s="3">
        <f t="shared" si="122"/>
        <v>1</v>
      </c>
      <c r="AU230" s="3">
        <f t="shared" si="123"/>
        <v>1</v>
      </c>
      <c r="AV230" s="3">
        <f t="shared" si="124"/>
        <v>18</v>
      </c>
      <c r="AW230" s="3">
        <f t="shared" si="125"/>
        <v>6</v>
      </c>
      <c r="AX230" s="3">
        <f t="shared" si="126"/>
        <v>5</v>
      </c>
      <c r="AY230" s="3">
        <f t="shared" si="127"/>
        <v>3</v>
      </c>
      <c r="AZ230" s="3">
        <f t="shared" si="128"/>
        <v>1</v>
      </c>
      <c r="BA230" s="3">
        <f>IF(ISERROR(LEN(VLOOKUP(A230,Seqs!A:E,2,FALSE))-AL230),"-",LEN(VLOOKUP(A230,Seqs!A:E,2,FALSE))-AL230)</f>
        <v>29</v>
      </c>
      <c r="BB230" s="16">
        <f t="shared" si="129"/>
        <v>30</v>
      </c>
      <c r="BC230" s="9">
        <f t="shared" si="130"/>
        <v>20</v>
      </c>
      <c r="BD230" s="3">
        <f t="shared" si="131"/>
        <v>30</v>
      </c>
      <c r="BE230" s="3">
        <f t="shared" si="132"/>
        <v>49</v>
      </c>
    </row>
    <row r="231" spans="1:58" s="3" customFormat="1" x14ac:dyDescent="0.2">
      <c r="A231" s="3" t="s">
        <v>372</v>
      </c>
      <c r="B231" s="3" t="str">
        <f>LOWER(VLOOKUP(A231,Xtal_Templ!A:B,2,FALSE))</f>
        <v>ox2r_human</v>
      </c>
      <c r="C231" s="3">
        <f>VLOOKUP($A231,'SegEnds_NonXtal_BW#'!$A:$Z,3,FALSE)+D231-50</f>
        <v>44</v>
      </c>
      <c r="D231" s="3">
        <v>63</v>
      </c>
      <c r="E231" s="3">
        <f>IF(ISERROR(VLOOKUP($A231,'SegEnds_NonXtal_BW#'!$A:$Z,4,FALSE)+VLOOKUP($A231,A:AL,4,FALSE)-50),"-",(VLOOKUP($A231,'SegEnds_NonXtal_BW#'!$A:$Z,4,FALSE)+VLOOKUP($A231,A:AL,4,FALSE)-50))</f>
        <v>73</v>
      </c>
      <c r="F231" s="3">
        <f t="shared" ref="F231:F238" si="140">G231-2</f>
        <v>74</v>
      </c>
      <c r="G231" s="3">
        <v>76</v>
      </c>
      <c r="H231" s="3">
        <f t="shared" ref="H231:I238" si="141">G231+1</f>
        <v>77</v>
      </c>
      <c r="I231" s="3">
        <f t="shared" si="141"/>
        <v>78</v>
      </c>
      <c r="J231" s="3">
        <v>91</v>
      </c>
      <c r="K231" s="3">
        <f>VLOOKUP($A231,'SegEnds_NonXtal_BW#'!$A:$Z,8,FALSE)+VLOOKUP($A231,A:AL,10,FALSE)-50</f>
        <v>109</v>
      </c>
      <c r="L231" s="3">
        <f>M231-1</f>
        <v>110</v>
      </c>
      <c r="M231" s="3">
        <v>111</v>
      </c>
      <c r="N231" s="3">
        <f>M231+2</f>
        <v>113</v>
      </c>
      <c r="O231" s="3">
        <f t="shared" si="139"/>
        <v>114</v>
      </c>
      <c r="P231" s="3">
        <v>143</v>
      </c>
      <c r="Q231" s="3">
        <f>VLOOKUP($A231,'SegEnds_NonXtal_BW#'!$A:$Z,12,FALSE)+VLOOKUP($A231,A:AL,16,FALSE)-50</f>
        <v>149</v>
      </c>
      <c r="R231" s="3">
        <f>IF(ISERROR(VLOOKUP($A231,'SegEnds_NonXtal_BW#'!$A:$Z,13,FALSE)+VLOOKUP($A231,A:AL,19,FALSE)-50),"-",VLOOKUP($A231,'SegEnds_NonXtal_BW#'!$A:$Z,13,FALSE)+VLOOKUP($A231,A:AL,19,FALSE)-50)</f>
        <v>150</v>
      </c>
      <c r="S231" s="3">
        <v>150</v>
      </c>
      <c r="T231" s="100">
        <f>IF(ISERROR(VLOOKUP($A231,'SegEnds_NonXtal_BW#'!$A:$Z,14,FALSE)+VLOOKUP($A231,A:AL,19,FALSE)-50),"-",(VLOOKUP($A231,'SegEnds_NonXtal_BW#'!$A:$Z,14,FALSE)+VLOOKUP($A231,A:AL,19,FALSE)-50))</f>
        <v>157</v>
      </c>
      <c r="U231" s="9">
        <f>IF(ISERROR(VLOOKUP($A231,'SegEnds_NonXtal_BW#'!$A:$Z,15,FALSE)+VLOOKUP($A231,A:AL,22,FALSE)-50),"-",VLOOKUP($A231,'SegEnds_NonXtal_BW#'!$A:$Z,15,FALSE)+VLOOKUP($A231,A:AL,22,FALSE)-50)</f>
        <v>158</v>
      </c>
      <c r="V231" s="3">
        <v>170</v>
      </c>
      <c r="W231" s="3">
        <f>IF(ISERROR(VLOOKUP($A231,'SegEnds_NonXtal_BW#'!$A:$Z,16,FALSE)+VLOOKUP($A231,A:AL,22,FALSE)-50),"-",(VLOOKUP($A231,'SegEnds_NonXtal_BW#'!$A:$Z,16,FALSE)+VLOOKUP($A231,A:AL,22,FALSE)-50))</f>
        <v>184</v>
      </c>
      <c r="X231" s="3">
        <f>IF(ISERROR(VLOOKUP($A231,'SegEnds_NonXtal_BW#'!$A:$Z,17,FALSE)+VLOOKUP($A231,A:AL,25,FALSE)-50),"-",(VLOOKUP($A231,'SegEnds_NonXtal_BW#'!$A:$Z,17,FALSE)+VLOOKUP($A231,A:AL,25,FALSE)-50))</f>
        <v>201</v>
      </c>
      <c r="Y231" s="3">
        <v>201</v>
      </c>
      <c r="Z231" s="3">
        <f t="shared" si="138"/>
        <v>203</v>
      </c>
      <c r="AA231" s="3">
        <f>IF(ISERROR(VLOOKUP($A231,'SegEnds_NonXtal_BW#'!$A:$Z,19,FALSE)+VLOOKUP($A231,A:AL,28,FALSE)-50),"-",(VLOOKUP($A231,'SegEnds_NonXtal_BW#'!$A:$Z,19,FALSE)+VLOOKUP($A231,A:AL,28,FALSE)-50))</f>
        <v>209</v>
      </c>
      <c r="AB231" s="3">
        <v>226</v>
      </c>
      <c r="AC231" s="3">
        <f>IF(ISERROR((VLOOKUP($A231,'SegEnds_NonXtal_BW#'!$A:$Z,20,FALSE)+VLOOKUP($A231,A:AL,28,FALSE)-50)),"-",(VLOOKUP($A231,'SegEnds_NonXtal_BW#'!$A:$Z,20,FALSE)+VLOOKUP($A231,A:AL,28,FALSE)-50))</f>
        <v>250</v>
      </c>
      <c r="AD231" s="3">
        <f>IF(ISERROR(VLOOKUP($A231,'SegEnds_NonXtal_BW#'!$A:$Z,21,FALSE)+VLOOKUP($A231,A:AL,31,FALSE)-50),"-",(VLOOKUP($A231,'SegEnds_NonXtal_BW#'!$A:$Z,21,FALSE)+VLOOKUP($A231,A:AL,31,FALSE)-50))</f>
        <v>259</v>
      </c>
      <c r="AE231" s="3">
        <v>288</v>
      </c>
      <c r="AF231" s="3">
        <f>IF(ISERROR((VLOOKUP($A231,'SegEnds_NonXtal_BW#'!$A:$Z,22,FALSE)+VLOOKUP($A231,A:AL,31,FALSE)-50)),"-",(VLOOKUP($A231,'SegEnds_NonXtal_BW#'!$A:$Z,22,FALSE)+VLOOKUP($A231,A:AL,31,FALSE)-50))</f>
        <v>299</v>
      </c>
      <c r="AG231" s="3">
        <f>IF(ISERROR(VLOOKUP($A231,'SegEnds_NonXtal_BW#'!$A:$Z,23,FALSE)+VLOOKUP($A231,A:AL,34,FALSE)-50),"-",(VLOOKUP($A231,'SegEnds_NonXtal_BW#'!$A:$Z,23,FALSE)+VLOOKUP($A231,A:AL,34,FALSE)-50))</f>
        <v>307</v>
      </c>
      <c r="AH231" s="3">
        <v>329</v>
      </c>
      <c r="AI231" s="3">
        <f>IF(ISERROR((VLOOKUP($A231,'SegEnds_NonXtal_BW#'!$A:$Z,24,FALSE)+VLOOKUP($A231,A:AL,34,FALSE)-50)),"-",(VLOOKUP($A231,'SegEnds_NonXtal_BW#'!$A:$Z,24,FALSE)+VLOOKUP($A231,A:AL,34,FALSE)-50))</f>
        <v>335</v>
      </c>
      <c r="AJ231" s="3">
        <f>IF(ISERROR(VLOOKUP($A231,'SegEnds_NonXtal_BW#'!$A:$Z,25,FALSE)+VLOOKUP($A231,A:AL,37,FALSE)-50),"-",(VLOOKUP($A231,'SegEnds_NonXtal_BW#'!$A:$Z,25,FALSE)+VLOOKUP($A231,A:AL,37,FALSE)-50))</f>
        <v>336</v>
      </c>
      <c r="AK231" s="3">
        <v>339</v>
      </c>
      <c r="AL231" s="3">
        <f>IF(ISERROR((VLOOKUP($A231,'SegEnds_NonXtal_BW#'!$A:$Z,26,FALSE)+VLOOKUP($A231,A:AL,37,FALSE)-50)),"-",(VLOOKUP($A231,'SegEnds_NonXtal_BW#'!$A:$Z,26,FALSE)+VLOOKUP($A231,A:AL,37,FALSE)-50))</f>
        <v>347</v>
      </c>
      <c r="AM231" s="28" t="str">
        <f>VLOOKUP(A231,Classification!A:B,2,FALSE)</f>
        <v>A</v>
      </c>
      <c r="AN231" s="28" t="b">
        <f t="shared" si="133"/>
        <v>1</v>
      </c>
      <c r="AO231" s="3" t="str">
        <f>IF(ISERROR(MATCH(A231,'SegEnds_Xtal_Prot#'!B:B, 0)), "NoXtal", "Xtal")</f>
        <v>NoXtal</v>
      </c>
      <c r="AP231" s="3">
        <f t="shared" si="118"/>
        <v>1</v>
      </c>
      <c r="AQ231" s="3">
        <f t="shared" si="119"/>
        <v>1</v>
      </c>
      <c r="AR231" s="3">
        <f t="shared" si="120"/>
        <v>1</v>
      </c>
      <c r="AS231" s="3">
        <f t="shared" si="121"/>
        <v>1</v>
      </c>
      <c r="AT231" s="3">
        <f t="shared" si="122"/>
        <v>1</v>
      </c>
      <c r="AU231" s="3">
        <f t="shared" si="123"/>
        <v>1</v>
      </c>
      <c r="AV231" s="3">
        <f t="shared" si="124"/>
        <v>17</v>
      </c>
      <c r="AW231" s="3">
        <f t="shared" si="125"/>
        <v>6</v>
      </c>
      <c r="AX231" s="3">
        <f t="shared" si="126"/>
        <v>9</v>
      </c>
      <c r="AY231" s="3">
        <f t="shared" si="127"/>
        <v>8</v>
      </c>
      <c r="AZ231" s="3">
        <f t="shared" si="128"/>
        <v>1</v>
      </c>
      <c r="BA231" s="3">
        <f>IF(ISERROR(LEN(VLOOKUP(A231,Seqs!A:E,2,FALSE))-AL231),"-",LEN(VLOOKUP(A231,Seqs!A:E,2,FALSE))-AL231)</f>
        <v>84</v>
      </c>
      <c r="BB231" s="16">
        <f t="shared" si="129"/>
        <v>28</v>
      </c>
      <c r="BC231" s="9">
        <f t="shared" si="130"/>
        <v>20</v>
      </c>
      <c r="BD231" s="3">
        <f t="shared" si="131"/>
        <v>28</v>
      </c>
      <c r="BE231" s="3">
        <f t="shared" si="132"/>
        <v>62</v>
      </c>
    </row>
    <row r="232" spans="1:58" s="3" customFormat="1" x14ac:dyDescent="0.2">
      <c r="A232" s="3" t="s">
        <v>374</v>
      </c>
      <c r="B232" s="3" t="str">
        <f>LOWER(VLOOKUP(A232,Xtal_Templ!A:B,2,FALSE))</f>
        <v>agtr1_human</v>
      </c>
      <c r="C232" s="3">
        <f>VLOOKUP($A232,'SegEnds_NonXtal_BW#'!$A:$Z,3,FALSE)+D232-50</f>
        <v>37</v>
      </c>
      <c r="D232" s="3">
        <v>57</v>
      </c>
      <c r="E232" s="3">
        <f>IF(ISERROR(VLOOKUP($A232,'SegEnds_NonXtal_BW#'!$A:$Z,4,FALSE)+VLOOKUP($A232,A:AL,4,FALSE)-50),"-",(VLOOKUP($A232,'SegEnds_NonXtal_BW#'!$A:$Z,4,FALSE)+VLOOKUP($A232,A:AL,4,FALSE)-50))</f>
        <v>67</v>
      </c>
      <c r="F232" s="3">
        <f t="shared" si="140"/>
        <v>69</v>
      </c>
      <c r="G232" s="3">
        <v>71</v>
      </c>
      <c r="H232" s="3">
        <f t="shared" si="141"/>
        <v>72</v>
      </c>
      <c r="I232" s="3">
        <f t="shared" si="141"/>
        <v>73</v>
      </c>
      <c r="J232" s="3">
        <v>87</v>
      </c>
      <c r="K232" s="3">
        <f>VLOOKUP($A232,'SegEnds_NonXtal_BW#'!$A:$Z,8,FALSE)+VLOOKUP($A232,A:AL,10,FALSE)-50</f>
        <v>103</v>
      </c>
      <c r="L232" s="3">
        <f>M232-1</f>
        <v>106</v>
      </c>
      <c r="M232" s="3">
        <v>107</v>
      </c>
      <c r="N232" s="3">
        <f>M232+2</f>
        <v>109</v>
      </c>
      <c r="O232" s="3">
        <f t="shared" si="139"/>
        <v>110</v>
      </c>
      <c r="P232" s="3">
        <v>139</v>
      </c>
      <c r="Q232" s="3">
        <f>VLOOKUP($A232,'SegEnds_NonXtal_BW#'!$A:$Z,12,FALSE)+VLOOKUP($A232,A:AL,16,FALSE)-50</f>
        <v>145</v>
      </c>
      <c r="R232" s="3">
        <f>IF(ISERROR(VLOOKUP($A232,'SegEnds_NonXtal_BW#'!$A:$Z,13,FALSE)+VLOOKUP($A232,A:AL,19,FALSE)-50),"-",VLOOKUP($A232,'SegEnds_NonXtal_BW#'!$A:$Z,13,FALSE)+VLOOKUP($A232,A:AL,19,FALSE)-50)</f>
        <v>146</v>
      </c>
      <c r="S232" s="3">
        <v>146</v>
      </c>
      <c r="T232" s="100">
        <f>IF(ISERROR(VLOOKUP($A232,'SegEnds_NonXtal_BW#'!$A:$Z,14,FALSE)+VLOOKUP($A232,A:AL,19,FALSE)-50),"-",(VLOOKUP($A232,'SegEnds_NonXtal_BW#'!$A:$Z,14,FALSE)+VLOOKUP($A232,A:AL,19,FALSE)-50))</f>
        <v>153</v>
      </c>
      <c r="U232" s="9">
        <f>IF(ISERROR(VLOOKUP($A232,'SegEnds_NonXtal_BW#'!$A:$Z,15,FALSE)+VLOOKUP($A232,A:AL,22,FALSE)-50),"-",VLOOKUP($A232,'SegEnds_NonXtal_BW#'!$A:$Z,15,FALSE)+VLOOKUP($A232,A:AL,22,FALSE)-50)</f>
        <v>154</v>
      </c>
      <c r="V232" s="3">
        <v>166</v>
      </c>
      <c r="W232" s="3">
        <f>IF(ISERROR(VLOOKUP($A232,'SegEnds_NonXtal_BW#'!$A:$Z,16,FALSE)+VLOOKUP($A232,A:AL,22,FALSE)-50),"-",(VLOOKUP($A232,'SegEnds_NonXtal_BW#'!$A:$Z,16,FALSE)+VLOOKUP($A232,A:AL,22,FALSE)-50))</f>
        <v>180</v>
      </c>
      <c r="X232" s="3">
        <f>IF(ISERROR(VLOOKUP($A232,'SegEnds_NonXtal_BW#'!$A:$Z,17,FALSE)+VLOOKUP($A232,A:AL,25,FALSE)-50),"-",(VLOOKUP($A232,'SegEnds_NonXtal_BW#'!$A:$Z,17,FALSE)+VLOOKUP($A232,A:AL,25,FALSE)-50))</f>
        <v>191</v>
      </c>
      <c r="Y232" s="3">
        <v>191</v>
      </c>
      <c r="Z232" s="3">
        <f t="shared" si="138"/>
        <v>193</v>
      </c>
      <c r="AA232" s="3">
        <f>IF(ISERROR(VLOOKUP($A232,'SegEnds_NonXtal_BW#'!$A:$Z,19,FALSE)+VLOOKUP($A232,A:AL,28,FALSE)-50),"-",(VLOOKUP($A232,'SegEnds_NonXtal_BW#'!$A:$Z,19,FALSE)+VLOOKUP($A232,A:AL,28,FALSE)-50))</f>
        <v>200</v>
      </c>
      <c r="AB232" s="3">
        <v>216</v>
      </c>
      <c r="AC232" s="3">
        <f>IF(ISERROR((VLOOKUP($A232,'SegEnds_NonXtal_BW#'!$A:$Z,20,FALSE)+VLOOKUP($A232,A:AL,28,FALSE)-50)),"-",(VLOOKUP($A232,'SegEnds_NonXtal_BW#'!$A:$Z,20,FALSE)+VLOOKUP($A232,A:AL,28,FALSE)-50))</f>
        <v>233</v>
      </c>
      <c r="AD232" s="3">
        <f>IF(ISERROR(VLOOKUP($A232,'SegEnds_NonXtal_BW#'!$A:$Z,21,FALSE)+VLOOKUP($A232,A:AL,31,FALSE)-50),"-",(VLOOKUP($A232,'SegEnds_NonXtal_BW#'!$A:$Z,21,FALSE)+VLOOKUP($A232,A:AL,31,FALSE)-50))</f>
        <v>239</v>
      </c>
      <c r="AE232" s="3">
        <v>261</v>
      </c>
      <c r="AF232" s="3">
        <f>IF(ISERROR((VLOOKUP($A232,'SegEnds_NonXtal_BW#'!$A:$Z,22,FALSE)+VLOOKUP($A232,A:AL,31,FALSE)-50)),"-",(VLOOKUP($A232,'SegEnds_NonXtal_BW#'!$A:$Z,22,FALSE)+VLOOKUP($A232,A:AL,31,FALSE)-50))</f>
        <v>275</v>
      </c>
      <c r="AG232" s="3">
        <f>IF(ISERROR(VLOOKUP($A232,'SegEnds_NonXtal_BW#'!$A:$Z,23,FALSE)+VLOOKUP($A232,A:AL,34,FALSE)-50),"-",(VLOOKUP($A232,'SegEnds_NonXtal_BW#'!$A:$Z,23,FALSE)+VLOOKUP($A232,A:AL,34,FALSE)-50))</f>
        <v>280</v>
      </c>
      <c r="AH232" s="3">
        <v>306</v>
      </c>
      <c r="AI232" s="3">
        <f>IF(ISERROR((VLOOKUP($A232,'SegEnds_NonXtal_BW#'!$A:$Z,24,FALSE)+VLOOKUP($A232,A:AL,34,FALSE)-50)),"-",(VLOOKUP($A232,'SegEnds_NonXtal_BW#'!$A:$Z,24,FALSE)+VLOOKUP($A232,A:AL,34,FALSE)-50))</f>
        <v>312</v>
      </c>
      <c r="AJ232" s="3">
        <f>IF(ISERROR(VLOOKUP($A232,'SegEnds_NonXtal_BW#'!$A:$Z,25,FALSE)+VLOOKUP($A232,A:AL,37,FALSE)-50),"-",(VLOOKUP($A232,'SegEnds_NonXtal_BW#'!$A:$Z,25,FALSE)+VLOOKUP($A232,A:AL,37,FALSE)-50))</f>
        <v>313</v>
      </c>
      <c r="AK232" s="3">
        <v>316</v>
      </c>
      <c r="AL232" s="3">
        <f>IF(ISERROR((VLOOKUP($A232,'SegEnds_NonXtal_BW#'!$A:$Z,26,FALSE)+VLOOKUP($A232,A:AL,37,FALSE)-50)),"-",(VLOOKUP($A232,'SegEnds_NonXtal_BW#'!$A:$Z,26,FALSE)+VLOOKUP($A232,A:AL,37,FALSE)-50))</f>
        <v>327</v>
      </c>
      <c r="AM232" s="28" t="str">
        <f>VLOOKUP(A232,Classification!A:B,2,FALSE)</f>
        <v>A</v>
      </c>
      <c r="AN232" s="28" t="b">
        <f t="shared" si="133"/>
        <v>1</v>
      </c>
      <c r="AO232" s="3" t="str">
        <f>IF(ISERROR(MATCH(A232,'SegEnds_Xtal_Prot#'!B:B, 0)), "NoXtal", "Xtal")</f>
        <v>NoXtal</v>
      </c>
      <c r="AP232" s="3">
        <f t="shared" si="118"/>
        <v>2</v>
      </c>
      <c r="AQ232" s="3">
        <f t="shared" si="119"/>
        <v>1</v>
      </c>
      <c r="AR232" s="3">
        <f t="shared" si="120"/>
        <v>3</v>
      </c>
      <c r="AS232" s="3">
        <f t="shared" si="121"/>
        <v>1</v>
      </c>
      <c r="AT232" s="3">
        <f t="shared" si="122"/>
        <v>1</v>
      </c>
      <c r="AU232" s="3">
        <f t="shared" si="123"/>
        <v>1</v>
      </c>
      <c r="AV232" s="3">
        <f t="shared" si="124"/>
        <v>11</v>
      </c>
      <c r="AW232" s="3">
        <f t="shared" si="125"/>
        <v>7</v>
      </c>
      <c r="AX232" s="3">
        <f t="shared" si="126"/>
        <v>6</v>
      </c>
      <c r="AY232" s="3">
        <f t="shared" si="127"/>
        <v>5</v>
      </c>
      <c r="AZ232" s="3">
        <f t="shared" si="128"/>
        <v>1</v>
      </c>
      <c r="BA232" s="3">
        <f>IF(ISERROR(LEN(VLOOKUP(A232,Seqs!A:E,2,FALSE))-AL232),"-",LEN(VLOOKUP(A232,Seqs!A:E,2,FALSE))-AL232)</f>
        <v>47</v>
      </c>
      <c r="BB232" s="16">
        <f t="shared" si="129"/>
        <v>30</v>
      </c>
      <c r="BC232" s="9">
        <f t="shared" si="130"/>
        <v>20</v>
      </c>
      <c r="BD232" s="3">
        <f t="shared" si="131"/>
        <v>30</v>
      </c>
      <c r="BE232" s="3">
        <f t="shared" si="132"/>
        <v>45</v>
      </c>
    </row>
    <row r="233" spans="1:58" s="3" customFormat="1" x14ac:dyDescent="0.2">
      <c r="A233" s="3" t="s">
        <v>379</v>
      </c>
      <c r="B233" s="3" t="str">
        <f>LOWER(VLOOKUP(A233,Xtal_Templ!A:B,2,FALSE))</f>
        <v>s1pr1_human</v>
      </c>
      <c r="C233" s="3">
        <f>VLOOKUP($A233,'SegEnds_NonXtal_BW#'!$A:$Z,3,FALSE)+D233-50</f>
        <v>43</v>
      </c>
      <c r="D233" s="3">
        <v>64</v>
      </c>
      <c r="E233" s="3">
        <f>IF(ISERROR(VLOOKUP($A233,'SegEnds_NonXtal_BW#'!$A:$Z,4,FALSE)+VLOOKUP($A233,A:AL,4,FALSE)-50),"-",(VLOOKUP($A233,'SegEnds_NonXtal_BW#'!$A:$Z,4,FALSE)+VLOOKUP($A233,A:AL,4,FALSE)-50))</f>
        <v>74</v>
      </c>
      <c r="F233" s="3">
        <f t="shared" si="140"/>
        <v>75</v>
      </c>
      <c r="G233" s="3">
        <v>77</v>
      </c>
      <c r="H233" s="3">
        <f t="shared" si="141"/>
        <v>78</v>
      </c>
      <c r="I233" s="3">
        <f t="shared" si="141"/>
        <v>79</v>
      </c>
      <c r="J233" s="3">
        <v>92</v>
      </c>
      <c r="K233" s="3">
        <f>VLOOKUP($A233,'SegEnds_NonXtal_BW#'!$A:$Z,8,FALSE)+VLOOKUP($A233,A:AL,10,FALSE)-50</f>
        <v>105</v>
      </c>
      <c r="L233" s="3">
        <f>M233-3</f>
        <v>107</v>
      </c>
      <c r="M233" s="3">
        <v>110</v>
      </c>
      <c r="N233" s="3">
        <f>M233+3</f>
        <v>113</v>
      </c>
      <c r="O233" s="3">
        <f t="shared" si="139"/>
        <v>114</v>
      </c>
      <c r="P233" s="3">
        <v>143</v>
      </c>
      <c r="Q233" s="3">
        <f>VLOOKUP($A233,'SegEnds_NonXtal_BW#'!$A:$Z,12,FALSE)+VLOOKUP($A233,A:AL,16,FALSE)-50</f>
        <v>149</v>
      </c>
      <c r="R233" s="3">
        <f>IF(ISERROR(VLOOKUP($A233,'SegEnds_NonXtal_BW#'!$A:$Z,13,FALSE)+VLOOKUP($A233,A:AL,19,FALSE)-50),"-",VLOOKUP($A233,'SegEnds_NonXtal_BW#'!$A:$Z,13,FALSE)+VLOOKUP($A233,A:AL,19,FALSE)-50)</f>
        <v>150</v>
      </c>
      <c r="S233" s="3">
        <v>150</v>
      </c>
      <c r="T233" s="100">
        <f>IF(ISERROR(VLOOKUP($A233,'SegEnds_NonXtal_BW#'!$A:$Z,14,FALSE)+VLOOKUP($A233,A:AL,19,FALSE)-50),"-",(VLOOKUP($A233,'SegEnds_NonXtal_BW#'!$A:$Z,14,FALSE)+VLOOKUP($A233,A:AL,19,FALSE)-50))</f>
        <v>157</v>
      </c>
      <c r="U233" s="9">
        <f>IF(ISERROR(VLOOKUP($A233,'SegEnds_NonXtal_BW#'!$A:$Z,15,FALSE)+VLOOKUP($A233,A:AL,22,FALSE)-50),"-",VLOOKUP($A233,'SegEnds_NonXtal_BW#'!$A:$Z,15,FALSE)+VLOOKUP($A233,A:AL,22,FALSE)-50)</f>
        <v>158</v>
      </c>
      <c r="V233" s="3">
        <v>170</v>
      </c>
      <c r="W233" s="3">
        <f>IF(ISERROR(VLOOKUP($A233,'SegEnds_NonXtal_BW#'!$A:$Z,16,FALSE)+VLOOKUP($A233,A:AL,22,FALSE)-50),"-",(VLOOKUP($A233,'SegEnds_NonXtal_BW#'!$A:$Z,16,FALSE)+VLOOKUP($A233,A:AL,22,FALSE)-50))</f>
        <v>183</v>
      </c>
      <c r="X233" s="3" t="str">
        <f>IF(ISERROR(VLOOKUP($A233,'SegEnds_NonXtal_BW#'!$A:$Z,17,FALSE)+VLOOKUP($A233,A:AL,25,FALSE)-50),"-",(VLOOKUP($A233,'SegEnds_NonXtal_BW#'!$A:$Z,17,FALSE)+VLOOKUP($A233,A:AL,25,FALSE)-50))</f>
        <v>-</v>
      </c>
      <c r="Y233" s="3" t="s">
        <v>23</v>
      </c>
      <c r="Z233" s="3" t="str">
        <f>IF(ISERROR(VLOOKUP($A233,'SegEnds_NonXtal_BW#'!$A:$Z,18,FALSE)+VLOOKUP($A233,A:AL,25,FALSE)-50),"-",(VLOOKUP($A233,'SegEnds_NonXtal_BW#'!$A:$Z,18,FALSE)+VLOOKUP($A233,A:AL,25,FALSE)-50))</f>
        <v>-</v>
      </c>
      <c r="AA233" s="3">
        <f>IF(ISERROR(VLOOKUP($A233,'SegEnds_NonXtal_BW#'!$A:$Z,19,FALSE)+VLOOKUP($A233,A:AL,28,FALSE)-50),"-",(VLOOKUP($A233,'SegEnds_NonXtal_BW#'!$A:$Z,19,FALSE)+VLOOKUP($A233,A:AL,28,FALSE)-50))</f>
        <v>201</v>
      </c>
      <c r="AB233" s="3">
        <v>215</v>
      </c>
      <c r="AC233" s="3">
        <f>IF(ISERROR((VLOOKUP($A233,'SegEnds_NonXtal_BW#'!$A:$Z,20,FALSE)+VLOOKUP($A233,A:AL,28,FALSE)-50)),"-",(VLOOKUP($A233,'SegEnds_NonXtal_BW#'!$A:$Z,20,FALSE)+VLOOKUP($A233,A:AL,28,FALSE)-50))</f>
        <v>233</v>
      </c>
      <c r="AD233" s="3">
        <f>IF(ISERROR(VLOOKUP($A233,'SegEnds_NonXtal_BW#'!$A:$Z,21,FALSE)+VLOOKUP($A233,A:AL,31,FALSE)-50),"-",(VLOOKUP($A233,'SegEnds_NonXtal_BW#'!$A:$Z,21,FALSE)+VLOOKUP($A233,A:AL,31,FALSE)-50))</f>
        <v>239</v>
      </c>
      <c r="AE233" s="3">
        <v>266</v>
      </c>
      <c r="AF233" s="3">
        <f>IF(ISERROR((VLOOKUP($A233,'SegEnds_NonXtal_BW#'!$A:$Z,22,FALSE)+VLOOKUP($A233,A:AL,31,FALSE)-50)),"-",(VLOOKUP($A233,'SegEnds_NonXtal_BW#'!$A:$Z,22,FALSE)+VLOOKUP($A233,A:AL,31,FALSE)-50))</f>
        <v>277</v>
      </c>
      <c r="AG233" s="3">
        <f>IF(ISERROR(VLOOKUP($A233,'SegEnds_NonXtal_BW#'!$A:$Z,23,FALSE)+VLOOKUP($A233,A:AL,34,FALSE)-50),"-",(VLOOKUP($A233,'SegEnds_NonXtal_BW#'!$A:$Z,23,FALSE)+VLOOKUP($A233,A:AL,34,FALSE)-50))</f>
        <v>284</v>
      </c>
      <c r="AH233" s="3">
        <v>304</v>
      </c>
      <c r="AI233" s="3">
        <f>IF(ISERROR((VLOOKUP($A233,'SegEnds_NonXtal_BW#'!$A:$Z,24,FALSE)+VLOOKUP($A233,A:AL,34,FALSE)-50)),"-",(VLOOKUP($A233,'SegEnds_NonXtal_BW#'!$A:$Z,24,FALSE)+VLOOKUP($A233,A:AL,34,FALSE)-50))</f>
        <v>310</v>
      </c>
      <c r="AJ233" s="3">
        <f>IF(ISERROR(VLOOKUP($A233,'SegEnds_NonXtal_BW#'!$A:$Z,25,FALSE)+VLOOKUP($A233,A:AL,37,FALSE)-50),"-",(VLOOKUP($A233,'SegEnds_NonXtal_BW#'!$A:$Z,25,FALSE)+VLOOKUP($A233,A:AL,37,FALSE)-50))</f>
        <v>311</v>
      </c>
      <c r="AK233" s="3">
        <v>314</v>
      </c>
      <c r="AL233" s="3">
        <f>IF(ISERROR((VLOOKUP($A233,'SegEnds_NonXtal_BW#'!$A:$Z,26,FALSE)+VLOOKUP($A233,A:AL,37,FALSE)-50)),"-",(VLOOKUP($A233,'SegEnds_NonXtal_BW#'!$A:$Z,26,FALSE)+VLOOKUP($A233,A:AL,37,FALSE)-50))</f>
        <v>323</v>
      </c>
      <c r="AM233" s="28" t="str">
        <f>VLOOKUP(A233,Classification!A:B,2,FALSE)</f>
        <v>A</v>
      </c>
      <c r="AN233" s="28" t="b">
        <f t="shared" si="133"/>
        <v>1</v>
      </c>
      <c r="AO233" s="3" t="str">
        <f>IF(ISERROR(MATCH(A233,'SegEnds_Xtal_Prot#'!B:B, 0)), "NoXtal", "Xtal")</f>
        <v>NoXtal</v>
      </c>
      <c r="AP233" s="3">
        <f t="shared" si="118"/>
        <v>1</v>
      </c>
      <c r="AQ233" s="3">
        <f t="shared" si="119"/>
        <v>1</v>
      </c>
      <c r="AR233" s="3">
        <f t="shared" si="120"/>
        <v>2</v>
      </c>
      <c r="AS233" s="3">
        <f t="shared" si="121"/>
        <v>1</v>
      </c>
      <c r="AT233" s="3">
        <f t="shared" si="122"/>
        <v>1</v>
      </c>
      <c r="AU233" s="3">
        <f t="shared" si="123"/>
        <v>1</v>
      </c>
      <c r="AV233" s="3" t="str">
        <f t="shared" si="124"/>
        <v>-</v>
      </c>
      <c r="AW233" s="3" t="str">
        <f t="shared" si="125"/>
        <v>-</v>
      </c>
      <c r="AX233" s="3">
        <f t="shared" si="126"/>
        <v>6</v>
      </c>
      <c r="AY233" s="3">
        <f t="shared" si="127"/>
        <v>7</v>
      </c>
      <c r="AZ233" s="3">
        <f t="shared" si="128"/>
        <v>1</v>
      </c>
      <c r="BA233" s="3">
        <f>IF(ISERROR(LEN(VLOOKUP(A233,Seqs!A:E,2,FALSE))-AL233),"-",LEN(VLOOKUP(A233,Seqs!A:E,2,FALSE))-AL233)</f>
        <v>61</v>
      </c>
      <c r="BB233" s="16">
        <f t="shared" si="129"/>
        <v>28</v>
      </c>
      <c r="BC233" s="9">
        <f t="shared" si="130"/>
        <v>20</v>
      </c>
      <c r="BD233" s="3">
        <f t="shared" si="131"/>
        <v>28</v>
      </c>
      <c r="BE233" s="3">
        <f t="shared" si="132"/>
        <v>51</v>
      </c>
    </row>
    <row r="234" spans="1:58" s="3" customFormat="1" x14ac:dyDescent="0.2">
      <c r="A234" s="3" t="s">
        <v>381</v>
      </c>
      <c r="B234" s="3" t="str">
        <f>LOWER(VLOOKUP(A234,Xtal_Templ!A:B,2,FALSE))</f>
        <v>oprk_human</v>
      </c>
      <c r="C234" s="3">
        <f>VLOOKUP($A234,'SegEnds_NonXtal_BW#'!$A:$Z,3,FALSE)+D234-50</f>
        <v>56</v>
      </c>
      <c r="D234" s="3">
        <v>76</v>
      </c>
      <c r="E234" s="3">
        <f>IF(ISERROR(VLOOKUP($A234,'SegEnds_NonXtal_BW#'!$A:$Z,4,FALSE)+VLOOKUP($A234,A:AL,4,FALSE)-50),"-",(VLOOKUP($A234,'SegEnds_NonXtal_BW#'!$A:$Z,4,FALSE)+VLOOKUP($A234,A:AL,4,FALSE)-50))</f>
        <v>86</v>
      </c>
      <c r="F234" s="3">
        <f t="shared" si="140"/>
        <v>87</v>
      </c>
      <c r="G234" s="3">
        <v>89</v>
      </c>
      <c r="H234" s="3">
        <f t="shared" si="141"/>
        <v>90</v>
      </c>
      <c r="I234" s="3">
        <f t="shared" si="141"/>
        <v>91</v>
      </c>
      <c r="J234" s="3">
        <v>104</v>
      </c>
      <c r="K234" s="3">
        <f>VLOOKUP($A234,'SegEnds_NonXtal_BW#'!$A:$Z,8,FALSE)+VLOOKUP($A234,A:AL,10,FALSE)-50</f>
        <v>120</v>
      </c>
      <c r="L234" s="3">
        <f t="shared" ref="L234:L251" si="142">M234-1</f>
        <v>122</v>
      </c>
      <c r="M234" s="3">
        <v>123</v>
      </c>
      <c r="N234" s="3">
        <f t="shared" ref="N234:N251" si="143">M234+2</f>
        <v>125</v>
      </c>
      <c r="O234" s="3">
        <f t="shared" si="139"/>
        <v>126</v>
      </c>
      <c r="P234" s="3">
        <v>155</v>
      </c>
      <c r="Q234" s="3">
        <f>VLOOKUP($A234,'SegEnds_NonXtal_BW#'!$A:$Z,12,FALSE)+VLOOKUP($A234,A:AL,16,FALSE)-50</f>
        <v>161</v>
      </c>
      <c r="R234" s="3">
        <f>IF(ISERROR(VLOOKUP($A234,'SegEnds_NonXtal_BW#'!$A:$Z,13,FALSE)+VLOOKUP($A234,A:AL,19,FALSE)-50),"-",VLOOKUP($A234,'SegEnds_NonXtal_BW#'!$A:$Z,13,FALSE)+VLOOKUP($A234,A:AL,19,FALSE)-50)</f>
        <v>162</v>
      </c>
      <c r="S234" s="3">
        <v>162</v>
      </c>
      <c r="T234" s="100">
        <f>IF(ISERROR(VLOOKUP($A234,'SegEnds_NonXtal_BW#'!$A:$Z,14,FALSE)+VLOOKUP($A234,A:AL,19,FALSE)-50),"-",(VLOOKUP($A234,'SegEnds_NonXtal_BW#'!$A:$Z,14,FALSE)+VLOOKUP($A234,A:AL,19,FALSE)-50))</f>
        <v>169</v>
      </c>
      <c r="U234" s="9">
        <f>IF(ISERROR(VLOOKUP($A234,'SegEnds_NonXtal_BW#'!$A:$Z,15,FALSE)+VLOOKUP($A234,A:AL,22,FALSE)-50),"-",VLOOKUP($A234,'SegEnds_NonXtal_BW#'!$A:$Z,15,FALSE)+VLOOKUP($A234,A:AL,22,FALSE)-50)</f>
        <v>170</v>
      </c>
      <c r="V234" s="3">
        <v>182</v>
      </c>
      <c r="W234" s="3">
        <f>IF(ISERROR(VLOOKUP($A234,'SegEnds_NonXtal_BW#'!$A:$Z,16,FALSE)+VLOOKUP($A234,A:AL,22,FALSE)-50),"-",(VLOOKUP($A234,'SegEnds_NonXtal_BW#'!$A:$Z,16,FALSE)+VLOOKUP($A234,A:AL,22,FALSE)-50))</f>
        <v>196</v>
      </c>
      <c r="X234" s="3">
        <f>IF(ISERROR(VLOOKUP($A234,'SegEnds_NonXtal_BW#'!$A:$Z,17,FALSE)+VLOOKUP($A234,A:AL,25,FALSE)-50),"-",(VLOOKUP($A234,'SegEnds_NonXtal_BW#'!$A:$Z,17,FALSE)+VLOOKUP($A234,A:AL,25,FALSE)-50))</f>
        <v>208</v>
      </c>
      <c r="Y234" s="3">
        <v>208</v>
      </c>
      <c r="Z234" s="3">
        <f t="shared" ref="Z234:Z268" si="144">Y234+2</f>
        <v>210</v>
      </c>
      <c r="AA234" s="3">
        <f>IF(ISERROR(VLOOKUP($A234,'SegEnds_NonXtal_BW#'!$A:$Z,19,FALSE)+VLOOKUP($A234,A:AL,28,FALSE)-50),"-",(VLOOKUP($A234,'SegEnds_NonXtal_BW#'!$A:$Z,19,FALSE)+VLOOKUP($A234,A:AL,28,FALSE)-50))</f>
        <v>215</v>
      </c>
      <c r="AB234" s="3">
        <v>235</v>
      </c>
      <c r="AC234" s="3">
        <f>IF(ISERROR((VLOOKUP($A234,'SegEnds_NonXtal_BW#'!$A:$Z,20,FALSE)+VLOOKUP($A234,A:AL,28,FALSE)-50)),"-",(VLOOKUP($A234,'SegEnds_NonXtal_BW#'!$A:$Z,20,FALSE)+VLOOKUP($A234,A:AL,28,FALSE)-50))</f>
        <v>253</v>
      </c>
      <c r="AD234" s="3">
        <f>IF(ISERROR(VLOOKUP($A234,'SegEnds_NonXtal_BW#'!$A:$Z,21,FALSE)+VLOOKUP($A234,A:AL,31,FALSE)-50),"-",(VLOOKUP($A234,'SegEnds_NonXtal_BW#'!$A:$Z,21,FALSE)+VLOOKUP($A234,A:AL,31,FALSE)-50))</f>
        <v>259</v>
      </c>
      <c r="AE234" s="3">
        <v>286</v>
      </c>
      <c r="AF234" s="3">
        <f>IF(ISERROR((VLOOKUP($A234,'SegEnds_NonXtal_BW#'!$A:$Z,22,FALSE)+VLOOKUP($A234,A:AL,31,FALSE)-50)),"-",(VLOOKUP($A234,'SegEnds_NonXtal_BW#'!$A:$Z,22,FALSE)+VLOOKUP($A234,A:AL,31,FALSE)-50))</f>
        <v>297</v>
      </c>
      <c r="AG234" s="3">
        <f>IF(ISERROR(VLOOKUP($A234,'SegEnds_NonXtal_BW#'!$A:$Z,23,FALSE)+VLOOKUP($A234,A:AL,34,FALSE)-50),"-",(VLOOKUP($A234,'SegEnds_NonXtal_BW#'!$A:$Z,23,FALSE)+VLOOKUP($A234,A:AL,34,FALSE)-50))</f>
        <v>302</v>
      </c>
      <c r="AH234" s="3">
        <v>320</v>
      </c>
      <c r="AI234" s="3">
        <f>IF(ISERROR((VLOOKUP($A234,'SegEnds_NonXtal_BW#'!$A:$Z,24,FALSE)+VLOOKUP($A234,A:AL,34,FALSE)-50)),"-",(VLOOKUP($A234,'SegEnds_NonXtal_BW#'!$A:$Z,24,FALSE)+VLOOKUP($A234,A:AL,34,FALSE)-50))</f>
        <v>326</v>
      </c>
      <c r="AJ234" s="3">
        <f>IF(ISERROR(VLOOKUP($A234,'SegEnds_NonXtal_BW#'!$A:$Z,25,FALSE)+VLOOKUP($A234,A:AL,37,FALSE)-50),"-",(VLOOKUP($A234,'SegEnds_NonXtal_BW#'!$A:$Z,25,FALSE)+VLOOKUP($A234,A:AL,37,FALSE)-50))</f>
        <v>327</v>
      </c>
      <c r="AK234" s="3">
        <v>330</v>
      </c>
      <c r="AL234" s="3">
        <f>IF(ISERROR((VLOOKUP($A234,'SegEnds_NonXtal_BW#'!$A:$Z,26,FALSE)+VLOOKUP($A234,A:AL,37,FALSE)-50)),"-",(VLOOKUP($A234,'SegEnds_NonXtal_BW#'!$A:$Z,26,FALSE)+VLOOKUP($A234,A:AL,37,FALSE)-50))</f>
        <v>339</v>
      </c>
      <c r="AM234" s="28" t="str">
        <f>VLOOKUP(A234,Classification!A:B,2,FALSE)</f>
        <v>A</v>
      </c>
      <c r="AN234" s="28" t="b">
        <f t="shared" si="133"/>
        <v>1</v>
      </c>
      <c r="AO234" s="3" t="str">
        <f>IF(ISERROR(MATCH(A234,'SegEnds_Xtal_Prot#'!B:B, 0)), "NoXtal", "Xtal")</f>
        <v>NoXtal</v>
      </c>
      <c r="AP234" s="3">
        <f t="shared" si="118"/>
        <v>1</v>
      </c>
      <c r="AQ234" s="3">
        <f t="shared" si="119"/>
        <v>1</v>
      </c>
      <c r="AR234" s="3">
        <f t="shared" si="120"/>
        <v>2</v>
      </c>
      <c r="AS234" s="3">
        <f t="shared" si="121"/>
        <v>1</v>
      </c>
      <c r="AT234" s="3">
        <f t="shared" si="122"/>
        <v>1</v>
      </c>
      <c r="AU234" s="3">
        <f t="shared" si="123"/>
        <v>1</v>
      </c>
      <c r="AV234" s="3">
        <f t="shared" si="124"/>
        <v>12</v>
      </c>
      <c r="AW234" s="3">
        <f t="shared" si="125"/>
        <v>5</v>
      </c>
      <c r="AX234" s="3">
        <f t="shared" si="126"/>
        <v>6</v>
      </c>
      <c r="AY234" s="3">
        <f t="shared" si="127"/>
        <v>5</v>
      </c>
      <c r="AZ234" s="3">
        <f t="shared" si="128"/>
        <v>1</v>
      </c>
      <c r="BA234" s="3">
        <f>IF(ISERROR(LEN(VLOOKUP(A234,Seqs!A:E,2,FALSE))-AL234),"-",LEN(VLOOKUP(A234,Seqs!A:E,2,FALSE))-AL234)</f>
        <v>52</v>
      </c>
      <c r="BB234" s="16">
        <f t="shared" si="129"/>
        <v>28</v>
      </c>
      <c r="BC234" s="9">
        <f t="shared" si="130"/>
        <v>20</v>
      </c>
      <c r="BD234" s="3">
        <f t="shared" si="131"/>
        <v>28</v>
      </c>
      <c r="BE234" s="3">
        <f t="shared" si="132"/>
        <v>51</v>
      </c>
    </row>
    <row r="235" spans="1:58" s="3" customFormat="1" x14ac:dyDescent="0.2">
      <c r="A235" s="3" t="s">
        <v>382</v>
      </c>
      <c r="B235" s="3" t="str">
        <f>LOWER(VLOOKUP(A235,Xtal_Templ!A:B,2,FALSE))</f>
        <v>oprk_human</v>
      </c>
      <c r="C235" s="3">
        <f>VLOOKUP($A235,'SegEnds_NonXtal_BW#'!$A:$Z,3,FALSE)+D235-50</f>
        <v>41</v>
      </c>
      <c r="D235" s="3">
        <v>61</v>
      </c>
      <c r="E235" s="3">
        <f>IF(ISERROR(VLOOKUP($A235,'SegEnds_NonXtal_BW#'!$A:$Z,4,FALSE)+VLOOKUP($A235,A:AL,4,FALSE)-50),"-",(VLOOKUP($A235,'SegEnds_NonXtal_BW#'!$A:$Z,4,FALSE)+VLOOKUP($A235,A:AL,4,FALSE)-50))</f>
        <v>71</v>
      </c>
      <c r="F235" s="3">
        <f t="shared" si="140"/>
        <v>72</v>
      </c>
      <c r="G235" s="3">
        <v>74</v>
      </c>
      <c r="H235" s="3">
        <f t="shared" si="141"/>
        <v>75</v>
      </c>
      <c r="I235" s="3">
        <f t="shared" si="141"/>
        <v>76</v>
      </c>
      <c r="J235" s="3">
        <v>89</v>
      </c>
      <c r="K235" s="3">
        <f>VLOOKUP($A235,'SegEnds_NonXtal_BW#'!$A:$Z,8,FALSE)+VLOOKUP($A235,A:AL,10,FALSE)-50</f>
        <v>105</v>
      </c>
      <c r="L235" s="3">
        <f t="shared" si="142"/>
        <v>107</v>
      </c>
      <c r="M235" s="3">
        <v>108</v>
      </c>
      <c r="N235" s="3">
        <f t="shared" si="143"/>
        <v>110</v>
      </c>
      <c r="O235" s="3">
        <f t="shared" si="139"/>
        <v>111</v>
      </c>
      <c r="P235" s="3">
        <v>140</v>
      </c>
      <c r="Q235" s="3">
        <f>VLOOKUP($A235,'SegEnds_NonXtal_BW#'!$A:$Z,12,FALSE)+VLOOKUP($A235,A:AL,16,FALSE)-50</f>
        <v>146</v>
      </c>
      <c r="R235" s="3">
        <f>IF(ISERROR(VLOOKUP($A235,'SegEnds_NonXtal_BW#'!$A:$Z,13,FALSE)+VLOOKUP($A235,A:AL,19,FALSE)-50),"-",VLOOKUP($A235,'SegEnds_NonXtal_BW#'!$A:$Z,13,FALSE)+VLOOKUP($A235,A:AL,19,FALSE)-50)</f>
        <v>147</v>
      </c>
      <c r="S235" s="3">
        <v>147</v>
      </c>
      <c r="T235" s="100">
        <f>IF(ISERROR(VLOOKUP($A235,'SegEnds_NonXtal_BW#'!$A:$Z,14,FALSE)+VLOOKUP($A235,A:AL,19,FALSE)-50),"-",(VLOOKUP($A235,'SegEnds_NonXtal_BW#'!$A:$Z,14,FALSE)+VLOOKUP($A235,A:AL,19,FALSE)-50))</f>
        <v>154</v>
      </c>
      <c r="U235" s="9">
        <f>IF(ISERROR(VLOOKUP($A235,'SegEnds_NonXtal_BW#'!$A:$Z,15,FALSE)+VLOOKUP($A235,A:AL,22,FALSE)-50),"-",VLOOKUP($A235,'SegEnds_NonXtal_BW#'!$A:$Z,15,FALSE)+VLOOKUP($A235,A:AL,22,FALSE)-50)</f>
        <v>155</v>
      </c>
      <c r="V235" s="3">
        <v>167</v>
      </c>
      <c r="W235" s="3">
        <f>IF(ISERROR(VLOOKUP($A235,'SegEnds_NonXtal_BW#'!$A:$Z,16,FALSE)+VLOOKUP($A235,A:AL,22,FALSE)-50),"-",(VLOOKUP($A235,'SegEnds_NonXtal_BW#'!$A:$Z,16,FALSE)+VLOOKUP($A235,A:AL,22,FALSE)-50))</f>
        <v>181</v>
      </c>
      <c r="X235" s="3">
        <f>IF(ISERROR(VLOOKUP($A235,'SegEnds_NonXtal_BW#'!$A:$Z,17,FALSE)+VLOOKUP($A235,A:AL,25,FALSE)-50),"-",(VLOOKUP($A235,'SegEnds_NonXtal_BW#'!$A:$Z,17,FALSE)+VLOOKUP($A235,A:AL,25,FALSE)-50))</f>
        <v>193</v>
      </c>
      <c r="Y235" s="3">
        <v>193</v>
      </c>
      <c r="Z235" s="3">
        <f t="shared" si="144"/>
        <v>195</v>
      </c>
      <c r="AA235" s="3">
        <f>IF(ISERROR(VLOOKUP($A235,'SegEnds_NonXtal_BW#'!$A:$Z,19,FALSE)+VLOOKUP($A235,A:AL,28,FALSE)-50),"-",(VLOOKUP($A235,'SegEnds_NonXtal_BW#'!$A:$Z,19,FALSE)+VLOOKUP($A235,A:AL,28,FALSE)-50))</f>
        <v>200</v>
      </c>
      <c r="AB235" s="3">
        <v>220</v>
      </c>
      <c r="AC235" s="3">
        <f>IF(ISERROR((VLOOKUP($A235,'SegEnds_NonXtal_BW#'!$A:$Z,20,FALSE)+VLOOKUP($A235,A:AL,28,FALSE)-50)),"-",(VLOOKUP($A235,'SegEnds_NonXtal_BW#'!$A:$Z,20,FALSE)+VLOOKUP($A235,A:AL,28,FALSE)-50))</f>
        <v>238</v>
      </c>
      <c r="AD235" s="3">
        <f>IF(ISERROR(VLOOKUP($A235,'SegEnds_NonXtal_BW#'!$A:$Z,21,FALSE)+VLOOKUP($A235,A:AL,31,FALSE)-50),"-",(VLOOKUP($A235,'SegEnds_NonXtal_BW#'!$A:$Z,21,FALSE)+VLOOKUP($A235,A:AL,31,FALSE)-50))</f>
        <v>244</v>
      </c>
      <c r="AE235" s="3">
        <v>271</v>
      </c>
      <c r="AF235" s="3">
        <f>IF(ISERROR((VLOOKUP($A235,'SegEnds_NonXtal_BW#'!$A:$Z,22,FALSE)+VLOOKUP($A235,A:AL,31,FALSE)-50)),"-",(VLOOKUP($A235,'SegEnds_NonXtal_BW#'!$A:$Z,22,FALSE)+VLOOKUP($A235,A:AL,31,FALSE)-50))</f>
        <v>282</v>
      </c>
      <c r="AG235" s="3">
        <f>IF(ISERROR(VLOOKUP($A235,'SegEnds_NonXtal_BW#'!$A:$Z,23,FALSE)+VLOOKUP($A235,A:AL,34,FALSE)-50),"-",(VLOOKUP($A235,'SegEnds_NonXtal_BW#'!$A:$Z,23,FALSE)+VLOOKUP($A235,A:AL,34,FALSE)-50))</f>
        <v>287</v>
      </c>
      <c r="AH235" s="3">
        <v>309</v>
      </c>
      <c r="AI235" s="3">
        <f>IF(ISERROR((VLOOKUP($A235,'SegEnds_NonXtal_BW#'!$A:$Z,24,FALSE)+VLOOKUP($A235,A:AL,34,FALSE)-50)),"-",(VLOOKUP($A235,'SegEnds_NonXtal_BW#'!$A:$Z,24,FALSE)+VLOOKUP($A235,A:AL,34,FALSE)-50))</f>
        <v>315</v>
      </c>
      <c r="AJ235" s="3">
        <f>IF(ISERROR(VLOOKUP($A235,'SegEnds_NonXtal_BW#'!$A:$Z,25,FALSE)+VLOOKUP($A235,A:AL,37,FALSE)-50),"-",(VLOOKUP($A235,'SegEnds_NonXtal_BW#'!$A:$Z,25,FALSE)+VLOOKUP($A235,A:AL,37,FALSE)-50))</f>
        <v>316</v>
      </c>
      <c r="AK235" s="3">
        <v>319</v>
      </c>
      <c r="AL235" s="3">
        <f>IF(ISERROR((VLOOKUP($A235,'SegEnds_NonXtal_BW#'!$A:$Z,26,FALSE)+VLOOKUP($A235,A:AL,37,FALSE)-50)),"-",(VLOOKUP($A235,'SegEnds_NonXtal_BW#'!$A:$Z,26,FALSE)+VLOOKUP($A235,A:AL,37,FALSE)-50))</f>
        <v>328</v>
      </c>
      <c r="AM235" s="28" t="str">
        <f>VLOOKUP(A235,Classification!A:B,2,FALSE)</f>
        <v>A</v>
      </c>
      <c r="AN235" s="28" t="b">
        <f t="shared" si="133"/>
        <v>1</v>
      </c>
      <c r="AO235" s="3" t="str">
        <f>IF(ISERROR(MATCH(A235,'SegEnds_Xtal_Prot#'!B:B, 0)), "NoXtal", "Xtal")</f>
        <v>NoXtal</v>
      </c>
      <c r="AP235" s="3">
        <f t="shared" si="118"/>
        <v>1</v>
      </c>
      <c r="AQ235" s="3">
        <f t="shared" si="119"/>
        <v>1</v>
      </c>
      <c r="AR235" s="3">
        <f t="shared" si="120"/>
        <v>2</v>
      </c>
      <c r="AS235" s="3">
        <f t="shared" si="121"/>
        <v>1</v>
      </c>
      <c r="AT235" s="3">
        <f t="shared" si="122"/>
        <v>1</v>
      </c>
      <c r="AU235" s="3">
        <f t="shared" si="123"/>
        <v>1</v>
      </c>
      <c r="AV235" s="3">
        <f t="shared" si="124"/>
        <v>12</v>
      </c>
      <c r="AW235" s="3">
        <f t="shared" si="125"/>
        <v>5</v>
      </c>
      <c r="AX235" s="3">
        <f t="shared" si="126"/>
        <v>6</v>
      </c>
      <c r="AY235" s="3">
        <f t="shared" si="127"/>
        <v>5</v>
      </c>
      <c r="AZ235" s="3">
        <f t="shared" si="128"/>
        <v>1</v>
      </c>
      <c r="BA235" s="3">
        <f>IF(ISERROR(LEN(VLOOKUP(A235,Seqs!A:E,2,FALSE))-AL235),"-",LEN(VLOOKUP(A235,Seqs!A:E,2,FALSE))-AL235)</f>
        <v>41</v>
      </c>
      <c r="BB235" s="16">
        <f t="shared" si="129"/>
        <v>28</v>
      </c>
      <c r="BC235" s="9">
        <f t="shared" si="130"/>
        <v>20</v>
      </c>
      <c r="BD235" s="3">
        <f t="shared" si="131"/>
        <v>28</v>
      </c>
      <c r="BE235" s="3">
        <f t="shared" si="132"/>
        <v>51</v>
      </c>
    </row>
    <row r="236" spans="1:58" s="3" customFormat="1" x14ac:dyDescent="0.2">
      <c r="A236" s="3" t="s">
        <v>383</v>
      </c>
      <c r="B236" s="3" t="str">
        <f>LOWER(VLOOKUP(A236,Xtal_Templ!A:B,2,FALSE))</f>
        <v>oprk_human</v>
      </c>
      <c r="C236" s="3">
        <f>VLOOKUP($A236,'SegEnds_NonXtal_BW#'!$A:$Z,3,FALSE)+D236-50</f>
        <v>42</v>
      </c>
      <c r="D236" s="3">
        <v>62</v>
      </c>
      <c r="E236" s="3">
        <f>IF(ISERROR(VLOOKUP($A236,'SegEnds_NonXtal_BW#'!$A:$Z,4,FALSE)+VLOOKUP($A236,A:AL,4,FALSE)-50),"-",(VLOOKUP($A236,'SegEnds_NonXtal_BW#'!$A:$Z,4,FALSE)+VLOOKUP($A236,A:AL,4,FALSE)-50))</f>
        <v>72</v>
      </c>
      <c r="F236" s="3">
        <f t="shared" si="140"/>
        <v>73</v>
      </c>
      <c r="G236" s="3">
        <v>75</v>
      </c>
      <c r="H236" s="3">
        <f t="shared" si="141"/>
        <v>76</v>
      </c>
      <c r="I236" s="3">
        <f t="shared" si="141"/>
        <v>77</v>
      </c>
      <c r="J236" s="3">
        <v>90</v>
      </c>
      <c r="K236" s="3">
        <f>VLOOKUP($A236,'SegEnds_NonXtal_BW#'!$A:$Z,8,FALSE)+VLOOKUP($A236,A:AL,10,FALSE)-50</f>
        <v>106</v>
      </c>
      <c r="L236" s="3">
        <f t="shared" si="142"/>
        <v>108</v>
      </c>
      <c r="M236" s="3">
        <v>109</v>
      </c>
      <c r="N236" s="3">
        <f t="shared" si="143"/>
        <v>111</v>
      </c>
      <c r="O236" s="3">
        <f t="shared" si="139"/>
        <v>112</v>
      </c>
      <c r="P236" s="3">
        <v>141</v>
      </c>
      <c r="Q236" s="3">
        <f>VLOOKUP($A236,'SegEnds_NonXtal_BW#'!$A:$Z,12,FALSE)+VLOOKUP($A236,A:AL,16,FALSE)-50</f>
        <v>147</v>
      </c>
      <c r="R236" s="3">
        <f>IF(ISERROR(VLOOKUP($A236,'SegEnds_NonXtal_BW#'!$A:$Z,13,FALSE)+VLOOKUP($A236,A:AL,19,FALSE)-50),"-",VLOOKUP($A236,'SegEnds_NonXtal_BW#'!$A:$Z,13,FALSE)+VLOOKUP($A236,A:AL,19,FALSE)-50)</f>
        <v>148</v>
      </c>
      <c r="S236" s="3">
        <v>148</v>
      </c>
      <c r="T236" s="100">
        <f>IF(ISERROR(VLOOKUP($A236,'SegEnds_NonXtal_BW#'!$A:$Z,14,FALSE)+VLOOKUP($A236,A:AL,19,FALSE)-50),"-",(VLOOKUP($A236,'SegEnds_NonXtal_BW#'!$A:$Z,14,FALSE)+VLOOKUP($A236,A:AL,19,FALSE)-50))</f>
        <v>155</v>
      </c>
      <c r="U236" s="9">
        <f>IF(ISERROR(VLOOKUP($A236,'SegEnds_NonXtal_BW#'!$A:$Z,15,FALSE)+VLOOKUP($A236,A:AL,22,FALSE)-50),"-",VLOOKUP($A236,'SegEnds_NonXtal_BW#'!$A:$Z,15,FALSE)+VLOOKUP($A236,A:AL,22,FALSE)-50)</f>
        <v>156</v>
      </c>
      <c r="V236" s="3">
        <v>168</v>
      </c>
      <c r="W236" s="3">
        <f>IF(ISERROR(VLOOKUP($A236,'SegEnds_NonXtal_BW#'!$A:$Z,16,FALSE)+VLOOKUP($A236,A:AL,22,FALSE)-50),"-",(VLOOKUP($A236,'SegEnds_NonXtal_BW#'!$A:$Z,16,FALSE)+VLOOKUP($A236,A:AL,22,FALSE)-50))</f>
        <v>182</v>
      </c>
      <c r="X236" s="3">
        <f>IF(ISERROR(VLOOKUP($A236,'SegEnds_NonXtal_BW#'!$A:$Z,17,FALSE)+VLOOKUP($A236,A:AL,25,FALSE)-50),"-",(VLOOKUP($A236,'SegEnds_NonXtal_BW#'!$A:$Z,17,FALSE)+VLOOKUP($A236,A:AL,25,FALSE)-50))</f>
        <v>191</v>
      </c>
      <c r="Y236" s="3">
        <v>191</v>
      </c>
      <c r="Z236" s="3">
        <f t="shared" si="144"/>
        <v>193</v>
      </c>
      <c r="AA236" s="3">
        <f>IF(ISERROR(VLOOKUP($A236,'SegEnds_NonXtal_BW#'!$A:$Z,19,FALSE)+VLOOKUP($A236,A:AL,28,FALSE)-50),"-",(VLOOKUP($A236,'SegEnds_NonXtal_BW#'!$A:$Z,19,FALSE)+VLOOKUP($A236,A:AL,28,FALSE)-50))</f>
        <v>198</v>
      </c>
      <c r="AB236" s="3">
        <v>218</v>
      </c>
      <c r="AC236" s="3">
        <f>IF(ISERROR((VLOOKUP($A236,'SegEnds_NonXtal_BW#'!$A:$Z,20,FALSE)+VLOOKUP($A236,A:AL,28,FALSE)-50)),"-",(VLOOKUP($A236,'SegEnds_NonXtal_BW#'!$A:$Z,20,FALSE)+VLOOKUP($A236,A:AL,28,FALSE)-50))</f>
        <v>240</v>
      </c>
      <c r="AD236" s="3">
        <f>IF(ISERROR(VLOOKUP($A236,'SegEnds_NonXtal_BW#'!$A:$Z,21,FALSE)+VLOOKUP($A236,A:AL,31,FALSE)-50),"-",(VLOOKUP($A236,'SegEnds_NonXtal_BW#'!$A:$Z,21,FALSE)+VLOOKUP($A236,A:AL,31,FALSE)-50))</f>
        <v>246</v>
      </c>
      <c r="AE236" s="3">
        <v>272</v>
      </c>
      <c r="AF236" s="3">
        <f>IF(ISERROR((VLOOKUP($A236,'SegEnds_NonXtal_BW#'!$A:$Z,22,FALSE)+VLOOKUP($A236,A:AL,31,FALSE)-50)),"-",(VLOOKUP($A236,'SegEnds_NonXtal_BW#'!$A:$Z,22,FALSE)+VLOOKUP($A236,A:AL,31,FALSE)-50))</f>
        <v>283</v>
      </c>
      <c r="AG236" s="3">
        <f>IF(ISERROR(VLOOKUP($A236,'SegEnds_NonXtal_BW#'!$A:$Z,23,FALSE)+VLOOKUP($A236,A:AL,34,FALSE)-50),"-",(VLOOKUP($A236,'SegEnds_NonXtal_BW#'!$A:$Z,23,FALSE)+VLOOKUP($A236,A:AL,34,FALSE)-50))</f>
        <v>288</v>
      </c>
      <c r="AH236" s="3">
        <v>310</v>
      </c>
      <c r="AI236" s="3">
        <f>IF(ISERROR((VLOOKUP($A236,'SegEnds_NonXtal_BW#'!$A:$Z,24,FALSE)+VLOOKUP($A236,A:AL,34,FALSE)-50)),"-",(VLOOKUP($A236,'SegEnds_NonXtal_BW#'!$A:$Z,24,FALSE)+VLOOKUP($A236,A:AL,34,FALSE)-50))</f>
        <v>316</v>
      </c>
      <c r="AJ236" s="3">
        <f>IF(ISERROR(VLOOKUP($A236,'SegEnds_NonXtal_BW#'!$A:$Z,25,FALSE)+VLOOKUP($A236,A:AL,37,FALSE)-50),"-",(VLOOKUP($A236,'SegEnds_NonXtal_BW#'!$A:$Z,25,FALSE)+VLOOKUP($A236,A:AL,37,FALSE)-50))</f>
        <v>317</v>
      </c>
      <c r="AK236" s="3">
        <v>320</v>
      </c>
      <c r="AL236" s="3">
        <f>IF(ISERROR((VLOOKUP($A236,'SegEnds_NonXtal_BW#'!$A:$Z,26,FALSE)+VLOOKUP($A236,A:AL,37,FALSE)-50)),"-",(VLOOKUP($A236,'SegEnds_NonXtal_BW#'!$A:$Z,26,FALSE)+VLOOKUP($A236,A:AL,37,FALSE)-50))</f>
        <v>329</v>
      </c>
      <c r="AM236" s="28" t="str">
        <f>VLOOKUP(A236,Classification!A:B,2,FALSE)</f>
        <v>A</v>
      </c>
      <c r="AN236" s="28" t="b">
        <f t="shared" si="133"/>
        <v>1</v>
      </c>
      <c r="AO236" s="3" t="str">
        <f>IF(ISERROR(MATCH(A236,'SegEnds_Xtal_Prot#'!B:B, 0)), "NoXtal", "Xtal")</f>
        <v>NoXtal</v>
      </c>
      <c r="AP236" s="3">
        <f t="shared" si="118"/>
        <v>1</v>
      </c>
      <c r="AQ236" s="3">
        <f t="shared" si="119"/>
        <v>1</v>
      </c>
      <c r="AR236" s="3">
        <f t="shared" si="120"/>
        <v>2</v>
      </c>
      <c r="AS236" s="3">
        <f t="shared" si="121"/>
        <v>1</v>
      </c>
      <c r="AT236" s="3">
        <f t="shared" si="122"/>
        <v>1</v>
      </c>
      <c r="AU236" s="3">
        <f t="shared" si="123"/>
        <v>1</v>
      </c>
      <c r="AV236" s="3">
        <f t="shared" si="124"/>
        <v>9</v>
      </c>
      <c r="AW236" s="3">
        <f t="shared" si="125"/>
        <v>5</v>
      </c>
      <c r="AX236" s="3">
        <f t="shared" si="126"/>
        <v>6</v>
      </c>
      <c r="AY236" s="3">
        <f t="shared" si="127"/>
        <v>5</v>
      </c>
      <c r="AZ236" s="3">
        <f t="shared" si="128"/>
        <v>1</v>
      </c>
      <c r="BA236" s="3">
        <f>IF(ISERROR(LEN(VLOOKUP(A236,Seqs!A:E,2,FALSE))-AL236),"-",LEN(VLOOKUP(A236,Seqs!A:E,2,FALSE))-AL236)</f>
        <v>89</v>
      </c>
      <c r="BB236" s="16">
        <f t="shared" si="129"/>
        <v>28</v>
      </c>
      <c r="BC236" s="9">
        <f t="shared" si="130"/>
        <v>20</v>
      </c>
      <c r="BD236" s="3">
        <f t="shared" si="131"/>
        <v>28</v>
      </c>
      <c r="BE236" s="3">
        <f t="shared" si="132"/>
        <v>54</v>
      </c>
    </row>
    <row r="237" spans="1:58" s="3" customFormat="1" x14ac:dyDescent="0.2">
      <c r="A237" s="3" t="s">
        <v>384</v>
      </c>
      <c r="B237" s="3" t="str">
        <f>LOWER(VLOOKUP(A237,Xtal_Templ!A:B,2,FALSE))</f>
        <v>oprd_human</v>
      </c>
      <c r="C237" s="3">
        <f>VLOOKUP($A237,'SegEnds_NonXtal_BW#'!$A:$Z,3,FALSE)+D237-50</f>
        <v>37</v>
      </c>
      <c r="D237" s="3">
        <v>65</v>
      </c>
      <c r="E237" s="3">
        <f>IF(ISERROR(VLOOKUP($A237,'SegEnds_NonXtal_BW#'!$A:$Z,4,FALSE)+VLOOKUP($A237,A:AL,4,FALSE)-50),"-",(VLOOKUP($A237,'SegEnds_NonXtal_BW#'!$A:$Z,4,FALSE)+VLOOKUP($A237,A:AL,4,FALSE)-50))</f>
        <v>75</v>
      </c>
      <c r="F237" s="3">
        <f t="shared" si="140"/>
        <v>76</v>
      </c>
      <c r="G237" s="3">
        <v>78</v>
      </c>
      <c r="H237" s="3">
        <f t="shared" si="141"/>
        <v>79</v>
      </c>
      <c r="I237" s="3">
        <f t="shared" si="141"/>
        <v>80</v>
      </c>
      <c r="J237" s="3">
        <v>93</v>
      </c>
      <c r="K237" s="3">
        <f>VLOOKUP($A237,'SegEnds_NonXtal_BW#'!$A:$Z,8,FALSE)+VLOOKUP($A237,A:AL,10,FALSE)-50</f>
        <v>109</v>
      </c>
      <c r="L237" s="3">
        <f t="shared" si="142"/>
        <v>111</v>
      </c>
      <c r="M237" s="3">
        <v>112</v>
      </c>
      <c r="N237" s="3">
        <f t="shared" si="143"/>
        <v>114</v>
      </c>
      <c r="O237" s="3">
        <f t="shared" si="139"/>
        <v>115</v>
      </c>
      <c r="P237" s="3">
        <v>144</v>
      </c>
      <c r="Q237" s="3">
        <f>VLOOKUP($A237,'SegEnds_NonXtal_BW#'!$A:$Z,12,FALSE)+VLOOKUP($A237,A:AL,16,FALSE)-50</f>
        <v>150</v>
      </c>
      <c r="R237" s="3">
        <f>IF(ISERROR(VLOOKUP($A237,'SegEnds_NonXtal_BW#'!$A:$Z,13,FALSE)+VLOOKUP($A237,A:AL,19,FALSE)-50),"-",VLOOKUP($A237,'SegEnds_NonXtal_BW#'!$A:$Z,13,FALSE)+VLOOKUP($A237,A:AL,19,FALSE)-50)</f>
        <v>151</v>
      </c>
      <c r="S237" s="3">
        <v>151</v>
      </c>
      <c r="T237" s="100">
        <f>IF(ISERROR(VLOOKUP($A237,'SegEnds_NonXtal_BW#'!$A:$Z,14,FALSE)+VLOOKUP($A237,A:AL,19,FALSE)-50),"-",(VLOOKUP($A237,'SegEnds_NonXtal_BW#'!$A:$Z,14,FALSE)+VLOOKUP($A237,A:AL,19,FALSE)-50))</f>
        <v>158</v>
      </c>
      <c r="U237" s="9">
        <f>IF(ISERROR(VLOOKUP($A237,'SegEnds_NonXtal_BW#'!$A:$Z,15,FALSE)+VLOOKUP($A237,A:AL,22,FALSE)-50),"-",VLOOKUP($A237,'SegEnds_NonXtal_BW#'!$A:$Z,15,FALSE)+VLOOKUP($A237,A:AL,22,FALSE)-50)</f>
        <v>159</v>
      </c>
      <c r="V237" s="3">
        <v>171</v>
      </c>
      <c r="W237" s="3">
        <f>IF(ISERROR(VLOOKUP($A237,'SegEnds_NonXtal_BW#'!$A:$Z,16,FALSE)+VLOOKUP($A237,A:AL,22,FALSE)-50),"-",(VLOOKUP($A237,'SegEnds_NonXtal_BW#'!$A:$Z,16,FALSE)+VLOOKUP($A237,A:AL,22,FALSE)-50))</f>
        <v>185</v>
      </c>
      <c r="X237" s="3">
        <f>IF(ISERROR(VLOOKUP($A237,'SegEnds_NonXtal_BW#'!$A:$Z,17,FALSE)+VLOOKUP($A237,A:AL,25,FALSE)-50),"-",(VLOOKUP($A237,'SegEnds_NonXtal_BW#'!$A:$Z,17,FALSE)+VLOOKUP($A237,A:AL,25,FALSE)-50))</f>
        <v>198</v>
      </c>
      <c r="Y237" s="3">
        <v>198</v>
      </c>
      <c r="Z237" s="3">
        <f t="shared" si="144"/>
        <v>200</v>
      </c>
      <c r="AA237" s="3">
        <f>IF(ISERROR(VLOOKUP($A237,'SegEnds_NonXtal_BW#'!$A:$Z,19,FALSE)+VLOOKUP($A237,A:AL,28,FALSE)-50),"-",(VLOOKUP($A237,'SegEnds_NonXtal_BW#'!$A:$Z,19,FALSE)+VLOOKUP($A237,A:AL,28,FALSE)-50))</f>
        <v>204</v>
      </c>
      <c r="AB237" s="3">
        <v>223</v>
      </c>
      <c r="AC237" s="3">
        <f>IF(ISERROR((VLOOKUP($A237,'SegEnds_NonXtal_BW#'!$A:$Z,20,FALSE)+VLOOKUP($A237,A:AL,28,FALSE)-50)),"-",(VLOOKUP($A237,'SegEnds_NonXtal_BW#'!$A:$Z,20,FALSE)+VLOOKUP($A237,A:AL,28,FALSE)-50))</f>
        <v>241</v>
      </c>
      <c r="AD237" s="3">
        <f>IF(ISERROR(VLOOKUP($A237,'SegEnds_NonXtal_BW#'!$A:$Z,21,FALSE)+VLOOKUP($A237,A:AL,31,FALSE)-50),"-",(VLOOKUP($A237,'SegEnds_NonXtal_BW#'!$A:$Z,21,FALSE)+VLOOKUP($A237,A:AL,31,FALSE)-50))</f>
        <v>247</v>
      </c>
      <c r="AE237" s="3">
        <v>274</v>
      </c>
      <c r="AF237" s="3">
        <f>IF(ISERROR((VLOOKUP($A237,'SegEnds_NonXtal_BW#'!$A:$Z,22,FALSE)+VLOOKUP($A237,A:AL,31,FALSE)-50)),"-",(VLOOKUP($A237,'SegEnds_NonXtal_BW#'!$A:$Z,22,FALSE)+VLOOKUP($A237,A:AL,31,FALSE)-50))</f>
        <v>285</v>
      </c>
      <c r="AG237" s="3">
        <f>IF(ISERROR(VLOOKUP($A237,'SegEnds_NonXtal_BW#'!$A:$Z,23,FALSE)+VLOOKUP($A237,A:AL,34,FALSE)-50),"-",(VLOOKUP($A237,'SegEnds_NonXtal_BW#'!$A:$Z,23,FALSE)+VLOOKUP($A237,A:AL,34,FALSE)-50))</f>
        <v>290</v>
      </c>
      <c r="AH237" s="3">
        <v>308</v>
      </c>
      <c r="AI237" s="3">
        <f>IF(ISERROR((VLOOKUP($A237,'SegEnds_NonXtal_BW#'!$A:$Z,24,FALSE)+VLOOKUP($A237,A:AL,34,FALSE)-50)),"-",(VLOOKUP($A237,'SegEnds_NonXtal_BW#'!$A:$Z,24,FALSE)+VLOOKUP($A237,A:AL,34,FALSE)-50))</f>
        <v>314</v>
      </c>
      <c r="AJ237" s="3">
        <f>IF(ISERROR(VLOOKUP($A237,'SegEnds_NonXtal_BW#'!$A:$Z,25,FALSE)+VLOOKUP($A237,A:AL,37,FALSE)-50),"-",(VLOOKUP($A237,'SegEnds_NonXtal_BW#'!$A:$Z,25,FALSE)+VLOOKUP($A237,A:AL,37,FALSE)-50))</f>
        <v>315</v>
      </c>
      <c r="AK237" s="3">
        <v>318</v>
      </c>
      <c r="AL237" s="3">
        <f>IF(ISERROR((VLOOKUP($A237,'SegEnds_NonXtal_BW#'!$A:$Z,26,FALSE)+VLOOKUP($A237,A:AL,37,FALSE)-50)),"-",(VLOOKUP($A237,'SegEnds_NonXtal_BW#'!$A:$Z,26,FALSE)+VLOOKUP($A237,A:AL,37,FALSE)-50))</f>
        <v>328</v>
      </c>
      <c r="AM237" s="28" t="str">
        <f>VLOOKUP(A237,Classification!A:B,2,FALSE)</f>
        <v>A</v>
      </c>
      <c r="AN237" s="28" t="b">
        <f t="shared" si="133"/>
        <v>1</v>
      </c>
      <c r="AO237" s="3" t="str">
        <f>IF(ISERROR(MATCH(A237,'SegEnds_Xtal_Prot#'!B:B, 0)), "NoXtal", "Xtal")</f>
        <v>NoXtal</v>
      </c>
      <c r="AP237" s="3">
        <f t="shared" si="118"/>
        <v>1</v>
      </c>
      <c r="AQ237" s="3">
        <f t="shared" si="119"/>
        <v>1</v>
      </c>
      <c r="AR237" s="3">
        <f t="shared" si="120"/>
        <v>2</v>
      </c>
      <c r="AS237" s="3">
        <f t="shared" si="121"/>
        <v>1</v>
      </c>
      <c r="AT237" s="3">
        <f t="shared" si="122"/>
        <v>1</v>
      </c>
      <c r="AU237" s="3">
        <f t="shared" si="123"/>
        <v>1</v>
      </c>
      <c r="AV237" s="3">
        <f t="shared" si="124"/>
        <v>13</v>
      </c>
      <c r="AW237" s="3">
        <f t="shared" si="125"/>
        <v>4</v>
      </c>
      <c r="AX237" s="3">
        <f t="shared" si="126"/>
        <v>6</v>
      </c>
      <c r="AY237" s="3">
        <f t="shared" si="127"/>
        <v>5</v>
      </c>
      <c r="AZ237" s="3">
        <f t="shared" si="128"/>
        <v>1</v>
      </c>
      <c r="BA237" s="3">
        <f>IF(ISERROR(LEN(VLOOKUP(A237,Seqs!A:E,2,FALSE))-AL237),"-",LEN(VLOOKUP(A237,Seqs!A:E,2,FALSE))-AL237)</f>
        <v>60</v>
      </c>
      <c r="BB237" s="16">
        <f t="shared" si="129"/>
        <v>28</v>
      </c>
      <c r="BC237" s="9">
        <f t="shared" si="130"/>
        <v>20</v>
      </c>
      <c r="BD237" s="3">
        <f t="shared" si="131"/>
        <v>28</v>
      </c>
      <c r="BE237" s="3">
        <f t="shared" si="132"/>
        <v>51</v>
      </c>
    </row>
    <row r="238" spans="1:58" s="3" customFormat="1" x14ac:dyDescent="0.2">
      <c r="A238" s="3" t="s">
        <v>385</v>
      </c>
      <c r="B238" s="3" t="str">
        <f>LOWER(VLOOKUP(A238,Xtal_Templ!A:B,2,FALSE))</f>
        <v>oprk_human</v>
      </c>
      <c r="C238" s="3">
        <f>VLOOKUP($A238,'SegEnds_NonXtal_BW#'!$A:$Z,3,FALSE)+D238-50</f>
        <v>38</v>
      </c>
      <c r="D238" s="3">
        <v>58</v>
      </c>
      <c r="E238" s="3">
        <f>IF(ISERROR(VLOOKUP($A238,'SegEnds_NonXtal_BW#'!$A:$Z,4,FALSE)+VLOOKUP($A238,A:AL,4,FALSE)-50),"-",(VLOOKUP($A238,'SegEnds_NonXtal_BW#'!$A:$Z,4,FALSE)+VLOOKUP($A238,A:AL,4,FALSE)-50))</f>
        <v>68</v>
      </c>
      <c r="F238" s="3">
        <f t="shared" si="140"/>
        <v>69</v>
      </c>
      <c r="G238" s="3">
        <v>71</v>
      </c>
      <c r="H238" s="3">
        <f t="shared" si="141"/>
        <v>72</v>
      </c>
      <c r="I238" s="3">
        <f t="shared" si="141"/>
        <v>73</v>
      </c>
      <c r="J238" s="3">
        <v>86</v>
      </c>
      <c r="K238" s="3">
        <f>VLOOKUP($A238,'SegEnds_NonXtal_BW#'!$A:$Z,8,FALSE)+VLOOKUP($A238,A:AL,10,FALSE)-50</f>
        <v>102</v>
      </c>
      <c r="L238" s="3">
        <f t="shared" si="142"/>
        <v>104</v>
      </c>
      <c r="M238" s="3">
        <v>105</v>
      </c>
      <c r="N238" s="3">
        <f t="shared" si="143"/>
        <v>107</v>
      </c>
      <c r="O238" s="3">
        <f t="shared" si="139"/>
        <v>108</v>
      </c>
      <c r="P238" s="3">
        <v>137</v>
      </c>
      <c r="Q238" s="3">
        <f>VLOOKUP($A238,'SegEnds_NonXtal_BW#'!$A:$Z,12,FALSE)+VLOOKUP($A238,A:AL,16,FALSE)-50</f>
        <v>143</v>
      </c>
      <c r="R238" s="3">
        <f>IF(ISERROR(VLOOKUP($A238,'SegEnds_NonXtal_BW#'!$A:$Z,13,FALSE)+VLOOKUP($A238,A:AL,19,FALSE)-50),"-",VLOOKUP($A238,'SegEnds_NonXtal_BW#'!$A:$Z,13,FALSE)+VLOOKUP($A238,A:AL,19,FALSE)-50)</f>
        <v>144</v>
      </c>
      <c r="S238" s="3">
        <v>144</v>
      </c>
      <c r="T238" s="100">
        <f>IF(ISERROR(VLOOKUP($A238,'SegEnds_NonXtal_BW#'!$A:$Z,14,FALSE)+VLOOKUP($A238,A:AL,19,FALSE)-50),"-",(VLOOKUP($A238,'SegEnds_NonXtal_BW#'!$A:$Z,14,FALSE)+VLOOKUP($A238,A:AL,19,FALSE)-50))</f>
        <v>151</v>
      </c>
      <c r="U238" s="9">
        <f>IF(ISERROR(VLOOKUP($A238,'SegEnds_NonXtal_BW#'!$A:$Z,15,FALSE)+VLOOKUP($A238,A:AL,22,FALSE)-50),"-",VLOOKUP($A238,'SegEnds_NonXtal_BW#'!$A:$Z,15,FALSE)+VLOOKUP($A238,A:AL,22,FALSE)-50)</f>
        <v>152</v>
      </c>
      <c r="V238" s="3">
        <v>164</v>
      </c>
      <c r="W238" s="3">
        <f>IF(ISERROR(VLOOKUP($A238,'SegEnds_NonXtal_BW#'!$A:$Z,16,FALSE)+VLOOKUP($A238,A:AL,22,FALSE)-50),"-",(VLOOKUP($A238,'SegEnds_NonXtal_BW#'!$A:$Z,16,FALSE)+VLOOKUP($A238,A:AL,22,FALSE)-50))</f>
        <v>178</v>
      </c>
      <c r="X238" s="3">
        <f>IF(ISERROR(VLOOKUP($A238,'SegEnds_NonXtal_BW#'!$A:$Z,17,FALSE)+VLOOKUP($A238,A:AL,25,FALSE)-50),"-",(VLOOKUP($A238,'SegEnds_NonXtal_BW#'!$A:$Z,17,FALSE)+VLOOKUP($A238,A:AL,25,FALSE)-50))</f>
        <v>186</v>
      </c>
      <c r="Y238" s="3">
        <v>186</v>
      </c>
      <c r="Z238" s="3">
        <f t="shared" si="144"/>
        <v>188</v>
      </c>
      <c r="AA238" s="3">
        <f>IF(ISERROR(VLOOKUP($A238,'SegEnds_NonXtal_BW#'!$A:$Z,19,FALSE)+VLOOKUP($A238,A:AL,28,FALSE)-50),"-",(VLOOKUP($A238,'SegEnds_NonXtal_BW#'!$A:$Z,19,FALSE)+VLOOKUP($A238,A:AL,28,FALSE)-50))</f>
        <v>193</v>
      </c>
      <c r="AB238" s="3">
        <v>213</v>
      </c>
      <c r="AC238" s="3">
        <f>IF(ISERROR((VLOOKUP($A238,'SegEnds_NonXtal_BW#'!$A:$Z,20,FALSE)+VLOOKUP($A238,A:AL,28,FALSE)-50)),"-",(VLOOKUP($A238,'SegEnds_NonXtal_BW#'!$A:$Z,20,FALSE)+VLOOKUP($A238,A:AL,28,FALSE)-50))</f>
        <v>235</v>
      </c>
      <c r="AD238" s="3">
        <f>IF(ISERROR(VLOOKUP($A238,'SegEnds_NonXtal_BW#'!$A:$Z,21,FALSE)+VLOOKUP($A238,A:AL,31,FALSE)-50),"-",(VLOOKUP($A238,'SegEnds_NonXtal_BW#'!$A:$Z,21,FALSE)+VLOOKUP($A238,A:AL,31,FALSE)-50))</f>
        <v>242</v>
      </c>
      <c r="AE238" s="3">
        <v>263</v>
      </c>
      <c r="AF238" s="3">
        <f>IF(ISERROR((VLOOKUP($A238,'SegEnds_NonXtal_BW#'!$A:$Z,22,FALSE)+VLOOKUP($A238,A:AL,31,FALSE)-50)),"-",(VLOOKUP($A238,'SegEnds_NonXtal_BW#'!$A:$Z,22,FALSE)+VLOOKUP($A238,A:AL,31,FALSE)-50))</f>
        <v>274</v>
      </c>
      <c r="AG238" s="3">
        <f>IF(ISERROR(VLOOKUP($A238,'SegEnds_NonXtal_BW#'!$A:$Z,23,FALSE)+VLOOKUP($A238,A:AL,34,FALSE)-50),"-",(VLOOKUP($A238,'SegEnds_NonXtal_BW#'!$A:$Z,23,FALSE)+VLOOKUP($A238,A:AL,34,FALSE)-50))</f>
        <v>279</v>
      </c>
      <c r="AH238" s="3">
        <v>301</v>
      </c>
      <c r="AI238" s="3">
        <f>IF(ISERROR((VLOOKUP($A238,'SegEnds_NonXtal_BW#'!$A:$Z,24,FALSE)+VLOOKUP($A238,A:AL,34,FALSE)-50)),"-",(VLOOKUP($A238,'SegEnds_NonXtal_BW#'!$A:$Z,24,FALSE)+VLOOKUP($A238,A:AL,34,FALSE)-50))</f>
        <v>307</v>
      </c>
      <c r="AJ238" s="3">
        <f>IF(ISERROR(VLOOKUP($A238,'SegEnds_NonXtal_BW#'!$A:$Z,25,FALSE)+VLOOKUP($A238,A:AL,37,FALSE)-50),"-",(VLOOKUP($A238,'SegEnds_NonXtal_BW#'!$A:$Z,25,FALSE)+VLOOKUP($A238,A:AL,37,FALSE)-50))</f>
        <v>308</v>
      </c>
      <c r="AK238" s="3">
        <v>311</v>
      </c>
      <c r="AL238" s="3">
        <f>IF(ISERROR((VLOOKUP($A238,'SegEnds_NonXtal_BW#'!$A:$Z,26,FALSE)+VLOOKUP($A238,A:AL,37,FALSE)-50)),"-",(VLOOKUP($A238,'SegEnds_NonXtal_BW#'!$A:$Z,26,FALSE)+VLOOKUP($A238,A:AL,37,FALSE)-50))</f>
        <v>320</v>
      </c>
      <c r="AM238" s="28" t="str">
        <f>VLOOKUP(A238,Classification!A:B,2,FALSE)</f>
        <v>A</v>
      </c>
      <c r="AN238" s="28" t="b">
        <f t="shared" si="133"/>
        <v>1</v>
      </c>
      <c r="AO238" s="3" t="str">
        <f>IF(ISERROR(MATCH(A238,'SegEnds_Xtal_Prot#'!B:B, 0)), "NoXtal", "Xtal")</f>
        <v>NoXtal</v>
      </c>
      <c r="AP238" s="3">
        <f t="shared" si="118"/>
        <v>1</v>
      </c>
      <c r="AQ238" s="3">
        <f t="shared" si="119"/>
        <v>1</v>
      </c>
      <c r="AR238" s="3">
        <f t="shared" si="120"/>
        <v>2</v>
      </c>
      <c r="AS238" s="3">
        <f t="shared" si="121"/>
        <v>1</v>
      </c>
      <c r="AT238" s="3">
        <f t="shared" si="122"/>
        <v>1</v>
      </c>
      <c r="AU238" s="3">
        <f t="shared" si="123"/>
        <v>1</v>
      </c>
      <c r="AV238" s="3">
        <f t="shared" si="124"/>
        <v>8</v>
      </c>
      <c r="AW238" s="3">
        <f t="shared" si="125"/>
        <v>5</v>
      </c>
      <c r="AX238" s="3">
        <f t="shared" si="126"/>
        <v>7</v>
      </c>
      <c r="AY238" s="3">
        <f t="shared" si="127"/>
        <v>5</v>
      </c>
      <c r="AZ238" s="3">
        <f t="shared" si="128"/>
        <v>1</v>
      </c>
      <c r="BA238" s="3">
        <f>IF(ISERROR(LEN(VLOOKUP(A238,Seqs!A:E,2,FALSE))-AL238),"-",LEN(VLOOKUP(A238,Seqs!A:E,2,FALSE))-AL238)</f>
        <v>44</v>
      </c>
      <c r="BB238" s="16">
        <f t="shared" si="129"/>
        <v>28</v>
      </c>
      <c r="BC238" s="9">
        <f t="shared" si="130"/>
        <v>20</v>
      </c>
      <c r="BD238" s="3">
        <f t="shared" si="131"/>
        <v>28</v>
      </c>
      <c r="BE238" s="3">
        <f t="shared" si="132"/>
        <v>50</v>
      </c>
    </row>
    <row r="239" spans="1:58" s="3" customFormat="1" x14ac:dyDescent="0.2">
      <c r="A239" s="3" t="s">
        <v>386</v>
      </c>
      <c r="B239" s="3" t="str">
        <f>LOWER(VLOOKUP(A239,Xtal_Templ!A:B,2,FALSE))</f>
        <v>p2ry1_human</v>
      </c>
      <c r="C239" s="3">
        <f>VLOOKUP($A239,'SegEnds_NonXtal_BW#'!$A:$Z,3,FALSE)+D239-50</f>
        <v>21</v>
      </c>
      <c r="D239" s="3">
        <v>41</v>
      </c>
      <c r="E239" s="3">
        <f>IF(ISERROR(VLOOKUP($A239,'SegEnds_NonXtal_BW#'!$A:$Z,4,FALSE)+VLOOKUP($A239,A:AL,4,FALSE)-50),"-",(VLOOKUP($A239,'SegEnds_NonXtal_BW#'!$A:$Z,4,FALSE)+VLOOKUP($A239,A:AL,4,FALSE)-50))</f>
        <v>51</v>
      </c>
      <c r="F239" s="3" t="str">
        <f>IF(ISERROR(VLOOKUP($A239,'SegEnds_NonXtal_BW#'!$A:$Z,5,FALSE)+VLOOKUP($A239,A:AL,7,FALSE)-50),"-",(VLOOKUP($A239,'SegEnds_NonXtal_BW#'!$A:$Z,5,FALSE)+VLOOKUP($A239,A:AL,7,FALSE)-50))</f>
        <v>-</v>
      </c>
      <c r="G239" s="3" t="s">
        <v>23</v>
      </c>
      <c r="H239" s="3" t="str">
        <f>IF(ISERROR(VLOOKUP($A239,'SegEnds_NonXtal_BW#'!$A:$Z,6,FALSE)+VLOOKUP($A239,A:AL,7,FALSE)-50),"-",(VLOOKUP($A239,'SegEnds_NonXtal_BW#'!$A:$Z,6,FALSE)+VLOOKUP($A239,A:AL,7,FALSE)-50))</f>
        <v>-</v>
      </c>
      <c r="I239" s="3">
        <f>VLOOKUP($A239,'SegEnds_NonXtal_BW#'!$A:$Z,7,FALSE)+J239-50</f>
        <v>56</v>
      </c>
      <c r="J239" s="3">
        <v>69</v>
      </c>
      <c r="K239" s="3">
        <f>VLOOKUP($A239,'SegEnds_NonXtal_BW#'!$A:$Z,8,FALSE)+VLOOKUP($A239,A:AL,10,FALSE)-50</f>
        <v>85</v>
      </c>
      <c r="L239" s="3">
        <f t="shared" si="142"/>
        <v>87</v>
      </c>
      <c r="M239" s="3">
        <v>88</v>
      </c>
      <c r="N239" s="3">
        <f t="shared" si="143"/>
        <v>90</v>
      </c>
      <c r="O239" s="3">
        <f t="shared" si="139"/>
        <v>91</v>
      </c>
      <c r="P239" s="3">
        <v>120</v>
      </c>
      <c r="Q239" s="3">
        <f>VLOOKUP($A239,'SegEnds_NonXtal_BW#'!$A:$Z,12,FALSE)+VLOOKUP($A239,A:AL,16,FALSE)-50</f>
        <v>126</v>
      </c>
      <c r="R239" s="3">
        <f>IF(ISERROR(VLOOKUP($A239,'SegEnds_NonXtal_BW#'!$A:$Z,13,FALSE)+VLOOKUP($A239,A:AL,19,FALSE)-50),"-",VLOOKUP($A239,'SegEnds_NonXtal_BW#'!$A:$Z,13,FALSE)+VLOOKUP($A239,A:AL,19,FALSE)-50)</f>
        <v>127</v>
      </c>
      <c r="S239" s="3">
        <v>127</v>
      </c>
      <c r="T239" s="100">
        <f>IF(ISERROR(VLOOKUP($A239,'SegEnds_NonXtal_BW#'!$A:$Z,14,FALSE)+VLOOKUP($A239,A:AL,19,FALSE)-50),"-",(VLOOKUP($A239,'SegEnds_NonXtal_BW#'!$A:$Z,14,FALSE)+VLOOKUP($A239,A:AL,19,FALSE)-50))</f>
        <v>134</v>
      </c>
      <c r="U239" s="9">
        <f>IF(ISERROR(VLOOKUP($A239,'SegEnds_NonXtal_BW#'!$A:$Z,15,FALSE)+VLOOKUP($A239,A:AL,22,FALSE)-50),"-",VLOOKUP($A239,'SegEnds_NonXtal_BW#'!$A:$Z,15,FALSE)+VLOOKUP($A239,A:AL,22,FALSE)-50)</f>
        <v>135</v>
      </c>
      <c r="V239" s="3">
        <v>147</v>
      </c>
      <c r="W239" s="3">
        <f>IF(ISERROR(VLOOKUP($A239,'SegEnds_NonXtal_BW#'!$A:$Z,16,FALSE)+VLOOKUP($A239,A:AL,22,FALSE)-50),"-",(VLOOKUP($A239,'SegEnds_NonXtal_BW#'!$A:$Z,16,FALSE)+VLOOKUP($A239,A:AL,22,FALSE)-50))</f>
        <v>161</v>
      </c>
      <c r="X239" s="3">
        <f>IF(ISERROR(VLOOKUP($A239,'SegEnds_NonXtal_BW#'!$A:$Z,17,FALSE)+VLOOKUP($A239,A:AL,25,FALSE)-50),"-",(VLOOKUP($A239,'SegEnds_NonXtal_BW#'!$A:$Z,17,FALSE)+VLOOKUP($A239,A:AL,25,FALSE)-50))</f>
        <v>172</v>
      </c>
      <c r="Y239" s="3">
        <v>172</v>
      </c>
      <c r="Z239" s="3">
        <f t="shared" si="144"/>
        <v>174</v>
      </c>
      <c r="AA239" s="3">
        <f>IF(ISERROR(VLOOKUP($A239,'SegEnds_NonXtal_BW#'!$A:$Z,19,FALSE)+VLOOKUP($A239,A:AL,28,FALSE)-50),"-",(VLOOKUP($A239,'SegEnds_NonXtal_BW#'!$A:$Z,19,FALSE)+VLOOKUP($A239,A:AL,28,FALSE)-50))</f>
        <v>181</v>
      </c>
      <c r="AB239" s="3">
        <v>199</v>
      </c>
      <c r="AC239" s="3">
        <f>IF(ISERROR((VLOOKUP($A239,'SegEnds_NonXtal_BW#'!$A:$Z,20,FALSE)+VLOOKUP($A239,A:AL,28,FALSE)-50)),"-",(VLOOKUP($A239,'SegEnds_NonXtal_BW#'!$A:$Z,20,FALSE)+VLOOKUP($A239,A:AL,28,FALSE)-50))</f>
        <v>217</v>
      </c>
      <c r="AD239" s="3">
        <f>IF(ISERROR(VLOOKUP($A239,'SegEnds_NonXtal_BW#'!$A:$Z,21,FALSE)+VLOOKUP($A239,A:AL,31,FALSE)-50),"-",(VLOOKUP($A239,'SegEnds_NonXtal_BW#'!$A:$Z,21,FALSE)+VLOOKUP($A239,A:AL,31,FALSE)-50))</f>
        <v>221</v>
      </c>
      <c r="AE239" s="3">
        <v>247</v>
      </c>
      <c r="AF239" s="3">
        <f>IF(ISERROR((VLOOKUP($A239,'SegEnds_NonXtal_BW#'!$A:$Z,22,FALSE)+VLOOKUP($A239,A:AL,31,FALSE)-50)),"-",(VLOOKUP($A239,'SegEnds_NonXtal_BW#'!$A:$Z,22,FALSE)+VLOOKUP($A239,A:AL,31,FALSE)-50))</f>
        <v>261</v>
      </c>
      <c r="AG239" s="3">
        <f>IF(ISERROR(VLOOKUP($A239,'SegEnds_NonXtal_BW#'!$A:$Z,23,FALSE)+VLOOKUP($A239,A:AL,34,FALSE)-50),"-",(VLOOKUP($A239,'SegEnds_NonXtal_BW#'!$A:$Z,23,FALSE)+VLOOKUP($A239,A:AL,34,FALSE)-50))</f>
        <v>266</v>
      </c>
      <c r="AH239" s="3">
        <v>292</v>
      </c>
      <c r="AI239" s="3">
        <f>IF(ISERROR((VLOOKUP($A239,'SegEnds_NonXtal_BW#'!$A:$Z,24,FALSE)+VLOOKUP($A239,A:AL,34,FALSE)-50)),"-",(VLOOKUP($A239,'SegEnds_NonXtal_BW#'!$A:$Z,24,FALSE)+VLOOKUP($A239,A:AL,34,FALSE)-50))</f>
        <v>298</v>
      </c>
      <c r="AJ239" s="3">
        <f>IF(ISERROR(VLOOKUP($A239,'SegEnds_NonXtal_BW#'!$A:$Z,25,FALSE)+VLOOKUP($A239,A:AL,37,FALSE)-50),"-",(VLOOKUP($A239,'SegEnds_NonXtal_BW#'!$A:$Z,25,FALSE)+VLOOKUP($A239,A:AL,37,FALSE)-50))</f>
        <v>299</v>
      </c>
      <c r="AK239" s="3">
        <v>302</v>
      </c>
      <c r="AL239" s="3">
        <f>IF(ISERROR((VLOOKUP($A239,'SegEnds_NonXtal_BW#'!$A:$Z,26,FALSE)+VLOOKUP($A239,A:AL,37,FALSE)-50)),"-",(VLOOKUP($A239,'SegEnds_NonXtal_BW#'!$A:$Z,26,FALSE)+VLOOKUP($A239,A:AL,37,FALSE)-50))</f>
        <v>311</v>
      </c>
      <c r="AM239" s="28" t="str">
        <f>VLOOKUP(A239,Classification!A:B,2,FALSE)</f>
        <v>A</v>
      </c>
      <c r="AN239" s="28" t="b">
        <f t="shared" si="133"/>
        <v>1</v>
      </c>
      <c r="AO239" s="3" t="str">
        <f>IF(ISERROR(MATCH(A239,'SegEnds_Xtal_Prot#'!B:B, 0)), "NoXtal", "Xtal")</f>
        <v>NoXtal</v>
      </c>
      <c r="AP239" s="3" t="str">
        <f t="shared" si="118"/>
        <v>-</v>
      </c>
      <c r="AQ239" s="3" t="str">
        <f t="shared" si="119"/>
        <v>-</v>
      </c>
      <c r="AR239" s="3">
        <f t="shared" si="120"/>
        <v>2</v>
      </c>
      <c r="AS239" s="3">
        <f t="shared" si="121"/>
        <v>1</v>
      </c>
      <c r="AT239" s="3">
        <f t="shared" si="122"/>
        <v>1</v>
      </c>
      <c r="AU239" s="3">
        <f t="shared" si="123"/>
        <v>1</v>
      </c>
      <c r="AV239" s="3">
        <f t="shared" si="124"/>
        <v>11</v>
      </c>
      <c r="AW239" s="3">
        <f t="shared" si="125"/>
        <v>7</v>
      </c>
      <c r="AX239" s="3">
        <f t="shared" si="126"/>
        <v>4</v>
      </c>
      <c r="AY239" s="3">
        <f t="shared" si="127"/>
        <v>5</v>
      </c>
      <c r="AZ239" s="3">
        <f t="shared" si="128"/>
        <v>1</v>
      </c>
      <c r="BA239" s="3">
        <f>IF(ISERROR(LEN(VLOOKUP(A239,Seqs!A:E,2,FALSE))-AL239),"-",LEN(VLOOKUP(A239,Seqs!A:E,2,FALSE))-AL239)</f>
        <v>23</v>
      </c>
      <c r="BB239" s="16">
        <f t="shared" si="129"/>
        <v>28</v>
      </c>
      <c r="BC239" s="9">
        <f t="shared" si="130"/>
        <v>20</v>
      </c>
      <c r="BD239" s="3">
        <f t="shared" si="131"/>
        <v>28</v>
      </c>
      <c r="BE239" s="3">
        <f t="shared" si="132"/>
        <v>48</v>
      </c>
      <c r="BF239" s="3">
        <f t="shared" ref="BF239:BF247" si="145">AH239-AE239</f>
        <v>45</v>
      </c>
    </row>
    <row r="240" spans="1:58" s="3" customFormat="1" x14ac:dyDescent="0.2">
      <c r="A240" s="3" t="s">
        <v>473</v>
      </c>
      <c r="B240" s="3" t="str">
        <f>LOWER(VLOOKUP(A240,Xtal_Templ!A:B,2,FALSE))</f>
        <v>pe2r3_human</v>
      </c>
      <c r="C240" s="3">
        <f>VLOOKUP($A240,'SegEnds_NonXtal_BW#'!$A:$Z,3,FALSE)+D240-50</f>
        <v>28</v>
      </c>
      <c r="D240" s="3">
        <v>42</v>
      </c>
      <c r="E240" s="3">
        <f>IF(ISERROR(VLOOKUP($A240,'SegEnds_NonXtal_BW#'!$A:$Z,4,FALSE)+VLOOKUP($A240,A:AL,4,FALSE)-50),"-",(VLOOKUP($A240,'SegEnds_NonXtal_BW#'!$A:$Z,4,FALSE)+VLOOKUP($A240,A:AL,4,FALSE)-50))</f>
        <v>54</v>
      </c>
      <c r="F240" s="3" t="str">
        <f>IF(ISERROR(VLOOKUP($A240,'SegEnds_NonXtal_BW#'!$A:$Z,5,FALSE)+VLOOKUP($A240,A:AL,7,FALSE)-50),"-",(VLOOKUP($A240,'SegEnds_NonXtal_BW#'!$A:$Z,5,FALSE)+VLOOKUP($A240,A:AL,7,FALSE)-50))</f>
        <v>-</v>
      </c>
      <c r="G240" s="3" t="s">
        <v>23</v>
      </c>
      <c r="H240" s="3" t="str">
        <f>IF(ISERROR(VLOOKUP($A240,'SegEnds_NonXtal_BW#'!$A:$Z,6,FALSE)+VLOOKUP($A240,A:AL,7,FALSE)-50),"-",(VLOOKUP($A240,'SegEnds_NonXtal_BW#'!$A:$Z,6,FALSE)+VLOOKUP($A240,A:AL,7,FALSE)-50))</f>
        <v>-</v>
      </c>
      <c r="I240" s="3">
        <f>VLOOKUP($A240,'SegEnds_NonXtal_BW#'!$A:$Z,7,FALSE)+J240-50</f>
        <v>61</v>
      </c>
      <c r="J240" s="3">
        <v>74</v>
      </c>
      <c r="K240" s="3">
        <f>VLOOKUP($A240,'SegEnds_NonXtal_BW#'!$A:$Z,8,FALSE)+VLOOKUP($A240,A:AL,10,FALSE)-50</f>
        <v>91</v>
      </c>
      <c r="L240" s="3">
        <f t="shared" si="142"/>
        <v>94</v>
      </c>
      <c r="M240" s="3">
        <v>95</v>
      </c>
      <c r="N240" s="3">
        <f t="shared" si="143"/>
        <v>97</v>
      </c>
      <c r="O240" s="3">
        <f t="shared" si="139"/>
        <v>98</v>
      </c>
      <c r="P240" s="3">
        <v>130</v>
      </c>
      <c r="Q240" s="3">
        <f>VLOOKUP($A240,'SegEnds_NonXtal_BW#'!$A:$Z,12,FALSE)+VLOOKUP($A240,A:AL,16,FALSE)-50</f>
        <v>136</v>
      </c>
      <c r="R240" s="3">
        <f>IF(ISERROR(VLOOKUP($A240,'SegEnds_NonXtal_BW#'!$A:$Z,13,FALSE)+VLOOKUP($A240,A:AL,19,FALSE)-50),"-",VLOOKUP($A240,'SegEnds_NonXtal_BW#'!$A:$Z,13,FALSE)+VLOOKUP($A240,A:AL,19,FALSE)-50)</f>
        <v>137</v>
      </c>
      <c r="S240" s="3">
        <v>137</v>
      </c>
      <c r="T240" s="100">
        <f>IF(ISERROR(VLOOKUP($A240,'SegEnds_NonXtal_BW#'!$A:$Z,14,FALSE)+VLOOKUP($A240,A:AL,19,FALSE)-50),"-",(VLOOKUP($A240,'SegEnds_NonXtal_BW#'!$A:$Z,14,FALSE)+VLOOKUP($A240,A:AL,19,FALSE)-50))</f>
        <v>144</v>
      </c>
      <c r="U240" s="9">
        <f>IF(ISERROR(VLOOKUP($A240,'SegEnds_NonXtal_BW#'!$A:$Z,15,FALSE)+VLOOKUP($A240,A:AL,22,FALSE)-50),"-",VLOOKUP($A240,'SegEnds_NonXtal_BW#'!$A:$Z,15,FALSE)+VLOOKUP($A240,A:AL,22,FALSE)-50)</f>
        <v>145</v>
      </c>
      <c r="V240" s="3">
        <v>157</v>
      </c>
      <c r="W240" s="3">
        <f>IF(ISERROR(VLOOKUP($A240,'SegEnds_NonXtal_BW#'!$A:$Z,16,FALSE)+VLOOKUP($A240,A:AL,22,FALSE)-50),"-",(VLOOKUP($A240,'SegEnds_NonXtal_BW#'!$A:$Z,16,FALSE)+VLOOKUP($A240,A:AL,22,FALSE)-50))</f>
        <v>170</v>
      </c>
      <c r="X240" s="3">
        <f>Y240</f>
        <v>183</v>
      </c>
      <c r="Y240" s="3">
        <v>183</v>
      </c>
      <c r="Z240" s="3">
        <f t="shared" si="144"/>
        <v>185</v>
      </c>
      <c r="AA240" s="3">
        <f>IF(ISERROR(VLOOKUP($A240,'SegEnds_NonXtal_BW#'!$A:$Z,19,FALSE)+VLOOKUP($A240,A:AL,28,FALSE)-50),"-",(VLOOKUP($A240,'SegEnds_NonXtal_BW#'!$A:$Z,19,FALSE)+VLOOKUP($A240,A:AL,28,FALSE)-50))</f>
        <v>200</v>
      </c>
      <c r="AB240" s="3">
        <v>218</v>
      </c>
      <c r="AC240" s="3">
        <f>IF(ISERROR((VLOOKUP($A240,'SegEnds_NonXtal_BW#'!$A:$Z,20,FALSE)+VLOOKUP($A240,A:AL,28,FALSE)-50)),"-",(VLOOKUP($A240,'SegEnds_NonXtal_BW#'!$A:$Z,20,FALSE)+VLOOKUP($A240,A:AL,28,FALSE)-50))</f>
        <v>236</v>
      </c>
      <c r="AD240" s="3">
        <f>IF(ISERROR(VLOOKUP($A240,'SegEnds_NonXtal_BW#'!$A:$Z,21,FALSE)+VLOOKUP($A240,A:AL,31,FALSE)-50),"-",(VLOOKUP($A240,'SegEnds_NonXtal_BW#'!$A:$Z,21,FALSE)+VLOOKUP($A240,A:AL,31,FALSE)-50))</f>
        <v>240</v>
      </c>
      <c r="AE240" s="3">
        <v>260</v>
      </c>
      <c r="AF240" s="3">
        <f>IF(ISERROR((VLOOKUP($A240,'SegEnds_NonXtal_BW#'!$A:$Z,22,FALSE)+VLOOKUP($A240,A:AL,31,FALSE)-50)),"-",(VLOOKUP($A240,'SegEnds_NonXtal_BW#'!$A:$Z,22,FALSE)+VLOOKUP($A240,A:AL,31,FALSE)-50))</f>
        <v>274</v>
      </c>
      <c r="AG240" s="3">
        <f>IF(ISERROR(VLOOKUP($A240,'SegEnds_NonXtal_BW#'!$A:$Z,23,FALSE)+VLOOKUP($A240,A:AL,34,FALSE)-50),"-",(VLOOKUP($A240,'SegEnds_NonXtal_BW#'!$A:$Z,23,FALSE)+VLOOKUP($A240,A:AL,34,FALSE)-50))</f>
        <v>279</v>
      </c>
      <c r="AH240" s="3">
        <v>305</v>
      </c>
      <c r="AI240" s="3">
        <f>IF(ISERROR((VLOOKUP($A240,'SegEnds_NonXtal_BW#'!$A:$Z,24,FALSE)+VLOOKUP($A240,A:AL,34,FALSE)-50)),"-",(VLOOKUP($A240,'SegEnds_NonXtal_BW#'!$A:$Z,24,FALSE)+VLOOKUP($A240,A:AL,34,FALSE)-50))</f>
        <v>308</v>
      </c>
      <c r="AJ240" s="3">
        <f>IF(ISERROR(VLOOKUP($A240,'SegEnds_NonXtal_BW#'!$A:$Z,25,FALSE)+VLOOKUP($A240,A:AL,37,FALSE)-50),"-",(VLOOKUP($A240,'SegEnds_NonXtal_BW#'!$A:$Z,25,FALSE)+VLOOKUP($A240,A:AL,37,FALSE)-50))</f>
        <v>309</v>
      </c>
      <c r="AK240" s="3">
        <v>315</v>
      </c>
      <c r="AL240" s="3">
        <f>IF(ISERROR((VLOOKUP($A240,'SegEnds_NonXtal_BW#'!$A:$Z,26,FALSE)+VLOOKUP($A240,A:AL,37,FALSE)-50)),"-",(VLOOKUP($A240,'SegEnds_NonXtal_BW#'!$A:$Z,26,FALSE)+VLOOKUP($A240,A:AL,37,FALSE)-50))</f>
        <v>331</v>
      </c>
      <c r="AM240" s="28" t="str">
        <f>VLOOKUP(A240,Classification!A:B,2,FALSE)</f>
        <v>A</v>
      </c>
      <c r="AN240" s="28" t="b">
        <f t="shared" si="133"/>
        <v>1</v>
      </c>
      <c r="AO240" s="3" t="str">
        <f>IF(ISERROR(MATCH(A240,'SegEnds_Xtal_Prot#'!B:B, 0)), "NoXtal", "Xtal")</f>
        <v>NoXtal</v>
      </c>
      <c r="AP240" s="3" t="str">
        <f t="shared" si="118"/>
        <v>-</v>
      </c>
      <c r="AQ240" s="3" t="str">
        <f t="shared" si="119"/>
        <v>-</v>
      </c>
      <c r="AR240" s="3">
        <f t="shared" si="120"/>
        <v>3</v>
      </c>
      <c r="AS240" s="3">
        <f t="shared" si="121"/>
        <v>1</v>
      </c>
      <c r="AT240" s="3">
        <f t="shared" si="122"/>
        <v>1</v>
      </c>
      <c r="AU240" s="3">
        <f t="shared" si="123"/>
        <v>1</v>
      </c>
      <c r="AV240" s="3">
        <f t="shared" si="124"/>
        <v>13</v>
      </c>
      <c r="AW240" s="3">
        <f t="shared" si="125"/>
        <v>15</v>
      </c>
      <c r="AX240" s="3">
        <f t="shared" si="126"/>
        <v>4</v>
      </c>
      <c r="AY240" s="3">
        <f t="shared" si="127"/>
        <v>5</v>
      </c>
      <c r="AZ240" s="3">
        <f t="shared" si="128"/>
        <v>1</v>
      </c>
      <c r="BA240" s="3">
        <f>IF(ISERROR(LEN(VLOOKUP(A240,Seqs!A:E,2,FALSE))-AL240),"-",LEN(VLOOKUP(A240,Seqs!A:E,2,FALSE))-AL240)</f>
        <v>12</v>
      </c>
      <c r="BB240" s="16">
        <f t="shared" si="129"/>
        <v>32</v>
      </c>
      <c r="BC240" s="9">
        <f t="shared" si="130"/>
        <v>20</v>
      </c>
      <c r="BD240" s="3">
        <f t="shared" si="131"/>
        <v>32</v>
      </c>
      <c r="BE240" s="3">
        <f t="shared" si="132"/>
        <v>42</v>
      </c>
      <c r="BF240" s="3">
        <f t="shared" si="145"/>
        <v>45</v>
      </c>
    </row>
    <row r="241" spans="1:58" s="3" customFormat="1" x14ac:dyDescent="0.2">
      <c r="A241" s="3" t="s">
        <v>387</v>
      </c>
      <c r="B241" s="3" t="str">
        <f>LOWER(VLOOKUP(A241,Xtal_Templ!A:B,2,FALSE))</f>
        <v>drd2_human</v>
      </c>
      <c r="C241" s="3">
        <f>VLOOKUP($A241,'SegEnds_NonXtal_BW#'!$A:$Z,3,FALSE)+D241-50</f>
        <v>20</v>
      </c>
      <c r="D241" s="3">
        <v>41</v>
      </c>
      <c r="E241" s="3">
        <f>IF(ISERROR(VLOOKUP($A241,'SegEnds_NonXtal_BW#'!$A:$Z,4,FALSE)+VLOOKUP($A241,A:AL,4,FALSE)-50),"-",(VLOOKUP($A241,'SegEnds_NonXtal_BW#'!$A:$Z,4,FALSE)+VLOOKUP($A241,A:AL,4,FALSE)-50))</f>
        <v>51</v>
      </c>
      <c r="F241" s="3">
        <f t="shared" ref="F241:F262" si="146">G241-2</f>
        <v>52</v>
      </c>
      <c r="G241" s="3">
        <v>54</v>
      </c>
      <c r="H241" s="3">
        <f t="shared" ref="H241:I262" si="147">G241+1</f>
        <v>55</v>
      </c>
      <c r="I241" s="3">
        <f t="shared" si="147"/>
        <v>56</v>
      </c>
      <c r="J241" s="3">
        <v>69</v>
      </c>
      <c r="K241" s="3">
        <f>VLOOKUP($A241,'SegEnds_NonXtal_BW#'!$A:$Z,8,FALSE)+VLOOKUP($A241,A:AL,10,FALSE)-50</f>
        <v>87</v>
      </c>
      <c r="L241" s="3">
        <f t="shared" si="142"/>
        <v>88</v>
      </c>
      <c r="M241" s="3">
        <v>89</v>
      </c>
      <c r="N241" s="3">
        <f t="shared" si="143"/>
        <v>91</v>
      </c>
      <c r="O241" s="3">
        <f t="shared" si="139"/>
        <v>92</v>
      </c>
      <c r="P241" s="3">
        <v>121</v>
      </c>
      <c r="Q241" s="3">
        <f>VLOOKUP($A241,'SegEnds_NonXtal_BW#'!$A:$Z,12,FALSE)+VLOOKUP($A241,A:AL,16,FALSE)-50</f>
        <v>127</v>
      </c>
      <c r="R241" s="3">
        <f>IF(ISERROR(VLOOKUP($A241,'SegEnds_NonXtal_BW#'!$A:$Z,13,FALSE)+VLOOKUP($A241,A:AL,19,FALSE)-50),"-",VLOOKUP($A241,'SegEnds_NonXtal_BW#'!$A:$Z,13,FALSE)+VLOOKUP($A241,A:AL,19,FALSE)-50)</f>
        <v>128</v>
      </c>
      <c r="S241" s="3">
        <v>128</v>
      </c>
      <c r="T241" s="100">
        <f>IF(ISERROR(VLOOKUP($A241,'SegEnds_NonXtal_BW#'!$A:$Z,14,FALSE)+VLOOKUP($A241,A:AL,19,FALSE)-50),"-",(VLOOKUP($A241,'SegEnds_NonXtal_BW#'!$A:$Z,14,FALSE)+VLOOKUP($A241,A:AL,19,FALSE)-50))</f>
        <v>135</v>
      </c>
      <c r="U241" s="9">
        <f>IF(ISERROR(VLOOKUP($A241,'SegEnds_NonXtal_BW#'!$A:$Z,15,FALSE)+VLOOKUP($A241,A:AL,22,FALSE)-50),"-",VLOOKUP($A241,'SegEnds_NonXtal_BW#'!$A:$Z,15,FALSE)+VLOOKUP($A241,A:AL,22,FALSE)-50)</f>
        <v>136</v>
      </c>
      <c r="V241" s="3">
        <v>148</v>
      </c>
      <c r="W241" s="3">
        <f>IF(ISERROR(VLOOKUP($A241,'SegEnds_NonXtal_BW#'!$A:$Z,16,FALSE)+VLOOKUP($A241,A:AL,22,FALSE)-50),"-",(VLOOKUP($A241,'SegEnds_NonXtal_BW#'!$A:$Z,16,FALSE)+VLOOKUP($A241,A:AL,22,FALSE)-50))</f>
        <v>160</v>
      </c>
      <c r="X241" s="3">
        <f>IF(ISERROR(VLOOKUP($A241,'SegEnds_NonXtal_BW#'!$A:$Z,17,FALSE)+VLOOKUP($A241,A:AL,25,FALSE)-50),"-",(VLOOKUP($A241,'SegEnds_NonXtal_BW#'!$A:$Z,17,FALSE)+VLOOKUP($A241,A:AL,25,FALSE)-50))</f>
        <v>182</v>
      </c>
      <c r="Y241" s="3">
        <v>182</v>
      </c>
      <c r="Z241" s="3">
        <f t="shared" si="144"/>
        <v>184</v>
      </c>
      <c r="AA241" s="3">
        <f>IF(ISERROR(VLOOKUP($A241,'SegEnds_NonXtal_BW#'!$A:$Z,19,FALSE)+VLOOKUP($A241,A:AL,28,FALSE)-50),"-",(VLOOKUP($A241,'SegEnds_NonXtal_BW#'!$A:$Z,19,FALSE)+VLOOKUP($A241,A:AL,28,FALSE)-50))</f>
        <v>187</v>
      </c>
      <c r="AB241" s="3">
        <v>202</v>
      </c>
      <c r="AC241" s="3">
        <f>IF(ISERROR((VLOOKUP($A241,'SegEnds_NonXtal_BW#'!$A:$Z,20,FALSE)+VLOOKUP($A241,A:AL,28,FALSE)-50)),"-",(VLOOKUP($A241,'SegEnds_NonXtal_BW#'!$A:$Z,20,FALSE)+VLOOKUP($A241,A:AL,28,FALSE)-50))</f>
        <v>226</v>
      </c>
      <c r="AD241" s="3">
        <f>IF(ISERROR(VLOOKUP($A241,'SegEnds_NonXtal_BW#'!$A:$Z,21,FALSE)+VLOOKUP($A241,A:AL,31,FALSE)-50),"-",(VLOOKUP($A241,'SegEnds_NonXtal_BW#'!$A:$Z,21,FALSE)+VLOOKUP($A241,A:AL,31,FALSE)-50))</f>
        <v>237</v>
      </c>
      <c r="AE241" s="3">
        <v>266</v>
      </c>
      <c r="AF241" s="3">
        <f>IF(ISERROR((VLOOKUP($A241,'SegEnds_NonXtal_BW#'!$A:$Z,22,FALSE)+VLOOKUP($A241,A:AL,31,FALSE)-50)),"-",(VLOOKUP($A241,'SegEnds_NonXtal_BW#'!$A:$Z,22,FALSE)+VLOOKUP($A241,A:AL,31,FALSE)-50))</f>
        <v>277</v>
      </c>
      <c r="AG241" s="3">
        <f>IF(ISERROR(VLOOKUP($A241,'SegEnds_NonXtal_BW#'!$A:$Z,23,FALSE)+VLOOKUP($A241,A:AL,34,FALSE)-50),"-",(VLOOKUP($A241,'SegEnds_NonXtal_BW#'!$A:$Z,23,FALSE)+VLOOKUP($A241,A:AL,34,FALSE)-50))</f>
        <v>282</v>
      </c>
      <c r="AH241" s="3">
        <v>301</v>
      </c>
      <c r="AI241" s="3">
        <v>307</v>
      </c>
      <c r="AJ241" s="3">
        <f>IF(ISERROR(VLOOKUP($A241,'SegEnds_NonXtal_BW#'!$A:$Z,25,FALSE)+VLOOKUP($A241,A:AL,37,FALSE)-50),"-",(VLOOKUP($A241,'SegEnds_NonXtal_BW#'!$A:$Z,25,FALSE)+VLOOKUP($A241,A:AL,37,FALSE)-50))</f>
        <v>308</v>
      </c>
      <c r="AK241" s="3">
        <v>311</v>
      </c>
      <c r="AL241" s="3">
        <f>IF(ISERROR((VLOOKUP($A241,'SegEnds_NonXtal_BW#'!$A:$Z,26,FALSE)+VLOOKUP($A241,A:AL,37,FALSE)-50)),"-",(VLOOKUP($A241,'SegEnds_NonXtal_BW#'!$A:$Z,26,FALSE)+VLOOKUP($A241,A:AL,37,FALSE)-50))</f>
        <v>320</v>
      </c>
      <c r="AM241" s="28" t="str">
        <f>VLOOKUP(A241,Classification!A:B,2,FALSE)</f>
        <v>A</v>
      </c>
      <c r="AN241" s="28" t="b">
        <f t="shared" si="133"/>
        <v>1</v>
      </c>
      <c r="AO241" s="3" t="str">
        <f>IF(ISERROR(MATCH(A241,'SegEnds_Xtal_Prot#'!B:B, 0)), "NoXtal", "Xtal")</f>
        <v>NoXtal</v>
      </c>
      <c r="AP241" s="3">
        <f t="shared" si="118"/>
        <v>1</v>
      </c>
      <c r="AQ241" s="3">
        <f t="shared" si="119"/>
        <v>1</v>
      </c>
      <c r="AR241" s="3">
        <f t="shared" si="120"/>
        <v>1</v>
      </c>
      <c r="AS241" s="3">
        <f t="shared" si="121"/>
        <v>1</v>
      </c>
      <c r="AT241" s="3">
        <f t="shared" si="122"/>
        <v>1</v>
      </c>
      <c r="AU241" s="3">
        <f t="shared" si="123"/>
        <v>1</v>
      </c>
      <c r="AV241" s="3">
        <f t="shared" si="124"/>
        <v>22</v>
      </c>
      <c r="AW241" s="3">
        <f t="shared" si="125"/>
        <v>3</v>
      </c>
      <c r="AX241" s="3">
        <f t="shared" si="126"/>
        <v>11</v>
      </c>
      <c r="AY241" s="3">
        <f t="shared" si="127"/>
        <v>5</v>
      </c>
      <c r="AZ241" s="3">
        <f t="shared" si="128"/>
        <v>1</v>
      </c>
      <c r="BA241" s="3">
        <f>IF(ISERROR(LEN(VLOOKUP(A241,Seqs!A:E,2,FALSE))-AL241),"-",LEN(VLOOKUP(A241,Seqs!A:E,2,FALSE))-AL241)</f>
        <v>19</v>
      </c>
      <c r="BB241" s="16">
        <f t="shared" si="129"/>
        <v>28</v>
      </c>
      <c r="BC241" s="9">
        <f t="shared" si="130"/>
        <v>20</v>
      </c>
      <c r="BD241" s="3">
        <f t="shared" si="131"/>
        <v>28</v>
      </c>
      <c r="BE241" s="3">
        <f t="shared" si="132"/>
        <v>64</v>
      </c>
      <c r="BF241" s="3">
        <f t="shared" si="145"/>
        <v>35</v>
      </c>
    </row>
    <row r="242" spans="1:58" s="3" customFormat="1" x14ac:dyDescent="0.2">
      <c r="A242" s="3" t="s">
        <v>388</v>
      </c>
      <c r="B242" s="3" t="str">
        <f>LOWER(VLOOKUP(A242,Xtal_Templ!A:B,2,FALSE))</f>
        <v>drd2_human</v>
      </c>
      <c r="C242" s="3">
        <f>VLOOKUP($A242,'SegEnds_NonXtal_BW#'!$A:$Z,3,FALSE)+D242-50</f>
        <v>40</v>
      </c>
      <c r="D242" s="3">
        <v>61</v>
      </c>
      <c r="E242" s="3">
        <f>IF(ISERROR(VLOOKUP($A242,'SegEnds_NonXtal_BW#'!$A:$Z,4,FALSE)+VLOOKUP($A242,A:AL,4,FALSE)-50),"-",(VLOOKUP($A242,'SegEnds_NonXtal_BW#'!$A:$Z,4,FALSE)+VLOOKUP($A242,A:AL,4,FALSE)-50))</f>
        <v>71</v>
      </c>
      <c r="F242" s="3">
        <f t="shared" si="146"/>
        <v>72</v>
      </c>
      <c r="G242" s="3">
        <v>74</v>
      </c>
      <c r="H242" s="3">
        <f t="shared" si="147"/>
        <v>75</v>
      </c>
      <c r="I242" s="3">
        <f t="shared" si="147"/>
        <v>76</v>
      </c>
      <c r="J242" s="3">
        <v>89</v>
      </c>
      <c r="K242" s="3">
        <f>VLOOKUP($A242,'SegEnds_NonXtal_BW#'!$A:$Z,8,FALSE)+VLOOKUP($A242,A:AL,10,FALSE)-50</f>
        <v>107</v>
      </c>
      <c r="L242" s="3">
        <f t="shared" si="142"/>
        <v>108</v>
      </c>
      <c r="M242" s="3">
        <v>109</v>
      </c>
      <c r="N242" s="3">
        <f t="shared" si="143"/>
        <v>111</v>
      </c>
      <c r="O242" s="3">
        <f t="shared" si="139"/>
        <v>112</v>
      </c>
      <c r="P242" s="3">
        <v>141</v>
      </c>
      <c r="Q242" s="3">
        <f>VLOOKUP($A242,'SegEnds_NonXtal_BW#'!$A:$Z,12,FALSE)+VLOOKUP($A242,A:AL,16,FALSE)-50</f>
        <v>147</v>
      </c>
      <c r="R242" s="3">
        <f>IF(ISERROR(VLOOKUP($A242,'SegEnds_NonXtal_BW#'!$A:$Z,13,FALSE)+VLOOKUP($A242,A:AL,19,FALSE)-50),"-",VLOOKUP($A242,'SegEnds_NonXtal_BW#'!$A:$Z,13,FALSE)+VLOOKUP($A242,A:AL,19,FALSE)-50)</f>
        <v>148</v>
      </c>
      <c r="S242" s="3">
        <v>148</v>
      </c>
      <c r="T242" s="100">
        <f>IF(ISERROR(VLOOKUP($A242,'SegEnds_NonXtal_BW#'!$A:$Z,14,FALSE)+VLOOKUP($A242,A:AL,19,FALSE)-50),"-",(VLOOKUP($A242,'SegEnds_NonXtal_BW#'!$A:$Z,14,FALSE)+VLOOKUP($A242,A:AL,19,FALSE)-50))</f>
        <v>155</v>
      </c>
      <c r="U242" s="9">
        <f>IF(ISERROR(VLOOKUP($A242,'SegEnds_NonXtal_BW#'!$A:$Z,15,FALSE)+VLOOKUP($A242,A:AL,22,FALSE)-50),"-",VLOOKUP($A242,'SegEnds_NonXtal_BW#'!$A:$Z,15,FALSE)+VLOOKUP($A242,A:AL,22,FALSE)-50)</f>
        <v>156</v>
      </c>
      <c r="V242" s="3">
        <v>168</v>
      </c>
      <c r="W242" s="3">
        <f>IF(ISERROR(VLOOKUP($A242,'SegEnds_NonXtal_BW#'!$A:$Z,16,FALSE)+VLOOKUP($A242,A:AL,22,FALSE)-50),"-",(VLOOKUP($A242,'SegEnds_NonXtal_BW#'!$A:$Z,16,FALSE)+VLOOKUP($A242,A:AL,22,FALSE)-50))</f>
        <v>180</v>
      </c>
      <c r="X242" s="3">
        <f>IF(ISERROR(VLOOKUP($A242,'SegEnds_NonXtal_BW#'!$A:$Z,17,FALSE)+VLOOKUP($A242,A:AL,25,FALSE)-50),"-",(VLOOKUP($A242,'SegEnds_NonXtal_BW#'!$A:$Z,17,FALSE)+VLOOKUP($A242,A:AL,25,FALSE)-50))</f>
        <v>201</v>
      </c>
      <c r="Y242" s="3">
        <v>201</v>
      </c>
      <c r="Z242" s="3">
        <f t="shared" si="144"/>
        <v>203</v>
      </c>
      <c r="AA242" s="3">
        <f>IF(ISERROR(VLOOKUP($A242,'SegEnds_NonXtal_BW#'!$A:$Z,19,FALSE)+VLOOKUP($A242,A:AL,28,FALSE)-50),"-",(VLOOKUP($A242,'SegEnds_NonXtal_BW#'!$A:$Z,19,FALSE)+VLOOKUP($A242,A:AL,28,FALSE)-50))</f>
        <v>206</v>
      </c>
      <c r="AB242" s="3">
        <v>221</v>
      </c>
      <c r="AC242" s="3">
        <f>IF(ISERROR((VLOOKUP($A242,'SegEnds_NonXtal_BW#'!$A:$Z,20,FALSE)+VLOOKUP($A242,A:AL,28,FALSE)-50)),"-",(VLOOKUP($A242,'SegEnds_NonXtal_BW#'!$A:$Z,20,FALSE)+VLOOKUP($A242,A:AL,28,FALSE)-50))</f>
        <v>244</v>
      </c>
      <c r="AD242" s="3">
        <f>IF(ISERROR(VLOOKUP($A242,'SegEnds_NonXtal_BW#'!$A:$Z,21,FALSE)+VLOOKUP($A242,A:AL,31,FALSE)-50),"-",(VLOOKUP($A242,'SegEnds_NonXtal_BW#'!$A:$Z,21,FALSE)+VLOOKUP($A242,A:AL,31,FALSE)-50))</f>
        <v>249</v>
      </c>
      <c r="AE242" s="3">
        <v>277</v>
      </c>
      <c r="AF242" s="3">
        <f>IF(ISERROR((VLOOKUP($A242,'SegEnds_NonXtal_BW#'!$A:$Z,22,FALSE)+VLOOKUP($A242,A:AL,31,FALSE)-50)),"-",(VLOOKUP($A242,'SegEnds_NonXtal_BW#'!$A:$Z,22,FALSE)+VLOOKUP($A242,A:AL,31,FALSE)-50))</f>
        <v>288</v>
      </c>
      <c r="AG242" s="3">
        <f>IF(ISERROR(VLOOKUP($A242,'SegEnds_NonXtal_BW#'!$A:$Z,23,FALSE)+VLOOKUP($A242,A:AL,34,FALSE)-50),"-",(VLOOKUP($A242,'SegEnds_NonXtal_BW#'!$A:$Z,23,FALSE)+VLOOKUP($A242,A:AL,34,FALSE)-50))</f>
        <v>293</v>
      </c>
      <c r="AH242" s="3">
        <v>312</v>
      </c>
      <c r="AI242" s="3">
        <f>IF(ISERROR((VLOOKUP($A242,'SegEnds_NonXtal_BW#'!$A:$Z,24,FALSE)+VLOOKUP($A242,A:AL,34,FALSE)-50)),"-",(VLOOKUP($A242,'SegEnds_NonXtal_BW#'!$A:$Z,24,FALSE)+VLOOKUP($A242,A:AL,34,FALSE)-50))</f>
        <v>318</v>
      </c>
      <c r="AJ242" s="3">
        <f>IF(ISERROR(VLOOKUP($A242,'SegEnds_NonXtal_BW#'!$A:$Z,25,FALSE)+VLOOKUP($A242,A:AL,37,FALSE)-50),"-",(VLOOKUP($A242,'SegEnds_NonXtal_BW#'!$A:$Z,25,FALSE)+VLOOKUP($A242,A:AL,37,FALSE)-50))</f>
        <v>319</v>
      </c>
      <c r="AK242" s="3">
        <v>322</v>
      </c>
      <c r="AL242" s="3">
        <f>IF(ISERROR((VLOOKUP($A242,'SegEnds_NonXtal_BW#'!$A:$Z,26,FALSE)+VLOOKUP($A242,A:AL,37,FALSE)-50)),"-",(VLOOKUP($A242,'SegEnds_NonXtal_BW#'!$A:$Z,26,FALSE)+VLOOKUP($A242,A:AL,37,FALSE)-50))</f>
        <v>331</v>
      </c>
      <c r="AM242" s="28" t="str">
        <f>VLOOKUP(A242,Classification!A:B,2,FALSE)</f>
        <v>A</v>
      </c>
      <c r="AN242" s="28" t="b">
        <f t="shared" si="133"/>
        <v>1</v>
      </c>
      <c r="AO242" s="3" t="str">
        <f>IF(ISERROR(MATCH(A242,'SegEnds_Xtal_Prot#'!B:B, 0)), "NoXtal", "Xtal")</f>
        <v>NoXtal</v>
      </c>
      <c r="AP242" s="3">
        <f t="shared" si="118"/>
        <v>1</v>
      </c>
      <c r="AQ242" s="3">
        <f t="shared" si="119"/>
        <v>1</v>
      </c>
      <c r="AR242" s="3">
        <f t="shared" si="120"/>
        <v>1</v>
      </c>
      <c r="AS242" s="3">
        <f t="shared" si="121"/>
        <v>1</v>
      </c>
      <c r="AT242" s="3">
        <f t="shared" si="122"/>
        <v>1</v>
      </c>
      <c r="AU242" s="3">
        <f t="shared" si="123"/>
        <v>1</v>
      </c>
      <c r="AV242" s="3">
        <f t="shared" si="124"/>
        <v>21</v>
      </c>
      <c r="AW242" s="3">
        <f t="shared" si="125"/>
        <v>3</v>
      </c>
      <c r="AX242" s="3">
        <f t="shared" si="126"/>
        <v>5</v>
      </c>
      <c r="AY242" s="3">
        <f t="shared" si="127"/>
        <v>5</v>
      </c>
      <c r="AZ242" s="3">
        <f t="shared" si="128"/>
        <v>1</v>
      </c>
      <c r="BA242" s="3">
        <f>IF(ISERROR(LEN(VLOOKUP(A242,Seqs!A:E,2,FALSE))-AL242),"-",LEN(VLOOKUP(A242,Seqs!A:E,2,FALSE))-AL242)</f>
        <v>20</v>
      </c>
      <c r="BB242" s="16">
        <f t="shared" si="129"/>
        <v>28</v>
      </c>
      <c r="BC242" s="9">
        <f t="shared" si="130"/>
        <v>20</v>
      </c>
      <c r="BD242" s="3">
        <f t="shared" si="131"/>
        <v>28</v>
      </c>
      <c r="BE242" s="3">
        <f t="shared" si="132"/>
        <v>56</v>
      </c>
      <c r="BF242" s="3">
        <f t="shared" si="145"/>
        <v>35</v>
      </c>
    </row>
    <row r="243" spans="1:58" s="3" customFormat="1" x14ac:dyDescent="0.2">
      <c r="A243" s="3" t="s">
        <v>389</v>
      </c>
      <c r="B243" s="3" t="str">
        <f>LOWER(VLOOKUP(A243,Xtal_Templ!A:B,2,FALSE))</f>
        <v>drd2_human</v>
      </c>
      <c r="C243" s="3">
        <f>VLOOKUP($A243,'SegEnds_NonXtal_BW#'!$A:$Z,3,FALSE)+D243-50</f>
        <v>28</v>
      </c>
      <c r="D243" s="3">
        <v>49</v>
      </c>
      <c r="E243" s="3">
        <f>IF(ISERROR(VLOOKUP($A243,'SegEnds_NonXtal_BW#'!$A:$Z,4,FALSE)+VLOOKUP($A243,A:AL,4,FALSE)-50),"-",(VLOOKUP($A243,'SegEnds_NonXtal_BW#'!$A:$Z,4,FALSE)+VLOOKUP($A243,A:AL,4,FALSE)-50))</f>
        <v>59</v>
      </c>
      <c r="F243" s="3">
        <f t="shared" si="146"/>
        <v>60</v>
      </c>
      <c r="G243" s="3">
        <v>62</v>
      </c>
      <c r="H243" s="3">
        <f t="shared" si="147"/>
        <v>63</v>
      </c>
      <c r="I243" s="3">
        <f t="shared" si="147"/>
        <v>64</v>
      </c>
      <c r="J243" s="3">
        <v>77</v>
      </c>
      <c r="K243" s="3">
        <f>VLOOKUP($A243,'SegEnds_NonXtal_BW#'!$A:$Z,8,FALSE)+VLOOKUP($A243,A:AL,10,FALSE)-50</f>
        <v>95</v>
      </c>
      <c r="L243" s="3">
        <f t="shared" si="142"/>
        <v>96</v>
      </c>
      <c r="M243" s="3">
        <v>97</v>
      </c>
      <c r="N243" s="3">
        <f t="shared" si="143"/>
        <v>99</v>
      </c>
      <c r="O243" s="3">
        <f t="shared" si="139"/>
        <v>100</v>
      </c>
      <c r="P243" s="3">
        <v>129</v>
      </c>
      <c r="Q243" s="3">
        <f>VLOOKUP($A243,'SegEnds_NonXtal_BW#'!$A:$Z,12,FALSE)+VLOOKUP($A243,A:AL,16,FALSE)-50</f>
        <v>135</v>
      </c>
      <c r="R243" s="3">
        <f>IF(ISERROR(VLOOKUP($A243,'SegEnds_NonXtal_BW#'!$A:$Z,13,FALSE)+VLOOKUP($A243,A:AL,19,FALSE)-50),"-",VLOOKUP($A243,'SegEnds_NonXtal_BW#'!$A:$Z,13,FALSE)+VLOOKUP($A243,A:AL,19,FALSE)-50)</f>
        <v>136</v>
      </c>
      <c r="S243" s="3">
        <v>136</v>
      </c>
      <c r="T243" s="100">
        <f>IF(ISERROR(VLOOKUP($A243,'SegEnds_NonXtal_BW#'!$A:$Z,14,FALSE)+VLOOKUP($A243,A:AL,19,FALSE)-50),"-",(VLOOKUP($A243,'SegEnds_NonXtal_BW#'!$A:$Z,14,FALSE)+VLOOKUP($A243,A:AL,19,FALSE)-50))</f>
        <v>143</v>
      </c>
      <c r="U243" s="9">
        <f>IF(ISERROR(VLOOKUP($A243,'SegEnds_NonXtal_BW#'!$A:$Z,15,FALSE)+VLOOKUP($A243,A:AL,22,FALSE)-50),"-",VLOOKUP($A243,'SegEnds_NonXtal_BW#'!$A:$Z,15,FALSE)+VLOOKUP($A243,A:AL,22,FALSE)-50)</f>
        <v>144</v>
      </c>
      <c r="V243" s="3">
        <v>156</v>
      </c>
      <c r="W243" s="3">
        <f>IF(ISERROR(VLOOKUP($A243,'SegEnds_NonXtal_BW#'!$A:$Z,16,FALSE)+VLOOKUP($A243,A:AL,22,FALSE)-50),"-",(VLOOKUP($A243,'SegEnds_NonXtal_BW#'!$A:$Z,16,FALSE)+VLOOKUP($A243,A:AL,22,FALSE)-50))</f>
        <v>168</v>
      </c>
      <c r="X243" s="3">
        <f>IF(ISERROR(VLOOKUP($A243,'SegEnds_NonXtal_BW#'!$A:$Z,17,FALSE)+VLOOKUP($A243,A:AL,25,FALSE)-50),"-",(VLOOKUP($A243,'SegEnds_NonXtal_BW#'!$A:$Z,17,FALSE)+VLOOKUP($A243,A:AL,25,FALSE)-50))</f>
        <v>189</v>
      </c>
      <c r="Y243" s="3">
        <v>189</v>
      </c>
      <c r="Z243" s="3">
        <f t="shared" si="144"/>
        <v>191</v>
      </c>
      <c r="AA243" s="3">
        <f>IF(ISERROR(VLOOKUP($A243,'SegEnds_NonXtal_BW#'!$A:$Z,19,FALSE)+VLOOKUP($A243,A:AL,28,FALSE)-50),"-",(VLOOKUP($A243,'SegEnds_NonXtal_BW#'!$A:$Z,19,FALSE)+VLOOKUP($A243,A:AL,28,FALSE)-50))</f>
        <v>194</v>
      </c>
      <c r="AB243" s="3">
        <v>209</v>
      </c>
      <c r="AC243" s="3">
        <f>IF(ISERROR((VLOOKUP($A243,'SegEnds_NonXtal_BW#'!$A:$Z,20,FALSE)+VLOOKUP($A243,A:AL,28,FALSE)-50)),"-",(VLOOKUP($A243,'SegEnds_NonXtal_BW#'!$A:$Z,20,FALSE)+VLOOKUP($A243,A:AL,28,FALSE)-50))</f>
        <v>233</v>
      </c>
      <c r="AD243" s="3">
        <f>IF(ISERROR(VLOOKUP($A243,'SegEnds_NonXtal_BW#'!$A:$Z,21,FALSE)+VLOOKUP($A243,A:AL,31,FALSE)-50),"-",(VLOOKUP($A243,'SegEnds_NonXtal_BW#'!$A:$Z,21,FALSE)+VLOOKUP($A243,A:AL,31,FALSE)-50))</f>
        <v>242</v>
      </c>
      <c r="AE243" s="3">
        <v>271</v>
      </c>
      <c r="AF243" s="3">
        <f>IF(ISERROR((VLOOKUP($A243,'SegEnds_NonXtal_BW#'!$A:$Z,22,FALSE)+VLOOKUP($A243,A:AL,31,FALSE)-50)),"-",(VLOOKUP($A243,'SegEnds_NonXtal_BW#'!$A:$Z,22,FALSE)+VLOOKUP($A243,A:AL,31,FALSE)-50))</f>
        <v>282</v>
      </c>
      <c r="AG243" s="3">
        <f>IF(ISERROR(VLOOKUP($A243,'SegEnds_NonXtal_BW#'!$A:$Z,23,FALSE)+VLOOKUP($A243,A:AL,34,FALSE)-50),"-",(VLOOKUP($A243,'SegEnds_NonXtal_BW#'!$A:$Z,23,FALSE)+VLOOKUP($A243,A:AL,34,FALSE)-50))</f>
        <v>287</v>
      </c>
      <c r="AH243" s="3">
        <v>306</v>
      </c>
      <c r="AI243" s="3">
        <f>IF(ISERROR((VLOOKUP($A243,'SegEnds_NonXtal_BW#'!$A:$Z,24,FALSE)+VLOOKUP($A243,A:AL,34,FALSE)-50)),"-",(VLOOKUP($A243,'SegEnds_NonXtal_BW#'!$A:$Z,24,FALSE)+VLOOKUP($A243,A:AL,34,FALSE)-50))</f>
        <v>312</v>
      </c>
      <c r="AJ243" s="3">
        <f>IF(ISERROR(VLOOKUP($A243,'SegEnds_NonXtal_BW#'!$A:$Z,25,FALSE)+VLOOKUP($A243,A:AL,37,FALSE)-50),"-",(VLOOKUP($A243,'SegEnds_NonXtal_BW#'!$A:$Z,25,FALSE)+VLOOKUP($A243,A:AL,37,FALSE)-50))</f>
        <v>313</v>
      </c>
      <c r="AK243" s="3">
        <v>316</v>
      </c>
      <c r="AL243" s="3">
        <f>IF(ISERROR((VLOOKUP($A243,'SegEnds_NonXtal_BW#'!$A:$Z,26,FALSE)+VLOOKUP($A243,A:AL,37,FALSE)-50)),"-",(VLOOKUP($A243,'SegEnds_NonXtal_BW#'!$A:$Z,26,FALSE)+VLOOKUP($A243,A:AL,37,FALSE)-50))</f>
        <v>325</v>
      </c>
      <c r="AM243" s="28" t="str">
        <f>VLOOKUP(A243,Classification!A:B,2,FALSE)</f>
        <v>A</v>
      </c>
      <c r="AN243" s="28" t="b">
        <f t="shared" si="133"/>
        <v>1</v>
      </c>
      <c r="AO243" s="3" t="str">
        <f>IF(ISERROR(MATCH(A243,'SegEnds_Xtal_Prot#'!B:B, 0)), "NoXtal", "Xtal")</f>
        <v>NoXtal</v>
      </c>
      <c r="AP243" s="3">
        <f t="shared" si="118"/>
        <v>1</v>
      </c>
      <c r="AQ243" s="3">
        <f t="shared" si="119"/>
        <v>1</v>
      </c>
      <c r="AR243" s="3">
        <f t="shared" si="120"/>
        <v>1</v>
      </c>
      <c r="AS243" s="3">
        <f t="shared" si="121"/>
        <v>1</v>
      </c>
      <c r="AT243" s="3">
        <f t="shared" si="122"/>
        <v>1</v>
      </c>
      <c r="AU243" s="3">
        <f t="shared" si="123"/>
        <v>1</v>
      </c>
      <c r="AV243" s="3">
        <f t="shared" si="124"/>
        <v>21</v>
      </c>
      <c r="AW243" s="3">
        <f t="shared" si="125"/>
        <v>3</v>
      </c>
      <c r="AX243" s="3">
        <f t="shared" si="126"/>
        <v>9</v>
      </c>
      <c r="AY243" s="3">
        <f t="shared" si="127"/>
        <v>5</v>
      </c>
      <c r="AZ243" s="3">
        <f t="shared" si="128"/>
        <v>1</v>
      </c>
      <c r="BA243" s="3">
        <f>IF(ISERROR(LEN(VLOOKUP(A243,Seqs!A:E,2,FALSE))-AL243),"-",LEN(VLOOKUP(A243,Seqs!A:E,2,FALSE))-AL243)</f>
        <v>18</v>
      </c>
      <c r="BB243" s="16">
        <f t="shared" si="129"/>
        <v>28</v>
      </c>
      <c r="BC243" s="9">
        <f t="shared" si="130"/>
        <v>20</v>
      </c>
      <c r="BD243" s="3">
        <f t="shared" si="131"/>
        <v>28</v>
      </c>
      <c r="BE243" s="3">
        <f t="shared" si="132"/>
        <v>62</v>
      </c>
      <c r="BF243" s="3">
        <f t="shared" si="145"/>
        <v>35</v>
      </c>
    </row>
    <row r="244" spans="1:58" s="3" customFormat="1" x14ac:dyDescent="0.2">
      <c r="A244" s="3" t="s">
        <v>390</v>
      </c>
      <c r="B244" s="3" t="str">
        <f>LOWER(VLOOKUP(A244,Xtal_Templ!A:B,2,FALSE))</f>
        <v>5ht1b_human</v>
      </c>
      <c r="C244" s="3">
        <f>VLOOKUP($A244,'SegEnds_NonXtal_BW#'!$A:$Z,3,FALSE)+D244-50</f>
        <v>30</v>
      </c>
      <c r="D244" s="3">
        <v>52</v>
      </c>
      <c r="E244" s="3">
        <f>IF(ISERROR(VLOOKUP($A244,'SegEnds_NonXtal_BW#'!$A:$Z,4,FALSE)+VLOOKUP($A244,A:AL,4,FALSE)-50),"-",(VLOOKUP($A244,'SegEnds_NonXtal_BW#'!$A:$Z,4,FALSE)+VLOOKUP($A244,A:AL,4,FALSE)-50))</f>
        <v>62</v>
      </c>
      <c r="F244" s="3">
        <f t="shared" si="146"/>
        <v>63</v>
      </c>
      <c r="G244" s="3">
        <v>65</v>
      </c>
      <c r="H244" s="3">
        <f t="shared" si="147"/>
        <v>66</v>
      </c>
      <c r="I244" s="3">
        <f t="shared" si="147"/>
        <v>67</v>
      </c>
      <c r="J244" s="3">
        <v>80</v>
      </c>
      <c r="K244" s="3">
        <f>VLOOKUP($A244,'SegEnds_NonXtal_BW#'!$A:$Z,8,FALSE)+VLOOKUP($A244,A:AL,10,FALSE)-50</f>
        <v>98</v>
      </c>
      <c r="L244" s="3">
        <f t="shared" si="142"/>
        <v>99</v>
      </c>
      <c r="M244" s="3">
        <v>100</v>
      </c>
      <c r="N244" s="3">
        <f t="shared" si="143"/>
        <v>102</v>
      </c>
      <c r="O244" s="3">
        <f t="shared" si="139"/>
        <v>103</v>
      </c>
      <c r="P244" s="3">
        <v>132</v>
      </c>
      <c r="Q244" s="3">
        <f>VLOOKUP($A244,'SegEnds_NonXtal_BW#'!$A:$Z,12,FALSE)+VLOOKUP($A244,A:AL,16,FALSE)-50</f>
        <v>138</v>
      </c>
      <c r="R244" s="3">
        <f>IF(ISERROR(VLOOKUP($A244,'SegEnds_NonXtal_BW#'!$A:$Z,13,FALSE)+VLOOKUP($A244,A:AL,19,FALSE)-50),"-",VLOOKUP($A244,'SegEnds_NonXtal_BW#'!$A:$Z,13,FALSE)+VLOOKUP($A244,A:AL,19,FALSE)-50)</f>
        <v>139</v>
      </c>
      <c r="S244" s="3">
        <v>139</v>
      </c>
      <c r="T244" s="100">
        <f>IF(ISERROR(VLOOKUP($A244,'SegEnds_NonXtal_BW#'!$A:$Z,14,FALSE)+VLOOKUP($A244,A:AL,19,FALSE)-50),"-",(VLOOKUP($A244,'SegEnds_NonXtal_BW#'!$A:$Z,14,FALSE)+VLOOKUP($A244,A:AL,19,FALSE)-50))</f>
        <v>146</v>
      </c>
      <c r="U244" s="9">
        <f>IF(ISERROR(VLOOKUP($A244,'SegEnds_NonXtal_BW#'!$A:$Z,15,FALSE)+VLOOKUP($A244,A:AL,22,FALSE)-50),"-",VLOOKUP($A244,'SegEnds_NonXtal_BW#'!$A:$Z,15,FALSE)+VLOOKUP($A244,A:AL,22,FALSE)-50)</f>
        <v>147</v>
      </c>
      <c r="V244" s="3">
        <v>159</v>
      </c>
      <c r="W244" s="3">
        <f>IF(ISERROR(VLOOKUP($A244,'SegEnds_NonXtal_BW#'!$A:$Z,16,FALSE)+VLOOKUP($A244,A:AL,22,FALSE)-50),"-",(VLOOKUP($A244,'SegEnds_NonXtal_BW#'!$A:$Z,16,FALSE)+VLOOKUP($A244,A:AL,22,FALSE)-50))</f>
        <v>172</v>
      </c>
      <c r="X244" s="3">
        <f>IF(ISERROR(VLOOKUP($A244,'SegEnds_NonXtal_BW#'!$A:$Z,17,FALSE)+VLOOKUP($A244,A:AL,25,FALSE)-50),"-",(VLOOKUP($A244,'SegEnds_NonXtal_BW#'!$A:$Z,17,FALSE)+VLOOKUP($A244,A:AL,25,FALSE)-50))</f>
        <v>192</v>
      </c>
      <c r="Y244" s="3">
        <v>192</v>
      </c>
      <c r="Z244" s="3">
        <f t="shared" si="144"/>
        <v>194</v>
      </c>
      <c r="AA244" s="3">
        <f>IF(ISERROR(VLOOKUP($A244,'SegEnds_NonXtal_BW#'!$A:$Z,19,FALSE)+VLOOKUP($A244,A:AL,28,FALSE)-50),"-",(VLOOKUP($A244,'SegEnds_NonXtal_BW#'!$A:$Z,19,FALSE)+VLOOKUP($A244,A:AL,28,FALSE)-50))</f>
        <v>196</v>
      </c>
      <c r="AB244" s="3">
        <v>211</v>
      </c>
      <c r="AC244" s="3">
        <f>IF(ISERROR((VLOOKUP($A244,'SegEnds_NonXtal_BW#'!$A:$Z,20,FALSE)+VLOOKUP($A244,A:AL,28,FALSE)-50)),"-",(VLOOKUP($A244,'SegEnds_NonXtal_BW#'!$A:$Z,20,FALSE)+VLOOKUP($A244,A:AL,28,FALSE)-50))</f>
        <v>234</v>
      </c>
      <c r="AD244" s="3">
        <f>IF(ISERROR(VLOOKUP($A244,'SegEnds_NonXtal_BW#'!$A:$Z,21,FALSE)+VLOOKUP($A244,A:AL,31,FALSE)-50),"-",(VLOOKUP($A244,'SegEnds_NonXtal_BW#'!$A:$Z,21,FALSE)+VLOOKUP($A244,A:AL,31,FALSE)-50))</f>
        <v>239</v>
      </c>
      <c r="AE244" s="3">
        <v>267</v>
      </c>
      <c r="AF244" s="3">
        <f>IF(ISERROR((VLOOKUP($A244,'SegEnds_NonXtal_BW#'!$A:$Z,22,FALSE)+VLOOKUP($A244,A:AL,31,FALSE)-50)),"-",(VLOOKUP($A244,'SegEnds_NonXtal_BW#'!$A:$Z,22,FALSE)+VLOOKUP($A244,A:AL,31,FALSE)-50))</f>
        <v>278</v>
      </c>
      <c r="AG244" s="3">
        <f>IF(ISERROR(VLOOKUP($A244,'SegEnds_NonXtal_BW#'!$A:$Z,23,FALSE)+VLOOKUP($A244,A:AL,34,FALSE)-50),"-",(VLOOKUP($A244,'SegEnds_NonXtal_BW#'!$A:$Z,23,FALSE)+VLOOKUP($A244,A:AL,34,FALSE)-50))</f>
        <v>283</v>
      </c>
      <c r="AH244" s="3">
        <v>302</v>
      </c>
      <c r="AI244" s="3">
        <f>IF(ISERROR((VLOOKUP($A244,'SegEnds_NonXtal_BW#'!$A:$Z,24,FALSE)+VLOOKUP($A244,A:AL,34,FALSE)-50)),"-",(VLOOKUP($A244,'SegEnds_NonXtal_BW#'!$A:$Z,24,FALSE)+VLOOKUP($A244,A:AL,34,FALSE)-50))</f>
        <v>308</v>
      </c>
      <c r="AJ244" s="3">
        <f>IF(ISERROR(VLOOKUP($A244,'SegEnds_NonXtal_BW#'!$A:$Z,25,FALSE)+VLOOKUP($A244,A:AL,37,FALSE)-50),"-",(VLOOKUP($A244,'SegEnds_NonXtal_BW#'!$A:$Z,25,FALSE)+VLOOKUP($A244,A:AL,37,FALSE)-50))</f>
        <v>309</v>
      </c>
      <c r="AK244" s="3">
        <v>312</v>
      </c>
      <c r="AL244" s="3">
        <f>IF(ISERROR((VLOOKUP($A244,'SegEnds_NonXtal_BW#'!$A:$Z,26,FALSE)+VLOOKUP($A244,A:AL,37,FALSE)-50)),"-",(VLOOKUP($A244,'SegEnds_NonXtal_BW#'!$A:$Z,26,FALSE)+VLOOKUP($A244,A:AL,37,FALSE)-50))</f>
        <v>320</v>
      </c>
      <c r="AM244" s="28" t="str">
        <f>VLOOKUP(A244,Classification!A:B,2,FALSE)</f>
        <v>A</v>
      </c>
      <c r="AN244" s="28" t="b">
        <f t="shared" si="133"/>
        <v>1</v>
      </c>
      <c r="AO244" s="3" t="str">
        <f>IF(ISERROR(MATCH(A244,'SegEnds_Xtal_Prot#'!B:B, 0)), "NoXtal", "Xtal")</f>
        <v>NoXtal</v>
      </c>
      <c r="AP244" s="3">
        <f t="shared" si="118"/>
        <v>1</v>
      </c>
      <c r="AQ244" s="3">
        <f t="shared" si="119"/>
        <v>1</v>
      </c>
      <c r="AR244" s="3">
        <f t="shared" si="120"/>
        <v>1</v>
      </c>
      <c r="AS244" s="3">
        <f t="shared" si="121"/>
        <v>1</v>
      </c>
      <c r="AT244" s="3">
        <f t="shared" si="122"/>
        <v>1</v>
      </c>
      <c r="AU244" s="3">
        <f t="shared" si="123"/>
        <v>1</v>
      </c>
      <c r="AV244" s="3">
        <f t="shared" si="124"/>
        <v>20</v>
      </c>
      <c r="AW244" s="3">
        <f t="shared" si="125"/>
        <v>2</v>
      </c>
      <c r="AX244" s="3">
        <f t="shared" si="126"/>
        <v>5</v>
      </c>
      <c r="AY244" s="3">
        <f t="shared" si="127"/>
        <v>5</v>
      </c>
      <c r="AZ244" s="3">
        <f t="shared" si="128"/>
        <v>1</v>
      </c>
      <c r="BA244" s="3">
        <f>IF(ISERROR(LEN(VLOOKUP(A244,Seqs!A:E,2,FALSE))-AL244),"-",LEN(VLOOKUP(A244,Seqs!A:E,2,FALSE))-AL244)</f>
        <v>17</v>
      </c>
      <c r="BB244" s="16">
        <f t="shared" si="129"/>
        <v>28</v>
      </c>
      <c r="BC244" s="9">
        <f t="shared" si="130"/>
        <v>20</v>
      </c>
      <c r="BD244" s="3">
        <f t="shared" si="131"/>
        <v>28</v>
      </c>
      <c r="BE244" s="3">
        <f t="shared" si="132"/>
        <v>56</v>
      </c>
      <c r="BF244" s="3">
        <f t="shared" si="145"/>
        <v>35</v>
      </c>
    </row>
    <row r="245" spans="1:58" s="3" customFormat="1" x14ac:dyDescent="0.2">
      <c r="A245" s="3" t="s">
        <v>391</v>
      </c>
      <c r="B245" s="3" t="str">
        <f>LOWER(VLOOKUP(A245,Xtal_Templ!A:B,2,FALSE))</f>
        <v>5ht1b_human</v>
      </c>
      <c r="C245" s="3">
        <f>VLOOKUP($A245,'SegEnds_NonXtal_BW#'!$A:$Z,3,FALSE)+D245-50</f>
        <v>28</v>
      </c>
      <c r="D245" s="3">
        <v>50</v>
      </c>
      <c r="E245" s="3">
        <f>IF(ISERROR(VLOOKUP($A245,'SegEnds_NonXtal_BW#'!$A:$Z,4,FALSE)+VLOOKUP($A245,A:AL,4,FALSE)-50),"-",(VLOOKUP($A245,'SegEnds_NonXtal_BW#'!$A:$Z,4,FALSE)+VLOOKUP($A245,A:AL,4,FALSE)-50))</f>
        <v>60</v>
      </c>
      <c r="F245" s="3">
        <f t="shared" si="146"/>
        <v>61</v>
      </c>
      <c r="G245" s="3">
        <v>63</v>
      </c>
      <c r="H245" s="3">
        <f t="shared" si="147"/>
        <v>64</v>
      </c>
      <c r="I245" s="3">
        <f t="shared" si="147"/>
        <v>65</v>
      </c>
      <c r="J245" s="3">
        <v>78</v>
      </c>
      <c r="K245" s="3">
        <f>VLOOKUP($A245,'SegEnds_NonXtal_BW#'!$A:$Z,8,FALSE)+VLOOKUP($A245,A:AL,10,FALSE)-50</f>
        <v>96</v>
      </c>
      <c r="L245" s="3">
        <f t="shared" si="142"/>
        <v>97</v>
      </c>
      <c r="M245" s="3">
        <v>98</v>
      </c>
      <c r="N245" s="3">
        <f t="shared" si="143"/>
        <v>100</v>
      </c>
      <c r="O245" s="3">
        <f t="shared" si="139"/>
        <v>101</v>
      </c>
      <c r="P245" s="3">
        <v>130</v>
      </c>
      <c r="Q245" s="3">
        <f>VLOOKUP($A245,'SegEnds_NonXtal_BW#'!$A:$Z,12,FALSE)+VLOOKUP($A245,A:AL,16,FALSE)-50</f>
        <v>136</v>
      </c>
      <c r="R245" s="3">
        <f>IF(ISERROR(VLOOKUP($A245,'SegEnds_NonXtal_BW#'!$A:$Z,13,FALSE)+VLOOKUP($A245,A:AL,19,FALSE)-50),"-",VLOOKUP($A245,'SegEnds_NonXtal_BW#'!$A:$Z,13,FALSE)+VLOOKUP($A245,A:AL,19,FALSE)-50)</f>
        <v>137</v>
      </c>
      <c r="S245" s="3">
        <v>137</v>
      </c>
      <c r="T245" s="100">
        <f>IF(ISERROR(VLOOKUP($A245,'SegEnds_NonXtal_BW#'!$A:$Z,14,FALSE)+VLOOKUP($A245,A:AL,19,FALSE)-50),"-",(VLOOKUP($A245,'SegEnds_NonXtal_BW#'!$A:$Z,14,FALSE)+VLOOKUP($A245,A:AL,19,FALSE)-50))</f>
        <v>144</v>
      </c>
      <c r="U245" s="9">
        <f>IF(ISERROR(VLOOKUP($A245,'SegEnds_NonXtal_BW#'!$A:$Z,15,FALSE)+VLOOKUP($A245,A:AL,22,FALSE)-50),"-",VLOOKUP($A245,'SegEnds_NonXtal_BW#'!$A:$Z,15,FALSE)+VLOOKUP($A245,A:AL,22,FALSE)-50)</f>
        <v>145</v>
      </c>
      <c r="V245" s="3">
        <v>157</v>
      </c>
      <c r="W245" s="3">
        <f>IF(ISERROR(VLOOKUP($A245,'SegEnds_NonXtal_BW#'!$A:$Z,16,FALSE)+VLOOKUP($A245,A:AL,22,FALSE)-50),"-",(VLOOKUP($A245,'SegEnds_NonXtal_BW#'!$A:$Z,16,FALSE)+VLOOKUP($A245,A:AL,22,FALSE)-50))</f>
        <v>170</v>
      </c>
      <c r="X245" s="3">
        <f>IF(ISERROR(VLOOKUP($A245,'SegEnds_NonXtal_BW#'!$A:$Z,17,FALSE)+VLOOKUP($A245,A:AL,25,FALSE)-50),"-",(VLOOKUP($A245,'SegEnds_NonXtal_BW#'!$A:$Z,17,FALSE)+VLOOKUP($A245,A:AL,25,FALSE)-50))</f>
        <v>190</v>
      </c>
      <c r="Y245" s="3">
        <v>190</v>
      </c>
      <c r="Z245" s="3">
        <f t="shared" si="144"/>
        <v>192</v>
      </c>
      <c r="AA245" s="3">
        <f>IF(ISERROR(VLOOKUP($A245,'SegEnds_NonXtal_BW#'!$A:$Z,19,FALSE)+VLOOKUP($A245,A:AL,28,FALSE)-50),"-",(VLOOKUP($A245,'SegEnds_NonXtal_BW#'!$A:$Z,19,FALSE)+VLOOKUP($A245,A:AL,28,FALSE)-50))</f>
        <v>194</v>
      </c>
      <c r="AB245" s="3">
        <v>209</v>
      </c>
      <c r="AC245" s="3">
        <f>IF(ISERROR((VLOOKUP($A245,'SegEnds_NonXtal_BW#'!$A:$Z,20,FALSE)+VLOOKUP($A245,A:AL,28,FALSE)-50)),"-",(VLOOKUP($A245,'SegEnds_NonXtal_BW#'!$A:$Z,20,FALSE)+VLOOKUP($A245,A:AL,28,FALSE)-50))</f>
        <v>233</v>
      </c>
      <c r="AD245" s="3">
        <f>IF(ISERROR(VLOOKUP($A245,'SegEnds_NonXtal_BW#'!$A:$Z,21,FALSE)+VLOOKUP($A245,A:AL,31,FALSE)-50),"-",(VLOOKUP($A245,'SegEnds_NonXtal_BW#'!$A:$Z,21,FALSE)+VLOOKUP($A245,A:AL,31,FALSE)-50))</f>
        <v>244</v>
      </c>
      <c r="AE245" s="3">
        <v>273</v>
      </c>
      <c r="AF245" s="3">
        <f>IF(ISERROR((VLOOKUP($A245,'SegEnds_NonXtal_BW#'!$A:$Z,22,FALSE)+VLOOKUP($A245,A:AL,31,FALSE)-50)),"-",(VLOOKUP($A245,'SegEnds_NonXtal_BW#'!$A:$Z,22,FALSE)+VLOOKUP($A245,A:AL,31,FALSE)-50))</f>
        <v>284</v>
      </c>
      <c r="AG245" s="3">
        <f>IF(ISERROR(VLOOKUP($A245,'SegEnds_NonXtal_BW#'!$A:$Z,23,FALSE)+VLOOKUP($A245,A:AL,34,FALSE)-50),"-",(VLOOKUP($A245,'SegEnds_NonXtal_BW#'!$A:$Z,23,FALSE)+VLOOKUP($A245,A:AL,34,FALSE)-50))</f>
        <v>289</v>
      </c>
      <c r="AH245" s="3">
        <v>308</v>
      </c>
      <c r="AI245" s="3">
        <f>IF(ISERROR((VLOOKUP($A245,'SegEnds_NonXtal_BW#'!$A:$Z,24,FALSE)+VLOOKUP($A245,A:AL,34,FALSE)-50)),"-",(VLOOKUP($A245,'SegEnds_NonXtal_BW#'!$A:$Z,24,FALSE)+VLOOKUP($A245,A:AL,34,FALSE)-50))</f>
        <v>314</v>
      </c>
      <c r="AJ245" s="3">
        <f>IF(ISERROR(VLOOKUP($A245,'SegEnds_NonXtal_BW#'!$A:$Z,25,FALSE)+VLOOKUP($A245,A:AL,37,FALSE)-50),"-",(VLOOKUP($A245,'SegEnds_NonXtal_BW#'!$A:$Z,25,FALSE)+VLOOKUP($A245,A:AL,37,FALSE)-50))</f>
        <v>315</v>
      </c>
      <c r="AK245" s="3">
        <v>318</v>
      </c>
      <c r="AL245" s="3">
        <f>IF(ISERROR((VLOOKUP($A245,'SegEnds_NonXtal_BW#'!$A:$Z,26,FALSE)+VLOOKUP($A245,A:AL,37,FALSE)-50)),"-",(VLOOKUP($A245,'SegEnds_NonXtal_BW#'!$A:$Z,26,FALSE)+VLOOKUP($A245,A:AL,37,FALSE)-50))</f>
        <v>326</v>
      </c>
      <c r="AM245" s="28" t="str">
        <f>VLOOKUP(A245,Classification!A:B,2,FALSE)</f>
        <v>A</v>
      </c>
      <c r="AN245" s="28" t="b">
        <f t="shared" si="133"/>
        <v>1</v>
      </c>
      <c r="AO245" s="3" t="str">
        <f>IF(ISERROR(MATCH(A245,'SegEnds_Xtal_Prot#'!B:B, 0)), "NoXtal", "Xtal")</f>
        <v>NoXtal</v>
      </c>
      <c r="AP245" s="3">
        <f t="shared" si="118"/>
        <v>1</v>
      </c>
      <c r="AQ245" s="3">
        <f t="shared" si="119"/>
        <v>1</v>
      </c>
      <c r="AR245" s="3">
        <f t="shared" si="120"/>
        <v>1</v>
      </c>
      <c r="AS245" s="3">
        <f t="shared" si="121"/>
        <v>1</v>
      </c>
      <c r="AT245" s="3">
        <f t="shared" si="122"/>
        <v>1</v>
      </c>
      <c r="AU245" s="3">
        <f t="shared" si="123"/>
        <v>1</v>
      </c>
      <c r="AV245" s="3">
        <f t="shared" si="124"/>
        <v>20</v>
      </c>
      <c r="AW245" s="3">
        <f t="shared" si="125"/>
        <v>2</v>
      </c>
      <c r="AX245" s="3">
        <f t="shared" si="126"/>
        <v>11</v>
      </c>
      <c r="AY245" s="3">
        <f t="shared" si="127"/>
        <v>5</v>
      </c>
      <c r="AZ245" s="3">
        <f t="shared" si="128"/>
        <v>1</v>
      </c>
      <c r="BA245" s="3">
        <f>IF(ISERROR(LEN(VLOOKUP(A245,Seqs!A:E,2,FALSE))-AL245),"-",LEN(VLOOKUP(A245,Seqs!A:E,2,FALSE))-AL245)</f>
        <v>19</v>
      </c>
      <c r="BB245" s="16">
        <f t="shared" si="129"/>
        <v>28</v>
      </c>
      <c r="BC245" s="9">
        <f t="shared" si="130"/>
        <v>20</v>
      </c>
      <c r="BD245" s="3">
        <f t="shared" si="131"/>
        <v>28</v>
      </c>
      <c r="BE245" s="3">
        <f t="shared" si="132"/>
        <v>64</v>
      </c>
      <c r="BF245" s="3">
        <f t="shared" si="145"/>
        <v>35</v>
      </c>
    </row>
    <row r="246" spans="1:58" s="3" customFormat="1" x14ac:dyDescent="0.2">
      <c r="A246" s="3" t="s">
        <v>392</v>
      </c>
      <c r="B246" s="3" t="str">
        <f>LOWER(VLOOKUP(A246,Xtal_Templ!A:B,2,FALSE))</f>
        <v>5ht1b_human</v>
      </c>
      <c r="C246" s="3">
        <f>VLOOKUP($A246,'SegEnds_NonXtal_BW#'!$A:$Z,3,FALSE)+D246-50</f>
        <v>27</v>
      </c>
      <c r="D246" s="3">
        <v>49</v>
      </c>
      <c r="E246" s="3">
        <f>IF(ISERROR(VLOOKUP($A246,'SegEnds_NonXtal_BW#'!$A:$Z,4,FALSE)+VLOOKUP($A246,A:AL,4,FALSE)-50),"-",(VLOOKUP($A246,'SegEnds_NonXtal_BW#'!$A:$Z,4,FALSE)+VLOOKUP($A246,A:AL,4,FALSE)-50))</f>
        <v>59</v>
      </c>
      <c r="F246" s="3">
        <f t="shared" si="146"/>
        <v>60</v>
      </c>
      <c r="G246" s="3">
        <v>62</v>
      </c>
      <c r="H246" s="3">
        <f t="shared" si="147"/>
        <v>63</v>
      </c>
      <c r="I246" s="3">
        <f t="shared" si="147"/>
        <v>64</v>
      </c>
      <c r="J246" s="3">
        <v>77</v>
      </c>
      <c r="K246" s="3">
        <f>VLOOKUP($A246,'SegEnds_NonXtal_BW#'!$A:$Z,8,FALSE)+VLOOKUP($A246,A:AL,10,FALSE)-50</f>
        <v>95</v>
      </c>
      <c r="L246" s="3">
        <f t="shared" si="142"/>
        <v>96</v>
      </c>
      <c r="M246" s="3">
        <v>97</v>
      </c>
      <c r="N246" s="3">
        <f t="shared" si="143"/>
        <v>99</v>
      </c>
      <c r="O246" s="3">
        <f t="shared" si="139"/>
        <v>100</v>
      </c>
      <c r="P246" s="3">
        <v>129</v>
      </c>
      <c r="Q246" s="3">
        <f>VLOOKUP($A246,'SegEnds_NonXtal_BW#'!$A:$Z,12,FALSE)+VLOOKUP($A246,A:AL,16,FALSE)-50</f>
        <v>135</v>
      </c>
      <c r="R246" s="3">
        <f>IF(ISERROR(VLOOKUP($A246,'SegEnds_NonXtal_BW#'!$A:$Z,13,FALSE)+VLOOKUP($A246,A:AL,19,FALSE)-50),"-",VLOOKUP($A246,'SegEnds_NonXtal_BW#'!$A:$Z,13,FALSE)+VLOOKUP($A246,A:AL,19,FALSE)-50)</f>
        <v>136</v>
      </c>
      <c r="S246" s="3">
        <v>136</v>
      </c>
      <c r="T246" s="100">
        <f>IF(ISERROR(VLOOKUP($A246,'SegEnds_NonXtal_BW#'!$A:$Z,14,FALSE)+VLOOKUP($A246,A:AL,19,FALSE)-50),"-",(VLOOKUP($A246,'SegEnds_NonXtal_BW#'!$A:$Z,14,FALSE)+VLOOKUP($A246,A:AL,19,FALSE)-50))</f>
        <v>143</v>
      </c>
      <c r="U246" s="9">
        <f>IF(ISERROR(VLOOKUP($A246,'SegEnds_NonXtal_BW#'!$A:$Z,15,FALSE)+VLOOKUP($A246,A:AL,22,FALSE)-50),"-",VLOOKUP($A246,'SegEnds_NonXtal_BW#'!$A:$Z,15,FALSE)+VLOOKUP($A246,A:AL,22,FALSE)-50)</f>
        <v>144</v>
      </c>
      <c r="V246" s="3">
        <v>156</v>
      </c>
      <c r="W246" s="3">
        <f>IF(ISERROR(VLOOKUP($A246,'SegEnds_NonXtal_BW#'!$A:$Z,16,FALSE)+VLOOKUP($A246,A:AL,22,FALSE)-50),"-",(VLOOKUP($A246,'SegEnds_NonXtal_BW#'!$A:$Z,16,FALSE)+VLOOKUP($A246,A:AL,22,FALSE)-50))</f>
        <v>169</v>
      </c>
      <c r="X246" s="3">
        <f>IF(ISERROR(VLOOKUP($A246,'SegEnds_NonXtal_BW#'!$A:$Z,17,FALSE)+VLOOKUP($A246,A:AL,25,FALSE)-50),"-",(VLOOKUP($A246,'SegEnds_NonXtal_BW#'!$A:$Z,17,FALSE)+VLOOKUP($A246,A:AL,25,FALSE)-50))</f>
        <v>189</v>
      </c>
      <c r="Y246" s="3">
        <v>189</v>
      </c>
      <c r="Z246" s="3">
        <f t="shared" si="144"/>
        <v>191</v>
      </c>
      <c r="AA246" s="3">
        <f>IF(ISERROR(VLOOKUP($A246,'SegEnds_NonXtal_BW#'!$A:$Z,19,FALSE)+VLOOKUP($A246,A:AL,28,FALSE)-50),"-",(VLOOKUP($A246,'SegEnds_NonXtal_BW#'!$A:$Z,19,FALSE)+VLOOKUP($A246,A:AL,28,FALSE)-50))</f>
        <v>193</v>
      </c>
      <c r="AB246" s="3">
        <v>208</v>
      </c>
      <c r="AC246" s="3">
        <f>IF(ISERROR((VLOOKUP($A246,'SegEnds_NonXtal_BW#'!$A:$Z,20,FALSE)+VLOOKUP($A246,A:AL,28,FALSE)-50)),"-",(VLOOKUP($A246,'SegEnds_NonXtal_BW#'!$A:$Z,20,FALSE)+VLOOKUP($A246,A:AL,28,FALSE)-50))</f>
        <v>232</v>
      </c>
      <c r="AD246" s="3">
        <f>IF(ISERROR(VLOOKUP($A246,'SegEnds_NonXtal_BW#'!$A:$Z,21,FALSE)+VLOOKUP($A246,A:AL,31,FALSE)-50),"-",(VLOOKUP($A246,'SegEnds_NonXtal_BW#'!$A:$Z,21,FALSE)+VLOOKUP($A246,A:AL,31,FALSE)-50))</f>
        <v>243</v>
      </c>
      <c r="AE246" s="3">
        <v>272</v>
      </c>
      <c r="AF246" s="3">
        <f>IF(ISERROR((VLOOKUP($A246,'SegEnds_NonXtal_BW#'!$A:$Z,22,FALSE)+VLOOKUP($A246,A:AL,31,FALSE)-50)),"-",(VLOOKUP($A246,'SegEnds_NonXtal_BW#'!$A:$Z,22,FALSE)+VLOOKUP($A246,A:AL,31,FALSE)-50))</f>
        <v>283</v>
      </c>
      <c r="AG246" s="3">
        <f>IF(ISERROR(VLOOKUP($A246,'SegEnds_NonXtal_BW#'!$A:$Z,23,FALSE)+VLOOKUP($A246,A:AL,34,FALSE)-50),"-",(VLOOKUP($A246,'SegEnds_NonXtal_BW#'!$A:$Z,23,FALSE)+VLOOKUP($A246,A:AL,34,FALSE)-50))</f>
        <v>288</v>
      </c>
      <c r="AH246" s="3">
        <v>307</v>
      </c>
      <c r="AI246" s="3">
        <f>IF(ISERROR((VLOOKUP($A246,'SegEnds_NonXtal_BW#'!$A:$Z,24,FALSE)+VLOOKUP($A246,A:AL,34,FALSE)-50)),"-",(VLOOKUP($A246,'SegEnds_NonXtal_BW#'!$A:$Z,24,FALSE)+VLOOKUP($A246,A:AL,34,FALSE)-50))</f>
        <v>313</v>
      </c>
      <c r="AJ246" s="3">
        <f>IF(ISERROR(VLOOKUP($A246,'SegEnds_NonXtal_BW#'!$A:$Z,25,FALSE)+VLOOKUP($A246,A:AL,37,FALSE)-50),"-",(VLOOKUP($A246,'SegEnds_NonXtal_BW#'!$A:$Z,25,FALSE)+VLOOKUP($A246,A:AL,37,FALSE)-50))</f>
        <v>314</v>
      </c>
      <c r="AK246" s="3">
        <v>317</v>
      </c>
      <c r="AL246" s="3">
        <f>IF(ISERROR((VLOOKUP($A246,'SegEnds_NonXtal_BW#'!$A:$Z,26,FALSE)+VLOOKUP($A246,A:AL,37,FALSE)-50)),"-",(VLOOKUP($A246,'SegEnds_NonXtal_BW#'!$A:$Z,26,FALSE)+VLOOKUP($A246,A:AL,37,FALSE)-50))</f>
        <v>325</v>
      </c>
      <c r="AM246" s="28" t="str">
        <f>VLOOKUP(A246,Classification!A:B,2,FALSE)</f>
        <v>A</v>
      </c>
      <c r="AN246" s="28" t="b">
        <f t="shared" si="133"/>
        <v>1</v>
      </c>
      <c r="AO246" s="3" t="str">
        <f>IF(ISERROR(MATCH(A246,'SegEnds_Xtal_Prot#'!B:B, 0)), "NoXtal", "Xtal")</f>
        <v>NoXtal</v>
      </c>
      <c r="AP246" s="3">
        <f t="shared" si="118"/>
        <v>1</v>
      </c>
      <c r="AQ246" s="3">
        <f t="shared" si="119"/>
        <v>1</v>
      </c>
      <c r="AR246" s="3">
        <f t="shared" si="120"/>
        <v>1</v>
      </c>
      <c r="AS246" s="3">
        <f t="shared" si="121"/>
        <v>1</v>
      </c>
      <c r="AT246" s="3">
        <f t="shared" si="122"/>
        <v>1</v>
      </c>
      <c r="AU246" s="3">
        <f t="shared" si="123"/>
        <v>1</v>
      </c>
      <c r="AV246" s="3">
        <f t="shared" si="124"/>
        <v>20</v>
      </c>
      <c r="AW246" s="3">
        <f t="shared" si="125"/>
        <v>2</v>
      </c>
      <c r="AX246" s="3">
        <f t="shared" si="126"/>
        <v>11</v>
      </c>
      <c r="AY246" s="3">
        <f t="shared" si="127"/>
        <v>5</v>
      </c>
      <c r="AZ246" s="3">
        <f t="shared" si="128"/>
        <v>1</v>
      </c>
      <c r="BA246" s="3">
        <f>IF(ISERROR(LEN(VLOOKUP(A246,Seqs!A:E,2,FALSE))-AL246),"-",LEN(VLOOKUP(A246,Seqs!A:E,2,FALSE))-AL246)</f>
        <v>17</v>
      </c>
      <c r="BB246" s="16">
        <f t="shared" si="129"/>
        <v>28</v>
      </c>
      <c r="BC246" s="9">
        <f t="shared" si="130"/>
        <v>20</v>
      </c>
      <c r="BD246" s="3">
        <f t="shared" si="131"/>
        <v>28</v>
      </c>
      <c r="BE246" s="3">
        <f t="shared" si="132"/>
        <v>64</v>
      </c>
      <c r="BF246" s="3">
        <f t="shared" si="145"/>
        <v>35</v>
      </c>
    </row>
    <row r="247" spans="1:58" s="3" customFormat="1" x14ac:dyDescent="0.2">
      <c r="A247" s="3" t="s">
        <v>393</v>
      </c>
      <c r="B247" s="3" t="str">
        <f>LOWER(VLOOKUP(A247,Xtal_Templ!A:B,2,FALSE))</f>
        <v>5ht1b_human</v>
      </c>
      <c r="C247" s="3">
        <f>VLOOKUP($A247,'SegEnds_NonXtal_BW#'!$A:$Z,3,FALSE)+D247-50</f>
        <v>28</v>
      </c>
      <c r="D247" s="3">
        <v>50</v>
      </c>
      <c r="E247" s="3">
        <f>IF(ISERROR(VLOOKUP($A247,'SegEnds_NonXtal_BW#'!$A:$Z,4,FALSE)+VLOOKUP($A247,A:AL,4,FALSE)-50),"-",(VLOOKUP($A247,'SegEnds_NonXtal_BW#'!$A:$Z,4,FALSE)+VLOOKUP($A247,A:AL,4,FALSE)-50))</f>
        <v>60</v>
      </c>
      <c r="F247" s="3">
        <f t="shared" si="146"/>
        <v>61</v>
      </c>
      <c r="G247" s="3">
        <v>63</v>
      </c>
      <c r="H247" s="3">
        <f t="shared" si="147"/>
        <v>64</v>
      </c>
      <c r="I247" s="3">
        <f t="shared" si="147"/>
        <v>65</v>
      </c>
      <c r="J247" s="3">
        <v>78</v>
      </c>
      <c r="K247" s="3">
        <f>VLOOKUP($A247,'SegEnds_NonXtal_BW#'!$A:$Z,8,FALSE)+VLOOKUP($A247,A:AL,10,FALSE)-50</f>
        <v>96</v>
      </c>
      <c r="L247" s="3">
        <f t="shared" si="142"/>
        <v>97</v>
      </c>
      <c r="M247" s="3">
        <v>98</v>
      </c>
      <c r="N247" s="3">
        <f t="shared" si="143"/>
        <v>100</v>
      </c>
      <c r="O247" s="3">
        <f t="shared" si="139"/>
        <v>101</v>
      </c>
      <c r="P247" s="3">
        <v>130</v>
      </c>
      <c r="Q247" s="3">
        <f>VLOOKUP($A247,'SegEnds_NonXtal_BW#'!$A:$Z,12,FALSE)+VLOOKUP($A247,A:AL,16,FALSE)-50</f>
        <v>136</v>
      </c>
      <c r="R247" s="3">
        <f>IF(ISERROR(VLOOKUP($A247,'SegEnds_NonXtal_BW#'!$A:$Z,13,FALSE)+VLOOKUP($A247,A:AL,19,FALSE)-50),"-",VLOOKUP($A247,'SegEnds_NonXtal_BW#'!$A:$Z,13,FALSE)+VLOOKUP($A247,A:AL,19,FALSE)-50)</f>
        <v>137</v>
      </c>
      <c r="S247" s="3">
        <v>137</v>
      </c>
      <c r="T247" s="100">
        <f>IF(ISERROR(VLOOKUP($A247,'SegEnds_NonXtal_BW#'!$A:$Z,14,FALSE)+VLOOKUP($A247,A:AL,19,FALSE)-50),"-",(VLOOKUP($A247,'SegEnds_NonXtal_BW#'!$A:$Z,14,FALSE)+VLOOKUP($A247,A:AL,19,FALSE)-50))</f>
        <v>144</v>
      </c>
      <c r="U247" s="9">
        <f>IF(ISERROR(VLOOKUP($A247,'SegEnds_NonXtal_BW#'!$A:$Z,15,FALSE)+VLOOKUP($A247,A:AL,22,FALSE)-50),"-",VLOOKUP($A247,'SegEnds_NonXtal_BW#'!$A:$Z,15,FALSE)+VLOOKUP($A247,A:AL,22,FALSE)-50)</f>
        <v>145</v>
      </c>
      <c r="V247" s="3">
        <v>157</v>
      </c>
      <c r="W247" s="3">
        <f>IF(ISERROR(VLOOKUP($A247,'SegEnds_NonXtal_BW#'!$A:$Z,16,FALSE)+VLOOKUP($A247,A:AL,22,FALSE)-50),"-",(VLOOKUP($A247,'SegEnds_NonXtal_BW#'!$A:$Z,16,FALSE)+VLOOKUP($A247,A:AL,22,FALSE)-50))</f>
        <v>170</v>
      </c>
      <c r="X247" s="3">
        <f>IF(ISERROR(VLOOKUP($A247,'SegEnds_NonXtal_BW#'!$A:$Z,17,FALSE)+VLOOKUP($A247,A:AL,25,FALSE)-50),"-",(VLOOKUP($A247,'SegEnds_NonXtal_BW#'!$A:$Z,17,FALSE)+VLOOKUP($A247,A:AL,25,FALSE)-50))</f>
        <v>190</v>
      </c>
      <c r="Y247" s="3">
        <v>190</v>
      </c>
      <c r="Z247" s="3">
        <f t="shared" si="144"/>
        <v>192</v>
      </c>
      <c r="AA247" s="3">
        <f>IF(ISERROR(VLOOKUP($A247,'SegEnds_NonXtal_BW#'!$A:$Z,19,FALSE)+VLOOKUP($A247,A:AL,28,FALSE)-50),"-",(VLOOKUP($A247,'SegEnds_NonXtal_BW#'!$A:$Z,19,FALSE)+VLOOKUP($A247,A:AL,28,FALSE)-50))</f>
        <v>194</v>
      </c>
      <c r="AB247" s="3">
        <v>209</v>
      </c>
      <c r="AC247" s="3">
        <f>IF(ISERROR((VLOOKUP($A247,'SegEnds_NonXtal_BW#'!$A:$Z,20,FALSE)+VLOOKUP($A247,A:AL,28,FALSE)-50)),"-",(VLOOKUP($A247,'SegEnds_NonXtal_BW#'!$A:$Z,20,FALSE)+VLOOKUP($A247,A:AL,28,FALSE)-50))</f>
        <v>233</v>
      </c>
      <c r="AD247" s="3">
        <f>IF(ISERROR(VLOOKUP($A247,'SegEnds_NonXtal_BW#'!$A:$Z,21,FALSE)+VLOOKUP($A247,A:AL,31,FALSE)-50),"-",(VLOOKUP($A247,'SegEnds_NonXtal_BW#'!$A:$Z,21,FALSE)+VLOOKUP($A247,A:AL,31,FALSE)-50))</f>
        <v>244</v>
      </c>
      <c r="AE247" s="3">
        <v>273</v>
      </c>
      <c r="AF247" s="3">
        <f>IF(ISERROR((VLOOKUP($A247,'SegEnds_NonXtal_BW#'!$A:$Z,22,FALSE)+VLOOKUP($A247,A:AL,31,FALSE)-50)),"-",(VLOOKUP($A247,'SegEnds_NonXtal_BW#'!$A:$Z,22,FALSE)+VLOOKUP($A247,A:AL,31,FALSE)-50))</f>
        <v>284</v>
      </c>
      <c r="AG247" s="3">
        <f>IF(ISERROR(VLOOKUP($A247,'SegEnds_NonXtal_BW#'!$A:$Z,23,FALSE)+VLOOKUP($A247,A:AL,34,FALSE)-50),"-",(VLOOKUP($A247,'SegEnds_NonXtal_BW#'!$A:$Z,23,FALSE)+VLOOKUP($A247,A:AL,34,FALSE)-50))</f>
        <v>289</v>
      </c>
      <c r="AH247" s="3">
        <v>308</v>
      </c>
      <c r="AI247" s="3">
        <f>IF(ISERROR((VLOOKUP($A247,'SegEnds_NonXtal_BW#'!$A:$Z,24,FALSE)+VLOOKUP($A247,A:AL,34,FALSE)-50)),"-",(VLOOKUP($A247,'SegEnds_NonXtal_BW#'!$A:$Z,24,FALSE)+VLOOKUP($A247,A:AL,34,FALSE)-50))</f>
        <v>314</v>
      </c>
      <c r="AJ247" s="3">
        <f>IF(ISERROR(VLOOKUP($A247,'SegEnds_NonXtal_BW#'!$A:$Z,25,FALSE)+VLOOKUP($A247,A:AL,37,FALSE)-50),"-",(VLOOKUP($A247,'SegEnds_NonXtal_BW#'!$A:$Z,25,FALSE)+VLOOKUP($A247,A:AL,37,FALSE)-50))</f>
        <v>315</v>
      </c>
      <c r="AK247" s="3">
        <v>318</v>
      </c>
      <c r="AL247" s="3">
        <f>IF(ISERROR((VLOOKUP($A247,'SegEnds_NonXtal_BW#'!$A:$Z,26,FALSE)+VLOOKUP($A247,A:AL,37,FALSE)-50)),"-",(VLOOKUP($A247,'SegEnds_NonXtal_BW#'!$A:$Z,26,FALSE)+VLOOKUP($A247,A:AL,37,FALSE)-50))</f>
        <v>326</v>
      </c>
      <c r="AM247" s="28" t="str">
        <f>VLOOKUP(A247,Classification!A:B,2,FALSE)</f>
        <v>A</v>
      </c>
      <c r="AN247" s="28" t="b">
        <f t="shared" si="133"/>
        <v>1</v>
      </c>
      <c r="AO247" s="3" t="str">
        <f>IF(ISERROR(MATCH(A247,'SegEnds_Xtal_Prot#'!B:B, 0)), "NoXtal", "Xtal")</f>
        <v>NoXtal</v>
      </c>
      <c r="AP247" s="3">
        <f t="shared" si="118"/>
        <v>1</v>
      </c>
      <c r="AQ247" s="3">
        <f t="shared" si="119"/>
        <v>1</v>
      </c>
      <c r="AR247" s="3">
        <f t="shared" si="120"/>
        <v>1</v>
      </c>
      <c r="AS247" s="3">
        <f t="shared" si="121"/>
        <v>1</v>
      </c>
      <c r="AT247" s="3">
        <f t="shared" si="122"/>
        <v>1</v>
      </c>
      <c r="AU247" s="3">
        <f t="shared" si="123"/>
        <v>1</v>
      </c>
      <c r="AV247" s="3">
        <f t="shared" si="124"/>
        <v>20</v>
      </c>
      <c r="AW247" s="3">
        <f t="shared" si="125"/>
        <v>2</v>
      </c>
      <c r="AX247" s="3">
        <f t="shared" si="126"/>
        <v>11</v>
      </c>
      <c r="AY247" s="3">
        <f t="shared" si="127"/>
        <v>5</v>
      </c>
      <c r="AZ247" s="3">
        <f t="shared" si="128"/>
        <v>1</v>
      </c>
      <c r="BA247" s="3">
        <f>IF(ISERROR(LEN(VLOOKUP(A247,Seqs!A:E,2,FALSE))-AL247),"-",LEN(VLOOKUP(A247,Seqs!A:E,2,FALSE))-AL247)</f>
        <v>22</v>
      </c>
      <c r="BB247" s="16">
        <f t="shared" si="129"/>
        <v>28</v>
      </c>
      <c r="BC247" s="9">
        <f t="shared" si="130"/>
        <v>20</v>
      </c>
      <c r="BD247" s="3">
        <f t="shared" si="131"/>
        <v>28</v>
      </c>
      <c r="BE247" s="3">
        <f t="shared" si="132"/>
        <v>64</v>
      </c>
      <c r="BF247" s="3">
        <f t="shared" si="145"/>
        <v>35</v>
      </c>
    </row>
    <row r="248" spans="1:58" s="3" customFormat="1" x14ac:dyDescent="0.2">
      <c r="A248" s="3" t="s">
        <v>394</v>
      </c>
      <c r="B248" s="3" t="str">
        <f>LOWER(VLOOKUP(A248,Xtal_Templ!A:B,2,FALSE))</f>
        <v>oprx_human</v>
      </c>
      <c r="C248" s="3">
        <f>VLOOKUP($A248,'SegEnds_NonXtal_BW#'!$A:$Z,3,FALSE)+D248-50</f>
        <v>22</v>
      </c>
      <c r="D248" s="3">
        <v>43</v>
      </c>
      <c r="E248" s="3">
        <f>IF(ISERROR(VLOOKUP($A248,'SegEnds_NonXtal_BW#'!$A:$Z,4,FALSE)+VLOOKUP($A248,A:AL,4,FALSE)-50),"-",(VLOOKUP($A248,'SegEnds_NonXtal_BW#'!$A:$Z,4,FALSE)+VLOOKUP($A248,A:AL,4,FALSE)-50))</f>
        <v>53</v>
      </c>
      <c r="F248" s="3">
        <f t="shared" si="146"/>
        <v>54</v>
      </c>
      <c r="G248" s="3">
        <v>56</v>
      </c>
      <c r="H248" s="3">
        <f t="shared" si="147"/>
        <v>57</v>
      </c>
      <c r="I248" s="3">
        <f t="shared" si="147"/>
        <v>58</v>
      </c>
      <c r="J248" s="3">
        <v>71</v>
      </c>
      <c r="K248" s="3">
        <f>VLOOKUP($A248,'SegEnds_NonXtal_BW#'!$A:$Z,8,FALSE)+VLOOKUP($A248,A:AL,10,FALSE)-50</f>
        <v>87</v>
      </c>
      <c r="L248" s="3">
        <f t="shared" si="142"/>
        <v>90</v>
      </c>
      <c r="M248" s="3">
        <v>91</v>
      </c>
      <c r="N248" s="3">
        <f t="shared" si="143"/>
        <v>93</v>
      </c>
      <c r="O248" s="3">
        <f t="shared" si="139"/>
        <v>94</v>
      </c>
      <c r="P248" s="3">
        <v>123</v>
      </c>
      <c r="Q248" s="3">
        <f>VLOOKUP($A248,'SegEnds_NonXtal_BW#'!$A:$Z,12,FALSE)+VLOOKUP($A248,A:AL,16,FALSE)-50</f>
        <v>129</v>
      </c>
      <c r="R248" s="3">
        <f>IF(ISERROR(VLOOKUP($A248,'SegEnds_NonXtal_BW#'!$A:$Z,13,FALSE)+VLOOKUP($A248,A:AL,19,FALSE)-50),"-",VLOOKUP($A248,'SegEnds_NonXtal_BW#'!$A:$Z,13,FALSE)+VLOOKUP($A248,A:AL,19,FALSE)-50)</f>
        <v>130</v>
      </c>
      <c r="S248" s="3">
        <v>130</v>
      </c>
      <c r="T248" s="100">
        <f>IF(ISERROR(VLOOKUP($A248,'SegEnds_NonXtal_BW#'!$A:$Z,14,FALSE)+VLOOKUP($A248,A:AL,19,FALSE)-50),"-",(VLOOKUP($A248,'SegEnds_NonXtal_BW#'!$A:$Z,14,FALSE)+VLOOKUP($A248,A:AL,19,FALSE)-50))</f>
        <v>137</v>
      </c>
      <c r="U248" s="9">
        <f>IF(ISERROR(VLOOKUP($A248,'SegEnds_NonXtal_BW#'!$A:$Z,15,FALSE)+VLOOKUP($A248,A:AL,22,FALSE)-50),"-",VLOOKUP($A248,'SegEnds_NonXtal_BW#'!$A:$Z,15,FALSE)+VLOOKUP($A248,A:AL,22,FALSE)-50)</f>
        <v>138</v>
      </c>
      <c r="V248" s="3">
        <v>150</v>
      </c>
      <c r="W248" s="3">
        <f>IF(ISERROR(VLOOKUP($A248,'SegEnds_NonXtal_BW#'!$A:$Z,16,FALSE)+VLOOKUP($A248,A:AL,22,FALSE)-50),"-",(VLOOKUP($A248,'SegEnds_NonXtal_BW#'!$A:$Z,16,FALSE)+VLOOKUP($A248,A:AL,22,FALSE)-50))</f>
        <v>164</v>
      </c>
      <c r="X248" s="3">
        <f>IF(ISERROR(VLOOKUP($A248,'SegEnds_NonXtal_BW#'!$A:$Z,17,FALSE)+VLOOKUP($A248,A:AL,25,FALSE)-50),"-",(VLOOKUP($A248,'SegEnds_NonXtal_BW#'!$A:$Z,17,FALSE)+VLOOKUP($A248,A:AL,25,FALSE)-50))</f>
        <v>179</v>
      </c>
      <c r="Y248" s="3">
        <v>179</v>
      </c>
      <c r="Z248" s="3">
        <f t="shared" si="144"/>
        <v>181</v>
      </c>
      <c r="AA248" s="3">
        <f>IF(ISERROR(VLOOKUP($A248,'SegEnds_NonXtal_BW#'!$A:$Z,19,FALSE)+VLOOKUP($A248,A:AL,28,FALSE)-50),"-",(VLOOKUP($A248,'SegEnds_NonXtal_BW#'!$A:$Z,19,FALSE)+VLOOKUP($A248,A:AL,28,FALSE)-50))</f>
        <v>184</v>
      </c>
      <c r="AB248" s="3">
        <v>203</v>
      </c>
      <c r="AC248" s="3">
        <f>IF(ISERROR((VLOOKUP($A248,'SegEnds_NonXtal_BW#'!$A:$Z,20,FALSE)+VLOOKUP($A248,A:AL,28,FALSE)-50)),"-",(VLOOKUP($A248,'SegEnds_NonXtal_BW#'!$A:$Z,20,FALSE)+VLOOKUP($A248,A:AL,28,FALSE)-50))</f>
        <v>229</v>
      </c>
      <c r="AD248" s="3">
        <f>IF(ISERROR(VLOOKUP($A248,'SegEnds_NonXtal_BW#'!$A:$Z,21,FALSE)+VLOOKUP($A248,A:AL,31,FALSE)-50),"-",(VLOOKUP($A248,'SegEnds_NonXtal_BW#'!$A:$Z,21,FALSE)+VLOOKUP($A248,A:AL,31,FALSE)-50))</f>
        <v>255</v>
      </c>
      <c r="AE248" s="3">
        <v>281</v>
      </c>
      <c r="AF248" s="3">
        <f>IF(ISERROR((VLOOKUP($A248,'SegEnds_NonXtal_BW#'!$A:$Z,22,FALSE)+VLOOKUP($A248,A:AL,31,FALSE)-50)),"-",(VLOOKUP($A248,'SegEnds_NonXtal_BW#'!$A:$Z,22,FALSE)+VLOOKUP($A248,A:AL,31,FALSE)-50))</f>
        <v>292</v>
      </c>
      <c r="AG248" s="3">
        <f>IF(ISERROR(VLOOKUP($A248,'SegEnds_NonXtal_BW#'!$A:$Z,23,FALSE)+VLOOKUP($A248,A:AL,34,FALSE)-50),"-",(VLOOKUP($A248,'SegEnds_NonXtal_BW#'!$A:$Z,23,FALSE)+VLOOKUP($A248,A:AL,34,FALSE)-50))</f>
        <v>298</v>
      </c>
      <c r="AH248" s="3">
        <v>317</v>
      </c>
      <c r="AI248" s="3">
        <f>IF(ISERROR((VLOOKUP($A248,'SegEnds_NonXtal_BW#'!$A:$Z,24,FALSE)+VLOOKUP($A248,A:AL,34,FALSE)-50)),"-",(VLOOKUP($A248,'SegEnds_NonXtal_BW#'!$A:$Z,24,FALSE)+VLOOKUP($A248,A:AL,34,FALSE)-50))</f>
        <v>323</v>
      </c>
      <c r="AJ248" s="3">
        <f>IF(ISERROR(VLOOKUP($A248,'SegEnds_NonXtal_BW#'!$A:$Z,25,FALSE)+VLOOKUP($A248,A:AL,37,FALSE)-50),"-",(VLOOKUP($A248,'SegEnds_NonXtal_BW#'!$A:$Z,25,FALSE)+VLOOKUP($A248,A:AL,37,FALSE)-50))</f>
        <v>324</v>
      </c>
      <c r="AK248" s="3">
        <v>327</v>
      </c>
      <c r="AL248" s="3">
        <f>IF(ISERROR((VLOOKUP($A248,'SegEnds_NonXtal_BW#'!$A:$Z,26,FALSE)+VLOOKUP($A248,A:AL,37,FALSE)-50)),"-",(VLOOKUP($A248,'SegEnds_NonXtal_BW#'!$A:$Z,26,FALSE)+VLOOKUP($A248,A:AL,37,FALSE)-50))</f>
        <v>336</v>
      </c>
      <c r="AM248" s="28" t="str">
        <f>VLOOKUP(A248,Classification!A:B,2,FALSE)</f>
        <v>A</v>
      </c>
      <c r="AN248" s="28" t="b">
        <f t="shared" si="133"/>
        <v>1</v>
      </c>
      <c r="AO248" s="3" t="str">
        <f>IF(ISERROR(MATCH(A248,'SegEnds_Xtal_Prot#'!B:B, 0)), "NoXtal", "Xtal")</f>
        <v>NoXtal</v>
      </c>
      <c r="AP248" s="3">
        <f t="shared" si="118"/>
        <v>1</v>
      </c>
      <c r="AQ248" s="3">
        <f t="shared" si="119"/>
        <v>1</v>
      </c>
      <c r="AR248" s="3">
        <f t="shared" si="120"/>
        <v>3</v>
      </c>
      <c r="AS248" s="3">
        <f t="shared" si="121"/>
        <v>1</v>
      </c>
      <c r="AT248" s="3">
        <f t="shared" si="122"/>
        <v>1</v>
      </c>
      <c r="AU248" s="3">
        <f t="shared" si="123"/>
        <v>1</v>
      </c>
      <c r="AV248" s="3">
        <f t="shared" si="124"/>
        <v>15</v>
      </c>
      <c r="AW248" s="3">
        <f t="shared" si="125"/>
        <v>3</v>
      </c>
      <c r="AX248" s="3">
        <f t="shared" si="126"/>
        <v>26</v>
      </c>
      <c r="AY248" s="3">
        <f t="shared" si="127"/>
        <v>6</v>
      </c>
      <c r="AZ248" s="3">
        <f t="shared" si="128"/>
        <v>1</v>
      </c>
      <c r="BA248" s="3">
        <f>IF(ISERROR(LEN(VLOOKUP(A248,Seqs!A:E,2,FALSE))-AL248),"-",LEN(VLOOKUP(A248,Seqs!A:E,2,FALSE))-AL248)</f>
        <v>62</v>
      </c>
      <c r="BB248" s="16">
        <f t="shared" si="129"/>
        <v>28</v>
      </c>
      <c r="BC248" s="9">
        <f t="shared" si="130"/>
        <v>20</v>
      </c>
      <c r="BD248" s="3">
        <f t="shared" si="131"/>
        <v>28</v>
      </c>
      <c r="BE248" s="3">
        <f t="shared" si="132"/>
        <v>78</v>
      </c>
    </row>
    <row r="249" spans="1:58" s="3" customFormat="1" x14ac:dyDescent="0.2">
      <c r="A249" s="3" t="s">
        <v>395</v>
      </c>
      <c r="B249" s="3" t="str">
        <f>LOWER(VLOOKUP(A249,Xtal_Templ!A:B,2,FALSE))</f>
        <v>aa2ar_human</v>
      </c>
      <c r="C249" s="3">
        <f>VLOOKUP($A249,'SegEnds_NonXtal_BW#'!$A:$Z,3,FALSE)+D249-50</f>
        <v>409</v>
      </c>
      <c r="D249" s="3">
        <v>432</v>
      </c>
      <c r="E249" s="3">
        <f>IF(ISERROR(VLOOKUP($A249,'SegEnds_NonXtal_BW#'!$A:$Z,4,FALSE)+VLOOKUP($A249,A:AL,4,FALSE)-50),"-",(VLOOKUP($A249,'SegEnds_NonXtal_BW#'!$A:$Z,4,FALSE)+VLOOKUP($A249,A:AL,4,FALSE)-50))</f>
        <v>442</v>
      </c>
      <c r="F249" s="3">
        <f t="shared" si="146"/>
        <v>444</v>
      </c>
      <c r="G249" s="3">
        <v>446</v>
      </c>
      <c r="H249" s="3">
        <f t="shared" si="147"/>
        <v>447</v>
      </c>
      <c r="I249" s="3">
        <f t="shared" si="147"/>
        <v>448</v>
      </c>
      <c r="J249" s="3">
        <v>460</v>
      </c>
      <c r="K249" s="3">
        <f>VLOOKUP($A249,'SegEnds_NonXtal_BW#'!$A:$Z,8,FALSE)+VLOOKUP($A249,A:AL,10,FALSE)-50</f>
        <v>477</v>
      </c>
      <c r="L249" s="3">
        <f t="shared" si="142"/>
        <v>487</v>
      </c>
      <c r="M249" s="3">
        <v>488</v>
      </c>
      <c r="N249" s="3">
        <f t="shared" si="143"/>
        <v>490</v>
      </c>
      <c r="O249" s="3">
        <f t="shared" si="139"/>
        <v>491</v>
      </c>
      <c r="P249" s="3">
        <v>519</v>
      </c>
      <c r="Q249" s="3">
        <f>VLOOKUP($A249,'SegEnds_NonXtal_BW#'!$A:$Z,12,FALSE)+VLOOKUP($A249,A:AL,16,FALSE)-50</f>
        <v>525</v>
      </c>
      <c r="R249" s="3">
        <f>IF(ISERROR(VLOOKUP($A249,'SegEnds_NonXtal_BW#'!$A:$Z,13,FALSE)+VLOOKUP($A249,A:AL,19,FALSE)-50),"-",VLOOKUP($A249,'SegEnds_NonXtal_BW#'!$A:$Z,13,FALSE)+VLOOKUP($A249,A:AL,19,FALSE)-50)</f>
        <v>526</v>
      </c>
      <c r="S249" s="3">
        <v>526</v>
      </c>
      <c r="T249" s="100">
        <f>IF(ISERROR(VLOOKUP($A249,'SegEnds_NonXtal_BW#'!$A:$Z,14,FALSE)+VLOOKUP($A249,A:AL,19,FALSE)-50),"-",(VLOOKUP($A249,'SegEnds_NonXtal_BW#'!$A:$Z,14,FALSE)+VLOOKUP($A249,A:AL,19,FALSE)-50))</f>
        <v>533</v>
      </c>
      <c r="U249" s="9">
        <f>IF(ISERROR(VLOOKUP($A249,'SegEnds_NonXtal_BW#'!$A:$Z,15,FALSE)+VLOOKUP($A249,A:AL,22,FALSE)-50),"-",VLOOKUP($A249,'SegEnds_NonXtal_BW#'!$A:$Z,15,FALSE)+VLOOKUP($A249,A:AL,22,FALSE)-50)</f>
        <v>534</v>
      </c>
      <c r="V249" s="3">
        <v>546</v>
      </c>
      <c r="W249" s="3">
        <f>IF(ISERROR(VLOOKUP($A249,'SegEnds_NonXtal_BW#'!$A:$Z,16,FALSE)+VLOOKUP($A249,A:AL,22,FALSE)-50),"-",(VLOOKUP($A249,'SegEnds_NonXtal_BW#'!$A:$Z,16,FALSE)+VLOOKUP($A249,A:AL,22,FALSE)-50))</f>
        <v>559</v>
      </c>
      <c r="X249" s="3">
        <f>IF(ISERROR(VLOOKUP($A249,'SegEnds_NonXtal_BW#'!$A:$Z,17,FALSE)+VLOOKUP($A249,A:AL,25,FALSE)-50),"-",(VLOOKUP($A249,'SegEnds_NonXtal_BW#'!$A:$Z,17,FALSE)+VLOOKUP($A249,A:AL,25,FALSE)-50))</f>
        <v>569</v>
      </c>
      <c r="Y249" s="3">
        <v>569</v>
      </c>
      <c r="Z249" s="3">
        <f t="shared" si="144"/>
        <v>571</v>
      </c>
      <c r="AA249" s="3">
        <f>IF(ISERROR(VLOOKUP($A249,'SegEnds_NonXtal_BW#'!$A:$Z,19,FALSE)+VLOOKUP($A249,A:AL,28,FALSE)-50),"-",(VLOOKUP($A249,'SegEnds_NonXtal_BW#'!$A:$Z,19,FALSE)+VLOOKUP($A249,A:AL,28,FALSE)-50))</f>
        <v>577</v>
      </c>
      <c r="AB249" s="3">
        <v>593</v>
      </c>
      <c r="AC249" s="3">
        <f>IF(ISERROR((VLOOKUP($A249,'SegEnds_NonXtal_BW#'!$A:$Z,20,FALSE)+VLOOKUP($A249,A:AL,28,FALSE)-50)),"-",(VLOOKUP($A249,'SegEnds_NonXtal_BW#'!$A:$Z,20,FALSE)+VLOOKUP($A249,A:AL,28,FALSE)-50))</f>
        <v>610</v>
      </c>
      <c r="AD249" s="3">
        <f>IF(ISERROR(VLOOKUP($A249,'SegEnds_NonXtal_BW#'!$A:$Z,21,FALSE)+VLOOKUP($A249,A:AL,31,FALSE)-50),"-",(VLOOKUP($A249,'SegEnds_NonXtal_BW#'!$A:$Z,21,FALSE)+VLOOKUP($A249,A:AL,31,FALSE)-50))</f>
        <v>615</v>
      </c>
      <c r="AE249" s="3">
        <v>639</v>
      </c>
      <c r="AF249" s="3">
        <f>IF(ISERROR((VLOOKUP($A249,'SegEnds_NonXtal_BW#'!$A:$Z,22,FALSE)+VLOOKUP($A249,A:AL,31,FALSE)-50)),"-",(VLOOKUP($A249,'SegEnds_NonXtal_BW#'!$A:$Z,22,FALSE)+VLOOKUP($A249,A:AL,31,FALSE)-50))</f>
        <v>650</v>
      </c>
      <c r="AG249" s="3">
        <f>IF(ISERROR(VLOOKUP($A249,'SegEnds_NonXtal_BW#'!$A:$Z,23,FALSE)+VLOOKUP($A249,A:AL,34,FALSE)-50),"-",(VLOOKUP($A249,'SegEnds_NonXtal_BW#'!$A:$Z,23,FALSE)+VLOOKUP($A249,A:AL,34,FALSE)-50))</f>
        <v>656</v>
      </c>
      <c r="AH249" s="3">
        <v>675</v>
      </c>
      <c r="AI249" s="3">
        <f>IF(ISERROR((VLOOKUP($A249,'SegEnds_NonXtal_BW#'!$A:$Z,24,FALSE)+VLOOKUP($A249,A:AL,34,FALSE)-50)),"-",(VLOOKUP($A249,'SegEnds_NonXtal_BW#'!$A:$Z,24,FALSE)+VLOOKUP($A249,A:AL,34,FALSE)-50))</f>
        <v>681</v>
      </c>
      <c r="AJ249" s="3">
        <f>IF(ISERROR(VLOOKUP($A249,'SegEnds_NonXtal_BW#'!$A:$Z,25,FALSE)+VLOOKUP($A249,A:AL,37,FALSE)-50),"-",(VLOOKUP($A249,'SegEnds_NonXtal_BW#'!$A:$Z,25,FALSE)+VLOOKUP($A249,A:AL,37,FALSE)-50))</f>
        <v>682</v>
      </c>
      <c r="AK249" s="3">
        <v>685</v>
      </c>
      <c r="AL249" s="3">
        <f>IF(ISERROR((VLOOKUP($A249,'SegEnds_NonXtal_BW#'!$A:$Z,26,FALSE)+VLOOKUP($A249,A:AL,37,FALSE)-50)),"-",(VLOOKUP($A249,'SegEnds_NonXtal_BW#'!$A:$Z,26,FALSE)+VLOOKUP($A249,A:AL,37,FALSE)-50))</f>
        <v>704</v>
      </c>
      <c r="AM249" s="28" t="str">
        <f>VLOOKUP(A249,Classification!A:B,2,FALSE)</f>
        <v>A</v>
      </c>
      <c r="AN249" s="28" t="b">
        <f t="shared" si="133"/>
        <v>1</v>
      </c>
      <c r="AO249" s="3" t="str">
        <f>IF(ISERROR(MATCH(A249,'SegEnds_Xtal_Prot#'!B:B, 0)), "NoXtal", "Xtal")</f>
        <v>NoXtal</v>
      </c>
      <c r="AP249" s="3">
        <f t="shared" si="118"/>
        <v>2</v>
      </c>
      <c r="AQ249" s="3">
        <f t="shared" si="119"/>
        <v>1</v>
      </c>
      <c r="AR249" s="3">
        <f t="shared" si="120"/>
        <v>10</v>
      </c>
      <c r="AS249" s="3">
        <f t="shared" si="121"/>
        <v>1</v>
      </c>
      <c r="AT249" s="3">
        <f t="shared" si="122"/>
        <v>1</v>
      </c>
      <c r="AU249" s="3">
        <f t="shared" si="123"/>
        <v>1</v>
      </c>
      <c r="AV249" s="3">
        <f t="shared" si="124"/>
        <v>10</v>
      </c>
      <c r="AW249" s="3">
        <f t="shared" si="125"/>
        <v>6</v>
      </c>
      <c r="AX249" s="3">
        <f t="shared" si="126"/>
        <v>5</v>
      </c>
      <c r="AY249" s="3">
        <f t="shared" si="127"/>
        <v>6</v>
      </c>
      <c r="AZ249" s="3">
        <f t="shared" si="128"/>
        <v>1</v>
      </c>
      <c r="BA249" s="3">
        <f>IF(ISERROR(LEN(VLOOKUP(A249,Seqs!A:E,2,FALSE))-AL249),"-",LEN(VLOOKUP(A249,Seqs!A:E,2,FALSE))-AL249)</f>
        <v>60</v>
      </c>
      <c r="BB249" s="16">
        <f t="shared" si="129"/>
        <v>28</v>
      </c>
      <c r="BC249" s="9">
        <f t="shared" si="130"/>
        <v>20</v>
      </c>
      <c r="BD249" s="3">
        <f t="shared" si="131"/>
        <v>28</v>
      </c>
      <c r="BE249" s="3">
        <f t="shared" si="132"/>
        <v>46</v>
      </c>
    </row>
    <row r="250" spans="1:58" s="3" customFormat="1" x14ac:dyDescent="0.2">
      <c r="A250" s="3" t="s">
        <v>399</v>
      </c>
      <c r="B250" s="3" t="str">
        <f>LOWER(VLOOKUP(A250,Xtal_Templ!A:B,2,FALSE))</f>
        <v>ntr1_rat</v>
      </c>
      <c r="C250" s="3">
        <f>VLOOKUP($A250,'SegEnds_NonXtal_BW#'!$A:$Z,3,FALSE)+D250-50</f>
        <v>34</v>
      </c>
      <c r="D250" s="3">
        <v>55</v>
      </c>
      <c r="E250" s="3">
        <f>IF(ISERROR(VLOOKUP($A250,'SegEnds_NonXtal_BW#'!$A:$Z,4,FALSE)+VLOOKUP($A250,A:AL,4,FALSE)-50),"-",(VLOOKUP($A250,'SegEnds_NonXtal_BW#'!$A:$Z,4,FALSE)+VLOOKUP($A250,A:AL,4,FALSE)-50))</f>
        <v>65</v>
      </c>
      <c r="F250" s="3">
        <f t="shared" si="146"/>
        <v>67</v>
      </c>
      <c r="G250" s="3">
        <v>69</v>
      </c>
      <c r="H250" s="3">
        <f t="shared" si="147"/>
        <v>70</v>
      </c>
      <c r="I250" s="3">
        <f t="shared" si="147"/>
        <v>71</v>
      </c>
      <c r="J250" s="3">
        <v>85</v>
      </c>
      <c r="K250" s="3">
        <f>VLOOKUP($A250,'SegEnds_NonXtal_BW#'!$A:$Z,8,FALSE)+VLOOKUP($A250,A:AL,10,FALSE)-50</f>
        <v>101</v>
      </c>
      <c r="L250" s="3">
        <f t="shared" si="142"/>
        <v>102</v>
      </c>
      <c r="M250" s="3">
        <v>103</v>
      </c>
      <c r="N250" s="3">
        <f t="shared" si="143"/>
        <v>105</v>
      </c>
      <c r="O250" s="3">
        <f t="shared" si="139"/>
        <v>106</v>
      </c>
      <c r="P250" s="3">
        <v>137</v>
      </c>
      <c r="Q250" s="3">
        <f>VLOOKUP($A250,'SegEnds_NonXtal_BW#'!$A:$Z,12,FALSE)+VLOOKUP($A250,A:AL,16,FALSE)-50</f>
        <v>143</v>
      </c>
      <c r="R250" s="3">
        <f>IF(ISERROR(VLOOKUP($A250,'SegEnds_NonXtal_BW#'!$A:$Z,13,FALSE)+VLOOKUP($A250,A:AL,19,FALSE)-50),"-",VLOOKUP($A250,'SegEnds_NonXtal_BW#'!$A:$Z,13,FALSE)+VLOOKUP($A250,A:AL,19,FALSE)-50)</f>
        <v>144</v>
      </c>
      <c r="S250" s="3">
        <v>144</v>
      </c>
      <c r="T250" s="100">
        <f>IF(ISERROR(VLOOKUP($A250,'SegEnds_NonXtal_BW#'!$A:$Z,14,FALSE)+VLOOKUP($A250,A:AL,19,FALSE)-50),"-",(VLOOKUP($A250,'SegEnds_NonXtal_BW#'!$A:$Z,14,FALSE)+VLOOKUP($A250,A:AL,19,FALSE)-50))</f>
        <v>151</v>
      </c>
      <c r="U250" s="9">
        <f>IF(ISERROR(VLOOKUP($A250,'SegEnds_NonXtal_BW#'!$A:$Z,15,FALSE)+VLOOKUP($A250,A:AL,22,FALSE)-50),"-",VLOOKUP($A250,'SegEnds_NonXtal_BW#'!$A:$Z,15,FALSE)+VLOOKUP($A250,A:AL,22,FALSE)-50)</f>
        <v>152</v>
      </c>
      <c r="V250" s="3">
        <v>164</v>
      </c>
      <c r="W250" s="3">
        <f>IF(ISERROR(VLOOKUP($A250,'SegEnds_NonXtal_BW#'!$A:$Z,16,FALSE)+VLOOKUP($A250,A:AL,22,FALSE)-50),"-",(VLOOKUP($A250,'SegEnds_NonXtal_BW#'!$A:$Z,16,FALSE)+VLOOKUP($A250,A:AL,22,FALSE)-50))</f>
        <v>178</v>
      </c>
      <c r="X250" s="3">
        <f>IF(ISERROR(VLOOKUP($A250,'SegEnds_NonXtal_BW#'!$A:$Z,17,FALSE)+VLOOKUP($A250,A:AL,25,FALSE)-50),"-",(VLOOKUP($A250,'SegEnds_NonXtal_BW#'!$A:$Z,17,FALSE)+VLOOKUP($A250,A:AL,25,FALSE)-50))</f>
        <v>192</v>
      </c>
      <c r="Y250" s="3">
        <v>192</v>
      </c>
      <c r="Z250" s="3">
        <f t="shared" si="144"/>
        <v>194</v>
      </c>
      <c r="AA250" s="3">
        <f>IF(ISERROR(VLOOKUP($A250,'SegEnds_NonXtal_BW#'!$A:$Z,19,FALSE)+VLOOKUP($A250,A:AL,28,FALSE)-50),"-",(VLOOKUP($A250,'SegEnds_NonXtal_BW#'!$A:$Z,19,FALSE)+VLOOKUP($A250,A:AL,28,FALSE)-50))</f>
        <v>199</v>
      </c>
      <c r="AB250" s="3">
        <v>217</v>
      </c>
      <c r="AC250" s="3">
        <f>IF(ISERROR((VLOOKUP($A250,'SegEnds_NonXtal_BW#'!$A:$Z,20,FALSE)+VLOOKUP($A250,A:AL,28,FALSE)-50)),"-",(VLOOKUP($A250,'SegEnds_NonXtal_BW#'!$A:$Z,20,FALSE)+VLOOKUP($A250,A:AL,28,FALSE)-50))</f>
        <v>243</v>
      </c>
      <c r="AD250" s="3">
        <f>IF(ISERROR(VLOOKUP($A250,'SegEnds_NonXtal_BW#'!$A:$Z,21,FALSE)+VLOOKUP($A250,A:AL,31,FALSE)-50),"-",(VLOOKUP($A250,'SegEnds_NonXtal_BW#'!$A:$Z,21,FALSE)+VLOOKUP($A250,A:AL,31,FALSE)-50))</f>
        <v>260</v>
      </c>
      <c r="AE250" s="3">
        <v>286</v>
      </c>
      <c r="AF250" s="3">
        <f>IF(ISERROR((VLOOKUP($A250,'SegEnds_NonXtal_BW#'!$A:$Z,22,FALSE)+VLOOKUP($A250,A:AL,31,FALSE)-50)),"-",(VLOOKUP($A250,'SegEnds_NonXtal_BW#'!$A:$Z,22,FALSE)+VLOOKUP($A250,A:AL,31,FALSE)-50))</f>
        <v>297</v>
      </c>
      <c r="AG250" s="3">
        <f>IF(ISERROR(VLOOKUP($A250,'SegEnds_NonXtal_BW#'!$A:$Z,23,FALSE)+VLOOKUP($A250,A:AL,34,FALSE)-50),"-",(VLOOKUP($A250,'SegEnds_NonXtal_BW#'!$A:$Z,23,FALSE)+VLOOKUP($A250,A:AL,34,FALSE)-50))</f>
        <v>303</v>
      </c>
      <c r="AH250" s="3">
        <v>322</v>
      </c>
      <c r="AI250" s="3">
        <f>IF(ISERROR((VLOOKUP($A250,'SegEnds_NonXtal_BW#'!$A:$Z,24,FALSE)+VLOOKUP($A250,A:AL,34,FALSE)-50)),"-",(VLOOKUP($A250,'SegEnds_NonXtal_BW#'!$A:$Z,24,FALSE)+VLOOKUP($A250,A:AL,34,FALSE)-50))</f>
        <v>328</v>
      </c>
      <c r="AJ250" s="3">
        <f>IF(ISERROR(VLOOKUP($A250,'SegEnds_NonXtal_BW#'!$A:$Z,25,FALSE)+VLOOKUP($A250,A:AL,37,FALSE)-50),"-",(VLOOKUP($A250,'SegEnds_NonXtal_BW#'!$A:$Z,25,FALSE)+VLOOKUP($A250,A:AL,37,FALSE)-50))</f>
        <v>329</v>
      </c>
      <c r="AK250" s="3">
        <v>332</v>
      </c>
      <c r="AL250" s="3">
        <f>IF(ISERROR((VLOOKUP($A250,'SegEnds_NonXtal_BW#'!$A:$Z,26,FALSE)+VLOOKUP($A250,A:AL,37,FALSE)-50)),"-",(VLOOKUP($A250,'SegEnds_NonXtal_BW#'!$A:$Z,26,FALSE)+VLOOKUP($A250,A:AL,37,FALSE)-50))</f>
        <v>340</v>
      </c>
      <c r="AM250" s="28" t="str">
        <f>VLOOKUP(A250,Classification!A:B,2,FALSE)</f>
        <v>A</v>
      </c>
      <c r="AN250" s="28" t="b">
        <f t="shared" si="133"/>
        <v>1</v>
      </c>
      <c r="AO250" s="3" t="str">
        <f>IF(ISERROR(MATCH(A250,'SegEnds_Xtal_Prot#'!B:B, 0)), "NoXtal", "Xtal")</f>
        <v>NoXtal</v>
      </c>
      <c r="AP250" s="3">
        <f t="shared" si="118"/>
        <v>2</v>
      </c>
      <c r="AQ250" s="3">
        <f t="shared" si="119"/>
        <v>1</v>
      </c>
      <c r="AR250" s="3">
        <f t="shared" si="120"/>
        <v>1</v>
      </c>
      <c r="AS250" s="3">
        <f t="shared" si="121"/>
        <v>1</v>
      </c>
      <c r="AT250" s="3">
        <f t="shared" si="122"/>
        <v>1</v>
      </c>
      <c r="AU250" s="3">
        <f t="shared" si="123"/>
        <v>1</v>
      </c>
      <c r="AV250" s="3">
        <f t="shared" si="124"/>
        <v>14</v>
      </c>
      <c r="AW250" s="3">
        <f t="shared" si="125"/>
        <v>5</v>
      </c>
      <c r="AX250" s="3">
        <f t="shared" si="126"/>
        <v>17</v>
      </c>
      <c r="AY250" s="3">
        <f t="shared" si="127"/>
        <v>6</v>
      </c>
      <c r="AZ250" s="3">
        <f t="shared" si="128"/>
        <v>1</v>
      </c>
      <c r="BA250" s="3">
        <f>IF(ISERROR(LEN(VLOOKUP(A250,Seqs!A:E,2,FALSE))-AL250),"-",LEN(VLOOKUP(A250,Seqs!A:E,2,FALSE))-AL250)</f>
        <v>31</v>
      </c>
      <c r="BB250" s="16">
        <f t="shared" si="129"/>
        <v>30</v>
      </c>
      <c r="BC250" s="9">
        <f t="shared" si="130"/>
        <v>20</v>
      </c>
      <c r="BD250" s="3">
        <f t="shared" si="131"/>
        <v>30</v>
      </c>
      <c r="BE250" s="3">
        <f t="shared" si="132"/>
        <v>69</v>
      </c>
    </row>
    <row r="251" spans="1:58" s="3" customFormat="1" x14ac:dyDescent="0.2">
      <c r="A251" s="3" t="s">
        <v>400</v>
      </c>
      <c r="B251" s="3" t="str">
        <f>LOWER(VLOOKUP(A251,Xtal_Templ!A:B,2,FALSE))</f>
        <v>ccr5_human</v>
      </c>
      <c r="C251" s="3">
        <f>VLOOKUP($A251,'SegEnds_NonXtal_BW#'!$A:$Z,3,FALSE)+D251-50</f>
        <v>23</v>
      </c>
      <c r="D251" s="3">
        <v>49</v>
      </c>
      <c r="E251" s="3">
        <f>IF(ISERROR(VLOOKUP($A251,'SegEnds_NonXtal_BW#'!$A:$Z,4,FALSE)+VLOOKUP($A251,A:AL,4,FALSE)-50),"-",(VLOOKUP($A251,'SegEnds_NonXtal_BW#'!$A:$Z,4,FALSE)+VLOOKUP($A251,A:AL,4,FALSE)-50))</f>
        <v>59</v>
      </c>
      <c r="F251" s="3">
        <f t="shared" si="146"/>
        <v>60</v>
      </c>
      <c r="G251" s="3">
        <v>62</v>
      </c>
      <c r="H251" s="3">
        <f t="shared" si="147"/>
        <v>63</v>
      </c>
      <c r="I251" s="3">
        <f t="shared" si="147"/>
        <v>64</v>
      </c>
      <c r="J251" s="3">
        <v>77</v>
      </c>
      <c r="K251" s="3">
        <f>VLOOKUP($A251,'SegEnds_NonXtal_BW#'!$A:$Z,8,FALSE)+VLOOKUP($A251,A:AL,10,FALSE)-50</f>
        <v>93</v>
      </c>
      <c r="L251" s="3">
        <f t="shared" si="142"/>
        <v>94</v>
      </c>
      <c r="M251" s="3">
        <v>95</v>
      </c>
      <c r="N251" s="3">
        <f t="shared" si="143"/>
        <v>97</v>
      </c>
      <c r="O251" s="3">
        <f t="shared" si="139"/>
        <v>98</v>
      </c>
      <c r="P251" s="3">
        <v>127</v>
      </c>
      <c r="Q251" s="3">
        <f>VLOOKUP($A251,'SegEnds_NonXtal_BW#'!$A:$Z,12,FALSE)+VLOOKUP($A251,A:AL,16,FALSE)-50</f>
        <v>133</v>
      </c>
      <c r="R251" s="3">
        <f>IF(ISERROR(VLOOKUP($A251,'SegEnds_NonXtal_BW#'!$A:$Z,13,FALSE)+VLOOKUP($A251,A:AL,19,FALSE)-50),"-",VLOOKUP($A251,'SegEnds_NonXtal_BW#'!$A:$Z,13,FALSE)+VLOOKUP($A251,A:AL,19,FALSE)-50)</f>
        <v>134</v>
      </c>
      <c r="S251" s="3">
        <v>134</v>
      </c>
      <c r="T251" s="100">
        <f>IF(ISERROR(VLOOKUP($A251,'SegEnds_NonXtal_BW#'!$A:$Z,14,FALSE)+VLOOKUP($A251,A:AL,19,FALSE)-50),"-",(VLOOKUP($A251,'SegEnds_NonXtal_BW#'!$A:$Z,14,FALSE)+VLOOKUP($A251,A:AL,19,FALSE)-50))</f>
        <v>141</v>
      </c>
      <c r="U251" s="9">
        <f>IF(ISERROR(VLOOKUP($A251,'SegEnds_NonXtal_BW#'!$A:$Z,15,FALSE)+VLOOKUP($A251,A:AL,22,FALSE)-50),"-",VLOOKUP($A251,'SegEnds_NonXtal_BW#'!$A:$Z,15,FALSE)+VLOOKUP($A251,A:AL,22,FALSE)-50)</f>
        <v>142</v>
      </c>
      <c r="V251" s="3">
        <v>154</v>
      </c>
      <c r="W251" s="3">
        <f>IF(ISERROR(VLOOKUP($A251,'SegEnds_NonXtal_BW#'!$A:$Z,16,FALSE)+VLOOKUP($A251,A:AL,22,FALSE)-50),"-",(VLOOKUP($A251,'SegEnds_NonXtal_BW#'!$A:$Z,16,FALSE)+VLOOKUP($A251,A:AL,22,FALSE)-50))</f>
        <v>168</v>
      </c>
      <c r="X251" s="3">
        <f>IF(ISERROR(VLOOKUP($A251,'SegEnds_NonXtal_BW#'!$A:$Z,17,FALSE)+VLOOKUP($A251,A:AL,25,FALSE)-50),"-",(VLOOKUP($A251,'SegEnds_NonXtal_BW#'!$A:$Z,17,FALSE)+VLOOKUP($A251,A:AL,25,FALSE)-50))</f>
        <v>175</v>
      </c>
      <c r="Y251" s="3">
        <v>175</v>
      </c>
      <c r="Z251" s="3">
        <f t="shared" si="144"/>
        <v>177</v>
      </c>
      <c r="AA251" s="3">
        <f>IF(ISERROR(VLOOKUP($A251,'SegEnds_NonXtal_BW#'!$A:$Z,19,FALSE)+VLOOKUP($A251,A:AL,28,FALSE)-50),"-",(VLOOKUP($A251,'SegEnds_NonXtal_BW#'!$A:$Z,19,FALSE)+VLOOKUP($A251,A:AL,28,FALSE)-50))</f>
        <v>182</v>
      </c>
      <c r="AB251" s="3">
        <v>197</v>
      </c>
      <c r="AC251" s="3">
        <f>IF(ISERROR((VLOOKUP($A251,'SegEnds_NonXtal_BW#'!$A:$Z,20,FALSE)+VLOOKUP($A251,A:AL,28,FALSE)-50)),"-",(VLOOKUP($A251,'SegEnds_NonXtal_BW#'!$A:$Z,20,FALSE)+VLOOKUP($A251,A:AL,28,FALSE)-50))</f>
        <v>215</v>
      </c>
      <c r="AD251" s="3">
        <f>IF(ISERROR(VLOOKUP($A251,'SegEnds_NonXtal_BW#'!$A:$Z,21,FALSE)+VLOOKUP($A251,A:AL,31,FALSE)-50),"-",(VLOOKUP($A251,'SegEnds_NonXtal_BW#'!$A:$Z,21,FALSE)+VLOOKUP($A251,A:AL,31,FALSE)-50))</f>
        <v>220</v>
      </c>
      <c r="AE251" s="3">
        <v>240</v>
      </c>
      <c r="AF251" s="3">
        <f>IF(ISERROR((VLOOKUP($A251,'SegEnds_NonXtal_BW#'!$A:$Z,22,FALSE)+VLOOKUP($A251,A:AL,31,FALSE)-50)),"-",(VLOOKUP($A251,'SegEnds_NonXtal_BW#'!$A:$Z,22,FALSE)+VLOOKUP($A251,A:AL,31,FALSE)-50))</f>
        <v>254</v>
      </c>
      <c r="AG251" s="3">
        <f>IF(ISERROR(VLOOKUP($A251,'SegEnds_NonXtal_BW#'!$A:$Z,23,FALSE)+VLOOKUP($A251,A:AL,34,FALSE)-50),"-",(VLOOKUP($A251,'SegEnds_NonXtal_BW#'!$A:$Z,23,FALSE)+VLOOKUP($A251,A:AL,34,FALSE)-50))</f>
        <v>258</v>
      </c>
      <c r="AH251" s="3">
        <v>284</v>
      </c>
      <c r="AI251" s="3">
        <f>IF(ISERROR((VLOOKUP($A251,'SegEnds_NonXtal_BW#'!$A:$Z,24,FALSE)+VLOOKUP($A251,A:AL,34,FALSE)-50)),"-",(VLOOKUP($A251,'SegEnds_NonXtal_BW#'!$A:$Z,24,FALSE)+VLOOKUP($A251,A:AL,34,FALSE)-50))</f>
        <v>290</v>
      </c>
      <c r="AJ251" s="3">
        <f>IF(ISERROR(VLOOKUP($A251,'SegEnds_NonXtal_BW#'!$A:$Z,25,FALSE)+VLOOKUP($A251,A:AL,37,FALSE)-50),"-",(VLOOKUP($A251,'SegEnds_NonXtal_BW#'!$A:$Z,25,FALSE)+VLOOKUP($A251,A:AL,37,FALSE)-50))</f>
        <v>291</v>
      </c>
      <c r="AK251" s="3">
        <v>294</v>
      </c>
      <c r="AL251" s="3">
        <f>IF(ISERROR((VLOOKUP($A251,'SegEnds_NonXtal_BW#'!$A:$Z,26,FALSE)+VLOOKUP($A251,A:AL,37,FALSE)-50)),"-",(VLOOKUP($A251,'SegEnds_NonXtal_BW#'!$A:$Z,26,FALSE)+VLOOKUP($A251,A:AL,37,FALSE)-50))</f>
        <v>303</v>
      </c>
      <c r="AM251" s="28" t="str">
        <f>VLOOKUP(A251,Classification!A:B,2,FALSE)</f>
        <v>A</v>
      </c>
      <c r="AN251" s="28" t="b">
        <f t="shared" si="133"/>
        <v>1</v>
      </c>
      <c r="AO251" s="3" t="str">
        <f>IF(ISERROR(MATCH(A251,'SegEnds_Xtal_Prot#'!B:B, 0)), "NoXtal", "Xtal")</f>
        <v>NoXtal</v>
      </c>
      <c r="AP251" s="3">
        <f t="shared" si="118"/>
        <v>1</v>
      </c>
      <c r="AQ251" s="3">
        <f t="shared" si="119"/>
        <v>1</v>
      </c>
      <c r="AR251" s="3">
        <f t="shared" si="120"/>
        <v>1</v>
      </c>
      <c r="AS251" s="3">
        <f t="shared" si="121"/>
        <v>1</v>
      </c>
      <c r="AT251" s="3">
        <f t="shared" si="122"/>
        <v>1</v>
      </c>
      <c r="AU251" s="3">
        <f t="shared" si="123"/>
        <v>1</v>
      </c>
      <c r="AV251" s="3">
        <f t="shared" si="124"/>
        <v>7</v>
      </c>
      <c r="AW251" s="3">
        <f t="shared" si="125"/>
        <v>5</v>
      </c>
      <c r="AX251" s="3">
        <f t="shared" si="126"/>
        <v>5</v>
      </c>
      <c r="AY251" s="3">
        <f t="shared" si="127"/>
        <v>4</v>
      </c>
      <c r="AZ251" s="3">
        <f t="shared" si="128"/>
        <v>1</v>
      </c>
      <c r="BA251" s="3">
        <f>IF(ISERROR(LEN(VLOOKUP(A251,Seqs!A:E,2,FALSE))-AL251),"-",LEN(VLOOKUP(A251,Seqs!A:E,2,FALSE))-AL251)</f>
        <v>30</v>
      </c>
      <c r="BB251" s="16">
        <f t="shared" si="129"/>
        <v>28</v>
      </c>
      <c r="BC251" s="9">
        <f t="shared" si="130"/>
        <v>20</v>
      </c>
      <c r="BD251" s="3">
        <f t="shared" si="131"/>
        <v>28</v>
      </c>
      <c r="BE251" s="3">
        <f t="shared" si="132"/>
        <v>43</v>
      </c>
    </row>
    <row r="252" spans="1:58" s="3" customFormat="1" x14ac:dyDescent="0.2">
      <c r="A252" s="3" t="s">
        <v>178</v>
      </c>
      <c r="B252" s="3" t="str">
        <f>LOWER(VLOOKUP(A252,Xtal_Templ!A:B,2,FALSE))</f>
        <v>ccr5_human</v>
      </c>
      <c r="C252" s="3">
        <f>VLOOKUP($A252,'SegEnds_NonXtal_BW#'!$A:$Z,3,FALSE)+D252-50</f>
        <v>30</v>
      </c>
      <c r="D252" s="3">
        <v>56</v>
      </c>
      <c r="E252" s="3">
        <f>IF(ISERROR(VLOOKUP($A252,'SegEnds_NonXtal_BW#'!$A:$Z,4,FALSE)+VLOOKUP($A252,A:AL,4,FALSE)-50),"-",(VLOOKUP($A252,'SegEnds_NonXtal_BW#'!$A:$Z,4,FALSE)+VLOOKUP($A252,A:AL,4,FALSE)-50))</f>
        <v>66</v>
      </c>
      <c r="F252" s="3">
        <f t="shared" si="146"/>
        <v>67</v>
      </c>
      <c r="G252" s="3">
        <v>69</v>
      </c>
      <c r="H252" s="3">
        <f t="shared" si="147"/>
        <v>70</v>
      </c>
      <c r="I252" s="3">
        <f t="shared" si="147"/>
        <v>71</v>
      </c>
      <c r="J252" s="3">
        <v>84</v>
      </c>
      <c r="K252" s="3">
        <f>VLOOKUP($A252,'SegEnds_NonXtal_BW#'!$A:$Z,8,FALSE)+VLOOKUP($A252,A:AL,10,FALSE)-50</f>
        <v>97</v>
      </c>
      <c r="L252" s="3" t="str">
        <f>IF(ISERROR(VLOOKUP($A252,'SegEnds_NonXtal_BW#'!$A:$Z,9,FALSE)+VLOOKUP($A252,A:AL,13,FALSE)-50),"-",(VLOOKUP($A252,'SegEnds_NonXtal_BW#'!$A:$Z,9,FALSE)+VLOOKUP($A252,A:AL,13,FALSE)-50))</f>
        <v>-</v>
      </c>
      <c r="M252" s="3" t="s">
        <v>23</v>
      </c>
      <c r="N252" s="3" t="str">
        <f>IF(ISERROR(VLOOKUP($A252,'SegEnds_NonXtal_BW#'!$A:$Z,10,FALSE)+VLOOKUP($A252,A:AL,13,FALSE)-50),"-",(VLOOKUP($A252,'SegEnds_NonXtal_BW#'!$A:$Z,10,FALSE)+VLOOKUP($A252,A:AL,13,FALSE)-50))</f>
        <v>-</v>
      </c>
      <c r="O252" s="3">
        <f>VLOOKUP($A252,'SegEnds_NonXtal_BW#'!$A:$Z,11,FALSE)+VLOOKUP($A252,A:AL,16,FALSE)-50</f>
        <v>102</v>
      </c>
      <c r="P252" s="3">
        <v>128</v>
      </c>
      <c r="Q252" s="3">
        <f>VLOOKUP($A252,'SegEnds_NonXtal_BW#'!$A:$Z,12,FALSE)+VLOOKUP($A252,A:AL,16,FALSE)-50</f>
        <v>134</v>
      </c>
      <c r="R252" s="3">
        <f>IF(ISERROR(VLOOKUP($A252,'SegEnds_NonXtal_BW#'!$A:$Z,13,FALSE)+VLOOKUP($A252,A:AL,19,FALSE)-50),"-",VLOOKUP($A252,'SegEnds_NonXtal_BW#'!$A:$Z,13,FALSE)+VLOOKUP($A252,A:AL,19,FALSE)-50)</f>
        <v>135</v>
      </c>
      <c r="S252" s="3">
        <v>135</v>
      </c>
      <c r="T252" s="100">
        <f>IF(ISERROR(VLOOKUP($A252,'SegEnds_NonXtal_BW#'!$A:$Z,14,FALSE)+VLOOKUP($A252,A:AL,19,FALSE)-50),"-",(VLOOKUP($A252,'SegEnds_NonXtal_BW#'!$A:$Z,14,FALSE)+VLOOKUP($A252,A:AL,19,FALSE)-50))</f>
        <v>143</v>
      </c>
      <c r="U252" s="9">
        <f>IF(ISERROR(VLOOKUP($A252,'SegEnds_NonXtal_BW#'!$A:$Z,15,FALSE)+VLOOKUP($A252,A:AL,22,FALSE)-50),"-",VLOOKUP($A252,'SegEnds_NonXtal_BW#'!$A:$Z,15,FALSE)+VLOOKUP($A252,A:AL,22,FALSE)-50)</f>
        <v>144</v>
      </c>
      <c r="V252" s="3">
        <v>156</v>
      </c>
      <c r="W252" s="3">
        <f>IF(ISERROR(VLOOKUP($A252,'SegEnds_NonXtal_BW#'!$A:$Z,16,FALSE)+VLOOKUP($A252,A:AL,22,FALSE)-50),"-",(VLOOKUP($A252,'SegEnds_NonXtal_BW#'!$A:$Z,16,FALSE)+VLOOKUP($A252,A:AL,22,FALSE)-50))</f>
        <v>170</v>
      </c>
      <c r="X252" s="3">
        <f>IF(ISERROR(VLOOKUP($A252,'SegEnds_NonXtal_BW#'!$A:$Z,17,FALSE)+VLOOKUP($A252,A:AL,25,FALSE)-50),"-",(VLOOKUP($A252,'SegEnds_NonXtal_BW#'!$A:$Z,17,FALSE)+VLOOKUP($A252,A:AL,25,FALSE)-50))</f>
        <v>181</v>
      </c>
      <c r="Y252" s="3">
        <v>181</v>
      </c>
      <c r="Z252" s="3">
        <f t="shared" si="144"/>
        <v>183</v>
      </c>
      <c r="AA252" s="3">
        <f>IF(ISERROR(VLOOKUP($A252,'SegEnds_NonXtal_BW#'!$A:$Z,19,FALSE)+VLOOKUP($A252,A:AL,28,FALSE)-50),"-",(VLOOKUP($A252,'SegEnds_NonXtal_BW#'!$A:$Z,19,FALSE)+VLOOKUP($A252,A:AL,28,FALSE)-50))</f>
        <v>192</v>
      </c>
      <c r="AB252" s="3">
        <v>212</v>
      </c>
      <c r="AC252" s="3">
        <f>IF(ISERROR((VLOOKUP($A252,'SegEnds_NonXtal_BW#'!$A:$Z,20,FALSE)+VLOOKUP($A252,A:AL,28,FALSE)-50)),"-",(VLOOKUP($A252,'SegEnds_NonXtal_BW#'!$A:$Z,20,FALSE)+VLOOKUP($A252,A:AL,28,FALSE)-50))</f>
        <v>229</v>
      </c>
      <c r="AD252" s="3">
        <f>IF(ISERROR(VLOOKUP($A252,'SegEnds_NonXtal_BW#'!$A:$Z,21,FALSE)+VLOOKUP($A252,A:AL,31,FALSE)-50),"-",(VLOOKUP($A252,'SegEnds_NonXtal_BW#'!$A:$Z,21,FALSE)+VLOOKUP($A252,A:AL,31,FALSE)-50))</f>
        <v>233</v>
      </c>
      <c r="AE252" s="3">
        <v>253</v>
      </c>
      <c r="AF252" s="3">
        <f>IF(ISERROR((VLOOKUP($A252,'SegEnds_NonXtal_BW#'!$A:$Z,22,FALSE)+VLOOKUP($A252,A:AL,31,FALSE)-50)),"-",(VLOOKUP($A252,'SegEnds_NonXtal_BW#'!$A:$Z,22,FALSE)+VLOOKUP($A252,A:AL,31,FALSE)-50))</f>
        <v>267</v>
      </c>
      <c r="AG252" s="3">
        <f>IF(ISERROR(VLOOKUP($A252,'SegEnds_NonXtal_BW#'!$A:$Z,23,FALSE)+VLOOKUP($A252,A:AL,34,FALSE)-50),"-",(VLOOKUP($A252,'SegEnds_NonXtal_BW#'!$A:$Z,23,FALSE)+VLOOKUP($A252,A:AL,34,FALSE)-50))</f>
        <v>271</v>
      </c>
      <c r="AH252" s="3">
        <v>297</v>
      </c>
      <c r="AI252" s="3">
        <f>IF(ISERROR((VLOOKUP($A252,'SegEnds_NonXtal_BW#'!$A:$Z,24,FALSE)+VLOOKUP($A252,A:AL,34,FALSE)-50)),"-",(VLOOKUP($A252,'SegEnds_NonXtal_BW#'!$A:$Z,24,FALSE)+VLOOKUP($A252,A:AL,34,FALSE)-50))</f>
        <v>303</v>
      </c>
      <c r="AJ252" s="3">
        <f>IF(ISERROR(VLOOKUP($A252,'SegEnds_NonXtal_BW#'!$A:$Z,25,FALSE)+VLOOKUP($A252,A:AL,37,FALSE)-50),"-",(VLOOKUP($A252,'SegEnds_NonXtal_BW#'!$A:$Z,25,FALSE)+VLOOKUP($A252,A:AL,37,FALSE)-50))</f>
        <v>304</v>
      </c>
      <c r="AK252" s="3">
        <v>307</v>
      </c>
      <c r="AL252" s="3">
        <f>IF(ISERROR((VLOOKUP($A252,'SegEnds_NonXtal_BW#'!$A:$Z,26,FALSE)+VLOOKUP($A252,A:AL,37,FALSE)-50)),"-",(VLOOKUP($A252,'SegEnds_NonXtal_BW#'!$A:$Z,26,FALSE)+VLOOKUP($A252,A:AL,37,FALSE)-50))</f>
        <v>316</v>
      </c>
      <c r="AM252" s="28" t="str">
        <f>VLOOKUP(A252,Classification!A:B,2,FALSE)</f>
        <v>A</v>
      </c>
      <c r="AN252" s="28" t="b">
        <f t="shared" si="133"/>
        <v>1</v>
      </c>
      <c r="AO252" s="3" t="str">
        <f>IF(ISERROR(MATCH(A252,'SegEnds_Xtal_Prot#'!B:B, 0)), "NoXtal", "Xtal")</f>
        <v>NoXtal</v>
      </c>
      <c r="AP252" s="3">
        <f t="shared" si="118"/>
        <v>1</v>
      </c>
      <c r="AQ252" s="3">
        <f t="shared" si="119"/>
        <v>1</v>
      </c>
      <c r="AR252" s="3" t="str">
        <f t="shared" si="120"/>
        <v>-</v>
      </c>
      <c r="AS252" s="3" t="str">
        <f t="shared" si="121"/>
        <v>-</v>
      </c>
      <c r="AT252" s="3">
        <f t="shared" si="122"/>
        <v>1</v>
      </c>
      <c r="AU252" s="3">
        <f t="shared" si="123"/>
        <v>1</v>
      </c>
      <c r="AV252" s="3">
        <f t="shared" si="124"/>
        <v>11</v>
      </c>
      <c r="AW252" s="3">
        <f t="shared" si="125"/>
        <v>9</v>
      </c>
      <c r="AX252" s="3">
        <f t="shared" si="126"/>
        <v>4</v>
      </c>
      <c r="AY252" s="3">
        <f t="shared" si="127"/>
        <v>4</v>
      </c>
      <c r="AZ252" s="3">
        <f t="shared" si="128"/>
        <v>1</v>
      </c>
      <c r="BA252" s="3">
        <f>IF(ISERROR(LEN(VLOOKUP(A252,Seqs!A:E,2,FALSE))-AL252),"-",LEN(VLOOKUP(A252,Seqs!A:E,2,FALSE))-AL252)</f>
        <v>28</v>
      </c>
      <c r="BB252" s="16">
        <f t="shared" si="129"/>
        <v>28</v>
      </c>
      <c r="BC252" s="9">
        <f t="shared" si="130"/>
        <v>21</v>
      </c>
      <c r="BD252" s="3">
        <f t="shared" si="131"/>
        <v>28</v>
      </c>
      <c r="BE252" s="3">
        <f t="shared" si="132"/>
        <v>41</v>
      </c>
      <c r="BF252" s="3">
        <f t="shared" ref="BF252:BF257" si="148">AH252-AE252</f>
        <v>44</v>
      </c>
    </row>
    <row r="253" spans="1:58" s="3" customFormat="1" x14ac:dyDescent="0.2">
      <c r="A253" s="3" t="s">
        <v>191</v>
      </c>
      <c r="B253" s="3" t="str">
        <f>LOWER(VLOOKUP(A253,Xtal_Templ!A:B,2,FALSE))</f>
        <v>drd2_human</v>
      </c>
      <c r="C253" s="3">
        <f>VLOOKUP($A253,'SegEnds_NonXtal_BW#'!$A:$Z,3,FALSE)+D253-50</f>
        <v>31</v>
      </c>
      <c r="D253" s="3">
        <v>52</v>
      </c>
      <c r="E253" s="3">
        <f>IF(ISERROR(VLOOKUP($A253,'SegEnds_NonXtal_BW#'!$A:$Z,4,FALSE)+VLOOKUP($A253,A:AL,4,FALSE)-50),"-",(VLOOKUP($A253,'SegEnds_NonXtal_BW#'!$A:$Z,4,FALSE)+VLOOKUP($A253,A:AL,4,FALSE)-50))</f>
        <v>62</v>
      </c>
      <c r="F253" s="3">
        <f t="shared" si="146"/>
        <v>63</v>
      </c>
      <c r="G253" s="3">
        <v>65</v>
      </c>
      <c r="H253" s="3">
        <f t="shared" si="147"/>
        <v>66</v>
      </c>
      <c r="I253" s="3">
        <f t="shared" si="147"/>
        <v>67</v>
      </c>
      <c r="J253" s="3">
        <v>80</v>
      </c>
      <c r="K253" s="3">
        <f>VLOOKUP($A253,'SegEnds_NonXtal_BW#'!$A:$Z,8,FALSE)+VLOOKUP($A253,A:AL,10,FALSE)-50</f>
        <v>98</v>
      </c>
      <c r="L253" s="3">
        <f>M253-1</f>
        <v>99</v>
      </c>
      <c r="M253" s="3">
        <v>100</v>
      </c>
      <c r="N253" s="3">
        <f>M253+2</f>
        <v>102</v>
      </c>
      <c r="O253" s="3">
        <f>N253+1</f>
        <v>103</v>
      </c>
      <c r="P253" s="3">
        <v>132</v>
      </c>
      <c r="Q253" s="3">
        <f>VLOOKUP($A253,'SegEnds_NonXtal_BW#'!$A:$Z,12,FALSE)+VLOOKUP($A253,A:AL,16,FALSE)-50</f>
        <v>138</v>
      </c>
      <c r="R253" s="3">
        <f>IF(ISERROR(VLOOKUP($A253,'SegEnds_NonXtal_BW#'!$A:$Z,13,FALSE)+VLOOKUP($A253,A:AL,19,FALSE)-50),"-",VLOOKUP($A253,'SegEnds_NonXtal_BW#'!$A:$Z,13,FALSE)+VLOOKUP($A253,A:AL,19,FALSE)-50)</f>
        <v>139</v>
      </c>
      <c r="S253" s="3">
        <v>139</v>
      </c>
      <c r="T253" s="100">
        <f>IF(ISERROR(VLOOKUP($A253,'SegEnds_NonXtal_BW#'!$A:$Z,14,FALSE)+VLOOKUP($A253,A:AL,19,FALSE)-50),"-",(VLOOKUP($A253,'SegEnds_NonXtal_BW#'!$A:$Z,14,FALSE)+VLOOKUP($A253,A:AL,19,FALSE)-50))</f>
        <v>147</v>
      </c>
      <c r="U253" s="9">
        <f>IF(ISERROR(VLOOKUP($A253,'SegEnds_NonXtal_BW#'!$A:$Z,15,FALSE)+VLOOKUP($A253,A:AL,22,FALSE)-50),"-",VLOOKUP($A253,'SegEnds_NonXtal_BW#'!$A:$Z,15,FALSE)+VLOOKUP($A253,A:AL,22,FALSE)-50)</f>
        <v>148</v>
      </c>
      <c r="V253" s="3">
        <v>160</v>
      </c>
      <c r="W253" s="3">
        <f>IF(ISERROR(VLOOKUP($A253,'SegEnds_NonXtal_BW#'!$A:$Z,16,FALSE)+VLOOKUP($A253,A:AL,22,FALSE)-50),"-",(VLOOKUP($A253,'SegEnds_NonXtal_BW#'!$A:$Z,16,FALSE)+VLOOKUP($A253,A:AL,22,FALSE)-50))</f>
        <v>172</v>
      </c>
      <c r="X253" s="3">
        <f>IF(ISERROR(VLOOKUP($A253,'SegEnds_NonXtal_BW#'!$A:$Z,17,FALSE)+VLOOKUP($A253,A:AL,25,FALSE)-50),"-",(VLOOKUP($A253,'SegEnds_NonXtal_BW#'!$A:$Z,17,FALSE)+VLOOKUP($A253,A:AL,25,FALSE)-50))</f>
        <v>182</v>
      </c>
      <c r="Y253" s="3">
        <v>182</v>
      </c>
      <c r="Z253" s="3">
        <f t="shared" si="144"/>
        <v>184</v>
      </c>
      <c r="AA253" s="3">
        <f>IF(ISERROR(VLOOKUP($A253,'SegEnds_NonXtal_BW#'!$A:$Z,19,FALSE)+VLOOKUP($A253,A:AL,28,FALSE)-50),"-",(VLOOKUP($A253,'SegEnds_NonXtal_BW#'!$A:$Z,19,FALSE)+VLOOKUP($A253,A:AL,28,FALSE)-50))</f>
        <v>186</v>
      </c>
      <c r="AB253" s="3">
        <v>201</v>
      </c>
      <c r="AC253" s="3">
        <f>IF(ISERROR((VLOOKUP($A253,'SegEnds_NonXtal_BW#'!$A:$Z,20,FALSE)+VLOOKUP($A253,A:AL,28,FALSE)-50)),"-",(VLOOKUP($A253,'SegEnds_NonXtal_BW#'!$A:$Z,20,FALSE)+VLOOKUP($A253,A:AL,28,FALSE)-50))</f>
        <v>226</v>
      </c>
      <c r="AD253" s="3">
        <f>IF(ISERROR(VLOOKUP($A253,'SegEnds_NonXtal_BW#'!$A:$Z,21,FALSE)+VLOOKUP($A253,A:AL,31,FALSE)-50),"-",(VLOOKUP($A253,'SegEnds_NonXtal_BW#'!$A:$Z,21,FALSE)+VLOOKUP($A253,A:AL,31,FALSE)-50))</f>
        <v>362</v>
      </c>
      <c r="AE253" s="3">
        <v>388</v>
      </c>
      <c r="AF253" s="3">
        <f>IF(ISERROR((VLOOKUP($A253,'SegEnds_NonXtal_BW#'!$A:$Z,22,FALSE)+VLOOKUP($A253,A:AL,31,FALSE)-50)),"-",(VLOOKUP($A253,'SegEnds_NonXtal_BW#'!$A:$Z,22,FALSE)+VLOOKUP($A253,A:AL,31,FALSE)-50))</f>
        <v>399</v>
      </c>
      <c r="AG253" s="3">
        <f>IF(ISERROR(VLOOKUP($A253,'SegEnds_NonXtal_BW#'!$A:$Z,23,FALSE)+VLOOKUP($A253,A:AL,34,FALSE)-50),"-",(VLOOKUP($A253,'SegEnds_NonXtal_BW#'!$A:$Z,23,FALSE)+VLOOKUP($A253,A:AL,34,FALSE)-50))</f>
        <v>404</v>
      </c>
      <c r="AH253" s="3">
        <v>423</v>
      </c>
      <c r="AI253" s="3">
        <f>IF(ISERROR((VLOOKUP($A253,'SegEnds_NonXtal_BW#'!$A:$Z,24,FALSE)+VLOOKUP($A253,A:AL,34,FALSE)-50)),"-",(VLOOKUP($A253,'SegEnds_NonXtal_BW#'!$A:$Z,24,FALSE)+VLOOKUP($A253,A:AL,34,FALSE)-50))</f>
        <v>429</v>
      </c>
      <c r="AJ253" s="3">
        <f>IF(ISERROR(VLOOKUP($A253,'SegEnds_NonXtal_BW#'!$A:$Z,25,FALSE)+VLOOKUP($A253,A:AL,37,FALSE)-50),"-",(VLOOKUP($A253,'SegEnds_NonXtal_BW#'!$A:$Z,25,FALSE)+VLOOKUP($A253,A:AL,37,FALSE)-50))</f>
        <v>430</v>
      </c>
      <c r="AK253" s="3">
        <v>433</v>
      </c>
      <c r="AL253" s="3">
        <f>IF(ISERROR((VLOOKUP($A253,'SegEnds_NonXtal_BW#'!$A:$Z,26,FALSE)+VLOOKUP($A253,A:AL,37,FALSE)-50)),"-",(VLOOKUP($A253,'SegEnds_NonXtal_BW#'!$A:$Z,26,FALSE)+VLOOKUP($A253,A:AL,37,FALSE)-50))</f>
        <v>442</v>
      </c>
      <c r="AM253" s="28" t="str">
        <f>VLOOKUP(A253,Classification!A:B,2,FALSE)</f>
        <v>A</v>
      </c>
      <c r="AN253" s="28" t="b">
        <f t="shared" si="133"/>
        <v>1</v>
      </c>
      <c r="AO253" s="3" t="str">
        <f>IF(ISERROR(MATCH(A253,'SegEnds_Xtal_Prot#'!B:B, 0)), "NoXtal", "Xtal")</f>
        <v>Xtal</v>
      </c>
      <c r="AP253" s="3">
        <f t="shared" si="118"/>
        <v>1</v>
      </c>
      <c r="AQ253" s="3">
        <f t="shared" si="119"/>
        <v>1</v>
      </c>
      <c r="AR253" s="3">
        <f t="shared" si="120"/>
        <v>1</v>
      </c>
      <c r="AS253" s="3">
        <f t="shared" si="121"/>
        <v>1</v>
      </c>
      <c r="AT253" s="3">
        <f t="shared" si="122"/>
        <v>1</v>
      </c>
      <c r="AU253" s="3">
        <f t="shared" si="123"/>
        <v>1</v>
      </c>
      <c r="AV253" s="3">
        <f t="shared" si="124"/>
        <v>10</v>
      </c>
      <c r="AW253" s="3">
        <f t="shared" si="125"/>
        <v>2</v>
      </c>
      <c r="AX253" s="3">
        <f t="shared" si="126"/>
        <v>136</v>
      </c>
      <c r="AY253" s="3">
        <f t="shared" si="127"/>
        <v>5</v>
      </c>
      <c r="AZ253" s="3">
        <f t="shared" si="128"/>
        <v>1</v>
      </c>
      <c r="BA253" s="3">
        <f>IF(ISERROR(LEN(VLOOKUP(A253,Seqs!A:E,2,FALSE))-AL253),"-",LEN(VLOOKUP(A253,Seqs!A:E,2,FALSE))-AL253)</f>
        <v>1</v>
      </c>
      <c r="BB253" s="16">
        <f t="shared" si="129"/>
        <v>28</v>
      </c>
      <c r="BC253" s="9">
        <f t="shared" si="130"/>
        <v>21</v>
      </c>
      <c r="BD253" s="3">
        <f t="shared" si="131"/>
        <v>28</v>
      </c>
      <c r="BE253" s="3">
        <f t="shared" si="132"/>
        <v>187</v>
      </c>
      <c r="BF253" s="3">
        <f t="shared" si="148"/>
        <v>35</v>
      </c>
    </row>
    <row r="254" spans="1:58" s="3" customFormat="1" x14ac:dyDescent="0.2">
      <c r="A254" s="3" t="s">
        <v>248</v>
      </c>
      <c r="B254" s="3" t="str">
        <f>LOWER(VLOOKUP(A254,Xtal_Templ!A:B,2,FALSE))</f>
        <v>ox1r_human</v>
      </c>
      <c r="C254" s="3">
        <f>VLOOKUP($A254,'SegEnds_NonXtal_BW#'!$A:$Z,3,FALSE)+D254-50</f>
        <v>18</v>
      </c>
      <c r="D254" s="3">
        <v>36</v>
      </c>
      <c r="E254" s="3">
        <f>IF(ISERROR(VLOOKUP($A254,'SegEnds_NonXtal_BW#'!$A:$Z,4,FALSE)+VLOOKUP($A254,A:AL,4,FALSE)-50),"-",(VLOOKUP($A254,'SegEnds_NonXtal_BW#'!$A:$Z,4,FALSE)+VLOOKUP($A254,A:AL,4,FALSE)-50))</f>
        <v>46</v>
      </c>
      <c r="F254" s="3">
        <f t="shared" si="146"/>
        <v>47</v>
      </c>
      <c r="G254" s="3">
        <v>49</v>
      </c>
      <c r="H254" s="3">
        <f t="shared" si="147"/>
        <v>50</v>
      </c>
      <c r="I254" s="3">
        <f t="shared" si="147"/>
        <v>51</v>
      </c>
      <c r="J254" s="3">
        <v>64</v>
      </c>
      <c r="K254" s="3">
        <f>VLOOKUP($A254,'SegEnds_NonXtal_BW#'!$A:$Z,8,FALSE)+VLOOKUP($A254,A:AL,10,FALSE)-50</f>
        <v>81</v>
      </c>
      <c r="L254" s="3" t="str">
        <f>IF(ISERROR(VLOOKUP($A254,'SegEnds_NonXtal_BW#'!$A:$Z,9,FALSE)+VLOOKUP($A254,A:AL,13,FALSE)-50),"-",(VLOOKUP($A254,'SegEnds_NonXtal_BW#'!$A:$Z,9,FALSE)+VLOOKUP($A254,A:AL,13,FALSE)-50))</f>
        <v>-</v>
      </c>
      <c r="M254" s="3" t="s">
        <v>23</v>
      </c>
      <c r="N254" s="3" t="str">
        <f>IF(ISERROR(VLOOKUP($A254,'SegEnds_NonXtal_BW#'!$A:$Z,10,FALSE)+VLOOKUP($A254,A:AL,13,FALSE)-50),"-",(VLOOKUP($A254,'SegEnds_NonXtal_BW#'!$A:$Z,10,FALSE)+VLOOKUP($A254,A:AL,13,FALSE)-50))</f>
        <v>-</v>
      </c>
      <c r="O254" s="3">
        <f>VLOOKUP($A254,'SegEnds_NonXtal_BW#'!$A:$Z,11,FALSE)+VLOOKUP($A254,A:AL,16,FALSE)-50</f>
        <v>88</v>
      </c>
      <c r="P254" s="3">
        <v>120</v>
      </c>
      <c r="Q254" s="3">
        <f>VLOOKUP($A254,'SegEnds_NonXtal_BW#'!$A:$Z,12,FALSE)+VLOOKUP($A254,A:AL,16,FALSE)-50</f>
        <v>126</v>
      </c>
      <c r="R254" s="3">
        <f>IF(ISERROR(VLOOKUP($A254,'SegEnds_NonXtal_BW#'!$A:$Z,13,FALSE)+VLOOKUP($A254,A:AL,19,FALSE)-50),"-",VLOOKUP($A254,'SegEnds_NonXtal_BW#'!$A:$Z,13,FALSE)+VLOOKUP($A254,A:AL,19,FALSE)-50)</f>
        <v>127</v>
      </c>
      <c r="S254" s="3">
        <v>127</v>
      </c>
      <c r="T254" s="100">
        <f>IF(ISERROR(VLOOKUP($A254,'SegEnds_NonXtal_BW#'!$A:$Z,14,FALSE)+VLOOKUP($A254,A:AL,19,FALSE)-50),"-",(VLOOKUP($A254,'SegEnds_NonXtal_BW#'!$A:$Z,14,FALSE)+VLOOKUP($A254,A:AL,19,FALSE)-50))</f>
        <v>135</v>
      </c>
      <c r="U254" s="9">
        <f>IF(ISERROR(VLOOKUP($A254,'SegEnds_NonXtal_BW#'!$A:$Z,15,FALSE)+VLOOKUP($A254,A:AL,22,FALSE)-50),"-",VLOOKUP($A254,'SegEnds_NonXtal_BW#'!$A:$Z,15,FALSE)+VLOOKUP($A254,A:AL,22,FALSE)-50)</f>
        <v>136</v>
      </c>
      <c r="V254" s="3">
        <v>148</v>
      </c>
      <c r="W254" s="3">
        <f>IF(ISERROR(VLOOKUP($A254,'SegEnds_NonXtal_BW#'!$A:$Z,16,FALSE)+VLOOKUP($A254,A:AL,22,FALSE)-50),"-",(VLOOKUP($A254,'SegEnds_NonXtal_BW#'!$A:$Z,16,FALSE)+VLOOKUP($A254,A:AL,22,FALSE)-50))</f>
        <v>162</v>
      </c>
      <c r="X254" s="3">
        <f>IF(ISERROR(VLOOKUP($A254,'SegEnds_NonXtal_BW#'!$A:$Z,17,FALSE)+VLOOKUP($A254,A:AL,25,FALSE)-50),"-",(VLOOKUP($A254,'SegEnds_NonXtal_BW#'!$A:$Z,17,FALSE)+VLOOKUP($A254,A:AL,25,FALSE)-50))</f>
        <v>171</v>
      </c>
      <c r="Y254" s="3">
        <v>171</v>
      </c>
      <c r="Z254" s="3">
        <f t="shared" si="144"/>
        <v>173</v>
      </c>
      <c r="AA254" s="3">
        <f>IF(ISERROR(VLOOKUP($A254,'SegEnds_NonXtal_BW#'!$A:$Z,19,FALSE)+VLOOKUP($A254,A:AL,28,FALSE)-50),"-",(VLOOKUP($A254,'SegEnds_NonXtal_BW#'!$A:$Z,19,FALSE)+VLOOKUP($A254,A:AL,28,FALSE)-50))</f>
        <v>174</v>
      </c>
      <c r="AB254" s="3">
        <v>189</v>
      </c>
      <c r="AC254" s="3">
        <f>IF(ISERROR((VLOOKUP($A254,'SegEnds_NonXtal_BW#'!$A:$Z,20,FALSE)+VLOOKUP($A254,A:AL,28,FALSE)-50)),"-",(VLOOKUP($A254,'SegEnds_NonXtal_BW#'!$A:$Z,20,FALSE)+VLOOKUP($A254,A:AL,28,FALSE)-50))</f>
        <v>215</v>
      </c>
      <c r="AD254" s="3">
        <f>IF(ISERROR(VLOOKUP($A254,'SegEnds_NonXtal_BW#'!$A:$Z,21,FALSE)+VLOOKUP($A254,A:AL,31,FALSE)-50),"-",(VLOOKUP($A254,'SegEnds_NonXtal_BW#'!$A:$Z,21,FALSE)+VLOOKUP($A254,A:AL,31,FALSE)-50))</f>
        <v>273</v>
      </c>
      <c r="AE254" s="3">
        <v>299</v>
      </c>
      <c r="AF254" s="3">
        <f>IF(ISERROR((VLOOKUP($A254,'SegEnds_NonXtal_BW#'!$A:$Z,22,FALSE)+VLOOKUP($A254,A:AL,31,FALSE)-50)),"-",(VLOOKUP($A254,'SegEnds_NonXtal_BW#'!$A:$Z,22,FALSE)+VLOOKUP($A254,A:AL,31,FALSE)-50))</f>
        <v>310</v>
      </c>
      <c r="AG254" s="3">
        <f>IF(ISERROR(VLOOKUP($A254,'SegEnds_NonXtal_BW#'!$A:$Z,23,FALSE)+VLOOKUP($A254,A:AL,34,FALSE)-50),"-",(VLOOKUP($A254,'SegEnds_NonXtal_BW#'!$A:$Z,23,FALSE)+VLOOKUP($A254,A:AL,34,FALSE)-50))</f>
        <v>316</v>
      </c>
      <c r="AH254" s="3">
        <v>335</v>
      </c>
      <c r="AI254" s="3">
        <f>IF(ISERROR((VLOOKUP($A254,'SegEnds_NonXtal_BW#'!$A:$Z,24,FALSE)+VLOOKUP($A254,A:AL,34,FALSE)-50)),"-",(VLOOKUP($A254,'SegEnds_NonXtal_BW#'!$A:$Z,24,FALSE)+VLOOKUP($A254,A:AL,34,FALSE)-50))</f>
        <v>341</v>
      </c>
      <c r="AJ254" s="3">
        <f>IF(ISERROR(VLOOKUP($A254,'SegEnds_NonXtal_BW#'!$A:$Z,25,FALSE)+VLOOKUP($A254,A:AL,37,FALSE)-50),"-",(VLOOKUP($A254,'SegEnds_NonXtal_BW#'!$A:$Z,25,FALSE)+VLOOKUP($A254,A:AL,37,FALSE)-50))</f>
        <v>342</v>
      </c>
      <c r="AK254" s="3">
        <v>345</v>
      </c>
      <c r="AL254" s="3">
        <f>IF(ISERROR((VLOOKUP($A254,'SegEnds_NonXtal_BW#'!$A:$Z,26,FALSE)+VLOOKUP($A254,A:AL,37,FALSE)-50)),"-",(VLOOKUP($A254,'SegEnds_NonXtal_BW#'!$A:$Z,26,FALSE)+VLOOKUP($A254,A:AL,37,FALSE)-50))</f>
        <v>353</v>
      </c>
      <c r="AM254" s="28" t="str">
        <f>VLOOKUP(A254,Classification!A:B,2,FALSE)</f>
        <v>A</v>
      </c>
      <c r="AN254" s="28" t="b">
        <f t="shared" si="133"/>
        <v>1</v>
      </c>
      <c r="AO254" s="3" t="str">
        <f>IF(ISERROR(MATCH(A254,'SegEnds_Xtal_Prot#'!B:B, 0)), "NoXtal", "Xtal")</f>
        <v>NoXtal</v>
      </c>
      <c r="AP254" s="3">
        <f t="shared" si="118"/>
        <v>1</v>
      </c>
      <c r="AQ254" s="3">
        <f t="shared" si="119"/>
        <v>1</v>
      </c>
      <c r="AR254" s="3" t="str">
        <f t="shared" si="120"/>
        <v>-</v>
      </c>
      <c r="AS254" s="3" t="str">
        <f t="shared" si="121"/>
        <v>-</v>
      </c>
      <c r="AT254" s="3">
        <f t="shared" si="122"/>
        <v>1</v>
      </c>
      <c r="AU254" s="3">
        <f t="shared" si="123"/>
        <v>1</v>
      </c>
      <c r="AV254" s="3">
        <f t="shared" si="124"/>
        <v>9</v>
      </c>
      <c r="AW254" s="3">
        <f t="shared" si="125"/>
        <v>1</v>
      </c>
      <c r="AX254" s="3">
        <f t="shared" si="126"/>
        <v>58</v>
      </c>
      <c r="AY254" s="3">
        <f t="shared" si="127"/>
        <v>6</v>
      </c>
      <c r="AZ254" s="3">
        <f t="shared" si="128"/>
        <v>1</v>
      </c>
      <c r="BA254" s="3">
        <f>IF(ISERROR(LEN(VLOOKUP(A254,Seqs!A:E,2,FALSE))-AL254),"-",LEN(VLOOKUP(A254,Seqs!A:E,2,FALSE))-AL254)</f>
        <v>22</v>
      </c>
      <c r="BB254" s="16">
        <f t="shared" si="129"/>
        <v>28</v>
      </c>
      <c r="BC254" s="9">
        <f t="shared" si="130"/>
        <v>21</v>
      </c>
      <c r="BD254" s="3">
        <f t="shared" si="131"/>
        <v>28</v>
      </c>
      <c r="BE254" s="3">
        <f t="shared" si="132"/>
        <v>110</v>
      </c>
      <c r="BF254" s="3">
        <f t="shared" si="148"/>
        <v>36</v>
      </c>
    </row>
    <row r="255" spans="1:58" s="3" customFormat="1" x14ac:dyDescent="0.2">
      <c r="A255" s="3" t="s">
        <v>280</v>
      </c>
      <c r="B255" s="3" t="str">
        <f>LOWER(VLOOKUP(A255,Xtal_Templ!A:B,2,FALSE))</f>
        <v>hrh1_human</v>
      </c>
      <c r="C255" s="3">
        <f>VLOOKUP($A255,'SegEnds_NonXtal_BW#'!$A:$Z,3,FALSE)+D255-50</f>
        <v>36</v>
      </c>
      <c r="D255" s="3">
        <v>52</v>
      </c>
      <c r="E255" s="3">
        <f>IF(ISERROR(VLOOKUP($A255,'SegEnds_NonXtal_BW#'!$A:$Z,4,FALSE)+VLOOKUP($A255,A:AL,4,FALSE)-50),"-",(VLOOKUP($A255,'SegEnds_NonXtal_BW#'!$A:$Z,4,FALSE)+VLOOKUP($A255,A:AL,4,FALSE)-50))</f>
        <v>62</v>
      </c>
      <c r="F255" s="3">
        <f t="shared" si="146"/>
        <v>63</v>
      </c>
      <c r="G255" s="3">
        <v>65</v>
      </c>
      <c r="H255" s="3">
        <f t="shared" si="147"/>
        <v>66</v>
      </c>
      <c r="I255" s="3">
        <f t="shared" si="147"/>
        <v>67</v>
      </c>
      <c r="J255" s="3">
        <v>80</v>
      </c>
      <c r="K255" s="3">
        <f>VLOOKUP($A255,'SegEnds_NonXtal_BW#'!$A:$Z,8,FALSE)+VLOOKUP($A255,A:AL,10,FALSE)-50</f>
        <v>97</v>
      </c>
      <c r="L255" s="3">
        <f t="shared" ref="L255:L262" si="149">M255-1</f>
        <v>99</v>
      </c>
      <c r="M255" s="3">
        <v>100</v>
      </c>
      <c r="N255" s="3">
        <f t="shared" ref="N255:N262" si="150">M255+2</f>
        <v>102</v>
      </c>
      <c r="O255" s="3">
        <f t="shared" ref="O255:O262" si="151">N255+1</f>
        <v>103</v>
      </c>
      <c r="P255" s="3">
        <v>132</v>
      </c>
      <c r="Q255" s="3">
        <f>VLOOKUP($A255,'SegEnds_NonXtal_BW#'!$A:$Z,12,FALSE)+VLOOKUP($A255,A:AL,16,FALSE)-50</f>
        <v>138</v>
      </c>
      <c r="R255" s="3">
        <f>IF(ISERROR(VLOOKUP($A255,'SegEnds_NonXtal_BW#'!$A:$Z,13,FALSE)+VLOOKUP($A255,A:AL,19,FALSE)-50),"-",VLOOKUP($A255,'SegEnds_NonXtal_BW#'!$A:$Z,13,FALSE)+VLOOKUP($A255,A:AL,19,FALSE)-50)</f>
        <v>139</v>
      </c>
      <c r="S255" s="3">
        <v>139</v>
      </c>
      <c r="T255" s="100">
        <f>IF(ISERROR(VLOOKUP($A255,'SegEnds_NonXtal_BW#'!$A:$Z,14,FALSE)+VLOOKUP($A255,A:AL,19,FALSE)-50),"-",(VLOOKUP($A255,'SegEnds_NonXtal_BW#'!$A:$Z,14,FALSE)+VLOOKUP($A255,A:AL,19,FALSE)-50))</f>
        <v>147</v>
      </c>
      <c r="U255" s="9">
        <f>IF(ISERROR(VLOOKUP($A255,'SegEnds_NonXtal_BW#'!$A:$Z,15,FALSE)+VLOOKUP($A255,A:AL,22,FALSE)-50),"-",VLOOKUP($A255,'SegEnds_NonXtal_BW#'!$A:$Z,15,FALSE)+VLOOKUP($A255,A:AL,22,FALSE)-50)</f>
        <v>148</v>
      </c>
      <c r="V255" s="3">
        <v>160</v>
      </c>
      <c r="W255" s="3">
        <f>IF(ISERROR(VLOOKUP($A255,'SegEnds_NonXtal_BW#'!$A:$Z,16,FALSE)+VLOOKUP($A255,A:AL,22,FALSE)-50),"-",(VLOOKUP($A255,'SegEnds_NonXtal_BW#'!$A:$Z,16,FALSE)+VLOOKUP($A255,A:AL,22,FALSE)-50))</f>
        <v>173</v>
      </c>
      <c r="X255" s="3">
        <f>IF(ISERROR(VLOOKUP($A255,'SegEnds_NonXtal_BW#'!$A:$Z,17,FALSE)+VLOOKUP($A255,A:AL,25,FALSE)-50),"-",(VLOOKUP($A255,'SegEnds_NonXtal_BW#'!$A:$Z,17,FALSE)+VLOOKUP($A255,A:AL,25,FALSE)-50))</f>
        <v>188</v>
      </c>
      <c r="Y255" s="3">
        <v>188</v>
      </c>
      <c r="Z255" s="3">
        <f t="shared" si="144"/>
        <v>190</v>
      </c>
      <c r="AA255" s="3">
        <f>IF(ISERROR(VLOOKUP($A255,'SegEnds_NonXtal_BW#'!$A:$Z,19,FALSE)+VLOOKUP($A255,A:AL,28,FALSE)-50),"-",(VLOOKUP($A255,'SegEnds_NonXtal_BW#'!$A:$Z,19,FALSE)+VLOOKUP($A255,A:AL,28,FALSE)-50))</f>
        <v>195</v>
      </c>
      <c r="AB255" s="3">
        <v>210</v>
      </c>
      <c r="AC255" s="3">
        <f>IF(ISERROR((VLOOKUP($A255,'SegEnds_NonXtal_BW#'!$A:$Z,20,FALSE)+VLOOKUP($A255,A:AL,28,FALSE)-50)),"-",(VLOOKUP($A255,'SegEnds_NonXtal_BW#'!$A:$Z,20,FALSE)+VLOOKUP($A255,A:AL,28,FALSE)-50))</f>
        <v>235</v>
      </c>
      <c r="AD255" s="3">
        <f>IF(ISERROR(VLOOKUP($A255,'SegEnds_NonXtal_BW#'!$A:$Z,21,FALSE)+VLOOKUP($A255,A:AL,31,FALSE)-50),"-",(VLOOKUP($A255,'SegEnds_NonXtal_BW#'!$A:$Z,21,FALSE)+VLOOKUP($A255,A:AL,31,FALSE)-50))</f>
        <v>347</v>
      </c>
      <c r="AE255" s="3">
        <v>373</v>
      </c>
      <c r="AF255" s="3">
        <f>IF(ISERROR((VLOOKUP($A255,'SegEnds_NonXtal_BW#'!$A:$Z,22,FALSE)+VLOOKUP($A255,A:AL,31,FALSE)-50)),"-",(VLOOKUP($A255,'SegEnds_NonXtal_BW#'!$A:$Z,22,FALSE)+VLOOKUP($A255,A:AL,31,FALSE)-50))</f>
        <v>384</v>
      </c>
      <c r="AG255" s="3">
        <f>IF(ISERROR(VLOOKUP($A255,'SegEnds_NonXtal_BW#'!$A:$Z,23,FALSE)+VLOOKUP($A255,A:AL,34,FALSE)-50),"-",(VLOOKUP($A255,'SegEnds_NonXtal_BW#'!$A:$Z,23,FALSE)+VLOOKUP($A255,A:AL,34,FALSE)-50))</f>
        <v>390</v>
      </c>
      <c r="AH255" s="3">
        <v>409</v>
      </c>
      <c r="AI255" s="3">
        <f>IF(ISERROR((VLOOKUP($A255,'SegEnds_NonXtal_BW#'!$A:$Z,24,FALSE)+VLOOKUP($A255,A:AL,34,FALSE)-50)),"-",(VLOOKUP($A255,'SegEnds_NonXtal_BW#'!$A:$Z,24,FALSE)+VLOOKUP($A255,A:AL,34,FALSE)-50))</f>
        <v>415</v>
      </c>
      <c r="AJ255" s="3">
        <f>IF(ISERROR(VLOOKUP($A255,'SegEnds_NonXtal_BW#'!$A:$Z,25,FALSE)+VLOOKUP($A255,A:AL,37,FALSE)-50),"-",(VLOOKUP($A255,'SegEnds_NonXtal_BW#'!$A:$Z,25,FALSE)+VLOOKUP($A255,A:AL,37,FALSE)-50))</f>
        <v>416</v>
      </c>
      <c r="AK255" s="3">
        <v>419</v>
      </c>
      <c r="AL255" s="3">
        <f>IF(ISERROR((VLOOKUP($A255,'SegEnds_NonXtal_BW#'!$A:$Z,26,FALSE)+VLOOKUP($A255,A:AL,37,FALSE)-50)),"-",(VLOOKUP($A255,'SegEnds_NonXtal_BW#'!$A:$Z,26,FALSE)+VLOOKUP($A255,A:AL,37,FALSE)-50))</f>
        <v>428</v>
      </c>
      <c r="AM255" s="28" t="str">
        <f>VLOOKUP(A255,Classification!A:B,2,FALSE)</f>
        <v>A</v>
      </c>
      <c r="AN255" s="28" t="b">
        <f t="shared" si="133"/>
        <v>1</v>
      </c>
      <c r="AO255" s="3" t="str">
        <f>IF(ISERROR(MATCH(A255,'SegEnds_Xtal_Prot#'!B:B, 0)), "NoXtal", "Xtal")</f>
        <v>NoXtal</v>
      </c>
      <c r="AP255" s="3">
        <f t="shared" si="118"/>
        <v>1</v>
      </c>
      <c r="AQ255" s="3">
        <f t="shared" si="119"/>
        <v>1</v>
      </c>
      <c r="AR255" s="3">
        <f t="shared" si="120"/>
        <v>2</v>
      </c>
      <c r="AS255" s="3">
        <f t="shared" si="121"/>
        <v>1</v>
      </c>
      <c r="AT255" s="3">
        <f t="shared" si="122"/>
        <v>1</v>
      </c>
      <c r="AU255" s="3">
        <f t="shared" si="123"/>
        <v>1</v>
      </c>
      <c r="AV255" s="3">
        <f t="shared" si="124"/>
        <v>15</v>
      </c>
      <c r="AW255" s="3">
        <f t="shared" si="125"/>
        <v>5</v>
      </c>
      <c r="AX255" s="3">
        <f t="shared" si="126"/>
        <v>112</v>
      </c>
      <c r="AY255" s="3">
        <f t="shared" si="127"/>
        <v>6</v>
      </c>
      <c r="AZ255" s="3">
        <f t="shared" si="128"/>
        <v>1</v>
      </c>
      <c r="BA255" s="3">
        <f>IF(ISERROR(LEN(VLOOKUP(A255,Seqs!A:E,2,FALSE))-AL255),"-",LEN(VLOOKUP(A255,Seqs!A:E,2,FALSE))-AL255)</f>
        <v>17</v>
      </c>
      <c r="BB255" s="16">
        <f t="shared" si="129"/>
        <v>28</v>
      </c>
      <c r="BC255" s="9">
        <f t="shared" si="130"/>
        <v>21</v>
      </c>
      <c r="BD255" s="3">
        <f t="shared" si="131"/>
        <v>28</v>
      </c>
      <c r="BE255" s="3">
        <f t="shared" si="132"/>
        <v>163</v>
      </c>
      <c r="BF255" s="3">
        <f t="shared" si="148"/>
        <v>36</v>
      </c>
    </row>
    <row r="256" spans="1:58" s="3" customFormat="1" x14ac:dyDescent="0.2">
      <c r="A256" s="3" t="s">
        <v>281</v>
      </c>
      <c r="B256" s="3" t="str">
        <f>LOWER(VLOOKUP(A256,Xtal_Templ!A:B,2,FALSE))</f>
        <v>acm3_rat</v>
      </c>
      <c r="C256" s="3">
        <f>VLOOKUP($A256,'SegEnds_NonXtal_BW#'!$A:$Z,3,FALSE)+D256-50</f>
        <v>12</v>
      </c>
      <c r="D256" s="3">
        <v>33</v>
      </c>
      <c r="E256" s="3">
        <f>IF(ISERROR(VLOOKUP($A256,'SegEnds_NonXtal_BW#'!$A:$Z,4,FALSE)+VLOOKUP($A256,A:AL,4,FALSE)-50),"-",(VLOOKUP($A256,'SegEnds_NonXtal_BW#'!$A:$Z,4,FALSE)+VLOOKUP($A256,A:AL,4,FALSE)-50))</f>
        <v>43</v>
      </c>
      <c r="F256" s="3">
        <f t="shared" si="146"/>
        <v>44</v>
      </c>
      <c r="G256" s="3">
        <v>46</v>
      </c>
      <c r="H256" s="3">
        <f t="shared" si="147"/>
        <v>47</v>
      </c>
      <c r="I256" s="3">
        <f t="shared" si="147"/>
        <v>48</v>
      </c>
      <c r="J256" s="3">
        <v>61</v>
      </c>
      <c r="K256" s="3">
        <f>VLOOKUP($A256,'SegEnds_NonXtal_BW#'!$A:$Z,8,FALSE)+VLOOKUP($A256,A:AL,10,FALSE)-50</f>
        <v>77</v>
      </c>
      <c r="L256" s="3">
        <f t="shared" si="149"/>
        <v>79</v>
      </c>
      <c r="M256" s="3">
        <v>80</v>
      </c>
      <c r="N256" s="3">
        <f t="shared" si="150"/>
        <v>82</v>
      </c>
      <c r="O256" s="3">
        <f t="shared" si="151"/>
        <v>83</v>
      </c>
      <c r="P256" s="3">
        <v>112</v>
      </c>
      <c r="Q256" s="3">
        <f>VLOOKUP($A256,'SegEnds_NonXtal_BW#'!$A:$Z,12,FALSE)+VLOOKUP($A256,A:AL,16,FALSE)-50</f>
        <v>118</v>
      </c>
      <c r="R256" s="3">
        <f>IF(ISERROR(VLOOKUP($A256,'SegEnds_NonXtal_BW#'!$A:$Z,13,FALSE)+VLOOKUP($A256,A:AL,19,FALSE)-50),"-",VLOOKUP($A256,'SegEnds_NonXtal_BW#'!$A:$Z,13,FALSE)+VLOOKUP($A256,A:AL,19,FALSE)-50)</f>
        <v>119</v>
      </c>
      <c r="S256" s="3">
        <v>119</v>
      </c>
      <c r="T256" s="100">
        <f>IF(ISERROR(VLOOKUP($A256,'SegEnds_NonXtal_BW#'!$A:$Z,14,FALSE)+VLOOKUP($A256,A:AL,19,FALSE)-50),"-",(VLOOKUP($A256,'SegEnds_NonXtal_BW#'!$A:$Z,14,FALSE)+VLOOKUP($A256,A:AL,19,FALSE)-50))</f>
        <v>127</v>
      </c>
      <c r="U256" s="9">
        <f>IF(ISERROR(VLOOKUP($A256,'SegEnds_NonXtal_BW#'!$A:$Z,15,FALSE)+VLOOKUP($A256,A:AL,22,FALSE)-50),"-",VLOOKUP($A256,'SegEnds_NonXtal_BW#'!$A:$Z,15,FALSE)+VLOOKUP($A256,A:AL,22,FALSE)-50)</f>
        <v>128</v>
      </c>
      <c r="V256" s="3">
        <v>140</v>
      </c>
      <c r="W256" s="3">
        <f>IF(ISERROR(VLOOKUP($A256,'SegEnds_NonXtal_BW#'!$A:$Z,16,FALSE)+VLOOKUP($A256,A:AL,22,FALSE)-50),"-",(VLOOKUP($A256,'SegEnds_NonXtal_BW#'!$A:$Z,16,FALSE)+VLOOKUP($A256,A:AL,22,FALSE)-50))</f>
        <v>153</v>
      </c>
      <c r="X256" s="3">
        <f>IF(ISERROR(VLOOKUP($A256,'SegEnds_NonXtal_BW#'!$A:$Z,17,FALSE)+VLOOKUP($A256,A:AL,25,FALSE)-50),"-",(VLOOKUP($A256,'SegEnds_NonXtal_BW#'!$A:$Z,17,FALSE)+VLOOKUP($A256,A:AL,25,FALSE)-50))</f>
        <v>164</v>
      </c>
      <c r="Y256" s="3">
        <v>164</v>
      </c>
      <c r="Z256" s="3">
        <f t="shared" si="144"/>
        <v>166</v>
      </c>
      <c r="AA256" s="3">
        <f>IF(ISERROR(VLOOKUP($A256,'SegEnds_NonXtal_BW#'!$A:$Z,19,FALSE)+VLOOKUP($A256,A:AL,28,FALSE)-50),"-",(VLOOKUP($A256,'SegEnds_NonXtal_BW#'!$A:$Z,19,FALSE)+VLOOKUP($A256,A:AL,28,FALSE)-50))</f>
        <v>171</v>
      </c>
      <c r="AB256" s="3">
        <v>186</v>
      </c>
      <c r="AC256" s="3">
        <f>IF(ISERROR((VLOOKUP($A256,'SegEnds_NonXtal_BW#'!$A:$Z,20,FALSE)+VLOOKUP($A256,A:AL,28,FALSE)-50)),"-",(VLOOKUP($A256,'SegEnds_NonXtal_BW#'!$A:$Z,20,FALSE)+VLOOKUP($A256,A:AL,28,FALSE)-50))</f>
        <v>212</v>
      </c>
      <c r="AD256" s="3">
        <f>IF(ISERROR(VLOOKUP($A256,'SegEnds_NonXtal_BW#'!$A:$Z,21,FALSE)+VLOOKUP($A256,A:AL,31,FALSE)-50),"-",(VLOOKUP($A256,'SegEnds_NonXtal_BW#'!$A:$Z,21,FALSE)+VLOOKUP($A256,A:AL,31,FALSE)-50))</f>
        <v>292</v>
      </c>
      <c r="AE256" s="3">
        <v>318</v>
      </c>
      <c r="AF256" s="3">
        <f>IF(ISERROR((VLOOKUP($A256,'SegEnds_NonXtal_BW#'!$A:$Z,22,FALSE)+VLOOKUP($A256,A:AL,31,FALSE)-50)),"-",(VLOOKUP($A256,'SegEnds_NonXtal_BW#'!$A:$Z,22,FALSE)+VLOOKUP($A256,A:AL,31,FALSE)-50))</f>
        <v>329</v>
      </c>
      <c r="AG256" s="3">
        <f>IF(ISERROR(VLOOKUP($A256,'SegEnds_NonXtal_BW#'!$A:$Z,23,FALSE)+VLOOKUP($A256,A:AL,34,FALSE)-50),"-",(VLOOKUP($A256,'SegEnds_NonXtal_BW#'!$A:$Z,23,FALSE)+VLOOKUP($A256,A:AL,34,FALSE)-50))</f>
        <v>336</v>
      </c>
      <c r="AH256" s="3">
        <v>355</v>
      </c>
      <c r="AI256" s="3">
        <f>IF(ISERROR((VLOOKUP($A256,'SegEnds_NonXtal_BW#'!$A:$Z,24,FALSE)+VLOOKUP($A256,A:AL,34,FALSE)-50)),"-",(VLOOKUP($A256,'SegEnds_NonXtal_BW#'!$A:$Z,24,FALSE)+VLOOKUP($A256,A:AL,34,FALSE)-50))</f>
        <v>361</v>
      </c>
      <c r="AJ256" s="3">
        <f>IF(ISERROR(VLOOKUP($A256,'SegEnds_NonXtal_BW#'!$A:$Z,25,FALSE)+VLOOKUP($A256,A:AL,37,FALSE)-50),"-",(VLOOKUP($A256,'SegEnds_NonXtal_BW#'!$A:$Z,25,FALSE)+VLOOKUP($A256,A:AL,37,FALSE)-50))</f>
        <v>362</v>
      </c>
      <c r="AK256" s="3">
        <v>365</v>
      </c>
      <c r="AL256" s="3">
        <f>IF(ISERROR((VLOOKUP($A256,'SegEnds_NonXtal_BW#'!$A:$Z,26,FALSE)+VLOOKUP($A256,A:AL,37,FALSE)-50)),"-",(VLOOKUP($A256,'SegEnds_NonXtal_BW#'!$A:$Z,26,FALSE)+VLOOKUP($A256,A:AL,37,FALSE)-50))</f>
        <v>373</v>
      </c>
      <c r="AM256" s="28" t="str">
        <f>VLOOKUP(A256,Classification!A:B,2,FALSE)</f>
        <v>A</v>
      </c>
      <c r="AN256" s="28" t="b">
        <f t="shared" si="133"/>
        <v>1</v>
      </c>
      <c r="AO256" s="3" t="str">
        <f>IF(ISERROR(MATCH(A256,'SegEnds_Xtal_Prot#'!B:B, 0)), "NoXtal", "Xtal")</f>
        <v>NoXtal</v>
      </c>
      <c r="AP256" s="3">
        <f t="shared" si="118"/>
        <v>1</v>
      </c>
      <c r="AQ256" s="3">
        <f t="shared" si="119"/>
        <v>1</v>
      </c>
      <c r="AR256" s="3">
        <f t="shared" si="120"/>
        <v>2</v>
      </c>
      <c r="AS256" s="3">
        <f t="shared" si="121"/>
        <v>1</v>
      </c>
      <c r="AT256" s="3">
        <f t="shared" si="122"/>
        <v>1</v>
      </c>
      <c r="AU256" s="3">
        <f t="shared" si="123"/>
        <v>1</v>
      </c>
      <c r="AV256" s="3">
        <f t="shared" si="124"/>
        <v>11</v>
      </c>
      <c r="AW256" s="3">
        <f t="shared" si="125"/>
        <v>5</v>
      </c>
      <c r="AX256" s="3">
        <f t="shared" si="126"/>
        <v>80</v>
      </c>
      <c r="AY256" s="3">
        <f t="shared" si="127"/>
        <v>7</v>
      </c>
      <c r="AZ256" s="3">
        <f t="shared" si="128"/>
        <v>1</v>
      </c>
      <c r="BA256" s="3">
        <f>IF(ISERROR(LEN(VLOOKUP(A256,Seqs!A:E,2,FALSE))-AL256),"-",LEN(VLOOKUP(A256,Seqs!A:E,2,FALSE))-AL256)</f>
        <v>17</v>
      </c>
      <c r="BB256" s="16">
        <f t="shared" si="129"/>
        <v>28</v>
      </c>
      <c r="BC256" s="9">
        <f t="shared" si="130"/>
        <v>21</v>
      </c>
      <c r="BD256" s="3">
        <f t="shared" si="131"/>
        <v>28</v>
      </c>
      <c r="BE256" s="3">
        <f t="shared" si="132"/>
        <v>132</v>
      </c>
      <c r="BF256" s="3">
        <f t="shared" si="148"/>
        <v>37</v>
      </c>
    </row>
    <row r="257" spans="1:58" s="3" customFormat="1" x14ac:dyDescent="0.2">
      <c r="A257" s="3" t="s">
        <v>348</v>
      </c>
      <c r="B257" s="3" t="str">
        <f>LOWER(VLOOKUP(A257,Xtal_Templ!A:B,2,FALSE))</f>
        <v>p2ry1_human</v>
      </c>
      <c r="C257" s="3">
        <f>VLOOKUP($A257,'SegEnds_NonXtal_BW#'!$A:$Z,3,FALSE)+D257-50</f>
        <v>24</v>
      </c>
      <c r="D257" s="3">
        <v>44</v>
      </c>
      <c r="E257" s="3">
        <f>IF(ISERROR(VLOOKUP($A257,'SegEnds_NonXtal_BW#'!$A:$Z,4,FALSE)+VLOOKUP($A257,A:AL,4,FALSE)-50),"-",(VLOOKUP($A257,'SegEnds_NonXtal_BW#'!$A:$Z,4,FALSE)+VLOOKUP($A257,A:AL,4,FALSE)-50))</f>
        <v>54</v>
      </c>
      <c r="F257" s="3">
        <f t="shared" si="146"/>
        <v>55</v>
      </c>
      <c r="G257" s="3">
        <v>57</v>
      </c>
      <c r="H257" s="3">
        <f t="shared" si="147"/>
        <v>58</v>
      </c>
      <c r="I257" s="3">
        <f t="shared" si="147"/>
        <v>59</v>
      </c>
      <c r="J257" s="3">
        <v>72</v>
      </c>
      <c r="K257" s="3">
        <f>VLOOKUP($A257,'SegEnds_NonXtal_BW#'!$A:$Z,8,FALSE)+VLOOKUP($A257,A:AL,10,FALSE)-50</f>
        <v>88</v>
      </c>
      <c r="L257" s="3">
        <f t="shared" si="149"/>
        <v>91</v>
      </c>
      <c r="M257" s="3">
        <v>92</v>
      </c>
      <c r="N257" s="3">
        <f t="shared" si="150"/>
        <v>94</v>
      </c>
      <c r="O257" s="3">
        <f t="shared" si="151"/>
        <v>95</v>
      </c>
      <c r="P257" s="3">
        <v>124</v>
      </c>
      <c r="Q257" s="3">
        <f>VLOOKUP($A257,'SegEnds_NonXtal_BW#'!$A:$Z,12,FALSE)+VLOOKUP($A257,A:AL,16,FALSE)-50</f>
        <v>130</v>
      </c>
      <c r="R257" s="3">
        <f>IF(ISERROR(VLOOKUP($A257,'SegEnds_NonXtal_BW#'!$A:$Z,13,FALSE)+VLOOKUP($A257,A:AL,19,FALSE)-50),"-",VLOOKUP($A257,'SegEnds_NonXtal_BW#'!$A:$Z,13,FALSE)+VLOOKUP($A257,A:AL,19,FALSE)-50)</f>
        <v>131</v>
      </c>
      <c r="S257" s="3">
        <v>131</v>
      </c>
      <c r="T257" s="100">
        <f>IF(ISERROR(VLOOKUP($A257,'SegEnds_NonXtal_BW#'!$A:$Z,14,FALSE)+VLOOKUP($A257,A:AL,19,FALSE)-50),"-",(VLOOKUP($A257,'SegEnds_NonXtal_BW#'!$A:$Z,14,FALSE)+VLOOKUP($A257,A:AL,19,FALSE)-50))</f>
        <v>139</v>
      </c>
      <c r="U257" s="9">
        <f>IF(ISERROR(VLOOKUP($A257,'SegEnds_NonXtal_BW#'!$A:$Z,15,FALSE)+VLOOKUP($A257,A:AL,22,FALSE)-50),"-",VLOOKUP($A257,'SegEnds_NonXtal_BW#'!$A:$Z,15,FALSE)+VLOOKUP($A257,A:AL,22,FALSE)-50)</f>
        <v>140</v>
      </c>
      <c r="V257" s="3">
        <v>152</v>
      </c>
      <c r="W257" s="3">
        <f>IF(ISERROR(VLOOKUP($A257,'SegEnds_NonXtal_BW#'!$A:$Z,16,FALSE)+VLOOKUP($A257,A:AL,22,FALSE)-50),"-",(VLOOKUP($A257,'SegEnds_NonXtal_BW#'!$A:$Z,16,FALSE)+VLOOKUP($A257,A:AL,22,FALSE)-50))</f>
        <v>166</v>
      </c>
      <c r="X257" s="3">
        <f>IF(ISERROR(VLOOKUP($A257,'SegEnds_NonXtal_BW#'!$A:$Z,17,FALSE)+VLOOKUP($A257,A:AL,25,FALSE)-50),"-",(VLOOKUP($A257,'SegEnds_NonXtal_BW#'!$A:$Z,17,FALSE)+VLOOKUP($A257,A:AL,25,FALSE)-50))</f>
        <v>177</v>
      </c>
      <c r="Y257" s="3">
        <v>177</v>
      </c>
      <c r="Z257" s="3">
        <f t="shared" si="144"/>
        <v>179</v>
      </c>
      <c r="AA257" s="3">
        <f>IF(ISERROR(VLOOKUP($A257,'SegEnds_NonXtal_BW#'!$A:$Z,19,FALSE)+VLOOKUP($A257,A:AL,28,FALSE)-50),"-",(VLOOKUP($A257,'SegEnds_NonXtal_BW#'!$A:$Z,19,FALSE)+VLOOKUP($A257,A:AL,28,FALSE)-50))</f>
        <v>186</v>
      </c>
      <c r="AB257" s="3">
        <v>204</v>
      </c>
      <c r="AC257" s="3">
        <f>IF(ISERROR((VLOOKUP($A257,'SegEnds_NonXtal_BW#'!$A:$Z,20,FALSE)+VLOOKUP($A257,A:AL,28,FALSE)-50)),"-",(VLOOKUP($A257,'SegEnds_NonXtal_BW#'!$A:$Z,20,FALSE)+VLOOKUP($A257,A:AL,28,FALSE)-50))</f>
        <v>226</v>
      </c>
      <c r="AD257" s="3">
        <f>IF(ISERROR(VLOOKUP($A257,'SegEnds_NonXtal_BW#'!$A:$Z,21,FALSE)+VLOOKUP($A257,A:AL,31,FALSE)-50),"-",(VLOOKUP($A257,'SegEnds_NonXtal_BW#'!$A:$Z,21,FALSE)+VLOOKUP($A257,A:AL,31,FALSE)-50))</f>
        <v>233</v>
      </c>
      <c r="AE257" s="3">
        <v>254</v>
      </c>
      <c r="AF257" s="3">
        <f>IF(ISERROR((VLOOKUP($A257,'SegEnds_NonXtal_BW#'!$A:$Z,22,FALSE)+VLOOKUP($A257,A:AL,31,FALSE)-50)),"-",(VLOOKUP($A257,'SegEnds_NonXtal_BW#'!$A:$Z,22,FALSE)+VLOOKUP($A257,A:AL,31,FALSE)-50))</f>
        <v>268</v>
      </c>
      <c r="AG257" s="3">
        <f>IF(ISERROR(VLOOKUP($A257,'SegEnds_NonXtal_BW#'!$A:$Z,23,FALSE)+VLOOKUP($A257,A:AL,34,FALSE)-50),"-",(VLOOKUP($A257,'SegEnds_NonXtal_BW#'!$A:$Z,23,FALSE)+VLOOKUP($A257,A:AL,34,FALSE)-50))</f>
        <v>272</v>
      </c>
      <c r="AH257" s="3">
        <v>298</v>
      </c>
      <c r="AI257" s="3">
        <f>IF(ISERROR((VLOOKUP($A257,'SegEnds_NonXtal_BW#'!$A:$Z,24,FALSE)+VLOOKUP($A257,A:AL,34,FALSE)-50)),"-",(VLOOKUP($A257,'SegEnds_NonXtal_BW#'!$A:$Z,24,FALSE)+VLOOKUP($A257,A:AL,34,FALSE)-50))</f>
        <v>304</v>
      </c>
      <c r="AJ257" s="3">
        <f>IF(ISERROR(VLOOKUP($A257,'SegEnds_NonXtal_BW#'!$A:$Z,25,FALSE)+VLOOKUP($A257,A:AL,37,FALSE)-50),"-",(VLOOKUP($A257,'SegEnds_NonXtal_BW#'!$A:$Z,25,FALSE)+VLOOKUP($A257,A:AL,37,FALSE)-50))</f>
        <v>305</v>
      </c>
      <c r="AK257" s="3">
        <v>308</v>
      </c>
      <c r="AL257" s="3">
        <f>IF(ISERROR((VLOOKUP($A257,'SegEnds_NonXtal_BW#'!$A:$Z,26,FALSE)+VLOOKUP($A257,A:AL,37,FALSE)-50)),"-",(VLOOKUP($A257,'SegEnds_NonXtal_BW#'!$A:$Z,26,FALSE)+VLOOKUP($A257,A:AL,37,FALSE)-50))</f>
        <v>317</v>
      </c>
      <c r="AM257" s="28" t="str">
        <f>VLOOKUP(A257,Classification!A:B,2,FALSE)</f>
        <v>A</v>
      </c>
      <c r="AN257" s="28" t="b">
        <f t="shared" si="133"/>
        <v>1</v>
      </c>
      <c r="AO257" s="3" t="str">
        <f>IF(ISERROR(MATCH(A257,'SegEnds_Xtal_Prot#'!B:B, 0)), "NoXtal", "Xtal")</f>
        <v>NoXtal</v>
      </c>
      <c r="AP257" s="3">
        <f t="shared" si="118"/>
        <v>1</v>
      </c>
      <c r="AQ257" s="3">
        <f t="shared" si="119"/>
        <v>1</v>
      </c>
      <c r="AR257" s="3">
        <f t="shared" si="120"/>
        <v>3</v>
      </c>
      <c r="AS257" s="3">
        <f t="shared" si="121"/>
        <v>1</v>
      </c>
      <c r="AT257" s="3">
        <f t="shared" si="122"/>
        <v>1</v>
      </c>
      <c r="AU257" s="3">
        <f t="shared" si="123"/>
        <v>1</v>
      </c>
      <c r="AV257" s="3">
        <f t="shared" si="124"/>
        <v>11</v>
      </c>
      <c r="AW257" s="3">
        <f t="shared" si="125"/>
        <v>7</v>
      </c>
      <c r="AX257" s="3">
        <f t="shared" si="126"/>
        <v>7</v>
      </c>
      <c r="AY257" s="3">
        <f t="shared" si="127"/>
        <v>4</v>
      </c>
      <c r="AZ257" s="3">
        <f t="shared" si="128"/>
        <v>1</v>
      </c>
      <c r="BA257" s="3">
        <f>IF(ISERROR(LEN(VLOOKUP(A257,Seqs!A:E,2,FALSE))-AL257),"-",LEN(VLOOKUP(A257,Seqs!A:E,2,FALSE))-AL257)</f>
        <v>11</v>
      </c>
      <c r="BB257" s="16">
        <f t="shared" si="129"/>
        <v>28</v>
      </c>
      <c r="BC257" s="9">
        <f t="shared" si="130"/>
        <v>21</v>
      </c>
      <c r="BD257" s="3">
        <f t="shared" si="131"/>
        <v>28</v>
      </c>
      <c r="BE257" s="3">
        <f t="shared" si="132"/>
        <v>50</v>
      </c>
      <c r="BF257" s="3">
        <f t="shared" si="148"/>
        <v>44</v>
      </c>
    </row>
    <row r="258" spans="1:58" s="3" customFormat="1" x14ac:dyDescent="0.2">
      <c r="A258" s="3" t="s">
        <v>174</v>
      </c>
      <c r="B258" s="3" t="str">
        <f>LOWER(VLOOKUP(A258,Xtal_Templ!A:B,2,FALSE))</f>
        <v>ccr9_human</v>
      </c>
      <c r="C258" s="3">
        <f>VLOOKUP($A258,'SegEnds_NonXtal_BW#'!$A:$Z,3,FALSE)+D258-50</f>
        <v>41</v>
      </c>
      <c r="D258" s="3">
        <v>64</v>
      </c>
      <c r="E258" s="3">
        <f>IF(ISERROR(VLOOKUP($A258,'SegEnds_NonXtal_BW#'!$A:$Z,4,FALSE)+VLOOKUP($A258,A:AL,4,FALSE)-50),"-",(VLOOKUP($A258,'SegEnds_NonXtal_BW#'!$A:$Z,4,FALSE)+VLOOKUP($A258,A:AL,4,FALSE)-50))</f>
        <v>74</v>
      </c>
      <c r="F258" s="3">
        <f t="shared" si="146"/>
        <v>75</v>
      </c>
      <c r="G258" s="3">
        <v>77</v>
      </c>
      <c r="H258" s="3">
        <f t="shared" si="147"/>
        <v>78</v>
      </c>
      <c r="I258" s="3">
        <f t="shared" si="147"/>
        <v>79</v>
      </c>
      <c r="J258" s="3">
        <v>92</v>
      </c>
      <c r="K258" s="3">
        <f>VLOOKUP($A258,'SegEnds_NonXtal_BW#'!$A:$Z,8,FALSE)+VLOOKUP($A258,A:AL,10,FALSE)-50</f>
        <v>108</v>
      </c>
      <c r="L258" s="3">
        <f t="shared" si="149"/>
        <v>110</v>
      </c>
      <c r="M258" s="3">
        <v>111</v>
      </c>
      <c r="N258" s="3">
        <f t="shared" si="150"/>
        <v>113</v>
      </c>
      <c r="O258" s="3">
        <f t="shared" si="151"/>
        <v>114</v>
      </c>
      <c r="P258" s="3">
        <v>143</v>
      </c>
      <c r="Q258" s="3">
        <f>VLOOKUP($A258,'SegEnds_NonXtal_BW#'!$A:$Z,12,FALSE)+VLOOKUP($A258,A:AL,16,FALSE)-50</f>
        <v>149</v>
      </c>
      <c r="R258" s="3">
        <f>IF(ISERROR(VLOOKUP($A258,'SegEnds_NonXtal_BW#'!$A:$Z,13,FALSE)+VLOOKUP($A258,A:AL,19,FALSE)-50),"-",VLOOKUP($A258,'SegEnds_NonXtal_BW#'!$A:$Z,13,FALSE)+VLOOKUP($A258,A:AL,19,FALSE)-50)</f>
        <v>150</v>
      </c>
      <c r="S258" s="3">
        <v>150</v>
      </c>
      <c r="T258" s="100">
        <f>IF(ISERROR(VLOOKUP($A258,'SegEnds_NonXtal_BW#'!$A:$Z,14,FALSE)+VLOOKUP($A258,A:AL,19,FALSE)-50),"-",(VLOOKUP($A258,'SegEnds_NonXtal_BW#'!$A:$Z,14,FALSE)+VLOOKUP($A258,A:AL,19,FALSE)-50))</f>
        <v>158</v>
      </c>
      <c r="U258" s="9">
        <f>IF(ISERROR(VLOOKUP($A258,'SegEnds_NonXtal_BW#'!$A:$Z,15,FALSE)+VLOOKUP($A258,A:AL,22,FALSE)-50),"-",VLOOKUP($A258,'SegEnds_NonXtal_BW#'!$A:$Z,15,FALSE)+VLOOKUP($A258,A:AL,22,FALSE)-50)</f>
        <v>160</v>
      </c>
      <c r="V258" s="3">
        <v>172</v>
      </c>
      <c r="W258" s="3">
        <f>IF(ISERROR(VLOOKUP($A258,'SegEnds_NonXtal_BW#'!$A:$Z,16,FALSE)+VLOOKUP($A258,A:AL,22,FALSE)-50),"-",(VLOOKUP($A258,'SegEnds_NonXtal_BW#'!$A:$Z,16,FALSE)+VLOOKUP($A258,A:AL,22,FALSE)-50))</f>
        <v>186</v>
      </c>
      <c r="X258" s="3">
        <f>IF(ISERROR(VLOOKUP($A258,'SegEnds_NonXtal_BW#'!$A:$Z,17,FALSE)+VLOOKUP($A258,A:AL,25,FALSE)-50),"-",(VLOOKUP($A258,'SegEnds_NonXtal_BW#'!$A:$Z,17,FALSE)+VLOOKUP($A258,A:AL,25,FALSE)-50))</f>
        <v>197</v>
      </c>
      <c r="Y258" s="3">
        <v>197</v>
      </c>
      <c r="Z258" s="3">
        <f t="shared" si="144"/>
        <v>199</v>
      </c>
      <c r="AA258" s="3">
        <f>IF(ISERROR(VLOOKUP($A258,'SegEnds_NonXtal_BW#'!$A:$Z,19,FALSE)+VLOOKUP($A258,A:AL,28,FALSE)-50),"-",(VLOOKUP($A258,'SegEnds_NonXtal_BW#'!$A:$Z,19,FALSE)+VLOOKUP($A258,A:AL,28,FALSE)-50))</f>
        <v>209</v>
      </c>
      <c r="AB258" s="3">
        <v>226</v>
      </c>
      <c r="AC258" s="3">
        <f>IF(ISERROR((VLOOKUP($A258,'SegEnds_NonXtal_BW#'!$A:$Z,20,FALSE)+VLOOKUP($A258,A:AL,28,FALSE)-50)),"-",(VLOOKUP($A258,'SegEnds_NonXtal_BW#'!$A:$Z,20,FALSE)+VLOOKUP($A258,A:AL,28,FALSE)-50))</f>
        <v>244</v>
      </c>
      <c r="AD258" s="3">
        <f>IF(ISERROR(VLOOKUP($A258,'SegEnds_NonXtal_BW#'!$A:$Z,21,FALSE)+VLOOKUP($A258,A:AL,31,FALSE)-50),"-",(VLOOKUP($A258,'SegEnds_NonXtal_BW#'!$A:$Z,21,FALSE)+VLOOKUP($A258,A:AL,31,FALSE)-50))</f>
        <v>249</v>
      </c>
      <c r="AE258" s="3">
        <v>269</v>
      </c>
      <c r="AF258" s="3">
        <f>IF(ISERROR((VLOOKUP($A258,'SegEnds_NonXtal_BW#'!$A:$Z,22,FALSE)+VLOOKUP($A258,A:AL,31,FALSE)-50)),"-",(VLOOKUP($A258,'SegEnds_NonXtal_BW#'!$A:$Z,22,FALSE)+VLOOKUP($A258,A:AL,31,FALSE)-50))</f>
        <v>284</v>
      </c>
      <c r="AG258" s="3">
        <f>IF(ISERROR(VLOOKUP($A258,'SegEnds_NonXtal_BW#'!$A:$Z,23,FALSE)+VLOOKUP($A258,A:AL,34,FALSE)-50),"-",(VLOOKUP($A258,'SegEnds_NonXtal_BW#'!$A:$Z,23,FALSE)+VLOOKUP($A258,A:AL,34,FALSE)-50))</f>
        <v>287</v>
      </c>
      <c r="AH258" s="3">
        <v>313</v>
      </c>
      <c r="AI258" s="3">
        <f>IF(ISERROR((VLOOKUP($A258,'SegEnds_NonXtal_BW#'!$A:$Z,24,FALSE)+VLOOKUP($A258,A:AL,34,FALSE)-50)),"-",(VLOOKUP($A258,'SegEnds_NonXtal_BW#'!$A:$Z,24,FALSE)+VLOOKUP($A258,A:AL,34,FALSE)-50))</f>
        <v>319</v>
      </c>
      <c r="AJ258" s="3">
        <f>IF(ISERROR(VLOOKUP($A258,'SegEnds_NonXtal_BW#'!$A:$Z,25,FALSE)+VLOOKUP($A258,A:AL,37,FALSE)-50),"-",(VLOOKUP($A258,'SegEnds_NonXtal_BW#'!$A:$Z,25,FALSE)+VLOOKUP($A258,A:AL,37,FALSE)-50))</f>
        <v>320</v>
      </c>
      <c r="AK258" s="3">
        <v>323</v>
      </c>
      <c r="AL258" s="3">
        <f>IF(ISERROR((VLOOKUP($A258,'SegEnds_NonXtal_BW#'!$A:$Z,26,FALSE)+VLOOKUP($A258,A:AL,37,FALSE)-50)),"-",(VLOOKUP($A258,'SegEnds_NonXtal_BW#'!$A:$Z,26,FALSE)+VLOOKUP($A258,A:AL,37,FALSE)-50))</f>
        <v>340</v>
      </c>
      <c r="AM258" s="28" t="str">
        <f>VLOOKUP(A258,Classification!A:B,2,FALSE)</f>
        <v>A</v>
      </c>
      <c r="AN258" s="28" t="b">
        <f t="shared" si="133"/>
        <v>1</v>
      </c>
      <c r="AO258" s="3" t="str">
        <f>IF(ISERROR(MATCH(A258,'SegEnds_Xtal_Prot#'!B:B, 0)), "NoXtal", "Xtal")</f>
        <v>NoXtal</v>
      </c>
      <c r="AP258" s="3">
        <f t="shared" si="118"/>
        <v>1</v>
      </c>
      <c r="AQ258" s="3">
        <f t="shared" si="119"/>
        <v>1</v>
      </c>
      <c r="AR258" s="3">
        <f t="shared" si="120"/>
        <v>2</v>
      </c>
      <c r="AS258" s="3">
        <f t="shared" si="121"/>
        <v>1</v>
      </c>
      <c r="AT258" s="3">
        <f t="shared" si="122"/>
        <v>1</v>
      </c>
      <c r="AU258" s="3">
        <f t="shared" si="123"/>
        <v>2</v>
      </c>
      <c r="AV258" s="3">
        <f t="shared" si="124"/>
        <v>11</v>
      </c>
      <c r="AW258" s="3">
        <f t="shared" si="125"/>
        <v>10</v>
      </c>
      <c r="AX258" s="3">
        <f t="shared" si="126"/>
        <v>5</v>
      </c>
      <c r="AY258" s="3">
        <f t="shared" si="127"/>
        <v>3</v>
      </c>
      <c r="AZ258" s="3">
        <f t="shared" si="128"/>
        <v>1</v>
      </c>
      <c r="BA258" s="3">
        <f>IF(ISERROR(LEN(VLOOKUP(A258,Seqs!A:E,2,FALSE))-AL258),"-",LEN(VLOOKUP(A258,Seqs!A:E,2,FALSE))-AL258)</f>
        <v>34</v>
      </c>
      <c r="BB258" s="16">
        <f t="shared" si="129"/>
        <v>28</v>
      </c>
      <c r="BC258" s="9">
        <f t="shared" si="130"/>
        <v>22</v>
      </c>
      <c r="BD258" s="3">
        <f t="shared" si="131"/>
        <v>28</v>
      </c>
      <c r="BE258" s="3">
        <f t="shared" si="132"/>
        <v>43</v>
      </c>
    </row>
    <row r="259" spans="1:58" s="3" customFormat="1" x14ac:dyDescent="0.2">
      <c r="A259" s="3" t="s">
        <v>175</v>
      </c>
      <c r="B259" s="3" t="str">
        <f>LOWER(VLOOKUP(A259,Xtal_Templ!A:B,2,FALSE))</f>
        <v>ccr9_human</v>
      </c>
      <c r="C259" s="3">
        <f>VLOOKUP($A259,'SegEnds_NonXtal_BW#'!$A:$Z,3,FALSE)+D259-50</f>
        <v>53</v>
      </c>
      <c r="D259" s="3">
        <v>76</v>
      </c>
      <c r="E259" s="3">
        <f>IF(ISERROR(VLOOKUP($A259,'SegEnds_NonXtal_BW#'!$A:$Z,4,FALSE)+VLOOKUP($A259,A:AL,4,FALSE)-50),"-",(VLOOKUP($A259,'SegEnds_NonXtal_BW#'!$A:$Z,4,FALSE)+VLOOKUP($A259,A:AL,4,FALSE)-50))</f>
        <v>86</v>
      </c>
      <c r="F259" s="3">
        <f t="shared" si="146"/>
        <v>87</v>
      </c>
      <c r="G259" s="3">
        <v>89</v>
      </c>
      <c r="H259" s="3">
        <f t="shared" si="147"/>
        <v>90</v>
      </c>
      <c r="I259" s="3">
        <f t="shared" si="147"/>
        <v>91</v>
      </c>
      <c r="J259" s="3">
        <v>104</v>
      </c>
      <c r="K259" s="3">
        <f>VLOOKUP($A259,'SegEnds_NonXtal_BW#'!$A:$Z,8,FALSE)+VLOOKUP($A259,A:AL,10,FALSE)-50</f>
        <v>120</v>
      </c>
      <c r="L259" s="3">
        <f t="shared" si="149"/>
        <v>121</v>
      </c>
      <c r="M259" s="3">
        <v>122</v>
      </c>
      <c r="N259" s="3">
        <f t="shared" si="150"/>
        <v>124</v>
      </c>
      <c r="O259" s="3">
        <f t="shared" si="151"/>
        <v>125</v>
      </c>
      <c r="P259" s="3">
        <v>154</v>
      </c>
      <c r="Q259" s="3">
        <f>VLOOKUP($A259,'SegEnds_NonXtal_BW#'!$A:$Z,12,FALSE)+VLOOKUP($A259,A:AL,16,FALSE)-50</f>
        <v>160</v>
      </c>
      <c r="R259" s="3">
        <f>IF(ISERROR(VLOOKUP($A259,'SegEnds_NonXtal_BW#'!$A:$Z,13,FALSE)+VLOOKUP($A259,A:AL,19,FALSE)-50),"-",VLOOKUP($A259,'SegEnds_NonXtal_BW#'!$A:$Z,13,FALSE)+VLOOKUP($A259,A:AL,19,FALSE)-50)</f>
        <v>161</v>
      </c>
      <c r="S259" s="3">
        <v>161</v>
      </c>
      <c r="T259" s="100">
        <f>IF(ISERROR(VLOOKUP($A259,'SegEnds_NonXtal_BW#'!$A:$Z,14,FALSE)+VLOOKUP($A259,A:AL,19,FALSE)-50),"-",(VLOOKUP($A259,'SegEnds_NonXtal_BW#'!$A:$Z,14,FALSE)+VLOOKUP($A259,A:AL,19,FALSE)-50))</f>
        <v>169</v>
      </c>
      <c r="U259" s="9">
        <f>IF(ISERROR(VLOOKUP($A259,'SegEnds_NonXtal_BW#'!$A:$Z,15,FALSE)+VLOOKUP($A259,A:AL,22,FALSE)-50),"-",VLOOKUP($A259,'SegEnds_NonXtal_BW#'!$A:$Z,15,FALSE)+VLOOKUP($A259,A:AL,22,FALSE)-50)</f>
        <v>171</v>
      </c>
      <c r="V259" s="3">
        <v>183</v>
      </c>
      <c r="W259" s="3">
        <f>IF(ISERROR(VLOOKUP($A259,'SegEnds_NonXtal_BW#'!$A:$Z,16,FALSE)+VLOOKUP($A259,A:AL,22,FALSE)-50),"-",(VLOOKUP($A259,'SegEnds_NonXtal_BW#'!$A:$Z,16,FALSE)+VLOOKUP($A259,A:AL,22,FALSE)-50))</f>
        <v>197</v>
      </c>
      <c r="X259" s="3">
        <f>IF(ISERROR(VLOOKUP($A259,'SegEnds_NonXtal_BW#'!$A:$Z,17,FALSE)+VLOOKUP($A259,A:AL,25,FALSE)-50),"-",(VLOOKUP($A259,'SegEnds_NonXtal_BW#'!$A:$Z,17,FALSE)+VLOOKUP($A259,A:AL,25,FALSE)-50))</f>
        <v>210</v>
      </c>
      <c r="Y259" s="3">
        <v>210</v>
      </c>
      <c r="Z259" s="3">
        <f t="shared" si="144"/>
        <v>212</v>
      </c>
      <c r="AA259" s="3">
        <f>IF(ISERROR(VLOOKUP($A259,'SegEnds_NonXtal_BW#'!$A:$Z,19,FALSE)+VLOOKUP($A259,A:AL,28,FALSE)-50),"-",(VLOOKUP($A259,'SegEnds_NonXtal_BW#'!$A:$Z,19,FALSE)+VLOOKUP($A259,A:AL,28,FALSE)-50))</f>
        <v>218</v>
      </c>
      <c r="AB259" s="3">
        <v>235</v>
      </c>
      <c r="AC259" s="3">
        <f>IF(ISERROR((VLOOKUP($A259,'SegEnds_NonXtal_BW#'!$A:$Z,20,FALSE)+VLOOKUP($A259,A:AL,28,FALSE)-50)),"-",(VLOOKUP($A259,'SegEnds_NonXtal_BW#'!$A:$Z,20,FALSE)+VLOOKUP($A259,A:AL,28,FALSE)-50))</f>
        <v>253</v>
      </c>
      <c r="AD259" s="3">
        <f>IF(ISERROR(VLOOKUP($A259,'SegEnds_NonXtal_BW#'!$A:$Z,21,FALSE)+VLOOKUP($A259,A:AL,31,FALSE)-50),"-",(VLOOKUP($A259,'SegEnds_NonXtal_BW#'!$A:$Z,21,FALSE)+VLOOKUP($A259,A:AL,31,FALSE)-50))</f>
        <v>258</v>
      </c>
      <c r="AE259" s="3">
        <v>278</v>
      </c>
      <c r="AF259" s="3">
        <f>IF(ISERROR((VLOOKUP($A259,'SegEnds_NonXtal_BW#'!$A:$Z,22,FALSE)+VLOOKUP($A259,A:AL,31,FALSE)-50)),"-",(VLOOKUP($A259,'SegEnds_NonXtal_BW#'!$A:$Z,22,FALSE)+VLOOKUP($A259,A:AL,31,FALSE)-50))</f>
        <v>293</v>
      </c>
      <c r="AG259" s="3">
        <f>IF(ISERROR(VLOOKUP($A259,'SegEnds_NonXtal_BW#'!$A:$Z,23,FALSE)+VLOOKUP($A259,A:AL,34,FALSE)-50),"-",(VLOOKUP($A259,'SegEnds_NonXtal_BW#'!$A:$Z,23,FALSE)+VLOOKUP($A259,A:AL,34,FALSE)-50))</f>
        <v>297</v>
      </c>
      <c r="AH259" s="3">
        <v>323</v>
      </c>
      <c r="AI259" s="3">
        <f>IF(ISERROR((VLOOKUP($A259,'SegEnds_NonXtal_BW#'!$A:$Z,24,FALSE)+VLOOKUP($A259,A:AL,34,FALSE)-50)),"-",(VLOOKUP($A259,'SegEnds_NonXtal_BW#'!$A:$Z,24,FALSE)+VLOOKUP($A259,A:AL,34,FALSE)-50))</f>
        <v>329</v>
      </c>
      <c r="AJ259" s="3">
        <f>IF(ISERROR(VLOOKUP($A259,'SegEnds_NonXtal_BW#'!$A:$Z,25,FALSE)+VLOOKUP($A259,A:AL,37,FALSE)-50),"-",(VLOOKUP($A259,'SegEnds_NonXtal_BW#'!$A:$Z,25,FALSE)+VLOOKUP($A259,A:AL,37,FALSE)-50))</f>
        <v>330</v>
      </c>
      <c r="AK259" s="3">
        <v>333</v>
      </c>
      <c r="AL259" s="3">
        <f>IF(ISERROR((VLOOKUP($A259,'SegEnds_NonXtal_BW#'!$A:$Z,26,FALSE)+VLOOKUP($A259,A:AL,37,FALSE)-50)),"-",(VLOOKUP($A259,'SegEnds_NonXtal_BW#'!$A:$Z,26,FALSE)+VLOOKUP($A259,A:AL,37,FALSE)-50))</f>
        <v>350</v>
      </c>
      <c r="AM259" s="28" t="str">
        <f>VLOOKUP(A259,Classification!A:B,2,FALSE)</f>
        <v>A</v>
      </c>
      <c r="AN259" s="28" t="b">
        <f t="shared" si="133"/>
        <v>1</v>
      </c>
      <c r="AO259" s="3" t="str">
        <f>IF(ISERROR(MATCH(A259,'SegEnds_Xtal_Prot#'!B:B, 0)), "NoXtal", "Xtal")</f>
        <v>NoXtal</v>
      </c>
      <c r="AP259" s="3">
        <f t="shared" si="118"/>
        <v>1</v>
      </c>
      <c r="AQ259" s="3">
        <f t="shared" si="119"/>
        <v>1</v>
      </c>
      <c r="AR259" s="3">
        <f t="shared" si="120"/>
        <v>1</v>
      </c>
      <c r="AS259" s="3">
        <f t="shared" si="121"/>
        <v>1</v>
      </c>
      <c r="AT259" s="3">
        <f t="shared" si="122"/>
        <v>1</v>
      </c>
      <c r="AU259" s="3">
        <f t="shared" si="123"/>
        <v>2</v>
      </c>
      <c r="AV259" s="3">
        <f t="shared" si="124"/>
        <v>13</v>
      </c>
      <c r="AW259" s="3">
        <f t="shared" si="125"/>
        <v>6</v>
      </c>
      <c r="AX259" s="3">
        <f t="shared" si="126"/>
        <v>5</v>
      </c>
      <c r="AY259" s="3">
        <f t="shared" si="127"/>
        <v>4</v>
      </c>
      <c r="AZ259" s="3">
        <f t="shared" si="128"/>
        <v>1</v>
      </c>
      <c r="BA259" s="3">
        <f>IF(ISERROR(LEN(VLOOKUP(A259,Seqs!A:E,2,FALSE))-AL259),"-",LEN(VLOOKUP(A259,Seqs!A:E,2,FALSE))-AL259)</f>
        <v>28</v>
      </c>
      <c r="BB259" s="16">
        <f t="shared" si="129"/>
        <v>28</v>
      </c>
      <c r="BC259" s="9">
        <f t="shared" si="130"/>
        <v>22</v>
      </c>
      <c r="BD259" s="3">
        <f t="shared" si="131"/>
        <v>28</v>
      </c>
      <c r="BE259" s="3">
        <f t="shared" si="132"/>
        <v>43</v>
      </c>
    </row>
    <row r="260" spans="1:58" s="3" customFormat="1" x14ac:dyDescent="0.2">
      <c r="A260" s="3" t="s">
        <v>177</v>
      </c>
      <c r="B260" s="3" t="str">
        <f>LOWER(VLOOKUP(A260,Xtal_Templ!A:B,2,FALSE))</f>
        <v>ccr9_human</v>
      </c>
      <c r="C260" s="3">
        <f>VLOOKUP($A260,'SegEnds_NonXtal_BW#'!$A:$Z,3,FALSE)+D260-50</f>
        <v>43</v>
      </c>
      <c r="D260" s="3">
        <v>66</v>
      </c>
      <c r="E260" s="3">
        <f>IF(ISERROR(VLOOKUP($A260,'SegEnds_NonXtal_BW#'!$A:$Z,4,FALSE)+VLOOKUP($A260,A:AL,4,FALSE)-50),"-",(VLOOKUP($A260,'SegEnds_NonXtal_BW#'!$A:$Z,4,FALSE)+VLOOKUP($A260,A:AL,4,FALSE)-50))</f>
        <v>76</v>
      </c>
      <c r="F260" s="3">
        <f t="shared" si="146"/>
        <v>77</v>
      </c>
      <c r="G260" s="3">
        <v>79</v>
      </c>
      <c r="H260" s="3">
        <f t="shared" si="147"/>
        <v>80</v>
      </c>
      <c r="I260" s="3">
        <f t="shared" si="147"/>
        <v>81</v>
      </c>
      <c r="J260" s="3">
        <v>94</v>
      </c>
      <c r="K260" s="3">
        <f>VLOOKUP($A260,'SegEnds_NonXtal_BW#'!$A:$Z,8,FALSE)+VLOOKUP($A260,A:AL,10,FALSE)-50</f>
        <v>110</v>
      </c>
      <c r="L260" s="3">
        <f t="shared" si="149"/>
        <v>111</v>
      </c>
      <c r="M260" s="3">
        <v>112</v>
      </c>
      <c r="N260" s="3">
        <f t="shared" si="150"/>
        <v>114</v>
      </c>
      <c r="O260" s="3">
        <f t="shared" si="151"/>
        <v>115</v>
      </c>
      <c r="P260" s="3">
        <v>144</v>
      </c>
      <c r="Q260" s="3">
        <f>VLOOKUP($A260,'SegEnds_NonXtal_BW#'!$A:$Z,12,FALSE)+VLOOKUP($A260,A:AL,16,FALSE)-50</f>
        <v>150</v>
      </c>
      <c r="R260" s="3">
        <f>IF(ISERROR(VLOOKUP($A260,'SegEnds_NonXtal_BW#'!$A:$Z,13,FALSE)+VLOOKUP($A260,A:AL,19,FALSE)-50),"-",VLOOKUP($A260,'SegEnds_NonXtal_BW#'!$A:$Z,13,FALSE)+VLOOKUP($A260,A:AL,19,FALSE)-50)</f>
        <v>151</v>
      </c>
      <c r="S260" s="3">
        <v>151</v>
      </c>
      <c r="T260" s="100">
        <f>IF(ISERROR(VLOOKUP($A260,'SegEnds_NonXtal_BW#'!$A:$Z,14,FALSE)+VLOOKUP($A260,A:AL,19,FALSE)-50),"-",(VLOOKUP($A260,'SegEnds_NonXtal_BW#'!$A:$Z,14,FALSE)+VLOOKUP($A260,A:AL,19,FALSE)-50))</f>
        <v>157</v>
      </c>
      <c r="U260" s="9">
        <f>IF(ISERROR(VLOOKUP($A260,'SegEnds_NonXtal_BW#'!$A:$Z,15,FALSE)+VLOOKUP($A260,A:AL,22,FALSE)-50),"-",VLOOKUP($A260,'SegEnds_NonXtal_BW#'!$A:$Z,15,FALSE)+VLOOKUP($A260,A:AL,22,FALSE)-50)</f>
        <v>158</v>
      </c>
      <c r="V260" s="3">
        <v>173</v>
      </c>
      <c r="W260" s="3">
        <f>IF(ISERROR(VLOOKUP($A260,'SegEnds_NonXtal_BW#'!$A:$Z,16,FALSE)+VLOOKUP($A260,A:AL,22,FALSE)-50),"-",(VLOOKUP($A260,'SegEnds_NonXtal_BW#'!$A:$Z,16,FALSE)+VLOOKUP($A260,A:AL,22,FALSE)-50))</f>
        <v>187</v>
      </c>
      <c r="X260" s="3">
        <f>IF(ISERROR(VLOOKUP($A260,'SegEnds_NonXtal_BW#'!$A:$Z,17,FALSE)+VLOOKUP($A260,A:AL,25,FALSE)-50),"-",(VLOOKUP($A260,'SegEnds_NonXtal_BW#'!$A:$Z,17,FALSE)+VLOOKUP($A260,A:AL,25,FALSE)-50))</f>
        <v>198</v>
      </c>
      <c r="Y260" s="3">
        <v>198</v>
      </c>
      <c r="Z260" s="3">
        <f t="shared" si="144"/>
        <v>200</v>
      </c>
      <c r="AA260" s="3">
        <f>IF(ISERROR(VLOOKUP($A260,'SegEnds_NonXtal_BW#'!$A:$Z,19,FALSE)+VLOOKUP($A260,A:AL,28,FALSE)-50),"-",(VLOOKUP($A260,'SegEnds_NonXtal_BW#'!$A:$Z,19,FALSE)+VLOOKUP($A260,A:AL,28,FALSE)-50))</f>
        <v>209</v>
      </c>
      <c r="AB260" s="3">
        <v>226</v>
      </c>
      <c r="AC260" s="3">
        <f>IF(ISERROR((VLOOKUP($A260,'SegEnds_NonXtal_BW#'!$A:$Z,20,FALSE)+VLOOKUP($A260,A:AL,28,FALSE)-50)),"-",(VLOOKUP($A260,'SegEnds_NonXtal_BW#'!$A:$Z,20,FALSE)+VLOOKUP($A260,A:AL,28,FALSE)-50))</f>
        <v>244</v>
      </c>
      <c r="AD260" s="3">
        <f>IF(ISERROR(VLOOKUP($A260,'SegEnds_NonXtal_BW#'!$A:$Z,21,FALSE)+VLOOKUP($A260,A:AL,31,FALSE)-50),"-",(VLOOKUP($A260,'SegEnds_NonXtal_BW#'!$A:$Z,21,FALSE)+VLOOKUP($A260,A:AL,31,FALSE)-50))</f>
        <v>249</v>
      </c>
      <c r="AE260" s="3">
        <v>269</v>
      </c>
      <c r="AF260" s="3">
        <f>IF(ISERROR((VLOOKUP($A260,'SegEnds_NonXtal_BW#'!$A:$Z,22,FALSE)+VLOOKUP($A260,A:AL,31,FALSE)-50)),"-",(VLOOKUP($A260,'SegEnds_NonXtal_BW#'!$A:$Z,22,FALSE)+VLOOKUP($A260,A:AL,31,FALSE)-50))</f>
        <v>284</v>
      </c>
      <c r="AG260" s="3">
        <f>IF(ISERROR(VLOOKUP($A260,'SegEnds_NonXtal_BW#'!$A:$Z,23,FALSE)+VLOOKUP($A260,A:AL,34,FALSE)-50),"-",(VLOOKUP($A260,'SegEnds_NonXtal_BW#'!$A:$Z,23,FALSE)+VLOOKUP($A260,A:AL,34,FALSE)-50))</f>
        <v>288</v>
      </c>
      <c r="AH260" s="3">
        <v>314</v>
      </c>
      <c r="AI260" s="3">
        <f>IF(ISERROR((VLOOKUP($A260,'SegEnds_NonXtal_BW#'!$A:$Z,24,FALSE)+VLOOKUP($A260,A:AL,34,FALSE)-50)),"-",(VLOOKUP($A260,'SegEnds_NonXtal_BW#'!$A:$Z,24,FALSE)+VLOOKUP($A260,A:AL,34,FALSE)-50))</f>
        <v>320</v>
      </c>
      <c r="AJ260" s="3">
        <f>IF(ISERROR(VLOOKUP($A260,'SegEnds_NonXtal_BW#'!$A:$Z,25,FALSE)+VLOOKUP($A260,A:AL,37,FALSE)-50),"-",(VLOOKUP($A260,'SegEnds_NonXtal_BW#'!$A:$Z,25,FALSE)+VLOOKUP($A260,A:AL,37,FALSE)-50))</f>
        <v>321</v>
      </c>
      <c r="AK260" s="3">
        <v>324</v>
      </c>
      <c r="AL260" s="3">
        <f>IF(ISERROR((VLOOKUP($A260,'SegEnds_NonXtal_BW#'!$A:$Z,26,FALSE)+VLOOKUP($A260,A:AL,37,FALSE)-50)),"-",(VLOOKUP($A260,'SegEnds_NonXtal_BW#'!$A:$Z,26,FALSE)+VLOOKUP($A260,A:AL,37,FALSE)-50))</f>
        <v>341</v>
      </c>
      <c r="AM260" s="28" t="str">
        <f>VLOOKUP(A260,Classification!A:B,2,FALSE)</f>
        <v>A</v>
      </c>
      <c r="AN260" s="28" t="b">
        <f t="shared" si="133"/>
        <v>1</v>
      </c>
      <c r="AO260" s="3" t="str">
        <f>IF(ISERROR(MATCH(A260,'SegEnds_Xtal_Prot#'!B:B, 0)), "NoXtal", "Xtal")</f>
        <v>Xtal</v>
      </c>
      <c r="AP260" s="3">
        <f t="shared" ref="AP260:AP324" si="152">IF(ISERROR(F260-E260),"-",F260-E260)</f>
        <v>1</v>
      </c>
      <c r="AQ260" s="3">
        <f t="shared" ref="AQ260:AQ324" si="153">IF(ISERROR(I260-H260),"-",I260-H260)</f>
        <v>1</v>
      </c>
      <c r="AR260" s="3">
        <f t="shared" ref="AR260:AR324" si="154">IF(ISERROR(L260-K260),"-",L260-K260)</f>
        <v>1</v>
      </c>
      <c r="AS260" s="3">
        <f t="shared" ref="AS260:AS324" si="155">IF(ISERROR(O260-N260),"-",O260-N260)</f>
        <v>1</v>
      </c>
      <c r="AT260" s="3">
        <f t="shared" ref="AT260:AT324" si="156">IF(ISERROR(R260-Q260),"-",R260-Q260)</f>
        <v>1</v>
      </c>
      <c r="AU260" s="3">
        <f t="shared" ref="AU260:AU324" si="157">IF(ISERROR(U260-T260),"-",U260-T260)</f>
        <v>1</v>
      </c>
      <c r="AV260" s="3">
        <f t="shared" ref="AV260:AV324" si="158">IF(ISERROR(X260-W260),"-",X260-W260)</f>
        <v>11</v>
      </c>
      <c r="AW260" s="3">
        <f t="shared" ref="AW260:AW324" si="159">IF(ISERROR(AA260-Z260),"-",AA260-Z260)</f>
        <v>9</v>
      </c>
      <c r="AX260" s="3">
        <f t="shared" ref="AX260:AX324" si="160">IF(ISERROR(AD260-AC260),"-",AD260-AC260)</f>
        <v>5</v>
      </c>
      <c r="AY260" s="3">
        <f t="shared" ref="AY260:AY324" si="161">IF(ISERROR(AG260-AF260),"-",AG260-AF260)</f>
        <v>4</v>
      </c>
      <c r="AZ260" s="3">
        <f t="shared" ref="AZ260:AZ324" si="162">IF(ISERROR(AJ260-AI260),"-",AJ260-AI260)</f>
        <v>1</v>
      </c>
      <c r="BA260" s="3">
        <f>IF(ISERROR(LEN(VLOOKUP(A260,Seqs!A:E,2,FALSE))-AL260),"-",LEN(VLOOKUP(A260,Seqs!A:E,2,FALSE))-AL260)</f>
        <v>28</v>
      </c>
      <c r="BB260" s="16">
        <f t="shared" ref="BB260:BB324" si="163">J260-D260</f>
        <v>28</v>
      </c>
      <c r="BC260" s="9">
        <f t="shared" ref="BC260:BC324" si="164">IF(ISERROR(V260-S260),"-",V260-S260)</f>
        <v>22</v>
      </c>
      <c r="BD260" s="3">
        <f t="shared" ref="BD260:BD324" si="165">J260-D260</f>
        <v>28</v>
      </c>
      <c r="BE260" s="3">
        <f t="shared" ref="BE260:BE324" si="166">AE260-AB260</f>
        <v>43</v>
      </c>
    </row>
    <row r="261" spans="1:58" s="3" customFormat="1" x14ac:dyDescent="0.2">
      <c r="A261" s="3" t="s">
        <v>189</v>
      </c>
      <c r="B261" s="3" t="str">
        <f>LOWER(VLOOKUP(A261,Xtal_Templ!A:B,2,FALSE))</f>
        <v>ccr9_human</v>
      </c>
      <c r="C261" s="3">
        <f>VLOOKUP($A261,'SegEnds_NonXtal_BW#'!$A:$Z,3,FALSE)+D261-50</f>
        <v>26</v>
      </c>
      <c r="D261" s="3">
        <v>49</v>
      </c>
      <c r="E261" s="3">
        <f>IF(ISERROR(VLOOKUP($A261,'SegEnds_NonXtal_BW#'!$A:$Z,4,FALSE)+VLOOKUP($A261,A:AL,4,FALSE)-50),"-",(VLOOKUP($A261,'SegEnds_NonXtal_BW#'!$A:$Z,4,FALSE)+VLOOKUP($A261,A:AL,4,FALSE)-50))</f>
        <v>59</v>
      </c>
      <c r="F261" s="3">
        <f t="shared" si="146"/>
        <v>60</v>
      </c>
      <c r="G261" s="3">
        <v>62</v>
      </c>
      <c r="H261" s="3">
        <f t="shared" si="147"/>
        <v>63</v>
      </c>
      <c r="I261" s="3">
        <f t="shared" si="147"/>
        <v>64</v>
      </c>
      <c r="J261" s="3">
        <v>77</v>
      </c>
      <c r="K261" s="3">
        <f>VLOOKUP($A261,'SegEnds_NonXtal_BW#'!$A:$Z,8,FALSE)+VLOOKUP($A261,A:AL,10,FALSE)-50</f>
        <v>93</v>
      </c>
      <c r="L261" s="3">
        <f t="shared" si="149"/>
        <v>94</v>
      </c>
      <c r="M261" s="3">
        <v>95</v>
      </c>
      <c r="N261" s="3">
        <f t="shared" si="150"/>
        <v>97</v>
      </c>
      <c r="O261" s="3">
        <f t="shared" si="151"/>
        <v>98</v>
      </c>
      <c r="P261" s="3">
        <v>127</v>
      </c>
      <c r="Q261" s="3">
        <f>VLOOKUP($A261,'SegEnds_NonXtal_BW#'!$A:$Z,12,FALSE)+VLOOKUP($A261,A:AL,16,FALSE)-50</f>
        <v>133</v>
      </c>
      <c r="R261" s="3">
        <f>IF(ISERROR(VLOOKUP($A261,'SegEnds_NonXtal_BW#'!$A:$Z,13,FALSE)+VLOOKUP($A261,A:AL,19,FALSE)-50),"-",VLOOKUP($A261,'SegEnds_NonXtal_BW#'!$A:$Z,13,FALSE)+VLOOKUP($A261,A:AL,19,FALSE)-50)</f>
        <v>134</v>
      </c>
      <c r="S261" s="3">
        <v>134</v>
      </c>
      <c r="T261" s="100">
        <f>IF(ISERROR(VLOOKUP($A261,'SegEnds_NonXtal_BW#'!$A:$Z,14,FALSE)+VLOOKUP($A261,A:AL,19,FALSE)-50),"-",(VLOOKUP($A261,'SegEnds_NonXtal_BW#'!$A:$Z,14,FALSE)+VLOOKUP($A261,A:AL,19,FALSE)-50))</f>
        <v>142</v>
      </c>
      <c r="U261" s="9">
        <f>IF(ISERROR(VLOOKUP($A261,'SegEnds_NonXtal_BW#'!$A:$Z,15,FALSE)+VLOOKUP($A261,A:AL,22,FALSE)-50),"-",VLOOKUP($A261,'SegEnds_NonXtal_BW#'!$A:$Z,15,FALSE)+VLOOKUP($A261,A:AL,22,FALSE)-50)</f>
        <v>144</v>
      </c>
      <c r="V261" s="3">
        <v>156</v>
      </c>
      <c r="W261" s="3">
        <f>IF(ISERROR(VLOOKUP($A261,'SegEnds_NonXtal_BW#'!$A:$Z,16,FALSE)+VLOOKUP($A261,A:AL,22,FALSE)-50),"-",(VLOOKUP($A261,'SegEnds_NonXtal_BW#'!$A:$Z,16,FALSE)+VLOOKUP($A261,A:AL,22,FALSE)-50))</f>
        <v>170</v>
      </c>
      <c r="X261" s="3">
        <f>IF(ISERROR(VLOOKUP($A261,'SegEnds_NonXtal_BW#'!$A:$Z,17,FALSE)+VLOOKUP($A261,A:AL,25,FALSE)-50),"-",(VLOOKUP($A261,'SegEnds_NonXtal_BW#'!$A:$Z,17,FALSE)+VLOOKUP($A261,A:AL,25,FALSE)-50))</f>
        <v>180</v>
      </c>
      <c r="Y261" s="3">
        <v>180</v>
      </c>
      <c r="Z261" s="3">
        <f t="shared" si="144"/>
        <v>182</v>
      </c>
      <c r="AA261" s="3">
        <f>IF(ISERROR(VLOOKUP($A261,'SegEnds_NonXtal_BW#'!$A:$Z,19,FALSE)+VLOOKUP($A261,A:AL,28,FALSE)-50),"-",(VLOOKUP($A261,'SegEnds_NonXtal_BW#'!$A:$Z,19,FALSE)+VLOOKUP($A261,A:AL,28,FALSE)-50))</f>
        <v>186</v>
      </c>
      <c r="AB261" s="3">
        <v>203</v>
      </c>
      <c r="AC261" s="3">
        <f>IF(ISERROR((VLOOKUP($A261,'SegEnds_NonXtal_BW#'!$A:$Z,20,FALSE)+VLOOKUP($A261,A:AL,28,FALSE)-50)),"-",(VLOOKUP($A261,'SegEnds_NonXtal_BW#'!$A:$Z,20,FALSE)+VLOOKUP($A261,A:AL,28,FALSE)-50))</f>
        <v>221</v>
      </c>
      <c r="AD261" s="3">
        <f>IF(ISERROR(VLOOKUP($A261,'SegEnds_NonXtal_BW#'!$A:$Z,21,FALSE)+VLOOKUP($A261,A:AL,31,FALSE)-50),"-",(VLOOKUP($A261,'SegEnds_NonXtal_BW#'!$A:$Z,21,FALSE)+VLOOKUP($A261,A:AL,31,FALSE)-50))</f>
        <v>226</v>
      </c>
      <c r="AE261" s="3">
        <v>246</v>
      </c>
      <c r="AF261" s="3">
        <f>IF(ISERROR((VLOOKUP($A261,'SegEnds_NonXtal_BW#'!$A:$Z,22,FALSE)+VLOOKUP($A261,A:AL,31,FALSE)-50)),"-",(VLOOKUP($A261,'SegEnds_NonXtal_BW#'!$A:$Z,22,FALSE)+VLOOKUP($A261,A:AL,31,FALSE)-50))</f>
        <v>257</v>
      </c>
      <c r="AG261" s="3">
        <f>IF(ISERROR(VLOOKUP($A261,'SegEnds_NonXtal_BW#'!$A:$Z,23,FALSE)+VLOOKUP($A261,A:AL,34,FALSE)-50),"-",(VLOOKUP($A261,'SegEnds_NonXtal_BW#'!$A:$Z,23,FALSE)+VLOOKUP($A261,A:AL,34,FALSE)-50))</f>
        <v>263</v>
      </c>
      <c r="AH261" s="3">
        <v>285</v>
      </c>
      <c r="AI261" s="3">
        <f>IF(ISERROR((VLOOKUP($A261,'SegEnds_NonXtal_BW#'!$A:$Z,24,FALSE)+VLOOKUP($A261,A:AL,34,FALSE)-50)),"-",(VLOOKUP($A261,'SegEnds_NonXtal_BW#'!$A:$Z,24,FALSE)+VLOOKUP($A261,A:AL,34,FALSE)-50))</f>
        <v>291</v>
      </c>
      <c r="AJ261" s="3">
        <f>IF(ISERROR(VLOOKUP($A261,'SegEnds_NonXtal_BW#'!$A:$Z,25,FALSE)+VLOOKUP($A261,A:AL,37,FALSE)-50),"-",(VLOOKUP($A261,'SegEnds_NonXtal_BW#'!$A:$Z,25,FALSE)+VLOOKUP($A261,A:AL,37,FALSE)-50))</f>
        <v>292</v>
      </c>
      <c r="AK261" s="3">
        <v>295</v>
      </c>
      <c r="AL261" s="3">
        <f>IF(ISERROR((VLOOKUP($A261,'SegEnds_NonXtal_BW#'!$A:$Z,26,FALSE)+VLOOKUP($A261,A:AL,37,FALSE)-50)),"-",(VLOOKUP($A261,'SegEnds_NonXtal_BW#'!$A:$Z,26,FALSE)+VLOOKUP($A261,A:AL,37,FALSE)-50))</f>
        <v>312</v>
      </c>
      <c r="AM261" s="28" t="str">
        <f>VLOOKUP(A261,Classification!A:B,2,FALSE)</f>
        <v>A</v>
      </c>
      <c r="AN261" s="28" t="b">
        <f t="shared" ref="AN261:AN325" si="167">AND(IF(Y261="-",IF(AA261-W261&gt;3,TRUE,FALSE),TRUE),IF(M261="-",IF(O261-K261&gt;3,TRUE,FALSE),TRUE),IF(AG261-AF261&gt;1,TRUE,FALSE),C261&lt;E261,OR(E261&lt;F261,F261="-"),OR(F261&lt;H261,F261="-"),OR(H261&lt;I261,H261="-"),I261&lt;K261,OR(K261&lt;L261,L261="-"),OR(L261&lt;N261,L261="-"),OR(N261&lt;O261,N261="-"),O261&lt;Q261,OR(Q261&lt;R261,R261="-"),OR(R261&lt;T261,R261="-"),OR(T261&lt;U261,T261="-"),U261&lt;W261,OR(W261&lt;X261,X261="-"),OR(X261&lt;Z261,X261="-"),OR(Z261&lt;AA261,Z261="-"),AA261&lt;AC261,AC261&lt;AD261,AD261&lt;AF261,AF261&lt;AG261,AG261&lt;AI261,OR(AI261&lt;AJ261,AJ261="-"),OR(AJ261&lt;AL261,AJ261="-"))</f>
        <v>1</v>
      </c>
      <c r="AO261" s="3" t="str">
        <f>IF(ISERROR(MATCH(A261,'SegEnds_Xtal_Prot#'!B:B, 0)), "NoXtal", "Xtal")</f>
        <v>NoXtal</v>
      </c>
      <c r="AP261" s="3">
        <f t="shared" si="152"/>
        <v>1</v>
      </c>
      <c r="AQ261" s="3">
        <f t="shared" si="153"/>
        <v>1</v>
      </c>
      <c r="AR261" s="3">
        <f t="shared" si="154"/>
        <v>1</v>
      </c>
      <c r="AS261" s="3">
        <f t="shared" si="155"/>
        <v>1</v>
      </c>
      <c r="AT261" s="3">
        <f t="shared" si="156"/>
        <v>1</v>
      </c>
      <c r="AU261" s="3">
        <f t="shared" si="157"/>
        <v>2</v>
      </c>
      <c r="AV261" s="3">
        <f t="shared" si="158"/>
        <v>10</v>
      </c>
      <c r="AW261" s="3">
        <f t="shared" si="159"/>
        <v>4</v>
      </c>
      <c r="AX261" s="3">
        <f t="shared" si="160"/>
        <v>5</v>
      </c>
      <c r="AY261" s="3">
        <f t="shared" si="161"/>
        <v>6</v>
      </c>
      <c r="AZ261" s="3">
        <f t="shared" si="162"/>
        <v>1</v>
      </c>
      <c r="BA261" s="3">
        <f>IF(ISERROR(LEN(VLOOKUP(A261,Seqs!A:E,2,FALSE))-AL261),"-",LEN(VLOOKUP(A261,Seqs!A:E,2,FALSE))-AL261)</f>
        <v>30</v>
      </c>
      <c r="BB261" s="16">
        <f t="shared" si="163"/>
        <v>28</v>
      </c>
      <c r="BC261" s="9">
        <f t="shared" si="164"/>
        <v>22</v>
      </c>
      <c r="BD261" s="3">
        <f t="shared" si="165"/>
        <v>28</v>
      </c>
      <c r="BE261" s="3">
        <f t="shared" si="166"/>
        <v>43</v>
      </c>
    </row>
    <row r="262" spans="1:58" s="3" customFormat="1" x14ac:dyDescent="0.2">
      <c r="A262" s="3" t="s">
        <v>192</v>
      </c>
      <c r="B262" s="3" t="str">
        <f>LOWER(VLOOKUP(A262,Xtal_Templ!A:B,2,FALSE))</f>
        <v>drd3_human</v>
      </c>
      <c r="C262" s="3">
        <f>VLOOKUP($A262,'SegEnds_NonXtal_BW#'!$A:$Z,3,FALSE)+D262-50</f>
        <v>26</v>
      </c>
      <c r="D262" s="3">
        <v>47</v>
      </c>
      <c r="E262" s="3">
        <f>IF(ISERROR(VLOOKUP($A262,'SegEnds_NonXtal_BW#'!$A:$Z,4,FALSE)+VLOOKUP($A262,A:AL,4,FALSE)-50),"-",(VLOOKUP($A262,'SegEnds_NonXtal_BW#'!$A:$Z,4,FALSE)+VLOOKUP($A262,A:AL,4,FALSE)-50))</f>
        <v>57</v>
      </c>
      <c r="F262" s="3">
        <f t="shared" si="146"/>
        <v>58</v>
      </c>
      <c r="G262" s="3">
        <v>60</v>
      </c>
      <c r="H262" s="3">
        <f t="shared" si="147"/>
        <v>61</v>
      </c>
      <c r="I262" s="3">
        <f t="shared" si="147"/>
        <v>62</v>
      </c>
      <c r="J262" s="3">
        <v>75</v>
      </c>
      <c r="K262" s="3">
        <f>VLOOKUP($A262,'SegEnds_NonXtal_BW#'!$A:$Z,8,FALSE)+VLOOKUP($A262,A:AL,10,FALSE)-50</f>
        <v>92</v>
      </c>
      <c r="L262" s="3">
        <f t="shared" si="149"/>
        <v>95</v>
      </c>
      <c r="M262" s="3">
        <v>96</v>
      </c>
      <c r="N262" s="3">
        <f t="shared" si="150"/>
        <v>98</v>
      </c>
      <c r="O262" s="3">
        <f t="shared" si="151"/>
        <v>99</v>
      </c>
      <c r="P262" s="3">
        <v>128</v>
      </c>
      <c r="Q262" s="3">
        <f>VLOOKUP($A262,'SegEnds_NonXtal_BW#'!$A:$Z,12,FALSE)+VLOOKUP($A262,A:AL,16,FALSE)-50</f>
        <v>134</v>
      </c>
      <c r="R262" s="3">
        <f>IF(ISERROR(VLOOKUP($A262,'SegEnds_NonXtal_BW#'!$A:$Z,13,FALSE)+VLOOKUP($A262,A:AL,19,FALSE)-50),"-",VLOOKUP($A262,'SegEnds_NonXtal_BW#'!$A:$Z,13,FALSE)+VLOOKUP($A262,A:AL,19,FALSE)-50)</f>
        <v>135</v>
      </c>
      <c r="S262" s="3">
        <v>135</v>
      </c>
      <c r="T262" s="100">
        <f>IF(ISERROR(VLOOKUP($A262,'SegEnds_NonXtal_BW#'!$A:$Z,14,FALSE)+VLOOKUP($A262,A:AL,19,FALSE)-50),"-",(VLOOKUP($A262,'SegEnds_NonXtal_BW#'!$A:$Z,14,FALSE)+VLOOKUP($A262,A:AL,19,FALSE)-50))</f>
        <v>143</v>
      </c>
      <c r="U262" s="9">
        <f>IF(ISERROR(VLOOKUP($A262,'SegEnds_NonXtal_BW#'!$A:$Z,15,FALSE)+VLOOKUP($A262,A:AL,22,FALSE)-50),"-",VLOOKUP($A262,'SegEnds_NonXtal_BW#'!$A:$Z,15,FALSE)+VLOOKUP($A262,A:AL,22,FALSE)-50)</f>
        <v>146</v>
      </c>
      <c r="V262" s="3">
        <v>158</v>
      </c>
      <c r="W262" s="3">
        <f>IF(ISERROR(VLOOKUP($A262,'SegEnds_NonXtal_BW#'!$A:$Z,16,FALSE)+VLOOKUP($A262,A:AL,22,FALSE)-50),"-",(VLOOKUP($A262,'SegEnds_NonXtal_BW#'!$A:$Z,16,FALSE)+VLOOKUP($A262,A:AL,22,FALSE)-50))</f>
        <v>171</v>
      </c>
      <c r="X262" s="3">
        <f>IF(ISERROR(VLOOKUP($A262,'SegEnds_NonXtal_BW#'!$A:$Z,17,FALSE)+VLOOKUP($A262,A:AL,25,FALSE)-50),"-",(VLOOKUP($A262,'SegEnds_NonXtal_BW#'!$A:$Z,17,FALSE)+VLOOKUP($A262,A:AL,25,FALSE)-50))</f>
        <v>181</v>
      </c>
      <c r="Y262" s="3">
        <v>181</v>
      </c>
      <c r="Z262" s="3">
        <f t="shared" si="144"/>
        <v>183</v>
      </c>
      <c r="AA262" s="3">
        <f>IF(ISERROR(VLOOKUP($A262,'SegEnds_NonXtal_BW#'!$A:$Z,19,FALSE)+VLOOKUP($A262,A:AL,28,FALSE)-50),"-",(VLOOKUP($A262,'SegEnds_NonXtal_BW#'!$A:$Z,19,FALSE)+VLOOKUP($A262,A:AL,28,FALSE)-50))</f>
        <v>185</v>
      </c>
      <c r="AB262" s="3">
        <v>200</v>
      </c>
      <c r="AC262" s="3">
        <f>IF(ISERROR((VLOOKUP($A262,'SegEnds_NonXtal_BW#'!$A:$Z,20,FALSE)+VLOOKUP($A262,A:AL,28,FALSE)-50)),"-",(VLOOKUP($A262,'SegEnds_NonXtal_BW#'!$A:$Z,20,FALSE)+VLOOKUP($A262,A:AL,28,FALSE)-50))</f>
        <v>226</v>
      </c>
      <c r="AD262" s="3">
        <f>IF(ISERROR(VLOOKUP($A262,'SegEnds_NonXtal_BW#'!$A:$Z,21,FALSE)+VLOOKUP($A262,A:AL,31,FALSE)-50),"-",(VLOOKUP($A262,'SegEnds_NonXtal_BW#'!$A:$Z,21,FALSE)+VLOOKUP($A262,A:AL,31,FALSE)-50))</f>
        <v>318</v>
      </c>
      <c r="AE262" s="3">
        <v>344</v>
      </c>
      <c r="AF262" s="3">
        <f>IF(ISERROR((VLOOKUP($A262,'SegEnds_NonXtal_BW#'!$A:$Z,22,FALSE)+VLOOKUP($A262,A:AL,31,FALSE)-50)),"-",(VLOOKUP($A262,'SegEnds_NonXtal_BW#'!$A:$Z,22,FALSE)+VLOOKUP($A262,A:AL,31,FALSE)-50))</f>
        <v>354</v>
      </c>
      <c r="AG262" s="3">
        <f>IF(ISERROR(VLOOKUP($A262,'SegEnds_NonXtal_BW#'!$A:$Z,23,FALSE)+VLOOKUP($A262,A:AL,34,FALSE)-50),"-",(VLOOKUP($A262,'SegEnds_NonXtal_BW#'!$A:$Z,23,FALSE)+VLOOKUP($A262,A:AL,34,FALSE)-50))</f>
        <v>361</v>
      </c>
      <c r="AH262" s="3">
        <v>380</v>
      </c>
      <c r="AI262" s="3">
        <f>IF(ISERROR((VLOOKUP($A262,'SegEnds_NonXtal_BW#'!$A:$Z,24,FALSE)+VLOOKUP($A262,A:AL,34,FALSE)-50)),"-",(VLOOKUP($A262,'SegEnds_NonXtal_BW#'!$A:$Z,24,FALSE)+VLOOKUP($A262,A:AL,34,FALSE)-50))</f>
        <v>386</v>
      </c>
      <c r="AJ262" s="3">
        <f>IF(ISERROR(VLOOKUP($A262,'SegEnds_NonXtal_BW#'!$A:$Z,25,FALSE)+VLOOKUP($A262,A:AL,37,FALSE)-50),"-",(VLOOKUP($A262,'SegEnds_NonXtal_BW#'!$A:$Z,25,FALSE)+VLOOKUP($A262,A:AL,37,FALSE)-50))</f>
        <v>387</v>
      </c>
      <c r="AK262" s="3">
        <v>390</v>
      </c>
      <c r="AL262" s="3">
        <f>IF(ISERROR((VLOOKUP($A262,'SegEnds_NonXtal_BW#'!$A:$Z,26,FALSE)+VLOOKUP($A262,A:AL,37,FALSE)-50)),"-",(VLOOKUP($A262,'SegEnds_NonXtal_BW#'!$A:$Z,26,FALSE)+VLOOKUP($A262,A:AL,37,FALSE)-50))</f>
        <v>399</v>
      </c>
      <c r="AM262" s="28" t="str">
        <f>VLOOKUP(A262,Classification!A:B,2,FALSE)</f>
        <v>A</v>
      </c>
      <c r="AN262" s="28" t="b">
        <f t="shared" si="167"/>
        <v>1</v>
      </c>
      <c r="AO262" s="3" t="str">
        <f>IF(ISERROR(MATCH(A262,'SegEnds_Xtal_Prot#'!B:B, 0)), "NoXtal", "Xtal")</f>
        <v>Xtal</v>
      </c>
      <c r="AP262" s="3">
        <f t="shared" si="152"/>
        <v>1</v>
      </c>
      <c r="AQ262" s="3">
        <f t="shared" si="153"/>
        <v>1</v>
      </c>
      <c r="AR262" s="3">
        <f t="shared" si="154"/>
        <v>3</v>
      </c>
      <c r="AS262" s="3">
        <f t="shared" si="155"/>
        <v>1</v>
      </c>
      <c r="AT262" s="3">
        <f t="shared" si="156"/>
        <v>1</v>
      </c>
      <c r="AU262" s="3">
        <f t="shared" si="157"/>
        <v>3</v>
      </c>
      <c r="AV262" s="3">
        <f t="shared" si="158"/>
        <v>10</v>
      </c>
      <c r="AW262" s="3">
        <f t="shared" si="159"/>
        <v>2</v>
      </c>
      <c r="AX262" s="3">
        <f t="shared" si="160"/>
        <v>92</v>
      </c>
      <c r="AY262" s="3">
        <f t="shared" si="161"/>
        <v>7</v>
      </c>
      <c r="AZ262" s="3">
        <f t="shared" si="162"/>
        <v>1</v>
      </c>
      <c r="BA262" s="3">
        <f>IF(ISERROR(LEN(VLOOKUP(A262,Seqs!A:E,2,FALSE))-AL262),"-",LEN(VLOOKUP(A262,Seqs!A:E,2,FALSE))-AL262)</f>
        <v>1</v>
      </c>
      <c r="BB262" s="16">
        <f t="shared" si="163"/>
        <v>28</v>
      </c>
      <c r="BC262" s="9">
        <f t="shared" si="164"/>
        <v>23</v>
      </c>
      <c r="BD262" s="3">
        <f t="shared" si="165"/>
        <v>28</v>
      </c>
      <c r="BE262" s="3">
        <f t="shared" si="166"/>
        <v>144</v>
      </c>
      <c r="BF262" s="3">
        <f>AH262-AE262</f>
        <v>36</v>
      </c>
    </row>
    <row r="263" spans="1:58" s="3" customFormat="1" x14ac:dyDescent="0.2">
      <c r="A263" s="3" t="s">
        <v>142</v>
      </c>
      <c r="B263" s="3" t="str">
        <f>LOWER(VLOOKUP(A263,Xtal_Templ!A:B,2,FALSE))</f>
        <v>c5ar1_human</v>
      </c>
      <c r="C263" s="3">
        <f>VLOOKUP($A263,'SegEnds_NonXtal_BW#'!$A:$Z,3,FALSE)+D263-50</f>
        <v>55</v>
      </c>
      <c r="D263" s="3">
        <v>76</v>
      </c>
      <c r="E263" s="3">
        <f>IF(ISERROR(VLOOKUP($A263,'SegEnds_NonXtal_BW#'!$A:$Z,4,FALSE)+VLOOKUP($A263,A:AL,4,FALSE)-50),"-",(VLOOKUP($A263,'SegEnds_NonXtal_BW#'!$A:$Z,4,FALSE)+VLOOKUP($A263,A:AL,4,FALSE)-50))</f>
        <v>86</v>
      </c>
      <c r="F263" s="3" t="str">
        <f>IF(ISERROR(VLOOKUP($A263,'SegEnds_NonXtal_BW#'!$A:$Z,5,FALSE)+VLOOKUP($A263,A:AL,7,FALSE)-50),"-",(VLOOKUP($A263,'SegEnds_NonXtal_BW#'!$A:$Z,5,FALSE)+VLOOKUP($A263,A:AL,7,FALSE)-50))</f>
        <v>-</v>
      </c>
      <c r="G263" s="3" t="s">
        <v>23</v>
      </c>
      <c r="H263" s="3" t="str">
        <f>IF(ISERROR(VLOOKUP($A263,'SegEnds_NonXtal_BW#'!$A:$Z,6,FALSE)+VLOOKUP($A263,A:AL,7,FALSE)-50),"-",(VLOOKUP($A263,'SegEnds_NonXtal_BW#'!$A:$Z,6,FALSE)+VLOOKUP($A263,A:AL,7,FALSE)-50))</f>
        <v>-</v>
      </c>
      <c r="I263" s="3">
        <f>VLOOKUP($A263,'SegEnds_NonXtal_BW#'!$A:$Z,7,FALSE)+J263-50</f>
        <v>93</v>
      </c>
      <c r="J263" s="3">
        <v>106</v>
      </c>
      <c r="K263" s="3">
        <f>VLOOKUP($A263,'SegEnds_NonXtal_BW#'!$A:$Z,8,FALSE)+VLOOKUP($A263,A:AL,10,FALSE)-50</f>
        <v>122</v>
      </c>
      <c r="L263" s="3" t="str">
        <f>IF(ISERROR(VLOOKUP($A263,'SegEnds_NonXtal_BW#'!$A:$Z,9,FALSE)+VLOOKUP($A263,A:AL,13,FALSE)-50),"-",(VLOOKUP($A263,'SegEnds_NonXtal_BW#'!$A:$Z,9,FALSE)+VLOOKUP($A263,A:AL,13,FALSE)-50))</f>
        <v>-</v>
      </c>
      <c r="M263" s="3" t="s">
        <v>23</v>
      </c>
      <c r="N263" s="3" t="str">
        <f>IF(ISERROR(VLOOKUP($A263,'SegEnds_NonXtal_BW#'!$A:$Z,10,FALSE)+VLOOKUP($A263,A:AL,13,FALSE)-50),"-",(VLOOKUP($A263,'SegEnds_NonXtal_BW#'!$A:$Z,10,FALSE)+VLOOKUP($A263,A:AL,13,FALSE)-50))</f>
        <v>-</v>
      </c>
      <c r="O263" s="3">
        <f>VLOOKUP($A263,'SegEnds_NonXtal_BW#'!$A:$Z,11,FALSE)+VLOOKUP($A263,A:AL,16,FALSE)-50</f>
        <v>128</v>
      </c>
      <c r="P263" s="3">
        <v>154</v>
      </c>
      <c r="Q263" s="3">
        <f>VLOOKUP($A263,'SegEnds_NonXtal_BW#'!$A:$Z,12,FALSE)+VLOOKUP($A263,A:AL,16,FALSE)-50</f>
        <v>160</v>
      </c>
      <c r="R263" s="3" t="str">
        <f>IF(ISERROR(VLOOKUP($A263,'SegEnds_NonXtal_BW#'!$A:$Z,13,FALSE)+VLOOKUP($A263,A:AL,19,FALSE)-50),"-",VLOOKUP($A263,'SegEnds_NonXtal_BW#'!$A:$Z,13,FALSE)+VLOOKUP($A263,A:AL,19,FALSE)-50)</f>
        <v>-</v>
      </c>
      <c r="S263" s="3" t="s">
        <v>23</v>
      </c>
      <c r="T263" s="100" t="str">
        <f>IF(ISERROR(VLOOKUP($A263,'SegEnds_NonXtal_BW#'!$A:$Z,14,FALSE)+VLOOKUP($A263,A:AL,19,FALSE)-50),"-",(VLOOKUP($A263,'SegEnds_NonXtal_BW#'!$A:$Z,14,FALSE)+VLOOKUP($A263,A:AL,19,FALSE)-50))</f>
        <v>-</v>
      </c>
      <c r="U263" s="9">
        <f>IF(ISERROR(VLOOKUP($A263,'SegEnds_NonXtal_BW#'!$A:$Z,15,FALSE)+VLOOKUP($A263,A:AL,22,FALSE)-50),"-",VLOOKUP($A263,'SegEnds_NonXtal_BW#'!$A:$Z,15,FALSE)+VLOOKUP($A263,A:AL,22,FALSE)-50)</f>
        <v>162</v>
      </c>
      <c r="V263" s="3">
        <v>174</v>
      </c>
      <c r="W263" s="3">
        <f>IF(ISERROR(VLOOKUP($A263,'SegEnds_NonXtal_BW#'!$A:$Z,16,FALSE)+VLOOKUP($A263,A:AL,22,FALSE)-50),"-",(VLOOKUP($A263,'SegEnds_NonXtal_BW#'!$A:$Z,16,FALSE)+VLOOKUP($A263,A:AL,22,FALSE)-50))</f>
        <v>188</v>
      </c>
      <c r="X263" s="3">
        <f>IF(ISERROR(VLOOKUP($A263,'SegEnds_NonXtal_BW#'!$A:$Z,17,FALSE)+VLOOKUP($A263,A:AL,25,FALSE)-50),"-",(VLOOKUP($A263,'SegEnds_NonXtal_BW#'!$A:$Z,17,FALSE)+VLOOKUP($A263,A:AL,25,FALSE)-50))</f>
        <v>195</v>
      </c>
      <c r="Y263" s="3">
        <v>195</v>
      </c>
      <c r="Z263" s="3">
        <f t="shared" si="144"/>
        <v>197</v>
      </c>
      <c r="AA263" s="3">
        <f>IF(ISERROR(VLOOKUP($A263,'SegEnds_NonXtal_BW#'!$A:$Z,19,FALSE)+VLOOKUP($A263,A:AL,28,FALSE)-50),"-",(VLOOKUP($A263,'SegEnds_NonXtal_BW#'!$A:$Z,19,FALSE)+VLOOKUP($A263,A:AL,28,FALSE)-50))</f>
        <v>199</v>
      </c>
      <c r="AB263" s="3">
        <v>218</v>
      </c>
      <c r="AC263" s="3">
        <f>IF(ISERROR((VLOOKUP($A263,'SegEnds_NonXtal_BW#'!$A:$Z,20,FALSE)+VLOOKUP($A263,A:AL,28,FALSE)-50)),"-",(VLOOKUP($A263,'SegEnds_NonXtal_BW#'!$A:$Z,20,FALSE)+VLOOKUP($A263,A:AL,28,FALSE)-50))</f>
        <v>232</v>
      </c>
      <c r="AD263" s="3">
        <f>IF(ISERROR(VLOOKUP($A263,'SegEnds_NonXtal_BW#'!$A:$Z,21,FALSE)+VLOOKUP($A263,A:AL,31,FALSE)-50),"-",(VLOOKUP($A263,'SegEnds_NonXtal_BW#'!$A:$Z,21,FALSE)+VLOOKUP($A263,A:AL,31,FALSE)-50))</f>
        <v>239</v>
      </c>
      <c r="AE263" s="3">
        <v>255</v>
      </c>
      <c r="AF263" s="3">
        <f>IF(ISERROR((VLOOKUP($A263,'SegEnds_NonXtal_BW#'!$A:$Z,22,FALSE)+VLOOKUP($A263,A:AL,31,FALSE)-50)),"-",(VLOOKUP($A263,'SegEnds_NonXtal_BW#'!$A:$Z,22,FALSE)+VLOOKUP($A263,A:AL,31,FALSE)-50))</f>
        <v>269</v>
      </c>
      <c r="AG263" s="3">
        <f>IF(ISERROR(VLOOKUP($A263,'SegEnds_NonXtal_BW#'!$A:$Z,23,FALSE)+VLOOKUP($A263,A:AL,34,FALSE)-50),"-",(VLOOKUP($A263,'SegEnds_NonXtal_BW#'!$A:$Z,23,FALSE)+VLOOKUP($A263,A:AL,34,FALSE)-50))</f>
        <v>275</v>
      </c>
      <c r="AH263" s="3">
        <v>301</v>
      </c>
      <c r="AI263" s="3">
        <f>IF(ISERROR((VLOOKUP($A263,'SegEnds_NonXtal_BW#'!$A:$Z,24,FALSE)+VLOOKUP($A263,A:AL,34,FALSE)-50)),"-",(VLOOKUP($A263,'SegEnds_NonXtal_BW#'!$A:$Z,24,FALSE)+VLOOKUP($A263,A:AL,34,FALSE)-50))</f>
        <v>307</v>
      </c>
      <c r="AJ263" s="3">
        <f>IF(ISERROR(VLOOKUP($A263,'SegEnds_NonXtal_BW#'!$A:$Z,25,FALSE)+VLOOKUP($A263,A:AL,37,FALSE)-50),"-",(VLOOKUP($A263,'SegEnds_NonXtal_BW#'!$A:$Z,25,FALSE)+VLOOKUP($A263,A:AL,37,FALSE)-50))</f>
        <v>308</v>
      </c>
      <c r="AK263" s="3">
        <v>311</v>
      </c>
      <c r="AL263" s="3">
        <f>IF(ISERROR((VLOOKUP($A263,'SegEnds_NonXtal_BW#'!$A:$Z,26,FALSE)+VLOOKUP($A263,A:AL,37,FALSE)-50)),"-",(VLOOKUP($A263,'SegEnds_NonXtal_BW#'!$A:$Z,26,FALSE)+VLOOKUP($A263,A:AL,37,FALSE)-50))</f>
        <v>317</v>
      </c>
      <c r="AM263" s="28" t="str">
        <f>VLOOKUP(A263,Classification!A:B,2,FALSE)</f>
        <v>A</v>
      </c>
      <c r="AN263" s="28" t="b">
        <f t="shared" si="167"/>
        <v>1</v>
      </c>
      <c r="AO263" s="3" t="str">
        <f>IF(ISERROR(MATCH(A263,'SegEnds_Xtal_Prot#'!B:B, 0)), "NoXtal", "Xtal")</f>
        <v>NoXtal</v>
      </c>
      <c r="AP263" s="3" t="str">
        <f t="shared" si="152"/>
        <v>-</v>
      </c>
      <c r="AQ263" s="3" t="str">
        <f t="shared" si="153"/>
        <v>-</v>
      </c>
      <c r="AR263" s="3" t="str">
        <f t="shared" si="154"/>
        <v>-</v>
      </c>
      <c r="AS263" s="3" t="str">
        <f t="shared" si="155"/>
        <v>-</v>
      </c>
      <c r="AT263" s="3" t="str">
        <f t="shared" si="156"/>
        <v>-</v>
      </c>
      <c r="AU263" s="3" t="str">
        <f t="shared" si="157"/>
        <v>-</v>
      </c>
      <c r="AV263" s="3">
        <f t="shared" si="158"/>
        <v>7</v>
      </c>
      <c r="AW263" s="3">
        <f t="shared" si="159"/>
        <v>2</v>
      </c>
      <c r="AX263" s="3">
        <f t="shared" si="160"/>
        <v>7</v>
      </c>
      <c r="AY263" s="3">
        <f t="shared" si="161"/>
        <v>6</v>
      </c>
      <c r="AZ263" s="3">
        <f t="shared" si="162"/>
        <v>1</v>
      </c>
      <c r="BA263" s="3">
        <f>IF(ISERROR(LEN(VLOOKUP(A263,Seqs!A:E,2,FALSE))-AL263),"-",LEN(VLOOKUP(A263,Seqs!A:E,2,FALSE))-AL263)</f>
        <v>19</v>
      </c>
      <c r="BB263" s="16">
        <f t="shared" si="163"/>
        <v>30</v>
      </c>
      <c r="BC263" s="9" t="str">
        <f t="shared" si="164"/>
        <v>-</v>
      </c>
      <c r="BD263" s="3">
        <f t="shared" si="165"/>
        <v>30</v>
      </c>
      <c r="BE263" s="3">
        <f t="shared" si="166"/>
        <v>37</v>
      </c>
      <c r="BF263" s="3">
        <f>AH263-AE263</f>
        <v>46</v>
      </c>
    </row>
    <row r="264" spans="1:58" s="3" customFormat="1" x14ac:dyDescent="0.2">
      <c r="A264" s="3" t="s">
        <v>144</v>
      </c>
      <c r="B264" s="3" t="str">
        <f>LOWER(VLOOKUP(A264,Xtal_Templ!A:B,2,FALSE))</f>
        <v>agtr1_human</v>
      </c>
      <c r="C264" s="3">
        <f>VLOOKUP($A264,'SegEnds_NonXtal_BW#'!$A:$Z,3,FALSE)+D264-50</f>
        <v>42</v>
      </c>
      <c r="D264" s="3">
        <v>62</v>
      </c>
      <c r="E264" s="3">
        <f>IF(ISERROR(VLOOKUP($A264,'SegEnds_NonXtal_BW#'!$A:$Z,4,FALSE)+VLOOKUP($A264,A:AL,4,FALSE)-50),"-",(VLOOKUP($A264,'SegEnds_NonXtal_BW#'!$A:$Z,4,FALSE)+VLOOKUP($A264,A:AL,4,FALSE)-50))</f>
        <v>72</v>
      </c>
      <c r="F264" s="3">
        <f>G264-2</f>
        <v>73</v>
      </c>
      <c r="G264" s="3">
        <v>75</v>
      </c>
      <c r="H264" s="3">
        <f t="shared" ref="H264:I266" si="168">G264+1</f>
        <v>76</v>
      </c>
      <c r="I264" s="3">
        <f t="shared" si="168"/>
        <v>77</v>
      </c>
      <c r="J264" s="3">
        <v>90</v>
      </c>
      <c r="K264" s="3">
        <f>VLOOKUP($A264,'SegEnds_NonXtal_BW#'!$A:$Z,8,FALSE)+VLOOKUP($A264,A:AL,10,FALSE)-50</f>
        <v>106</v>
      </c>
      <c r="L264" s="3">
        <f>IF(ISERROR(VLOOKUP($A264,'SegEnds_NonXtal_BW#'!$A:$Z,9,FALSE)+VLOOKUP($A264,A:AL,13,FALSE)-50),"-",(VLOOKUP($A264,'SegEnds_NonXtal_BW#'!$A:$Z,9,FALSE)+VLOOKUP($A264,A:AL,13,FALSE)-50))</f>
        <v>109</v>
      </c>
      <c r="M264" s="3">
        <v>110</v>
      </c>
      <c r="N264" s="3">
        <f>IF(ISERROR(VLOOKUP($A264,'SegEnds_NonXtal_BW#'!$A:$Z,10,FALSE)+VLOOKUP($A264,A:AL,13,FALSE)-50),"-",(VLOOKUP($A264,'SegEnds_NonXtal_BW#'!$A:$Z,10,FALSE)+VLOOKUP($A264,A:AL,13,FALSE)-50))</f>
        <v>112</v>
      </c>
      <c r="O264" s="3">
        <f>VLOOKUP($A264,'SegEnds_NonXtal_BW#'!$A:$Z,11,FALSE)+VLOOKUP($A264,A:AL,16,FALSE)-50</f>
        <v>113</v>
      </c>
      <c r="P264" s="3">
        <v>142</v>
      </c>
      <c r="Q264" s="3">
        <f>VLOOKUP($A264,'SegEnds_NonXtal_BW#'!$A:$Z,12,FALSE)+VLOOKUP($A264,A:AL,16,FALSE)-50</f>
        <v>148</v>
      </c>
      <c r="R264" s="3" t="str">
        <f>IF(ISERROR(VLOOKUP($A264,'SegEnds_NonXtal_BW#'!$A:$Z,13,FALSE)+VLOOKUP($A264,A:AL,19,FALSE)-50),"-",VLOOKUP($A264,'SegEnds_NonXtal_BW#'!$A:$Z,13,FALSE)+VLOOKUP($A264,A:AL,19,FALSE)-50)</f>
        <v>-</v>
      </c>
      <c r="S264" s="3" t="s">
        <v>23</v>
      </c>
      <c r="T264" s="100" t="str">
        <f>IF(ISERROR(VLOOKUP($A264,'SegEnds_NonXtal_BW#'!$A:$Z,14,FALSE)+VLOOKUP($A264,A:AL,19,FALSE)-50),"-",(VLOOKUP($A264,'SegEnds_NonXtal_BW#'!$A:$Z,14,FALSE)+VLOOKUP($A264,A:AL,19,FALSE)-50))</f>
        <v>-</v>
      </c>
      <c r="U264" s="9">
        <f>IF(ISERROR(VLOOKUP($A264,'SegEnds_NonXtal_BW#'!$A:$Z,15,FALSE)+VLOOKUP($A264,A:AL,22,FALSE)-50),"-",VLOOKUP($A264,'SegEnds_NonXtal_BW#'!$A:$Z,15,FALSE)+VLOOKUP($A264,A:AL,22,FALSE)-50)</f>
        <v>157</v>
      </c>
      <c r="V264" s="3">
        <v>169</v>
      </c>
      <c r="W264" s="3">
        <f>IF(ISERROR(VLOOKUP($A264,'SegEnds_NonXtal_BW#'!$A:$Z,16,FALSE)+VLOOKUP($A264,A:AL,22,FALSE)-50),"-",(VLOOKUP($A264,'SegEnds_NonXtal_BW#'!$A:$Z,16,FALSE)+VLOOKUP($A264,A:AL,22,FALSE)-50))</f>
        <v>183</v>
      </c>
      <c r="X264" s="3">
        <f>IF(ISERROR(VLOOKUP($A264,'SegEnds_NonXtal_BW#'!$A:$Z,17,FALSE)+VLOOKUP($A264,A:AL,25,FALSE)-50),"-",(VLOOKUP($A264,'SegEnds_NonXtal_BW#'!$A:$Z,17,FALSE)+VLOOKUP($A264,A:AL,25,FALSE)-50))</f>
        <v>196</v>
      </c>
      <c r="Y264" s="3">
        <v>196</v>
      </c>
      <c r="Z264" s="3">
        <f t="shared" si="144"/>
        <v>198</v>
      </c>
      <c r="AA264" s="3">
        <f>IF(ISERROR(VLOOKUP($A264,'SegEnds_NonXtal_BW#'!$A:$Z,19,FALSE)+VLOOKUP($A264,A:AL,28,FALSE)-50),"-",(VLOOKUP($A264,'SegEnds_NonXtal_BW#'!$A:$Z,19,FALSE)+VLOOKUP($A264,A:AL,28,FALSE)-50))</f>
        <v>208</v>
      </c>
      <c r="AB264" s="3">
        <v>224</v>
      </c>
      <c r="AC264" s="3">
        <f>IF(ISERROR((VLOOKUP($A264,'SegEnds_NonXtal_BW#'!$A:$Z,20,FALSE)+VLOOKUP($A264,A:AL,28,FALSE)-50)),"-",(VLOOKUP($A264,'SegEnds_NonXtal_BW#'!$A:$Z,20,FALSE)+VLOOKUP($A264,A:AL,28,FALSE)-50))</f>
        <v>242</v>
      </c>
      <c r="AD264" s="3">
        <f>IF(ISERROR(VLOOKUP($A264,'SegEnds_NonXtal_BW#'!$A:$Z,21,FALSE)+VLOOKUP($A264,A:AL,31,FALSE)-50),"-",(VLOOKUP($A264,'SegEnds_NonXtal_BW#'!$A:$Z,21,FALSE)+VLOOKUP($A264,A:AL,31,FALSE)-50))</f>
        <v>247</v>
      </c>
      <c r="AE264" s="3">
        <v>267</v>
      </c>
      <c r="AF264" s="3">
        <f>IF(ISERROR((VLOOKUP($A264,'SegEnds_NonXtal_BW#'!$A:$Z,22,FALSE)+VLOOKUP($A264,A:AL,31,FALSE)-50)),"-",(VLOOKUP($A264,'SegEnds_NonXtal_BW#'!$A:$Z,22,FALSE)+VLOOKUP($A264,A:AL,31,FALSE)-50))</f>
        <v>281</v>
      </c>
      <c r="AG264" s="3">
        <f>IF(ISERROR(VLOOKUP($A264,'SegEnds_NonXtal_BW#'!$A:$Z,23,FALSE)+VLOOKUP($A264,A:AL,34,FALSE)-50),"-",(VLOOKUP($A264,'SegEnds_NonXtal_BW#'!$A:$Z,23,FALSE)+VLOOKUP($A264,A:AL,34,FALSE)-50))</f>
        <v>286</v>
      </c>
      <c r="AH264" s="3">
        <v>312</v>
      </c>
      <c r="AI264" s="3">
        <f>IF(ISERROR((VLOOKUP($A264,'SegEnds_NonXtal_BW#'!$A:$Z,24,FALSE)+VLOOKUP($A264,A:AL,34,FALSE)-50)),"-",(VLOOKUP($A264,'SegEnds_NonXtal_BW#'!$A:$Z,24,FALSE)+VLOOKUP($A264,A:AL,34,FALSE)-50))</f>
        <v>318</v>
      </c>
      <c r="AJ264" s="3">
        <f>IF(ISERROR(VLOOKUP($A264,'SegEnds_NonXtal_BW#'!$A:$Z,25,FALSE)+VLOOKUP($A264,A:AL,37,FALSE)-50),"-",(VLOOKUP($A264,'SegEnds_NonXtal_BW#'!$A:$Z,25,FALSE)+VLOOKUP($A264,A:AL,37,FALSE)-50))</f>
        <v>319</v>
      </c>
      <c r="AK264" s="3">
        <v>322</v>
      </c>
      <c r="AL264" s="3">
        <f>IF(ISERROR((VLOOKUP($A264,'SegEnds_NonXtal_BW#'!$A:$Z,26,FALSE)+VLOOKUP($A264,A:AL,37,FALSE)-50)),"-",(VLOOKUP($A264,'SegEnds_NonXtal_BW#'!$A:$Z,26,FALSE)+VLOOKUP($A264,A:AL,37,FALSE)-50))</f>
        <v>333</v>
      </c>
      <c r="AM264" s="28" t="str">
        <f>VLOOKUP(A264,Classification!A:B,2,FALSE)</f>
        <v>A</v>
      </c>
      <c r="AN264" s="28" t="b">
        <f t="shared" si="167"/>
        <v>1</v>
      </c>
      <c r="AO264" s="3" t="str">
        <f>IF(ISERROR(MATCH(A264,'SegEnds_Xtal_Prot#'!B:B, 0)), "NoXtal", "Xtal")</f>
        <v>NoXtal</v>
      </c>
      <c r="AP264" s="3">
        <f t="shared" si="152"/>
        <v>1</v>
      </c>
      <c r="AQ264" s="3">
        <f t="shared" si="153"/>
        <v>1</v>
      </c>
      <c r="AR264" s="3">
        <f t="shared" si="154"/>
        <v>3</v>
      </c>
      <c r="AS264" s="3">
        <f t="shared" si="155"/>
        <v>1</v>
      </c>
      <c r="AT264" s="3" t="str">
        <f t="shared" si="156"/>
        <v>-</v>
      </c>
      <c r="AU264" s="3" t="str">
        <f t="shared" si="157"/>
        <v>-</v>
      </c>
      <c r="AV264" s="3">
        <f t="shared" si="158"/>
        <v>13</v>
      </c>
      <c r="AW264" s="3">
        <f t="shared" si="159"/>
        <v>10</v>
      </c>
      <c r="AX264" s="3">
        <f t="shared" si="160"/>
        <v>5</v>
      </c>
      <c r="AY264" s="3">
        <f t="shared" si="161"/>
        <v>5</v>
      </c>
      <c r="AZ264" s="3">
        <f t="shared" si="162"/>
        <v>1</v>
      </c>
      <c r="BA264" s="3">
        <f>IF(ISERROR(LEN(VLOOKUP(A264,Seqs!A:E,2,FALSE))-AL264),"-",LEN(VLOOKUP(A264,Seqs!A:E,2,FALSE))-AL264)</f>
        <v>29</v>
      </c>
      <c r="BB264" s="16">
        <f t="shared" si="163"/>
        <v>28</v>
      </c>
      <c r="BC264" s="9" t="str">
        <f t="shared" si="164"/>
        <v>-</v>
      </c>
      <c r="BD264" s="3">
        <f t="shared" si="165"/>
        <v>28</v>
      </c>
      <c r="BE264" s="3">
        <f t="shared" si="166"/>
        <v>43</v>
      </c>
      <c r="BF264" s="3">
        <f>AH264-AE264</f>
        <v>45</v>
      </c>
    </row>
    <row r="265" spans="1:58" s="3" customFormat="1" x14ac:dyDescent="0.2">
      <c r="A265" s="3" t="s">
        <v>145</v>
      </c>
      <c r="B265" s="3" t="str">
        <f>LOWER(VLOOKUP(A265,Xtal_Templ!A:B,2,FALSE))</f>
        <v>ccr9_human</v>
      </c>
      <c r="C265" s="3">
        <f>VLOOKUP($A265,'SegEnds_NonXtal_BW#'!$A:$Z,3,FALSE)+D265-50</f>
        <v>36</v>
      </c>
      <c r="D265" s="3">
        <v>59</v>
      </c>
      <c r="E265" s="3">
        <f>IF(ISERROR(VLOOKUP($A265,'SegEnds_NonXtal_BW#'!$A:$Z,4,FALSE)+VLOOKUP($A265,A:AL,4,FALSE)-50),"-",(VLOOKUP($A265,'SegEnds_NonXtal_BW#'!$A:$Z,4,FALSE)+VLOOKUP($A265,A:AL,4,FALSE)-50))</f>
        <v>69</v>
      </c>
      <c r="F265" s="3">
        <f>G265-2</f>
        <v>70</v>
      </c>
      <c r="G265" s="3">
        <v>72</v>
      </c>
      <c r="H265" s="3">
        <f t="shared" si="168"/>
        <v>73</v>
      </c>
      <c r="I265" s="3">
        <f t="shared" si="168"/>
        <v>74</v>
      </c>
      <c r="J265" s="3">
        <v>87</v>
      </c>
      <c r="K265" s="3">
        <f>VLOOKUP($A265,'SegEnds_NonXtal_BW#'!$A:$Z,8,FALSE)+VLOOKUP($A265,A:AL,10,FALSE)-50</f>
        <v>103</v>
      </c>
      <c r="L265" s="3">
        <f>IF(ISERROR(VLOOKUP($A265,'SegEnds_NonXtal_BW#'!$A:$Z,9,FALSE)+VLOOKUP($A265,A:AL,13,FALSE)-50),"-",(VLOOKUP($A265,'SegEnds_NonXtal_BW#'!$A:$Z,9,FALSE)+VLOOKUP($A265,A:AL,13,FALSE)-50))</f>
        <v>104</v>
      </c>
      <c r="M265" s="3">
        <v>105</v>
      </c>
      <c r="N265" s="3">
        <f>IF(ISERROR(VLOOKUP($A265,'SegEnds_NonXtal_BW#'!$A:$Z,10,FALSE)+VLOOKUP($A265,A:AL,13,FALSE)-50),"-",(VLOOKUP($A265,'SegEnds_NonXtal_BW#'!$A:$Z,10,FALSE)+VLOOKUP($A265,A:AL,13,FALSE)-50))</f>
        <v>107</v>
      </c>
      <c r="O265" s="3">
        <f>VLOOKUP($A265,'SegEnds_NonXtal_BW#'!$A:$Z,11,FALSE)+VLOOKUP($A265,A:AL,16,FALSE)-50</f>
        <v>108</v>
      </c>
      <c r="P265" s="3">
        <v>137</v>
      </c>
      <c r="Q265" s="3">
        <f>VLOOKUP($A265,'SegEnds_NonXtal_BW#'!$A:$Z,12,FALSE)+VLOOKUP($A265,A:AL,16,FALSE)-50</f>
        <v>143</v>
      </c>
      <c r="R265" s="3" t="str">
        <f>IF(ISERROR(VLOOKUP($A265,'SegEnds_NonXtal_BW#'!$A:$Z,13,FALSE)+VLOOKUP($A265,A:AL,19,FALSE)-50),"-",VLOOKUP($A265,'SegEnds_NonXtal_BW#'!$A:$Z,13,FALSE)+VLOOKUP($A265,A:AL,19,FALSE)-50)</f>
        <v>-</v>
      </c>
      <c r="S265" s="3" t="s">
        <v>23</v>
      </c>
      <c r="T265" s="100" t="str">
        <f>IF(ISERROR(VLOOKUP($A265,'SegEnds_NonXtal_BW#'!$A:$Z,14,FALSE)+VLOOKUP($A265,A:AL,19,FALSE)-50),"-",(VLOOKUP($A265,'SegEnds_NonXtal_BW#'!$A:$Z,14,FALSE)+VLOOKUP($A265,A:AL,19,FALSE)-50))</f>
        <v>-</v>
      </c>
      <c r="U265" s="9">
        <f>IF(ISERROR(VLOOKUP($A265,'SegEnds_NonXtal_BW#'!$A:$Z,15,FALSE)+VLOOKUP($A265,A:AL,22,FALSE)-50),"-",VLOOKUP($A265,'SegEnds_NonXtal_BW#'!$A:$Z,15,FALSE)+VLOOKUP($A265,A:AL,22,FALSE)-50)</f>
        <v>150</v>
      </c>
      <c r="V265" s="3">
        <v>162</v>
      </c>
      <c r="W265" s="3">
        <f>IF(ISERROR(VLOOKUP($A265,'SegEnds_NonXtal_BW#'!$A:$Z,16,FALSE)+VLOOKUP($A265,A:AL,22,FALSE)-50),"-",(VLOOKUP($A265,'SegEnds_NonXtal_BW#'!$A:$Z,16,FALSE)+VLOOKUP($A265,A:AL,22,FALSE)-50))</f>
        <v>176</v>
      </c>
      <c r="X265" s="3">
        <f>IF(ISERROR(VLOOKUP($A265,'SegEnds_NonXtal_BW#'!$A:$Z,17,FALSE)+VLOOKUP($A265,A:AL,25,FALSE)-50),"-",(VLOOKUP($A265,'SegEnds_NonXtal_BW#'!$A:$Z,17,FALSE)+VLOOKUP($A265,A:AL,25,FALSE)-50))</f>
        <v>184</v>
      </c>
      <c r="Y265" s="3">
        <v>184</v>
      </c>
      <c r="Z265" s="3">
        <f t="shared" si="144"/>
        <v>186</v>
      </c>
      <c r="AA265" s="3">
        <f>IF(ISERROR(VLOOKUP($A265,'SegEnds_NonXtal_BW#'!$A:$Z,19,FALSE)+VLOOKUP($A265,A:AL,28,FALSE)-50),"-",(VLOOKUP($A265,'SegEnds_NonXtal_BW#'!$A:$Z,19,FALSE)+VLOOKUP($A265,A:AL,28,FALSE)-50))</f>
        <v>195</v>
      </c>
      <c r="AB265" s="3">
        <v>212</v>
      </c>
      <c r="AC265" s="3">
        <f>IF(ISERROR((VLOOKUP($A265,'SegEnds_NonXtal_BW#'!$A:$Z,20,FALSE)+VLOOKUP($A265,A:AL,28,FALSE)-50)),"-",(VLOOKUP($A265,'SegEnds_NonXtal_BW#'!$A:$Z,20,FALSE)+VLOOKUP($A265,A:AL,28,FALSE)-50))</f>
        <v>230</v>
      </c>
      <c r="AD265" s="3">
        <f>IF(ISERROR(VLOOKUP($A265,'SegEnds_NonXtal_BW#'!$A:$Z,21,FALSE)+VLOOKUP($A265,A:AL,31,FALSE)-50),"-",(VLOOKUP($A265,'SegEnds_NonXtal_BW#'!$A:$Z,21,FALSE)+VLOOKUP($A265,A:AL,31,FALSE)-50))</f>
        <v>235</v>
      </c>
      <c r="AE265" s="3">
        <v>255</v>
      </c>
      <c r="AF265" s="3">
        <f>IF(ISERROR((VLOOKUP($A265,'SegEnds_NonXtal_BW#'!$A:$Z,22,FALSE)+VLOOKUP($A265,A:AL,31,FALSE)-50)),"-",(VLOOKUP($A265,'SegEnds_NonXtal_BW#'!$A:$Z,22,FALSE)+VLOOKUP($A265,A:AL,31,FALSE)-50))</f>
        <v>269</v>
      </c>
      <c r="AG265" s="3">
        <f>IF(ISERROR(VLOOKUP($A265,'SegEnds_NonXtal_BW#'!$A:$Z,23,FALSE)+VLOOKUP($A265,A:AL,34,FALSE)-50),"-",(VLOOKUP($A265,'SegEnds_NonXtal_BW#'!$A:$Z,23,FALSE)+VLOOKUP($A265,A:AL,34,FALSE)-50))</f>
        <v>274</v>
      </c>
      <c r="AH265" s="3">
        <v>300</v>
      </c>
      <c r="AI265" s="3">
        <f>IF(ISERROR((VLOOKUP($A265,'SegEnds_NonXtal_BW#'!$A:$Z,24,FALSE)+VLOOKUP($A265,A:AL,34,FALSE)-50)),"-",(VLOOKUP($A265,'SegEnds_NonXtal_BW#'!$A:$Z,24,FALSE)+VLOOKUP($A265,A:AL,34,FALSE)-50))</f>
        <v>306</v>
      </c>
      <c r="AJ265" s="3">
        <f>IF(ISERROR(VLOOKUP($A265,'SegEnds_NonXtal_BW#'!$A:$Z,25,FALSE)+VLOOKUP($A265,A:AL,37,FALSE)-50),"-",(VLOOKUP($A265,'SegEnds_NonXtal_BW#'!$A:$Z,25,FALSE)+VLOOKUP($A265,A:AL,37,FALSE)-50))</f>
        <v>307</v>
      </c>
      <c r="AK265" s="3">
        <v>310</v>
      </c>
      <c r="AL265" s="3">
        <f>IF(ISERROR((VLOOKUP($A265,'SegEnds_NonXtal_BW#'!$A:$Z,26,FALSE)+VLOOKUP($A265,A:AL,37,FALSE)-50)),"-",(VLOOKUP($A265,'SegEnds_NonXtal_BW#'!$A:$Z,26,FALSE)+VLOOKUP($A265,A:AL,37,FALSE)-50))</f>
        <v>327</v>
      </c>
      <c r="AM265" s="28" t="str">
        <f>VLOOKUP(A265,Classification!A:B,2,FALSE)</f>
        <v>A</v>
      </c>
      <c r="AN265" s="28" t="b">
        <f t="shared" si="167"/>
        <v>1</v>
      </c>
      <c r="AO265" s="3" t="str">
        <f>IF(ISERROR(MATCH(A265,'SegEnds_Xtal_Prot#'!B:B, 0)), "NoXtal", "Xtal")</f>
        <v>NoXtal</v>
      </c>
      <c r="AP265" s="3">
        <f t="shared" si="152"/>
        <v>1</v>
      </c>
      <c r="AQ265" s="3">
        <f t="shared" si="153"/>
        <v>1</v>
      </c>
      <c r="AR265" s="3">
        <f t="shared" si="154"/>
        <v>1</v>
      </c>
      <c r="AS265" s="3">
        <f t="shared" si="155"/>
        <v>1</v>
      </c>
      <c r="AT265" s="3" t="str">
        <f t="shared" si="156"/>
        <v>-</v>
      </c>
      <c r="AU265" s="3" t="str">
        <f t="shared" si="157"/>
        <v>-</v>
      </c>
      <c r="AV265" s="3">
        <f t="shared" si="158"/>
        <v>8</v>
      </c>
      <c r="AW265" s="3">
        <f t="shared" si="159"/>
        <v>9</v>
      </c>
      <c r="AX265" s="3">
        <f t="shared" si="160"/>
        <v>5</v>
      </c>
      <c r="AY265" s="3">
        <f t="shared" si="161"/>
        <v>5</v>
      </c>
      <c r="AZ265" s="3">
        <f t="shared" si="162"/>
        <v>1</v>
      </c>
      <c r="BA265" s="3">
        <f>IF(ISERROR(LEN(VLOOKUP(A265,Seqs!A:E,2,FALSE))-AL265),"-",LEN(VLOOKUP(A265,Seqs!A:E,2,FALSE))-AL265)</f>
        <v>23</v>
      </c>
      <c r="BB265" s="16">
        <f t="shared" si="163"/>
        <v>28</v>
      </c>
      <c r="BC265" s="9" t="str">
        <f t="shared" si="164"/>
        <v>-</v>
      </c>
      <c r="BD265" s="3">
        <f t="shared" si="165"/>
        <v>28</v>
      </c>
      <c r="BE265" s="3">
        <f t="shared" si="166"/>
        <v>43</v>
      </c>
    </row>
    <row r="266" spans="1:58" s="3" customFormat="1" x14ac:dyDescent="0.2">
      <c r="A266" s="3" t="s">
        <v>169</v>
      </c>
      <c r="B266" s="3" t="str">
        <f>LOWER(VLOOKUP(A266,Xtal_Templ!A:B,2,FALSE))</f>
        <v>ccr9_human</v>
      </c>
      <c r="C266" s="3">
        <f>VLOOKUP($A266,'SegEnds_NonXtal_BW#'!$A:$Z,3,FALSE)+D266-50</f>
        <v>36</v>
      </c>
      <c r="D266" s="3">
        <v>59</v>
      </c>
      <c r="E266" s="3">
        <f>IF(ISERROR(VLOOKUP($A266,'SegEnds_NonXtal_BW#'!$A:$Z,4,FALSE)+VLOOKUP($A266,A:AL,4,FALSE)-50),"-",(VLOOKUP($A266,'SegEnds_NonXtal_BW#'!$A:$Z,4,FALSE)+VLOOKUP($A266,A:AL,4,FALSE)-50))</f>
        <v>69</v>
      </c>
      <c r="F266" s="3">
        <f>G266-2</f>
        <v>70</v>
      </c>
      <c r="G266" s="3">
        <v>72</v>
      </c>
      <c r="H266" s="3">
        <f t="shared" si="168"/>
        <v>73</v>
      </c>
      <c r="I266" s="3">
        <f t="shared" si="168"/>
        <v>74</v>
      </c>
      <c r="J266" s="3">
        <v>88</v>
      </c>
      <c r="K266" s="3">
        <f>VLOOKUP($A266,'SegEnds_NonXtal_BW#'!$A:$Z,8,FALSE)+VLOOKUP($A266,A:AL,10,FALSE)-50</f>
        <v>104</v>
      </c>
      <c r="L266" s="3">
        <f>M266-1</f>
        <v>105</v>
      </c>
      <c r="M266" s="3">
        <v>106</v>
      </c>
      <c r="N266" s="3">
        <f>M266+2</f>
        <v>108</v>
      </c>
      <c r="O266" s="3">
        <f>N266+1</f>
        <v>109</v>
      </c>
      <c r="P266" s="3">
        <v>138</v>
      </c>
      <c r="Q266" s="3">
        <f>VLOOKUP($A266,'SegEnds_NonXtal_BW#'!$A:$Z,12,FALSE)+VLOOKUP($A266,A:AL,16,FALSE)-50</f>
        <v>144</v>
      </c>
      <c r="R266" s="3" t="str">
        <f>IF(ISERROR(VLOOKUP($A266,'SegEnds_NonXtal_BW#'!$A:$Z,13,FALSE)+VLOOKUP($A266,A:AL,19,FALSE)-50),"-",VLOOKUP($A266,'SegEnds_NonXtal_BW#'!$A:$Z,13,FALSE)+VLOOKUP($A266,A:AL,19,FALSE)-50)</f>
        <v>-</v>
      </c>
      <c r="S266" s="3" t="s">
        <v>23</v>
      </c>
      <c r="T266" s="100" t="str">
        <f>IF(ISERROR(VLOOKUP($A266,'SegEnds_NonXtal_BW#'!$A:$Z,14,FALSE)+VLOOKUP($A266,A:AL,19,FALSE)-50),"-",(VLOOKUP($A266,'SegEnds_NonXtal_BW#'!$A:$Z,14,FALSE)+VLOOKUP($A266,A:AL,19,FALSE)-50))</f>
        <v>-</v>
      </c>
      <c r="U266" s="9">
        <f>IF(ISERROR(VLOOKUP($A266,'SegEnds_NonXtal_BW#'!$A:$Z,15,FALSE)+VLOOKUP($A266,A:AL,22,FALSE)-50),"-",VLOOKUP($A266,'SegEnds_NonXtal_BW#'!$A:$Z,15,FALSE)+VLOOKUP($A266,A:AL,22,FALSE)-50)</f>
        <v>154</v>
      </c>
      <c r="V266" s="3">
        <v>166</v>
      </c>
      <c r="W266" s="3">
        <f>IF(ISERROR(VLOOKUP($A266,'SegEnds_NonXtal_BW#'!$A:$Z,16,FALSE)+VLOOKUP($A266,A:AL,22,FALSE)-50),"-",(VLOOKUP($A266,'SegEnds_NonXtal_BW#'!$A:$Z,16,FALSE)+VLOOKUP($A266,A:AL,22,FALSE)-50))</f>
        <v>180</v>
      </c>
      <c r="X266" s="3">
        <f>IF(ISERROR(VLOOKUP($A266,'SegEnds_NonXtal_BW#'!$A:$Z,17,FALSE)+VLOOKUP($A266,A:AL,25,FALSE)-50),"-",(VLOOKUP($A266,'SegEnds_NonXtal_BW#'!$A:$Z,17,FALSE)+VLOOKUP($A266,A:AL,25,FALSE)-50))</f>
        <v>191</v>
      </c>
      <c r="Y266" s="3">
        <v>191</v>
      </c>
      <c r="Z266" s="3">
        <f t="shared" si="144"/>
        <v>193</v>
      </c>
      <c r="AA266" s="3">
        <f>IF(ISERROR(VLOOKUP($A266,'SegEnds_NonXtal_BW#'!$A:$Z,19,FALSE)+VLOOKUP($A266,A:AL,28,FALSE)-50),"-",(VLOOKUP($A266,'SegEnds_NonXtal_BW#'!$A:$Z,19,FALSE)+VLOOKUP($A266,A:AL,28,FALSE)-50))</f>
        <v>202</v>
      </c>
      <c r="AB266" s="3">
        <v>219</v>
      </c>
      <c r="AC266" s="3">
        <f>IF(ISERROR((VLOOKUP($A266,'SegEnds_NonXtal_BW#'!$A:$Z,20,FALSE)+VLOOKUP($A266,A:AL,28,FALSE)-50)),"-",(VLOOKUP($A266,'SegEnds_NonXtal_BW#'!$A:$Z,20,FALSE)+VLOOKUP($A266,A:AL,28,FALSE)-50))</f>
        <v>237</v>
      </c>
      <c r="AD266" s="3">
        <f>IF(ISERROR(VLOOKUP($A266,'SegEnds_NonXtal_BW#'!$A:$Z,21,FALSE)+VLOOKUP($A266,A:AL,31,FALSE)-50),"-",(VLOOKUP($A266,'SegEnds_NonXtal_BW#'!$A:$Z,21,FALSE)+VLOOKUP($A266,A:AL,31,FALSE)-50))</f>
        <v>242</v>
      </c>
      <c r="AE266" s="3">
        <v>262</v>
      </c>
      <c r="AF266" s="3">
        <f>IF(ISERROR((VLOOKUP($A266,'SegEnds_NonXtal_BW#'!$A:$Z,22,FALSE)+VLOOKUP($A266,A:AL,31,FALSE)-50)),"-",(VLOOKUP($A266,'SegEnds_NonXtal_BW#'!$A:$Z,22,FALSE)+VLOOKUP($A266,A:AL,31,FALSE)-50))</f>
        <v>277</v>
      </c>
      <c r="AG266" s="3">
        <f>IF(ISERROR(VLOOKUP($A266,'SegEnds_NonXtal_BW#'!$A:$Z,23,FALSE)+VLOOKUP($A266,A:AL,34,FALSE)-50),"-",(VLOOKUP($A266,'SegEnds_NonXtal_BW#'!$A:$Z,23,FALSE)+VLOOKUP($A266,A:AL,34,FALSE)-50))</f>
        <v>281</v>
      </c>
      <c r="AH266" s="3">
        <v>307</v>
      </c>
      <c r="AI266" s="3">
        <f>IF(ISERROR((VLOOKUP($A266,'SegEnds_NonXtal_BW#'!$A:$Z,24,FALSE)+VLOOKUP($A266,A:AL,34,FALSE)-50)),"-",(VLOOKUP($A266,'SegEnds_NonXtal_BW#'!$A:$Z,24,FALSE)+VLOOKUP($A266,A:AL,34,FALSE)-50))</f>
        <v>313</v>
      </c>
      <c r="AJ266" s="3">
        <f>IF(ISERROR(VLOOKUP($A266,'SegEnds_NonXtal_BW#'!$A:$Z,25,FALSE)+VLOOKUP($A266,A:AL,37,FALSE)-50),"-",(VLOOKUP($A266,'SegEnds_NonXtal_BW#'!$A:$Z,25,FALSE)+VLOOKUP($A266,A:AL,37,FALSE)-50))</f>
        <v>314</v>
      </c>
      <c r="AK266" s="3">
        <v>317</v>
      </c>
      <c r="AL266" s="3">
        <f>IF(ISERROR((VLOOKUP($A266,'SegEnds_NonXtal_BW#'!$A:$Z,26,FALSE)+VLOOKUP($A266,A:AL,37,FALSE)-50)),"-",(VLOOKUP($A266,'SegEnds_NonXtal_BW#'!$A:$Z,26,FALSE)+VLOOKUP($A266,A:AL,37,FALSE)-50))</f>
        <v>334</v>
      </c>
      <c r="AM266" s="28" t="str">
        <f>VLOOKUP(A266,Classification!A:B,2,FALSE)</f>
        <v>A</v>
      </c>
      <c r="AN266" s="28" t="b">
        <f t="shared" si="167"/>
        <v>1</v>
      </c>
      <c r="AO266" s="3" t="str">
        <f>IF(ISERROR(MATCH(A266,'SegEnds_Xtal_Prot#'!B:B, 0)), "NoXtal", "Xtal")</f>
        <v>NoXtal</v>
      </c>
      <c r="AP266" s="3">
        <f t="shared" si="152"/>
        <v>1</v>
      </c>
      <c r="AQ266" s="3">
        <f t="shared" si="153"/>
        <v>1</v>
      </c>
      <c r="AR266" s="3">
        <f t="shared" si="154"/>
        <v>1</v>
      </c>
      <c r="AS266" s="3">
        <f t="shared" si="155"/>
        <v>1</v>
      </c>
      <c r="AT266" s="3" t="str">
        <f t="shared" si="156"/>
        <v>-</v>
      </c>
      <c r="AU266" s="3" t="str">
        <f t="shared" si="157"/>
        <v>-</v>
      </c>
      <c r="AV266" s="3">
        <f t="shared" si="158"/>
        <v>11</v>
      </c>
      <c r="AW266" s="3">
        <f t="shared" si="159"/>
        <v>9</v>
      </c>
      <c r="AX266" s="3">
        <f t="shared" si="160"/>
        <v>5</v>
      </c>
      <c r="AY266" s="3">
        <f t="shared" si="161"/>
        <v>4</v>
      </c>
      <c r="AZ266" s="3">
        <f t="shared" si="162"/>
        <v>1</v>
      </c>
      <c r="BA266" s="3">
        <f>IF(ISERROR(LEN(VLOOKUP(A266,Seqs!A:E,2,FALSE))-AL266),"-",LEN(VLOOKUP(A266,Seqs!A:E,2,FALSE))-AL266)</f>
        <v>28</v>
      </c>
      <c r="BB266" s="16">
        <f t="shared" si="163"/>
        <v>29</v>
      </c>
      <c r="BC266" s="9" t="str">
        <f t="shared" si="164"/>
        <v>-</v>
      </c>
      <c r="BD266" s="3">
        <f t="shared" si="165"/>
        <v>29</v>
      </c>
      <c r="BE266" s="3">
        <f t="shared" si="166"/>
        <v>43</v>
      </c>
    </row>
    <row r="267" spans="1:58" s="3" customFormat="1" x14ac:dyDescent="0.2">
      <c r="A267" s="3" t="s">
        <v>214</v>
      </c>
      <c r="B267" s="3" t="str">
        <f>LOWER(VLOOKUP(A267,Xtal_Templ!A:B,2,FALSE))</f>
        <v>p2ry1_human</v>
      </c>
      <c r="C267" s="3">
        <f>VLOOKUP($A267,'SegEnds_NonXtal_BW#'!$A:$Z,3,FALSE)+D267-50</f>
        <v>40</v>
      </c>
      <c r="D267" s="3">
        <v>60</v>
      </c>
      <c r="E267" s="3">
        <f>IF(ISERROR(VLOOKUP($A267,'SegEnds_NonXtal_BW#'!$A:$Z,4,FALSE)+VLOOKUP($A267,A:AL,4,FALSE)-50),"-",(VLOOKUP($A267,'SegEnds_NonXtal_BW#'!$A:$Z,4,FALSE)+VLOOKUP($A267,A:AL,4,FALSE)-50))</f>
        <v>70</v>
      </c>
      <c r="F267" s="3" t="str">
        <f>IF(ISERROR(VLOOKUP($A267,'SegEnds_NonXtal_BW#'!$A:$Z,5,FALSE)+VLOOKUP($A267,A:AL,7,FALSE)-50),"-",(VLOOKUP($A267,'SegEnds_NonXtal_BW#'!$A:$Z,5,FALSE)+VLOOKUP($A267,A:AL,7,FALSE)-50))</f>
        <v>-</v>
      </c>
      <c r="G267" s="3" t="s">
        <v>23</v>
      </c>
      <c r="H267" s="3" t="str">
        <f>IF(ISERROR(VLOOKUP($A267,'SegEnds_NonXtal_BW#'!$A:$Z,6,FALSE)+VLOOKUP($A267,A:AL,7,FALSE)-50),"-",(VLOOKUP($A267,'SegEnds_NonXtal_BW#'!$A:$Z,6,FALSE)+VLOOKUP($A267,A:AL,7,FALSE)-50))</f>
        <v>-</v>
      </c>
      <c r="I267" s="3">
        <f>VLOOKUP($A267,'SegEnds_NonXtal_BW#'!$A:$Z,7,FALSE)+J267-50</f>
        <v>75</v>
      </c>
      <c r="J267" s="3">
        <v>88</v>
      </c>
      <c r="K267" s="3">
        <f>VLOOKUP($A267,'SegEnds_NonXtal_BW#'!$A:$Z,8,FALSE)+VLOOKUP($A267,A:AL,10,FALSE)-50</f>
        <v>104</v>
      </c>
      <c r="L267" s="3">
        <f>M267-1</f>
        <v>107</v>
      </c>
      <c r="M267" s="3">
        <v>108</v>
      </c>
      <c r="N267" s="3">
        <f>M267+2</f>
        <v>110</v>
      </c>
      <c r="O267" s="3">
        <f>N267+1</f>
        <v>111</v>
      </c>
      <c r="P267" s="3">
        <v>140</v>
      </c>
      <c r="Q267" s="3">
        <f>VLOOKUP($A267,'SegEnds_NonXtal_BW#'!$A:$Z,12,FALSE)+VLOOKUP($A267,A:AL,16,FALSE)-50</f>
        <v>146</v>
      </c>
      <c r="R267" s="3" t="str">
        <f>IF(ISERROR(VLOOKUP($A267,'SegEnds_NonXtal_BW#'!$A:$Z,13,FALSE)+VLOOKUP($A267,A:AL,19,FALSE)-50),"-",VLOOKUP($A267,'SegEnds_NonXtal_BW#'!$A:$Z,13,FALSE)+VLOOKUP($A267,A:AL,19,FALSE)-50)</f>
        <v>-</v>
      </c>
      <c r="S267" s="3" t="s">
        <v>23</v>
      </c>
      <c r="T267" s="100" t="str">
        <f>IF(ISERROR(VLOOKUP($A267,'SegEnds_NonXtal_BW#'!$A:$Z,14,FALSE)+VLOOKUP($A267,A:AL,19,FALSE)-50),"-",(VLOOKUP($A267,'SegEnds_NonXtal_BW#'!$A:$Z,14,FALSE)+VLOOKUP($A267,A:AL,19,FALSE)-50))</f>
        <v>-</v>
      </c>
      <c r="U267" s="9">
        <f>IF(ISERROR(VLOOKUP($A267,'SegEnds_NonXtal_BW#'!$A:$Z,15,FALSE)+VLOOKUP($A267,A:AL,22,FALSE)-50),"-",VLOOKUP($A267,'SegEnds_NonXtal_BW#'!$A:$Z,15,FALSE)+VLOOKUP($A267,A:AL,22,FALSE)-50)</f>
        <v>155</v>
      </c>
      <c r="V267" s="3">
        <v>167</v>
      </c>
      <c r="W267" s="3">
        <f>IF(ISERROR(VLOOKUP($A267,'SegEnds_NonXtal_BW#'!$A:$Z,16,FALSE)+VLOOKUP($A267,A:AL,22,FALSE)-50),"-",(VLOOKUP($A267,'SegEnds_NonXtal_BW#'!$A:$Z,16,FALSE)+VLOOKUP($A267,A:AL,22,FALSE)-50))</f>
        <v>181</v>
      </c>
      <c r="X267" s="3">
        <f>IF(ISERROR(VLOOKUP($A267,'SegEnds_NonXtal_BW#'!$A:$Z,17,FALSE)+VLOOKUP($A267,A:AL,25,FALSE)-50),"-",(VLOOKUP($A267,'SegEnds_NonXtal_BW#'!$A:$Z,17,FALSE)+VLOOKUP($A267,A:AL,25,FALSE)-50))</f>
        <v>186</v>
      </c>
      <c r="Y267" s="3">
        <v>186</v>
      </c>
      <c r="Z267" s="3">
        <f t="shared" si="144"/>
        <v>188</v>
      </c>
      <c r="AA267" s="3">
        <f>IF(ISERROR(VLOOKUP($A267,'SegEnds_NonXtal_BW#'!$A:$Z,19,FALSE)+VLOOKUP($A267,A:AL,28,FALSE)-50),"-",(VLOOKUP($A267,'SegEnds_NonXtal_BW#'!$A:$Z,19,FALSE)+VLOOKUP($A267,A:AL,28,FALSE)-50))</f>
        <v>193</v>
      </c>
      <c r="AB267" s="3">
        <v>211</v>
      </c>
      <c r="AC267" s="3">
        <f>IF(ISERROR((VLOOKUP($A267,'SegEnds_NonXtal_BW#'!$A:$Z,20,FALSE)+VLOOKUP($A267,A:AL,28,FALSE)-50)),"-",(VLOOKUP($A267,'SegEnds_NonXtal_BW#'!$A:$Z,20,FALSE)+VLOOKUP($A267,A:AL,28,FALSE)-50))</f>
        <v>228</v>
      </c>
      <c r="AD267" s="3">
        <f>IF(ISERROR(VLOOKUP($A267,'SegEnds_NonXtal_BW#'!$A:$Z,21,FALSE)+VLOOKUP($A267,A:AL,31,FALSE)-50),"-",(VLOOKUP($A267,'SegEnds_NonXtal_BW#'!$A:$Z,21,FALSE)+VLOOKUP($A267,A:AL,31,FALSE)-50))</f>
        <v>233</v>
      </c>
      <c r="AE267" s="3">
        <v>257</v>
      </c>
      <c r="AF267" s="3">
        <f>IF(ISERROR((VLOOKUP($A267,'SegEnds_NonXtal_BW#'!$A:$Z,22,FALSE)+VLOOKUP($A267,A:AL,31,FALSE)-50)),"-",(VLOOKUP($A267,'SegEnds_NonXtal_BW#'!$A:$Z,22,FALSE)+VLOOKUP($A267,A:AL,31,FALSE)-50))</f>
        <v>271</v>
      </c>
      <c r="AG267" s="3">
        <f>IF(ISERROR(VLOOKUP($A267,'SegEnds_NonXtal_BW#'!$A:$Z,23,FALSE)+VLOOKUP($A267,A:AL,34,FALSE)-50),"-",(VLOOKUP($A267,'SegEnds_NonXtal_BW#'!$A:$Z,23,FALSE)+VLOOKUP($A267,A:AL,34,FALSE)-50))</f>
        <v>279</v>
      </c>
      <c r="AH267" s="3">
        <v>305</v>
      </c>
      <c r="AI267" s="3">
        <f>IF(ISERROR((VLOOKUP($A267,'SegEnds_NonXtal_BW#'!$A:$Z,24,FALSE)+VLOOKUP($A267,A:AL,34,FALSE)-50)),"-",(VLOOKUP($A267,'SegEnds_NonXtal_BW#'!$A:$Z,24,FALSE)+VLOOKUP($A267,A:AL,34,FALSE)-50))</f>
        <v>311</v>
      </c>
      <c r="AJ267" s="3">
        <f>IF(ISERROR(VLOOKUP($A267,'SegEnds_NonXtal_BW#'!$A:$Z,25,FALSE)+VLOOKUP($A267,A:AL,37,FALSE)-50),"-",(VLOOKUP($A267,'SegEnds_NonXtal_BW#'!$A:$Z,25,FALSE)+VLOOKUP($A267,A:AL,37,FALSE)-50))</f>
        <v>312</v>
      </c>
      <c r="AK267" s="3">
        <v>315</v>
      </c>
      <c r="AL267" s="3">
        <f>IF(ISERROR((VLOOKUP($A267,'SegEnds_NonXtal_BW#'!$A:$Z,26,FALSE)+VLOOKUP($A267,A:AL,37,FALSE)-50)),"-",(VLOOKUP($A267,'SegEnds_NonXtal_BW#'!$A:$Z,26,FALSE)+VLOOKUP($A267,A:AL,37,FALSE)-50))</f>
        <v>324</v>
      </c>
      <c r="AM267" s="28" t="str">
        <f>VLOOKUP(A267,Classification!A:B,2,FALSE)</f>
        <v>A</v>
      </c>
      <c r="AN267" s="28" t="b">
        <f t="shared" si="167"/>
        <v>1</v>
      </c>
      <c r="AO267" s="3" t="str">
        <f>IF(ISERROR(MATCH(A267,'SegEnds_Xtal_Prot#'!B:B, 0)), "NoXtal", "Xtal")</f>
        <v>NoXtal</v>
      </c>
      <c r="AP267" s="3" t="str">
        <f t="shared" si="152"/>
        <v>-</v>
      </c>
      <c r="AQ267" s="3" t="str">
        <f t="shared" si="153"/>
        <v>-</v>
      </c>
      <c r="AR267" s="3">
        <f t="shared" si="154"/>
        <v>3</v>
      </c>
      <c r="AS267" s="3">
        <f t="shared" si="155"/>
        <v>1</v>
      </c>
      <c r="AT267" s="3" t="str">
        <f t="shared" si="156"/>
        <v>-</v>
      </c>
      <c r="AU267" s="3" t="str">
        <f t="shared" si="157"/>
        <v>-</v>
      </c>
      <c r="AV267" s="3">
        <f t="shared" si="158"/>
        <v>5</v>
      </c>
      <c r="AW267" s="3">
        <f t="shared" si="159"/>
        <v>5</v>
      </c>
      <c r="AX267" s="3">
        <f t="shared" si="160"/>
        <v>5</v>
      </c>
      <c r="AY267" s="3">
        <f t="shared" si="161"/>
        <v>8</v>
      </c>
      <c r="AZ267" s="3">
        <f t="shared" si="162"/>
        <v>1</v>
      </c>
      <c r="BA267" s="3">
        <f>IF(ISERROR(LEN(VLOOKUP(A267,Seqs!A:E,2,FALSE))-AL267),"-",LEN(VLOOKUP(A267,Seqs!A:E,2,FALSE))-AL267)</f>
        <v>56</v>
      </c>
      <c r="BB267" s="16">
        <f t="shared" si="163"/>
        <v>28</v>
      </c>
      <c r="BC267" s="9" t="str">
        <f t="shared" si="164"/>
        <v>-</v>
      </c>
      <c r="BD267" s="3">
        <f t="shared" si="165"/>
        <v>28</v>
      </c>
      <c r="BE267" s="3">
        <f t="shared" si="166"/>
        <v>46</v>
      </c>
    </row>
    <row r="268" spans="1:58" s="3" customFormat="1" x14ac:dyDescent="0.2">
      <c r="A268" s="3" t="s">
        <v>215</v>
      </c>
      <c r="B268" s="3" t="str">
        <f>LOWER(VLOOKUP(A268,Xtal_Templ!A:B,2,FALSE))</f>
        <v>ox1r_human</v>
      </c>
      <c r="C268" s="3">
        <f>VLOOKUP($A268,'SegEnds_NonXtal_BW#'!$A:$Z,3,FALSE)+D268-50</f>
        <v>103</v>
      </c>
      <c r="D268" s="3">
        <v>121</v>
      </c>
      <c r="E268" s="3">
        <f>IF(ISERROR(VLOOKUP($A268,'SegEnds_NonXtal_BW#'!$A:$Z,4,FALSE)+VLOOKUP($A268,A:AL,4,FALSE)-50),"-",(VLOOKUP($A268,'SegEnds_NonXtal_BW#'!$A:$Z,4,FALSE)+VLOOKUP($A268,A:AL,4,FALSE)-50))</f>
        <v>131</v>
      </c>
      <c r="F268" s="3">
        <f>G268-2</f>
        <v>132</v>
      </c>
      <c r="G268" s="3">
        <v>134</v>
      </c>
      <c r="H268" s="3">
        <f>G268+1</f>
        <v>135</v>
      </c>
      <c r="I268" s="3">
        <f>H268+1</f>
        <v>136</v>
      </c>
      <c r="J268" s="3">
        <v>149</v>
      </c>
      <c r="K268" s="3">
        <f>VLOOKUP($A268,'SegEnds_NonXtal_BW#'!$A:$Z,8,FALSE)+VLOOKUP($A268,A:AL,10,FALSE)-50</f>
        <v>166</v>
      </c>
      <c r="L268" s="3" t="str">
        <f>IF(ISERROR(VLOOKUP($A268,'SegEnds_NonXtal_BW#'!$A:$Z,9,FALSE)+VLOOKUP($A268,A:AL,13,FALSE)-50),"-",(VLOOKUP($A268,'SegEnds_NonXtal_BW#'!$A:$Z,9,FALSE)+VLOOKUP($A268,A:AL,13,FALSE)-50))</f>
        <v>-</v>
      </c>
      <c r="M268" s="3" t="s">
        <v>23</v>
      </c>
      <c r="N268" s="3" t="str">
        <f>IF(ISERROR(VLOOKUP($A268,'SegEnds_NonXtal_BW#'!$A:$Z,10,FALSE)+VLOOKUP($A268,A:AL,13,FALSE)-50),"-",(VLOOKUP($A268,'SegEnds_NonXtal_BW#'!$A:$Z,10,FALSE)+VLOOKUP($A268,A:AL,13,FALSE)-50))</f>
        <v>-</v>
      </c>
      <c r="O268" s="3">
        <f>VLOOKUP($A268,'SegEnds_NonXtal_BW#'!$A:$Z,11,FALSE)+VLOOKUP($A268,A:AL,16,FALSE)-50</f>
        <v>177</v>
      </c>
      <c r="P268" s="3">
        <v>209</v>
      </c>
      <c r="Q268" s="3">
        <f>VLOOKUP($A268,'SegEnds_NonXtal_BW#'!$A:$Z,12,FALSE)+VLOOKUP($A268,A:AL,16,FALSE)-50</f>
        <v>215</v>
      </c>
      <c r="R268" s="3" t="str">
        <f>IF(ISERROR(VLOOKUP($A268,'SegEnds_NonXtal_BW#'!$A:$Z,13,FALSE)+VLOOKUP($A268,A:AL,19,FALSE)-50),"-",VLOOKUP($A268,'SegEnds_NonXtal_BW#'!$A:$Z,13,FALSE)+VLOOKUP($A268,A:AL,19,FALSE)-50)</f>
        <v>-</v>
      </c>
      <c r="S268" s="3" t="s">
        <v>23</v>
      </c>
      <c r="T268" s="100" t="str">
        <f>IF(ISERROR(VLOOKUP($A268,'SegEnds_NonXtal_BW#'!$A:$Z,14,FALSE)+VLOOKUP($A268,A:AL,19,FALSE)-50),"-",(VLOOKUP($A268,'SegEnds_NonXtal_BW#'!$A:$Z,14,FALSE)+VLOOKUP($A268,A:AL,19,FALSE)-50))</f>
        <v>-</v>
      </c>
      <c r="U268" s="9">
        <f>IF(ISERROR(VLOOKUP($A268,'SegEnds_NonXtal_BW#'!$A:$Z,15,FALSE)+VLOOKUP($A268,A:AL,22,FALSE)-50),"-",VLOOKUP($A268,'SegEnds_NonXtal_BW#'!$A:$Z,15,FALSE)+VLOOKUP($A268,A:AL,22,FALSE)-50)</f>
        <v>222</v>
      </c>
      <c r="V268" s="3">
        <v>234</v>
      </c>
      <c r="W268" s="3">
        <f>IF(ISERROR(VLOOKUP($A268,'SegEnds_NonXtal_BW#'!$A:$Z,16,FALSE)+VLOOKUP($A268,A:AL,22,FALSE)-50),"-",(VLOOKUP($A268,'SegEnds_NonXtal_BW#'!$A:$Z,16,FALSE)+VLOOKUP($A268,A:AL,22,FALSE)-50))</f>
        <v>248</v>
      </c>
      <c r="X268" s="3">
        <f>IF(ISERROR(VLOOKUP($A268,'SegEnds_NonXtal_BW#'!$A:$Z,17,FALSE)+VLOOKUP($A268,A:AL,25,FALSE)-50),"-",(VLOOKUP($A268,'SegEnds_NonXtal_BW#'!$A:$Z,17,FALSE)+VLOOKUP($A268,A:AL,25,FALSE)-50))</f>
        <v>262</v>
      </c>
      <c r="Y268" s="3">
        <v>262</v>
      </c>
      <c r="Z268" s="3">
        <f t="shared" si="144"/>
        <v>264</v>
      </c>
      <c r="AA268" s="3">
        <f>IF(ISERROR(VLOOKUP($A268,'SegEnds_NonXtal_BW#'!$A:$Z,19,FALSE)+VLOOKUP($A268,A:AL,28,FALSE)-50),"-",(VLOOKUP($A268,'SegEnds_NonXtal_BW#'!$A:$Z,19,FALSE)+VLOOKUP($A268,A:AL,28,FALSE)-50))</f>
        <v>271</v>
      </c>
      <c r="AB268" s="3">
        <v>289</v>
      </c>
      <c r="AC268" s="3">
        <f>IF(ISERROR((VLOOKUP($A268,'SegEnds_NonXtal_BW#'!$A:$Z,20,FALSE)+VLOOKUP($A268,A:AL,28,FALSE)-50)),"-",(VLOOKUP($A268,'SegEnds_NonXtal_BW#'!$A:$Z,20,FALSE)+VLOOKUP($A268,A:AL,28,FALSE)-50))</f>
        <v>312</v>
      </c>
      <c r="AD268" s="3">
        <f>IF(ISERROR(VLOOKUP($A268,'SegEnds_NonXtal_BW#'!$A:$Z,21,FALSE)+VLOOKUP($A268,A:AL,31,FALSE)-50),"-",(VLOOKUP($A268,'SegEnds_NonXtal_BW#'!$A:$Z,21,FALSE)+VLOOKUP($A268,A:AL,31,FALSE)-50))</f>
        <v>318</v>
      </c>
      <c r="AE268" s="3">
        <v>346</v>
      </c>
      <c r="AF268" s="3">
        <f>IF(ISERROR((VLOOKUP($A268,'SegEnds_NonXtal_BW#'!$A:$Z,22,FALSE)+VLOOKUP($A268,A:AL,31,FALSE)-50)),"-",(VLOOKUP($A268,'SegEnds_NonXtal_BW#'!$A:$Z,22,FALSE)+VLOOKUP($A268,A:AL,31,FALSE)-50))</f>
        <v>357</v>
      </c>
      <c r="AG268" s="3">
        <f>IF(ISERROR(VLOOKUP($A268,'SegEnds_NonXtal_BW#'!$A:$Z,23,FALSE)+VLOOKUP($A268,A:AL,34,FALSE)-50),"-",(VLOOKUP($A268,'SegEnds_NonXtal_BW#'!$A:$Z,23,FALSE)+VLOOKUP($A268,A:AL,34,FALSE)-50))</f>
        <v>362</v>
      </c>
      <c r="AH268" s="3">
        <v>384</v>
      </c>
      <c r="AI268" s="3">
        <f>IF(ISERROR((VLOOKUP($A268,'SegEnds_NonXtal_BW#'!$A:$Z,24,FALSE)+VLOOKUP($A268,A:AL,34,FALSE)-50)),"-",(VLOOKUP($A268,'SegEnds_NonXtal_BW#'!$A:$Z,24,FALSE)+VLOOKUP($A268,A:AL,34,FALSE)-50))</f>
        <v>390</v>
      </c>
      <c r="AJ268" s="3">
        <f>IF(ISERROR(VLOOKUP($A268,'SegEnds_NonXtal_BW#'!$A:$Z,25,FALSE)+VLOOKUP($A268,A:AL,37,FALSE)-50),"-",(VLOOKUP($A268,'SegEnds_NonXtal_BW#'!$A:$Z,25,FALSE)+VLOOKUP($A268,A:AL,37,FALSE)-50))</f>
        <v>391</v>
      </c>
      <c r="AK268" s="3">
        <v>394</v>
      </c>
      <c r="AL268" s="3">
        <f>IF(ISERROR((VLOOKUP($A268,'SegEnds_NonXtal_BW#'!$A:$Z,26,FALSE)+VLOOKUP($A268,A:AL,37,FALSE)-50)),"-",(VLOOKUP($A268,'SegEnds_NonXtal_BW#'!$A:$Z,26,FALSE)+VLOOKUP($A268,A:AL,37,FALSE)-50))</f>
        <v>402</v>
      </c>
      <c r="AM268" s="28" t="str">
        <f>VLOOKUP(A268,Classification!A:B,2,FALSE)</f>
        <v>A</v>
      </c>
      <c r="AN268" s="28" t="b">
        <f t="shared" si="167"/>
        <v>1</v>
      </c>
      <c r="AO268" s="3" t="str">
        <f>IF(ISERROR(MATCH(A268,'SegEnds_Xtal_Prot#'!B:B, 0)), "NoXtal", "Xtal")</f>
        <v>NoXtal</v>
      </c>
      <c r="AP268" s="3">
        <f t="shared" si="152"/>
        <v>1</v>
      </c>
      <c r="AQ268" s="3">
        <f t="shared" si="153"/>
        <v>1</v>
      </c>
      <c r="AR268" s="3" t="str">
        <f t="shared" si="154"/>
        <v>-</v>
      </c>
      <c r="AS268" s="3" t="str">
        <f t="shared" si="155"/>
        <v>-</v>
      </c>
      <c r="AT268" s="3" t="str">
        <f t="shared" si="156"/>
        <v>-</v>
      </c>
      <c r="AU268" s="3" t="str">
        <f t="shared" si="157"/>
        <v>-</v>
      </c>
      <c r="AV268" s="3">
        <f t="shared" si="158"/>
        <v>14</v>
      </c>
      <c r="AW268" s="3">
        <f t="shared" si="159"/>
        <v>7</v>
      </c>
      <c r="AX268" s="3">
        <f t="shared" si="160"/>
        <v>6</v>
      </c>
      <c r="AY268" s="3">
        <f t="shared" si="161"/>
        <v>5</v>
      </c>
      <c r="AZ268" s="3">
        <f t="shared" si="162"/>
        <v>1</v>
      </c>
      <c r="BA268" s="3">
        <f>IF(ISERROR(LEN(VLOOKUP(A268,Seqs!A:E,2,FALSE))-AL268),"-",LEN(VLOOKUP(A268,Seqs!A:E,2,FALSE))-AL268)</f>
        <v>92</v>
      </c>
      <c r="BB268" s="16">
        <f t="shared" si="163"/>
        <v>28</v>
      </c>
      <c r="BC268" s="9" t="str">
        <f t="shared" si="164"/>
        <v>-</v>
      </c>
      <c r="BD268" s="3">
        <f t="shared" si="165"/>
        <v>28</v>
      </c>
      <c r="BE268" s="3">
        <f t="shared" si="166"/>
        <v>57</v>
      </c>
    </row>
    <row r="269" spans="1:58" s="3" customFormat="1" x14ac:dyDescent="0.2">
      <c r="A269" s="3" t="s">
        <v>219</v>
      </c>
      <c r="B269" s="3" t="str">
        <f>LOWER(VLOOKUP(A269,Xtal_Templ!A:B,2,FALSE))</f>
        <v>agtr1_human</v>
      </c>
      <c r="C269" s="3">
        <f>VLOOKUP($A269,'SegEnds_NonXtal_BW#'!$A:$Z,3,FALSE)+D269-50</f>
        <v>25</v>
      </c>
      <c r="D269" s="3">
        <v>45</v>
      </c>
      <c r="E269" s="3">
        <f>IF(ISERROR(VLOOKUP($A269,'SegEnds_NonXtal_BW#'!$A:$Z,4,FALSE)+VLOOKUP($A269,A:AL,4,FALSE)-50),"-",(VLOOKUP($A269,'SegEnds_NonXtal_BW#'!$A:$Z,4,FALSE)+VLOOKUP($A269,A:AL,4,FALSE)-50))</f>
        <v>55</v>
      </c>
      <c r="F269" s="3" t="str">
        <f>IF(ISERROR(VLOOKUP($A269,'SegEnds_NonXtal_BW#'!$A:$Z,5,FALSE)+VLOOKUP($A269,A:AL,7,FALSE)-50),"-",(VLOOKUP($A269,'SegEnds_NonXtal_BW#'!$A:$Z,5,FALSE)+VLOOKUP($A269,A:AL,7,FALSE)-50))</f>
        <v>-</v>
      </c>
      <c r="G269" s="3" t="s">
        <v>23</v>
      </c>
      <c r="H269" s="3" t="str">
        <f>IF(ISERROR(VLOOKUP($A269,'SegEnds_NonXtal_BW#'!$A:$Z,6,FALSE)+VLOOKUP($A269,A:AL,7,FALSE)-50),"-",(VLOOKUP($A269,'SegEnds_NonXtal_BW#'!$A:$Z,6,FALSE)+VLOOKUP($A269,A:AL,7,FALSE)-50))</f>
        <v>-</v>
      </c>
      <c r="I269" s="3">
        <f>VLOOKUP($A269,'SegEnds_NonXtal_BW#'!$A:$Z,7,FALSE)+J269-50</f>
        <v>65</v>
      </c>
      <c r="J269" s="3">
        <v>78</v>
      </c>
      <c r="K269" s="3">
        <f>VLOOKUP($A269,'SegEnds_NonXtal_BW#'!$A:$Z,8,FALSE)+VLOOKUP($A269,A:AL,10,FALSE)-50</f>
        <v>91</v>
      </c>
      <c r="L269" s="3">
        <f>M269-1</f>
        <v>94</v>
      </c>
      <c r="M269" s="3">
        <v>95</v>
      </c>
      <c r="N269" s="3">
        <f>M269+2</f>
        <v>97</v>
      </c>
      <c r="O269" s="3">
        <f>N269+1</f>
        <v>98</v>
      </c>
      <c r="P269" s="3">
        <v>127</v>
      </c>
      <c r="Q269" s="3">
        <f>VLOOKUP($A269,'SegEnds_NonXtal_BW#'!$A:$Z,12,FALSE)+VLOOKUP($A269,A:AL,16,FALSE)-50</f>
        <v>133</v>
      </c>
      <c r="R269" s="3" t="str">
        <f>IF(ISERROR(VLOOKUP($A269,'SegEnds_NonXtal_BW#'!$A:$Z,13,FALSE)+VLOOKUP($A269,A:AL,19,FALSE)-50),"-",VLOOKUP($A269,'SegEnds_NonXtal_BW#'!$A:$Z,13,FALSE)+VLOOKUP($A269,A:AL,19,FALSE)-50)</f>
        <v>-</v>
      </c>
      <c r="S269" s="3" t="s">
        <v>23</v>
      </c>
      <c r="T269" s="100" t="str">
        <f>IF(ISERROR(VLOOKUP($A269,'SegEnds_NonXtal_BW#'!$A:$Z,14,FALSE)+VLOOKUP($A269,A:AL,19,FALSE)-50),"-",(VLOOKUP($A269,'SegEnds_NonXtal_BW#'!$A:$Z,14,FALSE)+VLOOKUP($A269,A:AL,19,FALSE)-50))</f>
        <v>-</v>
      </c>
      <c r="U269" s="9">
        <f>IF(ISERROR(VLOOKUP($A269,'SegEnds_NonXtal_BW#'!$A:$Z,15,FALSE)+VLOOKUP($A269,A:AL,22,FALSE)-50),"-",VLOOKUP($A269,'SegEnds_NonXtal_BW#'!$A:$Z,15,FALSE)+VLOOKUP($A269,A:AL,22,FALSE)-50)</f>
        <v>140</v>
      </c>
      <c r="V269" s="3">
        <v>152</v>
      </c>
      <c r="W269" s="3">
        <f>IF(ISERROR(VLOOKUP($A269,'SegEnds_NonXtal_BW#'!$A:$Z,16,FALSE)+VLOOKUP($A269,A:AL,22,FALSE)-50),"-",(VLOOKUP($A269,'SegEnds_NonXtal_BW#'!$A:$Z,16,FALSE)+VLOOKUP($A269,A:AL,22,FALSE)-50))</f>
        <v>166</v>
      </c>
      <c r="X269" s="3" t="str">
        <f>IF(ISERROR(VLOOKUP($A269,'SegEnds_NonXtal_BW#'!$A:$Z,17,FALSE)+VLOOKUP($A269,A:AL,25,FALSE)-50),"-",(VLOOKUP($A269,'SegEnds_NonXtal_BW#'!$A:$Z,17,FALSE)+VLOOKUP($A269,A:AL,25,FALSE)-50))</f>
        <v>-</v>
      </c>
      <c r="Y269" s="3" t="s">
        <v>23</v>
      </c>
      <c r="Z269" s="3" t="str">
        <f>IF(ISERROR(VLOOKUP($A269,'SegEnds_NonXtal_BW#'!$A:$Z,18,FALSE)+VLOOKUP($A269,A:AL,25,FALSE)-50),"-",(VLOOKUP($A269,'SegEnds_NonXtal_BW#'!$A:$Z,18,FALSE)+VLOOKUP($A269,A:AL,25,FALSE)-50))</f>
        <v>-</v>
      </c>
      <c r="AA269" s="3">
        <f>IF(ISERROR(VLOOKUP($A269,'SegEnds_NonXtal_BW#'!$A:$Z,19,FALSE)+VLOOKUP($A269,A:AL,28,FALSE)-50),"-",(VLOOKUP($A269,'SegEnds_NonXtal_BW#'!$A:$Z,19,FALSE)+VLOOKUP($A269,A:AL,28,FALSE)-50))</f>
        <v>183</v>
      </c>
      <c r="AB269" s="3">
        <v>199</v>
      </c>
      <c r="AC269" s="3">
        <f>IF(ISERROR((VLOOKUP($A269,'SegEnds_NonXtal_BW#'!$A:$Z,20,FALSE)+VLOOKUP($A269,A:AL,28,FALSE)-50)),"-",(VLOOKUP($A269,'SegEnds_NonXtal_BW#'!$A:$Z,20,FALSE)+VLOOKUP($A269,A:AL,28,FALSE)-50))</f>
        <v>217</v>
      </c>
      <c r="AD269" s="3">
        <f>IF(ISERROR(VLOOKUP($A269,'SegEnds_NonXtal_BW#'!$A:$Z,21,FALSE)+VLOOKUP($A269,A:AL,31,FALSE)-50),"-",(VLOOKUP($A269,'SegEnds_NonXtal_BW#'!$A:$Z,21,FALSE)+VLOOKUP($A269,A:AL,31,FALSE)-50))</f>
        <v>222</v>
      </c>
      <c r="AE269" s="3">
        <v>248</v>
      </c>
      <c r="AF269" s="3">
        <f>IF(ISERROR((VLOOKUP($A269,'SegEnds_NonXtal_BW#'!$A:$Z,22,FALSE)+VLOOKUP($A269,A:AL,31,FALSE)-50)),"-",(VLOOKUP($A269,'SegEnds_NonXtal_BW#'!$A:$Z,22,FALSE)+VLOOKUP($A269,A:AL,31,FALSE)-50))</f>
        <v>262</v>
      </c>
      <c r="AG269" s="3">
        <f>IF(ISERROR(VLOOKUP($A269,'SegEnds_NonXtal_BW#'!$A:$Z,23,FALSE)+VLOOKUP($A269,A:AL,34,FALSE)-50),"-",(VLOOKUP($A269,'SegEnds_NonXtal_BW#'!$A:$Z,23,FALSE)+VLOOKUP($A269,A:AL,34,FALSE)-50))</f>
        <v>267</v>
      </c>
      <c r="AH269" s="3">
        <v>293</v>
      </c>
      <c r="AI269" s="3">
        <f>IF(ISERROR((VLOOKUP($A269,'SegEnds_NonXtal_BW#'!$A:$Z,24,FALSE)+VLOOKUP($A269,A:AL,34,FALSE)-50)),"-",(VLOOKUP($A269,'SegEnds_NonXtal_BW#'!$A:$Z,24,FALSE)+VLOOKUP($A269,A:AL,34,FALSE)-50))</f>
        <v>299</v>
      </c>
      <c r="AJ269" s="3">
        <f>IF(ISERROR(VLOOKUP($A269,'SegEnds_NonXtal_BW#'!$A:$Z,25,FALSE)+VLOOKUP($A269,A:AL,37,FALSE)-50),"-",(VLOOKUP($A269,'SegEnds_NonXtal_BW#'!$A:$Z,25,FALSE)+VLOOKUP($A269,A:AL,37,FALSE)-50))</f>
        <v>300</v>
      </c>
      <c r="AK269" s="3">
        <v>303</v>
      </c>
      <c r="AL269" s="3">
        <f>IF(ISERROR((VLOOKUP($A269,'SegEnds_NonXtal_BW#'!$A:$Z,26,FALSE)+VLOOKUP($A269,A:AL,37,FALSE)-50)),"-",(VLOOKUP($A269,'SegEnds_NonXtal_BW#'!$A:$Z,26,FALSE)+VLOOKUP($A269,A:AL,37,FALSE)-50))</f>
        <v>314</v>
      </c>
      <c r="AM269" s="28" t="str">
        <f>VLOOKUP(A269,Classification!A:B,2,FALSE)</f>
        <v>A</v>
      </c>
      <c r="AN269" s="28" t="b">
        <f t="shared" si="167"/>
        <v>1</v>
      </c>
      <c r="AO269" s="3" t="str">
        <f>IF(ISERROR(MATCH(A269,'SegEnds_Xtal_Prot#'!B:B, 0)), "NoXtal", "Xtal")</f>
        <v>NoXtal</v>
      </c>
      <c r="AP269" s="3" t="str">
        <f t="shared" si="152"/>
        <v>-</v>
      </c>
      <c r="AQ269" s="3" t="str">
        <f t="shared" si="153"/>
        <v>-</v>
      </c>
      <c r="AR269" s="3">
        <f t="shared" si="154"/>
        <v>3</v>
      </c>
      <c r="AS269" s="3">
        <f t="shared" si="155"/>
        <v>1</v>
      </c>
      <c r="AT269" s="3" t="str">
        <f t="shared" si="156"/>
        <v>-</v>
      </c>
      <c r="AU269" s="3" t="str">
        <f t="shared" si="157"/>
        <v>-</v>
      </c>
      <c r="AV269" s="3" t="str">
        <f t="shared" si="158"/>
        <v>-</v>
      </c>
      <c r="AW269" s="3" t="str">
        <f t="shared" si="159"/>
        <v>-</v>
      </c>
      <c r="AX269" s="3">
        <f t="shared" si="160"/>
        <v>5</v>
      </c>
      <c r="AY269" s="3">
        <f t="shared" si="161"/>
        <v>5</v>
      </c>
      <c r="AZ269" s="3">
        <f t="shared" si="162"/>
        <v>1</v>
      </c>
      <c r="BA269" s="3">
        <f>IF(ISERROR(LEN(VLOOKUP(A269,Seqs!A:E,2,FALSE))-AL269),"-",LEN(VLOOKUP(A269,Seqs!A:E,2,FALSE))-AL269)</f>
        <v>19</v>
      </c>
      <c r="BB269" s="16">
        <f t="shared" si="163"/>
        <v>33</v>
      </c>
      <c r="BC269" s="9" t="str">
        <f t="shared" si="164"/>
        <v>-</v>
      </c>
      <c r="BD269" s="3">
        <f t="shared" si="165"/>
        <v>33</v>
      </c>
      <c r="BE269" s="3">
        <f t="shared" si="166"/>
        <v>49</v>
      </c>
      <c r="BF269" s="3">
        <f>AH269-AE269</f>
        <v>45</v>
      </c>
    </row>
    <row r="270" spans="1:58" s="3" customFormat="1" x14ac:dyDescent="0.2">
      <c r="A270" s="3" t="s">
        <v>221</v>
      </c>
      <c r="B270" s="3" t="str">
        <f>LOWER(VLOOKUP(A270,Xtal_Templ!A:B,2,FALSE))</f>
        <v>s1pr1_human</v>
      </c>
      <c r="C270" s="3">
        <f>VLOOKUP($A270,'SegEnds_NonXtal_BW#'!$A:$Z,3,FALSE)+D270-50</f>
        <v>12</v>
      </c>
      <c r="D270" s="3">
        <v>33</v>
      </c>
      <c r="E270" s="3">
        <f>IF(ISERROR(VLOOKUP($A270,'SegEnds_NonXtal_BW#'!$A:$Z,4,FALSE)+VLOOKUP($A270,A:AL,4,FALSE)-50),"-",(VLOOKUP($A270,'SegEnds_NonXtal_BW#'!$A:$Z,4,FALSE)+VLOOKUP($A270,A:AL,4,FALSE)-50))</f>
        <v>43</v>
      </c>
      <c r="F270" s="3" t="str">
        <f>IF(ISERROR(VLOOKUP($A270,'SegEnds_NonXtal_BW#'!$A:$Z,5,FALSE)+VLOOKUP($A270,A:AL,7,FALSE)-50),"-",(VLOOKUP($A270,'SegEnds_NonXtal_BW#'!$A:$Z,5,FALSE)+VLOOKUP($A270,A:AL,7,FALSE)-50))</f>
        <v>-</v>
      </c>
      <c r="G270" s="3" t="s">
        <v>23</v>
      </c>
      <c r="H270" s="3" t="str">
        <f>IF(ISERROR(VLOOKUP($A270,'SegEnds_NonXtal_BW#'!$A:$Z,6,FALSE)+VLOOKUP($A270,A:AL,7,FALSE)-50),"-",(VLOOKUP($A270,'SegEnds_NonXtal_BW#'!$A:$Z,6,FALSE)+VLOOKUP($A270,A:AL,7,FALSE)-50))</f>
        <v>-</v>
      </c>
      <c r="I270" s="3">
        <f>VLOOKUP($A270,'SegEnds_NonXtal_BW#'!$A:$Z,7,FALSE)+J270-50</f>
        <v>49</v>
      </c>
      <c r="J270" s="3">
        <v>62</v>
      </c>
      <c r="K270" s="3">
        <f>VLOOKUP($A270,'SegEnds_NonXtal_BW#'!$A:$Z,8,FALSE)+VLOOKUP($A270,A:AL,10,FALSE)-50</f>
        <v>79</v>
      </c>
      <c r="L270" s="3">
        <f>M270-1</f>
        <v>87</v>
      </c>
      <c r="M270" s="3">
        <v>88</v>
      </c>
      <c r="N270" s="3">
        <f>M270+2</f>
        <v>90</v>
      </c>
      <c r="O270" s="3">
        <f>N270+1</f>
        <v>91</v>
      </c>
      <c r="P270" s="3">
        <v>131</v>
      </c>
      <c r="Q270" s="3">
        <f>VLOOKUP($A270,'SegEnds_NonXtal_BW#'!$A:$Z,12,FALSE)+VLOOKUP($A270,A:AL,16,FALSE)-50</f>
        <v>137</v>
      </c>
      <c r="R270" s="3" t="str">
        <f>S270</f>
        <v>-</v>
      </c>
      <c r="S270" s="3" t="s">
        <v>23</v>
      </c>
      <c r="T270" s="100" t="s">
        <v>23</v>
      </c>
      <c r="U270" s="9">
        <f>IF(ISERROR(VLOOKUP($A270,'SegEnds_NonXtal_BW#'!$A:$Z,15,FALSE)+VLOOKUP($A270,A:AL,22,FALSE)-50),"-",VLOOKUP($A270,'SegEnds_NonXtal_BW#'!$A:$Z,15,FALSE)+VLOOKUP($A270,A:AL,22,FALSE)-50)</f>
        <v>146</v>
      </c>
      <c r="V270" s="3">
        <v>158</v>
      </c>
      <c r="W270" s="3">
        <f>IF(ISERROR(VLOOKUP($A270,'SegEnds_NonXtal_BW#'!$A:$Z,16,FALSE)+VLOOKUP($A270,A:AL,22,FALSE)-50),"-",(VLOOKUP($A270,'SegEnds_NonXtal_BW#'!$A:$Z,16,FALSE)+VLOOKUP($A270,A:AL,22,FALSE)-50))</f>
        <v>171</v>
      </c>
      <c r="X270" s="3" t="str">
        <f>IF(ISERROR(VLOOKUP($A270,'SegEnds_NonXtal_BW#'!$A:$Z,17,FALSE)+VLOOKUP($A270,A:AL,25,FALSE)-50),"-",(VLOOKUP($A270,'SegEnds_NonXtal_BW#'!$A:$Z,17,FALSE)+VLOOKUP($A270,A:AL,25,FALSE)-50))</f>
        <v>-</v>
      </c>
      <c r="Y270" s="3" t="s">
        <v>23</v>
      </c>
      <c r="Z270" s="3" t="str">
        <f>IF(ISERROR(VLOOKUP($A270,'SegEnds_NonXtal_BW#'!$A:$Z,18,FALSE)+VLOOKUP($A270,A:AL,25,FALSE)-50),"-",(VLOOKUP($A270,'SegEnds_NonXtal_BW#'!$A:$Z,18,FALSE)+VLOOKUP($A270,A:AL,25,FALSE)-50))</f>
        <v>-</v>
      </c>
      <c r="AA270" s="3">
        <f>IF(ISERROR(VLOOKUP($A270,'SegEnds_NonXtal_BW#'!$A:$Z,19,FALSE)+VLOOKUP($A270,A:AL,28,FALSE)-50),"-",(VLOOKUP($A270,'SegEnds_NonXtal_BW#'!$A:$Z,19,FALSE)+VLOOKUP($A270,A:AL,28,FALSE)-50))</f>
        <v>197</v>
      </c>
      <c r="AB270" s="3">
        <v>211</v>
      </c>
      <c r="AC270" s="3">
        <f>IF(ISERROR((VLOOKUP($A270,'SegEnds_NonXtal_BW#'!$A:$Z,20,FALSE)+VLOOKUP($A270,A:AL,28,FALSE)-50)),"-",(VLOOKUP($A270,'SegEnds_NonXtal_BW#'!$A:$Z,20,FALSE)+VLOOKUP($A270,A:AL,28,FALSE)-50))</f>
        <v>237</v>
      </c>
      <c r="AD270" s="3">
        <f>IF(ISERROR(VLOOKUP($A270,'SegEnds_NonXtal_BW#'!$A:$Z,21,FALSE)+VLOOKUP($A270,A:AL,31,FALSE)-50),"-",(VLOOKUP($A270,'SegEnds_NonXtal_BW#'!$A:$Z,21,FALSE)+VLOOKUP($A270,A:AL,31,FALSE)-50))</f>
        <v>299</v>
      </c>
      <c r="AE270" s="3">
        <v>325</v>
      </c>
      <c r="AF270" s="3">
        <f>IF(ISERROR((VLOOKUP($A270,'SegEnds_NonXtal_BW#'!$A:$Z,22,FALSE)+VLOOKUP($A270,A:AL,31,FALSE)-50)),"-",(VLOOKUP($A270,'SegEnds_NonXtal_BW#'!$A:$Z,22,FALSE)+VLOOKUP($A270,A:AL,31,FALSE)-50))</f>
        <v>336</v>
      </c>
      <c r="AG270" s="3">
        <f>IF(ISERROR(VLOOKUP($A270,'SegEnds_NonXtal_BW#'!$A:$Z,23,FALSE)+VLOOKUP($A270,A:AL,34,FALSE)-50),"-",(VLOOKUP($A270,'SegEnds_NonXtal_BW#'!$A:$Z,23,FALSE)+VLOOKUP($A270,A:AL,34,FALSE)-50))</f>
        <v>341</v>
      </c>
      <c r="AH270" s="3">
        <v>359</v>
      </c>
      <c r="AI270" s="3">
        <f>IF(ISERROR((VLOOKUP($A270,'SegEnds_NonXtal_BW#'!$A:$Z,24,FALSE)+VLOOKUP($A270,A:AL,34,FALSE)-50)),"-",(VLOOKUP($A270,'SegEnds_NonXtal_BW#'!$A:$Z,24,FALSE)+VLOOKUP($A270,A:AL,34,FALSE)-50))</f>
        <v>365</v>
      </c>
      <c r="AJ270" s="3">
        <f>IF(ISERROR(VLOOKUP($A270,'SegEnds_NonXtal_BW#'!$A:$Z,25,FALSE)+VLOOKUP($A270,A:AL,37,FALSE)-50),"-",(VLOOKUP($A270,'SegEnds_NonXtal_BW#'!$A:$Z,25,FALSE)+VLOOKUP($A270,A:AL,37,FALSE)-50))</f>
        <v>366</v>
      </c>
      <c r="AK270" s="3">
        <v>369</v>
      </c>
      <c r="AL270" s="3">
        <f>IF(ISERROR((VLOOKUP($A270,'SegEnds_NonXtal_BW#'!$A:$Z,26,FALSE)+VLOOKUP($A270,A:AL,37,FALSE)-50)),"-",(VLOOKUP($A270,'SegEnds_NonXtal_BW#'!$A:$Z,26,FALSE)+VLOOKUP($A270,A:AL,37,FALSE)-50))</f>
        <v>378</v>
      </c>
      <c r="AM270" s="28" t="str">
        <f>VLOOKUP(A270,Classification!A:B,2,FALSE)</f>
        <v>A</v>
      </c>
      <c r="AN270" s="28" t="b">
        <f t="shared" si="167"/>
        <v>1</v>
      </c>
      <c r="AO270" s="3" t="str">
        <f>IF(ISERROR(MATCH(A270,'SegEnds_Xtal_Prot#'!B:B, 0)), "NoXtal", "Xtal")</f>
        <v>NoXtal</v>
      </c>
      <c r="AP270" s="3" t="str">
        <f t="shared" si="152"/>
        <v>-</v>
      </c>
      <c r="AQ270" s="3" t="str">
        <f t="shared" si="153"/>
        <v>-</v>
      </c>
      <c r="AR270" s="3">
        <f t="shared" si="154"/>
        <v>8</v>
      </c>
      <c r="AS270" s="3">
        <f t="shared" si="155"/>
        <v>1</v>
      </c>
      <c r="AT270" s="3" t="str">
        <f t="shared" si="156"/>
        <v>-</v>
      </c>
      <c r="AU270" s="3" t="str">
        <f t="shared" si="157"/>
        <v>-</v>
      </c>
      <c r="AV270" s="3" t="str">
        <f t="shared" si="158"/>
        <v>-</v>
      </c>
      <c r="AW270" s="3" t="str">
        <f t="shared" si="159"/>
        <v>-</v>
      </c>
      <c r="AX270" s="3">
        <f t="shared" si="160"/>
        <v>62</v>
      </c>
      <c r="AY270" s="3">
        <f t="shared" si="161"/>
        <v>5</v>
      </c>
      <c r="AZ270" s="3">
        <f t="shared" si="162"/>
        <v>1</v>
      </c>
      <c r="BA270" s="3">
        <f>IF(ISERROR(LEN(VLOOKUP(A270,Seqs!A:E,2,FALSE))-AL270),"-",LEN(VLOOKUP(A270,Seqs!A:E,2,FALSE))-AL270)</f>
        <v>353</v>
      </c>
      <c r="BB270" s="16">
        <f t="shared" si="163"/>
        <v>29</v>
      </c>
      <c r="BC270" s="9" t="str">
        <f t="shared" si="164"/>
        <v>-</v>
      </c>
      <c r="BD270" s="3">
        <f t="shared" si="165"/>
        <v>29</v>
      </c>
      <c r="BE270" s="3">
        <f t="shared" si="166"/>
        <v>114</v>
      </c>
    </row>
    <row r="271" spans="1:58" s="3" customFormat="1" x14ac:dyDescent="0.2">
      <c r="A271" s="3" t="s">
        <v>222</v>
      </c>
      <c r="B271" s="3" t="str">
        <f>LOWER(VLOOKUP(A271,Xtal_Templ!A:B,2,FALSE))</f>
        <v>ox2r_human</v>
      </c>
      <c r="C271" s="3">
        <f>VLOOKUP($A271,'SegEnds_NonXtal_BW#'!$A:$Z,3,FALSE)+D271-50</f>
        <v>41</v>
      </c>
      <c r="D271" s="3">
        <v>60</v>
      </c>
      <c r="E271" s="3">
        <f>IF(ISERROR(VLOOKUP($A271,'SegEnds_NonXtal_BW#'!$A:$Z,4,FALSE)+VLOOKUP($A271,A:AL,4,FALSE)-50),"-",(VLOOKUP($A271,'SegEnds_NonXtal_BW#'!$A:$Z,4,FALSE)+VLOOKUP($A271,A:AL,4,FALSE)-50))</f>
        <v>70</v>
      </c>
      <c r="F271" s="3" t="str">
        <f>IF(ISERROR(VLOOKUP($A271,'SegEnds_NonXtal_BW#'!$A:$Z,5,FALSE)+VLOOKUP($A271,A:AL,7,FALSE)-50),"-",(VLOOKUP($A271,'SegEnds_NonXtal_BW#'!$A:$Z,5,FALSE)+VLOOKUP($A271,A:AL,7,FALSE)-50))</f>
        <v>-</v>
      </c>
      <c r="G271" s="3" t="s">
        <v>23</v>
      </c>
      <c r="H271" s="3" t="str">
        <f>IF(ISERROR(VLOOKUP($A271,'SegEnds_NonXtal_BW#'!$A:$Z,6,FALSE)+VLOOKUP($A271,A:AL,7,FALSE)-50),"-",(VLOOKUP($A271,'SegEnds_NonXtal_BW#'!$A:$Z,6,FALSE)+VLOOKUP($A271,A:AL,7,FALSE)-50))</f>
        <v>-</v>
      </c>
      <c r="I271" s="3">
        <f>VLOOKUP($A271,'SegEnds_NonXtal_BW#'!$A:$Z,7,FALSE)+J271-50</f>
        <v>80</v>
      </c>
      <c r="J271" s="3">
        <v>93</v>
      </c>
      <c r="K271" s="3">
        <f>VLOOKUP($A271,'SegEnds_NonXtal_BW#'!$A:$Z,8,FALSE)+VLOOKUP($A271,A:AL,10,FALSE)-50</f>
        <v>111</v>
      </c>
      <c r="L271" s="3" t="str">
        <f>IF(ISERROR(VLOOKUP($A271,'SegEnds_NonXtal_BW#'!$A:$Z,9,FALSE)+VLOOKUP($A271,A:AL,13,FALSE)-50),"-",(VLOOKUP($A271,'SegEnds_NonXtal_BW#'!$A:$Z,9,FALSE)+VLOOKUP($A271,A:AL,13,FALSE)-50))</f>
        <v>-</v>
      </c>
      <c r="M271" s="3" t="s">
        <v>23</v>
      </c>
      <c r="N271" s="3" t="str">
        <f>IF(ISERROR(VLOOKUP($A271,'SegEnds_NonXtal_BW#'!$A:$Z,10,FALSE)+VLOOKUP($A271,A:AL,13,FALSE)-50),"-",(VLOOKUP($A271,'SegEnds_NonXtal_BW#'!$A:$Z,10,FALSE)+VLOOKUP($A271,A:AL,13,FALSE)-50))</f>
        <v>-</v>
      </c>
      <c r="O271" s="3">
        <f>VLOOKUP($A271,'SegEnds_NonXtal_BW#'!$A:$Z,11,FALSE)+VLOOKUP($A271,A:AL,16,FALSE)-50</f>
        <v>115</v>
      </c>
      <c r="P271" s="3">
        <v>147</v>
      </c>
      <c r="Q271" s="3">
        <f>VLOOKUP($A271,'SegEnds_NonXtal_BW#'!$A:$Z,12,FALSE)+VLOOKUP($A271,A:AL,16,FALSE)-50</f>
        <v>153</v>
      </c>
      <c r="R271" s="3" t="str">
        <f>IF(ISERROR(VLOOKUP($A271,'SegEnds_NonXtal_BW#'!$A:$Z,13,FALSE)+VLOOKUP($A271,A:AL,19,FALSE)-50),"-",VLOOKUP($A271,'SegEnds_NonXtal_BW#'!$A:$Z,13,FALSE)+VLOOKUP($A271,A:AL,19,FALSE)-50)</f>
        <v>-</v>
      </c>
      <c r="S271" s="3" t="s">
        <v>23</v>
      </c>
      <c r="T271" s="100" t="str">
        <f>IF(ISERROR(VLOOKUP($A271,'SegEnds_NonXtal_BW#'!$A:$Z,14,FALSE)+VLOOKUP($A271,A:AL,19,FALSE)-50),"-",(VLOOKUP($A271,'SegEnds_NonXtal_BW#'!$A:$Z,14,FALSE)+VLOOKUP($A271,A:AL,19,FALSE)-50))</f>
        <v>-</v>
      </c>
      <c r="U271" s="9">
        <f>IF(ISERROR(VLOOKUP($A271,'SegEnds_NonXtal_BW#'!$A:$Z,15,FALSE)+VLOOKUP($A271,A:AL,22,FALSE)-50),"-",VLOOKUP($A271,'SegEnds_NonXtal_BW#'!$A:$Z,15,FALSE)+VLOOKUP($A271,A:AL,22,FALSE)-50)</f>
        <v>157</v>
      </c>
      <c r="V271" s="3">
        <v>169</v>
      </c>
      <c r="W271" s="3">
        <f>IF(ISERROR(VLOOKUP($A271,'SegEnds_NonXtal_BW#'!$A:$Z,16,FALSE)+VLOOKUP($A271,A:AL,22,FALSE)-50),"-",(VLOOKUP($A271,'SegEnds_NonXtal_BW#'!$A:$Z,16,FALSE)+VLOOKUP($A271,A:AL,22,FALSE)-50))</f>
        <v>183</v>
      </c>
      <c r="X271" s="3">
        <f>IF(ISERROR(VLOOKUP($A271,'SegEnds_NonXtal_BW#'!$A:$Z,17,FALSE)+VLOOKUP($A271,A:AL,25,FALSE)-50),"-",(VLOOKUP($A271,'SegEnds_NonXtal_BW#'!$A:$Z,17,FALSE)+VLOOKUP($A271,A:AL,25,FALSE)-50))</f>
        <v>217</v>
      </c>
      <c r="Y271" s="3">
        <v>217</v>
      </c>
      <c r="Z271" s="3">
        <f t="shared" ref="Z271:Z290" si="169">Y271+2</f>
        <v>219</v>
      </c>
      <c r="AA271" s="3">
        <f>IF(ISERROR(VLOOKUP($A271,'SegEnds_NonXtal_BW#'!$A:$Z,19,FALSE)+VLOOKUP($A271,A:AL,28,FALSE)-50),"-",(VLOOKUP($A271,'SegEnds_NonXtal_BW#'!$A:$Z,19,FALSE)+VLOOKUP($A271,A:AL,28,FALSE)-50))</f>
        <v>227</v>
      </c>
      <c r="AB271" s="3">
        <v>244</v>
      </c>
      <c r="AC271" s="3">
        <f>IF(ISERROR((VLOOKUP($A271,'SegEnds_NonXtal_BW#'!$A:$Z,20,FALSE)+VLOOKUP($A271,A:AL,28,FALSE)-50)),"-",(VLOOKUP($A271,'SegEnds_NonXtal_BW#'!$A:$Z,20,FALSE)+VLOOKUP($A271,A:AL,28,FALSE)-50))</f>
        <v>268</v>
      </c>
      <c r="AD271" s="3">
        <f>IF(ISERROR(VLOOKUP($A271,'SegEnds_NonXtal_BW#'!$A:$Z,21,FALSE)+VLOOKUP($A271,A:AL,31,FALSE)-50),"-",(VLOOKUP($A271,'SegEnds_NonXtal_BW#'!$A:$Z,21,FALSE)+VLOOKUP($A271,A:AL,31,FALSE)-50))</f>
        <v>281</v>
      </c>
      <c r="AE271" s="3">
        <v>310</v>
      </c>
      <c r="AF271" s="3">
        <f>IF(ISERROR((VLOOKUP($A271,'SegEnds_NonXtal_BW#'!$A:$Z,22,FALSE)+VLOOKUP($A271,A:AL,31,FALSE)-50)),"-",(VLOOKUP($A271,'SegEnds_NonXtal_BW#'!$A:$Z,22,FALSE)+VLOOKUP($A271,A:AL,31,FALSE)-50))</f>
        <v>321</v>
      </c>
      <c r="AG271" s="3">
        <f>IF(ISERROR(VLOOKUP($A271,'SegEnds_NonXtal_BW#'!$A:$Z,23,FALSE)+VLOOKUP($A271,A:AL,34,FALSE)-50),"-",(VLOOKUP($A271,'SegEnds_NonXtal_BW#'!$A:$Z,23,FALSE)+VLOOKUP($A271,A:AL,34,FALSE)-50))</f>
        <v>327</v>
      </c>
      <c r="AH271" s="3">
        <v>349</v>
      </c>
      <c r="AI271" s="3">
        <f>IF(ISERROR((VLOOKUP($A271,'SegEnds_NonXtal_BW#'!$A:$Z,24,FALSE)+VLOOKUP($A271,A:AL,34,FALSE)-50)),"-",(VLOOKUP($A271,'SegEnds_NonXtal_BW#'!$A:$Z,24,FALSE)+VLOOKUP($A271,A:AL,34,FALSE)-50))</f>
        <v>355</v>
      </c>
      <c r="AJ271" s="3">
        <f>IF(ISERROR(VLOOKUP($A271,'SegEnds_NonXtal_BW#'!$A:$Z,25,FALSE)+VLOOKUP($A271,A:AL,37,FALSE)-50),"-",(VLOOKUP($A271,'SegEnds_NonXtal_BW#'!$A:$Z,25,FALSE)+VLOOKUP($A271,A:AL,37,FALSE)-50))</f>
        <v>356</v>
      </c>
      <c r="AK271" s="3">
        <v>359</v>
      </c>
      <c r="AL271" s="3">
        <f>IF(ISERROR((VLOOKUP($A271,'SegEnds_NonXtal_BW#'!$A:$Z,26,FALSE)+VLOOKUP($A271,A:AL,37,FALSE)-50)),"-",(VLOOKUP($A271,'SegEnds_NonXtal_BW#'!$A:$Z,26,FALSE)+VLOOKUP($A271,A:AL,37,FALSE)-50))</f>
        <v>367</v>
      </c>
      <c r="AM271" s="28" t="str">
        <f>VLOOKUP(A271,Classification!A:B,2,FALSE)</f>
        <v>A</v>
      </c>
      <c r="AN271" s="28" t="b">
        <f t="shared" si="167"/>
        <v>1</v>
      </c>
      <c r="AO271" s="3" t="str">
        <f>IF(ISERROR(MATCH(A271,'SegEnds_Xtal_Prot#'!B:B, 0)), "NoXtal", "Xtal")</f>
        <v>NoXtal</v>
      </c>
      <c r="AP271" s="3" t="str">
        <f t="shared" si="152"/>
        <v>-</v>
      </c>
      <c r="AQ271" s="3" t="str">
        <f t="shared" si="153"/>
        <v>-</v>
      </c>
      <c r="AR271" s="3" t="str">
        <f t="shared" si="154"/>
        <v>-</v>
      </c>
      <c r="AS271" s="3" t="str">
        <f t="shared" si="155"/>
        <v>-</v>
      </c>
      <c r="AT271" s="3" t="str">
        <f t="shared" si="156"/>
        <v>-</v>
      </c>
      <c r="AU271" s="3" t="str">
        <f t="shared" si="157"/>
        <v>-</v>
      </c>
      <c r="AV271" s="3">
        <f t="shared" si="158"/>
        <v>34</v>
      </c>
      <c r="AW271" s="3">
        <f t="shared" si="159"/>
        <v>8</v>
      </c>
      <c r="AX271" s="3">
        <f t="shared" si="160"/>
        <v>13</v>
      </c>
      <c r="AY271" s="3">
        <f t="shared" si="161"/>
        <v>6</v>
      </c>
      <c r="AZ271" s="3">
        <f t="shared" si="162"/>
        <v>1</v>
      </c>
      <c r="BA271" s="3">
        <f>IF(ISERROR(LEN(VLOOKUP(A271,Seqs!A:E,2,FALSE))-AL271),"-",LEN(VLOOKUP(A271,Seqs!A:E,2,FALSE))-AL271)</f>
        <v>67</v>
      </c>
      <c r="BB271" s="16">
        <f t="shared" si="163"/>
        <v>33</v>
      </c>
      <c r="BC271" s="9" t="str">
        <f t="shared" si="164"/>
        <v>-</v>
      </c>
      <c r="BD271" s="3">
        <f t="shared" si="165"/>
        <v>33</v>
      </c>
      <c r="BE271" s="3">
        <f t="shared" si="166"/>
        <v>66</v>
      </c>
    </row>
    <row r="272" spans="1:58" s="3" customFormat="1" x14ac:dyDescent="0.2">
      <c r="A272" s="3" t="s">
        <v>226</v>
      </c>
      <c r="B272" s="3" t="str">
        <f>LOWER(VLOOKUP(A272,Xtal_Templ!A:B,2,FALSE))</f>
        <v>par1_human</v>
      </c>
      <c r="C272" s="3">
        <f>VLOOKUP($A272,'SegEnds_NonXtal_BW#'!$A:$Z,3,FALSE)+D272-50</f>
        <v>18</v>
      </c>
      <c r="D272" s="3">
        <v>39</v>
      </c>
      <c r="E272" s="3">
        <f>IF(ISERROR(VLOOKUP($A272,'SegEnds_NonXtal_BW#'!$A:$Z,4,FALSE)+VLOOKUP($A272,A:AL,4,FALSE)-50),"-",(VLOOKUP($A272,'SegEnds_NonXtal_BW#'!$A:$Z,4,FALSE)+VLOOKUP($A272,A:AL,4,FALSE)-50))</f>
        <v>49</v>
      </c>
      <c r="F272" s="3" t="str">
        <f>IF(ISERROR(VLOOKUP($A272,'SegEnds_NonXtal_BW#'!$A:$Z,5,FALSE)+VLOOKUP($A272,A:AL,7,FALSE)-50),"-",(VLOOKUP($A272,'SegEnds_NonXtal_BW#'!$A:$Z,5,FALSE)+VLOOKUP($A272,A:AL,7,FALSE)-50))</f>
        <v>-</v>
      </c>
      <c r="G272" s="3" t="s">
        <v>23</v>
      </c>
      <c r="H272" s="3" t="str">
        <f>IF(ISERROR(VLOOKUP($A272,'SegEnds_NonXtal_BW#'!$A:$Z,6,FALSE)+VLOOKUP($A272,A:AL,7,FALSE)-50),"-",(VLOOKUP($A272,'SegEnds_NonXtal_BW#'!$A:$Z,6,FALSE)+VLOOKUP($A272,A:AL,7,FALSE)-50))</f>
        <v>-</v>
      </c>
      <c r="I272" s="3">
        <f>VLOOKUP($A272,'SegEnds_NonXtal_BW#'!$A:$Z,7,FALSE)+J272-50</f>
        <v>53</v>
      </c>
      <c r="J272" s="3">
        <v>66</v>
      </c>
      <c r="K272" s="3">
        <f>VLOOKUP($A272,'SegEnds_NonXtal_BW#'!$A:$Z,8,FALSE)+VLOOKUP($A272,A:AL,10,FALSE)-50</f>
        <v>82</v>
      </c>
      <c r="L272" s="3" t="str">
        <f>IF(ISERROR(VLOOKUP($A272,'SegEnds_NonXtal_BW#'!$A:$Z,9,FALSE)+VLOOKUP($A272,A:AL,13,FALSE)-50),"-",(VLOOKUP($A272,'SegEnds_NonXtal_BW#'!$A:$Z,9,FALSE)+VLOOKUP($A272,A:AL,13,FALSE)-50))</f>
        <v>-</v>
      </c>
      <c r="M272" s="3" t="s">
        <v>23</v>
      </c>
      <c r="N272" s="3" t="str">
        <f>IF(ISERROR(VLOOKUP($A272,'SegEnds_NonXtal_BW#'!$A:$Z,10,FALSE)+VLOOKUP($A272,A:AL,13,FALSE)-50),"-",(VLOOKUP($A272,'SegEnds_NonXtal_BW#'!$A:$Z,10,FALSE)+VLOOKUP($A272,A:AL,13,FALSE)-50))</f>
        <v>-</v>
      </c>
      <c r="O272" s="3">
        <f>VLOOKUP($A272,'SegEnds_NonXtal_BW#'!$A:$Z,11,FALSE)+VLOOKUP($A272,A:AL,16,FALSE)-50</f>
        <v>88</v>
      </c>
      <c r="P272" s="3">
        <v>120</v>
      </c>
      <c r="Q272" s="3">
        <f>VLOOKUP($A272,'SegEnds_NonXtal_BW#'!$A:$Z,12,FALSE)+VLOOKUP($A272,A:AL,16,FALSE)-50</f>
        <v>126</v>
      </c>
      <c r="R272" s="3" t="str">
        <f>IF(ISERROR(VLOOKUP($A272,'SegEnds_NonXtal_BW#'!$A:$Z,13,FALSE)+VLOOKUP($A272,A:AL,19,FALSE)-50),"-",VLOOKUP($A272,'SegEnds_NonXtal_BW#'!$A:$Z,13,FALSE)+VLOOKUP($A272,A:AL,19,FALSE)-50)</f>
        <v>-</v>
      </c>
      <c r="S272" s="3" t="s">
        <v>23</v>
      </c>
      <c r="T272" s="100" t="str">
        <f>IF(ISERROR(VLOOKUP($A272,'SegEnds_NonXtal_BW#'!$A:$Z,14,FALSE)+VLOOKUP($A272,A:AL,19,FALSE)-50),"-",(VLOOKUP($A272,'SegEnds_NonXtal_BW#'!$A:$Z,14,FALSE)+VLOOKUP($A272,A:AL,19,FALSE)-50))</f>
        <v>-</v>
      </c>
      <c r="U272" s="9">
        <f>IF(ISERROR(VLOOKUP($A272,'SegEnds_NonXtal_BW#'!$A:$Z,15,FALSE)+VLOOKUP($A272,A:AL,22,FALSE)-50),"-",VLOOKUP($A272,'SegEnds_NonXtal_BW#'!$A:$Z,15,FALSE)+VLOOKUP($A272,A:AL,22,FALSE)-50)</f>
        <v>135</v>
      </c>
      <c r="V272" s="3">
        <v>147</v>
      </c>
      <c r="W272" s="3">
        <f>IF(ISERROR(VLOOKUP($A272,'SegEnds_NonXtal_BW#'!$A:$Z,16,FALSE)+VLOOKUP($A272,A:AL,22,FALSE)-50),"-",(VLOOKUP($A272,'SegEnds_NonXtal_BW#'!$A:$Z,16,FALSE)+VLOOKUP($A272,A:AL,22,FALSE)-50))</f>
        <v>160</v>
      </c>
      <c r="X272" s="3">
        <f>IF(ISERROR(VLOOKUP($A272,'SegEnds_NonXtal_BW#'!$A:$Z,17,FALSE)+VLOOKUP($A272,A:AL,25,FALSE)-50),"-",(VLOOKUP($A272,'SegEnds_NonXtal_BW#'!$A:$Z,17,FALSE)+VLOOKUP($A272,A:AL,25,FALSE)-50))</f>
        <v>174</v>
      </c>
      <c r="Y272" s="3">
        <v>174</v>
      </c>
      <c r="Z272" s="3">
        <f t="shared" si="169"/>
        <v>176</v>
      </c>
      <c r="AA272" s="3">
        <f>IF(ISERROR(VLOOKUP($A272,'SegEnds_NonXtal_BW#'!$A:$Z,19,FALSE)+VLOOKUP($A272,A:AL,28,FALSE)-50),"-",(VLOOKUP($A272,'SegEnds_NonXtal_BW#'!$A:$Z,19,FALSE)+VLOOKUP($A272,A:AL,28,FALSE)-50))</f>
        <v>181</v>
      </c>
      <c r="AB272" s="3">
        <v>196</v>
      </c>
      <c r="AC272" s="3">
        <f>IF(ISERROR((VLOOKUP($A272,'SegEnds_NonXtal_BW#'!$A:$Z,20,FALSE)+VLOOKUP($A272,A:AL,28,FALSE)-50)),"-",(VLOOKUP($A272,'SegEnds_NonXtal_BW#'!$A:$Z,20,FALSE)+VLOOKUP($A272,A:AL,28,FALSE)-50))</f>
        <v>219</v>
      </c>
      <c r="AD272" s="3">
        <f>IF(ISERROR(VLOOKUP($A272,'SegEnds_NonXtal_BW#'!$A:$Z,21,FALSE)+VLOOKUP($A272,A:AL,31,FALSE)-50),"-",(VLOOKUP($A272,'SegEnds_NonXtal_BW#'!$A:$Z,21,FALSE)+VLOOKUP($A272,A:AL,31,FALSE)-50))</f>
        <v>228</v>
      </c>
      <c r="AE272" s="3">
        <v>254</v>
      </c>
      <c r="AF272" s="3">
        <f>IF(ISERROR((VLOOKUP($A272,'SegEnds_NonXtal_BW#'!$A:$Z,22,FALSE)+VLOOKUP($A272,A:AL,31,FALSE)-50)),"-",(VLOOKUP($A272,'SegEnds_NonXtal_BW#'!$A:$Z,22,FALSE)+VLOOKUP($A272,A:AL,31,FALSE)-50))</f>
        <v>265</v>
      </c>
      <c r="AG272" s="3">
        <f>IF(ISERROR(VLOOKUP($A272,'SegEnds_NonXtal_BW#'!$A:$Z,23,FALSE)+VLOOKUP($A272,A:AL,34,FALSE)-50),"-",(VLOOKUP($A272,'SegEnds_NonXtal_BW#'!$A:$Z,23,FALSE)+VLOOKUP($A272,A:AL,34,FALSE)-50))</f>
        <v>270</v>
      </c>
      <c r="AH272" s="3">
        <v>289</v>
      </c>
      <c r="AI272" s="3">
        <f>IF(ISERROR((VLOOKUP($A272,'SegEnds_NonXtal_BW#'!$A:$Z,24,FALSE)+VLOOKUP($A272,A:AL,34,FALSE)-50)),"-",(VLOOKUP($A272,'SegEnds_NonXtal_BW#'!$A:$Z,24,FALSE)+VLOOKUP($A272,A:AL,34,FALSE)-50))</f>
        <v>295</v>
      </c>
      <c r="AJ272" s="3">
        <f>IF(ISERROR(VLOOKUP($A272,'SegEnds_NonXtal_BW#'!$A:$Z,25,FALSE)+VLOOKUP($A272,A:AL,37,FALSE)-50),"-",(VLOOKUP($A272,'SegEnds_NonXtal_BW#'!$A:$Z,25,FALSE)+VLOOKUP($A272,A:AL,37,FALSE)-50))</f>
        <v>296</v>
      </c>
      <c r="AK272" s="3">
        <v>299</v>
      </c>
      <c r="AL272" s="3">
        <f>IF(ISERROR((VLOOKUP($A272,'SegEnds_NonXtal_BW#'!$A:$Z,26,FALSE)+VLOOKUP($A272,A:AL,37,FALSE)-50)),"-",(VLOOKUP($A272,'SegEnds_NonXtal_BW#'!$A:$Z,26,FALSE)+VLOOKUP($A272,A:AL,37,FALSE)-50))</f>
        <v>310</v>
      </c>
      <c r="AM272" s="28" t="str">
        <f>VLOOKUP(A272,Classification!A:B,2,FALSE)</f>
        <v>A</v>
      </c>
      <c r="AN272" s="28" t="b">
        <f t="shared" si="167"/>
        <v>1</v>
      </c>
      <c r="AO272" s="3" t="str">
        <f>IF(ISERROR(MATCH(A272,'SegEnds_Xtal_Prot#'!B:B, 0)), "NoXtal", "Xtal")</f>
        <v>NoXtal</v>
      </c>
      <c r="AP272" s="3" t="str">
        <f t="shared" si="152"/>
        <v>-</v>
      </c>
      <c r="AQ272" s="3" t="str">
        <f t="shared" si="153"/>
        <v>-</v>
      </c>
      <c r="AR272" s="3" t="str">
        <f t="shared" si="154"/>
        <v>-</v>
      </c>
      <c r="AS272" s="3" t="str">
        <f t="shared" si="155"/>
        <v>-</v>
      </c>
      <c r="AT272" s="3" t="str">
        <f t="shared" si="156"/>
        <v>-</v>
      </c>
      <c r="AU272" s="3" t="str">
        <f t="shared" si="157"/>
        <v>-</v>
      </c>
      <c r="AV272" s="3">
        <f t="shared" si="158"/>
        <v>14</v>
      </c>
      <c r="AW272" s="3">
        <f t="shared" si="159"/>
        <v>5</v>
      </c>
      <c r="AX272" s="3">
        <f t="shared" si="160"/>
        <v>9</v>
      </c>
      <c r="AY272" s="3">
        <f t="shared" si="161"/>
        <v>5</v>
      </c>
      <c r="AZ272" s="3">
        <f t="shared" si="162"/>
        <v>1</v>
      </c>
      <c r="BA272" s="3">
        <f>IF(ISERROR(LEN(VLOOKUP(A272,Seqs!A:E,2,FALSE))-AL272),"-",LEN(VLOOKUP(A272,Seqs!A:E,2,FALSE))-AL272)</f>
        <v>28</v>
      </c>
      <c r="BB272" s="16">
        <f t="shared" si="163"/>
        <v>27</v>
      </c>
      <c r="BC272" s="9" t="str">
        <f t="shared" si="164"/>
        <v>-</v>
      </c>
      <c r="BD272" s="3">
        <f t="shared" si="165"/>
        <v>27</v>
      </c>
      <c r="BE272" s="3">
        <f t="shared" si="166"/>
        <v>58</v>
      </c>
    </row>
    <row r="273" spans="1:58" s="3" customFormat="1" x14ac:dyDescent="0.2">
      <c r="A273" s="3" t="s">
        <v>232</v>
      </c>
      <c r="B273" s="3" t="str">
        <f>LOWER(VLOOKUP(A273,Xtal_Templ!A:B,2,FALSE))</f>
        <v>ox1r_human</v>
      </c>
      <c r="C273" s="3">
        <f>VLOOKUP($A273,'SegEnds_NonXtal_BW#'!$A:$Z,3,FALSE)+D273-50</f>
        <v>41</v>
      </c>
      <c r="D273" s="3">
        <v>59</v>
      </c>
      <c r="E273" s="3">
        <f>IF(ISERROR(VLOOKUP($A273,'SegEnds_NonXtal_BW#'!$A:$Z,4,FALSE)+VLOOKUP($A273,A:AL,4,FALSE)-50),"-",(VLOOKUP($A273,'SegEnds_NonXtal_BW#'!$A:$Z,4,FALSE)+VLOOKUP($A273,A:AL,4,FALSE)-50))</f>
        <v>69</v>
      </c>
      <c r="F273" s="3">
        <f>G273-2</f>
        <v>70</v>
      </c>
      <c r="G273" s="3">
        <v>72</v>
      </c>
      <c r="H273" s="3">
        <f t="shared" ref="H273:I275" si="170">G273+1</f>
        <v>73</v>
      </c>
      <c r="I273" s="3">
        <f t="shared" si="170"/>
        <v>74</v>
      </c>
      <c r="J273" s="3">
        <v>87</v>
      </c>
      <c r="K273" s="3">
        <f>VLOOKUP($A273,'SegEnds_NonXtal_BW#'!$A:$Z,8,FALSE)+VLOOKUP($A273,A:AL,10,FALSE)-50</f>
        <v>104</v>
      </c>
      <c r="L273" s="3">
        <f>M273-1</f>
        <v>108</v>
      </c>
      <c r="M273" s="3">
        <v>109</v>
      </c>
      <c r="N273" s="3">
        <f>M273+2</f>
        <v>111</v>
      </c>
      <c r="O273" s="3">
        <f>N273+1</f>
        <v>112</v>
      </c>
      <c r="P273" s="3">
        <v>142</v>
      </c>
      <c r="Q273" s="3">
        <f>VLOOKUP($A273,'SegEnds_NonXtal_BW#'!$A:$Z,12,FALSE)+VLOOKUP($A273,A:AL,16,FALSE)-50</f>
        <v>148</v>
      </c>
      <c r="R273" s="3" t="str">
        <f>IF(ISERROR(VLOOKUP($A273,'SegEnds_NonXtal_BW#'!$A:$Z,13,FALSE)+VLOOKUP($A273,A:AL,19,FALSE)-50),"-",VLOOKUP($A273,'SegEnds_NonXtal_BW#'!$A:$Z,13,FALSE)+VLOOKUP($A273,A:AL,19,FALSE)-50)</f>
        <v>-</v>
      </c>
      <c r="S273" s="3" t="s">
        <v>23</v>
      </c>
      <c r="T273" s="100" t="str">
        <f>IF(ISERROR(VLOOKUP($A273,'SegEnds_NonXtal_BW#'!$A:$Z,14,FALSE)+VLOOKUP($A273,A:AL,19,FALSE)-50),"-",(VLOOKUP($A273,'SegEnds_NonXtal_BW#'!$A:$Z,14,FALSE)+VLOOKUP($A273,A:AL,19,FALSE)-50))</f>
        <v>-</v>
      </c>
      <c r="U273" s="9">
        <f>IF(ISERROR(VLOOKUP($A273,'SegEnds_NonXtal_BW#'!$A:$Z,15,FALSE)+VLOOKUP($A273,A:AL,22,FALSE)-50),"-",VLOOKUP($A273,'SegEnds_NonXtal_BW#'!$A:$Z,15,FALSE)+VLOOKUP($A273,A:AL,22,FALSE)-50)</f>
        <v>155</v>
      </c>
      <c r="V273" s="3">
        <v>167</v>
      </c>
      <c r="W273" s="3">
        <f>IF(ISERROR(VLOOKUP($A273,'SegEnds_NonXtal_BW#'!$A:$Z,16,FALSE)+VLOOKUP($A273,A:AL,22,FALSE)-50),"-",(VLOOKUP($A273,'SegEnds_NonXtal_BW#'!$A:$Z,16,FALSE)+VLOOKUP($A273,A:AL,22,FALSE)-50))</f>
        <v>181</v>
      </c>
      <c r="X273" s="3">
        <f>IF(ISERROR(VLOOKUP($A273,'SegEnds_NonXtal_BW#'!$A:$Z,17,FALSE)+VLOOKUP($A273,A:AL,25,FALSE)-50),"-",(VLOOKUP($A273,'SegEnds_NonXtal_BW#'!$A:$Z,17,FALSE)+VLOOKUP($A273,A:AL,25,FALSE)-50))</f>
        <v>192</v>
      </c>
      <c r="Y273" s="3">
        <v>192</v>
      </c>
      <c r="Z273" s="3">
        <f t="shared" si="169"/>
        <v>194</v>
      </c>
      <c r="AA273" s="3">
        <f>IF(ISERROR(VLOOKUP($A273,'SegEnds_NonXtal_BW#'!$A:$Z,19,FALSE)+VLOOKUP($A273,A:AL,28,FALSE)-50),"-",(VLOOKUP($A273,'SegEnds_NonXtal_BW#'!$A:$Z,19,FALSE)+VLOOKUP($A273,A:AL,28,FALSE)-50))</f>
        <v>199</v>
      </c>
      <c r="AB273" s="3">
        <v>217</v>
      </c>
      <c r="AC273" s="3">
        <f>IF(ISERROR((VLOOKUP($A273,'SegEnds_NonXtal_BW#'!$A:$Z,20,FALSE)+VLOOKUP($A273,A:AL,28,FALSE)-50)),"-",(VLOOKUP($A273,'SegEnds_NonXtal_BW#'!$A:$Z,20,FALSE)+VLOOKUP($A273,A:AL,28,FALSE)-50))</f>
        <v>241</v>
      </c>
      <c r="AD273" s="3">
        <f>IF(ISERROR(VLOOKUP($A273,'SegEnds_NonXtal_BW#'!$A:$Z,21,FALSE)+VLOOKUP($A273,A:AL,31,FALSE)-50),"-",(VLOOKUP($A273,'SegEnds_NonXtal_BW#'!$A:$Z,21,FALSE)+VLOOKUP($A273,A:AL,31,FALSE)-50))</f>
        <v>252</v>
      </c>
      <c r="AE273" s="3">
        <v>281</v>
      </c>
      <c r="AF273" s="3">
        <f>IF(ISERROR((VLOOKUP($A273,'SegEnds_NonXtal_BW#'!$A:$Z,22,FALSE)+VLOOKUP($A273,A:AL,31,FALSE)-50)),"-",(VLOOKUP($A273,'SegEnds_NonXtal_BW#'!$A:$Z,22,FALSE)+VLOOKUP($A273,A:AL,31,FALSE)-50))</f>
        <v>292</v>
      </c>
      <c r="AG273" s="3">
        <f>IF(ISERROR(VLOOKUP($A273,'SegEnds_NonXtal_BW#'!$A:$Z,23,FALSE)+VLOOKUP($A273,A:AL,34,FALSE)-50),"-",(VLOOKUP($A273,'SegEnds_NonXtal_BW#'!$A:$Z,23,FALSE)+VLOOKUP($A273,A:AL,34,FALSE)-50))</f>
        <v>298</v>
      </c>
      <c r="AH273" s="3">
        <v>317</v>
      </c>
      <c r="AI273" s="3">
        <f>IF(ISERROR((VLOOKUP($A273,'SegEnds_NonXtal_BW#'!$A:$Z,24,FALSE)+VLOOKUP($A273,A:AL,34,FALSE)-50)),"-",(VLOOKUP($A273,'SegEnds_NonXtal_BW#'!$A:$Z,24,FALSE)+VLOOKUP($A273,A:AL,34,FALSE)-50))</f>
        <v>323</v>
      </c>
      <c r="AJ273" s="3">
        <f>IF(ISERROR(VLOOKUP($A273,'SegEnds_NonXtal_BW#'!$A:$Z,25,FALSE)+VLOOKUP($A273,A:AL,37,FALSE)-50),"-",(VLOOKUP($A273,'SegEnds_NonXtal_BW#'!$A:$Z,25,FALSE)+VLOOKUP($A273,A:AL,37,FALSE)-50))</f>
        <v>324</v>
      </c>
      <c r="AK273" s="3">
        <v>327</v>
      </c>
      <c r="AL273" s="3">
        <f>IF(ISERROR((VLOOKUP($A273,'SegEnds_NonXtal_BW#'!$A:$Z,26,FALSE)+VLOOKUP($A273,A:AL,37,FALSE)-50)),"-",(VLOOKUP($A273,'SegEnds_NonXtal_BW#'!$A:$Z,26,FALSE)+VLOOKUP($A273,A:AL,37,FALSE)-50))</f>
        <v>335</v>
      </c>
      <c r="AM273" s="28" t="str">
        <f>VLOOKUP(A273,Classification!A:B,2,FALSE)</f>
        <v>A</v>
      </c>
      <c r="AN273" s="28" t="b">
        <f t="shared" si="167"/>
        <v>1</v>
      </c>
      <c r="AO273" s="3" t="str">
        <f>IF(ISERROR(MATCH(A273,'SegEnds_Xtal_Prot#'!B:B, 0)), "NoXtal", "Xtal")</f>
        <v>NoXtal</v>
      </c>
      <c r="AP273" s="3">
        <f t="shared" si="152"/>
        <v>1</v>
      </c>
      <c r="AQ273" s="3">
        <f t="shared" si="153"/>
        <v>1</v>
      </c>
      <c r="AR273" s="3">
        <f t="shared" si="154"/>
        <v>4</v>
      </c>
      <c r="AS273" s="3">
        <f t="shared" si="155"/>
        <v>1</v>
      </c>
      <c r="AT273" s="3" t="str">
        <f t="shared" si="156"/>
        <v>-</v>
      </c>
      <c r="AU273" s="3" t="str">
        <f t="shared" si="157"/>
        <v>-</v>
      </c>
      <c r="AV273" s="3">
        <f t="shared" si="158"/>
        <v>11</v>
      </c>
      <c r="AW273" s="3">
        <f t="shared" si="159"/>
        <v>5</v>
      </c>
      <c r="AX273" s="3">
        <f t="shared" si="160"/>
        <v>11</v>
      </c>
      <c r="AY273" s="3">
        <f t="shared" si="161"/>
        <v>6</v>
      </c>
      <c r="AZ273" s="3">
        <f t="shared" si="162"/>
        <v>1</v>
      </c>
      <c r="BA273" s="3">
        <f>IF(ISERROR(LEN(VLOOKUP(A273,Seqs!A:E,2,FALSE))-AL273),"-",LEN(VLOOKUP(A273,Seqs!A:E,2,FALSE))-AL273)</f>
        <v>180</v>
      </c>
      <c r="BB273" s="16">
        <f t="shared" si="163"/>
        <v>28</v>
      </c>
      <c r="BC273" s="9" t="str">
        <f t="shared" si="164"/>
        <v>-</v>
      </c>
      <c r="BD273" s="3">
        <f t="shared" si="165"/>
        <v>28</v>
      </c>
      <c r="BE273" s="3">
        <f t="shared" si="166"/>
        <v>64</v>
      </c>
    </row>
    <row r="274" spans="1:58" s="3" customFormat="1" x14ac:dyDescent="0.2">
      <c r="A274" s="3" t="s">
        <v>235</v>
      </c>
      <c r="B274" s="3" t="str">
        <f>LOWER(VLOOKUP(A274,Xtal_Templ!A:B,2,FALSE))</f>
        <v>lpar1_human</v>
      </c>
      <c r="C274" s="3">
        <f>VLOOKUP($A274,'SegEnds_NonXtal_BW#'!$A:$Z,3,FALSE)+D274-50</f>
        <v>12</v>
      </c>
      <c r="D274" s="3">
        <v>32</v>
      </c>
      <c r="E274" s="3">
        <f>IF(ISERROR(VLOOKUP($A274,'SegEnds_NonXtal_BW#'!$A:$Z,4,FALSE)+VLOOKUP($A274,A:AL,4,FALSE)-50),"-",(VLOOKUP($A274,'SegEnds_NonXtal_BW#'!$A:$Z,4,FALSE)+VLOOKUP($A274,A:AL,4,FALSE)-50))</f>
        <v>42</v>
      </c>
      <c r="F274" s="3">
        <f>G274-2</f>
        <v>43</v>
      </c>
      <c r="G274" s="3">
        <v>45</v>
      </c>
      <c r="H274" s="3">
        <f t="shared" si="170"/>
        <v>46</v>
      </c>
      <c r="I274" s="3">
        <f t="shared" si="170"/>
        <v>47</v>
      </c>
      <c r="J274" s="3">
        <v>61</v>
      </c>
      <c r="K274" s="3">
        <f>VLOOKUP($A274,'SegEnds_NonXtal_BW#'!$A:$Z,8,FALSE)+VLOOKUP($A274,A:AL,10,FALSE)-50</f>
        <v>77</v>
      </c>
      <c r="L274" s="3" t="str">
        <f>IF(ISERROR(VLOOKUP($A274,'SegEnds_NonXtal_BW#'!$A:$Z,9,FALSE)+VLOOKUP($A274,A:AL,13,FALSE)-50),"-",(VLOOKUP($A274,'SegEnds_NonXtal_BW#'!$A:$Z,9,FALSE)+VLOOKUP($A274,A:AL,13,FALSE)-50))</f>
        <v>-</v>
      </c>
      <c r="M274" s="3" t="s">
        <v>23</v>
      </c>
      <c r="N274" s="3" t="str">
        <f>IF(ISERROR(VLOOKUP($A274,'SegEnds_NonXtal_BW#'!$A:$Z,10,FALSE)+VLOOKUP($A274,A:AL,13,FALSE)-50),"-",(VLOOKUP($A274,'SegEnds_NonXtal_BW#'!$A:$Z,10,FALSE)+VLOOKUP($A274,A:AL,13,FALSE)-50))</f>
        <v>-</v>
      </c>
      <c r="O274" s="3">
        <f>VLOOKUP($A274,'SegEnds_NonXtal_BW#'!$A:$Z,11,FALSE)+VLOOKUP($A274,A:AL,16,FALSE)-50</f>
        <v>84</v>
      </c>
      <c r="P274" s="3">
        <v>110</v>
      </c>
      <c r="Q274" s="3">
        <f>VLOOKUP($A274,'SegEnds_NonXtal_BW#'!$A:$Z,12,FALSE)+VLOOKUP($A274,A:AL,16,FALSE)-50</f>
        <v>116</v>
      </c>
      <c r="R274" s="3" t="str">
        <f>IF(ISERROR(VLOOKUP($A274,'SegEnds_NonXtal_BW#'!$A:$Z,13,FALSE)+VLOOKUP($A274,A:AL,19,FALSE)-50),"-",VLOOKUP($A274,'SegEnds_NonXtal_BW#'!$A:$Z,13,FALSE)+VLOOKUP($A274,A:AL,19,FALSE)-50)</f>
        <v>-</v>
      </c>
      <c r="S274" s="3" t="s">
        <v>23</v>
      </c>
      <c r="T274" s="100" t="str">
        <f>IF(ISERROR(VLOOKUP($A274,'SegEnds_NonXtal_BW#'!$A:$Z,14,FALSE)+VLOOKUP($A274,A:AL,19,FALSE)-50),"-",(VLOOKUP($A274,'SegEnds_NonXtal_BW#'!$A:$Z,14,FALSE)+VLOOKUP($A274,A:AL,19,FALSE)-50))</f>
        <v>-</v>
      </c>
      <c r="U274" s="9">
        <f>IF(ISERROR(VLOOKUP($A274,'SegEnds_NonXtal_BW#'!$A:$Z,15,FALSE)+VLOOKUP($A274,A:AL,22,FALSE)-50),"-",VLOOKUP($A274,'SegEnds_NonXtal_BW#'!$A:$Z,15,FALSE)+VLOOKUP($A274,A:AL,22,FALSE)-50)</f>
        <v>120</v>
      </c>
      <c r="V274" s="3">
        <v>132</v>
      </c>
      <c r="W274" s="3">
        <f>IF(ISERROR(VLOOKUP($A274,'SegEnds_NonXtal_BW#'!$A:$Z,16,FALSE)+VLOOKUP($A274,A:AL,22,FALSE)-50),"-",(VLOOKUP($A274,'SegEnds_NonXtal_BW#'!$A:$Z,16,FALSE)+VLOOKUP($A274,A:AL,22,FALSE)-50))</f>
        <v>145</v>
      </c>
      <c r="X274" s="3">
        <f>IF(ISERROR(VLOOKUP($A274,'SegEnds_NonXtal_BW#'!$A:$Z,17,FALSE)+VLOOKUP($A274,A:AL,25,FALSE)-50),"-",(VLOOKUP($A274,'SegEnds_NonXtal_BW#'!$A:$Z,17,FALSE)+VLOOKUP($A274,A:AL,25,FALSE)-50))</f>
        <v>155</v>
      </c>
      <c r="Y274" s="3">
        <v>155</v>
      </c>
      <c r="Z274" s="3">
        <f t="shared" si="169"/>
        <v>157</v>
      </c>
      <c r="AA274" s="3">
        <f>IF(ISERROR(VLOOKUP($A274,'SegEnds_NonXtal_BW#'!$A:$Z,19,FALSE)+VLOOKUP($A274,A:AL,28,FALSE)-50),"-",(VLOOKUP($A274,'SegEnds_NonXtal_BW#'!$A:$Z,19,FALSE)+VLOOKUP($A274,A:AL,28,FALSE)-50))</f>
        <v>161</v>
      </c>
      <c r="AB274" s="3">
        <v>176</v>
      </c>
      <c r="AC274" s="3">
        <f>IF(ISERROR((VLOOKUP($A274,'SegEnds_NonXtal_BW#'!$A:$Z,20,FALSE)+VLOOKUP($A274,A:AL,28,FALSE)-50)),"-",(VLOOKUP($A274,'SegEnds_NonXtal_BW#'!$A:$Z,20,FALSE)+VLOOKUP($A274,A:AL,28,FALSE)-50))</f>
        <v>200</v>
      </c>
      <c r="AD274" s="3">
        <f>IF(ISERROR(VLOOKUP($A274,'SegEnds_NonXtal_BW#'!$A:$Z,21,FALSE)+VLOOKUP($A274,A:AL,31,FALSE)-50),"-",(VLOOKUP($A274,'SegEnds_NonXtal_BW#'!$A:$Z,21,FALSE)+VLOOKUP($A274,A:AL,31,FALSE)-50))</f>
        <v>210</v>
      </c>
      <c r="AE274" s="3">
        <v>239</v>
      </c>
      <c r="AF274" s="3">
        <f>IF(ISERROR((VLOOKUP($A274,'SegEnds_NonXtal_BW#'!$A:$Z,22,FALSE)+VLOOKUP($A274,A:AL,31,FALSE)-50)),"-",(VLOOKUP($A274,'SegEnds_NonXtal_BW#'!$A:$Z,22,FALSE)+VLOOKUP($A274,A:AL,31,FALSE)-50))</f>
        <v>250</v>
      </c>
      <c r="AG274" s="3">
        <f>IF(ISERROR(VLOOKUP($A274,'SegEnds_NonXtal_BW#'!$A:$Z,23,FALSE)+VLOOKUP($A274,A:AL,34,FALSE)-50),"-",(VLOOKUP($A274,'SegEnds_NonXtal_BW#'!$A:$Z,23,FALSE)+VLOOKUP($A274,A:AL,34,FALSE)-50))</f>
        <v>255</v>
      </c>
      <c r="AH274" s="3">
        <v>277</v>
      </c>
      <c r="AI274" s="3">
        <f>IF(ISERROR((VLOOKUP($A274,'SegEnds_NonXtal_BW#'!$A:$Z,24,FALSE)+VLOOKUP($A274,A:AL,34,FALSE)-50)),"-",(VLOOKUP($A274,'SegEnds_NonXtal_BW#'!$A:$Z,24,FALSE)+VLOOKUP($A274,A:AL,34,FALSE)-50))</f>
        <v>283</v>
      </c>
      <c r="AJ274" s="3">
        <f>IF(ISERROR(VLOOKUP($A274,'SegEnds_NonXtal_BW#'!$A:$Z,25,FALSE)+VLOOKUP($A274,A:AL,37,FALSE)-50),"-",(VLOOKUP($A274,'SegEnds_NonXtal_BW#'!$A:$Z,25,FALSE)+VLOOKUP($A274,A:AL,37,FALSE)-50))</f>
        <v>284</v>
      </c>
      <c r="AK274" s="3">
        <v>287</v>
      </c>
      <c r="AL274" s="3">
        <f>IF(ISERROR((VLOOKUP($A274,'SegEnds_NonXtal_BW#'!$A:$Z,26,FALSE)+VLOOKUP($A274,A:AL,37,FALSE)-50)),"-",(VLOOKUP($A274,'SegEnds_NonXtal_BW#'!$A:$Z,26,FALSE)+VLOOKUP($A274,A:AL,37,FALSE)-50))</f>
        <v>296</v>
      </c>
      <c r="AM274" s="28" t="str">
        <f>VLOOKUP(A274,Classification!A:B,2,FALSE)</f>
        <v>A</v>
      </c>
      <c r="AN274" s="28" t="b">
        <f t="shared" si="167"/>
        <v>1</v>
      </c>
      <c r="AO274" s="3" t="str">
        <f>IF(ISERROR(MATCH(A274,'SegEnds_Xtal_Prot#'!B:B, 0)), "NoXtal", "Xtal")</f>
        <v>NoXtal</v>
      </c>
      <c r="AP274" s="3">
        <f t="shared" si="152"/>
        <v>1</v>
      </c>
      <c r="AQ274" s="3">
        <f t="shared" si="153"/>
        <v>1</v>
      </c>
      <c r="AR274" s="3" t="str">
        <f t="shared" si="154"/>
        <v>-</v>
      </c>
      <c r="AS274" s="3" t="str">
        <f t="shared" si="155"/>
        <v>-</v>
      </c>
      <c r="AT274" s="3" t="str">
        <f t="shared" si="156"/>
        <v>-</v>
      </c>
      <c r="AU274" s="3" t="str">
        <f t="shared" si="157"/>
        <v>-</v>
      </c>
      <c r="AV274" s="3">
        <f t="shared" si="158"/>
        <v>10</v>
      </c>
      <c r="AW274" s="3">
        <f t="shared" si="159"/>
        <v>4</v>
      </c>
      <c r="AX274" s="3">
        <f t="shared" si="160"/>
        <v>10</v>
      </c>
      <c r="AY274" s="3">
        <f t="shared" si="161"/>
        <v>5</v>
      </c>
      <c r="AZ274" s="3">
        <f t="shared" si="162"/>
        <v>1</v>
      </c>
      <c r="BA274" s="3">
        <f>IF(ISERROR(LEN(VLOOKUP(A274,Seqs!A:E,2,FALSE))-AL274),"-",LEN(VLOOKUP(A274,Seqs!A:E,2,FALSE))-AL274)</f>
        <v>34</v>
      </c>
      <c r="BB274" s="16">
        <f t="shared" si="163"/>
        <v>29</v>
      </c>
      <c r="BC274" s="9" t="str">
        <f t="shared" si="164"/>
        <v>-</v>
      </c>
      <c r="BD274" s="3">
        <f t="shared" si="165"/>
        <v>29</v>
      </c>
      <c r="BE274" s="3">
        <f t="shared" si="166"/>
        <v>63</v>
      </c>
    </row>
    <row r="275" spans="1:58" s="3" customFormat="1" x14ac:dyDescent="0.2">
      <c r="A275" s="3" t="s">
        <v>259</v>
      </c>
      <c r="B275" s="3" t="str">
        <f>LOWER(VLOOKUP(A275,Xtal_Templ!A:B,2,FALSE))</f>
        <v>drd2_human</v>
      </c>
      <c r="C275" s="3">
        <f>VLOOKUP($A275,'SegEnds_NonXtal_BW#'!$A:$Z,3,FALSE)+D275-50</f>
        <v>31</v>
      </c>
      <c r="D275" s="3">
        <v>52</v>
      </c>
      <c r="E275" s="3">
        <f>IF(ISERROR(VLOOKUP($A275,'SegEnds_NonXtal_BW#'!$A:$Z,4,FALSE)+VLOOKUP($A275,A:AL,4,FALSE)-50),"-",(VLOOKUP($A275,'SegEnds_NonXtal_BW#'!$A:$Z,4,FALSE)+VLOOKUP($A275,A:AL,4,FALSE)-50))</f>
        <v>62</v>
      </c>
      <c r="F275" s="3">
        <f>G275-2</f>
        <v>63</v>
      </c>
      <c r="G275" s="3">
        <v>65</v>
      </c>
      <c r="H275" s="3">
        <f t="shared" si="170"/>
        <v>66</v>
      </c>
      <c r="I275" s="3">
        <f t="shared" si="170"/>
        <v>67</v>
      </c>
      <c r="J275" s="3">
        <v>80</v>
      </c>
      <c r="K275" s="3">
        <f>VLOOKUP($A275,'SegEnds_NonXtal_BW#'!$A:$Z,8,FALSE)+VLOOKUP($A275,A:AL,10,FALSE)-50</f>
        <v>98</v>
      </c>
      <c r="L275" s="3">
        <f>M275-1</f>
        <v>99</v>
      </c>
      <c r="M275" s="3">
        <v>100</v>
      </c>
      <c r="N275" s="3">
        <f>M275+2</f>
        <v>102</v>
      </c>
      <c r="O275" s="3">
        <f>N275+1</f>
        <v>103</v>
      </c>
      <c r="P275" s="3">
        <v>132</v>
      </c>
      <c r="Q275" s="3">
        <f>VLOOKUP($A275,'SegEnds_NonXtal_BW#'!$A:$Z,12,FALSE)+VLOOKUP($A275,A:AL,16,FALSE)-50</f>
        <v>138</v>
      </c>
      <c r="R275" s="3" t="str">
        <f>IF(ISERROR(VLOOKUP($A275,'SegEnds_NonXtal_BW#'!$A:$Z,13,FALSE)+VLOOKUP($A275,A:AL,19,FALSE)-50),"-",VLOOKUP($A275,'SegEnds_NonXtal_BW#'!$A:$Z,13,FALSE)+VLOOKUP($A275,A:AL,19,FALSE)-50)</f>
        <v>-</v>
      </c>
      <c r="S275" s="3" t="s">
        <v>23</v>
      </c>
      <c r="T275" s="100" t="str">
        <f>IF(ISERROR(VLOOKUP($A275,'SegEnds_NonXtal_BW#'!$A:$Z,14,FALSE)+VLOOKUP($A275,A:AL,19,FALSE)-50),"-",(VLOOKUP($A275,'SegEnds_NonXtal_BW#'!$A:$Z,14,FALSE)+VLOOKUP($A275,A:AL,19,FALSE)-50))</f>
        <v>-</v>
      </c>
      <c r="U275" s="9">
        <f>IF(ISERROR(VLOOKUP($A275,'SegEnds_NonXtal_BW#'!$A:$Z,15,FALSE)+VLOOKUP($A275,A:AL,22,FALSE)-50),"-",VLOOKUP($A275,'SegEnds_NonXtal_BW#'!$A:$Z,15,FALSE)+VLOOKUP($A275,A:AL,22,FALSE)-50)</f>
        <v>144</v>
      </c>
      <c r="V275" s="3">
        <v>156</v>
      </c>
      <c r="W275" s="3">
        <f>IF(ISERROR(VLOOKUP($A275,'SegEnds_NonXtal_BW#'!$A:$Z,16,FALSE)+VLOOKUP($A275,A:AL,22,FALSE)-50),"-",(VLOOKUP($A275,'SegEnds_NonXtal_BW#'!$A:$Z,16,FALSE)+VLOOKUP($A275,A:AL,22,FALSE)-50))</f>
        <v>168</v>
      </c>
      <c r="X275" s="3">
        <f>IF(ISERROR(VLOOKUP($A275,'SegEnds_NonXtal_BW#'!$A:$Z,17,FALSE)+VLOOKUP($A275,A:AL,25,FALSE)-50),"-",(VLOOKUP($A275,'SegEnds_NonXtal_BW#'!$A:$Z,17,FALSE)+VLOOKUP($A275,A:AL,25,FALSE)-50))</f>
        <v>182</v>
      </c>
      <c r="Y275" s="3">
        <v>182</v>
      </c>
      <c r="Z275" s="3">
        <f t="shared" si="169"/>
        <v>184</v>
      </c>
      <c r="AA275" s="3">
        <f>IF(ISERROR(VLOOKUP($A275,'SegEnds_NonXtal_BW#'!$A:$Z,19,FALSE)+VLOOKUP($A275,A:AL,28,FALSE)-50),"-",(VLOOKUP($A275,'SegEnds_NonXtal_BW#'!$A:$Z,19,FALSE)+VLOOKUP($A275,A:AL,28,FALSE)-50))</f>
        <v>192</v>
      </c>
      <c r="AB275" s="3">
        <v>207</v>
      </c>
      <c r="AC275" s="3">
        <f>IF(ISERROR((VLOOKUP($A275,'SegEnds_NonXtal_BW#'!$A:$Z,20,FALSE)+VLOOKUP($A275,A:AL,28,FALSE)-50)),"-",(VLOOKUP($A275,'SegEnds_NonXtal_BW#'!$A:$Z,20,FALSE)+VLOOKUP($A275,A:AL,28,FALSE)-50))</f>
        <v>233</v>
      </c>
      <c r="AD275" s="3">
        <f>IF(ISERROR(VLOOKUP($A275,'SegEnds_NonXtal_BW#'!$A:$Z,21,FALSE)+VLOOKUP($A275,A:AL,31,FALSE)-50),"-",(VLOOKUP($A275,'SegEnds_NonXtal_BW#'!$A:$Z,21,FALSE)+VLOOKUP($A275,A:AL,31,FALSE)-50))</f>
        <v>256</v>
      </c>
      <c r="AE275" s="3">
        <v>282</v>
      </c>
      <c r="AF275" s="3">
        <f>IF(ISERROR((VLOOKUP($A275,'SegEnds_NonXtal_BW#'!$A:$Z,22,FALSE)+VLOOKUP($A275,A:AL,31,FALSE)-50)),"-",(VLOOKUP($A275,'SegEnds_NonXtal_BW#'!$A:$Z,22,FALSE)+VLOOKUP($A275,A:AL,31,FALSE)-50))</f>
        <v>293</v>
      </c>
      <c r="AG275" s="3">
        <f>IF(ISERROR(VLOOKUP($A275,'SegEnds_NonXtal_BW#'!$A:$Z,23,FALSE)+VLOOKUP($A275,A:AL,34,FALSE)-50),"-",(VLOOKUP($A275,'SegEnds_NonXtal_BW#'!$A:$Z,23,FALSE)+VLOOKUP($A275,A:AL,34,FALSE)-50))</f>
        <v>299</v>
      </c>
      <c r="AH275" s="3">
        <v>321</v>
      </c>
      <c r="AI275" s="3">
        <v>327</v>
      </c>
      <c r="AJ275" s="3">
        <f>IF(ISERROR(VLOOKUP($A275,'SegEnds_NonXtal_BW#'!$A:$Z,25,FALSE)+VLOOKUP($A275,A:AL,37,FALSE)-50),"-",(VLOOKUP($A275,'SegEnds_NonXtal_BW#'!$A:$Z,25,FALSE)+VLOOKUP($A275,A:AL,37,FALSE)-50))</f>
        <v>328</v>
      </c>
      <c r="AK275" s="3">
        <v>331</v>
      </c>
      <c r="AL275" s="3">
        <f>IF(ISERROR((VLOOKUP($A275,'SegEnds_NonXtal_BW#'!$A:$Z,26,FALSE)+VLOOKUP($A275,A:AL,37,FALSE)-50)),"-",(VLOOKUP($A275,'SegEnds_NonXtal_BW#'!$A:$Z,26,FALSE)+VLOOKUP($A275,A:AL,37,FALSE)-50))</f>
        <v>340</v>
      </c>
      <c r="AM275" s="28" t="str">
        <f>VLOOKUP(A275,Classification!A:B,2,FALSE)</f>
        <v>A</v>
      </c>
      <c r="AN275" s="28" t="b">
        <f t="shared" si="167"/>
        <v>1</v>
      </c>
      <c r="AO275" s="3" t="str">
        <f>IF(ISERROR(MATCH(A275,'SegEnds_Xtal_Prot#'!B:B, 0)), "NoXtal", "Xtal")</f>
        <v>NoXtal</v>
      </c>
      <c r="AP275" s="3">
        <f t="shared" si="152"/>
        <v>1</v>
      </c>
      <c r="AQ275" s="3">
        <f t="shared" si="153"/>
        <v>1</v>
      </c>
      <c r="AR275" s="3">
        <f t="shared" si="154"/>
        <v>1</v>
      </c>
      <c r="AS275" s="3">
        <f t="shared" si="155"/>
        <v>1</v>
      </c>
      <c r="AT275" s="3" t="str">
        <f t="shared" si="156"/>
        <v>-</v>
      </c>
      <c r="AU275" s="3" t="str">
        <f t="shared" si="157"/>
        <v>-</v>
      </c>
      <c r="AV275" s="3">
        <f t="shared" si="158"/>
        <v>14</v>
      </c>
      <c r="AW275" s="3">
        <f t="shared" si="159"/>
        <v>8</v>
      </c>
      <c r="AX275" s="3">
        <f t="shared" si="160"/>
        <v>23</v>
      </c>
      <c r="AY275" s="3">
        <f t="shared" si="161"/>
        <v>6</v>
      </c>
      <c r="AZ275" s="3">
        <f t="shared" si="162"/>
        <v>1</v>
      </c>
      <c r="BA275" s="3">
        <f>IF(ISERROR(LEN(VLOOKUP(A275,Seqs!A:E,2,FALSE))-AL275),"-",LEN(VLOOKUP(A275,Seqs!A:E,2,FALSE))-AL275)</f>
        <v>32</v>
      </c>
      <c r="BB275" s="16">
        <f t="shared" si="163"/>
        <v>28</v>
      </c>
      <c r="BC275" s="9" t="str">
        <f t="shared" si="164"/>
        <v>-</v>
      </c>
      <c r="BD275" s="3">
        <f t="shared" si="165"/>
        <v>28</v>
      </c>
      <c r="BE275" s="3">
        <f t="shared" si="166"/>
        <v>75</v>
      </c>
    </row>
    <row r="276" spans="1:58" s="3" customFormat="1" x14ac:dyDescent="0.2">
      <c r="A276" s="3" t="s">
        <v>264</v>
      </c>
      <c r="B276" s="3" t="str">
        <f>LOWER(VLOOKUP(A276,Xtal_Templ!A:B,2,FALSE))</f>
        <v>drd3_human</v>
      </c>
      <c r="C276" s="3">
        <f>VLOOKUP($A276,'SegEnds_NonXtal_BW#'!$A:$Z,3,FALSE)+D276-50</f>
        <v>11</v>
      </c>
      <c r="D276" s="3">
        <v>32</v>
      </c>
      <c r="E276" s="3">
        <f>IF(ISERROR(VLOOKUP($A276,'SegEnds_NonXtal_BW#'!$A:$Z,4,FALSE)+VLOOKUP($A276,A:AL,4,FALSE)-50),"-",(VLOOKUP($A276,'SegEnds_NonXtal_BW#'!$A:$Z,4,FALSE)+VLOOKUP($A276,A:AL,4,FALSE)-50))</f>
        <v>42</v>
      </c>
      <c r="F276" s="3" t="str">
        <f>IF(ISERROR(VLOOKUP($A276,'SegEnds_NonXtal_BW#'!$A:$Z,5,FALSE)+VLOOKUP($A276,A:AL,7,FALSE)-50),"-",(VLOOKUP($A276,'SegEnds_NonXtal_BW#'!$A:$Z,5,FALSE)+VLOOKUP($A276,A:AL,7,FALSE)-50))</f>
        <v>-</v>
      </c>
      <c r="G276" s="3" t="s">
        <v>23</v>
      </c>
      <c r="H276" s="3" t="str">
        <f>IF(ISERROR(VLOOKUP($A276,'SegEnds_NonXtal_BW#'!$A:$Z,6,FALSE)+VLOOKUP($A276,A:AL,7,FALSE)-50),"-",(VLOOKUP($A276,'SegEnds_NonXtal_BW#'!$A:$Z,6,FALSE)+VLOOKUP($A276,A:AL,7,FALSE)-50))</f>
        <v>-</v>
      </c>
      <c r="I276" s="3">
        <f>VLOOKUP($A276,'SegEnds_NonXtal_BW#'!$A:$Z,7,FALSE)+J276-50</f>
        <v>45</v>
      </c>
      <c r="J276" s="3">
        <v>58</v>
      </c>
      <c r="K276" s="3">
        <f>VLOOKUP($A276,'SegEnds_NonXtal_BW#'!$A:$Z,8,FALSE)+VLOOKUP($A276,A:AL,10,FALSE)-50</f>
        <v>75</v>
      </c>
      <c r="L276" s="3" t="str">
        <f>IF(ISERROR(VLOOKUP($A276,'SegEnds_NonXtal_BW#'!$A:$Z,9,FALSE)+VLOOKUP($A276,A:AL,13,FALSE)-50),"-",(VLOOKUP($A276,'SegEnds_NonXtal_BW#'!$A:$Z,9,FALSE)+VLOOKUP($A276,A:AL,13,FALSE)-50))</f>
        <v>-</v>
      </c>
      <c r="M276" s="3" t="s">
        <v>23</v>
      </c>
      <c r="N276" s="3" t="str">
        <f>IF(ISERROR(VLOOKUP($A276,'SegEnds_NonXtal_BW#'!$A:$Z,10,FALSE)+VLOOKUP($A276,A:AL,13,FALSE)-50),"-",(VLOOKUP($A276,'SegEnds_NonXtal_BW#'!$A:$Z,10,FALSE)+VLOOKUP($A276,A:AL,13,FALSE)-50))</f>
        <v>-</v>
      </c>
      <c r="O276" s="3">
        <f>VLOOKUP($A276,'SegEnds_NonXtal_BW#'!$A:$Z,11,FALSE)+VLOOKUP($A276,A:AL,16,FALSE)-50</f>
        <v>81</v>
      </c>
      <c r="P276" s="3">
        <v>113</v>
      </c>
      <c r="Q276" s="3">
        <f>VLOOKUP($A276,'SegEnds_NonXtal_BW#'!$A:$Z,12,FALSE)+VLOOKUP($A276,A:AL,16,FALSE)-50</f>
        <v>119</v>
      </c>
      <c r="R276" s="3" t="str">
        <f>IF(ISERROR(VLOOKUP($A276,'SegEnds_NonXtal_BW#'!$A:$Z,13,FALSE)+VLOOKUP($A276,A:AL,19,FALSE)-50),"-",VLOOKUP($A276,'SegEnds_NonXtal_BW#'!$A:$Z,13,FALSE)+VLOOKUP($A276,A:AL,19,FALSE)-50)</f>
        <v>-</v>
      </c>
      <c r="S276" s="3" t="s">
        <v>23</v>
      </c>
      <c r="T276" s="100" t="str">
        <f>IF(ISERROR(VLOOKUP($A276,'SegEnds_NonXtal_BW#'!$A:$Z,14,FALSE)+VLOOKUP($A276,A:AL,19,FALSE)-50),"-",(VLOOKUP($A276,'SegEnds_NonXtal_BW#'!$A:$Z,14,FALSE)+VLOOKUP($A276,A:AL,19,FALSE)-50))</f>
        <v>-</v>
      </c>
      <c r="U276" s="9">
        <f>IF(ISERROR(VLOOKUP($A276,'SegEnds_NonXtal_BW#'!$A:$Z,15,FALSE)+VLOOKUP($A276,A:AL,22,FALSE)-50),"-",VLOOKUP($A276,'SegEnds_NonXtal_BW#'!$A:$Z,15,FALSE)+VLOOKUP($A276,A:AL,22,FALSE)-50)</f>
        <v>125</v>
      </c>
      <c r="V276" s="3">
        <v>137</v>
      </c>
      <c r="W276" s="3">
        <f>IF(ISERROR(VLOOKUP($A276,'SegEnds_NonXtal_BW#'!$A:$Z,16,FALSE)+VLOOKUP($A276,A:AL,22,FALSE)-50),"-",(VLOOKUP($A276,'SegEnds_NonXtal_BW#'!$A:$Z,16,FALSE)+VLOOKUP($A276,A:AL,22,FALSE)-50))</f>
        <v>150</v>
      </c>
      <c r="X276" s="3">
        <f>IF(ISERROR(VLOOKUP($A276,'SegEnds_NonXtal_BW#'!$A:$Z,17,FALSE)+VLOOKUP($A276,A:AL,25,FALSE)-50),"-",(VLOOKUP($A276,'SegEnds_NonXtal_BW#'!$A:$Z,17,FALSE)+VLOOKUP($A276,A:AL,25,FALSE)-50))</f>
        <v>162</v>
      </c>
      <c r="Y276" s="3">
        <v>162</v>
      </c>
      <c r="Z276" s="3">
        <f t="shared" si="169"/>
        <v>164</v>
      </c>
      <c r="AA276" s="3">
        <f>IF(ISERROR(VLOOKUP($A276,'SegEnds_NonXtal_BW#'!$A:$Z,19,FALSE)+VLOOKUP($A276,A:AL,28,FALSE)-50),"-",(VLOOKUP($A276,'SegEnds_NonXtal_BW#'!$A:$Z,19,FALSE)+VLOOKUP($A276,A:AL,28,FALSE)-50))</f>
        <v>169</v>
      </c>
      <c r="AB276" s="3">
        <v>184</v>
      </c>
      <c r="AC276" s="3">
        <f>IF(ISERROR((VLOOKUP($A276,'SegEnds_NonXtal_BW#'!$A:$Z,20,FALSE)+VLOOKUP($A276,A:AL,28,FALSE)-50)),"-",(VLOOKUP($A276,'SegEnds_NonXtal_BW#'!$A:$Z,20,FALSE)+VLOOKUP($A276,A:AL,28,FALSE)-50))</f>
        <v>210</v>
      </c>
      <c r="AD276" s="3">
        <f>IF(ISERROR(VLOOKUP($A276,'SegEnds_NonXtal_BW#'!$A:$Z,21,FALSE)+VLOOKUP($A276,A:AL,31,FALSE)-50),"-",(VLOOKUP($A276,'SegEnds_NonXtal_BW#'!$A:$Z,21,FALSE)+VLOOKUP($A276,A:AL,31,FALSE)-50))</f>
        <v>230</v>
      </c>
      <c r="AE276" s="3">
        <v>256</v>
      </c>
      <c r="AF276" s="3">
        <f>IF(ISERROR((VLOOKUP($A276,'SegEnds_NonXtal_BW#'!$A:$Z,22,FALSE)+VLOOKUP($A276,A:AL,31,FALSE)-50)),"-",(VLOOKUP($A276,'SegEnds_NonXtal_BW#'!$A:$Z,22,FALSE)+VLOOKUP($A276,A:AL,31,FALSE)-50))</f>
        <v>264</v>
      </c>
      <c r="AG276" s="3">
        <f>IF(ISERROR(VLOOKUP($A276,'SegEnds_NonXtal_BW#'!$A:$Z,23,FALSE)+VLOOKUP($A276,A:AL,34,FALSE)-50),"-",(VLOOKUP($A276,'SegEnds_NonXtal_BW#'!$A:$Z,23,FALSE)+VLOOKUP($A276,A:AL,34,FALSE)-50))</f>
        <v>272</v>
      </c>
      <c r="AH276" s="3">
        <v>287</v>
      </c>
      <c r="AI276" s="3">
        <f>IF(ISERROR((VLOOKUP($A276,'SegEnds_NonXtal_BW#'!$A:$Z,24,FALSE)+VLOOKUP($A276,A:AL,34,FALSE)-50)),"-",(VLOOKUP($A276,'SegEnds_NonXtal_BW#'!$A:$Z,24,FALSE)+VLOOKUP($A276,A:AL,34,FALSE)-50))</f>
        <v>293</v>
      </c>
      <c r="AJ276" s="3">
        <f>IF(ISERROR(VLOOKUP($A276,'SegEnds_NonXtal_BW#'!$A:$Z,25,FALSE)+VLOOKUP($A276,A:AL,37,FALSE)-50),"-",(VLOOKUP($A276,'SegEnds_NonXtal_BW#'!$A:$Z,25,FALSE)+VLOOKUP($A276,A:AL,37,FALSE)-50))</f>
        <v>294</v>
      </c>
      <c r="AK276" s="3">
        <v>297</v>
      </c>
      <c r="AL276" s="3">
        <f>IF(ISERROR((VLOOKUP($A276,'SegEnds_NonXtal_BW#'!$A:$Z,26,FALSE)+VLOOKUP($A276,A:AL,37,FALSE)-50)),"-",(VLOOKUP($A276,'SegEnds_NonXtal_BW#'!$A:$Z,26,FALSE)+VLOOKUP($A276,A:AL,37,FALSE)-50))</f>
        <v>306</v>
      </c>
      <c r="AM276" s="28" t="str">
        <f>VLOOKUP(A276,Classification!A:B,2,FALSE)</f>
        <v>A</v>
      </c>
      <c r="AN276" s="28" t="b">
        <f t="shared" si="167"/>
        <v>1</v>
      </c>
      <c r="AO276" s="3" t="str">
        <f>IF(ISERROR(MATCH(A276,'SegEnds_Xtal_Prot#'!B:B, 0)), "NoXtal", "Xtal")</f>
        <v>NoXtal</v>
      </c>
      <c r="AP276" s="3" t="str">
        <f t="shared" si="152"/>
        <v>-</v>
      </c>
      <c r="AQ276" s="3" t="str">
        <f t="shared" si="153"/>
        <v>-</v>
      </c>
      <c r="AR276" s="3" t="str">
        <f t="shared" si="154"/>
        <v>-</v>
      </c>
      <c r="AS276" s="3" t="str">
        <f t="shared" si="155"/>
        <v>-</v>
      </c>
      <c r="AT276" s="3" t="str">
        <f t="shared" si="156"/>
        <v>-</v>
      </c>
      <c r="AU276" s="3" t="str">
        <f t="shared" si="157"/>
        <v>-</v>
      </c>
      <c r="AV276" s="3">
        <f t="shared" si="158"/>
        <v>12</v>
      </c>
      <c r="AW276" s="3">
        <f t="shared" si="159"/>
        <v>5</v>
      </c>
      <c r="AX276" s="3">
        <f t="shared" si="160"/>
        <v>20</v>
      </c>
      <c r="AY276" s="3">
        <f t="shared" si="161"/>
        <v>8</v>
      </c>
      <c r="AZ276" s="3">
        <f t="shared" si="162"/>
        <v>1</v>
      </c>
      <c r="BA276" s="3">
        <f>IF(ISERROR(LEN(VLOOKUP(A276,Seqs!A:E,2,FALSE))-AL276),"-",LEN(VLOOKUP(A276,Seqs!A:E,2,FALSE))-AL276)</f>
        <v>62</v>
      </c>
      <c r="BB276" s="16">
        <f t="shared" si="163"/>
        <v>26</v>
      </c>
      <c r="BC276" s="9" t="str">
        <f t="shared" si="164"/>
        <v>-</v>
      </c>
      <c r="BD276" s="3">
        <f t="shared" si="165"/>
        <v>26</v>
      </c>
      <c r="BE276" s="3">
        <f t="shared" si="166"/>
        <v>72</v>
      </c>
    </row>
    <row r="277" spans="1:58" s="3" customFormat="1" x14ac:dyDescent="0.2">
      <c r="A277" s="3" t="s">
        <v>265</v>
      </c>
      <c r="B277" s="3" t="str">
        <f>LOWER(VLOOKUP(A277,Xtal_Templ!A:B,2,FALSE))</f>
        <v>5ht2c_human</v>
      </c>
      <c r="C277" s="3">
        <f>VLOOKUP($A277,'SegEnds_NonXtal_BW#'!$A:$Z,3,FALSE)+D277-50</f>
        <v>82</v>
      </c>
      <c r="D277" s="3">
        <v>99</v>
      </c>
      <c r="E277" s="3">
        <f>IF(ISERROR(VLOOKUP($A277,'SegEnds_NonXtal_BW#'!$A:$Z,4,FALSE)+VLOOKUP($A277,A:AL,4,FALSE)-50),"-",(VLOOKUP($A277,'SegEnds_NonXtal_BW#'!$A:$Z,4,FALSE)+VLOOKUP($A277,A:AL,4,FALSE)-50))</f>
        <v>109</v>
      </c>
      <c r="F277" s="3">
        <f t="shared" ref="F277:F314" si="171">G277-2</f>
        <v>110</v>
      </c>
      <c r="G277" s="3">
        <v>112</v>
      </c>
      <c r="H277" s="3">
        <f t="shared" ref="H277:I296" si="172">G277+1</f>
        <v>113</v>
      </c>
      <c r="I277" s="3">
        <f t="shared" si="172"/>
        <v>114</v>
      </c>
      <c r="J277" s="3">
        <v>127</v>
      </c>
      <c r="K277" s="3">
        <f>VLOOKUP($A277,'SegEnds_NonXtal_BW#'!$A:$Z,8,FALSE)+VLOOKUP($A277,A:AL,10,FALSE)-50</f>
        <v>145</v>
      </c>
      <c r="L277" s="3">
        <f>M277-1</f>
        <v>146</v>
      </c>
      <c r="M277" s="3">
        <v>147</v>
      </c>
      <c r="N277" s="3">
        <f>M277+2</f>
        <v>149</v>
      </c>
      <c r="O277" s="3">
        <f>N277+1</f>
        <v>150</v>
      </c>
      <c r="P277" s="3">
        <v>179</v>
      </c>
      <c r="Q277" s="3">
        <f>VLOOKUP($A277,'SegEnds_NonXtal_BW#'!$A:$Z,12,FALSE)+VLOOKUP($A277,A:AL,16,FALSE)-50</f>
        <v>185</v>
      </c>
      <c r="R277" s="3" t="str">
        <f>IF(ISERROR(VLOOKUP($A277,'SegEnds_NonXtal_BW#'!$A:$Z,13,FALSE)+VLOOKUP($A277,A:AL,19,FALSE)-50),"-",VLOOKUP($A277,'SegEnds_NonXtal_BW#'!$A:$Z,13,FALSE)+VLOOKUP($A277,A:AL,19,FALSE)-50)</f>
        <v>-</v>
      </c>
      <c r="S277" s="3" t="s">
        <v>23</v>
      </c>
      <c r="T277" s="100" t="str">
        <f>IF(ISERROR(VLOOKUP($A277,'SegEnds_NonXtal_BW#'!$A:$Z,14,FALSE)+VLOOKUP($A277,A:AL,19,FALSE)-50),"-",(VLOOKUP($A277,'SegEnds_NonXtal_BW#'!$A:$Z,14,FALSE)+VLOOKUP($A277,A:AL,19,FALSE)-50))</f>
        <v>-</v>
      </c>
      <c r="U277" s="9">
        <f>IF(ISERROR(VLOOKUP($A277,'SegEnds_NonXtal_BW#'!$A:$Z,15,FALSE)+VLOOKUP($A277,A:AL,22,FALSE)-50),"-",VLOOKUP($A277,'SegEnds_NonXtal_BW#'!$A:$Z,15,FALSE)+VLOOKUP($A277,A:AL,22,FALSE)-50)</f>
        <v>191</v>
      </c>
      <c r="V277" s="3">
        <v>203</v>
      </c>
      <c r="W277" s="3">
        <f>IF(ISERROR(VLOOKUP($A277,'SegEnds_NonXtal_BW#'!$A:$Z,16,FALSE)+VLOOKUP($A277,A:AL,22,FALSE)-50),"-",(VLOOKUP($A277,'SegEnds_NonXtal_BW#'!$A:$Z,16,FALSE)+VLOOKUP($A277,A:AL,22,FALSE)-50))</f>
        <v>220</v>
      </c>
      <c r="X277" s="3">
        <f>IF(ISERROR(VLOOKUP($A277,'SegEnds_NonXtal_BW#'!$A:$Z,17,FALSE)+VLOOKUP($A277,A:AL,25,FALSE)-50),"-",(VLOOKUP($A277,'SegEnds_NonXtal_BW#'!$A:$Z,17,FALSE)+VLOOKUP($A277,A:AL,25,FALSE)-50))</f>
        <v>229</v>
      </c>
      <c r="Y277" s="3">
        <v>229</v>
      </c>
      <c r="Z277" s="3">
        <f t="shared" si="169"/>
        <v>231</v>
      </c>
      <c r="AA277" s="3">
        <f>IF(ISERROR(VLOOKUP($A277,'SegEnds_NonXtal_BW#'!$A:$Z,19,FALSE)+VLOOKUP($A277,A:AL,28,FALSE)-50),"-",(VLOOKUP($A277,'SegEnds_NonXtal_BW#'!$A:$Z,19,FALSE)+VLOOKUP($A277,A:AL,28,FALSE)-50))</f>
        <v>239</v>
      </c>
      <c r="AB277" s="3">
        <v>254</v>
      </c>
      <c r="AC277" s="3">
        <f>IF(ISERROR((VLOOKUP($A277,'SegEnds_NonXtal_BW#'!$A:$Z,20,FALSE)+VLOOKUP($A277,A:AL,28,FALSE)-50)),"-",(VLOOKUP($A277,'SegEnds_NonXtal_BW#'!$A:$Z,20,FALSE)+VLOOKUP($A277,A:AL,28,FALSE)-50))</f>
        <v>280</v>
      </c>
      <c r="AD277" s="3">
        <f>IF(ISERROR(VLOOKUP($A277,'SegEnds_NonXtal_BW#'!$A:$Z,21,FALSE)+VLOOKUP($A277,A:AL,31,FALSE)-50),"-",(VLOOKUP($A277,'SegEnds_NonXtal_BW#'!$A:$Z,21,FALSE)+VLOOKUP($A277,A:AL,31,FALSE)-50))</f>
        <v>303</v>
      </c>
      <c r="AE277" s="3">
        <v>329</v>
      </c>
      <c r="AF277" s="3">
        <f>IF(ISERROR((VLOOKUP($A277,'SegEnds_NonXtal_BW#'!$A:$Z,22,FALSE)+VLOOKUP($A277,A:AL,31,FALSE)-50)),"-",(VLOOKUP($A277,'SegEnds_NonXtal_BW#'!$A:$Z,22,FALSE)+VLOOKUP($A277,A:AL,31,FALSE)-50))</f>
        <v>340</v>
      </c>
      <c r="AG277" s="3">
        <f>IF(ISERROR(VLOOKUP($A277,'SegEnds_NonXtal_BW#'!$A:$Z,23,FALSE)+VLOOKUP($A277,A:AL,34,FALSE)-50),"-",(VLOOKUP($A277,'SegEnds_NonXtal_BW#'!$A:$Z,23,FALSE)+VLOOKUP($A277,A:AL,34,FALSE)-50))</f>
        <v>346</v>
      </c>
      <c r="AH277" s="3">
        <v>368</v>
      </c>
      <c r="AI277" s="3">
        <f>IF(ISERROR((VLOOKUP($A277,'SegEnds_NonXtal_BW#'!$A:$Z,24,FALSE)+VLOOKUP($A277,A:AL,34,FALSE)-50)),"-",(VLOOKUP($A277,'SegEnds_NonXtal_BW#'!$A:$Z,24,FALSE)+VLOOKUP($A277,A:AL,34,FALSE)-50))</f>
        <v>374</v>
      </c>
      <c r="AJ277" s="3">
        <f>IF(ISERROR(VLOOKUP($A277,'SegEnds_NonXtal_BW#'!$A:$Z,25,FALSE)+VLOOKUP($A277,A:AL,37,FALSE)-50),"-",(VLOOKUP($A277,'SegEnds_NonXtal_BW#'!$A:$Z,25,FALSE)+VLOOKUP($A277,A:AL,37,FALSE)-50))</f>
        <v>375</v>
      </c>
      <c r="AK277" s="3">
        <v>378</v>
      </c>
      <c r="AL277" s="3">
        <f>IF(ISERROR((VLOOKUP($A277,'SegEnds_NonXtal_BW#'!$A:$Z,26,FALSE)+VLOOKUP($A277,A:AL,37,FALSE)-50)),"-",(VLOOKUP($A277,'SegEnds_NonXtal_BW#'!$A:$Z,26,FALSE)+VLOOKUP($A277,A:AL,37,FALSE)-50))</f>
        <v>388</v>
      </c>
      <c r="AM277" s="28" t="str">
        <f>VLOOKUP(A277,Classification!A:B,2,FALSE)</f>
        <v>A</v>
      </c>
      <c r="AN277" s="28" t="b">
        <f t="shared" si="167"/>
        <v>1</v>
      </c>
      <c r="AO277" s="3" t="str">
        <f>IF(ISERROR(MATCH(A277,'SegEnds_Xtal_Prot#'!B:B, 0)), "NoXtal", "Xtal")</f>
        <v>NoXtal</v>
      </c>
      <c r="AP277" s="3">
        <f t="shared" si="152"/>
        <v>1</v>
      </c>
      <c r="AQ277" s="3">
        <f t="shared" si="153"/>
        <v>1</v>
      </c>
      <c r="AR277" s="3">
        <f t="shared" si="154"/>
        <v>1</v>
      </c>
      <c r="AS277" s="3">
        <f t="shared" si="155"/>
        <v>1</v>
      </c>
      <c r="AT277" s="3" t="str">
        <f t="shared" si="156"/>
        <v>-</v>
      </c>
      <c r="AU277" s="3" t="str">
        <f t="shared" si="157"/>
        <v>-</v>
      </c>
      <c r="AV277" s="3">
        <f t="shared" si="158"/>
        <v>9</v>
      </c>
      <c r="AW277" s="3">
        <f t="shared" si="159"/>
        <v>8</v>
      </c>
      <c r="AX277" s="3">
        <f t="shared" si="160"/>
        <v>23</v>
      </c>
      <c r="AY277" s="3">
        <f t="shared" si="161"/>
        <v>6</v>
      </c>
      <c r="AZ277" s="3">
        <f t="shared" si="162"/>
        <v>1</v>
      </c>
      <c r="BA277" s="3">
        <f>IF(ISERROR(LEN(VLOOKUP(A277,Seqs!A:E,2,FALSE))-AL277),"-",LEN(VLOOKUP(A277,Seqs!A:E,2,FALSE))-AL277)</f>
        <v>31</v>
      </c>
      <c r="BB277" s="16">
        <f t="shared" si="163"/>
        <v>28</v>
      </c>
      <c r="BC277" s="9" t="str">
        <f t="shared" si="164"/>
        <v>-</v>
      </c>
      <c r="BD277" s="3">
        <f t="shared" si="165"/>
        <v>28</v>
      </c>
      <c r="BE277" s="3">
        <f t="shared" si="166"/>
        <v>75</v>
      </c>
    </row>
    <row r="278" spans="1:58" s="3" customFormat="1" x14ac:dyDescent="0.2">
      <c r="A278" s="3" t="s">
        <v>266</v>
      </c>
      <c r="B278" s="3" t="str">
        <f>LOWER(VLOOKUP(A278,Xtal_Templ!A:B,2,FALSE))</f>
        <v>drd2_human</v>
      </c>
      <c r="C278" s="3">
        <f>VLOOKUP($A278,'SegEnds_NonXtal_BW#'!$A:$Z,3,FALSE)+D278-50</f>
        <v>39</v>
      </c>
      <c r="D278" s="3">
        <v>60</v>
      </c>
      <c r="E278" s="3">
        <f>IF(ISERROR(VLOOKUP($A278,'SegEnds_NonXtal_BW#'!$A:$Z,4,FALSE)+VLOOKUP($A278,A:AL,4,FALSE)-50),"-",(VLOOKUP($A278,'SegEnds_NonXtal_BW#'!$A:$Z,4,FALSE)+VLOOKUP($A278,A:AL,4,FALSE)-50))</f>
        <v>70</v>
      </c>
      <c r="F278" s="3">
        <f t="shared" si="171"/>
        <v>73</v>
      </c>
      <c r="G278" s="3">
        <v>75</v>
      </c>
      <c r="H278" s="3">
        <f t="shared" si="172"/>
        <v>76</v>
      </c>
      <c r="I278" s="3">
        <f t="shared" si="172"/>
        <v>77</v>
      </c>
      <c r="J278" s="3">
        <v>90</v>
      </c>
      <c r="K278" s="3">
        <f>VLOOKUP($A278,'SegEnds_NonXtal_BW#'!$A:$Z,8,FALSE)+VLOOKUP($A278,A:AL,10,FALSE)-50</f>
        <v>107</v>
      </c>
      <c r="L278" s="3" t="str">
        <f>IF(ISERROR(VLOOKUP($A278,'SegEnds_NonXtal_BW#'!$A:$Z,9,FALSE)+VLOOKUP($A278,A:AL,13,FALSE)-50),"-",(VLOOKUP($A278,'SegEnds_NonXtal_BW#'!$A:$Z,9,FALSE)+VLOOKUP($A278,A:AL,13,FALSE)-50))</f>
        <v>-</v>
      </c>
      <c r="M278" s="3" t="s">
        <v>23</v>
      </c>
      <c r="N278" s="3" t="str">
        <f>IF(ISERROR(VLOOKUP($A278,'SegEnds_NonXtal_BW#'!$A:$Z,10,FALSE)+VLOOKUP($A278,A:AL,13,FALSE)-50),"-",(VLOOKUP($A278,'SegEnds_NonXtal_BW#'!$A:$Z,10,FALSE)+VLOOKUP($A278,A:AL,13,FALSE)-50))</f>
        <v>-</v>
      </c>
      <c r="O278" s="3">
        <f>VLOOKUP($A278,'SegEnds_NonXtal_BW#'!$A:$Z,11,FALSE)+VLOOKUP($A278,A:AL,16,FALSE)-50</f>
        <v>111</v>
      </c>
      <c r="P278" s="3">
        <v>143</v>
      </c>
      <c r="Q278" s="3">
        <f>VLOOKUP($A278,'SegEnds_NonXtal_BW#'!$A:$Z,12,FALSE)+VLOOKUP($A278,A:AL,16,FALSE)-50</f>
        <v>149</v>
      </c>
      <c r="R278" s="3" t="str">
        <f>IF(ISERROR(VLOOKUP($A278,'SegEnds_NonXtal_BW#'!$A:$Z,13,FALSE)+VLOOKUP($A278,A:AL,19,FALSE)-50),"-",VLOOKUP($A278,'SegEnds_NonXtal_BW#'!$A:$Z,13,FALSE)+VLOOKUP($A278,A:AL,19,FALSE)-50)</f>
        <v>-</v>
      </c>
      <c r="S278" s="3" t="s">
        <v>23</v>
      </c>
      <c r="T278" s="100" t="str">
        <f>IF(ISERROR(VLOOKUP($A278,'SegEnds_NonXtal_BW#'!$A:$Z,14,FALSE)+VLOOKUP($A278,A:AL,19,FALSE)-50),"-",(VLOOKUP($A278,'SegEnds_NonXtal_BW#'!$A:$Z,14,FALSE)+VLOOKUP($A278,A:AL,19,FALSE)-50))</f>
        <v>-</v>
      </c>
      <c r="U278" s="9">
        <f>IF(ISERROR(VLOOKUP($A278,'SegEnds_NonXtal_BW#'!$A:$Z,15,FALSE)+VLOOKUP($A278,A:AL,22,FALSE)-50),"-",VLOOKUP($A278,'SegEnds_NonXtal_BW#'!$A:$Z,15,FALSE)+VLOOKUP($A278,A:AL,22,FALSE)-50)</f>
        <v>157</v>
      </c>
      <c r="V278" s="3">
        <v>169</v>
      </c>
      <c r="W278" s="3">
        <f>IF(ISERROR(VLOOKUP($A278,'SegEnds_NonXtal_BW#'!$A:$Z,16,FALSE)+VLOOKUP($A278,A:AL,22,FALSE)-50),"-",(VLOOKUP($A278,'SegEnds_NonXtal_BW#'!$A:$Z,16,FALSE)+VLOOKUP($A278,A:AL,22,FALSE)-50))</f>
        <v>181</v>
      </c>
      <c r="X278" s="3">
        <f>IF(ISERROR(VLOOKUP($A278,'SegEnds_NonXtal_BW#'!$A:$Z,17,FALSE)+VLOOKUP($A278,A:AL,25,FALSE)-50),"-",(VLOOKUP($A278,'SegEnds_NonXtal_BW#'!$A:$Z,17,FALSE)+VLOOKUP($A278,A:AL,25,FALSE)-50))</f>
        <v>189</v>
      </c>
      <c r="Y278" s="3">
        <v>189</v>
      </c>
      <c r="Z278" s="3">
        <f t="shared" si="169"/>
        <v>191</v>
      </c>
      <c r="AA278" s="3">
        <f>IF(ISERROR(VLOOKUP($A278,'SegEnds_NonXtal_BW#'!$A:$Z,19,FALSE)+VLOOKUP($A278,A:AL,28,FALSE)-50),"-",(VLOOKUP($A278,'SegEnds_NonXtal_BW#'!$A:$Z,19,FALSE)+VLOOKUP($A278,A:AL,28,FALSE)-50))</f>
        <v>199</v>
      </c>
      <c r="AB278" s="3">
        <v>214</v>
      </c>
      <c r="AC278" s="3">
        <f>IF(ISERROR((VLOOKUP($A278,'SegEnds_NonXtal_BW#'!$A:$Z,20,FALSE)+VLOOKUP($A278,A:AL,28,FALSE)-50)),"-",(VLOOKUP($A278,'SegEnds_NonXtal_BW#'!$A:$Z,20,FALSE)+VLOOKUP($A278,A:AL,28,FALSE)-50))</f>
        <v>240</v>
      </c>
      <c r="AD278" s="3">
        <f>IF(ISERROR(VLOOKUP($A278,'SegEnds_NonXtal_BW#'!$A:$Z,21,FALSE)+VLOOKUP($A278,A:AL,31,FALSE)-50),"-",(VLOOKUP($A278,'SegEnds_NonXtal_BW#'!$A:$Z,21,FALSE)+VLOOKUP($A278,A:AL,31,FALSE)-50))</f>
        <v>310</v>
      </c>
      <c r="AE278" s="3">
        <v>336</v>
      </c>
      <c r="AF278" s="3">
        <f>IF(ISERROR((VLOOKUP($A278,'SegEnds_NonXtal_BW#'!$A:$Z,22,FALSE)+VLOOKUP($A278,A:AL,31,FALSE)-50)),"-",(VLOOKUP($A278,'SegEnds_NonXtal_BW#'!$A:$Z,22,FALSE)+VLOOKUP($A278,A:AL,31,FALSE)-50))</f>
        <v>347</v>
      </c>
      <c r="AG278" s="3">
        <f>IF(ISERROR(VLOOKUP($A278,'SegEnds_NonXtal_BW#'!$A:$Z,23,FALSE)+VLOOKUP($A278,A:AL,34,FALSE)-50),"-",(VLOOKUP($A278,'SegEnds_NonXtal_BW#'!$A:$Z,23,FALSE)+VLOOKUP($A278,A:AL,34,FALSE)-50))</f>
        <v>354</v>
      </c>
      <c r="AH278" s="3">
        <v>373</v>
      </c>
      <c r="AI278" s="3">
        <f>IF(ISERROR((VLOOKUP($A278,'SegEnds_NonXtal_BW#'!$A:$Z,24,FALSE)+VLOOKUP($A278,A:AL,34,FALSE)-50)),"-",(VLOOKUP($A278,'SegEnds_NonXtal_BW#'!$A:$Z,24,FALSE)+VLOOKUP($A278,A:AL,34,FALSE)-50))</f>
        <v>379</v>
      </c>
      <c r="AJ278" s="3">
        <f>IF(ISERROR(VLOOKUP($A278,'SegEnds_NonXtal_BW#'!$A:$Z,25,FALSE)+VLOOKUP($A278,A:AL,37,FALSE)-50),"-",(VLOOKUP($A278,'SegEnds_NonXtal_BW#'!$A:$Z,25,FALSE)+VLOOKUP($A278,A:AL,37,FALSE)-50))</f>
        <v>380</v>
      </c>
      <c r="AK278" s="3">
        <v>383</v>
      </c>
      <c r="AL278" s="3">
        <f>IF(ISERROR((VLOOKUP($A278,'SegEnds_NonXtal_BW#'!$A:$Z,26,FALSE)+VLOOKUP($A278,A:AL,37,FALSE)-50)),"-",(VLOOKUP($A278,'SegEnds_NonXtal_BW#'!$A:$Z,26,FALSE)+VLOOKUP($A278,A:AL,37,FALSE)-50))</f>
        <v>392</v>
      </c>
      <c r="AM278" s="28" t="str">
        <f>VLOOKUP(A278,Classification!A:B,2,FALSE)</f>
        <v>A</v>
      </c>
      <c r="AN278" s="28" t="b">
        <f t="shared" si="167"/>
        <v>1</v>
      </c>
      <c r="AO278" s="3" t="str">
        <f>IF(ISERROR(MATCH(A278,'SegEnds_Xtal_Prot#'!B:B, 0)), "NoXtal", "Xtal")</f>
        <v>NoXtal</v>
      </c>
      <c r="AP278" s="3">
        <f t="shared" si="152"/>
        <v>3</v>
      </c>
      <c r="AQ278" s="3">
        <f t="shared" si="153"/>
        <v>1</v>
      </c>
      <c r="AR278" s="3" t="str">
        <f t="shared" si="154"/>
        <v>-</v>
      </c>
      <c r="AS278" s="3" t="str">
        <f t="shared" si="155"/>
        <v>-</v>
      </c>
      <c r="AT278" s="3" t="str">
        <f t="shared" si="156"/>
        <v>-</v>
      </c>
      <c r="AU278" s="3" t="str">
        <f t="shared" si="157"/>
        <v>-</v>
      </c>
      <c r="AV278" s="3">
        <f t="shared" si="158"/>
        <v>8</v>
      </c>
      <c r="AW278" s="3">
        <f t="shared" si="159"/>
        <v>8</v>
      </c>
      <c r="AX278" s="3">
        <f t="shared" si="160"/>
        <v>70</v>
      </c>
      <c r="AY278" s="3">
        <f t="shared" si="161"/>
        <v>7</v>
      </c>
      <c r="AZ278" s="3">
        <f t="shared" si="162"/>
        <v>1</v>
      </c>
      <c r="BA278" s="3">
        <f>IF(ISERROR(LEN(VLOOKUP(A278,Seqs!A:E,2,FALSE))-AL278),"-",LEN(VLOOKUP(A278,Seqs!A:E,2,FALSE))-AL278)</f>
        <v>148</v>
      </c>
      <c r="BB278" s="16">
        <f t="shared" si="163"/>
        <v>30</v>
      </c>
      <c r="BC278" s="9" t="str">
        <f t="shared" si="164"/>
        <v>-</v>
      </c>
      <c r="BD278" s="3">
        <f t="shared" si="165"/>
        <v>30</v>
      </c>
      <c r="BE278" s="3">
        <f t="shared" si="166"/>
        <v>122</v>
      </c>
    </row>
    <row r="279" spans="1:58" s="3" customFormat="1" x14ac:dyDescent="0.2">
      <c r="A279" s="3" t="s">
        <v>269</v>
      </c>
      <c r="B279" s="3" t="str">
        <f>LOWER(VLOOKUP(A279,Xtal_Templ!A:B,2,FALSE))</f>
        <v>ox2r_human</v>
      </c>
      <c r="C279" s="3">
        <f>VLOOKUP($A279,'SegEnds_NonXtal_BW#'!$A:$Z,3,FALSE)+D279-50</f>
        <v>70</v>
      </c>
      <c r="D279" s="3">
        <v>89</v>
      </c>
      <c r="E279" s="3">
        <f>IF(ISERROR(VLOOKUP($A279,'SegEnds_NonXtal_BW#'!$A:$Z,4,FALSE)+VLOOKUP($A279,A:AL,4,FALSE)-50),"-",(VLOOKUP($A279,'SegEnds_NonXtal_BW#'!$A:$Z,4,FALSE)+VLOOKUP($A279,A:AL,4,FALSE)-50))</f>
        <v>99</v>
      </c>
      <c r="F279" s="3">
        <f t="shared" si="171"/>
        <v>100</v>
      </c>
      <c r="G279" s="3">
        <v>102</v>
      </c>
      <c r="H279" s="3">
        <f t="shared" si="172"/>
        <v>103</v>
      </c>
      <c r="I279" s="3">
        <f t="shared" si="172"/>
        <v>104</v>
      </c>
      <c r="J279" s="3">
        <v>117</v>
      </c>
      <c r="K279" s="3">
        <f>VLOOKUP($A279,'SegEnds_NonXtal_BW#'!$A:$Z,8,FALSE)+VLOOKUP($A279,A:AL,10,FALSE)-50</f>
        <v>135</v>
      </c>
      <c r="L279" s="3">
        <f t="shared" ref="L279:L296" si="173">M279-1</f>
        <v>136</v>
      </c>
      <c r="M279" s="3">
        <v>137</v>
      </c>
      <c r="N279" s="3">
        <f t="shared" ref="N279:N296" si="174">M279+2</f>
        <v>139</v>
      </c>
      <c r="O279" s="3">
        <f t="shared" ref="O279:O296" si="175">N279+1</f>
        <v>140</v>
      </c>
      <c r="P279" s="3">
        <v>169</v>
      </c>
      <c r="Q279" s="3">
        <f>VLOOKUP($A279,'SegEnds_NonXtal_BW#'!$A:$Z,12,FALSE)+VLOOKUP($A279,A:AL,16,FALSE)-50</f>
        <v>175</v>
      </c>
      <c r="R279" s="3" t="str">
        <f>IF(ISERROR(VLOOKUP($A279,'SegEnds_NonXtal_BW#'!$A:$Z,13,FALSE)+VLOOKUP($A279,A:AL,19,FALSE)-50),"-",VLOOKUP($A279,'SegEnds_NonXtal_BW#'!$A:$Z,13,FALSE)+VLOOKUP($A279,A:AL,19,FALSE)-50)</f>
        <v>-</v>
      </c>
      <c r="S279" s="3" t="s">
        <v>23</v>
      </c>
      <c r="T279" s="100" t="str">
        <f>IF(ISERROR(VLOOKUP($A279,'SegEnds_NonXtal_BW#'!$A:$Z,14,FALSE)+VLOOKUP($A279,A:AL,19,FALSE)-50),"-",(VLOOKUP($A279,'SegEnds_NonXtal_BW#'!$A:$Z,14,FALSE)+VLOOKUP($A279,A:AL,19,FALSE)-50))</f>
        <v>-</v>
      </c>
      <c r="U279" s="9">
        <f>IF(ISERROR(VLOOKUP($A279,'SegEnds_NonXtal_BW#'!$A:$Z,15,FALSE)+VLOOKUP($A279,A:AL,22,FALSE)-50),"-",VLOOKUP($A279,'SegEnds_NonXtal_BW#'!$A:$Z,15,FALSE)+VLOOKUP($A279,A:AL,22,FALSE)-50)</f>
        <v>182</v>
      </c>
      <c r="V279" s="3">
        <v>194</v>
      </c>
      <c r="W279" s="3">
        <f>IF(ISERROR(VLOOKUP($A279,'SegEnds_NonXtal_BW#'!$A:$Z,16,FALSE)+VLOOKUP($A279,A:AL,22,FALSE)-50),"-",(VLOOKUP($A279,'SegEnds_NonXtal_BW#'!$A:$Z,16,FALSE)+VLOOKUP($A279,A:AL,22,FALSE)-50))</f>
        <v>208</v>
      </c>
      <c r="X279" s="3">
        <f>IF(ISERROR(VLOOKUP($A279,'SegEnds_NonXtal_BW#'!$A:$Z,17,FALSE)+VLOOKUP($A279,A:AL,25,FALSE)-50),"-",(VLOOKUP($A279,'SegEnds_NonXtal_BW#'!$A:$Z,17,FALSE)+VLOOKUP($A279,A:AL,25,FALSE)-50))</f>
        <v>224</v>
      </c>
      <c r="Y279" s="3">
        <v>224</v>
      </c>
      <c r="Z279" s="3">
        <f t="shared" si="169"/>
        <v>226</v>
      </c>
      <c r="AA279" s="3">
        <f>IF(ISERROR(VLOOKUP($A279,'SegEnds_NonXtal_BW#'!$A:$Z,19,FALSE)+VLOOKUP($A279,A:AL,28,FALSE)-50),"-",(VLOOKUP($A279,'SegEnds_NonXtal_BW#'!$A:$Z,19,FALSE)+VLOOKUP($A279,A:AL,28,FALSE)-50))</f>
        <v>234</v>
      </c>
      <c r="AB279" s="3">
        <v>251</v>
      </c>
      <c r="AC279" s="3">
        <f>IF(ISERROR((VLOOKUP($A279,'SegEnds_NonXtal_BW#'!$A:$Z,20,FALSE)+VLOOKUP($A279,A:AL,28,FALSE)-50)),"-",(VLOOKUP($A279,'SegEnds_NonXtal_BW#'!$A:$Z,20,FALSE)+VLOOKUP($A279,A:AL,28,FALSE)-50))</f>
        <v>274</v>
      </c>
      <c r="AD279" s="3">
        <f>IF(ISERROR(VLOOKUP($A279,'SegEnds_NonXtal_BW#'!$A:$Z,21,FALSE)+VLOOKUP($A279,A:AL,31,FALSE)-50),"-",(VLOOKUP($A279,'SegEnds_NonXtal_BW#'!$A:$Z,21,FALSE)+VLOOKUP($A279,A:AL,31,FALSE)-50))</f>
        <v>279</v>
      </c>
      <c r="AE279" s="3">
        <v>307</v>
      </c>
      <c r="AF279" s="3">
        <f>IF(ISERROR((VLOOKUP($A279,'SegEnds_NonXtal_BW#'!$A:$Z,22,FALSE)+VLOOKUP($A279,A:AL,31,FALSE)-50)),"-",(VLOOKUP($A279,'SegEnds_NonXtal_BW#'!$A:$Z,22,FALSE)+VLOOKUP($A279,A:AL,31,FALSE)-50))</f>
        <v>318</v>
      </c>
      <c r="AG279" s="3">
        <f>IF(ISERROR(VLOOKUP($A279,'SegEnds_NonXtal_BW#'!$A:$Z,23,FALSE)+VLOOKUP($A279,A:AL,34,FALSE)-50),"-",(VLOOKUP($A279,'SegEnds_NonXtal_BW#'!$A:$Z,23,FALSE)+VLOOKUP($A279,A:AL,34,FALSE)-50))</f>
        <v>323</v>
      </c>
      <c r="AH279" s="3">
        <v>342</v>
      </c>
      <c r="AI279" s="3">
        <f>IF(ISERROR((VLOOKUP($A279,'SegEnds_NonXtal_BW#'!$A:$Z,24,FALSE)+VLOOKUP($A279,A:AL,34,FALSE)-50)),"-",(VLOOKUP($A279,'SegEnds_NonXtal_BW#'!$A:$Z,24,FALSE)+VLOOKUP($A279,A:AL,34,FALSE)-50))</f>
        <v>348</v>
      </c>
      <c r="AJ279" s="3">
        <f>IF(ISERROR(VLOOKUP($A279,'SegEnds_NonXtal_BW#'!$A:$Z,25,FALSE)+VLOOKUP($A279,A:AL,37,FALSE)-50),"-",(VLOOKUP($A279,'SegEnds_NonXtal_BW#'!$A:$Z,25,FALSE)+VLOOKUP($A279,A:AL,37,FALSE)-50))</f>
        <v>349</v>
      </c>
      <c r="AK279" s="3">
        <v>352</v>
      </c>
      <c r="AL279" s="3">
        <f>IF(ISERROR((VLOOKUP($A279,'SegEnds_NonXtal_BW#'!$A:$Z,26,FALSE)+VLOOKUP($A279,A:AL,37,FALSE)-50)),"-",(VLOOKUP($A279,'SegEnds_NonXtal_BW#'!$A:$Z,26,FALSE)+VLOOKUP($A279,A:AL,37,FALSE)-50))</f>
        <v>360</v>
      </c>
      <c r="AM279" s="28" t="str">
        <f>VLOOKUP(A279,Classification!A:B,2,FALSE)</f>
        <v>A</v>
      </c>
      <c r="AN279" s="28" t="b">
        <f t="shared" si="167"/>
        <v>1</v>
      </c>
      <c r="AO279" s="3" t="str">
        <f>IF(ISERROR(MATCH(A279,'SegEnds_Xtal_Prot#'!B:B, 0)), "NoXtal", "Xtal")</f>
        <v>NoXtal</v>
      </c>
      <c r="AP279" s="3">
        <f t="shared" si="152"/>
        <v>1</v>
      </c>
      <c r="AQ279" s="3">
        <f t="shared" si="153"/>
        <v>1</v>
      </c>
      <c r="AR279" s="3">
        <f t="shared" si="154"/>
        <v>1</v>
      </c>
      <c r="AS279" s="3">
        <f t="shared" si="155"/>
        <v>1</v>
      </c>
      <c r="AT279" s="3" t="str">
        <f t="shared" si="156"/>
        <v>-</v>
      </c>
      <c r="AU279" s="3" t="str">
        <f t="shared" si="157"/>
        <v>-</v>
      </c>
      <c r="AV279" s="3">
        <f t="shared" si="158"/>
        <v>16</v>
      </c>
      <c r="AW279" s="3">
        <f t="shared" si="159"/>
        <v>8</v>
      </c>
      <c r="AX279" s="3">
        <f t="shared" si="160"/>
        <v>5</v>
      </c>
      <c r="AY279" s="3">
        <f t="shared" si="161"/>
        <v>5</v>
      </c>
      <c r="AZ279" s="3">
        <f t="shared" si="162"/>
        <v>1</v>
      </c>
      <c r="BA279" s="3">
        <f>IF(ISERROR(LEN(VLOOKUP(A279,Seqs!A:E,2,FALSE))-AL279),"-",LEN(VLOOKUP(A279,Seqs!A:E,2,FALSE))-AL279)</f>
        <v>63</v>
      </c>
      <c r="BB279" s="16">
        <f t="shared" si="163"/>
        <v>28</v>
      </c>
      <c r="BC279" s="9" t="str">
        <f t="shared" si="164"/>
        <v>-</v>
      </c>
      <c r="BD279" s="3">
        <f t="shared" si="165"/>
        <v>28</v>
      </c>
      <c r="BE279" s="3">
        <f t="shared" si="166"/>
        <v>56</v>
      </c>
    </row>
    <row r="280" spans="1:58" s="3" customFormat="1" x14ac:dyDescent="0.2">
      <c r="A280" s="3" t="s">
        <v>314</v>
      </c>
      <c r="B280" s="3" t="str">
        <f>LOWER(VLOOKUP(A280,Xtal_Templ!A:B,2,FALSE))</f>
        <v>nk1r_human</v>
      </c>
      <c r="C280" s="3">
        <f>VLOOKUP($A280,'SegEnds_NonXtal_BW#'!$A:$Z,3,FALSE)+D280-50</f>
        <v>31</v>
      </c>
      <c r="D280" s="3">
        <v>50</v>
      </c>
      <c r="E280" s="3">
        <f>IF(ISERROR(VLOOKUP($A280,'SegEnds_NonXtal_BW#'!$A:$Z,4,FALSE)+VLOOKUP($A280,A:AL,4,FALSE)-50),"-",(VLOOKUP($A280,'SegEnds_NonXtal_BW#'!$A:$Z,4,FALSE)+VLOOKUP($A280,A:AL,4,FALSE)-50))</f>
        <v>60</v>
      </c>
      <c r="F280" s="3">
        <f t="shared" si="171"/>
        <v>61</v>
      </c>
      <c r="G280" s="3">
        <v>63</v>
      </c>
      <c r="H280" s="3">
        <f t="shared" si="172"/>
        <v>64</v>
      </c>
      <c r="I280" s="3">
        <f t="shared" si="172"/>
        <v>65</v>
      </c>
      <c r="J280" s="3">
        <v>78</v>
      </c>
      <c r="K280" s="3">
        <f>VLOOKUP($A280,'SegEnds_NonXtal_BW#'!$A:$Z,8,FALSE)+VLOOKUP($A280,A:AL,10,FALSE)-50</f>
        <v>94</v>
      </c>
      <c r="L280" s="3">
        <f t="shared" si="173"/>
        <v>97</v>
      </c>
      <c r="M280" s="3">
        <v>98</v>
      </c>
      <c r="N280" s="3">
        <f t="shared" si="174"/>
        <v>100</v>
      </c>
      <c r="O280" s="3">
        <f t="shared" si="175"/>
        <v>101</v>
      </c>
      <c r="P280" s="3">
        <v>130</v>
      </c>
      <c r="Q280" s="3">
        <f>VLOOKUP($A280,'SegEnds_NonXtal_BW#'!$A:$Z,12,FALSE)+VLOOKUP($A280,A:AL,16,FALSE)-50</f>
        <v>136</v>
      </c>
      <c r="R280" s="3" t="str">
        <f>IF(ISERROR(VLOOKUP($A280,'SegEnds_NonXtal_BW#'!$A:$Z,13,FALSE)+VLOOKUP($A280,A:AL,19,FALSE)-50),"-",VLOOKUP($A280,'SegEnds_NonXtal_BW#'!$A:$Z,13,FALSE)+VLOOKUP($A280,A:AL,19,FALSE)-50)</f>
        <v>-</v>
      </c>
      <c r="S280" s="3" t="s">
        <v>23</v>
      </c>
      <c r="T280" s="100" t="str">
        <f>IF(ISERROR(VLOOKUP($A280,'SegEnds_NonXtal_BW#'!$A:$Z,14,FALSE)+VLOOKUP($A280,A:AL,19,FALSE)-50),"-",(VLOOKUP($A280,'SegEnds_NonXtal_BW#'!$A:$Z,14,FALSE)+VLOOKUP($A280,A:AL,19,FALSE)-50))</f>
        <v>-</v>
      </c>
      <c r="U280" s="9">
        <f>IF(ISERROR(VLOOKUP($A280,'SegEnds_NonXtal_BW#'!$A:$Z,15,FALSE)+VLOOKUP($A280,A:AL,22,FALSE)-50),"-",VLOOKUP($A280,'SegEnds_NonXtal_BW#'!$A:$Z,15,FALSE)+VLOOKUP($A280,A:AL,22,FALSE)-50)</f>
        <v>143</v>
      </c>
      <c r="V280" s="3">
        <v>155</v>
      </c>
      <c r="W280" s="3">
        <f>IF(ISERROR(VLOOKUP($A280,'SegEnds_NonXtal_BW#'!$A:$Z,16,FALSE)+VLOOKUP($A280,A:AL,22,FALSE)-50),"-",(VLOOKUP($A280,'SegEnds_NonXtal_BW#'!$A:$Z,16,FALSE)+VLOOKUP($A280,A:AL,22,FALSE)-50))</f>
        <v>169</v>
      </c>
      <c r="X280" s="3">
        <f>IF(ISERROR(VLOOKUP($A280,'SegEnds_NonXtal_BW#'!$A:$Z,17,FALSE)+VLOOKUP($A280,A:AL,25,FALSE)-50),"-",(VLOOKUP($A280,'SegEnds_NonXtal_BW#'!$A:$Z,17,FALSE)+VLOOKUP($A280,A:AL,25,FALSE)-50))</f>
        <v>180</v>
      </c>
      <c r="Y280" s="3">
        <v>180</v>
      </c>
      <c r="Z280" s="3">
        <f t="shared" si="169"/>
        <v>182</v>
      </c>
      <c r="AA280" s="3">
        <f>IF(ISERROR(VLOOKUP($A280,'SegEnds_NonXtal_BW#'!$A:$Z,19,FALSE)+VLOOKUP($A280,A:AL,28,FALSE)-50),"-",(VLOOKUP($A280,'SegEnds_NonXtal_BW#'!$A:$Z,19,FALSE)+VLOOKUP($A280,A:AL,28,FALSE)-50))</f>
        <v>188</v>
      </c>
      <c r="AB280" s="3">
        <v>208</v>
      </c>
      <c r="AC280" s="3">
        <f>IF(ISERROR((VLOOKUP($A280,'SegEnds_NonXtal_BW#'!$A:$Z,20,FALSE)+VLOOKUP($A280,A:AL,28,FALSE)-50)),"-",(VLOOKUP($A280,'SegEnds_NonXtal_BW#'!$A:$Z,20,FALSE)+VLOOKUP($A280,A:AL,28,FALSE)-50))</f>
        <v>231</v>
      </c>
      <c r="AD280" s="3">
        <f>IF(ISERROR(VLOOKUP($A280,'SegEnds_NonXtal_BW#'!$A:$Z,21,FALSE)+VLOOKUP($A280,A:AL,31,FALSE)-50),"-",(VLOOKUP($A280,'SegEnds_NonXtal_BW#'!$A:$Z,21,FALSE)+VLOOKUP($A280,A:AL,31,FALSE)-50))</f>
        <v>235</v>
      </c>
      <c r="AE280" s="3">
        <v>263</v>
      </c>
      <c r="AF280" s="3">
        <f>IF(ISERROR((VLOOKUP($A280,'SegEnds_NonXtal_BW#'!$A:$Z,22,FALSE)+VLOOKUP($A280,A:AL,31,FALSE)-50)),"-",(VLOOKUP($A280,'SegEnds_NonXtal_BW#'!$A:$Z,22,FALSE)+VLOOKUP($A280,A:AL,31,FALSE)-50))</f>
        <v>274</v>
      </c>
      <c r="AG280" s="3">
        <f>IF(ISERROR(VLOOKUP($A280,'SegEnds_NonXtal_BW#'!$A:$Z,23,FALSE)+VLOOKUP($A280,A:AL,34,FALSE)-50),"-",(VLOOKUP($A280,'SegEnds_NonXtal_BW#'!$A:$Z,23,FALSE)+VLOOKUP($A280,A:AL,34,FALSE)-50))</f>
        <v>280</v>
      </c>
      <c r="AH280" s="3">
        <v>302</v>
      </c>
      <c r="AI280" s="3">
        <f>IF(ISERROR((VLOOKUP($A280,'SegEnds_NonXtal_BW#'!$A:$Z,24,FALSE)+VLOOKUP($A280,A:AL,34,FALSE)-50)),"-",(VLOOKUP($A280,'SegEnds_NonXtal_BW#'!$A:$Z,24,FALSE)+VLOOKUP($A280,A:AL,34,FALSE)-50))</f>
        <v>308</v>
      </c>
      <c r="AJ280" s="3">
        <f>IF(ISERROR(VLOOKUP($A280,'SegEnds_NonXtal_BW#'!$A:$Z,25,FALSE)+VLOOKUP($A280,A:AL,37,FALSE)-50),"-",(VLOOKUP($A280,'SegEnds_NonXtal_BW#'!$A:$Z,25,FALSE)+VLOOKUP($A280,A:AL,37,FALSE)-50))</f>
        <v>309</v>
      </c>
      <c r="AK280" s="3">
        <v>312</v>
      </c>
      <c r="AL280" s="3">
        <f>IF(ISERROR((VLOOKUP($A280,'SegEnds_NonXtal_BW#'!$A:$Z,26,FALSE)+VLOOKUP($A280,A:AL,37,FALSE)-50)),"-",(VLOOKUP($A280,'SegEnds_NonXtal_BW#'!$A:$Z,26,FALSE)+VLOOKUP($A280,A:AL,37,FALSE)-50))</f>
        <v>320</v>
      </c>
      <c r="AM280" s="28" t="str">
        <f>VLOOKUP(A280,Classification!A:B,2,FALSE)</f>
        <v>A</v>
      </c>
      <c r="AN280" s="28" t="b">
        <f t="shared" si="167"/>
        <v>1</v>
      </c>
      <c r="AO280" s="3" t="str">
        <f>IF(ISERROR(MATCH(A280,'SegEnds_Xtal_Prot#'!B:B, 0)), "NoXtal", "Xtal")</f>
        <v>Xtal</v>
      </c>
      <c r="AP280" s="3">
        <f t="shared" si="152"/>
        <v>1</v>
      </c>
      <c r="AQ280" s="3">
        <f t="shared" si="153"/>
        <v>1</v>
      </c>
      <c r="AR280" s="3">
        <f t="shared" si="154"/>
        <v>3</v>
      </c>
      <c r="AS280" s="3">
        <f t="shared" si="155"/>
        <v>1</v>
      </c>
      <c r="AT280" s="3" t="str">
        <f t="shared" si="156"/>
        <v>-</v>
      </c>
      <c r="AU280" s="3" t="str">
        <f t="shared" si="157"/>
        <v>-</v>
      </c>
      <c r="AV280" s="3">
        <f t="shared" si="158"/>
        <v>11</v>
      </c>
      <c r="AW280" s="3">
        <f t="shared" si="159"/>
        <v>6</v>
      </c>
      <c r="AX280" s="3">
        <f t="shared" si="160"/>
        <v>4</v>
      </c>
      <c r="AY280" s="3">
        <f t="shared" si="161"/>
        <v>6</v>
      </c>
      <c r="AZ280" s="3">
        <f t="shared" si="162"/>
        <v>1</v>
      </c>
      <c r="BA280" s="3">
        <f>IF(ISERROR(LEN(VLOOKUP(A280,Seqs!A:E,2,FALSE))-AL280),"-",LEN(VLOOKUP(A280,Seqs!A:E,2,FALSE))-AL280)</f>
        <v>87</v>
      </c>
      <c r="BB280" s="16">
        <f t="shared" si="163"/>
        <v>28</v>
      </c>
      <c r="BC280" s="9" t="str">
        <f t="shared" si="164"/>
        <v>-</v>
      </c>
      <c r="BD280" s="3">
        <f t="shared" si="165"/>
        <v>28</v>
      </c>
      <c r="BE280" s="3">
        <f t="shared" si="166"/>
        <v>55</v>
      </c>
    </row>
    <row r="281" spans="1:58" s="3" customFormat="1" x14ac:dyDescent="0.2">
      <c r="A281" s="3" t="s">
        <v>315</v>
      </c>
      <c r="B281" s="3" t="str">
        <f>LOWER(VLOOKUP(A281,Xtal_Templ!A:B,2,FALSE))</f>
        <v>nk1r_human</v>
      </c>
      <c r="C281" s="3">
        <f>VLOOKUP($A281,'SegEnds_NonXtal_BW#'!$A:$Z,3,FALSE)+D281-50</f>
        <v>32</v>
      </c>
      <c r="D281" s="3">
        <v>51</v>
      </c>
      <c r="E281" s="3">
        <f>IF(ISERROR(VLOOKUP($A281,'SegEnds_NonXtal_BW#'!$A:$Z,4,FALSE)+VLOOKUP($A281,A:AL,4,FALSE)-50),"-",(VLOOKUP($A281,'SegEnds_NonXtal_BW#'!$A:$Z,4,FALSE)+VLOOKUP($A281,A:AL,4,FALSE)-50))</f>
        <v>61</v>
      </c>
      <c r="F281" s="3">
        <f t="shared" si="171"/>
        <v>62</v>
      </c>
      <c r="G281" s="3">
        <v>64</v>
      </c>
      <c r="H281" s="3">
        <f t="shared" si="172"/>
        <v>65</v>
      </c>
      <c r="I281" s="3">
        <f t="shared" si="172"/>
        <v>66</v>
      </c>
      <c r="J281" s="3">
        <v>79</v>
      </c>
      <c r="K281" s="3">
        <f>VLOOKUP($A281,'SegEnds_NonXtal_BW#'!$A:$Z,8,FALSE)+VLOOKUP($A281,A:AL,10,FALSE)-50</f>
        <v>95</v>
      </c>
      <c r="L281" s="3">
        <f t="shared" si="173"/>
        <v>98</v>
      </c>
      <c r="M281" s="3">
        <v>99</v>
      </c>
      <c r="N281" s="3">
        <f t="shared" si="174"/>
        <v>101</v>
      </c>
      <c r="O281" s="3">
        <f t="shared" si="175"/>
        <v>102</v>
      </c>
      <c r="P281" s="3">
        <v>131</v>
      </c>
      <c r="Q281" s="3">
        <f>VLOOKUP($A281,'SegEnds_NonXtal_BW#'!$A:$Z,12,FALSE)+VLOOKUP($A281,A:AL,16,FALSE)-50</f>
        <v>137</v>
      </c>
      <c r="R281" s="3" t="str">
        <f>IF(ISERROR(VLOOKUP($A281,'SegEnds_NonXtal_BW#'!$A:$Z,13,FALSE)+VLOOKUP($A281,A:AL,19,FALSE)-50),"-",VLOOKUP($A281,'SegEnds_NonXtal_BW#'!$A:$Z,13,FALSE)+VLOOKUP($A281,A:AL,19,FALSE)-50)</f>
        <v>-</v>
      </c>
      <c r="S281" s="3" t="s">
        <v>23</v>
      </c>
      <c r="T281" s="100" t="str">
        <f>IF(ISERROR(VLOOKUP($A281,'SegEnds_NonXtal_BW#'!$A:$Z,14,FALSE)+VLOOKUP($A281,A:AL,19,FALSE)-50),"-",(VLOOKUP($A281,'SegEnds_NonXtal_BW#'!$A:$Z,14,FALSE)+VLOOKUP($A281,A:AL,19,FALSE)-50))</f>
        <v>-</v>
      </c>
      <c r="U281" s="9">
        <f>IF(ISERROR(VLOOKUP($A281,'SegEnds_NonXtal_BW#'!$A:$Z,15,FALSE)+VLOOKUP($A281,A:AL,22,FALSE)-50),"-",VLOOKUP($A281,'SegEnds_NonXtal_BW#'!$A:$Z,15,FALSE)+VLOOKUP($A281,A:AL,22,FALSE)-50)</f>
        <v>144</v>
      </c>
      <c r="V281" s="3">
        <v>156</v>
      </c>
      <c r="W281" s="3">
        <f>IF(ISERROR(VLOOKUP($A281,'SegEnds_NonXtal_BW#'!$A:$Z,16,FALSE)+VLOOKUP($A281,A:AL,22,FALSE)-50),"-",(VLOOKUP($A281,'SegEnds_NonXtal_BW#'!$A:$Z,16,FALSE)+VLOOKUP($A281,A:AL,22,FALSE)-50))</f>
        <v>170</v>
      </c>
      <c r="X281" s="3">
        <f>IF(ISERROR(VLOOKUP($A281,'SegEnds_NonXtal_BW#'!$A:$Z,17,FALSE)+VLOOKUP($A281,A:AL,25,FALSE)-50),"-",(VLOOKUP($A281,'SegEnds_NonXtal_BW#'!$A:$Z,17,FALSE)+VLOOKUP($A281,A:AL,25,FALSE)-50))</f>
        <v>181</v>
      </c>
      <c r="Y281" s="3">
        <v>181</v>
      </c>
      <c r="Z281" s="3">
        <f t="shared" si="169"/>
        <v>183</v>
      </c>
      <c r="AA281" s="3">
        <f>IF(ISERROR(VLOOKUP($A281,'SegEnds_NonXtal_BW#'!$A:$Z,19,FALSE)+VLOOKUP($A281,A:AL,28,FALSE)-50),"-",(VLOOKUP($A281,'SegEnds_NonXtal_BW#'!$A:$Z,19,FALSE)+VLOOKUP($A281,A:AL,28,FALSE)-50))</f>
        <v>189</v>
      </c>
      <c r="AB281" s="3">
        <v>209</v>
      </c>
      <c r="AC281" s="3">
        <f>IF(ISERROR((VLOOKUP($A281,'SegEnds_NonXtal_BW#'!$A:$Z,20,FALSE)+VLOOKUP($A281,A:AL,28,FALSE)-50)),"-",(VLOOKUP($A281,'SegEnds_NonXtal_BW#'!$A:$Z,20,FALSE)+VLOOKUP($A281,A:AL,28,FALSE)-50))</f>
        <v>232</v>
      </c>
      <c r="AD281" s="3">
        <f>IF(ISERROR(VLOOKUP($A281,'SegEnds_NonXtal_BW#'!$A:$Z,21,FALSE)+VLOOKUP($A281,A:AL,31,FALSE)-50),"-",(VLOOKUP($A281,'SegEnds_NonXtal_BW#'!$A:$Z,21,FALSE)+VLOOKUP($A281,A:AL,31,FALSE)-50))</f>
        <v>237</v>
      </c>
      <c r="AE281" s="3">
        <v>265</v>
      </c>
      <c r="AF281" s="3">
        <f>IF(ISERROR((VLOOKUP($A281,'SegEnds_NonXtal_BW#'!$A:$Z,22,FALSE)+VLOOKUP($A281,A:AL,31,FALSE)-50)),"-",(VLOOKUP($A281,'SegEnds_NonXtal_BW#'!$A:$Z,22,FALSE)+VLOOKUP($A281,A:AL,31,FALSE)-50))</f>
        <v>276</v>
      </c>
      <c r="AG281" s="3">
        <f>IF(ISERROR(VLOOKUP($A281,'SegEnds_NonXtal_BW#'!$A:$Z,23,FALSE)+VLOOKUP($A281,A:AL,34,FALSE)-50),"-",(VLOOKUP($A281,'SegEnds_NonXtal_BW#'!$A:$Z,23,FALSE)+VLOOKUP($A281,A:AL,34,FALSE)-50))</f>
        <v>282</v>
      </c>
      <c r="AH281" s="3">
        <v>304</v>
      </c>
      <c r="AI281" s="3">
        <f>IF(ISERROR((VLOOKUP($A281,'SegEnds_NonXtal_BW#'!$A:$Z,24,FALSE)+VLOOKUP($A281,A:AL,34,FALSE)-50)),"-",(VLOOKUP($A281,'SegEnds_NonXtal_BW#'!$A:$Z,24,FALSE)+VLOOKUP($A281,A:AL,34,FALSE)-50))</f>
        <v>310</v>
      </c>
      <c r="AJ281" s="3">
        <f>IF(ISERROR(VLOOKUP($A281,'SegEnds_NonXtal_BW#'!$A:$Z,25,FALSE)+VLOOKUP($A281,A:AL,37,FALSE)-50),"-",(VLOOKUP($A281,'SegEnds_NonXtal_BW#'!$A:$Z,25,FALSE)+VLOOKUP($A281,A:AL,37,FALSE)-50))</f>
        <v>311</v>
      </c>
      <c r="AK281" s="3">
        <v>314</v>
      </c>
      <c r="AL281" s="3">
        <f>IF(ISERROR((VLOOKUP($A281,'SegEnds_NonXtal_BW#'!$A:$Z,26,FALSE)+VLOOKUP($A281,A:AL,37,FALSE)-50)),"-",(VLOOKUP($A281,'SegEnds_NonXtal_BW#'!$A:$Z,26,FALSE)+VLOOKUP($A281,A:AL,37,FALSE)-50))</f>
        <v>322</v>
      </c>
      <c r="AM281" s="28" t="str">
        <f>VLOOKUP(A281,Classification!A:B,2,FALSE)</f>
        <v>A</v>
      </c>
      <c r="AN281" s="28" t="b">
        <f t="shared" si="167"/>
        <v>1</v>
      </c>
      <c r="AO281" s="3" t="str">
        <f>IF(ISERROR(MATCH(A281,'SegEnds_Xtal_Prot#'!B:B, 0)), "NoXtal", "Xtal")</f>
        <v>NoXtal</v>
      </c>
      <c r="AP281" s="3">
        <f t="shared" si="152"/>
        <v>1</v>
      </c>
      <c r="AQ281" s="3">
        <f t="shared" si="153"/>
        <v>1</v>
      </c>
      <c r="AR281" s="3">
        <f t="shared" si="154"/>
        <v>3</v>
      </c>
      <c r="AS281" s="3">
        <f t="shared" si="155"/>
        <v>1</v>
      </c>
      <c r="AT281" s="3" t="str">
        <f t="shared" si="156"/>
        <v>-</v>
      </c>
      <c r="AU281" s="3" t="str">
        <f t="shared" si="157"/>
        <v>-</v>
      </c>
      <c r="AV281" s="3">
        <f t="shared" si="158"/>
        <v>11</v>
      </c>
      <c r="AW281" s="3">
        <f t="shared" si="159"/>
        <v>6</v>
      </c>
      <c r="AX281" s="3">
        <f t="shared" si="160"/>
        <v>5</v>
      </c>
      <c r="AY281" s="3">
        <f t="shared" si="161"/>
        <v>6</v>
      </c>
      <c r="AZ281" s="3">
        <f t="shared" si="162"/>
        <v>1</v>
      </c>
      <c r="BA281" s="3">
        <f>IF(ISERROR(LEN(VLOOKUP(A281,Seqs!A:E,2,FALSE))-AL281),"-",LEN(VLOOKUP(A281,Seqs!A:E,2,FALSE))-AL281)</f>
        <v>76</v>
      </c>
      <c r="BB281" s="16">
        <f t="shared" si="163"/>
        <v>28</v>
      </c>
      <c r="BC281" s="9" t="str">
        <f t="shared" si="164"/>
        <v>-</v>
      </c>
      <c r="BD281" s="3">
        <f t="shared" si="165"/>
        <v>28</v>
      </c>
      <c r="BE281" s="3">
        <f t="shared" si="166"/>
        <v>56</v>
      </c>
    </row>
    <row r="282" spans="1:58" s="3" customFormat="1" x14ac:dyDescent="0.2">
      <c r="A282" s="3" t="s">
        <v>316</v>
      </c>
      <c r="B282" s="3" t="str">
        <f>LOWER(VLOOKUP(A282,Xtal_Templ!A:B,2,FALSE))</f>
        <v>nk1r_human</v>
      </c>
      <c r="C282" s="3">
        <f>VLOOKUP($A282,'SegEnds_NonXtal_BW#'!$A:$Z,3,FALSE)+D282-50</f>
        <v>84</v>
      </c>
      <c r="D282" s="3">
        <v>103</v>
      </c>
      <c r="E282" s="3">
        <f>IF(ISERROR(VLOOKUP($A282,'SegEnds_NonXtal_BW#'!$A:$Z,4,FALSE)+VLOOKUP($A282,A:AL,4,FALSE)-50),"-",(VLOOKUP($A282,'SegEnds_NonXtal_BW#'!$A:$Z,4,FALSE)+VLOOKUP($A282,A:AL,4,FALSE)-50))</f>
        <v>113</v>
      </c>
      <c r="F282" s="3">
        <f t="shared" si="171"/>
        <v>114</v>
      </c>
      <c r="G282" s="3">
        <v>116</v>
      </c>
      <c r="H282" s="3">
        <f t="shared" si="172"/>
        <v>117</v>
      </c>
      <c r="I282" s="3">
        <f t="shared" si="172"/>
        <v>118</v>
      </c>
      <c r="J282" s="3">
        <v>131</v>
      </c>
      <c r="K282" s="3">
        <f>VLOOKUP($A282,'SegEnds_NonXtal_BW#'!$A:$Z,8,FALSE)+VLOOKUP($A282,A:AL,10,FALSE)-50</f>
        <v>147</v>
      </c>
      <c r="L282" s="3">
        <f t="shared" si="173"/>
        <v>150</v>
      </c>
      <c r="M282" s="3">
        <v>151</v>
      </c>
      <c r="N282" s="3">
        <f t="shared" si="174"/>
        <v>153</v>
      </c>
      <c r="O282" s="3">
        <f t="shared" si="175"/>
        <v>154</v>
      </c>
      <c r="P282" s="3">
        <v>183</v>
      </c>
      <c r="Q282" s="3">
        <f>VLOOKUP($A282,'SegEnds_NonXtal_BW#'!$A:$Z,12,FALSE)+VLOOKUP($A282,A:AL,16,FALSE)-50</f>
        <v>189</v>
      </c>
      <c r="R282" s="3" t="str">
        <f>IF(ISERROR(VLOOKUP($A282,'SegEnds_NonXtal_BW#'!$A:$Z,13,FALSE)+VLOOKUP($A282,A:AL,19,FALSE)-50),"-",VLOOKUP($A282,'SegEnds_NonXtal_BW#'!$A:$Z,13,FALSE)+VLOOKUP($A282,A:AL,19,FALSE)-50)</f>
        <v>-</v>
      </c>
      <c r="S282" s="3" t="s">
        <v>23</v>
      </c>
      <c r="T282" s="100" t="str">
        <f>IF(ISERROR(VLOOKUP($A282,'SegEnds_NonXtal_BW#'!$A:$Z,14,FALSE)+VLOOKUP($A282,A:AL,19,FALSE)-50),"-",(VLOOKUP($A282,'SegEnds_NonXtal_BW#'!$A:$Z,14,FALSE)+VLOOKUP($A282,A:AL,19,FALSE)-50))</f>
        <v>-</v>
      </c>
      <c r="U282" s="9">
        <f>IF(ISERROR(VLOOKUP($A282,'SegEnds_NonXtal_BW#'!$A:$Z,15,FALSE)+VLOOKUP($A282,A:AL,22,FALSE)-50),"-",VLOOKUP($A282,'SegEnds_NonXtal_BW#'!$A:$Z,15,FALSE)+VLOOKUP($A282,A:AL,22,FALSE)-50)</f>
        <v>196</v>
      </c>
      <c r="V282" s="3">
        <v>208</v>
      </c>
      <c r="W282" s="3">
        <f>IF(ISERROR(VLOOKUP($A282,'SegEnds_NonXtal_BW#'!$A:$Z,16,FALSE)+VLOOKUP($A282,A:AL,22,FALSE)-50),"-",(VLOOKUP($A282,'SegEnds_NonXtal_BW#'!$A:$Z,16,FALSE)+VLOOKUP($A282,A:AL,22,FALSE)-50))</f>
        <v>222</v>
      </c>
      <c r="X282" s="3">
        <f>IF(ISERROR(VLOOKUP($A282,'SegEnds_NonXtal_BW#'!$A:$Z,17,FALSE)+VLOOKUP($A282,A:AL,25,FALSE)-50),"-",(VLOOKUP($A282,'SegEnds_NonXtal_BW#'!$A:$Z,17,FALSE)+VLOOKUP($A282,A:AL,25,FALSE)-50))</f>
        <v>233</v>
      </c>
      <c r="Y282" s="3">
        <v>233</v>
      </c>
      <c r="Z282" s="3">
        <f t="shared" si="169"/>
        <v>235</v>
      </c>
      <c r="AA282" s="3">
        <f>IF(ISERROR(VLOOKUP($A282,'SegEnds_NonXtal_BW#'!$A:$Z,19,FALSE)+VLOOKUP($A282,A:AL,28,FALSE)-50),"-",(VLOOKUP($A282,'SegEnds_NonXtal_BW#'!$A:$Z,19,FALSE)+VLOOKUP($A282,A:AL,28,FALSE)-50))</f>
        <v>239</v>
      </c>
      <c r="AB282" s="3">
        <v>259</v>
      </c>
      <c r="AC282" s="3">
        <f>IF(ISERROR((VLOOKUP($A282,'SegEnds_NonXtal_BW#'!$A:$Z,20,FALSE)+VLOOKUP($A282,A:AL,28,FALSE)-50)),"-",(VLOOKUP($A282,'SegEnds_NonXtal_BW#'!$A:$Z,20,FALSE)+VLOOKUP($A282,A:AL,28,FALSE)-50))</f>
        <v>282</v>
      </c>
      <c r="AD282" s="3">
        <f>IF(ISERROR(VLOOKUP($A282,'SegEnds_NonXtal_BW#'!$A:$Z,21,FALSE)+VLOOKUP($A282,A:AL,31,FALSE)-50),"-",(VLOOKUP($A282,'SegEnds_NonXtal_BW#'!$A:$Z,21,FALSE)+VLOOKUP($A282,A:AL,31,FALSE)-50))</f>
        <v>286</v>
      </c>
      <c r="AE282" s="3">
        <v>314</v>
      </c>
      <c r="AF282" s="3">
        <f>IF(ISERROR((VLOOKUP($A282,'SegEnds_NonXtal_BW#'!$A:$Z,22,FALSE)+VLOOKUP($A282,A:AL,31,FALSE)-50)),"-",(VLOOKUP($A282,'SegEnds_NonXtal_BW#'!$A:$Z,22,FALSE)+VLOOKUP($A282,A:AL,31,FALSE)-50))</f>
        <v>325</v>
      </c>
      <c r="AG282" s="3">
        <f>IF(ISERROR(VLOOKUP($A282,'SegEnds_NonXtal_BW#'!$A:$Z,23,FALSE)+VLOOKUP($A282,A:AL,34,FALSE)-50),"-",(VLOOKUP($A282,'SegEnds_NonXtal_BW#'!$A:$Z,23,FALSE)+VLOOKUP($A282,A:AL,34,FALSE)-50))</f>
        <v>331</v>
      </c>
      <c r="AH282" s="3">
        <v>353</v>
      </c>
      <c r="AI282" s="3">
        <f>IF(ISERROR((VLOOKUP($A282,'SegEnds_NonXtal_BW#'!$A:$Z,24,FALSE)+VLOOKUP($A282,A:AL,34,FALSE)-50)),"-",(VLOOKUP($A282,'SegEnds_NonXtal_BW#'!$A:$Z,24,FALSE)+VLOOKUP($A282,A:AL,34,FALSE)-50))</f>
        <v>359</v>
      </c>
      <c r="AJ282" s="3">
        <f>IF(ISERROR(VLOOKUP($A282,'SegEnds_NonXtal_BW#'!$A:$Z,25,FALSE)+VLOOKUP($A282,A:AL,37,FALSE)-50),"-",(VLOOKUP($A282,'SegEnds_NonXtal_BW#'!$A:$Z,25,FALSE)+VLOOKUP($A282,A:AL,37,FALSE)-50))</f>
        <v>360</v>
      </c>
      <c r="AK282" s="3">
        <v>363</v>
      </c>
      <c r="AL282" s="3">
        <f>IF(ISERROR((VLOOKUP($A282,'SegEnds_NonXtal_BW#'!$A:$Z,26,FALSE)+VLOOKUP($A282,A:AL,37,FALSE)-50)),"-",(VLOOKUP($A282,'SegEnds_NonXtal_BW#'!$A:$Z,26,FALSE)+VLOOKUP($A282,A:AL,37,FALSE)-50))</f>
        <v>371</v>
      </c>
      <c r="AM282" s="28" t="str">
        <f>VLOOKUP(A282,Classification!A:B,2,FALSE)</f>
        <v>A</v>
      </c>
      <c r="AN282" s="28" t="b">
        <f t="shared" si="167"/>
        <v>1</v>
      </c>
      <c r="AO282" s="3" t="str">
        <f>IF(ISERROR(MATCH(A282,'SegEnds_Xtal_Prot#'!B:B, 0)), "NoXtal", "Xtal")</f>
        <v>NoXtal</v>
      </c>
      <c r="AP282" s="3">
        <f t="shared" si="152"/>
        <v>1</v>
      </c>
      <c r="AQ282" s="3">
        <f t="shared" si="153"/>
        <v>1</v>
      </c>
      <c r="AR282" s="3">
        <f t="shared" si="154"/>
        <v>3</v>
      </c>
      <c r="AS282" s="3">
        <f t="shared" si="155"/>
        <v>1</v>
      </c>
      <c r="AT282" s="3" t="str">
        <f t="shared" si="156"/>
        <v>-</v>
      </c>
      <c r="AU282" s="3" t="str">
        <f t="shared" si="157"/>
        <v>-</v>
      </c>
      <c r="AV282" s="3">
        <f t="shared" si="158"/>
        <v>11</v>
      </c>
      <c r="AW282" s="3">
        <f t="shared" si="159"/>
        <v>4</v>
      </c>
      <c r="AX282" s="3">
        <f t="shared" si="160"/>
        <v>4</v>
      </c>
      <c r="AY282" s="3">
        <f t="shared" si="161"/>
        <v>6</v>
      </c>
      <c r="AZ282" s="3">
        <f t="shared" si="162"/>
        <v>1</v>
      </c>
      <c r="BA282" s="3">
        <f>IF(ISERROR(LEN(VLOOKUP(A282,Seqs!A:E,2,FALSE))-AL282),"-",LEN(VLOOKUP(A282,Seqs!A:E,2,FALSE))-AL282)</f>
        <v>94</v>
      </c>
      <c r="BB282" s="16">
        <f t="shared" si="163"/>
        <v>28</v>
      </c>
      <c r="BC282" s="9" t="str">
        <f t="shared" si="164"/>
        <v>-</v>
      </c>
      <c r="BD282" s="3">
        <f t="shared" si="165"/>
        <v>28</v>
      </c>
      <c r="BE282" s="3">
        <f t="shared" si="166"/>
        <v>55</v>
      </c>
    </row>
    <row r="283" spans="1:58" s="3" customFormat="1" x14ac:dyDescent="0.2">
      <c r="A283" s="3" t="s">
        <v>320</v>
      </c>
      <c r="B283" s="3" t="str">
        <f>LOWER(VLOOKUP(A283,Xtal_Templ!A:B,2,FALSE))</f>
        <v>oprk_human</v>
      </c>
      <c r="C283" s="3">
        <f>VLOOKUP($A283,'SegEnds_NonXtal_BW#'!$A:$Z,3,FALSE)+D283-50</f>
        <v>35</v>
      </c>
      <c r="D283" s="3">
        <v>55</v>
      </c>
      <c r="E283" s="3">
        <f>IF(ISERROR(VLOOKUP($A283,'SegEnds_NonXtal_BW#'!$A:$Z,4,FALSE)+VLOOKUP($A283,A:AL,4,FALSE)-50),"-",(VLOOKUP($A283,'SegEnds_NonXtal_BW#'!$A:$Z,4,FALSE)+VLOOKUP($A283,A:AL,4,FALSE)-50))</f>
        <v>65</v>
      </c>
      <c r="F283" s="3">
        <f t="shared" si="171"/>
        <v>66</v>
      </c>
      <c r="G283" s="3">
        <v>68</v>
      </c>
      <c r="H283" s="3">
        <f t="shared" si="172"/>
        <v>69</v>
      </c>
      <c r="I283" s="3">
        <f t="shared" si="172"/>
        <v>70</v>
      </c>
      <c r="J283" s="3">
        <v>83</v>
      </c>
      <c r="K283" s="3">
        <f>VLOOKUP($A283,'SegEnds_NonXtal_BW#'!$A:$Z,8,FALSE)+VLOOKUP($A283,A:AL,10,FALSE)-50</f>
        <v>99</v>
      </c>
      <c r="L283" s="3">
        <f t="shared" si="173"/>
        <v>101</v>
      </c>
      <c r="M283" s="3">
        <v>102</v>
      </c>
      <c r="N283" s="3">
        <f t="shared" si="174"/>
        <v>104</v>
      </c>
      <c r="O283" s="3">
        <f t="shared" si="175"/>
        <v>105</v>
      </c>
      <c r="P283" s="3">
        <v>134</v>
      </c>
      <c r="Q283" s="3">
        <f>VLOOKUP($A283,'SegEnds_NonXtal_BW#'!$A:$Z,12,FALSE)+VLOOKUP($A283,A:AL,16,FALSE)-50</f>
        <v>140</v>
      </c>
      <c r="R283" s="3" t="str">
        <f>IF(ISERROR(VLOOKUP($A283,'SegEnds_NonXtal_BW#'!$A:$Z,13,FALSE)+VLOOKUP($A283,A:AL,19,FALSE)-50),"-",VLOOKUP($A283,'SegEnds_NonXtal_BW#'!$A:$Z,13,FALSE)+VLOOKUP($A283,A:AL,19,FALSE)-50)</f>
        <v>-</v>
      </c>
      <c r="S283" s="3" t="s">
        <v>23</v>
      </c>
      <c r="T283" s="100" t="str">
        <f>IF(ISERROR(VLOOKUP($A283,'SegEnds_NonXtal_BW#'!$A:$Z,14,FALSE)+VLOOKUP($A283,A:AL,19,FALSE)-50),"-",(VLOOKUP($A283,'SegEnds_NonXtal_BW#'!$A:$Z,14,FALSE)+VLOOKUP($A283,A:AL,19,FALSE)-50))</f>
        <v>-</v>
      </c>
      <c r="U283" s="9">
        <f>IF(ISERROR(VLOOKUP($A283,'SegEnds_NonXtal_BW#'!$A:$Z,15,FALSE)+VLOOKUP($A283,A:AL,22,FALSE)-50),"-",VLOOKUP($A283,'SegEnds_NonXtal_BW#'!$A:$Z,15,FALSE)+VLOOKUP($A283,A:AL,22,FALSE)-50)</f>
        <v>151</v>
      </c>
      <c r="V283" s="3">
        <v>163</v>
      </c>
      <c r="W283" s="3">
        <f>IF(ISERROR(VLOOKUP($A283,'SegEnds_NonXtal_BW#'!$A:$Z,16,FALSE)+VLOOKUP($A283,A:AL,22,FALSE)-50),"-",(VLOOKUP($A283,'SegEnds_NonXtal_BW#'!$A:$Z,16,FALSE)+VLOOKUP($A283,A:AL,22,FALSE)-50))</f>
        <v>177</v>
      </c>
      <c r="X283" s="3">
        <f>IF(ISERROR(VLOOKUP($A283,'SegEnds_NonXtal_BW#'!$A:$Z,17,FALSE)+VLOOKUP($A283,A:AL,25,FALSE)-50),"-",(VLOOKUP($A283,'SegEnds_NonXtal_BW#'!$A:$Z,17,FALSE)+VLOOKUP($A283,A:AL,25,FALSE)-50))</f>
        <v>188</v>
      </c>
      <c r="Y283" s="3">
        <v>188</v>
      </c>
      <c r="Z283" s="3">
        <f t="shared" si="169"/>
        <v>190</v>
      </c>
      <c r="AA283" s="3">
        <f>IF(ISERROR(VLOOKUP($A283,'SegEnds_NonXtal_BW#'!$A:$Z,19,FALSE)+VLOOKUP($A283,A:AL,28,FALSE)-50),"-",(VLOOKUP($A283,'SegEnds_NonXtal_BW#'!$A:$Z,19,FALSE)+VLOOKUP($A283,A:AL,28,FALSE)-50))</f>
        <v>195</v>
      </c>
      <c r="AB283" s="3">
        <v>215</v>
      </c>
      <c r="AC283" s="3">
        <f>IF(ISERROR((VLOOKUP($A283,'SegEnds_NonXtal_BW#'!$A:$Z,20,FALSE)+VLOOKUP($A283,A:AL,28,FALSE)-50)),"-",(VLOOKUP($A283,'SegEnds_NonXtal_BW#'!$A:$Z,20,FALSE)+VLOOKUP($A283,A:AL,28,FALSE)-50))</f>
        <v>233</v>
      </c>
      <c r="AD283" s="3">
        <f>IF(ISERROR(VLOOKUP($A283,'SegEnds_NonXtal_BW#'!$A:$Z,21,FALSE)+VLOOKUP($A283,A:AL,31,FALSE)-50),"-",(VLOOKUP($A283,'SegEnds_NonXtal_BW#'!$A:$Z,21,FALSE)+VLOOKUP($A283,A:AL,31,FALSE)-50))</f>
        <v>239</v>
      </c>
      <c r="AE283" s="3">
        <v>266</v>
      </c>
      <c r="AF283" s="3">
        <f>IF(ISERROR((VLOOKUP($A283,'SegEnds_NonXtal_BW#'!$A:$Z,22,FALSE)+VLOOKUP($A283,A:AL,31,FALSE)-50)),"-",(VLOOKUP($A283,'SegEnds_NonXtal_BW#'!$A:$Z,22,FALSE)+VLOOKUP($A283,A:AL,31,FALSE)-50))</f>
        <v>277</v>
      </c>
      <c r="AG283" s="3">
        <f>IF(ISERROR(VLOOKUP($A283,'SegEnds_NonXtal_BW#'!$A:$Z,23,FALSE)+VLOOKUP($A283,A:AL,34,FALSE)-50),"-",(VLOOKUP($A283,'SegEnds_NonXtal_BW#'!$A:$Z,23,FALSE)+VLOOKUP($A283,A:AL,34,FALSE)-50))</f>
        <v>282</v>
      </c>
      <c r="AH283" s="3">
        <v>304</v>
      </c>
      <c r="AI283" s="3">
        <f>IF(ISERROR((VLOOKUP($A283,'SegEnds_NonXtal_BW#'!$A:$Z,24,FALSE)+VLOOKUP($A283,A:AL,34,FALSE)-50)),"-",(VLOOKUP($A283,'SegEnds_NonXtal_BW#'!$A:$Z,24,FALSE)+VLOOKUP($A283,A:AL,34,FALSE)-50))</f>
        <v>310</v>
      </c>
      <c r="AJ283" s="3">
        <f>IF(ISERROR(VLOOKUP($A283,'SegEnds_NonXtal_BW#'!$A:$Z,25,FALSE)+VLOOKUP($A283,A:AL,37,FALSE)-50),"-",(VLOOKUP($A283,'SegEnds_NonXtal_BW#'!$A:$Z,25,FALSE)+VLOOKUP($A283,A:AL,37,FALSE)-50))</f>
        <v>311</v>
      </c>
      <c r="AK283" s="3">
        <v>314</v>
      </c>
      <c r="AL283" s="3">
        <f>IF(ISERROR((VLOOKUP($A283,'SegEnds_NonXtal_BW#'!$A:$Z,26,FALSE)+VLOOKUP($A283,A:AL,37,FALSE)-50)),"-",(VLOOKUP($A283,'SegEnds_NonXtal_BW#'!$A:$Z,26,FALSE)+VLOOKUP($A283,A:AL,37,FALSE)-50))</f>
        <v>323</v>
      </c>
      <c r="AM283" s="28" t="str">
        <f>VLOOKUP(A283,Classification!A:B,2,FALSE)</f>
        <v>A</v>
      </c>
      <c r="AN283" s="28" t="b">
        <f t="shared" si="167"/>
        <v>1</v>
      </c>
      <c r="AO283" s="3" t="str">
        <f>IF(ISERROR(MATCH(A283,'SegEnds_Xtal_Prot#'!B:B, 0)), "NoXtal", "Xtal")</f>
        <v>NoXtal</v>
      </c>
      <c r="AP283" s="3">
        <f t="shared" si="152"/>
        <v>1</v>
      </c>
      <c r="AQ283" s="3">
        <f t="shared" si="153"/>
        <v>1</v>
      </c>
      <c r="AR283" s="3">
        <f t="shared" si="154"/>
        <v>2</v>
      </c>
      <c r="AS283" s="3">
        <f t="shared" si="155"/>
        <v>1</v>
      </c>
      <c r="AT283" s="3" t="str">
        <f t="shared" si="156"/>
        <v>-</v>
      </c>
      <c r="AU283" s="3" t="str">
        <f t="shared" si="157"/>
        <v>-</v>
      </c>
      <c r="AV283" s="3">
        <f t="shared" si="158"/>
        <v>11</v>
      </c>
      <c r="AW283" s="3">
        <f t="shared" si="159"/>
        <v>5</v>
      </c>
      <c r="AX283" s="3">
        <f t="shared" si="160"/>
        <v>6</v>
      </c>
      <c r="AY283" s="3">
        <f t="shared" si="161"/>
        <v>5</v>
      </c>
      <c r="AZ283" s="3">
        <f t="shared" si="162"/>
        <v>1</v>
      </c>
      <c r="BA283" s="3">
        <f>IF(ISERROR(LEN(VLOOKUP(A283,Seqs!A:E,2,FALSE))-AL283),"-",LEN(VLOOKUP(A283,Seqs!A:E,2,FALSE))-AL283)</f>
        <v>5</v>
      </c>
      <c r="BB283" s="16">
        <f t="shared" si="163"/>
        <v>28</v>
      </c>
      <c r="BC283" s="9" t="str">
        <f t="shared" si="164"/>
        <v>-</v>
      </c>
      <c r="BD283" s="3">
        <f t="shared" si="165"/>
        <v>28</v>
      </c>
      <c r="BE283" s="3">
        <f t="shared" si="166"/>
        <v>51</v>
      </c>
      <c r="BF283" s="3">
        <f>AH283-AE283</f>
        <v>38</v>
      </c>
    </row>
    <row r="284" spans="1:58" s="3" customFormat="1" x14ac:dyDescent="0.2">
      <c r="A284" s="3" t="s">
        <v>321</v>
      </c>
      <c r="B284" s="3" t="str">
        <f>LOWER(VLOOKUP(A284,Xtal_Templ!A:B,2,FALSE))</f>
        <v>oprd_human</v>
      </c>
      <c r="C284" s="3">
        <f>VLOOKUP($A284,'SegEnds_NonXtal_BW#'!$A:$Z,3,FALSE)+D284-50</f>
        <v>35</v>
      </c>
      <c r="D284" s="3">
        <v>63</v>
      </c>
      <c r="E284" s="3">
        <f>IF(ISERROR(VLOOKUP($A284,'SegEnds_NonXtal_BW#'!$A:$Z,4,FALSE)+VLOOKUP($A284,A:AL,4,FALSE)-50),"-",(VLOOKUP($A284,'SegEnds_NonXtal_BW#'!$A:$Z,4,FALSE)+VLOOKUP($A284,A:AL,4,FALSE)-50))</f>
        <v>73</v>
      </c>
      <c r="F284" s="3">
        <f t="shared" si="171"/>
        <v>74</v>
      </c>
      <c r="G284" s="3">
        <v>76</v>
      </c>
      <c r="H284" s="3">
        <f t="shared" si="172"/>
        <v>77</v>
      </c>
      <c r="I284" s="3">
        <f t="shared" si="172"/>
        <v>78</v>
      </c>
      <c r="J284" s="3">
        <v>91</v>
      </c>
      <c r="K284" s="3">
        <f>VLOOKUP($A284,'SegEnds_NonXtal_BW#'!$A:$Z,8,FALSE)+VLOOKUP($A284,A:AL,10,FALSE)-50</f>
        <v>107</v>
      </c>
      <c r="L284" s="3">
        <f t="shared" si="173"/>
        <v>109</v>
      </c>
      <c r="M284" s="3">
        <v>110</v>
      </c>
      <c r="N284" s="3">
        <f t="shared" si="174"/>
        <v>112</v>
      </c>
      <c r="O284" s="3">
        <f t="shared" si="175"/>
        <v>113</v>
      </c>
      <c r="P284" s="3">
        <v>142</v>
      </c>
      <c r="Q284" s="3">
        <f>VLOOKUP($A284,'SegEnds_NonXtal_BW#'!$A:$Z,12,FALSE)+VLOOKUP($A284,A:AL,16,FALSE)-50</f>
        <v>148</v>
      </c>
      <c r="R284" s="3" t="str">
        <f>IF(ISERROR(VLOOKUP($A284,'SegEnds_NonXtal_BW#'!$A:$Z,13,FALSE)+VLOOKUP($A284,A:AL,19,FALSE)-50),"-",VLOOKUP($A284,'SegEnds_NonXtal_BW#'!$A:$Z,13,FALSE)+VLOOKUP($A284,A:AL,19,FALSE)-50)</f>
        <v>-</v>
      </c>
      <c r="S284" s="3" t="s">
        <v>23</v>
      </c>
      <c r="T284" s="100" t="str">
        <f>IF(ISERROR(VLOOKUP($A284,'SegEnds_NonXtal_BW#'!$A:$Z,14,FALSE)+VLOOKUP($A284,A:AL,19,FALSE)-50),"-",(VLOOKUP($A284,'SegEnds_NonXtal_BW#'!$A:$Z,14,FALSE)+VLOOKUP($A284,A:AL,19,FALSE)-50))</f>
        <v>-</v>
      </c>
      <c r="U284" s="9">
        <f>IF(ISERROR(VLOOKUP($A284,'SegEnds_NonXtal_BW#'!$A:$Z,15,FALSE)+VLOOKUP($A284,A:AL,22,FALSE)-50),"-",VLOOKUP($A284,'SegEnds_NonXtal_BW#'!$A:$Z,15,FALSE)+VLOOKUP($A284,A:AL,22,FALSE)-50)</f>
        <v>159</v>
      </c>
      <c r="V284" s="3">
        <v>171</v>
      </c>
      <c r="W284" s="3">
        <f>IF(ISERROR(VLOOKUP($A284,'SegEnds_NonXtal_BW#'!$A:$Z,16,FALSE)+VLOOKUP($A284,A:AL,22,FALSE)-50),"-",(VLOOKUP($A284,'SegEnds_NonXtal_BW#'!$A:$Z,16,FALSE)+VLOOKUP($A284,A:AL,22,FALSE)-50))</f>
        <v>185</v>
      </c>
      <c r="X284" s="3">
        <f>IF(ISERROR(VLOOKUP($A284,'SegEnds_NonXtal_BW#'!$A:$Z,17,FALSE)+VLOOKUP($A284,A:AL,25,FALSE)-50),"-",(VLOOKUP($A284,'SegEnds_NonXtal_BW#'!$A:$Z,17,FALSE)+VLOOKUP($A284,A:AL,25,FALSE)-50))</f>
        <v>197</v>
      </c>
      <c r="Y284" s="3">
        <v>197</v>
      </c>
      <c r="Z284" s="3">
        <f t="shared" si="169"/>
        <v>199</v>
      </c>
      <c r="AA284" s="3">
        <f>IF(ISERROR(VLOOKUP($A284,'SegEnds_NonXtal_BW#'!$A:$Z,19,FALSE)+VLOOKUP($A284,A:AL,28,FALSE)-50),"-",(VLOOKUP($A284,'SegEnds_NonXtal_BW#'!$A:$Z,19,FALSE)+VLOOKUP($A284,A:AL,28,FALSE)-50))</f>
        <v>205</v>
      </c>
      <c r="AB284" s="3">
        <v>224</v>
      </c>
      <c r="AC284" s="3">
        <f>IF(ISERROR((VLOOKUP($A284,'SegEnds_NonXtal_BW#'!$A:$Z,20,FALSE)+VLOOKUP($A284,A:AL,28,FALSE)-50)),"-",(VLOOKUP($A284,'SegEnds_NonXtal_BW#'!$A:$Z,20,FALSE)+VLOOKUP($A284,A:AL,28,FALSE)-50))</f>
        <v>242</v>
      </c>
      <c r="AD284" s="3">
        <f>IF(ISERROR(VLOOKUP($A284,'SegEnds_NonXtal_BW#'!$A:$Z,21,FALSE)+VLOOKUP($A284,A:AL,31,FALSE)-50),"-",(VLOOKUP($A284,'SegEnds_NonXtal_BW#'!$A:$Z,21,FALSE)+VLOOKUP($A284,A:AL,31,FALSE)-50))</f>
        <v>248</v>
      </c>
      <c r="AE284" s="3">
        <v>275</v>
      </c>
      <c r="AF284" s="3">
        <f>IF(ISERROR((VLOOKUP($A284,'SegEnds_NonXtal_BW#'!$A:$Z,22,FALSE)+VLOOKUP($A284,A:AL,31,FALSE)-50)),"-",(VLOOKUP($A284,'SegEnds_NonXtal_BW#'!$A:$Z,22,FALSE)+VLOOKUP($A284,A:AL,31,FALSE)-50))</f>
        <v>286</v>
      </c>
      <c r="AG284" s="3">
        <f>IF(ISERROR(VLOOKUP($A284,'SegEnds_NonXtal_BW#'!$A:$Z,23,FALSE)+VLOOKUP($A284,A:AL,34,FALSE)-50),"-",(VLOOKUP($A284,'SegEnds_NonXtal_BW#'!$A:$Z,23,FALSE)+VLOOKUP($A284,A:AL,34,FALSE)-50))</f>
        <v>291</v>
      </c>
      <c r="AH284" s="3">
        <v>313</v>
      </c>
      <c r="AI284" s="3">
        <f>IF(ISERROR((VLOOKUP($A284,'SegEnds_NonXtal_BW#'!$A:$Z,24,FALSE)+VLOOKUP($A284,A:AL,34,FALSE)-50)),"-",(VLOOKUP($A284,'SegEnds_NonXtal_BW#'!$A:$Z,24,FALSE)+VLOOKUP($A284,A:AL,34,FALSE)-50))</f>
        <v>319</v>
      </c>
      <c r="AJ284" s="3">
        <f>IF(ISERROR(VLOOKUP($A284,'SegEnds_NonXtal_BW#'!$A:$Z,25,FALSE)+VLOOKUP($A284,A:AL,37,FALSE)-50),"-",(VLOOKUP($A284,'SegEnds_NonXtal_BW#'!$A:$Z,25,FALSE)+VLOOKUP($A284,A:AL,37,FALSE)-50))</f>
        <v>320</v>
      </c>
      <c r="AK284" s="3">
        <v>323</v>
      </c>
      <c r="AL284" s="3">
        <f>IF(ISERROR((VLOOKUP($A284,'SegEnds_NonXtal_BW#'!$A:$Z,26,FALSE)+VLOOKUP($A284,A:AL,37,FALSE)-50)),"-",(VLOOKUP($A284,'SegEnds_NonXtal_BW#'!$A:$Z,26,FALSE)+VLOOKUP($A284,A:AL,37,FALSE)-50))</f>
        <v>333</v>
      </c>
      <c r="AM284" s="28" t="str">
        <f>VLOOKUP(A284,Classification!A:B,2,FALSE)</f>
        <v>A</v>
      </c>
      <c r="AN284" s="28" t="b">
        <f t="shared" si="167"/>
        <v>1</v>
      </c>
      <c r="AO284" s="3" t="str">
        <f>IF(ISERROR(MATCH(A284,'SegEnds_Xtal_Prot#'!B:B, 0)), "NoXtal", "Xtal")</f>
        <v>NoXtal</v>
      </c>
      <c r="AP284" s="3">
        <f t="shared" si="152"/>
        <v>1</v>
      </c>
      <c r="AQ284" s="3">
        <f t="shared" si="153"/>
        <v>1</v>
      </c>
      <c r="AR284" s="3">
        <f t="shared" si="154"/>
        <v>2</v>
      </c>
      <c r="AS284" s="3">
        <f t="shared" si="155"/>
        <v>1</v>
      </c>
      <c r="AT284" s="3" t="str">
        <f t="shared" si="156"/>
        <v>-</v>
      </c>
      <c r="AU284" s="3" t="str">
        <f t="shared" si="157"/>
        <v>-</v>
      </c>
      <c r="AV284" s="3">
        <f t="shared" si="158"/>
        <v>12</v>
      </c>
      <c r="AW284" s="3">
        <f t="shared" si="159"/>
        <v>6</v>
      </c>
      <c r="AX284" s="3">
        <f t="shared" si="160"/>
        <v>6</v>
      </c>
      <c r="AY284" s="3">
        <f t="shared" si="161"/>
        <v>5</v>
      </c>
      <c r="AZ284" s="3">
        <f t="shared" si="162"/>
        <v>1</v>
      </c>
      <c r="BA284" s="3">
        <f>IF(ISERROR(LEN(VLOOKUP(A284,Seqs!A:E,2,FALSE))-AL284),"-",LEN(VLOOKUP(A284,Seqs!A:E,2,FALSE))-AL284)</f>
        <v>0</v>
      </c>
      <c r="BB284" s="16">
        <f t="shared" si="163"/>
        <v>28</v>
      </c>
      <c r="BC284" s="9" t="str">
        <f t="shared" si="164"/>
        <v>-</v>
      </c>
      <c r="BD284" s="3">
        <f t="shared" si="165"/>
        <v>28</v>
      </c>
      <c r="BE284" s="3">
        <f t="shared" si="166"/>
        <v>51</v>
      </c>
      <c r="BF284" s="3">
        <f>AH284-AE284</f>
        <v>38</v>
      </c>
    </row>
    <row r="285" spans="1:58" s="3" customFormat="1" x14ac:dyDescent="0.2">
      <c r="A285" s="3" t="s">
        <v>322</v>
      </c>
      <c r="B285" s="3" t="str">
        <f>LOWER(VLOOKUP(A285,Xtal_Templ!A:B,2,FALSE))</f>
        <v>ox1r_human</v>
      </c>
      <c r="C285" s="3">
        <f>VLOOKUP($A285,'SegEnds_NonXtal_BW#'!$A:$Z,3,FALSE)+D285-50</f>
        <v>43</v>
      </c>
      <c r="D285" s="3">
        <v>61</v>
      </c>
      <c r="E285" s="3">
        <f>IF(ISERROR(VLOOKUP($A285,'SegEnds_NonXtal_BW#'!$A:$Z,4,FALSE)+VLOOKUP($A285,A:AL,4,FALSE)-50),"-",(VLOOKUP($A285,'SegEnds_NonXtal_BW#'!$A:$Z,4,FALSE)+VLOOKUP($A285,A:AL,4,FALSE)-50))</f>
        <v>71</v>
      </c>
      <c r="F285" s="3">
        <f t="shared" si="171"/>
        <v>72</v>
      </c>
      <c r="G285" s="3">
        <v>74</v>
      </c>
      <c r="H285" s="3">
        <f t="shared" si="172"/>
        <v>75</v>
      </c>
      <c r="I285" s="3">
        <f t="shared" si="172"/>
        <v>76</v>
      </c>
      <c r="J285" s="3">
        <v>89</v>
      </c>
      <c r="K285" s="3">
        <f>VLOOKUP($A285,'SegEnds_NonXtal_BW#'!$A:$Z,8,FALSE)+VLOOKUP($A285,A:AL,10,FALSE)-50</f>
        <v>106</v>
      </c>
      <c r="L285" s="3">
        <f t="shared" si="173"/>
        <v>108</v>
      </c>
      <c r="M285" s="3">
        <v>109</v>
      </c>
      <c r="N285" s="3">
        <f t="shared" si="174"/>
        <v>111</v>
      </c>
      <c r="O285" s="3">
        <f t="shared" si="175"/>
        <v>112</v>
      </c>
      <c r="P285" s="3">
        <v>141</v>
      </c>
      <c r="Q285" s="3">
        <f>VLOOKUP($A285,'SegEnds_NonXtal_BW#'!$A:$Z,12,FALSE)+VLOOKUP($A285,A:AL,16,FALSE)-50</f>
        <v>147</v>
      </c>
      <c r="R285" s="3" t="str">
        <f>IF(ISERROR(VLOOKUP($A285,'SegEnds_NonXtal_BW#'!$A:$Z,13,FALSE)+VLOOKUP($A285,A:AL,19,FALSE)-50),"-",VLOOKUP($A285,'SegEnds_NonXtal_BW#'!$A:$Z,13,FALSE)+VLOOKUP($A285,A:AL,19,FALSE)-50)</f>
        <v>-</v>
      </c>
      <c r="S285" s="3" t="s">
        <v>23</v>
      </c>
      <c r="T285" s="100" t="str">
        <f>IF(ISERROR(VLOOKUP($A285,'SegEnds_NonXtal_BW#'!$A:$Z,14,FALSE)+VLOOKUP($A285,A:AL,19,FALSE)-50),"-",(VLOOKUP($A285,'SegEnds_NonXtal_BW#'!$A:$Z,14,FALSE)+VLOOKUP($A285,A:AL,19,FALSE)-50))</f>
        <v>-</v>
      </c>
      <c r="U285" s="9">
        <f>IF(ISERROR(VLOOKUP($A285,'SegEnds_NonXtal_BW#'!$A:$Z,15,FALSE)+VLOOKUP($A285,A:AL,22,FALSE)-50),"-",VLOOKUP($A285,'SegEnds_NonXtal_BW#'!$A:$Z,15,FALSE)+VLOOKUP($A285,A:AL,22,FALSE)-50)</f>
        <v>154</v>
      </c>
      <c r="V285" s="3">
        <v>166</v>
      </c>
      <c r="W285" s="3">
        <f>IF(ISERROR(VLOOKUP($A285,'SegEnds_NonXtal_BW#'!$A:$Z,16,FALSE)+VLOOKUP($A285,A:AL,22,FALSE)-50),"-",(VLOOKUP($A285,'SegEnds_NonXtal_BW#'!$A:$Z,16,FALSE)+VLOOKUP($A285,A:AL,22,FALSE)-50))</f>
        <v>180</v>
      </c>
      <c r="X285" s="3">
        <f>IF(ISERROR(VLOOKUP($A285,'SegEnds_NonXtal_BW#'!$A:$Z,17,FALSE)+VLOOKUP($A285,A:AL,25,FALSE)-50),"-",(VLOOKUP($A285,'SegEnds_NonXtal_BW#'!$A:$Z,17,FALSE)+VLOOKUP($A285,A:AL,25,FALSE)-50))</f>
        <v>203</v>
      </c>
      <c r="Y285" s="3">
        <v>203</v>
      </c>
      <c r="Z285" s="3">
        <f t="shared" si="169"/>
        <v>205</v>
      </c>
      <c r="AA285" s="3">
        <f>IF(ISERROR(VLOOKUP($A285,'SegEnds_NonXtal_BW#'!$A:$Z,19,FALSE)+VLOOKUP($A285,A:AL,28,FALSE)-50),"-",(VLOOKUP($A285,'SegEnds_NonXtal_BW#'!$A:$Z,19,FALSE)+VLOOKUP($A285,A:AL,28,FALSE)-50))</f>
        <v>210</v>
      </c>
      <c r="AB285" s="3">
        <v>228</v>
      </c>
      <c r="AC285" s="3">
        <f>IF(ISERROR((VLOOKUP($A285,'SegEnds_NonXtal_BW#'!$A:$Z,20,FALSE)+VLOOKUP($A285,A:AL,28,FALSE)-50)),"-",(VLOOKUP($A285,'SegEnds_NonXtal_BW#'!$A:$Z,20,FALSE)+VLOOKUP($A285,A:AL,28,FALSE)-50))</f>
        <v>251</v>
      </c>
      <c r="AD285" s="3">
        <f>IF(ISERROR(VLOOKUP($A285,'SegEnds_NonXtal_BW#'!$A:$Z,21,FALSE)+VLOOKUP($A285,A:AL,31,FALSE)-50),"-",(VLOOKUP($A285,'SegEnds_NonXtal_BW#'!$A:$Z,21,FALSE)+VLOOKUP($A285,A:AL,31,FALSE)-50))</f>
        <v>257</v>
      </c>
      <c r="AE285" s="3">
        <v>285</v>
      </c>
      <c r="AF285" s="3">
        <f>IF(ISERROR((VLOOKUP($A285,'SegEnds_NonXtal_BW#'!$A:$Z,22,FALSE)+VLOOKUP($A285,A:AL,31,FALSE)-50)),"-",(VLOOKUP($A285,'SegEnds_NonXtal_BW#'!$A:$Z,22,FALSE)+VLOOKUP($A285,A:AL,31,FALSE)-50))</f>
        <v>296</v>
      </c>
      <c r="AG285" s="3">
        <f>IF(ISERROR(VLOOKUP($A285,'SegEnds_NonXtal_BW#'!$A:$Z,23,FALSE)+VLOOKUP($A285,A:AL,34,FALSE)-50),"-",(VLOOKUP($A285,'SegEnds_NonXtal_BW#'!$A:$Z,23,FALSE)+VLOOKUP($A285,A:AL,34,FALSE)-50))</f>
        <v>304</v>
      </c>
      <c r="AH285" s="3">
        <v>326</v>
      </c>
      <c r="AI285" s="3">
        <f>IF(ISERROR((VLOOKUP($A285,'SegEnds_NonXtal_BW#'!$A:$Z,24,FALSE)+VLOOKUP($A285,A:AL,34,FALSE)-50)),"-",(VLOOKUP($A285,'SegEnds_NonXtal_BW#'!$A:$Z,24,FALSE)+VLOOKUP($A285,A:AL,34,FALSE)-50))</f>
        <v>332</v>
      </c>
      <c r="AJ285" s="3">
        <f>IF(ISERROR(VLOOKUP($A285,'SegEnds_NonXtal_BW#'!$A:$Z,25,FALSE)+VLOOKUP($A285,A:AL,37,FALSE)-50),"-",(VLOOKUP($A285,'SegEnds_NonXtal_BW#'!$A:$Z,25,FALSE)+VLOOKUP($A285,A:AL,37,FALSE)-50))</f>
        <v>333</v>
      </c>
      <c r="AK285" s="3">
        <v>336</v>
      </c>
      <c r="AL285" s="3">
        <f>IF(ISERROR((VLOOKUP($A285,'SegEnds_NonXtal_BW#'!$A:$Z,26,FALSE)+VLOOKUP($A285,A:AL,37,FALSE)-50)),"-",(VLOOKUP($A285,'SegEnds_NonXtal_BW#'!$A:$Z,26,FALSE)+VLOOKUP($A285,A:AL,37,FALSE)-50))</f>
        <v>344</v>
      </c>
      <c r="AM285" s="28" t="str">
        <f>VLOOKUP(A285,Classification!A:B,2,FALSE)</f>
        <v>A</v>
      </c>
      <c r="AN285" s="28" t="b">
        <f t="shared" si="167"/>
        <v>1</v>
      </c>
      <c r="AO285" s="3" t="str">
        <f>IF(ISERROR(MATCH(A285,'SegEnds_Xtal_Prot#'!B:B, 0)), "NoXtal", "Xtal")</f>
        <v>NoXtal</v>
      </c>
      <c r="AP285" s="3">
        <f t="shared" si="152"/>
        <v>1</v>
      </c>
      <c r="AQ285" s="3">
        <f t="shared" si="153"/>
        <v>1</v>
      </c>
      <c r="AR285" s="3">
        <f t="shared" si="154"/>
        <v>2</v>
      </c>
      <c r="AS285" s="3">
        <f t="shared" si="155"/>
        <v>1</v>
      </c>
      <c r="AT285" s="3" t="str">
        <f t="shared" si="156"/>
        <v>-</v>
      </c>
      <c r="AU285" s="3" t="str">
        <f t="shared" si="157"/>
        <v>-</v>
      </c>
      <c r="AV285" s="3">
        <f t="shared" si="158"/>
        <v>23</v>
      </c>
      <c r="AW285" s="3">
        <f t="shared" si="159"/>
        <v>5</v>
      </c>
      <c r="AX285" s="3">
        <f t="shared" si="160"/>
        <v>6</v>
      </c>
      <c r="AY285" s="3">
        <f t="shared" si="161"/>
        <v>8</v>
      </c>
      <c r="AZ285" s="3">
        <f t="shared" si="162"/>
        <v>1</v>
      </c>
      <c r="BA285" s="3">
        <f>IF(ISERROR(LEN(VLOOKUP(A285,Seqs!A:E,2,FALSE))-AL285),"-",LEN(VLOOKUP(A285,Seqs!A:E,2,FALSE))-AL285)</f>
        <v>86</v>
      </c>
      <c r="BB285" s="16">
        <f t="shared" si="163"/>
        <v>28</v>
      </c>
      <c r="BC285" s="9" t="str">
        <f t="shared" si="164"/>
        <v>-</v>
      </c>
      <c r="BD285" s="3">
        <f t="shared" si="165"/>
        <v>28</v>
      </c>
      <c r="BE285" s="3">
        <f t="shared" si="166"/>
        <v>57</v>
      </c>
    </row>
    <row r="286" spans="1:58" s="3" customFormat="1" x14ac:dyDescent="0.2">
      <c r="A286" s="3" t="s">
        <v>323</v>
      </c>
      <c r="B286" s="3" t="str">
        <f>LOWER(VLOOKUP(A286,Xtal_Templ!A:B,2,FALSE))</f>
        <v>ox1r_human</v>
      </c>
      <c r="C286" s="3">
        <f>VLOOKUP($A286,'SegEnds_NonXtal_BW#'!$A:$Z,3,FALSE)+D286-50</f>
        <v>147</v>
      </c>
      <c r="D286" s="3">
        <v>165</v>
      </c>
      <c r="E286" s="3">
        <f>IF(ISERROR(VLOOKUP($A286,'SegEnds_NonXtal_BW#'!$A:$Z,4,FALSE)+VLOOKUP($A286,A:AL,4,FALSE)-50),"-",(VLOOKUP($A286,'SegEnds_NonXtal_BW#'!$A:$Z,4,FALSE)+VLOOKUP($A286,A:AL,4,FALSE)-50))</f>
        <v>175</v>
      </c>
      <c r="F286" s="3">
        <f t="shared" si="171"/>
        <v>176</v>
      </c>
      <c r="G286" s="3">
        <v>178</v>
      </c>
      <c r="H286" s="3">
        <f t="shared" si="172"/>
        <v>179</v>
      </c>
      <c r="I286" s="3">
        <f t="shared" si="172"/>
        <v>180</v>
      </c>
      <c r="J286" s="3">
        <v>193</v>
      </c>
      <c r="K286" s="3">
        <f>VLOOKUP($A286,'SegEnds_NonXtal_BW#'!$A:$Z,8,FALSE)+VLOOKUP($A286,A:AL,10,FALSE)-50</f>
        <v>210</v>
      </c>
      <c r="L286" s="3">
        <f t="shared" si="173"/>
        <v>212</v>
      </c>
      <c r="M286" s="3">
        <v>213</v>
      </c>
      <c r="N286" s="3">
        <f t="shared" si="174"/>
        <v>215</v>
      </c>
      <c r="O286" s="3">
        <f t="shared" si="175"/>
        <v>216</v>
      </c>
      <c r="P286" s="3">
        <v>245</v>
      </c>
      <c r="Q286" s="3">
        <f>VLOOKUP($A286,'SegEnds_NonXtal_BW#'!$A:$Z,12,FALSE)+VLOOKUP($A286,A:AL,16,FALSE)-50</f>
        <v>251</v>
      </c>
      <c r="R286" s="3" t="str">
        <f>IF(ISERROR(VLOOKUP($A286,'SegEnds_NonXtal_BW#'!$A:$Z,13,FALSE)+VLOOKUP($A286,A:AL,19,FALSE)-50),"-",VLOOKUP($A286,'SegEnds_NonXtal_BW#'!$A:$Z,13,FALSE)+VLOOKUP($A286,A:AL,19,FALSE)-50)</f>
        <v>-</v>
      </c>
      <c r="S286" s="3" t="s">
        <v>23</v>
      </c>
      <c r="T286" s="100" t="str">
        <f>IF(ISERROR(VLOOKUP($A286,'SegEnds_NonXtal_BW#'!$A:$Z,14,FALSE)+VLOOKUP($A286,A:AL,19,FALSE)-50),"-",(VLOOKUP($A286,'SegEnds_NonXtal_BW#'!$A:$Z,14,FALSE)+VLOOKUP($A286,A:AL,19,FALSE)-50))</f>
        <v>-</v>
      </c>
      <c r="U286" s="9">
        <f>IF(ISERROR(VLOOKUP($A286,'SegEnds_NonXtal_BW#'!$A:$Z,15,FALSE)+VLOOKUP($A286,A:AL,22,FALSE)-50),"-",VLOOKUP($A286,'SegEnds_NonXtal_BW#'!$A:$Z,15,FALSE)+VLOOKUP($A286,A:AL,22,FALSE)-50)</f>
        <v>258</v>
      </c>
      <c r="V286" s="3">
        <v>270</v>
      </c>
      <c r="W286" s="3">
        <f>IF(ISERROR(VLOOKUP($A286,'SegEnds_NonXtal_BW#'!$A:$Z,16,FALSE)+VLOOKUP($A286,A:AL,22,FALSE)-50),"-",(VLOOKUP($A286,'SegEnds_NonXtal_BW#'!$A:$Z,16,FALSE)+VLOOKUP($A286,A:AL,22,FALSE)-50))</f>
        <v>284</v>
      </c>
      <c r="X286" s="3">
        <f>IF(ISERROR(VLOOKUP($A286,'SegEnds_NonXtal_BW#'!$A:$Z,17,FALSE)+VLOOKUP($A286,A:AL,25,FALSE)-50),"-",(VLOOKUP($A286,'SegEnds_NonXtal_BW#'!$A:$Z,17,FALSE)+VLOOKUP($A286,A:AL,25,FALSE)-50))</f>
        <v>308</v>
      </c>
      <c r="Y286" s="3">
        <v>308</v>
      </c>
      <c r="Z286" s="3">
        <f t="shared" si="169"/>
        <v>310</v>
      </c>
      <c r="AA286" s="3">
        <f>IF(ISERROR(VLOOKUP($A286,'SegEnds_NonXtal_BW#'!$A:$Z,19,FALSE)+VLOOKUP($A286,A:AL,28,FALSE)-50),"-",(VLOOKUP($A286,'SegEnds_NonXtal_BW#'!$A:$Z,19,FALSE)+VLOOKUP($A286,A:AL,28,FALSE)-50))</f>
        <v>315</v>
      </c>
      <c r="AB286" s="3">
        <v>333</v>
      </c>
      <c r="AC286" s="3">
        <f>IF(ISERROR((VLOOKUP($A286,'SegEnds_NonXtal_BW#'!$A:$Z,20,FALSE)+VLOOKUP($A286,A:AL,28,FALSE)-50)),"-",(VLOOKUP($A286,'SegEnds_NonXtal_BW#'!$A:$Z,20,FALSE)+VLOOKUP($A286,A:AL,28,FALSE)-50))</f>
        <v>356</v>
      </c>
      <c r="AD286" s="3">
        <f>IF(ISERROR(VLOOKUP($A286,'SegEnds_NonXtal_BW#'!$A:$Z,21,FALSE)+VLOOKUP($A286,A:AL,31,FALSE)-50),"-",(VLOOKUP($A286,'SegEnds_NonXtal_BW#'!$A:$Z,21,FALSE)+VLOOKUP($A286,A:AL,31,FALSE)-50))</f>
        <v>365</v>
      </c>
      <c r="AE286" s="3">
        <v>391</v>
      </c>
      <c r="AF286" s="3">
        <f>IF(ISERROR((VLOOKUP($A286,'SegEnds_NonXtal_BW#'!$A:$Z,22,FALSE)+VLOOKUP($A286,A:AL,31,FALSE)-50)),"-",(VLOOKUP($A286,'SegEnds_NonXtal_BW#'!$A:$Z,22,FALSE)+VLOOKUP($A286,A:AL,31,FALSE)-50))</f>
        <v>402</v>
      </c>
      <c r="AG286" s="3">
        <f>IF(ISERROR(VLOOKUP($A286,'SegEnds_NonXtal_BW#'!$A:$Z,23,FALSE)+VLOOKUP($A286,A:AL,34,FALSE)-50),"-",(VLOOKUP($A286,'SegEnds_NonXtal_BW#'!$A:$Z,23,FALSE)+VLOOKUP($A286,A:AL,34,FALSE)-50))</f>
        <v>410</v>
      </c>
      <c r="AH286" s="3">
        <v>432</v>
      </c>
      <c r="AI286" s="3">
        <f>IF(ISERROR((VLOOKUP($A286,'SegEnds_NonXtal_BW#'!$A:$Z,24,FALSE)+VLOOKUP($A286,A:AL,34,FALSE)-50)),"-",(VLOOKUP($A286,'SegEnds_NonXtal_BW#'!$A:$Z,24,FALSE)+VLOOKUP($A286,A:AL,34,FALSE)-50))</f>
        <v>438</v>
      </c>
      <c r="AJ286" s="3">
        <f>IF(ISERROR(VLOOKUP($A286,'SegEnds_NonXtal_BW#'!$A:$Z,25,FALSE)+VLOOKUP($A286,A:AL,37,FALSE)-50),"-",(VLOOKUP($A286,'SegEnds_NonXtal_BW#'!$A:$Z,25,FALSE)+VLOOKUP($A286,A:AL,37,FALSE)-50))</f>
        <v>439</v>
      </c>
      <c r="AK286" s="3">
        <v>442</v>
      </c>
      <c r="AL286" s="3">
        <f>IF(ISERROR((VLOOKUP($A286,'SegEnds_NonXtal_BW#'!$A:$Z,26,FALSE)+VLOOKUP($A286,A:AL,37,FALSE)-50)),"-",(VLOOKUP($A286,'SegEnds_NonXtal_BW#'!$A:$Z,26,FALSE)+VLOOKUP($A286,A:AL,37,FALSE)-50))</f>
        <v>450</v>
      </c>
      <c r="AM286" s="28" t="str">
        <f>VLOOKUP(A286,Classification!A:B,2,FALSE)</f>
        <v>A</v>
      </c>
      <c r="AN286" s="28" t="b">
        <f t="shared" si="167"/>
        <v>1</v>
      </c>
      <c r="AO286" s="3" t="str">
        <f>IF(ISERROR(MATCH(A286,'SegEnds_Xtal_Prot#'!B:B, 0)), "NoXtal", "Xtal")</f>
        <v>NoXtal</v>
      </c>
      <c r="AP286" s="3">
        <f t="shared" si="152"/>
        <v>1</v>
      </c>
      <c r="AQ286" s="3">
        <f t="shared" si="153"/>
        <v>1</v>
      </c>
      <c r="AR286" s="3">
        <f t="shared" si="154"/>
        <v>2</v>
      </c>
      <c r="AS286" s="3">
        <f t="shared" si="155"/>
        <v>1</v>
      </c>
      <c r="AT286" s="3" t="str">
        <f t="shared" si="156"/>
        <v>-</v>
      </c>
      <c r="AU286" s="3" t="str">
        <f t="shared" si="157"/>
        <v>-</v>
      </c>
      <c r="AV286" s="3">
        <f t="shared" si="158"/>
        <v>24</v>
      </c>
      <c r="AW286" s="3">
        <f t="shared" si="159"/>
        <v>5</v>
      </c>
      <c r="AX286" s="3">
        <f t="shared" si="160"/>
        <v>9</v>
      </c>
      <c r="AY286" s="3">
        <f t="shared" si="161"/>
        <v>8</v>
      </c>
      <c r="AZ286" s="3">
        <f t="shared" si="162"/>
        <v>1</v>
      </c>
      <c r="BA286" s="3">
        <f>IF(ISERROR(LEN(VLOOKUP(A286,Seqs!A:E,2,FALSE))-AL286),"-",LEN(VLOOKUP(A286,Seqs!A:E,2,FALSE))-AL286)</f>
        <v>72</v>
      </c>
      <c r="BB286" s="16">
        <f t="shared" si="163"/>
        <v>28</v>
      </c>
      <c r="BC286" s="9" t="str">
        <f t="shared" si="164"/>
        <v>-</v>
      </c>
      <c r="BD286" s="3">
        <f t="shared" si="165"/>
        <v>28</v>
      </c>
      <c r="BE286" s="3">
        <f t="shared" si="166"/>
        <v>58</v>
      </c>
    </row>
    <row r="287" spans="1:58" s="3" customFormat="1" x14ac:dyDescent="0.2">
      <c r="A287" s="3" t="s">
        <v>325</v>
      </c>
      <c r="B287" s="3" t="str">
        <f>LOWER(VLOOKUP(A287,Xtal_Templ!A:B,2,FALSE))</f>
        <v>npy1r_human</v>
      </c>
      <c r="C287" s="3">
        <f>VLOOKUP($A287,'SegEnds_NonXtal_BW#'!$A:$Z,3,FALSE)+D287-50</f>
        <v>36</v>
      </c>
      <c r="D287" s="3">
        <v>58</v>
      </c>
      <c r="E287" s="3">
        <f>IF(ISERROR(VLOOKUP($A287,'SegEnds_NonXtal_BW#'!$A:$Z,4,FALSE)+VLOOKUP($A287,A:AL,4,FALSE)-50),"-",(VLOOKUP($A287,'SegEnds_NonXtal_BW#'!$A:$Z,4,FALSE)+VLOOKUP($A287,A:AL,4,FALSE)-50))</f>
        <v>68</v>
      </c>
      <c r="F287" s="3">
        <f t="shared" si="171"/>
        <v>69</v>
      </c>
      <c r="G287" s="3">
        <v>71</v>
      </c>
      <c r="H287" s="3">
        <f t="shared" si="172"/>
        <v>72</v>
      </c>
      <c r="I287" s="3">
        <f t="shared" si="172"/>
        <v>73</v>
      </c>
      <c r="J287" s="3">
        <v>86</v>
      </c>
      <c r="K287" s="3">
        <f>VLOOKUP($A287,'SegEnds_NonXtal_BW#'!$A:$Z,8,FALSE)+VLOOKUP($A287,A:AL,10,FALSE)-50</f>
        <v>104</v>
      </c>
      <c r="L287" s="3">
        <f t="shared" si="173"/>
        <v>105</v>
      </c>
      <c r="M287" s="3">
        <v>106</v>
      </c>
      <c r="N287" s="3">
        <f t="shared" si="174"/>
        <v>108</v>
      </c>
      <c r="O287" s="3">
        <f t="shared" si="175"/>
        <v>109</v>
      </c>
      <c r="P287" s="3">
        <v>138</v>
      </c>
      <c r="Q287" s="3">
        <f>VLOOKUP($A287,'SegEnds_NonXtal_BW#'!$A:$Z,12,FALSE)+VLOOKUP($A287,A:AL,16,FALSE)-50</f>
        <v>144</v>
      </c>
      <c r="R287" s="3" t="str">
        <f>IF(ISERROR(VLOOKUP($A287,'SegEnds_NonXtal_BW#'!$A:$Z,13,FALSE)+VLOOKUP($A287,A:AL,19,FALSE)-50),"-",VLOOKUP($A287,'SegEnds_NonXtal_BW#'!$A:$Z,13,FALSE)+VLOOKUP($A287,A:AL,19,FALSE)-50)</f>
        <v>-</v>
      </c>
      <c r="S287" s="3" t="s">
        <v>23</v>
      </c>
      <c r="T287" s="100" t="str">
        <f>IF(ISERROR(VLOOKUP($A287,'SegEnds_NonXtal_BW#'!$A:$Z,14,FALSE)+VLOOKUP($A287,A:AL,19,FALSE)-50),"-",(VLOOKUP($A287,'SegEnds_NonXtal_BW#'!$A:$Z,14,FALSE)+VLOOKUP($A287,A:AL,19,FALSE)-50))</f>
        <v>-</v>
      </c>
      <c r="U287" s="9">
        <f>IF(ISERROR(VLOOKUP($A287,'SegEnds_NonXtal_BW#'!$A:$Z,15,FALSE)+VLOOKUP($A287,A:AL,22,FALSE)-50),"-",VLOOKUP($A287,'SegEnds_NonXtal_BW#'!$A:$Z,15,FALSE)+VLOOKUP($A287,A:AL,22,FALSE)-50)</f>
        <v>151</v>
      </c>
      <c r="V287" s="3">
        <v>163</v>
      </c>
      <c r="W287" s="3">
        <f>IF(ISERROR(VLOOKUP($A287,'SegEnds_NonXtal_BW#'!$A:$Z,16,FALSE)+VLOOKUP($A287,A:AL,22,FALSE)-50),"-",(VLOOKUP($A287,'SegEnds_NonXtal_BW#'!$A:$Z,16,FALSE)+VLOOKUP($A287,A:AL,22,FALSE)-50))</f>
        <v>177</v>
      </c>
      <c r="X287" s="3">
        <f>IF(ISERROR(VLOOKUP($A287,'SegEnds_NonXtal_BW#'!$A:$Z,17,FALSE)+VLOOKUP($A287,A:AL,25,FALSE)-50),"-",(VLOOKUP($A287,'SegEnds_NonXtal_BW#'!$A:$Z,17,FALSE)+VLOOKUP($A287,A:AL,25,FALSE)-50))</f>
        <v>198</v>
      </c>
      <c r="Y287" s="3">
        <v>198</v>
      </c>
      <c r="Z287" s="3">
        <f t="shared" si="169"/>
        <v>200</v>
      </c>
      <c r="AA287" s="3">
        <f>IF(ISERROR(VLOOKUP($A287,'SegEnds_NonXtal_BW#'!$A:$Z,19,FALSE)+VLOOKUP($A287,A:AL,28,FALSE)-50),"-",(VLOOKUP($A287,'SegEnds_NonXtal_BW#'!$A:$Z,19,FALSE)+VLOOKUP($A287,A:AL,28,FALSE)-50))</f>
        <v>204</v>
      </c>
      <c r="AB287" s="3">
        <v>223</v>
      </c>
      <c r="AC287" s="3">
        <f>IF(ISERROR((VLOOKUP($A287,'SegEnds_NonXtal_BW#'!$A:$Z,20,FALSE)+VLOOKUP($A287,A:AL,28,FALSE)-50)),"-",(VLOOKUP($A287,'SegEnds_NonXtal_BW#'!$A:$Z,20,FALSE)+VLOOKUP($A287,A:AL,28,FALSE)-50))</f>
        <v>246</v>
      </c>
      <c r="AD287" s="3">
        <f>IF(ISERROR(VLOOKUP($A287,'SegEnds_NonXtal_BW#'!$A:$Z,21,FALSE)+VLOOKUP($A287,A:AL,31,FALSE)-50),"-",(VLOOKUP($A287,'SegEnds_NonXtal_BW#'!$A:$Z,21,FALSE)+VLOOKUP($A287,A:AL,31,FALSE)-50))</f>
        <v>250</v>
      </c>
      <c r="AE287" s="3">
        <v>278</v>
      </c>
      <c r="AF287" s="3">
        <f>IF(ISERROR((VLOOKUP($A287,'SegEnds_NonXtal_BW#'!$A:$Z,22,FALSE)+VLOOKUP($A287,A:AL,31,FALSE)-50)),"-",(VLOOKUP($A287,'SegEnds_NonXtal_BW#'!$A:$Z,22,FALSE)+VLOOKUP($A287,A:AL,31,FALSE)-50))</f>
        <v>289</v>
      </c>
      <c r="AG287" s="3">
        <f>IF(ISERROR(VLOOKUP($A287,'SegEnds_NonXtal_BW#'!$A:$Z,23,FALSE)+VLOOKUP($A287,A:AL,34,FALSE)-50),"-",(VLOOKUP($A287,'SegEnds_NonXtal_BW#'!$A:$Z,23,FALSE)+VLOOKUP($A287,A:AL,34,FALSE)-50))</f>
        <v>295</v>
      </c>
      <c r="AH287" s="3">
        <v>317</v>
      </c>
      <c r="AI287" s="3">
        <f>IF(ISERROR((VLOOKUP($A287,'SegEnds_NonXtal_BW#'!$A:$Z,24,FALSE)+VLOOKUP($A287,A:AL,34,FALSE)-50)),"-",(VLOOKUP($A287,'SegEnds_NonXtal_BW#'!$A:$Z,24,FALSE)+VLOOKUP($A287,A:AL,34,FALSE)-50))</f>
        <v>323</v>
      </c>
      <c r="AJ287" s="3">
        <f>IF(ISERROR(VLOOKUP($A287,'SegEnds_NonXtal_BW#'!$A:$Z,25,FALSE)+VLOOKUP($A287,A:AL,37,FALSE)-50),"-",(VLOOKUP($A287,'SegEnds_NonXtal_BW#'!$A:$Z,25,FALSE)+VLOOKUP($A287,A:AL,37,FALSE)-50))</f>
        <v>324</v>
      </c>
      <c r="AK287" s="3">
        <v>327</v>
      </c>
      <c r="AL287" s="3">
        <f>IF(ISERROR((VLOOKUP($A287,'SegEnds_NonXtal_BW#'!$A:$Z,26,FALSE)+VLOOKUP($A287,A:AL,37,FALSE)-50)),"-",(VLOOKUP($A287,'SegEnds_NonXtal_BW#'!$A:$Z,26,FALSE)+VLOOKUP($A287,A:AL,37,FALSE)-50))</f>
        <v>335</v>
      </c>
      <c r="AM287" s="28" t="str">
        <f>VLOOKUP(A287,Classification!A:B,2,FALSE)</f>
        <v>A</v>
      </c>
      <c r="AN287" s="28" t="b">
        <f t="shared" si="167"/>
        <v>1</v>
      </c>
      <c r="AO287" s="3" t="str">
        <f>IF(ISERROR(MATCH(A287,'SegEnds_Xtal_Prot#'!B:B, 0)), "NoXtal", "Xtal")</f>
        <v>Xtal</v>
      </c>
      <c r="AP287" s="3">
        <f t="shared" si="152"/>
        <v>1</v>
      </c>
      <c r="AQ287" s="3">
        <f t="shared" si="153"/>
        <v>1</v>
      </c>
      <c r="AR287" s="3">
        <f t="shared" si="154"/>
        <v>1</v>
      </c>
      <c r="AS287" s="3">
        <f t="shared" si="155"/>
        <v>1</v>
      </c>
      <c r="AT287" s="3" t="str">
        <f t="shared" si="156"/>
        <v>-</v>
      </c>
      <c r="AU287" s="3" t="str">
        <f t="shared" si="157"/>
        <v>-</v>
      </c>
      <c r="AV287" s="3">
        <f t="shared" si="158"/>
        <v>21</v>
      </c>
      <c r="AW287" s="3">
        <f t="shared" si="159"/>
        <v>4</v>
      </c>
      <c r="AX287" s="3">
        <f t="shared" si="160"/>
        <v>4</v>
      </c>
      <c r="AY287" s="3">
        <f t="shared" si="161"/>
        <v>6</v>
      </c>
      <c r="AZ287" s="3">
        <f t="shared" si="162"/>
        <v>1</v>
      </c>
      <c r="BA287" s="3">
        <f>IF(ISERROR(LEN(VLOOKUP(A287,Seqs!A:E,2,FALSE))-AL287),"-",LEN(VLOOKUP(A287,Seqs!A:E,2,FALSE))-AL287)</f>
        <v>49</v>
      </c>
      <c r="BB287" s="16">
        <f t="shared" si="163"/>
        <v>28</v>
      </c>
      <c r="BC287" s="9" t="str">
        <f t="shared" si="164"/>
        <v>-</v>
      </c>
      <c r="BD287" s="3">
        <f t="shared" si="165"/>
        <v>28</v>
      </c>
      <c r="BE287" s="3">
        <f t="shared" si="166"/>
        <v>55</v>
      </c>
    </row>
    <row r="288" spans="1:58" s="3" customFormat="1" x14ac:dyDescent="0.2">
      <c r="A288" s="3" t="s">
        <v>326</v>
      </c>
      <c r="B288" s="3" t="str">
        <f>LOWER(VLOOKUP(A288,Xtal_Templ!A:B,2,FALSE))</f>
        <v>ox2r_human</v>
      </c>
      <c r="C288" s="3">
        <f>VLOOKUP($A288,'SegEnds_NonXtal_BW#'!$A:$Z,3,FALSE)+D288-50</f>
        <v>49</v>
      </c>
      <c r="D288" s="3">
        <v>68</v>
      </c>
      <c r="E288" s="3">
        <f>IF(ISERROR(VLOOKUP($A288,'SegEnds_NonXtal_BW#'!$A:$Z,4,FALSE)+VLOOKUP($A288,A:AL,4,FALSE)-50),"-",(VLOOKUP($A288,'SegEnds_NonXtal_BW#'!$A:$Z,4,FALSE)+VLOOKUP($A288,A:AL,4,FALSE)-50))</f>
        <v>78</v>
      </c>
      <c r="F288" s="3">
        <f t="shared" si="171"/>
        <v>79</v>
      </c>
      <c r="G288" s="3">
        <v>81</v>
      </c>
      <c r="H288" s="3">
        <f t="shared" si="172"/>
        <v>82</v>
      </c>
      <c r="I288" s="3">
        <f t="shared" si="172"/>
        <v>83</v>
      </c>
      <c r="J288" s="3">
        <v>96</v>
      </c>
      <c r="K288" s="3">
        <f>VLOOKUP($A288,'SegEnds_NonXtal_BW#'!$A:$Z,8,FALSE)+VLOOKUP($A288,A:AL,10,FALSE)-50</f>
        <v>114</v>
      </c>
      <c r="L288" s="3">
        <f t="shared" si="173"/>
        <v>115</v>
      </c>
      <c r="M288" s="3">
        <v>116</v>
      </c>
      <c r="N288" s="3">
        <f t="shared" si="174"/>
        <v>118</v>
      </c>
      <c r="O288" s="3">
        <f t="shared" si="175"/>
        <v>119</v>
      </c>
      <c r="P288" s="3">
        <v>148</v>
      </c>
      <c r="Q288" s="3">
        <f>VLOOKUP($A288,'SegEnds_NonXtal_BW#'!$A:$Z,12,FALSE)+VLOOKUP($A288,A:AL,16,FALSE)-50</f>
        <v>154</v>
      </c>
      <c r="R288" s="3" t="str">
        <f>IF(ISERROR(VLOOKUP($A288,'SegEnds_NonXtal_BW#'!$A:$Z,13,FALSE)+VLOOKUP($A288,A:AL,19,FALSE)-50),"-",VLOOKUP($A288,'SegEnds_NonXtal_BW#'!$A:$Z,13,FALSE)+VLOOKUP($A288,A:AL,19,FALSE)-50)</f>
        <v>-</v>
      </c>
      <c r="S288" s="3" t="s">
        <v>23</v>
      </c>
      <c r="T288" s="100" t="str">
        <f>IF(ISERROR(VLOOKUP($A288,'SegEnds_NonXtal_BW#'!$A:$Z,14,FALSE)+VLOOKUP($A288,A:AL,19,FALSE)-50),"-",(VLOOKUP($A288,'SegEnds_NonXtal_BW#'!$A:$Z,14,FALSE)+VLOOKUP($A288,A:AL,19,FALSE)-50))</f>
        <v>-</v>
      </c>
      <c r="U288" s="9">
        <f>IF(ISERROR(VLOOKUP($A288,'SegEnds_NonXtal_BW#'!$A:$Z,15,FALSE)+VLOOKUP($A288,A:AL,22,FALSE)-50),"-",VLOOKUP($A288,'SegEnds_NonXtal_BW#'!$A:$Z,15,FALSE)+VLOOKUP($A288,A:AL,22,FALSE)-50)</f>
        <v>161</v>
      </c>
      <c r="V288" s="3">
        <v>173</v>
      </c>
      <c r="W288" s="3">
        <f>IF(ISERROR(VLOOKUP($A288,'SegEnds_NonXtal_BW#'!$A:$Z,16,FALSE)+VLOOKUP($A288,A:AL,22,FALSE)-50),"-",(VLOOKUP($A288,'SegEnds_NonXtal_BW#'!$A:$Z,16,FALSE)+VLOOKUP($A288,A:AL,22,FALSE)-50))</f>
        <v>187</v>
      </c>
      <c r="X288" s="3">
        <f>IF(ISERROR(VLOOKUP($A288,'SegEnds_NonXtal_BW#'!$A:$Z,17,FALSE)+VLOOKUP($A288,A:AL,25,FALSE)-50),"-",(VLOOKUP($A288,'SegEnds_NonXtal_BW#'!$A:$Z,17,FALSE)+VLOOKUP($A288,A:AL,25,FALSE)-50))</f>
        <v>203</v>
      </c>
      <c r="Y288" s="3">
        <v>203</v>
      </c>
      <c r="Z288" s="3">
        <f t="shared" si="169"/>
        <v>205</v>
      </c>
      <c r="AA288" s="3">
        <f>IF(ISERROR(VLOOKUP($A288,'SegEnds_NonXtal_BW#'!$A:$Z,19,FALSE)+VLOOKUP($A288,A:AL,28,FALSE)-50),"-",(VLOOKUP($A288,'SegEnds_NonXtal_BW#'!$A:$Z,19,FALSE)+VLOOKUP($A288,A:AL,28,FALSE)-50))</f>
        <v>214</v>
      </c>
      <c r="AB288" s="3">
        <v>231</v>
      </c>
      <c r="AC288" s="3">
        <f>IF(ISERROR((VLOOKUP($A288,'SegEnds_NonXtal_BW#'!$A:$Z,20,FALSE)+VLOOKUP($A288,A:AL,28,FALSE)-50)),"-",(VLOOKUP($A288,'SegEnds_NonXtal_BW#'!$A:$Z,20,FALSE)+VLOOKUP($A288,A:AL,28,FALSE)-50))</f>
        <v>253</v>
      </c>
      <c r="AD288" s="3">
        <f>IF(ISERROR(VLOOKUP($A288,'SegEnds_NonXtal_BW#'!$A:$Z,21,FALSE)+VLOOKUP($A288,A:AL,31,FALSE)-50),"-",(VLOOKUP($A288,'SegEnds_NonXtal_BW#'!$A:$Z,21,FALSE)+VLOOKUP($A288,A:AL,31,FALSE)-50))</f>
        <v>257</v>
      </c>
      <c r="AE288" s="3">
        <v>283</v>
      </c>
      <c r="AF288" s="3">
        <f>IF(ISERROR((VLOOKUP($A288,'SegEnds_NonXtal_BW#'!$A:$Z,22,FALSE)+VLOOKUP($A288,A:AL,31,FALSE)-50)),"-",(VLOOKUP($A288,'SegEnds_NonXtal_BW#'!$A:$Z,22,FALSE)+VLOOKUP($A288,A:AL,31,FALSE)-50))</f>
        <v>294</v>
      </c>
      <c r="AG288" s="3">
        <f>IF(ISERROR(VLOOKUP($A288,'SegEnds_NonXtal_BW#'!$A:$Z,23,FALSE)+VLOOKUP($A288,A:AL,34,FALSE)-50),"-",(VLOOKUP($A288,'SegEnds_NonXtal_BW#'!$A:$Z,23,FALSE)+VLOOKUP($A288,A:AL,34,FALSE)-50))</f>
        <v>300</v>
      </c>
      <c r="AH288" s="3">
        <v>322</v>
      </c>
      <c r="AI288" s="3">
        <f>IF(ISERROR((VLOOKUP($A288,'SegEnds_NonXtal_BW#'!$A:$Z,24,FALSE)+VLOOKUP($A288,A:AL,34,FALSE)-50)),"-",(VLOOKUP($A288,'SegEnds_NonXtal_BW#'!$A:$Z,24,FALSE)+VLOOKUP($A288,A:AL,34,FALSE)-50))</f>
        <v>328</v>
      </c>
      <c r="AJ288" s="3">
        <f>IF(ISERROR(VLOOKUP($A288,'SegEnds_NonXtal_BW#'!$A:$Z,25,FALSE)+VLOOKUP($A288,A:AL,37,FALSE)-50),"-",(VLOOKUP($A288,'SegEnds_NonXtal_BW#'!$A:$Z,25,FALSE)+VLOOKUP($A288,A:AL,37,FALSE)-50))</f>
        <v>329</v>
      </c>
      <c r="AK288" s="3">
        <v>332</v>
      </c>
      <c r="AL288" s="3">
        <f>IF(ISERROR((VLOOKUP($A288,'SegEnds_NonXtal_BW#'!$A:$Z,26,FALSE)+VLOOKUP($A288,A:AL,37,FALSE)-50)),"-",(VLOOKUP($A288,'SegEnds_NonXtal_BW#'!$A:$Z,26,FALSE)+VLOOKUP($A288,A:AL,37,FALSE)-50))</f>
        <v>340</v>
      </c>
      <c r="AM288" s="28" t="str">
        <f>VLOOKUP(A288,Classification!A:B,2,FALSE)</f>
        <v>A</v>
      </c>
      <c r="AN288" s="28" t="b">
        <f t="shared" si="167"/>
        <v>1</v>
      </c>
      <c r="AO288" s="3" t="str">
        <f>IF(ISERROR(MATCH(A288,'SegEnds_Xtal_Prot#'!B:B, 0)), "NoXtal", "Xtal")</f>
        <v>NoXtal</v>
      </c>
      <c r="AP288" s="3">
        <f t="shared" si="152"/>
        <v>1</v>
      </c>
      <c r="AQ288" s="3">
        <f t="shared" si="153"/>
        <v>1</v>
      </c>
      <c r="AR288" s="3">
        <f t="shared" si="154"/>
        <v>1</v>
      </c>
      <c r="AS288" s="3">
        <f t="shared" si="155"/>
        <v>1</v>
      </c>
      <c r="AT288" s="3" t="str">
        <f t="shared" si="156"/>
        <v>-</v>
      </c>
      <c r="AU288" s="3" t="str">
        <f t="shared" si="157"/>
        <v>-</v>
      </c>
      <c r="AV288" s="3">
        <f t="shared" si="158"/>
        <v>16</v>
      </c>
      <c r="AW288" s="3">
        <f t="shared" si="159"/>
        <v>9</v>
      </c>
      <c r="AX288" s="3">
        <f t="shared" si="160"/>
        <v>4</v>
      </c>
      <c r="AY288" s="3">
        <f t="shared" si="161"/>
        <v>6</v>
      </c>
      <c r="AZ288" s="3">
        <f t="shared" si="162"/>
        <v>1</v>
      </c>
      <c r="BA288" s="3">
        <f>IF(ISERROR(LEN(VLOOKUP(A288,Seqs!A:E,2,FALSE))-AL288),"-",LEN(VLOOKUP(A288,Seqs!A:E,2,FALSE))-AL288)</f>
        <v>41</v>
      </c>
      <c r="BB288" s="16">
        <f t="shared" si="163"/>
        <v>28</v>
      </c>
      <c r="BC288" s="9" t="str">
        <f t="shared" si="164"/>
        <v>-</v>
      </c>
      <c r="BD288" s="3">
        <f t="shared" si="165"/>
        <v>28</v>
      </c>
      <c r="BE288" s="3">
        <f t="shared" si="166"/>
        <v>52</v>
      </c>
    </row>
    <row r="289" spans="1:59" s="3" customFormat="1" x14ac:dyDescent="0.2">
      <c r="A289" s="3" t="s">
        <v>327</v>
      </c>
      <c r="B289" s="3" t="str">
        <f>LOWER(VLOOKUP(A289,Xtal_Templ!A:B,2,FALSE))</f>
        <v>npy1r_human</v>
      </c>
      <c r="C289" s="3">
        <f>VLOOKUP($A289,'SegEnds_NonXtal_BW#'!$A:$Z,3,FALSE)+D289-50</f>
        <v>37</v>
      </c>
      <c r="D289" s="3">
        <v>59</v>
      </c>
      <c r="E289" s="3">
        <f>IF(ISERROR(VLOOKUP($A289,'SegEnds_NonXtal_BW#'!$A:$Z,4,FALSE)+VLOOKUP($A289,A:AL,4,FALSE)-50),"-",(VLOOKUP($A289,'SegEnds_NonXtal_BW#'!$A:$Z,4,FALSE)+VLOOKUP($A289,A:AL,4,FALSE)-50))</f>
        <v>69</v>
      </c>
      <c r="F289" s="3">
        <f t="shared" si="171"/>
        <v>70</v>
      </c>
      <c r="G289" s="3">
        <v>72</v>
      </c>
      <c r="H289" s="3">
        <f t="shared" si="172"/>
        <v>73</v>
      </c>
      <c r="I289" s="3">
        <f t="shared" si="172"/>
        <v>74</v>
      </c>
      <c r="J289" s="3">
        <v>87</v>
      </c>
      <c r="K289" s="3">
        <f>VLOOKUP($A289,'SegEnds_NonXtal_BW#'!$A:$Z,8,FALSE)+VLOOKUP($A289,A:AL,10,FALSE)-50</f>
        <v>105</v>
      </c>
      <c r="L289" s="3">
        <f t="shared" si="173"/>
        <v>106</v>
      </c>
      <c r="M289" s="3">
        <v>107</v>
      </c>
      <c r="N289" s="3">
        <f t="shared" si="174"/>
        <v>109</v>
      </c>
      <c r="O289" s="3">
        <f t="shared" si="175"/>
        <v>110</v>
      </c>
      <c r="P289" s="3">
        <v>139</v>
      </c>
      <c r="Q289" s="3">
        <f>VLOOKUP($A289,'SegEnds_NonXtal_BW#'!$A:$Z,12,FALSE)+VLOOKUP($A289,A:AL,16,FALSE)-50</f>
        <v>145</v>
      </c>
      <c r="R289" s="3" t="str">
        <f>IF(ISERROR(VLOOKUP($A289,'SegEnds_NonXtal_BW#'!$A:$Z,13,FALSE)+VLOOKUP($A289,A:AL,19,FALSE)-50),"-",VLOOKUP($A289,'SegEnds_NonXtal_BW#'!$A:$Z,13,FALSE)+VLOOKUP($A289,A:AL,19,FALSE)-50)</f>
        <v>-</v>
      </c>
      <c r="S289" s="3" t="s">
        <v>23</v>
      </c>
      <c r="T289" s="100" t="str">
        <f>IF(ISERROR(VLOOKUP($A289,'SegEnds_NonXtal_BW#'!$A:$Z,14,FALSE)+VLOOKUP($A289,A:AL,19,FALSE)-50),"-",(VLOOKUP($A289,'SegEnds_NonXtal_BW#'!$A:$Z,14,FALSE)+VLOOKUP($A289,A:AL,19,FALSE)-50))</f>
        <v>-</v>
      </c>
      <c r="U289" s="9">
        <f>IF(ISERROR(VLOOKUP($A289,'SegEnds_NonXtal_BW#'!$A:$Z,15,FALSE)+VLOOKUP($A289,A:AL,22,FALSE)-50),"-",VLOOKUP($A289,'SegEnds_NonXtal_BW#'!$A:$Z,15,FALSE)+VLOOKUP($A289,A:AL,22,FALSE)-50)</f>
        <v>152</v>
      </c>
      <c r="V289" s="3">
        <v>164</v>
      </c>
      <c r="W289" s="3">
        <f>IF(ISERROR(VLOOKUP($A289,'SegEnds_NonXtal_BW#'!$A:$Z,16,FALSE)+VLOOKUP($A289,A:AL,22,FALSE)-50),"-",(VLOOKUP($A289,'SegEnds_NonXtal_BW#'!$A:$Z,16,FALSE)+VLOOKUP($A289,A:AL,22,FALSE)-50))</f>
        <v>178</v>
      </c>
      <c r="X289" s="3">
        <f>IF(ISERROR(VLOOKUP($A289,'SegEnds_NonXtal_BW#'!$A:$Z,17,FALSE)+VLOOKUP($A289,A:AL,25,FALSE)-50),"-",(VLOOKUP($A289,'SegEnds_NonXtal_BW#'!$A:$Z,17,FALSE)+VLOOKUP($A289,A:AL,25,FALSE)-50))</f>
        <v>201</v>
      </c>
      <c r="Y289" s="3">
        <v>201</v>
      </c>
      <c r="Z289" s="3">
        <f t="shared" si="169"/>
        <v>203</v>
      </c>
      <c r="AA289" s="3">
        <f>IF(ISERROR(VLOOKUP($A289,'SegEnds_NonXtal_BW#'!$A:$Z,19,FALSE)+VLOOKUP($A289,A:AL,28,FALSE)-50),"-",(VLOOKUP($A289,'SegEnds_NonXtal_BW#'!$A:$Z,19,FALSE)+VLOOKUP($A289,A:AL,28,FALSE)-50))</f>
        <v>207</v>
      </c>
      <c r="AB289" s="3">
        <v>226</v>
      </c>
      <c r="AC289" s="3">
        <f>IF(ISERROR((VLOOKUP($A289,'SegEnds_NonXtal_BW#'!$A:$Z,20,FALSE)+VLOOKUP($A289,A:AL,28,FALSE)-50)),"-",(VLOOKUP($A289,'SegEnds_NonXtal_BW#'!$A:$Z,20,FALSE)+VLOOKUP($A289,A:AL,28,FALSE)-50))</f>
        <v>248</v>
      </c>
      <c r="AD289" s="3">
        <f>IF(ISERROR(VLOOKUP($A289,'SegEnds_NonXtal_BW#'!$A:$Z,21,FALSE)+VLOOKUP($A289,A:AL,31,FALSE)-50),"-",(VLOOKUP($A289,'SegEnds_NonXtal_BW#'!$A:$Z,21,FALSE)+VLOOKUP($A289,A:AL,31,FALSE)-50))</f>
        <v>254</v>
      </c>
      <c r="AE289" s="3">
        <v>280</v>
      </c>
      <c r="AF289" s="3">
        <f>IF(ISERROR((VLOOKUP($A289,'SegEnds_NonXtal_BW#'!$A:$Z,22,FALSE)+VLOOKUP($A289,A:AL,31,FALSE)-50)),"-",(VLOOKUP($A289,'SegEnds_NonXtal_BW#'!$A:$Z,22,FALSE)+VLOOKUP($A289,A:AL,31,FALSE)-50))</f>
        <v>291</v>
      </c>
      <c r="AG289" s="3">
        <f>IF(ISERROR(VLOOKUP($A289,'SegEnds_NonXtal_BW#'!$A:$Z,23,FALSE)+VLOOKUP($A289,A:AL,34,FALSE)-50),"-",(VLOOKUP($A289,'SegEnds_NonXtal_BW#'!$A:$Z,23,FALSE)+VLOOKUP($A289,A:AL,34,FALSE)-50))</f>
        <v>297</v>
      </c>
      <c r="AH289" s="3">
        <v>319</v>
      </c>
      <c r="AI289" s="3">
        <f>IF(ISERROR((VLOOKUP($A289,'SegEnds_NonXtal_BW#'!$A:$Z,24,FALSE)+VLOOKUP($A289,A:AL,34,FALSE)-50)),"-",(VLOOKUP($A289,'SegEnds_NonXtal_BW#'!$A:$Z,24,FALSE)+VLOOKUP($A289,A:AL,34,FALSE)-50))</f>
        <v>325</v>
      </c>
      <c r="AJ289" s="3">
        <f>IF(ISERROR(VLOOKUP($A289,'SegEnds_NonXtal_BW#'!$A:$Z,25,FALSE)+VLOOKUP($A289,A:AL,37,FALSE)-50),"-",(VLOOKUP($A289,'SegEnds_NonXtal_BW#'!$A:$Z,25,FALSE)+VLOOKUP($A289,A:AL,37,FALSE)-50))</f>
        <v>326</v>
      </c>
      <c r="AK289" s="3">
        <v>329</v>
      </c>
      <c r="AL289" s="3">
        <f>IF(ISERROR((VLOOKUP($A289,'SegEnds_NonXtal_BW#'!$A:$Z,26,FALSE)+VLOOKUP($A289,A:AL,37,FALSE)-50)),"-",(VLOOKUP($A289,'SegEnds_NonXtal_BW#'!$A:$Z,26,FALSE)+VLOOKUP($A289,A:AL,37,FALSE)-50))</f>
        <v>337</v>
      </c>
      <c r="AM289" s="28" t="str">
        <f>VLOOKUP(A289,Classification!A:B,2,FALSE)</f>
        <v>A</v>
      </c>
      <c r="AN289" s="28" t="b">
        <f t="shared" si="167"/>
        <v>1</v>
      </c>
      <c r="AO289" s="3" t="str">
        <f>IF(ISERROR(MATCH(A289,'SegEnds_Xtal_Prot#'!B:B, 0)), "NoXtal", "Xtal")</f>
        <v>NoXtal</v>
      </c>
      <c r="AP289" s="3">
        <f t="shared" si="152"/>
        <v>1</v>
      </c>
      <c r="AQ289" s="3">
        <f t="shared" si="153"/>
        <v>1</v>
      </c>
      <c r="AR289" s="3">
        <f t="shared" si="154"/>
        <v>1</v>
      </c>
      <c r="AS289" s="3">
        <f t="shared" si="155"/>
        <v>1</v>
      </c>
      <c r="AT289" s="3" t="str">
        <f t="shared" si="156"/>
        <v>-</v>
      </c>
      <c r="AU289" s="3" t="str">
        <f t="shared" si="157"/>
        <v>-</v>
      </c>
      <c r="AV289" s="3">
        <f t="shared" si="158"/>
        <v>23</v>
      </c>
      <c r="AW289" s="3">
        <f t="shared" si="159"/>
        <v>4</v>
      </c>
      <c r="AX289" s="3">
        <f t="shared" si="160"/>
        <v>6</v>
      </c>
      <c r="AY289" s="3">
        <f t="shared" si="161"/>
        <v>6</v>
      </c>
      <c r="AZ289" s="3">
        <f t="shared" si="162"/>
        <v>1</v>
      </c>
      <c r="BA289" s="3">
        <f>IF(ISERROR(LEN(VLOOKUP(A289,Seqs!A:E,2,FALSE))-AL289),"-",LEN(VLOOKUP(A289,Seqs!A:E,2,FALSE))-AL289)</f>
        <v>38</v>
      </c>
      <c r="BB289" s="16">
        <f t="shared" si="163"/>
        <v>28</v>
      </c>
      <c r="BC289" s="9" t="str">
        <f t="shared" si="164"/>
        <v>-</v>
      </c>
      <c r="BD289" s="3">
        <f t="shared" si="165"/>
        <v>28</v>
      </c>
      <c r="BE289" s="3">
        <f t="shared" si="166"/>
        <v>54</v>
      </c>
    </row>
    <row r="290" spans="1:59" s="3" customFormat="1" x14ac:dyDescent="0.2">
      <c r="A290" s="3" t="s">
        <v>328</v>
      </c>
      <c r="B290" s="3" t="str">
        <f>LOWER(VLOOKUP(A290,Xtal_Templ!A:B,2,FALSE))</f>
        <v>npy1r_human</v>
      </c>
      <c r="C290" s="3">
        <f>VLOOKUP($A290,'SegEnds_NonXtal_BW#'!$A:$Z,3,FALSE)+D290-50</f>
        <v>37</v>
      </c>
      <c r="D290" s="3">
        <v>59</v>
      </c>
      <c r="E290" s="3">
        <f>IF(ISERROR(VLOOKUP($A290,'SegEnds_NonXtal_BW#'!$A:$Z,4,FALSE)+VLOOKUP($A290,A:AL,4,FALSE)-50),"-",(VLOOKUP($A290,'SegEnds_NonXtal_BW#'!$A:$Z,4,FALSE)+VLOOKUP($A290,A:AL,4,FALSE)-50))</f>
        <v>69</v>
      </c>
      <c r="F290" s="3">
        <f t="shared" si="171"/>
        <v>70</v>
      </c>
      <c r="G290" s="3">
        <v>72</v>
      </c>
      <c r="H290" s="3">
        <f t="shared" si="172"/>
        <v>73</v>
      </c>
      <c r="I290" s="3">
        <f t="shared" si="172"/>
        <v>74</v>
      </c>
      <c r="J290" s="3">
        <v>87</v>
      </c>
      <c r="K290" s="3">
        <f>VLOOKUP($A290,'SegEnds_NonXtal_BW#'!$A:$Z,8,FALSE)+VLOOKUP($A290,A:AL,10,FALSE)-50</f>
        <v>105</v>
      </c>
      <c r="L290" s="3">
        <f t="shared" si="173"/>
        <v>106</v>
      </c>
      <c r="M290" s="3">
        <v>107</v>
      </c>
      <c r="N290" s="3">
        <f t="shared" si="174"/>
        <v>109</v>
      </c>
      <c r="O290" s="3">
        <f t="shared" si="175"/>
        <v>110</v>
      </c>
      <c r="P290" s="3">
        <v>139</v>
      </c>
      <c r="Q290" s="3">
        <f>VLOOKUP($A290,'SegEnds_NonXtal_BW#'!$A:$Z,12,FALSE)+VLOOKUP($A290,A:AL,16,FALSE)-50</f>
        <v>145</v>
      </c>
      <c r="R290" s="3" t="str">
        <f>IF(ISERROR(VLOOKUP($A290,'SegEnds_NonXtal_BW#'!$A:$Z,13,FALSE)+VLOOKUP($A290,A:AL,19,FALSE)-50),"-",VLOOKUP($A290,'SegEnds_NonXtal_BW#'!$A:$Z,13,FALSE)+VLOOKUP($A290,A:AL,19,FALSE)-50)</f>
        <v>-</v>
      </c>
      <c r="S290" s="3" t="s">
        <v>23</v>
      </c>
      <c r="T290" s="100" t="str">
        <f>IF(ISERROR(VLOOKUP($A290,'SegEnds_NonXtal_BW#'!$A:$Z,14,FALSE)+VLOOKUP($A290,A:AL,19,FALSE)-50),"-",(VLOOKUP($A290,'SegEnds_NonXtal_BW#'!$A:$Z,14,FALSE)+VLOOKUP($A290,A:AL,19,FALSE)-50))</f>
        <v>-</v>
      </c>
      <c r="U290" s="9">
        <f>IF(ISERROR(VLOOKUP($A290,'SegEnds_NonXtal_BW#'!$A:$Z,15,FALSE)+VLOOKUP($A290,A:AL,22,FALSE)-50),"-",VLOOKUP($A290,'SegEnds_NonXtal_BW#'!$A:$Z,15,FALSE)+VLOOKUP($A290,A:AL,22,FALSE)-50)</f>
        <v>152</v>
      </c>
      <c r="V290" s="3">
        <v>164</v>
      </c>
      <c r="W290" s="3">
        <f>IF(ISERROR(VLOOKUP($A290,'SegEnds_NonXtal_BW#'!$A:$Z,16,FALSE)+VLOOKUP($A290,A:AL,22,FALSE)-50),"-",(VLOOKUP($A290,'SegEnds_NonXtal_BW#'!$A:$Z,16,FALSE)+VLOOKUP($A290,A:AL,22,FALSE)-50))</f>
        <v>178</v>
      </c>
      <c r="X290" s="3">
        <f>IF(ISERROR(VLOOKUP($A290,'SegEnds_NonXtal_BW#'!$A:$Z,17,FALSE)+VLOOKUP($A290,A:AL,25,FALSE)-50),"-",(VLOOKUP($A290,'SegEnds_NonXtal_BW#'!$A:$Z,17,FALSE)+VLOOKUP($A290,A:AL,25,FALSE)-50))</f>
        <v>198</v>
      </c>
      <c r="Y290" s="3">
        <v>198</v>
      </c>
      <c r="Z290" s="3">
        <f t="shared" si="169"/>
        <v>200</v>
      </c>
      <c r="AA290" s="3">
        <f>IF(ISERROR(VLOOKUP($A290,'SegEnds_NonXtal_BW#'!$A:$Z,19,FALSE)+VLOOKUP($A290,A:AL,28,FALSE)-50),"-",(VLOOKUP($A290,'SegEnds_NonXtal_BW#'!$A:$Z,19,FALSE)+VLOOKUP($A290,A:AL,28,FALSE)-50))</f>
        <v>204</v>
      </c>
      <c r="AB290" s="3">
        <v>223</v>
      </c>
      <c r="AC290" s="3">
        <f>IF(ISERROR((VLOOKUP($A290,'SegEnds_NonXtal_BW#'!$A:$Z,20,FALSE)+VLOOKUP($A290,A:AL,28,FALSE)-50)),"-",(VLOOKUP($A290,'SegEnds_NonXtal_BW#'!$A:$Z,20,FALSE)+VLOOKUP($A290,A:AL,28,FALSE)-50))</f>
        <v>249</v>
      </c>
      <c r="AD290" s="3">
        <f>IF(ISERROR(VLOOKUP($A290,'SegEnds_NonXtal_BW#'!$A:$Z,21,FALSE)+VLOOKUP($A290,A:AL,31,FALSE)-50),"-",(VLOOKUP($A290,'SegEnds_NonXtal_BW#'!$A:$Z,21,FALSE)+VLOOKUP($A290,A:AL,31,FALSE)-50))</f>
        <v>357</v>
      </c>
      <c r="AE290" s="3">
        <v>383</v>
      </c>
      <c r="AF290" s="3">
        <f>IF(ISERROR((VLOOKUP($A290,'SegEnds_NonXtal_BW#'!$A:$Z,22,FALSE)+VLOOKUP($A290,A:AL,31,FALSE)-50)),"-",(VLOOKUP($A290,'SegEnds_NonXtal_BW#'!$A:$Z,22,FALSE)+VLOOKUP($A290,A:AL,31,FALSE)-50))</f>
        <v>394</v>
      </c>
      <c r="AG290" s="3">
        <f>IF(ISERROR(VLOOKUP($A290,'SegEnds_NonXtal_BW#'!$A:$Z,23,FALSE)+VLOOKUP($A290,A:AL,34,FALSE)-50),"-",(VLOOKUP($A290,'SegEnds_NonXtal_BW#'!$A:$Z,23,FALSE)+VLOOKUP($A290,A:AL,34,FALSE)-50))</f>
        <v>400</v>
      </c>
      <c r="AH290" s="3">
        <v>422</v>
      </c>
      <c r="AI290" s="3">
        <f>IF(ISERROR((VLOOKUP($A290,'SegEnds_NonXtal_BW#'!$A:$Z,24,FALSE)+VLOOKUP($A290,A:AL,34,FALSE)-50)),"-",(VLOOKUP($A290,'SegEnds_NonXtal_BW#'!$A:$Z,24,FALSE)+VLOOKUP($A290,A:AL,34,FALSE)-50))</f>
        <v>428</v>
      </c>
      <c r="AJ290" s="3">
        <f>IF(ISERROR(VLOOKUP($A290,'SegEnds_NonXtal_BW#'!$A:$Z,25,FALSE)+VLOOKUP($A290,A:AL,37,FALSE)-50),"-",(VLOOKUP($A290,'SegEnds_NonXtal_BW#'!$A:$Z,25,FALSE)+VLOOKUP($A290,A:AL,37,FALSE)-50))</f>
        <v>429</v>
      </c>
      <c r="AK290" s="3">
        <v>432</v>
      </c>
      <c r="AL290" s="3">
        <f>IF(ISERROR((VLOOKUP($A290,'SegEnds_NonXtal_BW#'!$A:$Z,26,FALSE)+VLOOKUP($A290,A:AL,37,FALSE)-50)),"-",(VLOOKUP($A290,'SegEnds_NonXtal_BW#'!$A:$Z,26,FALSE)+VLOOKUP($A290,A:AL,37,FALSE)-50))</f>
        <v>440</v>
      </c>
      <c r="AM290" s="28" t="str">
        <f>VLOOKUP(A290,Classification!A:B,2,FALSE)</f>
        <v>A</v>
      </c>
      <c r="AN290" s="28" t="b">
        <f t="shared" si="167"/>
        <v>1</v>
      </c>
      <c r="AO290" s="3" t="str">
        <f>IF(ISERROR(MATCH(A290,'SegEnds_Xtal_Prot#'!B:B, 0)), "NoXtal", "Xtal")</f>
        <v>NoXtal</v>
      </c>
      <c r="AP290" s="3">
        <f t="shared" si="152"/>
        <v>1</v>
      </c>
      <c r="AQ290" s="3">
        <f t="shared" si="153"/>
        <v>1</v>
      </c>
      <c r="AR290" s="3">
        <f t="shared" si="154"/>
        <v>1</v>
      </c>
      <c r="AS290" s="3">
        <f t="shared" si="155"/>
        <v>1</v>
      </c>
      <c r="AT290" s="3" t="str">
        <f t="shared" si="156"/>
        <v>-</v>
      </c>
      <c r="AU290" s="3" t="str">
        <f t="shared" si="157"/>
        <v>-</v>
      </c>
      <c r="AV290" s="3">
        <f t="shared" si="158"/>
        <v>20</v>
      </c>
      <c r="AW290" s="3">
        <f t="shared" si="159"/>
        <v>4</v>
      </c>
      <c r="AX290" s="3">
        <f t="shared" si="160"/>
        <v>108</v>
      </c>
      <c r="AY290" s="3">
        <f t="shared" si="161"/>
        <v>6</v>
      </c>
      <c r="AZ290" s="3">
        <f t="shared" si="162"/>
        <v>1</v>
      </c>
      <c r="BA290" s="3">
        <f>IF(ISERROR(LEN(VLOOKUP(A290,Seqs!A:E,2,FALSE))-AL290),"-",LEN(VLOOKUP(A290,Seqs!A:E,2,FALSE))-AL290)</f>
        <v>5</v>
      </c>
      <c r="BB290" s="16">
        <f t="shared" si="163"/>
        <v>28</v>
      </c>
      <c r="BC290" s="9" t="str">
        <f t="shared" si="164"/>
        <v>-</v>
      </c>
      <c r="BD290" s="3">
        <f t="shared" si="165"/>
        <v>28</v>
      </c>
      <c r="BE290" s="3">
        <f t="shared" si="166"/>
        <v>160</v>
      </c>
      <c r="BF290" s="3">
        <f>AH290-AE290</f>
        <v>39</v>
      </c>
    </row>
    <row r="291" spans="1:59" s="3" customFormat="1" x14ac:dyDescent="0.2">
      <c r="A291" s="3" t="s">
        <v>329</v>
      </c>
      <c r="B291" s="3" t="str">
        <f>LOWER(VLOOKUP(A291,Xtal_Templ!A:B,2,FALSE))</f>
        <v>npy1r_human</v>
      </c>
      <c r="C291" s="3">
        <f>VLOOKUP($A291,'SegEnds_NonXtal_BW#'!$A:$Z,3,FALSE)+D291-50</f>
        <v>31</v>
      </c>
      <c r="D291" s="3">
        <v>53</v>
      </c>
      <c r="E291" s="3">
        <f>IF(ISERROR(VLOOKUP($A291,'SegEnds_NonXtal_BW#'!$A:$Z,4,FALSE)+VLOOKUP($A291,A:AL,4,FALSE)-50),"-",(VLOOKUP($A291,'SegEnds_NonXtal_BW#'!$A:$Z,4,FALSE)+VLOOKUP($A291,A:AL,4,FALSE)-50))</f>
        <v>63</v>
      </c>
      <c r="F291" s="3">
        <f t="shared" si="171"/>
        <v>65</v>
      </c>
      <c r="G291" s="3">
        <v>67</v>
      </c>
      <c r="H291" s="3">
        <f t="shared" si="172"/>
        <v>68</v>
      </c>
      <c r="I291" s="3">
        <f t="shared" si="172"/>
        <v>69</v>
      </c>
      <c r="J291" s="3">
        <v>82</v>
      </c>
      <c r="K291" s="3">
        <f>VLOOKUP($A291,'SegEnds_NonXtal_BW#'!$A:$Z,8,FALSE)+VLOOKUP($A291,A:AL,10,FALSE)-50</f>
        <v>100</v>
      </c>
      <c r="L291" s="3">
        <f t="shared" si="173"/>
        <v>101</v>
      </c>
      <c r="M291" s="3">
        <v>102</v>
      </c>
      <c r="N291" s="3">
        <f t="shared" si="174"/>
        <v>104</v>
      </c>
      <c r="O291" s="3">
        <f t="shared" si="175"/>
        <v>105</v>
      </c>
      <c r="P291" s="3">
        <v>134</v>
      </c>
      <c r="Q291" s="3">
        <f>VLOOKUP($A291,'SegEnds_NonXtal_BW#'!$A:$Z,12,FALSE)+VLOOKUP($A291,A:AL,16,FALSE)-50</f>
        <v>140</v>
      </c>
      <c r="R291" s="3" t="str">
        <f>IF(ISERROR(VLOOKUP($A291,'SegEnds_NonXtal_BW#'!$A:$Z,13,FALSE)+VLOOKUP($A291,A:AL,19,FALSE)-50),"-",VLOOKUP($A291,'SegEnds_NonXtal_BW#'!$A:$Z,13,FALSE)+VLOOKUP($A291,A:AL,19,FALSE)-50)</f>
        <v>-</v>
      </c>
      <c r="S291" s="3" t="s">
        <v>23</v>
      </c>
      <c r="T291" s="100" t="str">
        <f>IF(ISERROR(VLOOKUP($A291,'SegEnds_NonXtal_BW#'!$A:$Z,14,FALSE)+VLOOKUP($A291,A:AL,19,FALSE)-50),"-",(VLOOKUP($A291,'SegEnds_NonXtal_BW#'!$A:$Z,14,FALSE)+VLOOKUP($A291,A:AL,19,FALSE)-50))</f>
        <v>-</v>
      </c>
      <c r="U291" s="9">
        <f>IF(ISERROR(VLOOKUP($A291,'SegEnds_NonXtal_BW#'!$A:$Z,15,FALSE)+VLOOKUP($A291,A:AL,22,FALSE)-50),"-",VLOOKUP($A291,'SegEnds_NonXtal_BW#'!$A:$Z,15,FALSE)+VLOOKUP($A291,A:AL,22,FALSE)-50)</f>
        <v>147</v>
      </c>
      <c r="V291" s="3">
        <v>159</v>
      </c>
      <c r="W291" s="3">
        <f>IF(ISERROR(VLOOKUP($A291,'SegEnds_NonXtal_BW#'!$A:$Z,16,FALSE)+VLOOKUP($A291,A:AL,22,FALSE)-50),"-",(VLOOKUP($A291,'SegEnds_NonXtal_BW#'!$A:$Z,16,FALSE)+VLOOKUP($A291,A:AL,22,FALSE)-50))</f>
        <v>173</v>
      </c>
      <c r="X291" s="3" t="str">
        <f>IF(ISERROR(VLOOKUP($A291,'SegEnds_NonXtal_BW#'!$A:$Z,17,FALSE)+VLOOKUP($A291,A:AL,25,FALSE)-50),"-",(VLOOKUP($A291,'SegEnds_NonXtal_BW#'!$A:$Z,17,FALSE)+VLOOKUP($A291,A:AL,25,FALSE)-50))</f>
        <v>-</v>
      </c>
      <c r="Y291" s="3" t="s">
        <v>23</v>
      </c>
      <c r="Z291" s="3" t="str">
        <f>IF(ISERROR(VLOOKUP($A291,'SegEnds_NonXtal_BW#'!$A:$Z,18,FALSE)+VLOOKUP($A291,A:AL,25,FALSE)-50),"-",(VLOOKUP($A291,'SegEnds_NonXtal_BW#'!$A:$Z,18,FALSE)+VLOOKUP($A291,A:AL,25,FALSE)-50))</f>
        <v>-</v>
      </c>
      <c r="AA291" s="3">
        <f>IF(ISERROR(VLOOKUP($A291,'SegEnds_NonXtal_BW#'!$A:$Z,19,FALSE)+VLOOKUP($A291,A:AL,28,FALSE)-50),"-",(VLOOKUP($A291,'SegEnds_NonXtal_BW#'!$A:$Z,19,FALSE)+VLOOKUP($A291,A:AL,28,FALSE)-50))</f>
        <v>202</v>
      </c>
      <c r="AB291" s="3">
        <v>221</v>
      </c>
      <c r="AC291" s="3">
        <f>IF(ISERROR((VLOOKUP($A291,'SegEnds_NonXtal_BW#'!$A:$Z,20,FALSE)+VLOOKUP($A291,A:AL,28,FALSE)-50)),"-",(VLOOKUP($A291,'SegEnds_NonXtal_BW#'!$A:$Z,20,FALSE)+VLOOKUP($A291,A:AL,28,FALSE)-50))</f>
        <v>244</v>
      </c>
      <c r="AD291" s="3">
        <f>IF(ISERROR(VLOOKUP($A291,'SegEnds_NonXtal_BW#'!$A:$Z,21,FALSE)+VLOOKUP($A291,A:AL,31,FALSE)-50),"-",(VLOOKUP($A291,'SegEnds_NonXtal_BW#'!$A:$Z,21,FALSE)+VLOOKUP($A291,A:AL,31,FALSE)-50))</f>
        <v>248</v>
      </c>
      <c r="AE291" s="3">
        <v>276</v>
      </c>
      <c r="AF291" s="3">
        <f>IF(ISERROR((VLOOKUP($A291,'SegEnds_NonXtal_BW#'!$A:$Z,22,FALSE)+VLOOKUP($A291,A:AL,31,FALSE)-50)),"-",(VLOOKUP($A291,'SegEnds_NonXtal_BW#'!$A:$Z,22,FALSE)+VLOOKUP($A291,A:AL,31,FALSE)-50))</f>
        <v>287</v>
      </c>
      <c r="AG291" s="3" t="str">
        <f>IF(ISERROR(VLOOKUP($A291,'SegEnds_NonXtal_BW#'!$A:$Z,23,FALSE)+VLOOKUP($A291,A:AL,34,FALSE)-50),"-",(VLOOKUP($A291,'SegEnds_NonXtal_BW#'!$A:$Z,23,FALSE)+VLOOKUP($A291,A:AL,34,FALSE)-50))</f>
        <v>-</v>
      </c>
      <c r="AH291" s="3" t="s">
        <v>23</v>
      </c>
      <c r="AI291" s="3" t="str">
        <f>IF(ISERROR((VLOOKUP($A291,'SegEnds_NonXtal_BW#'!$A:$Z,24,FALSE)+VLOOKUP($A291,A:AL,34,FALSE)-50)),"-",(VLOOKUP($A291,'SegEnds_NonXtal_BW#'!$A:$Z,24,FALSE)+VLOOKUP($A291,A:AL,34,FALSE)-50))</f>
        <v>-</v>
      </c>
      <c r="AJ291" s="3" t="str">
        <f>IF(ISERROR(VLOOKUP($A291,'SegEnds_NonXtal_BW#'!$A:$Z,25,FALSE)+VLOOKUP($A291,A:AL,37,FALSE)-50),"-",(VLOOKUP($A291,'SegEnds_NonXtal_BW#'!$A:$Z,25,FALSE)+VLOOKUP($A291,A:AL,37,FALSE)-50))</f>
        <v>-</v>
      </c>
      <c r="AK291" s="3" t="s">
        <v>23</v>
      </c>
      <c r="AL291" s="3" t="str">
        <f>IF(ISERROR((VLOOKUP($A291,'SegEnds_NonXtal_BW#'!$A:$Z,26,FALSE)+VLOOKUP($A291,A:AL,37,FALSE)-50)),"-",(VLOOKUP($A291,'SegEnds_NonXtal_BW#'!$A:$Z,26,FALSE)+VLOOKUP($A291,A:AL,37,FALSE)-50))</f>
        <v>-</v>
      </c>
      <c r="AM291" s="28" t="str">
        <f>VLOOKUP(A291,Classification!A:B,2,FALSE)</f>
        <v>A</v>
      </c>
      <c r="AN291" s="28" t="e">
        <f t="shared" si="167"/>
        <v>#VALUE!</v>
      </c>
      <c r="AO291" s="3" t="str">
        <f>IF(ISERROR(MATCH(A291,'SegEnds_Xtal_Prot#'!B:B, 0)), "NoXtal", "Xtal")</f>
        <v>NoXtal</v>
      </c>
      <c r="AP291" s="3">
        <f t="shared" si="152"/>
        <v>2</v>
      </c>
      <c r="AQ291" s="3">
        <f t="shared" si="153"/>
        <v>1</v>
      </c>
      <c r="AR291" s="3">
        <f t="shared" si="154"/>
        <v>1</v>
      </c>
      <c r="AS291" s="3">
        <f t="shared" si="155"/>
        <v>1</v>
      </c>
      <c r="AT291" s="3" t="str">
        <f t="shared" si="156"/>
        <v>-</v>
      </c>
      <c r="AU291" s="3" t="str">
        <f t="shared" si="157"/>
        <v>-</v>
      </c>
      <c r="AV291" s="3" t="str">
        <f t="shared" si="158"/>
        <v>-</v>
      </c>
      <c r="AW291" s="3" t="str">
        <f t="shared" si="159"/>
        <v>-</v>
      </c>
      <c r="AX291" s="3">
        <f t="shared" si="160"/>
        <v>4</v>
      </c>
      <c r="AY291" s="3" t="str">
        <f t="shared" si="161"/>
        <v>-</v>
      </c>
      <c r="AZ291" s="3" t="str">
        <f t="shared" si="162"/>
        <v>-</v>
      </c>
      <c r="BA291" s="3" t="str">
        <f>IF(ISERROR(LEN(VLOOKUP(A291,Seqs!A:E,2,FALSE))-AL291),"-",LEN(VLOOKUP(A291,Seqs!A:E,2,FALSE))-AL291)</f>
        <v>-</v>
      </c>
      <c r="BB291" s="16">
        <f t="shared" si="163"/>
        <v>29</v>
      </c>
      <c r="BC291" s="9" t="str">
        <f t="shared" si="164"/>
        <v>-</v>
      </c>
      <c r="BD291" s="3">
        <f t="shared" si="165"/>
        <v>29</v>
      </c>
      <c r="BE291" s="3">
        <f t="shared" si="166"/>
        <v>55</v>
      </c>
      <c r="BG291" s="3" t="s">
        <v>1312</v>
      </c>
    </row>
    <row r="292" spans="1:59" s="3" customFormat="1" x14ac:dyDescent="0.2">
      <c r="A292" s="3" t="s">
        <v>332</v>
      </c>
      <c r="B292" s="3" t="str">
        <f>LOWER(VLOOKUP(A292,Xtal_Templ!A:B,2,FALSE))</f>
        <v>opsd_bovin</v>
      </c>
      <c r="C292" s="3">
        <f>VLOOKUP($A292,'SegEnds_NonXtal_BW#'!$A:$Z,3,FALSE)+D292-50</f>
        <v>37</v>
      </c>
      <c r="D292" s="3">
        <v>59</v>
      </c>
      <c r="E292" s="3">
        <f>IF(ISERROR(VLOOKUP($A292,'SegEnds_NonXtal_BW#'!$A:$Z,4,FALSE)+VLOOKUP($A292,A:AL,4,FALSE)-50),"-",(VLOOKUP($A292,'SegEnds_NonXtal_BW#'!$A:$Z,4,FALSE)+VLOOKUP($A292,A:AL,4,FALSE)-50))</f>
        <v>69</v>
      </c>
      <c r="F292" s="3">
        <f t="shared" si="171"/>
        <v>70</v>
      </c>
      <c r="G292" s="3">
        <v>72</v>
      </c>
      <c r="H292" s="3">
        <f t="shared" si="172"/>
        <v>73</v>
      </c>
      <c r="I292" s="3">
        <f t="shared" si="172"/>
        <v>74</v>
      </c>
      <c r="J292" s="3">
        <v>87</v>
      </c>
      <c r="K292" s="3">
        <f>VLOOKUP($A292,'SegEnds_NonXtal_BW#'!$A:$Z,8,FALSE)+VLOOKUP($A292,A:AL,10,FALSE)-50</f>
        <v>104</v>
      </c>
      <c r="L292" s="3">
        <f t="shared" si="173"/>
        <v>106</v>
      </c>
      <c r="M292" s="3">
        <v>107</v>
      </c>
      <c r="N292" s="3">
        <f t="shared" si="174"/>
        <v>109</v>
      </c>
      <c r="O292" s="3">
        <f t="shared" si="175"/>
        <v>110</v>
      </c>
      <c r="P292" s="3">
        <v>139</v>
      </c>
      <c r="Q292" s="3">
        <f>VLOOKUP($A292,'SegEnds_NonXtal_BW#'!$A:$Z,12,FALSE)+VLOOKUP($A292,A:AL,16,FALSE)-50</f>
        <v>145</v>
      </c>
      <c r="R292" s="3" t="str">
        <f>IF(ISERROR(VLOOKUP($A292,'SegEnds_NonXtal_BW#'!$A:$Z,13,FALSE)+VLOOKUP($A292,A:AL,19,FALSE)-50),"-",VLOOKUP($A292,'SegEnds_NonXtal_BW#'!$A:$Z,13,FALSE)+VLOOKUP($A292,A:AL,19,FALSE)-50)</f>
        <v>-</v>
      </c>
      <c r="S292" s="3" t="s">
        <v>23</v>
      </c>
      <c r="T292" s="100" t="str">
        <f>IF(ISERROR(VLOOKUP($A292,'SegEnds_NonXtal_BW#'!$A:$Z,14,FALSE)+VLOOKUP($A292,A:AL,19,FALSE)-50),"-",(VLOOKUP($A292,'SegEnds_NonXtal_BW#'!$A:$Z,14,FALSE)+VLOOKUP($A292,A:AL,19,FALSE)-50))</f>
        <v>-</v>
      </c>
      <c r="U292" s="9">
        <f>IF(ISERROR(VLOOKUP($A292,'SegEnds_NonXtal_BW#'!$A:$Z,15,FALSE)+VLOOKUP($A292,A:AL,22,FALSE)-50),"-",VLOOKUP($A292,'SegEnds_NonXtal_BW#'!$A:$Z,15,FALSE)+VLOOKUP($A292,A:AL,22,FALSE)-50)</f>
        <v>150</v>
      </c>
      <c r="V292" s="3">
        <v>162</v>
      </c>
      <c r="W292" s="3">
        <f>IF(ISERROR(VLOOKUP($A292,'SegEnds_NonXtal_BW#'!$A:$Z,16,FALSE)+VLOOKUP($A292,A:AL,22,FALSE)-50),"-",(VLOOKUP($A292,'SegEnds_NonXtal_BW#'!$A:$Z,16,FALSE)+VLOOKUP($A292,A:AL,22,FALSE)-50))</f>
        <v>174</v>
      </c>
      <c r="X292" s="3">
        <f>IF(ISERROR(VLOOKUP($A292,'SegEnds_NonXtal_BW#'!$A:$Z,17,FALSE)+VLOOKUP($A292,A:AL,25,FALSE)-50),"-",(VLOOKUP($A292,'SegEnds_NonXtal_BW#'!$A:$Z,17,FALSE)+VLOOKUP($A292,A:AL,25,FALSE)-50))</f>
        <v>188</v>
      </c>
      <c r="Y292" s="3">
        <v>188</v>
      </c>
      <c r="Z292" s="3">
        <f t="shared" ref="Z292:Z324" si="176">Y292+2</f>
        <v>190</v>
      </c>
      <c r="AA292" s="3">
        <f>IF(ISERROR(VLOOKUP($A292,'SegEnds_NonXtal_BW#'!$A:$Z,19,FALSE)+VLOOKUP($A292,A:AL,28,FALSE)-50),"-",(VLOOKUP($A292,'SegEnds_NonXtal_BW#'!$A:$Z,19,FALSE)+VLOOKUP($A292,A:AL,28,FALSE)-50))</f>
        <v>198</v>
      </c>
      <c r="AB292" s="3">
        <v>214</v>
      </c>
      <c r="AC292" s="3">
        <f>IF(ISERROR((VLOOKUP($A292,'SegEnds_NonXtal_BW#'!$A:$Z,20,FALSE)+VLOOKUP($A292,A:AL,28,FALSE)-50)),"-",(VLOOKUP($A292,'SegEnds_NonXtal_BW#'!$A:$Z,20,FALSE)+VLOOKUP($A292,A:AL,28,FALSE)-50))</f>
        <v>237</v>
      </c>
      <c r="AD292" s="3">
        <f>IF(ISERROR(VLOOKUP($A292,'SegEnds_NonXtal_BW#'!$A:$Z,21,FALSE)+VLOOKUP($A292,A:AL,31,FALSE)-50),"-",(VLOOKUP($A292,'SegEnds_NonXtal_BW#'!$A:$Z,21,FALSE)+VLOOKUP($A292,A:AL,31,FALSE)-50))</f>
        <v>242</v>
      </c>
      <c r="AE292" s="3">
        <v>270</v>
      </c>
      <c r="AF292" s="3">
        <f>IF(ISERROR((VLOOKUP($A292,'SegEnds_NonXtal_BW#'!$A:$Z,22,FALSE)+VLOOKUP($A292,A:AL,31,FALSE)-50)),"-",(VLOOKUP($A292,'SegEnds_NonXtal_BW#'!$A:$Z,22,FALSE)+VLOOKUP($A292,A:AL,31,FALSE)-50))</f>
        <v>281</v>
      </c>
      <c r="AG292" s="3">
        <f>IF(ISERROR(VLOOKUP($A292,'SegEnds_NonXtal_BW#'!$A:$Z,23,FALSE)+VLOOKUP($A292,A:AL,34,FALSE)-50),"-",(VLOOKUP($A292,'SegEnds_NonXtal_BW#'!$A:$Z,23,FALSE)+VLOOKUP($A292,A:AL,34,FALSE)-50))</f>
        <v>287</v>
      </c>
      <c r="AH292" s="3">
        <v>306</v>
      </c>
      <c r="AI292" s="3">
        <f>IF(ISERROR((VLOOKUP($A292,'SegEnds_NonXtal_BW#'!$A:$Z,24,FALSE)+VLOOKUP($A292,A:AL,34,FALSE)-50)),"-",(VLOOKUP($A292,'SegEnds_NonXtal_BW#'!$A:$Z,24,FALSE)+VLOOKUP($A292,A:AL,34,FALSE)-50))</f>
        <v>312</v>
      </c>
      <c r="AJ292" s="3">
        <f>IF(ISERROR(VLOOKUP($A292,'SegEnds_NonXtal_BW#'!$A:$Z,25,FALSE)+VLOOKUP($A292,A:AL,37,FALSE)-50),"-",(VLOOKUP($A292,'SegEnds_NonXtal_BW#'!$A:$Z,25,FALSE)+VLOOKUP($A292,A:AL,37,FALSE)-50))</f>
        <v>313</v>
      </c>
      <c r="AK292" s="3">
        <v>316</v>
      </c>
      <c r="AL292" s="3">
        <f>IF(ISERROR((VLOOKUP($A292,'SegEnds_NonXtal_BW#'!$A:$Z,26,FALSE)+VLOOKUP($A292,A:AL,37,FALSE)-50)),"-",(VLOOKUP($A292,'SegEnds_NonXtal_BW#'!$A:$Z,26,FALSE)+VLOOKUP($A292,A:AL,37,FALSE)-50))</f>
        <v>325</v>
      </c>
      <c r="AM292" s="28" t="str">
        <f>VLOOKUP(A292,Classification!A:B,2,FALSE)</f>
        <v>A</v>
      </c>
      <c r="AN292" s="28" t="b">
        <f t="shared" si="167"/>
        <v>1</v>
      </c>
      <c r="AO292" s="3" t="str">
        <f>IF(ISERROR(MATCH(A292,'SegEnds_Xtal_Prot#'!B:B, 0)), "NoXtal", "Xtal")</f>
        <v>NoXtal</v>
      </c>
      <c r="AP292" s="3">
        <f t="shared" si="152"/>
        <v>1</v>
      </c>
      <c r="AQ292" s="3">
        <f t="shared" si="153"/>
        <v>1</v>
      </c>
      <c r="AR292" s="3">
        <f t="shared" si="154"/>
        <v>2</v>
      </c>
      <c r="AS292" s="3">
        <f t="shared" si="155"/>
        <v>1</v>
      </c>
      <c r="AT292" s="3" t="str">
        <f t="shared" si="156"/>
        <v>-</v>
      </c>
      <c r="AU292" s="3" t="str">
        <f t="shared" si="157"/>
        <v>-</v>
      </c>
      <c r="AV292" s="3">
        <f t="shared" si="158"/>
        <v>14</v>
      </c>
      <c r="AW292" s="3">
        <f t="shared" si="159"/>
        <v>8</v>
      </c>
      <c r="AX292" s="3">
        <f t="shared" si="160"/>
        <v>5</v>
      </c>
      <c r="AY292" s="3">
        <f t="shared" si="161"/>
        <v>6</v>
      </c>
      <c r="AZ292" s="3">
        <f t="shared" si="162"/>
        <v>1</v>
      </c>
      <c r="BA292" s="3">
        <f>IF(ISERROR(LEN(VLOOKUP(A292,Seqs!A:E,2,FALSE))-AL292),"-",LEN(VLOOKUP(A292,Seqs!A:E,2,FALSE))-AL292)</f>
        <v>77</v>
      </c>
      <c r="BB292" s="16">
        <f t="shared" si="163"/>
        <v>28</v>
      </c>
      <c r="BC292" s="9" t="str">
        <f t="shared" si="164"/>
        <v>-</v>
      </c>
      <c r="BD292" s="3">
        <f t="shared" si="165"/>
        <v>28</v>
      </c>
      <c r="BE292" s="3">
        <f t="shared" si="166"/>
        <v>56</v>
      </c>
    </row>
    <row r="293" spans="1:59" s="3" customFormat="1" x14ac:dyDescent="0.2">
      <c r="A293" s="3" t="s">
        <v>344</v>
      </c>
      <c r="B293" s="3" t="str">
        <f>LOWER(VLOOKUP(A293,Xtal_Templ!A:B,2,FALSE))</f>
        <v>ox2r_human</v>
      </c>
      <c r="C293" s="3">
        <f>VLOOKUP($A293,'SegEnds_NonXtal_BW#'!$A:$Z,3,FALSE)+D293-50</f>
        <v>38</v>
      </c>
      <c r="D293" s="3">
        <v>57</v>
      </c>
      <c r="E293" s="3">
        <f>IF(ISERROR(VLOOKUP($A293,'SegEnds_NonXtal_BW#'!$A:$Z,4,FALSE)+VLOOKUP($A293,A:AL,4,FALSE)-50),"-",(VLOOKUP($A293,'SegEnds_NonXtal_BW#'!$A:$Z,4,FALSE)+VLOOKUP($A293,A:AL,4,FALSE)-50))</f>
        <v>67</v>
      </c>
      <c r="F293" s="3">
        <f t="shared" si="171"/>
        <v>68</v>
      </c>
      <c r="G293" s="3">
        <v>70</v>
      </c>
      <c r="H293" s="3">
        <f t="shared" si="172"/>
        <v>71</v>
      </c>
      <c r="I293" s="3">
        <f t="shared" si="172"/>
        <v>72</v>
      </c>
      <c r="J293" s="3">
        <v>85</v>
      </c>
      <c r="K293" s="3">
        <f>VLOOKUP($A293,'SegEnds_NonXtal_BW#'!$A:$Z,8,FALSE)+VLOOKUP($A293,A:AL,10,FALSE)-50</f>
        <v>101</v>
      </c>
      <c r="L293" s="3">
        <f t="shared" si="173"/>
        <v>102</v>
      </c>
      <c r="M293" s="3">
        <v>103</v>
      </c>
      <c r="N293" s="3">
        <f t="shared" si="174"/>
        <v>105</v>
      </c>
      <c r="O293" s="3">
        <f t="shared" si="175"/>
        <v>106</v>
      </c>
      <c r="P293" s="3">
        <v>137</v>
      </c>
      <c r="Q293" s="3">
        <f>VLOOKUP($A293,'SegEnds_NonXtal_BW#'!$A:$Z,12,FALSE)+VLOOKUP($A293,A:AL,16,FALSE)-50</f>
        <v>143</v>
      </c>
      <c r="R293" s="3" t="str">
        <f>IF(ISERROR(VLOOKUP($A293,'SegEnds_NonXtal_BW#'!$A:$Z,13,FALSE)+VLOOKUP($A293,A:AL,19,FALSE)-50),"-",VLOOKUP($A293,'SegEnds_NonXtal_BW#'!$A:$Z,13,FALSE)+VLOOKUP($A293,A:AL,19,FALSE)-50)</f>
        <v>-</v>
      </c>
      <c r="S293" s="3" t="s">
        <v>23</v>
      </c>
      <c r="T293" s="100" t="str">
        <f>IF(ISERROR(VLOOKUP($A293,'SegEnds_NonXtal_BW#'!$A:$Z,14,FALSE)+VLOOKUP($A293,A:AL,19,FALSE)-50),"-",(VLOOKUP($A293,'SegEnds_NonXtal_BW#'!$A:$Z,14,FALSE)+VLOOKUP($A293,A:AL,19,FALSE)-50))</f>
        <v>-</v>
      </c>
      <c r="U293" s="9">
        <f>IF(ISERROR(VLOOKUP($A293,'SegEnds_NonXtal_BW#'!$A:$Z,15,FALSE)+VLOOKUP($A293,A:AL,22,FALSE)-50),"-",VLOOKUP($A293,'SegEnds_NonXtal_BW#'!$A:$Z,15,FALSE)+VLOOKUP($A293,A:AL,22,FALSE)-50)</f>
        <v>149</v>
      </c>
      <c r="V293" s="3">
        <v>161</v>
      </c>
      <c r="W293" s="3">
        <f>IF(ISERROR(VLOOKUP($A293,'SegEnds_NonXtal_BW#'!$A:$Z,16,FALSE)+VLOOKUP($A293,A:AL,22,FALSE)-50),"-",(VLOOKUP($A293,'SegEnds_NonXtal_BW#'!$A:$Z,16,FALSE)+VLOOKUP($A293,A:AL,22,FALSE)-50))</f>
        <v>175</v>
      </c>
      <c r="X293" s="3">
        <f>IF(ISERROR(VLOOKUP($A293,'SegEnds_NonXtal_BW#'!$A:$Z,17,FALSE)+VLOOKUP($A293,A:AL,25,FALSE)-50),"-",(VLOOKUP($A293,'SegEnds_NonXtal_BW#'!$A:$Z,17,FALSE)+VLOOKUP($A293,A:AL,25,FALSE)-50))</f>
        <v>187</v>
      </c>
      <c r="Y293" s="3">
        <v>187</v>
      </c>
      <c r="Z293" s="3">
        <f t="shared" si="176"/>
        <v>189</v>
      </c>
      <c r="AA293" s="3">
        <f>IF(ISERROR(VLOOKUP($A293,'SegEnds_NonXtal_BW#'!$A:$Z,19,FALSE)+VLOOKUP($A293,A:AL,28,FALSE)-50),"-",(VLOOKUP($A293,'SegEnds_NonXtal_BW#'!$A:$Z,19,FALSE)+VLOOKUP($A293,A:AL,28,FALSE)-50))</f>
        <v>195</v>
      </c>
      <c r="AB293" s="3">
        <v>212</v>
      </c>
      <c r="AC293" s="3">
        <f>IF(ISERROR((VLOOKUP($A293,'SegEnds_NonXtal_BW#'!$A:$Z,20,FALSE)+VLOOKUP($A293,A:AL,28,FALSE)-50)),"-",(VLOOKUP($A293,'SegEnds_NonXtal_BW#'!$A:$Z,20,FALSE)+VLOOKUP($A293,A:AL,28,FALSE)-50))</f>
        <v>238</v>
      </c>
      <c r="AD293" s="3">
        <f>IF(ISERROR(VLOOKUP($A293,'SegEnds_NonXtal_BW#'!$A:$Z,21,FALSE)+VLOOKUP($A293,A:AL,31,FALSE)-50),"-",(VLOOKUP($A293,'SegEnds_NonXtal_BW#'!$A:$Z,21,FALSE)+VLOOKUP($A293,A:AL,31,FALSE)-50))</f>
        <v>264</v>
      </c>
      <c r="AE293" s="3">
        <v>290</v>
      </c>
      <c r="AF293" s="3">
        <f>IF(ISERROR((VLOOKUP($A293,'SegEnds_NonXtal_BW#'!$A:$Z,22,FALSE)+VLOOKUP($A293,A:AL,31,FALSE)-50)),"-",(VLOOKUP($A293,'SegEnds_NonXtal_BW#'!$A:$Z,22,FALSE)+VLOOKUP($A293,A:AL,31,FALSE)-50))</f>
        <v>301</v>
      </c>
      <c r="AG293" s="3">
        <f>IF(ISERROR(VLOOKUP($A293,'SegEnds_NonXtal_BW#'!$A:$Z,23,FALSE)+VLOOKUP($A293,A:AL,34,FALSE)-50),"-",(VLOOKUP($A293,'SegEnds_NonXtal_BW#'!$A:$Z,23,FALSE)+VLOOKUP($A293,A:AL,34,FALSE)-50))</f>
        <v>307</v>
      </c>
      <c r="AH293" s="3">
        <v>326</v>
      </c>
      <c r="AI293" s="3">
        <f>IF(ISERROR((VLOOKUP($A293,'SegEnds_NonXtal_BW#'!$A:$Z,24,FALSE)+VLOOKUP($A293,A:AL,34,FALSE)-50)),"-",(VLOOKUP($A293,'SegEnds_NonXtal_BW#'!$A:$Z,24,FALSE)+VLOOKUP($A293,A:AL,34,FALSE)-50))</f>
        <v>332</v>
      </c>
      <c r="AJ293" s="3">
        <f>IF(ISERROR(VLOOKUP($A293,'SegEnds_NonXtal_BW#'!$A:$Z,25,FALSE)+VLOOKUP($A293,A:AL,37,FALSE)-50),"-",(VLOOKUP($A293,'SegEnds_NonXtal_BW#'!$A:$Z,25,FALSE)+VLOOKUP($A293,A:AL,37,FALSE)-50))</f>
        <v>333</v>
      </c>
      <c r="AK293" s="3">
        <v>336</v>
      </c>
      <c r="AL293" s="3">
        <f>IF(ISERROR((VLOOKUP($A293,'SegEnds_NonXtal_BW#'!$A:$Z,26,FALSE)+VLOOKUP($A293,A:AL,37,FALSE)-50)),"-",(VLOOKUP($A293,'SegEnds_NonXtal_BW#'!$A:$Z,26,FALSE)+VLOOKUP($A293,A:AL,37,FALSE)-50))</f>
        <v>344</v>
      </c>
      <c r="AM293" s="28" t="str">
        <f>VLOOKUP(A293,Classification!A:B,2,FALSE)</f>
        <v>A</v>
      </c>
      <c r="AN293" s="28" t="b">
        <f t="shared" si="167"/>
        <v>1</v>
      </c>
      <c r="AO293" s="3" t="str">
        <f>IF(ISERROR(MATCH(A293,'SegEnds_Xtal_Prot#'!B:B, 0)), "NoXtal", "Xtal")</f>
        <v>NoXtal</v>
      </c>
      <c r="AP293" s="3">
        <f t="shared" si="152"/>
        <v>1</v>
      </c>
      <c r="AQ293" s="3">
        <f t="shared" si="153"/>
        <v>1</v>
      </c>
      <c r="AR293" s="3">
        <f t="shared" si="154"/>
        <v>1</v>
      </c>
      <c r="AS293" s="3">
        <f t="shared" si="155"/>
        <v>1</v>
      </c>
      <c r="AT293" s="3" t="str">
        <f t="shared" si="156"/>
        <v>-</v>
      </c>
      <c r="AU293" s="3" t="str">
        <f t="shared" si="157"/>
        <v>-</v>
      </c>
      <c r="AV293" s="3">
        <f t="shared" si="158"/>
        <v>12</v>
      </c>
      <c r="AW293" s="3">
        <f t="shared" si="159"/>
        <v>6</v>
      </c>
      <c r="AX293" s="3">
        <f t="shared" si="160"/>
        <v>26</v>
      </c>
      <c r="AY293" s="3">
        <f t="shared" si="161"/>
        <v>6</v>
      </c>
      <c r="AZ293" s="3">
        <f t="shared" si="162"/>
        <v>1</v>
      </c>
      <c r="BA293" s="3">
        <f>IF(ISERROR(LEN(VLOOKUP(A293,Seqs!A:E,2,FALSE))-AL293),"-",LEN(VLOOKUP(A293,Seqs!A:E,2,FALSE))-AL293)</f>
        <v>45</v>
      </c>
      <c r="BB293" s="16">
        <f t="shared" si="163"/>
        <v>28</v>
      </c>
      <c r="BC293" s="9" t="str">
        <f t="shared" si="164"/>
        <v>-</v>
      </c>
      <c r="BD293" s="3">
        <f t="shared" si="165"/>
        <v>28</v>
      </c>
      <c r="BE293" s="3">
        <f t="shared" si="166"/>
        <v>78</v>
      </c>
    </row>
    <row r="294" spans="1:59" s="3" customFormat="1" x14ac:dyDescent="0.2">
      <c r="A294" s="3" t="s">
        <v>367</v>
      </c>
      <c r="B294" s="3" t="str">
        <f>LOWER(VLOOKUP(A294,Xtal_Templ!A:B,2,FALSE))</f>
        <v>ox1r_human</v>
      </c>
      <c r="C294" s="3">
        <f>VLOOKUP($A294,'SegEnds_NonXtal_BW#'!$A:$Z,3,FALSE)+D294-50</f>
        <v>62</v>
      </c>
      <c r="D294" s="3">
        <v>80</v>
      </c>
      <c r="E294" s="3">
        <f>IF(ISERROR(VLOOKUP($A294,'SegEnds_NonXtal_BW#'!$A:$Z,4,FALSE)+VLOOKUP($A294,A:AL,4,FALSE)-50),"-",(VLOOKUP($A294,'SegEnds_NonXtal_BW#'!$A:$Z,4,FALSE)+VLOOKUP($A294,A:AL,4,FALSE)-50))</f>
        <v>90</v>
      </c>
      <c r="F294" s="3">
        <f t="shared" si="171"/>
        <v>91</v>
      </c>
      <c r="G294" s="3">
        <v>93</v>
      </c>
      <c r="H294" s="3">
        <f t="shared" si="172"/>
        <v>94</v>
      </c>
      <c r="I294" s="3">
        <f t="shared" si="172"/>
        <v>95</v>
      </c>
      <c r="J294" s="3">
        <v>108</v>
      </c>
      <c r="K294" s="3">
        <f>VLOOKUP($A294,'SegEnds_NonXtal_BW#'!$A:$Z,8,FALSE)+VLOOKUP($A294,A:AL,10,FALSE)-50</f>
        <v>125</v>
      </c>
      <c r="L294" s="3">
        <f t="shared" si="173"/>
        <v>129</v>
      </c>
      <c r="M294" s="3">
        <v>130</v>
      </c>
      <c r="N294" s="3">
        <f t="shared" si="174"/>
        <v>132</v>
      </c>
      <c r="O294" s="3">
        <f t="shared" si="175"/>
        <v>133</v>
      </c>
      <c r="P294" s="3">
        <v>162</v>
      </c>
      <c r="Q294" s="3">
        <f>VLOOKUP($A294,'SegEnds_NonXtal_BW#'!$A:$Z,12,FALSE)+VLOOKUP($A294,A:AL,16,FALSE)-50</f>
        <v>168</v>
      </c>
      <c r="R294" s="3" t="str">
        <f>IF(ISERROR(VLOOKUP($A294,'SegEnds_NonXtal_BW#'!$A:$Z,13,FALSE)+VLOOKUP($A294,A:AL,19,FALSE)-50),"-",VLOOKUP($A294,'SegEnds_NonXtal_BW#'!$A:$Z,13,FALSE)+VLOOKUP($A294,A:AL,19,FALSE)-50)</f>
        <v>-</v>
      </c>
      <c r="S294" s="3" t="s">
        <v>23</v>
      </c>
      <c r="T294" s="100" t="str">
        <f>IF(ISERROR(VLOOKUP($A294,'SegEnds_NonXtal_BW#'!$A:$Z,14,FALSE)+VLOOKUP($A294,A:AL,19,FALSE)-50),"-",(VLOOKUP($A294,'SegEnds_NonXtal_BW#'!$A:$Z,14,FALSE)+VLOOKUP($A294,A:AL,19,FALSE)-50))</f>
        <v>-</v>
      </c>
      <c r="U294" s="9">
        <f>IF(ISERROR(VLOOKUP($A294,'SegEnds_NonXtal_BW#'!$A:$Z,15,FALSE)+VLOOKUP($A294,A:AL,22,FALSE)-50),"-",VLOOKUP($A294,'SegEnds_NonXtal_BW#'!$A:$Z,15,FALSE)+VLOOKUP($A294,A:AL,22,FALSE)-50)</f>
        <v>175</v>
      </c>
      <c r="V294" s="3">
        <v>187</v>
      </c>
      <c r="W294" s="3">
        <f>IF(ISERROR(VLOOKUP($A294,'SegEnds_NonXtal_BW#'!$A:$Z,16,FALSE)+VLOOKUP($A294,A:AL,22,FALSE)-50),"-",(VLOOKUP($A294,'SegEnds_NonXtal_BW#'!$A:$Z,16,FALSE)+VLOOKUP($A294,A:AL,22,FALSE)-50))</f>
        <v>201</v>
      </c>
      <c r="X294" s="3">
        <f>IF(ISERROR(VLOOKUP($A294,'SegEnds_NonXtal_BW#'!$A:$Z,17,FALSE)+VLOOKUP($A294,A:AL,25,FALSE)-50),"-",(VLOOKUP($A294,'SegEnds_NonXtal_BW#'!$A:$Z,17,FALSE)+VLOOKUP($A294,A:AL,25,FALSE)-50))</f>
        <v>217</v>
      </c>
      <c r="Y294" s="3">
        <v>217</v>
      </c>
      <c r="Z294" s="3">
        <f t="shared" si="176"/>
        <v>219</v>
      </c>
      <c r="AA294" s="3">
        <f>IF(ISERROR(VLOOKUP($A294,'SegEnds_NonXtal_BW#'!$A:$Z,19,FALSE)+VLOOKUP($A294,A:AL,28,FALSE)-50),"-",(VLOOKUP($A294,'SegEnds_NonXtal_BW#'!$A:$Z,19,FALSE)+VLOOKUP($A294,A:AL,28,FALSE)-50))</f>
        <v>226</v>
      </c>
      <c r="AB294" s="3">
        <v>244</v>
      </c>
      <c r="AC294" s="3">
        <f>IF(ISERROR((VLOOKUP($A294,'SegEnds_NonXtal_BW#'!$A:$Z,20,FALSE)+VLOOKUP($A294,A:AL,28,FALSE)-50)),"-",(VLOOKUP($A294,'SegEnds_NonXtal_BW#'!$A:$Z,20,FALSE)+VLOOKUP($A294,A:AL,28,FALSE)-50))</f>
        <v>267</v>
      </c>
      <c r="AD294" s="3">
        <f>IF(ISERROR(VLOOKUP($A294,'SegEnds_NonXtal_BW#'!$A:$Z,21,FALSE)+VLOOKUP($A294,A:AL,31,FALSE)-50),"-",(VLOOKUP($A294,'SegEnds_NonXtal_BW#'!$A:$Z,21,FALSE)+VLOOKUP($A294,A:AL,31,FALSE)-50))</f>
        <v>271</v>
      </c>
      <c r="AE294" s="3">
        <v>299</v>
      </c>
      <c r="AF294" s="3">
        <f>IF(ISERROR((VLOOKUP($A294,'SegEnds_NonXtal_BW#'!$A:$Z,22,FALSE)+VLOOKUP($A294,A:AL,31,FALSE)-50)),"-",(VLOOKUP($A294,'SegEnds_NonXtal_BW#'!$A:$Z,22,FALSE)+VLOOKUP($A294,A:AL,31,FALSE)-50))</f>
        <v>310</v>
      </c>
      <c r="AG294" s="3">
        <f>IF(ISERROR(VLOOKUP($A294,'SegEnds_NonXtal_BW#'!$A:$Z,23,FALSE)+VLOOKUP($A294,A:AL,34,FALSE)-50),"-",(VLOOKUP($A294,'SegEnds_NonXtal_BW#'!$A:$Z,23,FALSE)+VLOOKUP($A294,A:AL,34,FALSE)-50))</f>
        <v>317</v>
      </c>
      <c r="AH294" s="3">
        <v>339</v>
      </c>
      <c r="AI294" s="3">
        <f>IF(ISERROR((VLOOKUP($A294,'SegEnds_NonXtal_BW#'!$A:$Z,24,FALSE)+VLOOKUP($A294,A:AL,34,FALSE)-50)),"-",(VLOOKUP($A294,'SegEnds_NonXtal_BW#'!$A:$Z,24,FALSE)+VLOOKUP($A294,A:AL,34,FALSE)-50))</f>
        <v>345</v>
      </c>
      <c r="AJ294" s="3">
        <v>347</v>
      </c>
      <c r="AK294" s="3">
        <v>350</v>
      </c>
      <c r="AL294" s="3">
        <v>358</v>
      </c>
      <c r="AM294" s="28" t="str">
        <f>VLOOKUP(A294,Classification!A:B,2,FALSE)</f>
        <v>A</v>
      </c>
      <c r="AN294" s="28" t="b">
        <f t="shared" si="167"/>
        <v>1</v>
      </c>
      <c r="AO294" s="3" t="str">
        <f>IF(ISERROR(MATCH(A294,'SegEnds_Xtal_Prot#'!B:B, 0)), "NoXtal", "Xtal")</f>
        <v>NoXtal</v>
      </c>
      <c r="AP294" s="3">
        <f t="shared" si="152"/>
        <v>1</v>
      </c>
      <c r="AQ294" s="3">
        <f t="shared" si="153"/>
        <v>1</v>
      </c>
      <c r="AR294" s="3">
        <f t="shared" si="154"/>
        <v>4</v>
      </c>
      <c r="AS294" s="3">
        <f t="shared" si="155"/>
        <v>1</v>
      </c>
      <c r="AT294" s="3" t="str">
        <f t="shared" si="156"/>
        <v>-</v>
      </c>
      <c r="AU294" s="3" t="str">
        <f t="shared" si="157"/>
        <v>-</v>
      </c>
      <c r="AV294" s="3">
        <f t="shared" si="158"/>
        <v>16</v>
      </c>
      <c r="AW294" s="3">
        <f t="shared" si="159"/>
        <v>7</v>
      </c>
      <c r="AX294" s="3">
        <f t="shared" si="160"/>
        <v>4</v>
      </c>
      <c r="AY294" s="3">
        <f t="shared" si="161"/>
        <v>7</v>
      </c>
      <c r="AZ294" s="3">
        <f t="shared" si="162"/>
        <v>2</v>
      </c>
      <c r="BA294" s="3">
        <f>IF(ISERROR(LEN(VLOOKUP(A294,Seqs!A:E,2,FALSE))-AL294),"-",LEN(VLOOKUP(A294,Seqs!A:E,2,FALSE))-AL294)</f>
        <v>35</v>
      </c>
      <c r="BB294" s="16">
        <f t="shared" si="163"/>
        <v>28</v>
      </c>
      <c r="BC294" s="9" t="str">
        <f t="shared" si="164"/>
        <v>-</v>
      </c>
      <c r="BD294" s="3">
        <f t="shared" si="165"/>
        <v>28</v>
      </c>
      <c r="BE294" s="3">
        <f t="shared" si="166"/>
        <v>55</v>
      </c>
    </row>
    <row r="295" spans="1:59" s="3" customFormat="1" x14ac:dyDescent="0.2">
      <c r="A295" s="3" t="s">
        <v>368</v>
      </c>
      <c r="B295" s="3" t="str">
        <f>LOWER(VLOOKUP(A295,Xtal_Templ!A:B,2,FALSE))</f>
        <v>ox2r_human</v>
      </c>
      <c r="C295" s="3">
        <f>VLOOKUP($A295,'SegEnds_NonXtal_BW#'!$A:$Z,3,FALSE)+D295-50</f>
        <v>52</v>
      </c>
      <c r="D295" s="3">
        <v>71</v>
      </c>
      <c r="E295" s="3">
        <f>IF(ISERROR(VLOOKUP($A295,'SegEnds_NonXtal_BW#'!$A:$Z,4,FALSE)+VLOOKUP($A295,A:AL,4,FALSE)-50),"-",(VLOOKUP($A295,'SegEnds_NonXtal_BW#'!$A:$Z,4,FALSE)+VLOOKUP($A295,A:AL,4,FALSE)-50))</f>
        <v>81</v>
      </c>
      <c r="F295" s="3">
        <f t="shared" si="171"/>
        <v>82</v>
      </c>
      <c r="G295" s="3">
        <v>84</v>
      </c>
      <c r="H295" s="3">
        <f t="shared" si="172"/>
        <v>85</v>
      </c>
      <c r="I295" s="3">
        <f t="shared" si="172"/>
        <v>86</v>
      </c>
      <c r="J295" s="3">
        <v>99</v>
      </c>
      <c r="K295" s="3">
        <f>VLOOKUP($A295,'SegEnds_NonXtal_BW#'!$A:$Z,8,FALSE)+VLOOKUP($A295,A:AL,10,FALSE)-50</f>
        <v>117</v>
      </c>
      <c r="L295" s="3">
        <f t="shared" si="173"/>
        <v>120</v>
      </c>
      <c r="M295" s="3">
        <v>121</v>
      </c>
      <c r="N295" s="3">
        <f t="shared" si="174"/>
        <v>123</v>
      </c>
      <c r="O295" s="3">
        <f t="shared" si="175"/>
        <v>124</v>
      </c>
      <c r="P295" s="3">
        <v>153</v>
      </c>
      <c r="Q295" s="3">
        <f>VLOOKUP($A295,'SegEnds_NonXtal_BW#'!$A:$Z,12,FALSE)+VLOOKUP($A295,A:AL,16,FALSE)-50</f>
        <v>159</v>
      </c>
      <c r="R295" s="3" t="str">
        <f>IF(ISERROR(VLOOKUP($A295,'SegEnds_NonXtal_BW#'!$A:$Z,13,FALSE)+VLOOKUP($A295,A:AL,19,FALSE)-50),"-",VLOOKUP($A295,'SegEnds_NonXtal_BW#'!$A:$Z,13,FALSE)+VLOOKUP($A295,A:AL,19,FALSE)-50)</f>
        <v>-</v>
      </c>
      <c r="S295" s="3" t="s">
        <v>23</v>
      </c>
      <c r="T295" s="100" t="str">
        <f>IF(ISERROR(VLOOKUP($A295,'SegEnds_NonXtal_BW#'!$A:$Z,14,FALSE)+VLOOKUP($A295,A:AL,19,FALSE)-50),"-",(VLOOKUP($A295,'SegEnds_NonXtal_BW#'!$A:$Z,14,FALSE)+VLOOKUP($A295,A:AL,19,FALSE)-50))</f>
        <v>-</v>
      </c>
      <c r="U295" s="9">
        <f>IF(ISERROR(VLOOKUP($A295,'SegEnds_NonXtal_BW#'!$A:$Z,15,FALSE)+VLOOKUP($A295,A:AL,22,FALSE)-50),"-",VLOOKUP($A295,'SegEnds_NonXtal_BW#'!$A:$Z,15,FALSE)+VLOOKUP($A295,A:AL,22,FALSE)-50)</f>
        <v>166</v>
      </c>
      <c r="V295" s="3">
        <v>178</v>
      </c>
      <c r="W295" s="3">
        <f>IF(ISERROR(VLOOKUP($A295,'SegEnds_NonXtal_BW#'!$A:$Z,16,FALSE)+VLOOKUP($A295,A:AL,22,FALSE)-50),"-",(VLOOKUP($A295,'SegEnds_NonXtal_BW#'!$A:$Z,16,FALSE)+VLOOKUP($A295,A:AL,22,FALSE)-50))</f>
        <v>192</v>
      </c>
      <c r="X295" s="3">
        <f>IF(ISERROR(VLOOKUP($A295,'SegEnds_NonXtal_BW#'!$A:$Z,17,FALSE)+VLOOKUP($A295,A:AL,25,FALSE)-50),"-",(VLOOKUP($A295,'SegEnds_NonXtal_BW#'!$A:$Z,17,FALSE)+VLOOKUP($A295,A:AL,25,FALSE)-50))</f>
        <v>208</v>
      </c>
      <c r="Y295" s="3">
        <v>208</v>
      </c>
      <c r="Z295" s="3">
        <f t="shared" si="176"/>
        <v>210</v>
      </c>
      <c r="AA295" s="3">
        <f>IF(ISERROR(VLOOKUP($A295,'SegEnds_NonXtal_BW#'!$A:$Z,19,FALSE)+VLOOKUP($A295,A:AL,28,FALSE)-50),"-",(VLOOKUP($A295,'SegEnds_NonXtal_BW#'!$A:$Z,19,FALSE)+VLOOKUP($A295,A:AL,28,FALSE)-50))</f>
        <v>218</v>
      </c>
      <c r="AB295" s="3">
        <v>235</v>
      </c>
      <c r="AC295" s="3">
        <f>IF(ISERROR((VLOOKUP($A295,'SegEnds_NonXtal_BW#'!$A:$Z,20,FALSE)+VLOOKUP($A295,A:AL,28,FALSE)-50)),"-",(VLOOKUP($A295,'SegEnds_NonXtal_BW#'!$A:$Z,20,FALSE)+VLOOKUP($A295,A:AL,28,FALSE)-50))</f>
        <v>258</v>
      </c>
      <c r="AD295" s="3">
        <f>IF(ISERROR(VLOOKUP($A295,'SegEnds_NonXtal_BW#'!$A:$Z,21,FALSE)+VLOOKUP($A295,A:AL,31,FALSE)-50),"-",(VLOOKUP($A295,'SegEnds_NonXtal_BW#'!$A:$Z,21,FALSE)+VLOOKUP($A295,A:AL,31,FALSE)-50))</f>
        <v>262</v>
      </c>
      <c r="AE295" s="3">
        <v>290</v>
      </c>
      <c r="AF295" s="3">
        <f>IF(ISERROR((VLOOKUP($A295,'SegEnds_NonXtal_BW#'!$A:$Z,22,FALSE)+VLOOKUP($A295,A:AL,31,FALSE)-50)),"-",(VLOOKUP($A295,'SegEnds_NonXtal_BW#'!$A:$Z,22,FALSE)+VLOOKUP($A295,A:AL,31,FALSE)-50))</f>
        <v>301</v>
      </c>
      <c r="AG295" s="3">
        <f>IF(ISERROR(VLOOKUP($A295,'SegEnds_NonXtal_BW#'!$A:$Z,23,FALSE)+VLOOKUP($A295,A:AL,34,FALSE)-50),"-",(VLOOKUP($A295,'SegEnds_NonXtal_BW#'!$A:$Z,23,FALSE)+VLOOKUP($A295,A:AL,34,FALSE)-50))</f>
        <v>308</v>
      </c>
      <c r="AH295" s="3">
        <v>330</v>
      </c>
      <c r="AI295" s="3">
        <f>IF(ISERROR((VLOOKUP($A295,'SegEnds_NonXtal_BW#'!$A:$Z,24,FALSE)+VLOOKUP($A295,A:AL,34,FALSE)-50)),"-",(VLOOKUP($A295,'SegEnds_NonXtal_BW#'!$A:$Z,24,FALSE)+VLOOKUP($A295,A:AL,34,FALSE)-50))</f>
        <v>336</v>
      </c>
      <c r="AJ295" s="3">
        <v>338</v>
      </c>
      <c r="AK295" s="3">
        <v>341</v>
      </c>
      <c r="AL295" s="3">
        <v>349</v>
      </c>
      <c r="AM295" s="28" t="str">
        <f>VLOOKUP(A295,Classification!A:B,2,FALSE)</f>
        <v>A</v>
      </c>
      <c r="AN295" s="28" t="b">
        <f t="shared" si="167"/>
        <v>1</v>
      </c>
      <c r="AO295" s="3" t="str">
        <f>IF(ISERROR(MATCH(A295,'SegEnds_Xtal_Prot#'!B:B, 0)), "NoXtal", "Xtal")</f>
        <v>NoXtal</v>
      </c>
      <c r="AP295" s="3">
        <f t="shared" si="152"/>
        <v>1</v>
      </c>
      <c r="AQ295" s="3">
        <f t="shared" si="153"/>
        <v>1</v>
      </c>
      <c r="AR295" s="3">
        <f t="shared" si="154"/>
        <v>3</v>
      </c>
      <c r="AS295" s="3">
        <f t="shared" si="155"/>
        <v>1</v>
      </c>
      <c r="AT295" s="3" t="str">
        <f t="shared" si="156"/>
        <v>-</v>
      </c>
      <c r="AU295" s="3" t="str">
        <f t="shared" si="157"/>
        <v>-</v>
      </c>
      <c r="AV295" s="3">
        <f t="shared" si="158"/>
        <v>16</v>
      </c>
      <c r="AW295" s="3">
        <f t="shared" si="159"/>
        <v>8</v>
      </c>
      <c r="AX295" s="3">
        <f t="shared" si="160"/>
        <v>4</v>
      </c>
      <c r="AY295" s="3">
        <f t="shared" si="161"/>
        <v>7</v>
      </c>
      <c r="AZ295" s="3">
        <f t="shared" si="162"/>
        <v>2</v>
      </c>
      <c r="BA295" s="3">
        <f>IF(ISERROR(LEN(VLOOKUP(A295,Seqs!A:E,2,FALSE))-AL295),"-",LEN(VLOOKUP(A295,Seqs!A:E,2,FALSE))-AL295)</f>
        <v>35</v>
      </c>
      <c r="BB295" s="16">
        <f t="shared" si="163"/>
        <v>28</v>
      </c>
      <c r="BC295" s="9" t="str">
        <f t="shared" si="164"/>
        <v>-</v>
      </c>
      <c r="BD295" s="3">
        <f t="shared" si="165"/>
        <v>28</v>
      </c>
      <c r="BE295" s="3">
        <f t="shared" si="166"/>
        <v>55</v>
      </c>
    </row>
    <row r="296" spans="1:59" s="3" customFormat="1" x14ac:dyDescent="0.2">
      <c r="A296" s="3" t="s">
        <v>373</v>
      </c>
      <c r="B296" s="3" t="str">
        <f>LOWER(VLOOKUP(A296,Xtal_Templ!A:B,2,FALSE))</f>
        <v>agtr1_human</v>
      </c>
      <c r="C296" s="3">
        <f>VLOOKUP($A296,'SegEnds_NonXtal_BW#'!$A:$Z,3,FALSE)+D296-50</f>
        <v>79</v>
      </c>
      <c r="D296" s="3">
        <v>99</v>
      </c>
      <c r="E296" s="3">
        <f>IF(ISERROR(VLOOKUP($A296,'SegEnds_NonXtal_BW#'!$A:$Z,4,FALSE)+VLOOKUP($A296,A:AL,4,FALSE)-50),"-",(VLOOKUP($A296,'SegEnds_NonXtal_BW#'!$A:$Z,4,FALSE)+VLOOKUP($A296,A:AL,4,FALSE)-50))</f>
        <v>109</v>
      </c>
      <c r="F296" s="3">
        <f t="shared" si="171"/>
        <v>110</v>
      </c>
      <c r="G296" s="3">
        <v>112</v>
      </c>
      <c r="H296" s="3">
        <f t="shared" si="172"/>
        <v>113</v>
      </c>
      <c r="I296" s="3">
        <f t="shared" si="172"/>
        <v>114</v>
      </c>
      <c r="J296" s="3">
        <v>128</v>
      </c>
      <c r="K296" s="3">
        <f>VLOOKUP($A296,'SegEnds_NonXtal_BW#'!$A:$Z,8,FALSE)+VLOOKUP($A296,A:AL,10,FALSE)-50</f>
        <v>144</v>
      </c>
      <c r="L296" s="3">
        <f t="shared" si="173"/>
        <v>147</v>
      </c>
      <c r="M296" s="3">
        <v>148</v>
      </c>
      <c r="N296" s="3">
        <f t="shared" si="174"/>
        <v>150</v>
      </c>
      <c r="O296" s="3">
        <f t="shared" si="175"/>
        <v>151</v>
      </c>
      <c r="P296" s="3">
        <v>180</v>
      </c>
      <c r="Q296" s="3">
        <f>VLOOKUP($A296,'SegEnds_NonXtal_BW#'!$A:$Z,12,FALSE)+VLOOKUP($A296,A:AL,16,FALSE)-50</f>
        <v>186</v>
      </c>
      <c r="R296" s="3" t="str">
        <f>IF(ISERROR(VLOOKUP($A296,'SegEnds_NonXtal_BW#'!$A:$Z,13,FALSE)+VLOOKUP($A296,A:AL,19,FALSE)-50),"-",VLOOKUP($A296,'SegEnds_NonXtal_BW#'!$A:$Z,13,FALSE)+VLOOKUP($A296,A:AL,19,FALSE)-50)</f>
        <v>-</v>
      </c>
      <c r="S296" s="3" t="s">
        <v>23</v>
      </c>
      <c r="T296" s="100" t="str">
        <f>IF(ISERROR(VLOOKUP($A296,'SegEnds_NonXtal_BW#'!$A:$Z,14,FALSE)+VLOOKUP($A296,A:AL,19,FALSE)-50),"-",(VLOOKUP($A296,'SegEnds_NonXtal_BW#'!$A:$Z,14,FALSE)+VLOOKUP($A296,A:AL,19,FALSE)-50))</f>
        <v>-</v>
      </c>
      <c r="U296" s="9">
        <f>IF(ISERROR(VLOOKUP($A296,'SegEnds_NonXtal_BW#'!$A:$Z,15,FALSE)+VLOOKUP($A296,A:AL,22,FALSE)-50),"-",VLOOKUP($A296,'SegEnds_NonXtal_BW#'!$A:$Z,15,FALSE)+VLOOKUP($A296,A:AL,22,FALSE)-50)</f>
        <v>210</v>
      </c>
      <c r="V296" s="3">
        <v>222</v>
      </c>
      <c r="W296" s="3">
        <f>IF(ISERROR(VLOOKUP($A296,'SegEnds_NonXtal_BW#'!$A:$Z,16,FALSE)+VLOOKUP($A296,A:AL,22,FALSE)-50),"-",(VLOOKUP($A296,'SegEnds_NonXtal_BW#'!$A:$Z,16,FALSE)+VLOOKUP($A296,A:AL,22,FALSE)-50))</f>
        <v>236</v>
      </c>
      <c r="X296" s="3">
        <f>IF(ISERROR(VLOOKUP($A296,'SegEnds_NonXtal_BW#'!$A:$Z,17,FALSE)+VLOOKUP($A296,A:AL,25,FALSE)-50),"-",(VLOOKUP($A296,'SegEnds_NonXtal_BW#'!$A:$Z,17,FALSE)+VLOOKUP($A296,A:AL,25,FALSE)-50))</f>
        <v>247</v>
      </c>
      <c r="Y296" s="3">
        <v>247</v>
      </c>
      <c r="Z296" s="3">
        <f t="shared" si="176"/>
        <v>249</v>
      </c>
      <c r="AA296" s="3">
        <f>IF(ISERROR(VLOOKUP($A296,'SegEnds_NonXtal_BW#'!$A:$Z,19,FALSE)+VLOOKUP($A296,A:AL,28,FALSE)-50),"-",(VLOOKUP($A296,'SegEnds_NonXtal_BW#'!$A:$Z,19,FALSE)+VLOOKUP($A296,A:AL,28,FALSE)-50))</f>
        <v>263</v>
      </c>
      <c r="AB296" s="3">
        <v>279</v>
      </c>
      <c r="AC296" s="3">
        <f>IF(ISERROR((VLOOKUP($A296,'SegEnds_NonXtal_BW#'!$A:$Z,20,FALSE)+VLOOKUP($A296,A:AL,28,FALSE)-50)),"-",(VLOOKUP($A296,'SegEnds_NonXtal_BW#'!$A:$Z,20,FALSE)+VLOOKUP($A296,A:AL,28,FALSE)-50))</f>
        <v>303</v>
      </c>
      <c r="AD296" s="3">
        <f>IF(ISERROR(VLOOKUP($A296,'SegEnds_NonXtal_BW#'!$A:$Z,21,FALSE)+VLOOKUP($A296,A:AL,31,FALSE)-50),"-",(VLOOKUP($A296,'SegEnds_NonXtal_BW#'!$A:$Z,21,FALSE)+VLOOKUP($A296,A:AL,31,FALSE)-50))</f>
        <v>312</v>
      </c>
      <c r="AE296" s="3">
        <v>341</v>
      </c>
      <c r="AF296" s="3">
        <f>IF(ISERROR((VLOOKUP($A296,'SegEnds_NonXtal_BW#'!$A:$Z,22,FALSE)+VLOOKUP($A296,A:AL,31,FALSE)-50)),"-",(VLOOKUP($A296,'SegEnds_NonXtal_BW#'!$A:$Z,22,FALSE)+VLOOKUP($A296,A:AL,31,FALSE)-50))</f>
        <v>355</v>
      </c>
      <c r="AG296" s="3">
        <f>IF(ISERROR(VLOOKUP($A296,'SegEnds_NonXtal_BW#'!$A:$Z,23,FALSE)+VLOOKUP($A296,A:AL,34,FALSE)-50),"-",(VLOOKUP($A296,'SegEnds_NonXtal_BW#'!$A:$Z,23,FALSE)+VLOOKUP($A296,A:AL,34,FALSE)-50))</f>
        <v>360</v>
      </c>
      <c r="AH296" s="3">
        <v>386</v>
      </c>
      <c r="AI296" s="3">
        <f>IF(ISERROR((VLOOKUP($A296,'SegEnds_NonXtal_BW#'!$A:$Z,24,FALSE)+VLOOKUP($A296,A:AL,34,FALSE)-50)),"-",(VLOOKUP($A296,'SegEnds_NonXtal_BW#'!$A:$Z,24,FALSE)+VLOOKUP($A296,A:AL,34,FALSE)-50))</f>
        <v>392</v>
      </c>
      <c r="AJ296" s="3">
        <f>IF(ISERROR(VLOOKUP($A296,'SegEnds_NonXtal_BW#'!$A:$Z,25,FALSE)+VLOOKUP($A296,A:AL,37,FALSE)-50),"-",(VLOOKUP($A296,'SegEnds_NonXtal_BW#'!$A:$Z,25,FALSE)+VLOOKUP($A296,A:AL,37,FALSE)-50))</f>
        <v>393</v>
      </c>
      <c r="AK296" s="3">
        <v>396</v>
      </c>
      <c r="AL296" s="3">
        <f>IF(ISERROR((VLOOKUP($A296,'SegEnds_NonXtal_BW#'!$A:$Z,26,FALSE)+VLOOKUP($A296,A:AL,37,FALSE)-50)),"-",(VLOOKUP($A296,'SegEnds_NonXtal_BW#'!$A:$Z,26,FALSE)+VLOOKUP($A296,A:AL,37,FALSE)-50))</f>
        <v>407</v>
      </c>
      <c r="AM296" s="28" t="str">
        <f>VLOOKUP(A296,Classification!A:B,2,FALSE)</f>
        <v>A</v>
      </c>
      <c r="AN296" s="28" t="b">
        <f t="shared" si="167"/>
        <v>1</v>
      </c>
      <c r="AO296" s="3" t="str">
        <f>IF(ISERROR(MATCH(A296,'SegEnds_Xtal_Prot#'!B:B, 0)), "NoXtal", "Xtal")</f>
        <v>NoXtal</v>
      </c>
      <c r="AP296" s="3">
        <f t="shared" si="152"/>
        <v>1</v>
      </c>
      <c r="AQ296" s="3">
        <f t="shared" si="153"/>
        <v>1</v>
      </c>
      <c r="AR296" s="3">
        <f t="shared" si="154"/>
        <v>3</v>
      </c>
      <c r="AS296" s="3">
        <f t="shared" si="155"/>
        <v>1</v>
      </c>
      <c r="AT296" s="3" t="str">
        <f t="shared" si="156"/>
        <v>-</v>
      </c>
      <c r="AU296" s="3" t="str">
        <f t="shared" si="157"/>
        <v>-</v>
      </c>
      <c r="AV296" s="3">
        <f t="shared" si="158"/>
        <v>11</v>
      </c>
      <c r="AW296" s="3">
        <f t="shared" si="159"/>
        <v>14</v>
      </c>
      <c r="AX296" s="3">
        <f t="shared" si="160"/>
        <v>9</v>
      </c>
      <c r="AY296" s="3">
        <f t="shared" si="161"/>
        <v>5</v>
      </c>
      <c r="AZ296" s="3">
        <f t="shared" si="162"/>
        <v>1</v>
      </c>
      <c r="BA296" s="3">
        <f>IF(ISERROR(LEN(VLOOKUP(A296,Seqs!A:E,2,FALSE))-AL296),"-",LEN(VLOOKUP(A296,Seqs!A:E,2,FALSE))-AL296)</f>
        <v>62</v>
      </c>
      <c r="BB296" s="16">
        <f t="shared" si="163"/>
        <v>29</v>
      </c>
      <c r="BC296" s="9" t="str">
        <f t="shared" si="164"/>
        <v>-</v>
      </c>
      <c r="BD296" s="3">
        <f t="shared" si="165"/>
        <v>29</v>
      </c>
      <c r="BE296" s="3">
        <f t="shared" si="166"/>
        <v>62</v>
      </c>
    </row>
    <row r="297" spans="1:59" s="3" customFormat="1" x14ac:dyDescent="0.2">
      <c r="A297" s="3" t="s">
        <v>924</v>
      </c>
      <c r="B297" s="3" t="str">
        <f>LOWER(VLOOKUP(A297,Xtal_Templ!A:B,2,FALSE))</f>
        <v>us28_hcmva</v>
      </c>
      <c r="C297" s="3">
        <f>VLOOKUP($A297,'SegEnds_NonXtal_BW#'!$A:$Z,3,FALSE)+D297-50</f>
        <v>25</v>
      </c>
      <c r="D297" s="3">
        <v>51</v>
      </c>
      <c r="E297" s="3">
        <f>IF(ISERROR(VLOOKUP($A297,'SegEnds_NonXtal_BW#'!$A:$Z,4,FALSE)+VLOOKUP($A297,A:AL,4,FALSE)-50),"-",(VLOOKUP($A297,'SegEnds_NonXtal_BW#'!$A:$Z,4,FALSE)+VLOOKUP($A297,A:AL,4,FALSE)-50))</f>
        <v>61</v>
      </c>
      <c r="F297" s="3">
        <f t="shared" si="171"/>
        <v>62</v>
      </c>
      <c r="G297" s="3">
        <v>64</v>
      </c>
      <c r="H297" s="3">
        <f t="shared" ref="H297:I314" si="177">G297+1</f>
        <v>65</v>
      </c>
      <c r="I297" s="3">
        <f t="shared" si="177"/>
        <v>66</v>
      </c>
      <c r="J297" s="3">
        <v>79</v>
      </c>
      <c r="K297" s="3">
        <f>VLOOKUP($A297,'SegEnds_NonXtal_BW#'!$A:$Z,8,FALSE)+VLOOKUP($A297,A:AL,10,FALSE)-50</f>
        <v>95</v>
      </c>
      <c r="L297" s="3" t="str">
        <f>IF(ISERROR(VLOOKUP($A297,'SegEnds_NonXtal_BW#'!$A:$Z,9,FALSE)+VLOOKUP($A297,A:AL,13,FALSE)-50),"-",(VLOOKUP($A297,'SegEnds_NonXtal_BW#'!$A:$Z,9,FALSE)+VLOOKUP($A297,A:AL,13,FALSE)-50))</f>
        <v>-</v>
      </c>
      <c r="M297" s="3" t="s">
        <v>23</v>
      </c>
      <c r="N297" s="3" t="str">
        <f>IF(ISERROR(VLOOKUP($A297,'SegEnds_NonXtal_BW#'!$A:$Z,10,FALSE)+VLOOKUP($A297,A:AL,13,FALSE)-50),"-",(VLOOKUP($A297,'SegEnds_NonXtal_BW#'!$A:$Z,10,FALSE)+VLOOKUP($A297,A:AL,13,FALSE)-50))</f>
        <v>-</v>
      </c>
      <c r="O297" s="3">
        <f>VLOOKUP($A297,'SegEnds_NonXtal_BW#'!$A:$Z,11,FALSE)+VLOOKUP($A297,A:AL,16,FALSE)-50</f>
        <v>100</v>
      </c>
      <c r="P297" s="3">
        <v>129</v>
      </c>
      <c r="Q297" s="3">
        <f>VLOOKUP($A297,'SegEnds_NonXtal_BW#'!$A:$Z,12,FALSE)+VLOOKUP($A297,A:AL,16,FALSE)-50</f>
        <v>134</v>
      </c>
      <c r="R297" s="3" t="str">
        <f>IF(ISERROR(VLOOKUP($A297,'SegEnds_NonXtal_BW#'!$A:$Z,13,FALSE)+VLOOKUP($A297,A:AL,19,FALSE)-50),"-",VLOOKUP($A297,'SegEnds_NonXtal_BW#'!$A:$Z,13,FALSE)+VLOOKUP($A297,A:AL,19,FALSE)-50)</f>
        <v>-</v>
      </c>
      <c r="S297" s="3" t="s">
        <v>23</v>
      </c>
      <c r="T297" s="100" t="str">
        <f>IF(ISERROR(VLOOKUP($A297,'SegEnds_NonXtal_BW#'!$A:$Z,14,FALSE)+VLOOKUP($A297,A:AL,19,FALSE)-50),"-",(VLOOKUP($A297,'SegEnds_NonXtal_BW#'!$A:$Z,14,FALSE)+VLOOKUP($A297,A:AL,19,FALSE)-50))</f>
        <v>-</v>
      </c>
      <c r="U297" s="9">
        <f>IF(ISERROR(VLOOKUP($A297,'SegEnds_NonXtal_BW#'!$A:$Z,15,FALSE)+VLOOKUP($A297,A:AL,22,FALSE)-50),"-",VLOOKUP($A297,'SegEnds_NonXtal_BW#'!$A:$Z,15,FALSE)+VLOOKUP($A297,A:AL,22,FALSE)-50)</f>
        <v>140</v>
      </c>
      <c r="V297" s="3">
        <v>152</v>
      </c>
      <c r="W297" s="3">
        <f>IF(ISERROR(VLOOKUP($A297,'SegEnds_NonXtal_BW#'!$A:$Z,16,FALSE)+VLOOKUP($A297,A:AL,22,FALSE)-50),"-",(VLOOKUP($A297,'SegEnds_NonXtal_BW#'!$A:$Z,16,FALSE)+VLOOKUP($A297,A:AL,22,FALSE)-50))</f>
        <v>164</v>
      </c>
      <c r="X297" s="3">
        <f>IF(ISERROR(VLOOKUP($A297,'SegEnds_NonXtal_BW#'!$A:$Z,17,FALSE)+VLOOKUP($A297,A:AL,25,FALSE)-50),"-",(VLOOKUP($A297,'SegEnds_NonXtal_BW#'!$A:$Z,17,FALSE)+VLOOKUP($A297,A:AL,25,FALSE)-50))</f>
        <v>173</v>
      </c>
      <c r="Y297" s="3">
        <v>173</v>
      </c>
      <c r="Z297" s="3">
        <f t="shared" si="176"/>
        <v>175</v>
      </c>
      <c r="AA297" s="3">
        <f>IF(ISERROR(VLOOKUP($A297,'SegEnds_NonXtal_BW#'!$A:$Z,19,FALSE)+VLOOKUP($A297,A:AL,28,FALSE)-50),"-",(VLOOKUP($A297,'SegEnds_NonXtal_BW#'!$A:$Z,19,FALSE)+VLOOKUP($A297,A:AL,28,FALSE)-50))</f>
        <v>183</v>
      </c>
      <c r="AB297" s="3">
        <v>200</v>
      </c>
      <c r="AC297" s="3">
        <f>IF(ISERROR((VLOOKUP($A297,'SegEnds_NonXtal_BW#'!$A:$Z,20,FALSE)+VLOOKUP($A297,A:AL,28,FALSE)-50)),"-",(VLOOKUP($A297,'SegEnds_NonXtal_BW#'!$A:$Z,20,FALSE)+VLOOKUP($A297,A:AL,28,FALSE)-50))</f>
        <v>218</v>
      </c>
      <c r="AD297" s="3">
        <f>IF(ISERROR(VLOOKUP($A297,'SegEnds_NonXtal_BW#'!$A:$Z,21,FALSE)+VLOOKUP($A297,A:AL,31,FALSE)-50),"-",(VLOOKUP($A297,'SegEnds_NonXtal_BW#'!$A:$Z,21,FALSE)+VLOOKUP($A297,A:AL,31,FALSE)-50))</f>
        <v>222</v>
      </c>
      <c r="AE297" s="3">
        <v>243</v>
      </c>
      <c r="AF297" s="3">
        <f>IF(ISERROR((VLOOKUP($A297,'SegEnds_NonXtal_BW#'!$A:$Z,22,FALSE)+VLOOKUP($A297,A:AL,31,FALSE)-50)),"-",(VLOOKUP($A297,'SegEnds_NonXtal_BW#'!$A:$Z,22,FALSE)+VLOOKUP($A297,A:AL,31,FALSE)-50))</f>
        <v>257</v>
      </c>
      <c r="AG297" s="3">
        <f>IF(ISERROR(VLOOKUP($A297,'SegEnds_NonXtal_BW#'!$A:$Z,23,FALSE)+VLOOKUP($A297,A:AL,34,FALSE)-50),"-",(VLOOKUP($A297,'SegEnds_NonXtal_BW#'!$A:$Z,23,FALSE)+VLOOKUP($A297,A:AL,34,FALSE)-50))</f>
        <v>262</v>
      </c>
      <c r="AH297" s="3">
        <v>288</v>
      </c>
      <c r="AI297" s="3">
        <f>IF(ISERROR((VLOOKUP($A297,'SegEnds_NonXtal_BW#'!$A:$Z,24,FALSE)+VLOOKUP($A297,A:AL,34,FALSE)-50)),"-",(VLOOKUP($A297,'SegEnds_NonXtal_BW#'!$A:$Z,24,FALSE)+VLOOKUP($A297,A:AL,34,FALSE)-50))</f>
        <v>294</v>
      </c>
      <c r="AJ297" s="3">
        <f>IF(ISERROR(VLOOKUP($A297,'SegEnds_NonXtal_BW#'!$A:$Z,25,FALSE)+VLOOKUP($A297,A:AL,37,FALSE)-50),"-",(VLOOKUP($A297,'SegEnds_NonXtal_BW#'!$A:$Z,25,FALSE)+VLOOKUP($A297,A:AL,37,FALSE)-50))</f>
        <v>295</v>
      </c>
      <c r="AK297" s="3">
        <v>298</v>
      </c>
      <c r="AL297" s="3">
        <f>IF(ISERROR((VLOOKUP($A297,'SegEnds_NonXtal_BW#'!$A:$Z,26,FALSE)+VLOOKUP($A297,A:AL,37,FALSE)-50)),"-",(VLOOKUP($A297,'SegEnds_NonXtal_BW#'!$A:$Z,26,FALSE)+VLOOKUP($A297,A:AL,37,FALSE)-50))</f>
        <v>310</v>
      </c>
      <c r="AM297" s="28" t="str">
        <f>VLOOKUP(A297,Classification!A:B,2,FALSE)</f>
        <v>A</v>
      </c>
      <c r="AN297" s="28" t="b">
        <f t="shared" si="167"/>
        <v>1</v>
      </c>
      <c r="AO297" s="3" t="str">
        <f>IF(ISERROR(MATCH(A297,'SegEnds_Xtal_Prot#'!B:B, 0)), "NoXtal", "Xtal")</f>
        <v>Xtal</v>
      </c>
      <c r="AP297" s="3">
        <f t="shared" si="152"/>
        <v>1</v>
      </c>
      <c r="AQ297" s="3">
        <f t="shared" si="153"/>
        <v>1</v>
      </c>
      <c r="AR297" s="3" t="str">
        <f t="shared" si="154"/>
        <v>-</v>
      </c>
      <c r="AS297" s="3" t="str">
        <f t="shared" si="155"/>
        <v>-</v>
      </c>
      <c r="AT297" s="3" t="str">
        <f t="shared" si="156"/>
        <v>-</v>
      </c>
      <c r="AU297" s="3" t="str">
        <f t="shared" si="157"/>
        <v>-</v>
      </c>
      <c r="AV297" s="3">
        <f t="shared" si="158"/>
        <v>9</v>
      </c>
      <c r="AW297" s="3">
        <f t="shared" si="159"/>
        <v>8</v>
      </c>
      <c r="AX297" s="3">
        <f t="shared" si="160"/>
        <v>4</v>
      </c>
      <c r="AY297" s="3">
        <f t="shared" si="161"/>
        <v>5</v>
      </c>
      <c r="AZ297" s="3">
        <f t="shared" si="162"/>
        <v>1</v>
      </c>
      <c r="BA297" s="3">
        <f>IF(ISERROR(LEN(VLOOKUP(A297,Seqs!A:E,2,FALSE))-AL297),"-",LEN(VLOOKUP(A297,Seqs!A:E,2,FALSE))-AL297)</f>
        <v>44</v>
      </c>
      <c r="BB297" s="16">
        <f t="shared" si="163"/>
        <v>28</v>
      </c>
      <c r="BC297" s="9" t="str">
        <f t="shared" si="164"/>
        <v>-</v>
      </c>
      <c r="BD297" s="3">
        <f t="shared" si="165"/>
        <v>28</v>
      </c>
      <c r="BE297" s="3">
        <f t="shared" si="166"/>
        <v>43</v>
      </c>
    </row>
    <row r="298" spans="1:59" s="3" customFormat="1" x14ac:dyDescent="0.2">
      <c r="A298" s="3" t="s">
        <v>1524</v>
      </c>
      <c r="B298" s="3" t="str">
        <f>LOWER(VLOOKUP(A298,Xtal_Templ!A:B,2,FALSE))</f>
        <v>q80km9_hcmv</v>
      </c>
      <c r="C298" s="3">
        <f>VLOOKUP($A298,'SegEnds_NonXtal_BW#'!$A:$Z,3,FALSE)+D298-50</f>
        <v>25</v>
      </c>
      <c r="D298" s="3">
        <v>51</v>
      </c>
      <c r="E298" s="3">
        <f>IF(ISERROR(VLOOKUP($A298,'SegEnds_NonXtal_BW#'!$A:$Z,4,FALSE)+VLOOKUP($A298,A:AL,4,FALSE)-50),"-",(VLOOKUP($A298,'SegEnds_NonXtal_BW#'!$A:$Z,4,FALSE)+VLOOKUP($A298,A:AL,4,FALSE)-50))</f>
        <v>61</v>
      </c>
      <c r="F298" s="3">
        <f t="shared" si="171"/>
        <v>62</v>
      </c>
      <c r="G298" s="3">
        <v>64</v>
      </c>
      <c r="H298" s="3">
        <f>G298+1</f>
        <v>65</v>
      </c>
      <c r="I298" s="3">
        <f>H298+1</f>
        <v>66</v>
      </c>
      <c r="J298" s="3">
        <v>79</v>
      </c>
      <c r="K298" s="3">
        <f>VLOOKUP($A298,'SegEnds_NonXtal_BW#'!$A:$Z,8,FALSE)+VLOOKUP($A298,A:AL,10,FALSE)-50</f>
        <v>95</v>
      </c>
      <c r="L298" s="3" t="str">
        <f>IF(ISERROR(VLOOKUP($A298,'SegEnds_NonXtal_BW#'!$A:$Z,9,FALSE)+VLOOKUP($A298,A:AL,13,FALSE)-50),"-",(VLOOKUP($A298,'SegEnds_NonXtal_BW#'!$A:$Z,9,FALSE)+VLOOKUP($A298,A:AL,13,FALSE)-50))</f>
        <v>-</v>
      </c>
      <c r="M298" s="3" t="s">
        <v>23</v>
      </c>
      <c r="N298" s="3" t="str">
        <f>IF(ISERROR(VLOOKUP($A298,'SegEnds_NonXtal_BW#'!$A:$Z,10,FALSE)+VLOOKUP($A298,A:AL,13,FALSE)-50),"-",(VLOOKUP($A298,'SegEnds_NonXtal_BW#'!$A:$Z,10,FALSE)+VLOOKUP($A298,A:AL,13,FALSE)-50))</f>
        <v>-</v>
      </c>
      <c r="O298" s="3">
        <f>VLOOKUP($A298,'SegEnds_NonXtal_BW#'!$A:$Z,11,FALSE)+VLOOKUP($A298,A:AL,16,FALSE)-50</f>
        <v>100</v>
      </c>
      <c r="P298" s="3">
        <v>129</v>
      </c>
      <c r="Q298" s="3">
        <f>VLOOKUP($A298,'SegEnds_NonXtal_BW#'!$A:$Z,12,FALSE)+VLOOKUP($A298,A:AL,16,FALSE)-50</f>
        <v>134</v>
      </c>
      <c r="R298" s="3" t="str">
        <f>IF(ISERROR(VLOOKUP($A298,'SegEnds_NonXtal_BW#'!$A:$Z,13,FALSE)+VLOOKUP($A298,A:AL,19,FALSE)-50),"-",VLOOKUP($A298,'SegEnds_NonXtal_BW#'!$A:$Z,13,FALSE)+VLOOKUP($A298,A:AL,19,FALSE)-50)</f>
        <v>-</v>
      </c>
      <c r="S298" s="3" t="s">
        <v>23</v>
      </c>
      <c r="T298" s="100" t="str">
        <f>IF(ISERROR(VLOOKUP($A298,'SegEnds_NonXtal_BW#'!$A:$Z,14,FALSE)+VLOOKUP($A298,A:AL,19,FALSE)-50),"-",(VLOOKUP($A298,'SegEnds_NonXtal_BW#'!$A:$Z,14,FALSE)+VLOOKUP($A298,A:AL,19,FALSE)-50))</f>
        <v>-</v>
      </c>
      <c r="U298" s="9">
        <f>IF(ISERROR(VLOOKUP($A298,'SegEnds_NonXtal_BW#'!$A:$Z,15,FALSE)+VLOOKUP($A298,A:AL,22,FALSE)-50),"-",VLOOKUP($A298,'SegEnds_NonXtal_BW#'!$A:$Z,15,FALSE)+VLOOKUP($A298,A:AL,22,FALSE)-50)</f>
        <v>140</v>
      </c>
      <c r="V298" s="3">
        <v>152</v>
      </c>
      <c r="W298" s="3">
        <f>IF(ISERROR(VLOOKUP($A298,'SegEnds_NonXtal_BW#'!$A:$Z,16,FALSE)+VLOOKUP($A298,A:AL,22,FALSE)-50),"-",(VLOOKUP($A298,'SegEnds_NonXtal_BW#'!$A:$Z,16,FALSE)+VLOOKUP($A298,A:AL,22,FALSE)-50))</f>
        <v>164</v>
      </c>
      <c r="X298" s="3">
        <f>IF(ISERROR(VLOOKUP($A298,'SegEnds_NonXtal_BW#'!$A:$Z,17,FALSE)+VLOOKUP($A298,A:AL,25,FALSE)-50),"-",(VLOOKUP($A298,'SegEnds_NonXtal_BW#'!$A:$Z,17,FALSE)+VLOOKUP($A298,A:AL,25,FALSE)-50))</f>
        <v>173</v>
      </c>
      <c r="Y298" s="3">
        <v>173</v>
      </c>
      <c r="Z298" s="3">
        <f>Y298+2</f>
        <v>175</v>
      </c>
      <c r="AA298" s="3">
        <f>IF(ISERROR(VLOOKUP($A298,'SegEnds_NonXtal_BW#'!$A:$Z,19,FALSE)+VLOOKUP($A298,A:AL,28,FALSE)-50),"-",(VLOOKUP($A298,'SegEnds_NonXtal_BW#'!$A:$Z,19,FALSE)+VLOOKUP($A298,A:AL,28,FALSE)-50))</f>
        <v>183</v>
      </c>
      <c r="AB298" s="3">
        <v>200</v>
      </c>
      <c r="AC298" s="3">
        <f>IF(ISERROR((VLOOKUP($A298,'SegEnds_NonXtal_BW#'!$A:$Z,20,FALSE)+VLOOKUP($A298,A:AL,28,FALSE)-50)),"-",(VLOOKUP($A298,'SegEnds_NonXtal_BW#'!$A:$Z,20,FALSE)+VLOOKUP($A298,A:AL,28,FALSE)-50))</f>
        <v>218</v>
      </c>
      <c r="AD298" s="3">
        <f>IF(ISERROR(VLOOKUP($A298,'SegEnds_NonXtal_BW#'!$A:$Z,21,FALSE)+VLOOKUP($A298,A:AL,31,FALSE)-50),"-",(VLOOKUP($A298,'SegEnds_NonXtal_BW#'!$A:$Z,21,FALSE)+VLOOKUP($A298,A:AL,31,FALSE)-50))</f>
        <v>222</v>
      </c>
      <c r="AE298" s="3">
        <v>243</v>
      </c>
      <c r="AF298" s="3">
        <f>IF(ISERROR((VLOOKUP($A298,'SegEnds_NonXtal_BW#'!$A:$Z,22,FALSE)+VLOOKUP($A298,A:AL,31,FALSE)-50)),"-",(VLOOKUP($A298,'SegEnds_NonXtal_BW#'!$A:$Z,22,FALSE)+VLOOKUP($A298,A:AL,31,FALSE)-50))</f>
        <v>257</v>
      </c>
      <c r="AG298" s="3">
        <f>IF(ISERROR(VLOOKUP($A298,'SegEnds_NonXtal_BW#'!$A:$Z,23,FALSE)+VLOOKUP($A298,A:AL,34,FALSE)-50),"-",(VLOOKUP($A298,'SegEnds_NonXtal_BW#'!$A:$Z,23,FALSE)+VLOOKUP($A298,A:AL,34,FALSE)-50))</f>
        <v>262</v>
      </c>
      <c r="AH298" s="3">
        <v>288</v>
      </c>
      <c r="AI298" s="3">
        <f>IF(ISERROR((VLOOKUP($A298,'SegEnds_NonXtal_BW#'!$A:$Z,24,FALSE)+VLOOKUP($A298,A:AL,34,FALSE)-50)),"-",(VLOOKUP($A298,'SegEnds_NonXtal_BW#'!$A:$Z,24,FALSE)+VLOOKUP($A298,A:AL,34,FALSE)-50))</f>
        <v>294</v>
      </c>
      <c r="AJ298" s="3">
        <f>IF(ISERROR(VLOOKUP($A298,'SegEnds_NonXtal_BW#'!$A:$Z,25,FALSE)+VLOOKUP($A298,A:AL,37,FALSE)-50),"-",(VLOOKUP($A298,'SegEnds_NonXtal_BW#'!$A:$Z,25,FALSE)+VLOOKUP($A298,A:AL,37,FALSE)-50))</f>
        <v>295</v>
      </c>
      <c r="AK298" s="3">
        <v>298</v>
      </c>
      <c r="AL298" s="3">
        <f>IF(ISERROR((VLOOKUP($A298,'SegEnds_NonXtal_BW#'!$A:$Z,26,FALSE)+VLOOKUP($A298,A:AL,37,FALSE)-50)),"-",(VLOOKUP($A298,'SegEnds_NonXtal_BW#'!$A:$Z,26,FALSE)+VLOOKUP($A298,A:AL,37,FALSE)-50))</f>
        <v>310</v>
      </c>
      <c r="AM298" s="28" t="str">
        <f>VLOOKUP(A298,Classification!A:B,2,FALSE)</f>
        <v>A</v>
      </c>
      <c r="AN298" s="28" t="b">
        <f>AND(IF(Y298="-",IF(AA298-W298&gt;3,TRUE,FALSE),TRUE),IF(M298="-",IF(O298-K298&gt;3,TRUE,FALSE),TRUE),IF(AG298-AF298&gt;1,TRUE,FALSE),C298&lt;E298,OR(E298&lt;F298,F298="-"),OR(F298&lt;H298,F298="-"),OR(H298&lt;I298,H298="-"),I298&lt;K298,OR(K298&lt;L298,L298="-"),OR(L298&lt;N298,L298="-"),OR(N298&lt;O298,N298="-"),O298&lt;Q298,OR(Q298&lt;R298,R298="-"),OR(R298&lt;T298,R298="-"),OR(T298&lt;U298,T298="-"),U298&lt;W298,OR(W298&lt;X298,X298="-"),OR(X298&lt;Z298,X298="-"),OR(Z298&lt;AA298,Z298="-"),AA298&lt;AC298,AC298&lt;AD298,AD298&lt;AF298,AF298&lt;AG298,AG298&lt;AI298,OR(AI298&lt;AJ298,AJ298="-"),OR(AJ298&lt;AL298,AJ298="-"))</f>
        <v>1</v>
      </c>
      <c r="AO298" s="3" t="str">
        <f>IF(ISERROR(MATCH(A298,'SegEnds_Xtal_Prot#'!B:B, 0)), "NoXtal", "Xtal")</f>
        <v>Xtal</v>
      </c>
      <c r="AP298" s="3">
        <f>IF(ISERROR(F298-E298),"-",F298-E298)</f>
        <v>1</v>
      </c>
      <c r="AQ298" s="3">
        <f>IF(ISERROR(I298-H298),"-",I298-H298)</f>
        <v>1</v>
      </c>
      <c r="AR298" s="3" t="str">
        <f>IF(ISERROR(L298-K298),"-",L298-K298)</f>
        <v>-</v>
      </c>
      <c r="AS298" s="3" t="str">
        <f>IF(ISERROR(O298-N298),"-",O298-N298)</f>
        <v>-</v>
      </c>
      <c r="AT298" s="3" t="str">
        <f>IF(ISERROR(R298-Q298),"-",R298-Q298)</f>
        <v>-</v>
      </c>
      <c r="AU298" s="3" t="str">
        <f>IF(ISERROR(U298-T298),"-",U298-T298)</f>
        <v>-</v>
      </c>
      <c r="AV298" s="3">
        <f>IF(ISERROR(X298-W298),"-",X298-W298)</f>
        <v>9</v>
      </c>
      <c r="AW298" s="3">
        <f>IF(ISERROR(AA298-Z298),"-",AA298-Z298)</f>
        <v>8</v>
      </c>
      <c r="AX298" s="3">
        <f>IF(ISERROR(AD298-AC298),"-",AD298-AC298)</f>
        <v>4</v>
      </c>
      <c r="AY298" s="3">
        <f>IF(ISERROR(AG298-AF298),"-",AG298-AF298)</f>
        <v>5</v>
      </c>
      <c r="AZ298" s="3">
        <f>IF(ISERROR(AJ298-AI298),"-",AJ298-AI298)</f>
        <v>1</v>
      </c>
      <c r="BA298" s="3">
        <f>IF(ISERROR(LEN(VLOOKUP(A298,Seqs!A:E,2,FALSE))-AL298),"-",LEN(VLOOKUP(A298,Seqs!A:E,2,FALSE))-AL298)</f>
        <v>44</v>
      </c>
      <c r="BB298" s="16">
        <f>J298-D298</f>
        <v>28</v>
      </c>
      <c r="BC298" s="9" t="str">
        <f>IF(ISERROR(V298-S298),"-",V298-S298)</f>
        <v>-</v>
      </c>
      <c r="BD298" s="3">
        <f>J298-D298</f>
        <v>28</v>
      </c>
      <c r="BE298" s="3">
        <f>AE298-AB298</f>
        <v>43</v>
      </c>
    </row>
    <row r="299" spans="1:59" s="3" customFormat="1" x14ac:dyDescent="0.2">
      <c r="A299" s="3" t="s">
        <v>401</v>
      </c>
      <c r="B299" s="3" t="str">
        <f>LOWER(VLOOKUP(A299,Xtal_Templ!A:B,2,FALSE))</f>
        <v>calcr_human</v>
      </c>
      <c r="C299" s="3">
        <f>VLOOKUP($A299,'SegEnds_NonXtal_BW#'!$A:$Z,3,FALSE)+D299-50</f>
        <v>132</v>
      </c>
      <c r="D299" s="3">
        <v>163</v>
      </c>
      <c r="E299" s="3">
        <f>IF(ISERROR(VLOOKUP($A299,'SegEnds_NonXtal_BW#'!$A:$Z,4,FALSE)+VLOOKUP($A299,A:AL,4,FALSE)-50),"-",(VLOOKUP($A299,'SegEnds_NonXtal_BW#'!$A:$Z,4,FALSE)+VLOOKUP($A299,A:AL,4,FALSE)-50))</f>
        <v>173</v>
      </c>
      <c r="F299" s="3">
        <f t="shared" si="171"/>
        <v>174</v>
      </c>
      <c r="G299" s="3">
        <v>176</v>
      </c>
      <c r="H299" s="3">
        <f t="shared" si="177"/>
        <v>177</v>
      </c>
      <c r="I299" s="3">
        <f t="shared" si="177"/>
        <v>178</v>
      </c>
      <c r="J299" s="3">
        <v>191</v>
      </c>
      <c r="K299" s="3">
        <f>VLOOKUP($A299,'SegEnds_NonXtal_BW#'!$A:$Z,8,FALSE)+VLOOKUP($A299,A:AL,10,FALSE)-50</f>
        <v>205</v>
      </c>
      <c r="L299" s="3" t="str">
        <f>IF(ISERROR(VLOOKUP($A299,'SegEnds_NonXtal_BW#'!$A:$Z,9,FALSE)+VLOOKUP($A299,A:AL,13,FALSE)-50),"-",(VLOOKUP($A299,'SegEnds_NonXtal_BW#'!$A:$Z,9,FALSE)+VLOOKUP($A299,A:AL,13,FALSE)-50))</f>
        <v>-</v>
      </c>
      <c r="M299" s="3" t="s">
        <v>23</v>
      </c>
      <c r="N299" s="3" t="str">
        <f>IF(ISERROR(VLOOKUP($A299,'SegEnds_NonXtal_BW#'!$A:$Z,10,FALSE)+VLOOKUP($A299,A:AL,13,FALSE)-50),"-",(VLOOKUP($A299,'SegEnds_NonXtal_BW#'!$A:$Z,10,FALSE)+VLOOKUP($A299,A:AL,13,FALSE)-50))</f>
        <v>-</v>
      </c>
      <c r="O299" s="3">
        <f>VLOOKUP($A299,'SegEnds_NonXtal_BW#'!$A:$Z,11,FALSE)+VLOOKUP($A299,A:AL,16,FALSE)-50</f>
        <v>217</v>
      </c>
      <c r="P299" s="3">
        <v>244</v>
      </c>
      <c r="Q299" s="3">
        <f>VLOOKUP($A299,'SegEnds_NonXtal_BW#'!$A:$Z,12,FALSE)+VLOOKUP($A299,A:AL,16,FALSE)-50</f>
        <v>250</v>
      </c>
      <c r="R299" s="3" t="str">
        <f>IF(ISERROR(VLOOKUP($A299,'SegEnds_NonXtal_BW#'!$A:$Z,13,FALSE)+VLOOKUP($A299,A:AL,19,FALSE)-50),"-",VLOOKUP($A299,'SegEnds_NonXtal_BW#'!$A:$Z,13,FALSE)+VLOOKUP($A299,A:AL,19,FALSE)-50)</f>
        <v>-</v>
      </c>
      <c r="S299" s="3" t="s">
        <v>23</v>
      </c>
      <c r="T299" s="100" t="str">
        <f>IF(ISERROR(VLOOKUP($A299,'SegEnds_NonXtal_BW#'!$A:$Z,14,FALSE)+VLOOKUP($A299,A:AL,19,FALSE)-50),"-",(VLOOKUP($A299,'SegEnds_NonXtal_BW#'!$A:$Z,14,FALSE)+VLOOKUP($A299,A:AL,19,FALSE)-50))</f>
        <v>-</v>
      </c>
      <c r="U299" s="9">
        <f>IF(ISERROR(VLOOKUP($A299,'SegEnds_NonXtal_BW#'!$A:$Z,15,FALSE)+VLOOKUP($A299,A:AL,22,FALSE)-50),"-",VLOOKUP($A299,'SegEnds_NonXtal_BW#'!$A:$Z,15,FALSE)+VLOOKUP($A299,A:AL,22,FALSE)-50)</f>
        <v>258</v>
      </c>
      <c r="V299" s="3">
        <v>267</v>
      </c>
      <c r="W299" s="3">
        <f>IF(ISERROR(VLOOKUP($A299,'SegEnds_NonXtal_BW#'!$A:$Z,16,FALSE)+VLOOKUP($A299,A:AL,22,FALSE)-50),"-",(VLOOKUP($A299,'SegEnds_NonXtal_BW#'!$A:$Z,16,FALSE)+VLOOKUP($A299,A:AL,22,FALSE)-50))</f>
        <v>285</v>
      </c>
      <c r="X299" s="3">
        <f>IF(ISERROR(VLOOKUP($A299,'SegEnds_NonXtal_BW#'!$A:$Z,17,FALSE)+VLOOKUP($A299,A:AL,25,FALSE)-50),"-",(VLOOKUP($A299,'SegEnds_NonXtal_BW#'!$A:$Z,17,FALSE)+VLOOKUP($A299,A:AL,25,FALSE)-50))</f>
        <v>289</v>
      </c>
      <c r="Y299" s="3">
        <v>289</v>
      </c>
      <c r="Z299" s="3">
        <f t="shared" si="176"/>
        <v>291</v>
      </c>
      <c r="AA299" s="3">
        <f>IF(ISERROR(VLOOKUP($A299,'SegEnds_NonXtal_BW#'!$A:$Z,19,FALSE)+VLOOKUP($A299,A:AL,28,FALSE)-50),"-",(VLOOKUP($A299,'SegEnds_NonXtal_BW#'!$A:$Z,19,FALSE)+VLOOKUP($A299,A:AL,28,FALSE)-50))</f>
        <v>298</v>
      </c>
      <c r="AB299" s="3">
        <v>308</v>
      </c>
      <c r="AC299" s="3">
        <f>IF(ISERROR((VLOOKUP($A299,'SegEnds_NonXtal_BW#'!$A:$Z,20,FALSE)+VLOOKUP($A299,A:AL,28,FALSE)-50)),"-",(VLOOKUP($A299,'SegEnds_NonXtal_BW#'!$A:$Z,20,FALSE)+VLOOKUP($A299,A:AL,28,FALSE)-50))</f>
        <v>328</v>
      </c>
      <c r="AD299" s="3">
        <f>IF(ISERROR(VLOOKUP($A299,'SegEnds_NonXtal_BW#'!$A:$Z,21,FALSE)+VLOOKUP($A299,A:AL,31,FALSE)-50),"-",(VLOOKUP($A299,'SegEnds_NonXtal_BW#'!$A:$Z,21,FALSE)+VLOOKUP($A299,A:AL,31,FALSE)-50))</f>
        <v>338</v>
      </c>
      <c r="AE299" s="3">
        <v>358</v>
      </c>
      <c r="AF299" s="3">
        <f>IF(ISERROR((VLOOKUP($A299,'SegEnds_NonXtal_BW#'!$A:$Z,22,FALSE)+VLOOKUP($A299,A:AL,31,FALSE)-50)),"-",(VLOOKUP($A299,'SegEnds_NonXtal_BW#'!$A:$Z,22,FALSE)+VLOOKUP($A299,A:AL,31,FALSE)-50))</f>
        <v>361</v>
      </c>
      <c r="AG299" s="3">
        <f>IF(ISERROR(VLOOKUP($A299,'SegEnds_NonXtal_BW#'!$A:$Z,23,FALSE)+VLOOKUP($A299,A:AL,34,FALSE)-50),"-",(VLOOKUP($A299,'SegEnds_NonXtal_BW#'!$A:$Z,23,FALSE)+VLOOKUP($A299,A:AL,34,FALSE)-50))</f>
        <v>366</v>
      </c>
      <c r="AH299" s="3">
        <v>388</v>
      </c>
      <c r="AI299" s="3">
        <f>IF(ISERROR((VLOOKUP($A299,'SegEnds_NonXtal_BW#'!$A:$Z,24,FALSE)+VLOOKUP($A299,A:AL,34,FALSE)-50)),"-",(VLOOKUP($A299,'SegEnds_NonXtal_BW#'!$A:$Z,24,FALSE)+VLOOKUP($A299,A:AL,34,FALSE)-50))</f>
        <v>394</v>
      </c>
      <c r="AJ299" s="3">
        <f>IF(ISERROR(VLOOKUP($A299,'SegEnds_NonXtal_BW#'!$A:$Z,25,FALSE)+VLOOKUP($A299,A:AL,37,FALSE)-50),"-",(VLOOKUP($A299,'SegEnds_NonXtal_BW#'!$A:$Z,25,FALSE)+VLOOKUP($A299,A:AL,37,FALSE)-50))</f>
        <v>395</v>
      </c>
      <c r="AK299" s="3">
        <v>398</v>
      </c>
      <c r="AL299" s="3">
        <f>IF(ISERROR((VLOOKUP($A299,'SegEnds_NonXtal_BW#'!$A:$Z,26,FALSE)+VLOOKUP($A299,A:AL,37,FALSE)-50)),"-",(VLOOKUP($A299,'SegEnds_NonXtal_BW#'!$A:$Z,26,FALSE)+VLOOKUP($A299,A:AL,37,FALSE)-50))</f>
        <v>420</v>
      </c>
      <c r="AM299" s="28" t="str">
        <f>VLOOKUP(A299,Classification!A:B,2,FALSE)</f>
        <v>B1</v>
      </c>
      <c r="AN299" s="28" t="b">
        <f t="shared" si="167"/>
        <v>1</v>
      </c>
      <c r="AO299" s="3" t="str">
        <f>IF(ISERROR(MATCH(A299,'SegEnds_Xtal_Prot#'!B:B, 0)), "NoXtal", "Xtal")</f>
        <v>Xtal</v>
      </c>
      <c r="AP299" s="3">
        <f t="shared" si="152"/>
        <v>1</v>
      </c>
      <c r="AQ299" s="3">
        <f t="shared" si="153"/>
        <v>1</v>
      </c>
      <c r="AR299" s="3" t="str">
        <f t="shared" si="154"/>
        <v>-</v>
      </c>
      <c r="AS299" s="3" t="str">
        <f t="shared" si="155"/>
        <v>-</v>
      </c>
      <c r="AT299" s="3" t="str">
        <f t="shared" si="156"/>
        <v>-</v>
      </c>
      <c r="AU299" s="3" t="str">
        <f t="shared" si="157"/>
        <v>-</v>
      </c>
      <c r="AV299" s="3">
        <f t="shared" si="158"/>
        <v>4</v>
      </c>
      <c r="AW299" s="3">
        <f t="shared" si="159"/>
        <v>7</v>
      </c>
      <c r="AX299" s="3">
        <f t="shared" si="160"/>
        <v>10</v>
      </c>
      <c r="AY299" s="3">
        <f t="shared" si="161"/>
        <v>5</v>
      </c>
      <c r="AZ299" s="3">
        <f t="shared" si="162"/>
        <v>1</v>
      </c>
      <c r="BA299" s="3">
        <f>IF(ISERROR(LEN(VLOOKUP(A299,Seqs!A:E,2,FALSE))-AL299),"-",LEN(VLOOKUP(A299,Seqs!A:E,2,FALSE))-AL299)</f>
        <v>54</v>
      </c>
      <c r="BB299" s="16">
        <f t="shared" si="163"/>
        <v>28</v>
      </c>
      <c r="BC299" s="9" t="str">
        <f t="shared" si="164"/>
        <v>-</v>
      </c>
      <c r="BD299" s="3">
        <f t="shared" si="165"/>
        <v>28</v>
      </c>
      <c r="BE299" s="3">
        <f t="shared" si="166"/>
        <v>50</v>
      </c>
    </row>
    <row r="300" spans="1:59" s="3" customFormat="1" ht="17" customHeight="1" x14ac:dyDescent="0.2">
      <c r="A300" s="3" t="s">
        <v>402</v>
      </c>
      <c r="B300" s="3" t="str">
        <f>LOWER(VLOOKUP(A300,Xtal_Templ!A:B,2,FALSE))</f>
        <v>calrl_human</v>
      </c>
      <c r="C300" s="3">
        <f>VLOOKUP($A300,'SegEnds_NonXtal_BW#'!$A:$Z,3,FALSE)+D300-50</f>
        <v>130</v>
      </c>
      <c r="D300" s="3">
        <v>156</v>
      </c>
      <c r="E300" s="3">
        <f>IF(ISERROR(VLOOKUP($A300,'SegEnds_NonXtal_BW#'!$A:$Z,4,FALSE)+VLOOKUP($A300,A:AL,4,FALSE)-50),"-",(VLOOKUP($A300,'SegEnds_NonXtal_BW#'!$A:$Z,4,FALSE)+VLOOKUP($A300,A:AL,4,FALSE)-50))</f>
        <v>166</v>
      </c>
      <c r="F300" s="3">
        <f t="shared" si="171"/>
        <v>167</v>
      </c>
      <c r="G300" s="3">
        <v>169</v>
      </c>
      <c r="H300" s="3">
        <f t="shared" si="177"/>
        <v>170</v>
      </c>
      <c r="I300" s="3">
        <f t="shared" si="177"/>
        <v>171</v>
      </c>
      <c r="J300" s="3">
        <v>184</v>
      </c>
      <c r="K300" s="3">
        <f>VLOOKUP($A300,'SegEnds_NonXtal_BW#'!$A:$Z,8,FALSE)+VLOOKUP($A300,A:AL,10,FALSE)-50</f>
        <v>198</v>
      </c>
      <c r="L300" s="3" t="str">
        <f>IF(ISERROR(VLOOKUP($A300,'SegEnds_NonXtal_BW#'!$A:$Z,9,FALSE)+VLOOKUP($A300,A:AL,13,FALSE)-50),"-",(VLOOKUP($A300,'SegEnds_NonXtal_BW#'!$A:$Z,9,FALSE)+VLOOKUP($A300,A:AL,13,FALSE)-50))</f>
        <v>-</v>
      </c>
      <c r="M300" s="3" t="s">
        <v>23</v>
      </c>
      <c r="N300" s="3" t="str">
        <f>IF(ISERROR(VLOOKUP($A300,'SegEnds_NonXtal_BW#'!$A:$Z,10,FALSE)+VLOOKUP($A300,A:AL,13,FALSE)-50),"-",(VLOOKUP($A300,'SegEnds_NonXtal_BW#'!$A:$Z,10,FALSE)+VLOOKUP($A300,A:AL,13,FALSE)-50))</f>
        <v>-</v>
      </c>
      <c r="O300" s="3">
        <f>VLOOKUP($A300,'SegEnds_NonXtal_BW#'!$A:$Z,11,FALSE)+VLOOKUP($A300,A:AL,16,FALSE)-50</f>
        <v>210</v>
      </c>
      <c r="P300" s="3">
        <v>237</v>
      </c>
      <c r="Q300" s="3">
        <f>VLOOKUP($A300,'SegEnds_NonXtal_BW#'!$A:$Z,12,FALSE)+VLOOKUP($A300,A:AL,16,FALSE)-50</f>
        <v>243</v>
      </c>
      <c r="R300" s="3" t="str">
        <f>IF(ISERROR(VLOOKUP($A300,'SegEnds_NonXtal_BW#'!$A:$Z,13,FALSE)+VLOOKUP($A300,A:AL,19,FALSE)-50),"-",VLOOKUP($A300,'SegEnds_NonXtal_BW#'!$A:$Z,13,FALSE)+VLOOKUP($A300,A:AL,19,FALSE)-50)</f>
        <v>-</v>
      </c>
      <c r="S300" s="3" t="s">
        <v>23</v>
      </c>
      <c r="T300" s="100" t="str">
        <f>IF(ISERROR(VLOOKUP($A300,'SegEnds_NonXtal_BW#'!$A:$Z,14,FALSE)+VLOOKUP($A300,A:AL,19,FALSE)-50),"-",(VLOOKUP($A300,'SegEnds_NonXtal_BW#'!$A:$Z,14,FALSE)+VLOOKUP($A300,A:AL,19,FALSE)-50))</f>
        <v>-</v>
      </c>
      <c r="U300" s="9">
        <f>IF(ISERROR(VLOOKUP($A300,'SegEnds_NonXtal_BW#'!$A:$Z,15,FALSE)+VLOOKUP($A300,A:AL,22,FALSE)-50),"-",VLOOKUP($A300,'SegEnds_NonXtal_BW#'!$A:$Z,15,FALSE)+VLOOKUP($A300,A:AL,22,FALSE)-50)</f>
        <v>251</v>
      </c>
      <c r="V300" s="3">
        <v>260</v>
      </c>
      <c r="W300" s="3">
        <f>IF(ISERROR(VLOOKUP($A300,'SegEnds_NonXtal_BW#'!$A:$Z,16,FALSE)+VLOOKUP($A300,A:AL,22,FALSE)-50),"-",(VLOOKUP($A300,'SegEnds_NonXtal_BW#'!$A:$Z,16,FALSE)+VLOOKUP($A300,A:AL,22,FALSE)-50))</f>
        <v>277</v>
      </c>
      <c r="X300" s="3">
        <f>IF(ISERROR(VLOOKUP($A300,'SegEnds_NonXtal_BW#'!$A:$Z,17,FALSE)+VLOOKUP($A300,A:AL,25,FALSE)-50),"-",(VLOOKUP($A300,'SegEnds_NonXtal_BW#'!$A:$Z,17,FALSE)+VLOOKUP($A300,A:AL,25,FALSE)-50))</f>
        <v>282</v>
      </c>
      <c r="Y300" s="3">
        <v>282</v>
      </c>
      <c r="Z300" s="3">
        <f t="shared" si="176"/>
        <v>284</v>
      </c>
      <c r="AA300" s="3">
        <f>IF(ISERROR(VLOOKUP($A300,'SegEnds_NonXtal_BW#'!$A:$Z,19,FALSE)+VLOOKUP($A300,A:AL,28,FALSE)-50),"-",(VLOOKUP($A300,'SegEnds_NonXtal_BW#'!$A:$Z,19,FALSE)+VLOOKUP($A300,A:AL,28,FALSE)-50))</f>
        <v>290</v>
      </c>
      <c r="AB300" s="3">
        <v>301</v>
      </c>
      <c r="AC300" s="3">
        <f>IF(ISERROR((VLOOKUP($A300,'SegEnds_NonXtal_BW#'!$A:$Z,20,FALSE)+VLOOKUP($A300,A:AL,28,FALSE)-50)),"-",(VLOOKUP($A300,'SegEnds_NonXtal_BW#'!$A:$Z,20,FALSE)+VLOOKUP($A300,A:AL,28,FALSE)-50))</f>
        <v>321</v>
      </c>
      <c r="AD300" s="3">
        <f>IF(ISERROR(VLOOKUP($A300,'SegEnds_NonXtal_BW#'!$A:$Z,21,FALSE)+VLOOKUP($A300,A:AL,31,FALSE)-50),"-",(VLOOKUP($A300,'SegEnds_NonXtal_BW#'!$A:$Z,21,FALSE)+VLOOKUP($A300,A:AL,31,FALSE)-50))</f>
        <v>331</v>
      </c>
      <c r="AE300" s="3">
        <v>351</v>
      </c>
      <c r="AF300" s="3">
        <f>IF(ISERROR((VLOOKUP($A300,'SegEnds_NonXtal_BW#'!$A:$Z,22,FALSE)+VLOOKUP($A300,A:AL,31,FALSE)-50)),"-",(VLOOKUP($A300,'SegEnds_NonXtal_BW#'!$A:$Z,22,FALSE)+VLOOKUP($A300,A:AL,31,FALSE)-50))</f>
        <v>354</v>
      </c>
      <c r="AG300" s="3">
        <f>IF(ISERROR(VLOOKUP($A300,'SegEnds_NonXtal_BW#'!$A:$Z,23,FALSE)+VLOOKUP($A300,A:AL,34,FALSE)-50),"-",(VLOOKUP($A300,'SegEnds_NonXtal_BW#'!$A:$Z,23,FALSE)+VLOOKUP($A300,A:AL,34,FALSE)-50))</f>
        <v>359</v>
      </c>
      <c r="AH300" s="3">
        <v>381</v>
      </c>
      <c r="AI300" s="3">
        <f>IF(ISERROR((VLOOKUP($A300,'SegEnds_NonXtal_BW#'!$A:$Z,24,FALSE)+VLOOKUP($A300,A:AL,34,FALSE)-50)),"-",(VLOOKUP($A300,'SegEnds_NonXtal_BW#'!$A:$Z,24,FALSE)+VLOOKUP($A300,A:AL,34,FALSE)-50))</f>
        <v>387</v>
      </c>
      <c r="AJ300" s="3">
        <f>IF(ISERROR(VLOOKUP($A300,'SegEnds_NonXtal_BW#'!$A:$Z,25,FALSE)+VLOOKUP($A300,A:AL,37,FALSE)-50),"-",(VLOOKUP($A300,'SegEnds_NonXtal_BW#'!$A:$Z,25,FALSE)+VLOOKUP($A300,A:AL,37,FALSE)-50))</f>
        <v>388</v>
      </c>
      <c r="AK300" s="3">
        <v>391</v>
      </c>
      <c r="AL300" s="3">
        <f>IF(ISERROR((VLOOKUP($A300,'SegEnds_NonXtal_BW#'!$A:$Z,26,FALSE)+VLOOKUP($A300,A:AL,37,FALSE)-50)),"-",(VLOOKUP($A300,'SegEnds_NonXtal_BW#'!$A:$Z,26,FALSE)+VLOOKUP($A300,A:AL,37,FALSE)-50))</f>
        <v>413</v>
      </c>
      <c r="AM300" s="28" t="str">
        <f>VLOOKUP(A300,Classification!A:B,2,FALSE)</f>
        <v>B1</v>
      </c>
      <c r="AN300" s="28" t="b">
        <f t="shared" si="167"/>
        <v>1</v>
      </c>
      <c r="AO300" s="3" t="str">
        <f>IF(ISERROR(MATCH(A300,'SegEnds_Xtal_Prot#'!B:B, 0)), "NoXtal", "Xtal")</f>
        <v>Xtal</v>
      </c>
      <c r="AP300" s="3">
        <f t="shared" si="152"/>
        <v>1</v>
      </c>
      <c r="AQ300" s="3">
        <f t="shared" si="153"/>
        <v>1</v>
      </c>
      <c r="AR300" s="3" t="str">
        <f t="shared" si="154"/>
        <v>-</v>
      </c>
      <c r="AS300" s="3" t="str">
        <f t="shared" si="155"/>
        <v>-</v>
      </c>
      <c r="AT300" s="3" t="str">
        <f t="shared" si="156"/>
        <v>-</v>
      </c>
      <c r="AU300" s="3" t="str">
        <f t="shared" si="157"/>
        <v>-</v>
      </c>
      <c r="AV300" s="3">
        <f t="shared" si="158"/>
        <v>5</v>
      </c>
      <c r="AW300" s="3">
        <f t="shared" si="159"/>
        <v>6</v>
      </c>
      <c r="AX300" s="3">
        <f t="shared" si="160"/>
        <v>10</v>
      </c>
      <c r="AY300" s="3">
        <f t="shared" si="161"/>
        <v>5</v>
      </c>
      <c r="AZ300" s="3">
        <f t="shared" si="162"/>
        <v>1</v>
      </c>
      <c r="BA300" s="3">
        <f>IF(ISERROR(LEN(VLOOKUP(A300,Seqs!A:E,2,FALSE))-AL300),"-",LEN(VLOOKUP(A300,Seqs!A:E,2,FALSE))-AL300)</f>
        <v>48</v>
      </c>
      <c r="BB300" s="16">
        <f t="shared" si="163"/>
        <v>28</v>
      </c>
      <c r="BC300" s="9" t="str">
        <f t="shared" si="164"/>
        <v>-</v>
      </c>
      <c r="BD300" s="3">
        <f t="shared" si="165"/>
        <v>28</v>
      </c>
      <c r="BE300" s="3">
        <f t="shared" si="166"/>
        <v>50</v>
      </c>
    </row>
    <row r="301" spans="1:59" s="3" customFormat="1" x14ac:dyDescent="0.2">
      <c r="A301" s="3" t="s">
        <v>38</v>
      </c>
      <c r="B301" s="3" t="str">
        <f>LOWER(VLOOKUP(A301,Xtal_Templ!A:B,2,FALSE))</f>
        <v>crfr1_human</v>
      </c>
      <c r="C301" s="3">
        <f>VLOOKUP($A301,'SegEnds_NonXtal_BW#'!$A:$Z,3,FALSE)+D301-50</f>
        <v>103</v>
      </c>
      <c r="D301" s="3">
        <v>134</v>
      </c>
      <c r="E301" s="3">
        <f>IF(ISERROR(VLOOKUP($A301,'SegEnds_NonXtal_BW#'!$A:$Z,4,FALSE)+VLOOKUP($A301,A:AL,4,FALSE)-50),"-",(VLOOKUP($A301,'SegEnds_NonXtal_BW#'!$A:$Z,4,FALSE)+VLOOKUP($A301,A:AL,4,FALSE)-50))</f>
        <v>144</v>
      </c>
      <c r="F301" s="3">
        <f t="shared" si="171"/>
        <v>145</v>
      </c>
      <c r="G301" s="3">
        <v>147</v>
      </c>
      <c r="H301" s="3">
        <f t="shared" si="177"/>
        <v>148</v>
      </c>
      <c r="I301" s="3">
        <f t="shared" si="177"/>
        <v>149</v>
      </c>
      <c r="J301" s="3">
        <v>162</v>
      </c>
      <c r="K301" s="3">
        <f>VLOOKUP($A301,'SegEnds_NonXtal_BW#'!$A:$Z,8,FALSE)+VLOOKUP($A301,A:AL,10,FALSE)-50</f>
        <v>175</v>
      </c>
      <c r="L301" s="3" t="str">
        <f>IF(ISERROR(VLOOKUP($A301,'SegEnds_NonXtal_BW#'!$A:$Z,9,FALSE)+VLOOKUP($A301,A:AL,13,FALSE)-50),"-",(VLOOKUP($A301,'SegEnds_NonXtal_BW#'!$A:$Z,9,FALSE)+VLOOKUP($A301,A:AL,13,FALSE)-50))</f>
        <v>-</v>
      </c>
      <c r="M301" s="3" t="s">
        <v>23</v>
      </c>
      <c r="N301" s="3" t="str">
        <f>IF(ISERROR(VLOOKUP($A301,'SegEnds_NonXtal_BW#'!$A:$Z,10,FALSE)+VLOOKUP($A301,A:AL,13,FALSE)-50),"-",(VLOOKUP($A301,'SegEnds_NonXtal_BW#'!$A:$Z,10,FALSE)+VLOOKUP($A301,A:AL,13,FALSE)-50))</f>
        <v>-</v>
      </c>
      <c r="O301" s="3">
        <f>VLOOKUP($A301,'SegEnds_NonXtal_BW#'!$A:$Z,11,FALSE)+VLOOKUP($A301,A:AL,16,FALSE)-50</f>
        <v>185</v>
      </c>
      <c r="P301" s="3">
        <v>213</v>
      </c>
      <c r="Q301" s="3">
        <f>VLOOKUP($A301,'SegEnds_NonXtal_BW#'!$A:$Z,12,FALSE)+VLOOKUP($A301,A:AL,16,FALSE)-50</f>
        <v>219</v>
      </c>
      <c r="R301" s="3" t="str">
        <f>IF(ISERROR(VLOOKUP($A301,'SegEnds_NonXtal_BW#'!$A:$Z,13,FALSE)+VLOOKUP($A301,A:AL,19,FALSE)-50),"-",VLOOKUP($A301,'SegEnds_NonXtal_BW#'!$A:$Z,13,FALSE)+VLOOKUP($A301,A:AL,19,FALSE)-50)</f>
        <v>-</v>
      </c>
      <c r="S301" s="3" t="s">
        <v>23</v>
      </c>
      <c r="T301" s="100" t="str">
        <f>IF(ISERROR(VLOOKUP($A301,'SegEnds_NonXtal_BW#'!$A:$Z,14,FALSE)+VLOOKUP($A301,A:AL,19,FALSE)-50),"-",(VLOOKUP($A301,'SegEnds_NonXtal_BW#'!$A:$Z,14,FALSE)+VLOOKUP($A301,A:AL,19,FALSE)-50))</f>
        <v>-</v>
      </c>
      <c r="U301" s="9">
        <f>IF(ISERROR(VLOOKUP($A301,'SegEnds_NonXtal_BW#'!$A:$Z,15,FALSE)+VLOOKUP($A301,A:AL,22,FALSE)-50),"-",VLOOKUP($A301,'SegEnds_NonXtal_BW#'!$A:$Z,15,FALSE)+VLOOKUP($A301,A:AL,22,FALSE)-50)</f>
        <v>226</v>
      </c>
      <c r="V301" s="3">
        <v>236</v>
      </c>
      <c r="W301" s="3">
        <f>IF(ISERROR(VLOOKUP($A301,'SegEnds_NonXtal_BW#'!$A:$Z,16,FALSE)+VLOOKUP($A301,A:AL,22,FALSE)-50),"-",(VLOOKUP($A301,'SegEnds_NonXtal_BW#'!$A:$Z,16,FALSE)+VLOOKUP($A301,A:AL,22,FALSE)-50))</f>
        <v>254</v>
      </c>
      <c r="X301" s="3">
        <f>IF(ISERROR(VLOOKUP($A301,'SegEnds_NonXtal_BW#'!$A:$Z,17,FALSE)+VLOOKUP($A301,A:AL,25,FALSE)-50),"-",(VLOOKUP($A301,'SegEnds_NonXtal_BW#'!$A:$Z,17,FALSE)+VLOOKUP($A301,A:AL,25,FALSE)-50))</f>
        <v>258</v>
      </c>
      <c r="Y301" s="3">
        <v>258</v>
      </c>
      <c r="Z301" s="3">
        <f t="shared" si="176"/>
        <v>260</v>
      </c>
      <c r="AA301" s="3">
        <f>IF(ISERROR(VLOOKUP($A301,'SegEnds_NonXtal_BW#'!$A:$Z,19,FALSE)+AB301-50),"-",(VLOOKUP($A301,'SegEnds_NonXtal_BW#'!$A:$Z,19,FALSE)+AB301-50))</f>
        <v>268</v>
      </c>
      <c r="AB301" s="3">
        <v>279</v>
      </c>
      <c r="AC301" s="3">
        <f>IF(ISERROR((VLOOKUP($A301,'SegEnds_NonXtal_BW#'!$A:$Z,20,FALSE)+VLOOKUP($A301,A:AL,28,FALSE)-50)),"-",(VLOOKUP($A301,'SegEnds_NonXtal_BW#'!$A:$Z,20,FALSE)+VLOOKUP($A301,A:AL,28,FALSE)-50))</f>
        <v>298</v>
      </c>
      <c r="AD301" s="3">
        <f>IF(ISERROR(VLOOKUP($A301,'SegEnds_NonXtal_BW#'!$A:$Z,21,FALSE)+AE301-50),"-",(VLOOKUP($A301,'SegEnds_NonXtal_BW#'!$A:$Z,21,FALSE)+AE301-50))</f>
        <v>304</v>
      </c>
      <c r="AE301" s="3">
        <v>329</v>
      </c>
      <c r="AF301" s="3">
        <f>IF(ISERROR((VLOOKUP($A301,'SegEnds_NonXtal_BW#'!$A:$Z,22,FALSE)+AE301-50)),"-",(VLOOKUP($A301,'SegEnds_NonXtal_BW#'!$A:$Z,22,FALSE)+AE301-50))</f>
        <v>332</v>
      </c>
      <c r="AG301" s="3">
        <f>IF(ISERROR(VLOOKUP($A301,'SegEnds_NonXtal_BW#'!$A:$Z,23,FALSE)+VLOOKUP($A301,A:AL,34,FALSE)-50),"-",(VLOOKUP($A301,'SegEnds_NonXtal_BW#'!$A:$Z,23,FALSE)+VLOOKUP($A301,A:AL,34,FALSE)-50))</f>
        <v>339</v>
      </c>
      <c r="AH301" s="3">
        <v>360</v>
      </c>
      <c r="AI301" s="3">
        <f>IF(ISERROR((VLOOKUP($A301,'SegEnds_NonXtal_BW#'!$A:$Z,24,FALSE)+VLOOKUP($A301,A:AL,34,FALSE)-50)),"-",(VLOOKUP($A301,'SegEnds_NonXtal_BW#'!$A:$Z,24,FALSE)+VLOOKUP($A301,A:AL,34,FALSE)-50))</f>
        <v>366</v>
      </c>
      <c r="AJ301" s="3">
        <f>IF(ISERROR(VLOOKUP($A301,'SegEnds_NonXtal_BW#'!$A:$Z,25,FALSE)+VLOOKUP($A301,A:AL,37,FALSE)-50),"-",(VLOOKUP($A301,'SegEnds_NonXtal_BW#'!$A:$Z,25,FALSE)+VLOOKUP($A301,A:AL,37,FALSE)-50))</f>
        <v>367</v>
      </c>
      <c r="AK301" s="3">
        <v>370</v>
      </c>
      <c r="AL301" s="3">
        <f>IF(ISERROR((VLOOKUP($A301,'SegEnds_NonXtal_BW#'!$A:$Z,26,FALSE)+VLOOKUP($A301,A:AL,37,FALSE)-50)),"-",(VLOOKUP($A301,'SegEnds_NonXtal_BW#'!$A:$Z,26,FALSE)+VLOOKUP($A301,A:AL,37,FALSE)-50))</f>
        <v>392</v>
      </c>
      <c r="AM301" s="28" t="str">
        <f>VLOOKUP(A301,Classification!A:B,2,FALSE)</f>
        <v>B1</v>
      </c>
      <c r="AN301" s="28" t="b">
        <f t="shared" si="167"/>
        <v>1</v>
      </c>
      <c r="AO301" s="3" t="str">
        <f>IF(ISERROR(MATCH(A301,'SegEnds_Xtal_Prot#'!B:B, 0)), "NoXtal", "Xtal")</f>
        <v>Xtal</v>
      </c>
      <c r="AP301" s="3">
        <f t="shared" si="152"/>
        <v>1</v>
      </c>
      <c r="AQ301" s="3">
        <f t="shared" si="153"/>
        <v>1</v>
      </c>
      <c r="AR301" s="3" t="str">
        <f t="shared" si="154"/>
        <v>-</v>
      </c>
      <c r="AS301" s="3" t="str">
        <f t="shared" si="155"/>
        <v>-</v>
      </c>
      <c r="AT301" s="3" t="str">
        <f t="shared" si="156"/>
        <v>-</v>
      </c>
      <c r="AU301" s="3" t="str">
        <f t="shared" si="157"/>
        <v>-</v>
      </c>
      <c r="AV301" s="3">
        <f t="shared" si="158"/>
        <v>4</v>
      </c>
      <c r="AW301" s="3">
        <f t="shared" si="159"/>
        <v>8</v>
      </c>
      <c r="AX301" s="3">
        <f t="shared" si="160"/>
        <v>6</v>
      </c>
      <c r="AY301" s="3">
        <f t="shared" si="161"/>
        <v>7</v>
      </c>
      <c r="AZ301" s="3">
        <f t="shared" si="162"/>
        <v>1</v>
      </c>
      <c r="BA301" s="3">
        <f>IF(ISERROR(LEN(VLOOKUP(A301,Seqs!A:E,2,FALSE))-AL301),"-",LEN(VLOOKUP(A301,Seqs!A:E,2,FALSE))-AL301)</f>
        <v>23</v>
      </c>
      <c r="BB301" s="16">
        <f t="shared" si="163"/>
        <v>28</v>
      </c>
      <c r="BC301" s="9" t="str">
        <f t="shared" si="164"/>
        <v>-</v>
      </c>
      <c r="BD301" s="3">
        <f t="shared" si="165"/>
        <v>28</v>
      </c>
      <c r="BE301" s="3">
        <f t="shared" si="166"/>
        <v>50</v>
      </c>
      <c r="BF301" s="3">
        <f>AH301-AE301</f>
        <v>31</v>
      </c>
    </row>
    <row r="302" spans="1:59" s="3" customFormat="1" x14ac:dyDescent="0.2">
      <c r="A302" s="3" t="s">
        <v>403</v>
      </c>
      <c r="B302" s="3" t="str">
        <f>LOWER(VLOOKUP(A302,Xtal_Templ!A:B,2,FALSE))</f>
        <v>crfr1_human</v>
      </c>
      <c r="C302" s="3">
        <f>VLOOKUP($A302,'SegEnds_NonXtal_BW#'!$A:$Z,3,FALSE)+D302-50</f>
        <v>100</v>
      </c>
      <c r="D302" s="3">
        <v>131</v>
      </c>
      <c r="E302" s="3">
        <f>IF(ISERROR(VLOOKUP($A302,'SegEnds_NonXtal_BW#'!$A:$Z,4,FALSE)+VLOOKUP($A302,A:AL,4,FALSE)-50),"-",(VLOOKUP($A302,'SegEnds_NonXtal_BW#'!$A:$Z,4,FALSE)+VLOOKUP($A302,A:AL,4,FALSE)-50))</f>
        <v>141</v>
      </c>
      <c r="F302" s="3">
        <f t="shared" si="171"/>
        <v>142</v>
      </c>
      <c r="G302" s="3">
        <v>144</v>
      </c>
      <c r="H302" s="3">
        <f t="shared" si="177"/>
        <v>145</v>
      </c>
      <c r="I302" s="3">
        <f t="shared" si="177"/>
        <v>146</v>
      </c>
      <c r="J302" s="3">
        <v>159</v>
      </c>
      <c r="K302" s="3">
        <f>VLOOKUP($A302,'SegEnds_NonXtal_BW#'!$A:$Z,8,FALSE)+VLOOKUP($A302,A:AL,10,FALSE)-50</f>
        <v>172</v>
      </c>
      <c r="L302" s="3" t="str">
        <f>IF(ISERROR(VLOOKUP($A302,'SegEnds_NonXtal_BW#'!$A:$Z,9,FALSE)+VLOOKUP($A302,A:AL,13,FALSE)-50),"-",(VLOOKUP($A302,'SegEnds_NonXtal_BW#'!$A:$Z,9,FALSE)+VLOOKUP($A302,A:AL,13,FALSE)-50))</f>
        <v>-</v>
      </c>
      <c r="M302" s="3" t="s">
        <v>23</v>
      </c>
      <c r="N302" s="3" t="str">
        <f>IF(ISERROR(VLOOKUP($A302,'SegEnds_NonXtal_BW#'!$A:$Z,10,FALSE)+VLOOKUP($A302,A:AL,13,FALSE)-50),"-",(VLOOKUP($A302,'SegEnds_NonXtal_BW#'!$A:$Z,10,FALSE)+VLOOKUP($A302,A:AL,13,FALSE)-50))</f>
        <v>-</v>
      </c>
      <c r="O302" s="3">
        <f>VLOOKUP($A302,'SegEnds_NonXtal_BW#'!$A:$Z,11,FALSE)+VLOOKUP($A302,A:AL,16,FALSE)-50</f>
        <v>181</v>
      </c>
      <c r="P302" s="3">
        <v>209</v>
      </c>
      <c r="Q302" s="3">
        <f>VLOOKUP($A302,'SegEnds_NonXtal_BW#'!$A:$Z,12,FALSE)+VLOOKUP($A302,A:AL,16,FALSE)-50</f>
        <v>215</v>
      </c>
      <c r="R302" s="3" t="str">
        <f>IF(ISERROR(VLOOKUP($A302,'SegEnds_NonXtal_BW#'!$A:$Z,13,FALSE)+VLOOKUP($A302,A:AL,19,FALSE)-50),"-",VLOOKUP($A302,'SegEnds_NonXtal_BW#'!$A:$Z,13,FALSE)+VLOOKUP($A302,A:AL,19,FALSE)-50)</f>
        <v>-</v>
      </c>
      <c r="S302" s="3" t="s">
        <v>23</v>
      </c>
      <c r="T302" s="100" t="str">
        <f>IF(ISERROR(VLOOKUP($A302,'SegEnds_NonXtal_BW#'!$A:$Z,14,FALSE)+VLOOKUP($A302,A:AL,19,FALSE)-50),"-",(VLOOKUP($A302,'SegEnds_NonXtal_BW#'!$A:$Z,14,FALSE)+VLOOKUP($A302,A:AL,19,FALSE)-50))</f>
        <v>-</v>
      </c>
      <c r="U302" s="9">
        <f>IF(ISERROR(VLOOKUP($A302,'SegEnds_NonXtal_BW#'!$A:$Z,15,FALSE)+VLOOKUP($A302,A:AL,22,FALSE)-50),"-",VLOOKUP($A302,'SegEnds_NonXtal_BW#'!$A:$Z,15,FALSE)+VLOOKUP($A302,A:AL,22,FALSE)-50)</f>
        <v>222</v>
      </c>
      <c r="V302" s="3">
        <v>232</v>
      </c>
      <c r="W302" s="3">
        <f>IF(ISERROR(VLOOKUP($A302,'SegEnds_NonXtal_BW#'!$A:$Z,16,FALSE)+VLOOKUP($A302,A:AL,22,FALSE)-50),"-",(VLOOKUP($A302,'SegEnds_NonXtal_BW#'!$A:$Z,16,FALSE)+VLOOKUP($A302,A:AL,22,FALSE)-50))</f>
        <v>250</v>
      </c>
      <c r="X302" s="3">
        <f>IF(ISERROR(VLOOKUP($A302,'SegEnds_NonXtal_BW#'!$A:$Z,17,FALSE)+VLOOKUP($A302,A:AL,25,FALSE)-50),"-",(VLOOKUP($A302,'SegEnds_NonXtal_BW#'!$A:$Z,17,FALSE)+VLOOKUP($A302,A:AL,25,FALSE)-50))</f>
        <v>254</v>
      </c>
      <c r="Y302" s="3">
        <v>254</v>
      </c>
      <c r="Z302" s="3">
        <f t="shared" si="176"/>
        <v>256</v>
      </c>
      <c r="AA302" s="3">
        <f>IF(ISERROR(VLOOKUP($A302,'SegEnds_NonXtal_BW#'!$A:$Z,19,FALSE)+VLOOKUP($A302,A:AL,28,FALSE)-50),"-",(VLOOKUP($A302,'SegEnds_NonXtal_BW#'!$A:$Z,19,FALSE)+VLOOKUP($A302,A:AL,28,FALSE)-50))</f>
        <v>264</v>
      </c>
      <c r="AB302" s="3">
        <v>275</v>
      </c>
      <c r="AC302" s="3">
        <f>IF(ISERROR((VLOOKUP($A302,'SegEnds_NonXtal_BW#'!$A:$Z,20,FALSE)+VLOOKUP($A302,A:AL,28,FALSE)-50)),"-",(VLOOKUP($A302,'SegEnds_NonXtal_BW#'!$A:$Z,20,FALSE)+VLOOKUP($A302,A:AL,28,FALSE)-50))</f>
        <v>294</v>
      </c>
      <c r="AD302" s="3">
        <f>IF(ISERROR(VLOOKUP($A302,'SegEnds_NonXtal_BW#'!$A:$Z,21,FALSE)+VLOOKUP($A302,A:AL,31,FALSE)-50),"-",(VLOOKUP($A302,'SegEnds_NonXtal_BW#'!$A:$Z,21,FALSE)+VLOOKUP($A302,A:AL,31,FALSE)-50))</f>
        <v>300</v>
      </c>
      <c r="AE302" s="3">
        <v>325</v>
      </c>
      <c r="AF302" s="3">
        <f>IF(ISERROR((VLOOKUP($A302,'SegEnds_NonXtal_BW#'!$A:$Z,22,FALSE)+VLOOKUP($A302,A:AL,31,FALSE)-50)),"-",(VLOOKUP($A302,'SegEnds_NonXtal_BW#'!$A:$Z,22,FALSE)+VLOOKUP($A302,A:AL,31,FALSE)-50))</f>
        <v>328</v>
      </c>
      <c r="AG302" s="3">
        <f>IF(ISERROR(VLOOKUP($A302,'SegEnds_NonXtal_BW#'!$A:$Z,23,FALSE)+VLOOKUP($A302,A:AL,34,FALSE)-50),"-",(VLOOKUP($A302,'SegEnds_NonXtal_BW#'!$A:$Z,23,FALSE)+VLOOKUP($A302,A:AL,34,FALSE)-50))</f>
        <v>335</v>
      </c>
      <c r="AH302" s="3">
        <v>356</v>
      </c>
      <c r="AI302" s="3">
        <f>IF(ISERROR((VLOOKUP($A302,'SegEnds_NonXtal_BW#'!$A:$Z,24,FALSE)+VLOOKUP($A302,A:AL,34,FALSE)-50)),"-",(VLOOKUP($A302,'SegEnds_NonXtal_BW#'!$A:$Z,24,FALSE)+VLOOKUP($A302,A:AL,34,FALSE)-50))</f>
        <v>362</v>
      </c>
      <c r="AJ302" s="3">
        <f>IF(ISERROR(VLOOKUP($A302,'SegEnds_NonXtal_BW#'!$A:$Z,25,FALSE)+VLOOKUP($A302,A:AL,37,FALSE)-50),"-",(VLOOKUP($A302,'SegEnds_NonXtal_BW#'!$A:$Z,25,FALSE)+VLOOKUP($A302,A:AL,37,FALSE)-50))</f>
        <v>363</v>
      </c>
      <c r="AK302" s="3">
        <v>366</v>
      </c>
      <c r="AL302" s="3">
        <f>IF(ISERROR((VLOOKUP($A302,'SegEnds_NonXtal_BW#'!$A:$Z,26,FALSE)+VLOOKUP($A302,A:AL,37,FALSE)-50)),"-",(VLOOKUP($A302,'SegEnds_NonXtal_BW#'!$A:$Z,26,FALSE)+VLOOKUP($A302,A:AL,37,FALSE)-50))</f>
        <v>388</v>
      </c>
      <c r="AM302" s="28" t="str">
        <f>VLOOKUP(A302,Classification!A:B,2,FALSE)</f>
        <v>B1</v>
      </c>
      <c r="AN302" s="28" t="b">
        <f t="shared" si="167"/>
        <v>1</v>
      </c>
      <c r="AO302" s="3" t="str">
        <f>IF(ISERROR(MATCH(A302,'SegEnds_Xtal_Prot#'!B:B, 0)), "NoXtal", "Xtal")</f>
        <v>NoXtal</v>
      </c>
      <c r="AP302" s="3">
        <f t="shared" si="152"/>
        <v>1</v>
      </c>
      <c r="AQ302" s="3">
        <f t="shared" si="153"/>
        <v>1</v>
      </c>
      <c r="AR302" s="3" t="str">
        <f t="shared" si="154"/>
        <v>-</v>
      </c>
      <c r="AS302" s="3" t="str">
        <f t="shared" si="155"/>
        <v>-</v>
      </c>
      <c r="AT302" s="3" t="str">
        <f t="shared" si="156"/>
        <v>-</v>
      </c>
      <c r="AU302" s="3" t="str">
        <f t="shared" si="157"/>
        <v>-</v>
      </c>
      <c r="AV302" s="3">
        <f t="shared" si="158"/>
        <v>4</v>
      </c>
      <c r="AW302" s="3">
        <f t="shared" si="159"/>
        <v>8</v>
      </c>
      <c r="AX302" s="3">
        <f t="shared" si="160"/>
        <v>6</v>
      </c>
      <c r="AY302" s="3">
        <f t="shared" si="161"/>
        <v>7</v>
      </c>
      <c r="AZ302" s="3">
        <f t="shared" si="162"/>
        <v>1</v>
      </c>
      <c r="BA302" s="3">
        <f>IF(ISERROR(LEN(VLOOKUP(A302,Seqs!A:E,2,FALSE))-AL302),"-",LEN(VLOOKUP(A302,Seqs!A:E,2,FALSE))-AL302)</f>
        <v>23</v>
      </c>
      <c r="BB302" s="16">
        <f t="shared" si="163"/>
        <v>28</v>
      </c>
      <c r="BC302" s="9" t="str">
        <f t="shared" si="164"/>
        <v>-</v>
      </c>
      <c r="BD302" s="3">
        <f t="shared" si="165"/>
        <v>28</v>
      </c>
      <c r="BE302" s="3">
        <f t="shared" si="166"/>
        <v>50</v>
      </c>
      <c r="BF302" s="3">
        <f>AH302-AE302</f>
        <v>31</v>
      </c>
    </row>
    <row r="303" spans="1:59" s="3" customFormat="1" x14ac:dyDescent="0.2">
      <c r="A303" s="3" t="s">
        <v>1430</v>
      </c>
      <c r="B303" s="3" t="str">
        <f>LOWER(VLOOKUP(A303,Xtal_Templ!A:B,2,FALSE))</f>
        <v>g1sgd4_rabit</v>
      </c>
      <c r="C303" s="3">
        <f>VLOOKUP($A303,'SegEnds_NonXtal_BW#'!$A:$Z,3,FALSE)+D303-50</f>
        <v>137</v>
      </c>
      <c r="D303" s="3">
        <v>159</v>
      </c>
      <c r="E303" s="3">
        <f>IF(ISERROR(VLOOKUP($A303,'SegEnds_NonXtal_BW#'!$A:$Z,4,FALSE)+VLOOKUP($A303,A:AL,4,FALSE)-50),"-",(VLOOKUP($A303,'SegEnds_NonXtal_BW#'!$A:$Z,4,FALSE)+VLOOKUP($A303,A:AL,4,FALSE)-50))</f>
        <v>169</v>
      </c>
      <c r="F303" s="3">
        <f t="shared" si="171"/>
        <v>170</v>
      </c>
      <c r="G303" s="3">
        <v>172</v>
      </c>
      <c r="H303" s="3">
        <f t="shared" si="177"/>
        <v>173</v>
      </c>
      <c r="I303" s="3">
        <f t="shared" si="177"/>
        <v>174</v>
      </c>
      <c r="J303" s="3">
        <v>187</v>
      </c>
      <c r="K303" s="3">
        <f>VLOOKUP($A303,'SegEnds_NonXtal_BW#'!$A:$Z,8,FALSE)+VLOOKUP($A303,A:AL,10,FALSE)-50</f>
        <v>211</v>
      </c>
      <c r="L303" s="3" t="str">
        <f>IF(ISERROR(VLOOKUP($A303,'SegEnds_NonXtal_BW#'!$A:$Z,9,FALSE)+VLOOKUP($A303,A:AL,13,FALSE)-50),"-",(VLOOKUP($A303,'SegEnds_NonXtal_BW#'!$A:$Z,9,FALSE)+VLOOKUP($A303,A:AL,13,FALSE)-50))</f>
        <v>-</v>
      </c>
      <c r="M303" s="3" t="s">
        <v>23</v>
      </c>
      <c r="N303" s="3" t="str">
        <f>IF(ISERROR(VLOOKUP($A303,'SegEnds_NonXtal_BW#'!$A:$Z,10,FALSE)+VLOOKUP($A303,A:AL,13,FALSE)-50),"-",(VLOOKUP($A303,'SegEnds_NonXtal_BW#'!$A:$Z,10,FALSE)+VLOOKUP($A303,A:AL,13,FALSE)-50))</f>
        <v>-</v>
      </c>
      <c r="O303" s="3">
        <f>VLOOKUP($A303,'SegEnds_NonXtal_BW#'!$A:$Z,11,FALSE)+VLOOKUP($A303,A:AL,16,FALSE)-50</f>
        <v>224</v>
      </c>
      <c r="P303" s="3">
        <v>251</v>
      </c>
      <c r="Q303" s="3">
        <f>VLOOKUP($A303,'SegEnds_NonXtal_BW#'!$A:$Z,12,FALSE)+VLOOKUP($A303,A:AL,16,FALSE)-50</f>
        <v>257</v>
      </c>
      <c r="R303" s="3" t="str">
        <f>IF(ISERROR(VLOOKUP($A303,'SegEnds_NonXtal_BW#'!$A:$Z,13,FALSE)+VLOOKUP($A303,A:AL,19,FALSE)-50),"-",VLOOKUP($A303,'SegEnds_NonXtal_BW#'!$A:$Z,13,FALSE)+VLOOKUP($A303,A:AL,19,FALSE)-50)</f>
        <v>-</v>
      </c>
      <c r="S303" s="3" t="s">
        <v>23</v>
      </c>
      <c r="T303" s="100" t="str">
        <f>IF(ISERROR(VLOOKUP($A303,'SegEnds_NonXtal_BW#'!$A:$Z,14,FALSE)+VLOOKUP($A303,A:AL,19,FALSE)-50),"-",(VLOOKUP($A303,'SegEnds_NonXtal_BW#'!$A:$Z,14,FALSE)+VLOOKUP($A303,A:AL,19,FALSE)-50))</f>
        <v>-</v>
      </c>
      <c r="U303" s="9">
        <f>IF(ISERROR(VLOOKUP($A303,'SegEnds_NonXtal_BW#'!$A:$Z,15,FALSE)+VLOOKUP($A303,A:AL,22,FALSE)-50),"-",VLOOKUP($A303,'SegEnds_NonXtal_BW#'!$A:$Z,15,FALSE)+VLOOKUP($A303,A:AL,22,FALSE)-50)</f>
        <v>261</v>
      </c>
      <c r="V303" s="3">
        <v>274</v>
      </c>
      <c r="W303" s="3">
        <f>IF(ISERROR(VLOOKUP($A303,'SegEnds_NonXtal_BW#'!$A:$Z,16,FALSE)+VLOOKUP($A303,A:AL,22,FALSE)-50),"-",(VLOOKUP($A303,'SegEnds_NonXtal_BW#'!$A:$Z,16,FALSE)+VLOOKUP($A303,A:AL,22,FALSE)-50))</f>
        <v>292</v>
      </c>
      <c r="X303" s="3">
        <f>IF(ISERROR(VLOOKUP($A303,'SegEnds_NonXtal_BW#'!$A:$Z,17,FALSE)+VLOOKUP($A303,A:AL,25,FALSE)-50),"-",(VLOOKUP($A303,'SegEnds_NonXtal_BW#'!$A:$Z,17,FALSE)+VLOOKUP($A303,A:AL,25,FALSE)-50))</f>
        <v>296</v>
      </c>
      <c r="Y303" s="3">
        <v>296</v>
      </c>
      <c r="Z303" s="3">
        <f t="shared" si="176"/>
        <v>298</v>
      </c>
      <c r="AA303" s="3">
        <f>IF(ISERROR(VLOOKUP($A303,'SegEnds_NonXtal_BW#'!$A:$Z,19,FALSE)+VLOOKUP($A303,A:AL,28,FALSE)-50),"-",(VLOOKUP($A303,'SegEnds_NonXtal_BW#'!$A:$Z,19,FALSE)+VLOOKUP($A303,A:AL,28,FALSE)-50))</f>
        <v>305</v>
      </c>
      <c r="AB303" s="3">
        <v>316</v>
      </c>
      <c r="AC303" s="3">
        <f>IF(ISERROR((VLOOKUP($A303,'SegEnds_NonXtal_BW#'!$A:$Z,20,FALSE)+VLOOKUP($A303,A:AL,28,FALSE)-50)),"-",(VLOOKUP($A303,'SegEnds_NonXtal_BW#'!$A:$Z,20,FALSE)+VLOOKUP($A303,A:AL,28,FALSE)-50))</f>
        <v>337</v>
      </c>
      <c r="AD303" s="3">
        <f>IF(ISERROR(VLOOKUP($A303,'SegEnds_NonXtal_BW#'!$A:$Z,21,FALSE)+VLOOKUP($A303,A:AL,31,FALSE)-50),"-",(VLOOKUP($A303,'SegEnds_NonXtal_BW#'!$A:$Z,21,FALSE)+VLOOKUP($A303,A:AL,31,FALSE)-50))</f>
        <v>346</v>
      </c>
      <c r="AE303" s="3">
        <v>366</v>
      </c>
      <c r="AF303" s="3">
        <f>IF(ISERROR((VLOOKUP($A303,'SegEnds_NonXtal_BW#'!$A:$Z,22,FALSE)+VLOOKUP($A303,A:AL,31,FALSE)-50)),"-",(VLOOKUP($A303,'SegEnds_NonXtal_BW#'!$A:$Z,22,FALSE)+VLOOKUP($A303,A:AL,31,FALSE)-50))</f>
        <v>369</v>
      </c>
      <c r="AG303" s="3">
        <f>IF(ISERROR(VLOOKUP($A303,'SegEnds_NonXtal_BW#'!$A:$Z,23,FALSE)+VLOOKUP($A303,A:AL,34,FALSE)-50),"-",(VLOOKUP($A303,'SegEnds_NonXtal_BW#'!$A:$Z,23,FALSE)+VLOOKUP($A303,A:AL,34,FALSE)-50))</f>
        <v>379</v>
      </c>
      <c r="AH303" s="3">
        <v>399</v>
      </c>
      <c r="AI303" s="3">
        <f>IF(ISERROR((VLOOKUP($A303,'SegEnds_NonXtal_BW#'!$A:$Z,24,FALSE)+VLOOKUP($A303,A:AL,34,FALSE)-50)),"-",(VLOOKUP($A303,'SegEnds_NonXtal_BW#'!$A:$Z,24,FALSE)+VLOOKUP($A303,A:AL,34,FALSE)-50))</f>
        <v>405</v>
      </c>
      <c r="AJ303" s="3">
        <f>IF(ISERROR(VLOOKUP($A303,'SegEnds_NonXtal_BW#'!$A:$Z,25,FALSE)+VLOOKUP($A303,A:AL,37,FALSE)-50),"-",(VLOOKUP($A303,'SegEnds_NonXtal_BW#'!$A:$Z,25,FALSE)+VLOOKUP($A303,A:AL,37,FALSE)-50))</f>
        <v>406</v>
      </c>
      <c r="AK303" s="3">
        <v>409</v>
      </c>
      <c r="AL303" s="3">
        <f>IF(ISERROR((VLOOKUP($A303,'SegEnds_NonXtal_BW#'!$A:$Z,26,FALSE)+VLOOKUP($A303,A:AL,37,FALSE)-50)),"-",(VLOOKUP($A303,'SegEnds_NonXtal_BW#'!$A:$Z,26,FALSE)+VLOOKUP($A303,A:AL,37,FALSE)-50))</f>
        <v>431</v>
      </c>
      <c r="AM303" s="28" t="str">
        <f>VLOOKUP(A303,Classification!A:B,2,FALSE)</f>
        <v>B1</v>
      </c>
      <c r="AN303" s="28" t="b">
        <f t="shared" si="167"/>
        <v>1</v>
      </c>
      <c r="AO303" s="3" t="str">
        <f>IF(ISERROR(MATCH(A303,'SegEnds_Xtal_Prot#'!B:B, 0)), "NoXtal", "Xtal")</f>
        <v>Xtal</v>
      </c>
      <c r="AP303" s="3">
        <f t="shared" si="152"/>
        <v>1</v>
      </c>
      <c r="AQ303" s="3">
        <f t="shared" si="153"/>
        <v>1</v>
      </c>
      <c r="AR303" s="3" t="str">
        <f t="shared" si="154"/>
        <v>-</v>
      </c>
      <c r="AS303" s="3" t="str">
        <f t="shared" si="155"/>
        <v>-</v>
      </c>
      <c r="AT303" s="3" t="str">
        <f t="shared" si="156"/>
        <v>-</v>
      </c>
      <c r="AU303" s="3" t="str">
        <f t="shared" si="157"/>
        <v>-</v>
      </c>
      <c r="AV303" s="3">
        <f t="shared" si="158"/>
        <v>4</v>
      </c>
      <c r="AW303" s="3">
        <f t="shared" si="159"/>
        <v>7</v>
      </c>
      <c r="AX303" s="3">
        <f t="shared" si="160"/>
        <v>9</v>
      </c>
      <c r="AY303" s="3">
        <f t="shared" si="161"/>
        <v>10</v>
      </c>
      <c r="AZ303" s="3">
        <f t="shared" si="162"/>
        <v>1</v>
      </c>
      <c r="BA303" s="3">
        <f>IF(ISERROR(LEN(VLOOKUP(A303,Seqs!A:E,2,FALSE))-AL303),"-",LEN(VLOOKUP(A303,Seqs!A:E,2,FALSE))-AL303)</f>
        <v>31</v>
      </c>
      <c r="BB303" s="16">
        <f t="shared" si="163"/>
        <v>28</v>
      </c>
      <c r="BC303" s="9" t="str">
        <f t="shared" si="164"/>
        <v>-</v>
      </c>
      <c r="BD303" s="3">
        <f t="shared" si="165"/>
        <v>28</v>
      </c>
      <c r="BE303" s="3">
        <f t="shared" si="166"/>
        <v>50</v>
      </c>
    </row>
    <row r="304" spans="1:59" s="3" customFormat="1" x14ac:dyDescent="0.2">
      <c r="A304" s="3" t="s">
        <v>404</v>
      </c>
      <c r="B304" s="3" t="str">
        <f>LOWER(VLOOKUP(A304,Xtal_Templ!A:B,2,FALSE))</f>
        <v>pth1r_human</v>
      </c>
      <c r="C304" s="3">
        <f>VLOOKUP($A304,'SegEnds_NonXtal_BW#'!$A:$Z,3,FALSE)+D304-50</f>
        <v>121</v>
      </c>
      <c r="D304" s="3">
        <v>144</v>
      </c>
      <c r="E304" s="3">
        <f>IF(ISERROR(VLOOKUP($A304,'SegEnds_NonXtal_BW#'!$A:$Z,4,FALSE)+VLOOKUP($A304,A:AL,4,FALSE)-50),"-",(VLOOKUP($A304,'SegEnds_NonXtal_BW#'!$A:$Z,4,FALSE)+VLOOKUP($A304,A:AL,4,FALSE)-50))</f>
        <v>154</v>
      </c>
      <c r="F304" s="3">
        <f t="shared" si="171"/>
        <v>155</v>
      </c>
      <c r="G304" s="3">
        <v>157</v>
      </c>
      <c r="H304" s="3">
        <f t="shared" si="177"/>
        <v>158</v>
      </c>
      <c r="I304" s="3">
        <f t="shared" si="177"/>
        <v>159</v>
      </c>
      <c r="J304" s="3">
        <v>172</v>
      </c>
      <c r="K304" s="3">
        <f>VLOOKUP($A304,'SegEnds_NonXtal_BW#'!$A:$Z,8,FALSE)+VLOOKUP($A304,A:AL,10,FALSE)-50</f>
        <v>186</v>
      </c>
      <c r="L304" s="3" t="str">
        <f>IF(ISERROR(VLOOKUP($A304,'SegEnds_NonXtal_BW#'!$A:$Z,9,FALSE)+VLOOKUP($A304,A:AL,13,FALSE)-50),"-",(VLOOKUP($A304,'SegEnds_NonXtal_BW#'!$A:$Z,9,FALSE)+VLOOKUP($A304,A:AL,13,FALSE)-50))</f>
        <v>-</v>
      </c>
      <c r="M304" s="3" t="s">
        <v>23</v>
      </c>
      <c r="N304" s="3" t="str">
        <f>IF(ISERROR(VLOOKUP($A304,'SegEnds_NonXtal_BW#'!$A:$Z,10,FALSE)+VLOOKUP($A304,A:AL,13,FALSE)-50),"-",(VLOOKUP($A304,'SegEnds_NonXtal_BW#'!$A:$Z,10,FALSE)+VLOOKUP($A304,A:AL,13,FALSE)-50))</f>
        <v>-</v>
      </c>
      <c r="O304" s="3">
        <f>VLOOKUP($A304,'SegEnds_NonXtal_BW#'!$A:$Z,11,FALSE)+VLOOKUP($A304,A:AL,16,FALSE)-50</f>
        <v>200</v>
      </c>
      <c r="P304" s="3">
        <v>227</v>
      </c>
      <c r="Q304" s="3">
        <f>VLOOKUP($A304,'SegEnds_NonXtal_BW#'!$A:$Z,12,FALSE)+VLOOKUP($A304,A:AL,16,FALSE)-50</f>
        <v>233</v>
      </c>
      <c r="R304" s="3" t="str">
        <f>IF(ISERROR(VLOOKUP($A304,'SegEnds_NonXtal_BW#'!$A:$Z,13,FALSE)+VLOOKUP($A304,A:AL,19,FALSE)-50),"-",VLOOKUP($A304,'SegEnds_NonXtal_BW#'!$A:$Z,13,FALSE)+VLOOKUP($A304,A:AL,19,FALSE)-50)</f>
        <v>-</v>
      </c>
      <c r="S304" s="3" t="s">
        <v>23</v>
      </c>
      <c r="T304" s="100" t="str">
        <f>IF(ISERROR(VLOOKUP($A304,'SegEnds_NonXtal_BW#'!$A:$Z,14,FALSE)+VLOOKUP($A304,A:AL,19,FALSE)-50),"-",(VLOOKUP($A304,'SegEnds_NonXtal_BW#'!$A:$Z,14,FALSE)+VLOOKUP($A304,A:AL,19,FALSE)-50))</f>
        <v>-</v>
      </c>
      <c r="U304" s="9">
        <f>IF(ISERROR(VLOOKUP($A304,'SegEnds_NonXtal_BW#'!$A:$Z,15,FALSE)+VLOOKUP($A304,A:AL,22,FALSE)-50),"-",VLOOKUP($A304,'SegEnds_NonXtal_BW#'!$A:$Z,15,FALSE)+VLOOKUP($A304,A:AL,22,FALSE)-50)</f>
        <v>237</v>
      </c>
      <c r="V304" s="3">
        <v>250</v>
      </c>
      <c r="W304" s="3">
        <f>IF(ISERROR(VLOOKUP($A304,'SegEnds_NonXtal_BW#'!$A:$Z,16,FALSE)+VLOOKUP($A304,A:AL,22,FALSE)-50),"-",(VLOOKUP($A304,'SegEnds_NonXtal_BW#'!$A:$Z,16,FALSE)+VLOOKUP($A304,A:AL,22,FALSE)-50))</f>
        <v>268</v>
      </c>
      <c r="X304" s="3">
        <f>IF(ISERROR(VLOOKUP($A304,'SegEnds_NonXtal_BW#'!$A:$Z,17,FALSE)+VLOOKUP($A304,A:AL,25,FALSE)-50),"-",(VLOOKUP($A304,'SegEnds_NonXtal_BW#'!$A:$Z,17,FALSE)+VLOOKUP($A304,A:AL,25,FALSE)-50))</f>
        <v>272</v>
      </c>
      <c r="Y304" s="3">
        <v>272</v>
      </c>
      <c r="Z304" s="3">
        <f t="shared" si="176"/>
        <v>274</v>
      </c>
      <c r="AA304" s="3">
        <f>IF(ISERROR(VLOOKUP($A304,'SegEnds_NonXtal_BW#'!$A:$Z,19,FALSE)+VLOOKUP($A304,A:AL,28,FALSE)-50),"-",(VLOOKUP($A304,'SegEnds_NonXtal_BW#'!$A:$Z,19,FALSE)+VLOOKUP($A304,A:AL,28,FALSE)-50))</f>
        <v>281</v>
      </c>
      <c r="AB304" s="3">
        <v>292</v>
      </c>
      <c r="AC304" s="3">
        <f>IF(ISERROR((VLOOKUP($A304,'SegEnds_NonXtal_BW#'!$A:$Z,20,FALSE)+VLOOKUP($A304,A:AL,28,FALSE)-50)),"-",(VLOOKUP($A304,'SegEnds_NonXtal_BW#'!$A:$Z,20,FALSE)+VLOOKUP($A304,A:AL,28,FALSE)-50))</f>
        <v>311</v>
      </c>
      <c r="AD304" s="3">
        <f>IF(ISERROR(VLOOKUP($A304,'SegEnds_NonXtal_BW#'!$A:$Z,21,FALSE)+VLOOKUP($A304,A:AL,31,FALSE)-50),"-",(VLOOKUP($A304,'SegEnds_NonXtal_BW#'!$A:$Z,21,FALSE)+VLOOKUP($A304,A:AL,31,FALSE)-50))</f>
        <v>319</v>
      </c>
      <c r="AE304" s="3">
        <v>344</v>
      </c>
      <c r="AF304" s="3">
        <f>IF(ISERROR((VLOOKUP($A304,'SegEnds_NonXtal_BW#'!$A:$Z,22,FALSE)+VLOOKUP($A304,A:AL,31,FALSE)-50)),"-",(VLOOKUP($A304,'SegEnds_NonXtal_BW#'!$A:$Z,22,FALSE)+VLOOKUP($A304,A:AL,31,FALSE)-50))</f>
        <v>348</v>
      </c>
      <c r="AG304" s="3">
        <f>IF(ISERROR(VLOOKUP($A304,'SegEnds_NonXtal_BW#'!$A:$Z,23,FALSE)+VLOOKUP($A304,A:AL,34,FALSE)-50),"-",(VLOOKUP($A304,'SegEnds_NonXtal_BW#'!$A:$Z,23,FALSE)+VLOOKUP($A304,A:AL,34,FALSE)-50))</f>
        <v>354</v>
      </c>
      <c r="AH304" s="3">
        <v>373</v>
      </c>
      <c r="AI304" s="3">
        <f>IF(ISERROR((VLOOKUP($A304,'SegEnds_NonXtal_BW#'!$A:$Z,24,FALSE)+VLOOKUP($A304,A:AL,34,FALSE)-50)),"-",(VLOOKUP($A304,'SegEnds_NonXtal_BW#'!$A:$Z,24,FALSE)+VLOOKUP($A304,A:AL,34,FALSE)-50))</f>
        <v>379</v>
      </c>
      <c r="AJ304" s="3">
        <f>IF(ISERROR(VLOOKUP($A304,'SegEnds_NonXtal_BW#'!$A:$Z,25,FALSE)+VLOOKUP($A304,A:AL,37,FALSE)-50),"-",(VLOOKUP($A304,'SegEnds_NonXtal_BW#'!$A:$Z,25,FALSE)+VLOOKUP($A304,A:AL,37,FALSE)-50))</f>
        <v>380</v>
      </c>
      <c r="AK304" s="3">
        <v>383</v>
      </c>
      <c r="AL304" s="3">
        <f>IF(ISERROR((VLOOKUP($A304,'SegEnds_NonXtal_BW#'!$A:$Z,26,FALSE)+VLOOKUP($A304,A:AL,37,FALSE)-50)),"-",(VLOOKUP($A304,'SegEnds_NonXtal_BW#'!$A:$Z,26,FALSE)+VLOOKUP($A304,A:AL,37,FALSE)-50))</f>
        <v>405</v>
      </c>
      <c r="AM304" s="28" t="str">
        <f>VLOOKUP(A304,Classification!A:B,2,FALSE)</f>
        <v>B1</v>
      </c>
      <c r="AN304" s="28" t="b">
        <f t="shared" si="167"/>
        <v>1</v>
      </c>
      <c r="AO304" s="3" t="str">
        <f>IF(ISERROR(MATCH(A304,'SegEnds_Xtal_Prot#'!B:B, 0)), "NoXtal", "Xtal")</f>
        <v>NoXtal</v>
      </c>
      <c r="AP304" s="3">
        <f t="shared" si="152"/>
        <v>1</v>
      </c>
      <c r="AQ304" s="3">
        <f t="shared" si="153"/>
        <v>1</v>
      </c>
      <c r="AR304" s="3" t="str">
        <f t="shared" si="154"/>
        <v>-</v>
      </c>
      <c r="AS304" s="3" t="str">
        <f t="shared" si="155"/>
        <v>-</v>
      </c>
      <c r="AT304" s="3" t="str">
        <f t="shared" si="156"/>
        <v>-</v>
      </c>
      <c r="AU304" s="3" t="str">
        <f t="shared" si="157"/>
        <v>-</v>
      </c>
      <c r="AV304" s="3">
        <f t="shared" si="158"/>
        <v>4</v>
      </c>
      <c r="AW304" s="3">
        <f t="shared" si="159"/>
        <v>7</v>
      </c>
      <c r="AX304" s="3">
        <f t="shared" si="160"/>
        <v>8</v>
      </c>
      <c r="AY304" s="3">
        <f t="shared" si="161"/>
        <v>6</v>
      </c>
      <c r="AZ304" s="3">
        <f t="shared" si="162"/>
        <v>1</v>
      </c>
      <c r="BA304" s="3">
        <f>IF(ISERROR(LEN(VLOOKUP(A304,Seqs!A:E,2,FALSE))-AL304),"-",LEN(VLOOKUP(A304,Seqs!A:E,2,FALSE))-AL304)</f>
        <v>18</v>
      </c>
      <c r="BB304" s="16">
        <f t="shared" si="163"/>
        <v>28</v>
      </c>
      <c r="BC304" s="9" t="str">
        <f t="shared" si="164"/>
        <v>-</v>
      </c>
      <c r="BD304" s="3">
        <f t="shared" si="165"/>
        <v>28</v>
      </c>
      <c r="BE304" s="3">
        <f t="shared" si="166"/>
        <v>52</v>
      </c>
      <c r="BF304" s="3">
        <f>AH304-AE304</f>
        <v>29</v>
      </c>
    </row>
    <row r="305" spans="1:58" s="3" customFormat="1" x14ac:dyDescent="0.2">
      <c r="A305" s="3" t="s">
        <v>405</v>
      </c>
      <c r="B305" s="3" t="str">
        <f>LOWER(VLOOKUP(A305,Xtal_Templ!A:B,2,FALSE))</f>
        <v>glr_human</v>
      </c>
      <c r="C305" s="3">
        <f>VLOOKUP($A305,'SegEnds_NonXtal_BW#'!$A:$Z,3,FALSE)+D305-50</f>
        <v>127</v>
      </c>
      <c r="D305" s="3">
        <v>152</v>
      </c>
      <c r="E305" s="3">
        <f>IF(ISERROR(VLOOKUP($A305,'SegEnds_NonXtal_BW#'!$A:$Z,4,FALSE)+VLOOKUP($A305,A:AL,4,FALSE)-50),"-",(VLOOKUP($A305,'SegEnds_NonXtal_BW#'!$A:$Z,4,FALSE)+VLOOKUP($A305,A:AL,4,FALSE)-50))</f>
        <v>162</v>
      </c>
      <c r="F305" s="3">
        <f t="shared" si="171"/>
        <v>163</v>
      </c>
      <c r="G305" s="3">
        <v>165</v>
      </c>
      <c r="H305" s="3">
        <f t="shared" si="177"/>
        <v>166</v>
      </c>
      <c r="I305" s="3">
        <f t="shared" si="177"/>
        <v>167</v>
      </c>
      <c r="J305" s="3">
        <v>180</v>
      </c>
      <c r="K305" s="3">
        <f>VLOOKUP($A305,'SegEnds_NonXtal_BW#'!$A:$Z,8,FALSE)+VLOOKUP($A305,A:AL,10,FALSE)-50</f>
        <v>194</v>
      </c>
      <c r="L305" s="3" t="str">
        <f>IF(ISERROR(VLOOKUP($A305,'SegEnds_NonXtal_BW#'!$A:$Z,9,FALSE)+VLOOKUP($A305,A:AL,13,FALSE)-50),"-",(VLOOKUP($A305,'SegEnds_NonXtal_BW#'!$A:$Z,9,FALSE)+VLOOKUP($A305,A:AL,13,FALSE)-50))</f>
        <v>-</v>
      </c>
      <c r="M305" s="3" t="s">
        <v>23</v>
      </c>
      <c r="N305" s="3" t="str">
        <f>IF(ISERROR(VLOOKUP($A305,'SegEnds_NonXtal_BW#'!$A:$Z,10,FALSE)+VLOOKUP($A305,A:AL,13,FALSE)-50),"-",(VLOOKUP($A305,'SegEnds_NonXtal_BW#'!$A:$Z,10,FALSE)+VLOOKUP($A305,A:AL,13,FALSE)-50))</f>
        <v>-</v>
      </c>
      <c r="O305" s="3">
        <f>VLOOKUP($A305,'SegEnds_NonXtal_BW#'!$A:$Z,11,FALSE)+VLOOKUP($A305,A:AL,16,FALSE)-50</f>
        <v>214</v>
      </c>
      <c r="P305" s="3">
        <v>241</v>
      </c>
      <c r="Q305" s="3">
        <f>VLOOKUP($A305,'SegEnds_NonXtal_BW#'!$A:$Z,12,FALSE)+VLOOKUP($A305,A:AL,16,FALSE)-50</f>
        <v>247</v>
      </c>
      <c r="R305" s="3" t="str">
        <f>IF(ISERROR(VLOOKUP($A305,'SegEnds_NonXtal_BW#'!$A:$Z,13,FALSE)+VLOOKUP($A305,A:AL,19,FALSE)-50),"-",VLOOKUP($A305,'SegEnds_NonXtal_BW#'!$A:$Z,13,FALSE)+VLOOKUP($A305,A:AL,19,FALSE)-50)</f>
        <v>-</v>
      </c>
      <c r="S305" s="3" t="s">
        <v>23</v>
      </c>
      <c r="T305" s="100" t="str">
        <f>IF(ISERROR(VLOOKUP($A305,'SegEnds_NonXtal_BW#'!$A:$Z,14,FALSE)+VLOOKUP($A305,A:AL,19,FALSE)-50),"-",(VLOOKUP($A305,'SegEnds_NonXtal_BW#'!$A:$Z,14,FALSE)+VLOOKUP($A305,A:AL,19,FALSE)-50))</f>
        <v>-</v>
      </c>
      <c r="U305" s="9">
        <f>IF(ISERROR(VLOOKUP($A305,'SegEnds_NonXtal_BW#'!$A:$Z,15,FALSE)+VLOOKUP($A305,A:AL,22,FALSE)-50),"-",VLOOKUP($A305,'SegEnds_NonXtal_BW#'!$A:$Z,15,FALSE)+VLOOKUP($A305,A:AL,22,FALSE)-50)</f>
        <v>254</v>
      </c>
      <c r="V305" s="3">
        <v>264</v>
      </c>
      <c r="W305" s="3">
        <f>IF(ISERROR(VLOOKUP($A305,'SegEnds_NonXtal_BW#'!$A:$Z,16,FALSE)+VLOOKUP($A305,A:AL,22,FALSE)-50),"-",(VLOOKUP($A305,'SegEnds_NonXtal_BW#'!$A:$Z,16,FALSE)+VLOOKUP($A305,A:AL,22,FALSE)-50))</f>
        <v>282</v>
      </c>
      <c r="X305" s="3">
        <f>IF(ISERROR(VLOOKUP($A305,'SegEnds_NonXtal_BW#'!$A:$Z,17,FALSE)+VLOOKUP($A305,A:AL,25,FALSE)-50),"-",(VLOOKUP($A305,'SegEnds_NonXtal_BW#'!$A:$Z,17,FALSE)+VLOOKUP($A305,A:AL,25,FALSE)-50))</f>
        <v>286</v>
      </c>
      <c r="Y305" s="3">
        <v>286</v>
      </c>
      <c r="Z305" s="3">
        <f t="shared" si="176"/>
        <v>288</v>
      </c>
      <c r="AA305" s="3">
        <f>IF(ISERROR(VLOOKUP($A305,'SegEnds_NonXtal_BW#'!$A:$Z,19,FALSE)+VLOOKUP($A305,A:AL,28,FALSE)-50),"-",(VLOOKUP($A305,'SegEnds_NonXtal_BW#'!$A:$Z,19,FALSE)+VLOOKUP($A305,A:AL,28,FALSE)-50))</f>
        <v>295</v>
      </c>
      <c r="AB305" s="3">
        <v>306</v>
      </c>
      <c r="AC305" s="3">
        <f>IF(ISERROR((VLOOKUP($A305,'SegEnds_NonXtal_BW#'!$A:$Z,20,FALSE)+VLOOKUP($A305,A:AL,28,FALSE)-50)),"-",(VLOOKUP($A305,'SegEnds_NonXtal_BW#'!$A:$Z,20,FALSE)+VLOOKUP($A305,A:AL,28,FALSE)-50))</f>
        <v>327</v>
      </c>
      <c r="AD305" s="3">
        <f>IF(ISERROR(VLOOKUP($A305,'SegEnds_NonXtal_BW#'!$A:$Z,21,FALSE)+VLOOKUP($A305,A:AL,31,FALSE)-50),"-",(VLOOKUP($A305,'SegEnds_NonXtal_BW#'!$A:$Z,21,FALSE)+VLOOKUP($A305,A:AL,31,FALSE)-50))</f>
        <v>334</v>
      </c>
      <c r="AE305" s="3">
        <v>356</v>
      </c>
      <c r="AF305" s="3">
        <f>IF(ISERROR((VLOOKUP($A305,'SegEnds_NonXtal_BW#'!$A:$Z,22,FALSE)+VLOOKUP($A305,A:AL,31,FALSE)-50)),"-",(VLOOKUP($A305,'SegEnds_NonXtal_BW#'!$A:$Z,22,FALSE)+VLOOKUP($A305,A:AL,31,FALSE)-50))</f>
        <v>359</v>
      </c>
      <c r="AG305" s="3">
        <f>IF(ISERROR(VLOOKUP($A305,'SegEnds_NonXtal_BW#'!$A:$Z,23,FALSE)+VLOOKUP($A305,A:AL,34,FALSE)-50),"-",(VLOOKUP($A305,'SegEnds_NonXtal_BW#'!$A:$Z,23,FALSE)+VLOOKUP($A305,A:AL,34,FALSE)-50))</f>
        <v>367</v>
      </c>
      <c r="AH305" s="3">
        <v>389</v>
      </c>
      <c r="AI305" s="3">
        <f>IF(ISERROR((VLOOKUP($A305,'SegEnds_NonXtal_BW#'!$A:$Z,24,FALSE)+VLOOKUP($A305,A:AL,34,FALSE)-50)),"-",(VLOOKUP($A305,'SegEnds_NonXtal_BW#'!$A:$Z,24,FALSE)+VLOOKUP($A305,A:AL,34,FALSE)-50))</f>
        <v>395</v>
      </c>
      <c r="AJ305" s="3">
        <f>IF(ISERROR(VLOOKUP($A305,'SegEnds_NonXtal_BW#'!$A:$Z,25,FALSE)+VLOOKUP($A305,A:AL,37,FALSE)-50),"-",(VLOOKUP($A305,'SegEnds_NonXtal_BW#'!$A:$Z,25,FALSE)+VLOOKUP($A305,A:AL,37,FALSE)-50))</f>
        <v>396</v>
      </c>
      <c r="AK305" s="3">
        <v>399</v>
      </c>
      <c r="AL305" s="3">
        <f>IF(ISERROR((VLOOKUP($A305,'SegEnds_NonXtal_BW#'!$A:$Z,26,FALSE)+VLOOKUP($A305,A:AL,37,FALSE)-50)),"-",(VLOOKUP($A305,'SegEnds_NonXtal_BW#'!$A:$Z,26,FALSE)+VLOOKUP($A305,A:AL,37,FALSE)-50))</f>
        <v>421</v>
      </c>
      <c r="AM305" s="28" t="str">
        <f>VLOOKUP(A305,Classification!A:B,2,FALSE)</f>
        <v>B1</v>
      </c>
      <c r="AN305" s="28" t="b">
        <f t="shared" si="167"/>
        <v>1</v>
      </c>
      <c r="AO305" s="3" t="str">
        <f>IF(ISERROR(MATCH(A305,'SegEnds_Xtal_Prot#'!B:B, 0)), "NoXtal", "Xtal")</f>
        <v>NoXtal</v>
      </c>
      <c r="AP305" s="3">
        <f t="shared" si="152"/>
        <v>1</v>
      </c>
      <c r="AQ305" s="3">
        <f t="shared" si="153"/>
        <v>1</v>
      </c>
      <c r="AR305" s="3" t="str">
        <f t="shared" si="154"/>
        <v>-</v>
      </c>
      <c r="AS305" s="3" t="str">
        <f t="shared" si="155"/>
        <v>-</v>
      </c>
      <c r="AT305" s="3" t="str">
        <f t="shared" si="156"/>
        <v>-</v>
      </c>
      <c r="AU305" s="3" t="str">
        <f t="shared" si="157"/>
        <v>-</v>
      </c>
      <c r="AV305" s="3">
        <f t="shared" si="158"/>
        <v>4</v>
      </c>
      <c r="AW305" s="3">
        <f t="shared" si="159"/>
        <v>7</v>
      </c>
      <c r="AX305" s="3">
        <f t="shared" si="160"/>
        <v>7</v>
      </c>
      <c r="AY305" s="3">
        <f t="shared" si="161"/>
        <v>8</v>
      </c>
      <c r="AZ305" s="3">
        <f t="shared" si="162"/>
        <v>1</v>
      </c>
      <c r="BA305" s="3">
        <f>IF(ISERROR(LEN(VLOOKUP(A305,Seqs!A:E,2,FALSE))-AL305),"-",LEN(VLOOKUP(A305,Seqs!A:E,2,FALSE))-AL305)</f>
        <v>45</v>
      </c>
      <c r="BB305" s="16">
        <f t="shared" si="163"/>
        <v>28</v>
      </c>
      <c r="BC305" s="9" t="str">
        <f t="shared" si="164"/>
        <v>-</v>
      </c>
      <c r="BD305" s="3">
        <f t="shared" si="165"/>
        <v>28</v>
      </c>
      <c r="BE305" s="3">
        <f t="shared" si="166"/>
        <v>50</v>
      </c>
    </row>
    <row r="306" spans="1:58" s="3" customFormat="1" x14ac:dyDescent="0.2">
      <c r="A306" s="3" t="s">
        <v>406</v>
      </c>
      <c r="B306" s="3" t="str">
        <f>LOWER(VLOOKUP(A306,Xtal_Templ!A:B,2,FALSE))</f>
        <v>glp1r_human</v>
      </c>
      <c r="C306" s="3">
        <f>VLOOKUP($A306,'SegEnds_NonXtal_BW#'!$A:$Z,3,FALSE)+D306-50</f>
        <v>138</v>
      </c>
      <c r="D306" s="3">
        <v>159</v>
      </c>
      <c r="E306" s="3">
        <f>IF(ISERROR(VLOOKUP($A306,'SegEnds_NonXtal_BW#'!$A:$Z,4,FALSE)+VLOOKUP($A306,A:AL,4,FALSE)-50),"-",(VLOOKUP($A306,'SegEnds_NonXtal_BW#'!$A:$Z,4,FALSE)+VLOOKUP($A306,A:AL,4,FALSE)-50))</f>
        <v>169</v>
      </c>
      <c r="F306" s="3">
        <f t="shared" si="171"/>
        <v>170</v>
      </c>
      <c r="G306" s="3">
        <v>172</v>
      </c>
      <c r="H306" s="3">
        <f t="shared" si="177"/>
        <v>173</v>
      </c>
      <c r="I306" s="3">
        <f t="shared" si="177"/>
        <v>174</v>
      </c>
      <c r="J306" s="3">
        <v>187</v>
      </c>
      <c r="K306" s="3">
        <f>VLOOKUP($A306,'SegEnds_NonXtal_BW#'!$A:$Z,8,FALSE)+VLOOKUP($A306,A:AL,10,FALSE)-50</f>
        <v>201</v>
      </c>
      <c r="L306" s="3" t="str">
        <f>IF(ISERROR(VLOOKUP($A306,'SegEnds_NonXtal_BW#'!$A:$Z,9,FALSE)+VLOOKUP($A306,A:AL,13,FALSE)-50),"-",(VLOOKUP($A306,'SegEnds_NonXtal_BW#'!$A:$Z,9,FALSE)+VLOOKUP($A306,A:AL,13,FALSE)-50))</f>
        <v>-</v>
      </c>
      <c r="M306" s="3" t="s">
        <v>23</v>
      </c>
      <c r="N306" s="3" t="str">
        <f>IF(ISERROR(VLOOKUP($A306,'SegEnds_NonXtal_BW#'!$A:$Z,10,FALSE)+VLOOKUP($A306,A:AL,13,FALSE)-50),"-",(VLOOKUP($A306,'SegEnds_NonXtal_BW#'!$A:$Z,10,FALSE)+VLOOKUP($A306,A:AL,13,FALSE)-50))</f>
        <v>-</v>
      </c>
      <c r="O306" s="3">
        <f>VLOOKUP($A306,'SegEnds_NonXtal_BW#'!$A:$Z,11,FALSE)+VLOOKUP($A306,A:AL,16,FALSE)-50</f>
        <v>224</v>
      </c>
      <c r="P306" s="3">
        <v>251</v>
      </c>
      <c r="Q306" s="3">
        <f>VLOOKUP($A306,'SegEnds_NonXtal_BW#'!$A:$Z,12,FALSE)+VLOOKUP($A306,A:AL,16,FALSE)-50</f>
        <v>257</v>
      </c>
      <c r="R306" s="3" t="str">
        <f>IF(ISERROR(VLOOKUP($A306,'SegEnds_NonXtal_BW#'!$A:$Z,13,FALSE)+VLOOKUP($A306,A:AL,19,FALSE)-50),"-",VLOOKUP($A306,'SegEnds_NonXtal_BW#'!$A:$Z,13,FALSE)+VLOOKUP($A306,A:AL,19,FALSE)-50)</f>
        <v>-</v>
      </c>
      <c r="S306" s="3" t="s">
        <v>23</v>
      </c>
      <c r="T306" s="100" t="str">
        <f>IF(ISERROR(VLOOKUP($A306,'SegEnds_NonXtal_BW#'!$A:$Z,14,FALSE)+VLOOKUP($A306,A:AL,19,FALSE)-50),"-",(VLOOKUP($A306,'SegEnds_NonXtal_BW#'!$A:$Z,14,FALSE)+VLOOKUP($A306,A:AL,19,FALSE)-50))</f>
        <v>-</v>
      </c>
      <c r="U306" s="9">
        <f>IF(ISERROR(VLOOKUP($A306,'SegEnds_NonXtal_BW#'!$A:$Z,15,FALSE)+VLOOKUP($A306,A:AL,22,FALSE)-50),"-",VLOOKUP($A306,'SegEnds_NonXtal_BW#'!$A:$Z,15,FALSE)+VLOOKUP($A306,A:AL,22,FALSE)-50)</f>
        <v>262</v>
      </c>
      <c r="V306" s="3">
        <v>274</v>
      </c>
      <c r="W306" s="3">
        <f>IF(ISERROR(VLOOKUP($A306,'SegEnds_NonXtal_BW#'!$A:$Z,16,FALSE)+VLOOKUP($A306,A:AL,22,FALSE)-50),"-",(VLOOKUP($A306,'SegEnds_NonXtal_BW#'!$A:$Z,16,FALSE)+VLOOKUP($A306,A:AL,22,FALSE)-50))</f>
        <v>292</v>
      </c>
      <c r="X306" s="3">
        <f>IF(ISERROR(VLOOKUP($A306,'SegEnds_NonXtal_BW#'!$A:$Z,17,FALSE)+VLOOKUP($A306,A:AL,25,FALSE)-50),"-",(VLOOKUP($A306,'SegEnds_NonXtal_BW#'!$A:$Z,17,FALSE)+VLOOKUP($A306,A:AL,25,FALSE)-50))</f>
        <v>296</v>
      </c>
      <c r="Y306" s="3">
        <v>296</v>
      </c>
      <c r="Z306" s="3">
        <f t="shared" si="176"/>
        <v>298</v>
      </c>
      <c r="AA306" s="3">
        <f>IF(ISERROR(VLOOKUP($A306,'SegEnds_NonXtal_BW#'!$A:$Z,19,FALSE)+VLOOKUP($A306,A:AL,28,FALSE)-50),"-",(VLOOKUP($A306,'SegEnds_NonXtal_BW#'!$A:$Z,19,FALSE)+VLOOKUP($A306,A:AL,28,FALSE)-50))</f>
        <v>305</v>
      </c>
      <c r="AB306" s="3">
        <v>316</v>
      </c>
      <c r="AC306" s="3">
        <f>IF(ISERROR((VLOOKUP($A306,'SegEnds_NonXtal_BW#'!$A:$Z,20,FALSE)+VLOOKUP($A306,A:AL,28,FALSE)-50)),"-",(VLOOKUP($A306,'SegEnds_NonXtal_BW#'!$A:$Z,20,FALSE)+VLOOKUP($A306,A:AL,28,FALSE)-50))</f>
        <v>337</v>
      </c>
      <c r="AD306" s="3">
        <f>IF(ISERROR(VLOOKUP($A306,'SegEnds_NonXtal_BW#'!$A:$Z,21,FALSE)+VLOOKUP($A306,A:AL,31,FALSE)-50),"-",(VLOOKUP($A306,'SegEnds_NonXtal_BW#'!$A:$Z,21,FALSE)+VLOOKUP($A306,A:AL,31,FALSE)-50))</f>
        <v>344</v>
      </c>
      <c r="AE306" s="3">
        <v>366</v>
      </c>
      <c r="AF306" s="3">
        <f>IF(ISERROR((VLOOKUP($A306,'SegEnds_NonXtal_BW#'!$A:$Z,22,FALSE)+VLOOKUP($A306,A:AL,31,FALSE)-50)),"-",(VLOOKUP($A306,'SegEnds_NonXtal_BW#'!$A:$Z,22,FALSE)+VLOOKUP($A306,A:AL,31,FALSE)-50))</f>
        <v>369</v>
      </c>
      <c r="AG306" s="3">
        <f>IF(ISERROR(VLOOKUP($A306,'SegEnds_NonXtal_BW#'!$A:$Z,23,FALSE)+VLOOKUP($A306,A:AL,34,FALSE)-50),"-",(VLOOKUP($A306,'SegEnds_NonXtal_BW#'!$A:$Z,23,FALSE)+VLOOKUP($A306,A:AL,34,FALSE)-50))</f>
        <v>377</v>
      </c>
      <c r="AH306" s="3">
        <v>399</v>
      </c>
      <c r="AI306" s="3">
        <f>IF(ISERROR((VLOOKUP($A306,'SegEnds_NonXtal_BW#'!$A:$Z,24,FALSE)+VLOOKUP($A306,A:AL,34,FALSE)-50)),"-",(VLOOKUP($A306,'SegEnds_NonXtal_BW#'!$A:$Z,24,FALSE)+VLOOKUP($A306,A:AL,34,FALSE)-50))</f>
        <v>405</v>
      </c>
      <c r="AJ306" s="3">
        <f>IF(ISERROR(VLOOKUP($A306,'SegEnds_NonXtal_BW#'!$A:$Z,25,FALSE)+VLOOKUP($A306,A:AL,37,FALSE)-50),"-",(VLOOKUP($A306,'SegEnds_NonXtal_BW#'!$A:$Z,25,FALSE)+VLOOKUP($A306,A:AL,37,FALSE)-50))</f>
        <v>406</v>
      </c>
      <c r="AK306" s="3">
        <v>409</v>
      </c>
      <c r="AL306" s="3">
        <f>IF(ISERROR((VLOOKUP($A306,'SegEnds_NonXtal_BW#'!$A:$Z,26,FALSE)+VLOOKUP($A306,A:AL,37,FALSE)-50)),"-",(VLOOKUP($A306,'SegEnds_NonXtal_BW#'!$A:$Z,26,FALSE)+VLOOKUP($A306,A:AL,37,FALSE)-50))</f>
        <v>431</v>
      </c>
      <c r="AM306" s="28" t="str">
        <f>VLOOKUP(A306,Classification!A:B,2,FALSE)</f>
        <v>B1</v>
      </c>
      <c r="AN306" s="28" t="b">
        <f t="shared" si="167"/>
        <v>1</v>
      </c>
      <c r="AO306" s="3" t="str">
        <f>IF(ISERROR(MATCH(A306,'SegEnds_Xtal_Prot#'!B:B, 0)), "NoXtal", "Xtal")</f>
        <v>Xtal</v>
      </c>
      <c r="AP306" s="3">
        <f t="shared" si="152"/>
        <v>1</v>
      </c>
      <c r="AQ306" s="3">
        <f t="shared" si="153"/>
        <v>1</v>
      </c>
      <c r="AR306" s="3" t="str">
        <f t="shared" si="154"/>
        <v>-</v>
      </c>
      <c r="AS306" s="3" t="str">
        <f t="shared" si="155"/>
        <v>-</v>
      </c>
      <c r="AT306" s="3" t="str">
        <f t="shared" si="156"/>
        <v>-</v>
      </c>
      <c r="AU306" s="3" t="str">
        <f t="shared" si="157"/>
        <v>-</v>
      </c>
      <c r="AV306" s="3">
        <f t="shared" si="158"/>
        <v>4</v>
      </c>
      <c r="AW306" s="3">
        <f t="shared" si="159"/>
        <v>7</v>
      </c>
      <c r="AX306" s="3">
        <f t="shared" si="160"/>
        <v>7</v>
      </c>
      <c r="AY306" s="3">
        <f t="shared" si="161"/>
        <v>8</v>
      </c>
      <c r="AZ306" s="3">
        <f t="shared" si="162"/>
        <v>1</v>
      </c>
      <c r="BA306" s="3">
        <f>IF(ISERROR(LEN(VLOOKUP(A306,Seqs!A:E,2,FALSE))-AL306),"-",LEN(VLOOKUP(A306,Seqs!A:E,2,FALSE))-AL306)</f>
        <v>32</v>
      </c>
      <c r="BB306" s="16">
        <f t="shared" si="163"/>
        <v>28</v>
      </c>
      <c r="BC306" s="9" t="str">
        <f t="shared" si="164"/>
        <v>-</v>
      </c>
      <c r="BD306" s="3">
        <f t="shared" si="165"/>
        <v>28</v>
      </c>
      <c r="BE306" s="3">
        <f t="shared" si="166"/>
        <v>50</v>
      </c>
    </row>
    <row r="307" spans="1:58" s="3" customFormat="1" x14ac:dyDescent="0.2">
      <c r="A307" s="3" t="s">
        <v>407</v>
      </c>
      <c r="B307" s="3" t="str">
        <f>LOWER(VLOOKUP(A307,Xtal_Templ!A:B,2,FALSE))</f>
        <v>glr_human</v>
      </c>
      <c r="C307" s="3">
        <f>VLOOKUP($A307,'SegEnds_NonXtal_BW#'!$A:$Z,3,FALSE)+D307-50</f>
        <v>168</v>
      </c>
      <c r="D307" s="3">
        <v>193</v>
      </c>
      <c r="E307" s="3">
        <f>IF(ISERROR(VLOOKUP($A307,'SegEnds_NonXtal_BW#'!$A:$Z,4,FALSE)+VLOOKUP($A307,A:AL,4,FALSE)-50),"-",(VLOOKUP($A307,'SegEnds_NonXtal_BW#'!$A:$Z,4,FALSE)+VLOOKUP($A307,A:AL,4,FALSE)-50))</f>
        <v>203</v>
      </c>
      <c r="F307" s="3">
        <f t="shared" si="171"/>
        <v>204</v>
      </c>
      <c r="G307" s="3">
        <v>206</v>
      </c>
      <c r="H307" s="3">
        <f t="shared" si="177"/>
        <v>207</v>
      </c>
      <c r="I307" s="3">
        <f t="shared" si="177"/>
        <v>208</v>
      </c>
      <c r="J307" s="3">
        <v>221</v>
      </c>
      <c r="K307" s="3">
        <f>VLOOKUP($A307,'SegEnds_NonXtal_BW#'!$A:$Z,8,FALSE)+VLOOKUP($A307,A:AL,10,FALSE)-50</f>
        <v>235</v>
      </c>
      <c r="L307" s="3" t="str">
        <f>IF(ISERROR(VLOOKUP($A307,'SegEnds_NonXtal_BW#'!$A:$Z,9,FALSE)+VLOOKUP($A307,A:AL,13,FALSE)-50),"-",(VLOOKUP($A307,'SegEnds_NonXtal_BW#'!$A:$Z,9,FALSE)+VLOOKUP($A307,A:AL,13,FALSE)-50))</f>
        <v>-</v>
      </c>
      <c r="M307" s="3" t="s">
        <v>23</v>
      </c>
      <c r="N307" s="3" t="str">
        <f>IF(ISERROR(VLOOKUP($A307,'SegEnds_NonXtal_BW#'!$A:$Z,10,FALSE)+VLOOKUP($A307,A:AL,13,FALSE)-50),"-",(VLOOKUP($A307,'SegEnds_NonXtal_BW#'!$A:$Z,10,FALSE)+VLOOKUP($A307,A:AL,13,FALSE)-50))</f>
        <v>-</v>
      </c>
      <c r="O307" s="3">
        <f>VLOOKUP($A307,'SegEnds_NonXtal_BW#'!$A:$Z,11,FALSE)+VLOOKUP($A307,A:AL,16,FALSE)-50</f>
        <v>258</v>
      </c>
      <c r="P307" s="3">
        <v>285</v>
      </c>
      <c r="Q307" s="3">
        <f>VLOOKUP($A307,'SegEnds_NonXtal_BW#'!$A:$Z,12,FALSE)+VLOOKUP($A307,A:AL,16,FALSE)-50</f>
        <v>291</v>
      </c>
      <c r="R307" s="3" t="str">
        <f>IF(ISERROR(VLOOKUP($A307,'SegEnds_NonXtal_BW#'!$A:$Z,13,FALSE)+VLOOKUP($A307,A:AL,19,FALSE)-50),"-",VLOOKUP($A307,'SegEnds_NonXtal_BW#'!$A:$Z,13,FALSE)+VLOOKUP($A307,A:AL,19,FALSE)-50)</f>
        <v>-</v>
      </c>
      <c r="S307" s="3" t="s">
        <v>23</v>
      </c>
      <c r="T307" s="100" t="str">
        <f>IF(ISERROR(VLOOKUP($A307,'SegEnds_NonXtal_BW#'!$A:$Z,14,FALSE)+VLOOKUP($A307,A:AL,19,FALSE)-50),"-",(VLOOKUP($A307,'SegEnds_NonXtal_BW#'!$A:$Z,14,FALSE)+VLOOKUP($A307,A:AL,19,FALSE)-50))</f>
        <v>-</v>
      </c>
      <c r="U307" s="9">
        <f>IF(ISERROR(VLOOKUP($A307,'SegEnds_NonXtal_BW#'!$A:$Z,15,FALSE)+VLOOKUP($A307,A:AL,22,FALSE)-50),"-",VLOOKUP($A307,'SegEnds_NonXtal_BW#'!$A:$Z,15,FALSE)+VLOOKUP($A307,A:AL,22,FALSE)-50)</f>
        <v>298</v>
      </c>
      <c r="V307" s="3">
        <v>308</v>
      </c>
      <c r="W307" s="3">
        <f>IF(ISERROR(VLOOKUP($A307,'SegEnds_NonXtal_BW#'!$A:$Z,16,FALSE)+VLOOKUP($A307,A:AL,22,FALSE)-50),"-",(VLOOKUP($A307,'SegEnds_NonXtal_BW#'!$A:$Z,16,FALSE)+VLOOKUP($A307,A:AL,22,FALSE)-50))</f>
        <v>326</v>
      </c>
      <c r="X307" s="3">
        <f>IF(ISERROR(VLOOKUP($A307,'SegEnds_NonXtal_BW#'!$A:$Z,17,FALSE)+VLOOKUP($A307,A:AL,25,FALSE)-50),"-",(VLOOKUP($A307,'SegEnds_NonXtal_BW#'!$A:$Z,17,FALSE)+VLOOKUP($A307,A:AL,25,FALSE)-50))</f>
        <v>330</v>
      </c>
      <c r="Y307" s="3">
        <v>330</v>
      </c>
      <c r="Z307" s="3">
        <f t="shared" si="176"/>
        <v>332</v>
      </c>
      <c r="AA307" s="3">
        <f>IF(ISERROR(VLOOKUP($A307,'SegEnds_NonXtal_BW#'!$A:$Z,19,FALSE)+VLOOKUP($A307,A:AL,28,FALSE)-50),"-",(VLOOKUP($A307,'SegEnds_NonXtal_BW#'!$A:$Z,19,FALSE)+VLOOKUP($A307,A:AL,28,FALSE)-50))</f>
        <v>339</v>
      </c>
      <c r="AB307" s="3">
        <v>350</v>
      </c>
      <c r="AC307" s="3">
        <f>IF(ISERROR((VLOOKUP($A307,'SegEnds_NonXtal_BW#'!$A:$Z,20,FALSE)+VLOOKUP($A307,A:AL,28,FALSE)-50)),"-",(VLOOKUP($A307,'SegEnds_NonXtal_BW#'!$A:$Z,20,FALSE)+VLOOKUP($A307,A:AL,28,FALSE)-50))</f>
        <v>371</v>
      </c>
      <c r="AD307" s="3">
        <f>IF(ISERROR(VLOOKUP($A307,'SegEnds_NonXtal_BW#'!$A:$Z,21,FALSE)+VLOOKUP($A307,A:AL,31,FALSE)-50),"-",(VLOOKUP($A307,'SegEnds_NonXtal_BW#'!$A:$Z,21,FALSE)+VLOOKUP($A307,A:AL,31,FALSE)-50))</f>
        <v>378</v>
      </c>
      <c r="AE307" s="3">
        <v>400</v>
      </c>
      <c r="AF307" s="3">
        <f>IF(ISERROR((VLOOKUP($A307,'SegEnds_NonXtal_BW#'!$A:$Z,22,FALSE)+VLOOKUP($A307,A:AL,31,FALSE)-50)),"-",(VLOOKUP($A307,'SegEnds_NonXtal_BW#'!$A:$Z,22,FALSE)+VLOOKUP($A307,A:AL,31,FALSE)-50))</f>
        <v>403</v>
      </c>
      <c r="AG307" s="3">
        <f>IF(ISERROR(VLOOKUP($A307,'SegEnds_NonXtal_BW#'!$A:$Z,23,FALSE)+VLOOKUP($A307,A:AL,34,FALSE)-50),"-",(VLOOKUP($A307,'SegEnds_NonXtal_BW#'!$A:$Z,23,FALSE)+VLOOKUP($A307,A:AL,34,FALSE)-50))</f>
        <v>411</v>
      </c>
      <c r="AH307" s="3">
        <v>433</v>
      </c>
      <c r="AI307" s="3">
        <f>IF(ISERROR((VLOOKUP($A307,'SegEnds_NonXtal_BW#'!$A:$Z,24,FALSE)+VLOOKUP($A307,A:AL,34,FALSE)-50)),"-",(VLOOKUP($A307,'SegEnds_NonXtal_BW#'!$A:$Z,24,FALSE)+VLOOKUP($A307,A:AL,34,FALSE)-50))</f>
        <v>439</v>
      </c>
      <c r="AJ307" s="3">
        <f>IF(ISERROR(VLOOKUP($A307,'SegEnds_NonXtal_BW#'!$A:$Z,25,FALSE)+VLOOKUP($A307,A:AL,37,FALSE)-50),"-",(VLOOKUP($A307,'SegEnds_NonXtal_BW#'!$A:$Z,25,FALSE)+VLOOKUP($A307,A:AL,37,FALSE)-50))</f>
        <v>440</v>
      </c>
      <c r="AK307" s="3">
        <v>443</v>
      </c>
      <c r="AL307" s="3">
        <f>IF(ISERROR((VLOOKUP($A307,'SegEnds_NonXtal_BW#'!$A:$Z,26,FALSE)+VLOOKUP($A307,A:AL,37,FALSE)-50)),"-",(VLOOKUP($A307,'SegEnds_NonXtal_BW#'!$A:$Z,26,FALSE)+VLOOKUP($A307,A:AL,37,FALSE)-50))</f>
        <v>465</v>
      </c>
      <c r="AM307" s="28" t="str">
        <f>VLOOKUP(A307,Classification!A:B,2,FALSE)</f>
        <v>B1</v>
      </c>
      <c r="AN307" s="28" t="b">
        <f t="shared" si="167"/>
        <v>1</v>
      </c>
      <c r="AO307" s="3" t="str">
        <f>IF(ISERROR(MATCH(A307,'SegEnds_Xtal_Prot#'!B:B, 0)), "NoXtal", "Xtal")</f>
        <v>NoXtal</v>
      </c>
      <c r="AP307" s="3">
        <f t="shared" si="152"/>
        <v>1</v>
      </c>
      <c r="AQ307" s="3">
        <f t="shared" si="153"/>
        <v>1</v>
      </c>
      <c r="AR307" s="3" t="str">
        <f t="shared" si="154"/>
        <v>-</v>
      </c>
      <c r="AS307" s="3" t="str">
        <f t="shared" si="155"/>
        <v>-</v>
      </c>
      <c r="AT307" s="3" t="str">
        <f t="shared" si="156"/>
        <v>-</v>
      </c>
      <c r="AU307" s="3" t="str">
        <f t="shared" si="157"/>
        <v>-</v>
      </c>
      <c r="AV307" s="3">
        <f t="shared" si="158"/>
        <v>4</v>
      </c>
      <c r="AW307" s="3">
        <f t="shared" si="159"/>
        <v>7</v>
      </c>
      <c r="AX307" s="3">
        <f t="shared" si="160"/>
        <v>7</v>
      </c>
      <c r="AY307" s="3">
        <f t="shared" si="161"/>
        <v>8</v>
      </c>
      <c r="AZ307" s="3">
        <f t="shared" si="162"/>
        <v>1</v>
      </c>
      <c r="BA307" s="3">
        <f>IF(ISERROR(LEN(VLOOKUP(A307,Seqs!A:E,2,FALSE))-AL307),"-",LEN(VLOOKUP(A307,Seqs!A:E,2,FALSE))-AL307)</f>
        <v>88</v>
      </c>
      <c r="BB307" s="16">
        <f t="shared" si="163"/>
        <v>28</v>
      </c>
      <c r="BC307" s="9" t="str">
        <f t="shared" si="164"/>
        <v>-</v>
      </c>
      <c r="BD307" s="3">
        <f t="shared" si="165"/>
        <v>28</v>
      </c>
      <c r="BE307" s="3">
        <f t="shared" si="166"/>
        <v>50</v>
      </c>
    </row>
    <row r="308" spans="1:58" s="3" customFormat="1" x14ac:dyDescent="0.2">
      <c r="A308" s="3" t="s">
        <v>32</v>
      </c>
      <c r="B308" s="3" t="str">
        <f>LOWER(VLOOKUP(A308,Xtal_Templ!A:B,2,FALSE))</f>
        <v>glr_human</v>
      </c>
      <c r="C308" s="3">
        <f>VLOOKUP($A308,'SegEnds_NonXtal_BW#'!$A:$Z,3,FALSE)+D308-50</f>
        <v>131</v>
      </c>
      <c r="D308" s="3">
        <v>156</v>
      </c>
      <c r="E308" s="3">
        <f>IF(ISERROR(VLOOKUP($A308,'SegEnds_NonXtal_BW#'!$A:$Z,4,FALSE)+VLOOKUP($A308,A:AL,4,FALSE)-50),"-",(VLOOKUP($A308,'SegEnds_NonXtal_BW#'!$A:$Z,4,FALSE)+VLOOKUP($A308,A:AL,4,FALSE)-50))</f>
        <v>166</v>
      </c>
      <c r="F308" s="3">
        <f t="shared" si="171"/>
        <v>167</v>
      </c>
      <c r="G308" s="3">
        <v>169</v>
      </c>
      <c r="H308" s="3">
        <f t="shared" si="177"/>
        <v>170</v>
      </c>
      <c r="I308" s="3">
        <f t="shared" si="177"/>
        <v>171</v>
      </c>
      <c r="J308" s="3">
        <v>184</v>
      </c>
      <c r="K308" s="3">
        <f>VLOOKUP($A308,'SegEnds_NonXtal_BW#'!$A:$Z,8,FALSE)+VLOOKUP($A308,A:AL,10,FALSE)-50</f>
        <v>203</v>
      </c>
      <c r="L308" s="3" t="str">
        <f>IF(ISERROR(VLOOKUP($A308,'SegEnds_NonXtal_BW#'!$A:$Z,9,FALSE)+VLOOKUP($A308,A:AL,13,FALSE)-50),"-",(VLOOKUP($A308,'SegEnds_NonXtal_BW#'!$A:$Z,9,FALSE)+VLOOKUP($A308,A:AL,13,FALSE)-50))</f>
        <v>-</v>
      </c>
      <c r="M308" s="3" t="s">
        <v>23</v>
      </c>
      <c r="N308" s="3" t="str">
        <f>IF(ISERROR(VLOOKUP($A308,'SegEnds_NonXtal_BW#'!$A:$Z,10,FALSE)+VLOOKUP($A308,A:AL,13,FALSE)-50),"-",(VLOOKUP($A308,'SegEnds_NonXtal_BW#'!$A:$Z,10,FALSE)+VLOOKUP($A308,A:AL,13,FALSE)-50))</f>
        <v>-</v>
      </c>
      <c r="O308" s="3">
        <f>VLOOKUP($A308,'SegEnds_NonXtal_BW#'!$A:$Z,11,FALSE)+VLOOKUP($A308,A:AL,16,FALSE)-50</f>
        <v>220</v>
      </c>
      <c r="P308" s="3">
        <v>249</v>
      </c>
      <c r="Q308" s="3">
        <f>VLOOKUP($A308,'SegEnds_NonXtal_BW#'!$A:$Z,12,FALSE)+VLOOKUP($A308,A:AL,16,FALSE)-50</f>
        <v>255</v>
      </c>
      <c r="R308" s="3" t="str">
        <f>IF(ISERROR(VLOOKUP($A308,'SegEnds_NonXtal_BW#'!$A:$Z,13,FALSE)+VLOOKUP($A308,A:AL,19,FALSE)-50),"-",VLOOKUP($A308,'SegEnds_NonXtal_BW#'!$A:$Z,13,FALSE)+VLOOKUP($A308,A:AL,19,FALSE)-50)</f>
        <v>-</v>
      </c>
      <c r="S308" s="3" t="s">
        <v>23</v>
      </c>
      <c r="T308" s="100" t="str">
        <f>IF(ISERROR(VLOOKUP($A308,'SegEnds_NonXtal_BW#'!$A:$Z,14,FALSE)+VLOOKUP($A308,A:AL,19,FALSE)-50),"-",(VLOOKUP($A308,'SegEnds_NonXtal_BW#'!$A:$Z,14,FALSE)+VLOOKUP($A308,A:AL,19,FALSE)-50))</f>
        <v>-</v>
      </c>
      <c r="U308" s="9">
        <f>IF(ISERROR(VLOOKUP($A308,'SegEnds_NonXtal_BW#'!$A:$Z,15,FALSE)+VLOOKUP($A308,A:AL,22,FALSE)-50),"-",VLOOKUP($A308,'SegEnds_NonXtal_BW#'!$A:$Z,15,FALSE)+VLOOKUP($A308,A:AL,22,FALSE)-50)</f>
        <v>262</v>
      </c>
      <c r="V308" s="3">
        <v>272</v>
      </c>
      <c r="W308" s="3">
        <f>IF(ISERROR(VLOOKUP($A308,'SegEnds_NonXtal_BW#'!$A:$Z,16,FALSE)+VLOOKUP($A308,A:AL,22,FALSE)-50),"-",(VLOOKUP($A308,'SegEnds_NonXtal_BW#'!$A:$Z,16,FALSE)+VLOOKUP($A308,A:AL,22,FALSE)-50))</f>
        <v>290</v>
      </c>
      <c r="X308" s="3">
        <f>IF(ISERROR(VLOOKUP($A308,'SegEnds_NonXtal_BW#'!$A:$Z,17,FALSE)+VLOOKUP($A308,A:AL,25,FALSE)-50),"-",(VLOOKUP($A308,'SegEnds_NonXtal_BW#'!$A:$Z,17,FALSE)+VLOOKUP($A308,A:AL,25,FALSE)-50))</f>
        <v>294</v>
      </c>
      <c r="Y308" s="3">
        <v>294</v>
      </c>
      <c r="Z308" s="3">
        <f t="shared" si="176"/>
        <v>296</v>
      </c>
      <c r="AA308" s="3">
        <f>IF(ISERROR(VLOOKUP($A308,'SegEnds_NonXtal_BW#'!$A:$Z,19,FALSE)+VLOOKUP($A308,A:AL,28,FALSE)-50),"-",(VLOOKUP($A308,'SegEnds_NonXtal_BW#'!$A:$Z,19,FALSE)+VLOOKUP($A308,A:AL,28,FALSE)-50))</f>
        <v>300</v>
      </c>
      <c r="AB308" s="3">
        <v>314</v>
      </c>
      <c r="AC308" s="3">
        <f>IF(ISERROR((VLOOKUP($A308,'SegEnds_NonXtal_BW#'!$A:$Z,20,FALSE)+VLOOKUP($A308,A:AL,28,FALSE)-50)),"-",(VLOOKUP($A308,'SegEnds_NonXtal_BW#'!$A:$Z,20,FALSE)+VLOOKUP($A308,A:AL,28,FALSE)-50))</f>
        <v>335</v>
      </c>
      <c r="AD308" s="3">
        <f>IF(ISERROR(VLOOKUP($A308,'SegEnds_NonXtal_BW#'!$A:$Z,21,FALSE)+VLOOKUP($A308,A:AL,31,FALSE)-50),"-",(VLOOKUP($A308,'SegEnds_NonXtal_BW#'!$A:$Z,21,FALSE)+VLOOKUP($A308,A:AL,31,FALSE)-50))</f>
        <v>342</v>
      </c>
      <c r="AE308" s="3">
        <v>364</v>
      </c>
      <c r="AF308" s="3">
        <f>IF(ISERROR((VLOOKUP($A308,'SegEnds_NonXtal_BW#'!$A:$Z,22,FALSE)+VLOOKUP($A308,A:AL,31,FALSE)-50)),"-",(VLOOKUP($A308,'SegEnds_NonXtal_BW#'!$A:$Z,22,FALSE)+VLOOKUP($A308,A:AL,31,FALSE)-50))</f>
        <v>367</v>
      </c>
      <c r="AG308" s="3">
        <f>IF(ISERROR(VLOOKUP($A308,'SegEnds_NonXtal_BW#'!$A:$Z,23,FALSE)+VLOOKUP($A308,A:AL,34,FALSE)-50),"-",(VLOOKUP($A308,'SegEnds_NonXtal_BW#'!$A:$Z,23,FALSE)+VLOOKUP($A308,A:AL,34,FALSE)-50))</f>
        <v>374</v>
      </c>
      <c r="AH308" s="3">
        <v>397</v>
      </c>
      <c r="AI308" s="3">
        <f>IF(ISERROR((VLOOKUP($A308,'SegEnds_NonXtal_BW#'!$A:$Z,24,FALSE)+VLOOKUP($A308,A:AL,34,FALSE)-50)),"-",(VLOOKUP($A308,'SegEnds_NonXtal_BW#'!$A:$Z,24,FALSE)+VLOOKUP($A308,A:AL,34,FALSE)-50))</f>
        <v>403</v>
      </c>
      <c r="AJ308" s="3">
        <f>IF(ISERROR(VLOOKUP($A308,'SegEnds_NonXtal_BW#'!$A:$Z,25,FALSE)+VLOOKUP($A308,A:AL,37,FALSE)-50),"-",(VLOOKUP($A308,'SegEnds_NonXtal_BW#'!$A:$Z,25,FALSE)+VLOOKUP($A308,A:AL,37,FALSE)-50))</f>
        <v>404</v>
      </c>
      <c r="AK308" s="3">
        <v>407</v>
      </c>
      <c r="AL308" s="3">
        <f>IF(ISERROR((VLOOKUP($A308,'SegEnds_NonXtal_BW#'!$A:$Z,26,FALSE)+VLOOKUP($A308,A:AL,37,FALSE)-50)),"-",(VLOOKUP($A308,'SegEnds_NonXtal_BW#'!$A:$Z,26,FALSE)+VLOOKUP($A308,A:AL,37,FALSE)-50))</f>
        <v>429</v>
      </c>
      <c r="AM308" s="28" t="str">
        <f>VLOOKUP(A308,Classification!A:B,2,FALSE)</f>
        <v>B1</v>
      </c>
      <c r="AN308" s="28" t="b">
        <f t="shared" si="167"/>
        <v>1</v>
      </c>
      <c r="AO308" s="3" t="str">
        <f>IF(ISERROR(MATCH(A308,'SegEnds_Xtal_Prot#'!B:B, 0)), "NoXtal", "Xtal")</f>
        <v>Xtal</v>
      </c>
      <c r="AP308" s="3">
        <f t="shared" si="152"/>
        <v>1</v>
      </c>
      <c r="AQ308" s="3">
        <f t="shared" si="153"/>
        <v>1</v>
      </c>
      <c r="AR308" s="3" t="str">
        <f t="shared" si="154"/>
        <v>-</v>
      </c>
      <c r="AS308" s="3" t="str">
        <f t="shared" si="155"/>
        <v>-</v>
      </c>
      <c r="AT308" s="3" t="str">
        <f t="shared" si="156"/>
        <v>-</v>
      </c>
      <c r="AU308" s="3" t="str">
        <f t="shared" si="157"/>
        <v>-</v>
      </c>
      <c r="AV308" s="3">
        <f t="shared" si="158"/>
        <v>4</v>
      </c>
      <c r="AW308" s="3">
        <f t="shared" si="159"/>
        <v>4</v>
      </c>
      <c r="AX308" s="3">
        <f t="shared" si="160"/>
        <v>7</v>
      </c>
      <c r="AY308" s="3">
        <f t="shared" si="161"/>
        <v>7</v>
      </c>
      <c r="AZ308" s="3">
        <f t="shared" si="162"/>
        <v>1</v>
      </c>
      <c r="BA308" s="3">
        <f>IF(ISERROR(LEN(VLOOKUP(A308,Seqs!A:E,2,FALSE))-AL308),"-",LEN(VLOOKUP(A308,Seqs!A:E,2,FALSE))-AL308)</f>
        <v>48</v>
      </c>
      <c r="BB308" s="16">
        <f t="shared" si="163"/>
        <v>28</v>
      </c>
      <c r="BC308" s="9" t="str">
        <f t="shared" si="164"/>
        <v>-</v>
      </c>
      <c r="BD308" s="3">
        <f t="shared" si="165"/>
        <v>28</v>
      </c>
      <c r="BE308" s="3">
        <f t="shared" si="166"/>
        <v>50</v>
      </c>
    </row>
    <row r="309" spans="1:58" s="3" customFormat="1" x14ac:dyDescent="0.2">
      <c r="A309" s="3" t="s">
        <v>408</v>
      </c>
      <c r="B309" s="3" t="str">
        <f>LOWER(VLOOKUP(A309,Xtal_Templ!A:B,2,FALSE))</f>
        <v>pth1r_human</v>
      </c>
      <c r="C309" s="3">
        <f>VLOOKUP($A309,'SegEnds_NonXtal_BW#'!$A:$Z,3,FALSE)+D309-50</f>
        <v>145</v>
      </c>
      <c r="D309" s="3">
        <v>168</v>
      </c>
      <c r="E309" s="3">
        <f>IF(ISERROR(VLOOKUP($A309,'SegEnds_NonXtal_BW#'!$A:$Z,4,FALSE)+VLOOKUP($A309,A:AL,4,FALSE)-50),"-",(VLOOKUP($A309,'SegEnds_NonXtal_BW#'!$A:$Z,4,FALSE)+VLOOKUP($A309,A:AL,4,FALSE)-50))</f>
        <v>178</v>
      </c>
      <c r="F309" s="3">
        <f t="shared" si="171"/>
        <v>179</v>
      </c>
      <c r="G309" s="3">
        <v>181</v>
      </c>
      <c r="H309" s="3">
        <f t="shared" si="177"/>
        <v>182</v>
      </c>
      <c r="I309" s="3">
        <f t="shared" si="177"/>
        <v>183</v>
      </c>
      <c r="J309" s="3">
        <v>196</v>
      </c>
      <c r="K309" s="3">
        <f>VLOOKUP($A309,'SegEnds_NonXtal_BW#'!$A:$Z,8,FALSE)+VLOOKUP($A309,A:AL,10,FALSE)-50</f>
        <v>210</v>
      </c>
      <c r="L309" s="3" t="str">
        <f>IF(ISERROR(VLOOKUP($A309,'SegEnds_NonXtal_BW#'!$A:$Z,9,FALSE)+VLOOKUP($A309,A:AL,13,FALSE)-50),"-",(VLOOKUP($A309,'SegEnds_NonXtal_BW#'!$A:$Z,9,FALSE)+VLOOKUP($A309,A:AL,13,FALSE)-50))</f>
        <v>-</v>
      </c>
      <c r="M309" s="3" t="s">
        <v>23</v>
      </c>
      <c r="N309" s="3" t="str">
        <f>IF(ISERROR(VLOOKUP($A309,'SegEnds_NonXtal_BW#'!$A:$Z,10,FALSE)+VLOOKUP($A309,A:AL,13,FALSE)-50),"-",(VLOOKUP($A309,'SegEnds_NonXtal_BW#'!$A:$Z,10,FALSE)+VLOOKUP($A309,A:AL,13,FALSE)-50))</f>
        <v>-</v>
      </c>
      <c r="O309" s="3">
        <f>VLOOKUP($A309,'SegEnds_NonXtal_BW#'!$A:$Z,11,FALSE)+VLOOKUP($A309,A:AL,16,FALSE)-50</f>
        <v>224</v>
      </c>
      <c r="P309" s="3">
        <v>251</v>
      </c>
      <c r="Q309" s="3">
        <f>VLOOKUP($A309,'SegEnds_NonXtal_BW#'!$A:$Z,12,FALSE)+VLOOKUP($A309,A:AL,16,FALSE)-50</f>
        <v>257</v>
      </c>
      <c r="R309" s="3" t="str">
        <f>IF(ISERROR(VLOOKUP($A309,'SegEnds_NonXtal_BW#'!$A:$Z,13,FALSE)+VLOOKUP($A309,A:AL,19,FALSE)-50),"-",VLOOKUP($A309,'SegEnds_NonXtal_BW#'!$A:$Z,13,FALSE)+VLOOKUP($A309,A:AL,19,FALSE)-50)</f>
        <v>-</v>
      </c>
      <c r="S309" s="3" t="s">
        <v>23</v>
      </c>
      <c r="T309" s="100" t="str">
        <f>IF(ISERROR(VLOOKUP($A309,'SegEnds_NonXtal_BW#'!$A:$Z,14,FALSE)+VLOOKUP($A309,A:AL,19,FALSE)-50),"-",(VLOOKUP($A309,'SegEnds_NonXtal_BW#'!$A:$Z,14,FALSE)+VLOOKUP($A309,A:AL,19,FALSE)-50))</f>
        <v>-</v>
      </c>
      <c r="U309" s="9">
        <f>IF(ISERROR(VLOOKUP($A309,'SegEnds_NonXtal_BW#'!$A:$Z,15,FALSE)+VLOOKUP($A309,A:AL,22,FALSE)-50),"-",VLOOKUP($A309,'SegEnds_NonXtal_BW#'!$A:$Z,15,FALSE)+VLOOKUP($A309,A:AL,22,FALSE)-50)</f>
        <v>261</v>
      </c>
      <c r="V309" s="3">
        <v>274</v>
      </c>
      <c r="W309" s="3">
        <f>IF(ISERROR(VLOOKUP($A309,'SegEnds_NonXtal_BW#'!$A:$Z,16,FALSE)+VLOOKUP($A309,A:AL,22,FALSE)-50),"-",(VLOOKUP($A309,'SegEnds_NonXtal_BW#'!$A:$Z,16,FALSE)+VLOOKUP($A309,A:AL,22,FALSE)-50))</f>
        <v>292</v>
      </c>
      <c r="X309" s="3">
        <f>IF(ISERROR(VLOOKUP($A309,'SegEnds_NonXtal_BW#'!$A:$Z,17,FALSE)+VLOOKUP($A309,A:AL,25,FALSE)-50),"-",(VLOOKUP($A309,'SegEnds_NonXtal_BW#'!$A:$Z,17,FALSE)+VLOOKUP($A309,A:AL,25,FALSE)-50))</f>
        <v>296</v>
      </c>
      <c r="Y309" s="3">
        <v>296</v>
      </c>
      <c r="Z309" s="3">
        <f t="shared" si="176"/>
        <v>298</v>
      </c>
      <c r="AA309" s="3">
        <f>IF(ISERROR(VLOOKUP($A309,'SegEnds_NonXtal_BW#'!$A:$Z,19,FALSE)+VLOOKUP($A309,A:AL,28,FALSE)-50),"-",(VLOOKUP($A309,'SegEnds_NonXtal_BW#'!$A:$Z,19,FALSE)+VLOOKUP($A309,A:AL,28,FALSE)-50))</f>
        <v>305</v>
      </c>
      <c r="AB309" s="3">
        <v>316</v>
      </c>
      <c r="AC309" s="3">
        <f>IF(ISERROR((VLOOKUP($A309,'SegEnds_NonXtal_BW#'!$A:$Z,20,FALSE)+VLOOKUP($A309,A:AL,28,FALSE)-50)),"-",(VLOOKUP($A309,'SegEnds_NonXtal_BW#'!$A:$Z,20,FALSE)+VLOOKUP($A309,A:AL,28,FALSE)-50))</f>
        <v>335</v>
      </c>
      <c r="AD309" s="3">
        <f>IF(ISERROR(VLOOKUP($A309,'SegEnds_NonXtal_BW#'!$A:$Z,21,FALSE)+VLOOKUP($A309,A:AL,31,FALSE)-50),"-",(VLOOKUP($A309,'SegEnds_NonXtal_BW#'!$A:$Z,21,FALSE)+VLOOKUP($A309,A:AL,31,FALSE)-50))</f>
        <v>343</v>
      </c>
      <c r="AE309" s="3">
        <v>368</v>
      </c>
      <c r="AF309" s="3">
        <f>IF(ISERROR((VLOOKUP($A309,'SegEnds_NonXtal_BW#'!$A:$Z,22,FALSE)+VLOOKUP($A309,A:AL,31,FALSE)-50)),"-",(VLOOKUP($A309,'SegEnds_NonXtal_BW#'!$A:$Z,22,FALSE)+VLOOKUP($A309,A:AL,31,FALSE)-50))</f>
        <v>372</v>
      </c>
      <c r="AG309" s="3">
        <f>IF(ISERROR(VLOOKUP($A309,'SegEnds_NonXtal_BW#'!$A:$Z,23,FALSE)+VLOOKUP($A309,A:AL,34,FALSE)-50),"-",(VLOOKUP($A309,'SegEnds_NonXtal_BW#'!$A:$Z,23,FALSE)+VLOOKUP($A309,A:AL,34,FALSE)-50))</f>
        <v>378</v>
      </c>
      <c r="AH309" s="3">
        <v>397</v>
      </c>
      <c r="AI309" s="3">
        <f>IF(ISERROR((VLOOKUP($A309,'SegEnds_NonXtal_BW#'!$A:$Z,24,FALSE)+VLOOKUP($A309,A:AL,34,FALSE)-50)),"-",(VLOOKUP($A309,'SegEnds_NonXtal_BW#'!$A:$Z,24,FALSE)+VLOOKUP($A309,A:AL,34,FALSE)-50))</f>
        <v>403</v>
      </c>
      <c r="AJ309" s="3">
        <f>IF(ISERROR(VLOOKUP($A309,'SegEnds_NonXtal_BW#'!$A:$Z,25,FALSE)+VLOOKUP($A309,A:AL,37,FALSE)-50),"-",(VLOOKUP($A309,'SegEnds_NonXtal_BW#'!$A:$Z,25,FALSE)+VLOOKUP($A309,A:AL,37,FALSE)-50))</f>
        <v>404</v>
      </c>
      <c r="AK309" s="3">
        <v>407</v>
      </c>
      <c r="AL309" s="3">
        <f>IF(ISERROR((VLOOKUP($A309,'SegEnds_NonXtal_BW#'!$A:$Z,26,FALSE)+VLOOKUP($A309,A:AL,37,FALSE)-50)),"-",(VLOOKUP($A309,'SegEnds_NonXtal_BW#'!$A:$Z,26,FALSE)+VLOOKUP($A309,A:AL,37,FALSE)-50))</f>
        <v>429</v>
      </c>
      <c r="AM309" s="28" t="str">
        <f>VLOOKUP(A309,Classification!A:B,2,FALSE)</f>
        <v>B1</v>
      </c>
      <c r="AN309" s="28" t="b">
        <f t="shared" si="167"/>
        <v>1</v>
      </c>
      <c r="AO309" s="3" t="str">
        <f>IF(ISERROR(MATCH(A309,'SegEnds_Xtal_Prot#'!B:B, 0)), "NoXtal", "Xtal")</f>
        <v>NoXtal</v>
      </c>
      <c r="AP309" s="3">
        <f t="shared" si="152"/>
        <v>1</v>
      </c>
      <c r="AQ309" s="3">
        <f t="shared" si="153"/>
        <v>1</v>
      </c>
      <c r="AR309" s="3" t="str">
        <f t="shared" si="154"/>
        <v>-</v>
      </c>
      <c r="AS309" s="3" t="str">
        <f t="shared" si="155"/>
        <v>-</v>
      </c>
      <c r="AT309" s="3" t="str">
        <f t="shared" si="156"/>
        <v>-</v>
      </c>
      <c r="AU309" s="3" t="str">
        <f t="shared" si="157"/>
        <v>-</v>
      </c>
      <c r="AV309" s="3">
        <f t="shared" si="158"/>
        <v>4</v>
      </c>
      <c r="AW309" s="3">
        <f t="shared" si="159"/>
        <v>7</v>
      </c>
      <c r="AX309" s="3">
        <f t="shared" si="160"/>
        <v>8</v>
      </c>
      <c r="AY309" s="3">
        <f t="shared" si="161"/>
        <v>6</v>
      </c>
      <c r="AZ309" s="3">
        <f t="shared" si="162"/>
        <v>1</v>
      </c>
      <c r="BA309" s="3">
        <f>IF(ISERROR(LEN(VLOOKUP(A309,Seqs!A:E,2,FALSE))-AL309),"-",LEN(VLOOKUP(A309,Seqs!A:E,2,FALSE))-AL309)</f>
        <v>39</v>
      </c>
      <c r="BB309" s="16">
        <f t="shared" si="163"/>
        <v>28</v>
      </c>
      <c r="BC309" s="9" t="str">
        <f t="shared" si="164"/>
        <v>-</v>
      </c>
      <c r="BD309" s="3">
        <f t="shared" si="165"/>
        <v>28</v>
      </c>
      <c r="BE309" s="3">
        <f t="shared" si="166"/>
        <v>52</v>
      </c>
    </row>
    <row r="310" spans="1:58" s="3" customFormat="1" x14ac:dyDescent="0.2">
      <c r="A310" s="3" t="s">
        <v>409</v>
      </c>
      <c r="B310" s="3" t="str">
        <f>LOWER(VLOOKUP(A310,Xtal_Templ!A:B,2,FALSE))</f>
        <v>pth1r_human</v>
      </c>
      <c r="C310" s="3">
        <f>VLOOKUP($A310,'SegEnds_NonXtal_BW#'!$A:$Z,3,FALSE)+D310-50</f>
        <v>179</v>
      </c>
      <c r="D310" s="3">
        <v>202</v>
      </c>
      <c r="E310" s="3">
        <f>IF(ISERROR(VLOOKUP($A310,'SegEnds_NonXtal_BW#'!$A:$Z,4,FALSE)+VLOOKUP($A310,A:AL,4,FALSE)-50),"-",(VLOOKUP($A310,'SegEnds_NonXtal_BW#'!$A:$Z,4,FALSE)+VLOOKUP($A310,A:AL,4,FALSE)-50))</f>
        <v>212</v>
      </c>
      <c r="F310" s="3">
        <f t="shared" si="171"/>
        <v>213</v>
      </c>
      <c r="G310" s="3">
        <v>215</v>
      </c>
      <c r="H310" s="3">
        <f t="shared" si="177"/>
        <v>216</v>
      </c>
      <c r="I310" s="3">
        <f t="shared" si="177"/>
        <v>217</v>
      </c>
      <c r="J310" s="3">
        <v>230</v>
      </c>
      <c r="K310" s="3">
        <f>VLOOKUP($A310,'SegEnds_NonXtal_BW#'!$A:$Z,8,FALSE)+VLOOKUP($A310,A:AL,10,FALSE)-50</f>
        <v>249</v>
      </c>
      <c r="L310" s="3" t="str">
        <f>IF(ISERROR(VLOOKUP($A310,'SegEnds_NonXtal_BW#'!$A:$Z,9,FALSE)+VLOOKUP($A310,A:AL,13,FALSE)-50),"-",(VLOOKUP($A310,'SegEnds_NonXtal_BW#'!$A:$Z,9,FALSE)+VLOOKUP($A310,A:AL,13,FALSE)-50))</f>
        <v>-</v>
      </c>
      <c r="M310" s="3" t="s">
        <v>23</v>
      </c>
      <c r="N310" s="3" t="str">
        <f>IF(ISERROR(VLOOKUP($A310,'SegEnds_NonXtal_BW#'!$A:$Z,10,FALSE)+VLOOKUP($A310,A:AL,13,FALSE)-50),"-",(VLOOKUP($A310,'SegEnds_NonXtal_BW#'!$A:$Z,10,FALSE)+VLOOKUP($A310,A:AL,13,FALSE)-50))</f>
        <v>-</v>
      </c>
      <c r="O310" s="3">
        <f>VLOOKUP($A310,'SegEnds_NonXtal_BW#'!$A:$Z,11,FALSE)+VLOOKUP($A310,A:AL,16,FALSE)-50</f>
        <v>277</v>
      </c>
      <c r="P310" s="3">
        <v>306</v>
      </c>
      <c r="Q310" s="3">
        <f>VLOOKUP($A310,'SegEnds_NonXtal_BW#'!$A:$Z,12,FALSE)+VLOOKUP($A310,A:AL,16,FALSE)-50</f>
        <v>312</v>
      </c>
      <c r="R310" s="3" t="str">
        <f>IF(ISERROR(VLOOKUP($A310,'SegEnds_NonXtal_BW#'!$A:$Z,13,FALSE)+VLOOKUP($A310,A:AL,19,FALSE)-50),"-",VLOOKUP($A310,'SegEnds_NonXtal_BW#'!$A:$Z,13,FALSE)+VLOOKUP($A310,A:AL,19,FALSE)-50)</f>
        <v>-</v>
      </c>
      <c r="S310" s="3" t="s">
        <v>23</v>
      </c>
      <c r="T310" s="100" t="str">
        <f>IF(ISERROR(VLOOKUP($A310,'SegEnds_NonXtal_BW#'!$A:$Z,14,FALSE)+VLOOKUP($A310,A:AL,19,FALSE)-50),"-",(VLOOKUP($A310,'SegEnds_NonXtal_BW#'!$A:$Z,14,FALSE)+VLOOKUP($A310,A:AL,19,FALSE)-50))</f>
        <v>-</v>
      </c>
      <c r="U310" s="9">
        <f>IF(ISERROR(VLOOKUP($A310,'SegEnds_NonXtal_BW#'!$A:$Z,15,FALSE)+VLOOKUP($A310,A:AL,22,FALSE)-50),"-",VLOOKUP($A310,'SegEnds_NonXtal_BW#'!$A:$Z,15,FALSE)+VLOOKUP($A310,A:AL,22,FALSE)-50)</f>
        <v>316</v>
      </c>
      <c r="V310" s="3">
        <v>329</v>
      </c>
      <c r="W310" s="3">
        <f>IF(ISERROR(VLOOKUP($A310,'SegEnds_NonXtal_BW#'!$A:$Z,16,FALSE)+VLOOKUP($A310,A:AL,22,FALSE)-50),"-",(VLOOKUP($A310,'SegEnds_NonXtal_BW#'!$A:$Z,16,FALSE)+VLOOKUP($A310,A:AL,22,FALSE)-50))</f>
        <v>347</v>
      </c>
      <c r="X310" s="3">
        <f>IF(ISERROR(VLOOKUP($A310,'SegEnds_NonXtal_BW#'!$A:$Z,17,FALSE)+VLOOKUP($A310,A:AL,25,FALSE)-50),"-",(VLOOKUP($A310,'SegEnds_NonXtal_BW#'!$A:$Z,17,FALSE)+VLOOKUP($A310,A:AL,25,FALSE)-50))</f>
        <v>351</v>
      </c>
      <c r="Y310" s="3">
        <v>351</v>
      </c>
      <c r="Z310" s="3">
        <f t="shared" si="176"/>
        <v>353</v>
      </c>
      <c r="AA310" s="3">
        <f>IF(ISERROR(VLOOKUP($A310,'SegEnds_NonXtal_BW#'!$A:$Z,19,FALSE)+VLOOKUP($A310,A:AL,28,FALSE)-50),"-",(VLOOKUP($A310,'SegEnds_NonXtal_BW#'!$A:$Z,19,FALSE)+VLOOKUP($A310,A:AL,28,FALSE)-50))</f>
        <v>359</v>
      </c>
      <c r="AB310" s="3">
        <v>370</v>
      </c>
      <c r="AC310" s="3">
        <f>IF(ISERROR((VLOOKUP($A310,'SegEnds_NonXtal_BW#'!$A:$Z,20,FALSE)+VLOOKUP($A310,A:AL,28,FALSE)-50)),"-",(VLOOKUP($A310,'SegEnds_NonXtal_BW#'!$A:$Z,20,FALSE)+VLOOKUP($A310,A:AL,28,FALSE)-50))</f>
        <v>389</v>
      </c>
      <c r="AD310" s="3">
        <f>IF(ISERROR(VLOOKUP($A310,'SegEnds_NonXtal_BW#'!$A:$Z,21,FALSE)+VLOOKUP($A310,A:AL,31,FALSE)-50),"-",(VLOOKUP($A310,'SegEnds_NonXtal_BW#'!$A:$Z,21,FALSE)+VLOOKUP($A310,A:AL,31,FALSE)-50))</f>
        <v>398</v>
      </c>
      <c r="AE310" s="3">
        <v>423</v>
      </c>
      <c r="AF310" s="3">
        <f>IF(ISERROR((VLOOKUP($A310,'SegEnds_NonXtal_BW#'!$A:$Z,22,FALSE)+VLOOKUP($A310,A:AL,31,FALSE)-50)),"-",(VLOOKUP($A310,'SegEnds_NonXtal_BW#'!$A:$Z,22,FALSE)+VLOOKUP($A310,A:AL,31,FALSE)-50))</f>
        <v>427</v>
      </c>
      <c r="AG310" s="3">
        <f>IF(ISERROR(VLOOKUP($A310,'SegEnds_NonXtal_BW#'!$A:$Z,23,FALSE)+VLOOKUP($A310,A:AL,34,FALSE)-50),"-",(VLOOKUP($A310,'SegEnds_NonXtal_BW#'!$A:$Z,23,FALSE)+VLOOKUP($A310,A:AL,34,FALSE)-50))</f>
        <v>434</v>
      </c>
      <c r="AH310" s="3">
        <v>456</v>
      </c>
      <c r="AI310" s="3">
        <f>IF(ISERROR((VLOOKUP($A310,'SegEnds_NonXtal_BW#'!$A:$Z,24,FALSE)+VLOOKUP($A310,A:AL,34,FALSE)-50)),"-",(VLOOKUP($A310,'SegEnds_NonXtal_BW#'!$A:$Z,24,FALSE)+VLOOKUP($A310,A:AL,34,FALSE)-50))</f>
        <v>462</v>
      </c>
      <c r="AJ310" s="3">
        <f>IF(ISERROR(VLOOKUP($A310,'SegEnds_NonXtal_BW#'!$A:$Z,25,FALSE)+VLOOKUP($A310,A:AL,37,FALSE)-50),"-",(VLOOKUP($A310,'SegEnds_NonXtal_BW#'!$A:$Z,25,FALSE)+VLOOKUP($A310,A:AL,37,FALSE)-50))</f>
        <v>463</v>
      </c>
      <c r="AK310" s="3">
        <v>466</v>
      </c>
      <c r="AL310" s="3">
        <f>IF(ISERROR((VLOOKUP($A310,'SegEnds_NonXtal_BW#'!$A:$Z,26,FALSE)+VLOOKUP($A310,A:AL,37,FALSE)-50)),"-",(VLOOKUP($A310,'SegEnds_NonXtal_BW#'!$A:$Z,26,FALSE)+VLOOKUP($A310,A:AL,37,FALSE)-50))</f>
        <v>488</v>
      </c>
      <c r="AM310" s="28" t="str">
        <f>VLOOKUP(A310,Classification!A:B,2,FALSE)</f>
        <v>B1</v>
      </c>
      <c r="AN310" s="28" t="b">
        <f t="shared" si="167"/>
        <v>1</v>
      </c>
      <c r="AO310" s="3" t="str">
        <f>IF(ISERROR(MATCH(A310,'SegEnds_Xtal_Prot#'!B:B, 0)), "NoXtal", "Xtal")</f>
        <v>Xtal</v>
      </c>
      <c r="AP310" s="3">
        <f t="shared" si="152"/>
        <v>1</v>
      </c>
      <c r="AQ310" s="3">
        <f t="shared" si="153"/>
        <v>1</v>
      </c>
      <c r="AR310" s="3" t="str">
        <f t="shared" si="154"/>
        <v>-</v>
      </c>
      <c r="AS310" s="3" t="str">
        <f t="shared" si="155"/>
        <v>-</v>
      </c>
      <c r="AT310" s="3" t="str">
        <f t="shared" si="156"/>
        <v>-</v>
      </c>
      <c r="AU310" s="3" t="str">
        <f t="shared" si="157"/>
        <v>-</v>
      </c>
      <c r="AV310" s="3">
        <f t="shared" si="158"/>
        <v>4</v>
      </c>
      <c r="AW310" s="3">
        <f t="shared" si="159"/>
        <v>6</v>
      </c>
      <c r="AX310" s="3">
        <f t="shared" si="160"/>
        <v>9</v>
      </c>
      <c r="AY310" s="3">
        <f t="shared" si="161"/>
        <v>7</v>
      </c>
      <c r="AZ310" s="3">
        <f t="shared" si="162"/>
        <v>1</v>
      </c>
      <c r="BA310" s="3">
        <f>IF(ISERROR(LEN(VLOOKUP(A310,Seqs!A:E,2,FALSE))-AL310),"-",LEN(VLOOKUP(A310,Seqs!A:E,2,FALSE))-AL310)</f>
        <v>105</v>
      </c>
      <c r="BB310" s="16">
        <f t="shared" si="163"/>
        <v>28</v>
      </c>
      <c r="BC310" s="9" t="str">
        <f t="shared" si="164"/>
        <v>-</v>
      </c>
      <c r="BD310" s="3">
        <f t="shared" si="165"/>
        <v>28</v>
      </c>
      <c r="BE310" s="3">
        <f t="shared" si="166"/>
        <v>53</v>
      </c>
    </row>
    <row r="311" spans="1:58" s="3" customFormat="1" x14ac:dyDescent="0.2">
      <c r="A311" s="3" t="s">
        <v>410</v>
      </c>
      <c r="B311" s="3" t="str">
        <f>LOWER(VLOOKUP(A311,Xtal_Templ!A:B,2,FALSE))</f>
        <v>pth1r_human</v>
      </c>
      <c r="C311" s="3">
        <f>VLOOKUP($A311,'SegEnds_NonXtal_BW#'!$A:$Z,3,FALSE)+D311-50</f>
        <v>136</v>
      </c>
      <c r="D311" s="3">
        <v>159</v>
      </c>
      <c r="E311" s="3">
        <f>IF(ISERROR(VLOOKUP($A311,'SegEnds_NonXtal_BW#'!$A:$Z,4,FALSE)+VLOOKUP($A311,A:AL,4,FALSE)-50),"-",(VLOOKUP($A311,'SegEnds_NonXtal_BW#'!$A:$Z,4,FALSE)+VLOOKUP($A311,A:AL,4,FALSE)-50))</f>
        <v>169</v>
      </c>
      <c r="F311" s="3">
        <f t="shared" si="171"/>
        <v>170</v>
      </c>
      <c r="G311" s="3">
        <v>172</v>
      </c>
      <c r="H311" s="3">
        <f t="shared" si="177"/>
        <v>173</v>
      </c>
      <c r="I311" s="3">
        <f t="shared" si="177"/>
        <v>174</v>
      </c>
      <c r="J311" s="3">
        <v>187</v>
      </c>
      <c r="K311" s="3">
        <f>VLOOKUP($A311,'SegEnds_NonXtal_BW#'!$A:$Z,8,FALSE)+VLOOKUP($A311,A:AL,10,FALSE)-50</f>
        <v>206</v>
      </c>
      <c r="L311" s="3" t="str">
        <f>IF(ISERROR(VLOOKUP($A311,'SegEnds_NonXtal_BW#'!$A:$Z,9,FALSE)+VLOOKUP($A311,A:AL,13,FALSE)-50),"-",(VLOOKUP($A311,'SegEnds_NonXtal_BW#'!$A:$Z,9,FALSE)+VLOOKUP($A311,A:AL,13,FALSE)-50))</f>
        <v>-</v>
      </c>
      <c r="M311" s="3" t="s">
        <v>23</v>
      </c>
      <c r="N311" s="3" t="str">
        <f>IF(ISERROR(VLOOKUP($A311,'SegEnds_NonXtal_BW#'!$A:$Z,10,FALSE)+VLOOKUP($A311,A:AL,13,FALSE)-50),"-",(VLOOKUP($A311,'SegEnds_NonXtal_BW#'!$A:$Z,10,FALSE)+VLOOKUP($A311,A:AL,13,FALSE)-50))</f>
        <v>-</v>
      </c>
      <c r="O311" s="3">
        <f>VLOOKUP($A311,'SegEnds_NonXtal_BW#'!$A:$Z,11,FALSE)+VLOOKUP($A311,A:AL,16,FALSE)-50</f>
        <v>232</v>
      </c>
      <c r="P311" s="3">
        <v>261</v>
      </c>
      <c r="Q311" s="3">
        <f>VLOOKUP($A311,'SegEnds_NonXtal_BW#'!$A:$Z,12,FALSE)+VLOOKUP($A311,A:AL,16,FALSE)-50</f>
        <v>267</v>
      </c>
      <c r="R311" s="3" t="str">
        <f>IF(ISERROR(VLOOKUP($A311,'SegEnds_NonXtal_BW#'!$A:$Z,13,FALSE)+VLOOKUP($A311,A:AL,19,FALSE)-50),"-",VLOOKUP($A311,'SegEnds_NonXtal_BW#'!$A:$Z,13,FALSE)+VLOOKUP($A311,A:AL,19,FALSE)-50)</f>
        <v>-</v>
      </c>
      <c r="S311" s="3" t="s">
        <v>23</v>
      </c>
      <c r="T311" s="100" t="str">
        <f>IF(ISERROR(VLOOKUP($A311,'SegEnds_NonXtal_BW#'!$A:$Z,14,FALSE)+VLOOKUP($A311,A:AL,19,FALSE)-50),"-",(VLOOKUP($A311,'SegEnds_NonXtal_BW#'!$A:$Z,14,FALSE)+VLOOKUP($A311,A:AL,19,FALSE)-50))</f>
        <v>-</v>
      </c>
      <c r="U311" s="9">
        <f>IF(ISERROR(VLOOKUP($A311,'SegEnds_NonXtal_BW#'!$A:$Z,15,FALSE)+VLOOKUP($A311,A:AL,22,FALSE)-50),"-",VLOOKUP($A311,'SegEnds_NonXtal_BW#'!$A:$Z,15,FALSE)+VLOOKUP($A311,A:AL,22,FALSE)-50)</f>
        <v>271</v>
      </c>
      <c r="V311" s="3">
        <v>284</v>
      </c>
      <c r="W311" s="3">
        <f>IF(ISERROR(VLOOKUP($A311,'SegEnds_NonXtal_BW#'!$A:$Z,16,FALSE)+VLOOKUP($A311,A:AL,22,FALSE)-50),"-",(VLOOKUP($A311,'SegEnds_NonXtal_BW#'!$A:$Z,16,FALSE)+VLOOKUP($A311,A:AL,22,FALSE)-50))</f>
        <v>302</v>
      </c>
      <c r="X311" s="3">
        <f>IF(ISERROR(VLOOKUP($A311,'SegEnds_NonXtal_BW#'!$A:$Z,17,FALSE)+VLOOKUP($A311,A:AL,25,FALSE)-50),"-",(VLOOKUP($A311,'SegEnds_NonXtal_BW#'!$A:$Z,17,FALSE)+VLOOKUP($A311,A:AL,25,FALSE)-50))</f>
        <v>306</v>
      </c>
      <c r="Y311" s="3">
        <v>306</v>
      </c>
      <c r="Z311" s="3">
        <f t="shared" si="176"/>
        <v>308</v>
      </c>
      <c r="AA311" s="3">
        <f>IF(ISERROR(VLOOKUP($A311,'SegEnds_NonXtal_BW#'!$A:$Z,19,FALSE)+VLOOKUP($A311,A:AL,28,FALSE)-50),"-",(VLOOKUP($A311,'SegEnds_NonXtal_BW#'!$A:$Z,19,FALSE)+VLOOKUP($A311,A:AL,28,FALSE)-50))</f>
        <v>314</v>
      </c>
      <c r="AB311" s="3">
        <v>325</v>
      </c>
      <c r="AC311" s="3">
        <f>IF(ISERROR((VLOOKUP($A311,'SegEnds_NonXtal_BW#'!$A:$Z,20,FALSE)+VLOOKUP($A311,A:AL,28,FALSE)-50)),"-",(VLOOKUP($A311,'SegEnds_NonXtal_BW#'!$A:$Z,20,FALSE)+VLOOKUP($A311,A:AL,28,FALSE)-50))</f>
        <v>344</v>
      </c>
      <c r="AD311" s="3">
        <f>IF(ISERROR(VLOOKUP($A311,'SegEnds_NonXtal_BW#'!$A:$Z,21,FALSE)+VLOOKUP($A311,A:AL,31,FALSE)-50),"-",(VLOOKUP($A311,'SegEnds_NonXtal_BW#'!$A:$Z,21,FALSE)+VLOOKUP($A311,A:AL,31,FALSE)-50))</f>
        <v>353</v>
      </c>
      <c r="AE311" s="3">
        <v>378</v>
      </c>
      <c r="AF311" s="3">
        <f>IF(ISERROR((VLOOKUP($A311,'SegEnds_NonXtal_BW#'!$A:$Z,22,FALSE)+VLOOKUP($A311,A:AL,31,FALSE)-50)),"-",(VLOOKUP($A311,'SegEnds_NonXtal_BW#'!$A:$Z,22,FALSE)+VLOOKUP($A311,A:AL,31,FALSE)-50))</f>
        <v>382</v>
      </c>
      <c r="AG311" s="3">
        <f>IF(ISERROR(VLOOKUP($A311,'SegEnds_NonXtal_BW#'!$A:$Z,23,FALSE)+VLOOKUP($A311,A:AL,34,FALSE)-50),"-",(VLOOKUP($A311,'SegEnds_NonXtal_BW#'!$A:$Z,23,FALSE)+VLOOKUP($A311,A:AL,34,FALSE)-50))</f>
        <v>388</v>
      </c>
      <c r="AH311" s="3">
        <v>410</v>
      </c>
      <c r="AI311" s="3">
        <f>IF(ISERROR((VLOOKUP($A311,'SegEnds_NonXtal_BW#'!$A:$Z,24,FALSE)+VLOOKUP($A311,A:AL,34,FALSE)-50)),"-",(VLOOKUP($A311,'SegEnds_NonXtal_BW#'!$A:$Z,24,FALSE)+VLOOKUP($A311,A:AL,34,FALSE)-50))</f>
        <v>416</v>
      </c>
      <c r="AJ311" s="3">
        <f>IF(ISERROR(VLOOKUP($A311,'SegEnds_NonXtal_BW#'!$A:$Z,25,FALSE)+VLOOKUP($A311,A:AL,37,FALSE)-50),"-",(VLOOKUP($A311,'SegEnds_NonXtal_BW#'!$A:$Z,25,FALSE)+VLOOKUP($A311,A:AL,37,FALSE)-50))</f>
        <v>417</v>
      </c>
      <c r="AK311" s="3">
        <v>420</v>
      </c>
      <c r="AL311" s="3">
        <f>IF(ISERROR((VLOOKUP($A311,'SegEnds_NonXtal_BW#'!$A:$Z,26,FALSE)+VLOOKUP($A311,A:AL,37,FALSE)-50)),"-",(VLOOKUP($A311,'SegEnds_NonXtal_BW#'!$A:$Z,26,FALSE)+VLOOKUP($A311,A:AL,37,FALSE)-50))</f>
        <v>442</v>
      </c>
      <c r="AM311" s="28" t="str">
        <f>VLOOKUP(A311,Classification!A:B,2,FALSE)</f>
        <v>B1</v>
      </c>
      <c r="AN311" s="28" t="b">
        <f t="shared" si="167"/>
        <v>1</v>
      </c>
      <c r="AO311" s="3" t="str">
        <f>IF(ISERROR(MATCH(A311,'SegEnds_Xtal_Prot#'!B:B, 0)), "NoXtal", "Xtal")</f>
        <v>NoXtal</v>
      </c>
      <c r="AP311" s="3">
        <f t="shared" si="152"/>
        <v>1</v>
      </c>
      <c r="AQ311" s="3">
        <f t="shared" si="153"/>
        <v>1</v>
      </c>
      <c r="AR311" s="3" t="str">
        <f t="shared" si="154"/>
        <v>-</v>
      </c>
      <c r="AS311" s="3" t="str">
        <f t="shared" si="155"/>
        <v>-</v>
      </c>
      <c r="AT311" s="3" t="str">
        <f t="shared" si="156"/>
        <v>-</v>
      </c>
      <c r="AU311" s="3" t="str">
        <f t="shared" si="157"/>
        <v>-</v>
      </c>
      <c r="AV311" s="3">
        <f t="shared" si="158"/>
        <v>4</v>
      </c>
      <c r="AW311" s="3">
        <f t="shared" si="159"/>
        <v>6</v>
      </c>
      <c r="AX311" s="3">
        <f t="shared" si="160"/>
        <v>9</v>
      </c>
      <c r="AY311" s="3">
        <f t="shared" si="161"/>
        <v>6</v>
      </c>
      <c r="AZ311" s="3">
        <f t="shared" si="162"/>
        <v>1</v>
      </c>
      <c r="BA311" s="3">
        <f>IF(ISERROR(LEN(VLOOKUP(A311,Seqs!A:E,2,FALSE))-AL311),"-",LEN(VLOOKUP(A311,Seqs!A:E,2,FALSE))-AL311)</f>
        <v>108</v>
      </c>
      <c r="BB311" s="16">
        <f t="shared" si="163"/>
        <v>28</v>
      </c>
      <c r="BC311" s="9" t="str">
        <f t="shared" si="164"/>
        <v>-</v>
      </c>
      <c r="BD311" s="3">
        <f t="shared" si="165"/>
        <v>28</v>
      </c>
      <c r="BE311" s="3">
        <f t="shared" si="166"/>
        <v>53</v>
      </c>
    </row>
    <row r="312" spans="1:58" s="3" customFormat="1" x14ac:dyDescent="0.2">
      <c r="A312" s="3" t="s">
        <v>411</v>
      </c>
      <c r="B312" s="3" t="str">
        <f>LOWER(VLOOKUP(A312,Xtal_Templ!A:B,2,FALSE))</f>
        <v>pth1r_human</v>
      </c>
      <c r="C312" s="3">
        <f>VLOOKUP($A312,'SegEnds_NonXtal_BW#'!$A:$Z,3,FALSE)+D312-50</f>
        <v>134</v>
      </c>
      <c r="D312" s="3">
        <v>157</v>
      </c>
      <c r="E312" s="3">
        <f>IF(ISERROR(VLOOKUP($A312,'SegEnds_NonXtal_BW#'!$A:$Z,4,FALSE)+VLOOKUP($A312,A:AL,4,FALSE)-50),"-",(VLOOKUP($A312,'SegEnds_NonXtal_BW#'!$A:$Z,4,FALSE)+VLOOKUP($A312,A:AL,4,FALSE)-50))</f>
        <v>167</v>
      </c>
      <c r="F312" s="3">
        <f t="shared" si="171"/>
        <v>168</v>
      </c>
      <c r="G312" s="3">
        <v>170</v>
      </c>
      <c r="H312" s="3">
        <f t="shared" si="177"/>
        <v>171</v>
      </c>
      <c r="I312" s="3">
        <f t="shared" si="177"/>
        <v>172</v>
      </c>
      <c r="J312" s="3">
        <v>185</v>
      </c>
      <c r="K312" s="3">
        <f>VLOOKUP($A312,'SegEnds_NonXtal_BW#'!$A:$Z,8,FALSE)+VLOOKUP($A312,A:AL,10,FALSE)-50</f>
        <v>199</v>
      </c>
      <c r="L312" s="3" t="str">
        <f>IF(ISERROR(VLOOKUP($A312,'SegEnds_NonXtal_BW#'!$A:$Z,9,FALSE)+VLOOKUP($A312,A:AL,13,FALSE)-50),"-",(VLOOKUP($A312,'SegEnds_NonXtal_BW#'!$A:$Z,9,FALSE)+VLOOKUP($A312,A:AL,13,FALSE)-50))</f>
        <v>-</v>
      </c>
      <c r="M312" s="3" t="s">
        <v>23</v>
      </c>
      <c r="N312" s="3" t="str">
        <f>IF(ISERROR(VLOOKUP($A312,'SegEnds_NonXtal_BW#'!$A:$Z,10,FALSE)+VLOOKUP($A312,A:AL,13,FALSE)-50),"-",(VLOOKUP($A312,'SegEnds_NonXtal_BW#'!$A:$Z,10,FALSE)+VLOOKUP($A312,A:AL,13,FALSE)-50))</f>
        <v>-</v>
      </c>
      <c r="O312" s="3">
        <f>VLOOKUP($A312,'SegEnds_NonXtal_BW#'!$A:$Z,11,FALSE)+VLOOKUP($A312,A:AL,16,FALSE)-50</f>
        <v>213</v>
      </c>
      <c r="P312" s="3">
        <v>240</v>
      </c>
      <c r="Q312" s="3">
        <f>VLOOKUP($A312,'SegEnds_NonXtal_BW#'!$A:$Z,12,FALSE)+VLOOKUP($A312,A:AL,16,FALSE)-50</f>
        <v>246</v>
      </c>
      <c r="R312" s="3" t="str">
        <f>IF(ISERROR(VLOOKUP($A312,'SegEnds_NonXtal_BW#'!$A:$Z,13,FALSE)+VLOOKUP($A312,A:AL,19,FALSE)-50),"-",VLOOKUP($A312,'SegEnds_NonXtal_BW#'!$A:$Z,13,FALSE)+VLOOKUP($A312,A:AL,19,FALSE)-50)</f>
        <v>-</v>
      </c>
      <c r="S312" s="3" t="s">
        <v>23</v>
      </c>
      <c r="T312" s="100" t="str">
        <f>IF(ISERROR(VLOOKUP($A312,'SegEnds_NonXtal_BW#'!$A:$Z,14,FALSE)+VLOOKUP($A312,A:AL,19,FALSE)-50),"-",(VLOOKUP($A312,'SegEnds_NonXtal_BW#'!$A:$Z,14,FALSE)+VLOOKUP($A312,A:AL,19,FALSE)-50))</f>
        <v>-</v>
      </c>
      <c r="U312" s="9">
        <f>IF(ISERROR(VLOOKUP($A312,'SegEnds_NonXtal_BW#'!$A:$Z,15,FALSE)+VLOOKUP($A312,A:AL,22,FALSE)-50),"-",VLOOKUP($A312,'SegEnds_NonXtal_BW#'!$A:$Z,15,FALSE)+VLOOKUP($A312,A:AL,22,FALSE)-50)</f>
        <v>250</v>
      </c>
      <c r="V312" s="3">
        <v>263</v>
      </c>
      <c r="W312" s="3">
        <f>IF(ISERROR(VLOOKUP($A312,'SegEnds_NonXtal_BW#'!$A:$Z,16,FALSE)+VLOOKUP($A312,A:AL,22,FALSE)-50),"-",(VLOOKUP($A312,'SegEnds_NonXtal_BW#'!$A:$Z,16,FALSE)+VLOOKUP($A312,A:AL,22,FALSE)-50))</f>
        <v>281</v>
      </c>
      <c r="X312" s="3">
        <f>IF(ISERROR(VLOOKUP($A312,'SegEnds_NonXtal_BW#'!$A:$Z,17,FALSE)+VLOOKUP($A312,A:AL,25,FALSE)-50),"-",(VLOOKUP($A312,'SegEnds_NonXtal_BW#'!$A:$Z,17,FALSE)+VLOOKUP($A312,A:AL,25,FALSE)-50))</f>
        <v>285</v>
      </c>
      <c r="Y312" s="3">
        <v>285</v>
      </c>
      <c r="Z312" s="3">
        <f t="shared" si="176"/>
        <v>287</v>
      </c>
      <c r="AA312" s="3">
        <f>IF(ISERROR(VLOOKUP($A312,'SegEnds_NonXtal_BW#'!$A:$Z,19,FALSE)+VLOOKUP($A312,A:AL,28,FALSE)-50),"-",(VLOOKUP($A312,'SegEnds_NonXtal_BW#'!$A:$Z,19,FALSE)+VLOOKUP($A312,A:AL,28,FALSE)-50))</f>
        <v>294</v>
      </c>
      <c r="AB312" s="3">
        <v>305</v>
      </c>
      <c r="AC312" s="3">
        <f>IF(ISERROR((VLOOKUP($A312,'SegEnds_NonXtal_BW#'!$A:$Z,20,FALSE)+VLOOKUP($A312,A:AL,28,FALSE)-50)),"-",(VLOOKUP($A312,'SegEnds_NonXtal_BW#'!$A:$Z,20,FALSE)+VLOOKUP($A312,A:AL,28,FALSE)-50))</f>
        <v>324</v>
      </c>
      <c r="AD312" s="3">
        <f>IF(ISERROR(VLOOKUP($A312,'SegEnds_NonXtal_BW#'!$A:$Z,21,FALSE)+VLOOKUP($A312,A:AL,31,FALSE)-50),"-",(VLOOKUP($A312,'SegEnds_NonXtal_BW#'!$A:$Z,21,FALSE)+VLOOKUP($A312,A:AL,31,FALSE)-50))</f>
        <v>332</v>
      </c>
      <c r="AE312" s="3">
        <v>357</v>
      </c>
      <c r="AF312" s="3">
        <f>IF(ISERROR((VLOOKUP($A312,'SegEnds_NonXtal_BW#'!$A:$Z,22,FALSE)+VLOOKUP($A312,A:AL,31,FALSE)-50)),"-",(VLOOKUP($A312,'SegEnds_NonXtal_BW#'!$A:$Z,22,FALSE)+VLOOKUP($A312,A:AL,31,FALSE)-50))</f>
        <v>361</v>
      </c>
      <c r="AG312" s="3">
        <f>IF(ISERROR(VLOOKUP($A312,'SegEnds_NonXtal_BW#'!$A:$Z,23,FALSE)+VLOOKUP($A312,A:AL,34,FALSE)-50),"-",(VLOOKUP($A312,'SegEnds_NonXtal_BW#'!$A:$Z,23,FALSE)+VLOOKUP($A312,A:AL,34,FALSE)-50))</f>
        <v>366</v>
      </c>
      <c r="AH312" s="3">
        <v>385</v>
      </c>
      <c r="AI312" s="3">
        <f>IF(ISERROR((VLOOKUP($A312,'SegEnds_NonXtal_BW#'!$A:$Z,24,FALSE)+VLOOKUP($A312,A:AL,34,FALSE)-50)),"-",(VLOOKUP($A312,'SegEnds_NonXtal_BW#'!$A:$Z,24,FALSE)+VLOOKUP($A312,A:AL,34,FALSE)-50))</f>
        <v>391</v>
      </c>
      <c r="AJ312" s="3">
        <f>IF(ISERROR(VLOOKUP($A312,'SegEnds_NonXtal_BW#'!$A:$Z,25,FALSE)+VLOOKUP($A312,A:AL,37,FALSE)-50),"-",(VLOOKUP($A312,'SegEnds_NonXtal_BW#'!$A:$Z,25,FALSE)+VLOOKUP($A312,A:AL,37,FALSE)-50))</f>
        <v>392</v>
      </c>
      <c r="AK312" s="3">
        <v>395</v>
      </c>
      <c r="AL312" s="3">
        <f>IF(ISERROR((VLOOKUP($A312,'SegEnds_NonXtal_BW#'!$A:$Z,26,FALSE)+VLOOKUP($A312,A:AL,37,FALSE)-50)),"-",(VLOOKUP($A312,'SegEnds_NonXtal_BW#'!$A:$Z,26,FALSE)+VLOOKUP($A312,A:AL,37,FALSE)-50))</f>
        <v>417</v>
      </c>
      <c r="AM312" s="28" t="str">
        <f>VLOOKUP(A312,Classification!A:B,2,FALSE)</f>
        <v>B1</v>
      </c>
      <c r="AN312" s="28" t="b">
        <f t="shared" si="167"/>
        <v>1</v>
      </c>
      <c r="AO312" s="3" t="str">
        <f>IF(ISERROR(MATCH(A312,'SegEnds_Xtal_Prot#'!B:B, 0)), "NoXtal", "Xtal")</f>
        <v>NoXtal</v>
      </c>
      <c r="AP312" s="3">
        <f t="shared" si="152"/>
        <v>1</v>
      </c>
      <c r="AQ312" s="3">
        <f t="shared" si="153"/>
        <v>1</v>
      </c>
      <c r="AR312" s="3" t="str">
        <f t="shared" si="154"/>
        <v>-</v>
      </c>
      <c r="AS312" s="3" t="str">
        <f t="shared" si="155"/>
        <v>-</v>
      </c>
      <c r="AT312" s="3" t="str">
        <f t="shared" si="156"/>
        <v>-</v>
      </c>
      <c r="AU312" s="3" t="str">
        <f t="shared" si="157"/>
        <v>-</v>
      </c>
      <c r="AV312" s="3">
        <f t="shared" si="158"/>
        <v>4</v>
      </c>
      <c r="AW312" s="3">
        <f t="shared" si="159"/>
        <v>7</v>
      </c>
      <c r="AX312" s="3">
        <f t="shared" si="160"/>
        <v>8</v>
      </c>
      <c r="AY312" s="3">
        <f t="shared" si="161"/>
        <v>5</v>
      </c>
      <c r="AZ312" s="3">
        <f t="shared" si="162"/>
        <v>1</v>
      </c>
      <c r="BA312" s="3">
        <f>IF(ISERROR(LEN(VLOOKUP(A312,Seqs!A:E,2,FALSE))-AL312),"-",LEN(VLOOKUP(A312,Seqs!A:E,2,FALSE))-AL312)</f>
        <v>23</v>
      </c>
      <c r="BB312" s="16">
        <f t="shared" si="163"/>
        <v>28</v>
      </c>
      <c r="BC312" s="9" t="str">
        <f t="shared" si="164"/>
        <v>-</v>
      </c>
      <c r="BD312" s="3">
        <f t="shared" si="165"/>
        <v>28</v>
      </c>
      <c r="BE312" s="3">
        <f t="shared" si="166"/>
        <v>52</v>
      </c>
      <c r="BF312" s="3">
        <f>AH312-AE312</f>
        <v>28</v>
      </c>
    </row>
    <row r="313" spans="1:58" s="3" customFormat="1" x14ac:dyDescent="0.2">
      <c r="A313" s="3" t="s">
        <v>412</v>
      </c>
      <c r="B313" s="3" t="str">
        <f>LOWER(VLOOKUP(A313,Xtal_Templ!A:B,2,FALSE))</f>
        <v>pth1r_human</v>
      </c>
      <c r="C313" s="3">
        <f>VLOOKUP($A313,'SegEnds_NonXtal_BW#'!$A:$Z,3,FALSE)+D313-50</f>
        <v>134</v>
      </c>
      <c r="D313" s="3">
        <v>157</v>
      </c>
      <c r="E313" s="3">
        <f>IF(ISERROR(VLOOKUP($A313,'SegEnds_NonXtal_BW#'!$A:$Z,4,FALSE)+VLOOKUP($A313,A:AL,4,FALSE)-50),"-",(VLOOKUP($A313,'SegEnds_NonXtal_BW#'!$A:$Z,4,FALSE)+VLOOKUP($A313,A:AL,4,FALSE)-50))</f>
        <v>167</v>
      </c>
      <c r="F313" s="3">
        <f t="shared" si="171"/>
        <v>168</v>
      </c>
      <c r="G313" s="3">
        <v>170</v>
      </c>
      <c r="H313" s="3">
        <f t="shared" si="177"/>
        <v>171</v>
      </c>
      <c r="I313" s="3">
        <f t="shared" si="177"/>
        <v>172</v>
      </c>
      <c r="J313" s="3">
        <v>185</v>
      </c>
      <c r="K313" s="3">
        <f>VLOOKUP($A313,'SegEnds_NonXtal_BW#'!$A:$Z,8,FALSE)+VLOOKUP($A313,A:AL,10,FALSE)-50</f>
        <v>199</v>
      </c>
      <c r="L313" s="3" t="str">
        <f>IF(ISERROR(VLOOKUP($A313,'SegEnds_NonXtal_BW#'!$A:$Z,9,FALSE)+VLOOKUP($A313,A:AL,13,FALSE)-50),"-",(VLOOKUP($A313,'SegEnds_NonXtal_BW#'!$A:$Z,9,FALSE)+VLOOKUP($A313,A:AL,13,FALSE)-50))</f>
        <v>-</v>
      </c>
      <c r="M313" s="3" t="s">
        <v>23</v>
      </c>
      <c r="N313" s="3" t="str">
        <f>IF(ISERROR(VLOOKUP($A313,'SegEnds_NonXtal_BW#'!$A:$Z,10,FALSE)+VLOOKUP($A313,A:AL,13,FALSE)-50),"-",(VLOOKUP($A313,'SegEnds_NonXtal_BW#'!$A:$Z,10,FALSE)+VLOOKUP($A313,A:AL,13,FALSE)-50))</f>
        <v>-</v>
      </c>
      <c r="O313" s="3">
        <f>VLOOKUP($A313,'SegEnds_NonXtal_BW#'!$A:$Z,11,FALSE)+VLOOKUP($A313,A:AL,16,FALSE)-50</f>
        <v>213</v>
      </c>
      <c r="P313" s="3">
        <v>240</v>
      </c>
      <c r="Q313" s="3">
        <f>VLOOKUP($A313,'SegEnds_NonXtal_BW#'!$A:$Z,12,FALSE)+VLOOKUP($A313,A:AL,16,FALSE)-50</f>
        <v>246</v>
      </c>
      <c r="R313" s="3" t="str">
        <f>IF(ISERROR(VLOOKUP($A313,'SegEnds_NonXtal_BW#'!$A:$Z,13,FALSE)+VLOOKUP($A313,A:AL,19,FALSE)-50),"-",VLOOKUP($A313,'SegEnds_NonXtal_BW#'!$A:$Z,13,FALSE)+VLOOKUP($A313,A:AL,19,FALSE)-50)</f>
        <v>-</v>
      </c>
      <c r="S313" s="3" t="s">
        <v>23</v>
      </c>
      <c r="T313" s="100" t="str">
        <f>IF(ISERROR(VLOOKUP($A313,'SegEnds_NonXtal_BW#'!$A:$Z,14,FALSE)+VLOOKUP($A313,A:AL,19,FALSE)-50),"-",(VLOOKUP($A313,'SegEnds_NonXtal_BW#'!$A:$Z,14,FALSE)+VLOOKUP($A313,A:AL,19,FALSE)-50))</f>
        <v>-</v>
      </c>
      <c r="U313" s="9">
        <f>IF(ISERROR(VLOOKUP($A313,'SegEnds_NonXtal_BW#'!$A:$Z,15,FALSE)+VLOOKUP($A313,A:AL,22,FALSE)-50),"-",VLOOKUP($A313,'SegEnds_NonXtal_BW#'!$A:$Z,15,FALSE)+VLOOKUP($A313,A:AL,22,FALSE)-50)</f>
        <v>250</v>
      </c>
      <c r="V313" s="3">
        <v>263</v>
      </c>
      <c r="W313" s="3">
        <f>IF(ISERROR(VLOOKUP($A313,'SegEnds_NonXtal_BW#'!$A:$Z,16,FALSE)+VLOOKUP($A313,A:AL,22,FALSE)-50),"-",(VLOOKUP($A313,'SegEnds_NonXtal_BW#'!$A:$Z,16,FALSE)+VLOOKUP($A313,A:AL,22,FALSE)-50))</f>
        <v>281</v>
      </c>
      <c r="X313" s="3">
        <f>IF(ISERROR(VLOOKUP($A313,'SegEnds_NonXtal_BW#'!$A:$Z,17,FALSE)+VLOOKUP($A313,A:AL,25,FALSE)-50),"-",(VLOOKUP($A313,'SegEnds_NonXtal_BW#'!$A:$Z,17,FALSE)+VLOOKUP($A313,A:AL,25,FALSE)-50))</f>
        <v>285</v>
      </c>
      <c r="Y313" s="3">
        <v>285</v>
      </c>
      <c r="Z313" s="3">
        <f t="shared" si="176"/>
        <v>287</v>
      </c>
      <c r="AA313" s="3">
        <f>IF(ISERROR(VLOOKUP($A313,'SegEnds_NonXtal_BW#'!$A:$Z,19,FALSE)+VLOOKUP($A313,A:AL,28,FALSE)-50),"-",(VLOOKUP($A313,'SegEnds_NonXtal_BW#'!$A:$Z,19,FALSE)+VLOOKUP($A313,A:AL,28,FALSE)-50))</f>
        <v>293</v>
      </c>
      <c r="AB313" s="3">
        <v>304</v>
      </c>
      <c r="AC313" s="3">
        <f>IF(ISERROR((VLOOKUP($A313,'SegEnds_NonXtal_BW#'!$A:$Z,20,FALSE)+VLOOKUP($A313,A:AL,28,FALSE)-50)),"-",(VLOOKUP($A313,'SegEnds_NonXtal_BW#'!$A:$Z,20,FALSE)+VLOOKUP($A313,A:AL,28,FALSE)-50))</f>
        <v>323</v>
      </c>
      <c r="AD313" s="3">
        <f>IF(ISERROR(VLOOKUP($A313,'SegEnds_NonXtal_BW#'!$A:$Z,21,FALSE)+VLOOKUP($A313,A:AL,31,FALSE)-50),"-",(VLOOKUP($A313,'SegEnds_NonXtal_BW#'!$A:$Z,21,FALSE)+VLOOKUP($A313,A:AL,31,FALSE)-50))</f>
        <v>331</v>
      </c>
      <c r="AE313" s="3">
        <v>356</v>
      </c>
      <c r="AF313" s="3">
        <f>IF(ISERROR((VLOOKUP($A313,'SegEnds_NonXtal_BW#'!$A:$Z,22,FALSE)+VLOOKUP($A313,A:AL,31,FALSE)-50)),"-",(VLOOKUP($A313,'SegEnds_NonXtal_BW#'!$A:$Z,22,FALSE)+VLOOKUP($A313,A:AL,31,FALSE)-50))</f>
        <v>360</v>
      </c>
      <c r="AG313" s="3">
        <f>IF(ISERROR(VLOOKUP($A313,'SegEnds_NonXtal_BW#'!$A:$Z,23,FALSE)+VLOOKUP($A313,A:AL,34,FALSE)-50),"-",(VLOOKUP($A313,'SegEnds_NonXtal_BW#'!$A:$Z,23,FALSE)+VLOOKUP($A313,A:AL,34,FALSE)-50))</f>
        <v>366</v>
      </c>
      <c r="AH313" s="3">
        <v>385</v>
      </c>
      <c r="AI313" s="3">
        <f>IF(ISERROR((VLOOKUP($A313,'SegEnds_NonXtal_BW#'!$A:$Z,24,FALSE)+VLOOKUP($A313,A:AL,34,FALSE)-50)),"-",(VLOOKUP($A313,'SegEnds_NonXtal_BW#'!$A:$Z,24,FALSE)+VLOOKUP($A313,A:AL,34,FALSE)-50))</f>
        <v>391</v>
      </c>
      <c r="AJ313" s="3">
        <f>IF(ISERROR(VLOOKUP($A313,'SegEnds_NonXtal_BW#'!$A:$Z,25,FALSE)+VLOOKUP($A313,A:AL,37,FALSE)-50),"-",(VLOOKUP($A313,'SegEnds_NonXtal_BW#'!$A:$Z,25,FALSE)+VLOOKUP($A313,A:AL,37,FALSE)-50))</f>
        <v>392</v>
      </c>
      <c r="AK313" s="3">
        <v>395</v>
      </c>
      <c r="AL313" s="3">
        <f>IF(ISERROR((VLOOKUP($A313,'SegEnds_NonXtal_BW#'!$A:$Z,26,FALSE)+VLOOKUP($A313,A:AL,37,FALSE)-50)),"-",(VLOOKUP($A313,'SegEnds_NonXtal_BW#'!$A:$Z,26,FALSE)+VLOOKUP($A313,A:AL,37,FALSE)-50))</f>
        <v>417</v>
      </c>
      <c r="AM313" s="28" t="str">
        <f>VLOOKUP(A313,Classification!A:B,2,FALSE)</f>
        <v>B1</v>
      </c>
      <c r="AN313" s="28" t="b">
        <f t="shared" si="167"/>
        <v>1</v>
      </c>
      <c r="AO313" s="3" t="str">
        <f>IF(ISERROR(MATCH(A313,'SegEnds_Xtal_Prot#'!B:B, 0)), "NoXtal", "Xtal")</f>
        <v>NoXtal</v>
      </c>
      <c r="AP313" s="3">
        <f t="shared" si="152"/>
        <v>1</v>
      </c>
      <c r="AQ313" s="3">
        <f t="shared" si="153"/>
        <v>1</v>
      </c>
      <c r="AR313" s="3" t="str">
        <f t="shared" si="154"/>
        <v>-</v>
      </c>
      <c r="AS313" s="3" t="str">
        <f t="shared" si="155"/>
        <v>-</v>
      </c>
      <c r="AT313" s="3" t="str">
        <f t="shared" si="156"/>
        <v>-</v>
      </c>
      <c r="AU313" s="3" t="str">
        <f t="shared" si="157"/>
        <v>-</v>
      </c>
      <c r="AV313" s="3">
        <f t="shared" si="158"/>
        <v>4</v>
      </c>
      <c r="AW313" s="3">
        <f t="shared" si="159"/>
        <v>6</v>
      </c>
      <c r="AX313" s="3">
        <f t="shared" si="160"/>
        <v>8</v>
      </c>
      <c r="AY313" s="3">
        <f t="shared" si="161"/>
        <v>6</v>
      </c>
      <c r="AZ313" s="3">
        <f t="shared" si="162"/>
        <v>1</v>
      </c>
      <c r="BA313" s="3">
        <f>IF(ISERROR(LEN(VLOOKUP(A313,Seqs!A:E,2,FALSE))-AL313),"-",LEN(VLOOKUP(A313,Seqs!A:E,2,FALSE))-AL313)</f>
        <v>40</v>
      </c>
      <c r="BB313" s="16">
        <f t="shared" si="163"/>
        <v>28</v>
      </c>
      <c r="BC313" s="9" t="str">
        <f t="shared" si="164"/>
        <v>-</v>
      </c>
      <c r="BD313" s="3">
        <f t="shared" si="165"/>
        <v>28</v>
      </c>
      <c r="BE313" s="3">
        <f t="shared" si="166"/>
        <v>52</v>
      </c>
    </row>
    <row r="314" spans="1:58" s="3" customFormat="1" x14ac:dyDescent="0.2">
      <c r="A314" s="3" t="s">
        <v>413</v>
      </c>
      <c r="B314" s="3" t="str">
        <f>LOWER(VLOOKUP(A314,Xtal_Templ!A:B,2,FALSE))</f>
        <v>pth1r_human</v>
      </c>
      <c r="C314" s="3">
        <f>VLOOKUP($A314,'SegEnds_NonXtal_BW#'!$A:$Z,3,FALSE)+D314-50</f>
        <v>118</v>
      </c>
      <c r="D314" s="3">
        <v>141</v>
      </c>
      <c r="E314" s="3">
        <f>IF(ISERROR(VLOOKUP($A314,'SegEnds_NonXtal_BW#'!$A:$Z,4,FALSE)+VLOOKUP($A314,A:AL,4,FALSE)-50),"-",(VLOOKUP($A314,'SegEnds_NonXtal_BW#'!$A:$Z,4,FALSE)+VLOOKUP($A314,A:AL,4,FALSE)-50))</f>
        <v>151</v>
      </c>
      <c r="F314" s="3">
        <f t="shared" si="171"/>
        <v>152</v>
      </c>
      <c r="G314" s="3">
        <v>154</v>
      </c>
      <c r="H314" s="3">
        <f t="shared" si="177"/>
        <v>155</v>
      </c>
      <c r="I314" s="3">
        <f t="shared" si="177"/>
        <v>156</v>
      </c>
      <c r="J314" s="3">
        <v>169</v>
      </c>
      <c r="K314" s="3">
        <f>VLOOKUP($A314,'SegEnds_NonXtal_BW#'!$A:$Z,8,FALSE)+VLOOKUP($A314,A:AL,10,FALSE)-50</f>
        <v>183</v>
      </c>
      <c r="L314" s="3" t="str">
        <f>IF(ISERROR(VLOOKUP($A314,'SegEnds_NonXtal_BW#'!$A:$Z,9,FALSE)+VLOOKUP($A314,A:AL,13,FALSE)-50),"-",(VLOOKUP($A314,'SegEnds_NonXtal_BW#'!$A:$Z,9,FALSE)+VLOOKUP($A314,A:AL,13,FALSE)-50))</f>
        <v>-</v>
      </c>
      <c r="M314" s="3" t="s">
        <v>23</v>
      </c>
      <c r="N314" s="3" t="str">
        <f>IF(ISERROR(VLOOKUP($A314,'SegEnds_NonXtal_BW#'!$A:$Z,10,FALSE)+VLOOKUP($A314,A:AL,13,FALSE)-50),"-",(VLOOKUP($A314,'SegEnds_NonXtal_BW#'!$A:$Z,10,FALSE)+VLOOKUP($A314,A:AL,13,FALSE)-50))</f>
        <v>-</v>
      </c>
      <c r="O314" s="3">
        <f>VLOOKUP($A314,'SegEnds_NonXtal_BW#'!$A:$Z,11,FALSE)+VLOOKUP($A314,A:AL,16,FALSE)-50</f>
        <v>200</v>
      </c>
      <c r="P314" s="3">
        <v>227</v>
      </c>
      <c r="Q314" s="3">
        <f>VLOOKUP($A314,'SegEnds_NonXtal_BW#'!$A:$Z,12,FALSE)+VLOOKUP($A314,A:AL,16,FALSE)-50</f>
        <v>233</v>
      </c>
      <c r="R314" s="3" t="str">
        <f>IF(ISERROR(VLOOKUP($A314,'SegEnds_NonXtal_BW#'!$A:$Z,13,FALSE)+VLOOKUP($A314,A:AL,19,FALSE)-50),"-",VLOOKUP($A314,'SegEnds_NonXtal_BW#'!$A:$Z,13,FALSE)+VLOOKUP($A314,A:AL,19,FALSE)-50)</f>
        <v>-</v>
      </c>
      <c r="S314" s="3" t="s">
        <v>23</v>
      </c>
      <c r="T314" s="100" t="str">
        <f>IF(ISERROR(VLOOKUP($A314,'SegEnds_NonXtal_BW#'!$A:$Z,14,FALSE)+VLOOKUP($A314,A:AL,19,FALSE)-50),"-",(VLOOKUP($A314,'SegEnds_NonXtal_BW#'!$A:$Z,14,FALSE)+VLOOKUP($A314,A:AL,19,FALSE)-50))</f>
        <v>-</v>
      </c>
      <c r="U314" s="9">
        <f>IF(ISERROR(VLOOKUP($A314,'SegEnds_NonXtal_BW#'!$A:$Z,15,FALSE)+VLOOKUP($A314,A:AL,22,FALSE)-50),"-",VLOOKUP($A314,'SegEnds_NonXtal_BW#'!$A:$Z,15,FALSE)+VLOOKUP($A314,A:AL,22,FALSE)-50)</f>
        <v>236</v>
      </c>
      <c r="V314" s="3">
        <v>249</v>
      </c>
      <c r="W314" s="3">
        <f>IF(ISERROR(VLOOKUP($A314,'SegEnds_NonXtal_BW#'!$A:$Z,16,FALSE)+VLOOKUP($A314,A:AL,22,FALSE)-50),"-",(VLOOKUP($A314,'SegEnds_NonXtal_BW#'!$A:$Z,16,FALSE)+VLOOKUP($A314,A:AL,22,FALSE)-50))</f>
        <v>267</v>
      </c>
      <c r="X314" s="3">
        <f>IF(ISERROR(VLOOKUP($A314,'SegEnds_NonXtal_BW#'!$A:$Z,17,FALSE)+VLOOKUP($A314,A:AL,25,FALSE)-50),"-",(VLOOKUP($A314,'SegEnds_NonXtal_BW#'!$A:$Z,17,FALSE)+VLOOKUP($A314,A:AL,25,FALSE)-50))</f>
        <v>271</v>
      </c>
      <c r="Y314" s="3">
        <v>271</v>
      </c>
      <c r="Z314" s="3">
        <f t="shared" si="176"/>
        <v>273</v>
      </c>
      <c r="AA314" s="3">
        <f>IF(ISERROR(VLOOKUP($A314,'SegEnds_NonXtal_BW#'!$A:$Z,19,FALSE)+VLOOKUP($A314,A:AL,28,FALSE)-50),"-",(VLOOKUP($A314,'SegEnds_NonXtal_BW#'!$A:$Z,19,FALSE)+VLOOKUP($A314,A:AL,28,FALSE)-50))</f>
        <v>280</v>
      </c>
      <c r="AB314" s="3">
        <v>291</v>
      </c>
      <c r="AC314" s="3">
        <f>IF(ISERROR((VLOOKUP($A314,'SegEnds_NonXtal_BW#'!$A:$Z,20,FALSE)+VLOOKUP($A314,A:AL,28,FALSE)-50)),"-",(VLOOKUP($A314,'SegEnds_NonXtal_BW#'!$A:$Z,20,FALSE)+VLOOKUP($A314,A:AL,28,FALSE)-50))</f>
        <v>310</v>
      </c>
      <c r="AD314" s="3">
        <f>IF(ISERROR(VLOOKUP($A314,'SegEnds_NonXtal_BW#'!$A:$Z,21,FALSE)+VLOOKUP($A314,A:AL,31,FALSE)-50),"-",(VLOOKUP($A314,'SegEnds_NonXtal_BW#'!$A:$Z,21,FALSE)+VLOOKUP($A314,A:AL,31,FALSE)-50))</f>
        <v>318</v>
      </c>
      <c r="AE314" s="3">
        <v>343</v>
      </c>
      <c r="AF314" s="3">
        <f>IF(ISERROR((VLOOKUP($A314,'SegEnds_NonXtal_BW#'!$A:$Z,22,FALSE)+VLOOKUP($A314,A:AL,31,FALSE)-50)),"-",(VLOOKUP($A314,'SegEnds_NonXtal_BW#'!$A:$Z,22,FALSE)+VLOOKUP($A314,A:AL,31,FALSE)-50))</f>
        <v>347</v>
      </c>
      <c r="AG314" s="3">
        <f>IF(ISERROR(VLOOKUP($A314,'SegEnds_NonXtal_BW#'!$A:$Z,23,FALSE)+VLOOKUP($A314,A:AL,34,FALSE)-50),"-",(VLOOKUP($A314,'SegEnds_NonXtal_BW#'!$A:$Z,23,FALSE)+VLOOKUP($A314,A:AL,34,FALSE)-50))</f>
        <v>353</v>
      </c>
      <c r="AH314" s="3">
        <v>372</v>
      </c>
      <c r="AI314" s="3">
        <f>IF(ISERROR((VLOOKUP($A314,'SegEnds_NonXtal_BW#'!$A:$Z,24,FALSE)+VLOOKUP($A314,A:AL,34,FALSE)-50)),"-",(VLOOKUP($A314,'SegEnds_NonXtal_BW#'!$A:$Z,24,FALSE)+VLOOKUP($A314,A:AL,34,FALSE)-50))</f>
        <v>378</v>
      </c>
      <c r="AJ314" s="3">
        <f>IF(ISERROR(VLOOKUP($A314,'SegEnds_NonXtal_BW#'!$A:$Z,25,FALSE)+VLOOKUP($A314,A:AL,37,FALSE)-50),"-",(VLOOKUP($A314,'SegEnds_NonXtal_BW#'!$A:$Z,25,FALSE)+VLOOKUP($A314,A:AL,37,FALSE)-50))</f>
        <v>379</v>
      </c>
      <c r="AK314" s="3">
        <v>382</v>
      </c>
      <c r="AL314" s="3">
        <f>IF(ISERROR((VLOOKUP($A314,'SegEnds_NonXtal_BW#'!$A:$Z,26,FALSE)+VLOOKUP($A314,A:AL,37,FALSE)-50)),"-",(VLOOKUP($A314,'SegEnds_NonXtal_BW#'!$A:$Z,26,FALSE)+VLOOKUP($A314,A:AL,37,FALSE)-50))</f>
        <v>404</v>
      </c>
      <c r="AM314" s="28" t="str">
        <f>VLOOKUP(A314,Classification!A:B,2,FALSE)</f>
        <v>B1</v>
      </c>
      <c r="AN314" s="28" t="b">
        <f t="shared" si="167"/>
        <v>1</v>
      </c>
      <c r="AO314" s="3" t="str">
        <f>IF(ISERROR(MATCH(A314,'SegEnds_Xtal_Prot#'!B:B, 0)), "NoXtal", "Xtal")</f>
        <v>NoXtal</v>
      </c>
      <c r="AP314" s="3">
        <f t="shared" si="152"/>
        <v>1</v>
      </c>
      <c r="AQ314" s="3">
        <f t="shared" si="153"/>
        <v>1</v>
      </c>
      <c r="AR314" s="3" t="str">
        <f t="shared" si="154"/>
        <v>-</v>
      </c>
      <c r="AS314" s="3" t="str">
        <f t="shared" si="155"/>
        <v>-</v>
      </c>
      <c r="AT314" s="3" t="str">
        <f t="shared" si="156"/>
        <v>-</v>
      </c>
      <c r="AU314" s="3" t="str">
        <f t="shared" si="157"/>
        <v>-</v>
      </c>
      <c r="AV314" s="3">
        <f t="shared" si="158"/>
        <v>4</v>
      </c>
      <c r="AW314" s="3">
        <f t="shared" si="159"/>
        <v>7</v>
      </c>
      <c r="AX314" s="3">
        <f t="shared" si="160"/>
        <v>8</v>
      </c>
      <c r="AY314" s="3">
        <f t="shared" si="161"/>
        <v>6</v>
      </c>
      <c r="AZ314" s="3">
        <f t="shared" si="162"/>
        <v>1</v>
      </c>
      <c r="BA314" s="3">
        <f>IF(ISERROR(LEN(VLOOKUP(A314,Seqs!A:E,2,FALSE))-AL314),"-",LEN(VLOOKUP(A314,Seqs!A:E,2,FALSE))-AL314)</f>
        <v>34</v>
      </c>
      <c r="BB314" s="16">
        <f t="shared" si="163"/>
        <v>28</v>
      </c>
      <c r="BC314" s="9" t="str">
        <f t="shared" si="164"/>
        <v>-</v>
      </c>
      <c r="BD314" s="3">
        <f t="shared" si="165"/>
        <v>28</v>
      </c>
      <c r="BE314" s="3">
        <f t="shared" si="166"/>
        <v>52</v>
      </c>
    </row>
    <row r="315" spans="1:58" s="3" customFormat="1" x14ac:dyDescent="0.2">
      <c r="A315" s="3" t="s">
        <v>1177</v>
      </c>
      <c r="B315" s="3" t="str">
        <f>LOWER(VLOOKUP(A315,Xtal_Templ!A:B,2,FALSE))</f>
        <v>crfr1_human</v>
      </c>
      <c r="C315" s="3">
        <f>VLOOKUP($A315,'SegEnds_NonXtal_BW#'!$A:$Z,3,FALSE)+D315-50</f>
        <v>8</v>
      </c>
      <c r="D315" s="3">
        <v>35</v>
      </c>
      <c r="E315" s="3">
        <f>IF(ISERROR(VLOOKUP($A315,'SegEnds_NonXtal_BW#'!$A:$Z,4,FALSE)+VLOOKUP($A315,A:AL,4,FALSE)-50),"-",(VLOOKUP($A315,'SegEnds_NonXtal_BW#'!$A:$Z,4,FALSE)+VLOOKUP($A315,A:AL,4,FALSE)-50))</f>
        <v>45</v>
      </c>
      <c r="F315" s="3" t="s">
        <v>23</v>
      </c>
      <c r="G315" s="3" t="s">
        <v>23</v>
      </c>
      <c r="H315" s="3" t="s">
        <v>23</v>
      </c>
      <c r="I315" s="3">
        <f>VLOOKUP($A315,'SegEnds_NonXtal_BW#'!$A:$Z,7,FALSE)+J315-50</f>
        <v>48</v>
      </c>
      <c r="J315" s="3">
        <v>61</v>
      </c>
      <c r="K315" s="3">
        <f>VLOOKUP($A315,'SegEnds_NonXtal_BW#'!$A:$Z,8,FALSE)+VLOOKUP($A315,A:AL,10,FALSE)-50</f>
        <v>74</v>
      </c>
      <c r="L315" s="3" t="str">
        <f>IF(ISERROR(VLOOKUP($A315,'SegEnds_NonXtal_BW#'!$A:$Z,9,FALSE)+VLOOKUP($A315,A:AL,13,FALSE)-50),"-",(VLOOKUP($A315,'SegEnds_NonXtal_BW#'!$A:$Z,9,FALSE)+VLOOKUP($A315,A:AL,13,FALSE)-50))</f>
        <v>-</v>
      </c>
      <c r="M315" s="3" t="s">
        <v>23</v>
      </c>
      <c r="N315" s="3" t="str">
        <f>IF(ISERROR(VLOOKUP($A315,'SegEnds_NonXtal_BW#'!$A:$Z,10,FALSE)+VLOOKUP($A315,A:AL,13,FALSE)-50),"-",(VLOOKUP($A315,'SegEnds_NonXtal_BW#'!$A:$Z,10,FALSE)+VLOOKUP($A315,A:AL,13,FALSE)-50))</f>
        <v>-</v>
      </c>
      <c r="O315" s="3">
        <f>VLOOKUP($A315,'SegEnds_NonXtal_BW#'!$A:$Z,11,FALSE)+VLOOKUP($A315,A:AL,16,FALSE)-50</f>
        <v>81</v>
      </c>
      <c r="P315" s="3">
        <v>108</v>
      </c>
      <c r="Q315" s="3">
        <f>VLOOKUP($A315,'SegEnds_NonXtal_BW#'!$A:$Z,12,FALSE)+VLOOKUP($A315,A:AL,16,FALSE)-50</f>
        <v>114</v>
      </c>
      <c r="R315" s="3" t="str">
        <f>IF(ISERROR(VLOOKUP($A315,'SegEnds_NonXtal_BW#'!$A:$Z,13,FALSE)+VLOOKUP($A315,A:AL,19,FALSE)-50),"-",VLOOKUP($A315,'SegEnds_NonXtal_BW#'!$A:$Z,13,FALSE)+VLOOKUP($A315,A:AL,19,FALSE)-50)</f>
        <v>-</v>
      </c>
      <c r="S315" s="3" t="s">
        <v>23</v>
      </c>
      <c r="T315" s="100" t="str">
        <f>IF(ISERROR(VLOOKUP($A315,'SegEnds_NonXtal_BW#'!$A:$Z,14,FALSE)+VLOOKUP($A315,A:AL,19,FALSE)-50),"-",(VLOOKUP($A315,'SegEnds_NonXtal_BW#'!$A:$Z,14,FALSE)+VLOOKUP($A315,A:AL,19,FALSE)-50))</f>
        <v>-</v>
      </c>
      <c r="U315" s="9">
        <f>IF(ISERROR(VLOOKUP($A315,'SegEnds_NonXtal_BW#'!$A:$Z,15,FALSE)+VLOOKUP($A315,A:AL,22,FALSE)-50),"-",VLOOKUP($A315,'SegEnds_NonXtal_BW#'!$A:$Z,15,FALSE)+VLOOKUP($A315,A:AL,22,FALSE)-50)</f>
        <v>130</v>
      </c>
      <c r="V315" s="3">
        <v>140</v>
      </c>
      <c r="W315" s="3">
        <f>IF(ISERROR(VLOOKUP($A315,'SegEnds_NonXtal_BW#'!$A:$Z,16,FALSE)+VLOOKUP($A315,A:AL,22,FALSE)-50),"-",(VLOOKUP($A315,'SegEnds_NonXtal_BW#'!$A:$Z,16,FALSE)+VLOOKUP($A315,A:AL,22,FALSE)-50))</f>
        <v>158</v>
      </c>
      <c r="X315" s="3">
        <f>IF(ISERROR(VLOOKUP($A315,'SegEnds_NonXtal_BW#'!$A:$Z,17,FALSE)+VLOOKUP($A315,A:AL,25,FALSE)-50),"-",(VLOOKUP($A315,'SegEnds_NonXtal_BW#'!$A:$Z,17,FALSE)+VLOOKUP($A315,A:AL,25,FALSE)-50))</f>
        <v>168</v>
      </c>
      <c r="Y315" s="3">
        <v>168</v>
      </c>
      <c r="Z315" s="3">
        <f t="shared" si="176"/>
        <v>170</v>
      </c>
      <c r="AA315" s="3">
        <f>IF(ISERROR(VLOOKUP($A315,'SegEnds_NonXtal_BW#'!$A:$Z,19,FALSE)+VLOOKUP($A315,A:AL,28,FALSE)-50),"-",(VLOOKUP($A315,'SegEnds_NonXtal_BW#'!$A:$Z,19,FALSE)+VLOOKUP($A315,A:AL,28,FALSE)-50))</f>
        <v>172</v>
      </c>
      <c r="AB315" s="3">
        <v>186</v>
      </c>
      <c r="AC315" s="3">
        <f>IF(ISERROR((VLOOKUP($A315,'SegEnds_NonXtal_BW#'!$A:$Z,20,FALSE)+VLOOKUP($A315,A:AL,28,FALSE)-50)),"-",(VLOOKUP($A315,'SegEnds_NonXtal_BW#'!$A:$Z,20,FALSE)+VLOOKUP($A315,A:AL,28,FALSE)-50))</f>
        <v>205</v>
      </c>
      <c r="AD315" s="3">
        <f>IF(ISERROR(VLOOKUP($A315,'SegEnds_NonXtal_BW#'!$A:$Z,21,FALSE)+VLOOKUP($A315,A:AL,31,FALSE)-50),"-",(VLOOKUP($A315,'SegEnds_NonXtal_BW#'!$A:$Z,21,FALSE)+VLOOKUP($A315,A:AL,31,FALSE)-50))</f>
        <v>251</v>
      </c>
      <c r="AE315" s="3">
        <v>272</v>
      </c>
      <c r="AF315" s="3">
        <f>IF(ISERROR((VLOOKUP($A315,'SegEnds_NonXtal_BW#'!$A:$Z,22,FALSE)+VLOOKUP($A315,A:AL,31,FALSE)-50)),"-",(VLOOKUP($A315,'SegEnds_NonXtal_BW#'!$A:$Z,22,FALSE)+VLOOKUP($A315,A:AL,31,FALSE)-50))</f>
        <v>275</v>
      </c>
      <c r="AG315" s="3">
        <f>IF(ISERROR(VLOOKUP($A315,'SegEnds_NonXtal_BW#'!$A:$Z,23,FALSE)+VLOOKUP($A315,A:AL,34,FALSE)-50),"-",(VLOOKUP($A315,'SegEnds_NonXtal_BW#'!$A:$Z,23,FALSE)+VLOOKUP($A315,A:AL,34,FALSE)-50))</f>
        <v>282</v>
      </c>
      <c r="AH315" s="3">
        <v>303</v>
      </c>
      <c r="AI315" s="3">
        <f>IF(ISERROR((VLOOKUP($A315,'SegEnds_NonXtal_BW#'!$A:$Z,24,FALSE)+VLOOKUP($A315,A:AL,34,FALSE)-50)),"-",(VLOOKUP($A315,'SegEnds_NonXtal_BW#'!$A:$Z,24,FALSE)+VLOOKUP($A315,A:AL,34,FALSE)-50))</f>
        <v>309</v>
      </c>
      <c r="AJ315" s="3">
        <f>IF(ISERROR(VLOOKUP($A315,'SegEnds_NonXtal_BW#'!$A:$Z,25,FALSE)+VLOOKUP($A315,A:AL,37,FALSE)-50),"-",(VLOOKUP($A315,'SegEnds_NonXtal_BW#'!$A:$Z,25,FALSE)+VLOOKUP($A315,A:AL,37,FALSE)-50))</f>
        <v>310</v>
      </c>
      <c r="AK315" s="3">
        <v>313</v>
      </c>
      <c r="AL315" s="3">
        <f>IF(ISERROR((VLOOKUP($A315,'SegEnds_NonXtal_BW#'!$A:$Z,26,FALSE)+VLOOKUP($A315,A:AL,37,FALSE)-50)),"-",(VLOOKUP($A315,'SegEnds_NonXtal_BW#'!$A:$Z,26,FALSE)+VLOOKUP($A315,A:AL,37,FALSE)-50))</f>
        <v>326</v>
      </c>
      <c r="AM315" s="28" t="str">
        <f>VLOOKUP(A315,Classification!A:B,2,FALSE)</f>
        <v>B2</v>
      </c>
      <c r="AN315" s="28" t="b">
        <f t="shared" si="167"/>
        <v>1</v>
      </c>
      <c r="AO315" s="3" t="str">
        <f>IF(ISERROR(MATCH(A315,'SegEnds_Xtal_Prot#'!B:B, 0)), "NoXtal", "Xtal")</f>
        <v>NoXtal</v>
      </c>
      <c r="AP315" s="3" t="str">
        <f t="shared" si="152"/>
        <v>-</v>
      </c>
      <c r="AQ315" s="3" t="str">
        <f t="shared" si="153"/>
        <v>-</v>
      </c>
      <c r="AR315" s="3" t="str">
        <f t="shared" si="154"/>
        <v>-</v>
      </c>
      <c r="AS315" s="3" t="str">
        <f t="shared" si="155"/>
        <v>-</v>
      </c>
      <c r="AT315" s="3" t="str">
        <f t="shared" si="156"/>
        <v>-</v>
      </c>
      <c r="AU315" s="3" t="str">
        <f t="shared" si="157"/>
        <v>-</v>
      </c>
      <c r="AV315" s="3">
        <f t="shared" si="158"/>
        <v>10</v>
      </c>
      <c r="AW315" s="3">
        <f t="shared" si="159"/>
        <v>2</v>
      </c>
      <c r="AX315" s="3">
        <f t="shared" si="160"/>
        <v>46</v>
      </c>
      <c r="AY315" s="3">
        <f t="shared" si="161"/>
        <v>7</v>
      </c>
      <c r="AZ315" s="3">
        <f t="shared" si="162"/>
        <v>1</v>
      </c>
      <c r="BA315" s="3">
        <f>IF(ISERROR(LEN(VLOOKUP(A315,Seqs!A:E,2,FALSE))-AL315),"-",LEN(VLOOKUP(A315,Seqs!A:E,2,FALSE))-AL315)</f>
        <v>234</v>
      </c>
      <c r="BB315" s="16">
        <f t="shared" si="163"/>
        <v>26</v>
      </c>
      <c r="BC315" s="9" t="str">
        <f t="shared" si="164"/>
        <v>-</v>
      </c>
      <c r="BD315" s="3">
        <f t="shared" si="165"/>
        <v>26</v>
      </c>
      <c r="BE315" s="3">
        <f t="shared" si="166"/>
        <v>86</v>
      </c>
    </row>
    <row r="316" spans="1:58" s="3" customFormat="1" x14ac:dyDescent="0.2">
      <c r="A316" s="3" t="s">
        <v>1178</v>
      </c>
      <c r="B316" s="3" t="str">
        <f>LOWER(VLOOKUP(A316,Xtal_Templ!A:B,2,FALSE))</f>
        <v>crfr1_human</v>
      </c>
      <c r="C316" s="3">
        <f>VLOOKUP($A316,'SegEnds_NonXtal_BW#'!$A:$Z,3,FALSE)+D316-50</f>
        <v>760</v>
      </c>
      <c r="D316" s="3">
        <v>787</v>
      </c>
      <c r="E316" s="3">
        <f>IF(ISERROR(VLOOKUP($A316,'SegEnds_NonXtal_BW#'!$A:$Z,4,FALSE)+VLOOKUP($A316,A:AL,4,FALSE)-50),"-",(VLOOKUP($A316,'SegEnds_NonXtal_BW#'!$A:$Z,4,FALSE)+VLOOKUP($A316,A:AL,4,FALSE)-50))</f>
        <v>797</v>
      </c>
      <c r="F316" s="3" t="s">
        <v>23</v>
      </c>
      <c r="G316" s="3" t="s">
        <v>23</v>
      </c>
      <c r="H316" s="3" t="s">
        <v>23</v>
      </c>
      <c r="I316" s="3">
        <f>VLOOKUP($A316,'SegEnds_NonXtal_BW#'!$A:$Z,7,FALSE)+J316-50</f>
        <v>800</v>
      </c>
      <c r="J316" s="3">
        <v>813</v>
      </c>
      <c r="K316" s="3">
        <f>VLOOKUP($A316,'SegEnds_NonXtal_BW#'!$A:$Z,8,FALSE)+VLOOKUP($A316,A:AL,10,FALSE)-50</f>
        <v>826</v>
      </c>
      <c r="L316" s="3" t="str">
        <f>IF(ISERROR(VLOOKUP($A316,'SegEnds_NonXtal_BW#'!$A:$Z,9,FALSE)+VLOOKUP($A316,A:AL,13,FALSE)-50),"-",(VLOOKUP($A316,'SegEnds_NonXtal_BW#'!$A:$Z,9,FALSE)+VLOOKUP($A316,A:AL,13,FALSE)-50))</f>
        <v>-</v>
      </c>
      <c r="M316" s="3" t="s">
        <v>23</v>
      </c>
      <c r="N316" s="3" t="str">
        <f>IF(ISERROR(VLOOKUP($A316,'SegEnds_NonXtal_BW#'!$A:$Z,10,FALSE)+VLOOKUP($A316,A:AL,13,FALSE)-50),"-",(VLOOKUP($A316,'SegEnds_NonXtal_BW#'!$A:$Z,10,FALSE)+VLOOKUP($A316,A:AL,13,FALSE)-50))</f>
        <v>-</v>
      </c>
      <c r="O316" s="3">
        <f>VLOOKUP($A316,'SegEnds_NonXtal_BW#'!$A:$Z,11,FALSE)+VLOOKUP($A316,A:AL,16,FALSE)-50</f>
        <v>833</v>
      </c>
      <c r="P316" s="3">
        <v>860</v>
      </c>
      <c r="Q316" s="3">
        <f>VLOOKUP($A316,'SegEnds_NonXtal_BW#'!$A:$Z,12,FALSE)+VLOOKUP($A316,A:AL,16,FALSE)-50</f>
        <v>866</v>
      </c>
      <c r="R316" s="3" t="str">
        <f>IF(ISERROR(VLOOKUP($A316,'SegEnds_NonXtal_BW#'!$A:$Z,13,FALSE)+VLOOKUP($A316,A:AL,19,FALSE)-50),"-",VLOOKUP($A316,'SegEnds_NonXtal_BW#'!$A:$Z,13,FALSE)+VLOOKUP($A316,A:AL,19,FALSE)-50)</f>
        <v>-</v>
      </c>
      <c r="S316" s="3" t="s">
        <v>23</v>
      </c>
      <c r="T316" s="100" t="str">
        <f>IF(ISERROR(VLOOKUP($A316,'SegEnds_NonXtal_BW#'!$A:$Z,14,FALSE)+VLOOKUP($A316,A:AL,19,FALSE)-50),"-",(VLOOKUP($A316,'SegEnds_NonXtal_BW#'!$A:$Z,14,FALSE)+VLOOKUP($A316,A:AL,19,FALSE)-50))</f>
        <v>-</v>
      </c>
      <c r="U316" s="9">
        <f>IF(ISERROR(VLOOKUP($A316,'SegEnds_NonXtal_BW#'!$A:$Z,15,FALSE)+VLOOKUP($A316,A:AL,22,FALSE)-50),"-",VLOOKUP($A316,'SegEnds_NonXtal_BW#'!$A:$Z,15,FALSE)+VLOOKUP($A316,A:AL,22,FALSE)-50)</f>
        <v>882</v>
      </c>
      <c r="V316" s="3">
        <v>892</v>
      </c>
      <c r="W316" s="3">
        <f>IF(ISERROR(VLOOKUP($A316,'SegEnds_NonXtal_BW#'!$A:$Z,16,FALSE)+VLOOKUP($A316,A:AL,22,FALSE)-50),"-",(VLOOKUP($A316,'SegEnds_NonXtal_BW#'!$A:$Z,16,FALSE)+VLOOKUP($A316,A:AL,22,FALSE)-50))</f>
        <v>910</v>
      </c>
      <c r="X316" s="3">
        <f>IF(ISERROR(VLOOKUP($A316,'SegEnds_NonXtal_BW#'!$A:$Z,17,FALSE)+VLOOKUP($A316,A:AL,25,FALSE)-50),"-",(VLOOKUP($A316,'SegEnds_NonXtal_BW#'!$A:$Z,17,FALSE)+VLOOKUP($A316,A:AL,25,FALSE)-50))</f>
        <v>917</v>
      </c>
      <c r="Y316" s="3">
        <v>917</v>
      </c>
      <c r="Z316" s="3">
        <f t="shared" si="176"/>
        <v>919</v>
      </c>
      <c r="AA316" s="3">
        <f>IF(ISERROR(VLOOKUP($A316,'SegEnds_NonXtal_BW#'!$A:$Z,19,FALSE)+VLOOKUP($A316,A:AL,28,FALSE)-50),"-",(VLOOKUP($A316,'SegEnds_NonXtal_BW#'!$A:$Z,19,FALSE)+VLOOKUP($A316,A:AL,28,FALSE)-50))</f>
        <v>921</v>
      </c>
      <c r="AB316" s="3">
        <v>935</v>
      </c>
      <c r="AC316" s="3">
        <f>IF(ISERROR((VLOOKUP($A316,'SegEnds_NonXtal_BW#'!$A:$Z,20,FALSE)+VLOOKUP($A316,A:AL,28,FALSE)-50)),"-",(VLOOKUP($A316,'SegEnds_NonXtal_BW#'!$A:$Z,20,FALSE)+VLOOKUP($A316,A:AL,28,FALSE)-50))</f>
        <v>954</v>
      </c>
      <c r="AD316" s="3">
        <f>IF(ISERROR(VLOOKUP($A316,'SegEnds_NonXtal_BW#'!$A:$Z,21,FALSE)+VLOOKUP($A316,A:AL,31,FALSE)-50),"-",(VLOOKUP($A316,'SegEnds_NonXtal_BW#'!$A:$Z,21,FALSE)+VLOOKUP($A316,A:AL,31,FALSE)-50))</f>
        <v>1014</v>
      </c>
      <c r="AE316" s="3">
        <v>1035</v>
      </c>
      <c r="AF316" s="3">
        <f>IF(ISERROR((VLOOKUP($A316,'SegEnds_NonXtal_BW#'!$A:$Z,22,FALSE)+VLOOKUP($A316,A:AL,31,FALSE)-50)),"-",(VLOOKUP($A316,'SegEnds_NonXtal_BW#'!$A:$Z,22,FALSE)+VLOOKUP($A316,A:AL,31,FALSE)-50))</f>
        <v>1038</v>
      </c>
      <c r="AG316" s="3">
        <f>IF(ISERROR(VLOOKUP($A316,'SegEnds_NonXtal_BW#'!$A:$Z,23,FALSE)+VLOOKUP($A316,A:AL,34,FALSE)-50),"-",(VLOOKUP($A316,'SegEnds_NonXtal_BW#'!$A:$Z,23,FALSE)+VLOOKUP($A316,A:AL,34,FALSE)-50))</f>
        <v>1045</v>
      </c>
      <c r="AH316" s="3">
        <v>1066</v>
      </c>
      <c r="AI316" s="3">
        <f>IF(ISERROR((VLOOKUP($A316,'SegEnds_NonXtal_BW#'!$A:$Z,24,FALSE)+VLOOKUP($A316,A:AL,34,FALSE)-50)),"-",(VLOOKUP($A316,'SegEnds_NonXtal_BW#'!$A:$Z,24,FALSE)+VLOOKUP($A316,A:AL,34,FALSE)-50))</f>
        <v>1072</v>
      </c>
      <c r="AJ316" s="3">
        <f>IF(ISERROR(VLOOKUP($A316,'SegEnds_NonXtal_BW#'!$A:$Z,25,FALSE)+VLOOKUP($A316,A:AL,37,FALSE)-50),"-",(VLOOKUP($A316,'SegEnds_NonXtal_BW#'!$A:$Z,25,FALSE)+VLOOKUP($A316,A:AL,37,FALSE)-50))</f>
        <v>1073</v>
      </c>
      <c r="AK316" s="3">
        <v>1076</v>
      </c>
      <c r="AL316" s="3">
        <f>IF(ISERROR((VLOOKUP($A316,'SegEnds_NonXtal_BW#'!$A:$Z,26,FALSE)+VLOOKUP($A316,A:AL,37,FALSE)-50)),"-",(VLOOKUP($A316,'SegEnds_NonXtal_BW#'!$A:$Z,26,FALSE)+VLOOKUP($A316,A:AL,37,FALSE)-50))</f>
        <v>1089</v>
      </c>
      <c r="AM316" s="28" t="str">
        <f>VLOOKUP(A316,Classification!A:B,2,FALSE)</f>
        <v>B2</v>
      </c>
      <c r="AN316" s="28" t="b">
        <f t="shared" si="167"/>
        <v>1</v>
      </c>
      <c r="AO316" s="3" t="str">
        <f>IF(ISERROR(MATCH(A316,'SegEnds_Xtal_Prot#'!B:B, 0)), "NoXtal", "Xtal")</f>
        <v>NoXtal</v>
      </c>
      <c r="AP316" s="3" t="str">
        <f t="shared" si="152"/>
        <v>-</v>
      </c>
      <c r="AQ316" s="3" t="str">
        <f t="shared" si="153"/>
        <v>-</v>
      </c>
      <c r="AR316" s="3" t="str">
        <f t="shared" si="154"/>
        <v>-</v>
      </c>
      <c r="AS316" s="3" t="str">
        <f t="shared" si="155"/>
        <v>-</v>
      </c>
      <c r="AT316" s="3" t="str">
        <f t="shared" si="156"/>
        <v>-</v>
      </c>
      <c r="AU316" s="3" t="str">
        <f t="shared" si="157"/>
        <v>-</v>
      </c>
      <c r="AV316" s="3">
        <f t="shared" si="158"/>
        <v>7</v>
      </c>
      <c r="AW316" s="3">
        <f t="shared" si="159"/>
        <v>2</v>
      </c>
      <c r="AX316" s="3">
        <f t="shared" si="160"/>
        <v>60</v>
      </c>
      <c r="AY316" s="3">
        <f t="shared" si="161"/>
        <v>7</v>
      </c>
      <c r="AZ316" s="3">
        <f t="shared" si="162"/>
        <v>1</v>
      </c>
      <c r="BA316" s="3">
        <f>IF(ISERROR(LEN(VLOOKUP(A316,Seqs!A:E,2,FALSE))-AL316),"-",LEN(VLOOKUP(A316,Seqs!A:E,2,FALSE))-AL316)</f>
        <v>249</v>
      </c>
      <c r="BB316" s="16">
        <f t="shared" si="163"/>
        <v>26</v>
      </c>
      <c r="BC316" s="9" t="str">
        <f t="shared" si="164"/>
        <v>-</v>
      </c>
      <c r="BD316" s="3">
        <f t="shared" si="165"/>
        <v>26</v>
      </c>
      <c r="BE316" s="3">
        <f t="shared" si="166"/>
        <v>100</v>
      </c>
    </row>
    <row r="317" spans="1:58" s="3" customFormat="1" x14ac:dyDescent="0.2">
      <c r="A317" s="3" t="s">
        <v>1179</v>
      </c>
      <c r="B317" s="3" t="str">
        <f>LOWER(VLOOKUP(A317,Xtal_Templ!A:B,2,FALSE))</f>
        <v>crfr1_human</v>
      </c>
      <c r="C317" s="3">
        <f>VLOOKUP($A317,'SegEnds_NonXtal_BW#'!$A:$Z,3,FALSE)+D317-50</f>
        <v>750</v>
      </c>
      <c r="D317" s="3">
        <v>777</v>
      </c>
      <c r="E317" s="3">
        <f>IF(ISERROR(VLOOKUP($A317,'SegEnds_NonXtal_BW#'!$A:$Z,4,FALSE)+VLOOKUP($A317,A:AL,4,FALSE)-50),"-",(VLOOKUP($A317,'SegEnds_NonXtal_BW#'!$A:$Z,4,FALSE)+VLOOKUP($A317,A:AL,4,FALSE)-50))</f>
        <v>787</v>
      </c>
      <c r="F317" s="3" t="s">
        <v>23</v>
      </c>
      <c r="G317" s="3" t="s">
        <v>23</v>
      </c>
      <c r="H317" s="3" t="s">
        <v>23</v>
      </c>
      <c r="I317" s="3">
        <f>VLOOKUP($A317,'SegEnds_NonXtal_BW#'!$A:$Z,7,FALSE)+J317-50</f>
        <v>790</v>
      </c>
      <c r="J317" s="3">
        <v>803</v>
      </c>
      <c r="K317" s="3">
        <f>VLOOKUP($A317,'SegEnds_NonXtal_BW#'!$A:$Z,8,FALSE)+VLOOKUP($A317,A:AL,10,FALSE)-50</f>
        <v>816</v>
      </c>
      <c r="L317" s="3" t="str">
        <f>IF(ISERROR(VLOOKUP($A317,'SegEnds_NonXtal_BW#'!$A:$Z,9,FALSE)+VLOOKUP($A317,A:AL,13,FALSE)-50),"-",(VLOOKUP($A317,'SegEnds_NonXtal_BW#'!$A:$Z,9,FALSE)+VLOOKUP($A317,A:AL,13,FALSE)-50))</f>
        <v>-</v>
      </c>
      <c r="M317" s="3" t="s">
        <v>23</v>
      </c>
      <c r="N317" s="3" t="str">
        <f>IF(ISERROR(VLOOKUP($A317,'SegEnds_NonXtal_BW#'!$A:$Z,10,FALSE)+VLOOKUP($A317,A:AL,13,FALSE)-50),"-",(VLOOKUP($A317,'SegEnds_NonXtal_BW#'!$A:$Z,10,FALSE)+VLOOKUP($A317,A:AL,13,FALSE)-50))</f>
        <v>-</v>
      </c>
      <c r="O317" s="3">
        <f>VLOOKUP($A317,'SegEnds_NonXtal_BW#'!$A:$Z,11,FALSE)+VLOOKUP($A317,A:AL,16,FALSE)-50</f>
        <v>823</v>
      </c>
      <c r="P317" s="3">
        <v>850</v>
      </c>
      <c r="Q317" s="3">
        <f>VLOOKUP($A317,'SegEnds_NonXtal_BW#'!$A:$Z,12,FALSE)+VLOOKUP($A317,A:AL,16,FALSE)-50</f>
        <v>856</v>
      </c>
      <c r="R317" s="3" t="str">
        <f>IF(ISERROR(VLOOKUP($A317,'SegEnds_NonXtal_BW#'!$A:$Z,13,FALSE)+VLOOKUP($A317,A:AL,19,FALSE)-50),"-",VLOOKUP($A317,'SegEnds_NonXtal_BW#'!$A:$Z,13,FALSE)+VLOOKUP($A317,A:AL,19,FALSE)-50)</f>
        <v>-</v>
      </c>
      <c r="S317" s="3" t="s">
        <v>23</v>
      </c>
      <c r="T317" s="100" t="str">
        <f>IF(ISERROR(VLOOKUP($A317,'SegEnds_NonXtal_BW#'!$A:$Z,14,FALSE)+VLOOKUP($A317,A:AL,19,FALSE)-50),"-",(VLOOKUP($A317,'SegEnds_NonXtal_BW#'!$A:$Z,14,FALSE)+VLOOKUP($A317,A:AL,19,FALSE)-50))</f>
        <v>-</v>
      </c>
      <c r="U317" s="9">
        <f>IF(ISERROR(VLOOKUP($A317,'SegEnds_NonXtal_BW#'!$A:$Z,15,FALSE)+VLOOKUP($A317,A:AL,22,FALSE)-50),"-",VLOOKUP($A317,'SegEnds_NonXtal_BW#'!$A:$Z,15,FALSE)+VLOOKUP($A317,A:AL,22,FALSE)-50)</f>
        <v>872</v>
      </c>
      <c r="V317" s="3">
        <v>882</v>
      </c>
      <c r="W317" s="3">
        <f>IF(ISERROR(VLOOKUP($A317,'SegEnds_NonXtal_BW#'!$A:$Z,16,FALSE)+VLOOKUP($A317,A:AL,22,FALSE)-50),"-",(VLOOKUP($A317,'SegEnds_NonXtal_BW#'!$A:$Z,16,FALSE)+VLOOKUP($A317,A:AL,22,FALSE)-50))</f>
        <v>900</v>
      </c>
      <c r="X317" s="3">
        <f>IF(ISERROR(VLOOKUP($A317,'SegEnds_NonXtal_BW#'!$A:$Z,17,FALSE)+VLOOKUP($A317,A:AL,25,FALSE)-50),"-",(VLOOKUP($A317,'SegEnds_NonXtal_BW#'!$A:$Z,17,FALSE)+VLOOKUP($A317,A:AL,25,FALSE)-50))</f>
        <v>909</v>
      </c>
      <c r="Y317" s="3">
        <v>909</v>
      </c>
      <c r="Z317" s="3">
        <f t="shared" si="176"/>
        <v>911</v>
      </c>
      <c r="AA317" s="3">
        <f>IF(ISERROR(VLOOKUP($A317,'SegEnds_NonXtal_BW#'!$A:$Z,19,FALSE)+VLOOKUP($A317,A:AL,28,FALSE)-50),"-",(VLOOKUP($A317,'SegEnds_NonXtal_BW#'!$A:$Z,19,FALSE)+VLOOKUP($A317,A:AL,28,FALSE)-50))</f>
        <v>913</v>
      </c>
      <c r="AB317" s="3">
        <v>927</v>
      </c>
      <c r="AC317" s="3">
        <f>IF(ISERROR((VLOOKUP($A317,'SegEnds_NonXtal_BW#'!$A:$Z,20,FALSE)+VLOOKUP($A317,A:AL,28,FALSE)-50)),"-",(VLOOKUP($A317,'SegEnds_NonXtal_BW#'!$A:$Z,20,FALSE)+VLOOKUP($A317,A:AL,28,FALSE)-50))</f>
        <v>946</v>
      </c>
      <c r="AD317" s="3">
        <f>IF(ISERROR(VLOOKUP($A317,'SegEnds_NonXtal_BW#'!$A:$Z,21,FALSE)+VLOOKUP($A317,A:AL,31,FALSE)-50),"-",(VLOOKUP($A317,'SegEnds_NonXtal_BW#'!$A:$Z,21,FALSE)+VLOOKUP($A317,A:AL,31,FALSE)-50))</f>
        <v>991</v>
      </c>
      <c r="AE317" s="3">
        <v>1012</v>
      </c>
      <c r="AF317" s="3">
        <f>IF(ISERROR((VLOOKUP($A317,'SegEnds_NonXtal_BW#'!$A:$Z,22,FALSE)+VLOOKUP($A317,A:AL,31,FALSE)-50)),"-",(VLOOKUP($A317,'SegEnds_NonXtal_BW#'!$A:$Z,22,FALSE)+VLOOKUP($A317,A:AL,31,FALSE)-50))</f>
        <v>1015</v>
      </c>
      <c r="AG317" s="3">
        <f>IF(ISERROR(VLOOKUP($A317,'SegEnds_NonXtal_BW#'!$A:$Z,23,FALSE)+VLOOKUP($A317,A:AL,34,FALSE)-50),"-",(VLOOKUP($A317,'SegEnds_NonXtal_BW#'!$A:$Z,23,FALSE)+VLOOKUP($A317,A:AL,34,FALSE)-50))</f>
        <v>1022</v>
      </c>
      <c r="AH317" s="3">
        <v>1043</v>
      </c>
      <c r="AI317" s="3">
        <f>IF(ISERROR((VLOOKUP($A317,'SegEnds_NonXtal_BW#'!$A:$Z,24,FALSE)+VLOOKUP($A317,A:AL,34,FALSE)-50)),"-",(VLOOKUP($A317,'SegEnds_NonXtal_BW#'!$A:$Z,24,FALSE)+VLOOKUP($A317,A:AL,34,FALSE)-50))</f>
        <v>1049</v>
      </c>
      <c r="AJ317" s="3">
        <f>IF(ISERROR(VLOOKUP($A317,'SegEnds_NonXtal_BW#'!$A:$Z,25,FALSE)+VLOOKUP($A317,A:AL,37,FALSE)-50),"-",(VLOOKUP($A317,'SegEnds_NonXtal_BW#'!$A:$Z,25,FALSE)+VLOOKUP($A317,A:AL,37,FALSE)-50))</f>
        <v>1050</v>
      </c>
      <c r="AK317" s="3">
        <v>1053</v>
      </c>
      <c r="AL317" s="3">
        <f>IF(ISERROR((VLOOKUP($A317,'SegEnds_NonXtal_BW#'!$A:$Z,26,FALSE)+VLOOKUP($A317,A:AL,37,FALSE)-50)),"-",(VLOOKUP($A317,'SegEnds_NonXtal_BW#'!$A:$Z,26,FALSE)+VLOOKUP($A317,A:AL,37,FALSE)-50))</f>
        <v>1066</v>
      </c>
      <c r="AM317" s="28" t="str">
        <f>VLOOKUP(A317,Classification!A:B,2,FALSE)</f>
        <v>B2</v>
      </c>
      <c r="AN317" s="28" t="b">
        <f t="shared" si="167"/>
        <v>1</v>
      </c>
      <c r="AO317" s="3" t="str">
        <f>IF(ISERROR(MATCH(A317,'SegEnds_Xtal_Prot#'!B:B, 0)), "NoXtal", "Xtal")</f>
        <v>NoXtal</v>
      </c>
      <c r="AP317" s="3" t="str">
        <f t="shared" si="152"/>
        <v>-</v>
      </c>
      <c r="AQ317" s="3" t="str">
        <f t="shared" si="153"/>
        <v>-</v>
      </c>
      <c r="AR317" s="3" t="str">
        <f t="shared" si="154"/>
        <v>-</v>
      </c>
      <c r="AS317" s="3" t="str">
        <f t="shared" si="155"/>
        <v>-</v>
      </c>
      <c r="AT317" s="3" t="str">
        <f t="shared" si="156"/>
        <v>-</v>
      </c>
      <c r="AU317" s="3" t="str">
        <f t="shared" si="157"/>
        <v>-</v>
      </c>
      <c r="AV317" s="3">
        <f t="shared" si="158"/>
        <v>9</v>
      </c>
      <c r="AW317" s="3">
        <f t="shared" si="159"/>
        <v>2</v>
      </c>
      <c r="AX317" s="3">
        <f t="shared" si="160"/>
        <v>45</v>
      </c>
      <c r="AY317" s="3">
        <f t="shared" si="161"/>
        <v>7</v>
      </c>
      <c r="AZ317" s="3">
        <f t="shared" si="162"/>
        <v>1</v>
      </c>
      <c r="BA317" s="3">
        <f>IF(ISERROR(LEN(VLOOKUP(A317,Seqs!A:E,2,FALSE))-AL317),"-",LEN(VLOOKUP(A317,Seqs!A:E,2,FALSE))-AL317)</f>
        <v>255</v>
      </c>
      <c r="BB317" s="16">
        <f t="shared" si="163"/>
        <v>26</v>
      </c>
      <c r="BC317" s="9" t="str">
        <f t="shared" si="164"/>
        <v>-</v>
      </c>
      <c r="BD317" s="3">
        <f t="shared" si="165"/>
        <v>26</v>
      </c>
      <c r="BE317" s="3">
        <f t="shared" si="166"/>
        <v>85</v>
      </c>
    </row>
    <row r="318" spans="1:58" s="3" customFormat="1" x14ac:dyDescent="0.2">
      <c r="A318" s="3" t="s">
        <v>1180</v>
      </c>
      <c r="B318" s="3" t="str">
        <f>LOWER(VLOOKUP(A318,Xtal_Templ!A:B,2,FALSE))</f>
        <v>crfr1_human</v>
      </c>
      <c r="C318" s="3">
        <f>VLOOKUP($A318,'SegEnds_NonXtal_BW#'!$A:$Z,3,FALSE)+D318-50</f>
        <v>920</v>
      </c>
      <c r="D318" s="3">
        <v>947</v>
      </c>
      <c r="E318" s="3">
        <f>IF(ISERROR(VLOOKUP($A318,'SegEnds_NonXtal_BW#'!$A:$Z,4,FALSE)+VLOOKUP($A318,A:AL,4,FALSE)-50),"-",(VLOOKUP($A318,'SegEnds_NonXtal_BW#'!$A:$Z,4,FALSE)+VLOOKUP($A318,A:AL,4,FALSE)-50))</f>
        <v>957</v>
      </c>
      <c r="F318" s="3" t="s">
        <v>23</v>
      </c>
      <c r="G318" s="3" t="s">
        <v>23</v>
      </c>
      <c r="H318" s="3" t="s">
        <v>23</v>
      </c>
      <c r="I318" s="3">
        <f>VLOOKUP($A318,'SegEnds_NonXtal_BW#'!$A:$Z,7,FALSE)+J318-50</f>
        <v>963</v>
      </c>
      <c r="J318" s="3">
        <v>976</v>
      </c>
      <c r="K318" s="3">
        <f>VLOOKUP($A318,'SegEnds_NonXtal_BW#'!$A:$Z,8,FALSE)+VLOOKUP($A318,A:AL,10,FALSE)-50</f>
        <v>989</v>
      </c>
      <c r="L318" s="3" t="str">
        <f>IF(ISERROR(VLOOKUP($A318,'SegEnds_NonXtal_BW#'!$A:$Z,9,FALSE)+VLOOKUP($A318,A:AL,13,FALSE)-50),"-",(VLOOKUP($A318,'SegEnds_NonXtal_BW#'!$A:$Z,9,FALSE)+VLOOKUP($A318,A:AL,13,FALSE)-50))</f>
        <v>-</v>
      </c>
      <c r="M318" s="3" t="s">
        <v>23</v>
      </c>
      <c r="N318" s="3" t="str">
        <f>IF(ISERROR(VLOOKUP($A318,'SegEnds_NonXtal_BW#'!$A:$Z,10,FALSE)+VLOOKUP($A318,A:AL,13,FALSE)-50),"-",(VLOOKUP($A318,'SegEnds_NonXtal_BW#'!$A:$Z,10,FALSE)+VLOOKUP($A318,A:AL,13,FALSE)-50))</f>
        <v>-</v>
      </c>
      <c r="O318" s="3">
        <f>VLOOKUP($A318,'SegEnds_NonXtal_BW#'!$A:$Z,11,FALSE)+VLOOKUP($A318,A:AL,16,FALSE)-50</f>
        <v>994</v>
      </c>
      <c r="P318" s="3">
        <v>1021</v>
      </c>
      <c r="Q318" s="3">
        <f>VLOOKUP($A318,'SegEnds_NonXtal_BW#'!$A:$Z,12,FALSE)+VLOOKUP($A318,A:AL,16,FALSE)-50</f>
        <v>1027</v>
      </c>
      <c r="R318" s="3" t="str">
        <f>IF(ISERROR(VLOOKUP($A318,'SegEnds_NonXtal_BW#'!$A:$Z,13,FALSE)+VLOOKUP($A318,A:AL,19,FALSE)-50),"-",VLOOKUP($A318,'SegEnds_NonXtal_BW#'!$A:$Z,13,FALSE)+VLOOKUP($A318,A:AL,19,FALSE)-50)</f>
        <v>-</v>
      </c>
      <c r="S318" s="3" t="s">
        <v>23</v>
      </c>
      <c r="T318" s="100" t="str">
        <f>IF(ISERROR(VLOOKUP($A318,'SegEnds_NonXtal_BW#'!$A:$Z,14,FALSE)+VLOOKUP($A318,A:AL,19,FALSE)-50),"-",(VLOOKUP($A318,'SegEnds_NonXtal_BW#'!$A:$Z,14,FALSE)+VLOOKUP($A318,A:AL,19,FALSE)-50))</f>
        <v>-</v>
      </c>
      <c r="U318" s="9">
        <f>IF(ISERROR(VLOOKUP($A318,'SegEnds_NonXtal_BW#'!$A:$Z,15,FALSE)+VLOOKUP($A318,A:AL,22,FALSE)-50),"-",VLOOKUP($A318,'SegEnds_NonXtal_BW#'!$A:$Z,15,FALSE)+VLOOKUP($A318,A:AL,22,FALSE)-50)</f>
        <v>1033</v>
      </c>
      <c r="V318" s="3">
        <v>1043</v>
      </c>
      <c r="W318" s="3">
        <f>IF(ISERROR(VLOOKUP($A318,'SegEnds_NonXtal_BW#'!$A:$Z,16,FALSE)+VLOOKUP($A318,A:AL,22,FALSE)-50),"-",(VLOOKUP($A318,'SegEnds_NonXtal_BW#'!$A:$Z,16,FALSE)+VLOOKUP($A318,A:AL,22,FALSE)-50))</f>
        <v>1061</v>
      </c>
      <c r="X318" s="3">
        <f>IF(ISERROR(VLOOKUP($A318,'SegEnds_NonXtal_BW#'!$A:$Z,17,FALSE)+VLOOKUP($A318,A:AL,25,FALSE)-50),"-",(VLOOKUP($A318,'SegEnds_NonXtal_BW#'!$A:$Z,17,FALSE)+VLOOKUP($A318,A:AL,25,FALSE)-50))</f>
        <v>1068</v>
      </c>
      <c r="Y318" s="3">
        <v>1068</v>
      </c>
      <c r="Z318" s="3">
        <f t="shared" si="176"/>
        <v>1070</v>
      </c>
      <c r="AA318" s="3">
        <f>IF(ISERROR(VLOOKUP($A318,'SegEnds_NonXtal_BW#'!$A:$Z,19,FALSE)+VLOOKUP($A318,A:AL,28,FALSE)-50),"-",(VLOOKUP($A318,'SegEnds_NonXtal_BW#'!$A:$Z,19,FALSE)+VLOOKUP($A318,A:AL,28,FALSE)-50))</f>
        <v>1073</v>
      </c>
      <c r="AB318" s="3">
        <v>1087</v>
      </c>
      <c r="AC318" s="3">
        <f>IF(ISERROR((VLOOKUP($A318,'SegEnds_NonXtal_BW#'!$A:$Z,20,FALSE)+VLOOKUP($A318,A:AL,28,FALSE)-50)),"-",(VLOOKUP($A318,'SegEnds_NonXtal_BW#'!$A:$Z,20,FALSE)+VLOOKUP($A318,A:AL,28,FALSE)-50))</f>
        <v>1106</v>
      </c>
      <c r="AD318" s="3">
        <f>IF(ISERROR(VLOOKUP($A318,'SegEnds_NonXtal_BW#'!$A:$Z,21,FALSE)+VLOOKUP($A318,A:AL,31,FALSE)-50),"-",(VLOOKUP($A318,'SegEnds_NonXtal_BW#'!$A:$Z,21,FALSE)+VLOOKUP($A318,A:AL,31,FALSE)-50))</f>
        <v>1149</v>
      </c>
      <c r="AE318" s="3">
        <v>1170</v>
      </c>
      <c r="AF318" s="3">
        <f>IF(ISERROR((VLOOKUP($A318,'SegEnds_NonXtal_BW#'!$A:$Z,22,FALSE)+VLOOKUP($A318,A:AL,31,FALSE)-50)),"-",(VLOOKUP($A318,'SegEnds_NonXtal_BW#'!$A:$Z,22,FALSE)+VLOOKUP($A318,A:AL,31,FALSE)-50))</f>
        <v>1173</v>
      </c>
      <c r="AG318" s="3">
        <f>IF(ISERROR(VLOOKUP($A318,'SegEnds_NonXtal_BW#'!$A:$Z,23,FALSE)+VLOOKUP($A318,A:AL,34,FALSE)-50),"-",(VLOOKUP($A318,'SegEnds_NonXtal_BW#'!$A:$Z,23,FALSE)+VLOOKUP($A318,A:AL,34,FALSE)-50))</f>
        <v>1180</v>
      </c>
      <c r="AH318" s="3">
        <v>1199</v>
      </c>
      <c r="AI318" s="3">
        <f>IF(ISERROR((VLOOKUP($A318,'SegEnds_NonXtal_BW#'!$A:$Z,24,FALSE)+VLOOKUP($A318,A:AL,34,FALSE)-50)),"-",(VLOOKUP($A318,'SegEnds_NonXtal_BW#'!$A:$Z,24,FALSE)+VLOOKUP($A318,A:AL,34,FALSE)-50))</f>
        <v>1205</v>
      </c>
      <c r="AJ318" s="3">
        <f>IF(ISERROR(VLOOKUP($A318,'SegEnds_NonXtal_BW#'!$A:$Z,25,FALSE)+VLOOKUP($A318,A:AL,37,FALSE)-50),"-",(VLOOKUP($A318,'SegEnds_NonXtal_BW#'!$A:$Z,25,FALSE)+VLOOKUP($A318,A:AL,37,FALSE)-50))</f>
        <v>1206</v>
      </c>
      <c r="AK318" s="3">
        <v>1209</v>
      </c>
      <c r="AL318" s="3">
        <f>IF(ISERROR((VLOOKUP($A318,'SegEnds_NonXtal_BW#'!$A:$Z,26,FALSE)+VLOOKUP($A318,A:AL,37,FALSE)-50)),"-",(VLOOKUP($A318,'SegEnds_NonXtal_BW#'!$A:$Z,26,FALSE)+VLOOKUP($A318,A:AL,37,FALSE)-50))</f>
        <v>1222</v>
      </c>
      <c r="AM318" s="28" t="str">
        <f>VLOOKUP(A318,Classification!A:B,2,FALSE)</f>
        <v>B2</v>
      </c>
      <c r="AN318" s="28" t="b">
        <f t="shared" si="167"/>
        <v>1</v>
      </c>
      <c r="AO318" s="3" t="str">
        <f>IF(ISERROR(MATCH(A318,'SegEnds_Xtal_Prot#'!B:B, 0)), "NoXtal", "Xtal")</f>
        <v>NoXtal</v>
      </c>
      <c r="AP318" s="3" t="str">
        <f t="shared" si="152"/>
        <v>-</v>
      </c>
      <c r="AQ318" s="3" t="str">
        <f t="shared" si="153"/>
        <v>-</v>
      </c>
      <c r="AR318" s="3" t="str">
        <f t="shared" si="154"/>
        <v>-</v>
      </c>
      <c r="AS318" s="3" t="str">
        <f t="shared" si="155"/>
        <v>-</v>
      </c>
      <c r="AT318" s="3" t="str">
        <f t="shared" si="156"/>
        <v>-</v>
      </c>
      <c r="AU318" s="3" t="str">
        <f t="shared" si="157"/>
        <v>-</v>
      </c>
      <c r="AV318" s="3">
        <f t="shared" si="158"/>
        <v>7</v>
      </c>
      <c r="AW318" s="3">
        <f t="shared" si="159"/>
        <v>3</v>
      </c>
      <c r="AX318" s="3">
        <f t="shared" si="160"/>
        <v>43</v>
      </c>
      <c r="AY318" s="3">
        <f t="shared" si="161"/>
        <v>7</v>
      </c>
      <c r="AZ318" s="3">
        <f t="shared" si="162"/>
        <v>1</v>
      </c>
      <c r="BA318" s="3">
        <f>IF(ISERROR(LEN(VLOOKUP(A318,Seqs!A:E,2,FALSE))-AL318),"-",LEN(VLOOKUP(A318,Seqs!A:E,2,FALSE))-AL318)</f>
        <v>363</v>
      </c>
      <c r="BB318" s="16">
        <f t="shared" si="163"/>
        <v>29</v>
      </c>
      <c r="BC318" s="9" t="str">
        <f t="shared" si="164"/>
        <v>-</v>
      </c>
      <c r="BD318" s="3">
        <f t="shared" si="165"/>
        <v>29</v>
      </c>
      <c r="BE318" s="3">
        <f t="shared" si="166"/>
        <v>83</v>
      </c>
    </row>
    <row r="319" spans="1:58" s="3" customFormat="1" x14ac:dyDescent="0.2">
      <c r="A319" s="3" t="s">
        <v>1181</v>
      </c>
      <c r="B319" s="3" t="str">
        <f>LOWER(VLOOKUP(A319,Xtal_Templ!A:B,2,FALSE))</f>
        <v>crfr1_human</v>
      </c>
      <c r="C319" s="3">
        <f>VLOOKUP($A319,'SegEnds_NonXtal_BW#'!$A:$Z,3,FALSE)+D319-50</f>
        <v>865</v>
      </c>
      <c r="D319" s="3">
        <v>892</v>
      </c>
      <c r="E319" s="3">
        <f>IF(ISERROR(VLOOKUP($A319,'SegEnds_NonXtal_BW#'!$A:$Z,4,FALSE)+VLOOKUP($A319,A:AL,4,FALSE)-50),"-",(VLOOKUP($A319,'SegEnds_NonXtal_BW#'!$A:$Z,4,FALSE)+VLOOKUP($A319,A:AL,4,FALSE)-50))</f>
        <v>902</v>
      </c>
      <c r="F319" s="3" t="s">
        <v>23</v>
      </c>
      <c r="G319" s="3" t="s">
        <v>23</v>
      </c>
      <c r="H319" s="3" t="s">
        <v>23</v>
      </c>
      <c r="I319" s="3">
        <f>VLOOKUP($A319,'SegEnds_NonXtal_BW#'!$A:$Z,7,FALSE)+J319-50</f>
        <v>908</v>
      </c>
      <c r="J319" s="3">
        <v>921</v>
      </c>
      <c r="K319" s="3">
        <f>VLOOKUP($A319,'SegEnds_NonXtal_BW#'!$A:$Z,8,FALSE)+VLOOKUP($A319,A:AL,10,FALSE)-50</f>
        <v>934</v>
      </c>
      <c r="L319" s="3" t="str">
        <f>IF(ISERROR(VLOOKUP($A319,'SegEnds_NonXtal_BW#'!$A:$Z,9,FALSE)+VLOOKUP($A319,A:AL,13,FALSE)-50),"-",(VLOOKUP($A319,'SegEnds_NonXtal_BW#'!$A:$Z,9,FALSE)+VLOOKUP($A319,A:AL,13,FALSE)-50))</f>
        <v>-</v>
      </c>
      <c r="M319" s="3" t="s">
        <v>23</v>
      </c>
      <c r="N319" s="3" t="str">
        <f>IF(ISERROR(VLOOKUP($A319,'SegEnds_NonXtal_BW#'!$A:$Z,10,FALSE)+VLOOKUP($A319,A:AL,13,FALSE)-50),"-",(VLOOKUP($A319,'SegEnds_NonXtal_BW#'!$A:$Z,10,FALSE)+VLOOKUP($A319,A:AL,13,FALSE)-50))</f>
        <v>-</v>
      </c>
      <c r="O319" s="3">
        <f>VLOOKUP($A319,'SegEnds_NonXtal_BW#'!$A:$Z,11,FALSE)+VLOOKUP($A319,A:AL,16,FALSE)-50</f>
        <v>939</v>
      </c>
      <c r="P319" s="3">
        <v>966</v>
      </c>
      <c r="Q319" s="3">
        <f>VLOOKUP($A319,'SegEnds_NonXtal_BW#'!$A:$Z,12,FALSE)+VLOOKUP($A319,A:AL,16,FALSE)-50</f>
        <v>972</v>
      </c>
      <c r="R319" s="3" t="str">
        <f>IF(ISERROR(VLOOKUP($A319,'SegEnds_NonXtal_BW#'!$A:$Z,13,FALSE)+VLOOKUP($A319,A:AL,19,FALSE)-50),"-",VLOOKUP($A319,'SegEnds_NonXtal_BW#'!$A:$Z,13,FALSE)+VLOOKUP($A319,A:AL,19,FALSE)-50)</f>
        <v>-</v>
      </c>
      <c r="S319" s="3" t="s">
        <v>23</v>
      </c>
      <c r="T319" s="100" t="str">
        <f>IF(ISERROR(VLOOKUP($A319,'SegEnds_NonXtal_BW#'!$A:$Z,14,FALSE)+VLOOKUP($A319,A:AL,19,FALSE)-50),"-",(VLOOKUP($A319,'SegEnds_NonXtal_BW#'!$A:$Z,14,FALSE)+VLOOKUP($A319,A:AL,19,FALSE)-50))</f>
        <v>-</v>
      </c>
      <c r="U319" s="9">
        <f>IF(ISERROR(VLOOKUP($A319,'SegEnds_NonXtal_BW#'!$A:$Z,15,FALSE)+VLOOKUP($A319,A:AL,22,FALSE)-50),"-",VLOOKUP($A319,'SegEnds_NonXtal_BW#'!$A:$Z,15,FALSE)+VLOOKUP($A319,A:AL,22,FALSE)-50)</f>
        <v>978</v>
      </c>
      <c r="V319" s="3">
        <v>988</v>
      </c>
      <c r="W319" s="3">
        <f>IF(ISERROR(VLOOKUP($A319,'SegEnds_NonXtal_BW#'!$A:$Z,16,FALSE)+VLOOKUP($A319,A:AL,22,FALSE)-50),"-",(VLOOKUP($A319,'SegEnds_NonXtal_BW#'!$A:$Z,16,FALSE)+VLOOKUP($A319,A:AL,22,FALSE)-50))</f>
        <v>1006</v>
      </c>
      <c r="X319" s="3">
        <f>IF(ISERROR(VLOOKUP($A319,'SegEnds_NonXtal_BW#'!$A:$Z,17,FALSE)+VLOOKUP($A319,A:AL,25,FALSE)-50),"-",(VLOOKUP($A319,'SegEnds_NonXtal_BW#'!$A:$Z,17,FALSE)+VLOOKUP($A319,A:AL,25,FALSE)-50))</f>
        <v>1013</v>
      </c>
      <c r="Y319" s="3">
        <v>1013</v>
      </c>
      <c r="Z319" s="3">
        <f t="shared" si="176"/>
        <v>1015</v>
      </c>
      <c r="AA319" s="3">
        <f>IF(ISERROR(VLOOKUP($A319,'SegEnds_NonXtal_BW#'!$A:$Z,19,FALSE)+VLOOKUP($A319,A:AL,28,FALSE)-50),"-",(VLOOKUP($A319,'SegEnds_NonXtal_BW#'!$A:$Z,19,FALSE)+VLOOKUP($A319,A:AL,28,FALSE)-50))</f>
        <v>1018</v>
      </c>
      <c r="AB319" s="3">
        <v>1032</v>
      </c>
      <c r="AC319" s="3">
        <f>IF(ISERROR((VLOOKUP($A319,'SegEnds_NonXtal_BW#'!$A:$Z,20,FALSE)+VLOOKUP($A319,A:AL,28,FALSE)-50)),"-",(VLOOKUP($A319,'SegEnds_NonXtal_BW#'!$A:$Z,20,FALSE)+VLOOKUP($A319,A:AL,28,FALSE)-50))</f>
        <v>1051</v>
      </c>
      <c r="AD319" s="3">
        <f>IF(ISERROR(VLOOKUP($A319,'SegEnds_NonXtal_BW#'!$A:$Z,21,FALSE)+VLOOKUP($A319,A:AL,31,FALSE)-50),"-",(VLOOKUP($A319,'SegEnds_NonXtal_BW#'!$A:$Z,21,FALSE)+VLOOKUP($A319,A:AL,31,FALSE)-50))</f>
        <v>1094</v>
      </c>
      <c r="AE319" s="3">
        <v>1115</v>
      </c>
      <c r="AF319" s="3">
        <f>IF(ISERROR((VLOOKUP($A319,'SegEnds_NonXtal_BW#'!$A:$Z,22,FALSE)+VLOOKUP($A319,A:AL,31,FALSE)-50)),"-",(VLOOKUP($A319,'SegEnds_NonXtal_BW#'!$A:$Z,22,FALSE)+VLOOKUP($A319,A:AL,31,FALSE)-50))</f>
        <v>1118</v>
      </c>
      <c r="AG319" s="3">
        <f>IF(ISERROR(VLOOKUP($A319,'SegEnds_NonXtal_BW#'!$A:$Z,23,FALSE)+VLOOKUP($A319,A:AL,34,FALSE)-50),"-",(VLOOKUP($A319,'SegEnds_NonXtal_BW#'!$A:$Z,23,FALSE)+VLOOKUP($A319,A:AL,34,FALSE)-50))</f>
        <v>1125</v>
      </c>
      <c r="AH319" s="3">
        <v>1144</v>
      </c>
      <c r="AI319" s="3">
        <f>IF(ISERROR((VLOOKUP($A319,'SegEnds_NonXtal_BW#'!$A:$Z,24,FALSE)+VLOOKUP($A319,A:AL,34,FALSE)-50)),"-",(VLOOKUP($A319,'SegEnds_NonXtal_BW#'!$A:$Z,24,FALSE)+VLOOKUP($A319,A:AL,34,FALSE)-50))</f>
        <v>1150</v>
      </c>
      <c r="AJ319" s="3">
        <f>IF(ISERROR(VLOOKUP($A319,'SegEnds_NonXtal_BW#'!$A:$Z,25,FALSE)+VLOOKUP($A319,A:AL,37,FALSE)-50),"-",(VLOOKUP($A319,'SegEnds_NonXtal_BW#'!$A:$Z,25,FALSE)+VLOOKUP($A319,A:AL,37,FALSE)-50))</f>
        <v>1151</v>
      </c>
      <c r="AK319" s="3">
        <v>1154</v>
      </c>
      <c r="AL319" s="3">
        <f>IF(ISERROR((VLOOKUP($A319,'SegEnds_NonXtal_BW#'!$A:$Z,26,FALSE)+VLOOKUP($A319,A:AL,37,FALSE)-50)),"-",(VLOOKUP($A319,'SegEnds_NonXtal_BW#'!$A:$Z,26,FALSE)+VLOOKUP($A319,A:AL,37,FALSE)-50))</f>
        <v>1167</v>
      </c>
      <c r="AM319" s="28" t="str">
        <f>VLOOKUP(A319,Classification!A:B,2,FALSE)</f>
        <v>B2</v>
      </c>
      <c r="AN319" s="28" t="b">
        <f t="shared" si="167"/>
        <v>1</v>
      </c>
      <c r="AO319" s="3" t="str">
        <f>IF(ISERROR(MATCH(A319,'SegEnds_Xtal_Prot#'!B:B, 0)), "NoXtal", "Xtal")</f>
        <v>NoXtal</v>
      </c>
      <c r="AP319" s="3" t="str">
        <f t="shared" si="152"/>
        <v>-</v>
      </c>
      <c r="AQ319" s="3" t="str">
        <f t="shared" si="153"/>
        <v>-</v>
      </c>
      <c r="AR319" s="3" t="str">
        <f t="shared" si="154"/>
        <v>-</v>
      </c>
      <c r="AS319" s="3" t="str">
        <f t="shared" si="155"/>
        <v>-</v>
      </c>
      <c r="AT319" s="3" t="str">
        <f t="shared" si="156"/>
        <v>-</v>
      </c>
      <c r="AU319" s="3" t="str">
        <f t="shared" si="157"/>
        <v>-</v>
      </c>
      <c r="AV319" s="3">
        <f t="shared" si="158"/>
        <v>7</v>
      </c>
      <c r="AW319" s="3">
        <f t="shared" si="159"/>
        <v>3</v>
      </c>
      <c r="AX319" s="3">
        <f t="shared" si="160"/>
        <v>43</v>
      </c>
      <c r="AY319" s="3">
        <f t="shared" si="161"/>
        <v>7</v>
      </c>
      <c r="AZ319" s="3">
        <f t="shared" si="162"/>
        <v>1</v>
      </c>
      <c r="BA319" s="3">
        <f>IF(ISERROR(LEN(VLOOKUP(A319,Seqs!A:E,2,FALSE))-AL319),"-",LEN(VLOOKUP(A319,Seqs!A:E,2,FALSE))-AL319)</f>
        <v>355</v>
      </c>
      <c r="BB319" s="16">
        <f t="shared" si="163"/>
        <v>29</v>
      </c>
      <c r="BC319" s="9" t="str">
        <f t="shared" si="164"/>
        <v>-</v>
      </c>
      <c r="BD319" s="3">
        <f t="shared" si="165"/>
        <v>29</v>
      </c>
      <c r="BE319" s="3">
        <f t="shared" si="166"/>
        <v>83</v>
      </c>
    </row>
    <row r="320" spans="1:58" s="3" customFormat="1" x14ac:dyDescent="0.2">
      <c r="A320" s="3" t="s">
        <v>1182</v>
      </c>
      <c r="B320" s="3" t="str">
        <f>LOWER(VLOOKUP(A320,Xtal_Templ!A:B,2,FALSE))</f>
        <v>crfr1_human</v>
      </c>
      <c r="C320" s="3">
        <f>VLOOKUP($A320,'SegEnds_NonXtal_BW#'!$A:$Z,3,FALSE)+D320-50</f>
        <v>554</v>
      </c>
      <c r="D320" s="3">
        <v>581</v>
      </c>
      <c r="E320" s="3">
        <f>IF(ISERROR(VLOOKUP($A320,'SegEnds_NonXtal_BW#'!$A:$Z,4,FALSE)+VLOOKUP($A320,A:AL,4,FALSE)-50),"-",(VLOOKUP($A320,'SegEnds_NonXtal_BW#'!$A:$Z,4,FALSE)+VLOOKUP($A320,A:AL,4,FALSE)-50))</f>
        <v>591</v>
      </c>
      <c r="F320" s="3">
        <f>G320-2</f>
        <v>592</v>
      </c>
      <c r="G320" s="3">
        <v>594</v>
      </c>
      <c r="H320" s="3">
        <f>G320+1</f>
        <v>595</v>
      </c>
      <c r="I320" s="3">
        <f>H320+1</f>
        <v>596</v>
      </c>
      <c r="J320" s="3">
        <v>612</v>
      </c>
      <c r="K320" s="3">
        <f>VLOOKUP($A320,'SegEnds_NonXtal_BW#'!$A:$Z,8,FALSE)+VLOOKUP($A320,A:AL,10,FALSE)-50</f>
        <v>625</v>
      </c>
      <c r="L320" s="3" t="str">
        <f>IF(ISERROR(VLOOKUP($A320,'SegEnds_NonXtal_BW#'!$A:$Z,9,FALSE)+VLOOKUP($A320,A:AL,13,FALSE)-50),"-",(VLOOKUP($A320,'SegEnds_NonXtal_BW#'!$A:$Z,9,FALSE)+VLOOKUP($A320,A:AL,13,FALSE)-50))</f>
        <v>-</v>
      </c>
      <c r="M320" s="3" t="s">
        <v>23</v>
      </c>
      <c r="N320" s="3" t="str">
        <f>IF(ISERROR(VLOOKUP($A320,'SegEnds_NonXtal_BW#'!$A:$Z,10,FALSE)+VLOOKUP($A320,A:AL,13,FALSE)-50),"-",(VLOOKUP($A320,'SegEnds_NonXtal_BW#'!$A:$Z,10,FALSE)+VLOOKUP($A320,A:AL,13,FALSE)-50))</f>
        <v>-</v>
      </c>
      <c r="O320" s="3">
        <f>VLOOKUP($A320,'SegEnds_NonXtal_BW#'!$A:$Z,11,FALSE)+VLOOKUP($A320,A:AL,16,FALSE)-50</f>
        <v>630</v>
      </c>
      <c r="P320" s="3">
        <v>657</v>
      </c>
      <c r="Q320" s="3">
        <f>VLOOKUP($A320,'SegEnds_NonXtal_BW#'!$A:$Z,12,FALSE)+VLOOKUP($A320,A:AL,16,FALSE)-50</f>
        <v>663</v>
      </c>
      <c r="R320" s="3" t="str">
        <f>IF(ISERROR(VLOOKUP($A320,'SegEnds_NonXtal_BW#'!$A:$Z,13,FALSE)+VLOOKUP($A320,A:AL,19,FALSE)-50),"-",VLOOKUP($A320,'SegEnds_NonXtal_BW#'!$A:$Z,13,FALSE)+VLOOKUP($A320,A:AL,19,FALSE)-50)</f>
        <v>-</v>
      </c>
      <c r="S320" s="3" t="s">
        <v>23</v>
      </c>
      <c r="T320" s="100" t="str">
        <f>IF(ISERROR(VLOOKUP($A320,'SegEnds_NonXtal_BW#'!$A:$Z,14,FALSE)+VLOOKUP($A320,A:AL,19,FALSE)-50),"-",(VLOOKUP($A320,'SegEnds_NonXtal_BW#'!$A:$Z,14,FALSE)+VLOOKUP($A320,A:AL,19,FALSE)-50))</f>
        <v>-</v>
      </c>
      <c r="U320" s="9">
        <f>IF(ISERROR(VLOOKUP($A320,'SegEnds_NonXtal_BW#'!$A:$Z,15,FALSE)+VLOOKUP($A320,A:AL,22,FALSE)-50),"-",VLOOKUP($A320,'SegEnds_NonXtal_BW#'!$A:$Z,15,FALSE)+VLOOKUP($A320,A:AL,22,FALSE)-50)</f>
        <v>670</v>
      </c>
      <c r="V320" s="3">
        <v>680</v>
      </c>
      <c r="W320" s="3">
        <f>IF(ISERROR(VLOOKUP($A320,'SegEnds_NonXtal_BW#'!$A:$Z,16,FALSE)+VLOOKUP($A320,A:AL,22,FALSE)-50),"-",(VLOOKUP($A320,'SegEnds_NonXtal_BW#'!$A:$Z,16,FALSE)+VLOOKUP($A320,A:AL,22,FALSE)-50))</f>
        <v>698</v>
      </c>
      <c r="X320" s="3">
        <f>IF(ISERROR(VLOOKUP($A320,'SegEnds_NonXtal_BW#'!$A:$Z,17,FALSE)+VLOOKUP($A320,A:AL,25,FALSE)-50),"-",(VLOOKUP($A320,'SegEnds_NonXtal_BW#'!$A:$Z,17,FALSE)+VLOOKUP($A320,A:AL,25,FALSE)-50))</f>
        <v>704</v>
      </c>
      <c r="Y320" s="3">
        <v>704</v>
      </c>
      <c r="Z320" s="3">
        <f t="shared" si="176"/>
        <v>706</v>
      </c>
      <c r="AA320" s="3">
        <f>IF(ISERROR(VLOOKUP($A320,'SegEnds_NonXtal_BW#'!$A:$Z,19,FALSE)+VLOOKUP($A320,A:AL,28,FALSE)-50),"-",(VLOOKUP($A320,'SegEnds_NonXtal_BW#'!$A:$Z,19,FALSE)+VLOOKUP($A320,A:AL,28,FALSE)-50))</f>
        <v>709</v>
      </c>
      <c r="AB320" s="3">
        <v>723</v>
      </c>
      <c r="AC320" s="3">
        <f>IF(ISERROR((VLOOKUP($A320,'SegEnds_NonXtal_BW#'!$A:$Z,20,FALSE)+VLOOKUP($A320,A:AL,28,FALSE)-50)),"-",(VLOOKUP($A320,'SegEnds_NonXtal_BW#'!$A:$Z,20,FALSE)+VLOOKUP($A320,A:AL,28,FALSE)-50))</f>
        <v>742</v>
      </c>
      <c r="AD320" s="3">
        <f>IF(ISERROR(VLOOKUP($A320,'SegEnds_NonXtal_BW#'!$A:$Z,21,FALSE)+VLOOKUP($A320,A:AL,31,FALSE)-50),"-",(VLOOKUP($A320,'SegEnds_NonXtal_BW#'!$A:$Z,21,FALSE)+VLOOKUP($A320,A:AL,31,FALSE)-50))</f>
        <v>754</v>
      </c>
      <c r="AE320" s="3">
        <v>775</v>
      </c>
      <c r="AF320" s="3">
        <f>IF(ISERROR((VLOOKUP($A320,'SegEnds_NonXtal_BW#'!$A:$Z,22,FALSE)+VLOOKUP($A320,A:AL,31,FALSE)-50)),"-",(VLOOKUP($A320,'SegEnds_NonXtal_BW#'!$A:$Z,22,FALSE)+VLOOKUP($A320,A:AL,31,FALSE)-50))</f>
        <v>778</v>
      </c>
      <c r="AG320" s="3">
        <f>IF(ISERROR(VLOOKUP($A320,'SegEnds_NonXtal_BW#'!$A:$Z,23,FALSE)+VLOOKUP($A320,A:AL,34,FALSE)-50),"-",(VLOOKUP($A320,'SegEnds_NonXtal_BW#'!$A:$Z,23,FALSE)+VLOOKUP($A320,A:AL,34,FALSE)-50))</f>
        <v>784</v>
      </c>
      <c r="AH320" s="3">
        <v>803</v>
      </c>
      <c r="AI320" s="3">
        <f>IF(ISERROR((VLOOKUP($A320,'SegEnds_NonXtal_BW#'!$A:$Z,24,FALSE)+VLOOKUP($A320,A:AL,34,FALSE)-50)),"-",(VLOOKUP($A320,'SegEnds_NonXtal_BW#'!$A:$Z,24,FALSE)+VLOOKUP($A320,A:AL,34,FALSE)-50))</f>
        <v>809</v>
      </c>
      <c r="AJ320" s="3">
        <f>IF(ISERROR(VLOOKUP($A320,'SegEnds_NonXtal_BW#'!$A:$Z,25,FALSE)+VLOOKUP($A320,A:AL,37,FALSE)-50),"-",(VLOOKUP($A320,'SegEnds_NonXtal_BW#'!$A:$Z,25,FALSE)+VLOOKUP($A320,A:AL,37,FALSE)-50))</f>
        <v>810</v>
      </c>
      <c r="AK320" s="3">
        <v>813</v>
      </c>
      <c r="AL320" s="3">
        <f>IF(ISERROR((VLOOKUP($A320,'SegEnds_NonXtal_BW#'!$A:$Z,26,FALSE)+VLOOKUP($A320,A:AL,37,FALSE)-50)),"-",(VLOOKUP($A320,'SegEnds_NonXtal_BW#'!$A:$Z,26,FALSE)+VLOOKUP($A320,A:AL,37,FALSE)-50))</f>
        <v>826</v>
      </c>
      <c r="AM320" s="28" t="str">
        <f>VLOOKUP(A320,Classification!A:B,2,FALSE)</f>
        <v>B2</v>
      </c>
      <c r="AN320" s="28" t="b">
        <f t="shared" si="167"/>
        <v>1</v>
      </c>
      <c r="AO320" s="3" t="str">
        <f>IF(ISERROR(MATCH(A320,'SegEnds_Xtal_Prot#'!B:B, 0)), "NoXtal", "Xtal")</f>
        <v>NoXtal</v>
      </c>
      <c r="AP320" s="3">
        <f t="shared" si="152"/>
        <v>1</v>
      </c>
      <c r="AQ320" s="3">
        <f t="shared" si="153"/>
        <v>1</v>
      </c>
      <c r="AR320" s="3" t="str">
        <f t="shared" si="154"/>
        <v>-</v>
      </c>
      <c r="AS320" s="3" t="str">
        <f t="shared" si="155"/>
        <v>-</v>
      </c>
      <c r="AT320" s="3" t="str">
        <f t="shared" si="156"/>
        <v>-</v>
      </c>
      <c r="AU320" s="3" t="str">
        <f t="shared" si="157"/>
        <v>-</v>
      </c>
      <c r="AV320" s="3">
        <f t="shared" si="158"/>
        <v>6</v>
      </c>
      <c r="AW320" s="3">
        <f t="shared" si="159"/>
        <v>3</v>
      </c>
      <c r="AX320" s="3">
        <f t="shared" si="160"/>
        <v>12</v>
      </c>
      <c r="AY320" s="3">
        <f t="shared" si="161"/>
        <v>6</v>
      </c>
      <c r="AZ320" s="3">
        <f t="shared" si="162"/>
        <v>1</v>
      </c>
      <c r="BA320" s="3">
        <f>IF(ISERROR(LEN(VLOOKUP(A320,Seqs!A:E,2,FALSE))-AL320),"-",LEN(VLOOKUP(A320,Seqs!A:E,2,FALSE))-AL320)</f>
        <v>48</v>
      </c>
      <c r="BB320" s="16">
        <f t="shared" si="163"/>
        <v>31</v>
      </c>
      <c r="BC320" s="9" t="str">
        <f t="shared" si="164"/>
        <v>-</v>
      </c>
      <c r="BD320" s="3">
        <f t="shared" si="165"/>
        <v>31</v>
      </c>
      <c r="BE320" s="3">
        <f t="shared" si="166"/>
        <v>52</v>
      </c>
    </row>
    <row r="321" spans="1:59" s="3" customFormat="1" x14ac:dyDescent="0.2">
      <c r="A321" s="3" t="s">
        <v>1183</v>
      </c>
      <c r="B321" s="3" t="str">
        <f>LOWER(VLOOKUP(A321,Xtal_Templ!A:B,2,FALSE))</f>
        <v>crfr1_human</v>
      </c>
      <c r="C321" s="3">
        <f>VLOOKUP($A321,'SegEnds_NonXtal_BW#'!$A:$Z,3,FALSE)+D321-50</f>
        <v>646</v>
      </c>
      <c r="D321" s="3">
        <v>673</v>
      </c>
      <c r="E321" s="3">
        <f>IF(ISERROR(VLOOKUP($A321,'SegEnds_NonXtal_BW#'!$A:$Z,4,FALSE)+VLOOKUP($A321,A:AL,4,FALSE)-50),"-",(VLOOKUP($A321,'SegEnds_NonXtal_BW#'!$A:$Z,4,FALSE)+VLOOKUP($A321,A:AL,4,FALSE)-50))</f>
        <v>683</v>
      </c>
      <c r="F321" s="3" t="s">
        <v>23</v>
      </c>
      <c r="G321" s="3" t="s">
        <v>23</v>
      </c>
      <c r="H321" s="3" t="s">
        <v>23</v>
      </c>
      <c r="I321" s="3">
        <f>VLOOKUP($A321,'SegEnds_NonXtal_BW#'!$A:$Z,7,FALSE)+J321-50</f>
        <v>688</v>
      </c>
      <c r="J321" s="3">
        <v>701</v>
      </c>
      <c r="K321" s="3">
        <f>VLOOKUP($A321,'SegEnds_NonXtal_BW#'!$A:$Z,8,FALSE)+VLOOKUP($A321,A:AL,10,FALSE)-50</f>
        <v>714</v>
      </c>
      <c r="L321" s="3" t="str">
        <f>IF(ISERROR(VLOOKUP($A321,'SegEnds_NonXtal_BW#'!$A:$Z,9,FALSE)+VLOOKUP($A321,A:AL,13,FALSE)-50),"-",(VLOOKUP($A321,'SegEnds_NonXtal_BW#'!$A:$Z,9,FALSE)+VLOOKUP($A321,A:AL,13,FALSE)-50))</f>
        <v>-</v>
      </c>
      <c r="M321" s="3" t="s">
        <v>23</v>
      </c>
      <c r="N321" s="3" t="str">
        <f>IF(ISERROR(VLOOKUP($A321,'SegEnds_NonXtal_BW#'!$A:$Z,10,FALSE)+VLOOKUP($A321,A:AL,13,FALSE)-50),"-",(VLOOKUP($A321,'SegEnds_NonXtal_BW#'!$A:$Z,10,FALSE)+VLOOKUP($A321,A:AL,13,FALSE)-50))</f>
        <v>-</v>
      </c>
      <c r="O321" s="3">
        <f>VLOOKUP($A321,'SegEnds_NonXtal_BW#'!$A:$Z,11,FALSE)+VLOOKUP($A321,A:AL,16,FALSE)-50</f>
        <v>719</v>
      </c>
      <c r="P321" s="3">
        <v>746</v>
      </c>
      <c r="Q321" s="3">
        <f>VLOOKUP($A321,'SegEnds_NonXtal_BW#'!$A:$Z,12,FALSE)+VLOOKUP($A321,A:AL,16,FALSE)-50</f>
        <v>752</v>
      </c>
      <c r="R321" s="3" t="str">
        <f>IF(ISERROR(VLOOKUP($A321,'SegEnds_NonXtal_BW#'!$A:$Z,13,FALSE)+VLOOKUP($A321,A:AL,19,FALSE)-50),"-",VLOOKUP($A321,'SegEnds_NonXtal_BW#'!$A:$Z,13,FALSE)+VLOOKUP($A321,A:AL,19,FALSE)-50)</f>
        <v>-</v>
      </c>
      <c r="S321" s="3" t="s">
        <v>23</v>
      </c>
      <c r="T321" s="100" t="str">
        <f>IF(ISERROR(VLOOKUP($A321,'SegEnds_NonXtal_BW#'!$A:$Z,14,FALSE)+VLOOKUP($A321,A:AL,19,FALSE)-50),"-",(VLOOKUP($A321,'SegEnds_NonXtal_BW#'!$A:$Z,14,FALSE)+VLOOKUP($A321,A:AL,19,FALSE)-50))</f>
        <v>-</v>
      </c>
      <c r="U321" s="9">
        <f>IF(ISERROR(VLOOKUP($A321,'SegEnds_NonXtal_BW#'!$A:$Z,15,FALSE)+VLOOKUP($A321,A:AL,22,FALSE)-50),"-",VLOOKUP($A321,'SegEnds_NonXtal_BW#'!$A:$Z,15,FALSE)+VLOOKUP($A321,A:AL,22,FALSE)-50)</f>
        <v>759</v>
      </c>
      <c r="V321" s="3">
        <v>769</v>
      </c>
      <c r="W321" s="3">
        <f>IF(ISERROR(VLOOKUP($A321,'SegEnds_NonXtal_BW#'!$A:$Z,16,FALSE)+VLOOKUP($A321,A:AL,22,FALSE)-50),"-",(VLOOKUP($A321,'SegEnds_NonXtal_BW#'!$A:$Z,16,FALSE)+VLOOKUP($A321,A:AL,22,FALSE)-50))</f>
        <v>787</v>
      </c>
      <c r="X321" s="3">
        <f>IF(ISERROR(VLOOKUP($A321,'SegEnds_NonXtal_BW#'!$A:$Z,17,FALSE)+VLOOKUP($A321,A:AL,25,FALSE)-50),"-",(VLOOKUP($A321,'SegEnds_NonXtal_BW#'!$A:$Z,17,FALSE)+VLOOKUP($A321,A:AL,25,FALSE)-50))</f>
        <v>793</v>
      </c>
      <c r="Y321" s="3">
        <v>793</v>
      </c>
      <c r="Z321" s="3">
        <f t="shared" si="176"/>
        <v>795</v>
      </c>
      <c r="AA321" s="3">
        <f>IF(ISERROR(VLOOKUP($A321,'SegEnds_NonXtal_BW#'!$A:$Z,19,FALSE)+VLOOKUP($A321,A:AL,28,FALSE)-50),"-",(VLOOKUP($A321,'SegEnds_NonXtal_BW#'!$A:$Z,19,FALSE)+VLOOKUP($A321,A:AL,28,FALSE)-50))</f>
        <v>798</v>
      </c>
      <c r="AB321" s="3">
        <v>812</v>
      </c>
      <c r="AC321" s="3">
        <f>IF(ISERROR((VLOOKUP($A321,'SegEnds_NonXtal_BW#'!$A:$Z,20,FALSE)+VLOOKUP($A321,A:AL,28,FALSE)-50)),"-",(VLOOKUP($A321,'SegEnds_NonXtal_BW#'!$A:$Z,20,FALSE)+VLOOKUP($A321,A:AL,28,FALSE)-50))</f>
        <v>831</v>
      </c>
      <c r="AD321" s="3">
        <f>IF(ISERROR(VLOOKUP($A321,'SegEnds_NonXtal_BW#'!$A:$Z,21,FALSE)+VLOOKUP($A321,A:AL,31,FALSE)-50),"-",(VLOOKUP($A321,'SegEnds_NonXtal_BW#'!$A:$Z,21,FALSE)+VLOOKUP($A321,A:AL,31,FALSE)-50))</f>
        <v>857</v>
      </c>
      <c r="AE321" s="3">
        <v>878</v>
      </c>
      <c r="AF321" s="3">
        <f>IF(ISERROR((VLOOKUP($A321,'SegEnds_NonXtal_BW#'!$A:$Z,22,FALSE)+VLOOKUP($A321,A:AL,31,FALSE)-50)),"-",(VLOOKUP($A321,'SegEnds_NonXtal_BW#'!$A:$Z,22,FALSE)+VLOOKUP($A321,A:AL,31,FALSE)-50))</f>
        <v>878</v>
      </c>
      <c r="AG321" s="3">
        <f>IF(ISERROR(VLOOKUP($A321,'SegEnds_NonXtal_BW#'!$A:$Z,23,FALSE)+VLOOKUP($A321,A:AL,34,FALSE)-50),"-",(VLOOKUP($A321,'SegEnds_NonXtal_BW#'!$A:$Z,23,FALSE)+VLOOKUP($A321,A:AL,34,FALSE)-50))</f>
        <v>881</v>
      </c>
      <c r="AH321" s="3">
        <v>898</v>
      </c>
      <c r="AI321" s="3">
        <f>IF(ISERROR((VLOOKUP($A321,'SegEnds_NonXtal_BW#'!$A:$Z,24,FALSE)+VLOOKUP($A321,A:AL,34,FALSE)-50)),"-",(VLOOKUP($A321,'SegEnds_NonXtal_BW#'!$A:$Z,24,FALSE)+VLOOKUP($A321,A:AL,34,FALSE)-50))</f>
        <v>904</v>
      </c>
      <c r="AJ321" s="3">
        <f>IF(ISERROR(VLOOKUP($A321,'SegEnds_NonXtal_BW#'!$A:$Z,25,FALSE)+VLOOKUP($A321,A:AL,37,FALSE)-50),"-",(VLOOKUP($A321,'SegEnds_NonXtal_BW#'!$A:$Z,25,FALSE)+VLOOKUP($A321,A:AL,37,FALSE)-50))</f>
        <v>905</v>
      </c>
      <c r="AK321" s="3">
        <v>908</v>
      </c>
      <c r="AL321" s="3">
        <f>IF(ISERROR((VLOOKUP($A321,'SegEnds_NonXtal_BW#'!$A:$Z,26,FALSE)+VLOOKUP($A321,A:AL,37,FALSE)-50)),"-",(VLOOKUP($A321,'SegEnds_NonXtal_BW#'!$A:$Z,26,FALSE)+VLOOKUP($A321,A:AL,37,FALSE)-50))</f>
        <v>921</v>
      </c>
      <c r="AM321" s="28" t="str">
        <f>VLOOKUP(A321,Classification!A:B,2,FALSE)</f>
        <v>B2</v>
      </c>
      <c r="AN321" s="28" t="b">
        <f t="shared" si="167"/>
        <v>1</v>
      </c>
      <c r="AO321" s="3" t="str">
        <f>IF(ISERROR(MATCH(A321,'SegEnds_Xtal_Prot#'!B:B, 0)), "NoXtal", "Xtal")</f>
        <v>NoXtal</v>
      </c>
      <c r="AP321" s="3" t="str">
        <f t="shared" si="152"/>
        <v>-</v>
      </c>
      <c r="AQ321" s="3" t="str">
        <f t="shared" si="153"/>
        <v>-</v>
      </c>
      <c r="AR321" s="3" t="str">
        <f t="shared" si="154"/>
        <v>-</v>
      </c>
      <c r="AS321" s="3" t="str">
        <f t="shared" si="155"/>
        <v>-</v>
      </c>
      <c r="AT321" s="3" t="str">
        <f t="shared" si="156"/>
        <v>-</v>
      </c>
      <c r="AU321" s="3" t="str">
        <f t="shared" si="157"/>
        <v>-</v>
      </c>
      <c r="AV321" s="3">
        <f t="shared" si="158"/>
        <v>6</v>
      </c>
      <c r="AW321" s="3">
        <f t="shared" si="159"/>
        <v>3</v>
      </c>
      <c r="AX321" s="3">
        <f t="shared" si="160"/>
        <v>26</v>
      </c>
      <c r="AY321" s="3">
        <f t="shared" si="161"/>
        <v>3</v>
      </c>
      <c r="AZ321" s="3">
        <f t="shared" si="162"/>
        <v>1</v>
      </c>
      <c r="BA321" s="3">
        <f>IF(ISERROR(LEN(VLOOKUP(A321,Seqs!A:E,2,FALSE))-AL321),"-",LEN(VLOOKUP(A321,Seqs!A:E,2,FALSE))-AL321)</f>
        <v>42</v>
      </c>
      <c r="BB321" s="16">
        <f t="shared" si="163"/>
        <v>28</v>
      </c>
      <c r="BC321" s="9" t="str">
        <f t="shared" si="164"/>
        <v>-</v>
      </c>
      <c r="BD321" s="3">
        <f t="shared" si="165"/>
        <v>28</v>
      </c>
      <c r="BE321" s="3">
        <f t="shared" si="166"/>
        <v>66</v>
      </c>
    </row>
    <row r="322" spans="1:59" s="3" customFormat="1" x14ac:dyDescent="0.2">
      <c r="A322" s="3" t="s">
        <v>1184</v>
      </c>
      <c r="B322" s="3" t="str">
        <f>LOWER(VLOOKUP(A322,Xtal_Templ!A:B,2,FALSE))</f>
        <v>pth1r_human</v>
      </c>
      <c r="C322" s="3">
        <f>VLOOKUP($A322,'SegEnds_NonXtal_BW#'!$A:$Z,3,FALSE)+D322-50</f>
        <v>590</v>
      </c>
      <c r="D322" s="3">
        <v>617</v>
      </c>
      <c r="E322" s="3">
        <f>IF(ISERROR(VLOOKUP($A322,'SegEnds_NonXtal_BW#'!$A:$Z,4,FALSE)+VLOOKUP($A322,A:AL,4,FALSE)-50),"-",(VLOOKUP($A322,'SegEnds_NonXtal_BW#'!$A:$Z,4,FALSE)+VLOOKUP($A322,A:AL,4,FALSE)-50))</f>
        <v>627</v>
      </c>
      <c r="F322" s="3" t="s">
        <v>23</v>
      </c>
      <c r="G322" s="3" t="s">
        <v>23</v>
      </c>
      <c r="H322" s="3" t="s">
        <v>23</v>
      </c>
      <c r="I322" s="3">
        <f>VLOOKUP($A322,'SegEnds_NonXtal_BW#'!$A:$Z,7,FALSE)+J322-50</f>
        <v>632</v>
      </c>
      <c r="J322" s="3">
        <v>645</v>
      </c>
      <c r="K322" s="3">
        <f>VLOOKUP($A322,'SegEnds_NonXtal_BW#'!$A:$Z,8,FALSE)+VLOOKUP($A322,A:AL,10,FALSE)-50</f>
        <v>658</v>
      </c>
      <c r="L322" s="3" t="str">
        <f>IF(ISERROR(VLOOKUP($A322,'SegEnds_NonXtal_BW#'!$A:$Z,9,FALSE)+VLOOKUP($A322,A:AL,13,FALSE)-50),"-",(VLOOKUP($A322,'SegEnds_NonXtal_BW#'!$A:$Z,9,FALSE)+VLOOKUP($A322,A:AL,13,FALSE)-50))</f>
        <v>-</v>
      </c>
      <c r="M322" s="3" t="s">
        <v>23</v>
      </c>
      <c r="N322" s="3" t="str">
        <f>IF(ISERROR(VLOOKUP($A322,'SegEnds_NonXtal_BW#'!$A:$Z,10,FALSE)+VLOOKUP($A322,A:AL,13,FALSE)-50),"-",(VLOOKUP($A322,'SegEnds_NonXtal_BW#'!$A:$Z,10,FALSE)+VLOOKUP($A322,A:AL,13,FALSE)-50))</f>
        <v>-</v>
      </c>
      <c r="O322" s="3">
        <f>VLOOKUP($A322,'SegEnds_NonXtal_BW#'!$A:$Z,11,FALSE)+VLOOKUP($A322,A:AL,16,FALSE)-50</f>
        <v>663</v>
      </c>
      <c r="P322" s="3">
        <v>690</v>
      </c>
      <c r="Q322" s="3">
        <f>VLOOKUP($A322,'SegEnds_NonXtal_BW#'!$A:$Z,12,FALSE)+VLOOKUP($A322,A:AL,16,FALSE)-50</f>
        <v>696</v>
      </c>
      <c r="R322" s="3" t="str">
        <f>IF(ISERROR(VLOOKUP($A322,'SegEnds_NonXtal_BW#'!$A:$Z,13,FALSE)+VLOOKUP($A322,A:AL,19,FALSE)-50),"-",VLOOKUP($A322,'SegEnds_NonXtal_BW#'!$A:$Z,13,FALSE)+VLOOKUP($A322,A:AL,19,FALSE)-50)</f>
        <v>-</v>
      </c>
      <c r="S322" s="3" t="s">
        <v>23</v>
      </c>
      <c r="T322" s="100" t="str">
        <f>IF(ISERROR(VLOOKUP($A322,'SegEnds_NonXtal_BW#'!$A:$Z,14,FALSE)+VLOOKUP($A322,A:AL,19,FALSE)-50),"-",(VLOOKUP($A322,'SegEnds_NonXtal_BW#'!$A:$Z,14,FALSE)+VLOOKUP($A322,A:AL,19,FALSE)-50))</f>
        <v>-</v>
      </c>
      <c r="U322" s="9">
        <f>IF(ISERROR(VLOOKUP($A322,'SegEnds_NonXtal_BW#'!$A:$Z,15,FALSE)+VLOOKUP($A322,A:AL,22,FALSE)-50),"-",VLOOKUP($A322,'SegEnds_NonXtal_BW#'!$A:$Z,15,FALSE)+VLOOKUP($A322,A:AL,22,FALSE)-50)</f>
        <v>705</v>
      </c>
      <c r="V322" s="3">
        <v>718</v>
      </c>
      <c r="W322" s="3">
        <f>IF(ISERROR(VLOOKUP($A322,'SegEnds_NonXtal_BW#'!$A:$Z,16,FALSE)+VLOOKUP($A322,A:AL,22,FALSE)-50),"-",(VLOOKUP($A322,'SegEnds_NonXtal_BW#'!$A:$Z,16,FALSE)+VLOOKUP($A322,A:AL,22,FALSE)-50))</f>
        <v>736</v>
      </c>
      <c r="X322" s="3">
        <f>IF(ISERROR(VLOOKUP($A322,'SegEnds_NonXtal_BW#'!$A:$Z,17,FALSE)+VLOOKUP($A322,A:AL,25,FALSE)-50),"-",(VLOOKUP($A322,'SegEnds_NonXtal_BW#'!$A:$Z,17,FALSE)+VLOOKUP($A322,A:AL,25,FALSE)-50))</f>
        <v>742</v>
      </c>
      <c r="Y322" s="3">
        <v>742</v>
      </c>
      <c r="Z322" s="3">
        <f t="shared" si="176"/>
        <v>744</v>
      </c>
      <c r="AA322" s="3">
        <f>IF(ISERROR(VLOOKUP($A322,'SegEnds_NonXtal_BW#'!$A:$Z,19,FALSE)+VLOOKUP($A322,A:AL,28,FALSE)-50),"-",(VLOOKUP($A322,'SegEnds_NonXtal_BW#'!$A:$Z,19,FALSE)+VLOOKUP($A322,A:AL,28,FALSE)-50))</f>
        <v>747</v>
      </c>
      <c r="AB322" s="3">
        <v>761</v>
      </c>
      <c r="AC322" s="3">
        <f>IF(ISERROR((VLOOKUP($A322,'SegEnds_NonXtal_BW#'!$A:$Z,20,FALSE)+VLOOKUP($A322,A:AL,28,FALSE)-50)),"-",(VLOOKUP($A322,'SegEnds_NonXtal_BW#'!$A:$Z,20,FALSE)+VLOOKUP($A322,A:AL,28,FALSE)-50))</f>
        <v>780</v>
      </c>
      <c r="AD322" s="3">
        <f>IF(ISERROR(VLOOKUP($A322,'SegEnds_NonXtal_BW#'!$A:$Z,21,FALSE)+VLOOKUP($A322,A:AL,31,FALSE)-50),"-",(VLOOKUP($A322,'SegEnds_NonXtal_BW#'!$A:$Z,21,FALSE)+VLOOKUP($A322,A:AL,31,FALSE)-50))</f>
        <v>792</v>
      </c>
      <c r="AE322" s="3">
        <v>813</v>
      </c>
      <c r="AF322" s="3">
        <f>IF(ISERROR((VLOOKUP($A322,'SegEnds_NonXtal_BW#'!$A:$Z,22,FALSE)+VLOOKUP($A322,A:AL,31,FALSE)-50)),"-",(VLOOKUP($A322,'SegEnds_NonXtal_BW#'!$A:$Z,22,FALSE)+VLOOKUP($A322,A:AL,31,FALSE)-50))</f>
        <v>817</v>
      </c>
      <c r="AG322" s="3">
        <f>IF(ISERROR(VLOOKUP($A322,'SegEnds_NonXtal_BW#'!$A:$Z,23,FALSE)+VLOOKUP($A322,A:AL,34,FALSE)-50),"-",(VLOOKUP($A322,'SegEnds_NonXtal_BW#'!$A:$Z,23,FALSE)+VLOOKUP($A322,A:AL,34,FALSE)-50))</f>
        <v>822</v>
      </c>
      <c r="AH322" s="3">
        <v>841</v>
      </c>
      <c r="AI322" s="3">
        <f>IF(ISERROR((VLOOKUP($A322,'SegEnds_NonXtal_BW#'!$A:$Z,24,FALSE)+VLOOKUP($A322,A:AL,34,FALSE)-50)),"-",(VLOOKUP($A322,'SegEnds_NonXtal_BW#'!$A:$Z,24,FALSE)+VLOOKUP($A322,A:AL,34,FALSE)-50))</f>
        <v>847</v>
      </c>
      <c r="AJ322" s="3">
        <f>IF(ISERROR(VLOOKUP($A322,'SegEnds_NonXtal_BW#'!$A:$Z,25,FALSE)+VLOOKUP($A322,A:AL,37,FALSE)-50),"-",(VLOOKUP($A322,'SegEnds_NonXtal_BW#'!$A:$Z,25,FALSE)+VLOOKUP($A322,A:AL,37,FALSE)-50))</f>
        <v>848</v>
      </c>
      <c r="AK322" s="3">
        <v>851</v>
      </c>
      <c r="AL322" s="3">
        <f>IF(ISERROR((VLOOKUP($A322,'SegEnds_NonXtal_BW#'!$A:$Z,26,FALSE)+VLOOKUP($A322,A:AL,37,FALSE)-50)),"-",(VLOOKUP($A322,'SegEnds_NonXtal_BW#'!$A:$Z,26,FALSE)+VLOOKUP($A322,A:AL,37,FALSE)-50))</f>
        <v>864</v>
      </c>
      <c r="AM322" s="28" t="str">
        <f>VLOOKUP(A322,Classification!A:B,2,FALSE)</f>
        <v>B2</v>
      </c>
      <c r="AN322" s="28" t="b">
        <f t="shared" si="167"/>
        <v>1</v>
      </c>
      <c r="AO322" s="3" t="str">
        <f>IF(ISERROR(MATCH(A322,'SegEnds_Xtal_Prot#'!B:B, 0)), "NoXtal", "Xtal")</f>
        <v>NoXtal</v>
      </c>
      <c r="AP322" s="3" t="str">
        <f t="shared" si="152"/>
        <v>-</v>
      </c>
      <c r="AQ322" s="3" t="str">
        <f t="shared" si="153"/>
        <v>-</v>
      </c>
      <c r="AR322" s="3" t="str">
        <f t="shared" si="154"/>
        <v>-</v>
      </c>
      <c r="AS322" s="3" t="str">
        <f t="shared" si="155"/>
        <v>-</v>
      </c>
      <c r="AT322" s="3" t="str">
        <f t="shared" si="156"/>
        <v>-</v>
      </c>
      <c r="AU322" s="3" t="str">
        <f t="shared" si="157"/>
        <v>-</v>
      </c>
      <c r="AV322" s="3">
        <f t="shared" si="158"/>
        <v>6</v>
      </c>
      <c r="AW322" s="3">
        <f t="shared" si="159"/>
        <v>3</v>
      </c>
      <c r="AX322" s="3">
        <f t="shared" si="160"/>
        <v>12</v>
      </c>
      <c r="AY322" s="3">
        <f t="shared" si="161"/>
        <v>5</v>
      </c>
      <c r="AZ322" s="3">
        <f t="shared" si="162"/>
        <v>1</v>
      </c>
      <c r="BA322" s="3">
        <f>IF(ISERROR(LEN(VLOOKUP(A322,Seqs!A:E,2,FALSE))-AL322),"-",LEN(VLOOKUP(A322,Seqs!A:E,2,FALSE))-AL322)</f>
        <v>22</v>
      </c>
      <c r="BB322" s="16">
        <f t="shared" si="163"/>
        <v>28</v>
      </c>
      <c r="BC322" s="9" t="str">
        <f t="shared" si="164"/>
        <v>-</v>
      </c>
      <c r="BD322" s="3">
        <f t="shared" si="165"/>
        <v>28</v>
      </c>
      <c r="BE322" s="3">
        <f t="shared" si="166"/>
        <v>52</v>
      </c>
      <c r="BF322" s="3">
        <f>AH322-AE322</f>
        <v>28</v>
      </c>
    </row>
    <row r="323" spans="1:59" s="3" customFormat="1" x14ac:dyDescent="0.2">
      <c r="A323" s="3" t="s">
        <v>1185</v>
      </c>
      <c r="B323" s="3" t="str">
        <f>LOWER(VLOOKUP(A323,Xtal_Templ!A:B,2,FALSE))</f>
        <v>glp1r_human</v>
      </c>
      <c r="C323" s="3">
        <f>VLOOKUP($A323,'SegEnds_NonXtal_BW#'!$A:$Z,3,FALSE)+D323-50</f>
        <v>524</v>
      </c>
      <c r="D323" s="3">
        <v>551</v>
      </c>
      <c r="E323" s="3">
        <f>IF(ISERROR(VLOOKUP($A323,'SegEnds_NonXtal_BW#'!$A:$Z,4,FALSE)+VLOOKUP($A323,A:AL,4,FALSE)-50),"-",(VLOOKUP($A323,'SegEnds_NonXtal_BW#'!$A:$Z,4,FALSE)+VLOOKUP($A323,A:AL,4,FALSE)-50))</f>
        <v>561</v>
      </c>
      <c r="F323" s="3">
        <f>G323-2</f>
        <v>562</v>
      </c>
      <c r="G323" s="3">
        <v>564</v>
      </c>
      <c r="H323" s="3">
        <f t="shared" ref="H323:I325" si="178">G323+1</f>
        <v>565</v>
      </c>
      <c r="I323" s="3">
        <f t="shared" si="178"/>
        <v>566</v>
      </c>
      <c r="J323" s="3">
        <v>579</v>
      </c>
      <c r="K323" s="3">
        <f>VLOOKUP($A323,'SegEnds_NonXtal_BW#'!$A:$Z,8,FALSE)+VLOOKUP($A323,A:AL,10,FALSE)-50</f>
        <v>592</v>
      </c>
      <c r="L323" s="3" t="str">
        <f>IF(ISERROR(VLOOKUP($A323,'SegEnds_NonXtal_BW#'!$A:$Z,9,FALSE)+VLOOKUP($A323,A:AL,13,FALSE)-50),"-",(VLOOKUP($A323,'SegEnds_NonXtal_BW#'!$A:$Z,9,FALSE)+VLOOKUP($A323,A:AL,13,FALSE)-50))</f>
        <v>-</v>
      </c>
      <c r="M323" s="3" t="s">
        <v>23</v>
      </c>
      <c r="N323" s="3" t="str">
        <f>IF(ISERROR(VLOOKUP($A323,'SegEnds_NonXtal_BW#'!$A:$Z,10,FALSE)+VLOOKUP($A323,A:AL,13,FALSE)-50),"-",(VLOOKUP($A323,'SegEnds_NonXtal_BW#'!$A:$Z,10,FALSE)+VLOOKUP($A323,A:AL,13,FALSE)-50))</f>
        <v>-</v>
      </c>
      <c r="O323" s="3">
        <f>VLOOKUP($A323,'SegEnds_NonXtal_BW#'!$A:$Z,11,FALSE)+VLOOKUP($A323,A:AL,16,FALSE)-50</f>
        <v>597</v>
      </c>
      <c r="P323" s="3">
        <v>624</v>
      </c>
      <c r="Q323" s="3">
        <f>VLOOKUP($A323,'SegEnds_NonXtal_BW#'!$A:$Z,12,FALSE)+VLOOKUP($A323,A:AL,16,FALSE)-50</f>
        <v>630</v>
      </c>
      <c r="R323" s="3" t="str">
        <f>IF(ISERROR(VLOOKUP($A323,'SegEnds_NonXtal_BW#'!$A:$Z,13,FALSE)+VLOOKUP($A323,A:AL,19,FALSE)-50),"-",VLOOKUP($A323,'SegEnds_NonXtal_BW#'!$A:$Z,13,FALSE)+VLOOKUP($A323,A:AL,19,FALSE)-50)</f>
        <v>-</v>
      </c>
      <c r="S323" s="3" t="s">
        <v>23</v>
      </c>
      <c r="T323" s="100" t="str">
        <f>IF(ISERROR(VLOOKUP($A323,'SegEnds_NonXtal_BW#'!$A:$Z,14,FALSE)+VLOOKUP($A323,A:AL,19,FALSE)-50),"-",(VLOOKUP($A323,'SegEnds_NonXtal_BW#'!$A:$Z,14,FALSE)+VLOOKUP($A323,A:AL,19,FALSE)-50))</f>
        <v>-</v>
      </c>
      <c r="U323" s="9">
        <f>IF(ISERROR(VLOOKUP($A323,'SegEnds_NonXtal_BW#'!$A:$Z,15,FALSE)+VLOOKUP($A323,A:AL,22,FALSE)-50),"-",VLOOKUP($A323,'SegEnds_NonXtal_BW#'!$A:$Z,15,FALSE)+VLOOKUP($A323,A:AL,22,FALSE)-50)</f>
        <v>640</v>
      </c>
      <c r="V323" s="3">
        <v>652</v>
      </c>
      <c r="W323" s="3">
        <f>IF(ISERROR(VLOOKUP($A323,'SegEnds_NonXtal_BW#'!$A:$Z,16,FALSE)+VLOOKUP($A323,A:AL,22,FALSE)-50),"-",(VLOOKUP($A323,'SegEnds_NonXtal_BW#'!$A:$Z,16,FALSE)+VLOOKUP($A323,A:AL,22,FALSE)-50))</f>
        <v>670</v>
      </c>
      <c r="X323" s="3">
        <f>IF(ISERROR(VLOOKUP($A323,'SegEnds_NonXtal_BW#'!$A:$Z,17,FALSE)+VLOOKUP($A323,A:AL,25,FALSE)-50),"-",(VLOOKUP($A323,'SegEnds_NonXtal_BW#'!$A:$Z,17,FALSE)+VLOOKUP($A323,A:AL,25,FALSE)-50))</f>
        <v>676</v>
      </c>
      <c r="Y323" s="3">
        <v>676</v>
      </c>
      <c r="Z323" s="3">
        <f t="shared" si="176"/>
        <v>678</v>
      </c>
      <c r="AA323" s="3">
        <f>IF(ISERROR(VLOOKUP($A323,'SegEnds_NonXtal_BW#'!$A:$Z,19,FALSE)+VLOOKUP($A323,A:AL,28,FALSE)-50),"-",(VLOOKUP($A323,'SegEnds_NonXtal_BW#'!$A:$Z,19,FALSE)+VLOOKUP($A323,A:AL,28,FALSE)-50))</f>
        <v>681</v>
      </c>
      <c r="AB323" s="3">
        <v>695</v>
      </c>
      <c r="AC323" s="3">
        <f>IF(ISERROR((VLOOKUP($A323,'SegEnds_NonXtal_BW#'!$A:$Z,20,FALSE)+VLOOKUP($A323,A:AL,28,FALSE)-50)),"-",(VLOOKUP($A323,'SegEnds_NonXtal_BW#'!$A:$Z,20,FALSE)+VLOOKUP($A323,A:AL,28,FALSE)-50))</f>
        <v>714</v>
      </c>
      <c r="AD323" s="3">
        <f>IF(ISERROR(VLOOKUP($A323,'SegEnds_NonXtal_BW#'!$A:$Z,21,FALSE)+VLOOKUP($A323,A:AL,31,FALSE)-50),"-",(VLOOKUP($A323,'SegEnds_NonXtal_BW#'!$A:$Z,21,FALSE)+VLOOKUP($A323,A:AL,31,FALSE)-50))</f>
        <v>726</v>
      </c>
      <c r="AE323" s="3">
        <v>747</v>
      </c>
      <c r="AF323" s="3">
        <f>IF(ISERROR((VLOOKUP($A323,'SegEnds_NonXtal_BW#'!$A:$Z,22,FALSE)+VLOOKUP($A323,A:AL,31,FALSE)-50)),"-",(VLOOKUP($A323,'SegEnds_NonXtal_BW#'!$A:$Z,22,FALSE)+VLOOKUP($A323,A:AL,31,FALSE)-50))</f>
        <v>750</v>
      </c>
      <c r="AG323" s="3">
        <f>IF(ISERROR(VLOOKUP($A323,'SegEnds_NonXtal_BW#'!$A:$Z,23,FALSE)+VLOOKUP($A323,A:AL,34,FALSE)-50),"-",(VLOOKUP($A323,'SegEnds_NonXtal_BW#'!$A:$Z,23,FALSE)+VLOOKUP($A323,A:AL,34,FALSE)-50))</f>
        <v>756</v>
      </c>
      <c r="AH323" s="3">
        <v>775</v>
      </c>
      <c r="AI323" s="3">
        <f>IF(ISERROR((VLOOKUP($A323,'SegEnds_NonXtal_BW#'!$A:$Z,24,FALSE)+VLOOKUP($A323,A:AL,34,FALSE)-50)),"-",(VLOOKUP($A323,'SegEnds_NonXtal_BW#'!$A:$Z,24,FALSE)+VLOOKUP($A323,A:AL,34,FALSE)-50))</f>
        <v>781</v>
      </c>
      <c r="AJ323" s="3">
        <f>IF(ISERROR(VLOOKUP($A323,'SegEnds_NonXtal_BW#'!$A:$Z,25,FALSE)+VLOOKUP($A323,A:AL,37,FALSE)-50),"-",(VLOOKUP($A323,'SegEnds_NonXtal_BW#'!$A:$Z,25,FALSE)+VLOOKUP($A323,A:AL,37,FALSE)-50))</f>
        <v>782</v>
      </c>
      <c r="AK323" s="3">
        <v>785</v>
      </c>
      <c r="AL323" s="3">
        <f>IF(ISERROR((VLOOKUP($A323,'SegEnds_NonXtal_BW#'!$A:$Z,26,FALSE)+VLOOKUP($A323,A:AL,37,FALSE)-50)),"-",(VLOOKUP($A323,'SegEnds_NonXtal_BW#'!$A:$Z,26,FALSE)+VLOOKUP($A323,A:AL,37,FALSE)-50))</f>
        <v>798</v>
      </c>
      <c r="AM323" s="28" t="str">
        <f>VLOOKUP(A323,Classification!A:B,2,FALSE)</f>
        <v>B2</v>
      </c>
      <c r="AN323" s="28" t="b">
        <f t="shared" si="167"/>
        <v>1</v>
      </c>
      <c r="AO323" s="3" t="str">
        <f>IF(ISERROR(MATCH(A323,'SegEnds_Xtal_Prot#'!B:B, 0)), "NoXtal", "Xtal")</f>
        <v>NoXtal</v>
      </c>
      <c r="AP323" s="3">
        <f t="shared" si="152"/>
        <v>1</v>
      </c>
      <c r="AQ323" s="3">
        <f t="shared" si="153"/>
        <v>1</v>
      </c>
      <c r="AR323" s="3" t="str">
        <f t="shared" si="154"/>
        <v>-</v>
      </c>
      <c r="AS323" s="3" t="str">
        <f t="shared" si="155"/>
        <v>-</v>
      </c>
      <c r="AT323" s="3" t="str">
        <f t="shared" si="156"/>
        <v>-</v>
      </c>
      <c r="AU323" s="3" t="str">
        <f t="shared" si="157"/>
        <v>-</v>
      </c>
      <c r="AV323" s="3">
        <f t="shared" si="158"/>
        <v>6</v>
      </c>
      <c r="AW323" s="3">
        <f t="shared" si="159"/>
        <v>3</v>
      </c>
      <c r="AX323" s="3">
        <f t="shared" si="160"/>
        <v>12</v>
      </c>
      <c r="AY323" s="3">
        <f t="shared" si="161"/>
        <v>6</v>
      </c>
      <c r="AZ323" s="3">
        <f t="shared" si="162"/>
        <v>1</v>
      </c>
      <c r="BA323" s="3">
        <f>IF(ISERROR(LEN(VLOOKUP(A323,Seqs!A:E,2,FALSE))-AL323),"-",LEN(VLOOKUP(A323,Seqs!A:E,2,FALSE))-AL323)</f>
        <v>25</v>
      </c>
      <c r="BB323" s="16">
        <f t="shared" si="163"/>
        <v>28</v>
      </c>
      <c r="BC323" s="9" t="str">
        <f t="shared" si="164"/>
        <v>-</v>
      </c>
      <c r="BD323" s="3">
        <f t="shared" si="165"/>
        <v>28</v>
      </c>
      <c r="BE323" s="3">
        <f t="shared" si="166"/>
        <v>52</v>
      </c>
      <c r="BF323" s="3">
        <f>AH323-AE323</f>
        <v>28</v>
      </c>
    </row>
    <row r="324" spans="1:59" s="3" customFormat="1" x14ac:dyDescent="0.2">
      <c r="A324" s="3" t="s">
        <v>1186</v>
      </c>
      <c r="B324" s="3" t="str">
        <f>LOWER(VLOOKUP(A324,Xtal_Templ!A:B,2,FALSE))</f>
        <v>pth1r_human</v>
      </c>
      <c r="C324" s="3">
        <f>VLOOKUP($A324,'SegEnds_NonXtal_BW#'!$A:$Z,3,FALSE)+D324-50</f>
        <v>344</v>
      </c>
      <c r="D324" s="3">
        <v>371</v>
      </c>
      <c r="E324" s="3">
        <f>IF(ISERROR(VLOOKUP($A324,'SegEnds_NonXtal_BW#'!$A:$Z,4,FALSE)+VLOOKUP($A324,A:AL,4,FALSE)-50),"-",(VLOOKUP($A324,'SegEnds_NonXtal_BW#'!$A:$Z,4,FALSE)+VLOOKUP($A324,A:AL,4,FALSE)-50))</f>
        <v>381</v>
      </c>
      <c r="F324" s="3">
        <f>G324-2</f>
        <v>382</v>
      </c>
      <c r="G324" s="3">
        <v>384</v>
      </c>
      <c r="H324" s="3">
        <f t="shared" si="178"/>
        <v>385</v>
      </c>
      <c r="I324" s="3">
        <f t="shared" si="178"/>
        <v>386</v>
      </c>
      <c r="J324" s="3">
        <v>399</v>
      </c>
      <c r="K324" s="3">
        <f>VLOOKUP($A324,'SegEnds_NonXtal_BW#'!$A:$Z,8,FALSE)+VLOOKUP($A324,A:AL,10,FALSE)-50</f>
        <v>412</v>
      </c>
      <c r="L324" s="3" t="str">
        <f>IF(ISERROR(VLOOKUP($A324,'SegEnds_NonXtal_BW#'!$A:$Z,9,FALSE)+VLOOKUP($A324,A:AL,13,FALSE)-50),"-",(VLOOKUP($A324,'SegEnds_NonXtal_BW#'!$A:$Z,9,FALSE)+VLOOKUP($A324,A:AL,13,FALSE)-50))</f>
        <v>-</v>
      </c>
      <c r="M324" s="3" t="s">
        <v>23</v>
      </c>
      <c r="N324" s="3" t="str">
        <f>IF(ISERROR(VLOOKUP($A324,'SegEnds_NonXtal_BW#'!$A:$Z,10,FALSE)+VLOOKUP($A324,A:AL,13,FALSE)-50),"-",(VLOOKUP($A324,'SegEnds_NonXtal_BW#'!$A:$Z,10,FALSE)+VLOOKUP($A324,A:AL,13,FALSE)-50))</f>
        <v>-</v>
      </c>
      <c r="O324" s="3">
        <f>VLOOKUP($A324,'SegEnds_NonXtal_BW#'!$A:$Z,11,FALSE)+VLOOKUP($A324,A:AL,16,FALSE)-50</f>
        <v>417</v>
      </c>
      <c r="P324" s="3">
        <v>444</v>
      </c>
      <c r="Q324" s="3">
        <f>VLOOKUP($A324,'SegEnds_NonXtal_BW#'!$A:$Z,12,FALSE)+VLOOKUP($A324,A:AL,16,FALSE)-50</f>
        <v>450</v>
      </c>
      <c r="R324" s="3" t="str">
        <f>IF(ISERROR(VLOOKUP($A324,'SegEnds_NonXtal_BW#'!$A:$Z,13,FALSE)+VLOOKUP($A324,A:AL,19,FALSE)-50),"-",VLOOKUP($A324,'SegEnds_NonXtal_BW#'!$A:$Z,13,FALSE)+VLOOKUP($A324,A:AL,19,FALSE)-50)</f>
        <v>-</v>
      </c>
      <c r="S324" s="3" t="s">
        <v>23</v>
      </c>
      <c r="T324" s="100" t="str">
        <f>IF(ISERROR(VLOOKUP($A324,'SegEnds_NonXtal_BW#'!$A:$Z,14,FALSE)+VLOOKUP($A324,A:AL,19,FALSE)-50),"-",(VLOOKUP($A324,'SegEnds_NonXtal_BW#'!$A:$Z,14,FALSE)+VLOOKUP($A324,A:AL,19,FALSE)-50))</f>
        <v>-</v>
      </c>
      <c r="U324" s="9">
        <f>IF(ISERROR(VLOOKUP($A324,'SegEnds_NonXtal_BW#'!$A:$Z,15,FALSE)+VLOOKUP($A324,A:AL,22,FALSE)-50),"-",VLOOKUP($A324,'SegEnds_NonXtal_BW#'!$A:$Z,15,FALSE)+VLOOKUP($A324,A:AL,22,FALSE)-50)</f>
        <v>459</v>
      </c>
      <c r="V324" s="3">
        <v>472</v>
      </c>
      <c r="W324" s="3">
        <f>IF(ISERROR(VLOOKUP($A324,'SegEnds_NonXtal_BW#'!$A:$Z,16,FALSE)+VLOOKUP($A324,A:AL,22,FALSE)-50),"-",(VLOOKUP($A324,'SegEnds_NonXtal_BW#'!$A:$Z,16,FALSE)+VLOOKUP($A324,A:AL,22,FALSE)-50))</f>
        <v>490</v>
      </c>
      <c r="X324" s="3">
        <f>IF(ISERROR(VLOOKUP($A324,'SegEnds_NonXtal_BW#'!$A:$Z,17,FALSE)+VLOOKUP($A324,A:AL,25,FALSE)-50),"-",(VLOOKUP($A324,'SegEnds_NonXtal_BW#'!$A:$Z,17,FALSE)+VLOOKUP($A324,A:AL,25,FALSE)-50))</f>
        <v>496</v>
      </c>
      <c r="Y324" s="3">
        <v>496</v>
      </c>
      <c r="Z324" s="3">
        <f t="shared" si="176"/>
        <v>498</v>
      </c>
      <c r="AA324" s="3">
        <f>IF(ISERROR(VLOOKUP($A324,'SegEnds_NonXtal_BW#'!$A:$Z,19,FALSE)+VLOOKUP($A324,A:AL,28,FALSE)-50),"-",(VLOOKUP($A324,'SegEnds_NonXtal_BW#'!$A:$Z,19,FALSE)+VLOOKUP($A324,A:AL,28,FALSE)-50))</f>
        <v>501</v>
      </c>
      <c r="AB324" s="3">
        <v>515</v>
      </c>
      <c r="AC324" s="3">
        <f>IF(ISERROR((VLOOKUP($A324,'SegEnds_NonXtal_BW#'!$A:$Z,20,FALSE)+VLOOKUP($A324,A:AL,28,FALSE)-50)),"-",(VLOOKUP($A324,'SegEnds_NonXtal_BW#'!$A:$Z,20,FALSE)+VLOOKUP($A324,A:AL,28,FALSE)-50))</f>
        <v>534</v>
      </c>
      <c r="AD324" s="3">
        <f>IF(ISERROR(VLOOKUP($A324,'SegEnds_NonXtal_BW#'!$A:$Z,21,FALSE)+VLOOKUP($A324,A:AL,31,FALSE)-50),"-",(VLOOKUP($A324,'SegEnds_NonXtal_BW#'!$A:$Z,21,FALSE)+VLOOKUP($A324,A:AL,31,FALSE)-50))</f>
        <v>546</v>
      </c>
      <c r="AE324" s="3">
        <v>567</v>
      </c>
      <c r="AF324" s="3">
        <f>IF(ISERROR((VLOOKUP($A324,'SegEnds_NonXtal_BW#'!$A:$Z,22,FALSE)+VLOOKUP($A324,A:AL,31,FALSE)-50)),"-",(VLOOKUP($A324,'SegEnds_NonXtal_BW#'!$A:$Z,22,FALSE)+VLOOKUP($A324,A:AL,31,FALSE)-50))</f>
        <v>571</v>
      </c>
      <c r="AG324" s="3">
        <f>IF(ISERROR(VLOOKUP($A324,'SegEnds_NonXtal_BW#'!$A:$Z,23,FALSE)+VLOOKUP($A324,A:AL,34,FALSE)-50),"-",(VLOOKUP($A324,'SegEnds_NonXtal_BW#'!$A:$Z,23,FALSE)+VLOOKUP($A324,A:AL,34,FALSE)-50))</f>
        <v>576</v>
      </c>
      <c r="AH324" s="3">
        <v>595</v>
      </c>
      <c r="AI324" s="3">
        <f>IF(ISERROR((VLOOKUP($A324,'SegEnds_NonXtal_BW#'!$A:$Z,24,FALSE)+VLOOKUP($A324,A:AL,34,FALSE)-50)),"-",(VLOOKUP($A324,'SegEnds_NonXtal_BW#'!$A:$Z,24,FALSE)+VLOOKUP($A324,A:AL,34,FALSE)-50))</f>
        <v>601</v>
      </c>
      <c r="AJ324" s="3">
        <f>IF(ISERROR(VLOOKUP($A324,'SegEnds_NonXtal_BW#'!$A:$Z,25,FALSE)+VLOOKUP($A324,A:AL,37,FALSE)-50),"-",(VLOOKUP($A324,'SegEnds_NonXtal_BW#'!$A:$Z,25,FALSE)+VLOOKUP($A324,A:AL,37,FALSE)-50))</f>
        <v>602</v>
      </c>
      <c r="AK324" s="3">
        <v>605</v>
      </c>
      <c r="AL324" s="3">
        <f>IF(ISERROR((VLOOKUP($A324,'SegEnds_NonXtal_BW#'!$A:$Z,26,FALSE)+VLOOKUP($A324,A:AL,37,FALSE)-50)),"-",(VLOOKUP($A324,'SegEnds_NonXtal_BW#'!$A:$Z,26,FALSE)+VLOOKUP($A324,A:AL,37,FALSE)-50))</f>
        <v>618</v>
      </c>
      <c r="AM324" s="28" t="str">
        <f>VLOOKUP(A324,Classification!A:B,2,FALSE)</f>
        <v>B2</v>
      </c>
      <c r="AN324" s="28" t="b">
        <f t="shared" si="167"/>
        <v>1</v>
      </c>
      <c r="AO324" s="3" t="str">
        <f>IF(ISERROR(MATCH(A324,'SegEnds_Xtal_Prot#'!B:B, 0)), "NoXtal", "Xtal")</f>
        <v>NoXtal</v>
      </c>
      <c r="AP324" s="3">
        <f t="shared" si="152"/>
        <v>1</v>
      </c>
      <c r="AQ324" s="3">
        <f t="shared" si="153"/>
        <v>1</v>
      </c>
      <c r="AR324" s="3" t="str">
        <f t="shared" si="154"/>
        <v>-</v>
      </c>
      <c r="AS324" s="3" t="str">
        <f t="shared" si="155"/>
        <v>-</v>
      </c>
      <c r="AT324" s="3" t="str">
        <f t="shared" si="156"/>
        <v>-</v>
      </c>
      <c r="AU324" s="3" t="str">
        <f t="shared" si="157"/>
        <v>-</v>
      </c>
      <c r="AV324" s="3">
        <f t="shared" si="158"/>
        <v>6</v>
      </c>
      <c r="AW324" s="3">
        <f t="shared" si="159"/>
        <v>3</v>
      </c>
      <c r="AX324" s="3">
        <f t="shared" si="160"/>
        <v>12</v>
      </c>
      <c r="AY324" s="3">
        <f t="shared" si="161"/>
        <v>5</v>
      </c>
      <c r="AZ324" s="3">
        <f t="shared" si="162"/>
        <v>1</v>
      </c>
      <c r="BA324" s="3">
        <f>IF(ISERROR(LEN(VLOOKUP(A324,Seqs!A:E,2,FALSE))-AL324),"-",LEN(VLOOKUP(A324,Seqs!A:E,2,FALSE))-AL324)</f>
        <v>34</v>
      </c>
      <c r="BB324" s="16">
        <f t="shared" si="163"/>
        <v>28</v>
      </c>
      <c r="BC324" s="9" t="str">
        <f t="shared" si="164"/>
        <v>-</v>
      </c>
      <c r="BD324" s="3">
        <f t="shared" si="165"/>
        <v>28</v>
      </c>
      <c r="BE324" s="3">
        <f t="shared" si="166"/>
        <v>52</v>
      </c>
      <c r="BF324" s="3">
        <f>AH324-AE324</f>
        <v>28</v>
      </c>
    </row>
    <row r="325" spans="1:59" s="3" customFormat="1" x14ac:dyDescent="0.2">
      <c r="A325" s="3" t="s">
        <v>1187</v>
      </c>
      <c r="B325" s="3" t="str">
        <f>LOWER(VLOOKUP(A325,Xtal_Templ!A:B,2,FALSE))</f>
        <v>glp1r_human</v>
      </c>
      <c r="C325" s="3">
        <f>VLOOKUP($A325,'SegEnds_NonXtal_BW#'!$A:$Z,3,FALSE)+D325-50</f>
        <v>178</v>
      </c>
      <c r="D325" s="3">
        <v>205</v>
      </c>
      <c r="E325" s="3">
        <f>IF(ISERROR(VLOOKUP($A325,'SegEnds_NonXtal_BW#'!$A:$Z,4,FALSE)+VLOOKUP($A325,A:AL,4,FALSE)-50),"-",(VLOOKUP($A325,'SegEnds_NonXtal_BW#'!$A:$Z,4,FALSE)+VLOOKUP($A325,A:AL,4,FALSE)-50))</f>
        <v>215</v>
      </c>
      <c r="F325" s="3">
        <f>G325-2</f>
        <v>216</v>
      </c>
      <c r="G325" s="3">
        <v>218</v>
      </c>
      <c r="H325" s="3">
        <f t="shared" si="178"/>
        <v>219</v>
      </c>
      <c r="I325" s="3">
        <f t="shared" si="178"/>
        <v>220</v>
      </c>
      <c r="J325" s="3">
        <v>233</v>
      </c>
      <c r="K325" s="3">
        <f>VLOOKUP($A325,'SegEnds_NonXtal_BW#'!$A:$Z,8,FALSE)+VLOOKUP($A325,A:AL,10,FALSE)-50</f>
        <v>246</v>
      </c>
      <c r="L325" s="3" t="str">
        <f>IF(ISERROR(VLOOKUP($A325,'SegEnds_NonXtal_BW#'!$A:$Z,9,FALSE)+VLOOKUP($A325,A:AL,13,FALSE)-50),"-",(VLOOKUP($A325,'SegEnds_NonXtal_BW#'!$A:$Z,9,FALSE)+VLOOKUP($A325,A:AL,13,FALSE)-50))</f>
        <v>-</v>
      </c>
      <c r="M325" s="3" t="s">
        <v>23</v>
      </c>
      <c r="N325" s="3" t="str">
        <f>IF(ISERROR(VLOOKUP($A325,'SegEnds_NonXtal_BW#'!$A:$Z,10,FALSE)+VLOOKUP($A325,A:AL,13,FALSE)-50),"-",(VLOOKUP($A325,'SegEnds_NonXtal_BW#'!$A:$Z,10,FALSE)+VLOOKUP($A325,A:AL,13,FALSE)-50))</f>
        <v>-</v>
      </c>
      <c r="O325" s="3">
        <f>VLOOKUP($A325,'SegEnds_NonXtal_BW#'!$A:$Z,11,FALSE)+VLOOKUP($A325,A:AL,16,FALSE)-50</f>
        <v>251</v>
      </c>
      <c r="P325" s="3">
        <v>278</v>
      </c>
      <c r="Q325" s="3">
        <f>VLOOKUP($A325,'SegEnds_NonXtal_BW#'!$A:$Z,12,FALSE)+VLOOKUP($A325,A:AL,16,FALSE)-50</f>
        <v>284</v>
      </c>
      <c r="R325" s="3" t="str">
        <f>IF(ISERROR(VLOOKUP($A325,'SegEnds_NonXtal_BW#'!$A:$Z,13,FALSE)+VLOOKUP($A325,A:AL,19,FALSE)-50),"-",VLOOKUP($A325,'SegEnds_NonXtal_BW#'!$A:$Z,13,FALSE)+VLOOKUP($A325,A:AL,19,FALSE)-50)</f>
        <v>-</v>
      </c>
      <c r="S325" s="3" t="s">
        <v>23</v>
      </c>
      <c r="T325" s="100" t="str">
        <f>IF(ISERROR(VLOOKUP($A325,'SegEnds_NonXtal_BW#'!$A:$Z,14,FALSE)+VLOOKUP($A325,A:AL,19,FALSE)-50),"-",(VLOOKUP($A325,'SegEnds_NonXtal_BW#'!$A:$Z,14,FALSE)+VLOOKUP($A325,A:AL,19,FALSE)-50))</f>
        <v>-</v>
      </c>
      <c r="U325" s="9">
        <f>IF(ISERROR(VLOOKUP($A325,'SegEnds_NonXtal_BW#'!$A:$Z,15,FALSE)+VLOOKUP($A325,A:AL,22,FALSE)-50),"-",VLOOKUP($A325,'SegEnds_NonXtal_BW#'!$A:$Z,15,FALSE)+VLOOKUP($A325,A:AL,22,FALSE)-50)</f>
        <v>294</v>
      </c>
      <c r="V325" s="3">
        <v>306</v>
      </c>
      <c r="W325" s="3">
        <f>IF(ISERROR(VLOOKUP($A325,'SegEnds_NonXtal_BW#'!$A:$Z,16,FALSE)+VLOOKUP($A325,A:AL,22,FALSE)-50),"-",(VLOOKUP($A325,'SegEnds_NonXtal_BW#'!$A:$Z,16,FALSE)+VLOOKUP($A325,A:AL,22,FALSE)-50))</f>
        <v>324</v>
      </c>
      <c r="X325" s="3">
        <f>IF(ISERROR(VLOOKUP($A325,'SegEnds_NonXtal_BW#'!$A:$Z,17,FALSE)+VLOOKUP($A325,A:AL,25,FALSE)-50),"-",(VLOOKUP($A325,'SegEnds_NonXtal_BW#'!$A:$Z,17,FALSE)+VLOOKUP($A325,A:AL,25,FALSE)-50))</f>
        <v>329</v>
      </c>
      <c r="Y325" s="3">
        <v>329</v>
      </c>
      <c r="Z325" s="3">
        <f t="shared" ref="Z325:Z350" si="179">Y325+2</f>
        <v>331</v>
      </c>
      <c r="AA325" s="3">
        <f>IF(ISERROR(VLOOKUP($A325,'SegEnds_NonXtal_BW#'!$A:$Z,19,FALSE)+VLOOKUP($A325,A:AL,28,FALSE)-50),"-",(VLOOKUP($A325,'SegEnds_NonXtal_BW#'!$A:$Z,19,FALSE)+VLOOKUP($A325,A:AL,28,FALSE)-50))</f>
        <v>334</v>
      </c>
      <c r="AB325" s="3">
        <v>348</v>
      </c>
      <c r="AC325" s="3">
        <f>IF(ISERROR((VLOOKUP($A325,'SegEnds_NonXtal_BW#'!$A:$Z,20,FALSE)+VLOOKUP($A325,A:AL,28,FALSE)-50)),"-",(VLOOKUP($A325,'SegEnds_NonXtal_BW#'!$A:$Z,20,FALSE)+VLOOKUP($A325,A:AL,28,FALSE)-50))</f>
        <v>367</v>
      </c>
      <c r="AD325" s="3">
        <f>IF(ISERROR(VLOOKUP($A325,'SegEnds_NonXtal_BW#'!$A:$Z,21,FALSE)+VLOOKUP($A325,A:AL,31,FALSE)-50),"-",(VLOOKUP($A325,'SegEnds_NonXtal_BW#'!$A:$Z,21,FALSE)+VLOOKUP($A325,A:AL,31,FALSE)-50))</f>
        <v>379</v>
      </c>
      <c r="AE325" s="3">
        <v>400</v>
      </c>
      <c r="AF325" s="3">
        <f>IF(ISERROR((VLOOKUP($A325,'SegEnds_NonXtal_BW#'!$A:$Z,22,FALSE)+VLOOKUP($A325,A:AL,31,FALSE)-50)),"-",(VLOOKUP($A325,'SegEnds_NonXtal_BW#'!$A:$Z,22,FALSE)+VLOOKUP($A325,A:AL,31,FALSE)-50))</f>
        <v>403</v>
      </c>
      <c r="AG325" s="3">
        <f>IF(ISERROR(VLOOKUP($A325,'SegEnds_NonXtal_BW#'!$A:$Z,23,FALSE)+VLOOKUP($A325,A:AL,34,FALSE)-50),"-",(VLOOKUP($A325,'SegEnds_NonXtal_BW#'!$A:$Z,23,FALSE)+VLOOKUP($A325,A:AL,34,FALSE)-50))</f>
        <v>410</v>
      </c>
      <c r="AH325" s="3">
        <v>432</v>
      </c>
      <c r="AI325" s="3">
        <f>IF(ISERROR((VLOOKUP($A325,'SegEnds_NonXtal_BW#'!$A:$Z,24,FALSE)+VLOOKUP($A325,A:AL,34,FALSE)-50)),"-",(VLOOKUP($A325,'SegEnds_NonXtal_BW#'!$A:$Z,24,FALSE)+VLOOKUP($A325,A:AL,34,FALSE)-50))</f>
        <v>438</v>
      </c>
      <c r="AJ325" s="3">
        <f>IF(ISERROR(VLOOKUP($A325,'SegEnds_NonXtal_BW#'!$A:$Z,25,FALSE)+VLOOKUP($A325,A:AL,37,FALSE)-50),"-",(VLOOKUP($A325,'SegEnds_NonXtal_BW#'!$A:$Z,25,FALSE)+VLOOKUP($A325,A:AL,37,FALSE)-50))</f>
        <v>439</v>
      </c>
      <c r="AK325" s="3">
        <v>442</v>
      </c>
      <c r="AL325" s="3">
        <f>IF(ISERROR((VLOOKUP($A325,'SegEnds_NonXtal_BW#'!$A:$Z,26,FALSE)+VLOOKUP($A325,A:AL,37,FALSE)-50)),"-",(VLOOKUP($A325,'SegEnds_NonXtal_BW#'!$A:$Z,26,FALSE)+VLOOKUP($A325,A:AL,37,FALSE)-50))</f>
        <v>455</v>
      </c>
      <c r="AM325" s="28" t="str">
        <f>VLOOKUP(A325,Classification!A:B,2,FALSE)</f>
        <v>B2</v>
      </c>
      <c r="AN325" s="28" t="b">
        <f t="shared" si="167"/>
        <v>1</v>
      </c>
      <c r="AO325" s="3" t="str">
        <f>IF(ISERROR(MATCH(A325,'SegEnds_Xtal_Prot#'!B:B, 0)), "NoXtal", "Xtal")</f>
        <v>NoXtal</v>
      </c>
      <c r="AP325" s="3">
        <f t="shared" ref="AP325:AP389" si="180">IF(ISERROR(F325-E325),"-",F325-E325)</f>
        <v>1</v>
      </c>
      <c r="AQ325" s="3">
        <f t="shared" ref="AQ325:AQ389" si="181">IF(ISERROR(I325-H325),"-",I325-H325)</f>
        <v>1</v>
      </c>
      <c r="AR325" s="3" t="str">
        <f t="shared" ref="AR325:AR389" si="182">IF(ISERROR(L325-K325),"-",L325-K325)</f>
        <v>-</v>
      </c>
      <c r="AS325" s="3" t="str">
        <f t="shared" ref="AS325:AS389" si="183">IF(ISERROR(O325-N325),"-",O325-N325)</f>
        <v>-</v>
      </c>
      <c r="AT325" s="3" t="str">
        <f t="shared" ref="AT325:AT389" si="184">IF(ISERROR(R325-Q325),"-",R325-Q325)</f>
        <v>-</v>
      </c>
      <c r="AU325" s="3" t="str">
        <f t="shared" ref="AU325:AU389" si="185">IF(ISERROR(U325-T325),"-",U325-T325)</f>
        <v>-</v>
      </c>
      <c r="AV325" s="3">
        <f t="shared" ref="AV325:AV389" si="186">IF(ISERROR(X325-W325),"-",X325-W325)</f>
        <v>5</v>
      </c>
      <c r="AW325" s="3">
        <f t="shared" ref="AW325:AW389" si="187">IF(ISERROR(AA325-Z325),"-",AA325-Z325)</f>
        <v>3</v>
      </c>
      <c r="AX325" s="3">
        <f t="shared" ref="AX325:AX389" si="188">IF(ISERROR(AD325-AC325),"-",AD325-AC325)</f>
        <v>12</v>
      </c>
      <c r="AY325" s="3">
        <f t="shared" ref="AY325:AY389" si="189">IF(ISERROR(AG325-AF325),"-",AG325-AF325)</f>
        <v>7</v>
      </c>
      <c r="AZ325" s="3">
        <f t="shared" ref="AZ325:AZ389" si="190">IF(ISERROR(AJ325-AI325),"-",AJ325-AI325)</f>
        <v>1</v>
      </c>
      <c r="BA325" s="3">
        <f>IF(ISERROR(LEN(VLOOKUP(A325,Seqs!A:E,2,FALSE))-AL325),"-",LEN(VLOOKUP(A325,Seqs!A:E,2,FALSE))-AL325)</f>
        <v>2</v>
      </c>
      <c r="BB325" s="16">
        <f t="shared" ref="BB325:BB389" si="191">J325-D325</f>
        <v>28</v>
      </c>
      <c r="BC325" s="9" t="str">
        <f t="shared" ref="BC325:BC389" si="192">IF(ISERROR(V325-S325),"-",V325-S325)</f>
        <v>-</v>
      </c>
      <c r="BD325" s="3">
        <f t="shared" ref="BD325:BD389" si="193">J325-D325</f>
        <v>28</v>
      </c>
      <c r="BE325" s="3">
        <f t="shared" ref="BE325:BE389" si="194">AE325-AB325</f>
        <v>52</v>
      </c>
      <c r="BF325" s="3">
        <f>AH325-AE325</f>
        <v>32</v>
      </c>
    </row>
    <row r="326" spans="1:59" s="3" customFormat="1" x14ac:dyDescent="0.2">
      <c r="A326" s="3" t="s">
        <v>1188</v>
      </c>
      <c r="B326" s="3" t="str">
        <f>LOWER(VLOOKUP(A326,Xtal_Templ!A:B,2,FALSE))</f>
        <v>pth1r_human</v>
      </c>
      <c r="C326" s="3">
        <f>VLOOKUP($A326,'SegEnds_NonXtal_BW#'!$A:$Z,3,FALSE)+D326-50</f>
        <v>573</v>
      </c>
      <c r="D326" s="3">
        <v>600</v>
      </c>
      <c r="E326" s="3">
        <f>IF(ISERROR(VLOOKUP($A326,'SegEnds_NonXtal_BW#'!$A:$Z,4,FALSE)+VLOOKUP($A326,A:AL,4,FALSE)-50),"-",(VLOOKUP($A326,'SegEnds_NonXtal_BW#'!$A:$Z,4,FALSE)+VLOOKUP($A326,A:AL,4,FALSE)-50))</f>
        <v>610</v>
      </c>
      <c r="F326" s="3" t="s">
        <v>23</v>
      </c>
      <c r="G326" s="3" t="s">
        <v>23</v>
      </c>
      <c r="H326" s="3" t="s">
        <v>23</v>
      </c>
      <c r="I326" s="3">
        <f>VLOOKUP($A326,'SegEnds_NonXtal_BW#'!$A:$Z,7,FALSE)+J326-50</f>
        <v>618</v>
      </c>
      <c r="J326" s="3">
        <v>631</v>
      </c>
      <c r="K326" s="3">
        <f>VLOOKUP($A326,'SegEnds_NonXtal_BW#'!$A:$Z,8,FALSE)+VLOOKUP($A326,A:AL,10,FALSE)-50</f>
        <v>644</v>
      </c>
      <c r="L326" s="3" t="str">
        <f>IF(ISERROR(VLOOKUP($A326,'SegEnds_NonXtal_BW#'!$A:$Z,9,FALSE)+VLOOKUP($A326,A:AL,13,FALSE)-50),"-",(VLOOKUP($A326,'SegEnds_NonXtal_BW#'!$A:$Z,9,FALSE)+VLOOKUP($A326,A:AL,13,FALSE)-50))</f>
        <v>-</v>
      </c>
      <c r="M326" s="3" t="s">
        <v>23</v>
      </c>
      <c r="N326" s="3" t="str">
        <f>IF(ISERROR(VLOOKUP($A326,'SegEnds_NonXtal_BW#'!$A:$Z,10,FALSE)+VLOOKUP($A326,A:AL,13,FALSE)-50),"-",(VLOOKUP($A326,'SegEnds_NonXtal_BW#'!$A:$Z,10,FALSE)+VLOOKUP($A326,A:AL,13,FALSE)-50))</f>
        <v>-</v>
      </c>
      <c r="O326" s="3">
        <f>VLOOKUP($A326,'SegEnds_NonXtal_BW#'!$A:$Z,11,FALSE)+VLOOKUP($A326,A:AL,16,FALSE)-50</f>
        <v>655</v>
      </c>
      <c r="P326" s="3">
        <v>682</v>
      </c>
      <c r="Q326" s="3">
        <f>VLOOKUP($A326,'SegEnds_NonXtal_BW#'!$A:$Z,12,FALSE)+VLOOKUP($A326,A:AL,16,FALSE)-50</f>
        <v>688</v>
      </c>
      <c r="R326" s="3" t="str">
        <f>IF(ISERROR(VLOOKUP($A326,'SegEnds_NonXtal_BW#'!$A:$Z,13,FALSE)+VLOOKUP($A326,A:AL,19,FALSE)-50),"-",VLOOKUP($A326,'SegEnds_NonXtal_BW#'!$A:$Z,13,FALSE)+VLOOKUP($A326,A:AL,19,FALSE)-50)</f>
        <v>-</v>
      </c>
      <c r="S326" s="3" t="s">
        <v>23</v>
      </c>
      <c r="T326" s="100" t="str">
        <f>IF(ISERROR(VLOOKUP($A326,'SegEnds_NonXtal_BW#'!$A:$Z,14,FALSE)+VLOOKUP($A326,A:AL,19,FALSE)-50),"-",(VLOOKUP($A326,'SegEnds_NonXtal_BW#'!$A:$Z,14,FALSE)+VLOOKUP($A326,A:AL,19,FALSE)-50))</f>
        <v>-</v>
      </c>
      <c r="U326" s="9">
        <f>IF(ISERROR(VLOOKUP($A326,'SegEnds_NonXtal_BW#'!$A:$Z,15,FALSE)+VLOOKUP($A326,A:AL,22,FALSE)-50),"-",VLOOKUP($A326,'SegEnds_NonXtal_BW#'!$A:$Z,15,FALSE)+VLOOKUP($A326,A:AL,22,FALSE)-50)</f>
        <v>694</v>
      </c>
      <c r="V326" s="3">
        <v>707</v>
      </c>
      <c r="W326" s="3">
        <f>IF(ISERROR(VLOOKUP($A326,'SegEnds_NonXtal_BW#'!$A:$Z,16,FALSE)+VLOOKUP($A326,A:AL,22,FALSE)-50),"-",(VLOOKUP($A326,'SegEnds_NonXtal_BW#'!$A:$Z,16,FALSE)+VLOOKUP($A326,A:AL,22,FALSE)-50))</f>
        <v>725</v>
      </c>
      <c r="X326" s="3">
        <f>IF(ISERROR(VLOOKUP($A326,'SegEnds_NonXtal_BW#'!$A:$Z,17,FALSE)+VLOOKUP($A326,A:AL,25,FALSE)-50),"-",(VLOOKUP($A326,'SegEnds_NonXtal_BW#'!$A:$Z,17,FALSE)+VLOOKUP($A326,A:AL,25,FALSE)-50))</f>
        <v>733</v>
      </c>
      <c r="Y326" s="3">
        <v>733</v>
      </c>
      <c r="Z326" s="3">
        <f t="shared" si="179"/>
        <v>735</v>
      </c>
      <c r="AA326" s="3">
        <f>IF(ISERROR(VLOOKUP($A326,'SegEnds_NonXtal_BW#'!$A:$Z,19,FALSE)+VLOOKUP($A326,A:AL,28,FALSE)-50),"-",(VLOOKUP($A326,'SegEnds_NonXtal_BW#'!$A:$Z,19,FALSE)+VLOOKUP($A326,A:AL,28,FALSE)-50))</f>
        <v>740</v>
      </c>
      <c r="AB326" s="3">
        <v>754</v>
      </c>
      <c r="AC326" s="3">
        <f>IF(ISERROR((VLOOKUP($A326,'SegEnds_NonXtal_BW#'!$A:$Z,20,FALSE)+VLOOKUP($A326,A:AL,28,FALSE)-50)),"-",(VLOOKUP($A326,'SegEnds_NonXtal_BW#'!$A:$Z,20,FALSE)+VLOOKUP($A326,A:AL,28,FALSE)-50))</f>
        <v>773</v>
      </c>
      <c r="AD326" s="3">
        <f>IF(ISERROR(VLOOKUP($A326,'SegEnds_NonXtal_BW#'!$A:$Z,21,FALSE)+VLOOKUP($A326,A:AL,31,FALSE)-50),"-",(VLOOKUP($A326,'SegEnds_NonXtal_BW#'!$A:$Z,21,FALSE)+VLOOKUP($A326,A:AL,31,FALSE)-50))</f>
        <v>785</v>
      </c>
      <c r="AE326" s="3">
        <v>806</v>
      </c>
      <c r="AF326" s="3">
        <f>IF(ISERROR((VLOOKUP($A326,'SegEnds_NonXtal_BW#'!$A:$Z,22,FALSE)+VLOOKUP($A326,A:AL,31,FALSE)-50)),"-",(VLOOKUP($A326,'SegEnds_NonXtal_BW#'!$A:$Z,22,FALSE)+VLOOKUP($A326,A:AL,31,FALSE)-50))</f>
        <v>810</v>
      </c>
      <c r="AG326" s="3">
        <f>IF(ISERROR(VLOOKUP($A326,'SegEnds_NonXtal_BW#'!$A:$Z,23,FALSE)+VLOOKUP($A326,A:AL,34,FALSE)-50),"-",(VLOOKUP($A326,'SegEnds_NonXtal_BW#'!$A:$Z,23,FALSE)+VLOOKUP($A326,A:AL,34,FALSE)-50))</f>
        <v>816</v>
      </c>
      <c r="AH326" s="3">
        <v>835</v>
      </c>
      <c r="AI326" s="3">
        <f>IF(ISERROR((VLOOKUP($A326,'SegEnds_NonXtal_BW#'!$A:$Z,24,FALSE)+VLOOKUP($A326,A:AL,34,FALSE)-50)),"-",(VLOOKUP($A326,'SegEnds_NonXtal_BW#'!$A:$Z,24,FALSE)+VLOOKUP($A326,A:AL,34,FALSE)-50))</f>
        <v>841</v>
      </c>
      <c r="AJ326" s="3">
        <f>IF(ISERROR(VLOOKUP($A326,'SegEnds_NonXtal_BW#'!$A:$Z,25,FALSE)+VLOOKUP($A326,A:AL,37,FALSE)-50),"-",(VLOOKUP($A326,'SegEnds_NonXtal_BW#'!$A:$Z,25,FALSE)+VLOOKUP($A326,A:AL,37,FALSE)-50))</f>
        <v>842</v>
      </c>
      <c r="AK326" s="3">
        <v>845</v>
      </c>
      <c r="AL326" s="3">
        <f>IF(ISERROR((VLOOKUP($A326,'SegEnds_NonXtal_BW#'!$A:$Z,26,FALSE)+VLOOKUP($A326,A:AL,37,FALSE)-50)),"-",(VLOOKUP($A326,'SegEnds_NonXtal_BW#'!$A:$Z,26,FALSE)+VLOOKUP($A326,A:AL,37,FALSE)-50))</f>
        <v>858</v>
      </c>
      <c r="AM326" s="28" t="str">
        <f>VLOOKUP(A326,Classification!A:B,2,FALSE)</f>
        <v>B2</v>
      </c>
      <c r="AN326" s="28" t="b">
        <f t="shared" ref="AN326:AN390" si="195">AND(IF(Y326="-",IF(AA326-W326&gt;3,TRUE,FALSE),TRUE),IF(M326="-",IF(O326-K326&gt;3,TRUE,FALSE),TRUE),IF(AG326-AF326&gt;1,TRUE,FALSE),C326&lt;E326,OR(E326&lt;F326,F326="-"),OR(F326&lt;H326,F326="-"),OR(H326&lt;I326,H326="-"),I326&lt;K326,OR(K326&lt;L326,L326="-"),OR(L326&lt;N326,L326="-"),OR(N326&lt;O326,N326="-"),O326&lt;Q326,OR(Q326&lt;R326,R326="-"),OR(R326&lt;T326,R326="-"),OR(T326&lt;U326,T326="-"),U326&lt;W326,OR(W326&lt;X326,X326="-"),OR(X326&lt;Z326,X326="-"),OR(Z326&lt;AA326,Z326="-"),AA326&lt;AC326,AC326&lt;AD326,AD326&lt;AF326,AF326&lt;AG326,AG326&lt;AI326,OR(AI326&lt;AJ326,AJ326="-"),OR(AJ326&lt;AL326,AJ326="-"))</f>
        <v>1</v>
      </c>
      <c r="AO326" s="3" t="str">
        <f>IF(ISERROR(MATCH(A326,'SegEnds_Xtal_Prot#'!B:B, 0)), "NoXtal", "Xtal")</f>
        <v>NoXtal</v>
      </c>
      <c r="AP326" s="3" t="str">
        <f t="shared" si="180"/>
        <v>-</v>
      </c>
      <c r="AQ326" s="3" t="str">
        <f t="shared" si="181"/>
        <v>-</v>
      </c>
      <c r="AR326" s="3" t="str">
        <f t="shared" si="182"/>
        <v>-</v>
      </c>
      <c r="AS326" s="3" t="str">
        <f t="shared" si="183"/>
        <v>-</v>
      </c>
      <c r="AT326" s="3" t="str">
        <f t="shared" si="184"/>
        <v>-</v>
      </c>
      <c r="AU326" s="3" t="str">
        <f t="shared" si="185"/>
        <v>-</v>
      </c>
      <c r="AV326" s="3">
        <f t="shared" si="186"/>
        <v>8</v>
      </c>
      <c r="AW326" s="3">
        <f t="shared" si="187"/>
        <v>5</v>
      </c>
      <c r="AX326" s="3">
        <f t="shared" si="188"/>
        <v>12</v>
      </c>
      <c r="AY326" s="3">
        <f t="shared" si="189"/>
        <v>6</v>
      </c>
      <c r="AZ326" s="3">
        <f t="shared" si="190"/>
        <v>1</v>
      </c>
      <c r="BA326" s="3">
        <f>IF(ISERROR(LEN(VLOOKUP(A326,Seqs!A:E,2,FALSE))-AL326),"-",LEN(VLOOKUP(A326,Seqs!A:E,2,FALSE))-AL326)</f>
        <v>52</v>
      </c>
      <c r="BB326" s="16">
        <f t="shared" si="191"/>
        <v>31</v>
      </c>
      <c r="BC326" s="9" t="str">
        <f t="shared" si="192"/>
        <v>-</v>
      </c>
      <c r="BD326" s="3">
        <f t="shared" si="193"/>
        <v>31</v>
      </c>
      <c r="BE326" s="3">
        <f t="shared" si="194"/>
        <v>52</v>
      </c>
    </row>
    <row r="327" spans="1:59" s="3" customFormat="1" x14ac:dyDescent="0.2">
      <c r="A327" s="3" t="s">
        <v>1189</v>
      </c>
      <c r="B327" s="3" t="str">
        <f>LOWER(VLOOKUP(A327,Xtal_Templ!A:B,2,FALSE))</f>
        <v>calrl_human</v>
      </c>
      <c r="C327" s="3">
        <f>VLOOKUP($A327,'SegEnds_NonXtal_BW#'!$A:$Z,3,FALSE)+D327-50</f>
        <v>434</v>
      </c>
      <c r="D327" s="3">
        <v>461</v>
      </c>
      <c r="E327" s="3">
        <f>IF(ISERROR(VLOOKUP($A327,'SegEnds_NonXtal_BW#'!$A:$Z,4,FALSE)+VLOOKUP($A327,A:AL,4,FALSE)-50),"-",(VLOOKUP($A327,'SegEnds_NonXtal_BW#'!$A:$Z,4,FALSE)+VLOOKUP($A327,A:AL,4,FALSE)-50))</f>
        <v>471</v>
      </c>
      <c r="F327" s="3" t="s">
        <v>23</v>
      </c>
      <c r="G327" s="3" t="s">
        <v>23</v>
      </c>
      <c r="H327" s="3" t="s">
        <v>23</v>
      </c>
      <c r="I327" s="3">
        <f>VLOOKUP($A327,'SegEnds_NonXtal_BW#'!$A:$Z,7,FALSE)+J327-50</f>
        <v>479</v>
      </c>
      <c r="J327" s="3">
        <v>492</v>
      </c>
      <c r="K327" s="3">
        <f>VLOOKUP($A327,'SegEnds_NonXtal_BW#'!$A:$Z,8,FALSE)+VLOOKUP($A327,A:AL,10,FALSE)-50</f>
        <v>505</v>
      </c>
      <c r="L327" s="3" t="str">
        <f>IF(ISERROR(VLOOKUP($A327,'SegEnds_NonXtal_BW#'!$A:$Z,9,FALSE)+VLOOKUP($A327,A:AL,13,FALSE)-50),"-",(VLOOKUP($A327,'SegEnds_NonXtal_BW#'!$A:$Z,9,FALSE)+VLOOKUP($A327,A:AL,13,FALSE)-50))</f>
        <v>-</v>
      </c>
      <c r="M327" s="3" t="s">
        <v>23</v>
      </c>
      <c r="N327" s="3" t="str">
        <f>IF(ISERROR(VLOOKUP($A327,'SegEnds_NonXtal_BW#'!$A:$Z,10,FALSE)+VLOOKUP($A327,A:AL,13,FALSE)-50),"-",(VLOOKUP($A327,'SegEnds_NonXtal_BW#'!$A:$Z,10,FALSE)+VLOOKUP($A327,A:AL,13,FALSE)-50))</f>
        <v>-</v>
      </c>
      <c r="O327" s="3">
        <f>VLOOKUP($A327,'SegEnds_NonXtal_BW#'!$A:$Z,11,FALSE)+VLOOKUP($A327,A:AL,16,FALSE)-50</f>
        <v>516</v>
      </c>
      <c r="P327" s="3">
        <v>543</v>
      </c>
      <c r="Q327" s="3">
        <f>VLOOKUP($A327,'SegEnds_NonXtal_BW#'!$A:$Z,12,FALSE)+VLOOKUP($A327,A:AL,16,FALSE)-50</f>
        <v>549</v>
      </c>
      <c r="R327" s="3" t="str">
        <f>IF(ISERROR(VLOOKUP($A327,'SegEnds_NonXtal_BW#'!$A:$Z,13,FALSE)+VLOOKUP($A327,A:AL,19,FALSE)-50),"-",VLOOKUP($A327,'SegEnds_NonXtal_BW#'!$A:$Z,13,FALSE)+VLOOKUP($A327,A:AL,19,FALSE)-50)</f>
        <v>-</v>
      </c>
      <c r="S327" s="3" t="s">
        <v>23</v>
      </c>
      <c r="T327" s="100" t="str">
        <f>IF(ISERROR(VLOOKUP($A327,'SegEnds_NonXtal_BW#'!$A:$Z,14,FALSE)+VLOOKUP($A327,A:AL,19,FALSE)-50),"-",(VLOOKUP($A327,'SegEnds_NonXtal_BW#'!$A:$Z,14,FALSE)+VLOOKUP($A327,A:AL,19,FALSE)-50))</f>
        <v>-</v>
      </c>
      <c r="U327" s="9">
        <f>IF(ISERROR(VLOOKUP($A327,'SegEnds_NonXtal_BW#'!$A:$Z,15,FALSE)+VLOOKUP($A327,A:AL,22,FALSE)-50),"-",VLOOKUP($A327,'SegEnds_NonXtal_BW#'!$A:$Z,15,FALSE)+VLOOKUP($A327,A:AL,22,FALSE)-50)</f>
        <v>559</v>
      </c>
      <c r="V327" s="3">
        <v>568</v>
      </c>
      <c r="W327" s="3">
        <f>IF(ISERROR(VLOOKUP($A327,'SegEnds_NonXtal_BW#'!$A:$Z,16,FALSE)+VLOOKUP($A327,A:AL,22,FALSE)-50),"-",(VLOOKUP($A327,'SegEnds_NonXtal_BW#'!$A:$Z,16,FALSE)+VLOOKUP($A327,A:AL,22,FALSE)-50))</f>
        <v>585</v>
      </c>
      <c r="X327" s="3">
        <f>IF(ISERROR(VLOOKUP($A327,'SegEnds_NonXtal_BW#'!$A:$Z,17,FALSE)+VLOOKUP($A327,A:AL,25,FALSE)-50),"-",(VLOOKUP($A327,'SegEnds_NonXtal_BW#'!$A:$Z,17,FALSE)+VLOOKUP($A327,A:AL,25,FALSE)-50))</f>
        <v>594</v>
      </c>
      <c r="Y327" s="3">
        <v>594</v>
      </c>
      <c r="Z327" s="3">
        <f t="shared" si="179"/>
        <v>596</v>
      </c>
      <c r="AA327" s="3">
        <f>IF(ISERROR(VLOOKUP($A327,'SegEnds_NonXtal_BW#'!$A:$Z,19,FALSE)+VLOOKUP($A327,A:AL,28,FALSE)-50),"-",(VLOOKUP($A327,'SegEnds_NonXtal_BW#'!$A:$Z,19,FALSE)+VLOOKUP($A327,A:AL,28,FALSE)-50))</f>
        <v>600</v>
      </c>
      <c r="AB327" s="3">
        <v>614</v>
      </c>
      <c r="AC327" s="3">
        <f>IF(ISERROR((VLOOKUP($A327,'SegEnds_NonXtal_BW#'!$A:$Z,20,FALSE)+VLOOKUP($A327,A:AL,28,FALSE)-50)),"-",(VLOOKUP($A327,'SegEnds_NonXtal_BW#'!$A:$Z,20,FALSE)+VLOOKUP($A327,A:AL,28,FALSE)-50))</f>
        <v>633</v>
      </c>
      <c r="AD327" s="3">
        <f>IF(ISERROR(VLOOKUP($A327,'SegEnds_NonXtal_BW#'!$A:$Z,21,FALSE)+VLOOKUP($A327,A:AL,31,FALSE)-50),"-",(VLOOKUP($A327,'SegEnds_NonXtal_BW#'!$A:$Z,21,FALSE)+VLOOKUP($A327,A:AL,31,FALSE)-50))</f>
        <v>650</v>
      </c>
      <c r="AE327" s="3">
        <v>671</v>
      </c>
      <c r="AF327" s="3">
        <f>IF(ISERROR((VLOOKUP($A327,'SegEnds_NonXtal_BW#'!$A:$Z,22,FALSE)+VLOOKUP($A327,A:AL,31,FALSE)-50)),"-",(VLOOKUP($A327,'SegEnds_NonXtal_BW#'!$A:$Z,22,FALSE)+VLOOKUP($A327,A:AL,31,FALSE)-50))</f>
        <v>671</v>
      </c>
      <c r="AG327" s="3">
        <f>IF(ISERROR(VLOOKUP($A327,'SegEnds_NonXtal_BW#'!$A:$Z,23,FALSE)+VLOOKUP($A327,A:AL,34,FALSE)-50),"-",(VLOOKUP($A327,'SegEnds_NonXtal_BW#'!$A:$Z,23,FALSE)+VLOOKUP($A327,A:AL,34,FALSE)-50))</f>
        <v>675</v>
      </c>
      <c r="AH327" s="3">
        <v>694</v>
      </c>
      <c r="AI327" s="3">
        <f>IF(ISERROR((VLOOKUP($A327,'SegEnds_NonXtal_BW#'!$A:$Z,24,FALSE)+VLOOKUP($A327,A:AL,34,FALSE)-50)),"-",(VLOOKUP($A327,'SegEnds_NonXtal_BW#'!$A:$Z,24,FALSE)+VLOOKUP($A327,A:AL,34,FALSE)-50))</f>
        <v>700</v>
      </c>
      <c r="AJ327" s="3" t="s">
        <v>23</v>
      </c>
      <c r="AK327" s="3" t="s">
        <v>23</v>
      </c>
      <c r="AL327" s="3" t="s">
        <v>23</v>
      </c>
      <c r="AM327" s="28" t="str">
        <f>VLOOKUP(A327,Classification!A:B,2,FALSE)</f>
        <v>B2</v>
      </c>
      <c r="AN327" s="28" t="b">
        <f t="shared" si="195"/>
        <v>1</v>
      </c>
      <c r="AO327" s="3" t="str">
        <f>IF(ISERROR(MATCH(A327,'SegEnds_Xtal_Prot#'!B:B, 0)), "NoXtal", "Xtal")</f>
        <v>NoXtal</v>
      </c>
      <c r="AP327" s="3" t="str">
        <f t="shared" si="180"/>
        <v>-</v>
      </c>
      <c r="AQ327" s="3" t="str">
        <f t="shared" si="181"/>
        <v>-</v>
      </c>
      <c r="AR327" s="3" t="str">
        <f t="shared" si="182"/>
        <v>-</v>
      </c>
      <c r="AS327" s="3" t="str">
        <f t="shared" si="183"/>
        <v>-</v>
      </c>
      <c r="AT327" s="3" t="str">
        <f t="shared" si="184"/>
        <v>-</v>
      </c>
      <c r="AU327" s="3" t="str">
        <f t="shared" si="185"/>
        <v>-</v>
      </c>
      <c r="AV327" s="3">
        <f t="shared" si="186"/>
        <v>9</v>
      </c>
      <c r="AW327" s="3">
        <f t="shared" si="187"/>
        <v>4</v>
      </c>
      <c r="AX327" s="3">
        <f t="shared" si="188"/>
        <v>17</v>
      </c>
      <c r="AY327" s="3">
        <f t="shared" si="189"/>
        <v>4</v>
      </c>
      <c r="AZ327" s="3" t="str">
        <f t="shared" si="190"/>
        <v>-</v>
      </c>
      <c r="BA327" s="3" t="str">
        <f>IF(ISERROR(LEN(VLOOKUP(A327,Seqs!A:E,2,FALSE))-AL327),"-",LEN(VLOOKUP(A327,Seqs!A:E,2,FALSE))-AL327)</f>
        <v>-</v>
      </c>
      <c r="BB327" s="16">
        <f t="shared" si="191"/>
        <v>31</v>
      </c>
      <c r="BC327" s="9" t="str">
        <f t="shared" si="192"/>
        <v>-</v>
      </c>
      <c r="BD327" s="3">
        <f t="shared" si="193"/>
        <v>31</v>
      </c>
      <c r="BE327" s="3">
        <f t="shared" si="194"/>
        <v>57</v>
      </c>
      <c r="BF327" s="3">
        <f>AH327-AE327</f>
        <v>23</v>
      </c>
      <c r="BG327" s="3" t="s">
        <v>1312</v>
      </c>
    </row>
    <row r="328" spans="1:59" s="3" customFormat="1" x14ac:dyDescent="0.2">
      <c r="A328" s="3" t="s">
        <v>1190</v>
      </c>
      <c r="B328" s="3" t="str">
        <f>LOWER(VLOOKUP(A328,Xtal_Templ!A:B,2,FALSE))</f>
        <v>calrl_human</v>
      </c>
      <c r="C328" s="3">
        <f>VLOOKUP($A328,'SegEnds_NonXtal_BW#'!$A:$Z,3,FALSE)+D328-50</f>
        <v>758</v>
      </c>
      <c r="D328" s="3">
        <v>785</v>
      </c>
      <c r="E328" s="3">
        <f>IF(ISERROR(VLOOKUP($A328,'SegEnds_NonXtal_BW#'!$A:$Z,4,FALSE)+VLOOKUP($A328,A:AL,4,FALSE)-50),"-",(VLOOKUP($A328,'SegEnds_NonXtal_BW#'!$A:$Z,4,FALSE)+VLOOKUP($A328,A:AL,4,FALSE)-50))</f>
        <v>795</v>
      </c>
      <c r="F328" s="3" t="s">
        <v>23</v>
      </c>
      <c r="G328" s="3" t="s">
        <v>23</v>
      </c>
      <c r="H328" s="3" t="s">
        <v>23</v>
      </c>
      <c r="I328" s="3">
        <f>VLOOKUP($A328,'SegEnds_NonXtal_BW#'!$A:$Z,7,FALSE)+J328-50</f>
        <v>803</v>
      </c>
      <c r="J328" s="3">
        <v>816</v>
      </c>
      <c r="K328" s="3">
        <f>VLOOKUP($A328,'SegEnds_NonXtal_BW#'!$A:$Z,8,FALSE)+VLOOKUP($A328,A:AL,10,FALSE)-50</f>
        <v>829</v>
      </c>
      <c r="L328" s="3" t="str">
        <f>IF(ISERROR(VLOOKUP($A328,'SegEnds_NonXtal_BW#'!$A:$Z,9,FALSE)+VLOOKUP($A328,A:AL,13,FALSE)-50),"-",(VLOOKUP($A328,'SegEnds_NonXtal_BW#'!$A:$Z,9,FALSE)+VLOOKUP($A328,A:AL,13,FALSE)-50))</f>
        <v>-</v>
      </c>
      <c r="M328" s="3" t="s">
        <v>23</v>
      </c>
      <c r="N328" s="3" t="str">
        <f>IF(ISERROR(VLOOKUP($A328,'SegEnds_NonXtal_BW#'!$A:$Z,10,FALSE)+VLOOKUP($A328,A:AL,13,FALSE)-50),"-",(VLOOKUP($A328,'SegEnds_NonXtal_BW#'!$A:$Z,10,FALSE)+VLOOKUP($A328,A:AL,13,FALSE)-50))</f>
        <v>-</v>
      </c>
      <c r="O328" s="3">
        <f>VLOOKUP($A328,'SegEnds_NonXtal_BW#'!$A:$Z,11,FALSE)+VLOOKUP($A328,A:AL,16,FALSE)-50</f>
        <v>839</v>
      </c>
      <c r="P328" s="3">
        <v>866</v>
      </c>
      <c r="Q328" s="3">
        <f>VLOOKUP($A328,'SegEnds_NonXtal_BW#'!$A:$Z,12,FALSE)+VLOOKUP($A328,A:AL,16,FALSE)-50</f>
        <v>872</v>
      </c>
      <c r="R328" s="3" t="str">
        <f>IF(ISERROR(VLOOKUP($A328,'SegEnds_NonXtal_BW#'!$A:$Z,13,FALSE)+VLOOKUP($A328,A:AL,19,FALSE)-50),"-",VLOOKUP($A328,'SegEnds_NonXtal_BW#'!$A:$Z,13,FALSE)+VLOOKUP($A328,A:AL,19,FALSE)-50)</f>
        <v>-</v>
      </c>
      <c r="S328" s="3" t="s">
        <v>23</v>
      </c>
      <c r="T328" s="100" t="str">
        <f>IF(ISERROR(VLOOKUP($A328,'SegEnds_NonXtal_BW#'!$A:$Z,14,FALSE)+VLOOKUP($A328,A:AL,19,FALSE)-50),"-",(VLOOKUP($A328,'SegEnds_NonXtal_BW#'!$A:$Z,14,FALSE)+VLOOKUP($A328,A:AL,19,FALSE)-50))</f>
        <v>-</v>
      </c>
      <c r="U328" s="9">
        <f>IF(ISERROR(VLOOKUP($A328,'SegEnds_NonXtal_BW#'!$A:$Z,15,FALSE)+VLOOKUP($A328,A:AL,22,FALSE)-50),"-",VLOOKUP($A328,'SegEnds_NonXtal_BW#'!$A:$Z,15,FALSE)+VLOOKUP($A328,A:AL,22,FALSE)-50)</f>
        <v>882</v>
      </c>
      <c r="V328" s="3">
        <v>891</v>
      </c>
      <c r="W328" s="3">
        <f>IF(ISERROR(VLOOKUP($A328,'SegEnds_NonXtal_BW#'!$A:$Z,16,FALSE)+VLOOKUP($A328,A:AL,22,FALSE)-50),"-",(VLOOKUP($A328,'SegEnds_NonXtal_BW#'!$A:$Z,16,FALSE)+VLOOKUP($A328,A:AL,22,FALSE)-50))</f>
        <v>908</v>
      </c>
      <c r="X328" s="3">
        <f>IF(ISERROR(VLOOKUP($A328,'SegEnds_NonXtal_BW#'!$A:$Z,17,FALSE)+VLOOKUP($A328,A:AL,25,FALSE)-50),"-",(VLOOKUP($A328,'SegEnds_NonXtal_BW#'!$A:$Z,17,FALSE)+VLOOKUP($A328,A:AL,25,FALSE)-50))</f>
        <v>917</v>
      </c>
      <c r="Y328" s="3">
        <v>917</v>
      </c>
      <c r="Z328" s="3">
        <f t="shared" si="179"/>
        <v>919</v>
      </c>
      <c r="AA328" s="3">
        <f>IF(ISERROR(VLOOKUP($A328,'SegEnds_NonXtal_BW#'!$A:$Z,19,FALSE)+VLOOKUP($A328,A:AL,28,FALSE)-50),"-",(VLOOKUP($A328,'SegEnds_NonXtal_BW#'!$A:$Z,19,FALSE)+VLOOKUP($A328,A:AL,28,FALSE)-50))</f>
        <v>922</v>
      </c>
      <c r="AB328" s="3">
        <v>936</v>
      </c>
      <c r="AC328" s="3">
        <f>IF(ISERROR((VLOOKUP($A328,'SegEnds_NonXtal_BW#'!$A:$Z,20,FALSE)+VLOOKUP($A328,A:AL,28,FALSE)-50)),"-",(VLOOKUP($A328,'SegEnds_NonXtal_BW#'!$A:$Z,20,FALSE)+VLOOKUP($A328,A:AL,28,FALSE)-50))</f>
        <v>955</v>
      </c>
      <c r="AD328" s="3">
        <f>IF(ISERROR(VLOOKUP($A328,'SegEnds_NonXtal_BW#'!$A:$Z,21,FALSE)+VLOOKUP($A328,A:AL,31,FALSE)-50),"-",(VLOOKUP($A328,'SegEnds_NonXtal_BW#'!$A:$Z,21,FALSE)+VLOOKUP($A328,A:AL,31,FALSE)-50))</f>
        <v>967</v>
      </c>
      <c r="AE328" s="3">
        <v>988</v>
      </c>
      <c r="AF328" s="3">
        <f>IF(ISERROR((VLOOKUP($A328,'SegEnds_NonXtal_BW#'!$A:$Z,22,FALSE)+VLOOKUP($A328,A:AL,31,FALSE)-50)),"-",(VLOOKUP($A328,'SegEnds_NonXtal_BW#'!$A:$Z,22,FALSE)+VLOOKUP($A328,A:AL,31,FALSE)-50))</f>
        <v>991</v>
      </c>
      <c r="AG328" s="3">
        <f>IF(ISERROR(VLOOKUP($A328,'SegEnds_NonXtal_BW#'!$A:$Z,23,FALSE)+VLOOKUP($A328,A:AL,34,FALSE)-50),"-",(VLOOKUP($A328,'SegEnds_NonXtal_BW#'!$A:$Z,23,FALSE)+VLOOKUP($A328,A:AL,34,FALSE)-50))</f>
        <v>998</v>
      </c>
      <c r="AH328" s="3">
        <v>1017</v>
      </c>
      <c r="AI328" s="3">
        <f>IF(ISERROR((VLOOKUP($A328,'SegEnds_NonXtal_BW#'!$A:$Z,24,FALSE)+VLOOKUP($A328,A:AL,34,FALSE)-50)),"-",(VLOOKUP($A328,'SegEnds_NonXtal_BW#'!$A:$Z,24,FALSE)+VLOOKUP($A328,A:AL,34,FALSE)-50))</f>
        <v>1023</v>
      </c>
      <c r="AJ328" s="3">
        <f>IF(ISERROR(VLOOKUP($A328,'SegEnds_NonXtal_BW#'!$A:$Z,25,FALSE)+VLOOKUP($A328,A:AL,37,FALSE)-50),"-",(VLOOKUP($A328,'SegEnds_NonXtal_BW#'!$A:$Z,25,FALSE)+VLOOKUP($A328,A:AL,37,FALSE)-50))</f>
        <v>1024</v>
      </c>
      <c r="AK328" s="3">
        <v>1027</v>
      </c>
      <c r="AL328" s="3">
        <f>IF(ISERROR((VLOOKUP($A328,'SegEnds_NonXtal_BW#'!$A:$Z,26,FALSE)+VLOOKUP($A328,A:AL,37,FALSE)-50)),"-",(VLOOKUP($A328,'SegEnds_NonXtal_BW#'!$A:$Z,26,FALSE)+VLOOKUP($A328,A:AL,37,FALSE)-50))</f>
        <v>1040</v>
      </c>
      <c r="AM328" s="28" t="str">
        <f>VLOOKUP(A328,Classification!A:B,2,FALSE)</f>
        <v>B2</v>
      </c>
      <c r="AN328" s="28" t="b">
        <f t="shared" si="195"/>
        <v>1</v>
      </c>
      <c r="AO328" s="3" t="str">
        <f>IF(ISERROR(MATCH(A328,'SegEnds_Xtal_Prot#'!B:B, 0)), "NoXtal", "Xtal")</f>
        <v>NoXtal</v>
      </c>
      <c r="AP328" s="3" t="str">
        <f t="shared" si="180"/>
        <v>-</v>
      </c>
      <c r="AQ328" s="3" t="str">
        <f t="shared" si="181"/>
        <v>-</v>
      </c>
      <c r="AR328" s="3" t="str">
        <f t="shared" si="182"/>
        <v>-</v>
      </c>
      <c r="AS328" s="3" t="str">
        <f t="shared" si="183"/>
        <v>-</v>
      </c>
      <c r="AT328" s="3" t="str">
        <f t="shared" si="184"/>
        <v>-</v>
      </c>
      <c r="AU328" s="3" t="str">
        <f t="shared" si="185"/>
        <v>-</v>
      </c>
      <c r="AV328" s="3">
        <f t="shared" si="186"/>
        <v>9</v>
      </c>
      <c r="AW328" s="3">
        <f t="shared" si="187"/>
        <v>3</v>
      </c>
      <c r="AX328" s="3">
        <f t="shared" si="188"/>
        <v>12</v>
      </c>
      <c r="AY328" s="3">
        <f t="shared" si="189"/>
        <v>7</v>
      </c>
      <c r="AZ328" s="3">
        <f t="shared" si="190"/>
        <v>1</v>
      </c>
      <c r="BA328" s="3">
        <f>IF(ISERROR(LEN(VLOOKUP(A328,Seqs!A:E,2,FALSE))-AL328),"-",LEN(VLOOKUP(A328,Seqs!A:E,2,FALSE))-AL328)</f>
        <v>39</v>
      </c>
      <c r="BB328" s="16">
        <f t="shared" si="191"/>
        <v>31</v>
      </c>
      <c r="BC328" s="9" t="str">
        <f t="shared" si="192"/>
        <v>-</v>
      </c>
      <c r="BD328" s="3">
        <f t="shared" si="193"/>
        <v>31</v>
      </c>
      <c r="BE328" s="3">
        <f t="shared" si="194"/>
        <v>52</v>
      </c>
    </row>
    <row r="329" spans="1:59" s="3" customFormat="1" x14ac:dyDescent="0.2">
      <c r="A329" s="3" t="s">
        <v>1191</v>
      </c>
      <c r="B329" s="3" t="str">
        <f>LOWER(VLOOKUP(A329,Xtal_Templ!A:B,2,FALSE))</f>
        <v>crfr1_human</v>
      </c>
      <c r="C329" s="3">
        <f>VLOOKUP($A329,'SegEnds_NonXtal_BW#'!$A:$Z,3,FALSE)+D329-50</f>
        <v>389</v>
      </c>
      <c r="D329" s="3">
        <v>416</v>
      </c>
      <c r="E329" s="3">
        <f>IF(ISERROR(VLOOKUP($A329,'SegEnds_NonXtal_BW#'!$A:$Z,4,FALSE)+VLOOKUP($A329,A:AL,4,FALSE)-50),"-",(VLOOKUP($A329,'SegEnds_NonXtal_BW#'!$A:$Z,4,FALSE)+VLOOKUP($A329,A:AL,4,FALSE)-50))</f>
        <v>426</v>
      </c>
      <c r="F329" s="3" t="s">
        <v>23</v>
      </c>
      <c r="G329" s="3" t="s">
        <v>23</v>
      </c>
      <c r="H329" s="3" t="s">
        <v>23</v>
      </c>
      <c r="I329" s="3">
        <f>VLOOKUP($A329,'SegEnds_NonXtal_BW#'!$A:$Z,7,FALSE)+J329-50</f>
        <v>434</v>
      </c>
      <c r="J329" s="3">
        <v>447</v>
      </c>
      <c r="K329" s="3">
        <f>VLOOKUP($A329,'SegEnds_NonXtal_BW#'!$A:$Z,8,FALSE)+VLOOKUP($A329,A:AL,10,FALSE)-50</f>
        <v>460</v>
      </c>
      <c r="L329" s="3" t="str">
        <f>IF(ISERROR(VLOOKUP($A329,'SegEnds_NonXtal_BW#'!$A:$Z,9,FALSE)+VLOOKUP($A329,A:AL,13,FALSE)-50),"-",(VLOOKUP($A329,'SegEnds_NonXtal_BW#'!$A:$Z,9,FALSE)+VLOOKUP($A329,A:AL,13,FALSE)-50))</f>
        <v>-</v>
      </c>
      <c r="M329" s="3" t="s">
        <v>23</v>
      </c>
      <c r="N329" s="3" t="str">
        <f>IF(ISERROR(VLOOKUP($A329,'SegEnds_NonXtal_BW#'!$A:$Z,10,FALSE)+VLOOKUP($A329,A:AL,13,FALSE)-50),"-",(VLOOKUP($A329,'SegEnds_NonXtal_BW#'!$A:$Z,10,FALSE)+VLOOKUP($A329,A:AL,13,FALSE)-50))</f>
        <v>-</v>
      </c>
      <c r="O329" s="3">
        <f>VLOOKUP($A329,'SegEnds_NonXtal_BW#'!$A:$Z,11,FALSE)+VLOOKUP($A329,A:AL,16,FALSE)-50</f>
        <v>471</v>
      </c>
      <c r="P329" s="3">
        <v>498</v>
      </c>
      <c r="Q329" s="3">
        <f>VLOOKUP($A329,'SegEnds_NonXtal_BW#'!$A:$Z,12,FALSE)+VLOOKUP($A329,A:AL,16,FALSE)-50</f>
        <v>504</v>
      </c>
      <c r="R329" s="3" t="str">
        <f>IF(ISERROR(VLOOKUP($A329,'SegEnds_NonXtal_BW#'!$A:$Z,13,FALSE)+VLOOKUP($A329,A:AL,19,FALSE)-50),"-",VLOOKUP($A329,'SegEnds_NonXtal_BW#'!$A:$Z,13,FALSE)+VLOOKUP($A329,A:AL,19,FALSE)-50)</f>
        <v>-</v>
      </c>
      <c r="S329" s="3" t="s">
        <v>23</v>
      </c>
      <c r="T329" s="100" t="str">
        <f>IF(ISERROR(VLOOKUP($A329,'SegEnds_NonXtal_BW#'!$A:$Z,14,FALSE)+VLOOKUP($A329,A:AL,19,FALSE)-50),"-",(VLOOKUP($A329,'SegEnds_NonXtal_BW#'!$A:$Z,14,FALSE)+VLOOKUP($A329,A:AL,19,FALSE)-50))</f>
        <v>-</v>
      </c>
      <c r="U329" s="9">
        <f>IF(ISERROR(VLOOKUP($A329,'SegEnds_NonXtal_BW#'!$A:$Z,15,FALSE)+VLOOKUP($A329,A:AL,22,FALSE)-50),"-",VLOOKUP($A329,'SegEnds_NonXtal_BW#'!$A:$Z,15,FALSE)+VLOOKUP($A329,A:AL,22,FALSE)-50)</f>
        <v>513</v>
      </c>
      <c r="V329" s="3">
        <v>523</v>
      </c>
      <c r="W329" s="3">
        <f>IF(ISERROR(VLOOKUP($A329,'SegEnds_NonXtal_BW#'!$A:$Z,16,FALSE)+VLOOKUP($A329,A:AL,22,FALSE)-50),"-",(VLOOKUP($A329,'SegEnds_NonXtal_BW#'!$A:$Z,16,FALSE)+VLOOKUP($A329,A:AL,22,FALSE)-50))</f>
        <v>541</v>
      </c>
      <c r="X329" s="3">
        <f>IF(ISERROR(VLOOKUP($A329,'SegEnds_NonXtal_BW#'!$A:$Z,17,FALSE)+VLOOKUP($A329,A:AL,25,FALSE)-50),"-",(VLOOKUP($A329,'SegEnds_NonXtal_BW#'!$A:$Z,17,FALSE)+VLOOKUP($A329,A:AL,25,FALSE)-50))</f>
        <v>549</v>
      </c>
      <c r="Y329" s="3">
        <v>549</v>
      </c>
      <c r="Z329" s="3">
        <f t="shared" si="179"/>
        <v>551</v>
      </c>
      <c r="AA329" s="3">
        <f>IF(ISERROR(VLOOKUP($A329,'SegEnds_NonXtal_BW#'!$A:$Z,19,FALSE)+VLOOKUP($A329,A:AL,28,FALSE)-50),"-",(VLOOKUP($A329,'SegEnds_NonXtal_BW#'!$A:$Z,19,FALSE)+VLOOKUP($A329,A:AL,28,FALSE)-50))</f>
        <v>555</v>
      </c>
      <c r="AB329" s="3">
        <v>569</v>
      </c>
      <c r="AC329" s="3">
        <f>IF(ISERROR((VLOOKUP($A329,'SegEnds_NonXtal_BW#'!$A:$Z,20,FALSE)+VLOOKUP($A329,A:AL,28,FALSE)-50)),"-",(VLOOKUP($A329,'SegEnds_NonXtal_BW#'!$A:$Z,20,FALSE)+VLOOKUP($A329,A:AL,28,FALSE)-50))</f>
        <v>588</v>
      </c>
      <c r="AD329" s="3">
        <f>IF(ISERROR(VLOOKUP($A329,'SegEnds_NonXtal_BW#'!$A:$Z,21,FALSE)+VLOOKUP($A329,A:AL,31,FALSE)-50),"-",(VLOOKUP($A329,'SegEnds_NonXtal_BW#'!$A:$Z,21,FALSE)+VLOOKUP($A329,A:AL,31,FALSE)-50))</f>
        <v>599</v>
      </c>
      <c r="AE329" s="3">
        <v>620</v>
      </c>
      <c r="AF329" s="3">
        <f>IF(ISERROR((VLOOKUP($A329,'SegEnds_NonXtal_BW#'!$A:$Z,22,FALSE)+VLOOKUP($A329,A:AL,31,FALSE)-50)),"-",(VLOOKUP($A329,'SegEnds_NonXtal_BW#'!$A:$Z,22,FALSE)+VLOOKUP($A329,A:AL,31,FALSE)-50))</f>
        <v>623</v>
      </c>
      <c r="AG329" s="3">
        <f>IF(ISERROR(VLOOKUP($A329,'SegEnds_NonXtal_BW#'!$A:$Z,23,FALSE)+VLOOKUP($A329,A:AL,34,FALSE)-50),"-",(VLOOKUP($A329,'SegEnds_NonXtal_BW#'!$A:$Z,23,FALSE)+VLOOKUP($A329,A:AL,34,FALSE)-50))</f>
        <v>630</v>
      </c>
      <c r="AH329" s="3">
        <v>649</v>
      </c>
      <c r="AI329" s="3">
        <f>IF(ISERROR((VLOOKUP($A329,'SegEnds_NonXtal_BW#'!$A:$Z,24,FALSE)+VLOOKUP($A329,A:AL,34,FALSE)-50)),"-",(VLOOKUP($A329,'SegEnds_NonXtal_BW#'!$A:$Z,24,FALSE)+VLOOKUP($A329,A:AL,34,FALSE)-50))</f>
        <v>655</v>
      </c>
      <c r="AJ329" s="3">
        <f>IF(ISERROR(VLOOKUP($A329,'SegEnds_NonXtal_BW#'!$A:$Z,25,FALSE)+VLOOKUP($A329,A:AL,37,FALSE)-50),"-",(VLOOKUP($A329,'SegEnds_NonXtal_BW#'!$A:$Z,25,FALSE)+VLOOKUP($A329,A:AL,37,FALSE)-50))</f>
        <v>656</v>
      </c>
      <c r="AK329" s="3">
        <v>659</v>
      </c>
      <c r="AL329" s="3">
        <f>IF(ISERROR((VLOOKUP($A329,'SegEnds_NonXtal_BW#'!$A:$Z,26,FALSE)+VLOOKUP($A329,A:AL,37,FALSE)-50)),"-",(VLOOKUP($A329,'SegEnds_NonXtal_BW#'!$A:$Z,26,FALSE)+VLOOKUP($A329,A:AL,37,FALSE)-50))</f>
        <v>672</v>
      </c>
      <c r="AM329" s="28" t="str">
        <f>VLOOKUP(A329,Classification!A:B,2,FALSE)</f>
        <v>B2</v>
      </c>
      <c r="AN329" s="28" t="b">
        <f t="shared" si="195"/>
        <v>1</v>
      </c>
      <c r="AO329" s="3" t="str">
        <f>IF(ISERROR(MATCH(A329,'SegEnds_Xtal_Prot#'!B:B, 0)), "NoXtal", "Xtal")</f>
        <v>NoXtal</v>
      </c>
      <c r="AP329" s="3" t="str">
        <f t="shared" si="180"/>
        <v>-</v>
      </c>
      <c r="AQ329" s="3" t="str">
        <f t="shared" si="181"/>
        <v>-</v>
      </c>
      <c r="AR329" s="3" t="str">
        <f t="shared" si="182"/>
        <v>-</v>
      </c>
      <c r="AS329" s="3" t="str">
        <f t="shared" si="183"/>
        <v>-</v>
      </c>
      <c r="AT329" s="3" t="str">
        <f t="shared" si="184"/>
        <v>-</v>
      </c>
      <c r="AU329" s="3" t="str">
        <f t="shared" si="185"/>
        <v>-</v>
      </c>
      <c r="AV329" s="3">
        <f t="shared" si="186"/>
        <v>8</v>
      </c>
      <c r="AW329" s="3">
        <f t="shared" si="187"/>
        <v>4</v>
      </c>
      <c r="AX329" s="3">
        <f t="shared" si="188"/>
        <v>11</v>
      </c>
      <c r="AY329" s="3">
        <f t="shared" si="189"/>
        <v>7</v>
      </c>
      <c r="AZ329" s="3">
        <f t="shared" si="190"/>
        <v>1</v>
      </c>
      <c r="BA329" s="3">
        <f>IF(ISERROR(LEN(VLOOKUP(A329,Seqs!A:E,2,FALSE))-AL329),"-",LEN(VLOOKUP(A329,Seqs!A:E,2,FALSE))-AL329)</f>
        <v>23</v>
      </c>
      <c r="BB329" s="16">
        <f t="shared" si="191"/>
        <v>31</v>
      </c>
      <c r="BC329" s="9" t="str">
        <f t="shared" si="192"/>
        <v>-</v>
      </c>
      <c r="BD329" s="3">
        <f t="shared" si="193"/>
        <v>31</v>
      </c>
      <c r="BE329" s="3">
        <f t="shared" si="194"/>
        <v>51</v>
      </c>
      <c r="BF329" s="3">
        <f>AH329-AE329</f>
        <v>29</v>
      </c>
    </row>
    <row r="330" spans="1:59" s="3" customFormat="1" x14ac:dyDescent="0.2">
      <c r="A330" s="3" t="s">
        <v>1192</v>
      </c>
      <c r="B330" s="3" t="str">
        <f>LOWER(VLOOKUP(A330,Xtal_Templ!A:B,2,FALSE))</f>
        <v>crfr1_human</v>
      </c>
      <c r="C330" s="3">
        <f>VLOOKUP($A330,'SegEnds_NonXtal_BW#'!$A:$Z,3,FALSE)+D330-50</f>
        <v>1000</v>
      </c>
      <c r="D330" s="3">
        <v>1027</v>
      </c>
      <c r="E330" s="3">
        <f>IF(ISERROR(VLOOKUP($A330,'SegEnds_NonXtal_BW#'!$A:$Z,4,FALSE)+VLOOKUP($A330,A:AL,4,FALSE)-50),"-",(VLOOKUP($A330,'SegEnds_NonXtal_BW#'!$A:$Z,4,FALSE)+VLOOKUP($A330,A:AL,4,FALSE)-50))</f>
        <v>1037</v>
      </c>
      <c r="F330" s="3">
        <f>G330-2</f>
        <v>1039</v>
      </c>
      <c r="G330" s="3">
        <v>1041</v>
      </c>
      <c r="H330" s="3">
        <f>G330+1</f>
        <v>1042</v>
      </c>
      <c r="I330" s="3">
        <f>H330+1</f>
        <v>1043</v>
      </c>
      <c r="J330" s="3">
        <v>1058</v>
      </c>
      <c r="K330" s="3">
        <f>VLOOKUP($A330,'SegEnds_NonXtal_BW#'!$A:$Z,8,FALSE)+VLOOKUP($A330,A:AL,10,FALSE)-50</f>
        <v>1071</v>
      </c>
      <c r="L330" s="3" t="str">
        <f>IF(ISERROR(VLOOKUP($A330,'SegEnds_NonXtal_BW#'!$A:$Z,9,FALSE)+VLOOKUP($A330,A:AL,13,FALSE)-50),"-",(VLOOKUP($A330,'SegEnds_NonXtal_BW#'!$A:$Z,9,FALSE)+VLOOKUP($A330,A:AL,13,FALSE)-50))</f>
        <v>-</v>
      </c>
      <c r="M330" s="3" t="s">
        <v>23</v>
      </c>
      <c r="N330" s="3" t="str">
        <f>IF(ISERROR(VLOOKUP($A330,'SegEnds_NonXtal_BW#'!$A:$Z,10,FALSE)+VLOOKUP($A330,A:AL,13,FALSE)-50),"-",(VLOOKUP($A330,'SegEnds_NonXtal_BW#'!$A:$Z,10,FALSE)+VLOOKUP($A330,A:AL,13,FALSE)-50))</f>
        <v>-</v>
      </c>
      <c r="O330" s="3">
        <f>VLOOKUP($A330,'SegEnds_NonXtal_BW#'!$A:$Z,11,FALSE)+VLOOKUP($A330,A:AL,16,FALSE)-50</f>
        <v>1084</v>
      </c>
      <c r="P330" s="3">
        <v>1111</v>
      </c>
      <c r="Q330" s="3">
        <f>VLOOKUP($A330,'SegEnds_NonXtal_BW#'!$A:$Z,12,FALSE)+VLOOKUP($A330,A:AL,16,FALSE)-50</f>
        <v>1117</v>
      </c>
      <c r="R330" s="3" t="str">
        <f>IF(ISERROR(VLOOKUP($A330,'SegEnds_NonXtal_BW#'!$A:$Z,13,FALSE)+VLOOKUP($A330,A:AL,19,FALSE)-50),"-",VLOOKUP($A330,'SegEnds_NonXtal_BW#'!$A:$Z,13,FALSE)+VLOOKUP($A330,A:AL,19,FALSE)-50)</f>
        <v>-</v>
      </c>
      <c r="S330" s="3" t="s">
        <v>23</v>
      </c>
      <c r="T330" s="100" t="str">
        <f>IF(ISERROR(VLOOKUP($A330,'SegEnds_NonXtal_BW#'!$A:$Z,14,FALSE)+VLOOKUP($A330,A:AL,19,FALSE)-50),"-",(VLOOKUP($A330,'SegEnds_NonXtal_BW#'!$A:$Z,14,FALSE)+VLOOKUP($A330,A:AL,19,FALSE)-50))</f>
        <v>-</v>
      </c>
      <c r="U330" s="9">
        <f>IF(ISERROR(VLOOKUP($A330,'SegEnds_NonXtal_BW#'!$A:$Z,15,FALSE)+VLOOKUP($A330,A:AL,22,FALSE)-50),"-",VLOOKUP($A330,'SegEnds_NonXtal_BW#'!$A:$Z,15,FALSE)+VLOOKUP($A330,A:AL,22,FALSE)-50)</f>
        <v>1126</v>
      </c>
      <c r="V330" s="3">
        <v>1136</v>
      </c>
      <c r="W330" s="3">
        <f>IF(ISERROR(VLOOKUP($A330,'SegEnds_NonXtal_BW#'!$A:$Z,16,FALSE)+VLOOKUP($A330,A:AL,22,FALSE)-50),"-",(VLOOKUP($A330,'SegEnds_NonXtal_BW#'!$A:$Z,16,FALSE)+VLOOKUP($A330,A:AL,22,FALSE)-50))</f>
        <v>1154</v>
      </c>
      <c r="X330" s="3">
        <f>IF(ISERROR(VLOOKUP($A330,'SegEnds_NonXtal_BW#'!$A:$Z,17,FALSE)+VLOOKUP($A330,A:AL,25,FALSE)-50),"-",(VLOOKUP($A330,'SegEnds_NonXtal_BW#'!$A:$Z,17,FALSE)+VLOOKUP($A330,A:AL,25,FALSE)-50))</f>
        <v>1162</v>
      </c>
      <c r="Y330" s="3">
        <v>1162</v>
      </c>
      <c r="Z330" s="3">
        <f t="shared" si="179"/>
        <v>1164</v>
      </c>
      <c r="AA330" s="3">
        <f>IF(ISERROR(VLOOKUP($A330,'SegEnds_NonXtal_BW#'!$A:$Z,19,FALSE)+VLOOKUP($A330,A:AL,28,FALSE)-50),"-",(VLOOKUP($A330,'SegEnds_NonXtal_BW#'!$A:$Z,19,FALSE)+VLOOKUP($A330,A:AL,28,FALSE)-50))</f>
        <v>1168</v>
      </c>
      <c r="AB330" s="3">
        <v>1182</v>
      </c>
      <c r="AC330" s="3">
        <f>IF(ISERROR((VLOOKUP($A330,'SegEnds_NonXtal_BW#'!$A:$Z,20,FALSE)+VLOOKUP($A330,A:AL,28,FALSE)-50)),"-",(VLOOKUP($A330,'SegEnds_NonXtal_BW#'!$A:$Z,20,FALSE)+VLOOKUP($A330,A:AL,28,FALSE)-50))</f>
        <v>1201</v>
      </c>
      <c r="AD330" s="3">
        <f>IF(ISERROR(VLOOKUP($A330,'SegEnds_NonXtal_BW#'!$A:$Z,21,FALSE)+VLOOKUP($A330,A:AL,31,FALSE)-50),"-",(VLOOKUP($A330,'SegEnds_NonXtal_BW#'!$A:$Z,21,FALSE)+VLOOKUP($A330,A:AL,31,FALSE)-50))</f>
        <v>1213</v>
      </c>
      <c r="AE330" s="3">
        <v>1234</v>
      </c>
      <c r="AF330" s="3">
        <f>IF(ISERROR((VLOOKUP($A330,'SegEnds_NonXtal_BW#'!$A:$Z,22,FALSE)+VLOOKUP($A330,A:AL,31,FALSE)-50)),"-",(VLOOKUP($A330,'SegEnds_NonXtal_BW#'!$A:$Z,22,FALSE)+VLOOKUP($A330,A:AL,31,FALSE)-50))</f>
        <v>1237</v>
      </c>
      <c r="AG330" s="3">
        <f>IF(ISERROR(VLOOKUP($A330,'SegEnds_NonXtal_BW#'!$A:$Z,23,FALSE)+VLOOKUP($A330,A:AL,34,FALSE)-50),"-",(VLOOKUP($A330,'SegEnds_NonXtal_BW#'!$A:$Z,23,FALSE)+VLOOKUP($A330,A:AL,34,FALSE)-50))</f>
        <v>1244</v>
      </c>
      <c r="AH330" s="3">
        <v>1263</v>
      </c>
      <c r="AI330" s="3">
        <f>IF(ISERROR((VLOOKUP($A330,'SegEnds_NonXtal_BW#'!$A:$Z,24,FALSE)+VLOOKUP($A330,A:AL,34,FALSE)-50)),"-",(VLOOKUP($A330,'SegEnds_NonXtal_BW#'!$A:$Z,24,FALSE)+VLOOKUP($A330,A:AL,34,FALSE)-50))</f>
        <v>1269</v>
      </c>
      <c r="AJ330" s="3">
        <f>IF(ISERROR(VLOOKUP($A330,'SegEnds_NonXtal_BW#'!$A:$Z,25,FALSE)+VLOOKUP($A330,A:AL,37,FALSE)-50),"-",(VLOOKUP($A330,'SegEnds_NonXtal_BW#'!$A:$Z,25,FALSE)+VLOOKUP($A330,A:AL,37,FALSE)-50))</f>
        <v>1270</v>
      </c>
      <c r="AK330" s="3">
        <v>1273</v>
      </c>
      <c r="AL330" s="3">
        <f>IF(ISERROR((VLOOKUP($A330,'SegEnds_NonXtal_BW#'!$A:$Z,26,FALSE)+VLOOKUP($A330,A:AL,37,FALSE)-50)),"-",(VLOOKUP($A330,'SegEnds_NonXtal_BW#'!$A:$Z,26,FALSE)+VLOOKUP($A330,A:AL,37,FALSE)-50))</f>
        <v>1286</v>
      </c>
      <c r="AM330" s="28" t="str">
        <f>VLOOKUP(A330,Classification!A:B,2,FALSE)</f>
        <v>B2</v>
      </c>
      <c r="AN330" s="28" t="b">
        <f t="shared" si="195"/>
        <v>1</v>
      </c>
      <c r="AO330" s="3" t="str">
        <f>IF(ISERROR(MATCH(A330,'SegEnds_Xtal_Prot#'!B:B, 0)), "NoXtal", "Xtal")</f>
        <v>NoXtal</v>
      </c>
      <c r="AP330" s="3">
        <f t="shared" si="180"/>
        <v>2</v>
      </c>
      <c r="AQ330" s="3">
        <f t="shared" si="181"/>
        <v>1</v>
      </c>
      <c r="AR330" s="3" t="str">
        <f t="shared" si="182"/>
        <v>-</v>
      </c>
      <c r="AS330" s="3" t="str">
        <f t="shared" si="183"/>
        <v>-</v>
      </c>
      <c r="AT330" s="3" t="str">
        <f t="shared" si="184"/>
        <v>-</v>
      </c>
      <c r="AU330" s="3" t="str">
        <f t="shared" si="185"/>
        <v>-</v>
      </c>
      <c r="AV330" s="3">
        <f t="shared" si="186"/>
        <v>8</v>
      </c>
      <c r="AW330" s="3">
        <f t="shared" si="187"/>
        <v>4</v>
      </c>
      <c r="AX330" s="3">
        <f t="shared" si="188"/>
        <v>12</v>
      </c>
      <c r="AY330" s="3">
        <f t="shared" si="189"/>
        <v>7</v>
      </c>
      <c r="AZ330" s="3">
        <f t="shared" si="190"/>
        <v>1</v>
      </c>
      <c r="BA330" s="3">
        <f>IF(ISERROR(LEN(VLOOKUP(A330,Seqs!A:E,2,FALSE))-AL330),"-",LEN(VLOOKUP(A330,Seqs!A:E,2,FALSE))-AL330)</f>
        <v>60</v>
      </c>
      <c r="BB330" s="16">
        <f t="shared" si="191"/>
        <v>31</v>
      </c>
      <c r="BC330" s="9" t="str">
        <f t="shared" si="192"/>
        <v>-</v>
      </c>
      <c r="BD330" s="3">
        <f t="shared" si="193"/>
        <v>31</v>
      </c>
      <c r="BE330" s="3">
        <f t="shared" si="194"/>
        <v>52</v>
      </c>
    </row>
    <row r="331" spans="1:59" s="3" customFormat="1" x14ac:dyDescent="0.2">
      <c r="A331" s="3" t="s">
        <v>1193</v>
      </c>
      <c r="B331" s="3" t="str">
        <f>LOWER(VLOOKUP(A331,Xtal_Templ!A:B,2,FALSE))</f>
        <v>crfr1_human</v>
      </c>
      <c r="C331" s="3">
        <f>VLOOKUP($A331,'SegEnds_NonXtal_BW#'!$A:$Z,3,FALSE)+D331-50</f>
        <v>391</v>
      </c>
      <c r="D331" s="3">
        <v>418</v>
      </c>
      <c r="E331" s="3">
        <f>IF(ISERROR(VLOOKUP($A331,'SegEnds_NonXtal_BW#'!$A:$Z,4,FALSE)+VLOOKUP($A331,A:AL,4,FALSE)-50),"-",(VLOOKUP($A331,'SegEnds_NonXtal_BW#'!$A:$Z,4,FALSE)+VLOOKUP($A331,A:AL,4,FALSE)-50))</f>
        <v>428</v>
      </c>
      <c r="F331" s="3">
        <f>G331-2</f>
        <v>430</v>
      </c>
      <c r="G331" s="3">
        <v>432</v>
      </c>
      <c r="H331" s="3">
        <f>G331+1</f>
        <v>433</v>
      </c>
      <c r="I331" s="3">
        <f>H331+1</f>
        <v>434</v>
      </c>
      <c r="J331" s="3">
        <v>453</v>
      </c>
      <c r="K331" s="3">
        <f>VLOOKUP($A331,'SegEnds_NonXtal_BW#'!$A:$Z,8,FALSE)+VLOOKUP($A331,A:AL,10,FALSE)-50</f>
        <v>466</v>
      </c>
      <c r="L331" s="3" t="str">
        <f>IF(ISERROR(VLOOKUP($A331,'SegEnds_NonXtal_BW#'!$A:$Z,9,FALSE)+VLOOKUP($A331,A:AL,13,FALSE)-50),"-",(VLOOKUP($A331,'SegEnds_NonXtal_BW#'!$A:$Z,9,FALSE)+VLOOKUP($A331,A:AL,13,FALSE)-50))</f>
        <v>-</v>
      </c>
      <c r="M331" s="3" t="s">
        <v>23</v>
      </c>
      <c r="N331" s="3" t="str">
        <f>IF(ISERROR(VLOOKUP($A331,'SegEnds_NonXtal_BW#'!$A:$Z,10,FALSE)+VLOOKUP($A331,A:AL,13,FALSE)-50),"-",(VLOOKUP($A331,'SegEnds_NonXtal_BW#'!$A:$Z,10,FALSE)+VLOOKUP($A331,A:AL,13,FALSE)-50))</f>
        <v>-</v>
      </c>
      <c r="O331" s="3">
        <f>VLOOKUP($A331,'SegEnds_NonXtal_BW#'!$A:$Z,11,FALSE)+VLOOKUP($A331,A:AL,16,FALSE)-50</f>
        <v>473</v>
      </c>
      <c r="P331" s="3">
        <v>500</v>
      </c>
      <c r="Q331" s="3">
        <f>VLOOKUP($A331,'SegEnds_NonXtal_BW#'!$A:$Z,12,FALSE)+VLOOKUP($A331,A:AL,16,FALSE)-50</f>
        <v>506</v>
      </c>
      <c r="R331" s="3" t="str">
        <f>IF(ISERROR(VLOOKUP($A331,'SegEnds_NonXtal_BW#'!$A:$Z,13,FALSE)+VLOOKUP($A331,A:AL,19,FALSE)-50),"-",VLOOKUP($A331,'SegEnds_NonXtal_BW#'!$A:$Z,13,FALSE)+VLOOKUP($A331,A:AL,19,FALSE)-50)</f>
        <v>-</v>
      </c>
      <c r="S331" s="3" t="s">
        <v>23</v>
      </c>
      <c r="T331" s="100" t="str">
        <f>IF(ISERROR(VLOOKUP($A331,'SegEnds_NonXtal_BW#'!$A:$Z,14,FALSE)+VLOOKUP($A331,A:AL,19,FALSE)-50),"-",(VLOOKUP($A331,'SegEnds_NonXtal_BW#'!$A:$Z,14,FALSE)+VLOOKUP($A331,A:AL,19,FALSE)-50))</f>
        <v>-</v>
      </c>
      <c r="U331" s="9">
        <f>IF(ISERROR(VLOOKUP($A331,'SegEnds_NonXtal_BW#'!$A:$Z,15,FALSE)+VLOOKUP($A331,A:AL,22,FALSE)-50),"-",VLOOKUP($A331,'SegEnds_NonXtal_BW#'!$A:$Z,15,FALSE)+VLOOKUP($A331,A:AL,22,FALSE)-50)</f>
        <v>514</v>
      </c>
      <c r="V331" s="3">
        <v>524</v>
      </c>
      <c r="W331" s="3">
        <f>IF(ISERROR(VLOOKUP($A331,'SegEnds_NonXtal_BW#'!$A:$Z,16,FALSE)+VLOOKUP($A331,A:AL,22,FALSE)-50),"-",(VLOOKUP($A331,'SegEnds_NonXtal_BW#'!$A:$Z,16,FALSE)+VLOOKUP($A331,A:AL,22,FALSE)-50))</f>
        <v>542</v>
      </c>
      <c r="X331" s="3">
        <f>IF(ISERROR(VLOOKUP($A331,'SegEnds_NonXtal_BW#'!$A:$Z,17,FALSE)+VLOOKUP($A331,A:AL,25,FALSE)-50),"-",(VLOOKUP($A331,'SegEnds_NonXtal_BW#'!$A:$Z,17,FALSE)+VLOOKUP($A331,A:AL,25,FALSE)-50))</f>
        <v>562</v>
      </c>
      <c r="Y331" s="3">
        <v>562</v>
      </c>
      <c r="Z331" s="3">
        <f t="shared" si="179"/>
        <v>564</v>
      </c>
      <c r="AA331" s="3">
        <f>IF(ISERROR(VLOOKUP($A331,'SegEnds_NonXtal_BW#'!$A:$Z,19,FALSE)+VLOOKUP($A331,A:AL,28,FALSE)-50),"-",(VLOOKUP($A331,'SegEnds_NonXtal_BW#'!$A:$Z,19,FALSE)+VLOOKUP($A331,A:AL,28,FALSE)-50))</f>
        <v>567</v>
      </c>
      <c r="AB331" s="3">
        <v>581</v>
      </c>
      <c r="AC331" s="3">
        <f>IF(ISERROR((VLOOKUP($A331,'SegEnds_NonXtal_BW#'!$A:$Z,20,FALSE)+VLOOKUP($A331,A:AL,28,FALSE)-50)),"-",(VLOOKUP($A331,'SegEnds_NonXtal_BW#'!$A:$Z,20,FALSE)+VLOOKUP($A331,A:AL,28,FALSE)-50))</f>
        <v>600</v>
      </c>
      <c r="AD331" s="3">
        <f>IF(ISERROR(VLOOKUP($A331,'SegEnds_NonXtal_BW#'!$A:$Z,21,FALSE)+VLOOKUP($A331,A:AL,31,FALSE)-50),"-",(VLOOKUP($A331,'SegEnds_NonXtal_BW#'!$A:$Z,21,FALSE)+VLOOKUP($A331,A:AL,31,FALSE)-50))</f>
        <v>604</v>
      </c>
      <c r="AE331" s="3">
        <v>625</v>
      </c>
      <c r="AF331" s="3">
        <f>IF(ISERROR((VLOOKUP($A331,'SegEnds_NonXtal_BW#'!$A:$Z,22,FALSE)+VLOOKUP($A331,A:AL,31,FALSE)-50)),"-",(VLOOKUP($A331,'SegEnds_NonXtal_BW#'!$A:$Z,22,FALSE)+VLOOKUP($A331,A:AL,31,FALSE)-50))</f>
        <v>628</v>
      </c>
      <c r="AG331" s="3">
        <f>IF(ISERROR(VLOOKUP($A331,'SegEnds_NonXtal_BW#'!$A:$Z,23,FALSE)+VLOOKUP($A331,A:AL,34,FALSE)-50),"-",(VLOOKUP($A331,'SegEnds_NonXtal_BW#'!$A:$Z,23,FALSE)+VLOOKUP($A331,A:AL,34,FALSE)-50))</f>
        <v>633</v>
      </c>
      <c r="AH331" s="3">
        <v>655</v>
      </c>
      <c r="AI331" s="3">
        <f>IF(ISERROR((VLOOKUP($A331,'SegEnds_NonXtal_BW#'!$A:$Z,24,FALSE)+VLOOKUP($A331,A:AL,34,FALSE)-50)),"-",(VLOOKUP($A331,'SegEnds_NonXtal_BW#'!$A:$Z,24,FALSE)+VLOOKUP($A331,A:AL,34,FALSE)-50))</f>
        <v>661</v>
      </c>
      <c r="AJ331" s="3">
        <f>IF(ISERROR(VLOOKUP($A331,'SegEnds_NonXtal_BW#'!$A:$Z,25,FALSE)+VLOOKUP($A331,A:AL,37,FALSE)-50),"-",(VLOOKUP($A331,'SegEnds_NonXtal_BW#'!$A:$Z,25,FALSE)+VLOOKUP($A331,A:AL,37,FALSE)-50))</f>
        <v>662</v>
      </c>
      <c r="AK331" s="3">
        <v>665</v>
      </c>
      <c r="AL331" s="3">
        <f>IF(ISERROR((VLOOKUP($A331,'SegEnds_NonXtal_BW#'!$A:$Z,26,FALSE)+VLOOKUP($A331,A:AL,37,FALSE)-50)),"-",(VLOOKUP($A331,'SegEnds_NonXtal_BW#'!$A:$Z,26,FALSE)+VLOOKUP($A331,A:AL,37,FALSE)-50))</f>
        <v>678</v>
      </c>
      <c r="AM331" s="28" t="str">
        <f>VLOOKUP(A331,Classification!A:B,2,FALSE)</f>
        <v>B2</v>
      </c>
      <c r="AN331" s="28" t="b">
        <f t="shared" si="195"/>
        <v>1</v>
      </c>
      <c r="AO331" s="3" t="str">
        <f>IF(ISERROR(MATCH(A331,'SegEnds_Xtal_Prot#'!B:B, 0)), "NoXtal", "Xtal")</f>
        <v>NoXtal</v>
      </c>
      <c r="AP331" s="3">
        <f t="shared" si="180"/>
        <v>2</v>
      </c>
      <c r="AQ331" s="3">
        <f t="shared" si="181"/>
        <v>1</v>
      </c>
      <c r="AR331" s="3" t="str">
        <f t="shared" si="182"/>
        <v>-</v>
      </c>
      <c r="AS331" s="3" t="str">
        <f t="shared" si="183"/>
        <v>-</v>
      </c>
      <c r="AT331" s="3" t="str">
        <f t="shared" si="184"/>
        <v>-</v>
      </c>
      <c r="AU331" s="3" t="str">
        <f t="shared" si="185"/>
        <v>-</v>
      </c>
      <c r="AV331" s="3">
        <f t="shared" si="186"/>
        <v>20</v>
      </c>
      <c r="AW331" s="3">
        <f t="shared" si="187"/>
        <v>3</v>
      </c>
      <c r="AX331" s="3">
        <f t="shared" si="188"/>
        <v>4</v>
      </c>
      <c r="AY331" s="3">
        <f t="shared" si="189"/>
        <v>5</v>
      </c>
      <c r="AZ331" s="3">
        <f t="shared" si="190"/>
        <v>1</v>
      </c>
      <c r="BA331" s="3">
        <f>IF(ISERROR(LEN(VLOOKUP(A331,Seqs!A:E,2,FALSE))-AL331),"-",LEN(VLOOKUP(A331,Seqs!A:E,2,FALSE))-AL331)</f>
        <v>15</v>
      </c>
      <c r="BB331" s="16">
        <f t="shared" si="191"/>
        <v>35</v>
      </c>
      <c r="BC331" s="9" t="str">
        <f t="shared" si="192"/>
        <v>-</v>
      </c>
      <c r="BD331" s="3">
        <f t="shared" si="193"/>
        <v>35</v>
      </c>
      <c r="BE331" s="3">
        <f t="shared" si="194"/>
        <v>44</v>
      </c>
      <c r="BF331" s="3">
        <f>AH331-AE331</f>
        <v>30</v>
      </c>
    </row>
    <row r="332" spans="1:59" s="3" customFormat="1" x14ac:dyDescent="0.2">
      <c r="A332" s="3" t="s">
        <v>1194</v>
      </c>
      <c r="B332" s="3" t="str">
        <f>LOWER(VLOOKUP(A332,Xtal_Templ!A:B,2,FALSE))</f>
        <v>pth1r_human</v>
      </c>
      <c r="C332" s="3">
        <f>VLOOKUP($A332,'SegEnds_NonXtal_BW#'!$A:$Z,3,FALSE)+D332-50</f>
        <v>616</v>
      </c>
      <c r="D332" s="3">
        <v>643</v>
      </c>
      <c r="E332" s="3">
        <f>IF(ISERROR(VLOOKUP($A332,'SegEnds_NonXtal_BW#'!$A:$Z,4,FALSE)+VLOOKUP($A332,A:AL,4,FALSE)-50),"-",(VLOOKUP($A332,'SegEnds_NonXtal_BW#'!$A:$Z,4,FALSE)+VLOOKUP($A332,A:AL,4,FALSE)-50))</f>
        <v>653</v>
      </c>
      <c r="F332" s="3" t="s">
        <v>23</v>
      </c>
      <c r="G332" s="3" t="s">
        <v>23</v>
      </c>
      <c r="H332" s="3" t="s">
        <v>23</v>
      </c>
      <c r="I332" s="3">
        <f>VLOOKUP($A332,'SegEnds_NonXtal_BW#'!$A:$Z,7,FALSE)+J332-50</f>
        <v>659</v>
      </c>
      <c r="J332" s="3">
        <v>672</v>
      </c>
      <c r="K332" s="3">
        <f>VLOOKUP($A332,'SegEnds_NonXtal_BW#'!$A:$Z,8,FALSE)+VLOOKUP($A332,A:AL,10,FALSE)-50</f>
        <v>685</v>
      </c>
      <c r="L332" s="3" t="str">
        <f>IF(ISERROR(VLOOKUP($A332,'SegEnds_NonXtal_BW#'!$A:$Z,9,FALSE)+VLOOKUP($A332,A:AL,13,FALSE)-50),"-",(VLOOKUP($A332,'SegEnds_NonXtal_BW#'!$A:$Z,9,FALSE)+VLOOKUP($A332,A:AL,13,FALSE)-50))</f>
        <v>-</v>
      </c>
      <c r="M332" s="3" t="s">
        <v>23</v>
      </c>
      <c r="N332" s="3" t="str">
        <f>IF(ISERROR(VLOOKUP($A332,'SegEnds_NonXtal_BW#'!$A:$Z,10,FALSE)+VLOOKUP($A332,A:AL,13,FALSE)-50),"-",(VLOOKUP($A332,'SegEnds_NonXtal_BW#'!$A:$Z,10,FALSE)+VLOOKUP($A332,A:AL,13,FALSE)-50))</f>
        <v>-</v>
      </c>
      <c r="O332" s="3">
        <f>VLOOKUP($A332,'SegEnds_NonXtal_BW#'!$A:$Z,11,FALSE)+VLOOKUP($A332,A:AL,16,FALSE)-50</f>
        <v>692</v>
      </c>
      <c r="P332" s="3">
        <v>719</v>
      </c>
      <c r="Q332" s="3">
        <f>VLOOKUP($A332,'SegEnds_NonXtal_BW#'!$A:$Z,12,FALSE)+VLOOKUP($A332,A:AL,16,FALSE)-50</f>
        <v>725</v>
      </c>
      <c r="R332" s="3" t="str">
        <f>IF(ISERROR(VLOOKUP($A332,'SegEnds_NonXtal_BW#'!$A:$Z,13,FALSE)+VLOOKUP($A332,A:AL,19,FALSE)-50),"-",VLOOKUP($A332,'SegEnds_NonXtal_BW#'!$A:$Z,13,FALSE)+VLOOKUP($A332,A:AL,19,FALSE)-50)</f>
        <v>-</v>
      </c>
      <c r="S332" s="3" t="s">
        <v>23</v>
      </c>
      <c r="T332" s="100" t="str">
        <f>IF(ISERROR(VLOOKUP($A332,'SegEnds_NonXtal_BW#'!$A:$Z,14,FALSE)+VLOOKUP($A332,A:AL,19,FALSE)-50),"-",(VLOOKUP($A332,'SegEnds_NonXtal_BW#'!$A:$Z,14,FALSE)+VLOOKUP($A332,A:AL,19,FALSE)-50))</f>
        <v>-</v>
      </c>
      <c r="U332" s="9">
        <f>IF(ISERROR(VLOOKUP($A332,'SegEnds_NonXtal_BW#'!$A:$Z,15,FALSE)+VLOOKUP($A332,A:AL,22,FALSE)-50),"-",VLOOKUP($A332,'SegEnds_NonXtal_BW#'!$A:$Z,15,FALSE)+VLOOKUP($A332,A:AL,22,FALSE)-50)</f>
        <v>730</v>
      </c>
      <c r="V332" s="3">
        <v>743</v>
      </c>
      <c r="W332" s="3">
        <f>IF(ISERROR(VLOOKUP($A332,'SegEnds_NonXtal_BW#'!$A:$Z,16,FALSE)+VLOOKUP($A332,A:AL,22,FALSE)-50),"-",(VLOOKUP($A332,'SegEnds_NonXtal_BW#'!$A:$Z,16,FALSE)+VLOOKUP($A332,A:AL,22,FALSE)-50))</f>
        <v>761</v>
      </c>
      <c r="X332" s="3">
        <f>IF(ISERROR(VLOOKUP($A332,'SegEnds_NonXtal_BW#'!$A:$Z,17,FALSE)+VLOOKUP($A332,A:AL,25,FALSE)-50),"-",(VLOOKUP($A332,'SegEnds_NonXtal_BW#'!$A:$Z,17,FALSE)+VLOOKUP($A332,A:AL,25,FALSE)-50))</f>
        <v>778</v>
      </c>
      <c r="Y332" s="3">
        <v>778</v>
      </c>
      <c r="Z332" s="3">
        <f t="shared" si="179"/>
        <v>780</v>
      </c>
      <c r="AA332" s="3">
        <f>IF(ISERROR(VLOOKUP($A332,'SegEnds_NonXtal_BW#'!$A:$Z,19,FALSE)+VLOOKUP($A332,A:AL,28,FALSE)-50),"-",(VLOOKUP($A332,'SegEnds_NonXtal_BW#'!$A:$Z,19,FALSE)+VLOOKUP($A332,A:AL,28,FALSE)-50))</f>
        <v>783</v>
      </c>
      <c r="AB332" s="3">
        <v>797</v>
      </c>
      <c r="AC332" s="3">
        <f>IF(ISERROR((VLOOKUP($A332,'SegEnds_NonXtal_BW#'!$A:$Z,20,FALSE)+VLOOKUP($A332,A:AL,28,FALSE)-50)),"-",(VLOOKUP($A332,'SegEnds_NonXtal_BW#'!$A:$Z,20,FALSE)+VLOOKUP($A332,A:AL,28,FALSE)-50))</f>
        <v>816</v>
      </c>
      <c r="AD332" s="3">
        <f>IF(ISERROR(VLOOKUP($A332,'SegEnds_NonXtal_BW#'!$A:$Z,21,FALSE)+VLOOKUP($A332,A:AL,31,FALSE)-50),"-",(VLOOKUP($A332,'SegEnds_NonXtal_BW#'!$A:$Z,21,FALSE)+VLOOKUP($A332,A:AL,31,FALSE)-50))</f>
        <v>827</v>
      </c>
      <c r="AE332" s="3">
        <v>848</v>
      </c>
      <c r="AF332" s="3">
        <f>IF(ISERROR((VLOOKUP($A332,'SegEnds_NonXtal_BW#'!$A:$Z,22,FALSE)+VLOOKUP($A332,A:AL,31,FALSE)-50)),"-",(VLOOKUP($A332,'SegEnds_NonXtal_BW#'!$A:$Z,22,FALSE)+VLOOKUP($A332,A:AL,31,FALSE)-50))</f>
        <v>852</v>
      </c>
      <c r="AG332" s="3">
        <f>IF(ISERROR(VLOOKUP($A332,'SegEnds_NonXtal_BW#'!$A:$Z,23,FALSE)+VLOOKUP($A332,A:AL,34,FALSE)-50),"-",(VLOOKUP($A332,'SegEnds_NonXtal_BW#'!$A:$Z,23,FALSE)+VLOOKUP($A332,A:AL,34,FALSE)-50))</f>
        <v>857</v>
      </c>
      <c r="AH332" s="3">
        <v>876</v>
      </c>
      <c r="AI332" s="3">
        <f>IF(ISERROR((VLOOKUP($A332,'SegEnds_NonXtal_BW#'!$A:$Z,24,FALSE)+VLOOKUP($A332,A:AL,34,FALSE)-50)),"-",(VLOOKUP($A332,'SegEnds_NonXtal_BW#'!$A:$Z,24,FALSE)+VLOOKUP($A332,A:AL,34,FALSE)-50))</f>
        <v>882</v>
      </c>
      <c r="AJ332" s="3">
        <f>IF(ISERROR(VLOOKUP($A332,'SegEnds_NonXtal_BW#'!$A:$Z,25,FALSE)+VLOOKUP($A332,A:AL,37,FALSE)-50),"-",(VLOOKUP($A332,'SegEnds_NonXtal_BW#'!$A:$Z,25,FALSE)+VLOOKUP($A332,A:AL,37,FALSE)-50))</f>
        <v>883</v>
      </c>
      <c r="AK332" s="3">
        <v>886</v>
      </c>
      <c r="AL332" s="3">
        <f>IF(ISERROR((VLOOKUP($A332,'SegEnds_NonXtal_BW#'!$A:$Z,26,FALSE)+VLOOKUP($A332,A:AL,37,FALSE)-50)),"-",(VLOOKUP($A332,'SegEnds_NonXtal_BW#'!$A:$Z,26,FALSE)+VLOOKUP($A332,A:AL,37,FALSE)-50))</f>
        <v>899</v>
      </c>
      <c r="AM332" s="28" t="str">
        <f>VLOOKUP(A332,Classification!A:B,2,FALSE)</f>
        <v>B2</v>
      </c>
      <c r="AN332" s="28" t="b">
        <f t="shared" si="195"/>
        <v>1</v>
      </c>
      <c r="AO332" s="3" t="str">
        <f>IF(ISERROR(MATCH(A332,'SegEnds_Xtal_Prot#'!B:B, 0)), "NoXtal", "Xtal")</f>
        <v>NoXtal</v>
      </c>
      <c r="AP332" s="3" t="str">
        <f t="shared" si="180"/>
        <v>-</v>
      </c>
      <c r="AQ332" s="3" t="str">
        <f t="shared" si="181"/>
        <v>-</v>
      </c>
      <c r="AR332" s="3" t="str">
        <f t="shared" si="182"/>
        <v>-</v>
      </c>
      <c r="AS332" s="3" t="str">
        <f t="shared" si="183"/>
        <v>-</v>
      </c>
      <c r="AT332" s="3" t="str">
        <f t="shared" si="184"/>
        <v>-</v>
      </c>
      <c r="AU332" s="3" t="str">
        <f t="shared" si="185"/>
        <v>-</v>
      </c>
      <c r="AV332" s="3">
        <f t="shared" si="186"/>
        <v>17</v>
      </c>
      <c r="AW332" s="3">
        <f t="shared" si="187"/>
        <v>3</v>
      </c>
      <c r="AX332" s="3">
        <f t="shared" si="188"/>
        <v>11</v>
      </c>
      <c r="AY332" s="3">
        <f t="shared" si="189"/>
        <v>5</v>
      </c>
      <c r="AZ332" s="3">
        <f t="shared" si="190"/>
        <v>1</v>
      </c>
      <c r="BA332" s="3">
        <f>IF(ISERROR(LEN(VLOOKUP(A332,Seqs!A:E,2,FALSE))-AL332),"-",LEN(VLOOKUP(A332,Seqs!A:E,2,FALSE))-AL332)</f>
        <v>118</v>
      </c>
      <c r="BB332" s="16">
        <f t="shared" si="191"/>
        <v>29</v>
      </c>
      <c r="BC332" s="9" t="str">
        <f t="shared" si="192"/>
        <v>-</v>
      </c>
      <c r="BD332" s="3">
        <f t="shared" si="193"/>
        <v>29</v>
      </c>
      <c r="BE332" s="3">
        <f t="shared" si="194"/>
        <v>51</v>
      </c>
    </row>
    <row r="333" spans="1:59" s="3" customFormat="1" x14ac:dyDescent="0.2">
      <c r="A333" s="3" t="s">
        <v>1195</v>
      </c>
      <c r="B333" s="3" t="str">
        <f>LOWER(VLOOKUP(A333,Xtal_Templ!A:B,2,FALSE))</f>
        <v>pth1r_human</v>
      </c>
      <c r="C333" s="3">
        <f>VLOOKUP($A333,'SegEnds_NonXtal_BW#'!$A:$Z,3,FALSE)+D333-50</f>
        <v>256</v>
      </c>
      <c r="D333" s="3">
        <v>283</v>
      </c>
      <c r="E333" s="3">
        <f>IF(ISERROR(VLOOKUP($A333,'SegEnds_NonXtal_BW#'!$A:$Z,4,FALSE)+VLOOKUP($A333,A:AL,4,FALSE)-50),"-",(VLOOKUP($A333,'SegEnds_NonXtal_BW#'!$A:$Z,4,FALSE)+VLOOKUP($A333,A:AL,4,FALSE)-50))</f>
        <v>293</v>
      </c>
      <c r="F333" s="3" t="s">
        <v>23</v>
      </c>
      <c r="G333" s="3" t="s">
        <v>23</v>
      </c>
      <c r="H333" s="3" t="s">
        <v>23</v>
      </c>
      <c r="I333" s="3">
        <f>VLOOKUP($A333,'SegEnds_NonXtal_BW#'!$A:$Z,7,FALSE)+J333-50</f>
        <v>303</v>
      </c>
      <c r="J333" s="3">
        <v>316</v>
      </c>
      <c r="K333" s="3">
        <f>VLOOKUP($A333,'SegEnds_NonXtal_BW#'!$A:$Z,8,FALSE)+VLOOKUP($A333,A:AL,10,FALSE)-50</f>
        <v>329</v>
      </c>
      <c r="L333" s="3" t="str">
        <f>IF(ISERROR(VLOOKUP($A333,'SegEnds_NonXtal_BW#'!$A:$Z,9,FALSE)+VLOOKUP($A333,A:AL,13,FALSE)-50),"-",(VLOOKUP($A333,'SegEnds_NonXtal_BW#'!$A:$Z,9,FALSE)+VLOOKUP($A333,A:AL,13,FALSE)-50))</f>
        <v>-</v>
      </c>
      <c r="M333" s="3" t="s">
        <v>23</v>
      </c>
      <c r="N333" s="3" t="str">
        <f>IF(ISERROR(VLOOKUP($A333,'SegEnds_NonXtal_BW#'!$A:$Z,10,FALSE)+VLOOKUP($A333,A:AL,13,FALSE)-50),"-",(VLOOKUP($A333,'SegEnds_NonXtal_BW#'!$A:$Z,10,FALSE)+VLOOKUP($A333,A:AL,13,FALSE)-50))</f>
        <v>-</v>
      </c>
      <c r="O333" s="3">
        <f>VLOOKUP($A333,'SegEnds_NonXtal_BW#'!$A:$Z,11,FALSE)+VLOOKUP($A333,A:AL,16,FALSE)-50</f>
        <v>336</v>
      </c>
      <c r="P333" s="3">
        <v>363</v>
      </c>
      <c r="Q333" s="3">
        <f>VLOOKUP($A333,'SegEnds_NonXtal_BW#'!$A:$Z,12,FALSE)+VLOOKUP($A333,A:AL,16,FALSE)-50</f>
        <v>369</v>
      </c>
      <c r="R333" s="3" t="str">
        <f>IF(ISERROR(VLOOKUP($A333,'SegEnds_NonXtal_BW#'!$A:$Z,13,FALSE)+VLOOKUP($A333,A:AL,19,FALSE)-50),"-",VLOOKUP($A333,'SegEnds_NonXtal_BW#'!$A:$Z,13,FALSE)+VLOOKUP($A333,A:AL,19,FALSE)-50)</f>
        <v>-</v>
      </c>
      <c r="S333" s="3" t="s">
        <v>23</v>
      </c>
      <c r="T333" s="100" t="str">
        <f>IF(ISERROR(VLOOKUP($A333,'SegEnds_NonXtal_BW#'!$A:$Z,14,FALSE)+VLOOKUP($A333,A:AL,19,FALSE)-50),"-",(VLOOKUP($A333,'SegEnds_NonXtal_BW#'!$A:$Z,14,FALSE)+VLOOKUP($A333,A:AL,19,FALSE)-50))</f>
        <v>-</v>
      </c>
      <c r="U333" s="9">
        <f>IF(ISERROR(VLOOKUP($A333,'SegEnds_NonXtal_BW#'!$A:$Z,15,FALSE)+VLOOKUP($A333,A:AL,22,FALSE)-50),"-",VLOOKUP($A333,'SegEnds_NonXtal_BW#'!$A:$Z,15,FALSE)+VLOOKUP($A333,A:AL,22,FALSE)-50)</f>
        <v>374</v>
      </c>
      <c r="V333" s="3">
        <v>387</v>
      </c>
      <c r="W333" s="3">
        <f>IF(ISERROR(VLOOKUP($A333,'SegEnds_NonXtal_BW#'!$A:$Z,16,FALSE)+VLOOKUP($A333,A:AL,22,FALSE)-50),"-",(VLOOKUP($A333,'SegEnds_NonXtal_BW#'!$A:$Z,16,FALSE)+VLOOKUP($A333,A:AL,22,FALSE)-50))</f>
        <v>405</v>
      </c>
      <c r="X333" s="3">
        <f>IF(ISERROR(VLOOKUP($A333,'SegEnds_NonXtal_BW#'!$A:$Z,17,FALSE)+VLOOKUP($A333,A:AL,25,FALSE)-50),"-",(VLOOKUP($A333,'SegEnds_NonXtal_BW#'!$A:$Z,17,FALSE)+VLOOKUP($A333,A:AL,25,FALSE)-50))</f>
        <v>420</v>
      </c>
      <c r="Y333" s="3">
        <v>420</v>
      </c>
      <c r="Z333" s="3">
        <f t="shared" si="179"/>
        <v>422</v>
      </c>
      <c r="AA333" s="3">
        <f>IF(ISERROR(VLOOKUP($A333,'SegEnds_NonXtal_BW#'!$A:$Z,19,FALSE)+VLOOKUP($A333,A:AL,28,FALSE)-50),"-",(VLOOKUP($A333,'SegEnds_NonXtal_BW#'!$A:$Z,19,FALSE)+VLOOKUP($A333,A:AL,28,FALSE)-50))</f>
        <v>424</v>
      </c>
      <c r="AB333" s="3">
        <v>438</v>
      </c>
      <c r="AC333" s="3">
        <f>IF(ISERROR((VLOOKUP($A333,'SegEnds_NonXtal_BW#'!$A:$Z,20,FALSE)+VLOOKUP($A333,A:AL,28,FALSE)-50)),"-",(VLOOKUP($A333,'SegEnds_NonXtal_BW#'!$A:$Z,20,FALSE)+VLOOKUP($A333,A:AL,28,FALSE)-50))</f>
        <v>457</v>
      </c>
      <c r="AD333" s="3">
        <f>IF(ISERROR(VLOOKUP($A333,'SegEnds_NonXtal_BW#'!$A:$Z,21,FALSE)+VLOOKUP($A333,A:AL,31,FALSE)-50),"-",(VLOOKUP($A333,'SegEnds_NonXtal_BW#'!$A:$Z,21,FALSE)+VLOOKUP($A333,A:AL,31,FALSE)-50))</f>
        <v>471</v>
      </c>
      <c r="AE333" s="3">
        <v>492</v>
      </c>
      <c r="AF333" s="3">
        <f>IF(ISERROR((VLOOKUP($A333,'SegEnds_NonXtal_BW#'!$A:$Z,22,FALSE)+VLOOKUP($A333,A:AL,31,FALSE)-50)),"-",(VLOOKUP($A333,'SegEnds_NonXtal_BW#'!$A:$Z,22,FALSE)+VLOOKUP($A333,A:AL,31,FALSE)-50))</f>
        <v>492</v>
      </c>
      <c r="AG333" s="3">
        <f>IF(ISERROR(VLOOKUP($A333,'SegEnds_NonXtal_BW#'!$A:$Z,23,FALSE)+VLOOKUP($A333,A:AL,34,FALSE)-50),"-",(VLOOKUP($A333,'SegEnds_NonXtal_BW#'!$A:$Z,23,FALSE)+VLOOKUP($A333,A:AL,34,FALSE)-50))</f>
        <v>499</v>
      </c>
      <c r="AH333" s="3">
        <v>518</v>
      </c>
      <c r="AI333" s="3">
        <f>IF(ISERROR((VLOOKUP($A333,'SegEnds_NonXtal_BW#'!$A:$Z,24,FALSE)+VLOOKUP($A333,A:AL,34,FALSE)-50)),"-",(VLOOKUP($A333,'SegEnds_NonXtal_BW#'!$A:$Z,24,FALSE)+VLOOKUP($A333,A:AL,34,FALSE)-50))</f>
        <v>524</v>
      </c>
      <c r="AJ333" s="3">
        <f>IF(ISERROR(VLOOKUP($A333,'SegEnds_NonXtal_BW#'!$A:$Z,25,FALSE)+VLOOKUP($A333,A:AL,37,FALSE)-50),"-",(VLOOKUP($A333,'SegEnds_NonXtal_BW#'!$A:$Z,25,FALSE)+VLOOKUP($A333,A:AL,37,FALSE)-50))</f>
        <v>525</v>
      </c>
      <c r="AK333" s="3">
        <v>528</v>
      </c>
      <c r="AL333" s="3">
        <f>IF(ISERROR((VLOOKUP($A333,'SegEnds_NonXtal_BW#'!$A:$Z,26,FALSE)+VLOOKUP($A333,A:AL,37,FALSE)-50)),"-",(VLOOKUP($A333,'SegEnds_NonXtal_BW#'!$A:$Z,26,FALSE)+VLOOKUP($A333,A:AL,37,FALSE)-50))</f>
        <v>541</v>
      </c>
      <c r="AM333" s="28" t="str">
        <f>VLOOKUP(A333,Classification!A:B,2,FALSE)</f>
        <v>B2</v>
      </c>
      <c r="AN333" s="28" t="b">
        <f t="shared" si="195"/>
        <v>1</v>
      </c>
      <c r="AO333" s="3" t="str">
        <f>IF(ISERROR(MATCH(A333,'SegEnds_Xtal_Prot#'!B:B, 0)), "NoXtal", "Xtal")</f>
        <v>NoXtal</v>
      </c>
      <c r="AP333" s="3" t="str">
        <f t="shared" si="180"/>
        <v>-</v>
      </c>
      <c r="AQ333" s="3" t="str">
        <f t="shared" si="181"/>
        <v>-</v>
      </c>
      <c r="AR333" s="3" t="str">
        <f t="shared" si="182"/>
        <v>-</v>
      </c>
      <c r="AS333" s="3" t="str">
        <f t="shared" si="183"/>
        <v>-</v>
      </c>
      <c r="AT333" s="3" t="str">
        <f t="shared" si="184"/>
        <v>-</v>
      </c>
      <c r="AU333" s="3" t="str">
        <f t="shared" si="185"/>
        <v>-</v>
      </c>
      <c r="AV333" s="3">
        <f t="shared" si="186"/>
        <v>15</v>
      </c>
      <c r="AW333" s="3">
        <f t="shared" si="187"/>
        <v>2</v>
      </c>
      <c r="AX333" s="3">
        <f t="shared" si="188"/>
        <v>14</v>
      </c>
      <c r="AY333" s="3">
        <f t="shared" si="189"/>
        <v>7</v>
      </c>
      <c r="AZ333" s="3">
        <f t="shared" si="190"/>
        <v>1</v>
      </c>
      <c r="BA333" s="3">
        <f>IF(ISERROR(LEN(VLOOKUP(A333,Seqs!A:E,2,FALSE))-AL333),"-",LEN(VLOOKUP(A333,Seqs!A:E,2,FALSE))-AL333)</f>
        <v>8</v>
      </c>
      <c r="BB333" s="16">
        <f t="shared" si="191"/>
        <v>33</v>
      </c>
      <c r="BC333" s="9" t="str">
        <f t="shared" si="192"/>
        <v>-</v>
      </c>
      <c r="BD333" s="3">
        <f t="shared" si="193"/>
        <v>33</v>
      </c>
      <c r="BE333" s="3">
        <f t="shared" si="194"/>
        <v>54</v>
      </c>
      <c r="BF333" s="3">
        <f>AH333-AE333</f>
        <v>26</v>
      </c>
    </row>
    <row r="334" spans="1:59" s="3" customFormat="1" x14ac:dyDescent="0.2">
      <c r="A334" s="3" t="s">
        <v>1196</v>
      </c>
      <c r="B334" s="3" t="str">
        <f>LOWER(VLOOKUP(A334,Xtal_Templ!A:B,2,FALSE))</f>
        <v>pth1r_human</v>
      </c>
      <c r="C334" s="3">
        <f>VLOOKUP($A334,'SegEnds_NonXtal_BW#'!$A:$Z,3,FALSE)+D334-50</f>
        <v>2731</v>
      </c>
      <c r="D334" s="3">
        <v>2758</v>
      </c>
      <c r="E334" s="3">
        <f>IF(ISERROR(VLOOKUP($A334,'SegEnds_NonXtal_BW#'!$A:$Z,4,FALSE)+VLOOKUP($A334,A:AL,4,FALSE)-50),"-",(VLOOKUP($A334,'SegEnds_NonXtal_BW#'!$A:$Z,4,FALSE)+VLOOKUP($A334,A:AL,4,FALSE)-50))</f>
        <v>2768</v>
      </c>
      <c r="F334" s="3" t="s">
        <v>23</v>
      </c>
      <c r="G334" s="3" t="s">
        <v>23</v>
      </c>
      <c r="H334" s="3" t="s">
        <v>23</v>
      </c>
      <c r="I334" s="3">
        <f>VLOOKUP($A334,'SegEnds_NonXtal_BW#'!$A:$Z,7,FALSE)+J334-50</f>
        <v>2774</v>
      </c>
      <c r="J334" s="3">
        <v>2787</v>
      </c>
      <c r="K334" s="3">
        <f>VLOOKUP($A334,'SegEnds_NonXtal_BW#'!$A:$Z,8,FALSE)+VLOOKUP($A334,A:AL,10,FALSE)-50</f>
        <v>2800</v>
      </c>
      <c r="L334" s="3" t="str">
        <f>IF(ISERROR(VLOOKUP($A334,'SegEnds_NonXtal_BW#'!$A:$Z,9,FALSE)+VLOOKUP($A334,A:AL,13,FALSE)-50),"-",(VLOOKUP($A334,'SegEnds_NonXtal_BW#'!$A:$Z,9,FALSE)+VLOOKUP($A334,A:AL,13,FALSE)-50))</f>
        <v>-</v>
      </c>
      <c r="M334" s="3" t="s">
        <v>23</v>
      </c>
      <c r="N334" s="3" t="str">
        <f>IF(ISERROR(VLOOKUP($A334,'SegEnds_NonXtal_BW#'!$A:$Z,10,FALSE)+VLOOKUP($A334,A:AL,13,FALSE)-50),"-",(VLOOKUP($A334,'SegEnds_NonXtal_BW#'!$A:$Z,10,FALSE)+VLOOKUP($A334,A:AL,13,FALSE)-50))</f>
        <v>-</v>
      </c>
      <c r="O334" s="3">
        <f>VLOOKUP($A334,'SegEnds_NonXtal_BW#'!$A:$Z,11,FALSE)+VLOOKUP($A334,A:AL,16,FALSE)-50</f>
        <v>2807</v>
      </c>
      <c r="P334" s="3">
        <v>2834</v>
      </c>
      <c r="Q334" s="3">
        <f>VLOOKUP($A334,'SegEnds_NonXtal_BW#'!$A:$Z,12,FALSE)+VLOOKUP($A334,A:AL,16,FALSE)-50</f>
        <v>2840</v>
      </c>
      <c r="R334" s="3" t="str">
        <f>IF(ISERROR(VLOOKUP($A334,'SegEnds_NonXtal_BW#'!$A:$Z,13,FALSE)+VLOOKUP($A334,A:AL,19,FALSE)-50),"-",VLOOKUP($A334,'SegEnds_NonXtal_BW#'!$A:$Z,13,FALSE)+VLOOKUP($A334,A:AL,19,FALSE)-50)</f>
        <v>-</v>
      </c>
      <c r="S334" s="3" t="s">
        <v>23</v>
      </c>
      <c r="T334" s="100" t="str">
        <f>IF(ISERROR(VLOOKUP($A334,'SegEnds_NonXtal_BW#'!$A:$Z,14,FALSE)+VLOOKUP($A334,A:AL,19,FALSE)-50),"-",(VLOOKUP($A334,'SegEnds_NonXtal_BW#'!$A:$Z,14,FALSE)+VLOOKUP($A334,A:AL,19,FALSE)-50))</f>
        <v>-</v>
      </c>
      <c r="U334" s="9">
        <f>IF(ISERROR(VLOOKUP($A334,'SegEnds_NonXtal_BW#'!$A:$Z,15,FALSE)+VLOOKUP($A334,A:AL,22,FALSE)-50),"-",VLOOKUP($A334,'SegEnds_NonXtal_BW#'!$A:$Z,15,FALSE)+VLOOKUP($A334,A:AL,22,FALSE)-50)</f>
        <v>2845</v>
      </c>
      <c r="V334" s="3">
        <v>2858</v>
      </c>
      <c r="W334" s="3">
        <f>IF(ISERROR(VLOOKUP($A334,'SegEnds_NonXtal_BW#'!$A:$Z,16,FALSE)+VLOOKUP($A334,A:AL,22,FALSE)-50),"-",(VLOOKUP($A334,'SegEnds_NonXtal_BW#'!$A:$Z,16,FALSE)+VLOOKUP($A334,A:AL,22,FALSE)-50))</f>
        <v>2876</v>
      </c>
      <c r="X334" s="3">
        <f>IF(ISERROR(VLOOKUP($A334,'SegEnds_NonXtal_BW#'!$A:$Z,17,FALSE)+VLOOKUP($A334,A:AL,25,FALSE)-50),"-",(VLOOKUP($A334,'SegEnds_NonXtal_BW#'!$A:$Z,17,FALSE)+VLOOKUP($A334,A:AL,25,FALSE)-50))</f>
        <v>2886</v>
      </c>
      <c r="Y334" s="3">
        <v>2886</v>
      </c>
      <c r="Z334" s="3">
        <f t="shared" si="179"/>
        <v>2888</v>
      </c>
      <c r="AA334" s="3">
        <f>IF(ISERROR(VLOOKUP($A334,'SegEnds_NonXtal_BW#'!$A:$Z,19,FALSE)+VLOOKUP($A334,A:AL,28,FALSE)-50),"-",(VLOOKUP($A334,'SegEnds_NonXtal_BW#'!$A:$Z,19,FALSE)+VLOOKUP($A334,A:AL,28,FALSE)-50))</f>
        <v>2891</v>
      </c>
      <c r="AB334" s="3">
        <v>2905</v>
      </c>
      <c r="AC334" s="3">
        <f>IF(ISERROR((VLOOKUP($A334,'SegEnds_NonXtal_BW#'!$A:$Z,20,FALSE)+VLOOKUP($A334,A:AL,28,FALSE)-50)),"-",(VLOOKUP($A334,'SegEnds_NonXtal_BW#'!$A:$Z,20,FALSE)+VLOOKUP($A334,A:AL,28,FALSE)-50))</f>
        <v>2924</v>
      </c>
      <c r="AD334" s="3">
        <f>IF(ISERROR(VLOOKUP($A334,'SegEnds_NonXtal_BW#'!$A:$Z,21,FALSE)+VLOOKUP($A334,A:AL,31,FALSE)-50),"-",(VLOOKUP($A334,'SegEnds_NonXtal_BW#'!$A:$Z,21,FALSE)+VLOOKUP($A334,A:AL,31,FALSE)-50))</f>
        <v>2934</v>
      </c>
      <c r="AE334" s="3">
        <v>2955</v>
      </c>
      <c r="AF334" s="3">
        <f>IF(ISERROR((VLOOKUP($A334,'SegEnds_NonXtal_BW#'!$A:$Z,22,FALSE)+VLOOKUP($A334,A:AL,31,FALSE)-50)),"-",(VLOOKUP($A334,'SegEnds_NonXtal_BW#'!$A:$Z,22,FALSE)+VLOOKUP($A334,A:AL,31,FALSE)-50))</f>
        <v>2959</v>
      </c>
      <c r="AG334" s="3">
        <f>IF(ISERROR(VLOOKUP($A334,'SegEnds_NonXtal_BW#'!$A:$Z,23,FALSE)+VLOOKUP($A334,A:AL,34,FALSE)-50),"-",(VLOOKUP($A334,'SegEnds_NonXtal_BW#'!$A:$Z,23,FALSE)+VLOOKUP($A334,A:AL,34,FALSE)-50))</f>
        <v>2964</v>
      </c>
      <c r="AH334" s="3">
        <v>2983</v>
      </c>
      <c r="AI334" s="3">
        <f>IF(ISERROR((VLOOKUP($A334,'SegEnds_NonXtal_BW#'!$A:$Z,24,FALSE)+VLOOKUP($A334,A:AL,34,FALSE)-50)),"-",(VLOOKUP($A334,'SegEnds_NonXtal_BW#'!$A:$Z,24,FALSE)+VLOOKUP($A334,A:AL,34,FALSE)-50))</f>
        <v>2989</v>
      </c>
      <c r="AJ334" s="3">
        <f>IF(ISERROR(VLOOKUP($A334,'SegEnds_NonXtal_BW#'!$A:$Z,25,FALSE)+VLOOKUP($A334,A:AL,37,FALSE)-50),"-",(VLOOKUP($A334,'SegEnds_NonXtal_BW#'!$A:$Z,25,FALSE)+VLOOKUP($A334,A:AL,37,FALSE)-50))</f>
        <v>2990</v>
      </c>
      <c r="AK334" s="3">
        <v>2993</v>
      </c>
      <c r="AL334" s="3">
        <f>IF(ISERROR((VLOOKUP($A334,'SegEnds_NonXtal_BW#'!$A:$Z,26,FALSE)+VLOOKUP($A334,A:AL,37,FALSE)-50)),"-",(VLOOKUP($A334,'SegEnds_NonXtal_BW#'!$A:$Z,26,FALSE)+VLOOKUP($A334,A:AL,37,FALSE)-50))</f>
        <v>3006</v>
      </c>
      <c r="AM334" s="28" t="str">
        <f>VLOOKUP(A334,Classification!A:B,2,FALSE)</f>
        <v>B2</v>
      </c>
      <c r="AN334" s="28" t="b">
        <f t="shared" si="195"/>
        <v>1</v>
      </c>
      <c r="AO334" s="3" t="str">
        <f>IF(ISERROR(MATCH(A334,'SegEnds_Xtal_Prot#'!B:B, 0)), "NoXtal", "Xtal")</f>
        <v>NoXtal</v>
      </c>
      <c r="AP334" s="3" t="str">
        <f t="shared" si="180"/>
        <v>-</v>
      </c>
      <c r="AQ334" s="3" t="str">
        <f t="shared" si="181"/>
        <v>-</v>
      </c>
      <c r="AR334" s="3" t="str">
        <f t="shared" si="182"/>
        <v>-</v>
      </c>
      <c r="AS334" s="3" t="str">
        <f t="shared" si="183"/>
        <v>-</v>
      </c>
      <c r="AT334" s="3" t="str">
        <f t="shared" si="184"/>
        <v>-</v>
      </c>
      <c r="AU334" s="3" t="str">
        <f t="shared" si="185"/>
        <v>-</v>
      </c>
      <c r="AV334" s="3">
        <f t="shared" si="186"/>
        <v>10</v>
      </c>
      <c r="AW334" s="3">
        <f t="shared" si="187"/>
        <v>3</v>
      </c>
      <c r="AX334" s="3">
        <f t="shared" si="188"/>
        <v>10</v>
      </c>
      <c r="AY334" s="3">
        <f t="shared" si="189"/>
        <v>5</v>
      </c>
      <c r="AZ334" s="3">
        <f t="shared" si="190"/>
        <v>1</v>
      </c>
      <c r="BA334" s="3">
        <f>IF(ISERROR(LEN(VLOOKUP(A334,Seqs!A:E,2,FALSE))-AL334),"-",LEN(VLOOKUP(A334,Seqs!A:E,2,FALSE))-AL334)</f>
        <v>74</v>
      </c>
      <c r="BB334" s="16">
        <f t="shared" si="191"/>
        <v>29</v>
      </c>
      <c r="BC334" s="9" t="str">
        <f t="shared" si="192"/>
        <v>-</v>
      </c>
      <c r="BD334" s="3">
        <f t="shared" si="193"/>
        <v>29</v>
      </c>
      <c r="BE334" s="3">
        <f t="shared" si="194"/>
        <v>50</v>
      </c>
    </row>
    <row r="335" spans="1:59" s="3" customFormat="1" x14ac:dyDescent="0.2">
      <c r="A335" s="3" t="s">
        <v>1197</v>
      </c>
      <c r="B335" s="3" t="str">
        <f>LOWER(VLOOKUP(A335,Xtal_Templ!A:B,2,FALSE))</f>
        <v>pth1r_human</v>
      </c>
      <c r="C335" s="3">
        <f>VLOOKUP($A335,'SegEnds_NonXtal_BW#'!$A:$Z,3,FALSE)+D335-50</f>
        <v>236</v>
      </c>
      <c r="D335" s="3">
        <v>263</v>
      </c>
      <c r="E335" s="3">
        <f>IF(ISERROR(VLOOKUP($A335,'SegEnds_NonXtal_BW#'!$A:$Z,4,FALSE)+VLOOKUP($A335,A:AL,4,FALSE)-50),"-",(VLOOKUP($A335,'SegEnds_NonXtal_BW#'!$A:$Z,4,FALSE)+VLOOKUP($A335,A:AL,4,FALSE)-50))</f>
        <v>273</v>
      </c>
      <c r="F335" s="3" t="s">
        <v>23</v>
      </c>
      <c r="G335" s="3" t="s">
        <v>23</v>
      </c>
      <c r="H335" s="3" t="s">
        <v>23</v>
      </c>
      <c r="I335" s="3">
        <f>VLOOKUP($A335,'SegEnds_NonXtal_BW#'!$A:$Z,7,FALSE)+J335-50</f>
        <v>278</v>
      </c>
      <c r="J335" s="3">
        <v>291</v>
      </c>
      <c r="K335" s="3">
        <f>VLOOKUP($A335,'SegEnds_NonXtal_BW#'!$A:$Z,8,FALSE)+VLOOKUP($A335,A:AL,10,FALSE)-50</f>
        <v>304</v>
      </c>
      <c r="L335" s="3" t="str">
        <f>IF(ISERROR(VLOOKUP($A335,'SegEnds_NonXtal_BW#'!$A:$Z,9,FALSE)+VLOOKUP($A335,A:AL,13,FALSE)-50),"-",(VLOOKUP($A335,'SegEnds_NonXtal_BW#'!$A:$Z,9,FALSE)+VLOOKUP($A335,A:AL,13,FALSE)-50))</f>
        <v>-</v>
      </c>
      <c r="M335" s="3" t="s">
        <v>23</v>
      </c>
      <c r="N335" s="3" t="str">
        <f>IF(ISERROR(VLOOKUP($A335,'SegEnds_NonXtal_BW#'!$A:$Z,10,FALSE)+VLOOKUP($A335,A:AL,13,FALSE)-50),"-",(VLOOKUP($A335,'SegEnds_NonXtal_BW#'!$A:$Z,10,FALSE)+VLOOKUP($A335,A:AL,13,FALSE)-50))</f>
        <v>-</v>
      </c>
      <c r="O335" s="3">
        <f>VLOOKUP($A335,'SegEnds_NonXtal_BW#'!$A:$Z,11,FALSE)+VLOOKUP($A335,A:AL,16,FALSE)-50</f>
        <v>312</v>
      </c>
      <c r="P335" s="3">
        <v>339</v>
      </c>
      <c r="Q335" s="3">
        <f>VLOOKUP($A335,'SegEnds_NonXtal_BW#'!$A:$Z,12,FALSE)+VLOOKUP($A335,A:AL,16,FALSE)-50</f>
        <v>345</v>
      </c>
      <c r="R335" s="3" t="str">
        <f>IF(ISERROR(VLOOKUP($A335,'SegEnds_NonXtal_BW#'!$A:$Z,13,FALSE)+VLOOKUP($A335,A:AL,19,FALSE)-50),"-",VLOOKUP($A335,'SegEnds_NonXtal_BW#'!$A:$Z,13,FALSE)+VLOOKUP($A335,A:AL,19,FALSE)-50)</f>
        <v>-</v>
      </c>
      <c r="S335" s="3" t="s">
        <v>23</v>
      </c>
      <c r="T335" s="100" t="str">
        <f>IF(ISERROR(VLOOKUP($A335,'SegEnds_NonXtal_BW#'!$A:$Z,14,FALSE)+VLOOKUP($A335,A:AL,19,FALSE)-50),"-",(VLOOKUP($A335,'SegEnds_NonXtal_BW#'!$A:$Z,14,FALSE)+VLOOKUP($A335,A:AL,19,FALSE)-50))</f>
        <v>-</v>
      </c>
      <c r="U335" s="9">
        <f>IF(ISERROR(VLOOKUP($A335,'SegEnds_NonXtal_BW#'!$A:$Z,15,FALSE)+VLOOKUP($A335,A:AL,22,FALSE)-50),"-",VLOOKUP($A335,'SegEnds_NonXtal_BW#'!$A:$Z,15,FALSE)+VLOOKUP($A335,A:AL,22,FALSE)-50)</f>
        <v>350</v>
      </c>
      <c r="V335" s="3">
        <v>363</v>
      </c>
      <c r="W335" s="3">
        <f>IF(ISERROR(VLOOKUP($A335,'SegEnds_NonXtal_BW#'!$A:$Z,16,FALSE)+VLOOKUP($A335,A:AL,22,FALSE)-50),"-",(VLOOKUP($A335,'SegEnds_NonXtal_BW#'!$A:$Z,16,FALSE)+VLOOKUP($A335,A:AL,22,FALSE)-50))</f>
        <v>381</v>
      </c>
      <c r="X335" s="3">
        <f>IF(ISERROR(VLOOKUP($A335,'SegEnds_NonXtal_BW#'!$A:$Z,17,FALSE)+VLOOKUP($A335,A:AL,25,FALSE)-50),"-",(VLOOKUP($A335,'SegEnds_NonXtal_BW#'!$A:$Z,17,FALSE)+VLOOKUP($A335,A:AL,25,FALSE)-50))</f>
        <v>404</v>
      </c>
      <c r="Y335" s="3">
        <v>404</v>
      </c>
      <c r="Z335" s="3">
        <f t="shared" si="179"/>
        <v>406</v>
      </c>
      <c r="AA335" s="3">
        <f>IF(ISERROR(VLOOKUP($A335,'SegEnds_NonXtal_BW#'!$A:$Z,19,FALSE)+VLOOKUP($A335,A:AL,28,FALSE)-50),"-",(VLOOKUP($A335,'SegEnds_NonXtal_BW#'!$A:$Z,19,FALSE)+VLOOKUP($A335,A:AL,28,FALSE)-50))</f>
        <v>409</v>
      </c>
      <c r="AB335" s="3">
        <v>423</v>
      </c>
      <c r="AC335" s="3">
        <f>IF(ISERROR((VLOOKUP($A335,'SegEnds_NonXtal_BW#'!$A:$Z,20,FALSE)+VLOOKUP($A335,A:AL,28,FALSE)-50)),"-",(VLOOKUP($A335,'SegEnds_NonXtal_BW#'!$A:$Z,20,FALSE)+VLOOKUP($A335,A:AL,28,FALSE)-50))</f>
        <v>442</v>
      </c>
      <c r="AD335" s="3">
        <f>IF(ISERROR(VLOOKUP($A335,'SegEnds_NonXtal_BW#'!$A:$Z,21,FALSE)+VLOOKUP($A335,A:AL,31,FALSE)-50),"-",(VLOOKUP($A335,'SegEnds_NonXtal_BW#'!$A:$Z,21,FALSE)+VLOOKUP($A335,A:AL,31,FALSE)-50))</f>
        <v>451</v>
      </c>
      <c r="AE335" s="3">
        <v>472</v>
      </c>
      <c r="AF335" s="3">
        <f>IF(ISERROR((VLOOKUP($A335,'SegEnds_NonXtal_BW#'!$A:$Z,22,FALSE)+VLOOKUP($A335,A:AL,31,FALSE)-50)),"-",(VLOOKUP($A335,'SegEnds_NonXtal_BW#'!$A:$Z,22,FALSE)+VLOOKUP($A335,A:AL,31,FALSE)-50))</f>
        <v>476</v>
      </c>
      <c r="AG335" s="3">
        <f>IF(ISERROR(VLOOKUP($A335,'SegEnds_NonXtal_BW#'!$A:$Z,23,FALSE)+VLOOKUP($A335,A:AL,34,FALSE)-50),"-",(VLOOKUP($A335,'SegEnds_NonXtal_BW#'!$A:$Z,23,FALSE)+VLOOKUP($A335,A:AL,34,FALSE)-50))</f>
        <v>481</v>
      </c>
      <c r="AH335" s="3">
        <v>500</v>
      </c>
      <c r="AI335" s="3">
        <f>IF(ISERROR((VLOOKUP($A335,'SegEnds_NonXtal_BW#'!$A:$Z,24,FALSE)+VLOOKUP($A335,A:AL,34,FALSE)-50)),"-",(VLOOKUP($A335,'SegEnds_NonXtal_BW#'!$A:$Z,24,FALSE)+VLOOKUP($A335,A:AL,34,FALSE)-50))</f>
        <v>506</v>
      </c>
      <c r="AJ335" s="3">
        <f>IF(ISERROR(VLOOKUP($A335,'SegEnds_NonXtal_BW#'!$A:$Z,25,FALSE)+VLOOKUP($A335,A:AL,37,FALSE)-50),"-",(VLOOKUP($A335,'SegEnds_NonXtal_BW#'!$A:$Z,25,FALSE)+VLOOKUP($A335,A:AL,37,FALSE)-50))</f>
        <v>507</v>
      </c>
      <c r="AK335" s="3">
        <v>510</v>
      </c>
      <c r="AL335" s="3">
        <f>IF(ISERROR((VLOOKUP($A335,'SegEnds_NonXtal_BW#'!$A:$Z,26,FALSE)+VLOOKUP($A335,A:AL,37,FALSE)-50)),"-",(VLOOKUP($A335,'SegEnds_NonXtal_BW#'!$A:$Z,26,FALSE)+VLOOKUP($A335,A:AL,37,FALSE)-50))</f>
        <v>523</v>
      </c>
      <c r="AM335" s="28" t="str">
        <f>VLOOKUP(A335,Classification!A:B,2,FALSE)</f>
        <v>B2</v>
      </c>
      <c r="AN335" s="28" t="b">
        <f t="shared" si="195"/>
        <v>1</v>
      </c>
      <c r="AO335" s="3" t="str">
        <f>IF(ISERROR(MATCH(A335,'SegEnds_Xtal_Prot#'!B:B, 0)), "NoXtal", "Xtal")</f>
        <v>NoXtal</v>
      </c>
      <c r="AP335" s="3" t="str">
        <f t="shared" si="180"/>
        <v>-</v>
      </c>
      <c r="AQ335" s="3" t="str">
        <f t="shared" si="181"/>
        <v>-</v>
      </c>
      <c r="AR335" s="3" t="str">
        <f t="shared" si="182"/>
        <v>-</v>
      </c>
      <c r="AS335" s="3" t="str">
        <f t="shared" si="183"/>
        <v>-</v>
      </c>
      <c r="AT335" s="3" t="str">
        <f t="shared" si="184"/>
        <v>-</v>
      </c>
      <c r="AU335" s="3" t="str">
        <f t="shared" si="185"/>
        <v>-</v>
      </c>
      <c r="AV335" s="3">
        <f t="shared" si="186"/>
        <v>23</v>
      </c>
      <c r="AW335" s="3">
        <f t="shared" si="187"/>
        <v>3</v>
      </c>
      <c r="AX335" s="3">
        <f t="shared" si="188"/>
        <v>9</v>
      </c>
      <c r="AY335" s="3">
        <f t="shared" si="189"/>
        <v>5</v>
      </c>
      <c r="AZ335" s="3">
        <f t="shared" si="190"/>
        <v>1</v>
      </c>
      <c r="BA335" s="3">
        <f>IF(ISERROR(LEN(VLOOKUP(A335,Seqs!A:E,2,FALSE))-AL335),"-",LEN(VLOOKUP(A335,Seqs!A:E,2,FALSE))-AL335)</f>
        <v>5</v>
      </c>
      <c r="BB335" s="16">
        <f t="shared" si="191"/>
        <v>28</v>
      </c>
      <c r="BC335" s="9" t="str">
        <f t="shared" si="192"/>
        <v>-</v>
      </c>
      <c r="BD335" s="3">
        <f t="shared" si="193"/>
        <v>28</v>
      </c>
      <c r="BE335" s="3">
        <f t="shared" si="194"/>
        <v>49</v>
      </c>
      <c r="BF335" s="3">
        <f>AH335-AE335</f>
        <v>28</v>
      </c>
    </row>
    <row r="336" spans="1:59" s="3" customFormat="1" x14ac:dyDescent="0.2">
      <c r="A336" s="3" t="s">
        <v>1423</v>
      </c>
      <c r="B336" s="3" t="str">
        <f>LOWER(VLOOKUP(A336,Xtal_Templ!A:B,2,FALSE))</f>
        <v>crfr1_human</v>
      </c>
      <c r="C336" s="3">
        <f>VLOOKUP($A336,'SegEnds_NonXtal_BW#'!$A:$Z,3,FALSE)+D336-50</f>
        <v>852</v>
      </c>
      <c r="D336" s="3">
        <v>879</v>
      </c>
      <c r="E336" s="3">
        <f>IF(ISERROR(VLOOKUP($A336,'SegEnds_NonXtal_BW#'!$A:$Z,4,FALSE)+VLOOKUP($A336,A:AL,4,FALSE)-50),"-",(VLOOKUP($A336,'SegEnds_NonXtal_BW#'!$A:$Z,4,FALSE)+VLOOKUP($A336,A:AL,4,FALSE)-50))</f>
        <v>889</v>
      </c>
      <c r="F336" s="3">
        <f>G336-2</f>
        <v>890</v>
      </c>
      <c r="G336" s="3">
        <v>892</v>
      </c>
      <c r="H336" s="3">
        <f>G336+1</f>
        <v>893</v>
      </c>
      <c r="I336" s="3">
        <f>H336+1</f>
        <v>894</v>
      </c>
      <c r="J336" s="3">
        <v>908</v>
      </c>
      <c r="K336" s="3">
        <f>VLOOKUP($A336,'SegEnds_NonXtal_BW#'!$A:$Z,8,FALSE)+VLOOKUP($A336,A:AL,10,FALSE)-50</f>
        <v>921</v>
      </c>
      <c r="L336" s="3" t="str">
        <f>IF(ISERROR(VLOOKUP($A336,'SegEnds_NonXtal_BW#'!$A:$Z,9,FALSE)+VLOOKUP($A336,A:AL,13,FALSE)-50),"-",(VLOOKUP($A336,'SegEnds_NonXtal_BW#'!$A:$Z,9,FALSE)+VLOOKUP($A336,A:AL,13,FALSE)-50))</f>
        <v>-</v>
      </c>
      <c r="M336" s="3" t="s">
        <v>23</v>
      </c>
      <c r="N336" s="3" t="str">
        <f>IF(ISERROR(VLOOKUP($A336,'SegEnds_NonXtal_BW#'!$A:$Z,10,FALSE)+VLOOKUP($A336,A:AL,13,FALSE)-50),"-",(VLOOKUP($A336,'SegEnds_NonXtal_BW#'!$A:$Z,10,FALSE)+VLOOKUP($A336,A:AL,13,FALSE)-50))</f>
        <v>-</v>
      </c>
      <c r="O336" s="3">
        <f>VLOOKUP($A336,'SegEnds_NonXtal_BW#'!$A:$Z,11,FALSE)+VLOOKUP($A336,A:AL,16,FALSE)-50</f>
        <v>928</v>
      </c>
      <c r="P336" s="3">
        <v>955</v>
      </c>
      <c r="Q336" s="3">
        <f>VLOOKUP($A336,'SegEnds_NonXtal_BW#'!$A:$Z,12,FALSE)+VLOOKUP($A336,A:AL,16,FALSE)-50</f>
        <v>961</v>
      </c>
      <c r="R336" s="3" t="str">
        <f>IF(ISERROR(VLOOKUP($A336,'SegEnds_NonXtal_BW#'!$A:$Z,13,FALSE)+VLOOKUP($A336,A:AL,19,FALSE)-50),"-",VLOOKUP($A336,'SegEnds_NonXtal_BW#'!$A:$Z,13,FALSE)+VLOOKUP($A336,A:AL,19,FALSE)-50)</f>
        <v>-</v>
      </c>
      <c r="S336" s="3" t="s">
        <v>23</v>
      </c>
      <c r="T336" s="100" t="str">
        <f>IF(ISERROR(VLOOKUP($A336,'SegEnds_NonXtal_BW#'!$A:$Z,14,FALSE)+VLOOKUP($A336,A:AL,19,FALSE)-50),"-",(VLOOKUP($A336,'SegEnds_NonXtal_BW#'!$A:$Z,14,FALSE)+VLOOKUP($A336,A:AL,19,FALSE)-50))</f>
        <v>-</v>
      </c>
      <c r="U336" s="9">
        <f>IF(ISERROR(VLOOKUP($A336,'SegEnds_NonXtal_BW#'!$A:$Z,15,FALSE)+VLOOKUP($A336,A:AL,22,FALSE)-50),"-",VLOOKUP($A336,'SegEnds_NonXtal_BW#'!$A:$Z,15,FALSE)+VLOOKUP($A336,A:AL,22,FALSE)-50)</f>
        <v>969</v>
      </c>
      <c r="V336" s="3">
        <v>979</v>
      </c>
      <c r="W336" s="3">
        <f>IF(ISERROR(VLOOKUP($A336,'SegEnds_NonXtal_BW#'!$A:$Z,16,FALSE)+VLOOKUP($A336,A:AL,22,FALSE)-50),"-",(VLOOKUP($A336,'SegEnds_NonXtal_BW#'!$A:$Z,16,FALSE)+VLOOKUP($A336,A:AL,22,FALSE)-50))</f>
        <v>997</v>
      </c>
      <c r="X336" s="3">
        <f>IF(ISERROR(VLOOKUP($A336,'SegEnds_NonXtal_BW#'!$A:$Z,17,FALSE)+VLOOKUP($A336,A:AL,25,FALSE)-50),"-",(VLOOKUP($A336,'SegEnds_NonXtal_BW#'!$A:$Z,17,FALSE)+VLOOKUP($A336,A:AL,25,FALSE)-50))</f>
        <v>1013</v>
      </c>
      <c r="Y336" s="3">
        <v>1013</v>
      </c>
      <c r="Z336" s="3">
        <f t="shared" si="179"/>
        <v>1015</v>
      </c>
      <c r="AA336" s="3">
        <f>IF(ISERROR(VLOOKUP($A336,'SegEnds_NonXtal_BW#'!$A:$Z,19,FALSE)+VLOOKUP($A336,A:AL,28,FALSE)-50),"-",(VLOOKUP($A336,'SegEnds_NonXtal_BW#'!$A:$Z,19,FALSE)+VLOOKUP($A336,A:AL,28,FALSE)-50))</f>
        <v>1018</v>
      </c>
      <c r="AB336" s="3">
        <v>1032</v>
      </c>
      <c r="AC336" s="3">
        <f>IF(ISERROR((VLOOKUP($A336,'SegEnds_NonXtal_BW#'!$A:$Z,20,FALSE)+VLOOKUP($A336,A:AL,28,FALSE)-50)),"-",(VLOOKUP($A336,'SegEnds_NonXtal_BW#'!$A:$Z,20,FALSE)+VLOOKUP($A336,A:AL,28,FALSE)-50))</f>
        <v>1051</v>
      </c>
      <c r="AD336" s="3">
        <f>IF(ISERROR(VLOOKUP($A336,'SegEnds_NonXtal_BW#'!$A:$Z,21,FALSE)+VLOOKUP($A336,A:AL,31,FALSE)-50),"-",(VLOOKUP($A336,'SegEnds_NonXtal_BW#'!$A:$Z,21,FALSE)+VLOOKUP($A336,A:AL,31,FALSE)-50))</f>
        <v>1062</v>
      </c>
      <c r="AE336" s="3">
        <v>1083</v>
      </c>
      <c r="AF336" s="3">
        <f>IF(ISERROR((VLOOKUP($A336,'SegEnds_NonXtal_BW#'!$A:$Z,22,FALSE)+VLOOKUP($A336,A:AL,31,FALSE)-50)),"-",(VLOOKUP($A336,'SegEnds_NonXtal_BW#'!$A:$Z,22,FALSE)+VLOOKUP($A336,A:AL,31,FALSE)-50))</f>
        <v>1086</v>
      </c>
      <c r="AG336" s="3">
        <f>IF(ISERROR(VLOOKUP($A336,'SegEnds_NonXtal_BW#'!$A:$Z,23,FALSE)+VLOOKUP($A336,A:AL,34,FALSE)-50),"-",(VLOOKUP($A336,'SegEnds_NonXtal_BW#'!$A:$Z,23,FALSE)+VLOOKUP($A336,A:AL,34,FALSE)-50))</f>
        <v>1092</v>
      </c>
      <c r="AH336" s="3">
        <v>1111</v>
      </c>
      <c r="AI336" s="3">
        <f>IF(ISERROR((VLOOKUP($A336,'SegEnds_NonXtal_BW#'!$A:$Z,24,FALSE)+VLOOKUP($A336,A:AL,34,FALSE)-50)),"-",(VLOOKUP($A336,'SegEnds_NonXtal_BW#'!$A:$Z,24,FALSE)+VLOOKUP($A336,A:AL,34,FALSE)-50))</f>
        <v>1117</v>
      </c>
      <c r="AJ336" s="3">
        <f>IF(ISERROR(VLOOKUP($A336,'SegEnds_NonXtal_BW#'!$A:$Z,25,FALSE)+VLOOKUP($A336,A:AL,37,FALSE)-50),"-",(VLOOKUP($A336,'SegEnds_NonXtal_BW#'!$A:$Z,25,FALSE)+VLOOKUP($A336,A:AL,37,FALSE)-50))</f>
        <v>1118</v>
      </c>
      <c r="AK336" s="3">
        <v>1121</v>
      </c>
      <c r="AL336" s="3">
        <f>IF(ISERROR((VLOOKUP($A336,'SegEnds_NonXtal_BW#'!$A:$Z,26,FALSE)+VLOOKUP($A336,A:AL,37,FALSE)-50)),"-",(VLOOKUP($A336,'SegEnds_NonXtal_BW#'!$A:$Z,26,FALSE)+VLOOKUP($A336,A:AL,37,FALSE)-50))</f>
        <v>1134</v>
      </c>
      <c r="AM336" s="28" t="str">
        <f>VLOOKUP(A336,Classification!A:B,2,FALSE)</f>
        <v>B2</v>
      </c>
      <c r="AN336" s="28" t="b">
        <f t="shared" si="195"/>
        <v>1</v>
      </c>
      <c r="AO336" s="3" t="str">
        <f>IF(ISERROR(MATCH(A336,'SegEnds_Xtal_Prot#'!B:B, 0)), "NoXtal", "Xtal")</f>
        <v>NoXtal</v>
      </c>
      <c r="AP336" s="3">
        <f t="shared" si="180"/>
        <v>1</v>
      </c>
      <c r="AQ336" s="3">
        <f t="shared" si="181"/>
        <v>1</v>
      </c>
      <c r="AR336" s="3" t="str">
        <f t="shared" si="182"/>
        <v>-</v>
      </c>
      <c r="AS336" s="3" t="str">
        <f t="shared" si="183"/>
        <v>-</v>
      </c>
      <c r="AT336" s="3" t="str">
        <f t="shared" si="184"/>
        <v>-</v>
      </c>
      <c r="AU336" s="3" t="str">
        <f t="shared" si="185"/>
        <v>-</v>
      </c>
      <c r="AV336" s="3">
        <f t="shared" si="186"/>
        <v>16</v>
      </c>
      <c r="AW336" s="3">
        <f t="shared" si="187"/>
        <v>3</v>
      </c>
      <c r="AX336" s="3">
        <f t="shared" si="188"/>
        <v>11</v>
      </c>
      <c r="AY336" s="3">
        <f t="shared" si="189"/>
        <v>6</v>
      </c>
      <c r="AZ336" s="3">
        <f t="shared" si="190"/>
        <v>1</v>
      </c>
      <c r="BA336" s="3">
        <f>IF(ISERROR(LEN(VLOOKUP(A336,Seqs!A:E,2,FALSE))-AL336),"-",LEN(VLOOKUP(A336,Seqs!A:E,2,FALSE))-AL336)</f>
        <v>87</v>
      </c>
      <c r="BB336" s="16">
        <f t="shared" si="191"/>
        <v>29</v>
      </c>
      <c r="BC336" s="9" t="str">
        <f t="shared" si="192"/>
        <v>-</v>
      </c>
      <c r="BD336" s="3">
        <f t="shared" si="193"/>
        <v>29</v>
      </c>
      <c r="BE336" s="3">
        <f t="shared" si="194"/>
        <v>51</v>
      </c>
    </row>
    <row r="337" spans="1:58" s="3" customFormat="1" x14ac:dyDescent="0.2">
      <c r="A337" s="3" t="s">
        <v>1198</v>
      </c>
      <c r="B337" s="3" t="str">
        <f>LOWER(VLOOKUP(A337,Xtal_Templ!A:B,2,FALSE))</f>
        <v>pth1r_human</v>
      </c>
      <c r="C337" s="3">
        <f>VLOOKUP($A337,'SegEnds_NonXtal_BW#'!$A:$Z,3,FALSE)+D337-50</f>
        <v>422</v>
      </c>
      <c r="D337" s="3">
        <v>449</v>
      </c>
      <c r="E337" s="3">
        <f>IF(ISERROR(VLOOKUP($A337,'SegEnds_NonXtal_BW#'!$A:$Z,4,FALSE)+VLOOKUP($A337,A:AL,4,FALSE)-50),"-",(VLOOKUP($A337,'SegEnds_NonXtal_BW#'!$A:$Z,4,FALSE)+VLOOKUP($A337,A:AL,4,FALSE)-50))</f>
        <v>459</v>
      </c>
      <c r="F337" s="3" t="s">
        <v>23</v>
      </c>
      <c r="G337" s="3" t="s">
        <v>23</v>
      </c>
      <c r="H337" s="3" t="s">
        <v>23</v>
      </c>
      <c r="I337" s="3">
        <f>VLOOKUP($A337,'SegEnds_NonXtal_BW#'!$A:$Z,7,FALSE)+J337-50</f>
        <v>465</v>
      </c>
      <c r="J337" s="3">
        <v>478</v>
      </c>
      <c r="K337" s="3">
        <f>VLOOKUP($A337,'SegEnds_NonXtal_BW#'!$A:$Z,8,FALSE)+VLOOKUP($A337,A:AL,10,FALSE)-50</f>
        <v>493</v>
      </c>
      <c r="L337" s="3" t="str">
        <f>IF(ISERROR(VLOOKUP($A337,'SegEnds_NonXtal_BW#'!$A:$Z,9,FALSE)+VLOOKUP($A337,A:AL,13,FALSE)-50),"-",(VLOOKUP($A337,'SegEnds_NonXtal_BW#'!$A:$Z,9,FALSE)+VLOOKUP($A337,A:AL,13,FALSE)-50))</f>
        <v>-</v>
      </c>
      <c r="M337" s="3" t="s">
        <v>23</v>
      </c>
      <c r="N337" s="3" t="str">
        <f>IF(ISERROR(VLOOKUP($A337,'SegEnds_NonXtal_BW#'!$A:$Z,10,FALSE)+VLOOKUP($A337,A:AL,13,FALSE)-50),"-",(VLOOKUP($A337,'SegEnds_NonXtal_BW#'!$A:$Z,10,FALSE)+VLOOKUP($A337,A:AL,13,FALSE)-50))</f>
        <v>-</v>
      </c>
      <c r="O337" s="3">
        <f>VLOOKUP($A337,'SegEnds_NonXtal_BW#'!$A:$Z,11,FALSE)+VLOOKUP($A337,A:AL,16,FALSE)-50</f>
        <v>519</v>
      </c>
      <c r="P337" s="3">
        <v>551</v>
      </c>
      <c r="Q337" s="3">
        <f>VLOOKUP($A337,'SegEnds_NonXtal_BW#'!$A:$Z,12,FALSE)+VLOOKUP($A337,A:AL,16,FALSE)-50</f>
        <v>557</v>
      </c>
      <c r="R337" s="3" t="str">
        <f>IF(ISERROR(VLOOKUP($A337,'SegEnds_NonXtal_BW#'!$A:$Z,13,FALSE)+VLOOKUP($A337,A:AL,19,FALSE)-50),"-",VLOOKUP($A337,'SegEnds_NonXtal_BW#'!$A:$Z,13,FALSE)+VLOOKUP($A337,A:AL,19,FALSE)-50)</f>
        <v>-</v>
      </c>
      <c r="S337" s="3" t="s">
        <v>23</v>
      </c>
      <c r="T337" s="100" t="str">
        <f>IF(ISERROR(VLOOKUP($A337,'SegEnds_NonXtal_BW#'!$A:$Z,14,FALSE)+VLOOKUP($A337,A:AL,19,FALSE)-50),"-",(VLOOKUP($A337,'SegEnds_NonXtal_BW#'!$A:$Z,14,FALSE)+VLOOKUP($A337,A:AL,19,FALSE)-50))</f>
        <v>-</v>
      </c>
      <c r="U337" s="9">
        <f>IF(ISERROR(VLOOKUP($A337,'SegEnds_NonXtal_BW#'!$A:$Z,15,FALSE)+VLOOKUP($A337,A:AL,22,FALSE)-50),"-",VLOOKUP($A337,'SegEnds_NonXtal_BW#'!$A:$Z,15,FALSE)+VLOOKUP($A337,A:AL,22,FALSE)-50)</f>
        <v>562</v>
      </c>
      <c r="V337" s="3">
        <v>575</v>
      </c>
      <c r="W337" s="3">
        <f>IF(ISERROR(VLOOKUP($A337,'SegEnds_NonXtal_BW#'!$A:$Z,16,FALSE)+VLOOKUP($A337,A:AL,22,FALSE)-50),"-",(VLOOKUP($A337,'SegEnds_NonXtal_BW#'!$A:$Z,16,FALSE)+VLOOKUP($A337,A:AL,22,FALSE)-50))</f>
        <v>593</v>
      </c>
      <c r="X337" s="3">
        <f>IF(ISERROR(VLOOKUP($A337,'SegEnds_NonXtal_BW#'!$A:$Z,17,FALSE)+VLOOKUP($A337,A:AL,25,FALSE)-50),"-",(VLOOKUP($A337,'SegEnds_NonXtal_BW#'!$A:$Z,17,FALSE)+VLOOKUP($A337,A:AL,25,FALSE)-50))</f>
        <v>609</v>
      </c>
      <c r="Y337" s="3">
        <v>609</v>
      </c>
      <c r="Z337" s="3">
        <f t="shared" si="179"/>
        <v>611</v>
      </c>
      <c r="AA337" s="3">
        <f>IF(ISERROR(VLOOKUP($A337,'SegEnds_NonXtal_BW#'!$A:$Z,19,FALSE)+VLOOKUP($A337,A:AL,28,FALSE)-50),"-",(VLOOKUP($A337,'SegEnds_NonXtal_BW#'!$A:$Z,19,FALSE)+VLOOKUP($A337,A:AL,28,FALSE)-50))</f>
        <v>621</v>
      </c>
      <c r="AB337" s="3">
        <v>635</v>
      </c>
      <c r="AC337" s="3">
        <f>IF(ISERROR((VLOOKUP($A337,'SegEnds_NonXtal_BW#'!$A:$Z,20,FALSE)+VLOOKUP($A337,A:AL,28,FALSE)-50)),"-",(VLOOKUP($A337,'SegEnds_NonXtal_BW#'!$A:$Z,20,FALSE)+VLOOKUP($A337,A:AL,28,FALSE)-50))</f>
        <v>654</v>
      </c>
      <c r="AD337" s="3">
        <f>IF(ISERROR(VLOOKUP($A337,'SegEnds_NonXtal_BW#'!$A:$Z,21,FALSE)+VLOOKUP($A337,A:AL,31,FALSE)-50),"-",(VLOOKUP($A337,'SegEnds_NonXtal_BW#'!$A:$Z,21,FALSE)+VLOOKUP($A337,A:AL,31,FALSE)-50))</f>
        <v>665</v>
      </c>
      <c r="AE337" s="3">
        <v>686</v>
      </c>
      <c r="AF337" s="3">
        <f>IF(ISERROR((VLOOKUP($A337,'SegEnds_NonXtal_BW#'!$A:$Z,22,FALSE)+VLOOKUP($A337,A:AL,31,FALSE)-50)),"-",(VLOOKUP($A337,'SegEnds_NonXtal_BW#'!$A:$Z,22,FALSE)+VLOOKUP($A337,A:AL,31,FALSE)-50))</f>
        <v>690</v>
      </c>
      <c r="AG337" s="3">
        <f>IF(ISERROR(VLOOKUP($A337,'SegEnds_NonXtal_BW#'!$A:$Z,23,FALSE)+VLOOKUP($A337,A:AL,34,FALSE)-50),"-",(VLOOKUP($A337,'SegEnds_NonXtal_BW#'!$A:$Z,23,FALSE)+VLOOKUP($A337,A:AL,34,FALSE)-50))</f>
        <v>696</v>
      </c>
      <c r="AH337" s="3">
        <v>717</v>
      </c>
      <c r="AI337" s="3">
        <f>IF(ISERROR((VLOOKUP($A337,'SegEnds_NonXtal_BW#'!$A:$Z,24,FALSE)+VLOOKUP($A337,A:AL,34,FALSE)-50)),"-",(VLOOKUP($A337,'SegEnds_NonXtal_BW#'!$A:$Z,24,FALSE)+VLOOKUP($A337,A:AL,34,FALSE)-50))</f>
        <v>723</v>
      </c>
      <c r="AJ337" s="3">
        <f>IF(ISERROR(VLOOKUP($A337,'SegEnds_NonXtal_BW#'!$A:$Z,25,FALSE)+VLOOKUP($A337,A:AL,37,FALSE)-50),"-",(VLOOKUP($A337,'SegEnds_NonXtal_BW#'!$A:$Z,25,FALSE)+VLOOKUP($A337,A:AL,37,FALSE)-50))</f>
        <v>724</v>
      </c>
      <c r="AK337" s="3">
        <v>727</v>
      </c>
      <c r="AL337" s="3">
        <f>IF(ISERROR((VLOOKUP($A337,'SegEnds_NonXtal_BW#'!$A:$Z,26,FALSE)+VLOOKUP($A337,A:AL,37,FALSE)-50)),"-",(VLOOKUP($A337,'SegEnds_NonXtal_BW#'!$A:$Z,26,FALSE)+VLOOKUP($A337,A:AL,37,FALSE)-50))</f>
        <v>740</v>
      </c>
      <c r="AM337" s="28" t="str">
        <f>VLOOKUP(A337,Classification!A:B,2,FALSE)</f>
        <v>B2</v>
      </c>
      <c r="AN337" s="28" t="b">
        <f t="shared" si="195"/>
        <v>1</v>
      </c>
      <c r="AO337" s="3" t="str">
        <f>IF(ISERROR(MATCH(A337,'SegEnds_Xtal_Prot#'!B:B, 0)), "NoXtal", "Xtal")</f>
        <v>NoXtal</v>
      </c>
      <c r="AP337" s="3" t="str">
        <f t="shared" si="180"/>
        <v>-</v>
      </c>
      <c r="AQ337" s="3" t="str">
        <f t="shared" si="181"/>
        <v>-</v>
      </c>
      <c r="AR337" s="3" t="str">
        <f t="shared" si="182"/>
        <v>-</v>
      </c>
      <c r="AS337" s="3" t="str">
        <f t="shared" si="183"/>
        <v>-</v>
      </c>
      <c r="AT337" s="3" t="str">
        <f t="shared" si="184"/>
        <v>-</v>
      </c>
      <c r="AU337" s="3" t="str">
        <f t="shared" si="185"/>
        <v>-</v>
      </c>
      <c r="AV337" s="3">
        <f t="shared" si="186"/>
        <v>16</v>
      </c>
      <c r="AW337" s="3">
        <f t="shared" si="187"/>
        <v>10</v>
      </c>
      <c r="AX337" s="3">
        <f t="shared" si="188"/>
        <v>11</v>
      </c>
      <c r="AY337" s="3">
        <f t="shared" si="189"/>
        <v>6</v>
      </c>
      <c r="AZ337" s="3">
        <f t="shared" si="190"/>
        <v>1</v>
      </c>
      <c r="BA337" s="3">
        <f>IF(ISERROR(LEN(VLOOKUP(A337,Seqs!A:E,2,FALSE))-AL337),"-",LEN(VLOOKUP(A337,Seqs!A:E,2,FALSE))-AL337)</f>
        <v>57</v>
      </c>
      <c r="BB337" s="16">
        <f t="shared" si="191"/>
        <v>29</v>
      </c>
      <c r="BC337" s="9" t="str">
        <f t="shared" si="192"/>
        <v>-</v>
      </c>
      <c r="BD337" s="3">
        <f t="shared" si="193"/>
        <v>29</v>
      </c>
      <c r="BE337" s="3">
        <f t="shared" si="194"/>
        <v>51</v>
      </c>
    </row>
    <row r="338" spans="1:58" s="3" customFormat="1" x14ac:dyDescent="0.2">
      <c r="A338" s="3" t="s">
        <v>1199</v>
      </c>
      <c r="B338" s="3" t="str">
        <f>LOWER(VLOOKUP(A338,Xtal_Templ!A:B,2,FALSE))</f>
        <v>calcr_human</v>
      </c>
      <c r="C338" s="3">
        <f>VLOOKUP($A338,'SegEnds_NonXtal_BW#'!$A:$Z,3,FALSE)+D338-50</f>
        <v>848</v>
      </c>
      <c r="D338" s="3">
        <v>875</v>
      </c>
      <c r="E338" s="3">
        <f>IF(ISERROR(VLOOKUP($A338,'SegEnds_NonXtal_BW#'!$A:$Z,4,FALSE)+VLOOKUP($A338,A:AL,4,FALSE)-50),"-",(VLOOKUP($A338,'SegEnds_NonXtal_BW#'!$A:$Z,4,FALSE)+VLOOKUP($A338,A:AL,4,FALSE)-50))</f>
        <v>885</v>
      </c>
      <c r="F338" s="3">
        <f>G338-2</f>
        <v>886</v>
      </c>
      <c r="G338" s="3">
        <v>888</v>
      </c>
      <c r="H338" s="3">
        <f>G338+1</f>
        <v>889</v>
      </c>
      <c r="I338" s="3">
        <f>H338+1</f>
        <v>890</v>
      </c>
      <c r="J338" s="3">
        <v>903</v>
      </c>
      <c r="K338" s="3">
        <f>VLOOKUP($A338,'SegEnds_NonXtal_BW#'!$A:$Z,8,FALSE)+VLOOKUP($A338,A:AL,10,FALSE)-50</f>
        <v>916</v>
      </c>
      <c r="L338" s="3" t="str">
        <f>IF(ISERROR(VLOOKUP($A338,'SegEnds_NonXtal_BW#'!$A:$Z,9,FALSE)+VLOOKUP($A338,A:AL,13,FALSE)-50),"-",(VLOOKUP($A338,'SegEnds_NonXtal_BW#'!$A:$Z,9,FALSE)+VLOOKUP($A338,A:AL,13,FALSE)-50))</f>
        <v>-</v>
      </c>
      <c r="M338" s="3" t="s">
        <v>23</v>
      </c>
      <c r="N338" s="3" t="str">
        <f>IF(ISERROR(VLOOKUP($A338,'SegEnds_NonXtal_BW#'!$A:$Z,10,FALSE)+VLOOKUP($A338,A:AL,13,FALSE)-50),"-",(VLOOKUP($A338,'SegEnds_NonXtal_BW#'!$A:$Z,10,FALSE)+VLOOKUP($A338,A:AL,13,FALSE)-50))</f>
        <v>-</v>
      </c>
      <c r="O338" s="3">
        <f>VLOOKUP($A338,'SegEnds_NonXtal_BW#'!$A:$Z,11,FALSE)+VLOOKUP($A338,A:AL,16,FALSE)-50</f>
        <v>921</v>
      </c>
      <c r="P338" s="3">
        <v>948</v>
      </c>
      <c r="Q338" s="3">
        <f>VLOOKUP($A338,'SegEnds_NonXtal_BW#'!$A:$Z,12,FALSE)+VLOOKUP($A338,A:AL,16,FALSE)-50</f>
        <v>954</v>
      </c>
      <c r="R338" s="3" t="str">
        <f>IF(ISERROR(VLOOKUP($A338,'SegEnds_NonXtal_BW#'!$A:$Z,13,FALSE)+VLOOKUP($A338,A:AL,19,FALSE)-50),"-",VLOOKUP($A338,'SegEnds_NonXtal_BW#'!$A:$Z,13,FALSE)+VLOOKUP($A338,A:AL,19,FALSE)-50)</f>
        <v>-</v>
      </c>
      <c r="S338" s="3" t="s">
        <v>23</v>
      </c>
      <c r="T338" s="100" t="str">
        <f>IF(ISERROR(VLOOKUP($A338,'SegEnds_NonXtal_BW#'!$A:$Z,14,FALSE)+VLOOKUP($A338,A:AL,19,FALSE)-50),"-",(VLOOKUP($A338,'SegEnds_NonXtal_BW#'!$A:$Z,14,FALSE)+VLOOKUP($A338,A:AL,19,FALSE)-50))</f>
        <v>-</v>
      </c>
      <c r="U338" s="9">
        <f>IF(ISERROR(VLOOKUP($A338,'SegEnds_NonXtal_BW#'!$A:$Z,15,FALSE)+VLOOKUP($A338,A:AL,22,FALSE)-50),"-",VLOOKUP($A338,'SegEnds_NonXtal_BW#'!$A:$Z,15,FALSE)+VLOOKUP($A338,A:AL,22,FALSE)-50)</f>
        <v>962</v>
      </c>
      <c r="V338" s="3">
        <v>971</v>
      </c>
      <c r="W338" s="3">
        <f>IF(ISERROR(VLOOKUP($A338,'SegEnds_NonXtal_BW#'!$A:$Z,16,FALSE)+VLOOKUP($A338,A:AL,22,FALSE)-50),"-",(VLOOKUP($A338,'SegEnds_NonXtal_BW#'!$A:$Z,16,FALSE)+VLOOKUP($A338,A:AL,22,FALSE)-50))</f>
        <v>989</v>
      </c>
      <c r="X338" s="3">
        <f>IF(ISERROR(VLOOKUP($A338,'SegEnds_NonXtal_BW#'!$A:$Z,17,FALSE)+VLOOKUP($A338,A:AL,25,FALSE)-50),"-",(VLOOKUP($A338,'SegEnds_NonXtal_BW#'!$A:$Z,17,FALSE)+VLOOKUP($A338,A:AL,25,FALSE)-50))</f>
        <v>995</v>
      </c>
      <c r="Y338" s="3">
        <v>995</v>
      </c>
      <c r="Z338" s="3">
        <f t="shared" si="179"/>
        <v>997</v>
      </c>
      <c r="AA338" s="3">
        <f>IF(ISERROR(VLOOKUP($A338,'SegEnds_NonXtal_BW#'!$A:$Z,19,FALSE)+VLOOKUP($A338,A:AL,28,FALSE)-50),"-",(VLOOKUP($A338,'SegEnds_NonXtal_BW#'!$A:$Z,19,FALSE)+VLOOKUP($A338,A:AL,28,FALSE)-50))</f>
        <v>1000</v>
      </c>
      <c r="AB338" s="3">
        <v>1014</v>
      </c>
      <c r="AC338" s="3">
        <f>IF(ISERROR((VLOOKUP($A338,'SegEnds_NonXtal_BW#'!$A:$Z,20,FALSE)+VLOOKUP($A338,A:AL,28,FALSE)-50)),"-",(VLOOKUP($A338,'SegEnds_NonXtal_BW#'!$A:$Z,20,FALSE)+VLOOKUP($A338,A:AL,28,FALSE)-50))</f>
        <v>1033</v>
      </c>
      <c r="AD338" s="3">
        <f>IF(ISERROR(VLOOKUP($A338,'SegEnds_NonXtal_BW#'!$A:$Z,21,FALSE)+VLOOKUP($A338,A:AL,31,FALSE)-50),"-",(VLOOKUP($A338,'SegEnds_NonXtal_BW#'!$A:$Z,21,FALSE)+VLOOKUP($A338,A:AL,31,FALSE)-50))</f>
        <v>1045</v>
      </c>
      <c r="AE338" s="3">
        <v>1066</v>
      </c>
      <c r="AF338" s="3">
        <f>IF(ISERROR((VLOOKUP($A338,'SegEnds_NonXtal_BW#'!$A:$Z,22,FALSE)+VLOOKUP($A338,A:AL,31,FALSE)-50)),"-",(VLOOKUP($A338,'SegEnds_NonXtal_BW#'!$A:$Z,22,FALSE)+VLOOKUP($A338,A:AL,31,FALSE)-50))</f>
        <v>1069</v>
      </c>
      <c r="AG338" s="3">
        <f>IF(ISERROR(VLOOKUP($A338,'SegEnds_NonXtal_BW#'!$A:$Z,23,FALSE)+VLOOKUP($A338,A:AL,34,FALSE)-50),"-",(VLOOKUP($A338,'SegEnds_NonXtal_BW#'!$A:$Z,23,FALSE)+VLOOKUP($A338,A:AL,34,FALSE)-50))</f>
        <v>1075</v>
      </c>
      <c r="AH338" s="3">
        <v>1094</v>
      </c>
      <c r="AI338" s="3">
        <f>IF(ISERROR((VLOOKUP($A338,'SegEnds_NonXtal_BW#'!$A:$Z,24,FALSE)+VLOOKUP($A338,A:AL,34,FALSE)-50)),"-",(VLOOKUP($A338,'SegEnds_NonXtal_BW#'!$A:$Z,24,FALSE)+VLOOKUP($A338,A:AL,34,FALSE)-50))</f>
        <v>1100</v>
      </c>
      <c r="AJ338" s="3">
        <f>IF(ISERROR(VLOOKUP($A338,'SegEnds_NonXtal_BW#'!$A:$Z,25,FALSE)+VLOOKUP($A338,A:AL,37,FALSE)-50),"-",(VLOOKUP($A338,'SegEnds_NonXtal_BW#'!$A:$Z,25,FALSE)+VLOOKUP($A338,A:AL,37,FALSE)-50))</f>
        <v>1101</v>
      </c>
      <c r="AK338" s="3">
        <v>1104</v>
      </c>
      <c r="AL338" s="3">
        <f>IF(ISERROR((VLOOKUP($A338,'SegEnds_NonXtal_BW#'!$A:$Z,26,FALSE)+VLOOKUP($A338,A:AL,37,FALSE)-50)),"-",(VLOOKUP($A338,'SegEnds_NonXtal_BW#'!$A:$Z,26,FALSE)+VLOOKUP($A338,A:AL,37,FALSE)-50))</f>
        <v>1117</v>
      </c>
      <c r="AM338" s="28" t="str">
        <f>VLOOKUP(A338,Classification!A:B,2,FALSE)</f>
        <v>B2</v>
      </c>
      <c r="AN338" s="28" t="b">
        <f t="shared" si="195"/>
        <v>1</v>
      </c>
      <c r="AO338" s="3" t="str">
        <f>IF(ISERROR(MATCH(A338,'SegEnds_Xtal_Prot#'!B:B, 0)), "NoXtal", "Xtal")</f>
        <v>NoXtal</v>
      </c>
      <c r="AP338" s="3">
        <f t="shared" si="180"/>
        <v>1</v>
      </c>
      <c r="AQ338" s="3">
        <f t="shared" si="181"/>
        <v>1</v>
      </c>
      <c r="AR338" s="3" t="str">
        <f t="shared" si="182"/>
        <v>-</v>
      </c>
      <c r="AS338" s="3" t="str">
        <f t="shared" si="183"/>
        <v>-</v>
      </c>
      <c r="AT338" s="3" t="str">
        <f t="shared" si="184"/>
        <v>-</v>
      </c>
      <c r="AU338" s="3" t="str">
        <f t="shared" si="185"/>
        <v>-</v>
      </c>
      <c r="AV338" s="3">
        <f t="shared" si="186"/>
        <v>6</v>
      </c>
      <c r="AW338" s="3">
        <f t="shared" si="187"/>
        <v>3</v>
      </c>
      <c r="AX338" s="3">
        <f t="shared" si="188"/>
        <v>12</v>
      </c>
      <c r="AY338" s="3">
        <f t="shared" si="189"/>
        <v>6</v>
      </c>
      <c r="AZ338" s="3">
        <f t="shared" si="190"/>
        <v>1</v>
      </c>
      <c r="BA338" s="3">
        <f>IF(ISERROR(LEN(VLOOKUP(A338,Seqs!A:E,2,FALSE))-AL338),"-",LEN(VLOOKUP(A338,Seqs!A:E,2,FALSE))-AL338)</f>
        <v>357</v>
      </c>
      <c r="BB338" s="16">
        <f t="shared" si="191"/>
        <v>28</v>
      </c>
      <c r="BC338" s="9" t="str">
        <f t="shared" si="192"/>
        <v>-</v>
      </c>
      <c r="BD338" s="3">
        <f t="shared" si="193"/>
        <v>28</v>
      </c>
      <c r="BE338" s="3">
        <f t="shared" si="194"/>
        <v>52</v>
      </c>
    </row>
    <row r="339" spans="1:58" s="3" customFormat="1" x14ac:dyDescent="0.2">
      <c r="A339" s="3" t="s">
        <v>1200</v>
      </c>
      <c r="B339" s="3" t="str">
        <f>LOWER(VLOOKUP(A339,Xtal_Templ!A:B,2,FALSE))</f>
        <v>calcr_human</v>
      </c>
      <c r="C339" s="3">
        <f>VLOOKUP($A339,'SegEnds_NonXtal_BW#'!$A:$Z,3,FALSE)+D339-50</f>
        <v>835</v>
      </c>
      <c r="D339" s="3">
        <v>862</v>
      </c>
      <c r="E339" s="3">
        <f>IF(ISERROR(VLOOKUP($A339,'SegEnds_NonXtal_BW#'!$A:$Z,4,FALSE)+VLOOKUP($A339,A:AL,4,FALSE)-50),"-",(VLOOKUP($A339,'SegEnds_NonXtal_BW#'!$A:$Z,4,FALSE)+VLOOKUP($A339,A:AL,4,FALSE)-50))</f>
        <v>872</v>
      </c>
      <c r="F339" s="3" t="s">
        <v>23</v>
      </c>
      <c r="G339" s="3" t="s">
        <v>23</v>
      </c>
      <c r="H339" s="3" t="s">
        <v>23</v>
      </c>
      <c r="I339" s="3">
        <f>VLOOKUP($A339,'SegEnds_NonXtal_BW#'!$A:$Z,7,FALSE)+J339-50</f>
        <v>877</v>
      </c>
      <c r="J339" s="3">
        <v>890</v>
      </c>
      <c r="K339" s="3">
        <f>VLOOKUP($A339,'SegEnds_NonXtal_BW#'!$A:$Z,8,FALSE)+VLOOKUP($A339,A:AL,10,FALSE)-50</f>
        <v>903</v>
      </c>
      <c r="L339" s="3" t="str">
        <f>IF(ISERROR(VLOOKUP($A339,'SegEnds_NonXtal_BW#'!$A:$Z,9,FALSE)+VLOOKUP($A339,A:AL,13,FALSE)-50),"-",(VLOOKUP($A339,'SegEnds_NonXtal_BW#'!$A:$Z,9,FALSE)+VLOOKUP($A339,A:AL,13,FALSE)-50))</f>
        <v>-</v>
      </c>
      <c r="M339" s="3" t="s">
        <v>23</v>
      </c>
      <c r="N339" s="3" t="str">
        <f>IF(ISERROR(VLOOKUP($A339,'SegEnds_NonXtal_BW#'!$A:$Z,10,FALSE)+VLOOKUP($A339,A:AL,13,FALSE)-50),"-",(VLOOKUP($A339,'SegEnds_NonXtal_BW#'!$A:$Z,10,FALSE)+VLOOKUP($A339,A:AL,13,FALSE)-50))</f>
        <v>-</v>
      </c>
      <c r="O339" s="3">
        <f>VLOOKUP($A339,'SegEnds_NonXtal_BW#'!$A:$Z,11,FALSE)+VLOOKUP($A339,A:AL,16,FALSE)-50</f>
        <v>908</v>
      </c>
      <c r="P339" s="3">
        <v>935</v>
      </c>
      <c r="Q339" s="3">
        <f>VLOOKUP($A339,'SegEnds_NonXtal_BW#'!$A:$Z,12,FALSE)+VLOOKUP($A339,A:AL,16,FALSE)-50</f>
        <v>941</v>
      </c>
      <c r="R339" s="3" t="str">
        <f>IF(ISERROR(VLOOKUP($A339,'SegEnds_NonXtal_BW#'!$A:$Z,13,FALSE)+VLOOKUP($A339,A:AL,19,FALSE)-50),"-",VLOOKUP($A339,'SegEnds_NonXtal_BW#'!$A:$Z,13,FALSE)+VLOOKUP($A339,A:AL,19,FALSE)-50)</f>
        <v>-</v>
      </c>
      <c r="S339" s="3" t="s">
        <v>23</v>
      </c>
      <c r="T339" s="100" t="str">
        <f>IF(ISERROR(VLOOKUP($A339,'SegEnds_NonXtal_BW#'!$A:$Z,14,FALSE)+VLOOKUP($A339,A:AL,19,FALSE)-50),"-",(VLOOKUP($A339,'SegEnds_NonXtal_BW#'!$A:$Z,14,FALSE)+VLOOKUP($A339,A:AL,19,FALSE)-50))</f>
        <v>-</v>
      </c>
      <c r="U339" s="9">
        <f>IF(ISERROR(VLOOKUP($A339,'SegEnds_NonXtal_BW#'!$A:$Z,15,FALSE)+VLOOKUP($A339,A:AL,22,FALSE)-50),"-",VLOOKUP($A339,'SegEnds_NonXtal_BW#'!$A:$Z,15,FALSE)+VLOOKUP($A339,A:AL,22,FALSE)-50)</f>
        <v>949</v>
      </c>
      <c r="V339" s="3">
        <v>958</v>
      </c>
      <c r="W339" s="3">
        <f>IF(ISERROR(VLOOKUP($A339,'SegEnds_NonXtal_BW#'!$A:$Z,16,FALSE)+VLOOKUP($A339,A:AL,22,FALSE)-50),"-",(VLOOKUP($A339,'SegEnds_NonXtal_BW#'!$A:$Z,16,FALSE)+VLOOKUP($A339,A:AL,22,FALSE)-50))</f>
        <v>976</v>
      </c>
      <c r="X339" s="3">
        <f>IF(ISERROR(VLOOKUP($A339,'SegEnds_NonXtal_BW#'!$A:$Z,17,FALSE)+VLOOKUP($A339,A:AL,25,FALSE)-50),"-",(VLOOKUP($A339,'SegEnds_NonXtal_BW#'!$A:$Z,17,FALSE)+VLOOKUP($A339,A:AL,25,FALSE)-50))</f>
        <v>982</v>
      </c>
      <c r="Y339" s="3">
        <v>982</v>
      </c>
      <c r="Z339" s="3">
        <f t="shared" si="179"/>
        <v>984</v>
      </c>
      <c r="AA339" s="3">
        <f>IF(ISERROR(VLOOKUP($A339,'SegEnds_NonXtal_BW#'!$A:$Z,19,FALSE)+VLOOKUP($A339,A:AL,28,FALSE)-50),"-",(VLOOKUP($A339,'SegEnds_NonXtal_BW#'!$A:$Z,19,FALSE)+VLOOKUP($A339,A:AL,28,FALSE)-50))</f>
        <v>987</v>
      </c>
      <c r="AB339" s="3">
        <v>1001</v>
      </c>
      <c r="AC339" s="3">
        <f>IF(ISERROR((VLOOKUP($A339,'SegEnds_NonXtal_BW#'!$A:$Z,20,FALSE)+VLOOKUP($A339,A:AL,28,FALSE)-50)),"-",(VLOOKUP($A339,'SegEnds_NonXtal_BW#'!$A:$Z,20,FALSE)+VLOOKUP($A339,A:AL,28,FALSE)-50))</f>
        <v>1020</v>
      </c>
      <c r="AD339" s="3">
        <f>IF(ISERROR(VLOOKUP($A339,'SegEnds_NonXtal_BW#'!$A:$Z,21,FALSE)+VLOOKUP($A339,A:AL,31,FALSE)-50),"-",(VLOOKUP($A339,'SegEnds_NonXtal_BW#'!$A:$Z,21,FALSE)+VLOOKUP($A339,A:AL,31,FALSE)-50))</f>
        <v>1032</v>
      </c>
      <c r="AE339" s="3">
        <v>1053</v>
      </c>
      <c r="AF339" s="3">
        <f>IF(ISERROR((VLOOKUP($A339,'SegEnds_NonXtal_BW#'!$A:$Z,22,FALSE)+VLOOKUP($A339,A:AL,31,FALSE)-50)),"-",(VLOOKUP($A339,'SegEnds_NonXtal_BW#'!$A:$Z,22,FALSE)+VLOOKUP($A339,A:AL,31,FALSE)-50))</f>
        <v>1056</v>
      </c>
      <c r="AG339" s="3">
        <f>IF(ISERROR(VLOOKUP($A339,'SegEnds_NonXtal_BW#'!$A:$Z,23,FALSE)+VLOOKUP($A339,A:AL,34,FALSE)-50),"-",(VLOOKUP($A339,'SegEnds_NonXtal_BW#'!$A:$Z,23,FALSE)+VLOOKUP($A339,A:AL,34,FALSE)-50))</f>
        <v>1062</v>
      </c>
      <c r="AH339" s="3">
        <v>1081</v>
      </c>
      <c r="AI339" s="3">
        <f>IF(ISERROR((VLOOKUP($A339,'SegEnds_NonXtal_BW#'!$A:$Z,24,FALSE)+VLOOKUP($A339,A:AL,34,FALSE)-50)),"-",(VLOOKUP($A339,'SegEnds_NonXtal_BW#'!$A:$Z,24,FALSE)+VLOOKUP($A339,A:AL,34,FALSE)-50))</f>
        <v>1087</v>
      </c>
      <c r="AJ339" s="3">
        <f>IF(ISERROR(VLOOKUP($A339,'SegEnds_NonXtal_BW#'!$A:$Z,25,FALSE)+VLOOKUP($A339,A:AL,37,FALSE)-50),"-",(VLOOKUP($A339,'SegEnds_NonXtal_BW#'!$A:$Z,25,FALSE)+VLOOKUP($A339,A:AL,37,FALSE)-50))</f>
        <v>1088</v>
      </c>
      <c r="AK339" s="3">
        <v>1091</v>
      </c>
      <c r="AL339" s="3">
        <f>IF(ISERROR((VLOOKUP($A339,'SegEnds_NonXtal_BW#'!$A:$Z,26,FALSE)+VLOOKUP($A339,A:AL,37,FALSE)-50)),"-",(VLOOKUP($A339,'SegEnds_NonXtal_BW#'!$A:$Z,26,FALSE)+VLOOKUP($A339,A:AL,37,FALSE)-50))</f>
        <v>1104</v>
      </c>
      <c r="AM339" s="28" t="str">
        <f>VLOOKUP(A339,Classification!A:B,2,FALSE)</f>
        <v>B2</v>
      </c>
      <c r="AN339" s="28" t="b">
        <f t="shared" si="195"/>
        <v>1</v>
      </c>
      <c r="AO339" s="3" t="str">
        <f>IF(ISERROR(MATCH(A339,'SegEnds_Xtal_Prot#'!B:B, 0)), "NoXtal", "Xtal")</f>
        <v>NoXtal</v>
      </c>
      <c r="AP339" s="3" t="str">
        <f t="shared" si="180"/>
        <v>-</v>
      </c>
      <c r="AQ339" s="3" t="str">
        <f t="shared" si="181"/>
        <v>-</v>
      </c>
      <c r="AR339" s="3" t="str">
        <f t="shared" si="182"/>
        <v>-</v>
      </c>
      <c r="AS339" s="3" t="str">
        <f t="shared" si="183"/>
        <v>-</v>
      </c>
      <c r="AT339" s="3" t="str">
        <f t="shared" si="184"/>
        <v>-</v>
      </c>
      <c r="AU339" s="3" t="str">
        <f t="shared" si="185"/>
        <v>-</v>
      </c>
      <c r="AV339" s="3">
        <f t="shared" si="186"/>
        <v>6</v>
      </c>
      <c r="AW339" s="3">
        <f t="shared" si="187"/>
        <v>3</v>
      </c>
      <c r="AX339" s="3">
        <f t="shared" si="188"/>
        <v>12</v>
      </c>
      <c r="AY339" s="3">
        <f t="shared" si="189"/>
        <v>6</v>
      </c>
      <c r="AZ339" s="3">
        <f t="shared" si="190"/>
        <v>1</v>
      </c>
      <c r="BA339" s="3">
        <f>IF(ISERROR(LEN(VLOOKUP(A339,Seqs!A:E,2,FALSE))-AL339),"-",LEN(VLOOKUP(A339,Seqs!A:E,2,FALSE))-AL339)</f>
        <v>355</v>
      </c>
      <c r="BB339" s="16">
        <f t="shared" si="191"/>
        <v>28</v>
      </c>
      <c r="BC339" s="9" t="str">
        <f t="shared" si="192"/>
        <v>-</v>
      </c>
      <c r="BD339" s="3">
        <f t="shared" si="193"/>
        <v>28</v>
      </c>
      <c r="BE339" s="3">
        <f t="shared" si="194"/>
        <v>52</v>
      </c>
    </row>
    <row r="340" spans="1:58" s="3" customFormat="1" x14ac:dyDescent="0.2">
      <c r="A340" s="3" t="s">
        <v>1201</v>
      </c>
      <c r="B340" s="3" t="str">
        <f>LOWER(VLOOKUP(A340,Xtal_Templ!A:B,2,FALSE))</f>
        <v>crfr1_human</v>
      </c>
      <c r="C340" s="3">
        <f>VLOOKUP($A340,'SegEnds_NonXtal_BW#'!$A:$Z,3,FALSE)+D340-50</f>
        <v>852</v>
      </c>
      <c r="D340" s="3">
        <v>879</v>
      </c>
      <c r="E340" s="3">
        <f>IF(ISERROR(VLOOKUP($A340,'SegEnds_NonXtal_BW#'!$A:$Z,4,FALSE)+VLOOKUP($A340,A:AL,4,FALSE)-50),"-",(VLOOKUP($A340,'SegEnds_NonXtal_BW#'!$A:$Z,4,FALSE)+VLOOKUP($A340,A:AL,4,FALSE)-50))</f>
        <v>889</v>
      </c>
      <c r="F340" s="3">
        <f>G340-2</f>
        <v>890</v>
      </c>
      <c r="G340" s="3">
        <v>892</v>
      </c>
      <c r="H340" s="3">
        <f>G340+1</f>
        <v>893</v>
      </c>
      <c r="I340" s="3">
        <f>H340+1</f>
        <v>894</v>
      </c>
      <c r="J340" s="3">
        <v>907</v>
      </c>
      <c r="K340" s="3">
        <f>VLOOKUP($A340,'SegEnds_NonXtal_BW#'!$A:$Z,8,FALSE)+VLOOKUP($A340,A:AL,10,FALSE)-50</f>
        <v>920</v>
      </c>
      <c r="L340" s="3" t="str">
        <f>IF(ISERROR(VLOOKUP($A340,'SegEnds_NonXtal_BW#'!$A:$Z,9,FALSE)+VLOOKUP($A340,A:AL,13,FALSE)-50),"-",(VLOOKUP($A340,'SegEnds_NonXtal_BW#'!$A:$Z,9,FALSE)+VLOOKUP($A340,A:AL,13,FALSE)-50))</f>
        <v>-</v>
      </c>
      <c r="M340" s="3" t="s">
        <v>23</v>
      </c>
      <c r="N340" s="3" t="str">
        <f>IF(ISERROR(VLOOKUP($A340,'SegEnds_NonXtal_BW#'!$A:$Z,10,FALSE)+VLOOKUP($A340,A:AL,13,FALSE)-50),"-",(VLOOKUP($A340,'SegEnds_NonXtal_BW#'!$A:$Z,10,FALSE)+VLOOKUP($A340,A:AL,13,FALSE)-50))</f>
        <v>-</v>
      </c>
      <c r="O340" s="3">
        <f>VLOOKUP($A340,'SegEnds_NonXtal_BW#'!$A:$Z,11,FALSE)+VLOOKUP($A340,A:AL,16,FALSE)-50</f>
        <v>925</v>
      </c>
      <c r="P340" s="3">
        <v>952</v>
      </c>
      <c r="Q340" s="3">
        <f>VLOOKUP($A340,'SegEnds_NonXtal_BW#'!$A:$Z,12,FALSE)+VLOOKUP($A340,A:AL,16,FALSE)-50</f>
        <v>958</v>
      </c>
      <c r="R340" s="3" t="str">
        <f>IF(ISERROR(VLOOKUP($A340,'SegEnds_NonXtal_BW#'!$A:$Z,13,FALSE)+VLOOKUP($A340,A:AL,19,FALSE)-50),"-",VLOOKUP($A340,'SegEnds_NonXtal_BW#'!$A:$Z,13,FALSE)+VLOOKUP($A340,A:AL,19,FALSE)-50)</f>
        <v>-</v>
      </c>
      <c r="S340" s="3" t="s">
        <v>23</v>
      </c>
      <c r="T340" s="100" t="str">
        <f>IF(ISERROR(VLOOKUP($A340,'SegEnds_NonXtal_BW#'!$A:$Z,14,FALSE)+VLOOKUP($A340,A:AL,19,FALSE)-50),"-",(VLOOKUP($A340,'SegEnds_NonXtal_BW#'!$A:$Z,14,FALSE)+VLOOKUP($A340,A:AL,19,FALSE)-50))</f>
        <v>-</v>
      </c>
      <c r="U340" s="9">
        <f>IF(ISERROR(VLOOKUP($A340,'SegEnds_NonXtal_BW#'!$A:$Z,15,FALSE)+VLOOKUP($A340,A:AL,22,FALSE)-50),"-",VLOOKUP($A340,'SegEnds_NonXtal_BW#'!$A:$Z,15,FALSE)+VLOOKUP($A340,A:AL,22,FALSE)-50)</f>
        <v>965</v>
      </c>
      <c r="V340" s="3">
        <v>975</v>
      </c>
      <c r="W340" s="3">
        <f>IF(ISERROR(VLOOKUP($A340,'SegEnds_NonXtal_BW#'!$A:$Z,16,FALSE)+VLOOKUP($A340,A:AL,22,FALSE)-50),"-",(VLOOKUP($A340,'SegEnds_NonXtal_BW#'!$A:$Z,16,FALSE)+VLOOKUP($A340,A:AL,22,FALSE)-50))</f>
        <v>993</v>
      </c>
      <c r="X340" s="3">
        <f>IF(ISERROR(VLOOKUP($A340,'SegEnds_NonXtal_BW#'!$A:$Z,17,FALSE)+VLOOKUP($A340,A:AL,25,FALSE)-50),"-",(VLOOKUP($A340,'SegEnds_NonXtal_BW#'!$A:$Z,17,FALSE)+VLOOKUP($A340,A:AL,25,FALSE)-50))</f>
        <v>999</v>
      </c>
      <c r="Y340" s="3">
        <v>999</v>
      </c>
      <c r="Z340" s="3">
        <f t="shared" si="179"/>
        <v>1001</v>
      </c>
      <c r="AA340" s="3">
        <f>IF(ISERROR(VLOOKUP($A340,'SegEnds_NonXtal_BW#'!$A:$Z,19,FALSE)+VLOOKUP($A340,A:AL,28,FALSE)-50),"-",(VLOOKUP($A340,'SegEnds_NonXtal_BW#'!$A:$Z,19,FALSE)+VLOOKUP($A340,A:AL,28,FALSE)-50))</f>
        <v>1004</v>
      </c>
      <c r="AB340" s="3">
        <v>1018</v>
      </c>
      <c r="AC340" s="3">
        <f>IF(ISERROR((VLOOKUP($A340,'SegEnds_NonXtal_BW#'!$A:$Z,20,FALSE)+VLOOKUP($A340,A:AL,28,FALSE)-50)),"-",(VLOOKUP($A340,'SegEnds_NonXtal_BW#'!$A:$Z,20,FALSE)+VLOOKUP($A340,A:AL,28,FALSE)-50))</f>
        <v>1037</v>
      </c>
      <c r="AD340" s="3">
        <f>IF(ISERROR(VLOOKUP($A340,'SegEnds_NonXtal_BW#'!$A:$Z,21,FALSE)+VLOOKUP($A340,A:AL,31,FALSE)-50),"-",(VLOOKUP($A340,'SegEnds_NonXtal_BW#'!$A:$Z,21,FALSE)+VLOOKUP($A340,A:AL,31,FALSE)-50))</f>
        <v>1049</v>
      </c>
      <c r="AE340" s="3">
        <v>1070</v>
      </c>
      <c r="AF340" s="3">
        <f>IF(ISERROR((VLOOKUP($A340,'SegEnds_NonXtal_BW#'!$A:$Z,22,FALSE)+VLOOKUP($A340,A:AL,31,FALSE)-50)),"-",(VLOOKUP($A340,'SegEnds_NonXtal_BW#'!$A:$Z,22,FALSE)+VLOOKUP($A340,A:AL,31,FALSE)-50))</f>
        <v>1073</v>
      </c>
      <c r="AG340" s="3">
        <f>IF(ISERROR(VLOOKUP($A340,'SegEnds_NonXtal_BW#'!$A:$Z,23,FALSE)+VLOOKUP($A340,A:AL,34,FALSE)-50),"-",(VLOOKUP($A340,'SegEnds_NonXtal_BW#'!$A:$Z,23,FALSE)+VLOOKUP($A340,A:AL,34,FALSE)-50))</f>
        <v>1079</v>
      </c>
      <c r="AH340" s="3">
        <v>1098</v>
      </c>
      <c r="AI340" s="3">
        <f>IF(ISERROR((VLOOKUP($A340,'SegEnds_NonXtal_BW#'!$A:$Z,24,FALSE)+VLOOKUP($A340,A:AL,34,FALSE)-50)),"-",(VLOOKUP($A340,'SegEnds_NonXtal_BW#'!$A:$Z,24,FALSE)+VLOOKUP($A340,A:AL,34,FALSE)-50))</f>
        <v>1104</v>
      </c>
      <c r="AJ340" s="3">
        <f>IF(ISERROR(VLOOKUP($A340,'SegEnds_NonXtal_BW#'!$A:$Z,25,FALSE)+VLOOKUP($A340,A:AL,37,FALSE)-50),"-",(VLOOKUP($A340,'SegEnds_NonXtal_BW#'!$A:$Z,25,FALSE)+VLOOKUP($A340,A:AL,37,FALSE)-50))</f>
        <v>1105</v>
      </c>
      <c r="AK340" s="3">
        <v>1108</v>
      </c>
      <c r="AL340" s="3">
        <f>IF(ISERROR((VLOOKUP($A340,'SegEnds_NonXtal_BW#'!$A:$Z,26,FALSE)+VLOOKUP($A340,A:AL,37,FALSE)-50)),"-",(VLOOKUP($A340,'SegEnds_NonXtal_BW#'!$A:$Z,26,FALSE)+VLOOKUP($A340,A:AL,37,FALSE)-50))</f>
        <v>1121</v>
      </c>
      <c r="AM340" s="28" t="str">
        <f>VLOOKUP(A340,Classification!A:B,2,FALSE)</f>
        <v>B2</v>
      </c>
      <c r="AN340" s="28" t="b">
        <f t="shared" si="195"/>
        <v>1</v>
      </c>
      <c r="AO340" s="3" t="str">
        <f>IF(ISERROR(MATCH(A340,'SegEnds_Xtal_Prot#'!B:B, 0)), "NoXtal", "Xtal")</f>
        <v>NoXtal</v>
      </c>
      <c r="AP340" s="3">
        <f t="shared" si="180"/>
        <v>1</v>
      </c>
      <c r="AQ340" s="3">
        <f t="shared" si="181"/>
        <v>1</v>
      </c>
      <c r="AR340" s="3" t="str">
        <f t="shared" si="182"/>
        <v>-</v>
      </c>
      <c r="AS340" s="3" t="str">
        <f t="shared" si="183"/>
        <v>-</v>
      </c>
      <c r="AT340" s="3" t="str">
        <f t="shared" si="184"/>
        <v>-</v>
      </c>
      <c r="AU340" s="3" t="str">
        <f t="shared" si="185"/>
        <v>-</v>
      </c>
      <c r="AV340" s="3">
        <f t="shared" si="186"/>
        <v>6</v>
      </c>
      <c r="AW340" s="3">
        <f t="shared" si="187"/>
        <v>3</v>
      </c>
      <c r="AX340" s="3">
        <f t="shared" si="188"/>
        <v>12</v>
      </c>
      <c r="AY340" s="3">
        <f t="shared" si="189"/>
        <v>6</v>
      </c>
      <c r="AZ340" s="3">
        <f t="shared" si="190"/>
        <v>1</v>
      </c>
      <c r="BA340" s="3">
        <f>IF(ISERROR(LEN(VLOOKUP(A340,Seqs!A:E,2,FALSE))-AL340),"-",LEN(VLOOKUP(A340,Seqs!A:E,2,FALSE))-AL340)</f>
        <v>326</v>
      </c>
      <c r="BB340" s="16">
        <f t="shared" si="191"/>
        <v>28</v>
      </c>
      <c r="BC340" s="9" t="str">
        <f t="shared" si="192"/>
        <v>-</v>
      </c>
      <c r="BD340" s="3">
        <f t="shared" si="193"/>
        <v>28</v>
      </c>
      <c r="BE340" s="3">
        <f t="shared" si="194"/>
        <v>52</v>
      </c>
    </row>
    <row r="341" spans="1:58" s="3" customFormat="1" x14ac:dyDescent="0.2">
      <c r="A341" s="3" t="s">
        <v>1202</v>
      </c>
      <c r="B341" s="3" t="str">
        <f>LOWER(VLOOKUP(A341,Xtal_Templ!A:B,2,FALSE))</f>
        <v>crfr1_human</v>
      </c>
      <c r="C341" s="3">
        <f>VLOOKUP($A341,'SegEnds_NonXtal_BW#'!$A:$Z,3,FALSE)+D341-50</f>
        <v>415</v>
      </c>
      <c r="D341" s="3">
        <v>442</v>
      </c>
      <c r="E341" s="3">
        <f>IF(ISERROR(VLOOKUP($A341,'SegEnds_NonXtal_BW#'!$A:$Z,4,FALSE)+VLOOKUP($A341,A:AL,4,FALSE)-50),"-",(VLOOKUP($A341,'SegEnds_NonXtal_BW#'!$A:$Z,4,FALSE)+VLOOKUP($A341,A:AL,4,FALSE)-50))</f>
        <v>452</v>
      </c>
      <c r="F341" s="3" t="s">
        <v>23</v>
      </c>
      <c r="G341" s="3" t="s">
        <v>23</v>
      </c>
      <c r="H341" s="3" t="s">
        <v>23</v>
      </c>
      <c r="I341" s="3">
        <f>VLOOKUP($A341,'SegEnds_NonXtal_BW#'!$A:$Z,7,FALSE)+J341-50</f>
        <v>457</v>
      </c>
      <c r="J341" s="3">
        <v>470</v>
      </c>
      <c r="K341" s="3">
        <f>VLOOKUP($A341,'SegEnds_NonXtal_BW#'!$A:$Z,8,FALSE)+VLOOKUP($A341,A:AL,10,FALSE)-50</f>
        <v>483</v>
      </c>
      <c r="L341" s="3" t="str">
        <f>IF(ISERROR(VLOOKUP($A341,'SegEnds_NonXtal_BW#'!$A:$Z,9,FALSE)+VLOOKUP($A341,A:AL,13,FALSE)-50),"-",(VLOOKUP($A341,'SegEnds_NonXtal_BW#'!$A:$Z,9,FALSE)+VLOOKUP($A341,A:AL,13,FALSE)-50))</f>
        <v>-</v>
      </c>
      <c r="M341" s="3" t="s">
        <v>23</v>
      </c>
      <c r="N341" s="3" t="str">
        <f>IF(ISERROR(VLOOKUP($A341,'SegEnds_NonXtal_BW#'!$A:$Z,10,FALSE)+VLOOKUP($A341,A:AL,13,FALSE)-50),"-",(VLOOKUP($A341,'SegEnds_NonXtal_BW#'!$A:$Z,10,FALSE)+VLOOKUP($A341,A:AL,13,FALSE)-50))</f>
        <v>-</v>
      </c>
      <c r="O341" s="3">
        <f>VLOOKUP($A341,'SegEnds_NonXtal_BW#'!$A:$Z,11,FALSE)+VLOOKUP($A341,A:AL,16,FALSE)-50</f>
        <v>488</v>
      </c>
      <c r="P341" s="3">
        <v>515</v>
      </c>
      <c r="Q341" s="3">
        <f>VLOOKUP($A341,'SegEnds_NonXtal_BW#'!$A:$Z,12,FALSE)+VLOOKUP($A341,A:AL,16,FALSE)-50</f>
        <v>521</v>
      </c>
      <c r="R341" s="3" t="str">
        <f>IF(ISERROR(VLOOKUP($A341,'SegEnds_NonXtal_BW#'!$A:$Z,13,FALSE)+VLOOKUP($A341,A:AL,19,FALSE)-50),"-",VLOOKUP($A341,'SegEnds_NonXtal_BW#'!$A:$Z,13,FALSE)+VLOOKUP($A341,A:AL,19,FALSE)-50)</f>
        <v>-</v>
      </c>
      <c r="S341" s="3" t="s">
        <v>23</v>
      </c>
      <c r="T341" s="100" t="str">
        <f>IF(ISERROR(VLOOKUP($A341,'SegEnds_NonXtal_BW#'!$A:$Z,14,FALSE)+VLOOKUP($A341,A:AL,19,FALSE)-50),"-",(VLOOKUP($A341,'SegEnds_NonXtal_BW#'!$A:$Z,14,FALSE)+VLOOKUP($A341,A:AL,19,FALSE)-50))</f>
        <v>-</v>
      </c>
      <c r="U341" s="9">
        <f>IF(ISERROR(VLOOKUP($A341,'SegEnds_NonXtal_BW#'!$A:$Z,15,FALSE)+VLOOKUP($A341,A:AL,22,FALSE)-50),"-",VLOOKUP($A341,'SegEnds_NonXtal_BW#'!$A:$Z,15,FALSE)+VLOOKUP($A341,A:AL,22,FALSE)-50)</f>
        <v>528</v>
      </c>
      <c r="V341" s="3">
        <v>538</v>
      </c>
      <c r="W341" s="3">
        <f>IF(ISERROR(VLOOKUP($A341,'SegEnds_NonXtal_BW#'!$A:$Z,16,FALSE)+VLOOKUP($A341,A:AL,22,FALSE)-50),"-",(VLOOKUP($A341,'SegEnds_NonXtal_BW#'!$A:$Z,16,FALSE)+VLOOKUP($A341,A:AL,22,FALSE)-50))</f>
        <v>556</v>
      </c>
      <c r="X341" s="3">
        <f>IF(ISERROR(VLOOKUP($A341,'SegEnds_NonXtal_BW#'!$A:$Z,17,FALSE)+VLOOKUP($A341,A:AL,25,FALSE)-50),"-",(VLOOKUP($A341,'SegEnds_NonXtal_BW#'!$A:$Z,17,FALSE)+VLOOKUP($A341,A:AL,25,FALSE)-50))</f>
        <v>562</v>
      </c>
      <c r="Y341" s="3">
        <v>562</v>
      </c>
      <c r="Z341" s="3">
        <f t="shared" si="179"/>
        <v>564</v>
      </c>
      <c r="AA341" s="3">
        <f>IF(ISERROR(VLOOKUP($A341,'SegEnds_NonXtal_BW#'!$A:$Z,19,FALSE)+VLOOKUP($A341,A:AL,28,FALSE)-50),"-",(VLOOKUP($A341,'SegEnds_NonXtal_BW#'!$A:$Z,19,FALSE)+VLOOKUP($A341,A:AL,28,FALSE)-50))</f>
        <v>567</v>
      </c>
      <c r="AB341" s="3">
        <v>581</v>
      </c>
      <c r="AC341" s="3">
        <f>IF(ISERROR((VLOOKUP($A341,'SegEnds_NonXtal_BW#'!$A:$Z,20,FALSE)+VLOOKUP($A341,A:AL,28,FALSE)-50)),"-",(VLOOKUP($A341,'SegEnds_NonXtal_BW#'!$A:$Z,20,FALSE)+VLOOKUP($A341,A:AL,28,FALSE)-50))</f>
        <v>600</v>
      </c>
      <c r="AD341" s="3">
        <f>IF(ISERROR(VLOOKUP($A341,'SegEnds_NonXtal_BW#'!$A:$Z,21,FALSE)+VLOOKUP($A341,A:AL,31,FALSE)-50),"-",(VLOOKUP($A341,'SegEnds_NonXtal_BW#'!$A:$Z,21,FALSE)+VLOOKUP($A341,A:AL,31,FALSE)-50))</f>
        <v>612</v>
      </c>
      <c r="AE341" s="3">
        <v>633</v>
      </c>
      <c r="AF341" s="3">
        <f>IF(ISERROR((VLOOKUP($A341,'SegEnds_NonXtal_BW#'!$A:$Z,22,FALSE)+VLOOKUP($A341,A:AL,31,FALSE)-50)),"-",(VLOOKUP($A341,'SegEnds_NonXtal_BW#'!$A:$Z,22,FALSE)+VLOOKUP($A341,A:AL,31,FALSE)-50))</f>
        <v>636</v>
      </c>
      <c r="AG341" s="3">
        <f>IF(ISERROR(VLOOKUP($A341,'SegEnds_NonXtal_BW#'!$A:$Z,23,FALSE)+VLOOKUP($A341,A:AL,34,FALSE)-50),"-",(VLOOKUP($A341,'SegEnds_NonXtal_BW#'!$A:$Z,23,FALSE)+VLOOKUP($A341,A:AL,34,FALSE)-50))</f>
        <v>642</v>
      </c>
      <c r="AH341" s="3">
        <v>661</v>
      </c>
      <c r="AI341" s="3">
        <f>IF(ISERROR((VLOOKUP($A341,'SegEnds_NonXtal_BW#'!$A:$Z,24,FALSE)+VLOOKUP($A341,A:AL,34,FALSE)-50)),"-",(VLOOKUP($A341,'SegEnds_NonXtal_BW#'!$A:$Z,24,FALSE)+VLOOKUP($A341,A:AL,34,FALSE)-50))</f>
        <v>667</v>
      </c>
      <c r="AJ341" s="3">
        <f>IF(ISERROR(VLOOKUP($A341,'SegEnds_NonXtal_BW#'!$A:$Z,25,FALSE)+VLOOKUP($A341,A:AL,37,FALSE)-50),"-",(VLOOKUP($A341,'SegEnds_NonXtal_BW#'!$A:$Z,25,FALSE)+VLOOKUP($A341,A:AL,37,FALSE)-50))</f>
        <v>668</v>
      </c>
      <c r="AK341" s="3">
        <v>671</v>
      </c>
      <c r="AL341" s="3">
        <f>IF(ISERROR((VLOOKUP($A341,'SegEnds_NonXtal_BW#'!$A:$Z,26,FALSE)+VLOOKUP($A341,A:AL,37,FALSE)-50)),"-",(VLOOKUP($A341,'SegEnds_NonXtal_BW#'!$A:$Z,26,FALSE)+VLOOKUP($A341,A:AL,37,FALSE)-50))</f>
        <v>684</v>
      </c>
      <c r="AM341" s="28" t="str">
        <f>VLOOKUP(A341,Classification!A:B,2,FALSE)</f>
        <v>B2</v>
      </c>
      <c r="AN341" s="28" t="b">
        <f t="shared" si="195"/>
        <v>1</v>
      </c>
      <c r="AO341" s="3" t="str">
        <f>IF(ISERROR(MATCH(A341,'SegEnds_Xtal_Prot#'!B:B, 0)), "NoXtal", "Xtal")</f>
        <v>NoXtal</v>
      </c>
      <c r="AP341" s="3" t="str">
        <f t="shared" si="180"/>
        <v>-</v>
      </c>
      <c r="AQ341" s="3" t="str">
        <f t="shared" si="181"/>
        <v>-</v>
      </c>
      <c r="AR341" s="3" t="str">
        <f t="shared" si="182"/>
        <v>-</v>
      </c>
      <c r="AS341" s="3" t="str">
        <f t="shared" si="183"/>
        <v>-</v>
      </c>
      <c r="AT341" s="3" t="str">
        <f t="shared" si="184"/>
        <v>-</v>
      </c>
      <c r="AU341" s="3" t="str">
        <f t="shared" si="185"/>
        <v>-</v>
      </c>
      <c r="AV341" s="3">
        <f t="shared" si="186"/>
        <v>6</v>
      </c>
      <c r="AW341" s="3">
        <f t="shared" si="187"/>
        <v>3</v>
      </c>
      <c r="AX341" s="3">
        <f t="shared" si="188"/>
        <v>12</v>
      </c>
      <c r="AY341" s="3">
        <f t="shared" si="189"/>
        <v>6</v>
      </c>
      <c r="AZ341" s="3">
        <f t="shared" si="190"/>
        <v>1</v>
      </c>
      <c r="BA341" s="3">
        <f>IF(ISERROR(LEN(VLOOKUP(A341,Seqs!A:E,2,FALSE))-AL341),"-",LEN(VLOOKUP(A341,Seqs!A:E,2,FALSE))-AL341)</f>
        <v>6</v>
      </c>
      <c r="BB341" s="16">
        <f t="shared" si="191"/>
        <v>28</v>
      </c>
      <c r="BC341" s="9" t="str">
        <f t="shared" si="192"/>
        <v>-</v>
      </c>
      <c r="BD341" s="3">
        <f t="shared" si="193"/>
        <v>28</v>
      </c>
      <c r="BE341" s="3">
        <f t="shared" si="194"/>
        <v>52</v>
      </c>
      <c r="BF341" s="3">
        <f>AH341-AE341</f>
        <v>28</v>
      </c>
    </row>
    <row r="342" spans="1:58" s="3" customFormat="1" x14ac:dyDescent="0.2">
      <c r="A342" s="3" t="s">
        <v>414</v>
      </c>
      <c r="B342" s="3" t="str">
        <f>LOWER(VLOOKUP(A342,Xtal_Templ!A:B,2,FALSE))</f>
        <v>crfr1_human</v>
      </c>
      <c r="C342" s="3">
        <f>VLOOKUP($A342,'SegEnds_NonXtal_BW#'!$A:$Z,3,FALSE)+D342-50</f>
        <v>935</v>
      </c>
      <c r="D342" s="3">
        <v>962</v>
      </c>
      <c r="E342" s="3">
        <f>IF(ISERROR(VLOOKUP($A342,'SegEnds_NonXtal_BW#'!$A:$Z,4,FALSE)+VLOOKUP($A342,A:AL,4,FALSE)-50),"-",(VLOOKUP($A342,'SegEnds_NonXtal_BW#'!$A:$Z,4,FALSE)+VLOOKUP($A342,A:AL,4,FALSE)-50))</f>
        <v>972</v>
      </c>
      <c r="F342" s="3" t="s">
        <v>23</v>
      </c>
      <c r="G342" s="3" t="s">
        <v>23</v>
      </c>
      <c r="H342" s="3" t="s">
        <v>23</v>
      </c>
      <c r="I342" s="3">
        <f>VLOOKUP($A342,'SegEnds_NonXtal_BW#'!$A:$Z,7,FALSE)+J342-50</f>
        <v>978</v>
      </c>
      <c r="J342" s="3">
        <v>991</v>
      </c>
      <c r="K342" s="3">
        <f>VLOOKUP($A342,'SegEnds_NonXtal_BW#'!$A:$Z,8,FALSE)+VLOOKUP($A342,A:AL,10,FALSE)-50</f>
        <v>1004</v>
      </c>
      <c r="L342" s="3" t="str">
        <f>IF(ISERROR(VLOOKUP($A342,'SegEnds_NonXtal_BW#'!$A:$Z,9,FALSE)+VLOOKUP($A342,A:AL,13,FALSE)-50),"-",(VLOOKUP($A342,'SegEnds_NonXtal_BW#'!$A:$Z,9,FALSE)+VLOOKUP($A342,A:AL,13,FALSE)-50))</f>
        <v>-</v>
      </c>
      <c r="M342" s="3" t="s">
        <v>23</v>
      </c>
      <c r="N342" s="3" t="str">
        <f>IF(ISERROR(VLOOKUP($A342,'SegEnds_NonXtal_BW#'!$A:$Z,10,FALSE)+VLOOKUP($A342,A:AL,13,FALSE)-50),"-",(VLOOKUP($A342,'SegEnds_NonXtal_BW#'!$A:$Z,10,FALSE)+VLOOKUP($A342,A:AL,13,FALSE)-50))</f>
        <v>-</v>
      </c>
      <c r="O342" s="3">
        <f>VLOOKUP($A342,'SegEnds_NonXtal_BW#'!$A:$Z,11,FALSE)+VLOOKUP($A342,A:AL,16,FALSE)-50</f>
        <v>1009</v>
      </c>
      <c r="P342" s="3">
        <v>1036</v>
      </c>
      <c r="Q342" s="3">
        <f>VLOOKUP($A342,'SegEnds_NonXtal_BW#'!$A:$Z,12,FALSE)+VLOOKUP($A342,A:AL,16,FALSE)-50</f>
        <v>1042</v>
      </c>
      <c r="R342" s="3" t="str">
        <f>IF(ISERROR(VLOOKUP($A342,'SegEnds_NonXtal_BW#'!$A:$Z,13,FALSE)+VLOOKUP($A342,A:AL,19,FALSE)-50),"-",VLOOKUP($A342,'SegEnds_NonXtal_BW#'!$A:$Z,13,FALSE)+VLOOKUP($A342,A:AL,19,FALSE)-50)</f>
        <v>-</v>
      </c>
      <c r="S342" s="3" t="s">
        <v>23</v>
      </c>
      <c r="T342" s="100" t="str">
        <f>IF(ISERROR(VLOOKUP($A342,'SegEnds_NonXtal_BW#'!$A:$Z,14,FALSE)+VLOOKUP($A342,A:AL,19,FALSE)-50),"-",(VLOOKUP($A342,'SegEnds_NonXtal_BW#'!$A:$Z,14,FALSE)+VLOOKUP($A342,A:AL,19,FALSE)-50))</f>
        <v>-</v>
      </c>
      <c r="U342" s="9">
        <f>IF(ISERROR(VLOOKUP($A342,'SegEnds_NonXtal_BW#'!$A:$Z,15,FALSE)+VLOOKUP($A342,A:AL,22,FALSE)-50),"-",VLOOKUP($A342,'SegEnds_NonXtal_BW#'!$A:$Z,15,FALSE)+VLOOKUP($A342,A:AL,22,FALSE)-50)</f>
        <v>1048</v>
      </c>
      <c r="V342" s="3">
        <v>1058</v>
      </c>
      <c r="W342" s="3">
        <f>IF(ISERROR(VLOOKUP($A342,'SegEnds_NonXtal_BW#'!$A:$Z,16,FALSE)+VLOOKUP($A342,A:AL,22,FALSE)-50),"-",(VLOOKUP($A342,'SegEnds_NonXtal_BW#'!$A:$Z,16,FALSE)+VLOOKUP($A342,A:AL,22,FALSE)-50))</f>
        <v>1076</v>
      </c>
      <c r="X342" s="3">
        <f>IF(ISERROR(VLOOKUP($A342,'SegEnds_NonXtal_BW#'!$A:$Z,17,FALSE)+VLOOKUP($A342,A:AL,25,FALSE)-50),"-",(VLOOKUP($A342,'SegEnds_NonXtal_BW#'!$A:$Z,17,FALSE)+VLOOKUP($A342,A:AL,25,FALSE)-50))</f>
        <v>1083</v>
      </c>
      <c r="Y342" s="3">
        <v>1083</v>
      </c>
      <c r="Z342" s="3">
        <f t="shared" si="179"/>
        <v>1085</v>
      </c>
      <c r="AA342" s="3">
        <f>IF(ISERROR(VLOOKUP($A342,'SegEnds_NonXtal_BW#'!$A:$Z,19,FALSE)+VLOOKUP($A342,A:AL,28,FALSE)-50),"-",(VLOOKUP($A342,'SegEnds_NonXtal_BW#'!$A:$Z,19,FALSE)+VLOOKUP($A342,A:AL,28,FALSE)-50))</f>
        <v>1088</v>
      </c>
      <c r="AB342" s="3">
        <v>1102</v>
      </c>
      <c r="AC342" s="3">
        <f>IF(ISERROR((VLOOKUP($A342,'SegEnds_NonXtal_BW#'!$A:$Z,20,FALSE)+VLOOKUP($A342,A:AL,28,FALSE)-50)),"-",(VLOOKUP($A342,'SegEnds_NonXtal_BW#'!$A:$Z,20,FALSE)+VLOOKUP($A342,A:AL,28,FALSE)-50))</f>
        <v>1121</v>
      </c>
      <c r="AD342" s="3">
        <f>IF(ISERROR(VLOOKUP($A342,'SegEnds_NonXtal_BW#'!$A:$Z,21,FALSE)+VLOOKUP($A342,A:AL,31,FALSE)-50),"-",(VLOOKUP($A342,'SegEnds_NonXtal_BW#'!$A:$Z,21,FALSE)+VLOOKUP($A342,A:AL,31,FALSE)-50))</f>
        <v>1131</v>
      </c>
      <c r="AE342" s="3">
        <v>1152</v>
      </c>
      <c r="AF342" s="3">
        <f>IF(ISERROR((VLOOKUP($A342,'SegEnds_NonXtal_BW#'!$A:$Z,22,FALSE)+VLOOKUP($A342,A:AL,31,FALSE)-50)),"-",(VLOOKUP($A342,'SegEnds_NonXtal_BW#'!$A:$Z,22,FALSE)+VLOOKUP($A342,A:AL,31,FALSE)-50))</f>
        <v>1155</v>
      </c>
      <c r="AG342" s="3">
        <f>IF(ISERROR(VLOOKUP($A342,'SegEnds_NonXtal_BW#'!$A:$Z,23,FALSE)+VLOOKUP($A342,A:AL,34,FALSE)-50),"-",(VLOOKUP($A342,'SegEnds_NonXtal_BW#'!$A:$Z,23,FALSE)+VLOOKUP($A342,A:AL,34,FALSE)-50))</f>
        <v>1162</v>
      </c>
      <c r="AH342" s="3">
        <v>1181</v>
      </c>
      <c r="AI342" s="3">
        <f>IF(ISERROR((VLOOKUP($A342,'SegEnds_NonXtal_BW#'!$A:$Z,24,FALSE)+VLOOKUP($A342,A:AL,34,FALSE)-50)),"-",(VLOOKUP($A342,'SegEnds_NonXtal_BW#'!$A:$Z,24,FALSE)+VLOOKUP($A342,A:AL,34,FALSE)-50))</f>
        <v>1187</v>
      </c>
      <c r="AJ342" s="3">
        <f>IF(ISERROR(VLOOKUP($A342,'SegEnds_NonXtal_BW#'!$A:$Z,25,FALSE)+VLOOKUP($A342,A:AL,37,FALSE)-50),"-",(VLOOKUP($A342,'SegEnds_NonXtal_BW#'!$A:$Z,25,FALSE)+VLOOKUP($A342,A:AL,37,FALSE)-50))</f>
        <v>1188</v>
      </c>
      <c r="AK342" s="3">
        <v>1191</v>
      </c>
      <c r="AL342" s="3">
        <f>IF(ISERROR((VLOOKUP($A342,'SegEnds_NonXtal_BW#'!$A:$Z,26,FALSE)+VLOOKUP($A342,A:AL,37,FALSE)-50)),"-",(VLOOKUP($A342,'SegEnds_NonXtal_BW#'!$A:$Z,26,FALSE)+VLOOKUP($A342,A:AL,37,FALSE)-50))</f>
        <v>1204</v>
      </c>
      <c r="AM342" s="28" t="str">
        <f>VLOOKUP(A342,Classification!A:B,2,FALSE)</f>
        <v>B2</v>
      </c>
      <c r="AN342" s="28" t="b">
        <f t="shared" si="195"/>
        <v>1</v>
      </c>
      <c r="AO342" s="3" t="str">
        <f>IF(ISERROR(MATCH(A342,'SegEnds_Xtal_Prot#'!B:B, 0)), "NoXtal", "Xtal")</f>
        <v>NoXtal</v>
      </c>
      <c r="AP342" s="3" t="str">
        <f t="shared" si="180"/>
        <v>-</v>
      </c>
      <c r="AQ342" s="3" t="str">
        <f t="shared" si="181"/>
        <v>-</v>
      </c>
      <c r="AR342" s="3" t="str">
        <f t="shared" si="182"/>
        <v>-</v>
      </c>
      <c r="AS342" s="3" t="str">
        <f t="shared" si="183"/>
        <v>-</v>
      </c>
      <c r="AT342" s="3" t="str">
        <f t="shared" si="184"/>
        <v>-</v>
      </c>
      <c r="AU342" s="3" t="str">
        <f t="shared" si="185"/>
        <v>-</v>
      </c>
      <c r="AV342" s="3">
        <f t="shared" si="186"/>
        <v>7</v>
      </c>
      <c r="AW342" s="3">
        <f t="shared" si="187"/>
        <v>3</v>
      </c>
      <c r="AX342" s="3">
        <f t="shared" si="188"/>
        <v>10</v>
      </c>
      <c r="AY342" s="3">
        <f t="shared" si="189"/>
        <v>7</v>
      </c>
      <c r="AZ342" s="3">
        <f t="shared" si="190"/>
        <v>1</v>
      </c>
      <c r="BA342" s="3">
        <f>IF(ISERROR(LEN(VLOOKUP(A342,Seqs!A:E,2,FALSE))-AL342),"-",LEN(VLOOKUP(A342,Seqs!A:E,2,FALSE))-AL342)</f>
        <v>380</v>
      </c>
      <c r="BB342" s="16">
        <f t="shared" si="191"/>
        <v>29</v>
      </c>
      <c r="BC342" s="9" t="str">
        <f t="shared" si="192"/>
        <v>-</v>
      </c>
      <c r="BD342" s="3">
        <f t="shared" si="193"/>
        <v>29</v>
      </c>
      <c r="BE342" s="3">
        <f t="shared" si="194"/>
        <v>50</v>
      </c>
    </row>
    <row r="343" spans="1:58" s="3" customFormat="1" x14ac:dyDescent="0.2">
      <c r="A343" s="3" t="s">
        <v>417</v>
      </c>
      <c r="B343" s="3" t="str">
        <f>LOWER(VLOOKUP(A343,Xtal_Templ!A:B,2,FALSE))</f>
        <v>glp1r_human</v>
      </c>
      <c r="C343" s="3">
        <f>VLOOKUP($A343,'SegEnds_NonXtal_BW#'!$A:$Z,3,FALSE)+D343-50</f>
        <v>535</v>
      </c>
      <c r="D343" s="3">
        <v>562</v>
      </c>
      <c r="E343" s="3">
        <f>IF(ISERROR(VLOOKUP($A343,'SegEnds_NonXtal_BW#'!$A:$Z,4,FALSE)+VLOOKUP($A343,A:AL,4,FALSE)-50),"-",(VLOOKUP($A343,'SegEnds_NonXtal_BW#'!$A:$Z,4,FALSE)+VLOOKUP($A343,A:AL,4,FALSE)-50))</f>
        <v>572</v>
      </c>
      <c r="F343" s="3" t="s">
        <v>23</v>
      </c>
      <c r="G343" s="3" t="s">
        <v>23</v>
      </c>
      <c r="H343" s="3" t="s">
        <v>23</v>
      </c>
      <c r="I343" s="3">
        <f>VLOOKUP($A343,'SegEnds_NonXtal_BW#'!$A:$Z,7,FALSE)+J343-50</f>
        <v>577</v>
      </c>
      <c r="J343" s="3">
        <v>590</v>
      </c>
      <c r="K343" s="3">
        <f>VLOOKUP($A343,'SegEnds_NonXtal_BW#'!$A:$Z,8,FALSE)+VLOOKUP($A343,A:AL,10,FALSE)-50</f>
        <v>603</v>
      </c>
      <c r="L343" s="3" t="str">
        <f>IF(ISERROR(VLOOKUP($A343,'SegEnds_NonXtal_BW#'!$A:$Z,9,FALSE)+VLOOKUP($A343,A:AL,13,FALSE)-50),"-",(VLOOKUP($A343,'SegEnds_NonXtal_BW#'!$A:$Z,9,FALSE)+VLOOKUP($A343,A:AL,13,FALSE)-50))</f>
        <v>-</v>
      </c>
      <c r="M343" s="3" t="s">
        <v>23</v>
      </c>
      <c r="N343" s="3" t="str">
        <f>IF(ISERROR(VLOOKUP($A343,'SegEnds_NonXtal_BW#'!$A:$Z,10,FALSE)+VLOOKUP($A343,A:AL,13,FALSE)-50),"-",(VLOOKUP($A343,'SegEnds_NonXtal_BW#'!$A:$Z,10,FALSE)+VLOOKUP($A343,A:AL,13,FALSE)-50))</f>
        <v>-</v>
      </c>
      <c r="O343" s="3">
        <f>VLOOKUP($A343,'SegEnds_NonXtal_BW#'!$A:$Z,11,FALSE)+VLOOKUP($A343,A:AL,16,FALSE)-50</f>
        <v>610</v>
      </c>
      <c r="P343" s="3">
        <v>637</v>
      </c>
      <c r="Q343" s="3">
        <f>VLOOKUP($A343,'SegEnds_NonXtal_BW#'!$A:$Z,12,FALSE)+VLOOKUP($A343,A:AL,16,FALSE)-50</f>
        <v>643</v>
      </c>
      <c r="R343" s="3" t="str">
        <f>IF(ISERROR(VLOOKUP($A343,'SegEnds_NonXtal_BW#'!$A:$Z,13,FALSE)+VLOOKUP($A343,A:AL,19,FALSE)-50),"-",VLOOKUP($A343,'SegEnds_NonXtal_BW#'!$A:$Z,13,FALSE)+VLOOKUP($A343,A:AL,19,FALSE)-50)</f>
        <v>-</v>
      </c>
      <c r="S343" s="3" t="s">
        <v>23</v>
      </c>
      <c r="T343" s="100" t="str">
        <f>IF(ISERROR(VLOOKUP($A343,'SegEnds_NonXtal_BW#'!$A:$Z,14,FALSE)+VLOOKUP($A343,A:AL,19,FALSE)-50),"-",(VLOOKUP($A343,'SegEnds_NonXtal_BW#'!$A:$Z,14,FALSE)+VLOOKUP($A343,A:AL,19,FALSE)-50))</f>
        <v>-</v>
      </c>
      <c r="U343" s="9">
        <f>IF(ISERROR(VLOOKUP($A343,'SegEnds_NonXtal_BW#'!$A:$Z,15,FALSE)+VLOOKUP($A343,A:AL,22,FALSE)-50),"-",VLOOKUP($A343,'SegEnds_NonXtal_BW#'!$A:$Z,15,FALSE)+VLOOKUP($A343,A:AL,22,FALSE)-50)</f>
        <v>648</v>
      </c>
      <c r="V343" s="3">
        <v>660</v>
      </c>
      <c r="W343" s="3">
        <f>IF(ISERROR(VLOOKUP($A343,'SegEnds_NonXtal_BW#'!$A:$Z,16,FALSE)+VLOOKUP($A343,A:AL,22,FALSE)-50),"-",(VLOOKUP($A343,'SegEnds_NonXtal_BW#'!$A:$Z,16,FALSE)+VLOOKUP($A343,A:AL,22,FALSE)-50))</f>
        <v>678</v>
      </c>
      <c r="X343" s="3">
        <f>IF(ISERROR(VLOOKUP($A343,'SegEnds_NonXtal_BW#'!$A:$Z,17,FALSE)+VLOOKUP($A343,A:AL,25,FALSE)-50),"-",(VLOOKUP($A343,'SegEnds_NonXtal_BW#'!$A:$Z,17,FALSE)+VLOOKUP($A343,A:AL,25,FALSE)-50))</f>
        <v>684</v>
      </c>
      <c r="Y343" s="3">
        <v>684</v>
      </c>
      <c r="Z343" s="3">
        <f t="shared" si="179"/>
        <v>686</v>
      </c>
      <c r="AA343" s="3">
        <f>IF(ISERROR(VLOOKUP($A343,'SegEnds_NonXtal_BW#'!$A:$Z,19,FALSE)+VLOOKUP($A343,A:AL,28,FALSE)-50),"-",(VLOOKUP($A343,'SegEnds_NonXtal_BW#'!$A:$Z,19,FALSE)+VLOOKUP($A343,A:AL,28,FALSE)-50))</f>
        <v>689</v>
      </c>
      <c r="AB343" s="3">
        <v>703</v>
      </c>
      <c r="AC343" s="3">
        <f>IF(ISERROR((VLOOKUP($A343,'SegEnds_NonXtal_BW#'!$A:$Z,20,FALSE)+VLOOKUP($A343,A:AL,28,FALSE)-50)),"-",(VLOOKUP($A343,'SegEnds_NonXtal_BW#'!$A:$Z,20,FALSE)+VLOOKUP($A343,A:AL,28,FALSE)-50))</f>
        <v>722</v>
      </c>
      <c r="AD343" s="3">
        <f>IF(ISERROR(VLOOKUP($A343,'SegEnds_NonXtal_BW#'!$A:$Z,21,FALSE)+VLOOKUP($A343,A:AL,31,FALSE)-50),"-",(VLOOKUP($A343,'SegEnds_NonXtal_BW#'!$A:$Z,21,FALSE)+VLOOKUP($A343,A:AL,31,FALSE)-50))</f>
        <v>734</v>
      </c>
      <c r="AE343" s="3">
        <v>755</v>
      </c>
      <c r="AF343" s="3">
        <f>IF(ISERROR((VLOOKUP($A343,'SegEnds_NonXtal_BW#'!$A:$Z,22,FALSE)+VLOOKUP($A343,A:AL,31,FALSE)-50)),"-",(VLOOKUP($A343,'SegEnds_NonXtal_BW#'!$A:$Z,22,FALSE)+VLOOKUP($A343,A:AL,31,FALSE)-50))</f>
        <v>758</v>
      </c>
      <c r="AG343" s="3">
        <f>IF(ISERROR(VLOOKUP($A343,'SegEnds_NonXtal_BW#'!$A:$Z,23,FALSE)+VLOOKUP($A343,A:AL,34,FALSE)-50),"-",(VLOOKUP($A343,'SegEnds_NonXtal_BW#'!$A:$Z,23,FALSE)+VLOOKUP($A343,A:AL,34,FALSE)-50))</f>
        <v>764</v>
      </c>
      <c r="AH343" s="3">
        <v>783</v>
      </c>
      <c r="AI343" s="3">
        <f>IF(ISERROR((VLOOKUP($A343,'SegEnds_NonXtal_BW#'!$A:$Z,24,FALSE)+VLOOKUP($A343,A:AL,34,FALSE)-50)),"-",(VLOOKUP($A343,'SegEnds_NonXtal_BW#'!$A:$Z,24,FALSE)+VLOOKUP($A343,A:AL,34,FALSE)-50))</f>
        <v>789</v>
      </c>
      <c r="AJ343" s="3">
        <f>IF(ISERROR(VLOOKUP($A343,'SegEnds_NonXtal_BW#'!$A:$Z,25,FALSE)+VLOOKUP($A343,A:AL,37,FALSE)-50),"-",(VLOOKUP($A343,'SegEnds_NonXtal_BW#'!$A:$Z,25,FALSE)+VLOOKUP($A343,A:AL,37,FALSE)-50))</f>
        <v>790</v>
      </c>
      <c r="AK343" s="3">
        <v>793</v>
      </c>
      <c r="AL343" s="3">
        <f>IF(ISERROR((VLOOKUP($A343,'SegEnds_NonXtal_BW#'!$A:$Z,26,FALSE)+VLOOKUP($A343,A:AL,37,FALSE)-50)),"-",(VLOOKUP($A343,'SegEnds_NonXtal_BW#'!$A:$Z,26,FALSE)+VLOOKUP($A343,A:AL,37,FALSE)-50))</f>
        <v>806</v>
      </c>
      <c r="AM343" s="28" t="str">
        <f>VLOOKUP(A343,Classification!A:B,2,FALSE)</f>
        <v>B2</v>
      </c>
      <c r="AN343" s="28" t="b">
        <f t="shared" si="195"/>
        <v>1</v>
      </c>
      <c r="AO343" s="3" t="str">
        <f>IF(ISERROR(MATCH(A343,'SegEnds_Xtal_Prot#'!B:B, 0)), "NoXtal", "Xtal")</f>
        <v>NoXtal</v>
      </c>
      <c r="AP343" s="3" t="str">
        <f t="shared" si="180"/>
        <v>-</v>
      </c>
      <c r="AQ343" s="3" t="str">
        <f t="shared" si="181"/>
        <v>-</v>
      </c>
      <c r="AR343" s="3" t="str">
        <f t="shared" si="182"/>
        <v>-</v>
      </c>
      <c r="AS343" s="3" t="str">
        <f t="shared" si="183"/>
        <v>-</v>
      </c>
      <c r="AT343" s="3" t="str">
        <f t="shared" si="184"/>
        <v>-</v>
      </c>
      <c r="AU343" s="3" t="str">
        <f t="shared" si="185"/>
        <v>-</v>
      </c>
      <c r="AV343" s="3">
        <f t="shared" si="186"/>
        <v>6</v>
      </c>
      <c r="AW343" s="3">
        <f t="shared" si="187"/>
        <v>3</v>
      </c>
      <c r="AX343" s="3">
        <f t="shared" si="188"/>
        <v>12</v>
      </c>
      <c r="AY343" s="3">
        <f t="shared" si="189"/>
        <v>6</v>
      </c>
      <c r="AZ343" s="3">
        <f t="shared" si="190"/>
        <v>1</v>
      </c>
      <c r="BA343" s="3">
        <f>IF(ISERROR(LEN(VLOOKUP(A343,Seqs!A:E,2,FALSE))-AL343),"-",LEN(VLOOKUP(A343,Seqs!A:E,2,FALSE))-AL343)</f>
        <v>29</v>
      </c>
      <c r="BB343" s="16">
        <f t="shared" si="191"/>
        <v>28</v>
      </c>
      <c r="BC343" s="9" t="str">
        <f t="shared" si="192"/>
        <v>-</v>
      </c>
      <c r="BD343" s="3">
        <f t="shared" si="193"/>
        <v>28</v>
      </c>
      <c r="BE343" s="3">
        <f t="shared" si="194"/>
        <v>52</v>
      </c>
      <c r="BF343" s="3">
        <f>AH343-AE343</f>
        <v>28</v>
      </c>
    </row>
    <row r="344" spans="1:58" s="3" customFormat="1" x14ac:dyDescent="0.2">
      <c r="A344" s="3" t="s">
        <v>418</v>
      </c>
      <c r="B344" s="3" t="str">
        <f>LOWER(VLOOKUP(A344,Xtal_Templ!A:B,2,FALSE))</f>
        <v>pth1r_human</v>
      </c>
      <c r="C344" s="3">
        <f>VLOOKUP($A344,'SegEnds_NonXtal_BW#'!$A:$Z,3,FALSE)+D344-50</f>
        <v>2456</v>
      </c>
      <c r="D344" s="3">
        <v>2483</v>
      </c>
      <c r="E344" s="3">
        <f>IF(ISERROR(VLOOKUP($A344,'SegEnds_NonXtal_BW#'!$A:$Z,4,FALSE)+VLOOKUP($A344,A:AL,4,FALSE)-50),"-",(VLOOKUP($A344,'SegEnds_NonXtal_BW#'!$A:$Z,4,FALSE)+VLOOKUP($A344,A:AL,4,FALSE)-50))</f>
        <v>2493</v>
      </c>
      <c r="F344" s="3">
        <f>G344-2</f>
        <v>2494</v>
      </c>
      <c r="G344" s="3">
        <v>2496</v>
      </c>
      <c r="H344" s="3">
        <f t="shared" ref="H344:I346" si="196">G344+1</f>
        <v>2497</v>
      </c>
      <c r="I344" s="3">
        <f t="shared" si="196"/>
        <v>2498</v>
      </c>
      <c r="J344" s="3">
        <v>2511</v>
      </c>
      <c r="K344" s="3">
        <f>VLOOKUP($A344,'SegEnds_NonXtal_BW#'!$A:$Z,8,FALSE)+VLOOKUP($A344,A:AL,10,FALSE)-50</f>
        <v>2524</v>
      </c>
      <c r="L344" s="3" t="str">
        <f>IF(ISERROR(VLOOKUP($A344,'SegEnds_NonXtal_BW#'!$A:$Z,9,FALSE)+VLOOKUP($A344,A:AL,13,FALSE)-50),"-",(VLOOKUP($A344,'SegEnds_NonXtal_BW#'!$A:$Z,9,FALSE)+VLOOKUP($A344,A:AL,13,FALSE)-50))</f>
        <v>-</v>
      </c>
      <c r="M344" s="3" t="s">
        <v>23</v>
      </c>
      <c r="N344" s="3" t="str">
        <f>IF(ISERROR(VLOOKUP($A344,'SegEnds_NonXtal_BW#'!$A:$Z,10,FALSE)+VLOOKUP($A344,A:AL,13,FALSE)-50),"-",(VLOOKUP($A344,'SegEnds_NonXtal_BW#'!$A:$Z,10,FALSE)+VLOOKUP($A344,A:AL,13,FALSE)-50))</f>
        <v>-</v>
      </c>
      <c r="O344" s="3">
        <f>VLOOKUP($A344,'SegEnds_NonXtal_BW#'!$A:$Z,11,FALSE)+VLOOKUP($A344,A:AL,16,FALSE)-50</f>
        <v>2529</v>
      </c>
      <c r="P344" s="3">
        <v>2556</v>
      </c>
      <c r="Q344" s="3">
        <f>VLOOKUP($A344,'SegEnds_NonXtal_BW#'!$A:$Z,12,FALSE)+VLOOKUP($A344,A:AL,16,FALSE)-50</f>
        <v>2562</v>
      </c>
      <c r="R344" s="3" t="str">
        <f>IF(ISERROR(VLOOKUP($A344,'SegEnds_NonXtal_BW#'!$A:$Z,13,FALSE)+VLOOKUP($A344,A:AL,19,FALSE)-50),"-",VLOOKUP($A344,'SegEnds_NonXtal_BW#'!$A:$Z,13,FALSE)+VLOOKUP($A344,A:AL,19,FALSE)-50)</f>
        <v>-</v>
      </c>
      <c r="S344" s="3" t="s">
        <v>23</v>
      </c>
      <c r="T344" s="100" t="str">
        <f>IF(ISERROR(VLOOKUP($A344,'SegEnds_NonXtal_BW#'!$A:$Z,14,FALSE)+VLOOKUP($A344,A:AL,19,FALSE)-50),"-",(VLOOKUP($A344,'SegEnds_NonXtal_BW#'!$A:$Z,14,FALSE)+VLOOKUP($A344,A:AL,19,FALSE)-50))</f>
        <v>-</v>
      </c>
      <c r="U344" s="9">
        <f>IF(ISERROR(VLOOKUP($A344,'SegEnds_NonXtal_BW#'!$A:$Z,15,FALSE)+VLOOKUP($A344,A:AL,22,FALSE)-50),"-",VLOOKUP($A344,'SegEnds_NonXtal_BW#'!$A:$Z,15,FALSE)+VLOOKUP($A344,A:AL,22,FALSE)-50)</f>
        <v>2566</v>
      </c>
      <c r="V344" s="3">
        <v>2579</v>
      </c>
      <c r="W344" s="3">
        <f>IF(ISERROR(VLOOKUP($A344,'SegEnds_NonXtal_BW#'!$A:$Z,16,FALSE)+VLOOKUP($A344,A:AL,22,FALSE)-50),"-",(VLOOKUP($A344,'SegEnds_NonXtal_BW#'!$A:$Z,16,FALSE)+VLOOKUP($A344,A:AL,22,FALSE)-50))</f>
        <v>2597</v>
      </c>
      <c r="X344" s="3">
        <f>IF(ISERROR(VLOOKUP($A344,'SegEnds_NonXtal_BW#'!$A:$Z,17,FALSE)+VLOOKUP($A344,A:AL,25,FALSE)-50),"-",(VLOOKUP($A344,'SegEnds_NonXtal_BW#'!$A:$Z,17,FALSE)+VLOOKUP($A344,A:AL,25,FALSE)-50))</f>
        <v>2603</v>
      </c>
      <c r="Y344" s="3">
        <v>2603</v>
      </c>
      <c r="Z344" s="3">
        <f t="shared" si="179"/>
        <v>2605</v>
      </c>
      <c r="AA344" s="3">
        <f>IF(ISERROR(VLOOKUP($A344,'SegEnds_NonXtal_BW#'!$A:$Z,19,FALSE)+VLOOKUP($A344,A:AL,28,FALSE)-50),"-",(VLOOKUP($A344,'SegEnds_NonXtal_BW#'!$A:$Z,19,FALSE)+VLOOKUP($A344,A:AL,28,FALSE)-50))</f>
        <v>2608</v>
      </c>
      <c r="AB344" s="3">
        <v>2622</v>
      </c>
      <c r="AC344" s="3">
        <f>IF(ISERROR((VLOOKUP($A344,'SegEnds_NonXtal_BW#'!$A:$Z,20,FALSE)+VLOOKUP($A344,A:AL,28,FALSE)-50)),"-",(VLOOKUP($A344,'SegEnds_NonXtal_BW#'!$A:$Z,20,FALSE)+VLOOKUP($A344,A:AL,28,FALSE)-50))</f>
        <v>2641</v>
      </c>
      <c r="AD344" s="3">
        <f>IF(ISERROR(VLOOKUP($A344,'SegEnds_NonXtal_BW#'!$A:$Z,21,FALSE)+VLOOKUP($A344,A:AL,31,FALSE)-50),"-",(VLOOKUP($A344,'SegEnds_NonXtal_BW#'!$A:$Z,21,FALSE)+VLOOKUP($A344,A:AL,31,FALSE)-50))</f>
        <v>2649</v>
      </c>
      <c r="AE344" s="3">
        <v>2670</v>
      </c>
      <c r="AF344" s="3">
        <f>IF(ISERROR((VLOOKUP($A344,'SegEnds_NonXtal_BW#'!$A:$Z,22,FALSE)+VLOOKUP($A344,A:AL,31,FALSE)-50)),"-",(VLOOKUP($A344,'SegEnds_NonXtal_BW#'!$A:$Z,22,FALSE)+VLOOKUP($A344,A:AL,31,FALSE)-50))</f>
        <v>2674</v>
      </c>
      <c r="AG344" s="3">
        <f>IF(ISERROR(VLOOKUP($A344,'SegEnds_NonXtal_BW#'!$A:$Z,23,FALSE)+VLOOKUP($A344,A:AL,34,FALSE)-50),"-",(VLOOKUP($A344,'SegEnds_NonXtal_BW#'!$A:$Z,23,FALSE)+VLOOKUP($A344,A:AL,34,FALSE)-50))</f>
        <v>2679</v>
      </c>
      <c r="AH344" s="3">
        <v>2698</v>
      </c>
      <c r="AI344" s="3">
        <f>IF(ISERROR((VLOOKUP($A344,'SegEnds_NonXtal_BW#'!$A:$Z,24,FALSE)+VLOOKUP($A344,A:AL,34,FALSE)-50)),"-",(VLOOKUP($A344,'SegEnds_NonXtal_BW#'!$A:$Z,24,FALSE)+VLOOKUP($A344,A:AL,34,FALSE)-50))</f>
        <v>2704</v>
      </c>
      <c r="AJ344" s="3">
        <f>IF(ISERROR(VLOOKUP($A344,'SegEnds_NonXtal_BW#'!$A:$Z,25,FALSE)+VLOOKUP($A344,A:AL,37,FALSE)-50),"-",(VLOOKUP($A344,'SegEnds_NonXtal_BW#'!$A:$Z,25,FALSE)+VLOOKUP($A344,A:AL,37,FALSE)-50))</f>
        <v>2705</v>
      </c>
      <c r="AK344" s="3">
        <v>2708</v>
      </c>
      <c r="AL344" s="3">
        <f>IF(ISERROR((VLOOKUP($A344,'SegEnds_NonXtal_BW#'!$A:$Z,26,FALSE)+VLOOKUP($A344,A:AL,37,FALSE)-50)),"-",(VLOOKUP($A344,'SegEnds_NonXtal_BW#'!$A:$Z,26,FALSE)+VLOOKUP($A344,A:AL,37,FALSE)-50))</f>
        <v>2721</v>
      </c>
      <c r="AM344" s="28" t="str">
        <f>VLOOKUP(A344,Classification!A:B,2,FALSE)</f>
        <v>B2</v>
      </c>
      <c r="AN344" s="28" t="b">
        <f t="shared" si="195"/>
        <v>1</v>
      </c>
      <c r="AO344" s="3" t="str">
        <f>IF(ISERROR(MATCH(A344,'SegEnds_Xtal_Prot#'!B:B, 0)), "NoXtal", "Xtal")</f>
        <v>NoXtal</v>
      </c>
      <c r="AP344" s="3">
        <f t="shared" si="180"/>
        <v>1</v>
      </c>
      <c r="AQ344" s="3">
        <f t="shared" si="181"/>
        <v>1</v>
      </c>
      <c r="AR344" s="3" t="str">
        <f t="shared" si="182"/>
        <v>-</v>
      </c>
      <c r="AS344" s="3" t="str">
        <f t="shared" si="183"/>
        <v>-</v>
      </c>
      <c r="AT344" s="3" t="str">
        <f t="shared" si="184"/>
        <v>-</v>
      </c>
      <c r="AU344" s="3" t="str">
        <f t="shared" si="185"/>
        <v>-</v>
      </c>
      <c r="AV344" s="3">
        <f t="shared" si="186"/>
        <v>6</v>
      </c>
      <c r="AW344" s="3">
        <f t="shared" si="187"/>
        <v>3</v>
      </c>
      <c r="AX344" s="3">
        <f t="shared" si="188"/>
        <v>8</v>
      </c>
      <c r="AY344" s="3">
        <f t="shared" si="189"/>
        <v>5</v>
      </c>
      <c r="AZ344" s="3">
        <f t="shared" si="190"/>
        <v>1</v>
      </c>
      <c r="BA344" s="3">
        <f>IF(ISERROR(LEN(VLOOKUP(A344,Seqs!A:E,2,FALSE))-AL344),"-",LEN(VLOOKUP(A344,Seqs!A:E,2,FALSE))-AL344)</f>
        <v>293</v>
      </c>
      <c r="BB344" s="16">
        <f t="shared" si="191"/>
        <v>28</v>
      </c>
      <c r="BC344" s="9" t="str">
        <f t="shared" si="192"/>
        <v>-</v>
      </c>
      <c r="BD344" s="3">
        <f t="shared" si="193"/>
        <v>28</v>
      </c>
      <c r="BE344" s="3">
        <f t="shared" si="194"/>
        <v>48</v>
      </c>
    </row>
    <row r="345" spans="1:58" s="3" customFormat="1" x14ac:dyDescent="0.2">
      <c r="A345" s="3" t="s">
        <v>419</v>
      </c>
      <c r="B345" s="3" t="str">
        <f>LOWER(VLOOKUP(A345,Xtal_Templ!A:B,2,FALSE))</f>
        <v>calrl_human</v>
      </c>
      <c r="C345" s="3">
        <f>VLOOKUP($A345,'SegEnds_NonXtal_BW#'!$A:$Z,3,FALSE)+D345-50</f>
        <v>2364</v>
      </c>
      <c r="D345" s="3">
        <v>2391</v>
      </c>
      <c r="E345" s="3">
        <f>IF(ISERROR(VLOOKUP($A345,'SegEnds_NonXtal_BW#'!$A:$Z,4,FALSE)+VLOOKUP($A345,A:AL,4,FALSE)-50),"-",(VLOOKUP($A345,'SegEnds_NonXtal_BW#'!$A:$Z,4,FALSE)+VLOOKUP($A345,A:AL,4,FALSE)-50))</f>
        <v>2401</v>
      </c>
      <c r="F345" s="3">
        <f>G345-2</f>
        <v>2402</v>
      </c>
      <c r="G345" s="3">
        <v>2404</v>
      </c>
      <c r="H345" s="3">
        <f t="shared" si="196"/>
        <v>2405</v>
      </c>
      <c r="I345" s="3">
        <f t="shared" si="196"/>
        <v>2406</v>
      </c>
      <c r="J345" s="3">
        <v>2419</v>
      </c>
      <c r="K345" s="3">
        <f>VLOOKUP($A345,'SegEnds_NonXtal_BW#'!$A:$Z,8,FALSE)+VLOOKUP($A345,A:AL,10,FALSE)-50</f>
        <v>2432</v>
      </c>
      <c r="L345" s="3" t="str">
        <f>IF(ISERROR(VLOOKUP($A345,'SegEnds_NonXtal_BW#'!$A:$Z,9,FALSE)+VLOOKUP($A345,A:AL,13,FALSE)-50),"-",(VLOOKUP($A345,'SegEnds_NonXtal_BW#'!$A:$Z,9,FALSE)+VLOOKUP($A345,A:AL,13,FALSE)-50))</f>
        <v>-</v>
      </c>
      <c r="M345" s="3" t="s">
        <v>23</v>
      </c>
      <c r="N345" s="3" t="str">
        <f>IF(ISERROR(VLOOKUP($A345,'SegEnds_NonXtal_BW#'!$A:$Z,10,FALSE)+VLOOKUP($A345,A:AL,13,FALSE)-50),"-",(VLOOKUP($A345,'SegEnds_NonXtal_BW#'!$A:$Z,10,FALSE)+VLOOKUP($A345,A:AL,13,FALSE)-50))</f>
        <v>-</v>
      </c>
      <c r="O345" s="3">
        <f>VLOOKUP($A345,'SegEnds_NonXtal_BW#'!$A:$Z,11,FALSE)+VLOOKUP($A345,A:AL,16,FALSE)-50</f>
        <v>2437</v>
      </c>
      <c r="P345" s="3">
        <v>2464</v>
      </c>
      <c r="Q345" s="3">
        <f>VLOOKUP($A345,'SegEnds_NonXtal_BW#'!$A:$Z,12,FALSE)+VLOOKUP($A345,A:AL,16,FALSE)-50</f>
        <v>2470</v>
      </c>
      <c r="R345" s="3" t="str">
        <f>IF(ISERROR(VLOOKUP($A345,'SegEnds_NonXtal_BW#'!$A:$Z,13,FALSE)+VLOOKUP($A345,A:AL,19,FALSE)-50),"-",VLOOKUP($A345,'SegEnds_NonXtal_BW#'!$A:$Z,13,FALSE)+VLOOKUP($A345,A:AL,19,FALSE)-50)</f>
        <v>-</v>
      </c>
      <c r="S345" s="3" t="s">
        <v>23</v>
      </c>
      <c r="T345" s="100" t="str">
        <f>IF(ISERROR(VLOOKUP($A345,'SegEnds_NonXtal_BW#'!$A:$Z,14,FALSE)+VLOOKUP($A345,A:AL,19,FALSE)-50),"-",(VLOOKUP($A345,'SegEnds_NonXtal_BW#'!$A:$Z,14,FALSE)+VLOOKUP($A345,A:AL,19,FALSE)-50))</f>
        <v>-</v>
      </c>
      <c r="U345" s="9">
        <f>IF(ISERROR(VLOOKUP($A345,'SegEnds_NonXtal_BW#'!$A:$Z,15,FALSE)+VLOOKUP($A345,A:AL,22,FALSE)-50),"-",VLOOKUP($A345,'SegEnds_NonXtal_BW#'!$A:$Z,15,FALSE)+VLOOKUP($A345,A:AL,22,FALSE)-50)</f>
        <v>2478</v>
      </c>
      <c r="V345" s="3">
        <v>2487</v>
      </c>
      <c r="W345" s="3">
        <f>IF(ISERROR(VLOOKUP($A345,'SegEnds_NonXtal_BW#'!$A:$Z,16,FALSE)+VLOOKUP($A345,A:AL,22,FALSE)-50),"-",(VLOOKUP($A345,'SegEnds_NonXtal_BW#'!$A:$Z,16,FALSE)+VLOOKUP($A345,A:AL,22,FALSE)-50))</f>
        <v>2504</v>
      </c>
      <c r="X345" s="3">
        <f>IF(ISERROR(VLOOKUP($A345,'SegEnds_NonXtal_BW#'!$A:$Z,17,FALSE)+VLOOKUP($A345,A:AL,25,FALSE)-50),"-",(VLOOKUP($A345,'SegEnds_NonXtal_BW#'!$A:$Z,17,FALSE)+VLOOKUP($A345,A:AL,25,FALSE)-50))</f>
        <v>2511</v>
      </c>
      <c r="Y345" s="3">
        <v>2511</v>
      </c>
      <c r="Z345" s="3">
        <f t="shared" si="179"/>
        <v>2513</v>
      </c>
      <c r="AA345" s="3">
        <f>IF(ISERROR(VLOOKUP($A345,'SegEnds_NonXtal_BW#'!$A:$Z,19,FALSE)+VLOOKUP($A345,A:AL,28,FALSE)-50),"-",(VLOOKUP($A345,'SegEnds_NonXtal_BW#'!$A:$Z,19,FALSE)+VLOOKUP($A345,A:AL,28,FALSE)-50))</f>
        <v>2516</v>
      </c>
      <c r="AB345" s="3">
        <v>2530</v>
      </c>
      <c r="AC345" s="3">
        <f>IF(ISERROR((VLOOKUP($A345,'SegEnds_NonXtal_BW#'!$A:$Z,20,FALSE)+VLOOKUP($A345,A:AL,28,FALSE)-50)),"-",(VLOOKUP($A345,'SegEnds_NonXtal_BW#'!$A:$Z,20,FALSE)+VLOOKUP($A345,A:AL,28,FALSE)-50))</f>
        <v>2549</v>
      </c>
      <c r="AD345" s="3">
        <f>IF(ISERROR(VLOOKUP($A345,'SegEnds_NonXtal_BW#'!$A:$Z,21,FALSE)+VLOOKUP($A345,A:AL,31,FALSE)-50),"-",(VLOOKUP($A345,'SegEnds_NonXtal_BW#'!$A:$Z,21,FALSE)+VLOOKUP($A345,A:AL,31,FALSE)-50))</f>
        <v>2557</v>
      </c>
      <c r="AE345" s="3">
        <v>2578</v>
      </c>
      <c r="AF345" s="3">
        <f>IF(ISERROR((VLOOKUP($A345,'SegEnds_NonXtal_BW#'!$A:$Z,22,FALSE)+VLOOKUP($A345,A:AL,31,FALSE)-50)),"-",(VLOOKUP($A345,'SegEnds_NonXtal_BW#'!$A:$Z,22,FALSE)+VLOOKUP($A345,A:AL,31,FALSE)-50))</f>
        <v>2581</v>
      </c>
      <c r="AG345" s="3">
        <f>IF(ISERROR(VLOOKUP($A345,'SegEnds_NonXtal_BW#'!$A:$Z,23,FALSE)+VLOOKUP($A345,A:AL,34,FALSE)-50),"-",(VLOOKUP($A345,'SegEnds_NonXtal_BW#'!$A:$Z,23,FALSE)+VLOOKUP($A345,A:AL,34,FALSE)-50))</f>
        <v>2587</v>
      </c>
      <c r="AH345" s="3">
        <v>2606</v>
      </c>
      <c r="AI345" s="3">
        <f>IF(ISERROR((VLOOKUP($A345,'SegEnds_NonXtal_BW#'!$A:$Z,24,FALSE)+VLOOKUP($A345,A:AL,34,FALSE)-50)),"-",(VLOOKUP($A345,'SegEnds_NonXtal_BW#'!$A:$Z,24,FALSE)+VLOOKUP($A345,A:AL,34,FALSE)-50))</f>
        <v>2612</v>
      </c>
      <c r="AJ345" s="3">
        <f>IF(ISERROR(VLOOKUP($A345,'SegEnds_NonXtal_BW#'!$A:$Z,25,FALSE)+VLOOKUP($A345,A:AL,37,FALSE)-50),"-",(VLOOKUP($A345,'SegEnds_NonXtal_BW#'!$A:$Z,25,FALSE)+VLOOKUP($A345,A:AL,37,FALSE)-50))</f>
        <v>2613</v>
      </c>
      <c r="AK345" s="3">
        <v>2616</v>
      </c>
      <c r="AL345" s="3">
        <f>IF(ISERROR((VLOOKUP($A345,'SegEnds_NonXtal_BW#'!$A:$Z,26,FALSE)+VLOOKUP($A345,A:AL,37,FALSE)-50)),"-",(VLOOKUP($A345,'SegEnds_NonXtal_BW#'!$A:$Z,26,FALSE)+VLOOKUP($A345,A:AL,37,FALSE)-50))</f>
        <v>2629</v>
      </c>
      <c r="AM345" s="28" t="str">
        <f>VLOOKUP(A345,Classification!A:B,2,FALSE)</f>
        <v>B2</v>
      </c>
      <c r="AN345" s="28" t="b">
        <f t="shared" si="195"/>
        <v>1</v>
      </c>
      <c r="AO345" s="3" t="str">
        <f>IF(ISERROR(MATCH(A345,'SegEnds_Xtal_Prot#'!B:B, 0)), "NoXtal", "Xtal")</f>
        <v>NoXtal</v>
      </c>
      <c r="AP345" s="3">
        <f t="shared" si="180"/>
        <v>1</v>
      </c>
      <c r="AQ345" s="3">
        <f t="shared" si="181"/>
        <v>1</v>
      </c>
      <c r="AR345" s="3" t="str">
        <f t="shared" si="182"/>
        <v>-</v>
      </c>
      <c r="AS345" s="3" t="str">
        <f t="shared" si="183"/>
        <v>-</v>
      </c>
      <c r="AT345" s="3" t="str">
        <f t="shared" si="184"/>
        <v>-</v>
      </c>
      <c r="AU345" s="3" t="str">
        <f t="shared" si="185"/>
        <v>-</v>
      </c>
      <c r="AV345" s="3">
        <f t="shared" si="186"/>
        <v>7</v>
      </c>
      <c r="AW345" s="3">
        <f t="shared" si="187"/>
        <v>3</v>
      </c>
      <c r="AX345" s="3">
        <f t="shared" si="188"/>
        <v>8</v>
      </c>
      <c r="AY345" s="3">
        <f t="shared" si="189"/>
        <v>6</v>
      </c>
      <c r="AZ345" s="3">
        <f t="shared" si="190"/>
        <v>1</v>
      </c>
      <c r="BA345" s="3">
        <f>IF(ISERROR(LEN(VLOOKUP(A345,Seqs!A:E,2,FALSE))-AL345),"-",LEN(VLOOKUP(A345,Seqs!A:E,2,FALSE))-AL345)</f>
        <v>294</v>
      </c>
      <c r="BB345" s="16">
        <f t="shared" si="191"/>
        <v>28</v>
      </c>
      <c r="BC345" s="9" t="str">
        <f t="shared" si="192"/>
        <v>-</v>
      </c>
      <c r="BD345" s="3">
        <f t="shared" si="193"/>
        <v>28</v>
      </c>
      <c r="BE345" s="3">
        <f t="shared" si="194"/>
        <v>48</v>
      </c>
    </row>
    <row r="346" spans="1:58" s="3" customFormat="1" x14ac:dyDescent="0.2">
      <c r="A346" s="3" t="s">
        <v>420</v>
      </c>
      <c r="B346" s="3" t="str">
        <f>LOWER(VLOOKUP(A346,Xtal_Templ!A:B,2,FALSE))</f>
        <v>crfr1_human</v>
      </c>
      <c r="C346" s="3">
        <f>VLOOKUP($A346,'SegEnds_NonXtal_BW#'!$A:$Z,3,FALSE)+D346-50</f>
        <v>2527</v>
      </c>
      <c r="D346" s="3">
        <v>2554</v>
      </c>
      <c r="E346" s="3">
        <f>IF(ISERROR(VLOOKUP($A346,'SegEnds_NonXtal_BW#'!$A:$Z,4,FALSE)+VLOOKUP($A346,A:AL,4,FALSE)-50),"-",(VLOOKUP($A346,'SegEnds_NonXtal_BW#'!$A:$Z,4,FALSE)+VLOOKUP($A346,A:AL,4,FALSE)-50))</f>
        <v>2564</v>
      </c>
      <c r="F346" s="3">
        <f>G346-2</f>
        <v>2565</v>
      </c>
      <c r="G346" s="3">
        <v>2567</v>
      </c>
      <c r="H346" s="3">
        <f t="shared" si="196"/>
        <v>2568</v>
      </c>
      <c r="I346" s="3">
        <f t="shared" si="196"/>
        <v>2569</v>
      </c>
      <c r="J346" s="3">
        <v>2582</v>
      </c>
      <c r="K346" s="3">
        <f>VLOOKUP($A346,'SegEnds_NonXtal_BW#'!$A:$Z,8,FALSE)+VLOOKUP($A346,A:AL,10,FALSE)-50</f>
        <v>2595</v>
      </c>
      <c r="L346" s="3" t="str">
        <f>IF(ISERROR(VLOOKUP($A346,'SegEnds_NonXtal_BW#'!$A:$Z,9,FALSE)+VLOOKUP($A346,A:AL,13,FALSE)-50),"-",(VLOOKUP($A346,'SegEnds_NonXtal_BW#'!$A:$Z,9,FALSE)+VLOOKUP($A346,A:AL,13,FALSE)-50))</f>
        <v>-</v>
      </c>
      <c r="M346" s="3" t="s">
        <v>23</v>
      </c>
      <c r="N346" s="3" t="str">
        <f>IF(ISERROR(VLOOKUP($A346,'SegEnds_NonXtal_BW#'!$A:$Z,10,FALSE)+VLOOKUP($A346,A:AL,13,FALSE)-50),"-",(VLOOKUP($A346,'SegEnds_NonXtal_BW#'!$A:$Z,10,FALSE)+VLOOKUP($A346,A:AL,13,FALSE)-50))</f>
        <v>-</v>
      </c>
      <c r="O346" s="3">
        <f>VLOOKUP($A346,'SegEnds_NonXtal_BW#'!$A:$Z,11,FALSE)+VLOOKUP($A346,A:AL,16,FALSE)-50</f>
        <v>2600</v>
      </c>
      <c r="P346" s="3">
        <v>2627</v>
      </c>
      <c r="Q346" s="3">
        <f>VLOOKUP($A346,'SegEnds_NonXtal_BW#'!$A:$Z,12,FALSE)+VLOOKUP($A346,A:AL,16,FALSE)-50</f>
        <v>2633</v>
      </c>
      <c r="R346" s="3" t="str">
        <f>IF(ISERROR(VLOOKUP($A346,'SegEnds_NonXtal_BW#'!$A:$Z,13,FALSE)+VLOOKUP($A346,A:AL,19,FALSE)-50),"-",VLOOKUP($A346,'SegEnds_NonXtal_BW#'!$A:$Z,13,FALSE)+VLOOKUP($A346,A:AL,19,FALSE)-50)</f>
        <v>-</v>
      </c>
      <c r="S346" s="3" t="s">
        <v>23</v>
      </c>
      <c r="T346" s="100" t="str">
        <f>IF(ISERROR(VLOOKUP($A346,'SegEnds_NonXtal_BW#'!$A:$Z,14,FALSE)+VLOOKUP($A346,A:AL,19,FALSE)-50),"-",(VLOOKUP($A346,'SegEnds_NonXtal_BW#'!$A:$Z,14,FALSE)+VLOOKUP($A346,A:AL,19,FALSE)-50))</f>
        <v>-</v>
      </c>
      <c r="U346" s="9">
        <f>IF(ISERROR(VLOOKUP($A346,'SegEnds_NonXtal_BW#'!$A:$Z,15,FALSE)+VLOOKUP($A346,A:AL,22,FALSE)-50),"-",VLOOKUP($A346,'SegEnds_NonXtal_BW#'!$A:$Z,15,FALSE)+VLOOKUP($A346,A:AL,22,FALSE)-50)</f>
        <v>2640</v>
      </c>
      <c r="V346" s="3">
        <v>2650</v>
      </c>
      <c r="W346" s="3">
        <f>IF(ISERROR(VLOOKUP($A346,'SegEnds_NonXtal_BW#'!$A:$Z,16,FALSE)+VLOOKUP($A346,A:AL,22,FALSE)-50),"-",(VLOOKUP($A346,'SegEnds_NonXtal_BW#'!$A:$Z,16,FALSE)+VLOOKUP($A346,A:AL,22,FALSE)-50))</f>
        <v>2668</v>
      </c>
      <c r="X346" s="3">
        <f>IF(ISERROR(VLOOKUP($A346,'SegEnds_NonXtal_BW#'!$A:$Z,17,FALSE)+VLOOKUP($A346,A:AL,25,FALSE)-50),"-",(VLOOKUP($A346,'SegEnds_NonXtal_BW#'!$A:$Z,17,FALSE)+VLOOKUP($A346,A:AL,25,FALSE)-50))</f>
        <v>2674</v>
      </c>
      <c r="Y346" s="3">
        <v>2674</v>
      </c>
      <c r="Z346" s="3">
        <f t="shared" si="179"/>
        <v>2676</v>
      </c>
      <c r="AA346" s="3">
        <f>IF(ISERROR(VLOOKUP($A346,'SegEnds_NonXtal_BW#'!$A:$Z,19,FALSE)+VLOOKUP($A346,A:AL,28,FALSE)-50),"-",(VLOOKUP($A346,'SegEnds_NonXtal_BW#'!$A:$Z,19,FALSE)+VLOOKUP($A346,A:AL,28,FALSE)-50))</f>
        <v>2679</v>
      </c>
      <c r="AB346" s="3">
        <v>2693</v>
      </c>
      <c r="AC346" s="3">
        <f>IF(ISERROR((VLOOKUP($A346,'SegEnds_NonXtal_BW#'!$A:$Z,20,FALSE)+VLOOKUP($A346,A:AL,28,FALSE)-50)),"-",(VLOOKUP($A346,'SegEnds_NonXtal_BW#'!$A:$Z,20,FALSE)+VLOOKUP($A346,A:AL,28,FALSE)-50))</f>
        <v>2712</v>
      </c>
      <c r="AD346" s="3">
        <f>IF(ISERROR(VLOOKUP($A346,'SegEnds_NonXtal_BW#'!$A:$Z,21,FALSE)+VLOOKUP($A346,A:AL,31,FALSE)-50),"-",(VLOOKUP($A346,'SegEnds_NonXtal_BW#'!$A:$Z,21,FALSE)+VLOOKUP($A346,A:AL,31,FALSE)-50))</f>
        <v>2719</v>
      </c>
      <c r="AE346" s="3">
        <v>2740</v>
      </c>
      <c r="AF346" s="3">
        <f>IF(ISERROR((VLOOKUP($A346,'SegEnds_NonXtal_BW#'!$A:$Z,22,FALSE)+VLOOKUP($A346,A:AL,31,FALSE)-50)),"-",(VLOOKUP($A346,'SegEnds_NonXtal_BW#'!$A:$Z,22,FALSE)+VLOOKUP($A346,A:AL,31,FALSE)-50))</f>
        <v>2743</v>
      </c>
      <c r="AG346" s="3">
        <f>IF(ISERROR(VLOOKUP($A346,'SegEnds_NonXtal_BW#'!$A:$Z,23,FALSE)+VLOOKUP($A346,A:AL,34,FALSE)-50),"-",(VLOOKUP($A346,'SegEnds_NonXtal_BW#'!$A:$Z,23,FALSE)+VLOOKUP($A346,A:AL,34,FALSE)-50))</f>
        <v>2749</v>
      </c>
      <c r="AH346" s="3">
        <v>2768</v>
      </c>
      <c r="AI346" s="3">
        <f>IF(ISERROR((VLOOKUP($A346,'SegEnds_NonXtal_BW#'!$A:$Z,24,FALSE)+VLOOKUP($A346,A:AL,34,FALSE)-50)),"-",(VLOOKUP($A346,'SegEnds_NonXtal_BW#'!$A:$Z,24,FALSE)+VLOOKUP($A346,A:AL,34,FALSE)-50))</f>
        <v>2774</v>
      </c>
      <c r="AJ346" s="3">
        <f>IF(ISERROR(VLOOKUP($A346,'SegEnds_NonXtal_BW#'!$A:$Z,25,FALSE)+VLOOKUP($A346,A:AL,37,FALSE)-50),"-",(VLOOKUP($A346,'SegEnds_NonXtal_BW#'!$A:$Z,25,FALSE)+VLOOKUP($A346,A:AL,37,FALSE)-50))</f>
        <v>2775</v>
      </c>
      <c r="AK346" s="3">
        <v>2778</v>
      </c>
      <c r="AL346" s="3">
        <f>IF(ISERROR((VLOOKUP($A346,'SegEnds_NonXtal_BW#'!$A:$Z,26,FALSE)+VLOOKUP($A346,A:AL,37,FALSE)-50)),"-",(VLOOKUP($A346,'SegEnds_NonXtal_BW#'!$A:$Z,26,FALSE)+VLOOKUP($A346,A:AL,37,FALSE)-50))</f>
        <v>2791</v>
      </c>
      <c r="AM346" s="28" t="str">
        <f>VLOOKUP(A346,Classification!A:B,2,FALSE)</f>
        <v>B2</v>
      </c>
      <c r="AN346" s="28" t="b">
        <f t="shared" si="195"/>
        <v>1</v>
      </c>
      <c r="AO346" s="3" t="str">
        <f>IF(ISERROR(MATCH(A346,'SegEnds_Xtal_Prot#'!B:B, 0)), "NoXtal", "Xtal")</f>
        <v>NoXtal</v>
      </c>
      <c r="AP346" s="3">
        <f t="shared" si="180"/>
        <v>1</v>
      </c>
      <c r="AQ346" s="3">
        <f t="shared" si="181"/>
        <v>1</v>
      </c>
      <c r="AR346" s="3" t="str">
        <f t="shared" si="182"/>
        <v>-</v>
      </c>
      <c r="AS346" s="3" t="str">
        <f t="shared" si="183"/>
        <v>-</v>
      </c>
      <c r="AT346" s="3" t="str">
        <f t="shared" si="184"/>
        <v>-</v>
      </c>
      <c r="AU346" s="3" t="str">
        <f t="shared" si="185"/>
        <v>-</v>
      </c>
      <c r="AV346" s="3">
        <f t="shared" si="186"/>
        <v>6</v>
      </c>
      <c r="AW346" s="3">
        <f t="shared" si="187"/>
        <v>3</v>
      </c>
      <c r="AX346" s="3">
        <f t="shared" si="188"/>
        <v>7</v>
      </c>
      <c r="AY346" s="3">
        <f t="shared" si="189"/>
        <v>6</v>
      </c>
      <c r="AZ346" s="3">
        <f t="shared" si="190"/>
        <v>1</v>
      </c>
      <c r="BA346" s="3">
        <f>IF(ISERROR(LEN(VLOOKUP(A346,Seqs!A:E,2,FALSE))-AL346),"-",LEN(VLOOKUP(A346,Seqs!A:E,2,FALSE))-AL346)</f>
        <v>521</v>
      </c>
      <c r="BB346" s="16">
        <f t="shared" si="191"/>
        <v>28</v>
      </c>
      <c r="BC346" s="9" t="str">
        <f t="shared" si="192"/>
        <v>-</v>
      </c>
      <c r="BD346" s="3">
        <f t="shared" si="193"/>
        <v>28</v>
      </c>
      <c r="BE346" s="3">
        <f t="shared" si="194"/>
        <v>47</v>
      </c>
    </row>
    <row r="347" spans="1:58" s="3" customFormat="1" x14ac:dyDescent="0.2">
      <c r="A347" s="3" t="s">
        <v>442</v>
      </c>
      <c r="B347" s="3" t="str">
        <f>LOWER(VLOOKUP(A347,Xtal_Templ!A:B,2,FALSE))</f>
        <v>crfr1_human</v>
      </c>
      <c r="C347" s="3">
        <f>VLOOKUP($A347,'SegEnds_NonXtal_BW#'!$A:$Z,3,FALSE)+D347-50</f>
        <v>5895</v>
      </c>
      <c r="D347" s="3">
        <v>5922</v>
      </c>
      <c r="E347" s="3">
        <f>IF(ISERROR(VLOOKUP($A347,'SegEnds_NonXtal_BW#'!$A:$Z,4,FALSE)+VLOOKUP($A347,A:AL,4,FALSE)-50),"-",(VLOOKUP($A347,'SegEnds_NonXtal_BW#'!$A:$Z,4,FALSE)+VLOOKUP($A347,A:AL,4,FALSE)-50))</f>
        <v>5932</v>
      </c>
      <c r="F347" s="3" t="s">
        <v>23</v>
      </c>
      <c r="G347" s="3" t="s">
        <v>23</v>
      </c>
      <c r="H347" s="3" t="s">
        <v>23</v>
      </c>
      <c r="I347" s="3">
        <f>VLOOKUP($A347,'SegEnds_NonXtal_BW#'!$A:$Z,7,FALSE)+J347-50</f>
        <v>5935</v>
      </c>
      <c r="J347" s="3">
        <v>5948</v>
      </c>
      <c r="K347" s="3">
        <f>VLOOKUP($A347,'SegEnds_NonXtal_BW#'!$A:$Z,8,FALSE)+VLOOKUP($A347,A:AL,10,FALSE)-50</f>
        <v>5961</v>
      </c>
      <c r="L347" s="3" t="str">
        <f>IF(ISERROR(VLOOKUP($A347,'SegEnds_NonXtal_BW#'!$A:$Z,9,FALSE)+VLOOKUP($A347,A:AL,13,FALSE)-50),"-",(VLOOKUP($A347,'SegEnds_NonXtal_BW#'!$A:$Z,9,FALSE)+VLOOKUP($A347,A:AL,13,FALSE)-50))</f>
        <v>-</v>
      </c>
      <c r="M347" s="3" t="s">
        <v>23</v>
      </c>
      <c r="N347" s="3" t="str">
        <f>IF(ISERROR(VLOOKUP($A347,'SegEnds_NonXtal_BW#'!$A:$Z,10,FALSE)+VLOOKUP($A347,A:AL,13,FALSE)-50),"-",(VLOOKUP($A347,'SegEnds_NonXtal_BW#'!$A:$Z,10,FALSE)+VLOOKUP($A347,A:AL,13,FALSE)-50))</f>
        <v>-</v>
      </c>
      <c r="O347" s="3">
        <f>VLOOKUP($A347,'SegEnds_NonXtal_BW#'!$A:$Z,11,FALSE)+VLOOKUP($A347,A:AL,16,FALSE)-50</f>
        <v>5968</v>
      </c>
      <c r="P347" s="3">
        <v>5995</v>
      </c>
      <c r="Q347" s="3">
        <f>VLOOKUP($A347,'SegEnds_NonXtal_BW#'!$A:$Z,12,FALSE)+VLOOKUP($A347,A:AL,16,FALSE)-50</f>
        <v>6001</v>
      </c>
      <c r="R347" s="3" t="str">
        <f>IF(ISERROR(VLOOKUP($A347,'SegEnds_NonXtal_BW#'!$A:$Z,13,FALSE)+VLOOKUP($A347,A:AL,19,FALSE)-50),"-",VLOOKUP($A347,'SegEnds_NonXtal_BW#'!$A:$Z,13,FALSE)+VLOOKUP($A347,A:AL,19,FALSE)-50)</f>
        <v>-</v>
      </c>
      <c r="S347" s="3" t="s">
        <v>23</v>
      </c>
      <c r="T347" s="100" t="str">
        <f>IF(ISERROR(VLOOKUP($A347,'SegEnds_NonXtal_BW#'!$A:$Z,14,FALSE)+VLOOKUP($A347,A:AL,19,FALSE)-50),"-",(VLOOKUP($A347,'SegEnds_NonXtal_BW#'!$A:$Z,14,FALSE)+VLOOKUP($A347,A:AL,19,FALSE)-50))</f>
        <v>-</v>
      </c>
      <c r="U347" s="9">
        <f>IF(ISERROR(VLOOKUP($A347,'SegEnds_NonXtal_BW#'!$A:$Z,15,FALSE)+VLOOKUP($A347,A:AL,22,FALSE)-50),"-",VLOOKUP($A347,'SegEnds_NonXtal_BW#'!$A:$Z,15,FALSE)+VLOOKUP($A347,A:AL,22,FALSE)-50)</f>
        <v>6008</v>
      </c>
      <c r="V347" s="3">
        <v>6018</v>
      </c>
      <c r="W347" s="3">
        <f>IF(ISERROR(VLOOKUP($A347,'SegEnds_NonXtal_BW#'!$A:$Z,16,FALSE)+VLOOKUP($A347,A:AL,22,FALSE)-50),"-",(VLOOKUP($A347,'SegEnds_NonXtal_BW#'!$A:$Z,16,FALSE)+VLOOKUP($A347,A:AL,22,FALSE)-50))</f>
        <v>6036</v>
      </c>
      <c r="X347" s="3">
        <f>IF(ISERROR(VLOOKUP($A347,'SegEnds_NonXtal_BW#'!$A:$Z,17,FALSE)+VLOOKUP($A347,A:AL,25,FALSE)-50),"-",(VLOOKUP($A347,'SegEnds_NonXtal_BW#'!$A:$Z,17,FALSE)+VLOOKUP($A347,A:AL,25,FALSE)-50))</f>
        <v>6052</v>
      </c>
      <c r="Y347" s="3">
        <v>6052</v>
      </c>
      <c r="Z347" s="3">
        <f t="shared" si="179"/>
        <v>6054</v>
      </c>
      <c r="AA347" s="3">
        <f>IF(ISERROR(VLOOKUP($A347,'SegEnds_NonXtal_BW#'!$A:$Z,19,FALSE)+VLOOKUP($A347,A:AL,28,FALSE)-50),"-",(VLOOKUP($A347,'SegEnds_NonXtal_BW#'!$A:$Z,19,FALSE)+VLOOKUP($A347,A:AL,28,FALSE)-50))</f>
        <v>6058</v>
      </c>
      <c r="AB347" s="3">
        <v>6072</v>
      </c>
      <c r="AC347" s="3">
        <f>IF(ISERROR((VLOOKUP($A347,'SegEnds_NonXtal_BW#'!$A:$Z,20,FALSE)+VLOOKUP($A347,A:AL,28,FALSE)-50)),"-",(VLOOKUP($A347,'SegEnds_NonXtal_BW#'!$A:$Z,20,FALSE)+VLOOKUP($A347,A:AL,28,FALSE)-50))</f>
        <v>6091</v>
      </c>
      <c r="AD347" s="3">
        <f>IF(ISERROR(VLOOKUP($A347,'SegEnds_NonXtal_BW#'!$A:$Z,21,FALSE)+VLOOKUP($A347,A:AL,31,FALSE)-50),"-",(VLOOKUP($A347,'SegEnds_NonXtal_BW#'!$A:$Z,21,FALSE)+VLOOKUP($A347,A:AL,31,FALSE)-50))</f>
        <v>6100</v>
      </c>
      <c r="AE347" s="3">
        <v>6121</v>
      </c>
      <c r="AF347" s="3">
        <f>IF(ISERROR((VLOOKUP($A347,'SegEnds_NonXtal_BW#'!$A:$Z,22,FALSE)+VLOOKUP($A347,A:AL,31,FALSE)-50)),"-",(VLOOKUP($A347,'SegEnds_NonXtal_BW#'!$A:$Z,22,FALSE)+VLOOKUP($A347,A:AL,31,FALSE)-50))</f>
        <v>6124</v>
      </c>
      <c r="AG347" s="3">
        <f>IF(ISERROR(VLOOKUP($A347,'SegEnds_NonXtal_BW#'!$A:$Z,23,FALSE)+VLOOKUP($A347,A:AL,34,FALSE)-50),"-",(VLOOKUP($A347,'SegEnds_NonXtal_BW#'!$A:$Z,23,FALSE)+VLOOKUP($A347,A:AL,34,FALSE)-50))</f>
        <v>6130</v>
      </c>
      <c r="AH347" s="3">
        <v>6149</v>
      </c>
      <c r="AI347" s="3">
        <f>IF(ISERROR((VLOOKUP($A347,'SegEnds_NonXtal_BW#'!$A:$Z,24,FALSE)+VLOOKUP($A347,A:AL,34,FALSE)-50)),"-",(VLOOKUP($A347,'SegEnds_NonXtal_BW#'!$A:$Z,24,FALSE)+VLOOKUP($A347,A:AL,34,FALSE)-50))</f>
        <v>6155</v>
      </c>
      <c r="AJ347" s="3">
        <f>IF(ISERROR(VLOOKUP($A347,'SegEnds_NonXtal_BW#'!$A:$Z,25,FALSE)+VLOOKUP($A347,A:AL,37,FALSE)-50),"-",(VLOOKUP($A347,'SegEnds_NonXtal_BW#'!$A:$Z,25,FALSE)+VLOOKUP($A347,A:AL,37,FALSE)-50))</f>
        <v>6156</v>
      </c>
      <c r="AK347" s="3">
        <v>6159</v>
      </c>
      <c r="AL347" s="3">
        <f>IF(ISERROR((VLOOKUP($A347,'SegEnds_NonXtal_BW#'!$A:$Z,26,FALSE)+VLOOKUP($A347,A:AL,37,FALSE)-50)),"-",(VLOOKUP($A347,'SegEnds_NonXtal_BW#'!$A:$Z,26,FALSE)+VLOOKUP($A347,A:AL,37,FALSE)-50))</f>
        <v>6172</v>
      </c>
      <c r="AM347" s="28" t="str">
        <f>VLOOKUP(A347,Classification!A:B,2,FALSE)</f>
        <v>B2</v>
      </c>
      <c r="AN347" s="28" t="b">
        <f t="shared" si="195"/>
        <v>1</v>
      </c>
      <c r="AO347" s="3" t="str">
        <f>IF(ISERROR(MATCH(A347,'SegEnds_Xtal_Prot#'!B:B, 0)), "NoXtal", "Xtal")</f>
        <v>NoXtal</v>
      </c>
      <c r="AP347" s="3" t="str">
        <f t="shared" si="180"/>
        <v>-</v>
      </c>
      <c r="AQ347" s="3" t="str">
        <f t="shared" si="181"/>
        <v>-</v>
      </c>
      <c r="AR347" s="3" t="str">
        <f t="shared" si="182"/>
        <v>-</v>
      </c>
      <c r="AS347" s="3" t="str">
        <f t="shared" si="183"/>
        <v>-</v>
      </c>
      <c r="AT347" s="3" t="str">
        <f t="shared" si="184"/>
        <v>-</v>
      </c>
      <c r="AU347" s="3" t="str">
        <f t="shared" si="185"/>
        <v>-</v>
      </c>
      <c r="AV347" s="3">
        <f t="shared" si="186"/>
        <v>16</v>
      </c>
      <c r="AW347" s="3">
        <f t="shared" si="187"/>
        <v>4</v>
      </c>
      <c r="AX347" s="3">
        <f t="shared" si="188"/>
        <v>9</v>
      </c>
      <c r="AY347" s="3">
        <f t="shared" si="189"/>
        <v>6</v>
      </c>
      <c r="AZ347" s="3">
        <f t="shared" si="190"/>
        <v>1</v>
      </c>
      <c r="BA347" s="3">
        <f>IF(ISERROR(LEN(VLOOKUP(A347,Seqs!A:E,2,FALSE))-AL347),"-",LEN(VLOOKUP(A347,Seqs!A:E,2,FALSE))-AL347)</f>
        <v>134</v>
      </c>
      <c r="BB347" s="16">
        <f t="shared" si="191"/>
        <v>26</v>
      </c>
      <c r="BC347" s="9" t="str">
        <f t="shared" si="192"/>
        <v>-</v>
      </c>
      <c r="BD347" s="3">
        <f t="shared" si="193"/>
        <v>26</v>
      </c>
      <c r="BE347" s="3">
        <f t="shared" si="194"/>
        <v>49</v>
      </c>
    </row>
    <row r="348" spans="1:58" s="3" customFormat="1" x14ac:dyDescent="0.2">
      <c r="A348" s="3" t="s">
        <v>105</v>
      </c>
      <c r="B348" s="3" t="str">
        <f>LOWER(VLOOKUP(A348,Xtal_Templ!A:B,2,FALSE))</f>
        <v>grm5_human</v>
      </c>
      <c r="C348" s="3">
        <f>VLOOKUP($A348,'SegEnds_NonXtal_BW#'!$A:$Z,3,FALSE)+D348-50</f>
        <v>611</v>
      </c>
      <c r="D348" s="3">
        <v>627</v>
      </c>
      <c r="E348" s="3">
        <f>IF(ISERROR(VLOOKUP($A348,'SegEnds_NonXtal_BW#'!$A:$Z,4,FALSE)+VLOOKUP($A348,A:AL,4,FALSE)-50),"-",(VLOOKUP($A348,'SegEnds_NonXtal_BW#'!$A:$Z,4,FALSE)+VLOOKUP($A348,A:AL,4,FALSE)-50))</f>
        <v>637</v>
      </c>
      <c r="F348" s="3">
        <f t="shared" ref="F348:F380" si="197">G348-3</f>
        <v>640</v>
      </c>
      <c r="G348" s="3">
        <v>643</v>
      </c>
      <c r="H348" s="3">
        <f t="shared" ref="H348:H369" si="198">G348+3</f>
        <v>646</v>
      </c>
      <c r="I348" s="3">
        <f t="shared" ref="I348:I380" si="199">H348+1</f>
        <v>647</v>
      </c>
      <c r="J348" s="3">
        <v>658</v>
      </c>
      <c r="K348" s="3">
        <f>VLOOKUP($A348,'SegEnds_NonXtal_BW#'!$A:$Z,8,FALSE)+VLOOKUP($A348,A:AL,10,FALSE)-50</f>
        <v>669</v>
      </c>
      <c r="L348" s="3" t="str">
        <f>IF(ISERROR(VLOOKUP($A348,'SegEnds_NonXtal_BW#'!$A:$Z,9,FALSE)+VLOOKUP($A348,A:AL,13,FALSE)-50),"-",(VLOOKUP($A348,'SegEnds_NonXtal_BW#'!$A:$Z,9,FALSE)+VLOOKUP($A348,A:AL,13,FALSE)-50))</f>
        <v>-</v>
      </c>
      <c r="M348" s="3" t="s">
        <v>23</v>
      </c>
      <c r="N348" s="3" t="str">
        <f>IF(ISERROR(VLOOKUP($A348,'SegEnds_NonXtal_BW#'!$A:$Z,10,FALSE)+VLOOKUP($A348,A:AL,13,FALSE)-50),"-",(VLOOKUP($A348,'SegEnds_NonXtal_BW#'!$A:$Z,10,FALSE)+VLOOKUP($A348,A:AL,13,FALSE)-50))</f>
        <v>-</v>
      </c>
      <c r="O348" s="3">
        <f>VLOOKUP($A348,'SegEnds_NonXtal_BW#'!$A:$Z,11,FALSE)+VLOOKUP($A348,A:AL,16,FALSE)-50</f>
        <v>674</v>
      </c>
      <c r="P348" s="3">
        <v>702</v>
      </c>
      <c r="Q348" s="3">
        <f>VLOOKUP($A348,'SegEnds_NonXtal_BW#'!$A:$Z,12,FALSE)+VLOOKUP($A348,A:AL,16,FALSE)-50</f>
        <v>706</v>
      </c>
      <c r="R348" s="3" t="str">
        <f>IF(ISERROR(VLOOKUP($A348,'SegEnds_NonXtal_BW#'!$A:$Z,13,FALSE)+VLOOKUP($A348,A:AL,19,FALSE)-50),"-",VLOOKUP($A348,'SegEnds_NonXtal_BW#'!$A:$Z,13,FALSE)+VLOOKUP($A348,A:AL,19,FALSE)-50)</f>
        <v>-</v>
      </c>
      <c r="S348" s="3" t="s">
        <v>23</v>
      </c>
      <c r="T348" s="100" t="str">
        <f>IF(ISERROR(VLOOKUP($A348,'SegEnds_NonXtal_BW#'!$A:$Z,14,FALSE)+VLOOKUP($A348,A:AL,19,FALSE)-50),"-",(VLOOKUP($A348,'SegEnds_NonXtal_BW#'!$A:$Z,14,FALSE)+VLOOKUP($A348,A:AL,19,FALSE)-50))</f>
        <v>-</v>
      </c>
      <c r="U348" s="9">
        <f>IF(ISERROR(VLOOKUP($A348,'SegEnds_NonXtal_BW#'!$A:$Z,15,FALSE)+VLOOKUP($A348,A:AL,22,FALSE)-50),"-",VLOOKUP($A348,'SegEnds_NonXtal_BW#'!$A:$Z,15,FALSE)+VLOOKUP($A348,A:AL,22,FALSE)-50)</f>
        <v>720</v>
      </c>
      <c r="V348" s="3">
        <v>732</v>
      </c>
      <c r="W348" s="3">
        <f>IF(ISERROR(VLOOKUP($A348,'SegEnds_NonXtal_BW#'!$A:$Z,16,FALSE)+VLOOKUP($A348,A:AL,22,FALSE)-50),"-",(VLOOKUP($A348,'SegEnds_NonXtal_BW#'!$A:$Z,16,FALSE)+VLOOKUP($A348,A:AL,22,FALSE)-50))</f>
        <v>746</v>
      </c>
      <c r="X348" s="3">
        <f>IF(ISERROR(VLOOKUP($A348,'SegEnds_NonXtal_BW#'!$A:$Z,17,FALSE)+VLOOKUP($A348,A:AL,25,FALSE)-50),"-",(VLOOKUP($A348,'SegEnds_NonXtal_BW#'!$A:$Z,17,FALSE)+VLOOKUP($A348,A:AL,25,FALSE)-50))</f>
        <v>765</v>
      </c>
      <c r="Y348" s="3">
        <v>765</v>
      </c>
      <c r="Z348" s="3">
        <f t="shared" si="179"/>
        <v>767</v>
      </c>
      <c r="AA348" s="3">
        <f>IF(ISERROR(VLOOKUP($A348,'SegEnds_NonXtal_BW#'!$A:$Z,19,FALSE)+VLOOKUP($A348,A:AL,28,FALSE)-50),"-",(VLOOKUP($A348,'SegEnds_NonXtal_BW#'!$A:$Z,19,FALSE)+VLOOKUP($A348,A:AL,28,FALSE)-50))</f>
        <v>769</v>
      </c>
      <c r="AB348" s="3">
        <v>783</v>
      </c>
      <c r="AC348" s="3">
        <f>IF(ISERROR((VLOOKUP($A348,'SegEnds_NonXtal_BW#'!$A:$Z,20,FALSE)+VLOOKUP($A348,A:AL,28,FALSE)-50)),"-",(VLOOKUP($A348,'SegEnds_NonXtal_BW#'!$A:$Z,20,FALSE)+VLOOKUP($A348,A:AL,28,FALSE)-50))</f>
        <v>794</v>
      </c>
      <c r="AD348" s="3">
        <f>IF(ISERROR(VLOOKUP($A348,'SegEnds_NonXtal_BW#'!$A:$Z,21,FALSE)+VLOOKUP($A348,A:AL,31,FALSE)-50),"-",(VLOOKUP($A348,'SegEnds_NonXtal_BW#'!$A:$Z,21,FALSE)+VLOOKUP($A348,A:AL,31,FALSE)-50))</f>
        <v>803</v>
      </c>
      <c r="AE348" s="3">
        <v>820</v>
      </c>
      <c r="AF348" s="3">
        <f>IF(ISERROR((VLOOKUP($A348,'SegEnds_NonXtal_BW#'!$A:$Z,22,FALSE)+VLOOKUP($A348,A:AL,31,FALSE)-50)),"-",(VLOOKUP($A348,'SegEnds_NonXtal_BW#'!$A:$Z,22,FALSE)+VLOOKUP($A348,A:AL,31,FALSE)-50))</f>
        <v>827</v>
      </c>
      <c r="AG348" s="3">
        <f>IF(ISERROR(VLOOKUP($A348,'SegEnds_NonXtal_BW#'!$A:$Z,23,FALSE)+VLOOKUP($A348,A:AL,34,FALSE)-50),"-",(VLOOKUP($A348,'SegEnds_NonXtal_BW#'!$A:$Z,23,FALSE)+VLOOKUP($A348,A:AL,34,FALSE)-50))</f>
        <v>832</v>
      </c>
      <c r="AH348" s="3">
        <v>849</v>
      </c>
      <c r="AI348" s="3">
        <f>IF(ISERROR((VLOOKUP($A348,'SegEnds_NonXtal_BW#'!$A:$Z,24,FALSE)+VLOOKUP($A348,A:AL,34,FALSE)-50)),"-",(VLOOKUP($A348,'SegEnds_NonXtal_BW#'!$A:$Z,24,FALSE)+VLOOKUP($A348,A:AL,34,FALSE)-50))</f>
        <v>863</v>
      </c>
      <c r="AJ348" s="3">
        <f>IF(ISERROR(VLOOKUP($A348,'SegEnds_NonXtal_BW#'!$A:$Z,25,FALSE)+VLOOKUP($A348,A:AL,37,FALSE)-50),"-",(VLOOKUP($A348,'SegEnds_NonXtal_BW#'!$A:$Z,25,FALSE)+VLOOKUP($A348,A:AL,37,FALSE)-50))</f>
        <v>864</v>
      </c>
      <c r="AK348" s="3">
        <v>868</v>
      </c>
      <c r="AL348" s="3">
        <f>IF(ISERROR((VLOOKUP($A348,'SegEnds_NonXtal_BW#'!$A:$Z,26,FALSE)+VLOOKUP($A348,A:AL,37,FALSE)-50)),"-",(VLOOKUP($A348,'SegEnds_NonXtal_BW#'!$A:$Z,26,FALSE)+VLOOKUP($A348,A:AL,37,FALSE)-50))</f>
        <v>875</v>
      </c>
      <c r="AM348" s="28" t="str">
        <f>VLOOKUP(A348,Classification!A:B,2,FALSE)</f>
        <v>C</v>
      </c>
      <c r="AN348" s="28" t="b">
        <f t="shared" si="195"/>
        <v>1</v>
      </c>
      <c r="AO348" s="3" t="str">
        <f>IF(ISERROR(MATCH(A348,'SegEnds_Xtal_Prot#'!B:B, 0)), "NoXtal", "Xtal")</f>
        <v>NoXtal</v>
      </c>
      <c r="AP348" s="3">
        <f t="shared" si="180"/>
        <v>3</v>
      </c>
      <c r="AQ348" s="3">
        <f t="shared" si="181"/>
        <v>1</v>
      </c>
      <c r="AR348" s="3" t="str">
        <f t="shared" si="182"/>
        <v>-</v>
      </c>
      <c r="AS348" s="3" t="str">
        <f t="shared" si="183"/>
        <v>-</v>
      </c>
      <c r="AT348" s="3" t="str">
        <f t="shared" si="184"/>
        <v>-</v>
      </c>
      <c r="AU348" s="3" t="str">
        <f t="shared" si="185"/>
        <v>-</v>
      </c>
      <c r="AV348" s="3">
        <f t="shared" si="186"/>
        <v>19</v>
      </c>
      <c r="AW348" s="3">
        <f t="shared" si="187"/>
        <v>2</v>
      </c>
      <c r="AX348" s="3">
        <f t="shared" si="188"/>
        <v>9</v>
      </c>
      <c r="AY348" s="3">
        <f t="shared" si="189"/>
        <v>5</v>
      </c>
      <c r="AZ348" s="3">
        <f t="shared" si="190"/>
        <v>1</v>
      </c>
      <c r="BA348" s="3">
        <f>IF(ISERROR(LEN(VLOOKUP(A348,Seqs!A:E,2,FALSE))-AL348),"-",LEN(VLOOKUP(A348,Seqs!A:E,2,FALSE))-AL348)</f>
        <v>203</v>
      </c>
      <c r="BB348" s="16">
        <f t="shared" si="191"/>
        <v>31</v>
      </c>
      <c r="BC348" s="9" t="str">
        <f t="shared" si="192"/>
        <v>-</v>
      </c>
      <c r="BD348" s="3">
        <f t="shared" si="193"/>
        <v>31</v>
      </c>
      <c r="BE348" s="3">
        <f t="shared" si="194"/>
        <v>37</v>
      </c>
    </row>
    <row r="349" spans="1:58" s="3" customFormat="1" x14ac:dyDescent="0.2">
      <c r="A349" s="3" t="s">
        <v>106</v>
      </c>
      <c r="B349" s="3" t="str">
        <f>LOWER(VLOOKUP(A349,Xtal_Templ!A:B,2,FALSE))</f>
        <v>grm5_human</v>
      </c>
      <c r="C349" s="3">
        <f>VLOOKUP($A349,'SegEnds_NonXtal_BW#'!$A:$Z,3,FALSE)+D349-50</f>
        <v>590</v>
      </c>
      <c r="D349" s="3">
        <v>606</v>
      </c>
      <c r="E349" s="3">
        <f>IF(ISERROR(VLOOKUP($A349,'SegEnds_NonXtal_BW#'!$A:$Z,4,FALSE)+VLOOKUP($A349,A:AL,4,FALSE)-50),"-",(VLOOKUP($A349,'SegEnds_NonXtal_BW#'!$A:$Z,4,FALSE)+VLOOKUP($A349,A:AL,4,FALSE)-50))</f>
        <v>616</v>
      </c>
      <c r="F349" s="3">
        <f t="shared" si="197"/>
        <v>619</v>
      </c>
      <c r="G349" s="3">
        <v>622</v>
      </c>
      <c r="H349" s="3">
        <f t="shared" si="198"/>
        <v>625</v>
      </c>
      <c r="I349" s="3">
        <f t="shared" si="199"/>
        <v>626</v>
      </c>
      <c r="J349" s="3">
        <v>637</v>
      </c>
      <c r="K349" s="3">
        <f>VLOOKUP($A349,'SegEnds_NonXtal_BW#'!$A:$Z,8,FALSE)+VLOOKUP($A349,A:AL,10,FALSE)-50</f>
        <v>648</v>
      </c>
      <c r="L349" s="3" t="str">
        <f>IF(ISERROR(VLOOKUP($A349,'SegEnds_NonXtal_BW#'!$A:$Z,9,FALSE)+VLOOKUP($A349,A:AL,13,FALSE)-50),"-",(VLOOKUP($A349,'SegEnds_NonXtal_BW#'!$A:$Z,9,FALSE)+VLOOKUP($A349,A:AL,13,FALSE)-50))</f>
        <v>-</v>
      </c>
      <c r="M349" s="3" t="s">
        <v>23</v>
      </c>
      <c r="N349" s="3" t="str">
        <f>IF(ISERROR(VLOOKUP($A349,'SegEnds_NonXtal_BW#'!$A:$Z,10,FALSE)+VLOOKUP($A349,A:AL,13,FALSE)-50),"-",(VLOOKUP($A349,'SegEnds_NonXtal_BW#'!$A:$Z,10,FALSE)+VLOOKUP($A349,A:AL,13,FALSE)-50))</f>
        <v>-</v>
      </c>
      <c r="O349" s="3">
        <f>VLOOKUP($A349,'SegEnds_NonXtal_BW#'!$A:$Z,11,FALSE)+VLOOKUP($A349,A:AL,16,FALSE)-50</f>
        <v>660</v>
      </c>
      <c r="P349" s="3">
        <v>688</v>
      </c>
      <c r="Q349" s="3">
        <f>VLOOKUP($A349,'SegEnds_NonXtal_BW#'!$A:$Z,12,FALSE)+VLOOKUP($A349,A:AL,16,FALSE)-50</f>
        <v>692</v>
      </c>
      <c r="R349" s="3" t="str">
        <f>IF(ISERROR(VLOOKUP($A349,'SegEnds_NonXtal_BW#'!$A:$Z,13,FALSE)+VLOOKUP($A349,A:AL,19,FALSE)-50),"-",VLOOKUP($A349,'SegEnds_NonXtal_BW#'!$A:$Z,13,FALSE)+VLOOKUP($A349,A:AL,19,FALSE)-50)</f>
        <v>-</v>
      </c>
      <c r="S349" s="3" t="s">
        <v>23</v>
      </c>
      <c r="T349" s="100" t="str">
        <f>IF(ISERROR(VLOOKUP($A349,'SegEnds_NonXtal_BW#'!$A:$Z,14,FALSE)+VLOOKUP($A349,A:AL,19,FALSE)-50),"-",(VLOOKUP($A349,'SegEnds_NonXtal_BW#'!$A:$Z,14,FALSE)+VLOOKUP($A349,A:AL,19,FALSE)-50))</f>
        <v>-</v>
      </c>
      <c r="U349" s="9">
        <f>IF(ISERROR(VLOOKUP($A349,'SegEnds_NonXtal_BW#'!$A:$Z,15,FALSE)+VLOOKUP($A349,A:AL,22,FALSE)-50),"-",VLOOKUP($A349,'SegEnds_NonXtal_BW#'!$A:$Z,15,FALSE)+VLOOKUP($A349,A:AL,22,FALSE)-50)</f>
        <v>706</v>
      </c>
      <c r="V349" s="3">
        <v>718</v>
      </c>
      <c r="W349" s="3">
        <f>IF(ISERROR(VLOOKUP($A349,'SegEnds_NonXtal_BW#'!$A:$Z,16,FALSE)+VLOOKUP($A349,A:AL,22,FALSE)-50),"-",(VLOOKUP($A349,'SegEnds_NonXtal_BW#'!$A:$Z,16,FALSE)+VLOOKUP($A349,A:AL,22,FALSE)-50))</f>
        <v>732</v>
      </c>
      <c r="X349" s="3">
        <f>IF(ISERROR(VLOOKUP($A349,'SegEnds_NonXtal_BW#'!$A:$Z,17,FALSE)+VLOOKUP($A349,A:AL,25,FALSE)-50),"-",(VLOOKUP($A349,'SegEnds_NonXtal_BW#'!$A:$Z,17,FALSE)+VLOOKUP($A349,A:AL,25,FALSE)-50))</f>
        <v>761</v>
      </c>
      <c r="Y349" s="3">
        <v>761</v>
      </c>
      <c r="Z349" s="3">
        <f t="shared" si="179"/>
        <v>763</v>
      </c>
      <c r="AA349" s="3">
        <f>IF(ISERROR(VLOOKUP($A349,'SegEnds_NonXtal_BW#'!$A:$Z,19,FALSE)+VLOOKUP($A349,A:AL,28,FALSE)-50),"-",(VLOOKUP($A349,'SegEnds_NonXtal_BW#'!$A:$Z,19,FALSE)+VLOOKUP($A349,A:AL,28,FALSE)-50))</f>
        <v>766</v>
      </c>
      <c r="AB349" s="3">
        <v>780</v>
      </c>
      <c r="AC349" s="3">
        <f>IF(ISERROR((VLOOKUP($A349,'SegEnds_NonXtal_BW#'!$A:$Z,20,FALSE)+VLOOKUP($A349,A:AL,28,FALSE)-50)),"-",(VLOOKUP($A349,'SegEnds_NonXtal_BW#'!$A:$Z,20,FALSE)+VLOOKUP($A349,A:AL,28,FALSE)-50))</f>
        <v>791</v>
      </c>
      <c r="AD349" s="3">
        <f>IF(ISERROR(VLOOKUP($A349,'SegEnds_NonXtal_BW#'!$A:$Z,21,FALSE)+VLOOKUP($A349,A:AL,31,FALSE)-50),"-",(VLOOKUP($A349,'SegEnds_NonXtal_BW#'!$A:$Z,21,FALSE)+VLOOKUP($A349,A:AL,31,FALSE)-50))</f>
        <v>801</v>
      </c>
      <c r="AE349" s="3">
        <v>818</v>
      </c>
      <c r="AF349" s="3">
        <f>IF(ISERROR((VLOOKUP($A349,'SegEnds_NonXtal_BW#'!$A:$Z,22,FALSE)+VLOOKUP($A349,A:AL,31,FALSE)-50)),"-",(VLOOKUP($A349,'SegEnds_NonXtal_BW#'!$A:$Z,22,FALSE)+VLOOKUP($A349,A:AL,31,FALSE)-50))</f>
        <v>825</v>
      </c>
      <c r="AG349" s="3">
        <f>IF(ISERROR(VLOOKUP($A349,'SegEnds_NonXtal_BW#'!$A:$Z,23,FALSE)+VLOOKUP($A349,A:AL,34,FALSE)-50),"-",(VLOOKUP($A349,'SegEnds_NonXtal_BW#'!$A:$Z,23,FALSE)+VLOOKUP($A349,A:AL,34,FALSE)-50))</f>
        <v>832</v>
      </c>
      <c r="AH349" s="3">
        <v>849</v>
      </c>
      <c r="AI349" s="3">
        <f>IF(ISERROR((VLOOKUP($A349,'SegEnds_NonXtal_BW#'!$A:$Z,24,FALSE)+VLOOKUP($A349,A:AL,34,FALSE)-50)),"-",(VLOOKUP($A349,'SegEnds_NonXtal_BW#'!$A:$Z,24,FALSE)+VLOOKUP($A349,A:AL,34,FALSE)-50))</f>
        <v>863</v>
      </c>
      <c r="AJ349" s="3">
        <f>IF(ISERROR(VLOOKUP($A349,'SegEnds_NonXtal_BW#'!$A:$Z,25,FALSE)+VLOOKUP($A349,A:AL,37,FALSE)-50),"-",(VLOOKUP($A349,'SegEnds_NonXtal_BW#'!$A:$Z,25,FALSE)+VLOOKUP($A349,A:AL,37,FALSE)-50))</f>
        <v>864</v>
      </c>
      <c r="AK349" s="3">
        <v>868</v>
      </c>
      <c r="AL349" s="3">
        <f>IF(ISERROR((VLOOKUP($A349,'SegEnds_NonXtal_BW#'!$A:$Z,26,FALSE)+VLOOKUP($A349,A:AL,37,FALSE)-50)),"-",(VLOOKUP($A349,'SegEnds_NonXtal_BW#'!$A:$Z,26,FALSE)+VLOOKUP($A349,A:AL,37,FALSE)-50))</f>
        <v>875</v>
      </c>
      <c r="AM349" s="28" t="str">
        <f>VLOOKUP(A349,Classification!A:B,2,FALSE)</f>
        <v>C</v>
      </c>
      <c r="AN349" s="28" t="b">
        <f t="shared" si="195"/>
        <v>1</v>
      </c>
      <c r="AO349" s="3" t="str">
        <f>IF(ISERROR(MATCH(A349,'SegEnds_Xtal_Prot#'!B:B, 0)), "NoXtal", "Xtal")</f>
        <v>NoXtal</v>
      </c>
      <c r="AP349" s="3">
        <f t="shared" si="180"/>
        <v>3</v>
      </c>
      <c r="AQ349" s="3">
        <f t="shared" si="181"/>
        <v>1</v>
      </c>
      <c r="AR349" s="3" t="str">
        <f t="shared" si="182"/>
        <v>-</v>
      </c>
      <c r="AS349" s="3" t="str">
        <f t="shared" si="183"/>
        <v>-</v>
      </c>
      <c r="AT349" s="3" t="str">
        <f t="shared" si="184"/>
        <v>-</v>
      </c>
      <c r="AU349" s="3" t="str">
        <f t="shared" si="185"/>
        <v>-</v>
      </c>
      <c r="AV349" s="3">
        <f t="shared" si="186"/>
        <v>29</v>
      </c>
      <c r="AW349" s="3">
        <f t="shared" si="187"/>
        <v>3</v>
      </c>
      <c r="AX349" s="3">
        <f t="shared" si="188"/>
        <v>10</v>
      </c>
      <c r="AY349" s="3">
        <f t="shared" si="189"/>
        <v>7</v>
      </c>
      <c r="AZ349" s="3">
        <f t="shared" si="190"/>
        <v>1</v>
      </c>
      <c r="BA349" s="3">
        <f>IF(ISERROR(LEN(VLOOKUP(A349,Seqs!A:E,2,FALSE))-AL349),"-",LEN(VLOOKUP(A349,Seqs!A:E,2,FALSE))-AL349)</f>
        <v>86</v>
      </c>
      <c r="BB349" s="16">
        <f t="shared" si="191"/>
        <v>31</v>
      </c>
      <c r="BC349" s="9" t="str">
        <f t="shared" si="192"/>
        <v>-</v>
      </c>
      <c r="BD349" s="3">
        <f t="shared" si="193"/>
        <v>31</v>
      </c>
      <c r="BE349" s="3">
        <f t="shared" si="194"/>
        <v>38</v>
      </c>
    </row>
    <row r="350" spans="1:58" s="3" customFormat="1" x14ac:dyDescent="0.2">
      <c r="A350" s="3" t="s">
        <v>107</v>
      </c>
      <c r="B350" s="3" t="str">
        <f>LOWER(VLOOKUP(A350,Xtal_Templ!A:B,2,FALSE))</f>
        <v>grm5_human</v>
      </c>
      <c r="C350" s="3">
        <f>VLOOKUP($A350,'SegEnds_NonXtal_BW#'!$A:$Z,3,FALSE)+D350-50</f>
        <v>480</v>
      </c>
      <c r="D350" s="3">
        <v>496</v>
      </c>
      <c r="E350" s="3">
        <f>IF(ISERROR(VLOOKUP($A350,'SegEnds_NonXtal_BW#'!$A:$Z,4,FALSE)+VLOOKUP($A350,A:AL,4,FALSE)-50),"-",(VLOOKUP($A350,'SegEnds_NonXtal_BW#'!$A:$Z,4,FALSE)+VLOOKUP($A350,A:AL,4,FALSE)-50))</f>
        <v>506</v>
      </c>
      <c r="F350" s="3">
        <f t="shared" si="197"/>
        <v>509</v>
      </c>
      <c r="G350" s="3">
        <v>512</v>
      </c>
      <c r="H350" s="3">
        <f t="shared" si="198"/>
        <v>515</v>
      </c>
      <c r="I350" s="3">
        <f t="shared" si="199"/>
        <v>516</v>
      </c>
      <c r="J350" s="3">
        <v>527</v>
      </c>
      <c r="K350" s="3">
        <f>VLOOKUP($A350,'SegEnds_NonXtal_BW#'!$A:$Z,8,FALSE)+VLOOKUP($A350,A:AL,10,FALSE)-50</f>
        <v>538</v>
      </c>
      <c r="L350" s="3" t="str">
        <f>IF(ISERROR(VLOOKUP($A350,'SegEnds_NonXtal_BW#'!$A:$Z,9,FALSE)+VLOOKUP($A350,A:AL,13,FALSE)-50),"-",(VLOOKUP($A350,'SegEnds_NonXtal_BW#'!$A:$Z,9,FALSE)+VLOOKUP($A350,A:AL,13,FALSE)-50))</f>
        <v>-</v>
      </c>
      <c r="M350" s="3" t="s">
        <v>23</v>
      </c>
      <c r="N350" s="3" t="str">
        <f>IF(ISERROR(VLOOKUP($A350,'SegEnds_NonXtal_BW#'!$A:$Z,10,FALSE)+VLOOKUP($A350,A:AL,13,FALSE)-50),"-",(VLOOKUP($A350,'SegEnds_NonXtal_BW#'!$A:$Z,10,FALSE)+VLOOKUP($A350,A:AL,13,FALSE)-50))</f>
        <v>-</v>
      </c>
      <c r="O350" s="3">
        <f>VLOOKUP($A350,'SegEnds_NonXtal_BW#'!$A:$Z,11,FALSE)+VLOOKUP($A350,A:AL,16,FALSE)-50</f>
        <v>550</v>
      </c>
      <c r="P350" s="3">
        <v>578</v>
      </c>
      <c r="Q350" s="3">
        <f>VLOOKUP($A350,'SegEnds_NonXtal_BW#'!$A:$Z,12,FALSE)+VLOOKUP($A350,A:AL,16,FALSE)-50</f>
        <v>582</v>
      </c>
      <c r="R350" s="3" t="str">
        <f>IF(ISERROR(VLOOKUP($A350,'SegEnds_NonXtal_BW#'!$A:$Z,13,FALSE)+VLOOKUP($A350,A:AL,19,FALSE)-50),"-",VLOOKUP($A350,'SegEnds_NonXtal_BW#'!$A:$Z,13,FALSE)+VLOOKUP($A350,A:AL,19,FALSE)-50)</f>
        <v>-</v>
      </c>
      <c r="S350" s="3" t="s">
        <v>23</v>
      </c>
      <c r="T350" s="100" t="str">
        <f>IF(ISERROR(VLOOKUP($A350,'SegEnds_NonXtal_BW#'!$A:$Z,14,FALSE)+VLOOKUP($A350,A:AL,19,FALSE)-50),"-",(VLOOKUP($A350,'SegEnds_NonXtal_BW#'!$A:$Z,14,FALSE)+VLOOKUP($A350,A:AL,19,FALSE)-50))</f>
        <v>-</v>
      </c>
      <c r="U350" s="9">
        <f>IF(ISERROR(VLOOKUP($A350,'SegEnds_NonXtal_BW#'!$A:$Z,15,FALSE)+VLOOKUP($A350,A:AL,22,FALSE)-50),"-",VLOOKUP($A350,'SegEnds_NonXtal_BW#'!$A:$Z,15,FALSE)+VLOOKUP($A350,A:AL,22,FALSE)-50)</f>
        <v>593</v>
      </c>
      <c r="V350" s="3">
        <v>605</v>
      </c>
      <c r="W350" s="3">
        <f>IF(ISERROR(VLOOKUP($A350,'SegEnds_NonXtal_BW#'!$A:$Z,16,FALSE)+VLOOKUP($A350,A:AL,22,FALSE)-50),"-",(VLOOKUP($A350,'SegEnds_NonXtal_BW#'!$A:$Z,16,FALSE)+VLOOKUP($A350,A:AL,22,FALSE)-50))</f>
        <v>619</v>
      </c>
      <c r="X350" s="3">
        <f>IF(ISERROR(VLOOKUP($A350,'SegEnds_NonXtal_BW#'!$A:$Z,17,FALSE)+VLOOKUP($A350,A:AL,25,FALSE)-50),"-",(VLOOKUP($A350,'SegEnds_NonXtal_BW#'!$A:$Z,17,FALSE)+VLOOKUP($A350,A:AL,25,FALSE)-50))</f>
        <v>648</v>
      </c>
      <c r="Y350" s="3">
        <v>648</v>
      </c>
      <c r="Z350" s="3">
        <f t="shared" si="179"/>
        <v>650</v>
      </c>
      <c r="AA350" s="3">
        <f>IF(ISERROR(VLOOKUP($A350,'SegEnds_NonXtal_BW#'!$A:$Z,19,FALSE)+VLOOKUP($A350,A:AL,28,FALSE)-50),"-",(VLOOKUP($A350,'SegEnds_NonXtal_BW#'!$A:$Z,19,FALSE)+VLOOKUP($A350,A:AL,28,FALSE)-50))</f>
        <v>653</v>
      </c>
      <c r="AB350" s="3">
        <v>667</v>
      </c>
      <c r="AC350" s="3">
        <f>IF(ISERROR((VLOOKUP($A350,'SegEnds_NonXtal_BW#'!$A:$Z,20,FALSE)+VLOOKUP($A350,A:AL,28,FALSE)-50)),"-",(VLOOKUP($A350,'SegEnds_NonXtal_BW#'!$A:$Z,20,FALSE)+VLOOKUP($A350,A:AL,28,FALSE)-50))</f>
        <v>678</v>
      </c>
      <c r="AD350" s="3">
        <f>IF(ISERROR(VLOOKUP($A350,'SegEnds_NonXtal_BW#'!$A:$Z,21,FALSE)+VLOOKUP($A350,A:AL,31,FALSE)-50),"-",(VLOOKUP($A350,'SegEnds_NonXtal_BW#'!$A:$Z,21,FALSE)+VLOOKUP($A350,A:AL,31,FALSE)-50))</f>
        <v>688</v>
      </c>
      <c r="AE350" s="3">
        <v>705</v>
      </c>
      <c r="AF350" s="3">
        <f>IF(ISERROR((VLOOKUP($A350,'SegEnds_NonXtal_BW#'!$A:$Z,22,FALSE)+VLOOKUP($A350,A:AL,31,FALSE)-50)),"-",(VLOOKUP($A350,'SegEnds_NonXtal_BW#'!$A:$Z,22,FALSE)+VLOOKUP($A350,A:AL,31,FALSE)-50))</f>
        <v>712</v>
      </c>
      <c r="AG350" s="3">
        <f>IF(ISERROR(VLOOKUP($A350,'SegEnds_NonXtal_BW#'!$A:$Z,23,FALSE)+VLOOKUP($A350,A:AL,34,FALSE)-50),"-",(VLOOKUP($A350,'SegEnds_NonXtal_BW#'!$A:$Z,23,FALSE)+VLOOKUP($A350,A:AL,34,FALSE)-50))</f>
        <v>719</v>
      </c>
      <c r="AH350" s="3">
        <v>736</v>
      </c>
      <c r="AI350" s="3">
        <f>IF(ISERROR((VLOOKUP($A350,'SegEnds_NonXtal_BW#'!$A:$Z,24,FALSE)+VLOOKUP($A350,A:AL,34,FALSE)-50)),"-",(VLOOKUP($A350,'SegEnds_NonXtal_BW#'!$A:$Z,24,FALSE)+VLOOKUP($A350,A:AL,34,FALSE)-50))</f>
        <v>750</v>
      </c>
      <c r="AJ350" s="3">
        <f>IF(ISERROR(VLOOKUP($A350,'SegEnds_NonXtal_BW#'!$A:$Z,25,FALSE)+VLOOKUP($A350,A:AL,37,FALSE)-50),"-",(VLOOKUP($A350,'SegEnds_NonXtal_BW#'!$A:$Z,25,FALSE)+VLOOKUP($A350,A:AL,37,FALSE)-50))</f>
        <v>751</v>
      </c>
      <c r="AK350" s="3">
        <v>755</v>
      </c>
      <c r="AL350" s="3">
        <f>IF(ISERROR((VLOOKUP($A350,'SegEnds_NonXtal_BW#'!$A:$Z,26,FALSE)+VLOOKUP($A350,A:AL,37,FALSE)-50)),"-",(VLOOKUP($A350,'SegEnds_NonXtal_BW#'!$A:$Z,26,FALSE)+VLOOKUP($A350,A:AL,37,FALSE)-50))</f>
        <v>762</v>
      </c>
      <c r="AM350" s="28" t="str">
        <f>VLOOKUP(A350,Classification!A:B,2,FALSE)</f>
        <v>C</v>
      </c>
      <c r="AN350" s="28" t="b">
        <f t="shared" si="195"/>
        <v>1</v>
      </c>
      <c r="AO350" s="3" t="str">
        <f>IF(ISERROR(MATCH(A350,'SegEnds_Xtal_Prot#'!B:B, 0)), "NoXtal", "Xtal")</f>
        <v>NoXtal</v>
      </c>
      <c r="AP350" s="3">
        <f t="shared" si="180"/>
        <v>3</v>
      </c>
      <c r="AQ350" s="3">
        <f t="shared" si="181"/>
        <v>1</v>
      </c>
      <c r="AR350" s="3" t="str">
        <f t="shared" si="182"/>
        <v>-</v>
      </c>
      <c r="AS350" s="3" t="str">
        <f t="shared" si="183"/>
        <v>-</v>
      </c>
      <c r="AT350" s="3" t="str">
        <f t="shared" si="184"/>
        <v>-</v>
      </c>
      <c r="AU350" s="3" t="str">
        <f t="shared" si="185"/>
        <v>-</v>
      </c>
      <c r="AV350" s="3">
        <f t="shared" si="186"/>
        <v>29</v>
      </c>
      <c r="AW350" s="3">
        <f t="shared" si="187"/>
        <v>3</v>
      </c>
      <c r="AX350" s="3">
        <f t="shared" si="188"/>
        <v>10</v>
      </c>
      <c r="AY350" s="3">
        <f t="shared" si="189"/>
        <v>7</v>
      </c>
      <c r="AZ350" s="3">
        <f t="shared" si="190"/>
        <v>1</v>
      </c>
      <c r="BA350" s="3">
        <f>IF(ISERROR(LEN(VLOOKUP(A350,Seqs!A:E,2,FALSE))-AL350),"-",LEN(VLOOKUP(A350,Seqs!A:E,2,FALSE))-AL350)</f>
        <v>179</v>
      </c>
      <c r="BB350" s="16">
        <f t="shared" si="191"/>
        <v>31</v>
      </c>
      <c r="BC350" s="9" t="str">
        <f t="shared" si="192"/>
        <v>-</v>
      </c>
      <c r="BD350" s="3">
        <f t="shared" si="193"/>
        <v>31</v>
      </c>
      <c r="BE350" s="3">
        <f t="shared" si="194"/>
        <v>38</v>
      </c>
    </row>
    <row r="351" spans="1:58" s="3" customFormat="1" x14ac:dyDescent="0.2">
      <c r="A351" s="3" t="s">
        <v>108</v>
      </c>
      <c r="B351" s="3" t="str">
        <f>LOWER(VLOOKUP(A351,Xtal_Templ!A:B,2,FALSE))</f>
        <v>grm1_human</v>
      </c>
      <c r="C351" s="3">
        <f>VLOOKUP($A351,'SegEnds_NonXtal_BW#'!$A:$Z,3,FALSE)+D351-50</f>
        <v>48</v>
      </c>
      <c r="D351" s="3">
        <v>64</v>
      </c>
      <c r="E351" s="3">
        <f>IF(ISERROR(VLOOKUP($A351,'SegEnds_NonXtal_BW#'!$A:$Z,4,FALSE)+VLOOKUP($A351,A:AL,4,FALSE)-50),"-",(VLOOKUP($A351,'SegEnds_NonXtal_BW#'!$A:$Z,4,FALSE)+VLOOKUP($A351,A:AL,4,FALSE)-50))</f>
        <v>74</v>
      </c>
      <c r="F351" s="3">
        <f t="shared" si="197"/>
        <v>77</v>
      </c>
      <c r="G351" s="3">
        <v>80</v>
      </c>
      <c r="H351" s="3">
        <f t="shared" si="198"/>
        <v>83</v>
      </c>
      <c r="I351" s="3">
        <f t="shared" si="199"/>
        <v>84</v>
      </c>
      <c r="J351" s="3">
        <v>95</v>
      </c>
      <c r="K351" s="3">
        <f>VLOOKUP($A351,'SegEnds_NonXtal_BW#'!$A:$Z,8,FALSE)+VLOOKUP($A351,A:AL,10,FALSE)-50</f>
        <v>106</v>
      </c>
      <c r="L351" s="3" t="str">
        <f>IF(ISERROR(VLOOKUP($A351,'SegEnds_NonXtal_BW#'!$A:$Z,9,FALSE)+VLOOKUP($A351,A:AL,13,FALSE)-50),"-",(VLOOKUP($A351,'SegEnds_NonXtal_BW#'!$A:$Z,9,FALSE)+VLOOKUP($A351,A:AL,13,FALSE)-50))</f>
        <v>-</v>
      </c>
      <c r="M351" s="3" t="s">
        <v>23</v>
      </c>
      <c r="N351" s="3" t="str">
        <f>IF(ISERROR(VLOOKUP($A351,'SegEnds_NonXtal_BW#'!$A:$Z,10,FALSE)+VLOOKUP($A351,A:AL,13,FALSE)-50),"-",(VLOOKUP($A351,'SegEnds_NonXtal_BW#'!$A:$Z,10,FALSE)+VLOOKUP($A351,A:AL,13,FALSE)-50))</f>
        <v>-</v>
      </c>
      <c r="O351" s="3">
        <f>VLOOKUP($A351,'SegEnds_NonXtal_BW#'!$A:$Z,11,FALSE)+VLOOKUP($A351,A:AL,16,FALSE)-50</f>
        <v>117</v>
      </c>
      <c r="P351" s="3">
        <v>145</v>
      </c>
      <c r="Q351" s="3">
        <f>VLOOKUP($A351,'SegEnds_NonXtal_BW#'!$A:$Z,12,FALSE)+VLOOKUP($A351,A:AL,16,FALSE)-50</f>
        <v>149</v>
      </c>
      <c r="R351" s="3" t="str">
        <f>IF(ISERROR(VLOOKUP($A351,'SegEnds_NonXtal_BW#'!$A:$Z,13,FALSE)+VLOOKUP($A351,A:AL,19,FALSE)-50),"-",VLOOKUP($A351,'SegEnds_NonXtal_BW#'!$A:$Z,13,FALSE)+VLOOKUP($A351,A:AL,19,FALSE)-50)</f>
        <v>-</v>
      </c>
      <c r="S351" s="3" t="s">
        <v>23</v>
      </c>
      <c r="T351" s="100" t="str">
        <f>IF(ISERROR(VLOOKUP($A351,'SegEnds_NonXtal_BW#'!$A:$Z,14,FALSE)+VLOOKUP($A351,A:AL,19,FALSE)-50),"-",(VLOOKUP($A351,'SegEnds_NonXtal_BW#'!$A:$Z,14,FALSE)+VLOOKUP($A351,A:AL,19,FALSE)-50))</f>
        <v>-</v>
      </c>
      <c r="U351" s="9">
        <f>IF(ISERROR(VLOOKUP($A351,'SegEnds_NonXtal_BW#'!$A:$Z,15,FALSE)+VLOOKUP($A351,A:AL,22,FALSE)-50),"-",VLOOKUP($A351,'SegEnds_NonXtal_BW#'!$A:$Z,15,FALSE)+VLOOKUP($A351,A:AL,22,FALSE)-50)</f>
        <v>161</v>
      </c>
      <c r="V351" s="3">
        <v>173</v>
      </c>
      <c r="W351" s="3">
        <f>IF(ISERROR(VLOOKUP($A351,'SegEnds_NonXtal_BW#'!$A:$Z,16,FALSE)+VLOOKUP($A351,A:AL,22,FALSE)-50),"-",(VLOOKUP($A351,'SegEnds_NonXtal_BW#'!$A:$Z,16,FALSE)+VLOOKUP($A351,A:AL,22,FALSE)-50))</f>
        <v>187</v>
      </c>
      <c r="X351" s="3">
        <f>IF(ISERROR(VLOOKUP($A351,'SegEnds_NonXtal_BW#'!$A:$Z,17,FALSE)+VLOOKUP($A351,A:AL,25,FALSE)-50),"-",(VLOOKUP($A351,'SegEnds_NonXtal_BW#'!$A:$Z,17,FALSE)+VLOOKUP($A351,A:AL,25,FALSE)-50))</f>
        <v>216</v>
      </c>
      <c r="Y351" s="105">
        <v>216</v>
      </c>
      <c r="Z351" s="3">
        <f>IF(ISERROR(VLOOKUP($A351,'SegEnds_NonXtal_BW#'!$A:$Z,18,FALSE)+VLOOKUP($A351,A:AL,25,FALSE)-50),"-",(VLOOKUP($A351,'SegEnds_NonXtal_BW#'!$A:$Z,18,FALSE)+VLOOKUP($A351,A:AL,25,FALSE)-50))</f>
        <v>218</v>
      </c>
      <c r="AA351" s="3">
        <f>IF(ISERROR(VLOOKUP($A351,'SegEnds_NonXtal_BW#'!$A:$Z,19,FALSE)+VLOOKUP($A351,A:AL,28,FALSE)-50),"-",(VLOOKUP($A351,'SegEnds_NonXtal_BW#'!$A:$Z,19,FALSE)+VLOOKUP($A351,A:AL,28,FALSE)-50))</f>
        <v>221</v>
      </c>
      <c r="AB351" s="3">
        <v>235</v>
      </c>
      <c r="AC351" s="3">
        <f>IF(ISERROR((VLOOKUP($A351,'SegEnds_NonXtal_BW#'!$A:$Z,20,FALSE)+VLOOKUP($A351,A:AL,28,FALSE)-50)),"-",(VLOOKUP($A351,'SegEnds_NonXtal_BW#'!$A:$Z,20,FALSE)+VLOOKUP($A351,A:AL,28,FALSE)-50))</f>
        <v>246</v>
      </c>
      <c r="AD351" s="3">
        <f>IF(ISERROR(VLOOKUP($A351,'SegEnds_NonXtal_BW#'!$A:$Z,21,FALSE)+VLOOKUP($A351,A:AL,31,FALSE)-50),"-",(VLOOKUP($A351,'SegEnds_NonXtal_BW#'!$A:$Z,21,FALSE)+VLOOKUP($A351,A:AL,31,FALSE)-50))</f>
        <v>257</v>
      </c>
      <c r="AE351" s="3">
        <v>274</v>
      </c>
      <c r="AF351" s="3">
        <f>IF(ISERROR((VLOOKUP($A351,'SegEnds_NonXtal_BW#'!$A:$Z,22,FALSE)+VLOOKUP($A351,A:AL,31,FALSE)-50)),"-",(VLOOKUP($A351,'SegEnds_NonXtal_BW#'!$A:$Z,22,FALSE)+VLOOKUP($A351,A:AL,31,FALSE)-50))</f>
        <v>281</v>
      </c>
      <c r="AG351" s="3">
        <f>IF(ISERROR(VLOOKUP($A351,'SegEnds_NonXtal_BW#'!$A:$Z,23,FALSE)+VLOOKUP($A351,A:AL,34,FALSE)-50),"-",(VLOOKUP($A351,'SegEnds_NonXtal_BW#'!$A:$Z,23,FALSE)+VLOOKUP($A351,A:AL,34,FALSE)-50))</f>
        <v>287</v>
      </c>
      <c r="AH351" s="3">
        <v>304</v>
      </c>
      <c r="AI351" s="3">
        <f>IF(ISERROR((VLOOKUP($A351,'SegEnds_NonXtal_BW#'!$A:$Z,24,FALSE)+VLOOKUP($A351,A:AL,34,FALSE)-50)),"-",(VLOOKUP($A351,'SegEnds_NonXtal_BW#'!$A:$Z,24,FALSE)+VLOOKUP($A351,A:AL,34,FALSE)-50))</f>
        <v>318</v>
      </c>
      <c r="AJ351" s="3">
        <f>IF(ISERROR(VLOOKUP($A351,'SegEnds_NonXtal_BW#'!$A:$Z,25,FALSE)+VLOOKUP($A351,A:AL,37,FALSE)-50),"-",(VLOOKUP($A351,'SegEnds_NonXtal_BW#'!$A:$Z,25,FALSE)+VLOOKUP($A351,A:AL,37,FALSE)-50))</f>
        <v>319</v>
      </c>
      <c r="AK351" s="3">
        <v>323</v>
      </c>
      <c r="AL351" s="3">
        <f>IF(ISERROR((VLOOKUP($A351,'SegEnds_NonXtal_BW#'!$A:$Z,26,FALSE)+VLOOKUP($A351,A:AL,37,FALSE)-50)),"-",(VLOOKUP($A351,'SegEnds_NonXtal_BW#'!$A:$Z,26,FALSE)+VLOOKUP($A351,A:AL,37,FALSE)-50))</f>
        <v>330</v>
      </c>
      <c r="AM351" s="28" t="str">
        <f>VLOOKUP(A351,Classification!A:B,2,FALSE)</f>
        <v>C</v>
      </c>
      <c r="AN351" s="28" t="b">
        <f t="shared" si="195"/>
        <v>1</v>
      </c>
      <c r="AO351" s="3" t="str">
        <f>IF(ISERROR(MATCH(A351,'SegEnds_Xtal_Prot#'!B:B, 0)), "NoXtal", "Xtal")</f>
        <v>NoXtal</v>
      </c>
      <c r="AP351" s="3">
        <f t="shared" si="180"/>
        <v>3</v>
      </c>
      <c r="AQ351" s="3">
        <f t="shared" si="181"/>
        <v>1</v>
      </c>
      <c r="AR351" s="3" t="str">
        <f t="shared" si="182"/>
        <v>-</v>
      </c>
      <c r="AS351" s="3" t="str">
        <f t="shared" si="183"/>
        <v>-</v>
      </c>
      <c r="AT351" s="3" t="str">
        <f t="shared" si="184"/>
        <v>-</v>
      </c>
      <c r="AU351" s="3" t="str">
        <f t="shared" si="185"/>
        <v>-</v>
      </c>
      <c r="AV351" s="3">
        <f t="shared" si="186"/>
        <v>29</v>
      </c>
      <c r="AW351" s="3">
        <f t="shared" si="187"/>
        <v>3</v>
      </c>
      <c r="AX351" s="3">
        <f t="shared" si="188"/>
        <v>11</v>
      </c>
      <c r="AY351" s="3">
        <f t="shared" si="189"/>
        <v>6</v>
      </c>
      <c r="AZ351" s="3">
        <f t="shared" si="190"/>
        <v>1</v>
      </c>
      <c r="BA351" s="3">
        <f>IF(ISERROR(LEN(VLOOKUP(A351,Seqs!A:E,2,FALSE))-AL351),"-",LEN(VLOOKUP(A351,Seqs!A:E,2,FALSE))-AL351)</f>
        <v>484</v>
      </c>
      <c r="BB351" s="16">
        <f t="shared" si="191"/>
        <v>31</v>
      </c>
      <c r="BC351" s="9" t="str">
        <f t="shared" si="192"/>
        <v>-</v>
      </c>
      <c r="BD351" s="3">
        <f t="shared" si="193"/>
        <v>31</v>
      </c>
      <c r="BE351" s="3">
        <f t="shared" si="194"/>
        <v>39</v>
      </c>
    </row>
    <row r="352" spans="1:58" s="3" customFormat="1" x14ac:dyDescent="0.2">
      <c r="A352" s="3" t="s">
        <v>109</v>
      </c>
      <c r="B352" s="3" t="str">
        <f>LOWER(VLOOKUP(A352,Xtal_Templ!A:B,2,FALSE))</f>
        <v>grm1_human</v>
      </c>
      <c r="C352" s="3">
        <f>VLOOKUP($A352,'SegEnds_NonXtal_BW#'!$A:$Z,3,FALSE)+D352-50</f>
        <v>415</v>
      </c>
      <c r="D352" s="3">
        <v>431</v>
      </c>
      <c r="E352" s="3">
        <f>IF(ISERROR(VLOOKUP($A352,'SegEnds_NonXtal_BW#'!$A:$Z,4,FALSE)+VLOOKUP($A352,A:AL,4,FALSE)-50),"-",(VLOOKUP($A352,'SegEnds_NonXtal_BW#'!$A:$Z,4,FALSE)+VLOOKUP($A352,A:AL,4,FALSE)-50))</f>
        <v>441</v>
      </c>
      <c r="F352" s="3">
        <f t="shared" si="197"/>
        <v>444</v>
      </c>
      <c r="G352" s="3">
        <v>447</v>
      </c>
      <c r="H352" s="3">
        <f t="shared" si="198"/>
        <v>450</v>
      </c>
      <c r="I352" s="3">
        <f t="shared" si="199"/>
        <v>451</v>
      </c>
      <c r="J352" s="3">
        <v>462</v>
      </c>
      <c r="K352" s="3">
        <f>VLOOKUP($A352,'SegEnds_NonXtal_BW#'!$A:$Z,8,FALSE)+VLOOKUP($A352,A:AL,10,FALSE)-50</f>
        <v>473</v>
      </c>
      <c r="L352" s="3" t="str">
        <f>IF(ISERROR(VLOOKUP($A352,'SegEnds_NonXtal_BW#'!$A:$Z,9,FALSE)+VLOOKUP($A352,A:AL,13,FALSE)-50),"-",(VLOOKUP($A352,'SegEnds_NonXtal_BW#'!$A:$Z,9,FALSE)+VLOOKUP($A352,A:AL,13,FALSE)-50))</f>
        <v>-</v>
      </c>
      <c r="M352" s="3" t="s">
        <v>23</v>
      </c>
      <c r="N352" s="3" t="str">
        <f>IF(ISERROR(VLOOKUP($A352,'SegEnds_NonXtal_BW#'!$A:$Z,10,FALSE)+VLOOKUP($A352,A:AL,13,FALSE)-50),"-",(VLOOKUP($A352,'SegEnds_NonXtal_BW#'!$A:$Z,10,FALSE)+VLOOKUP($A352,A:AL,13,FALSE)-50))</f>
        <v>-</v>
      </c>
      <c r="O352" s="3">
        <f>VLOOKUP($A352,'SegEnds_NonXtal_BW#'!$A:$Z,11,FALSE)+VLOOKUP($A352,A:AL,16,FALSE)-50</f>
        <v>478</v>
      </c>
      <c r="P352" s="3">
        <v>506</v>
      </c>
      <c r="Q352" s="3">
        <f>VLOOKUP($A352,'SegEnds_NonXtal_BW#'!$A:$Z,12,FALSE)+VLOOKUP($A352,A:AL,16,FALSE)-50</f>
        <v>510</v>
      </c>
      <c r="R352" s="3" t="str">
        <f>IF(ISERROR(VLOOKUP($A352,'SegEnds_NonXtal_BW#'!$A:$Z,13,FALSE)+VLOOKUP($A352,A:AL,19,FALSE)-50),"-",VLOOKUP($A352,'SegEnds_NonXtal_BW#'!$A:$Z,13,FALSE)+VLOOKUP($A352,A:AL,19,FALSE)-50)</f>
        <v>-</v>
      </c>
      <c r="S352" s="3" t="s">
        <v>23</v>
      </c>
      <c r="T352" s="100" t="str">
        <f>IF(ISERROR(VLOOKUP($A352,'SegEnds_NonXtal_BW#'!$A:$Z,14,FALSE)+VLOOKUP($A352,A:AL,19,FALSE)-50),"-",(VLOOKUP($A352,'SegEnds_NonXtal_BW#'!$A:$Z,14,FALSE)+VLOOKUP($A352,A:AL,19,FALSE)-50))</f>
        <v>-</v>
      </c>
      <c r="U352" s="9">
        <f>IF(ISERROR(VLOOKUP($A352,'SegEnds_NonXtal_BW#'!$A:$Z,15,FALSE)+VLOOKUP($A352,A:AL,22,FALSE)-50),"-",VLOOKUP($A352,'SegEnds_NonXtal_BW#'!$A:$Z,15,FALSE)+VLOOKUP($A352,A:AL,22,FALSE)-50)</f>
        <v>512</v>
      </c>
      <c r="V352" s="3">
        <v>524</v>
      </c>
      <c r="W352" s="3">
        <f>IF(ISERROR(VLOOKUP($A352,'SegEnds_NonXtal_BW#'!$A:$Z,16,FALSE)+VLOOKUP($A352,A:AL,22,FALSE)-50),"-",(VLOOKUP($A352,'SegEnds_NonXtal_BW#'!$A:$Z,16,FALSE)+VLOOKUP($A352,A:AL,22,FALSE)-50))</f>
        <v>538</v>
      </c>
      <c r="X352" s="3">
        <f>IF(ISERROR(VLOOKUP($A352,'SegEnds_NonXtal_BW#'!$A:$Z,17,FALSE)+VLOOKUP($A352,A:AL,25,FALSE)-50),"-",(VLOOKUP($A352,'SegEnds_NonXtal_BW#'!$A:$Z,17,FALSE)+VLOOKUP($A352,A:AL,25,FALSE)-50))</f>
        <v>573</v>
      </c>
      <c r="Y352" s="3">
        <v>573</v>
      </c>
      <c r="Z352" s="3">
        <f>Y352+2</f>
        <v>575</v>
      </c>
      <c r="AA352" s="105">
        <v>576</v>
      </c>
      <c r="AB352" s="3">
        <v>589</v>
      </c>
      <c r="AC352" s="3">
        <f>IF(ISERROR((VLOOKUP($A352,'SegEnds_NonXtal_BW#'!$A:$Z,20,FALSE)+VLOOKUP($A352,A:AL,28,FALSE)-50)),"-",(VLOOKUP($A352,'SegEnds_NonXtal_BW#'!$A:$Z,20,FALSE)+VLOOKUP($A352,A:AL,28,FALSE)-50))</f>
        <v>600</v>
      </c>
      <c r="AD352" s="3">
        <f>IF(ISERROR(VLOOKUP($A352,'SegEnds_NonXtal_BW#'!$A:$Z,21,FALSE)+VLOOKUP($A352,A:AL,31,FALSE)-50),"-",(VLOOKUP($A352,'SegEnds_NonXtal_BW#'!$A:$Z,21,FALSE)+VLOOKUP($A352,A:AL,31,FALSE)-50))</f>
        <v>609</v>
      </c>
      <c r="AE352" s="3">
        <v>626</v>
      </c>
      <c r="AF352" s="3">
        <f>IF(ISERROR((VLOOKUP($A352,'SegEnds_NonXtal_BW#'!$A:$Z,22,FALSE)+VLOOKUP($A352,A:AL,31,FALSE)-50)),"-",(VLOOKUP($A352,'SegEnds_NonXtal_BW#'!$A:$Z,22,FALSE)+VLOOKUP($A352,A:AL,31,FALSE)-50))</f>
        <v>633</v>
      </c>
      <c r="AG352" s="3">
        <f>IF(ISERROR(VLOOKUP($A352,'SegEnds_NonXtal_BW#'!$A:$Z,23,FALSE)+VLOOKUP($A352,A:AL,34,FALSE)-50),"-",(VLOOKUP($A352,'SegEnds_NonXtal_BW#'!$A:$Z,23,FALSE)+VLOOKUP($A352,A:AL,34,FALSE)-50))</f>
        <v>642</v>
      </c>
      <c r="AH352" s="3">
        <v>659</v>
      </c>
      <c r="AI352" s="3">
        <f>IF(ISERROR((VLOOKUP($A352,'SegEnds_NonXtal_BW#'!$A:$Z,24,FALSE)+VLOOKUP($A352,A:AL,34,FALSE)-50)),"-",(VLOOKUP($A352,'SegEnds_NonXtal_BW#'!$A:$Z,24,FALSE)+VLOOKUP($A352,A:AL,34,FALSE)-50))</f>
        <v>673</v>
      </c>
      <c r="AJ352" s="3">
        <f>IF(ISERROR(VLOOKUP($A352,'SegEnds_NonXtal_BW#'!$A:$Z,25,FALSE)+VLOOKUP($A352,A:AL,37,FALSE)-50),"-",(VLOOKUP($A352,'SegEnds_NonXtal_BW#'!$A:$Z,25,FALSE)+VLOOKUP($A352,A:AL,37,FALSE)-50))</f>
        <v>674</v>
      </c>
      <c r="AK352" s="3">
        <v>678</v>
      </c>
      <c r="AL352" s="3">
        <f>IF(ISERROR((VLOOKUP($A352,'SegEnds_NonXtal_BW#'!$A:$Z,26,FALSE)+VLOOKUP($A352,A:AL,37,FALSE)-50)),"-",(VLOOKUP($A352,'SegEnds_NonXtal_BW#'!$A:$Z,26,FALSE)+VLOOKUP($A352,A:AL,37,FALSE)-50))</f>
        <v>685</v>
      </c>
      <c r="AM352" s="28" t="str">
        <f>VLOOKUP(A352,Classification!A:B,2,FALSE)</f>
        <v>C</v>
      </c>
      <c r="AN352" s="28" t="b">
        <f t="shared" si="195"/>
        <v>1</v>
      </c>
      <c r="AO352" s="3" t="str">
        <f>IF(ISERROR(MATCH(A352,'SegEnds_Xtal_Prot#'!B:B, 0)), "NoXtal", "Xtal")</f>
        <v>NoXtal</v>
      </c>
      <c r="AP352" s="3">
        <f t="shared" si="180"/>
        <v>3</v>
      </c>
      <c r="AQ352" s="3">
        <f t="shared" si="181"/>
        <v>1</v>
      </c>
      <c r="AR352" s="3" t="str">
        <f t="shared" si="182"/>
        <v>-</v>
      </c>
      <c r="AS352" s="3" t="str">
        <f t="shared" si="183"/>
        <v>-</v>
      </c>
      <c r="AT352" s="3" t="str">
        <f t="shared" si="184"/>
        <v>-</v>
      </c>
      <c r="AU352" s="3" t="str">
        <f t="shared" si="185"/>
        <v>-</v>
      </c>
      <c r="AV352" s="3">
        <f t="shared" si="186"/>
        <v>35</v>
      </c>
      <c r="AW352" s="3">
        <f t="shared" si="187"/>
        <v>1</v>
      </c>
      <c r="AX352" s="3">
        <f t="shared" si="188"/>
        <v>9</v>
      </c>
      <c r="AY352" s="3">
        <f t="shared" si="189"/>
        <v>9</v>
      </c>
      <c r="AZ352" s="3">
        <f t="shared" si="190"/>
        <v>1</v>
      </c>
      <c r="BA352" s="3">
        <f>IF(ISERROR(LEN(VLOOKUP(A352,Seqs!A:E,2,FALSE))-AL352),"-",LEN(VLOOKUP(A352,Seqs!A:E,2,FALSE))-AL352)</f>
        <v>530</v>
      </c>
      <c r="BB352" s="16">
        <f t="shared" si="191"/>
        <v>31</v>
      </c>
      <c r="BC352" s="9" t="str">
        <f t="shared" si="192"/>
        <v>-</v>
      </c>
      <c r="BD352" s="3">
        <f t="shared" si="193"/>
        <v>31</v>
      </c>
      <c r="BE352" s="3">
        <f t="shared" si="194"/>
        <v>37</v>
      </c>
    </row>
    <row r="353" spans="1:58" s="3" customFormat="1" x14ac:dyDescent="0.2">
      <c r="A353" s="3" t="s">
        <v>110</v>
      </c>
      <c r="B353" s="3" t="str">
        <f>LOWER(VLOOKUP(A353,Xtal_Templ!A:B,2,FALSE))</f>
        <v>grm1_human</v>
      </c>
      <c r="C353" s="3">
        <f>VLOOKUP($A353,'SegEnds_NonXtal_BW#'!$A:$Z,3,FALSE)+D353-50</f>
        <v>379</v>
      </c>
      <c r="D353" s="3">
        <v>395</v>
      </c>
      <c r="E353" s="3">
        <f>IF(ISERROR(VLOOKUP($A353,'SegEnds_NonXtal_BW#'!$A:$Z,4,FALSE)+VLOOKUP($A353,A:AL,4,FALSE)-50),"-",(VLOOKUP($A353,'SegEnds_NonXtal_BW#'!$A:$Z,4,FALSE)+VLOOKUP($A353,A:AL,4,FALSE)-50))</f>
        <v>405</v>
      </c>
      <c r="F353" s="3">
        <f t="shared" si="197"/>
        <v>408</v>
      </c>
      <c r="G353" s="3">
        <v>411</v>
      </c>
      <c r="H353" s="3">
        <f t="shared" si="198"/>
        <v>414</v>
      </c>
      <c r="I353" s="3">
        <f t="shared" si="199"/>
        <v>415</v>
      </c>
      <c r="J353" s="3">
        <v>426</v>
      </c>
      <c r="K353" s="3">
        <f>VLOOKUP($A353,'SegEnds_NonXtal_BW#'!$A:$Z,8,FALSE)+VLOOKUP($A353,A:AL,10,FALSE)-50</f>
        <v>437</v>
      </c>
      <c r="L353" s="3" t="str">
        <f>IF(ISERROR(VLOOKUP($A353,'SegEnds_NonXtal_BW#'!$A:$Z,9,FALSE)+VLOOKUP($A353,A:AL,13,FALSE)-50),"-",(VLOOKUP($A353,'SegEnds_NonXtal_BW#'!$A:$Z,9,FALSE)+VLOOKUP($A353,A:AL,13,FALSE)-50))</f>
        <v>-</v>
      </c>
      <c r="M353" s="3" t="s">
        <v>23</v>
      </c>
      <c r="N353" s="3" t="str">
        <f>IF(ISERROR(VLOOKUP($A353,'SegEnds_NonXtal_BW#'!$A:$Z,10,FALSE)+VLOOKUP($A353,A:AL,13,FALSE)-50),"-",(VLOOKUP($A353,'SegEnds_NonXtal_BW#'!$A:$Z,10,FALSE)+VLOOKUP($A353,A:AL,13,FALSE)-50))</f>
        <v>-</v>
      </c>
      <c r="O353" s="3">
        <f>VLOOKUP($A353,'SegEnds_NonXtal_BW#'!$A:$Z,11,FALSE)+VLOOKUP($A353,A:AL,16,FALSE)-50</f>
        <v>442</v>
      </c>
      <c r="P353" s="3">
        <v>470</v>
      </c>
      <c r="Q353" s="3">
        <f>VLOOKUP($A353,'SegEnds_NonXtal_BW#'!$A:$Z,12,FALSE)+VLOOKUP($A353,A:AL,16,FALSE)-50</f>
        <v>474</v>
      </c>
      <c r="R353" s="3" t="str">
        <f>IF(ISERROR(VLOOKUP($A353,'SegEnds_NonXtal_BW#'!$A:$Z,13,FALSE)+VLOOKUP($A353,A:AL,19,FALSE)-50),"-",VLOOKUP($A353,'SegEnds_NonXtal_BW#'!$A:$Z,13,FALSE)+VLOOKUP($A353,A:AL,19,FALSE)-50)</f>
        <v>-</v>
      </c>
      <c r="S353" s="3" t="s">
        <v>23</v>
      </c>
      <c r="T353" s="100" t="str">
        <f>IF(ISERROR(VLOOKUP($A353,'SegEnds_NonXtal_BW#'!$A:$Z,14,FALSE)+VLOOKUP($A353,A:AL,19,FALSE)-50),"-",(VLOOKUP($A353,'SegEnds_NonXtal_BW#'!$A:$Z,14,FALSE)+VLOOKUP($A353,A:AL,19,FALSE)-50))</f>
        <v>-</v>
      </c>
      <c r="U353" s="9">
        <f>IF(ISERROR(VLOOKUP($A353,'SegEnds_NonXtal_BW#'!$A:$Z,15,FALSE)+VLOOKUP($A353,A:AL,22,FALSE)-50),"-",VLOOKUP($A353,'SegEnds_NonXtal_BW#'!$A:$Z,15,FALSE)+VLOOKUP($A353,A:AL,22,FALSE)-50)</f>
        <v>476</v>
      </c>
      <c r="V353" s="3">
        <v>488</v>
      </c>
      <c r="W353" s="3">
        <f>IF(ISERROR(VLOOKUP($A353,'SegEnds_NonXtal_BW#'!$A:$Z,16,FALSE)+VLOOKUP($A353,A:AL,22,FALSE)-50),"-",(VLOOKUP($A353,'SegEnds_NonXtal_BW#'!$A:$Z,16,FALSE)+VLOOKUP($A353,A:AL,22,FALSE)-50))</f>
        <v>502</v>
      </c>
      <c r="X353" s="3">
        <f>IF(ISERROR(VLOOKUP($A353,'SegEnds_NonXtal_BW#'!$A:$Z,17,FALSE)+VLOOKUP($A353,A:AL,25,FALSE)-50),"-",(VLOOKUP($A353,'SegEnds_NonXtal_BW#'!$A:$Z,17,FALSE)+VLOOKUP($A353,A:AL,25,FALSE)-50))</f>
        <v>537</v>
      </c>
      <c r="Y353" s="3">
        <v>537</v>
      </c>
      <c r="Z353" s="3">
        <f>Y353+2</f>
        <v>539</v>
      </c>
      <c r="AA353" s="105">
        <v>540</v>
      </c>
      <c r="AB353" s="3">
        <v>553</v>
      </c>
      <c r="AC353" s="3">
        <f>IF(ISERROR((VLOOKUP($A353,'SegEnds_NonXtal_BW#'!$A:$Z,20,FALSE)+VLOOKUP($A353,A:AL,28,FALSE)-50)),"-",(VLOOKUP($A353,'SegEnds_NonXtal_BW#'!$A:$Z,20,FALSE)+VLOOKUP($A353,A:AL,28,FALSE)-50))</f>
        <v>564</v>
      </c>
      <c r="AD353" s="3">
        <f>IF(ISERROR(VLOOKUP($A353,'SegEnds_NonXtal_BW#'!$A:$Z,21,FALSE)+VLOOKUP($A353,A:AL,31,FALSE)-50),"-",(VLOOKUP($A353,'SegEnds_NonXtal_BW#'!$A:$Z,21,FALSE)+VLOOKUP($A353,A:AL,31,FALSE)-50))</f>
        <v>573</v>
      </c>
      <c r="AE353" s="3">
        <v>590</v>
      </c>
      <c r="AF353" s="3">
        <f>IF(ISERROR((VLOOKUP($A353,'SegEnds_NonXtal_BW#'!$A:$Z,22,FALSE)+VLOOKUP($A353,A:AL,31,FALSE)-50)),"-",(VLOOKUP($A353,'SegEnds_NonXtal_BW#'!$A:$Z,22,FALSE)+VLOOKUP($A353,A:AL,31,FALSE)-50))</f>
        <v>597</v>
      </c>
      <c r="AG353" s="3">
        <f>IF(ISERROR(VLOOKUP($A353,'SegEnds_NonXtal_BW#'!$A:$Z,23,FALSE)+VLOOKUP($A353,A:AL,34,FALSE)-50),"-",(VLOOKUP($A353,'SegEnds_NonXtal_BW#'!$A:$Z,23,FALSE)+VLOOKUP($A353,A:AL,34,FALSE)-50))</f>
        <v>606</v>
      </c>
      <c r="AH353" s="3">
        <v>623</v>
      </c>
      <c r="AI353" s="3">
        <f>IF(ISERROR((VLOOKUP($A353,'SegEnds_NonXtal_BW#'!$A:$Z,24,FALSE)+VLOOKUP($A353,A:AL,34,FALSE)-50)),"-",(VLOOKUP($A353,'SegEnds_NonXtal_BW#'!$A:$Z,24,FALSE)+VLOOKUP($A353,A:AL,34,FALSE)-50))</f>
        <v>637</v>
      </c>
      <c r="AJ353" s="3">
        <f>IF(ISERROR(VLOOKUP($A353,'SegEnds_NonXtal_BW#'!$A:$Z,25,FALSE)+VLOOKUP($A353,A:AL,37,FALSE)-50),"-",(VLOOKUP($A353,'SegEnds_NonXtal_BW#'!$A:$Z,25,FALSE)+VLOOKUP($A353,A:AL,37,FALSE)-50))</f>
        <v>638</v>
      </c>
      <c r="AK353" s="3">
        <v>642</v>
      </c>
      <c r="AL353" s="3">
        <f>IF(ISERROR((VLOOKUP($A353,'SegEnds_NonXtal_BW#'!$A:$Z,26,FALSE)+VLOOKUP($A353,A:AL,37,FALSE)-50)),"-",(VLOOKUP($A353,'SegEnds_NonXtal_BW#'!$A:$Z,26,FALSE)+VLOOKUP($A353,A:AL,37,FALSE)-50))</f>
        <v>649</v>
      </c>
      <c r="AM353" s="28" t="str">
        <f>VLOOKUP(A353,Classification!A:B,2,FALSE)</f>
        <v>C</v>
      </c>
      <c r="AN353" s="28" t="b">
        <f t="shared" si="195"/>
        <v>1</v>
      </c>
      <c r="AO353" s="3" t="str">
        <f>IF(ISERROR(MATCH(A353,'SegEnds_Xtal_Prot#'!B:B, 0)), "NoXtal", "Xtal")</f>
        <v>NoXtal</v>
      </c>
      <c r="AP353" s="3">
        <f t="shared" si="180"/>
        <v>3</v>
      </c>
      <c r="AQ353" s="3">
        <f t="shared" si="181"/>
        <v>1</v>
      </c>
      <c r="AR353" s="3" t="str">
        <f t="shared" si="182"/>
        <v>-</v>
      </c>
      <c r="AS353" s="3" t="str">
        <f t="shared" si="183"/>
        <v>-</v>
      </c>
      <c r="AT353" s="3" t="str">
        <f t="shared" si="184"/>
        <v>-</v>
      </c>
      <c r="AU353" s="3" t="str">
        <f t="shared" si="185"/>
        <v>-</v>
      </c>
      <c r="AV353" s="3">
        <f t="shared" si="186"/>
        <v>35</v>
      </c>
      <c r="AW353" s="3">
        <f t="shared" si="187"/>
        <v>1</v>
      </c>
      <c r="AX353" s="3">
        <f t="shared" si="188"/>
        <v>9</v>
      </c>
      <c r="AY353" s="3">
        <f t="shared" si="189"/>
        <v>9</v>
      </c>
      <c r="AZ353" s="3">
        <f t="shared" si="190"/>
        <v>1</v>
      </c>
      <c r="BA353" s="3">
        <f>IF(ISERROR(LEN(VLOOKUP(A353,Seqs!A:E,2,FALSE))-AL353),"-",LEN(VLOOKUP(A353,Seqs!A:E,2,FALSE))-AL353)</f>
        <v>1718</v>
      </c>
      <c r="BB353" s="16">
        <f t="shared" si="191"/>
        <v>31</v>
      </c>
      <c r="BC353" s="9" t="str">
        <f t="shared" si="192"/>
        <v>-</v>
      </c>
      <c r="BD353" s="3">
        <f t="shared" si="193"/>
        <v>31</v>
      </c>
      <c r="BE353" s="3">
        <f t="shared" si="194"/>
        <v>37</v>
      </c>
    </row>
    <row r="354" spans="1:58" s="3" customFormat="1" x14ac:dyDescent="0.2">
      <c r="A354" s="3" t="s">
        <v>111</v>
      </c>
      <c r="B354" s="3" t="str">
        <f>LOWER(VLOOKUP(A354,Xtal_Templ!A:B,2,FALSE))</f>
        <v>grm1_human</v>
      </c>
      <c r="C354" s="3">
        <f>VLOOKUP($A354,'SegEnds_NonXtal_BW#'!$A:$Z,3,FALSE)+D354-50</f>
        <v>54</v>
      </c>
      <c r="D354" s="3">
        <v>70</v>
      </c>
      <c r="E354" s="3">
        <f>IF(ISERROR(VLOOKUP($A354,'SegEnds_NonXtal_BW#'!$A:$Z,4,FALSE)+VLOOKUP($A354,A:AL,4,FALSE)-50),"-",(VLOOKUP($A354,'SegEnds_NonXtal_BW#'!$A:$Z,4,FALSE)+VLOOKUP($A354,A:AL,4,FALSE)-50))</f>
        <v>80</v>
      </c>
      <c r="F354" s="3">
        <f t="shared" si="197"/>
        <v>81</v>
      </c>
      <c r="G354" s="3">
        <v>84</v>
      </c>
      <c r="H354" s="3">
        <f t="shared" si="198"/>
        <v>87</v>
      </c>
      <c r="I354" s="3">
        <f t="shared" si="199"/>
        <v>88</v>
      </c>
      <c r="J354" s="3">
        <v>103</v>
      </c>
      <c r="K354" s="3">
        <f>VLOOKUP($A354,'SegEnds_NonXtal_BW#'!$A:$Z,8,FALSE)+VLOOKUP($A354,A:AL,10,FALSE)-50</f>
        <v>114</v>
      </c>
      <c r="L354" s="3" t="str">
        <f>IF(ISERROR(VLOOKUP($A354,'SegEnds_NonXtal_BW#'!$A:$Z,9,FALSE)+VLOOKUP($A354,A:AL,13,FALSE)-50),"-",(VLOOKUP($A354,'SegEnds_NonXtal_BW#'!$A:$Z,9,FALSE)+VLOOKUP($A354,A:AL,13,FALSE)-50))</f>
        <v>-</v>
      </c>
      <c r="M354" s="3" t="s">
        <v>23</v>
      </c>
      <c r="N354" s="3" t="str">
        <f>IF(ISERROR(VLOOKUP($A354,'SegEnds_NonXtal_BW#'!$A:$Z,10,FALSE)+VLOOKUP($A354,A:AL,13,FALSE)-50),"-",(VLOOKUP($A354,'SegEnds_NonXtal_BW#'!$A:$Z,10,FALSE)+VLOOKUP($A354,A:AL,13,FALSE)-50))</f>
        <v>-</v>
      </c>
      <c r="O354" s="3">
        <f>VLOOKUP($A354,'SegEnds_NonXtal_BW#'!$A:$Z,11,FALSE)+VLOOKUP($A354,A:AL,16,FALSE)-50</f>
        <v>119</v>
      </c>
      <c r="P354" s="3">
        <v>147</v>
      </c>
      <c r="Q354" s="3">
        <f>VLOOKUP($A354,'SegEnds_NonXtal_BW#'!$A:$Z,12,FALSE)+VLOOKUP($A354,A:AL,16,FALSE)-50</f>
        <v>151</v>
      </c>
      <c r="R354" s="3" t="str">
        <f>IF(ISERROR(VLOOKUP($A354,'SegEnds_NonXtal_BW#'!$A:$Z,13,FALSE)+VLOOKUP($A354,A:AL,19,FALSE)-50),"-",VLOOKUP($A354,'SegEnds_NonXtal_BW#'!$A:$Z,13,FALSE)+VLOOKUP($A354,A:AL,19,FALSE)-50)</f>
        <v>-</v>
      </c>
      <c r="S354" s="3" t="s">
        <v>23</v>
      </c>
      <c r="T354" s="100" t="str">
        <f>IF(ISERROR(VLOOKUP($A354,'SegEnds_NonXtal_BW#'!$A:$Z,14,FALSE)+VLOOKUP($A354,A:AL,19,FALSE)-50),"-",(VLOOKUP($A354,'SegEnds_NonXtal_BW#'!$A:$Z,14,FALSE)+VLOOKUP($A354,A:AL,19,FALSE)-50))</f>
        <v>-</v>
      </c>
      <c r="U354" s="9">
        <f>IF(ISERROR(VLOOKUP($A354,'SegEnds_NonXtal_BW#'!$A:$Z,15,FALSE)+VLOOKUP($A354,A:AL,22,FALSE)-50),"-",VLOOKUP($A354,'SegEnds_NonXtal_BW#'!$A:$Z,15,FALSE)+VLOOKUP($A354,A:AL,22,FALSE)-50)</f>
        <v>158</v>
      </c>
      <c r="V354" s="3">
        <v>170</v>
      </c>
      <c r="W354" s="3">
        <f>IF(ISERROR(VLOOKUP($A354,'SegEnds_NonXtal_BW#'!$A:$Z,16,FALSE)+VLOOKUP($A354,A:AL,22,FALSE)-50),"-",(VLOOKUP($A354,'SegEnds_NonXtal_BW#'!$A:$Z,16,FALSE)+VLOOKUP($A354,A:AL,22,FALSE)-50))</f>
        <v>184</v>
      </c>
      <c r="X354" s="3">
        <f>IF(ISERROR(VLOOKUP($A354,'SegEnds_NonXtal_BW#'!$A:$Z,17,FALSE)+VLOOKUP($A354,A:AL,25,FALSE)-50),"-",(VLOOKUP($A354,'SegEnds_NonXtal_BW#'!$A:$Z,17,FALSE)+VLOOKUP($A354,A:AL,25,FALSE)-50))</f>
        <v>193</v>
      </c>
      <c r="Y354" s="3">
        <v>193</v>
      </c>
      <c r="Z354" s="3">
        <f>Y354+2</f>
        <v>195</v>
      </c>
      <c r="AA354" s="3">
        <f>IF(ISERROR(VLOOKUP($A354,'SegEnds_NonXtal_BW#'!$A:$Z,19,FALSE)+VLOOKUP($A354,A:AL,28,FALSE)-50),"-",(VLOOKUP($A354,'SegEnds_NonXtal_BW#'!$A:$Z,19,FALSE)+VLOOKUP($A354,A:AL,28,FALSE)-50))</f>
        <v>196</v>
      </c>
      <c r="AB354" s="3">
        <v>210</v>
      </c>
      <c r="AC354" s="3">
        <f>IF(ISERROR((VLOOKUP($A354,'SegEnds_NonXtal_BW#'!$A:$Z,20,FALSE)+VLOOKUP($A354,A:AL,28,FALSE)-50)),"-",(VLOOKUP($A354,'SegEnds_NonXtal_BW#'!$A:$Z,20,FALSE)+VLOOKUP($A354,A:AL,28,FALSE)-50))</f>
        <v>221</v>
      </c>
      <c r="AD354" s="3">
        <f>IF(ISERROR(VLOOKUP($A354,'SegEnds_NonXtal_BW#'!$A:$Z,21,FALSE)+VLOOKUP($A354,A:AL,31,FALSE)-50),"-",(VLOOKUP($A354,'SegEnds_NonXtal_BW#'!$A:$Z,21,FALSE)+VLOOKUP($A354,A:AL,31,FALSE)-50))</f>
        <v>232</v>
      </c>
      <c r="AE354" s="3">
        <v>249</v>
      </c>
      <c r="AF354" s="3">
        <f>IF(ISERROR((VLOOKUP($A354,'SegEnds_NonXtal_BW#'!$A:$Z,22,FALSE)+VLOOKUP($A354,A:AL,31,FALSE)-50)),"-",(VLOOKUP($A354,'SegEnds_NonXtal_BW#'!$A:$Z,22,FALSE)+VLOOKUP($A354,A:AL,31,FALSE)-50))</f>
        <v>256</v>
      </c>
      <c r="AG354" s="3">
        <f>IF(ISERROR(VLOOKUP($A354,'SegEnds_NonXtal_BW#'!$A:$Z,23,FALSE)+VLOOKUP($A354,A:AL,34,FALSE)-50),"-",(VLOOKUP($A354,'SegEnds_NonXtal_BW#'!$A:$Z,23,FALSE)+VLOOKUP($A354,A:AL,34,FALSE)-50))</f>
        <v>267</v>
      </c>
      <c r="AH354" s="3">
        <v>284</v>
      </c>
      <c r="AI354" s="3">
        <f>IF(ISERROR((VLOOKUP($A354,'SegEnds_NonXtal_BW#'!$A:$Z,24,FALSE)+VLOOKUP($A354,A:AL,34,FALSE)-50)),"-",(VLOOKUP($A354,'SegEnds_NonXtal_BW#'!$A:$Z,24,FALSE)+VLOOKUP($A354,A:AL,34,FALSE)-50))</f>
        <v>298</v>
      </c>
      <c r="AJ354" s="3">
        <f>IF(ISERROR(VLOOKUP($A354,'SegEnds_NonXtal_BW#'!$A:$Z,25,FALSE)+VLOOKUP($A354,A:AL,37,FALSE)-50),"-",(VLOOKUP($A354,'SegEnds_NonXtal_BW#'!$A:$Z,25,FALSE)+VLOOKUP($A354,A:AL,37,FALSE)-50))</f>
        <v>300</v>
      </c>
      <c r="AK354" s="3">
        <v>304</v>
      </c>
      <c r="AL354" s="3">
        <f>IF(ISERROR((VLOOKUP($A354,'SegEnds_NonXtal_BW#'!$A:$Z,26,FALSE)+VLOOKUP($A354,A:AL,37,FALSE)-50)),"-",(VLOOKUP($A354,'SegEnds_NonXtal_BW#'!$A:$Z,26,FALSE)+VLOOKUP($A354,A:AL,37,FALSE)-50))</f>
        <v>311</v>
      </c>
      <c r="AM354" s="28" t="str">
        <f>VLOOKUP(A354,Classification!A:B,2,FALSE)</f>
        <v>C</v>
      </c>
      <c r="AN354" s="28" t="b">
        <f t="shared" si="195"/>
        <v>1</v>
      </c>
      <c r="AO354" s="3" t="str">
        <f>IF(ISERROR(MATCH(A354,'SegEnds_Xtal_Prot#'!B:B, 0)), "NoXtal", "Xtal")</f>
        <v>NoXtal</v>
      </c>
      <c r="AP354" s="3">
        <f t="shared" si="180"/>
        <v>1</v>
      </c>
      <c r="AQ354" s="3">
        <f t="shared" si="181"/>
        <v>1</v>
      </c>
      <c r="AR354" s="3" t="str">
        <f t="shared" si="182"/>
        <v>-</v>
      </c>
      <c r="AS354" s="3" t="str">
        <f t="shared" si="183"/>
        <v>-</v>
      </c>
      <c r="AT354" s="3" t="str">
        <f t="shared" si="184"/>
        <v>-</v>
      </c>
      <c r="AU354" s="3" t="str">
        <f t="shared" si="185"/>
        <v>-</v>
      </c>
      <c r="AV354" s="3">
        <f t="shared" si="186"/>
        <v>9</v>
      </c>
      <c r="AW354" s="3">
        <f t="shared" si="187"/>
        <v>1</v>
      </c>
      <c r="AX354" s="3">
        <f t="shared" si="188"/>
        <v>11</v>
      </c>
      <c r="AY354" s="3">
        <f t="shared" si="189"/>
        <v>11</v>
      </c>
      <c r="AZ354" s="3">
        <f t="shared" si="190"/>
        <v>2</v>
      </c>
      <c r="BA354" s="3">
        <f>IF(ISERROR(LEN(VLOOKUP(A354,Seqs!A:E,2,FALSE))-AL354),"-",LEN(VLOOKUP(A354,Seqs!A:E,2,FALSE))-AL354)</f>
        <v>92</v>
      </c>
      <c r="BB354" s="16">
        <f t="shared" si="191"/>
        <v>33</v>
      </c>
      <c r="BC354" s="9" t="str">
        <f t="shared" si="192"/>
        <v>-</v>
      </c>
      <c r="BD354" s="3">
        <f t="shared" si="193"/>
        <v>33</v>
      </c>
      <c r="BE354" s="3">
        <f t="shared" si="194"/>
        <v>39</v>
      </c>
    </row>
    <row r="355" spans="1:58" s="3" customFormat="1" x14ac:dyDescent="0.2">
      <c r="A355" s="3" t="s">
        <v>112</v>
      </c>
      <c r="B355" s="3" t="str">
        <f>LOWER(VLOOKUP(A355,Xtal_Templ!A:B,2,FALSE))</f>
        <v>grm1_human</v>
      </c>
      <c r="C355" s="3">
        <f>VLOOKUP($A355,'SegEnds_NonXtal_BW#'!$A:$Z,3,FALSE)+D355-50</f>
        <v>48</v>
      </c>
      <c r="D355" s="3">
        <v>64</v>
      </c>
      <c r="E355" s="3">
        <f>IF(ISERROR(VLOOKUP($A355,'SegEnds_NonXtal_BW#'!$A:$Z,4,FALSE)+VLOOKUP($A355,A:AL,4,FALSE)-50),"-",(VLOOKUP($A355,'SegEnds_NonXtal_BW#'!$A:$Z,4,FALSE)+VLOOKUP($A355,A:AL,4,FALSE)-50))</f>
        <v>74</v>
      </c>
      <c r="F355" s="3">
        <f t="shared" si="197"/>
        <v>75</v>
      </c>
      <c r="G355" s="3">
        <v>78</v>
      </c>
      <c r="H355" s="3">
        <f t="shared" si="198"/>
        <v>81</v>
      </c>
      <c r="I355" s="3">
        <f t="shared" si="199"/>
        <v>82</v>
      </c>
      <c r="J355" s="3">
        <v>97</v>
      </c>
      <c r="K355" s="3">
        <f>VLOOKUP($A355,'SegEnds_NonXtal_BW#'!$A:$Z,8,FALSE)+VLOOKUP($A355,A:AL,10,FALSE)-50</f>
        <v>108</v>
      </c>
      <c r="L355" s="3" t="str">
        <f>IF(ISERROR(VLOOKUP($A355,'SegEnds_NonXtal_BW#'!$A:$Z,9,FALSE)+VLOOKUP($A355,A:AL,13,FALSE)-50),"-",(VLOOKUP($A355,'SegEnds_NonXtal_BW#'!$A:$Z,9,FALSE)+VLOOKUP($A355,A:AL,13,FALSE)-50))</f>
        <v>-</v>
      </c>
      <c r="M355" s="3" t="s">
        <v>23</v>
      </c>
      <c r="N355" s="3" t="str">
        <f>IF(ISERROR(VLOOKUP($A355,'SegEnds_NonXtal_BW#'!$A:$Z,10,FALSE)+VLOOKUP($A355,A:AL,13,FALSE)-50),"-",(VLOOKUP($A355,'SegEnds_NonXtal_BW#'!$A:$Z,10,FALSE)+VLOOKUP($A355,A:AL,13,FALSE)-50))</f>
        <v>-</v>
      </c>
      <c r="O355" s="3">
        <f>VLOOKUP($A355,'SegEnds_NonXtal_BW#'!$A:$Z,11,FALSE)+VLOOKUP($A355,A:AL,16,FALSE)-50</f>
        <v>113</v>
      </c>
      <c r="P355" s="3">
        <v>141</v>
      </c>
      <c r="Q355" s="3">
        <f>VLOOKUP($A355,'SegEnds_NonXtal_BW#'!$A:$Z,12,FALSE)+VLOOKUP($A355,A:AL,16,FALSE)-50</f>
        <v>145</v>
      </c>
      <c r="R355" s="3" t="str">
        <f>IF(ISERROR(VLOOKUP($A355,'SegEnds_NonXtal_BW#'!$A:$Z,13,FALSE)+VLOOKUP($A355,A:AL,19,FALSE)-50),"-",VLOOKUP($A355,'SegEnds_NonXtal_BW#'!$A:$Z,13,FALSE)+VLOOKUP($A355,A:AL,19,FALSE)-50)</f>
        <v>-</v>
      </c>
      <c r="S355" s="3" t="s">
        <v>23</v>
      </c>
      <c r="T355" s="100" t="str">
        <f>IF(ISERROR(VLOOKUP($A355,'SegEnds_NonXtal_BW#'!$A:$Z,14,FALSE)+VLOOKUP($A355,A:AL,19,FALSE)-50),"-",(VLOOKUP($A355,'SegEnds_NonXtal_BW#'!$A:$Z,14,FALSE)+VLOOKUP($A355,A:AL,19,FALSE)-50))</f>
        <v>-</v>
      </c>
      <c r="U355" s="9">
        <f>IF(ISERROR(VLOOKUP($A355,'SegEnds_NonXtal_BW#'!$A:$Z,15,FALSE)+VLOOKUP($A355,A:AL,22,FALSE)-50),"-",VLOOKUP($A355,'SegEnds_NonXtal_BW#'!$A:$Z,15,FALSE)+VLOOKUP($A355,A:AL,22,FALSE)-50)</f>
        <v>152</v>
      </c>
      <c r="V355" s="3">
        <v>164</v>
      </c>
      <c r="W355" s="3">
        <f>IF(ISERROR(VLOOKUP($A355,'SegEnds_NonXtal_BW#'!$A:$Z,16,FALSE)+VLOOKUP($A355,A:AL,22,FALSE)-50),"-",(VLOOKUP($A355,'SegEnds_NonXtal_BW#'!$A:$Z,16,FALSE)+VLOOKUP($A355,A:AL,22,FALSE)-50))</f>
        <v>178</v>
      </c>
      <c r="X355" s="3">
        <f>IF(ISERROR(VLOOKUP($A355,'SegEnds_NonXtal_BW#'!$A:$Z,17,FALSE)+VLOOKUP($A355,A:AL,25,FALSE)-50),"-",(VLOOKUP($A355,'SegEnds_NonXtal_BW#'!$A:$Z,17,FALSE)+VLOOKUP($A355,A:AL,25,FALSE)-50))</f>
        <v>202</v>
      </c>
      <c r="Y355" s="3">
        <v>202</v>
      </c>
      <c r="Z355" s="3">
        <f>Y355+2</f>
        <v>204</v>
      </c>
      <c r="AA355" s="3">
        <f>IF(ISERROR(VLOOKUP($A355,'SegEnds_NonXtal_BW#'!$A:$Z,19,FALSE)+VLOOKUP($A355,A:AL,28,FALSE)-50),"-",(VLOOKUP($A355,'SegEnds_NonXtal_BW#'!$A:$Z,19,FALSE)+VLOOKUP($A355,A:AL,28,FALSE)-50))</f>
        <v>205</v>
      </c>
      <c r="AB355" s="3">
        <v>219</v>
      </c>
      <c r="AC355" s="3">
        <f>IF(ISERROR((VLOOKUP($A355,'SegEnds_NonXtal_BW#'!$A:$Z,20,FALSE)+VLOOKUP($A355,A:AL,28,FALSE)-50)),"-",(VLOOKUP($A355,'SegEnds_NonXtal_BW#'!$A:$Z,20,FALSE)+VLOOKUP($A355,A:AL,28,FALSE)-50))</f>
        <v>230</v>
      </c>
      <c r="AD355" s="3">
        <f>IF(ISERROR(VLOOKUP($A355,'SegEnds_NonXtal_BW#'!$A:$Z,21,FALSE)+VLOOKUP($A355,A:AL,31,FALSE)-50),"-",(VLOOKUP($A355,'SegEnds_NonXtal_BW#'!$A:$Z,21,FALSE)+VLOOKUP($A355,A:AL,31,FALSE)-50))</f>
        <v>241</v>
      </c>
      <c r="AE355" s="3">
        <v>258</v>
      </c>
      <c r="AF355" s="3">
        <f>IF(ISERROR((VLOOKUP($A355,'SegEnds_NonXtal_BW#'!$A:$Z,22,FALSE)+VLOOKUP($A355,A:AL,31,FALSE)-50)),"-",(VLOOKUP($A355,'SegEnds_NonXtal_BW#'!$A:$Z,22,FALSE)+VLOOKUP($A355,A:AL,31,FALSE)-50))</f>
        <v>265</v>
      </c>
      <c r="AG355" s="3">
        <f>IF(ISERROR(VLOOKUP($A355,'SegEnds_NonXtal_BW#'!$A:$Z,23,FALSE)+VLOOKUP($A355,A:AL,34,FALSE)-50),"-",(VLOOKUP($A355,'SegEnds_NonXtal_BW#'!$A:$Z,23,FALSE)+VLOOKUP($A355,A:AL,34,FALSE)-50))</f>
        <v>275</v>
      </c>
      <c r="AH355" s="3">
        <v>292</v>
      </c>
      <c r="AI355" s="3">
        <f>IF(ISERROR((VLOOKUP($A355,'SegEnds_NonXtal_BW#'!$A:$Z,24,FALSE)+VLOOKUP($A355,A:AL,34,FALSE)-50)),"-",(VLOOKUP($A355,'SegEnds_NonXtal_BW#'!$A:$Z,24,FALSE)+VLOOKUP($A355,A:AL,34,FALSE)-50))</f>
        <v>306</v>
      </c>
      <c r="AJ355" s="3">
        <f>IF(ISERROR(VLOOKUP($A355,'SegEnds_NonXtal_BW#'!$A:$Z,25,FALSE)+VLOOKUP($A355,A:AL,37,FALSE)-50),"-",(VLOOKUP($A355,'SegEnds_NonXtal_BW#'!$A:$Z,25,FALSE)+VLOOKUP($A355,A:AL,37,FALSE)-50))</f>
        <v>308</v>
      </c>
      <c r="AK355" s="3">
        <v>312</v>
      </c>
      <c r="AL355" s="3">
        <v>319</v>
      </c>
      <c r="AM355" s="28" t="str">
        <f>VLOOKUP(A355,Classification!A:B,2,FALSE)</f>
        <v>C</v>
      </c>
      <c r="AN355" s="28" t="b">
        <f t="shared" si="195"/>
        <v>1</v>
      </c>
      <c r="AO355" s="3" t="str">
        <f>IF(ISERROR(MATCH(A355,'SegEnds_Xtal_Prot#'!B:B, 0)), "NoXtal", "Xtal")</f>
        <v>NoXtal</v>
      </c>
      <c r="AP355" s="3">
        <f t="shared" si="180"/>
        <v>1</v>
      </c>
      <c r="AQ355" s="3">
        <f t="shared" si="181"/>
        <v>1</v>
      </c>
      <c r="AR355" s="3" t="str">
        <f t="shared" si="182"/>
        <v>-</v>
      </c>
      <c r="AS355" s="3" t="str">
        <f t="shared" si="183"/>
        <v>-</v>
      </c>
      <c r="AT355" s="3" t="str">
        <f t="shared" si="184"/>
        <v>-</v>
      </c>
      <c r="AU355" s="3" t="str">
        <f t="shared" si="185"/>
        <v>-</v>
      </c>
      <c r="AV355" s="3">
        <f t="shared" si="186"/>
        <v>24</v>
      </c>
      <c r="AW355" s="3">
        <f t="shared" si="187"/>
        <v>1</v>
      </c>
      <c r="AX355" s="3">
        <f t="shared" si="188"/>
        <v>11</v>
      </c>
      <c r="AY355" s="3">
        <f t="shared" si="189"/>
        <v>10</v>
      </c>
      <c r="AZ355" s="3">
        <f t="shared" si="190"/>
        <v>2</v>
      </c>
      <c r="BA355" s="3">
        <f>IF(ISERROR(LEN(VLOOKUP(A355,Seqs!A:E,2,FALSE))-AL355),"-",LEN(VLOOKUP(A355,Seqs!A:E,2,FALSE))-AL355)</f>
        <v>122</v>
      </c>
      <c r="BB355" s="16">
        <f t="shared" si="191"/>
        <v>33</v>
      </c>
      <c r="BC355" s="9" t="str">
        <f t="shared" si="192"/>
        <v>-</v>
      </c>
      <c r="BD355" s="3">
        <f t="shared" si="193"/>
        <v>33</v>
      </c>
      <c r="BE355" s="3">
        <f t="shared" si="194"/>
        <v>39</v>
      </c>
    </row>
    <row r="356" spans="1:58" s="3" customFormat="1" x14ac:dyDescent="0.2">
      <c r="A356" s="3" t="s">
        <v>113</v>
      </c>
      <c r="B356" s="3" t="str">
        <f>LOWER(VLOOKUP(A356,Xtal_Templ!A:B,2,FALSE))</f>
        <v>grm1_human</v>
      </c>
      <c r="C356" s="3">
        <f>VLOOKUP($A356,'SegEnds_NonXtal_BW#'!$A:$Z,3,FALSE)+D356-50</f>
        <v>21</v>
      </c>
      <c r="D356" s="3">
        <v>37</v>
      </c>
      <c r="E356" s="3">
        <f>IF(ISERROR(VLOOKUP($A356,'SegEnds_NonXtal_BW#'!$A:$Z,4,FALSE)+VLOOKUP($A356,A:AL,4,FALSE)-50),"-",(VLOOKUP($A356,'SegEnds_NonXtal_BW#'!$A:$Z,4,FALSE)+VLOOKUP($A356,A:AL,4,FALSE)-50))</f>
        <v>47</v>
      </c>
      <c r="F356" s="3">
        <f t="shared" si="197"/>
        <v>48</v>
      </c>
      <c r="G356" s="3">
        <v>51</v>
      </c>
      <c r="H356" s="3">
        <f t="shared" si="198"/>
        <v>54</v>
      </c>
      <c r="I356" s="3">
        <f t="shared" si="199"/>
        <v>55</v>
      </c>
      <c r="J356" s="3">
        <v>70</v>
      </c>
      <c r="K356" s="3">
        <f>VLOOKUP($A356,'SegEnds_NonXtal_BW#'!$A:$Z,8,FALSE)+VLOOKUP($A356,A:AL,10,FALSE)-50</f>
        <v>81</v>
      </c>
      <c r="L356" s="3" t="str">
        <f>IF(ISERROR(VLOOKUP($A356,'SegEnds_NonXtal_BW#'!$A:$Z,9,FALSE)+VLOOKUP($A356,A:AL,13,FALSE)-50),"-",(VLOOKUP($A356,'SegEnds_NonXtal_BW#'!$A:$Z,9,FALSE)+VLOOKUP($A356,A:AL,13,FALSE)-50))</f>
        <v>-</v>
      </c>
      <c r="M356" s="3" t="s">
        <v>23</v>
      </c>
      <c r="N356" s="3" t="str">
        <f>IF(ISERROR(VLOOKUP($A356,'SegEnds_NonXtal_BW#'!$A:$Z,10,FALSE)+VLOOKUP($A356,A:AL,13,FALSE)-50),"-",(VLOOKUP($A356,'SegEnds_NonXtal_BW#'!$A:$Z,10,FALSE)+VLOOKUP($A356,A:AL,13,FALSE)-50))</f>
        <v>-</v>
      </c>
      <c r="O356" s="3">
        <f>VLOOKUP($A356,'SegEnds_NonXtal_BW#'!$A:$Z,11,FALSE)+VLOOKUP($A356,A:AL,16,FALSE)-50</f>
        <v>86</v>
      </c>
      <c r="P356" s="3">
        <v>114</v>
      </c>
      <c r="Q356" s="3">
        <f>VLOOKUP($A356,'SegEnds_NonXtal_BW#'!$A:$Z,12,FALSE)+VLOOKUP($A356,A:AL,16,FALSE)-50</f>
        <v>118</v>
      </c>
      <c r="R356" s="3" t="str">
        <f>IF(ISERROR(VLOOKUP($A356,'SegEnds_NonXtal_BW#'!$A:$Z,13,FALSE)+VLOOKUP($A356,A:AL,19,FALSE)-50),"-",VLOOKUP($A356,'SegEnds_NonXtal_BW#'!$A:$Z,13,FALSE)+VLOOKUP($A356,A:AL,19,FALSE)-50)</f>
        <v>-</v>
      </c>
      <c r="S356" s="3" t="s">
        <v>23</v>
      </c>
      <c r="T356" s="100" t="str">
        <f>IF(ISERROR(VLOOKUP($A356,'SegEnds_NonXtal_BW#'!$A:$Z,14,FALSE)+VLOOKUP($A356,A:AL,19,FALSE)-50),"-",(VLOOKUP($A356,'SegEnds_NonXtal_BW#'!$A:$Z,14,FALSE)+VLOOKUP($A356,A:AL,19,FALSE)-50))</f>
        <v>-</v>
      </c>
      <c r="U356" s="9">
        <f>IF(ISERROR(VLOOKUP($A356,'SegEnds_NonXtal_BW#'!$A:$Z,15,FALSE)+VLOOKUP($A356,A:AL,22,FALSE)-50),"-",VLOOKUP($A356,'SegEnds_NonXtal_BW#'!$A:$Z,15,FALSE)+VLOOKUP($A356,A:AL,22,FALSE)-50)</f>
        <v>125</v>
      </c>
      <c r="V356" s="3">
        <v>137</v>
      </c>
      <c r="W356" s="3">
        <f>IF(ISERROR(VLOOKUP($A356,'SegEnds_NonXtal_BW#'!$A:$Z,16,FALSE)+VLOOKUP($A356,A:AL,22,FALSE)-50),"-",(VLOOKUP($A356,'SegEnds_NonXtal_BW#'!$A:$Z,16,FALSE)+VLOOKUP($A356,A:AL,22,FALSE)-50))</f>
        <v>151</v>
      </c>
      <c r="X356" s="3">
        <f>IF(ISERROR(VLOOKUP($A356,'SegEnds_NonXtal_BW#'!$A:$Z,17,FALSE)+VLOOKUP($A356,A:AL,25,FALSE)-50),"-",(VLOOKUP($A356,'SegEnds_NonXtal_BW#'!$A:$Z,17,FALSE)+VLOOKUP($A356,A:AL,25,FALSE)-50))</f>
        <v>164</v>
      </c>
      <c r="Y356" s="105">
        <v>164</v>
      </c>
      <c r="Z356" s="3">
        <f>IF(ISERROR(VLOOKUP($A356,'SegEnds_NonXtal_BW#'!$A:$Z,18,FALSE)+VLOOKUP($A356,A:AL,25,FALSE)-50),"-",(VLOOKUP($A356,'SegEnds_NonXtal_BW#'!$A:$Z,18,FALSE)+VLOOKUP($A356,A:AL,25,FALSE)-50))</f>
        <v>166</v>
      </c>
      <c r="AA356" s="105">
        <v>167</v>
      </c>
      <c r="AB356" s="3">
        <v>180</v>
      </c>
      <c r="AC356" s="3">
        <f>IF(ISERROR((VLOOKUP($A356,'SegEnds_NonXtal_BW#'!$A:$Z,20,FALSE)+VLOOKUP($A356,A:AL,28,FALSE)-50)),"-",(VLOOKUP($A356,'SegEnds_NonXtal_BW#'!$A:$Z,20,FALSE)+VLOOKUP($A356,A:AL,28,FALSE)-50))</f>
        <v>191</v>
      </c>
      <c r="AD356" s="3">
        <f>IF(ISERROR(VLOOKUP($A356,'SegEnds_NonXtal_BW#'!$A:$Z,21,FALSE)+VLOOKUP($A356,A:AL,31,FALSE)-50),"-",(VLOOKUP($A356,'SegEnds_NonXtal_BW#'!$A:$Z,21,FALSE)+VLOOKUP($A356,A:AL,31,FALSE)-50))</f>
        <v>202</v>
      </c>
      <c r="AE356" s="3">
        <v>219</v>
      </c>
      <c r="AF356" s="3">
        <f>IF(ISERROR((VLOOKUP($A356,'SegEnds_NonXtal_BW#'!$A:$Z,22,FALSE)+VLOOKUP($A356,A:AL,31,FALSE)-50)),"-",(VLOOKUP($A356,'SegEnds_NonXtal_BW#'!$A:$Z,22,FALSE)+VLOOKUP($A356,A:AL,31,FALSE)-50))</f>
        <v>226</v>
      </c>
      <c r="AG356" s="3">
        <f>IF(ISERROR(VLOOKUP($A356,'SegEnds_NonXtal_BW#'!$A:$Z,23,FALSE)+VLOOKUP($A356,A:AL,34,FALSE)-50),"-",(VLOOKUP($A356,'SegEnds_NonXtal_BW#'!$A:$Z,23,FALSE)+VLOOKUP($A356,A:AL,34,FALSE)-50))</f>
        <v>237</v>
      </c>
      <c r="AH356" s="3">
        <v>254</v>
      </c>
      <c r="AI356" s="3">
        <f>IF(ISERROR((VLOOKUP($A356,'SegEnds_NonXtal_BW#'!$A:$Z,24,FALSE)+VLOOKUP($A356,A:AL,34,FALSE)-50)),"-",(VLOOKUP($A356,'SegEnds_NonXtal_BW#'!$A:$Z,24,FALSE)+VLOOKUP($A356,A:AL,34,FALSE)-50))</f>
        <v>268</v>
      </c>
      <c r="AJ356" s="3">
        <f>IF(ISERROR(VLOOKUP($A356,'SegEnds_NonXtal_BW#'!$A:$Z,25,FALSE)+VLOOKUP($A356,A:AL,37,FALSE)-50),"-",(VLOOKUP($A356,'SegEnds_NonXtal_BW#'!$A:$Z,25,FALSE)+VLOOKUP($A356,A:AL,37,FALSE)-50))</f>
        <v>271</v>
      </c>
      <c r="AK356" s="3">
        <v>275</v>
      </c>
      <c r="AL356" s="3">
        <v>281</v>
      </c>
      <c r="AM356" s="28" t="str">
        <f>VLOOKUP(A356,Classification!A:B,2,FALSE)</f>
        <v>C</v>
      </c>
      <c r="AN356" s="28" t="b">
        <f t="shared" si="195"/>
        <v>1</v>
      </c>
      <c r="AO356" s="3" t="str">
        <f>IF(ISERROR(MATCH(A356,'SegEnds_Xtal_Prot#'!B:B, 0)), "NoXtal", "Xtal")</f>
        <v>NoXtal</v>
      </c>
      <c r="AP356" s="3">
        <f t="shared" si="180"/>
        <v>1</v>
      </c>
      <c r="AQ356" s="3">
        <f t="shared" si="181"/>
        <v>1</v>
      </c>
      <c r="AR356" s="3" t="str">
        <f t="shared" si="182"/>
        <v>-</v>
      </c>
      <c r="AS356" s="3" t="str">
        <f t="shared" si="183"/>
        <v>-</v>
      </c>
      <c r="AT356" s="3" t="str">
        <f t="shared" si="184"/>
        <v>-</v>
      </c>
      <c r="AU356" s="3" t="str">
        <f t="shared" si="185"/>
        <v>-</v>
      </c>
      <c r="AV356" s="3">
        <f t="shared" si="186"/>
        <v>13</v>
      </c>
      <c r="AW356" s="3">
        <f t="shared" si="187"/>
        <v>1</v>
      </c>
      <c r="AX356" s="3">
        <f t="shared" si="188"/>
        <v>11</v>
      </c>
      <c r="AY356" s="3">
        <f t="shared" si="189"/>
        <v>11</v>
      </c>
      <c r="AZ356" s="3">
        <f t="shared" si="190"/>
        <v>3</v>
      </c>
      <c r="BA356" s="3">
        <f>IF(ISERROR(LEN(VLOOKUP(A356,Seqs!A:E,2,FALSE))-AL356),"-",LEN(VLOOKUP(A356,Seqs!A:E,2,FALSE))-AL356)</f>
        <v>64</v>
      </c>
      <c r="BB356" s="16">
        <f t="shared" si="191"/>
        <v>33</v>
      </c>
      <c r="BC356" s="9" t="str">
        <f t="shared" si="192"/>
        <v>-</v>
      </c>
      <c r="BD356" s="3">
        <f t="shared" si="193"/>
        <v>33</v>
      </c>
      <c r="BE356" s="3">
        <f t="shared" si="194"/>
        <v>39</v>
      </c>
    </row>
    <row r="357" spans="1:58" s="3" customFormat="1" x14ac:dyDescent="0.2">
      <c r="A357" s="3" t="s">
        <v>114</v>
      </c>
      <c r="B357" s="3" t="str">
        <f>LOWER(VLOOKUP(A357,Xtal_Templ!A:B,2,FALSE))</f>
        <v>grm1_human</v>
      </c>
      <c r="C357" s="3">
        <f>VLOOKUP($A357,'SegEnds_NonXtal_BW#'!$A:$Z,3,FALSE)+D357-50</f>
        <v>592</v>
      </c>
      <c r="D357" s="3">
        <v>608</v>
      </c>
      <c r="E357" s="3">
        <f>IF(ISERROR(VLOOKUP($A357,'SegEnds_NonXtal_BW#'!$A:$Z,4,FALSE)+VLOOKUP($A357,A:AL,4,FALSE)-50),"-",(VLOOKUP($A357,'SegEnds_NonXtal_BW#'!$A:$Z,4,FALSE)+VLOOKUP($A357,A:AL,4,FALSE)-50))</f>
        <v>618</v>
      </c>
      <c r="F357" s="3">
        <f t="shared" si="197"/>
        <v>621</v>
      </c>
      <c r="G357" s="3">
        <v>624</v>
      </c>
      <c r="H357" s="3">
        <f t="shared" si="198"/>
        <v>627</v>
      </c>
      <c r="I357" s="3">
        <f t="shared" si="199"/>
        <v>628</v>
      </c>
      <c r="J357" s="3">
        <v>640</v>
      </c>
      <c r="K357" s="3">
        <f>VLOOKUP($A357,'SegEnds_NonXtal_BW#'!$A:$Z,8,FALSE)+VLOOKUP($A357,A:AL,10,FALSE)-50</f>
        <v>651</v>
      </c>
      <c r="L357" s="3" t="str">
        <f>IF(ISERROR(VLOOKUP($A357,'SegEnds_NonXtal_BW#'!$A:$Z,9,FALSE)+VLOOKUP($A357,A:AL,13,FALSE)-50),"-",(VLOOKUP($A357,'SegEnds_NonXtal_BW#'!$A:$Z,9,FALSE)+VLOOKUP($A357,A:AL,13,FALSE)-50))</f>
        <v>-</v>
      </c>
      <c r="M357" s="3" t="s">
        <v>23</v>
      </c>
      <c r="N357" s="3" t="str">
        <f>IF(ISERROR(VLOOKUP($A357,'SegEnds_NonXtal_BW#'!$A:$Z,10,FALSE)+VLOOKUP($A357,A:AL,13,FALSE)-50),"-",(VLOOKUP($A357,'SegEnds_NonXtal_BW#'!$A:$Z,10,FALSE)+VLOOKUP($A357,A:AL,13,FALSE)-50))</f>
        <v>-</v>
      </c>
      <c r="O357" s="3">
        <f>VLOOKUP($A357,'SegEnds_NonXtal_BW#'!$A:$Z,11,FALSE)+VLOOKUP($A357,A:AL,16,FALSE)-50</f>
        <v>656</v>
      </c>
      <c r="P357" s="3">
        <v>684</v>
      </c>
      <c r="Q357" s="3">
        <f>VLOOKUP($A357,'SegEnds_NonXtal_BW#'!$A:$Z,12,FALSE)+VLOOKUP($A357,A:AL,16,FALSE)-50</f>
        <v>688</v>
      </c>
      <c r="R357" s="3" t="str">
        <f>IF(ISERROR(VLOOKUP($A357,'SegEnds_NonXtal_BW#'!$A:$Z,13,FALSE)+VLOOKUP($A357,A:AL,19,FALSE)-50),"-",VLOOKUP($A357,'SegEnds_NonXtal_BW#'!$A:$Z,13,FALSE)+VLOOKUP($A357,A:AL,19,FALSE)-50)</f>
        <v>-</v>
      </c>
      <c r="S357" s="3" t="s">
        <v>23</v>
      </c>
      <c r="T357" s="100" t="str">
        <f>IF(ISERROR(VLOOKUP($A357,'SegEnds_NonXtal_BW#'!$A:$Z,14,FALSE)+VLOOKUP($A357,A:AL,19,FALSE)-50),"-",(VLOOKUP($A357,'SegEnds_NonXtal_BW#'!$A:$Z,14,FALSE)+VLOOKUP($A357,A:AL,19,FALSE)-50))</f>
        <v>-</v>
      </c>
      <c r="U357" s="9">
        <f>IF(ISERROR(VLOOKUP($A357,'SegEnds_NonXtal_BW#'!$A:$Z,15,FALSE)+VLOOKUP($A357,A:AL,22,FALSE)-50),"-",VLOOKUP($A357,'SegEnds_NonXtal_BW#'!$A:$Z,15,FALSE)+VLOOKUP($A357,A:AL,22,FALSE)-50)</f>
        <v>700</v>
      </c>
      <c r="V357" s="3">
        <v>712</v>
      </c>
      <c r="W357" s="3">
        <f>IF(ISERROR(VLOOKUP($A357,'SegEnds_NonXtal_BW#'!$A:$Z,16,FALSE)+VLOOKUP($A357,A:AL,22,FALSE)-50),"-",(VLOOKUP($A357,'SegEnds_NonXtal_BW#'!$A:$Z,16,FALSE)+VLOOKUP($A357,A:AL,22,FALSE)-50))</f>
        <v>726</v>
      </c>
      <c r="X357" s="3">
        <f>IF(ISERROR(VLOOKUP($A357,'SegEnds_NonXtal_BW#'!$A:$Z,17,FALSE)+VLOOKUP($A357,A:AL,25,FALSE)-50),"-",(VLOOKUP($A357,'SegEnds_NonXtal_BW#'!$A:$Z,17,FALSE)+VLOOKUP($A357,A:AL,25,FALSE)-50))</f>
        <v>744</v>
      </c>
      <c r="Y357" s="3">
        <v>744</v>
      </c>
      <c r="Z357" s="3">
        <f t="shared" ref="Z357:Z365" si="200">Y357+2</f>
        <v>746</v>
      </c>
      <c r="AA357" s="3">
        <f>IF(ISERROR(VLOOKUP($A357,'SegEnds_NonXtal_BW#'!$A:$Z,19,FALSE)+VLOOKUP($A357,A:AL,28,FALSE)-50),"-",(VLOOKUP($A357,'SegEnds_NonXtal_BW#'!$A:$Z,19,FALSE)+VLOOKUP($A357,A:AL,28,FALSE)-50))</f>
        <v>748</v>
      </c>
      <c r="AB357" s="3">
        <v>762</v>
      </c>
      <c r="AC357" s="3">
        <f>IF(ISERROR((VLOOKUP($A357,'SegEnds_NonXtal_BW#'!$A:$Z,20,FALSE)+VLOOKUP($A357,A:AL,28,FALSE)-50)),"-",(VLOOKUP($A357,'SegEnds_NonXtal_BW#'!$A:$Z,20,FALSE)+VLOOKUP($A357,A:AL,28,FALSE)-50))</f>
        <v>773</v>
      </c>
      <c r="AD357" s="3">
        <f>IF(ISERROR(VLOOKUP($A357,'SegEnds_NonXtal_BW#'!$A:$Z,21,FALSE)+VLOOKUP($A357,A:AL,31,FALSE)-50),"-",(VLOOKUP($A357,'SegEnds_NonXtal_BW#'!$A:$Z,21,FALSE)+VLOOKUP($A357,A:AL,31,FALSE)-50))</f>
        <v>780</v>
      </c>
      <c r="AE357" s="3">
        <v>797</v>
      </c>
      <c r="AF357" s="3">
        <f>IF(ISERROR((VLOOKUP($A357,'SegEnds_NonXtal_BW#'!$A:$Z,22,FALSE)+VLOOKUP($A357,A:AL,31,FALSE)-50)),"-",(VLOOKUP($A357,'SegEnds_NonXtal_BW#'!$A:$Z,22,FALSE)+VLOOKUP($A357,A:AL,31,FALSE)-50))</f>
        <v>804</v>
      </c>
      <c r="AG357" s="3">
        <f>IF(ISERROR(VLOOKUP($A357,'SegEnds_NonXtal_BW#'!$A:$Z,23,FALSE)+VLOOKUP($A357,A:AL,34,FALSE)-50),"-",(VLOOKUP($A357,'SegEnds_NonXtal_BW#'!$A:$Z,23,FALSE)+VLOOKUP($A357,A:AL,34,FALSE)-50))</f>
        <v>809</v>
      </c>
      <c r="AH357" s="3">
        <v>826</v>
      </c>
      <c r="AI357" s="3">
        <f>IF(ISERROR((VLOOKUP($A357,'SegEnds_NonXtal_BW#'!$A:$Z,24,FALSE)+VLOOKUP($A357,A:AL,34,FALSE)-50)),"-",(VLOOKUP($A357,'SegEnds_NonXtal_BW#'!$A:$Z,24,FALSE)+VLOOKUP($A357,A:AL,34,FALSE)-50))</f>
        <v>840</v>
      </c>
      <c r="AJ357" s="3">
        <f>IF(ISERROR(VLOOKUP($A357,'SegEnds_NonXtal_BW#'!$A:$Z,25,FALSE)+VLOOKUP($A357,A:AL,37,FALSE)-50),"-",(VLOOKUP($A357,'SegEnds_NonXtal_BW#'!$A:$Z,25,FALSE)+VLOOKUP($A357,A:AL,37,FALSE)-50))</f>
        <v>841</v>
      </c>
      <c r="AK357" s="3">
        <v>845</v>
      </c>
      <c r="AL357" s="3">
        <f>IF(ISERROR((VLOOKUP($A357,'SegEnds_NonXtal_BW#'!$A:$Z,26,FALSE)+VLOOKUP($A357,A:AL,37,FALSE)-50)),"-",(VLOOKUP($A357,'SegEnds_NonXtal_BW#'!$A:$Z,26,FALSE)+VLOOKUP($A357,A:AL,37,FALSE)-50))</f>
        <v>852</v>
      </c>
      <c r="AM357" s="28" t="str">
        <f>VLOOKUP(A357,Classification!A:B,2,FALSE)</f>
        <v>C</v>
      </c>
      <c r="AN357" s="28" t="b">
        <f t="shared" si="195"/>
        <v>1</v>
      </c>
      <c r="AO357" s="3" t="str">
        <f>IF(ISERROR(MATCH(A357,'SegEnds_Xtal_Prot#'!B:B, 0)), "NoXtal", "Xtal")</f>
        <v>NoXtal</v>
      </c>
      <c r="AP357" s="3">
        <f t="shared" si="180"/>
        <v>3</v>
      </c>
      <c r="AQ357" s="3">
        <f t="shared" si="181"/>
        <v>1</v>
      </c>
      <c r="AR357" s="3" t="str">
        <f t="shared" si="182"/>
        <v>-</v>
      </c>
      <c r="AS357" s="3" t="str">
        <f t="shared" si="183"/>
        <v>-</v>
      </c>
      <c r="AT357" s="3" t="str">
        <f t="shared" si="184"/>
        <v>-</v>
      </c>
      <c r="AU357" s="3" t="str">
        <f t="shared" si="185"/>
        <v>-</v>
      </c>
      <c r="AV357" s="3">
        <f t="shared" si="186"/>
        <v>18</v>
      </c>
      <c r="AW357" s="3">
        <f t="shared" si="187"/>
        <v>2</v>
      </c>
      <c r="AX357" s="3">
        <f t="shared" si="188"/>
        <v>7</v>
      </c>
      <c r="AY357" s="3">
        <f t="shared" si="189"/>
        <v>5</v>
      </c>
      <c r="AZ357" s="3">
        <f t="shared" si="190"/>
        <v>1</v>
      </c>
      <c r="BA357" s="3">
        <f>IF(ISERROR(LEN(VLOOKUP(A357,Seqs!A:E,2,FALSE))-AL357),"-",LEN(VLOOKUP(A357,Seqs!A:E,2,FALSE))-AL357)</f>
        <v>74</v>
      </c>
      <c r="BB357" s="16">
        <f t="shared" si="191"/>
        <v>32</v>
      </c>
      <c r="BC357" s="9" t="str">
        <f t="shared" si="192"/>
        <v>-</v>
      </c>
      <c r="BD357" s="3">
        <f t="shared" si="193"/>
        <v>32</v>
      </c>
      <c r="BE357" s="3">
        <f t="shared" si="194"/>
        <v>35</v>
      </c>
    </row>
    <row r="358" spans="1:58" s="3" customFormat="1" x14ac:dyDescent="0.2">
      <c r="A358" s="3" t="s">
        <v>40</v>
      </c>
      <c r="B358" s="3" t="str">
        <f>LOWER(VLOOKUP(A358,Xtal_Templ!A:B,2,FALSE))</f>
        <v>grm1_human</v>
      </c>
      <c r="C358" s="3">
        <f>VLOOKUP($A358,'SegEnds_NonXtal_BW#'!$A:$Z,3,FALSE)+D358-50</f>
        <v>591</v>
      </c>
      <c r="D358" s="3">
        <v>607</v>
      </c>
      <c r="E358" s="3">
        <f>IF(ISERROR(VLOOKUP($A358,'SegEnds_NonXtal_BW#'!$A:$Z,4,FALSE)+VLOOKUP($A358,A:AL,4,FALSE)-50),"-",(VLOOKUP($A358,'SegEnds_NonXtal_BW#'!$A:$Z,4,FALSE)+VLOOKUP($A358,A:AL,4,FALSE)-50))</f>
        <v>617</v>
      </c>
      <c r="F358" s="3">
        <f t="shared" si="197"/>
        <v>620</v>
      </c>
      <c r="G358" s="3">
        <v>623</v>
      </c>
      <c r="H358" s="3">
        <f t="shared" si="198"/>
        <v>626</v>
      </c>
      <c r="I358" s="3">
        <f t="shared" si="199"/>
        <v>627</v>
      </c>
      <c r="J358" s="3">
        <v>638</v>
      </c>
      <c r="K358" s="3">
        <f>VLOOKUP($A358,'SegEnds_NonXtal_BW#'!$A:$Z,8,FALSE)+VLOOKUP($A358,A:AL,10,FALSE)-50</f>
        <v>649</v>
      </c>
      <c r="L358" s="3" t="str">
        <f>IF(ISERROR(VLOOKUP($A358,'SegEnds_NonXtal_BW#'!$A:$Z,9,FALSE)+VLOOKUP($A358,A:AL,13,FALSE)-50),"-",(VLOOKUP($A358,'SegEnds_NonXtal_BW#'!$A:$Z,9,FALSE)+VLOOKUP($A358,A:AL,13,FALSE)-50))</f>
        <v>-</v>
      </c>
      <c r="M358" s="3" t="s">
        <v>23</v>
      </c>
      <c r="N358" s="3" t="str">
        <f>IF(ISERROR(VLOOKUP($A358,'SegEnds_NonXtal_BW#'!$A:$Z,10,FALSE)+VLOOKUP($A358,A:AL,13,FALSE)-50),"-",(VLOOKUP($A358,'SegEnds_NonXtal_BW#'!$A:$Z,10,FALSE)+VLOOKUP($A358,A:AL,13,FALSE)-50))</f>
        <v>-</v>
      </c>
      <c r="O358" s="3">
        <f>VLOOKUP($A358,'SegEnds_NonXtal_BW#'!$A:$Z,11,FALSE)+VLOOKUP($A358,A:AL,16,FALSE)-50</f>
        <v>654</v>
      </c>
      <c r="P358" s="3">
        <v>682</v>
      </c>
      <c r="Q358" s="3">
        <f>VLOOKUP($A358,'SegEnds_NonXtal_BW#'!$A:$Z,12,FALSE)+VLOOKUP($A358,A:AL,16,FALSE)-50</f>
        <v>686</v>
      </c>
      <c r="R358" s="3" t="str">
        <f>IF(ISERROR(VLOOKUP($A358,'SegEnds_NonXtal_BW#'!$A:$Z,13,FALSE)+VLOOKUP($A358,A:AL,19,FALSE)-50),"-",VLOOKUP($A358,'SegEnds_NonXtal_BW#'!$A:$Z,13,FALSE)+VLOOKUP($A358,A:AL,19,FALSE)-50)</f>
        <v>-</v>
      </c>
      <c r="S358" s="3" t="s">
        <v>23</v>
      </c>
      <c r="T358" s="100" t="str">
        <f>IF(ISERROR(VLOOKUP($A358,'SegEnds_NonXtal_BW#'!$A:$Z,14,FALSE)+VLOOKUP($A358,A:AL,19,FALSE)-50),"-",(VLOOKUP($A358,'SegEnds_NonXtal_BW#'!$A:$Z,14,FALSE)+VLOOKUP($A358,A:AL,19,FALSE)-50))</f>
        <v>-</v>
      </c>
      <c r="U358" s="9">
        <f>IF(ISERROR(VLOOKUP($A358,'SegEnds_NonXtal_BW#'!$A:$Z,15,FALSE)+VLOOKUP($A358,A:AL,22,FALSE)-50),"-",VLOOKUP($A358,'SegEnds_NonXtal_BW#'!$A:$Z,15,FALSE)+VLOOKUP($A358,A:AL,22,FALSE)-50)</f>
        <v>702</v>
      </c>
      <c r="V358" s="3">
        <v>714</v>
      </c>
      <c r="W358" s="3">
        <f>IF(ISERROR(VLOOKUP($A358,'SegEnds_NonXtal_BW#'!$A:$Z,16,FALSE)+VLOOKUP($A358,A:AL,22,FALSE)-50),"-",(VLOOKUP($A358,'SegEnds_NonXtal_BW#'!$A:$Z,16,FALSE)+VLOOKUP($A358,A:AL,22,FALSE)-50))</f>
        <v>728</v>
      </c>
      <c r="X358" s="3">
        <f>IF(ISERROR(VLOOKUP($A358,'SegEnds_NonXtal_BW#'!$A:$Z,17,FALSE)+VLOOKUP($A358,A:AL,25,FALSE)-50),"-",(VLOOKUP($A358,'SegEnds_NonXtal_BW#'!$A:$Z,17,FALSE)+VLOOKUP($A358,A:AL,25,FALSE)-50))</f>
        <v>746</v>
      </c>
      <c r="Y358" s="3">
        <v>746</v>
      </c>
      <c r="Z358" s="3">
        <f t="shared" si="200"/>
        <v>748</v>
      </c>
      <c r="AA358" s="3">
        <f>IF(ISERROR(VLOOKUP($A358,'SegEnds_NonXtal_BW#'!$A:$Z,19,FALSE)+VLOOKUP($A358,A:AL,28,FALSE)-50),"-",(VLOOKUP($A358,'SegEnds_NonXtal_BW#'!$A:$Z,19,FALSE)+VLOOKUP($A358,A:AL,28,FALSE)-50))</f>
        <v>749</v>
      </c>
      <c r="AB358" s="3">
        <v>763</v>
      </c>
      <c r="AC358" s="3">
        <f>IF(ISERROR((VLOOKUP($A358,'SegEnds_NonXtal_BW#'!$A:$Z,20,FALSE)+VLOOKUP($A358,A:AL,28,FALSE)-50)),"-",(VLOOKUP($A358,'SegEnds_NonXtal_BW#'!$A:$Z,20,FALSE)+VLOOKUP($A358,A:AL,28,FALSE)-50))</f>
        <v>774</v>
      </c>
      <c r="AD358" s="3">
        <f>IF(ISERROR(VLOOKUP($A358,'SegEnds_NonXtal_BW#'!$A:$Z,21,FALSE)+VLOOKUP($A358,A:AL,31,FALSE)-50),"-",(VLOOKUP($A358,'SegEnds_NonXtal_BW#'!$A:$Z,21,FALSE)+VLOOKUP($A358,A:AL,31,FALSE)-50))</f>
        <v>783</v>
      </c>
      <c r="AE358" s="3">
        <v>800</v>
      </c>
      <c r="AF358" s="3">
        <f>IF(ISERROR((VLOOKUP($A358,'SegEnds_NonXtal_BW#'!$A:$Z,22,FALSE)+VLOOKUP($A358,A:AL,31,FALSE)-50)),"-",(VLOOKUP($A358,'SegEnds_NonXtal_BW#'!$A:$Z,22,FALSE)+VLOOKUP($A358,A:AL,31,FALSE)-50))</f>
        <v>807</v>
      </c>
      <c r="AG358" s="3">
        <f>IF(ISERROR(VLOOKUP($A358,'SegEnds_NonXtal_BW#'!$A:$Z,23,FALSE)+VLOOKUP($A358,A:AL,34,FALSE)-50),"-",(VLOOKUP($A358,'SegEnds_NonXtal_BW#'!$A:$Z,23,FALSE)+VLOOKUP($A358,A:AL,34,FALSE)-50))</f>
        <v>810</v>
      </c>
      <c r="AH358" s="3">
        <v>827</v>
      </c>
      <c r="AI358" s="3">
        <f>IF(ISERROR((VLOOKUP($A358,'SegEnds_NonXtal_BW#'!$A:$Z,24,FALSE)+VLOOKUP($A358,A:AL,34,FALSE)-50)),"-",(VLOOKUP($A358,'SegEnds_NonXtal_BW#'!$A:$Z,24,FALSE)+VLOOKUP($A358,A:AL,34,FALSE)-50))</f>
        <v>841</v>
      </c>
      <c r="AJ358" s="3">
        <f>IF(ISERROR(VLOOKUP($A358,'SegEnds_NonXtal_BW#'!$A:$Z,25,FALSE)+VLOOKUP($A358,A:AL,37,FALSE)-50),"-",(VLOOKUP($A358,'SegEnds_NonXtal_BW#'!$A:$Z,25,FALSE)+VLOOKUP($A358,A:AL,37,FALSE)-50))</f>
        <v>842</v>
      </c>
      <c r="AK358" s="3">
        <v>846</v>
      </c>
      <c r="AL358" s="3">
        <f>IF(ISERROR((VLOOKUP($A358,'SegEnds_NonXtal_BW#'!$A:$Z,26,FALSE)+VLOOKUP($A358,A:AL,37,FALSE)-50)),"-",(VLOOKUP($A358,'SegEnds_NonXtal_BW#'!$A:$Z,26,FALSE)+VLOOKUP($A358,A:AL,37,FALSE)-50))</f>
        <v>853</v>
      </c>
      <c r="AM358" s="28" t="str">
        <f>VLOOKUP(A358,Classification!A:B,2,FALSE)</f>
        <v>C</v>
      </c>
      <c r="AN358" s="28" t="b">
        <f t="shared" si="195"/>
        <v>1</v>
      </c>
      <c r="AO358" s="3" t="str">
        <f>IF(ISERROR(MATCH(A358,'SegEnds_Xtal_Prot#'!B:B, 0)), "NoXtal", "Xtal")</f>
        <v>Xtal</v>
      </c>
      <c r="AP358" s="3">
        <f t="shared" si="180"/>
        <v>3</v>
      </c>
      <c r="AQ358" s="3">
        <f t="shared" si="181"/>
        <v>1</v>
      </c>
      <c r="AR358" s="3" t="str">
        <f t="shared" si="182"/>
        <v>-</v>
      </c>
      <c r="AS358" s="3" t="str">
        <f t="shared" si="183"/>
        <v>-</v>
      </c>
      <c r="AT358" s="3" t="str">
        <f t="shared" si="184"/>
        <v>-</v>
      </c>
      <c r="AU358" s="3" t="str">
        <f t="shared" si="185"/>
        <v>-</v>
      </c>
      <c r="AV358" s="3">
        <f t="shared" si="186"/>
        <v>18</v>
      </c>
      <c r="AW358" s="3">
        <f t="shared" si="187"/>
        <v>1</v>
      </c>
      <c r="AX358" s="3">
        <f t="shared" si="188"/>
        <v>9</v>
      </c>
      <c r="AY358" s="3">
        <f t="shared" si="189"/>
        <v>3</v>
      </c>
      <c r="AZ358" s="3">
        <f t="shared" si="190"/>
        <v>1</v>
      </c>
      <c r="BA358" s="3">
        <f>IF(ISERROR(LEN(VLOOKUP(A358,Seqs!A:E,2,FALSE))-AL358),"-",LEN(VLOOKUP(A358,Seqs!A:E,2,FALSE))-AL358)</f>
        <v>341</v>
      </c>
      <c r="BB358" s="16">
        <f t="shared" si="191"/>
        <v>31</v>
      </c>
      <c r="BC358" s="9" t="str">
        <f t="shared" si="192"/>
        <v>-</v>
      </c>
      <c r="BD358" s="3">
        <f t="shared" si="193"/>
        <v>31</v>
      </c>
      <c r="BE358" s="3">
        <f t="shared" si="194"/>
        <v>37</v>
      </c>
    </row>
    <row r="359" spans="1:58" s="3" customFormat="1" x14ac:dyDescent="0.2">
      <c r="A359" s="3" t="s">
        <v>115</v>
      </c>
      <c r="B359" s="3" t="str">
        <f>LOWER(VLOOKUP(A359,Xtal_Templ!A:B,2,FALSE))</f>
        <v>grm1_human</v>
      </c>
      <c r="C359" s="3">
        <f>VLOOKUP($A359,'SegEnds_NonXtal_BW#'!$A:$Z,3,FALSE)+D359-50</f>
        <v>566</v>
      </c>
      <c r="D359" s="3">
        <v>582</v>
      </c>
      <c r="E359" s="3">
        <f>IF(ISERROR(VLOOKUP($A359,'SegEnds_NonXtal_BW#'!$A:$Z,4,FALSE)+VLOOKUP($A359,A:AL,4,FALSE)-50),"-",(VLOOKUP($A359,'SegEnds_NonXtal_BW#'!$A:$Z,4,FALSE)+VLOOKUP($A359,A:AL,4,FALSE)-50))</f>
        <v>592</v>
      </c>
      <c r="F359" s="3">
        <f t="shared" si="197"/>
        <v>595</v>
      </c>
      <c r="G359" s="3">
        <v>598</v>
      </c>
      <c r="H359" s="3">
        <f t="shared" si="198"/>
        <v>601</v>
      </c>
      <c r="I359" s="3">
        <f t="shared" si="199"/>
        <v>602</v>
      </c>
      <c r="J359" s="3">
        <v>613</v>
      </c>
      <c r="K359" s="3">
        <f>VLOOKUP($A359,'SegEnds_NonXtal_BW#'!$A:$Z,8,FALSE)+VLOOKUP($A359,A:AL,10,FALSE)-50</f>
        <v>624</v>
      </c>
      <c r="L359" s="3" t="str">
        <f>IF(ISERROR(VLOOKUP($A359,'SegEnds_NonXtal_BW#'!$A:$Z,9,FALSE)+VLOOKUP($A359,A:AL,13,FALSE)-50),"-",(VLOOKUP($A359,'SegEnds_NonXtal_BW#'!$A:$Z,9,FALSE)+VLOOKUP($A359,A:AL,13,FALSE)-50))</f>
        <v>-</v>
      </c>
      <c r="M359" s="3" t="s">
        <v>23</v>
      </c>
      <c r="N359" s="3" t="str">
        <f>IF(ISERROR(VLOOKUP($A359,'SegEnds_NonXtal_BW#'!$A:$Z,10,FALSE)+VLOOKUP($A359,A:AL,13,FALSE)-50),"-",(VLOOKUP($A359,'SegEnds_NonXtal_BW#'!$A:$Z,10,FALSE)+VLOOKUP($A359,A:AL,13,FALSE)-50))</f>
        <v>-</v>
      </c>
      <c r="O359" s="3">
        <f>VLOOKUP($A359,'SegEnds_NonXtal_BW#'!$A:$Z,11,FALSE)+VLOOKUP($A359,A:AL,16,FALSE)-50</f>
        <v>629</v>
      </c>
      <c r="P359" s="3">
        <v>657</v>
      </c>
      <c r="Q359" s="3">
        <f>VLOOKUP($A359,'SegEnds_NonXtal_BW#'!$A:$Z,12,FALSE)+VLOOKUP($A359,A:AL,16,FALSE)-50</f>
        <v>661</v>
      </c>
      <c r="R359" s="3" t="str">
        <f>IF(ISERROR(VLOOKUP($A359,'SegEnds_NonXtal_BW#'!$A:$Z,13,FALSE)+VLOOKUP($A359,A:AL,19,FALSE)-50),"-",VLOOKUP($A359,'SegEnds_NonXtal_BW#'!$A:$Z,13,FALSE)+VLOOKUP($A359,A:AL,19,FALSE)-50)</f>
        <v>-</v>
      </c>
      <c r="S359" s="3" t="s">
        <v>23</v>
      </c>
      <c r="T359" s="100" t="str">
        <f>IF(ISERROR(VLOOKUP($A359,'SegEnds_NonXtal_BW#'!$A:$Z,14,FALSE)+VLOOKUP($A359,A:AL,19,FALSE)-50),"-",(VLOOKUP($A359,'SegEnds_NonXtal_BW#'!$A:$Z,14,FALSE)+VLOOKUP($A359,A:AL,19,FALSE)-50))</f>
        <v>-</v>
      </c>
      <c r="U359" s="9">
        <f>IF(ISERROR(VLOOKUP($A359,'SegEnds_NonXtal_BW#'!$A:$Z,15,FALSE)+VLOOKUP($A359,A:AL,22,FALSE)-50),"-",VLOOKUP($A359,'SegEnds_NonXtal_BW#'!$A:$Z,15,FALSE)+VLOOKUP($A359,A:AL,22,FALSE)-50)</f>
        <v>675</v>
      </c>
      <c r="V359" s="3">
        <v>687</v>
      </c>
      <c r="W359" s="3">
        <f>IF(ISERROR(VLOOKUP($A359,'SegEnds_NonXtal_BW#'!$A:$Z,16,FALSE)+VLOOKUP($A359,A:AL,22,FALSE)-50),"-",(VLOOKUP($A359,'SegEnds_NonXtal_BW#'!$A:$Z,16,FALSE)+VLOOKUP($A359,A:AL,22,FALSE)-50))</f>
        <v>701</v>
      </c>
      <c r="X359" s="3">
        <f>IF(ISERROR(VLOOKUP($A359,'SegEnds_NonXtal_BW#'!$A:$Z,17,FALSE)+VLOOKUP($A359,A:AL,25,FALSE)-50),"-",(VLOOKUP($A359,'SegEnds_NonXtal_BW#'!$A:$Z,17,FALSE)+VLOOKUP($A359,A:AL,25,FALSE)-50))</f>
        <v>721</v>
      </c>
      <c r="Y359" s="3">
        <v>721</v>
      </c>
      <c r="Z359" s="3">
        <f t="shared" si="200"/>
        <v>723</v>
      </c>
      <c r="AA359" s="3">
        <f>IF(ISERROR(VLOOKUP($A359,'SegEnds_NonXtal_BW#'!$A:$Z,19,FALSE)+VLOOKUP($A359,A:AL,28,FALSE)-50),"-",(VLOOKUP($A359,'SegEnds_NonXtal_BW#'!$A:$Z,19,FALSE)+VLOOKUP($A359,A:AL,28,FALSE)-50))</f>
        <v>724</v>
      </c>
      <c r="AB359" s="3">
        <v>738</v>
      </c>
      <c r="AC359" s="3">
        <f>IF(ISERROR((VLOOKUP($A359,'SegEnds_NonXtal_BW#'!$A:$Z,20,FALSE)+VLOOKUP($A359,A:AL,28,FALSE)-50)),"-",(VLOOKUP($A359,'SegEnds_NonXtal_BW#'!$A:$Z,20,FALSE)+VLOOKUP($A359,A:AL,28,FALSE)-50))</f>
        <v>749</v>
      </c>
      <c r="AD359" s="3">
        <f>IF(ISERROR(VLOOKUP($A359,'SegEnds_NonXtal_BW#'!$A:$Z,21,FALSE)+VLOOKUP($A359,A:AL,31,FALSE)-50),"-",(VLOOKUP($A359,'SegEnds_NonXtal_BW#'!$A:$Z,21,FALSE)+VLOOKUP($A359,A:AL,31,FALSE)-50))</f>
        <v>758</v>
      </c>
      <c r="AE359" s="3">
        <v>775</v>
      </c>
      <c r="AF359" s="3">
        <f>IF(ISERROR((VLOOKUP($A359,'SegEnds_NonXtal_BW#'!$A:$Z,22,FALSE)+VLOOKUP($A359,A:AL,31,FALSE)-50)),"-",(VLOOKUP($A359,'SegEnds_NonXtal_BW#'!$A:$Z,22,FALSE)+VLOOKUP($A359,A:AL,31,FALSE)-50))</f>
        <v>782</v>
      </c>
      <c r="AG359" s="3">
        <f>IF(ISERROR(VLOOKUP($A359,'SegEnds_NonXtal_BW#'!$A:$Z,23,FALSE)+VLOOKUP($A359,A:AL,34,FALSE)-50),"-",(VLOOKUP($A359,'SegEnds_NonXtal_BW#'!$A:$Z,23,FALSE)+VLOOKUP($A359,A:AL,34,FALSE)-50))</f>
        <v>789</v>
      </c>
      <c r="AH359" s="3">
        <v>806</v>
      </c>
      <c r="AI359" s="3">
        <f>IF(ISERROR((VLOOKUP($A359,'SegEnds_NonXtal_BW#'!$A:$Z,24,FALSE)+VLOOKUP($A359,A:AL,34,FALSE)-50)),"-",(VLOOKUP($A359,'SegEnds_NonXtal_BW#'!$A:$Z,24,FALSE)+VLOOKUP($A359,A:AL,34,FALSE)-50))</f>
        <v>820</v>
      </c>
      <c r="AJ359" s="3">
        <f>IF(ISERROR(VLOOKUP($A359,'SegEnds_NonXtal_BW#'!$A:$Z,25,FALSE)+VLOOKUP($A359,A:AL,37,FALSE)-50),"-",(VLOOKUP($A359,'SegEnds_NonXtal_BW#'!$A:$Z,25,FALSE)+VLOOKUP($A359,A:AL,37,FALSE)-50))</f>
        <v>821</v>
      </c>
      <c r="AK359" s="3">
        <v>825</v>
      </c>
      <c r="AL359" s="3">
        <f>IF(ISERROR((VLOOKUP($A359,'SegEnds_NonXtal_BW#'!$A:$Z,26,FALSE)+VLOOKUP($A359,A:AL,37,FALSE)-50)),"-",(VLOOKUP($A359,'SegEnds_NonXtal_BW#'!$A:$Z,26,FALSE)+VLOOKUP($A359,A:AL,37,FALSE)-50))</f>
        <v>832</v>
      </c>
      <c r="AM359" s="28" t="str">
        <f>VLOOKUP(A359,Classification!A:B,2,FALSE)</f>
        <v>C</v>
      </c>
      <c r="AN359" s="28" t="b">
        <f t="shared" si="195"/>
        <v>1</v>
      </c>
      <c r="AO359" s="3" t="str">
        <f>IF(ISERROR(MATCH(A359,'SegEnds_Xtal_Prot#'!B:B, 0)), "NoXtal", "Xtal")</f>
        <v>NoXtal</v>
      </c>
      <c r="AP359" s="3">
        <f t="shared" si="180"/>
        <v>3</v>
      </c>
      <c r="AQ359" s="3">
        <f t="shared" si="181"/>
        <v>1</v>
      </c>
      <c r="AR359" s="3" t="str">
        <f t="shared" si="182"/>
        <v>-</v>
      </c>
      <c r="AS359" s="3" t="str">
        <f t="shared" si="183"/>
        <v>-</v>
      </c>
      <c r="AT359" s="3" t="str">
        <f t="shared" si="184"/>
        <v>-</v>
      </c>
      <c r="AU359" s="3" t="str">
        <f t="shared" si="185"/>
        <v>-</v>
      </c>
      <c r="AV359" s="3">
        <f t="shared" si="186"/>
        <v>20</v>
      </c>
      <c r="AW359" s="3">
        <f t="shared" si="187"/>
        <v>1</v>
      </c>
      <c r="AX359" s="3">
        <f t="shared" si="188"/>
        <v>9</v>
      </c>
      <c r="AY359" s="3">
        <f t="shared" si="189"/>
        <v>7</v>
      </c>
      <c r="AZ359" s="3">
        <f t="shared" si="190"/>
        <v>1</v>
      </c>
      <c r="BA359" s="3">
        <f>IF(ISERROR(LEN(VLOOKUP(A359,Seqs!A:E,2,FALSE))-AL359),"-",LEN(VLOOKUP(A359,Seqs!A:E,2,FALSE))-AL359)</f>
        <v>40</v>
      </c>
      <c r="BB359" s="16">
        <f t="shared" si="191"/>
        <v>31</v>
      </c>
      <c r="BC359" s="9" t="str">
        <f t="shared" si="192"/>
        <v>-</v>
      </c>
      <c r="BD359" s="3">
        <f t="shared" si="193"/>
        <v>31</v>
      </c>
      <c r="BE359" s="3">
        <f t="shared" si="194"/>
        <v>37</v>
      </c>
    </row>
    <row r="360" spans="1:58" s="3" customFormat="1" x14ac:dyDescent="0.2">
      <c r="A360" s="3" t="s">
        <v>116</v>
      </c>
      <c r="B360" s="3" t="str">
        <f>LOWER(VLOOKUP(A360,Xtal_Templ!A:B,2,FALSE))</f>
        <v>grm5_human</v>
      </c>
      <c r="C360" s="3">
        <f>VLOOKUP($A360,'SegEnds_NonXtal_BW#'!$A:$Z,3,FALSE)+D360-50</f>
        <v>575</v>
      </c>
      <c r="D360" s="3">
        <v>591</v>
      </c>
      <c r="E360" s="3">
        <f>IF(ISERROR(VLOOKUP($A360,'SegEnds_NonXtal_BW#'!$A:$Z,4,FALSE)+VLOOKUP($A360,A:AL,4,FALSE)-50),"-",(VLOOKUP($A360,'SegEnds_NonXtal_BW#'!$A:$Z,4,FALSE)+VLOOKUP($A360,A:AL,4,FALSE)-50))</f>
        <v>601</v>
      </c>
      <c r="F360" s="3">
        <f t="shared" si="197"/>
        <v>604</v>
      </c>
      <c r="G360" s="3">
        <v>607</v>
      </c>
      <c r="H360" s="3">
        <f t="shared" si="198"/>
        <v>610</v>
      </c>
      <c r="I360" s="3">
        <f t="shared" si="199"/>
        <v>611</v>
      </c>
      <c r="J360" s="3">
        <v>622</v>
      </c>
      <c r="K360" s="3">
        <f>VLOOKUP($A360,'SegEnds_NonXtal_BW#'!$A:$Z,8,FALSE)+VLOOKUP($A360,A:AL,10,FALSE)-50</f>
        <v>633</v>
      </c>
      <c r="L360" s="3" t="str">
        <f>IF(ISERROR(VLOOKUP($A360,'SegEnds_NonXtal_BW#'!$A:$Z,9,FALSE)+VLOOKUP($A360,A:AL,13,FALSE)-50),"-",(VLOOKUP($A360,'SegEnds_NonXtal_BW#'!$A:$Z,9,FALSE)+VLOOKUP($A360,A:AL,13,FALSE)-50))</f>
        <v>-</v>
      </c>
      <c r="M360" s="3" t="s">
        <v>23</v>
      </c>
      <c r="N360" s="3" t="str">
        <f>IF(ISERROR(VLOOKUP($A360,'SegEnds_NonXtal_BW#'!$A:$Z,10,FALSE)+VLOOKUP($A360,A:AL,13,FALSE)-50),"-",(VLOOKUP($A360,'SegEnds_NonXtal_BW#'!$A:$Z,10,FALSE)+VLOOKUP($A360,A:AL,13,FALSE)-50))</f>
        <v>-</v>
      </c>
      <c r="O360" s="3">
        <f>VLOOKUP($A360,'SegEnds_NonXtal_BW#'!$A:$Z,11,FALSE)+VLOOKUP($A360,A:AL,16,FALSE)-50</f>
        <v>638</v>
      </c>
      <c r="P360" s="3">
        <v>666</v>
      </c>
      <c r="Q360" s="3">
        <f>VLOOKUP($A360,'SegEnds_NonXtal_BW#'!$A:$Z,12,FALSE)+VLOOKUP($A360,A:AL,16,FALSE)-50</f>
        <v>670</v>
      </c>
      <c r="R360" s="3" t="str">
        <f>IF(ISERROR(VLOOKUP($A360,'SegEnds_NonXtal_BW#'!$A:$Z,13,FALSE)+VLOOKUP($A360,A:AL,19,FALSE)-50),"-",VLOOKUP($A360,'SegEnds_NonXtal_BW#'!$A:$Z,13,FALSE)+VLOOKUP($A360,A:AL,19,FALSE)-50)</f>
        <v>-</v>
      </c>
      <c r="S360" s="3" t="s">
        <v>23</v>
      </c>
      <c r="T360" s="100" t="str">
        <f>IF(ISERROR(VLOOKUP($A360,'SegEnds_NonXtal_BW#'!$A:$Z,14,FALSE)+VLOOKUP($A360,A:AL,19,FALSE)-50),"-",(VLOOKUP($A360,'SegEnds_NonXtal_BW#'!$A:$Z,14,FALSE)+VLOOKUP($A360,A:AL,19,FALSE)-50))</f>
        <v>-</v>
      </c>
      <c r="U360" s="9">
        <f>IF(ISERROR(VLOOKUP($A360,'SegEnds_NonXtal_BW#'!$A:$Z,15,FALSE)+VLOOKUP($A360,A:AL,22,FALSE)-50),"-",VLOOKUP($A360,'SegEnds_NonXtal_BW#'!$A:$Z,15,FALSE)+VLOOKUP($A360,A:AL,22,FALSE)-50)</f>
        <v>684</v>
      </c>
      <c r="V360" s="3">
        <v>696</v>
      </c>
      <c r="W360" s="3">
        <f>IF(ISERROR(VLOOKUP($A360,'SegEnds_NonXtal_BW#'!$A:$Z,16,FALSE)+VLOOKUP($A360,A:AL,22,FALSE)-50),"-",(VLOOKUP($A360,'SegEnds_NonXtal_BW#'!$A:$Z,16,FALSE)+VLOOKUP($A360,A:AL,22,FALSE)-50))</f>
        <v>710</v>
      </c>
      <c r="X360" s="3">
        <f>IF(ISERROR(VLOOKUP($A360,'SegEnds_NonXtal_BW#'!$A:$Z,17,FALSE)+VLOOKUP($A360,A:AL,25,FALSE)-50),"-",(VLOOKUP($A360,'SegEnds_NonXtal_BW#'!$A:$Z,17,FALSE)+VLOOKUP($A360,A:AL,25,FALSE)-50))</f>
        <v>730</v>
      </c>
      <c r="Y360" s="3">
        <v>730</v>
      </c>
      <c r="Z360" s="3">
        <f t="shared" si="200"/>
        <v>732</v>
      </c>
      <c r="AA360" s="3">
        <f>IF(ISERROR(VLOOKUP($A360,'SegEnds_NonXtal_BW#'!$A:$Z,19,FALSE)+VLOOKUP($A360,A:AL,28,FALSE)-50),"-",(VLOOKUP($A360,'SegEnds_NonXtal_BW#'!$A:$Z,19,FALSE)+VLOOKUP($A360,A:AL,28,FALSE)-50))</f>
        <v>733</v>
      </c>
      <c r="AB360" s="3">
        <v>747</v>
      </c>
      <c r="AC360" s="3">
        <f>IF(ISERROR((VLOOKUP($A360,'SegEnds_NonXtal_BW#'!$A:$Z,20,FALSE)+VLOOKUP($A360,A:AL,28,FALSE)-50)),"-",(VLOOKUP($A360,'SegEnds_NonXtal_BW#'!$A:$Z,20,FALSE)+VLOOKUP($A360,A:AL,28,FALSE)-50))</f>
        <v>758</v>
      </c>
      <c r="AD360" s="3">
        <f>IF(ISERROR(VLOOKUP($A360,'SegEnds_NonXtal_BW#'!$A:$Z,21,FALSE)+VLOOKUP($A360,A:AL,31,FALSE)-50),"-",(VLOOKUP($A360,'SegEnds_NonXtal_BW#'!$A:$Z,21,FALSE)+VLOOKUP($A360,A:AL,31,FALSE)-50))</f>
        <v>767</v>
      </c>
      <c r="AE360" s="3">
        <v>784</v>
      </c>
      <c r="AF360" s="3">
        <f>IF(ISERROR((VLOOKUP($A360,'SegEnds_NonXtal_BW#'!$A:$Z,22,FALSE)+VLOOKUP($A360,A:AL,31,FALSE)-50)),"-",(VLOOKUP($A360,'SegEnds_NonXtal_BW#'!$A:$Z,22,FALSE)+VLOOKUP($A360,A:AL,31,FALSE)-50))</f>
        <v>791</v>
      </c>
      <c r="AG360" s="3">
        <f>IF(ISERROR(VLOOKUP($A360,'SegEnds_NonXtal_BW#'!$A:$Z,23,FALSE)+VLOOKUP($A360,A:AL,34,FALSE)-50),"-",(VLOOKUP($A360,'SegEnds_NonXtal_BW#'!$A:$Z,23,FALSE)+VLOOKUP($A360,A:AL,34,FALSE)-50))</f>
        <v>798</v>
      </c>
      <c r="AH360" s="3">
        <v>815</v>
      </c>
      <c r="AI360" s="3">
        <f>IF(ISERROR((VLOOKUP($A360,'SegEnds_NonXtal_BW#'!$A:$Z,24,FALSE)+VLOOKUP($A360,A:AL,34,FALSE)-50)),"-",(VLOOKUP($A360,'SegEnds_NonXtal_BW#'!$A:$Z,24,FALSE)+VLOOKUP($A360,A:AL,34,FALSE)-50))</f>
        <v>829</v>
      </c>
      <c r="AJ360" s="3">
        <f>IF(ISERROR(VLOOKUP($A360,'SegEnds_NonXtal_BW#'!$A:$Z,25,FALSE)+VLOOKUP($A360,A:AL,37,FALSE)-50),"-",(VLOOKUP($A360,'SegEnds_NonXtal_BW#'!$A:$Z,25,FALSE)+VLOOKUP($A360,A:AL,37,FALSE)-50))</f>
        <v>830</v>
      </c>
      <c r="AK360" s="3">
        <v>834</v>
      </c>
      <c r="AL360" s="3">
        <f>IF(ISERROR((VLOOKUP($A360,'SegEnds_NonXtal_BW#'!$A:$Z,26,FALSE)+VLOOKUP($A360,A:AL,37,FALSE)-50)),"-",(VLOOKUP($A360,'SegEnds_NonXtal_BW#'!$A:$Z,26,FALSE)+VLOOKUP($A360,A:AL,37,FALSE)-50))</f>
        <v>841</v>
      </c>
      <c r="AM360" s="28" t="str">
        <f>VLOOKUP(A360,Classification!A:B,2,FALSE)</f>
        <v>C</v>
      </c>
      <c r="AN360" s="28" t="b">
        <f t="shared" si="195"/>
        <v>1</v>
      </c>
      <c r="AO360" s="3" t="str">
        <f>IF(ISERROR(MATCH(A360,'SegEnds_Xtal_Prot#'!B:B, 0)), "NoXtal", "Xtal")</f>
        <v>NoXtal</v>
      </c>
      <c r="AP360" s="3">
        <f t="shared" si="180"/>
        <v>3</v>
      </c>
      <c r="AQ360" s="3">
        <f t="shared" si="181"/>
        <v>1</v>
      </c>
      <c r="AR360" s="3" t="str">
        <f t="shared" si="182"/>
        <v>-</v>
      </c>
      <c r="AS360" s="3" t="str">
        <f t="shared" si="183"/>
        <v>-</v>
      </c>
      <c r="AT360" s="3" t="str">
        <f t="shared" si="184"/>
        <v>-</v>
      </c>
      <c r="AU360" s="3" t="str">
        <f t="shared" si="185"/>
        <v>-</v>
      </c>
      <c r="AV360" s="3">
        <f t="shared" si="186"/>
        <v>20</v>
      </c>
      <c r="AW360" s="3">
        <f t="shared" si="187"/>
        <v>1</v>
      </c>
      <c r="AX360" s="3">
        <f t="shared" si="188"/>
        <v>9</v>
      </c>
      <c r="AY360" s="3">
        <f t="shared" si="189"/>
        <v>7</v>
      </c>
      <c r="AZ360" s="3">
        <f t="shared" si="190"/>
        <v>1</v>
      </c>
      <c r="BA360" s="3">
        <f>IF(ISERROR(LEN(VLOOKUP(A360,Seqs!A:E,2,FALSE))-AL360),"-",LEN(VLOOKUP(A360,Seqs!A:E,2,FALSE))-AL360)</f>
        <v>38</v>
      </c>
      <c r="BB360" s="16">
        <f t="shared" si="191"/>
        <v>31</v>
      </c>
      <c r="BC360" s="9" t="str">
        <f t="shared" si="192"/>
        <v>-</v>
      </c>
      <c r="BD360" s="3">
        <f t="shared" si="193"/>
        <v>31</v>
      </c>
      <c r="BE360" s="3">
        <f t="shared" si="194"/>
        <v>37</v>
      </c>
    </row>
    <row r="361" spans="1:58" s="3" customFormat="1" x14ac:dyDescent="0.2">
      <c r="A361" s="3" t="s">
        <v>117</v>
      </c>
      <c r="B361" s="3" t="str">
        <f>LOWER(VLOOKUP(A361,Xtal_Templ!A:B,2,FALSE))</f>
        <v>grm5_human</v>
      </c>
      <c r="C361" s="3">
        <f>VLOOKUP($A361,'SegEnds_NonXtal_BW#'!$A:$Z,3,FALSE)+D361-50</f>
        <v>586</v>
      </c>
      <c r="D361" s="3">
        <v>602</v>
      </c>
      <c r="E361" s="3">
        <f>IF(ISERROR(VLOOKUP($A361,'SegEnds_NonXtal_BW#'!$A:$Z,4,FALSE)+VLOOKUP($A361,A:AL,4,FALSE)-50),"-",(VLOOKUP($A361,'SegEnds_NonXtal_BW#'!$A:$Z,4,FALSE)+VLOOKUP($A361,A:AL,4,FALSE)-50))</f>
        <v>612</v>
      </c>
      <c r="F361" s="3">
        <f t="shared" si="197"/>
        <v>615</v>
      </c>
      <c r="G361" s="3">
        <v>618</v>
      </c>
      <c r="H361" s="3">
        <f t="shared" si="198"/>
        <v>621</v>
      </c>
      <c r="I361" s="3">
        <f t="shared" si="199"/>
        <v>622</v>
      </c>
      <c r="J361" s="3">
        <v>633</v>
      </c>
      <c r="K361" s="3">
        <f>VLOOKUP($A361,'SegEnds_NonXtal_BW#'!$A:$Z,8,FALSE)+VLOOKUP($A361,A:AL,10,FALSE)-50</f>
        <v>644</v>
      </c>
      <c r="L361" s="3" t="str">
        <f>IF(ISERROR(VLOOKUP($A361,'SegEnds_NonXtal_BW#'!$A:$Z,9,FALSE)+VLOOKUP($A361,A:AL,13,FALSE)-50),"-",(VLOOKUP($A361,'SegEnds_NonXtal_BW#'!$A:$Z,9,FALSE)+VLOOKUP($A361,A:AL,13,FALSE)-50))</f>
        <v>-</v>
      </c>
      <c r="M361" s="3" t="s">
        <v>23</v>
      </c>
      <c r="N361" s="3" t="str">
        <f>IF(ISERROR(VLOOKUP($A361,'SegEnds_NonXtal_BW#'!$A:$Z,10,FALSE)+VLOOKUP($A361,A:AL,13,FALSE)-50),"-",(VLOOKUP($A361,'SegEnds_NonXtal_BW#'!$A:$Z,10,FALSE)+VLOOKUP($A361,A:AL,13,FALSE)-50))</f>
        <v>-</v>
      </c>
      <c r="O361" s="3">
        <f>VLOOKUP($A361,'SegEnds_NonXtal_BW#'!$A:$Z,11,FALSE)+VLOOKUP($A361,A:AL,16,FALSE)-50</f>
        <v>649</v>
      </c>
      <c r="P361" s="3">
        <v>677</v>
      </c>
      <c r="Q361" s="3">
        <f>VLOOKUP($A361,'SegEnds_NonXtal_BW#'!$A:$Z,12,FALSE)+VLOOKUP($A361,A:AL,16,FALSE)-50</f>
        <v>681</v>
      </c>
      <c r="R361" s="3" t="str">
        <f>IF(ISERROR(VLOOKUP($A361,'SegEnds_NonXtal_BW#'!$A:$Z,13,FALSE)+VLOOKUP($A361,A:AL,19,FALSE)-50),"-",VLOOKUP($A361,'SegEnds_NonXtal_BW#'!$A:$Z,13,FALSE)+VLOOKUP($A361,A:AL,19,FALSE)-50)</f>
        <v>-</v>
      </c>
      <c r="S361" s="3" t="s">
        <v>23</v>
      </c>
      <c r="T361" s="100" t="str">
        <f>IF(ISERROR(VLOOKUP($A361,'SegEnds_NonXtal_BW#'!$A:$Z,14,FALSE)+VLOOKUP($A361,A:AL,19,FALSE)-50),"-",(VLOOKUP($A361,'SegEnds_NonXtal_BW#'!$A:$Z,14,FALSE)+VLOOKUP($A361,A:AL,19,FALSE)-50))</f>
        <v>-</v>
      </c>
      <c r="U361" s="9">
        <f>IF(ISERROR(VLOOKUP($A361,'SegEnds_NonXtal_BW#'!$A:$Z,15,FALSE)+VLOOKUP($A361,A:AL,22,FALSE)-50),"-",VLOOKUP($A361,'SegEnds_NonXtal_BW#'!$A:$Z,15,FALSE)+VLOOKUP($A361,A:AL,22,FALSE)-50)</f>
        <v>695</v>
      </c>
      <c r="V361" s="3">
        <v>707</v>
      </c>
      <c r="W361" s="3">
        <f>IF(ISERROR(VLOOKUP($A361,'SegEnds_NonXtal_BW#'!$A:$Z,16,FALSE)+VLOOKUP($A361,A:AL,22,FALSE)-50),"-",(VLOOKUP($A361,'SegEnds_NonXtal_BW#'!$A:$Z,16,FALSE)+VLOOKUP($A361,A:AL,22,FALSE)-50))</f>
        <v>721</v>
      </c>
      <c r="X361" s="3">
        <f>IF(ISERROR(VLOOKUP($A361,'SegEnds_NonXtal_BW#'!$A:$Z,17,FALSE)+VLOOKUP($A361,A:AL,25,FALSE)-50),"-",(VLOOKUP($A361,'SegEnds_NonXtal_BW#'!$A:$Z,17,FALSE)+VLOOKUP($A361,A:AL,25,FALSE)-50))</f>
        <v>746</v>
      </c>
      <c r="Y361" s="3">
        <v>746</v>
      </c>
      <c r="Z361" s="3">
        <f t="shared" si="200"/>
        <v>748</v>
      </c>
      <c r="AA361" s="3">
        <f>IF(ISERROR(VLOOKUP($A361,'SegEnds_NonXtal_BW#'!$A:$Z,19,FALSE)+VLOOKUP($A361,A:AL,28,FALSE)-50),"-",(VLOOKUP($A361,'SegEnds_NonXtal_BW#'!$A:$Z,19,FALSE)+VLOOKUP($A361,A:AL,28,FALSE)-50))</f>
        <v>749</v>
      </c>
      <c r="AB361" s="3">
        <v>763</v>
      </c>
      <c r="AC361" s="3">
        <f>IF(ISERROR((VLOOKUP($A361,'SegEnds_NonXtal_BW#'!$A:$Z,20,FALSE)+VLOOKUP($A361,A:AL,28,FALSE)-50)),"-",(VLOOKUP($A361,'SegEnds_NonXtal_BW#'!$A:$Z,20,FALSE)+VLOOKUP($A361,A:AL,28,FALSE)-50))</f>
        <v>774</v>
      </c>
      <c r="AD361" s="3">
        <f>IF(ISERROR(VLOOKUP($A361,'SegEnds_NonXtal_BW#'!$A:$Z,21,FALSE)+VLOOKUP($A361,A:AL,31,FALSE)-50),"-",(VLOOKUP($A361,'SegEnds_NonXtal_BW#'!$A:$Z,21,FALSE)+VLOOKUP($A361,A:AL,31,FALSE)-50))</f>
        <v>783</v>
      </c>
      <c r="AE361" s="3">
        <v>800</v>
      </c>
      <c r="AF361" s="3">
        <f>IF(ISERROR((VLOOKUP($A361,'SegEnds_NonXtal_BW#'!$A:$Z,22,FALSE)+VLOOKUP($A361,A:AL,31,FALSE)-50)),"-",(VLOOKUP($A361,'SegEnds_NonXtal_BW#'!$A:$Z,22,FALSE)+VLOOKUP($A361,A:AL,31,FALSE)-50))</f>
        <v>807</v>
      </c>
      <c r="AG361" s="3">
        <f>IF(ISERROR(VLOOKUP($A361,'SegEnds_NonXtal_BW#'!$A:$Z,23,FALSE)+VLOOKUP($A361,A:AL,34,FALSE)-50),"-",(VLOOKUP($A361,'SegEnds_NonXtal_BW#'!$A:$Z,23,FALSE)+VLOOKUP($A361,A:AL,34,FALSE)-50))</f>
        <v>817</v>
      </c>
      <c r="AH361" s="3">
        <v>834</v>
      </c>
      <c r="AI361" s="3">
        <f>IF(ISERROR((VLOOKUP($A361,'SegEnds_NonXtal_BW#'!$A:$Z,24,FALSE)+VLOOKUP($A361,A:AL,34,FALSE)-50)),"-",(VLOOKUP($A361,'SegEnds_NonXtal_BW#'!$A:$Z,24,FALSE)+VLOOKUP($A361,A:AL,34,FALSE)-50))</f>
        <v>848</v>
      </c>
      <c r="AJ361" s="3">
        <f>IF(ISERROR(VLOOKUP($A361,'SegEnds_NonXtal_BW#'!$A:$Z,25,FALSE)+VLOOKUP($A361,A:AL,37,FALSE)-50),"-",(VLOOKUP($A361,'SegEnds_NonXtal_BW#'!$A:$Z,25,FALSE)+VLOOKUP($A361,A:AL,37,FALSE)-50))</f>
        <v>849</v>
      </c>
      <c r="AK361" s="3">
        <v>853</v>
      </c>
      <c r="AL361" s="3">
        <f>IF(ISERROR((VLOOKUP($A361,'SegEnds_NonXtal_BW#'!$A:$Z,26,FALSE)+VLOOKUP($A361,A:AL,37,FALSE)-50)),"-",(VLOOKUP($A361,'SegEnds_NonXtal_BW#'!$A:$Z,26,FALSE)+VLOOKUP($A361,A:AL,37,FALSE)-50))</f>
        <v>860</v>
      </c>
      <c r="AM361" s="28" t="str">
        <f>VLOOKUP(A361,Classification!A:B,2,FALSE)</f>
        <v>C</v>
      </c>
      <c r="AN361" s="28" t="b">
        <f t="shared" si="195"/>
        <v>1</v>
      </c>
      <c r="AO361" s="3" t="str">
        <f>IF(ISERROR(MATCH(A361,'SegEnds_Xtal_Prot#'!B:B, 0)), "NoXtal", "Xtal")</f>
        <v>NoXtal</v>
      </c>
      <c r="AP361" s="3">
        <f t="shared" si="180"/>
        <v>3</v>
      </c>
      <c r="AQ361" s="3">
        <f t="shared" si="181"/>
        <v>1</v>
      </c>
      <c r="AR361" s="3" t="str">
        <f t="shared" si="182"/>
        <v>-</v>
      </c>
      <c r="AS361" s="3" t="str">
        <f t="shared" si="183"/>
        <v>-</v>
      </c>
      <c r="AT361" s="3" t="str">
        <f t="shared" si="184"/>
        <v>-</v>
      </c>
      <c r="AU361" s="3" t="str">
        <f t="shared" si="185"/>
        <v>-</v>
      </c>
      <c r="AV361" s="3">
        <f t="shared" si="186"/>
        <v>25</v>
      </c>
      <c r="AW361" s="3">
        <f t="shared" si="187"/>
        <v>1</v>
      </c>
      <c r="AX361" s="3">
        <f t="shared" si="188"/>
        <v>9</v>
      </c>
      <c r="AY361" s="3">
        <f t="shared" si="189"/>
        <v>10</v>
      </c>
      <c r="AZ361" s="3">
        <f t="shared" si="190"/>
        <v>1</v>
      </c>
      <c r="BA361" s="3">
        <f>IF(ISERROR(LEN(VLOOKUP(A361,Seqs!A:E,2,FALSE))-AL361),"-",LEN(VLOOKUP(A361,Seqs!A:E,2,FALSE))-AL361)</f>
        <v>52</v>
      </c>
      <c r="BB361" s="16">
        <f t="shared" si="191"/>
        <v>31</v>
      </c>
      <c r="BC361" s="9" t="str">
        <f t="shared" si="192"/>
        <v>-</v>
      </c>
      <c r="BD361" s="3">
        <f t="shared" si="193"/>
        <v>31</v>
      </c>
      <c r="BE361" s="3">
        <f t="shared" si="194"/>
        <v>37</v>
      </c>
    </row>
    <row r="362" spans="1:58" s="3" customFormat="1" x14ac:dyDescent="0.2">
      <c r="A362" s="3" t="s">
        <v>41</v>
      </c>
      <c r="B362" s="3" t="str">
        <f>LOWER(VLOOKUP(A362,Xtal_Templ!A:B,2,FALSE))</f>
        <v>grm5_human</v>
      </c>
      <c r="C362" s="3">
        <f>VLOOKUP($A362,'SegEnds_NonXtal_BW#'!$A:$Z,3,FALSE)+D362-50</f>
        <v>578</v>
      </c>
      <c r="D362" s="3">
        <v>594</v>
      </c>
      <c r="E362" s="3">
        <f>IF(ISERROR(VLOOKUP($A362,'SegEnds_NonXtal_BW#'!$A:$Z,4,FALSE)+VLOOKUP($A362,A:AL,4,FALSE)-50),"-",(VLOOKUP($A362,'SegEnds_NonXtal_BW#'!$A:$Z,4,FALSE)+VLOOKUP($A362,A:AL,4,FALSE)-50))</f>
        <v>604</v>
      </c>
      <c r="F362" s="3">
        <f t="shared" si="197"/>
        <v>607</v>
      </c>
      <c r="G362" s="3">
        <v>610</v>
      </c>
      <c r="H362" s="3">
        <f t="shared" si="198"/>
        <v>613</v>
      </c>
      <c r="I362" s="3">
        <f t="shared" si="199"/>
        <v>614</v>
      </c>
      <c r="J362" s="3">
        <v>625</v>
      </c>
      <c r="K362" s="3">
        <f>VLOOKUP($A362,'SegEnds_NonXtal_BW#'!$A:$Z,8,FALSE)+VLOOKUP($A362,A:AL,10,FALSE)-50</f>
        <v>636</v>
      </c>
      <c r="L362" s="3" t="str">
        <f>IF(ISERROR(VLOOKUP($A362,'SegEnds_NonXtal_BW#'!$A:$Z,9,FALSE)+VLOOKUP($A362,A:AL,13,FALSE)-50),"-",(VLOOKUP($A362,'SegEnds_NonXtal_BW#'!$A:$Z,9,FALSE)+VLOOKUP($A362,A:AL,13,FALSE)-50))</f>
        <v>-</v>
      </c>
      <c r="M362" s="3" t="s">
        <v>23</v>
      </c>
      <c r="N362" s="3" t="str">
        <f>IF(ISERROR(VLOOKUP($A362,'SegEnds_NonXtal_BW#'!$A:$Z,10,FALSE)+VLOOKUP($A362,A:AL,13,FALSE)-50),"-",(VLOOKUP($A362,'SegEnds_NonXtal_BW#'!$A:$Z,10,FALSE)+VLOOKUP($A362,A:AL,13,FALSE)-50))</f>
        <v>-</v>
      </c>
      <c r="O362" s="3">
        <f>VLOOKUP($A362,'SegEnds_NonXtal_BW#'!$A:$Z,11,FALSE)+VLOOKUP($A362,A:AL,16,FALSE)-50</f>
        <v>641</v>
      </c>
      <c r="P362" s="3">
        <v>669</v>
      </c>
      <c r="Q362" s="3">
        <f>VLOOKUP($A362,'SegEnds_NonXtal_BW#'!$A:$Z,12,FALSE)+VLOOKUP($A362,A:AL,16,FALSE)-50</f>
        <v>673</v>
      </c>
      <c r="R362" s="3" t="str">
        <f>IF(ISERROR(VLOOKUP($A362,'SegEnds_NonXtal_BW#'!$A:$Z,13,FALSE)+VLOOKUP($A362,A:AL,19,FALSE)-50),"-",VLOOKUP($A362,'SegEnds_NonXtal_BW#'!$A:$Z,13,FALSE)+VLOOKUP($A362,A:AL,19,FALSE)-50)</f>
        <v>-</v>
      </c>
      <c r="S362" s="3" t="s">
        <v>23</v>
      </c>
      <c r="T362" s="100" t="str">
        <f>IF(ISERROR(VLOOKUP($A362,'SegEnds_NonXtal_BW#'!$A:$Z,14,FALSE)+VLOOKUP($A362,A:AL,19,FALSE)-50),"-",(VLOOKUP($A362,'SegEnds_NonXtal_BW#'!$A:$Z,14,FALSE)+VLOOKUP($A362,A:AL,19,FALSE)-50))</f>
        <v>-</v>
      </c>
      <c r="U362" s="9">
        <f>IF(ISERROR(VLOOKUP($A362,'SegEnds_NonXtal_BW#'!$A:$Z,15,FALSE)+VLOOKUP($A362,A:AL,22,FALSE)-50),"-",VLOOKUP($A362,'SegEnds_NonXtal_BW#'!$A:$Z,15,FALSE)+VLOOKUP($A362,A:AL,22,FALSE)-50)</f>
        <v>689</v>
      </c>
      <c r="V362" s="3">
        <v>701</v>
      </c>
      <c r="W362" s="3">
        <f>IF(ISERROR(VLOOKUP($A362,'SegEnds_NonXtal_BW#'!$A:$Z,16,FALSE)+VLOOKUP($A362,A:AL,22,FALSE)-50),"-",(VLOOKUP($A362,'SegEnds_NonXtal_BW#'!$A:$Z,16,FALSE)+VLOOKUP($A362,A:AL,22,FALSE)-50))</f>
        <v>715</v>
      </c>
      <c r="X362" s="3">
        <f>IF(ISERROR(VLOOKUP($A362,'SegEnds_NonXtal_BW#'!$A:$Z,17,FALSE)+VLOOKUP($A362,A:AL,25,FALSE)-50),"-",(VLOOKUP($A362,'SegEnds_NonXtal_BW#'!$A:$Z,17,FALSE)+VLOOKUP($A362,A:AL,25,FALSE)-50))</f>
        <v>733</v>
      </c>
      <c r="Y362" s="3">
        <v>733</v>
      </c>
      <c r="Z362" s="3">
        <f t="shared" si="200"/>
        <v>735</v>
      </c>
      <c r="AA362" s="3">
        <f>IF(ISERROR(VLOOKUP($A362,'SegEnds_NonXtal_BW#'!$A:$Z,19,FALSE)+VLOOKUP($A362,A:AL,28,FALSE)-50),"-",(VLOOKUP($A362,'SegEnds_NonXtal_BW#'!$A:$Z,19,FALSE)+VLOOKUP($A362,A:AL,28,FALSE)-50))</f>
        <v>736</v>
      </c>
      <c r="AB362" s="3">
        <v>750</v>
      </c>
      <c r="AC362" s="3">
        <f>IF(ISERROR((VLOOKUP($A362,'SegEnds_NonXtal_BW#'!$A:$Z,20,FALSE)+VLOOKUP($A362,A:AL,28,FALSE)-50)),"-",(VLOOKUP($A362,'SegEnds_NonXtal_BW#'!$A:$Z,20,FALSE)+VLOOKUP($A362,A:AL,28,FALSE)-50))</f>
        <v>761</v>
      </c>
      <c r="AD362" s="3">
        <f>IF(ISERROR(VLOOKUP($A362,'SegEnds_NonXtal_BW#'!$A:$Z,21,FALSE)+VLOOKUP($A362,A:AL,31,FALSE)-50),"-",(VLOOKUP($A362,'SegEnds_NonXtal_BW#'!$A:$Z,21,FALSE)+VLOOKUP($A362,A:AL,31,FALSE)-50))</f>
        <v>770</v>
      </c>
      <c r="AE362" s="3">
        <v>787</v>
      </c>
      <c r="AF362" s="3">
        <f>IF(ISERROR((VLOOKUP($A362,'SegEnds_NonXtal_BW#'!$A:$Z,22,FALSE)+VLOOKUP($A362,A:AL,31,FALSE)-50)),"-",(VLOOKUP($A362,'SegEnds_NonXtal_BW#'!$A:$Z,22,FALSE)+VLOOKUP($A362,A:AL,31,FALSE)-50))</f>
        <v>794</v>
      </c>
      <c r="AG362" s="3">
        <f>IF(ISERROR(VLOOKUP($A362,'SegEnds_NonXtal_BW#'!$A:$Z,23,FALSE)+VLOOKUP($A362,A:AL,34,FALSE)-50),"-",(VLOOKUP($A362,'SegEnds_NonXtal_BW#'!$A:$Z,23,FALSE)+VLOOKUP($A362,A:AL,34,FALSE)-50))</f>
        <v>797</v>
      </c>
      <c r="AH362" s="3">
        <v>814</v>
      </c>
      <c r="AI362" s="3">
        <f>IF(ISERROR((VLOOKUP($A362,'SegEnds_NonXtal_BW#'!$A:$Z,24,FALSE)+VLOOKUP($A362,A:AL,34,FALSE)-50)),"-",(VLOOKUP($A362,'SegEnds_NonXtal_BW#'!$A:$Z,24,FALSE)+VLOOKUP($A362,A:AL,34,FALSE)-50))</f>
        <v>828</v>
      </c>
      <c r="AJ362" s="3">
        <f>IF(ISERROR(VLOOKUP($A362,'SegEnds_NonXtal_BW#'!$A:$Z,25,FALSE)+VLOOKUP($A362,A:AL,37,FALSE)-50),"-",(VLOOKUP($A362,'SegEnds_NonXtal_BW#'!$A:$Z,25,FALSE)+VLOOKUP($A362,A:AL,37,FALSE)-50))</f>
        <v>829</v>
      </c>
      <c r="AK362" s="3">
        <v>833</v>
      </c>
      <c r="AL362" s="3">
        <f>IF(ISERROR((VLOOKUP($A362,'SegEnds_NonXtal_BW#'!$A:$Z,26,FALSE)+VLOOKUP($A362,A:AL,37,FALSE)-50)),"-",(VLOOKUP($A362,'SegEnds_NonXtal_BW#'!$A:$Z,26,FALSE)+VLOOKUP($A362,A:AL,37,FALSE)-50))</f>
        <v>840</v>
      </c>
      <c r="AM362" s="28" t="str">
        <f>VLOOKUP(A362,Classification!A:B,2,FALSE)</f>
        <v>C</v>
      </c>
      <c r="AN362" s="28" t="b">
        <f t="shared" si="195"/>
        <v>1</v>
      </c>
      <c r="AO362" s="3" t="str">
        <f>IF(ISERROR(MATCH(A362,'SegEnds_Xtal_Prot#'!B:B, 0)), "NoXtal", "Xtal")</f>
        <v>Xtal</v>
      </c>
      <c r="AP362" s="3">
        <f t="shared" si="180"/>
        <v>3</v>
      </c>
      <c r="AQ362" s="3">
        <f t="shared" si="181"/>
        <v>1</v>
      </c>
      <c r="AR362" s="3" t="str">
        <f t="shared" si="182"/>
        <v>-</v>
      </c>
      <c r="AS362" s="3" t="str">
        <f t="shared" si="183"/>
        <v>-</v>
      </c>
      <c r="AT362" s="3" t="str">
        <f t="shared" si="184"/>
        <v>-</v>
      </c>
      <c r="AU362" s="3" t="str">
        <f t="shared" si="185"/>
        <v>-</v>
      </c>
      <c r="AV362" s="3">
        <f t="shared" si="186"/>
        <v>18</v>
      </c>
      <c r="AW362" s="3">
        <f t="shared" si="187"/>
        <v>1</v>
      </c>
      <c r="AX362" s="3">
        <f t="shared" si="188"/>
        <v>9</v>
      </c>
      <c r="AY362" s="3">
        <f t="shared" si="189"/>
        <v>3</v>
      </c>
      <c r="AZ362" s="3">
        <f t="shared" si="190"/>
        <v>1</v>
      </c>
      <c r="BA362" s="3">
        <f>IF(ISERROR(LEN(VLOOKUP(A362,Seqs!A:E,2,FALSE))-AL362),"-",LEN(VLOOKUP(A362,Seqs!A:E,2,FALSE))-AL362)</f>
        <v>372</v>
      </c>
      <c r="BB362" s="16">
        <f t="shared" si="191"/>
        <v>31</v>
      </c>
      <c r="BC362" s="9" t="str">
        <f t="shared" si="192"/>
        <v>-</v>
      </c>
      <c r="BD362" s="3">
        <f t="shared" si="193"/>
        <v>31</v>
      </c>
      <c r="BE362" s="3">
        <f t="shared" si="194"/>
        <v>37</v>
      </c>
    </row>
    <row r="363" spans="1:58" s="3" customFormat="1" x14ac:dyDescent="0.2">
      <c r="A363" s="3" t="s">
        <v>118</v>
      </c>
      <c r="B363" s="3" t="str">
        <f>LOWER(VLOOKUP(A363,Xtal_Templ!A:B,2,FALSE))</f>
        <v>grm5_human</v>
      </c>
      <c r="C363" s="3">
        <f>VLOOKUP($A363,'SegEnds_NonXtal_BW#'!$A:$Z,3,FALSE)+D363-50</f>
        <v>584</v>
      </c>
      <c r="D363" s="3">
        <v>600</v>
      </c>
      <c r="E363" s="3">
        <f>IF(ISERROR(VLOOKUP($A363,'SegEnds_NonXtal_BW#'!$A:$Z,4,FALSE)+VLOOKUP($A363,A:AL,4,FALSE)-50),"-",(VLOOKUP($A363,'SegEnds_NonXtal_BW#'!$A:$Z,4,FALSE)+VLOOKUP($A363,A:AL,4,FALSE)-50))</f>
        <v>610</v>
      </c>
      <c r="F363" s="3">
        <f t="shared" si="197"/>
        <v>613</v>
      </c>
      <c r="G363" s="3">
        <v>616</v>
      </c>
      <c r="H363" s="3">
        <f t="shared" si="198"/>
        <v>619</v>
      </c>
      <c r="I363" s="3">
        <f t="shared" si="199"/>
        <v>620</v>
      </c>
      <c r="J363" s="3">
        <v>631</v>
      </c>
      <c r="K363" s="3">
        <f>VLOOKUP($A363,'SegEnds_NonXtal_BW#'!$A:$Z,8,FALSE)+VLOOKUP($A363,A:AL,10,FALSE)-50</f>
        <v>642</v>
      </c>
      <c r="L363" s="3" t="str">
        <f>IF(ISERROR(VLOOKUP($A363,'SegEnds_NonXtal_BW#'!$A:$Z,9,FALSE)+VLOOKUP($A363,A:AL,13,FALSE)-50),"-",(VLOOKUP($A363,'SegEnds_NonXtal_BW#'!$A:$Z,9,FALSE)+VLOOKUP($A363,A:AL,13,FALSE)-50))</f>
        <v>-</v>
      </c>
      <c r="M363" s="3" t="s">
        <v>23</v>
      </c>
      <c r="N363" s="3" t="str">
        <f>IF(ISERROR(VLOOKUP($A363,'SegEnds_NonXtal_BW#'!$A:$Z,10,FALSE)+VLOOKUP($A363,A:AL,13,FALSE)-50),"-",(VLOOKUP($A363,'SegEnds_NonXtal_BW#'!$A:$Z,10,FALSE)+VLOOKUP($A363,A:AL,13,FALSE)-50))</f>
        <v>-</v>
      </c>
      <c r="O363" s="3">
        <f>VLOOKUP($A363,'SegEnds_NonXtal_BW#'!$A:$Z,11,FALSE)+VLOOKUP($A363,A:AL,16,FALSE)-50</f>
        <v>647</v>
      </c>
      <c r="P363" s="3">
        <v>675</v>
      </c>
      <c r="Q363" s="3">
        <f>VLOOKUP($A363,'SegEnds_NonXtal_BW#'!$A:$Z,12,FALSE)+VLOOKUP($A363,A:AL,16,FALSE)-50</f>
        <v>679</v>
      </c>
      <c r="R363" s="3" t="str">
        <f>IF(ISERROR(VLOOKUP($A363,'SegEnds_NonXtal_BW#'!$A:$Z,13,FALSE)+VLOOKUP($A363,A:AL,19,FALSE)-50),"-",VLOOKUP($A363,'SegEnds_NonXtal_BW#'!$A:$Z,13,FALSE)+VLOOKUP($A363,A:AL,19,FALSE)-50)</f>
        <v>-</v>
      </c>
      <c r="S363" s="3" t="s">
        <v>23</v>
      </c>
      <c r="T363" s="100" t="str">
        <f>IF(ISERROR(VLOOKUP($A363,'SegEnds_NonXtal_BW#'!$A:$Z,14,FALSE)+VLOOKUP($A363,A:AL,19,FALSE)-50),"-",(VLOOKUP($A363,'SegEnds_NonXtal_BW#'!$A:$Z,14,FALSE)+VLOOKUP($A363,A:AL,19,FALSE)-50))</f>
        <v>-</v>
      </c>
      <c r="U363" s="9">
        <f>IF(ISERROR(VLOOKUP($A363,'SegEnds_NonXtal_BW#'!$A:$Z,15,FALSE)+VLOOKUP($A363,A:AL,22,FALSE)-50),"-",VLOOKUP($A363,'SegEnds_NonXtal_BW#'!$A:$Z,15,FALSE)+VLOOKUP($A363,A:AL,22,FALSE)-50)</f>
        <v>693</v>
      </c>
      <c r="V363" s="3">
        <v>705</v>
      </c>
      <c r="W363" s="3">
        <f>IF(ISERROR(VLOOKUP($A363,'SegEnds_NonXtal_BW#'!$A:$Z,16,FALSE)+VLOOKUP($A363,A:AL,22,FALSE)-50),"-",(VLOOKUP($A363,'SegEnds_NonXtal_BW#'!$A:$Z,16,FALSE)+VLOOKUP($A363,A:AL,22,FALSE)-50))</f>
        <v>719</v>
      </c>
      <c r="X363" s="3">
        <f>IF(ISERROR(VLOOKUP($A363,'SegEnds_NonXtal_BW#'!$A:$Z,17,FALSE)+VLOOKUP($A363,A:AL,25,FALSE)-50),"-",(VLOOKUP($A363,'SegEnds_NonXtal_BW#'!$A:$Z,17,FALSE)+VLOOKUP($A363,A:AL,25,FALSE)-50))</f>
        <v>744</v>
      </c>
      <c r="Y363" s="3">
        <v>744</v>
      </c>
      <c r="Z363" s="3">
        <f t="shared" si="200"/>
        <v>746</v>
      </c>
      <c r="AA363" s="3">
        <f>IF(ISERROR(VLOOKUP($A363,'SegEnds_NonXtal_BW#'!$A:$Z,19,FALSE)+VLOOKUP($A363,A:AL,28,FALSE)-50),"-",(VLOOKUP($A363,'SegEnds_NonXtal_BW#'!$A:$Z,19,FALSE)+VLOOKUP($A363,A:AL,28,FALSE)-50))</f>
        <v>747</v>
      </c>
      <c r="AB363" s="3">
        <v>761</v>
      </c>
      <c r="AC363" s="3">
        <f>IF(ISERROR((VLOOKUP($A363,'SegEnds_NonXtal_BW#'!$A:$Z,20,FALSE)+VLOOKUP($A363,A:AL,28,FALSE)-50)),"-",(VLOOKUP($A363,'SegEnds_NonXtal_BW#'!$A:$Z,20,FALSE)+VLOOKUP($A363,A:AL,28,FALSE)-50))</f>
        <v>772</v>
      </c>
      <c r="AD363" s="3">
        <f>IF(ISERROR(VLOOKUP($A363,'SegEnds_NonXtal_BW#'!$A:$Z,21,FALSE)+VLOOKUP($A363,A:AL,31,FALSE)-50),"-",(VLOOKUP($A363,'SegEnds_NonXtal_BW#'!$A:$Z,21,FALSE)+VLOOKUP($A363,A:AL,31,FALSE)-50))</f>
        <v>781</v>
      </c>
      <c r="AE363" s="3">
        <v>798</v>
      </c>
      <c r="AF363" s="3">
        <f>IF(ISERROR((VLOOKUP($A363,'SegEnds_NonXtal_BW#'!$A:$Z,22,FALSE)+VLOOKUP($A363,A:AL,31,FALSE)-50)),"-",(VLOOKUP($A363,'SegEnds_NonXtal_BW#'!$A:$Z,22,FALSE)+VLOOKUP($A363,A:AL,31,FALSE)-50))</f>
        <v>805</v>
      </c>
      <c r="AG363" s="3">
        <f>IF(ISERROR(VLOOKUP($A363,'SegEnds_NonXtal_BW#'!$A:$Z,23,FALSE)+VLOOKUP($A363,A:AL,34,FALSE)-50),"-",(VLOOKUP($A363,'SegEnds_NonXtal_BW#'!$A:$Z,23,FALSE)+VLOOKUP($A363,A:AL,34,FALSE)-50))</f>
        <v>815</v>
      </c>
      <c r="AH363" s="3">
        <v>832</v>
      </c>
      <c r="AI363" s="3">
        <f>IF(ISERROR((VLOOKUP($A363,'SegEnds_NonXtal_BW#'!$A:$Z,24,FALSE)+VLOOKUP($A363,A:AL,34,FALSE)-50)),"-",(VLOOKUP($A363,'SegEnds_NonXtal_BW#'!$A:$Z,24,FALSE)+VLOOKUP($A363,A:AL,34,FALSE)-50))</f>
        <v>846</v>
      </c>
      <c r="AJ363" s="3">
        <f>IF(ISERROR(VLOOKUP($A363,'SegEnds_NonXtal_BW#'!$A:$Z,25,FALSE)+VLOOKUP($A363,A:AL,37,FALSE)-50),"-",(VLOOKUP($A363,'SegEnds_NonXtal_BW#'!$A:$Z,25,FALSE)+VLOOKUP($A363,A:AL,37,FALSE)-50))</f>
        <v>847</v>
      </c>
      <c r="AK363" s="3">
        <v>851</v>
      </c>
      <c r="AL363" s="3">
        <f>IF(ISERROR((VLOOKUP($A363,'SegEnds_NonXtal_BW#'!$A:$Z,26,FALSE)+VLOOKUP($A363,A:AL,37,FALSE)-50)),"-",(VLOOKUP($A363,'SegEnds_NonXtal_BW#'!$A:$Z,26,FALSE)+VLOOKUP($A363,A:AL,37,FALSE)-50))</f>
        <v>858</v>
      </c>
      <c r="AM363" s="28" t="str">
        <f>VLOOKUP(A363,Classification!A:B,2,FALSE)</f>
        <v>C</v>
      </c>
      <c r="AN363" s="28" t="b">
        <f t="shared" si="195"/>
        <v>1</v>
      </c>
      <c r="AO363" s="3" t="str">
        <f>IF(ISERROR(MATCH(A363,'SegEnds_Xtal_Prot#'!B:B, 0)), "NoXtal", "Xtal")</f>
        <v>NoXtal</v>
      </c>
      <c r="AP363" s="3">
        <f t="shared" si="180"/>
        <v>3</v>
      </c>
      <c r="AQ363" s="3">
        <f t="shared" si="181"/>
        <v>1</v>
      </c>
      <c r="AR363" s="3" t="str">
        <f t="shared" si="182"/>
        <v>-</v>
      </c>
      <c r="AS363" s="3" t="str">
        <f t="shared" si="183"/>
        <v>-</v>
      </c>
      <c r="AT363" s="3" t="str">
        <f t="shared" si="184"/>
        <v>-</v>
      </c>
      <c r="AU363" s="3" t="str">
        <f t="shared" si="185"/>
        <v>-</v>
      </c>
      <c r="AV363" s="3">
        <f t="shared" si="186"/>
        <v>25</v>
      </c>
      <c r="AW363" s="3">
        <f t="shared" si="187"/>
        <v>1</v>
      </c>
      <c r="AX363" s="3">
        <f t="shared" si="188"/>
        <v>9</v>
      </c>
      <c r="AY363" s="3">
        <f t="shared" si="189"/>
        <v>10</v>
      </c>
      <c r="AZ363" s="3">
        <f t="shared" si="190"/>
        <v>1</v>
      </c>
      <c r="BA363" s="3">
        <f>IF(ISERROR(LEN(VLOOKUP(A363,Seqs!A:E,2,FALSE))-AL363),"-",LEN(VLOOKUP(A363,Seqs!A:E,2,FALSE))-AL363)</f>
        <v>19</v>
      </c>
      <c r="BB363" s="16">
        <f t="shared" si="191"/>
        <v>31</v>
      </c>
      <c r="BC363" s="9" t="str">
        <f t="shared" si="192"/>
        <v>-</v>
      </c>
      <c r="BD363" s="3">
        <f t="shared" si="193"/>
        <v>31</v>
      </c>
      <c r="BE363" s="3">
        <f t="shared" si="194"/>
        <v>37</v>
      </c>
      <c r="BF363" s="3">
        <f>AH363-AE363</f>
        <v>34</v>
      </c>
    </row>
    <row r="364" spans="1:58" s="3" customFormat="1" x14ac:dyDescent="0.2">
      <c r="A364" s="3" t="s">
        <v>119</v>
      </c>
      <c r="B364" s="3" t="str">
        <f>LOWER(VLOOKUP(A364,Xtal_Templ!A:B,2,FALSE))</f>
        <v>grm5_human</v>
      </c>
      <c r="C364" s="3">
        <f>VLOOKUP($A364,'SegEnds_NonXtal_BW#'!$A:$Z,3,FALSE)+D364-50</f>
        <v>589</v>
      </c>
      <c r="D364" s="3">
        <v>605</v>
      </c>
      <c r="E364" s="3">
        <f>IF(ISERROR(VLOOKUP($A364,'SegEnds_NonXtal_BW#'!$A:$Z,4,FALSE)+VLOOKUP($A364,A:AL,4,FALSE)-50),"-",(VLOOKUP($A364,'SegEnds_NonXtal_BW#'!$A:$Z,4,FALSE)+VLOOKUP($A364,A:AL,4,FALSE)-50))</f>
        <v>615</v>
      </c>
      <c r="F364" s="3">
        <f t="shared" si="197"/>
        <v>618</v>
      </c>
      <c r="G364" s="3">
        <v>621</v>
      </c>
      <c r="H364" s="3">
        <f t="shared" si="198"/>
        <v>624</v>
      </c>
      <c r="I364" s="3">
        <f t="shared" si="199"/>
        <v>625</v>
      </c>
      <c r="J364" s="3">
        <v>636</v>
      </c>
      <c r="K364" s="3">
        <f>VLOOKUP($A364,'SegEnds_NonXtal_BW#'!$A:$Z,8,FALSE)+VLOOKUP($A364,A:AL,10,FALSE)-50</f>
        <v>647</v>
      </c>
      <c r="L364" s="3" t="str">
        <f>IF(ISERROR(VLOOKUP($A364,'SegEnds_NonXtal_BW#'!$A:$Z,9,FALSE)+VLOOKUP($A364,A:AL,13,FALSE)-50),"-",(VLOOKUP($A364,'SegEnds_NonXtal_BW#'!$A:$Z,9,FALSE)+VLOOKUP($A364,A:AL,13,FALSE)-50))</f>
        <v>-</v>
      </c>
      <c r="M364" s="3" t="s">
        <v>23</v>
      </c>
      <c r="N364" s="3" t="str">
        <f>IF(ISERROR(VLOOKUP($A364,'SegEnds_NonXtal_BW#'!$A:$Z,10,FALSE)+VLOOKUP($A364,A:AL,13,FALSE)-50),"-",(VLOOKUP($A364,'SegEnds_NonXtal_BW#'!$A:$Z,10,FALSE)+VLOOKUP($A364,A:AL,13,FALSE)-50))</f>
        <v>-</v>
      </c>
      <c r="O364" s="3">
        <f>VLOOKUP($A364,'SegEnds_NonXtal_BW#'!$A:$Z,11,FALSE)+VLOOKUP($A364,A:AL,16,FALSE)-50</f>
        <v>652</v>
      </c>
      <c r="P364" s="3">
        <v>680</v>
      </c>
      <c r="Q364" s="3">
        <f>VLOOKUP($A364,'SegEnds_NonXtal_BW#'!$A:$Z,12,FALSE)+VLOOKUP($A364,A:AL,16,FALSE)-50</f>
        <v>684</v>
      </c>
      <c r="R364" s="3" t="str">
        <f>IF(ISERROR(VLOOKUP($A364,'SegEnds_NonXtal_BW#'!$A:$Z,13,FALSE)+VLOOKUP($A364,A:AL,19,FALSE)-50),"-",VLOOKUP($A364,'SegEnds_NonXtal_BW#'!$A:$Z,13,FALSE)+VLOOKUP($A364,A:AL,19,FALSE)-50)</f>
        <v>-</v>
      </c>
      <c r="S364" s="3" t="s">
        <v>23</v>
      </c>
      <c r="T364" s="100" t="str">
        <f>IF(ISERROR(VLOOKUP($A364,'SegEnds_NonXtal_BW#'!$A:$Z,14,FALSE)+VLOOKUP($A364,A:AL,19,FALSE)-50),"-",(VLOOKUP($A364,'SegEnds_NonXtal_BW#'!$A:$Z,14,FALSE)+VLOOKUP($A364,A:AL,19,FALSE)-50))</f>
        <v>-</v>
      </c>
      <c r="U364" s="9">
        <f>IF(ISERROR(VLOOKUP($A364,'SegEnds_NonXtal_BW#'!$A:$Z,15,FALSE)+VLOOKUP($A364,A:AL,22,FALSE)-50),"-",VLOOKUP($A364,'SegEnds_NonXtal_BW#'!$A:$Z,15,FALSE)+VLOOKUP($A364,A:AL,22,FALSE)-50)</f>
        <v>698</v>
      </c>
      <c r="V364" s="3">
        <v>710</v>
      </c>
      <c r="W364" s="3">
        <f>IF(ISERROR(VLOOKUP($A364,'SegEnds_NonXtal_BW#'!$A:$Z,16,FALSE)+VLOOKUP($A364,A:AL,22,FALSE)-50),"-",(VLOOKUP($A364,'SegEnds_NonXtal_BW#'!$A:$Z,16,FALSE)+VLOOKUP($A364,A:AL,22,FALSE)-50))</f>
        <v>724</v>
      </c>
      <c r="X364" s="3">
        <f>IF(ISERROR(VLOOKUP($A364,'SegEnds_NonXtal_BW#'!$A:$Z,17,FALSE)+VLOOKUP($A364,A:AL,25,FALSE)-50),"-",(VLOOKUP($A364,'SegEnds_NonXtal_BW#'!$A:$Z,17,FALSE)+VLOOKUP($A364,A:AL,25,FALSE)-50))</f>
        <v>749</v>
      </c>
      <c r="Y364" s="3">
        <v>749</v>
      </c>
      <c r="Z364" s="3">
        <f t="shared" si="200"/>
        <v>751</v>
      </c>
      <c r="AA364" s="3">
        <f>IF(ISERROR(VLOOKUP($A364,'SegEnds_NonXtal_BW#'!$A:$Z,19,FALSE)+VLOOKUP($A364,A:AL,28,FALSE)-50),"-",(VLOOKUP($A364,'SegEnds_NonXtal_BW#'!$A:$Z,19,FALSE)+VLOOKUP($A364,A:AL,28,FALSE)-50))</f>
        <v>752</v>
      </c>
      <c r="AB364" s="3">
        <v>766</v>
      </c>
      <c r="AC364" s="3">
        <f>IF(ISERROR((VLOOKUP($A364,'SegEnds_NonXtal_BW#'!$A:$Z,20,FALSE)+VLOOKUP($A364,A:AL,28,FALSE)-50)),"-",(VLOOKUP($A364,'SegEnds_NonXtal_BW#'!$A:$Z,20,FALSE)+VLOOKUP($A364,A:AL,28,FALSE)-50))</f>
        <v>777</v>
      </c>
      <c r="AD364" s="3">
        <f>IF(ISERROR(VLOOKUP($A364,'SegEnds_NonXtal_BW#'!$A:$Z,21,FALSE)+VLOOKUP($A364,A:AL,31,FALSE)-50),"-",(VLOOKUP($A364,'SegEnds_NonXtal_BW#'!$A:$Z,21,FALSE)+VLOOKUP($A364,A:AL,31,FALSE)-50))</f>
        <v>786</v>
      </c>
      <c r="AE364" s="3">
        <v>803</v>
      </c>
      <c r="AF364" s="3">
        <f>IF(ISERROR((VLOOKUP($A364,'SegEnds_NonXtal_BW#'!$A:$Z,22,FALSE)+VLOOKUP($A364,A:AL,31,FALSE)-50)),"-",(VLOOKUP($A364,'SegEnds_NonXtal_BW#'!$A:$Z,22,FALSE)+VLOOKUP($A364,A:AL,31,FALSE)-50))</f>
        <v>810</v>
      </c>
      <c r="AG364" s="3">
        <f>IF(ISERROR(VLOOKUP($A364,'SegEnds_NonXtal_BW#'!$A:$Z,23,FALSE)+VLOOKUP($A364,A:AL,34,FALSE)-50),"-",(VLOOKUP($A364,'SegEnds_NonXtal_BW#'!$A:$Z,23,FALSE)+VLOOKUP($A364,A:AL,34,FALSE)-50))</f>
        <v>820</v>
      </c>
      <c r="AH364" s="3">
        <v>837</v>
      </c>
      <c r="AI364" s="3">
        <f>IF(ISERROR((VLOOKUP($A364,'SegEnds_NonXtal_BW#'!$A:$Z,24,FALSE)+VLOOKUP($A364,A:AL,34,FALSE)-50)),"-",(VLOOKUP($A364,'SegEnds_NonXtal_BW#'!$A:$Z,24,FALSE)+VLOOKUP($A364,A:AL,34,FALSE)-50))</f>
        <v>851</v>
      </c>
      <c r="AJ364" s="3">
        <f>IF(ISERROR(VLOOKUP($A364,'SegEnds_NonXtal_BW#'!$A:$Z,25,FALSE)+VLOOKUP($A364,A:AL,37,FALSE)-50),"-",(VLOOKUP($A364,'SegEnds_NonXtal_BW#'!$A:$Z,25,FALSE)+VLOOKUP($A364,A:AL,37,FALSE)-50))</f>
        <v>852</v>
      </c>
      <c r="AK364" s="3">
        <v>856</v>
      </c>
      <c r="AL364" s="3">
        <f>IF(ISERROR((VLOOKUP($A364,'SegEnds_NonXtal_BW#'!$A:$Z,26,FALSE)+VLOOKUP($A364,A:AL,37,FALSE)-50)),"-",(VLOOKUP($A364,'SegEnds_NonXtal_BW#'!$A:$Z,26,FALSE)+VLOOKUP($A364,A:AL,37,FALSE)-50))</f>
        <v>863</v>
      </c>
      <c r="AM364" s="28" t="str">
        <f>VLOOKUP(A364,Classification!A:B,2,FALSE)</f>
        <v>C</v>
      </c>
      <c r="AN364" s="28" t="b">
        <f t="shared" si="195"/>
        <v>1</v>
      </c>
      <c r="AO364" s="3" t="str">
        <f>IF(ISERROR(MATCH(A364,'SegEnds_Xtal_Prot#'!B:B, 0)), "NoXtal", "Xtal")</f>
        <v>NoXtal</v>
      </c>
      <c r="AP364" s="3">
        <f t="shared" si="180"/>
        <v>3</v>
      </c>
      <c r="AQ364" s="3">
        <f t="shared" si="181"/>
        <v>1</v>
      </c>
      <c r="AR364" s="3" t="str">
        <f t="shared" si="182"/>
        <v>-</v>
      </c>
      <c r="AS364" s="3" t="str">
        <f t="shared" si="183"/>
        <v>-</v>
      </c>
      <c r="AT364" s="3" t="str">
        <f t="shared" si="184"/>
        <v>-</v>
      </c>
      <c r="AU364" s="3" t="str">
        <f t="shared" si="185"/>
        <v>-</v>
      </c>
      <c r="AV364" s="3">
        <f t="shared" si="186"/>
        <v>25</v>
      </c>
      <c r="AW364" s="3">
        <f t="shared" si="187"/>
        <v>1</v>
      </c>
      <c r="AX364" s="3">
        <f t="shared" si="188"/>
        <v>9</v>
      </c>
      <c r="AY364" s="3">
        <f t="shared" si="189"/>
        <v>10</v>
      </c>
      <c r="AZ364" s="3">
        <f t="shared" si="190"/>
        <v>1</v>
      </c>
      <c r="BA364" s="3">
        <f>IF(ISERROR(LEN(VLOOKUP(A364,Seqs!A:E,2,FALSE))-AL364),"-",LEN(VLOOKUP(A364,Seqs!A:E,2,FALSE))-AL364)</f>
        <v>52</v>
      </c>
      <c r="BB364" s="16">
        <f t="shared" si="191"/>
        <v>31</v>
      </c>
      <c r="BC364" s="9" t="str">
        <f t="shared" si="192"/>
        <v>-</v>
      </c>
      <c r="BD364" s="3">
        <f t="shared" si="193"/>
        <v>31</v>
      </c>
      <c r="BE364" s="3">
        <f t="shared" si="194"/>
        <v>37</v>
      </c>
    </row>
    <row r="365" spans="1:58" s="3" customFormat="1" x14ac:dyDescent="0.2">
      <c r="A365" s="3" t="s">
        <v>120</v>
      </c>
      <c r="B365" s="3" t="str">
        <f>LOWER(VLOOKUP(A365,Xtal_Templ!A:B,2,FALSE))</f>
        <v>grm5_human</v>
      </c>
      <c r="C365" s="3">
        <f>VLOOKUP($A365,'SegEnds_NonXtal_BW#'!$A:$Z,3,FALSE)+D365-50</f>
        <v>582</v>
      </c>
      <c r="D365" s="3">
        <v>598</v>
      </c>
      <c r="E365" s="3">
        <f>IF(ISERROR(VLOOKUP($A365,'SegEnds_NonXtal_BW#'!$A:$Z,4,FALSE)+VLOOKUP($A365,A:AL,4,FALSE)-50),"-",(VLOOKUP($A365,'SegEnds_NonXtal_BW#'!$A:$Z,4,FALSE)+VLOOKUP($A365,A:AL,4,FALSE)-50))</f>
        <v>608</v>
      </c>
      <c r="F365" s="3">
        <f t="shared" si="197"/>
        <v>611</v>
      </c>
      <c r="G365" s="3">
        <v>614</v>
      </c>
      <c r="H365" s="3">
        <f t="shared" si="198"/>
        <v>617</v>
      </c>
      <c r="I365" s="3">
        <f t="shared" si="199"/>
        <v>618</v>
      </c>
      <c r="J365" s="3">
        <v>629</v>
      </c>
      <c r="K365" s="3">
        <f>VLOOKUP($A365,'SegEnds_NonXtal_BW#'!$A:$Z,8,FALSE)+VLOOKUP($A365,A:AL,10,FALSE)-50</f>
        <v>640</v>
      </c>
      <c r="L365" s="3" t="str">
        <f>IF(ISERROR(VLOOKUP($A365,'SegEnds_NonXtal_BW#'!$A:$Z,9,FALSE)+VLOOKUP($A365,A:AL,13,FALSE)-50),"-",(VLOOKUP($A365,'SegEnds_NonXtal_BW#'!$A:$Z,9,FALSE)+VLOOKUP($A365,A:AL,13,FALSE)-50))</f>
        <v>-</v>
      </c>
      <c r="M365" s="3" t="s">
        <v>23</v>
      </c>
      <c r="N365" s="3" t="str">
        <f>IF(ISERROR(VLOOKUP($A365,'SegEnds_NonXtal_BW#'!$A:$Z,10,FALSE)+VLOOKUP($A365,A:AL,13,FALSE)-50),"-",(VLOOKUP($A365,'SegEnds_NonXtal_BW#'!$A:$Z,10,FALSE)+VLOOKUP($A365,A:AL,13,FALSE)-50))</f>
        <v>-</v>
      </c>
      <c r="O365" s="3">
        <f>VLOOKUP($A365,'SegEnds_NonXtal_BW#'!$A:$Z,11,FALSE)+VLOOKUP($A365,A:AL,16,FALSE)-50</f>
        <v>645</v>
      </c>
      <c r="P365" s="3">
        <v>673</v>
      </c>
      <c r="Q365" s="3">
        <f>VLOOKUP($A365,'SegEnds_NonXtal_BW#'!$A:$Z,12,FALSE)+VLOOKUP($A365,A:AL,16,FALSE)-50</f>
        <v>677</v>
      </c>
      <c r="R365" s="3" t="str">
        <f>IF(ISERROR(VLOOKUP($A365,'SegEnds_NonXtal_BW#'!$A:$Z,13,FALSE)+VLOOKUP($A365,A:AL,19,FALSE)-50),"-",VLOOKUP($A365,'SegEnds_NonXtal_BW#'!$A:$Z,13,FALSE)+VLOOKUP($A365,A:AL,19,FALSE)-50)</f>
        <v>-</v>
      </c>
      <c r="S365" s="3" t="s">
        <v>23</v>
      </c>
      <c r="T365" s="100" t="str">
        <f>IF(ISERROR(VLOOKUP($A365,'SegEnds_NonXtal_BW#'!$A:$Z,14,FALSE)+VLOOKUP($A365,A:AL,19,FALSE)-50),"-",(VLOOKUP($A365,'SegEnds_NonXtal_BW#'!$A:$Z,14,FALSE)+VLOOKUP($A365,A:AL,19,FALSE)-50))</f>
        <v>-</v>
      </c>
      <c r="U365" s="9">
        <f>IF(ISERROR(VLOOKUP($A365,'SegEnds_NonXtal_BW#'!$A:$Z,15,FALSE)+VLOOKUP($A365,A:AL,22,FALSE)-50),"-",VLOOKUP($A365,'SegEnds_NonXtal_BW#'!$A:$Z,15,FALSE)+VLOOKUP($A365,A:AL,22,FALSE)-50)</f>
        <v>691</v>
      </c>
      <c r="V365" s="3">
        <v>703</v>
      </c>
      <c r="W365" s="3">
        <f>IF(ISERROR(VLOOKUP($A365,'SegEnds_NonXtal_BW#'!$A:$Z,16,FALSE)+VLOOKUP($A365,A:AL,22,FALSE)-50),"-",(VLOOKUP($A365,'SegEnds_NonXtal_BW#'!$A:$Z,16,FALSE)+VLOOKUP($A365,A:AL,22,FALSE)-50))</f>
        <v>717</v>
      </c>
      <c r="X365" s="3">
        <f>IF(ISERROR(VLOOKUP($A365,'SegEnds_NonXtal_BW#'!$A:$Z,17,FALSE)+VLOOKUP($A365,A:AL,25,FALSE)-50),"-",(VLOOKUP($A365,'SegEnds_NonXtal_BW#'!$A:$Z,17,FALSE)+VLOOKUP($A365,A:AL,25,FALSE)-50))</f>
        <v>742</v>
      </c>
      <c r="Y365" s="3">
        <v>742</v>
      </c>
      <c r="Z365" s="3">
        <f t="shared" si="200"/>
        <v>744</v>
      </c>
      <c r="AA365" s="3">
        <f>IF(ISERROR(VLOOKUP($A365,'SegEnds_NonXtal_BW#'!$A:$Z,19,FALSE)+VLOOKUP($A365,A:AL,28,FALSE)-50),"-",(VLOOKUP($A365,'SegEnds_NonXtal_BW#'!$A:$Z,19,FALSE)+VLOOKUP($A365,A:AL,28,FALSE)-50))</f>
        <v>745</v>
      </c>
      <c r="AB365" s="3">
        <v>759</v>
      </c>
      <c r="AC365" s="3">
        <f>IF(ISERROR((VLOOKUP($A365,'SegEnds_NonXtal_BW#'!$A:$Z,20,FALSE)+VLOOKUP($A365,A:AL,28,FALSE)-50)),"-",(VLOOKUP($A365,'SegEnds_NonXtal_BW#'!$A:$Z,20,FALSE)+VLOOKUP($A365,A:AL,28,FALSE)-50))</f>
        <v>770</v>
      </c>
      <c r="AD365" s="3">
        <f>IF(ISERROR(VLOOKUP($A365,'SegEnds_NonXtal_BW#'!$A:$Z,21,FALSE)+VLOOKUP($A365,A:AL,31,FALSE)-50),"-",(VLOOKUP($A365,'SegEnds_NonXtal_BW#'!$A:$Z,21,FALSE)+VLOOKUP($A365,A:AL,31,FALSE)-50))</f>
        <v>779</v>
      </c>
      <c r="AE365" s="3">
        <v>796</v>
      </c>
      <c r="AF365" s="3">
        <f>IF(ISERROR((VLOOKUP($A365,'SegEnds_NonXtal_BW#'!$A:$Z,22,FALSE)+VLOOKUP($A365,A:AL,31,FALSE)-50)),"-",(VLOOKUP($A365,'SegEnds_NonXtal_BW#'!$A:$Z,22,FALSE)+VLOOKUP($A365,A:AL,31,FALSE)-50))</f>
        <v>803</v>
      </c>
      <c r="AG365" s="3">
        <f>IF(ISERROR(VLOOKUP($A365,'SegEnds_NonXtal_BW#'!$A:$Z,23,FALSE)+VLOOKUP($A365,A:AL,34,FALSE)-50),"-",(VLOOKUP($A365,'SegEnds_NonXtal_BW#'!$A:$Z,23,FALSE)+VLOOKUP($A365,A:AL,34,FALSE)-50))</f>
        <v>813</v>
      </c>
      <c r="AH365" s="3">
        <v>830</v>
      </c>
      <c r="AI365" s="3">
        <f>IF(ISERROR((VLOOKUP($A365,'SegEnds_NonXtal_BW#'!$A:$Z,24,FALSE)+VLOOKUP($A365,A:AL,34,FALSE)-50)),"-",(VLOOKUP($A365,'SegEnds_NonXtal_BW#'!$A:$Z,24,FALSE)+VLOOKUP($A365,A:AL,34,FALSE)-50))</f>
        <v>844</v>
      </c>
      <c r="AJ365" s="3">
        <f>IF(ISERROR(VLOOKUP($A365,'SegEnds_NonXtal_BW#'!$A:$Z,25,FALSE)+VLOOKUP($A365,A:AL,37,FALSE)-50),"-",(VLOOKUP($A365,'SegEnds_NonXtal_BW#'!$A:$Z,25,FALSE)+VLOOKUP($A365,A:AL,37,FALSE)-50))</f>
        <v>845</v>
      </c>
      <c r="AK365" s="3">
        <v>849</v>
      </c>
      <c r="AL365" s="3">
        <f>IF(ISERROR((VLOOKUP($A365,'SegEnds_NonXtal_BW#'!$A:$Z,26,FALSE)+VLOOKUP($A365,A:AL,37,FALSE)-50)),"-",(VLOOKUP($A365,'SegEnds_NonXtal_BW#'!$A:$Z,26,FALSE)+VLOOKUP($A365,A:AL,37,FALSE)-50))</f>
        <v>856</v>
      </c>
      <c r="AM365" s="28" t="str">
        <f>VLOOKUP(A365,Classification!A:B,2,FALSE)</f>
        <v>C</v>
      </c>
      <c r="AN365" s="28" t="b">
        <f t="shared" si="195"/>
        <v>1</v>
      </c>
      <c r="AO365" s="3" t="str">
        <f>IF(ISERROR(MATCH(A365,'SegEnds_Xtal_Prot#'!B:B, 0)), "NoXtal", "Xtal")</f>
        <v>NoXtal</v>
      </c>
      <c r="AP365" s="3">
        <f t="shared" si="180"/>
        <v>3</v>
      </c>
      <c r="AQ365" s="3">
        <f t="shared" si="181"/>
        <v>1</v>
      </c>
      <c r="AR365" s="3" t="str">
        <f t="shared" si="182"/>
        <v>-</v>
      </c>
      <c r="AS365" s="3" t="str">
        <f t="shared" si="183"/>
        <v>-</v>
      </c>
      <c r="AT365" s="3" t="str">
        <f t="shared" si="184"/>
        <v>-</v>
      </c>
      <c r="AU365" s="3" t="str">
        <f t="shared" si="185"/>
        <v>-</v>
      </c>
      <c r="AV365" s="3">
        <f t="shared" si="186"/>
        <v>25</v>
      </c>
      <c r="AW365" s="3">
        <f t="shared" si="187"/>
        <v>1</v>
      </c>
      <c r="AX365" s="3">
        <f t="shared" si="188"/>
        <v>9</v>
      </c>
      <c r="AY365" s="3">
        <f t="shared" si="189"/>
        <v>10</v>
      </c>
      <c r="AZ365" s="3">
        <f t="shared" si="190"/>
        <v>1</v>
      </c>
      <c r="BA365" s="3">
        <f>IF(ISERROR(LEN(VLOOKUP(A365,Seqs!A:E,2,FALSE))-AL365),"-",LEN(VLOOKUP(A365,Seqs!A:E,2,FALSE))-AL365)</f>
        <v>52</v>
      </c>
      <c r="BB365" s="16">
        <f t="shared" si="191"/>
        <v>31</v>
      </c>
      <c r="BC365" s="9" t="str">
        <f t="shared" si="192"/>
        <v>-</v>
      </c>
      <c r="BD365" s="3">
        <f t="shared" si="193"/>
        <v>31</v>
      </c>
      <c r="BE365" s="3">
        <f t="shared" si="194"/>
        <v>37</v>
      </c>
    </row>
    <row r="366" spans="1:58" s="3" customFormat="1" x14ac:dyDescent="0.2">
      <c r="A366" s="3" t="s">
        <v>121</v>
      </c>
      <c r="B366" s="3" t="str">
        <f>LOWER(VLOOKUP(A366,Xtal_Templ!A:B,2,FALSE))</f>
        <v>grm1_human</v>
      </c>
      <c r="C366" s="3">
        <f>VLOOKUP($A366,'SegEnds_NonXtal_BW#'!$A:$Z,3,FALSE)+D366-50</f>
        <v>26</v>
      </c>
      <c r="D366" s="3">
        <v>42</v>
      </c>
      <c r="E366" s="3">
        <f>IF(ISERROR(VLOOKUP($A366,'SegEnds_NonXtal_BW#'!$A:$Z,4,FALSE)+VLOOKUP($A366,A:AL,4,FALSE)-50),"-",(VLOOKUP($A366,'SegEnds_NonXtal_BW#'!$A:$Z,4,FALSE)+VLOOKUP($A366,A:AL,4,FALSE)-50))</f>
        <v>52</v>
      </c>
      <c r="F366" s="3">
        <f t="shared" si="197"/>
        <v>53</v>
      </c>
      <c r="G366" s="3">
        <v>56</v>
      </c>
      <c r="H366" s="3">
        <f t="shared" si="198"/>
        <v>59</v>
      </c>
      <c r="I366" s="3">
        <f t="shared" si="199"/>
        <v>60</v>
      </c>
      <c r="J366" s="3">
        <v>75</v>
      </c>
      <c r="K366" s="3">
        <f>VLOOKUP($A366,'SegEnds_NonXtal_BW#'!$A:$Z,8,FALSE)+VLOOKUP($A366,A:AL,10,FALSE)-50</f>
        <v>86</v>
      </c>
      <c r="L366" s="3" t="str">
        <f>IF(ISERROR(VLOOKUP($A366,'SegEnds_NonXtal_BW#'!$A:$Z,9,FALSE)+VLOOKUP($A366,A:AL,13,FALSE)-50),"-",(VLOOKUP($A366,'SegEnds_NonXtal_BW#'!$A:$Z,9,FALSE)+VLOOKUP($A366,A:AL,13,FALSE)-50))</f>
        <v>-</v>
      </c>
      <c r="M366" s="3" t="s">
        <v>23</v>
      </c>
      <c r="N366" s="3" t="str">
        <f>IF(ISERROR(VLOOKUP($A366,'SegEnds_NonXtal_BW#'!$A:$Z,10,FALSE)+VLOOKUP($A366,A:AL,13,FALSE)-50),"-",(VLOOKUP($A366,'SegEnds_NonXtal_BW#'!$A:$Z,10,FALSE)+VLOOKUP($A366,A:AL,13,FALSE)-50))</f>
        <v>-</v>
      </c>
      <c r="O366" s="3">
        <f>VLOOKUP($A366,'SegEnds_NonXtal_BW#'!$A:$Z,11,FALSE)+VLOOKUP($A366,A:AL,16,FALSE)-50</f>
        <v>91</v>
      </c>
      <c r="P366" s="3">
        <v>119</v>
      </c>
      <c r="Q366" s="3">
        <f>VLOOKUP($A366,'SegEnds_NonXtal_BW#'!$A:$Z,12,FALSE)+VLOOKUP($A366,A:AL,16,FALSE)-50</f>
        <v>123</v>
      </c>
      <c r="R366" s="3" t="str">
        <f>IF(ISERROR(VLOOKUP($A366,'SegEnds_NonXtal_BW#'!$A:$Z,13,FALSE)+VLOOKUP($A366,A:AL,19,FALSE)-50),"-",VLOOKUP($A366,'SegEnds_NonXtal_BW#'!$A:$Z,13,FALSE)+VLOOKUP($A366,A:AL,19,FALSE)-50)</f>
        <v>-</v>
      </c>
      <c r="S366" s="3" t="s">
        <v>23</v>
      </c>
      <c r="T366" s="100" t="str">
        <f>IF(ISERROR(VLOOKUP($A366,'SegEnds_NonXtal_BW#'!$A:$Z,14,FALSE)+VLOOKUP($A366,A:AL,19,FALSE)-50),"-",(VLOOKUP($A366,'SegEnds_NonXtal_BW#'!$A:$Z,14,FALSE)+VLOOKUP($A366,A:AL,19,FALSE)-50))</f>
        <v>-</v>
      </c>
      <c r="U366" s="9">
        <f>IF(ISERROR(VLOOKUP($A366,'SegEnds_NonXtal_BW#'!$A:$Z,15,FALSE)+VLOOKUP($A366,A:AL,22,FALSE)-50),"-",VLOOKUP($A366,'SegEnds_NonXtal_BW#'!$A:$Z,15,FALSE)+VLOOKUP($A366,A:AL,22,FALSE)-50)</f>
        <v>130</v>
      </c>
      <c r="V366" s="3">
        <v>142</v>
      </c>
      <c r="W366" s="3">
        <f>IF(ISERROR(VLOOKUP($A366,'SegEnds_NonXtal_BW#'!$A:$Z,16,FALSE)+VLOOKUP($A366,A:AL,22,FALSE)-50),"-",(VLOOKUP($A366,'SegEnds_NonXtal_BW#'!$A:$Z,16,FALSE)+VLOOKUP($A366,A:AL,22,FALSE)-50))</f>
        <v>156</v>
      </c>
      <c r="X366" s="3" t="str">
        <f>IF(ISERROR(VLOOKUP($A366,'SegEnds_NonXtal_BW#'!$A:$Z,17,FALSE)+VLOOKUP($A366,A:AL,25,FALSE)-50),"-",(VLOOKUP($A366,'SegEnds_NonXtal_BW#'!$A:$Z,17,FALSE)+VLOOKUP($A366,A:AL,25,FALSE)-50))</f>
        <v>-</v>
      </c>
      <c r="Y366" s="3" t="s">
        <v>23</v>
      </c>
      <c r="Z366" s="3" t="str">
        <f>IF(ISERROR(VLOOKUP($A366,'SegEnds_NonXtal_BW#'!$A:$Z,18,FALSE)+VLOOKUP($A366,A:AL,25,FALSE)-50),"-",(VLOOKUP($A366,'SegEnds_NonXtal_BW#'!$A:$Z,18,FALSE)+VLOOKUP($A366,A:AL,25,FALSE)-50))</f>
        <v>-</v>
      </c>
      <c r="AA366" s="3">
        <f>IF(ISERROR(VLOOKUP($A366,'SegEnds_NonXtal_BW#'!$A:$Z,19,FALSE)+VLOOKUP($A366,A:AL,28,FALSE)-50),"-",(VLOOKUP($A366,'SegEnds_NonXtal_BW#'!$A:$Z,19,FALSE)+VLOOKUP($A366,A:AL,28,FALSE)-50))</f>
        <v>173</v>
      </c>
      <c r="AB366" s="3">
        <v>187</v>
      </c>
      <c r="AC366" s="3">
        <f>IF(ISERROR((VLOOKUP($A366,'SegEnds_NonXtal_BW#'!$A:$Z,20,FALSE)+VLOOKUP($A366,A:AL,28,FALSE)-50)),"-",(VLOOKUP($A366,'SegEnds_NonXtal_BW#'!$A:$Z,20,FALSE)+VLOOKUP($A366,A:AL,28,FALSE)-50))</f>
        <v>198</v>
      </c>
      <c r="AD366" s="3">
        <f>IF(ISERROR(VLOOKUP($A366,'SegEnds_NonXtal_BW#'!$A:$Z,21,FALSE)+VLOOKUP($A366,A:AL,31,FALSE)-50),"-",(VLOOKUP($A366,'SegEnds_NonXtal_BW#'!$A:$Z,21,FALSE)+VLOOKUP($A366,A:AL,31,FALSE)-50))</f>
        <v>209</v>
      </c>
      <c r="AE366" s="3">
        <v>226</v>
      </c>
      <c r="AF366" s="3">
        <f>IF(ISERROR((VLOOKUP($A366,'SegEnds_NonXtal_BW#'!$A:$Z,22,FALSE)+VLOOKUP($A366,A:AL,31,FALSE)-50)),"-",(VLOOKUP($A366,'SegEnds_NonXtal_BW#'!$A:$Z,22,FALSE)+VLOOKUP($A366,A:AL,31,FALSE)-50))</f>
        <v>233</v>
      </c>
      <c r="AG366" s="3">
        <f>IF(ISERROR(VLOOKUP($A366,'SegEnds_NonXtal_BW#'!$A:$Z,23,FALSE)+VLOOKUP($A366,A:AL,34,FALSE)-50),"-",(VLOOKUP($A366,'SegEnds_NonXtal_BW#'!$A:$Z,23,FALSE)+VLOOKUP($A366,A:AL,34,FALSE)-50))</f>
        <v>240</v>
      </c>
      <c r="AH366" s="3">
        <v>257</v>
      </c>
      <c r="AI366" s="3">
        <f>IF(ISERROR((VLOOKUP($A366,'SegEnds_NonXtal_BW#'!$A:$Z,24,FALSE)+VLOOKUP($A366,A:AL,34,FALSE)-50)),"-",(VLOOKUP($A366,'SegEnds_NonXtal_BW#'!$A:$Z,24,FALSE)+VLOOKUP($A366,A:AL,34,FALSE)-50))</f>
        <v>271</v>
      </c>
      <c r="AJ366" s="3">
        <v>273</v>
      </c>
      <c r="AK366" s="3">
        <v>278</v>
      </c>
      <c r="AL366" s="3">
        <v>285</v>
      </c>
      <c r="AM366" s="28" t="str">
        <f>VLOOKUP(A366,Classification!A:B,2,FALSE)</f>
        <v>C</v>
      </c>
      <c r="AN366" s="28" t="b">
        <f t="shared" si="195"/>
        <v>1</v>
      </c>
      <c r="AO366" s="3" t="str">
        <f>IF(ISERROR(MATCH(A366,'SegEnds_Xtal_Prot#'!B:B, 0)), "NoXtal", "Xtal")</f>
        <v>NoXtal</v>
      </c>
      <c r="AP366" s="3">
        <f t="shared" si="180"/>
        <v>1</v>
      </c>
      <c r="AQ366" s="3">
        <f t="shared" si="181"/>
        <v>1</v>
      </c>
      <c r="AR366" s="3" t="str">
        <f t="shared" si="182"/>
        <v>-</v>
      </c>
      <c r="AS366" s="3" t="str">
        <f t="shared" si="183"/>
        <v>-</v>
      </c>
      <c r="AT366" s="3" t="str">
        <f t="shared" si="184"/>
        <v>-</v>
      </c>
      <c r="AU366" s="3" t="str">
        <f t="shared" si="185"/>
        <v>-</v>
      </c>
      <c r="AV366" s="3" t="str">
        <f t="shared" si="186"/>
        <v>-</v>
      </c>
      <c r="AW366" s="3" t="str">
        <f t="shared" si="187"/>
        <v>-</v>
      </c>
      <c r="AX366" s="3">
        <f t="shared" si="188"/>
        <v>11</v>
      </c>
      <c r="AY366" s="3">
        <f t="shared" si="189"/>
        <v>7</v>
      </c>
      <c r="AZ366" s="3">
        <f t="shared" si="190"/>
        <v>2</v>
      </c>
      <c r="BA366" s="3">
        <f>IF(ISERROR(LEN(VLOOKUP(A366,Seqs!A:E,2,FALSE))-AL366),"-",LEN(VLOOKUP(A366,Seqs!A:E,2,FALSE))-AL366)</f>
        <v>72</v>
      </c>
      <c r="BB366" s="16">
        <f t="shared" si="191"/>
        <v>33</v>
      </c>
      <c r="BC366" s="9" t="str">
        <f t="shared" si="192"/>
        <v>-</v>
      </c>
      <c r="BD366" s="3">
        <f t="shared" si="193"/>
        <v>33</v>
      </c>
      <c r="BE366" s="3">
        <f t="shared" si="194"/>
        <v>39</v>
      </c>
    </row>
    <row r="367" spans="1:58" s="3" customFormat="1" ht="17" customHeight="1" x14ac:dyDescent="0.2">
      <c r="A367" s="3" t="s">
        <v>122</v>
      </c>
      <c r="B367" s="3" t="str">
        <f>LOWER(VLOOKUP(A367,Xtal_Templ!A:B,2,FALSE))</f>
        <v>grm1_human</v>
      </c>
      <c r="C367" s="3">
        <f>VLOOKUP($A367,'SegEnds_NonXtal_BW#'!$A:$Z,3,FALSE)+D367-50</f>
        <v>565</v>
      </c>
      <c r="D367" s="3">
        <v>581</v>
      </c>
      <c r="E367" s="3">
        <f>IF(ISERROR(VLOOKUP($A367,'SegEnds_NonXtal_BW#'!$A:$Z,4,FALSE)+VLOOKUP($A367,A:AL,4,FALSE)-50),"-",(VLOOKUP($A367,'SegEnds_NonXtal_BW#'!$A:$Z,4,FALSE)+VLOOKUP($A367,A:AL,4,FALSE)-50))</f>
        <v>591</v>
      </c>
      <c r="F367" s="3">
        <f t="shared" si="197"/>
        <v>594</v>
      </c>
      <c r="G367" s="3">
        <v>597</v>
      </c>
      <c r="H367" s="3">
        <f t="shared" si="198"/>
        <v>600</v>
      </c>
      <c r="I367" s="3">
        <f t="shared" si="199"/>
        <v>601</v>
      </c>
      <c r="J367" s="3">
        <v>612</v>
      </c>
      <c r="K367" s="3">
        <f>VLOOKUP($A367,'SegEnds_NonXtal_BW#'!$A:$Z,8,FALSE)+VLOOKUP($A367,A:AL,10,FALSE)-50</f>
        <v>623</v>
      </c>
      <c r="L367" s="3" t="str">
        <f>IF(ISERROR(VLOOKUP($A367,'SegEnds_NonXtal_BW#'!$A:$Z,9,FALSE)+VLOOKUP($A367,A:AL,13,FALSE)-50),"-",(VLOOKUP($A367,'SegEnds_NonXtal_BW#'!$A:$Z,9,FALSE)+VLOOKUP($A367,A:AL,13,FALSE)-50))</f>
        <v>-</v>
      </c>
      <c r="M367" s="3" t="s">
        <v>23</v>
      </c>
      <c r="N367" s="3" t="str">
        <f>IF(ISERROR(VLOOKUP($A367,'SegEnds_NonXtal_BW#'!$A:$Z,10,FALSE)+VLOOKUP($A367,A:AL,13,FALSE)-50),"-",(VLOOKUP($A367,'SegEnds_NonXtal_BW#'!$A:$Z,10,FALSE)+VLOOKUP($A367,A:AL,13,FALSE)-50))</f>
        <v>-</v>
      </c>
      <c r="O367" s="3">
        <f>VLOOKUP($A367,'SegEnds_NonXtal_BW#'!$A:$Z,11,FALSE)+VLOOKUP($A367,A:AL,16,FALSE)-50</f>
        <v>628</v>
      </c>
      <c r="P367" s="3">
        <v>656</v>
      </c>
      <c r="Q367" s="3">
        <f>VLOOKUP($A367,'SegEnds_NonXtal_BW#'!$A:$Z,12,FALSE)+VLOOKUP($A367,A:AL,16,FALSE)-50</f>
        <v>660</v>
      </c>
      <c r="R367" s="3" t="str">
        <f>IF(ISERROR(VLOOKUP($A367,'SegEnds_NonXtal_BW#'!$A:$Z,13,FALSE)+VLOOKUP($A367,A:AL,19,FALSE)-50),"-",VLOOKUP($A367,'SegEnds_NonXtal_BW#'!$A:$Z,13,FALSE)+VLOOKUP($A367,A:AL,19,FALSE)-50)</f>
        <v>-</v>
      </c>
      <c r="S367" s="3" t="s">
        <v>23</v>
      </c>
      <c r="T367" s="100" t="str">
        <f>IF(ISERROR(VLOOKUP($A367,'SegEnds_NonXtal_BW#'!$A:$Z,14,FALSE)+VLOOKUP($A367,A:AL,19,FALSE)-50),"-",(VLOOKUP($A367,'SegEnds_NonXtal_BW#'!$A:$Z,14,FALSE)+VLOOKUP($A367,A:AL,19,FALSE)-50))</f>
        <v>-</v>
      </c>
      <c r="U367" s="9">
        <f>IF(ISERROR(VLOOKUP($A367,'SegEnds_NonXtal_BW#'!$A:$Z,15,FALSE)+VLOOKUP($A367,A:AL,22,FALSE)-50),"-",VLOOKUP($A367,'SegEnds_NonXtal_BW#'!$A:$Z,15,FALSE)+VLOOKUP($A367,A:AL,22,FALSE)-50)</f>
        <v>675</v>
      </c>
      <c r="V367" s="3">
        <v>687</v>
      </c>
      <c r="W367" s="3">
        <f>IF(ISERROR(VLOOKUP($A367,'SegEnds_NonXtal_BW#'!$A:$Z,16,FALSE)+VLOOKUP($A367,A:AL,22,FALSE)-50),"-",(VLOOKUP($A367,'SegEnds_NonXtal_BW#'!$A:$Z,16,FALSE)+VLOOKUP($A367,A:AL,22,FALSE)-50))</f>
        <v>701</v>
      </c>
      <c r="X367" s="3">
        <f>IF(ISERROR(VLOOKUP($A367,'SegEnds_NonXtal_BW#'!$A:$Z,17,FALSE)+VLOOKUP($A367,A:AL,25,FALSE)-50),"-",(VLOOKUP($A367,'SegEnds_NonXtal_BW#'!$A:$Z,17,FALSE)+VLOOKUP($A367,A:AL,25,FALSE)-50))</f>
        <v>720</v>
      </c>
      <c r="Y367" s="3">
        <v>720</v>
      </c>
      <c r="Z367" s="3">
        <f t="shared" ref="Z367:Z380" si="201">Y367+2</f>
        <v>722</v>
      </c>
      <c r="AA367" s="3">
        <f>IF(ISERROR(VLOOKUP($A367,'SegEnds_NonXtal_BW#'!$A:$Z,19,FALSE)+VLOOKUP($A367,A:AL,28,FALSE)-50),"-",(VLOOKUP($A367,'SegEnds_NonXtal_BW#'!$A:$Z,19,FALSE)+VLOOKUP($A367,A:AL,28,FALSE)-50))</f>
        <v>724</v>
      </c>
      <c r="AB367" s="3">
        <v>738</v>
      </c>
      <c r="AC367" s="3">
        <f>IF(ISERROR((VLOOKUP($A367,'SegEnds_NonXtal_BW#'!$A:$Z,20,FALSE)+VLOOKUP($A367,A:AL,28,FALSE)-50)),"-",(VLOOKUP($A367,'SegEnds_NonXtal_BW#'!$A:$Z,20,FALSE)+VLOOKUP($A367,A:AL,28,FALSE)-50))</f>
        <v>749</v>
      </c>
      <c r="AD367" s="3">
        <f>IF(ISERROR(VLOOKUP($A367,'SegEnds_NonXtal_BW#'!$A:$Z,21,FALSE)+VLOOKUP($A367,A:AL,31,FALSE)-50),"-",(VLOOKUP($A367,'SegEnds_NonXtal_BW#'!$A:$Z,21,FALSE)+VLOOKUP($A367,A:AL,31,FALSE)-50))</f>
        <v>758</v>
      </c>
      <c r="AE367" s="3">
        <v>775</v>
      </c>
      <c r="AF367" s="3">
        <f>IF(ISERROR((VLOOKUP($A367,'SegEnds_NonXtal_BW#'!$A:$Z,22,FALSE)+VLOOKUP($A367,A:AL,31,FALSE)-50)),"-",(VLOOKUP($A367,'SegEnds_NonXtal_BW#'!$A:$Z,22,FALSE)+VLOOKUP($A367,A:AL,31,FALSE)-50))</f>
        <v>782</v>
      </c>
      <c r="AG367" s="3">
        <f>IF(ISERROR(VLOOKUP($A367,'SegEnds_NonXtal_BW#'!$A:$Z,23,FALSE)+VLOOKUP($A367,A:AL,34,FALSE)-50),"-",(VLOOKUP($A367,'SegEnds_NonXtal_BW#'!$A:$Z,23,FALSE)+VLOOKUP($A367,A:AL,34,FALSE)-50))</f>
        <v>787</v>
      </c>
      <c r="AH367" s="3">
        <v>804</v>
      </c>
      <c r="AI367" s="3">
        <f>IF(ISERROR((VLOOKUP($A367,'SegEnds_NonXtal_BW#'!$A:$Z,24,FALSE)+VLOOKUP($A367,A:AL,34,FALSE)-50)),"-",(VLOOKUP($A367,'SegEnds_NonXtal_BW#'!$A:$Z,24,FALSE)+VLOOKUP($A367,A:AL,34,FALSE)-50))</f>
        <v>818</v>
      </c>
      <c r="AJ367" s="3">
        <f>IF(ISERROR(VLOOKUP($A367,'SegEnds_NonXtal_BW#'!$A:$Z,25,FALSE)+VLOOKUP($A367,A:AL,37,FALSE)-50),"-",(VLOOKUP($A367,'SegEnds_NonXtal_BW#'!$A:$Z,25,FALSE)+VLOOKUP($A367,A:AL,37,FALSE)-50))</f>
        <v>819</v>
      </c>
      <c r="AK367" s="3">
        <v>823</v>
      </c>
      <c r="AL367" s="3">
        <f>IF(ISERROR((VLOOKUP($A367,'SegEnds_NonXtal_BW#'!$A:$Z,26,FALSE)+VLOOKUP($A367,A:AL,37,FALSE)-50)),"-",(VLOOKUP($A367,'SegEnds_NonXtal_BW#'!$A:$Z,26,FALSE)+VLOOKUP($A367,A:AL,37,FALSE)-50))</f>
        <v>830</v>
      </c>
      <c r="AM367" s="28" t="str">
        <f>VLOOKUP(A367,Classification!A:B,2,FALSE)</f>
        <v>C</v>
      </c>
      <c r="AN367" s="28" t="b">
        <f t="shared" si="195"/>
        <v>1</v>
      </c>
      <c r="AO367" s="3" t="str">
        <f>IF(ISERROR(MATCH(A367,'SegEnds_Xtal_Prot#'!B:B, 0)), "NoXtal", "Xtal")</f>
        <v>NoXtal</v>
      </c>
      <c r="AP367" s="3">
        <f t="shared" si="180"/>
        <v>3</v>
      </c>
      <c r="AQ367" s="3">
        <f t="shared" si="181"/>
        <v>1</v>
      </c>
      <c r="AR367" s="3" t="str">
        <f t="shared" si="182"/>
        <v>-</v>
      </c>
      <c r="AS367" s="3" t="str">
        <f t="shared" si="183"/>
        <v>-</v>
      </c>
      <c r="AT367" s="3" t="str">
        <f t="shared" si="184"/>
        <v>-</v>
      </c>
      <c r="AU367" s="3" t="str">
        <f t="shared" si="185"/>
        <v>-</v>
      </c>
      <c r="AV367" s="3">
        <f t="shared" si="186"/>
        <v>19</v>
      </c>
      <c r="AW367" s="3">
        <f t="shared" si="187"/>
        <v>2</v>
      </c>
      <c r="AX367" s="3">
        <f t="shared" si="188"/>
        <v>9</v>
      </c>
      <c r="AY367" s="3">
        <f t="shared" si="189"/>
        <v>5</v>
      </c>
      <c r="AZ367" s="3">
        <f t="shared" si="190"/>
        <v>1</v>
      </c>
      <c r="BA367" s="3">
        <f>IF(ISERROR(LEN(VLOOKUP(A367,Seqs!A:E,2,FALSE))-AL367),"-",LEN(VLOOKUP(A367,Seqs!A:E,2,FALSE))-AL367)</f>
        <v>11</v>
      </c>
      <c r="BB367" s="16">
        <f t="shared" si="191"/>
        <v>31</v>
      </c>
      <c r="BC367" s="9" t="str">
        <f t="shared" si="192"/>
        <v>-</v>
      </c>
      <c r="BD367" s="3">
        <f t="shared" si="193"/>
        <v>31</v>
      </c>
      <c r="BE367" s="3">
        <f t="shared" si="194"/>
        <v>37</v>
      </c>
      <c r="BF367" s="3">
        <f>AH367-AE367</f>
        <v>29</v>
      </c>
    </row>
    <row r="368" spans="1:58" s="3" customFormat="1" x14ac:dyDescent="0.2">
      <c r="A368" s="3" t="s">
        <v>123</v>
      </c>
      <c r="B368" s="3" t="str">
        <f>LOWER(VLOOKUP(A368,Xtal_Templ!A:B,2,FALSE))</f>
        <v>grm1_human</v>
      </c>
      <c r="C368" s="3">
        <f>VLOOKUP($A368,'SegEnds_NonXtal_BW#'!$A:$Z,3,FALSE)+D368-50</f>
        <v>564</v>
      </c>
      <c r="D368" s="3">
        <v>580</v>
      </c>
      <c r="E368" s="3">
        <f>IF(ISERROR(VLOOKUP($A368,'SegEnds_NonXtal_BW#'!$A:$Z,4,FALSE)+VLOOKUP($A368,A:AL,4,FALSE)-50),"-",(VLOOKUP($A368,'SegEnds_NonXtal_BW#'!$A:$Z,4,FALSE)+VLOOKUP($A368,A:AL,4,FALSE)-50))</f>
        <v>590</v>
      </c>
      <c r="F368" s="3">
        <f t="shared" si="197"/>
        <v>593</v>
      </c>
      <c r="G368" s="3">
        <v>596</v>
      </c>
      <c r="H368" s="3">
        <f t="shared" si="198"/>
        <v>599</v>
      </c>
      <c r="I368" s="3">
        <f t="shared" si="199"/>
        <v>600</v>
      </c>
      <c r="J368" s="3">
        <v>611</v>
      </c>
      <c r="K368" s="3">
        <f>VLOOKUP($A368,'SegEnds_NonXtal_BW#'!$A:$Z,8,FALSE)+VLOOKUP($A368,A:AL,10,FALSE)-50</f>
        <v>622</v>
      </c>
      <c r="L368" s="3" t="str">
        <f>IF(ISERROR(VLOOKUP($A368,'SegEnds_NonXtal_BW#'!$A:$Z,9,FALSE)+VLOOKUP($A368,A:AL,13,FALSE)-50),"-",(VLOOKUP($A368,'SegEnds_NonXtal_BW#'!$A:$Z,9,FALSE)+VLOOKUP($A368,A:AL,13,FALSE)-50))</f>
        <v>-</v>
      </c>
      <c r="M368" s="3" t="s">
        <v>23</v>
      </c>
      <c r="N368" s="3" t="str">
        <f>IF(ISERROR(VLOOKUP($A368,'SegEnds_NonXtal_BW#'!$A:$Z,10,FALSE)+VLOOKUP($A368,A:AL,13,FALSE)-50),"-",(VLOOKUP($A368,'SegEnds_NonXtal_BW#'!$A:$Z,10,FALSE)+VLOOKUP($A368,A:AL,13,FALSE)-50))</f>
        <v>-</v>
      </c>
      <c r="O368" s="3">
        <f>VLOOKUP($A368,'SegEnds_NonXtal_BW#'!$A:$Z,11,FALSE)+VLOOKUP($A368,A:AL,16,FALSE)-50</f>
        <v>627</v>
      </c>
      <c r="P368" s="3">
        <v>655</v>
      </c>
      <c r="Q368" s="3">
        <f>VLOOKUP($A368,'SegEnds_NonXtal_BW#'!$A:$Z,12,FALSE)+VLOOKUP($A368,A:AL,16,FALSE)-50</f>
        <v>659</v>
      </c>
      <c r="R368" s="3" t="str">
        <f>IF(ISERROR(VLOOKUP($A368,'SegEnds_NonXtal_BW#'!$A:$Z,13,FALSE)+VLOOKUP($A368,A:AL,19,FALSE)-50),"-",VLOOKUP($A368,'SegEnds_NonXtal_BW#'!$A:$Z,13,FALSE)+VLOOKUP($A368,A:AL,19,FALSE)-50)</f>
        <v>-</v>
      </c>
      <c r="S368" s="3" t="s">
        <v>23</v>
      </c>
      <c r="T368" s="100" t="str">
        <f>IF(ISERROR(VLOOKUP($A368,'SegEnds_NonXtal_BW#'!$A:$Z,14,FALSE)+VLOOKUP($A368,A:AL,19,FALSE)-50),"-",(VLOOKUP($A368,'SegEnds_NonXtal_BW#'!$A:$Z,14,FALSE)+VLOOKUP($A368,A:AL,19,FALSE)-50))</f>
        <v>-</v>
      </c>
      <c r="U368" s="9">
        <f>IF(ISERROR(VLOOKUP($A368,'SegEnds_NonXtal_BW#'!$A:$Z,15,FALSE)+VLOOKUP($A368,A:AL,22,FALSE)-50),"-",VLOOKUP($A368,'SegEnds_NonXtal_BW#'!$A:$Z,15,FALSE)+VLOOKUP($A368,A:AL,22,FALSE)-50)</f>
        <v>674</v>
      </c>
      <c r="V368" s="3">
        <v>686</v>
      </c>
      <c r="W368" s="3">
        <f>IF(ISERROR(VLOOKUP($A368,'SegEnds_NonXtal_BW#'!$A:$Z,16,FALSE)+VLOOKUP($A368,A:AL,22,FALSE)-50),"-",(VLOOKUP($A368,'SegEnds_NonXtal_BW#'!$A:$Z,16,FALSE)+VLOOKUP($A368,A:AL,22,FALSE)-50))</f>
        <v>700</v>
      </c>
      <c r="X368" s="3">
        <f>IF(ISERROR(VLOOKUP($A368,'SegEnds_NonXtal_BW#'!$A:$Z,17,FALSE)+VLOOKUP($A368,A:AL,25,FALSE)-50),"-",(VLOOKUP($A368,'SegEnds_NonXtal_BW#'!$A:$Z,17,FALSE)+VLOOKUP($A368,A:AL,25,FALSE)-50))</f>
        <v>720</v>
      </c>
      <c r="Y368" s="3">
        <v>720</v>
      </c>
      <c r="Z368" s="3">
        <f t="shared" si="201"/>
        <v>722</v>
      </c>
      <c r="AA368" s="3">
        <f>IF(ISERROR(VLOOKUP($A368,'SegEnds_NonXtal_BW#'!$A:$Z,19,FALSE)+VLOOKUP($A368,A:AL,28,FALSE)-50),"-",(VLOOKUP($A368,'SegEnds_NonXtal_BW#'!$A:$Z,19,FALSE)+VLOOKUP($A368,A:AL,28,FALSE)-50))</f>
        <v>724</v>
      </c>
      <c r="AB368" s="3">
        <v>738</v>
      </c>
      <c r="AC368" s="3">
        <f>IF(ISERROR((VLOOKUP($A368,'SegEnds_NonXtal_BW#'!$A:$Z,20,FALSE)+VLOOKUP($A368,A:AL,28,FALSE)-50)),"-",(VLOOKUP($A368,'SegEnds_NonXtal_BW#'!$A:$Z,20,FALSE)+VLOOKUP($A368,A:AL,28,FALSE)-50))</f>
        <v>749</v>
      </c>
      <c r="AD368" s="3">
        <f>IF(ISERROR(VLOOKUP($A368,'SegEnds_NonXtal_BW#'!$A:$Z,21,FALSE)+VLOOKUP($A368,A:AL,31,FALSE)-50),"-",(VLOOKUP($A368,'SegEnds_NonXtal_BW#'!$A:$Z,21,FALSE)+VLOOKUP($A368,A:AL,31,FALSE)-50))</f>
        <v>758</v>
      </c>
      <c r="AE368" s="3">
        <v>775</v>
      </c>
      <c r="AF368" s="3">
        <f>IF(ISERROR((VLOOKUP($A368,'SegEnds_NonXtal_BW#'!$A:$Z,22,FALSE)+VLOOKUP($A368,A:AL,31,FALSE)-50)),"-",(VLOOKUP($A368,'SegEnds_NonXtal_BW#'!$A:$Z,22,FALSE)+VLOOKUP($A368,A:AL,31,FALSE)-50))</f>
        <v>782</v>
      </c>
      <c r="AG368" s="3">
        <f>IF(ISERROR(VLOOKUP($A368,'SegEnds_NonXtal_BW#'!$A:$Z,23,FALSE)+VLOOKUP($A368,A:AL,34,FALSE)-50),"-",(VLOOKUP($A368,'SegEnds_NonXtal_BW#'!$A:$Z,23,FALSE)+VLOOKUP($A368,A:AL,34,FALSE)-50))</f>
        <v>787</v>
      </c>
      <c r="AH368" s="3">
        <v>804</v>
      </c>
      <c r="AI368" s="3">
        <f>IF(ISERROR((VLOOKUP($A368,'SegEnds_NonXtal_BW#'!$A:$Z,24,FALSE)+VLOOKUP($A368,A:AL,34,FALSE)-50)),"-",(VLOOKUP($A368,'SegEnds_NonXtal_BW#'!$A:$Z,24,FALSE)+VLOOKUP($A368,A:AL,34,FALSE)-50))</f>
        <v>818</v>
      </c>
      <c r="AJ368" s="3">
        <f>IF(ISERROR(VLOOKUP($A368,'SegEnds_NonXtal_BW#'!$A:$Z,25,FALSE)+VLOOKUP($A368,A:AL,37,FALSE)-50),"-",(VLOOKUP($A368,'SegEnds_NonXtal_BW#'!$A:$Z,25,FALSE)+VLOOKUP($A368,A:AL,37,FALSE)-50))</f>
        <v>819</v>
      </c>
      <c r="AK368" s="3">
        <v>823</v>
      </c>
      <c r="AL368" s="3">
        <f>IF(ISERROR((VLOOKUP($A368,'SegEnds_NonXtal_BW#'!$A:$Z,26,FALSE)+VLOOKUP($A368,A:AL,37,FALSE)-50)),"-",(VLOOKUP($A368,'SegEnds_NonXtal_BW#'!$A:$Z,26,FALSE)+VLOOKUP($A368,A:AL,37,FALSE)-50))</f>
        <v>830</v>
      </c>
      <c r="AM368" s="28" t="str">
        <f>VLOOKUP(A368,Classification!A:B,2,FALSE)</f>
        <v>C</v>
      </c>
      <c r="AN368" s="28" t="b">
        <f t="shared" si="195"/>
        <v>1</v>
      </c>
      <c r="AO368" s="3" t="str">
        <f>IF(ISERROR(MATCH(A368,'SegEnds_Xtal_Prot#'!B:B, 0)), "NoXtal", "Xtal")</f>
        <v>NoXtal</v>
      </c>
      <c r="AP368" s="3">
        <f t="shared" si="180"/>
        <v>3</v>
      </c>
      <c r="AQ368" s="3">
        <f t="shared" si="181"/>
        <v>1</v>
      </c>
      <c r="AR368" s="3" t="str">
        <f t="shared" si="182"/>
        <v>-</v>
      </c>
      <c r="AS368" s="3" t="str">
        <f t="shared" si="183"/>
        <v>-</v>
      </c>
      <c r="AT368" s="3" t="str">
        <f t="shared" si="184"/>
        <v>-</v>
      </c>
      <c r="AU368" s="3" t="str">
        <f t="shared" si="185"/>
        <v>-</v>
      </c>
      <c r="AV368" s="3">
        <f t="shared" si="186"/>
        <v>20</v>
      </c>
      <c r="AW368" s="3">
        <f t="shared" si="187"/>
        <v>2</v>
      </c>
      <c r="AX368" s="3">
        <f t="shared" si="188"/>
        <v>9</v>
      </c>
      <c r="AY368" s="3">
        <f t="shared" si="189"/>
        <v>5</v>
      </c>
      <c r="AZ368" s="3">
        <f t="shared" si="190"/>
        <v>1</v>
      </c>
      <c r="BA368" s="3">
        <f>IF(ISERROR(LEN(VLOOKUP(A368,Seqs!A:E,2,FALSE))-AL368),"-",LEN(VLOOKUP(A368,Seqs!A:E,2,FALSE))-AL368)</f>
        <v>9</v>
      </c>
      <c r="BB368" s="16">
        <f t="shared" si="191"/>
        <v>31</v>
      </c>
      <c r="BC368" s="9" t="str">
        <f t="shared" si="192"/>
        <v>-</v>
      </c>
      <c r="BD368" s="3">
        <f t="shared" si="193"/>
        <v>31</v>
      </c>
      <c r="BE368" s="3">
        <f t="shared" si="194"/>
        <v>37</v>
      </c>
      <c r="BF368" s="3">
        <f>AH368-AE368</f>
        <v>29</v>
      </c>
    </row>
    <row r="369" spans="1:58" s="3" customFormat="1" x14ac:dyDescent="0.2">
      <c r="A369" s="3" t="s">
        <v>124</v>
      </c>
      <c r="B369" s="3" t="str">
        <f>LOWER(VLOOKUP(A369,Xtal_Templ!A:B,2,FALSE))</f>
        <v>grm1_human</v>
      </c>
      <c r="C369" s="3">
        <f>VLOOKUP($A369,'SegEnds_NonXtal_BW#'!$A:$Z,3,FALSE)+D369-50</f>
        <v>567</v>
      </c>
      <c r="D369" s="3">
        <v>583</v>
      </c>
      <c r="E369" s="3">
        <f>IF(ISERROR(VLOOKUP($A369,'SegEnds_NonXtal_BW#'!$A:$Z,4,FALSE)+VLOOKUP($A369,A:AL,4,FALSE)-50),"-",(VLOOKUP($A369,'SegEnds_NonXtal_BW#'!$A:$Z,4,FALSE)+VLOOKUP($A369,A:AL,4,FALSE)-50))</f>
        <v>593</v>
      </c>
      <c r="F369" s="3">
        <f t="shared" si="197"/>
        <v>596</v>
      </c>
      <c r="G369" s="3">
        <v>599</v>
      </c>
      <c r="H369" s="3">
        <f t="shared" si="198"/>
        <v>602</v>
      </c>
      <c r="I369" s="3">
        <f t="shared" si="199"/>
        <v>603</v>
      </c>
      <c r="J369" s="3">
        <v>614</v>
      </c>
      <c r="K369" s="3">
        <f>VLOOKUP($A369,'SegEnds_NonXtal_BW#'!$A:$Z,8,FALSE)+VLOOKUP($A369,A:AL,10,FALSE)-50</f>
        <v>625</v>
      </c>
      <c r="L369" s="3" t="str">
        <f>IF(ISERROR(VLOOKUP($A369,'SegEnds_NonXtal_BW#'!$A:$Z,9,FALSE)+VLOOKUP($A369,A:AL,13,FALSE)-50),"-",(VLOOKUP($A369,'SegEnds_NonXtal_BW#'!$A:$Z,9,FALSE)+VLOOKUP($A369,A:AL,13,FALSE)-50))</f>
        <v>-</v>
      </c>
      <c r="M369" s="3" t="s">
        <v>23</v>
      </c>
      <c r="N369" s="3" t="str">
        <f>IF(ISERROR(VLOOKUP($A369,'SegEnds_NonXtal_BW#'!$A:$Z,10,FALSE)+VLOOKUP($A369,A:AL,13,FALSE)-50),"-",(VLOOKUP($A369,'SegEnds_NonXtal_BW#'!$A:$Z,10,FALSE)+VLOOKUP($A369,A:AL,13,FALSE)-50))</f>
        <v>-</v>
      </c>
      <c r="O369" s="3">
        <f>VLOOKUP($A369,'SegEnds_NonXtal_BW#'!$A:$Z,11,FALSE)+VLOOKUP($A369,A:AL,16,FALSE)-50</f>
        <v>630</v>
      </c>
      <c r="P369" s="3">
        <v>658</v>
      </c>
      <c r="Q369" s="3">
        <f>VLOOKUP($A369,'SegEnds_NonXtal_BW#'!$A:$Z,12,FALSE)+VLOOKUP($A369,A:AL,16,FALSE)-50</f>
        <v>662</v>
      </c>
      <c r="R369" s="3" t="str">
        <f>IF(ISERROR(VLOOKUP($A369,'SegEnds_NonXtal_BW#'!$A:$Z,13,FALSE)+VLOOKUP($A369,A:AL,19,FALSE)-50),"-",VLOOKUP($A369,'SegEnds_NonXtal_BW#'!$A:$Z,13,FALSE)+VLOOKUP($A369,A:AL,19,FALSE)-50)</f>
        <v>-</v>
      </c>
      <c r="S369" s="3" t="s">
        <v>23</v>
      </c>
      <c r="T369" s="100" t="str">
        <f>IF(ISERROR(VLOOKUP($A369,'SegEnds_NonXtal_BW#'!$A:$Z,14,FALSE)+VLOOKUP($A369,A:AL,19,FALSE)-50),"-",(VLOOKUP($A369,'SegEnds_NonXtal_BW#'!$A:$Z,14,FALSE)+VLOOKUP($A369,A:AL,19,FALSE)-50))</f>
        <v>-</v>
      </c>
      <c r="U369" s="9">
        <f>IF(ISERROR(VLOOKUP($A369,'SegEnds_NonXtal_BW#'!$A:$Z,15,FALSE)+VLOOKUP($A369,A:AL,22,FALSE)-50),"-",VLOOKUP($A369,'SegEnds_NonXtal_BW#'!$A:$Z,15,FALSE)+VLOOKUP($A369,A:AL,22,FALSE)-50)</f>
        <v>677</v>
      </c>
      <c r="V369" s="3">
        <v>689</v>
      </c>
      <c r="W369" s="3">
        <f>IF(ISERROR(VLOOKUP($A369,'SegEnds_NonXtal_BW#'!$A:$Z,16,FALSE)+VLOOKUP($A369,A:AL,22,FALSE)-50),"-",(VLOOKUP($A369,'SegEnds_NonXtal_BW#'!$A:$Z,16,FALSE)+VLOOKUP($A369,A:AL,22,FALSE)-50))</f>
        <v>703</v>
      </c>
      <c r="X369" s="3">
        <f>IF(ISERROR(VLOOKUP($A369,'SegEnds_NonXtal_BW#'!$A:$Z,17,FALSE)+VLOOKUP($A369,A:AL,25,FALSE)-50),"-",(VLOOKUP($A369,'SegEnds_NonXtal_BW#'!$A:$Z,17,FALSE)+VLOOKUP($A369,A:AL,25,FALSE)-50))</f>
        <v>722</v>
      </c>
      <c r="Y369" s="3">
        <v>722</v>
      </c>
      <c r="Z369" s="3">
        <f t="shared" si="201"/>
        <v>724</v>
      </c>
      <c r="AA369" s="3">
        <f>IF(ISERROR(VLOOKUP($A369,'SegEnds_NonXtal_BW#'!$A:$Z,19,FALSE)+VLOOKUP($A369,A:AL,28,FALSE)-50),"-",(VLOOKUP($A369,'SegEnds_NonXtal_BW#'!$A:$Z,19,FALSE)+VLOOKUP($A369,A:AL,28,FALSE)-50))</f>
        <v>726</v>
      </c>
      <c r="AB369" s="3">
        <v>740</v>
      </c>
      <c r="AC369" s="3">
        <f>IF(ISERROR((VLOOKUP($A369,'SegEnds_NonXtal_BW#'!$A:$Z,20,FALSE)+VLOOKUP($A369,A:AL,28,FALSE)-50)),"-",(VLOOKUP($A369,'SegEnds_NonXtal_BW#'!$A:$Z,20,FALSE)+VLOOKUP($A369,A:AL,28,FALSE)-50))</f>
        <v>751</v>
      </c>
      <c r="AD369" s="3">
        <f>IF(ISERROR(VLOOKUP($A369,'SegEnds_NonXtal_BW#'!$A:$Z,21,FALSE)+VLOOKUP($A369,A:AL,31,FALSE)-50),"-",(VLOOKUP($A369,'SegEnds_NonXtal_BW#'!$A:$Z,21,FALSE)+VLOOKUP($A369,A:AL,31,FALSE)-50))</f>
        <v>760</v>
      </c>
      <c r="AE369" s="3">
        <v>777</v>
      </c>
      <c r="AF369" s="3">
        <f>IF(ISERROR((VLOOKUP($A369,'SegEnds_NonXtal_BW#'!$A:$Z,22,FALSE)+VLOOKUP($A369,A:AL,31,FALSE)-50)),"-",(VLOOKUP($A369,'SegEnds_NonXtal_BW#'!$A:$Z,22,FALSE)+VLOOKUP($A369,A:AL,31,FALSE)-50))</f>
        <v>784</v>
      </c>
      <c r="AG369" s="3">
        <f>IF(ISERROR(VLOOKUP($A369,'SegEnds_NonXtal_BW#'!$A:$Z,23,FALSE)+VLOOKUP($A369,A:AL,34,FALSE)-50),"-",(VLOOKUP($A369,'SegEnds_NonXtal_BW#'!$A:$Z,23,FALSE)+VLOOKUP($A369,A:AL,34,FALSE)-50))</f>
        <v>789</v>
      </c>
      <c r="AH369" s="3">
        <v>806</v>
      </c>
      <c r="AI369" s="3">
        <f>IF(ISERROR((VLOOKUP($A369,'SegEnds_NonXtal_BW#'!$A:$Z,24,FALSE)+VLOOKUP($A369,A:AL,34,FALSE)-50)),"-",(VLOOKUP($A369,'SegEnds_NonXtal_BW#'!$A:$Z,24,FALSE)+VLOOKUP($A369,A:AL,34,FALSE)-50))</f>
        <v>820</v>
      </c>
      <c r="AJ369" s="3">
        <f>IF(ISERROR(VLOOKUP($A369,'SegEnds_NonXtal_BW#'!$A:$Z,25,FALSE)+VLOOKUP($A369,A:AL,37,FALSE)-50),"-",(VLOOKUP($A369,'SegEnds_NonXtal_BW#'!$A:$Z,25,FALSE)+VLOOKUP($A369,A:AL,37,FALSE)-50))</f>
        <v>821</v>
      </c>
      <c r="AK369" s="3">
        <v>825</v>
      </c>
      <c r="AL369" s="3">
        <f>IF(ISERROR((VLOOKUP($A369,'SegEnds_NonXtal_BW#'!$A:$Z,26,FALSE)+VLOOKUP($A369,A:AL,37,FALSE)-50)),"-",(VLOOKUP($A369,'SegEnds_NonXtal_BW#'!$A:$Z,26,FALSE)+VLOOKUP($A369,A:AL,37,FALSE)-50))</f>
        <v>832</v>
      </c>
      <c r="AM369" s="28" t="str">
        <f>VLOOKUP(A369,Classification!A:B,2,FALSE)</f>
        <v>C</v>
      </c>
      <c r="AN369" s="28" t="b">
        <f t="shared" si="195"/>
        <v>1</v>
      </c>
      <c r="AO369" s="3" t="str">
        <f>IF(ISERROR(MATCH(A369,'SegEnds_Xtal_Prot#'!B:B, 0)), "NoXtal", "Xtal")</f>
        <v>NoXtal</v>
      </c>
      <c r="AP369" s="3">
        <f t="shared" si="180"/>
        <v>3</v>
      </c>
      <c r="AQ369" s="3">
        <f t="shared" si="181"/>
        <v>1</v>
      </c>
      <c r="AR369" s="3" t="str">
        <f t="shared" si="182"/>
        <v>-</v>
      </c>
      <c r="AS369" s="3" t="str">
        <f t="shared" si="183"/>
        <v>-</v>
      </c>
      <c r="AT369" s="3" t="str">
        <f t="shared" si="184"/>
        <v>-</v>
      </c>
      <c r="AU369" s="3" t="str">
        <f t="shared" si="185"/>
        <v>-</v>
      </c>
      <c r="AV369" s="3">
        <f t="shared" si="186"/>
        <v>19</v>
      </c>
      <c r="AW369" s="3">
        <f t="shared" si="187"/>
        <v>2</v>
      </c>
      <c r="AX369" s="3">
        <f t="shared" si="188"/>
        <v>9</v>
      </c>
      <c r="AY369" s="3">
        <f t="shared" si="189"/>
        <v>5</v>
      </c>
      <c r="AZ369" s="3">
        <f t="shared" si="190"/>
        <v>1</v>
      </c>
      <c r="BA369" s="3">
        <f>IF(ISERROR(LEN(VLOOKUP(A369,Seqs!A:E,2,FALSE))-AL369),"-",LEN(VLOOKUP(A369,Seqs!A:E,2,FALSE))-AL369)</f>
        <v>20</v>
      </c>
      <c r="BB369" s="16">
        <f t="shared" si="191"/>
        <v>31</v>
      </c>
      <c r="BC369" s="9" t="str">
        <f t="shared" si="192"/>
        <v>-</v>
      </c>
      <c r="BD369" s="3">
        <f t="shared" si="193"/>
        <v>31</v>
      </c>
      <c r="BE369" s="3">
        <f t="shared" si="194"/>
        <v>37</v>
      </c>
      <c r="BF369" s="3">
        <f>AH369-AE369</f>
        <v>29</v>
      </c>
    </row>
    <row r="370" spans="1:58" s="3" customFormat="1" x14ac:dyDescent="0.2">
      <c r="A370" s="3" t="s">
        <v>446</v>
      </c>
      <c r="B370" s="3" t="str">
        <f>LOWER(VLOOKUP(A370,Xtal_Templ!A:B,2,FALSE))</f>
        <v>smo_human</v>
      </c>
      <c r="C370" s="3">
        <f>VLOOKUP($A370,'SegEnds_NonXtal_BW#'!$A:$Z,3,FALSE)+D370-50</f>
        <v>312</v>
      </c>
      <c r="D370" s="3">
        <v>334</v>
      </c>
      <c r="E370" s="3">
        <f>IF(ISERROR(VLOOKUP($A370,'SegEnds_NonXtal_BW#'!$A:$Z,4,FALSE)+VLOOKUP($A370,A:AL,4,FALSE)-50),"-",(VLOOKUP($A370,'SegEnds_NonXtal_BW#'!$A:$Z,4,FALSE)+VLOOKUP($A370,A:AL,4,FALSE)-50))</f>
        <v>344</v>
      </c>
      <c r="F370" s="3">
        <f t="shared" si="197"/>
        <v>345</v>
      </c>
      <c r="G370" s="3">
        <v>348</v>
      </c>
      <c r="H370" s="3">
        <f t="shared" ref="H370:H380" si="202">G370+1</f>
        <v>349</v>
      </c>
      <c r="I370" s="3">
        <f t="shared" si="199"/>
        <v>350</v>
      </c>
      <c r="J370" s="3">
        <v>360</v>
      </c>
      <c r="K370" s="3">
        <f>VLOOKUP($A370,'SegEnds_NonXtal_BW#'!$A:$Z,8,FALSE)+VLOOKUP($A370,A:AL,10,FALSE)-50</f>
        <v>373</v>
      </c>
      <c r="L370" s="3" t="str">
        <f>IF(ISERROR(VLOOKUP($A370,'SegEnds_NonXtal_BW#'!$A:$Z,9,FALSE)+VLOOKUP($A370,A:AL,13,FALSE)-50),"-",(VLOOKUP($A370,'SegEnds_NonXtal_BW#'!$A:$Z,9,FALSE)+VLOOKUP($A370,A:AL,13,FALSE)-50))</f>
        <v>-</v>
      </c>
      <c r="M370" s="3" t="s">
        <v>23</v>
      </c>
      <c r="N370" s="3" t="str">
        <f>IF(ISERROR(VLOOKUP($A370,'SegEnds_NonXtal_BW#'!$A:$Z,10,FALSE)+VLOOKUP($A370,A:AL,13,FALSE)-50),"-",(VLOOKUP($A370,'SegEnds_NonXtal_BW#'!$A:$Z,10,FALSE)+VLOOKUP($A370,A:AL,13,FALSE)-50))</f>
        <v>-</v>
      </c>
      <c r="O370" s="3">
        <f>VLOOKUP($A370,'SegEnds_NonXtal_BW#'!$A:$Z,11,FALSE)+VLOOKUP($A370,A:AL,16,FALSE)-50</f>
        <v>400</v>
      </c>
      <c r="P370" s="3">
        <v>427</v>
      </c>
      <c r="Q370" s="3">
        <f>VLOOKUP($A370,'SegEnds_NonXtal_BW#'!$A:$Z,12,FALSE)+VLOOKUP($A370,A:AL,16,FALSE)-50</f>
        <v>436</v>
      </c>
      <c r="R370" s="3" t="str">
        <f>IF(ISERROR(VLOOKUP($A370,'SegEnds_NonXtal_BW#'!$A:$Z,13,FALSE)+VLOOKUP($A370,A:AL,19,FALSE)-50),"-",VLOOKUP($A370,'SegEnds_NonXtal_BW#'!$A:$Z,13,FALSE)+VLOOKUP($A370,A:AL,19,FALSE)-50)</f>
        <v>-</v>
      </c>
      <c r="S370" s="3" t="s">
        <v>23</v>
      </c>
      <c r="T370" s="100" t="str">
        <f>IF(ISERROR(VLOOKUP($A370,'SegEnds_NonXtal_BW#'!$A:$Z,14,FALSE)+VLOOKUP($A370,A:AL,19,FALSE)-50),"-",(VLOOKUP($A370,'SegEnds_NonXtal_BW#'!$A:$Z,14,FALSE)+VLOOKUP($A370,A:AL,19,FALSE)-50))</f>
        <v>-</v>
      </c>
      <c r="U370" s="9">
        <f>IF(ISERROR(VLOOKUP($A370,'SegEnds_NonXtal_BW#'!$A:$Z,15,FALSE)+VLOOKUP($A370,A:AL,22,FALSE)-50),"-",VLOOKUP($A370,'SegEnds_NonXtal_BW#'!$A:$Z,15,FALSE)+VLOOKUP($A370,A:AL,22,FALSE)-50)</f>
        <v>440</v>
      </c>
      <c r="V370" s="3">
        <v>452</v>
      </c>
      <c r="W370" s="3">
        <f>IF(ISERROR(VLOOKUP($A370,'SegEnds_NonXtal_BW#'!$A:$Z,16,FALSE)+VLOOKUP($A370,A:AL,22,FALSE)-50),"-",(VLOOKUP($A370,'SegEnds_NonXtal_BW#'!$A:$Z,16,FALSE)+VLOOKUP($A370,A:AL,22,FALSE)-50))</f>
        <v>465</v>
      </c>
      <c r="X370" s="3">
        <f>IF(ISERROR(VLOOKUP($A370,'SegEnds_NonXtal_BW#'!$A:$Z,17,FALSE)+VLOOKUP($A370,A:AL,25,FALSE)-50),"-",(VLOOKUP($A370,'SegEnds_NonXtal_BW#'!$A:$Z,17,FALSE)+VLOOKUP($A370,A:AL,25,FALSE)-50))</f>
        <v>477</v>
      </c>
      <c r="Y370" s="3">
        <v>477</v>
      </c>
      <c r="Z370" s="3">
        <f t="shared" si="201"/>
        <v>479</v>
      </c>
      <c r="AA370" s="3">
        <f>IF(ISERROR(VLOOKUP($A370,'SegEnds_NonXtal_BW#'!$A:$Z,19,FALSE)+VLOOKUP($A370,A:AL,28,FALSE)-50),"-",(VLOOKUP($A370,'SegEnds_NonXtal_BW#'!$A:$Z,19,FALSE)+VLOOKUP($A370,A:AL,28,FALSE)-50))</f>
        <v>483</v>
      </c>
      <c r="AB370" s="3">
        <v>498</v>
      </c>
      <c r="AC370" s="3">
        <f>IF(ISERROR((VLOOKUP($A370,'SegEnds_NonXtal_BW#'!$A:$Z,20,FALSE)+VLOOKUP($A370,A:AL,28,FALSE)-50)),"-",(VLOOKUP($A370,'SegEnds_NonXtal_BW#'!$A:$Z,20,FALSE)+VLOOKUP($A370,A:AL,28,FALSE)-50))</f>
        <v>520</v>
      </c>
      <c r="AD370" s="3">
        <f>IF(ISERROR(VLOOKUP($A370,'SegEnds_NonXtal_BW#'!$A:$Z,21,FALSE)+VLOOKUP($A370,A:AL,31,FALSE)-50),"-",(VLOOKUP($A370,'SegEnds_NonXtal_BW#'!$A:$Z,21,FALSE)+VLOOKUP($A370,A:AL,31,FALSE)-50))</f>
        <v>527</v>
      </c>
      <c r="AE370" s="3">
        <v>553</v>
      </c>
      <c r="AF370" s="3">
        <f>IF(ISERROR((VLOOKUP($A370,'SegEnds_NonXtal_BW#'!$A:$Z,22,FALSE)+VLOOKUP($A370,A:AL,31,FALSE)-50)),"-",(VLOOKUP($A370,'SegEnds_NonXtal_BW#'!$A:$Z,22,FALSE)+VLOOKUP($A370,A:AL,31,FALSE)-50))</f>
        <v>581</v>
      </c>
      <c r="AG370" s="3">
        <f>IF(ISERROR(VLOOKUP($A370,'SegEnds_NonXtal_BW#'!$A:$Z,23,FALSE)+VLOOKUP($A370,A:AL,34,FALSE)-50),"-",(VLOOKUP($A370,'SegEnds_NonXtal_BW#'!$A:$Z,23,FALSE)+VLOOKUP($A370,A:AL,34,FALSE)-50))</f>
        <v>599</v>
      </c>
      <c r="AH370" s="3">
        <v>615</v>
      </c>
      <c r="AI370" s="3">
        <f>IF(ISERROR((VLOOKUP($A370,'SegEnds_NonXtal_BW#'!$A:$Z,24,FALSE)+VLOOKUP($A370,A:AL,34,FALSE)-50)),"-",(VLOOKUP($A370,'SegEnds_NonXtal_BW#'!$A:$Z,24,FALSE)+VLOOKUP($A370,A:AL,34,FALSE)-50))</f>
        <v>622</v>
      </c>
      <c r="AJ370" s="3">
        <f>IF(ISERROR(VLOOKUP($A370,'SegEnds_NonXtal_BW#'!$A:$Z,25,FALSE)+VLOOKUP($A370,A:AL,37,FALSE)-50),"-",(VLOOKUP($A370,'SegEnds_NonXtal_BW#'!$A:$Z,25,FALSE)+VLOOKUP($A370,A:AL,37,FALSE)-50))</f>
        <v>623</v>
      </c>
      <c r="AK370" s="3">
        <v>626</v>
      </c>
      <c r="AL370" s="3">
        <f>IF(ISERROR((VLOOKUP($A370,'SegEnds_NonXtal_BW#'!$A:$Z,26,FALSE)+VLOOKUP($A370,A:AL,37,FALSE)-50)),"-",(VLOOKUP($A370,'SegEnds_NonXtal_BW#'!$A:$Z,26,FALSE)+VLOOKUP($A370,A:AL,37,FALSE)-50))</f>
        <v>638</v>
      </c>
      <c r="AM370" s="28" t="str">
        <f>VLOOKUP(A370,Classification!A:B,2,FALSE)</f>
        <v>F</v>
      </c>
      <c r="AN370" s="28" t="b">
        <f t="shared" si="195"/>
        <v>1</v>
      </c>
      <c r="AO370" s="3" t="str">
        <f>IF(ISERROR(MATCH(A370,'SegEnds_Xtal_Prot#'!B:B, 0)), "NoXtal", "Xtal")</f>
        <v>NoXtal</v>
      </c>
      <c r="AP370" s="3">
        <f t="shared" si="180"/>
        <v>1</v>
      </c>
      <c r="AQ370" s="3">
        <f t="shared" si="181"/>
        <v>1</v>
      </c>
      <c r="AR370" s="3" t="str">
        <f t="shared" si="182"/>
        <v>-</v>
      </c>
      <c r="AS370" s="3" t="str">
        <f t="shared" si="183"/>
        <v>-</v>
      </c>
      <c r="AT370" s="3" t="str">
        <f t="shared" si="184"/>
        <v>-</v>
      </c>
      <c r="AU370" s="3" t="str">
        <f t="shared" si="185"/>
        <v>-</v>
      </c>
      <c r="AV370" s="3">
        <f t="shared" si="186"/>
        <v>12</v>
      </c>
      <c r="AW370" s="3">
        <f t="shared" si="187"/>
        <v>4</v>
      </c>
      <c r="AX370" s="3">
        <f t="shared" si="188"/>
        <v>7</v>
      </c>
      <c r="AY370" s="3">
        <f t="shared" si="189"/>
        <v>18</v>
      </c>
      <c r="AZ370" s="3">
        <f t="shared" si="190"/>
        <v>1</v>
      </c>
      <c r="BA370" s="3">
        <f>IF(ISERROR(LEN(VLOOKUP(A370,Seqs!A:E,2,FALSE))-AL370),"-",LEN(VLOOKUP(A370,Seqs!A:E,2,FALSE))-AL370)</f>
        <v>9</v>
      </c>
      <c r="BB370" s="16">
        <f t="shared" si="191"/>
        <v>26</v>
      </c>
      <c r="BC370" s="9" t="str">
        <f t="shared" si="192"/>
        <v>-</v>
      </c>
      <c r="BD370" s="3">
        <f t="shared" si="193"/>
        <v>26</v>
      </c>
      <c r="BE370" s="3">
        <f t="shared" si="194"/>
        <v>55</v>
      </c>
      <c r="BF370" s="3">
        <f>AH370-AE370</f>
        <v>62</v>
      </c>
    </row>
    <row r="371" spans="1:58" s="3" customFormat="1" x14ac:dyDescent="0.2">
      <c r="A371" s="3" t="s">
        <v>447</v>
      </c>
      <c r="B371" s="3" t="str">
        <f>LOWER(VLOOKUP(A371,Xtal_Templ!A:B,2,FALSE))</f>
        <v>smo_human</v>
      </c>
      <c r="C371" s="3">
        <f>VLOOKUP($A371,'SegEnds_NonXtal_BW#'!$A:$Z,3,FALSE)+D371-50</f>
        <v>220</v>
      </c>
      <c r="D371" s="3">
        <v>242</v>
      </c>
      <c r="E371" s="3">
        <f>IF(ISERROR(VLOOKUP($A371,'SegEnds_NonXtal_BW#'!$A:$Z,4,FALSE)+VLOOKUP($A371,A:AL,4,FALSE)-50),"-",(VLOOKUP($A371,'SegEnds_NonXtal_BW#'!$A:$Z,4,FALSE)+VLOOKUP($A371,A:AL,4,FALSE)-50))</f>
        <v>252</v>
      </c>
      <c r="F371" s="3">
        <f t="shared" si="197"/>
        <v>253</v>
      </c>
      <c r="G371" s="3">
        <v>256</v>
      </c>
      <c r="H371" s="3">
        <f t="shared" si="202"/>
        <v>257</v>
      </c>
      <c r="I371" s="3">
        <f t="shared" si="199"/>
        <v>258</v>
      </c>
      <c r="J371" s="3">
        <v>268</v>
      </c>
      <c r="K371" s="3">
        <f>VLOOKUP($A371,'SegEnds_NonXtal_BW#'!$A:$Z,8,FALSE)+VLOOKUP($A371,A:AL,10,FALSE)-50</f>
        <v>281</v>
      </c>
      <c r="L371" s="3" t="str">
        <f>IF(ISERROR(VLOOKUP($A371,'SegEnds_NonXtal_BW#'!$A:$Z,9,FALSE)+VLOOKUP($A371,A:AL,13,FALSE)-50),"-",(VLOOKUP($A371,'SegEnds_NonXtal_BW#'!$A:$Z,9,FALSE)+VLOOKUP($A371,A:AL,13,FALSE)-50))</f>
        <v>-</v>
      </c>
      <c r="M371" s="3" t="s">
        <v>23</v>
      </c>
      <c r="N371" s="3" t="str">
        <f>IF(ISERROR(VLOOKUP($A371,'SegEnds_NonXtal_BW#'!$A:$Z,10,FALSE)+VLOOKUP($A371,A:AL,13,FALSE)-50),"-",(VLOOKUP($A371,'SegEnds_NonXtal_BW#'!$A:$Z,10,FALSE)+VLOOKUP($A371,A:AL,13,FALSE)-50))</f>
        <v>-</v>
      </c>
      <c r="O371" s="3">
        <f>VLOOKUP($A371,'SegEnds_NonXtal_BW#'!$A:$Z,11,FALSE)+VLOOKUP($A371,A:AL,16,FALSE)-50</f>
        <v>307</v>
      </c>
      <c r="P371" s="3">
        <v>334</v>
      </c>
      <c r="Q371" s="3">
        <f>VLOOKUP($A371,'SegEnds_NonXtal_BW#'!$A:$Z,12,FALSE)+VLOOKUP($A371,A:AL,16,FALSE)-50</f>
        <v>343</v>
      </c>
      <c r="R371" s="3" t="str">
        <f>IF(ISERROR(VLOOKUP($A371,'SegEnds_NonXtal_BW#'!$A:$Z,13,FALSE)+VLOOKUP($A371,A:AL,19,FALSE)-50),"-",VLOOKUP($A371,'SegEnds_NonXtal_BW#'!$A:$Z,13,FALSE)+VLOOKUP($A371,A:AL,19,FALSE)-50)</f>
        <v>-</v>
      </c>
      <c r="S371" s="3" t="s">
        <v>23</v>
      </c>
      <c r="T371" s="100" t="str">
        <f>IF(ISERROR(VLOOKUP($A371,'SegEnds_NonXtal_BW#'!$A:$Z,14,FALSE)+VLOOKUP($A371,A:AL,19,FALSE)-50),"-",(VLOOKUP($A371,'SegEnds_NonXtal_BW#'!$A:$Z,14,FALSE)+VLOOKUP($A371,A:AL,19,FALSE)-50))</f>
        <v>-</v>
      </c>
      <c r="U371" s="9">
        <f>IF(ISERROR(VLOOKUP($A371,'SegEnds_NonXtal_BW#'!$A:$Z,15,FALSE)+VLOOKUP($A371,A:AL,22,FALSE)-50),"-",VLOOKUP($A371,'SegEnds_NonXtal_BW#'!$A:$Z,15,FALSE)+VLOOKUP($A371,A:AL,22,FALSE)-50)</f>
        <v>347</v>
      </c>
      <c r="V371" s="3">
        <v>359</v>
      </c>
      <c r="W371" s="3">
        <f>IF(ISERROR(VLOOKUP($A371,'SegEnds_NonXtal_BW#'!$A:$Z,16,FALSE)+VLOOKUP($A371,A:AL,22,FALSE)-50),"-",(VLOOKUP($A371,'SegEnds_NonXtal_BW#'!$A:$Z,16,FALSE)+VLOOKUP($A371,A:AL,22,FALSE)-50))</f>
        <v>372</v>
      </c>
      <c r="X371" s="3">
        <f>IF(ISERROR(VLOOKUP($A371,'SegEnds_NonXtal_BW#'!$A:$Z,17,FALSE)+VLOOKUP($A371,A:AL,25,FALSE)-50),"-",(VLOOKUP($A371,'SegEnds_NonXtal_BW#'!$A:$Z,17,FALSE)+VLOOKUP($A371,A:AL,25,FALSE)-50))</f>
        <v>384</v>
      </c>
      <c r="Y371" s="3">
        <v>384</v>
      </c>
      <c r="Z371" s="3">
        <f t="shared" si="201"/>
        <v>386</v>
      </c>
      <c r="AA371" s="3">
        <f>IF(ISERROR(VLOOKUP($A371,'SegEnds_NonXtal_BW#'!$A:$Z,19,FALSE)+VLOOKUP($A371,A:AL,28,FALSE)-50),"-",(VLOOKUP($A371,'SegEnds_NonXtal_BW#'!$A:$Z,19,FALSE)+VLOOKUP($A371,A:AL,28,FALSE)-50))</f>
        <v>390</v>
      </c>
      <c r="AB371" s="3">
        <v>405</v>
      </c>
      <c r="AC371" s="3">
        <f>IF(ISERROR((VLOOKUP($A371,'SegEnds_NonXtal_BW#'!$A:$Z,20,FALSE)+VLOOKUP($A371,A:AL,28,FALSE)-50)),"-",(VLOOKUP($A371,'SegEnds_NonXtal_BW#'!$A:$Z,20,FALSE)+VLOOKUP($A371,A:AL,28,FALSE)-50))</f>
        <v>427</v>
      </c>
      <c r="AD371" s="3">
        <f>IF(ISERROR(VLOOKUP($A371,'SegEnds_NonXtal_BW#'!$A:$Z,21,FALSE)+VLOOKUP($A371,A:AL,31,FALSE)-50),"-",(VLOOKUP($A371,'SegEnds_NonXtal_BW#'!$A:$Z,21,FALSE)+VLOOKUP($A371,A:AL,31,FALSE)-50))</f>
        <v>434</v>
      </c>
      <c r="AE371" s="3">
        <v>460</v>
      </c>
      <c r="AF371" s="3">
        <f>IF(ISERROR((VLOOKUP($A371,'SegEnds_NonXtal_BW#'!$A:$Z,22,FALSE)+VLOOKUP($A371,A:AL,31,FALSE)-50)),"-",(VLOOKUP($A371,'SegEnds_NonXtal_BW#'!$A:$Z,22,FALSE)+VLOOKUP($A371,A:AL,31,FALSE)-50))</f>
        <v>488</v>
      </c>
      <c r="AG371" s="3">
        <f>IF(ISERROR(VLOOKUP($A371,'SegEnds_NonXtal_BW#'!$A:$Z,23,FALSE)+VLOOKUP($A371,A:AL,34,FALSE)-50),"-",(VLOOKUP($A371,'SegEnds_NonXtal_BW#'!$A:$Z,23,FALSE)+VLOOKUP($A371,A:AL,34,FALSE)-50))</f>
        <v>500</v>
      </c>
      <c r="AH371" s="3">
        <v>516</v>
      </c>
      <c r="AI371" s="3">
        <f>IF(ISERROR((VLOOKUP($A371,'SegEnds_NonXtal_BW#'!$A:$Z,24,FALSE)+VLOOKUP($A371,A:AL,34,FALSE)-50)),"-",(VLOOKUP($A371,'SegEnds_NonXtal_BW#'!$A:$Z,24,FALSE)+VLOOKUP($A371,A:AL,34,FALSE)-50))</f>
        <v>523</v>
      </c>
      <c r="AJ371" s="3">
        <f>IF(ISERROR(VLOOKUP($A371,'SegEnds_NonXtal_BW#'!$A:$Z,25,FALSE)+VLOOKUP($A371,A:AL,37,FALSE)-50),"-",(VLOOKUP($A371,'SegEnds_NonXtal_BW#'!$A:$Z,25,FALSE)+VLOOKUP($A371,A:AL,37,FALSE)-50))</f>
        <v>524</v>
      </c>
      <c r="AK371" s="3">
        <v>527</v>
      </c>
      <c r="AL371" s="3">
        <f>IF(ISERROR((VLOOKUP($A371,'SegEnds_NonXtal_BW#'!$A:$Z,26,FALSE)+VLOOKUP($A371,A:AL,37,FALSE)-50)),"-",(VLOOKUP($A371,'SegEnds_NonXtal_BW#'!$A:$Z,26,FALSE)+VLOOKUP($A371,A:AL,37,FALSE)-50))</f>
        <v>539</v>
      </c>
      <c r="AM371" s="28" t="str">
        <f>VLOOKUP(A371,Classification!A:B,2,FALSE)</f>
        <v>F</v>
      </c>
      <c r="AN371" s="28" t="b">
        <f t="shared" si="195"/>
        <v>1</v>
      </c>
      <c r="AO371" s="3" t="str">
        <f>IF(ISERROR(MATCH(A371,'SegEnds_Xtal_Prot#'!B:B, 0)), "NoXtal", "Xtal")</f>
        <v>NoXtal</v>
      </c>
      <c r="AP371" s="3">
        <f t="shared" si="180"/>
        <v>1</v>
      </c>
      <c r="AQ371" s="3">
        <f t="shared" si="181"/>
        <v>1</v>
      </c>
      <c r="AR371" s="3" t="str">
        <f t="shared" si="182"/>
        <v>-</v>
      </c>
      <c r="AS371" s="3" t="str">
        <f t="shared" si="183"/>
        <v>-</v>
      </c>
      <c r="AT371" s="3" t="str">
        <f t="shared" si="184"/>
        <v>-</v>
      </c>
      <c r="AU371" s="3" t="str">
        <f t="shared" si="185"/>
        <v>-</v>
      </c>
      <c r="AV371" s="3">
        <f t="shared" si="186"/>
        <v>12</v>
      </c>
      <c r="AW371" s="3">
        <f t="shared" si="187"/>
        <v>4</v>
      </c>
      <c r="AX371" s="3">
        <f t="shared" si="188"/>
        <v>7</v>
      </c>
      <c r="AY371" s="3">
        <f t="shared" si="189"/>
        <v>12</v>
      </c>
      <c r="AZ371" s="3">
        <f t="shared" si="190"/>
        <v>1</v>
      </c>
      <c r="BA371" s="3">
        <f>IF(ISERROR(LEN(VLOOKUP(A371,Seqs!A:E,2,FALSE))-AL371),"-",LEN(VLOOKUP(A371,Seqs!A:E,2,FALSE))-AL371)</f>
        <v>42</v>
      </c>
      <c r="BB371" s="16">
        <f t="shared" si="191"/>
        <v>26</v>
      </c>
      <c r="BC371" s="9" t="str">
        <f t="shared" si="192"/>
        <v>-</v>
      </c>
      <c r="BD371" s="3">
        <f t="shared" si="193"/>
        <v>26</v>
      </c>
      <c r="BE371" s="3">
        <f t="shared" si="194"/>
        <v>55</v>
      </c>
    </row>
    <row r="372" spans="1:58" s="3" customFormat="1" x14ac:dyDescent="0.2">
      <c r="A372" s="3" t="s">
        <v>448</v>
      </c>
      <c r="B372" s="3" t="str">
        <f>LOWER(VLOOKUP(A372,Xtal_Templ!A:B,2,FALSE))</f>
        <v>smo_human</v>
      </c>
      <c r="C372" s="3">
        <f>VLOOKUP($A372,'SegEnds_NonXtal_BW#'!$A:$Z,3,FALSE)+D372-50</f>
        <v>237</v>
      </c>
      <c r="D372" s="3">
        <v>259</v>
      </c>
      <c r="E372" s="3">
        <f>IF(ISERROR(VLOOKUP($A372,'SegEnds_NonXtal_BW#'!$A:$Z,4,FALSE)+VLOOKUP($A372,A:AL,4,FALSE)-50),"-",(VLOOKUP($A372,'SegEnds_NonXtal_BW#'!$A:$Z,4,FALSE)+VLOOKUP($A372,A:AL,4,FALSE)-50))</f>
        <v>269</v>
      </c>
      <c r="F372" s="3">
        <f t="shared" si="197"/>
        <v>270</v>
      </c>
      <c r="G372" s="3">
        <v>273</v>
      </c>
      <c r="H372" s="3">
        <f t="shared" si="202"/>
        <v>274</v>
      </c>
      <c r="I372" s="3">
        <f t="shared" si="199"/>
        <v>275</v>
      </c>
      <c r="J372" s="3">
        <v>285</v>
      </c>
      <c r="K372" s="3">
        <f>VLOOKUP($A372,'SegEnds_NonXtal_BW#'!$A:$Z,8,FALSE)+VLOOKUP($A372,A:AL,10,FALSE)-50</f>
        <v>298</v>
      </c>
      <c r="L372" s="3" t="str">
        <f>IF(ISERROR(VLOOKUP($A372,'SegEnds_NonXtal_BW#'!$A:$Z,9,FALSE)+VLOOKUP($A372,A:AL,13,FALSE)-50),"-",(VLOOKUP($A372,'SegEnds_NonXtal_BW#'!$A:$Z,9,FALSE)+VLOOKUP($A372,A:AL,13,FALSE)-50))</f>
        <v>-</v>
      </c>
      <c r="M372" s="3" t="s">
        <v>23</v>
      </c>
      <c r="N372" s="3" t="str">
        <f>IF(ISERROR(VLOOKUP($A372,'SegEnds_NonXtal_BW#'!$A:$Z,10,FALSE)+VLOOKUP($A372,A:AL,13,FALSE)-50),"-",(VLOOKUP($A372,'SegEnds_NonXtal_BW#'!$A:$Z,10,FALSE)+VLOOKUP($A372,A:AL,13,FALSE)-50))</f>
        <v>-</v>
      </c>
      <c r="O372" s="3">
        <f>VLOOKUP($A372,'SegEnds_NonXtal_BW#'!$A:$Z,11,FALSE)+VLOOKUP($A372,A:AL,16,FALSE)-50</f>
        <v>325</v>
      </c>
      <c r="P372" s="3">
        <v>352</v>
      </c>
      <c r="Q372" s="3">
        <f>VLOOKUP($A372,'SegEnds_NonXtal_BW#'!$A:$Z,12,FALSE)+VLOOKUP($A372,A:AL,16,FALSE)-50</f>
        <v>361</v>
      </c>
      <c r="R372" s="3" t="str">
        <f>IF(ISERROR(VLOOKUP($A372,'SegEnds_NonXtal_BW#'!$A:$Z,13,FALSE)+VLOOKUP($A372,A:AL,19,FALSE)-50),"-",VLOOKUP($A372,'SegEnds_NonXtal_BW#'!$A:$Z,13,FALSE)+VLOOKUP($A372,A:AL,19,FALSE)-50)</f>
        <v>-</v>
      </c>
      <c r="S372" s="3" t="s">
        <v>23</v>
      </c>
      <c r="T372" s="100" t="str">
        <f>IF(ISERROR(VLOOKUP($A372,'SegEnds_NonXtal_BW#'!$A:$Z,14,FALSE)+VLOOKUP($A372,A:AL,19,FALSE)-50),"-",(VLOOKUP($A372,'SegEnds_NonXtal_BW#'!$A:$Z,14,FALSE)+VLOOKUP($A372,A:AL,19,FALSE)-50))</f>
        <v>-</v>
      </c>
      <c r="U372" s="9">
        <f>IF(ISERROR(VLOOKUP($A372,'SegEnds_NonXtal_BW#'!$A:$Z,15,FALSE)+VLOOKUP($A372,A:AL,22,FALSE)-50),"-",VLOOKUP($A372,'SegEnds_NonXtal_BW#'!$A:$Z,15,FALSE)+VLOOKUP($A372,A:AL,22,FALSE)-50)</f>
        <v>365</v>
      </c>
      <c r="V372" s="3">
        <v>377</v>
      </c>
      <c r="W372" s="3">
        <f>IF(ISERROR(VLOOKUP($A372,'SegEnds_NonXtal_BW#'!$A:$Z,16,FALSE)+VLOOKUP($A372,A:AL,22,FALSE)-50),"-",(VLOOKUP($A372,'SegEnds_NonXtal_BW#'!$A:$Z,16,FALSE)+VLOOKUP($A372,A:AL,22,FALSE)-50))</f>
        <v>390</v>
      </c>
      <c r="X372" s="3">
        <f>IF(ISERROR(VLOOKUP($A372,'SegEnds_NonXtal_BW#'!$A:$Z,17,FALSE)+VLOOKUP($A372,A:AL,25,FALSE)-50),"-",(VLOOKUP($A372,'SegEnds_NonXtal_BW#'!$A:$Z,17,FALSE)+VLOOKUP($A372,A:AL,25,FALSE)-50))</f>
        <v>402</v>
      </c>
      <c r="Y372" s="3">
        <v>402</v>
      </c>
      <c r="Z372" s="3">
        <f t="shared" si="201"/>
        <v>404</v>
      </c>
      <c r="AA372" s="3">
        <f>IF(ISERROR(VLOOKUP($A372,'SegEnds_NonXtal_BW#'!$A:$Z,19,FALSE)+VLOOKUP($A372,A:AL,28,FALSE)-50),"-",(VLOOKUP($A372,'SegEnds_NonXtal_BW#'!$A:$Z,19,FALSE)+VLOOKUP($A372,A:AL,28,FALSE)-50))</f>
        <v>408</v>
      </c>
      <c r="AB372" s="3">
        <v>423</v>
      </c>
      <c r="AC372" s="3">
        <f>IF(ISERROR((VLOOKUP($A372,'SegEnds_NonXtal_BW#'!$A:$Z,20,FALSE)+VLOOKUP($A372,A:AL,28,FALSE)-50)),"-",(VLOOKUP($A372,'SegEnds_NonXtal_BW#'!$A:$Z,20,FALSE)+VLOOKUP($A372,A:AL,28,FALSE)-50))</f>
        <v>445</v>
      </c>
      <c r="AD372" s="3">
        <f>IF(ISERROR(VLOOKUP($A372,'SegEnds_NonXtal_BW#'!$A:$Z,21,FALSE)+VLOOKUP($A372,A:AL,31,FALSE)-50),"-",(VLOOKUP($A372,'SegEnds_NonXtal_BW#'!$A:$Z,21,FALSE)+VLOOKUP($A372,A:AL,31,FALSE)-50))</f>
        <v>452</v>
      </c>
      <c r="AE372" s="3">
        <v>478</v>
      </c>
      <c r="AF372" s="3">
        <f>IF(ISERROR((VLOOKUP($A372,'SegEnds_NonXtal_BW#'!$A:$Z,22,FALSE)+VLOOKUP($A372,A:AL,31,FALSE)-50)),"-",(VLOOKUP($A372,'SegEnds_NonXtal_BW#'!$A:$Z,22,FALSE)+VLOOKUP($A372,A:AL,31,FALSE)-50))</f>
        <v>506</v>
      </c>
      <c r="AG372" s="3">
        <f>IF(ISERROR(VLOOKUP($A372,'SegEnds_NonXtal_BW#'!$A:$Z,23,FALSE)+VLOOKUP($A372,A:AL,34,FALSE)-50),"-",(VLOOKUP($A372,'SegEnds_NonXtal_BW#'!$A:$Z,23,FALSE)+VLOOKUP($A372,A:AL,34,FALSE)-50))</f>
        <v>517</v>
      </c>
      <c r="AH372" s="3">
        <v>533</v>
      </c>
      <c r="AI372" s="3">
        <f>IF(ISERROR((VLOOKUP($A372,'SegEnds_NonXtal_BW#'!$A:$Z,24,FALSE)+VLOOKUP($A372,A:AL,34,FALSE)-50)),"-",(VLOOKUP($A372,'SegEnds_NonXtal_BW#'!$A:$Z,24,FALSE)+VLOOKUP($A372,A:AL,34,FALSE)-50))</f>
        <v>540</v>
      </c>
      <c r="AJ372" s="3">
        <f>IF(ISERROR(VLOOKUP($A372,'SegEnds_NonXtal_BW#'!$A:$Z,25,FALSE)+VLOOKUP($A372,A:AL,37,FALSE)-50),"-",(VLOOKUP($A372,'SegEnds_NonXtal_BW#'!$A:$Z,25,FALSE)+VLOOKUP($A372,A:AL,37,FALSE)-50))</f>
        <v>541</v>
      </c>
      <c r="AK372" s="3">
        <v>544</v>
      </c>
      <c r="AL372" s="3">
        <f>IF(ISERROR((VLOOKUP($A372,'SegEnds_NonXtal_BW#'!$A:$Z,26,FALSE)+VLOOKUP($A372,A:AL,37,FALSE)-50)),"-",(VLOOKUP($A372,'SegEnds_NonXtal_BW#'!$A:$Z,26,FALSE)+VLOOKUP($A372,A:AL,37,FALSE)-50))</f>
        <v>556</v>
      </c>
      <c r="AM372" s="28" t="str">
        <f>VLOOKUP(A372,Classification!A:B,2,FALSE)</f>
        <v>F</v>
      </c>
      <c r="AN372" s="28" t="b">
        <f t="shared" si="195"/>
        <v>1</v>
      </c>
      <c r="AO372" s="3" t="str">
        <f>IF(ISERROR(MATCH(A372,'SegEnds_Xtal_Prot#'!B:B, 0)), "NoXtal", "Xtal")</f>
        <v>NoXtal</v>
      </c>
      <c r="AP372" s="3">
        <f t="shared" si="180"/>
        <v>1</v>
      </c>
      <c r="AQ372" s="3">
        <f t="shared" si="181"/>
        <v>1</v>
      </c>
      <c r="AR372" s="3" t="str">
        <f t="shared" si="182"/>
        <v>-</v>
      </c>
      <c r="AS372" s="3" t="str">
        <f t="shared" si="183"/>
        <v>-</v>
      </c>
      <c r="AT372" s="3" t="str">
        <f t="shared" si="184"/>
        <v>-</v>
      </c>
      <c r="AU372" s="3" t="str">
        <f t="shared" si="185"/>
        <v>-</v>
      </c>
      <c r="AV372" s="3">
        <f t="shared" si="186"/>
        <v>12</v>
      </c>
      <c r="AW372" s="3">
        <f t="shared" si="187"/>
        <v>4</v>
      </c>
      <c r="AX372" s="3">
        <f t="shared" si="188"/>
        <v>7</v>
      </c>
      <c r="AY372" s="3">
        <f t="shared" si="189"/>
        <v>11</v>
      </c>
      <c r="AZ372" s="3">
        <f t="shared" si="190"/>
        <v>1</v>
      </c>
      <c r="BA372" s="3">
        <f>IF(ISERROR(LEN(VLOOKUP(A372,Seqs!A:E,2,FALSE))-AL372),"-",LEN(VLOOKUP(A372,Seqs!A:E,2,FALSE))-AL372)</f>
        <v>9</v>
      </c>
      <c r="BB372" s="16">
        <f t="shared" si="191"/>
        <v>26</v>
      </c>
      <c r="BC372" s="9" t="str">
        <f t="shared" si="192"/>
        <v>-</v>
      </c>
      <c r="BD372" s="3">
        <f t="shared" si="193"/>
        <v>26</v>
      </c>
      <c r="BE372" s="3">
        <f t="shared" si="194"/>
        <v>55</v>
      </c>
      <c r="BF372" s="3">
        <f>AH372-AE372</f>
        <v>55</v>
      </c>
    </row>
    <row r="373" spans="1:58" s="3" customFormat="1" x14ac:dyDescent="0.2">
      <c r="A373" s="3" t="s">
        <v>449</v>
      </c>
      <c r="B373" s="3" t="str">
        <f>LOWER(VLOOKUP(A373,Xtal_Templ!A:B,2,FALSE))</f>
        <v>smo_human</v>
      </c>
      <c r="C373" s="3">
        <f>VLOOKUP($A373,'SegEnds_NonXtal_BW#'!$A:$Z,3,FALSE)+D373-50</f>
        <v>195</v>
      </c>
      <c r="D373" s="3">
        <v>217</v>
      </c>
      <c r="E373" s="3">
        <f>IF(ISERROR(VLOOKUP($A373,'SegEnds_NonXtal_BW#'!$A:$Z,4,FALSE)+VLOOKUP($A373,A:AL,4,FALSE)-50),"-",(VLOOKUP($A373,'SegEnds_NonXtal_BW#'!$A:$Z,4,FALSE)+VLOOKUP($A373,A:AL,4,FALSE)-50))</f>
        <v>227</v>
      </c>
      <c r="F373" s="3">
        <f t="shared" si="197"/>
        <v>228</v>
      </c>
      <c r="G373" s="3">
        <v>231</v>
      </c>
      <c r="H373" s="3">
        <f t="shared" si="202"/>
        <v>232</v>
      </c>
      <c r="I373" s="3">
        <f t="shared" si="199"/>
        <v>233</v>
      </c>
      <c r="J373" s="3">
        <v>243</v>
      </c>
      <c r="K373" s="3">
        <f>VLOOKUP($A373,'SegEnds_NonXtal_BW#'!$A:$Z,8,FALSE)+VLOOKUP($A373,A:AL,10,FALSE)-50</f>
        <v>256</v>
      </c>
      <c r="L373" s="3" t="str">
        <f>IF(ISERROR(VLOOKUP($A373,'SegEnds_NonXtal_BW#'!$A:$Z,9,FALSE)+VLOOKUP($A373,A:AL,13,FALSE)-50),"-",(VLOOKUP($A373,'SegEnds_NonXtal_BW#'!$A:$Z,9,FALSE)+VLOOKUP($A373,A:AL,13,FALSE)-50))</f>
        <v>-</v>
      </c>
      <c r="M373" s="3" t="s">
        <v>23</v>
      </c>
      <c r="N373" s="3" t="str">
        <f>IF(ISERROR(VLOOKUP($A373,'SegEnds_NonXtal_BW#'!$A:$Z,10,FALSE)+VLOOKUP($A373,A:AL,13,FALSE)-50),"-",(VLOOKUP($A373,'SegEnds_NonXtal_BW#'!$A:$Z,10,FALSE)+VLOOKUP($A373,A:AL,13,FALSE)-50))</f>
        <v>-</v>
      </c>
      <c r="O373" s="3">
        <f>VLOOKUP($A373,'SegEnds_NonXtal_BW#'!$A:$Z,11,FALSE)+VLOOKUP($A373,A:AL,16,FALSE)-50</f>
        <v>284</v>
      </c>
      <c r="P373" s="3">
        <v>311</v>
      </c>
      <c r="Q373" s="3">
        <f>VLOOKUP($A373,'SegEnds_NonXtal_BW#'!$A:$Z,12,FALSE)+VLOOKUP($A373,A:AL,16,FALSE)-50</f>
        <v>320</v>
      </c>
      <c r="R373" s="3" t="str">
        <f>IF(ISERROR(VLOOKUP($A373,'SegEnds_NonXtal_BW#'!$A:$Z,13,FALSE)+VLOOKUP($A373,A:AL,19,FALSE)-50),"-",VLOOKUP($A373,'SegEnds_NonXtal_BW#'!$A:$Z,13,FALSE)+VLOOKUP($A373,A:AL,19,FALSE)-50)</f>
        <v>-</v>
      </c>
      <c r="S373" s="3" t="s">
        <v>23</v>
      </c>
      <c r="T373" s="100" t="str">
        <f>IF(ISERROR(VLOOKUP($A373,'SegEnds_NonXtal_BW#'!$A:$Z,14,FALSE)+VLOOKUP($A373,A:AL,19,FALSE)-50),"-",(VLOOKUP($A373,'SegEnds_NonXtal_BW#'!$A:$Z,14,FALSE)+VLOOKUP($A373,A:AL,19,FALSE)-50))</f>
        <v>-</v>
      </c>
      <c r="U373" s="9">
        <f>IF(ISERROR(VLOOKUP($A373,'SegEnds_NonXtal_BW#'!$A:$Z,15,FALSE)+VLOOKUP($A373,A:AL,22,FALSE)-50),"-",VLOOKUP($A373,'SegEnds_NonXtal_BW#'!$A:$Z,15,FALSE)+VLOOKUP($A373,A:AL,22,FALSE)-50)</f>
        <v>324</v>
      </c>
      <c r="V373" s="3">
        <v>336</v>
      </c>
      <c r="W373" s="3">
        <f>IF(ISERROR(VLOOKUP($A373,'SegEnds_NonXtal_BW#'!$A:$Z,16,FALSE)+VLOOKUP($A373,A:AL,22,FALSE)-50),"-",(VLOOKUP($A373,'SegEnds_NonXtal_BW#'!$A:$Z,16,FALSE)+VLOOKUP($A373,A:AL,22,FALSE)-50))</f>
        <v>349</v>
      </c>
      <c r="X373" s="3">
        <f>IF(ISERROR(VLOOKUP($A373,'SegEnds_NonXtal_BW#'!$A:$Z,17,FALSE)+VLOOKUP($A373,A:AL,25,FALSE)-50),"-",(VLOOKUP($A373,'SegEnds_NonXtal_BW#'!$A:$Z,17,FALSE)+VLOOKUP($A373,A:AL,25,FALSE)-50))</f>
        <v>361</v>
      </c>
      <c r="Y373" s="3">
        <v>361</v>
      </c>
      <c r="Z373" s="3">
        <f t="shared" si="201"/>
        <v>363</v>
      </c>
      <c r="AA373" s="3">
        <f>IF(ISERROR(VLOOKUP($A373,'SegEnds_NonXtal_BW#'!$A:$Z,19,FALSE)+VLOOKUP($A373,A:AL,28,FALSE)-50),"-",(VLOOKUP($A373,'SegEnds_NonXtal_BW#'!$A:$Z,19,FALSE)+VLOOKUP($A373,A:AL,28,FALSE)-50))</f>
        <v>367</v>
      </c>
      <c r="AB373" s="3">
        <v>382</v>
      </c>
      <c r="AC373" s="3">
        <f>IF(ISERROR((VLOOKUP($A373,'SegEnds_NonXtal_BW#'!$A:$Z,20,FALSE)+VLOOKUP($A373,A:AL,28,FALSE)-50)),"-",(VLOOKUP($A373,'SegEnds_NonXtal_BW#'!$A:$Z,20,FALSE)+VLOOKUP($A373,A:AL,28,FALSE)-50))</f>
        <v>404</v>
      </c>
      <c r="AD373" s="3">
        <f>IF(ISERROR(VLOOKUP($A373,'SegEnds_NonXtal_BW#'!$A:$Z,21,FALSE)+VLOOKUP($A373,A:AL,31,FALSE)-50),"-",(VLOOKUP($A373,'SegEnds_NonXtal_BW#'!$A:$Z,21,FALSE)+VLOOKUP($A373,A:AL,31,FALSE)-50))</f>
        <v>411</v>
      </c>
      <c r="AE373" s="3">
        <v>437</v>
      </c>
      <c r="AF373" s="3">
        <f>IF(ISERROR((VLOOKUP($A373,'SegEnds_NonXtal_BW#'!$A:$Z,22,FALSE)+VLOOKUP($A373,A:AL,31,FALSE)-50)),"-",(VLOOKUP($A373,'SegEnds_NonXtal_BW#'!$A:$Z,22,FALSE)+VLOOKUP($A373,A:AL,31,FALSE)-50))</f>
        <v>465</v>
      </c>
      <c r="AG373" s="3">
        <f>IF(ISERROR(VLOOKUP($A373,'SegEnds_NonXtal_BW#'!$A:$Z,23,FALSE)+VLOOKUP($A373,A:AL,34,FALSE)-50),"-",(VLOOKUP($A373,'SegEnds_NonXtal_BW#'!$A:$Z,23,FALSE)+VLOOKUP($A373,A:AL,34,FALSE)-50))</f>
        <v>476</v>
      </c>
      <c r="AH373" s="3">
        <v>492</v>
      </c>
      <c r="AI373" s="3">
        <f>IF(ISERROR((VLOOKUP($A373,'SegEnds_NonXtal_BW#'!$A:$Z,24,FALSE)+VLOOKUP($A373,A:AL,34,FALSE)-50)),"-",(VLOOKUP($A373,'SegEnds_NonXtal_BW#'!$A:$Z,24,FALSE)+VLOOKUP($A373,A:AL,34,FALSE)-50))</f>
        <v>499</v>
      </c>
      <c r="AJ373" s="3">
        <f>IF(ISERROR(VLOOKUP($A373,'SegEnds_NonXtal_BW#'!$A:$Z,25,FALSE)+VLOOKUP($A373,A:AL,37,FALSE)-50),"-",(VLOOKUP($A373,'SegEnds_NonXtal_BW#'!$A:$Z,25,FALSE)+VLOOKUP($A373,A:AL,37,FALSE)-50))</f>
        <v>500</v>
      </c>
      <c r="AK373" s="3">
        <v>503</v>
      </c>
      <c r="AL373" s="3">
        <f>IF(ISERROR((VLOOKUP($A373,'SegEnds_NonXtal_BW#'!$A:$Z,26,FALSE)+VLOOKUP($A373,A:AL,37,FALSE)-50)),"-",(VLOOKUP($A373,'SegEnds_NonXtal_BW#'!$A:$Z,26,FALSE)+VLOOKUP($A373,A:AL,37,FALSE)-50))</f>
        <v>515</v>
      </c>
      <c r="AM373" s="28" t="str">
        <f>VLOOKUP(A373,Classification!A:B,2,FALSE)</f>
        <v>F</v>
      </c>
      <c r="AN373" s="28" t="b">
        <f t="shared" si="195"/>
        <v>1</v>
      </c>
      <c r="AO373" s="3" t="str">
        <f>IF(ISERROR(MATCH(A373,'SegEnds_Xtal_Prot#'!B:B, 0)), "NoXtal", "Xtal")</f>
        <v>NoXtal</v>
      </c>
      <c r="AP373" s="3">
        <f t="shared" si="180"/>
        <v>1</v>
      </c>
      <c r="AQ373" s="3">
        <f t="shared" si="181"/>
        <v>1</v>
      </c>
      <c r="AR373" s="3" t="str">
        <f t="shared" si="182"/>
        <v>-</v>
      </c>
      <c r="AS373" s="3" t="str">
        <f t="shared" si="183"/>
        <v>-</v>
      </c>
      <c r="AT373" s="3" t="str">
        <f t="shared" si="184"/>
        <v>-</v>
      </c>
      <c r="AU373" s="3" t="str">
        <f t="shared" si="185"/>
        <v>-</v>
      </c>
      <c r="AV373" s="3">
        <f t="shared" si="186"/>
        <v>12</v>
      </c>
      <c r="AW373" s="3">
        <f t="shared" si="187"/>
        <v>4</v>
      </c>
      <c r="AX373" s="3">
        <f t="shared" si="188"/>
        <v>7</v>
      </c>
      <c r="AY373" s="3">
        <f t="shared" si="189"/>
        <v>11</v>
      </c>
      <c r="AZ373" s="3">
        <f t="shared" si="190"/>
        <v>1</v>
      </c>
      <c r="BA373" s="3">
        <f>IF(ISERROR(LEN(VLOOKUP(A373,Seqs!A:E,2,FALSE))-AL373),"-",LEN(VLOOKUP(A373,Seqs!A:E,2,FALSE))-AL373)</f>
        <v>151</v>
      </c>
      <c r="BB373" s="16">
        <f t="shared" si="191"/>
        <v>26</v>
      </c>
      <c r="BC373" s="9" t="str">
        <f t="shared" si="192"/>
        <v>-</v>
      </c>
      <c r="BD373" s="3">
        <f t="shared" si="193"/>
        <v>26</v>
      </c>
      <c r="BE373" s="3">
        <f t="shared" si="194"/>
        <v>55</v>
      </c>
    </row>
    <row r="374" spans="1:58" s="3" customFormat="1" x14ac:dyDescent="0.2">
      <c r="A374" s="3" t="s">
        <v>450</v>
      </c>
      <c r="B374" s="3" t="str">
        <f>LOWER(VLOOKUP(A374,Xtal_Templ!A:B,2,FALSE))</f>
        <v>smo_human</v>
      </c>
      <c r="C374" s="3">
        <f>VLOOKUP($A374,'SegEnds_NonXtal_BW#'!$A:$Z,3,FALSE)+D374-50</f>
        <v>212</v>
      </c>
      <c r="D374" s="3">
        <v>234</v>
      </c>
      <c r="E374" s="3">
        <f>IF(ISERROR(VLOOKUP($A374,'SegEnds_NonXtal_BW#'!$A:$Z,4,FALSE)+VLOOKUP($A374,A:AL,4,FALSE)-50),"-",(VLOOKUP($A374,'SegEnds_NonXtal_BW#'!$A:$Z,4,FALSE)+VLOOKUP($A374,A:AL,4,FALSE)-50))</f>
        <v>244</v>
      </c>
      <c r="F374" s="3">
        <f t="shared" si="197"/>
        <v>245</v>
      </c>
      <c r="G374" s="3">
        <v>248</v>
      </c>
      <c r="H374" s="3">
        <f t="shared" si="202"/>
        <v>249</v>
      </c>
      <c r="I374" s="3">
        <f t="shared" si="199"/>
        <v>250</v>
      </c>
      <c r="J374" s="3">
        <v>260</v>
      </c>
      <c r="K374" s="3">
        <f>VLOOKUP($A374,'SegEnds_NonXtal_BW#'!$A:$Z,8,FALSE)+VLOOKUP($A374,A:AL,10,FALSE)-50</f>
        <v>273</v>
      </c>
      <c r="L374" s="3" t="str">
        <f>IF(ISERROR(VLOOKUP($A374,'SegEnds_NonXtal_BW#'!$A:$Z,9,FALSE)+VLOOKUP($A374,A:AL,13,FALSE)-50),"-",(VLOOKUP($A374,'SegEnds_NonXtal_BW#'!$A:$Z,9,FALSE)+VLOOKUP($A374,A:AL,13,FALSE)-50))</f>
        <v>-</v>
      </c>
      <c r="M374" s="3" t="s">
        <v>23</v>
      </c>
      <c r="N374" s="3" t="str">
        <f>IF(ISERROR(VLOOKUP($A374,'SegEnds_NonXtal_BW#'!$A:$Z,10,FALSE)+VLOOKUP($A374,A:AL,13,FALSE)-50),"-",(VLOOKUP($A374,'SegEnds_NonXtal_BW#'!$A:$Z,10,FALSE)+VLOOKUP($A374,A:AL,13,FALSE)-50))</f>
        <v>-</v>
      </c>
      <c r="O374" s="3">
        <f>VLOOKUP($A374,'SegEnds_NonXtal_BW#'!$A:$Z,11,FALSE)+VLOOKUP($A374,A:AL,16,FALSE)-50</f>
        <v>300</v>
      </c>
      <c r="P374" s="3">
        <v>327</v>
      </c>
      <c r="Q374" s="3">
        <f>VLOOKUP($A374,'SegEnds_NonXtal_BW#'!$A:$Z,12,FALSE)+VLOOKUP($A374,A:AL,16,FALSE)-50</f>
        <v>336</v>
      </c>
      <c r="R374" s="3" t="str">
        <f>IF(ISERROR(VLOOKUP($A374,'SegEnds_NonXtal_BW#'!$A:$Z,13,FALSE)+VLOOKUP($A374,A:AL,19,FALSE)-50),"-",VLOOKUP($A374,'SegEnds_NonXtal_BW#'!$A:$Z,13,FALSE)+VLOOKUP($A374,A:AL,19,FALSE)-50)</f>
        <v>-</v>
      </c>
      <c r="S374" s="3" t="s">
        <v>23</v>
      </c>
      <c r="T374" s="100" t="str">
        <f>IF(ISERROR(VLOOKUP($A374,'SegEnds_NonXtal_BW#'!$A:$Z,14,FALSE)+VLOOKUP($A374,A:AL,19,FALSE)-50),"-",(VLOOKUP($A374,'SegEnds_NonXtal_BW#'!$A:$Z,14,FALSE)+VLOOKUP($A374,A:AL,19,FALSE)-50))</f>
        <v>-</v>
      </c>
      <c r="U374" s="9">
        <f>IF(ISERROR(VLOOKUP($A374,'SegEnds_NonXtal_BW#'!$A:$Z,15,FALSE)+VLOOKUP($A374,A:AL,22,FALSE)-50),"-",VLOOKUP($A374,'SegEnds_NonXtal_BW#'!$A:$Z,15,FALSE)+VLOOKUP($A374,A:AL,22,FALSE)-50)</f>
        <v>340</v>
      </c>
      <c r="V374" s="3">
        <v>352</v>
      </c>
      <c r="W374" s="3">
        <f>IF(ISERROR(VLOOKUP($A374,'SegEnds_NonXtal_BW#'!$A:$Z,16,FALSE)+VLOOKUP($A374,A:AL,22,FALSE)-50),"-",(VLOOKUP($A374,'SegEnds_NonXtal_BW#'!$A:$Z,16,FALSE)+VLOOKUP($A374,A:AL,22,FALSE)-50))</f>
        <v>365</v>
      </c>
      <c r="X374" s="3">
        <f>IF(ISERROR(VLOOKUP($A374,'SegEnds_NonXtal_BW#'!$A:$Z,17,FALSE)+VLOOKUP($A374,A:AL,25,FALSE)-50),"-",(VLOOKUP($A374,'SegEnds_NonXtal_BW#'!$A:$Z,17,FALSE)+VLOOKUP($A374,A:AL,25,FALSE)-50))</f>
        <v>377</v>
      </c>
      <c r="Y374" s="3">
        <v>377</v>
      </c>
      <c r="Z374" s="3">
        <f t="shared" si="201"/>
        <v>379</v>
      </c>
      <c r="AA374" s="3">
        <f>IF(ISERROR(VLOOKUP($A374,'SegEnds_NonXtal_BW#'!$A:$Z,19,FALSE)+VLOOKUP($A374,A:AL,28,FALSE)-50),"-",(VLOOKUP($A374,'SegEnds_NonXtal_BW#'!$A:$Z,19,FALSE)+VLOOKUP($A374,A:AL,28,FALSE)-50))</f>
        <v>383</v>
      </c>
      <c r="AB374" s="3">
        <v>398</v>
      </c>
      <c r="AC374" s="3">
        <f>IF(ISERROR((VLOOKUP($A374,'SegEnds_NonXtal_BW#'!$A:$Z,20,FALSE)+VLOOKUP($A374,A:AL,28,FALSE)-50)),"-",(VLOOKUP($A374,'SegEnds_NonXtal_BW#'!$A:$Z,20,FALSE)+VLOOKUP($A374,A:AL,28,FALSE)-50))</f>
        <v>420</v>
      </c>
      <c r="AD374" s="3">
        <f>IF(ISERROR(VLOOKUP($A374,'SegEnds_NonXtal_BW#'!$A:$Z,21,FALSE)+VLOOKUP($A374,A:AL,31,FALSE)-50),"-",(VLOOKUP($A374,'SegEnds_NonXtal_BW#'!$A:$Z,21,FALSE)+VLOOKUP($A374,A:AL,31,FALSE)-50))</f>
        <v>427</v>
      </c>
      <c r="AE374" s="3">
        <v>453</v>
      </c>
      <c r="AF374" s="3">
        <f>IF(ISERROR((VLOOKUP($A374,'SegEnds_NonXtal_BW#'!$A:$Z,22,FALSE)+VLOOKUP($A374,A:AL,31,FALSE)-50)),"-",(VLOOKUP($A374,'SegEnds_NonXtal_BW#'!$A:$Z,22,FALSE)+VLOOKUP($A374,A:AL,31,FALSE)-50))</f>
        <v>469</v>
      </c>
      <c r="AG374" s="3">
        <f>IF(ISERROR(VLOOKUP($A374,'SegEnds_NonXtal_BW#'!$A:$Z,23,FALSE)+VLOOKUP($A374,A:AL,34,FALSE)-50),"-",(VLOOKUP($A374,'SegEnds_NonXtal_BW#'!$A:$Z,23,FALSE)+VLOOKUP($A374,A:AL,34,FALSE)-50))</f>
        <v>473</v>
      </c>
      <c r="AH374" s="3">
        <v>489</v>
      </c>
      <c r="AI374" s="3">
        <f>IF(ISERROR((VLOOKUP($A374,'SegEnds_NonXtal_BW#'!$A:$Z,24,FALSE)+VLOOKUP($A374,A:AL,34,FALSE)-50)),"-",(VLOOKUP($A374,'SegEnds_NonXtal_BW#'!$A:$Z,24,FALSE)+VLOOKUP($A374,A:AL,34,FALSE)-50))</f>
        <v>496</v>
      </c>
      <c r="AJ374" s="3">
        <f>IF(ISERROR(VLOOKUP($A374,'SegEnds_NonXtal_BW#'!$A:$Z,25,FALSE)+VLOOKUP($A374,A:AL,37,FALSE)-50),"-",(VLOOKUP($A374,'SegEnds_NonXtal_BW#'!$A:$Z,25,FALSE)+VLOOKUP($A374,A:AL,37,FALSE)-50))</f>
        <v>497</v>
      </c>
      <c r="AK374" s="3">
        <v>500</v>
      </c>
      <c r="AL374" s="3">
        <f>IF(ISERROR((VLOOKUP($A374,'SegEnds_NonXtal_BW#'!$A:$Z,26,FALSE)+VLOOKUP($A374,A:AL,37,FALSE)-50)),"-",(VLOOKUP($A374,'SegEnds_NonXtal_BW#'!$A:$Z,26,FALSE)+VLOOKUP($A374,A:AL,37,FALSE)-50))</f>
        <v>512</v>
      </c>
      <c r="AM374" s="28" t="str">
        <f>VLOOKUP(A374,Classification!A:B,2,FALSE)</f>
        <v>F</v>
      </c>
      <c r="AN374" s="28" t="b">
        <f t="shared" si="195"/>
        <v>1</v>
      </c>
      <c r="AO374" s="3" t="str">
        <f>IF(ISERROR(MATCH(A374,'SegEnds_Xtal_Prot#'!B:B, 0)), "NoXtal", "Xtal")</f>
        <v>NoXtal</v>
      </c>
      <c r="AP374" s="3">
        <f t="shared" si="180"/>
        <v>1</v>
      </c>
      <c r="AQ374" s="3">
        <f t="shared" si="181"/>
        <v>1</v>
      </c>
      <c r="AR374" s="3" t="str">
        <f t="shared" si="182"/>
        <v>-</v>
      </c>
      <c r="AS374" s="3" t="str">
        <f t="shared" si="183"/>
        <v>-</v>
      </c>
      <c r="AT374" s="3" t="str">
        <f t="shared" si="184"/>
        <v>-</v>
      </c>
      <c r="AU374" s="3" t="str">
        <f t="shared" si="185"/>
        <v>-</v>
      </c>
      <c r="AV374" s="3">
        <f t="shared" si="186"/>
        <v>12</v>
      </c>
      <c r="AW374" s="3">
        <f t="shared" si="187"/>
        <v>4</v>
      </c>
      <c r="AX374" s="3">
        <f t="shared" si="188"/>
        <v>7</v>
      </c>
      <c r="AY374" s="3">
        <f t="shared" si="189"/>
        <v>4</v>
      </c>
      <c r="AZ374" s="3">
        <f t="shared" si="190"/>
        <v>1</v>
      </c>
      <c r="BA374" s="3">
        <f>IF(ISERROR(LEN(VLOOKUP(A374,Seqs!A:E,2,FALSE))-AL374),"-",LEN(VLOOKUP(A374,Seqs!A:E,2,FALSE))-AL374)</f>
        <v>25</v>
      </c>
      <c r="BB374" s="16">
        <f t="shared" si="191"/>
        <v>26</v>
      </c>
      <c r="BC374" s="9" t="str">
        <f t="shared" si="192"/>
        <v>-</v>
      </c>
      <c r="BD374" s="3">
        <f t="shared" si="193"/>
        <v>26</v>
      </c>
      <c r="BE374" s="3">
        <f t="shared" si="194"/>
        <v>55</v>
      </c>
      <c r="BF374" s="3">
        <f>AH374-AE374</f>
        <v>36</v>
      </c>
    </row>
    <row r="375" spans="1:58" s="3" customFormat="1" x14ac:dyDescent="0.2">
      <c r="A375" s="3" t="s">
        <v>451</v>
      </c>
      <c r="B375" s="3" t="str">
        <f>LOWER(VLOOKUP(A375,Xtal_Templ!A:B,2,FALSE))</f>
        <v>smo_human</v>
      </c>
      <c r="C375" s="3">
        <f>VLOOKUP($A375,'SegEnds_NonXtal_BW#'!$A:$Z,3,FALSE)+D375-50</f>
        <v>228</v>
      </c>
      <c r="D375" s="3">
        <v>250</v>
      </c>
      <c r="E375" s="3">
        <f>IF(ISERROR(VLOOKUP($A375,'SegEnds_NonXtal_BW#'!$A:$Z,4,FALSE)+VLOOKUP($A375,A:AL,4,FALSE)-50),"-",(VLOOKUP($A375,'SegEnds_NonXtal_BW#'!$A:$Z,4,FALSE)+VLOOKUP($A375,A:AL,4,FALSE)-50))</f>
        <v>260</v>
      </c>
      <c r="F375" s="3">
        <f t="shared" si="197"/>
        <v>261</v>
      </c>
      <c r="G375" s="3">
        <v>264</v>
      </c>
      <c r="H375" s="3">
        <f t="shared" si="202"/>
        <v>265</v>
      </c>
      <c r="I375" s="3">
        <f t="shared" si="199"/>
        <v>266</v>
      </c>
      <c r="J375" s="3">
        <v>276</v>
      </c>
      <c r="K375" s="3">
        <f>VLOOKUP($A375,'SegEnds_NonXtal_BW#'!$A:$Z,8,FALSE)+VLOOKUP($A375,A:AL,10,FALSE)-50</f>
        <v>289</v>
      </c>
      <c r="L375" s="3" t="str">
        <f>IF(ISERROR(VLOOKUP($A375,'SegEnds_NonXtal_BW#'!$A:$Z,9,FALSE)+VLOOKUP($A375,A:AL,13,FALSE)-50),"-",(VLOOKUP($A375,'SegEnds_NonXtal_BW#'!$A:$Z,9,FALSE)+VLOOKUP($A375,A:AL,13,FALSE)-50))</f>
        <v>-</v>
      </c>
      <c r="M375" s="3" t="s">
        <v>23</v>
      </c>
      <c r="N375" s="3" t="str">
        <f>IF(ISERROR(VLOOKUP($A375,'SegEnds_NonXtal_BW#'!$A:$Z,10,FALSE)+VLOOKUP($A375,A:AL,13,FALSE)-50),"-",(VLOOKUP($A375,'SegEnds_NonXtal_BW#'!$A:$Z,10,FALSE)+VLOOKUP($A375,A:AL,13,FALSE)-50))</f>
        <v>-</v>
      </c>
      <c r="O375" s="3">
        <f>VLOOKUP($A375,'SegEnds_NonXtal_BW#'!$A:$Z,11,FALSE)+VLOOKUP($A375,A:AL,16,FALSE)-50</f>
        <v>313</v>
      </c>
      <c r="P375" s="3">
        <v>340</v>
      </c>
      <c r="Q375" s="3">
        <f>VLOOKUP($A375,'SegEnds_NonXtal_BW#'!$A:$Z,12,FALSE)+VLOOKUP($A375,A:AL,16,FALSE)-50</f>
        <v>349</v>
      </c>
      <c r="R375" s="3" t="str">
        <f>IF(ISERROR(VLOOKUP($A375,'SegEnds_NonXtal_BW#'!$A:$Z,13,FALSE)+VLOOKUP($A375,A:AL,19,FALSE)-50),"-",VLOOKUP($A375,'SegEnds_NonXtal_BW#'!$A:$Z,13,FALSE)+VLOOKUP($A375,A:AL,19,FALSE)-50)</f>
        <v>-</v>
      </c>
      <c r="S375" s="3" t="s">
        <v>23</v>
      </c>
      <c r="T375" s="100" t="str">
        <f>IF(ISERROR(VLOOKUP($A375,'SegEnds_NonXtal_BW#'!$A:$Z,14,FALSE)+VLOOKUP($A375,A:AL,19,FALSE)-50),"-",(VLOOKUP($A375,'SegEnds_NonXtal_BW#'!$A:$Z,14,FALSE)+VLOOKUP($A375,A:AL,19,FALSE)-50))</f>
        <v>-</v>
      </c>
      <c r="U375" s="9">
        <f>IF(ISERROR(VLOOKUP($A375,'SegEnds_NonXtal_BW#'!$A:$Z,15,FALSE)+VLOOKUP($A375,A:AL,22,FALSE)-50),"-",VLOOKUP($A375,'SegEnds_NonXtal_BW#'!$A:$Z,15,FALSE)+VLOOKUP($A375,A:AL,22,FALSE)-50)</f>
        <v>353</v>
      </c>
      <c r="V375" s="3">
        <v>365</v>
      </c>
      <c r="W375" s="3">
        <f>IF(ISERROR(VLOOKUP($A375,'SegEnds_NonXtal_BW#'!$A:$Z,16,FALSE)+VLOOKUP($A375,A:AL,22,FALSE)-50),"-",(VLOOKUP($A375,'SegEnds_NonXtal_BW#'!$A:$Z,16,FALSE)+VLOOKUP($A375,A:AL,22,FALSE)-50))</f>
        <v>378</v>
      </c>
      <c r="X375" s="3">
        <f>IF(ISERROR(VLOOKUP($A375,'SegEnds_NonXtal_BW#'!$A:$Z,17,FALSE)+VLOOKUP($A375,A:AL,25,FALSE)-50),"-",(VLOOKUP($A375,'SegEnds_NonXtal_BW#'!$A:$Z,17,FALSE)+VLOOKUP($A375,A:AL,25,FALSE)-50))</f>
        <v>390</v>
      </c>
      <c r="Y375" s="3">
        <v>390</v>
      </c>
      <c r="Z375" s="3">
        <f t="shared" si="201"/>
        <v>392</v>
      </c>
      <c r="AA375" s="3">
        <f>IF(ISERROR(VLOOKUP($A375,'SegEnds_NonXtal_BW#'!$A:$Z,19,FALSE)+VLOOKUP($A375,A:AL,28,FALSE)-50),"-",(VLOOKUP($A375,'SegEnds_NonXtal_BW#'!$A:$Z,19,FALSE)+VLOOKUP($A375,A:AL,28,FALSE)-50))</f>
        <v>396</v>
      </c>
      <c r="AB375" s="3">
        <v>411</v>
      </c>
      <c r="AC375" s="3">
        <f>IF(ISERROR((VLOOKUP($A375,'SegEnds_NonXtal_BW#'!$A:$Z,20,FALSE)+VLOOKUP($A375,A:AL,28,FALSE)-50)),"-",(VLOOKUP($A375,'SegEnds_NonXtal_BW#'!$A:$Z,20,FALSE)+VLOOKUP($A375,A:AL,28,FALSE)-50))</f>
        <v>433</v>
      </c>
      <c r="AD375" s="3">
        <f>IF(ISERROR(VLOOKUP($A375,'SegEnds_NonXtal_BW#'!$A:$Z,21,FALSE)+VLOOKUP($A375,A:AL,31,FALSE)-50),"-",(VLOOKUP($A375,'SegEnds_NonXtal_BW#'!$A:$Z,21,FALSE)+VLOOKUP($A375,A:AL,31,FALSE)-50))</f>
        <v>440</v>
      </c>
      <c r="AE375" s="3">
        <v>466</v>
      </c>
      <c r="AF375" s="3">
        <f>IF(ISERROR((VLOOKUP($A375,'SegEnds_NonXtal_BW#'!$A:$Z,22,FALSE)+VLOOKUP($A375,A:AL,31,FALSE)-50)),"-",(VLOOKUP($A375,'SegEnds_NonXtal_BW#'!$A:$Z,22,FALSE)+VLOOKUP($A375,A:AL,31,FALSE)-50))</f>
        <v>494</v>
      </c>
      <c r="AG375" s="3">
        <f>IF(ISERROR(VLOOKUP($A375,'SegEnds_NonXtal_BW#'!$A:$Z,23,FALSE)+VLOOKUP($A375,A:AL,34,FALSE)-50),"-",(VLOOKUP($A375,'SegEnds_NonXtal_BW#'!$A:$Z,23,FALSE)+VLOOKUP($A375,A:AL,34,FALSE)-50))</f>
        <v>499</v>
      </c>
      <c r="AH375" s="3">
        <v>515</v>
      </c>
      <c r="AI375" s="3">
        <f>IF(ISERROR((VLOOKUP($A375,'SegEnds_NonXtal_BW#'!$A:$Z,24,FALSE)+VLOOKUP($A375,A:AL,34,FALSE)-50)),"-",(VLOOKUP($A375,'SegEnds_NonXtal_BW#'!$A:$Z,24,FALSE)+VLOOKUP($A375,A:AL,34,FALSE)-50))</f>
        <v>522</v>
      </c>
      <c r="AJ375" s="3">
        <f>IF(ISERROR(VLOOKUP($A375,'SegEnds_NonXtal_BW#'!$A:$Z,25,FALSE)+VLOOKUP($A375,A:AL,37,FALSE)-50),"-",(VLOOKUP($A375,'SegEnds_NonXtal_BW#'!$A:$Z,25,FALSE)+VLOOKUP($A375,A:AL,37,FALSE)-50))</f>
        <v>523</v>
      </c>
      <c r="AK375" s="3">
        <v>526</v>
      </c>
      <c r="AL375" s="3">
        <f>IF(ISERROR((VLOOKUP($A375,'SegEnds_NonXtal_BW#'!$A:$Z,26,FALSE)+VLOOKUP($A375,A:AL,37,FALSE)-50)),"-",(VLOOKUP($A375,'SegEnds_NonXtal_BW#'!$A:$Z,26,FALSE)+VLOOKUP($A375,A:AL,37,FALSE)-50))</f>
        <v>538</v>
      </c>
      <c r="AM375" s="28" t="str">
        <f>VLOOKUP(A375,Classification!A:B,2,FALSE)</f>
        <v>F</v>
      </c>
      <c r="AN375" s="28" t="b">
        <f t="shared" si="195"/>
        <v>1</v>
      </c>
      <c r="AO375" s="3" t="str">
        <f>IF(ISERROR(MATCH(A375,'SegEnds_Xtal_Prot#'!B:B, 0)), "NoXtal", "Xtal")</f>
        <v>NoXtal</v>
      </c>
      <c r="AP375" s="3">
        <f t="shared" si="180"/>
        <v>1</v>
      </c>
      <c r="AQ375" s="3">
        <f t="shared" si="181"/>
        <v>1</v>
      </c>
      <c r="AR375" s="3" t="str">
        <f t="shared" si="182"/>
        <v>-</v>
      </c>
      <c r="AS375" s="3" t="str">
        <f t="shared" si="183"/>
        <v>-</v>
      </c>
      <c r="AT375" s="3" t="str">
        <f t="shared" si="184"/>
        <v>-</v>
      </c>
      <c r="AU375" s="3" t="str">
        <f t="shared" si="185"/>
        <v>-</v>
      </c>
      <c r="AV375" s="3">
        <f t="shared" si="186"/>
        <v>12</v>
      </c>
      <c r="AW375" s="3">
        <f t="shared" si="187"/>
        <v>4</v>
      </c>
      <c r="AX375" s="3">
        <f t="shared" si="188"/>
        <v>7</v>
      </c>
      <c r="AY375" s="3">
        <f t="shared" si="189"/>
        <v>5</v>
      </c>
      <c r="AZ375" s="3">
        <f t="shared" si="190"/>
        <v>1</v>
      </c>
      <c r="BA375" s="3">
        <f>IF(ISERROR(LEN(VLOOKUP(A375,Seqs!A:E,2,FALSE))-AL375),"-",LEN(VLOOKUP(A375,Seqs!A:E,2,FALSE))-AL375)</f>
        <v>47</v>
      </c>
      <c r="BB375" s="16">
        <f t="shared" si="191"/>
        <v>26</v>
      </c>
      <c r="BC375" s="9" t="str">
        <f t="shared" si="192"/>
        <v>-</v>
      </c>
      <c r="BD375" s="3">
        <f t="shared" si="193"/>
        <v>26</v>
      </c>
      <c r="BE375" s="3">
        <f t="shared" si="194"/>
        <v>55</v>
      </c>
    </row>
    <row r="376" spans="1:58" s="3" customFormat="1" x14ac:dyDescent="0.2">
      <c r="A376" s="3" t="s">
        <v>452</v>
      </c>
      <c r="B376" s="3" t="str">
        <f>LOWER(VLOOKUP(A376,Xtal_Templ!A:B,2,FALSE))</f>
        <v>smo_human</v>
      </c>
      <c r="C376" s="3">
        <f>VLOOKUP($A376,'SegEnds_NonXtal_BW#'!$A:$Z,3,FALSE)+D376-50</f>
        <v>191</v>
      </c>
      <c r="D376" s="3">
        <v>213</v>
      </c>
      <c r="E376" s="3">
        <f>IF(ISERROR(VLOOKUP($A376,'SegEnds_NonXtal_BW#'!$A:$Z,4,FALSE)+VLOOKUP($A376,A:AL,4,FALSE)-50),"-",(VLOOKUP($A376,'SegEnds_NonXtal_BW#'!$A:$Z,4,FALSE)+VLOOKUP($A376,A:AL,4,FALSE)-50))</f>
        <v>223</v>
      </c>
      <c r="F376" s="3">
        <f t="shared" si="197"/>
        <v>224</v>
      </c>
      <c r="G376" s="3">
        <v>227</v>
      </c>
      <c r="H376" s="3">
        <f t="shared" si="202"/>
        <v>228</v>
      </c>
      <c r="I376" s="3">
        <f t="shared" si="199"/>
        <v>229</v>
      </c>
      <c r="J376" s="3">
        <v>239</v>
      </c>
      <c r="K376" s="3">
        <f>VLOOKUP($A376,'SegEnds_NonXtal_BW#'!$A:$Z,8,FALSE)+VLOOKUP($A376,A:AL,10,FALSE)-50</f>
        <v>252</v>
      </c>
      <c r="L376" s="3" t="str">
        <f>IF(ISERROR(VLOOKUP($A376,'SegEnds_NonXtal_BW#'!$A:$Z,9,FALSE)+VLOOKUP($A376,A:AL,13,FALSE)-50),"-",(VLOOKUP($A376,'SegEnds_NonXtal_BW#'!$A:$Z,9,FALSE)+VLOOKUP($A376,A:AL,13,FALSE)-50))</f>
        <v>-</v>
      </c>
      <c r="M376" s="3" t="s">
        <v>23</v>
      </c>
      <c r="N376" s="3" t="str">
        <f>IF(ISERROR(VLOOKUP($A376,'SegEnds_NonXtal_BW#'!$A:$Z,10,FALSE)+VLOOKUP($A376,A:AL,13,FALSE)-50),"-",(VLOOKUP($A376,'SegEnds_NonXtal_BW#'!$A:$Z,10,FALSE)+VLOOKUP($A376,A:AL,13,FALSE)-50))</f>
        <v>-</v>
      </c>
      <c r="O376" s="3">
        <f>VLOOKUP($A376,'SegEnds_NonXtal_BW#'!$A:$Z,11,FALSE)+VLOOKUP($A376,A:AL,16,FALSE)-50</f>
        <v>280</v>
      </c>
      <c r="P376" s="3">
        <v>307</v>
      </c>
      <c r="Q376" s="3">
        <f>VLOOKUP($A376,'SegEnds_NonXtal_BW#'!$A:$Z,12,FALSE)+VLOOKUP($A376,A:AL,16,FALSE)-50</f>
        <v>316</v>
      </c>
      <c r="R376" s="3" t="str">
        <f>IF(ISERROR(VLOOKUP($A376,'SegEnds_NonXtal_BW#'!$A:$Z,13,FALSE)+VLOOKUP($A376,A:AL,19,FALSE)-50),"-",VLOOKUP($A376,'SegEnds_NonXtal_BW#'!$A:$Z,13,FALSE)+VLOOKUP($A376,A:AL,19,FALSE)-50)</f>
        <v>-</v>
      </c>
      <c r="S376" s="3" t="s">
        <v>23</v>
      </c>
      <c r="T376" s="100" t="str">
        <f>IF(ISERROR(VLOOKUP($A376,'SegEnds_NonXtal_BW#'!$A:$Z,14,FALSE)+VLOOKUP($A376,A:AL,19,FALSE)-50),"-",(VLOOKUP($A376,'SegEnds_NonXtal_BW#'!$A:$Z,14,FALSE)+VLOOKUP($A376,A:AL,19,FALSE)-50))</f>
        <v>-</v>
      </c>
      <c r="U376" s="9">
        <f>IF(ISERROR(VLOOKUP($A376,'SegEnds_NonXtal_BW#'!$A:$Z,15,FALSE)+VLOOKUP($A376,A:AL,22,FALSE)-50),"-",VLOOKUP($A376,'SegEnds_NonXtal_BW#'!$A:$Z,15,FALSE)+VLOOKUP($A376,A:AL,22,FALSE)-50)</f>
        <v>320</v>
      </c>
      <c r="V376" s="3">
        <v>332</v>
      </c>
      <c r="W376" s="3">
        <f>IF(ISERROR(VLOOKUP($A376,'SegEnds_NonXtal_BW#'!$A:$Z,16,FALSE)+VLOOKUP($A376,A:AL,22,FALSE)-50),"-",(VLOOKUP($A376,'SegEnds_NonXtal_BW#'!$A:$Z,16,FALSE)+VLOOKUP($A376,A:AL,22,FALSE)-50))</f>
        <v>345</v>
      </c>
      <c r="X376" s="3">
        <f>IF(ISERROR(VLOOKUP($A376,'SegEnds_NonXtal_BW#'!$A:$Z,17,FALSE)+VLOOKUP($A376,A:AL,25,FALSE)-50),"-",(VLOOKUP($A376,'SegEnds_NonXtal_BW#'!$A:$Z,17,FALSE)+VLOOKUP($A376,A:AL,25,FALSE)-50))</f>
        <v>357</v>
      </c>
      <c r="Y376" s="3">
        <v>357</v>
      </c>
      <c r="Z376" s="3">
        <f t="shared" si="201"/>
        <v>359</v>
      </c>
      <c r="AA376" s="3">
        <f>IF(ISERROR(VLOOKUP($A376,'SegEnds_NonXtal_BW#'!$A:$Z,19,FALSE)+VLOOKUP($A376,A:AL,28,FALSE)-50),"-",(VLOOKUP($A376,'SegEnds_NonXtal_BW#'!$A:$Z,19,FALSE)+VLOOKUP($A376,A:AL,28,FALSE)-50))</f>
        <v>363</v>
      </c>
      <c r="AB376" s="3">
        <v>378</v>
      </c>
      <c r="AC376" s="3">
        <f>IF(ISERROR((VLOOKUP($A376,'SegEnds_NonXtal_BW#'!$A:$Z,20,FALSE)+VLOOKUP($A376,A:AL,28,FALSE)-50)),"-",(VLOOKUP($A376,'SegEnds_NonXtal_BW#'!$A:$Z,20,FALSE)+VLOOKUP($A376,A:AL,28,FALSE)-50))</f>
        <v>400</v>
      </c>
      <c r="AD376" s="3">
        <f>IF(ISERROR(VLOOKUP($A376,'SegEnds_NonXtal_BW#'!$A:$Z,21,FALSE)+VLOOKUP($A376,A:AL,31,FALSE)-50),"-",(VLOOKUP($A376,'SegEnds_NonXtal_BW#'!$A:$Z,21,FALSE)+VLOOKUP($A376,A:AL,31,FALSE)-50))</f>
        <v>407</v>
      </c>
      <c r="AE376" s="3">
        <v>433</v>
      </c>
      <c r="AF376" s="3">
        <f>IF(ISERROR((VLOOKUP($A376,'SegEnds_NonXtal_BW#'!$A:$Z,22,FALSE)+VLOOKUP($A376,A:AL,31,FALSE)-50)),"-",(VLOOKUP($A376,'SegEnds_NonXtal_BW#'!$A:$Z,22,FALSE)+VLOOKUP($A376,A:AL,31,FALSE)-50))</f>
        <v>461</v>
      </c>
      <c r="AG376" s="3">
        <f>IF(ISERROR(VLOOKUP($A376,'SegEnds_NonXtal_BW#'!$A:$Z,23,FALSE)+VLOOKUP($A376,A:AL,34,FALSE)-50),"-",(VLOOKUP($A376,'SegEnds_NonXtal_BW#'!$A:$Z,23,FALSE)+VLOOKUP($A376,A:AL,34,FALSE)-50))</f>
        <v>472</v>
      </c>
      <c r="AH376" s="3">
        <v>488</v>
      </c>
      <c r="AI376" s="3">
        <f>IF(ISERROR((VLOOKUP($A376,'SegEnds_NonXtal_BW#'!$A:$Z,24,FALSE)+VLOOKUP($A376,A:AL,34,FALSE)-50)),"-",(VLOOKUP($A376,'SegEnds_NonXtal_BW#'!$A:$Z,24,FALSE)+VLOOKUP($A376,A:AL,34,FALSE)-50))</f>
        <v>495</v>
      </c>
      <c r="AJ376" s="3">
        <f>IF(ISERROR(VLOOKUP($A376,'SegEnds_NonXtal_BW#'!$A:$Z,25,FALSE)+VLOOKUP($A376,A:AL,37,FALSE)-50),"-",(VLOOKUP($A376,'SegEnds_NonXtal_BW#'!$A:$Z,25,FALSE)+VLOOKUP($A376,A:AL,37,FALSE)-50))</f>
        <v>496</v>
      </c>
      <c r="AK376" s="3">
        <v>499</v>
      </c>
      <c r="AL376" s="3">
        <f>IF(ISERROR((VLOOKUP($A376,'SegEnds_NonXtal_BW#'!$A:$Z,26,FALSE)+VLOOKUP($A376,A:AL,37,FALSE)-50)),"-",(VLOOKUP($A376,'SegEnds_NonXtal_BW#'!$A:$Z,26,FALSE)+VLOOKUP($A376,A:AL,37,FALSE)-50))</f>
        <v>511</v>
      </c>
      <c r="AM376" s="28" t="str">
        <f>VLOOKUP(A376,Classification!A:B,2,FALSE)</f>
        <v>F</v>
      </c>
      <c r="AN376" s="28" t="b">
        <f t="shared" si="195"/>
        <v>1</v>
      </c>
      <c r="AO376" s="3" t="str">
        <f>IF(ISERROR(MATCH(A376,'SegEnds_Xtal_Prot#'!B:B, 0)), "NoXtal", "Xtal")</f>
        <v>NoXtal</v>
      </c>
      <c r="AP376" s="3">
        <f t="shared" si="180"/>
        <v>1</v>
      </c>
      <c r="AQ376" s="3">
        <f t="shared" si="181"/>
        <v>1</v>
      </c>
      <c r="AR376" s="3" t="str">
        <f t="shared" si="182"/>
        <v>-</v>
      </c>
      <c r="AS376" s="3" t="str">
        <f t="shared" si="183"/>
        <v>-</v>
      </c>
      <c r="AT376" s="3" t="str">
        <f t="shared" si="184"/>
        <v>-</v>
      </c>
      <c r="AU376" s="3" t="str">
        <f t="shared" si="185"/>
        <v>-</v>
      </c>
      <c r="AV376" s="3">
        <f t="shared" si="186"/>
        <v>12</v>
      </c>
      <c r="AW376" s="3">
        <f t="shared" si="187"/>
        <v>4</v>
      </c>
      <c r="AX376" s="3">
        <f t="shared" si="188"/>
        <v>7</v>
      </c>
      <c r="AY376" s="3">
        <f t="shared" si="189"/>
        <v>11</v>
      </c>
      <c r="AZ376" s="3">
        <f t="shared" si="190"/>
        <v>1</v>
      </c>
      <c r="BA376" s="3">
        <f>IF(ISERROR(LEN(VLOOKUP(A376,Seqs!A:E,2,FALSE))-AL376),"-",LEN(VLOOKUP(A376,Seqs!A:E,2,FALSE))-AL376)</f>
        <v>195</v>
      </c>
      <c r="BB376" s="16">
        <f t="shared" si="191"/>
        <v>26</v>
      </c>
      <c r="BC376" s="9" t="str">
        <f t="shared" si="192"/>
        <v>-</v>
      </c>
      <c r="BD376" s="3">
        <f t="shared" si="193"/>
        <v>26</v>
      </c>
      <c r="BE376" s="3">
        <f t="shared" si="194"/>
        <v>55</v>
      </c>
    </row>
    <row r="377" spans="1:58" s="3" customFormat="1" x14ac:dyDescent="0.2">
      <c r="A377" s="3" t="s">
        <v>453</v>
      </c>
      <c r="B377" s="3" t="str">
        <f>LOWER(VLOOKUP(A377,Xtal_Templ!A:B,2,FALSE))</f>
        <v>smo_human</v>
      </c>
      <c r="C377" s="3">
        <f>VLOOKUP($A377,'SegEnds_NonXtal_BW#'!$A:$Z,3,FALSE)+D377-50</f>
        <v>246</v>
      </c>
      <c r="D377" s="3">
        <v>268</v>
      </c>
      <c r="E377" s="3">
        <f>IF(ISERROR(VLOOKUP($A377,'SegEnds_NonXtal_BW#'!$A:$Z,4,FALSE)+VLOOKUP($A377,A:AL,4,FALSE)-50),"-",(VLOOKUP($A377,'SegEnds_NonXtal_BW#'!$A:$Z,4,FALSE)+VLOOKUP($A377,A:AL,4,FALSE)-50))</f>
        <v>278</v>
      </c>
      <c r="F377" s="3">
        <f t="shared" si="197"/>
        <v>279</v>
      </c>
      <c r="G377" s="3">
        <v>282</v>
      </c>
      <c r="H377" s="3">
        <f t="shared" si="202"/>
        <v>283</v>
      </c>
      <c r="I377" s="3">
        <f t="shared" si="199"/>
        <v>284</v>
      </c>
      <c r="J377" s="3">
        <v>294</v>
      </c>
      <c r="K377" s="3">
        <f>VLOOKUP($A377,'SegEnds_NonXtal_BW#'!$A:$Z,8,FALSE)+VLOOKUP($A377,A:AL,10,FALSE)-50</f>
        <v>307</v>
      </c>
      <c r="L377" s="3" t="str">
        <f>IF(ISERROR(VLOOKUP($A377,'SegEnds_NonXtal_BW#'!$A:$Z,9,FALSE)+VLOOKUP($A377,A:AL,13,FALSE)-50),"-",(VLOOKUP($A377,'SegEnds_NonXtal_BW#'!$A:$Z,9,FALSE)+VLOOKUP($A377,A:AL,13,FALSE)-50))</f>
        <v>-</v>
      </c>
      <c r="M377" s="3" t="s">
        <v>23</v>
      </c>
      <c r="N377" s="3" t="str">
        <f>IF(ISERROR(VLOOKUP($A377,'SegEnds_NonXtal_BW#'!$A:$Z,10,FALSE)+VLOOKUP($A377,A:AL,13,FALSE)-50),"-",(VLOOKUP($A377,'SegEnds_NonXtal_BW#'!$A:$Z,10,FALSE)+VLOOKUP($A377,A:AL,13,FALSE)-50))</f>
        <v>-</v>
      </c>
      <c r="O377" s="3">
        <f>VLOOKUP($A377,'SegEnds_NonXtal_BW#'!$A:$Z,11,FALSE)+VLOOKUP($A377,A:AL,16,FALSE)-50</f>
        <v>334</v>
      </c>
      <c r="P377" s="3">
        <v>361</v>
      </c>
      <c r="Q377" s="3">
        <f>VLOOKUP($A377,'SegEnds_NonXtal_BW#'!$A:$Z,12,FALSE)+VLOOKUP($A377,A:AL,16,FALSE)-50</f>
        <v>370</v>
      </c>
      <c r="R377" s="3" t="str">
        <f>IF(ISERROR(VLOOKUP($A377,'SegEnds_NonXtal_BW#'!$A:$Z,13,FALSE)+VLOOKUP($A377,A:AL,19,FALSE)-50),"-",VLOOKUP($A377,'SegEnds_NonXtal_BW#'!$A:$Z,13,FALSE)+VLOOKUP($A377,A:AL,19,FALSE)-50)</f>
        <v>-</v>
      </c>
      <c r="S377" s="3" t="s">
        <v>23</v>
      </c>
      <c r="T377" s="100" t="str">
        <f>IF(ISERROR(VLOOKUP($A377,'SegEnds_NonXtal_BW#'!$A:$Z,14,FALSE)+VLOOKUP($A377,A:AL,19,FALSE)-50),"-",(VLOOKUP($A377,'SegEnds_NonXtal_BW#'!$A:$Z,14,FALSE)+VLOOKUP($A377,A:AL,19,FALSE)-50))</f>
        <v>-</v>
      </c>
      <c r="U377" s="9">
        <f>IF(ISERROR(VLOOKUP($A377,'SegEnds_NonXtal_BW#'!$A:$Z,15,FALSE)+VLOOKUP($A377,A:AL,22,FALSE)-50),"-",VLOOKUP($A377,'SegEnds_NonXtal_BW#'!$A:$Z,15,FALSE)+VLOOKUP($A377,A:AL,22,FALSE)-50)</f>
        <v>374</v>
      </c>
      <c r="V377" s="3">
        <v>386</v>
      </c>
      <c r="W377" s="3">
        <f>IF(ISERROR(VLOOKUP($A377,'SegEnds_NonXtal_BW#'!$A:$Z,16,FALSE)+VLOOKUP($A377,A:AL,22,FALSE)-50),"-",(VLOOKUP($A377,'SegEnds_NonXtal_BW#'!$A:$Z,16,FALSE)+VLOOKUP($A377,A:AL,22,FALSE)-50))</f>
        <v>399</v>
      </c>
      <c r="X377" s="3">
        <f>IF(ISERROR(VLOOKUP($A377,'SegEnds_NonXtal_BW#'!$A:$Z,17,FALSE)+VLOOKUP($A377,A:AL,25,FALSE)-50),"-",(VLOOKUP($A377,'SegEnds_NonXtal_BW#'!$A:$Z,17,FALSE)+VLOOKUP($A377,A:AL,25,FALSE)-50))</f>
        <v>411</v>
      </c>
      <c r="Y377" s="3">
        <v>411</v>
      </c>
      <c r="Z377" s="3">
        <f t="shared" si="201"/>
        <v>413</v>
      </c>
      <c r="AA377" s="3">
        <f>IF(ISERROR(VLOOKUP($A377,'SegEnds_NonXtal_BW#'!$A:$Z,19,FALSE)+VLOOKUP($A377,A:AL,28,FALSE)-50),"-",(VLOOKUP($A377,'SegEnds_NonXtal_BW#'!$A:$Z,19,FALSE)+VLOOKUP($A377,A:AL,28,FALSE)-50))</f>
        <v>417</v>
      </c>
      <c r="AB377" s="3">
        <v>432</v>
      </c>
      <c r="AC377" s="3">
        <f>IF(ISERROR((VLOOKUP($A377,'SegEnds_NonXtal_BW#'!$A:$Z,20,FALSE)+VLOOKUP($A377,A:AL,28,FALSE)-50)),"-",(VLOOKUP($A377,'SegEnds_NonXtal_BW#'!$A:$Z,20,FALSE)+VLOOKUP($A377,A:AL,28,FALSE)-50))</f>
        <v>454</v>
      </c>
      <c r="AD377" s="3">
        <f>IF(ISERROR(VLOOKUP($A377,'SegEnds_NonXtal_BW#'!$A:$Z,21,FALSE)+VLOOKUP($A377,A:AL,31,FALSE)-50),"-",(VLOOKUP($A377,'SegEnds_NonXtal_BW#'!$A:$Z,21,FALSE)+VLOOKUP($A377,A:AL,31,FALSE)-50))</f>
        <v>461</v>
      </c>
      <c r="AE377" s="3">
        <v>487</v>
      </c>
      <c r="AF377" s="3">
        <f>IF(ISERROR((VLOOKUP($A377,'SegEnds_NonXtal_BW#'!$A:$Z,22,FALSE)+VLOOKUP($A377,A:AL,31,FALSE)-50)),"-",(VLOOKUP($A377,'SegEnds_NonXtal_BW#'!$A:$Z,22,FALSE)+VLOOKUP($A377,A:AL,31,FALSE)-50))</f>
        <v>515</v>
      </c>
      <c r="AG377" s="3">
        <f>IF(ISERROR(VLOOKUP($A377,'SegEnds_NonXtal_BW#'!$A:$Z,23,FALSE)+VLOOKUP($A377,A:AL,34,FALSE)-50),"-",(VLOOKUP($A377,'SegEnds_NonXtal_BW#'!$A:$Z,23,FALSE)+VLOOKUP($A377,A:AL,34,FALSE)-50))</f>
        <v>526</v>
      </c>
      <c r="AH377" s="3">
        <v>542</v>
      </c>
      <c r="AI377" s="3">
        <f>IF(ISERROR((VLOOKUP($A377,'SegEnds_NonXtal_BW#'!$A:$Z,24,FALSE)+VLOOKUP($A377,A:AL,34,FALSE)-50)),"-",(VLOOKUP($A377,'SegEnds_NonXtal_BW#'!$A:$Z,24,FALSE)+VLOOKUP($A377,A:AL,34,FALSE)-50))</f>
        <v>549</v>
      </c>
      <c r="AJ377" s="3">
        <f>IF(ISERROR(VLOOKUP($A377,'SegEnds_NonXtal_BW#'!$A:$Z,25,FALSE)+VLOOKUP($A377,A:AL,37,FALSE)-50),"-",(VLOOKUP($A377,'SegEnds_NonXtal_BW#'!$A:$Z,25,FALSE)+VLOOKUP($A377,A:AL,37,FALSE)-50))</f>
        <v>550</v>
      </c>
      <c r="AK377" s="3">
        <v>553</v>
      </c>
      <c r="AL377" s="3">
        <f>IF(ISERROR((VLOOKUP($A377,'SegEnds_NonXtal_BW#'!$A:$Z,26,FALSE)+VLOOKUP($A377,A:AL,37,FALSE)-50)),"-",(VLOOKUP($A377,'SegEnds_NonXtal_BW#'!$A:$Z,26,FALSE)+VLOOKUP($A377,A:AL,37,FALSE)-50))</f>
        <v>565</v>
      </c>
      <c r="AM377" s="28" t="str">
        <f>VLOOKUP(A377,Classification!A:B,2,FALSE)</f>
        <v>F</v>
      </c>
      <c r="AN377" s="28" t="b">
        <f t="shared" si="195"/>
        <v>1</v>
      </c>
      <c r="AO377" s="3" t="str">
        <f>IF(ISERROR(MATCH(A377,'SegEnds_Xtal_Prot#'!B:B, 0)), "NoXtal", "Xtal")</f>
        <v>NoXtal</v>
      </c>
      <c r="AP377" s="3">
        <f t="shared" si="180"/>
        <v>1</v>
      </c>
      <c r="AQ377" s="3">
        <f t="shared" si="181"/>
        <v>1</v>
      </c>
      <c r="AR377" s="3" t="str">
        <f t="shared" si="182"/>
        <v>-</v>
      </c>
      <c r="AS377" s="3" t="str">
        <f t="shared" si="183"/>
        <v>-</v>
      </c>
      <c r="AT377" s="3" t="str">
        <f t="shared" si="184"/>
        <v>-</v>
      </c>
      <c r="AU377" s="3" t="str">
        <f t="shared" si="185"/>
        <v>-</v>
      </c>
      <c r="AV377" s="3">
        <f t="shared" si="186"/>
        <v>12</v>
      </c>
      <c r="AW377" s="3">
        <f t="shared" si="187"/>
        <v>4</v>
      </c>
      <c r="AX377" s="3">
        <f t="shared" si="188"/>
        <v>7</v>
      </c>
      <c r="AY377" s="3">
        <f t="shared" si="189"/>
        <v>11</v>
      </c>
      <c r="AZ377" s="3">
        <f t="shared" si="190"/>
        <v>1</v>
      </c>
      <c r="BA377" s="3">
        <f>IF(ISERROR(LEN(VLOOKUP(A377,Seqs!A:E,2,FALSE))-AL377),"-",LEN(VLOOKUP(A377,Seqs!A:E,2,FALSE))-AL377)</f>
        <v>9</v>
      </c>
      <c r="BB377" s="16">
        <f t="shared" si="191"/>
        <v>26</v>
      </c>
      <c r="BC377" s="9" t="str">
        <f t="shared" si="192"/>
        <v>-</v>
      </c>
      <c r="BD377" s="3">
        <f t="shared" si="193"/>
        <v>26</v>
      </c>
      <c r="BE377" s="3">
        <f t="shared" si="194"/>
        <v>55</v>
      </c>
      <c r="BF377" s="3">
        <f>AH377-AE377</f>
        <v>55</v>
      </c>
    </row>
    <row r="378" spans="1:58" s="3" customFormat="1" x14ac:dyDescent="0.2">
      <c r="A378" s="3" t="s">
        <v>454</v>
      </c>
      <c r="B378" s="3" t="str">
        <f>LOWER(VLOOKUP(A378,Xtal_Templ!A:B,2,FALSE))</f>
        <v>smo_human</v>
      </c>
      <c r="C378" s="3">
        <f>VLOOKUP($A378,'SegEnds_NonXtal_BW#'!$A:$Z,3,FALSE)+D378-50</f>
        <v>270</v>
      </c>
      <c r="D378" s="3">
        <v>292</v>
      </c>
      <c r="E378" s="3">
        <f>IF(ISERROR(VLOOKUP($A378,'SegEnds_NonXtal_BW#'!$A:$Z,4,FALSE)+VLOOKUP($A378,A:AL,4,FALSE)-50),"-",(VLOOKUP($A378,'SegEnds_NonXtal_BW#'!$A:$Z,4,FALSE)+VLOOKUP($A378,A:AL,4,FALSE)-50))</f>
        <v>302</v>
      </c>
      <c r="F378" s="3">
        <f t="shared" si="197"/>
        <v>303</v>
      </c>
      <c r="G378" s="3">
        <v>306</v>
      </c>
      <c r="H378" s="3">
        <f t="shared" si="202"/>
        <v>307</v>
      </c>
      <c r="I378" s="3">
        <f t="shared" si="199"/>
        <v>308</v>
      </c>
      <c r="J378" s="3">
        <v>318</v>
      </c>
      <c r="K378" s="3">
        <f>VLOOKUP($A378,'SegEnds_NonXtal_BW#'!$A:$Z,8,FALSE)+VLOOKUP($A378,A:AL,10,FALSE)-50</f>
        <v>331</v>
      </c>
      <c r="L378" s="3" t="str">
        <f>IF(ISERROR(VLOOKUP($A378,'SegEnds_NonXtal_BW#'!$A:$Z,9,FALSE)+VLOOKUP($A378,A:AL,13,FALSE)-50),"-",(VLOOKUP($A378,'SegEnds_NonXtal_BW#'!$A:$Z,9,FALSE)+VLOOKUP($A378,A:AL,13,FALSE)-50))</f>
        <v>-</v>
      </c>
      <c r="M378" s="3" t="s">
        <v>23</v>
      </c>
      <c r="N378" s="3" t="str">
        <f>IF(ISERROR(VLOOKUP($A378,'SegEnds_NonXtal_BW#'!$A:$Z,10,FALSE)+VLOOKUP($A378,A:AL,13,FALSE)-50),"-",(VLOOKUP($A378,'SegEnds_NonXtal_BW#'!$A:$Z,10,FALSE)+VLOOKUP($A378,A:AL,13,FALSE)-50))</f>
        <v>-</v>
      </c>
      <c r="O378" s="3">
        <f>VLOOKUP($A378,'SegEnds_NonXtal_BW#'!$A:$Z,11,FALSE)+VLOOKUP($A378,A:AL,16,FALSE)-50</f>
        <v>394</v>
      </c>
      <c r="P378" s="3">
        <v>421</v>
      </c>
      <c r="Q378" s="3">
        <f>VLOOKUP($A378,'SegEnds_NonXtal_BW#'!$A:$Z,12,FALSE)+VLOOKUP($A378,A:AL,16,FALSE)-50</f>
        <v>430</v>
      </c>
      <c r="R378" s="3" t="str">
        <f>IF(ISERROR(VLOOKUP($A378,'SegEnds_NonXtal_BW#'!$A:$Z,13,FALSE)+VLOOKUP($A378,A:AL,19,FALSE)-50),"-",VLOOKUP($A378,'SegEnds_NonXtal_BW#'!$A:$Z,13,FALSE)+VLOOKUP($A378,A:AL,19,FALSE)-50)</f>
        <v>-</v>
      </c>
      <c r="S378" s="3" t="s">
        <v>23</v>
      </c>
      <c r="T378" s="100" t="str">
        <f>IF(ISERROR(VLOOKUP($A378,'SegEnds_NonXtal_BW#'!$A:$Z,14,FALSE)+VLOOKUP($A378,A:AL,19,FALSE)-50),"-",(VLOOKUP($A378,'SegEnds_NonXtal_BW#'!$A:$Z,14,FALSE)+VLOOKUP($A378,A:AL,19,FALSE)-50))</f>
        <v>-</v>
      </c>
      <c r="U378" s="9">
        <f>IF(ISERROR(VLOOKUP($A378,'SegEnds_NonXtal_BW#'!$A:$Z,15,FALSE)+VLOOKUP($A378,A:AL,22,FALSE)-50),"-",VLOOKUP($A378,'SegEnds_NonXtal_BW#'!$A:$Z,15,FALSE)+VLOOKUP($A378,A:AL,22,FALSE)-50)</f>
        <v>434</v>
      </c>
      <c r="V378" s="3">
        <v>446</v>
      </c>
      <c r="W378" s="3">
        <f>IF(ISERROR(VLOOKUP($A378,'SegEnds_NonXtal_BW#'!$A:$Z,16,FALSE)+VLOOKUP($A378,A:AL,22,FALSE)-50),"-",(VLOOKUP($A378,'SegEnds_NonXtal_BW#'!$A:$Z,16,FALSE)+VLOOKUP($A378,A:AL,22,FALSE)-50))</f>
        <v>459</v>
      </c>
      <c r="X378" s="3">
        <f>IF(ISERROR(VLOOKUP($A378,'SegEnds_NonXtal_BW#'!$A:$Z,17,FALSE)+VLOOKUP($A378,A:AL,25,FALSE)-50),"-",(VLOOKUP($A378,'SegEnds_NonXtal_BW#'!$A:$Z,17,FALSE)+VLOOKUP($A378,A:AL,25,FALSE)-50))</f>
        <v>471</v>
      </c>
      <c r="Y378" s="3">
        <v>471</v>
      </c>
      <c r="Z378" s="3">
        <f t="shared" si="201"/>
        <v>473</v>
      </c>
      <c r="AA378" s="3">
        <f>IF(ISERROR(VLOOKUP($A378,'SegEnds_NonXtal_BW#'!$A:$Z,19,FALSE)+VLOOKUP($A378,A:AL,28,FALSE)-50),"-",(VLOOKUP($A378,'SegEnds_NonXtal_BW#'!$A:$Z,19,FALSE)+VLOOKUP($A378,A:AL,28,FALSE)-50))</f>
        <v>477</v>
      </c>
      <c r="AB378" s="3">
        <v>492</v>
      </c>
      <c r="AC378" s="3">
        <f>IF(ISERROR((VLOOKUP($A378,'SegEnds_NonXtal_BW#'!$A:$Z,20,FALSE)+VLOOKUP($A378,A:AL,28,FALSE)-50)),"-",(VLOOKUP($A378,'SegEnds_NonXtal_BW#'!$A:$Z,20,FALSE)+VLOOKUP($A378,A:AL,28,FALSE)-50))</f>
        <v>514</v>
      </c>
      <c r="AD378" s="3">
        <f>IF(ISERROR(VLOOKUP($A378,'SegEnds_NonXtal_BW#'!$A:$Z,21,FALSE)+VLOOKUP($A378,A:AL,31,FALSE)-50),"-",(VLOOKUP($A378,'SegEnds_NonXtal_BW#'!$A:$Z,21,FALSE)+VLOOKUP($A378,A:AL,31,FALSE)-50))</f>
        <v>523</v>
      </c>
      <c r="AE378" s="3">
        <v>549</v>
      </c>
      <c r="AF378" s="3">
        <f>IF(ISERROR((VLOOKUP($A378,'SegEnds_NonXtal_BW#'!$A:$Z,22,FALSE)+VLOOKUP($A378,A:AL,31,FALSE)-50)),"-",(VLOOKUP($A378,'SegEnds_NonXtal_BW#'!$A:$Z,22,FALSE)+VLOOKUP($A378,A:AL,31,FALSE)-50))</f>
        <v>577</v>
      </c>
      <c r="AG378" s="3">
        <f>IF(ISERROR(VLOOKUP($A378,'SegEnds_NonXtal_BW#'!$A:$Z,23,FALSE)+VLOOKUP($A378,A:AL,34,FALSE)-50),"-",(VLOOKUP($A378,'SegEnds_NonXtal_BW#'!$A:$Z,23,FALSE)+VLOOKUP($A378,A:AL,34,FALSE)-50))</f>
        <v>582</v>
      </c>
      <c r="AH378" s="3">
        <v>598</v>
      </c>
      <c r="AI378" s="3">
        <f>IF(ISERROR((VLOOKUP($A378,'SegEnds_NonXtal_BW#'!$A:$Z,24,FALSE)+VLOOKUP($A378,A:AL,34,FALSE)-50)),"-",(VLOOKUP($A378,'SegEnds_NonXtal_BW#'!$A:$Z,24,FALSE)+VLOOKUP($A378,A:AL,34,FALSE)-50))</f>
        <v>605</v>
      </c>
      <c r="AJ378" s="3">
        <f>IF(ISERROR(VLOOKUP($A378,'SegEnds_NonXtal_BW#'!$A:$Z,25,FALSE)+VLOOKUP($A378,A:AL,37,FALSE)-50),"-",(VLOOKUP($A378,'SegEnds_NonXtal_BW#'!$A:$Z,25,FALSE)+VLOOKUP($A378,A:AL,37,FALSE)-50))</f>
        <v>606</v>
      </c>
      <c r="AK378" s="3">
        <v>609</v>
      </c>
      <c r="AL378" s="3">
        <f>IF(ISERROR((VLOOKUP($A378,'SegEnds_NonXtal_BW#'!$A:$Z,26,FALSE)+VLOOKUP($A378,A:AL,37,FALSE)-50)),"-",(VLOOKUP($A378,'SegEnds_NonXtal_BW#'!$A:$Z,26,FALSE)+VLOOKUP($A378,A:AL,37,FALSE)-50))</f>
        <v>621</v>
      </c>
      <c r="AM378" s="28" t="str">
        <f>VLOOKUP(A378,Classification!A:B,2,FALSE)</f>
        <v>F</v>
      </c>
      <c r="AN378" s="28" t="b">
        <f t="shared" si="195"/>
        <v>1</v>
      </c>
      <c r="AO378" s="3" t="str">
        <f>IF(ISERROR(MATCH(A378,'SegEnds_Xtal_Prot#'!B:B, 0)), "NoXtal", "Xtal")</f>
        <v>NoXtal</v>
      </c>
      <c r="AP378" s="3">
        <f t="shared" si="180"/>
        <v>1</v>
      </c>
      <c r="AQ378" s="3">
        <f t="shared" si="181"/>
        <v>1</v>
      </c>
      <c r="AR378" s="3" t="str">
        <f t="shared" si="182"/>
        <v>-</v>
      </c>
      <c r="AS378" s="3" t="str">
        <f t="shared" si="183"/>
        <v>-</v>
      </c>
      <c r="AT378" s="3" t="str">
        <f t="shared" si="184"/>
        <v>-</v>
      </c>
      <c r="AU378" s="3" t="str">
        <f t="shared" si="185"/>
        <v>-</v>
      </c>
      <c r="AV378" s="3">
        <f t="shared" si="186"/>
        <v>12</v>
      </c>
      <c r="AW378" s="3">
        <f t="shared" si="187"/>
        <v>4</v>
      </c>
      <c r="AX378" s="3">
        <f t="shared" si="188"/>
        <v>9</v>
      </c>
      <c r="AY378" s="3">
        <f t="shared" si="189"/>
        <v>5</v>
      </c>
      <c r="AZ378" s="3">
        <f t="shared" si="190"/>
        <v>1</v>
      </c>
      <c r="BA378" s="3">
        <f>IF(ISERROR(LEN(VLOOKUP(A378,Seqs!A:E,2,FALSE))-AL378),"-",LEN(VLOOKUP(A378,Seqs!A:E,2,FALSE))-AL378)</f>
        <v>73</v>
      </c>
      <c r="BB378" s="16">
        <f t="shared" si="191"/>
        <v>26</v>
      </c>
      <c r="BC378" s="9" t="str">
        <f t="shared" si="192"/>
        <v>-</v>
      </c>
      <c r="BD378" s="3">
        <f t="shared" si="193"/>
        <v>26</v>
      </c>
      <c r="BE378" s="3">
        <f t="shared" si="194"/>
        <v>57</v>
      </c>
    </row>
    <row r="379" spans="1:58" s="3" customFormat="1" x14ac:dyDescent="0.2">
      <c r="A379" s="3" t="s">
        <v>455</v>
      </c>
      <c r="B379" s="3" t="str">
        <f>LOWER(VLOOKUP(A379,Xtal_Templ!A:B,2,FALSE))</f>
        <v>smo_human</v>
      </c>
      <c r="C379" s="3">
        <f>VLOOKUP($A379,'SegEnds_NonXtal_BW#'!$A:$Z,3,FALSE)+D379-50</f>
        <v>224</v>
      </c>
      <c r="D379" s="3">
        <v>246</v>
      </c>
      <c r="E379" s="3">
        <f>IF(ISERROR(VLOOKUP($A379,'SegEnds_NonXtal_BW#'!$A:$Z,4,FALSE)+VLOOKUP($A379,A:AL,4,FALSE)-50),"-",(VLOOKUP($A379,'SegEnds_NonXtal_BW#'!$A:$Z,4,FALSE)+VLOOKUP($A379,A:AL,4,FALSE)-50))</f>
        <v>256</v>
      </c>
      <c r="F379" s="3">
        <f t="shared" si="197"/>
        <v>257</v>
      </c>
      <c r="G379" s="3">
        <v>260</v>
      </c>
      <c r="H379" s="3">
        <f t="shared" si="202"/>
        <v>261</v>
      </c>
      <c r="I379" s="3">
        <f t="shared" si="199"/>
        <v>262</v>
      </c>
      <c r="J379" s="3">
        <v>272</v>
      </c>
      <c r="K379" s="3">
        <f>VLOOKUP($A379,'SegEnds_NonXtal_BW#'!$A:$Z,8,FALSE)+VLOOKUP($A379,A:AL,10,FALSE)-50</f>
        <v>285</v>
      </c>
      <c r="L379" s="3" t="str">
        <f>IF(ISERROR(VLOOKUP($A379,'SegEnds_NonXtal_BW#'!$A:$Z,9,FALSE)+VLOOKUP($A379,A:AL,13,FALSE)-50),"-",(VLOOKUP($A379,'SegEnds_NonXtal_BW#'!$A:$Z,9,FALSE)+VLOOKUP($A379,A:AL,13,FALSE)-50))</f>
        <v>-</v>
      </c>
      <c r="M379" s="3" t="s">
        <v>23</v>
      </c>
      <c r="N379" s="3" t="str">
        <f>IF(ISERROR(VLOOKUP($A379,'SegEnds_NonXtal_BW#'!$A:$Z,10,FALSE)+VLOOKUP($A379,A:AL,13,FALSE)-50),"-",(VLOOKUP($A379,'SegEnds_NonXtal_BW#'!$A:$Z,10,FALSE)+VLOOKUP($A379,A:AL,13,FALSE)-50))</f>
        <v>-</v>
      </c>
      <c r="O379" s="3">
        <f>VLOOKUP($A379,'SegEnds_NonXtal_BW#'!$A:$Z,11,FALSE)+VLOOKUP($A379,A:AL,16,FALSE)-50</f>
        <v>311</v>
      </c>
      <c r="P379" s="3">
        <v>338</v>
      </c>
      <c r="Q379" s="3">
        <f>VLOOKUP($A379,'SegEnds_NonXtal_BW#'!$A:$Z,12,FALSE)+VLOOKUP($A379,A:AL,16,FALSE)-50</f>
        <v>347</v>
      </c>
      <c r="R379" s="3" t="str">
        <f>IF(ISERROR(VLOOKUP($A379,'SegEnds_NonXtal_BW#'!$A:$Z,13,FALSE)+VLOOKUP($A379,A:AL,19,FALSE)-50),"-",VLOOKUP($A379,'SegEnds_NonXtal_BW#'!$A:$Z,13,FALSE)+VLOOKUP($A379,A:AL,19,FALSE)-50)</f>
        <v>-</v>
      </c>
      <c r="S379" s="3" t="s">
        <v>23</v>
      </c>
      <c r="T379" s="100" t="str">
        <f>IF(ISERROR(VLOOKUP($A379,'SegEnds_NonXtal_BW#'!$A:$Z,14,FALSE)+VLOOKUP($A379,A:AL,19,FALSE)-50),"-",(VLOOKUP($A379,'SegEnds_NonXtal_BW#'!$A:$Z,14,FALSE)+VLOOKUP($A379,A:AL,19,FALSE)-50))</f>
        <v>-</v>
      </c>
      <c r="U379" s="9">
        <f>IF(ISERROR(VLOOKUP($A379,'SegEnds_NonXtal_BW#'!$A:$Z,15,FALSE)+VLOOKUP($A379,A:AL,22,FALSE)-50),"-",VLOOKUP($A379,'SegEnds_NonXtal_BW#'!$A:$Z,15,FALSE)+VLOOKUP($A379,A:AL,22,FALSE)-50)</f>
        <v>351</v>
      </c>
      <c r="V379" s="3">
        <v>363</v>
      </c>
      <c r="W379" s="3">
        <f>IF(ISERROR(VLOOKUP($A379,'SegEnds_NonXtal_BW#'!$A:$Z,16,FALSE)+VLOOKUP($A379,A:AL,22,FALSE)-50),"-",(VLOOKUP($A379,'SegEnds_NonXtal_BW#'!$A:$Z,16,FALSE)+VLOOKUP($A379,A:AL,22,FALSE)-50))</f>
        <v>376</v>
      </c>
      <c r="X379" s="3">
        <f>IF(ISERROR(VLOOKUP($A379,'SegEnds_NonXtal_BW#'!$A:$Z,17,FALSE)+VLOOKUP($A379,A:AL,25,FALSE)-50),"-",(VLOOKUP($A379,'SegEnds_NonXtal_BW#'!$A:$Z,17,FALSE)+VLOOKUP($A379,A:AL,25,FALSE)-50))</f>
        <v>388</v>
      </c>
      <c r="Y379" s="3">
        <v>388</v>
      </c>
      <c r="Z379" s="3">
        <f t="shared" si="201"/>
        <v>390</v>
      </c>
      <c r="AA379" s="3">
        <f>IF(ISERROR(VLOOKUP($A379,'SegEnds_NonXtal_BW#'!$A:$Z,19,FALSE)+VLOOKUP($A379,A:AL,28,FALSE)-50),"-",(VLOOKUP($A379,'SegEnds_NonXtal_BW#'!$A:$Z,19,FALSE)+VLOOKUP($A379,A:AL,28,FALSE)-50))</f>
        <v>394</v>
      </c>
      <c r="AB379" s="3">
        <v>409</v>
      </c>
      <c r="AC379" s="3">
        <f>IF(ISERROR((VLOOKUP($A379,'SegEnds_NonXtal_BW#'!$A:$Z,20,FALSE)+VLOOKUP($A379,A:AL,28,FALSE)-50)),"-",(VLOOKUP($A379,'SegEnds_NonXtal_BW#'!$A:$Z,20,FALSE)+VLOOKUP($A379,A:AL,28,FALSE)-50))</f>
        <v>431</v>
      </c>
      <c r="AD379" s="3">
        <f>IF(ISERROR(VLOOKUP($A379,'SegEnds_NonXtal_BW#'!$A:$Z,21,FALSE)+VLOOKUP($A379,A:AL,31,FALSE)-50),"-",(VLOOKUP($A379,'SegEnds_NonXtal_BW#'!$A:$Z,21,FALSE)+VLOOKUP($A379,A:AL,31,FALSE)-50))</f>
        <v>438</v>
      </c>
      <c r="AE379" s="3">
        <v>464</v>
      </c>
      <c r="AF379" s="3">
        <f>IF(ISERROR((VLOOKUP($A379,'SegEnds_NonXtal_BW#'!$A:$Z,22,FALSE)+VLOOKUP($A379,A:AL,31,FALSE)-50)),"-",(VLOOKUP($A379,'SegEnds_NonXtal_BW#'!$A:$Z,22,FALSE)+VLOOKUP($A379,A:AL,31,FALSE)-50))</f>
        <v>492</v>
      </c>
      <c r="AG379" s="3">
        <f>IF(ISERROR(VLOOKUP($A379,'SegEnds_NonXtal_BW#'!$A:$Z,23,FALSE)+VLOOKUP($A379,A:AL,34,FALSE)-50),"-",(VLOOKUP($A379,'SegEnds_NonXtal_BW#'!$A:$Z,23,FALSE)+VLOOKUP($A379,A:AL,34,FALSE)-50))</f>
        <v>506</v>
      </c>
      <c r="AH379" s="3">
        <v>522</v>
      </c>
      <c r="AI379" s="3">
        <f>IF(ISERROR((VLOOKUP($A379,'SegEnds_NonXtal_BW#'!$A:$Z,24,FALSE)+VLOOKUP($A379,A:AL,34,FALSE)-50)),"-",(VLOOKUP($A379,'SegEnds_NonXtal_BW#'!$A:$Z,24,FALSE)+VLOOKUP($A379,A:AL,34,FALSE)-50))</f>
        <v>529</v>
      </c>
      <c r="AJ379" s="3">
        <f>IF(ISERROR(VLOOKUP($A379,'SegEnds_NonXtal_BW#'!$A:$Z,25,FALSE)+VLOOKUP($A379,A:AL,37,FALSE)-50),"-",(VLOOKUP($A379,'SegEnds_NonXtal_BW#'!$A:$Z,25,FALSE)+VLOOKUP($A379,A:AL,37,FALSE)-50))</f>
        <v>530</v>
      </c>
      <c r="AK379" s="3">
        <v>533</v>
      </c>
      <c r="AL379" s="3">
        <f>IF(ISERROR((VLOOKUP($A379,'SegEnds_NonXtal_BW#'!$A:$Z,26,FALSE)+VLOOKUP($A379,A:AL,37,FALSE)-50)),"-",(VLOOKUP($A379,'SegEnds_NonXtal_BW#'!$A:$Z,26,FALSE)+VLOOKUP($A379,A:AL,37,FALSE)-50))</f>
        <v>545</v>
      </c>
      <c r="AM379" s="28" t="str">
        <f>VLOOKUP(A379,Classification!A:B,2,FALSE)</f>
        <v>F</v>
      </c>
      <c r="AN379" s="28" t="b">
        <f t="shared" si="195"/>
        <v>1</v>
      </c>
      <c r="AO379" s="3" t="str">
        <f>IF(ISERROR(MATCH(A379,'SegEnds_Xtal_Prot#'!B:B, 0)), "NoXtal", "Xtal")</f>
        <v>NoXtal</v>
      </c>
      <c r="AP379" s="3">
        <f t="shared" si="180"/>
        <v>1</v>
      </c>
      <c r="AQ379" s="3">
        <f t="shared" si="181"/>
        <v>1</v>
      </c>
      <c r="AR379" s="3" t="str">
        <f t="shared" si="182"/>
        <v>-</v>
      </c>
      <c r="AS379" s="3" t="str">
        <f t="shared" si="183"/>
        <v>-</v>
      </c>
      <c r="AT379" s="3" t="str">
        <f t="shared" si="184"/>
        <v>-</v>
      </c>
      <c r="AU379" s="3" t="str">
        <f t="shared" si="185"/>
        <v>-</v>
      </c>
      <c r="AV379" s="3">
        <f t="shared" si="186"/>
        <v>12</v>
      </c>
      <c r="AW379" s="3">
        <f t="shared" si="187"/>
        <v>4</v>
      </c>
      <c r="AX379" s="3">
        <f t="shared" si="188"/>
        <v>7</v>
      </c>
      <c r="AY379" s="3">
        <f t="shared" si="189"/>
        <v>14</v>
      </c>
      <c r="AZ379" s="3">
        <f t="shared" si="190"/>
        <v>1</v>
      </c>
      <c r="BA379" s="3">
        <f>IF(ISERROR(LEN(VLOOKUP(A379,Seqs!A:E,2,FALSE))-AL379),"-",LEN(VLOOKUP(A379,Seqs!A:E,2,FALSE))-AL379)</f>
        <v>46</v>
      </c>
      <c r="BB379" s="16">
        <f t="shared" si="191"/>
        <v>26</v>
      </c>
      <c r="BC379" s="9" t="str">
        <f t="shared" si="192"/>
        <v>-</v>
      </c>
      <c r="BD379" s="3">
        <f t="shared" si="193"/>
        <v>26</v>
      </c>
      <c r="BE379" s="3">
        <f t="shared" si="194"/>
        <v>55</v>
      </c>
    </row>
    <row r="380" spans="1:58" s="3" customFormat="1" x14ac:dyDescent="0.2">
      <c r="A380" s="3" t="s">
        <v>33</v>
      </c>
      <c r="B380" s="3" t="str">
        <f>LOWER(VLOOKUP(A380,Xtal_Templ!A:B,2,FALSE))</f>
        <v>smo_human</v>
      </c>
      <c r="C380" s="3">
        <f>VLOOKUP($A380,'SegEnds_NonXtal_BW#'!$A:$Z,3,FALSE)+D380-50</f>
        <v>223</v>
      </c>
      <c r="D380" s="3">
        <v>245</v>
      </c>
      <c r="E380" s="3">
        <f>IF(ISERROR(VLOOKUP($A380,'SegEnds_NonXtal_BW#'!$A:$Z,4,FALSE)+VLOOKUP($A380,A:AL,4,FALSE)-50),"-",(VLOOKUP($A380,'SegEnds_NonXtal_BW#'!$A:$Z,4,FALSE)+VLOOKUP($A380,A:AL,4,FALSE)-50))</f>
        <v>255</v>
      </c>
      <c r="F380" s="3">
        <f t="shared" si="197"/>
        <v>256</v>
      </c>
      <c r="G380" s="3">
        <v>259</v>
      </c>
      <c r="H380" s="3">
        <f t="shared" si="202"/>
        <v>260</v>
      </c>
      <c r="I380" s="3">
        <f t="shared" si="199"/>
        <v>261</v>
      </c>
      <c r="J380" s="3">
        <v>272</v>
      </c>
      <c r="K380" s="3">
        <f>VLOOKUP($A380,'SegEnds_NonXtal_BW#'!$A:$Z,8,FALSE)+VLOOKUP($A380,A:AL,10,FALSE)-50</f>
        <v>285</v>
      </c>
      <c r="L380" s="3" t="str">
        <f>IF(ISERROR(VLOOKUP($A380,'SegEnds_NonXtal_BW#'!$A:$Z,9,FALSE)+VLOOKUP($A380,A:AL,13,FALSE)-50),"-",(VLOOKUP($A380,'SegEnds_NonXtal_BW#'!$A:$Z,9,FALSE)+VLOOKUP($A380,A:AL,13,FALSE)-50))</f>
        <v>-</v>
      </c>
      <c r="M380" s="3" t="s">
        <v>23</v>
      </c>
      <c r="N380" s="3" t="str">
        <f>IF(ISERROR(VLOOKUP($A380,'SegEnds_NonXtal_BW#'!$A:$Z,10,FALSE)+VLOOKUP($A380,A:AL,13,FALSE)-50),"-",(VLOOKUP($A380,'SegEnds_NonXtal_BW#'!$A:$Z,10,FALSE)+VLOOKUP($A380,A:AL,13,FALSE)-50))</f>
        <v>-</v>
      </c>
      <c r="O380" s="3">
        <f>VLOOKUP($A380,'SegEnds_NonXtal_BW#'!$A:$Z,11,FALSE)+VLOOKUP($A380,A:AL,16,FALSE)-50</f>
        <v>312</v>
      </c>
      <c r="P380" s="3">
        <v>339</v>
      </c>
      <c r="Q380" s="3">
        <f>VLOOKUP($A380,'SegEnds_NonXtal_BW#'!$A:$Z,12,FALSE)+VLOOKUP($A380,A:AL,16,FALSE)-50</f>
        <v>348</v>
      </c>
      <c r="R380" s="3" t="str">
        <f>IF(ISERROR(VLOOKUP($A380,'SegEnds_NonXtal_BW#'!$A:$Z,13,FALSE)+VLOOKUP($A380,A:AL,19,FALSE)-50),"-",VLOOKUP($A380,'SegEnds_NonXtal_BW#'!$A:$Z,13,FALSE)+VLOOKUP($A380,A:AL,19,FALSE)-50)</f>
        <v>-</v>
      </c>
      <c r="S380" s="3" t="s">
        <v>23</v>
      </c>
      <c r="T380" s="100" t="str">
        <f>IF(ISERROR(VLOOKUP($A380,'SegEnds_NonXtal_BW#'!$A:$Z,14,FALSE)+VLOOKUP($A380,A:AL,19,FALSE)-50),"-",(VLOOKUP($A380,'SegEnds_NonXtal_BW#'!$A:$Z,14,FALSE)+VLOOKUP($A380,A:AL,19,FALSE)-50))</f>
        <v>-</v>
      </c>
      <c r="U380" s="9">
        <f>IF(ISERROR(VLOOKUP($A380,'SegEnds_NonXtal_BW#'!$A:$Z,15,FALSE)+VLOOKUP($A380,A:AL,22,FALSE)-50),"-",VLOOKUP($A380,'SegEnds_NonXtal_BW#'!$A:$Z,15,FALSE)+VLOOKUP($A380,A:AL,22,FALSE)-50)</f>
        <v>353</v>
      </c>
      <c r="V380" s="3">
        <v>365</v>
      </c>
      <c r="W380" s="3">
        <f>IF(ISERROR(VLOOKUP($A380,'SegEnds_NonXtal_BW#'!$A:$Z,16,FALSE)+VLOOKUP($A380,A:AL,22,FALSE)-50),"-",(VLOOKUP($A380,'SegEnds_NonXtal_BW#'!$A:$Z,16,FALSE)+VLOOKUP($A380,A:AL,22,FALSE)-50))</f>
        <v>378</v>
      </c>
      <c r="X380" s="3">
        <f>IF(ISERROR(VLOOKUP($A380,'SegEnds_NonXtal_BW#'!$A:$Z,17,FALSE)+VLOOKUP($A380,A:AL,25,FALSE)-50),"-",(VLOOKUP($A380,'SegEnds_NonXtal_BW#'!$A:$Z,17,FALSE)+VLOOKUP($A380,A:AL,25,FALSE)-50))</f>
        <v>390</v>
      </c>
      <c r="Y380" s="3">
        <v>390</v>
      </c>
      <c r="Z380" s="3">
        <f t="shared" si="201"/>
        <v>392</v>
      </c>
      <c r="AA380" s="3">
        <f>IF(ISERROR(VLOOKUP($A380,'SegEnds_NonXtal_BW#'!$A:$Z,19,FALSE)+VLOOKUP($A380,A:AL,28,FALSE)-50),"-",(VLOOKUP($A380,'SegEnds_NonXtal_BW#'!$A:$Z,19,FALSE)+VLOOKUP($A380,A:AL,28,FALSE)-50))</f>
        <v>396</v>
      </c>
      <c r="AB380" s="3">
        <v>411</v>
      </c>
      <c r="AC380" s="3">
        <f>IF(ISERROR((VLOOKUP($A380,'SegEnds_NonXtal_BW#'!$A:$Z,20,FALSE)+VLOOKUP($A380,A:AL,28,FALSE)-50)),"-",(VLOOKUP($A380,'SegEnds_NonXtal_BW#'!$A:$Z,20,FALSE)+VLOOKUP($A380,A:AL,28,FALSE)-50))</f>
        <v>433</v>
      </c>
      <c r="AD380" s="3">
        <f>IF(ISERROR(VLOOKUP($A380,'SegEnds_NonXtal_BW#'!$A:$Z,21,FALSE)+VLOOKUP($A380,A:AL,31,FALSE)-50),"-",(VLOOKUP($A380,'SegEnds_NonXtal_BW#'!$A:$Z,21,FALSE)+VLOOKUP($A380,A:AL,31,FALSE)-50))</f>
        <v>442</v>
      </c>
      <c r="AE380" s="3">
        <v>468</v>
      </c>
      <c r="AF380" s="3">
        <f>IF(ISERROR((VLOOKUP($A380,'SegEnds_NonXtal_BW#'!$A:$Z,22,FALSE)+VLOOKUP($A380,A:AL,31,FALSE)-50)),"-",(VLOOKUP($A380,'SegEnds_NonXtal_BW#'!$A:$Z,22,FALSE)+VLOOKUP($A380,A:AL,31,FALSE)-50))</f>
        <v>496</v>
      </c>
      <c r="AG380" s="3">
        <f>IF(ISERROR(VLOOKUP($A380,'SegEnds_NonXtal_BW#'!$A:$Z,23,FALSE)+VLOOKUP($A380,A:AL,34,FALSE)-50),"-",(VLOOKUP($A380,'SegEnds_NonXtal_BW#'!$A:$Z,23,FALSE)+VLOOKUP($A380,A:AL,34,FALSE)-50))</f>
        <v>514</v>
      </c>
      <c r="AH380" s="3">
        <v>530</v>
      </c>
      <c r="AI380" s="3">
        <f>IF(ISERROR((VLOOKUP($A380,'SegEnds_NonXtal_BW#'!$A:$Z,24,FALSE)+VLOOKUP($A380,A:AL,34,FALSE)-50)),"-",(VLOOKUP($A380,'SegEnds_NonXtal_BW#'!$A:$Z,24,FALSE)+VLOOKUP($A380,A:AL,34,FALSE)-50))</f>
        <v>537</v>
      </c>
      <c r="AJ380" s="3">
        <f>IF(ISERROR(VLOOKUP($A380,'SegEnds_NonXtal_BW#'!$A:$Z,25,FALSE)+VLOOKUP($A380,A:AL,37,FALSE)-50),"-",(VLOOKUP($A380,'SegEnds_NonXtal_BW#'!$A:$Z,25,FALSE)+VLOOKUP($A380,A:AL,37,FALSE)-50))</f>
        <v>538</v>
      </c>
      <c r="AK380" s="3">
        <v>541</v>
      </c>
      <c r="AL380" s="3">
        <f>IF(ISERROR((VLOOKUP($A380,'SegEnds_NonXtal_BW#'!$A:$Z,26,FALSE)+VLOOKUP($A380,A:AL,37,FALSE)-50)),"-",(VLOOKUP($A380,'SegEnds_NonXtal_BW#'!$A:$Z,26,FALSE)+VLOOKUP($A380,A:AL,37,FALSE)-50))</f>
        <v>553</v>
      </c>
      <c r="AM380" s="28" t="str">
        <f>VLOOKUP(A380,Classification!A:B,2,FALSE)</f>
        <v>F</v>
      </c>
      <c r="AN380" s="28" t="b">
        <f t="shared" si="195"/>
        <v>1</v>
      </c>
      <c r="AO380" s="3" t="str">
        <f>IF(ISERROR(MATCH(A380,'SegEnds_Xtal_Prot#'!B:B, 0)), "NoXtal", "Xtal")</f>
        <v>Xtal</v>
      </c>
      <c r="AP380" s="3">
        <f t="shared" si="180"/>
        <v>1</v>
      </c>
      <c r="AQ380" s="3">
        <f t="shared" si="181"/>
        <v>1</v>
      </c>
      <c r="AR380" s="3" t="str">
        <f t="shared" si="182"/>
        <v>-</v>
      </c>
      <c r="AS380" s="3" t="str">
        <f t="shared" si="183"/>
        <v>-</v>
      </c>
      <c r="AT380" s="3" t="str">
        <f t="shared" si="184"/>
        <v>-</v>
      </c>
      <c r="AU380" s="3" t="str">
        <f t="shared" si="185"/>
        <v>-</v>
      </c>
      <c r="AV380" s="3">
        <f t="shared" si="186"/>
        <v>12</v>
      </c>
      <c r="AW380" s="3">
        <f t="shared" si="187"/>
        <v>4</v>
      </c>
      <c r="AX380" s="3">
        <f t="shared" si="188"/>
        <v>9</v>
      </c>
      <c r="AY380" s="3">
        <f t="shared" si="189"/>
        <v>18</v>
      </c>
      <c r="AZ380" s="3">
        <f t="shared" si="190"/>
        <v>1</v>
      </c>
      <c r="BA380" s="3">
        <f>IF(ISERROR(LEN(VLOOKUP(A380,Seqs!A:E,2,FALSE))-AL380),"-",LEN(VLOOKUP(A380,Seqs!A:E,2,FALSE))-AL380)</f>
        <v>234</v>
      </c>
      <c r="BB380" s="16">
        <f t="shared" si="191"/>
        <v>27</v>
      </c>
      <c r="BC380" s="9" t="str">
        <f t="shared" si="192"/>
        <v>-</v>
      </c>
      <c r="BD380" s="3">
        <f t="shared" si="193"/>
        <v>27</v>
      </c>
      <c r="BE380" s="3">
        <f t="shared" si="194"/>
        <v>57</v>
      </c>
    </row>
    <row r="381" spans="1:58" s="9" customFormat="1" x14ac:dyDescent="0.2">
      <c r="A381" s="131" t="s">
        <v>1510</v>
      </c>
      <c r="B381" s="9" t="str">
        <f>LOWER(VLOOKUP(A381,Xtal_Templ!A:B,2,FALSE))</f>
        <v>q98sw5_xenla</v>
      </c>
      <c r="C381" s="9">
        <f>VLOOKUP($A381,'SegEnds_NonXtal_BW#'!$A:$Z,3,FALSE)+D381-50</f>
        <v>196</v>
      </c>
      <c r="D381" s="9">
        <v>218</v>
      </c>
      <c r="E381" s="9">
        <f>IF(ISERROR(VLOOKUP($A381,'SegEnds_NonXtal_BW#'!$A:$Z,4,FALSE)+VLOOKUP($A381,A:AL,4,FALSE)-50),"-",(VLOOKUP($A381,'SegEnds_NonXtal_BW#'!$A:$Z,4,FALSE)+VLOOKUP($A381,A:AL,4,FALSE)-50))</f>
        <v>228</v>
      </c>
      <c r="F381" s="9">
        <f>G381-3</f>
        <v>229</v>
      </c>
      <c r="G381" s="9">
        <v>232</v>
      </c>
      <c r="H381" s="9">
        <f>G381+1</f>
        <v>233</v>
      </c>
      <c r="I381" s="9">
        <f>H381+1</f>
        <v>234</v>
      </c>
      <c r="J381" s="9">
        <v>245</v>
      </c>
      <c r="K381" s="9">
        <f>VLOOKUP($A381,'SegEnds_NonXtal_BW#'!$A:$Z,8,FALSE)+VLOOKUP($A381,A:AL,10,FALSE)-50</f>
        <v>256</v>
      </c>
      <c r="L381" s="9" t="str">
        <f>IF(ISERROR(VLOOKUP($A381,'SegEnds_NonXtal_BW#'!$A:$Z,9,FALSE)+VLOOKUP($A381,A:AL,13,FALSE)-50),"-",(VLOOKUP($A381,'SegEnds_NonXtal_BW#'!$A:$Z,9,FALSE)+VLOOKUP($A381,A:AL,13,FALSE)-50))</f>
        <v>-</v>
      </c>
      <c r="M381" s="9" t="s">
        <v>23</v>
      </c>
      <c r="N381" s="9" t="str">
        <f>IF(ISERROR(VLOOKUP($A381,'SegEnds_NonXtal_BW#'!$A:$Z,10,FALSE)+VLOOKUP($A381,A:AL,13,FALSE)-50),"-",(VLOOKUP($A381,'SegEnds_NonXtal_BW#'!$A:$Z,10,FALSE)+VLOOKUP($A381,A:AL,13,FALSE)-50))</f>
        <v>-</v>
      </c>
      <c r="O381" s="9">
        <f>VLOOKUP($A381,'SegEnds_NonXtal_BW#'!$A:$Z,11,FALSE)+VLOOKUP($A381,A:AL,16,FALSE)-50</f>
        <v>285</v>
      </c>
      <c r="P381" s="9">
        <v>312</v>
      </c>
      <c r="Q381" s="9">
        <f>VLOOKUP($A381,'SegEnds_NonXtal_BW#'!$A:$Z,12,FALSE)+VLOOKUP($A381,A:AL,16,FALSE)-50</f>
        <v>321</v>
      </c>
      <c r="R381" s="9" t="str">
        <f>IF(ISERROR(VLOOKUP($A381,'SegEnds_NonXtal_BW#'!$A:$Z,13,FALSE)+VLOOKUP($A381,A:AL,19,FALSE)-50),"-",VLOOKUP($A381,'SegEnds_NonXtal_BW#'!$A:$Z,13,FALSE)+VLOOKUP($A381,A:AL,19,FALSE)-50)</f>
        <v>-</v>
      </c>
      <c r="S381" s="9" t="s">
        <v>23</v>
      </c>
      <c r="T381" s="9" t="str">
        <f>IF(ISERROR(VLOOKUP($A381,'SegEnds_NonXtal_BW#'!$A:$Z,14,FALSE)+VLOOKUP($A381,A:AL,19,FALSE)-50),"-",(VLOOKUP($A381,'SegEnds_NonXtal_BW#'!$A:$Z,14,FALSE)+VLOOKUP($A381,A:AL,19,FALSE)-50))</f>
        <v>-</v>
      </c>
      <c r="U381" s="9">
        <f>IF(ISERROR(VLOOKUP($A381,'SegEnds_NonXtal_BW#'!$A:$Z,15,FALSE)+VLOOKUP($A381,A:AL,22,FALSE)-50),"-",VLOOKUP($A381,'SegEnds_NonXtal_BW#'!$A:$Z,15,FALSE)+VLOOKUP($A381,A:AL,22,FALSE)-50)</f>
        <v>326</v>
      </c>
      <c r="V381" s="9">
        <v>338</v>
      </c>
      <c r="W381" s="9">
        <f>IF(ISERROR(VLOOKUP($A381,'SegEnds_NonXtal_BW#'!$A:$Z,16,FALSE)+VLOOKUP($A381,A:AL,22,FALSE)-50),"-",(VLOOKUP($A381,'SegEnds_NonXtal_BW#'!$A:$Z,16,FALSE)+VLOOKUP($A381,A:AL,22,FALSE)-50))</f>
        <v>351</v>
      </c>
      <c r="X381" s="9">
        <f>IF(ISERROR(VLOOKUP($A381,'SegEnds_NonXtal_BW#'!$A:$Z,17,FALSE)+VLOOKUP($A381,A:AL,25,FALSE)-50),"-",(VLOOKUP($A381,'SegEnds_NonXtal_BW#'!$A:$Z,17,FALSE)+VLOOKUP($A381,A:AL,25,FALSE)-50))</f>
        <v>363</v>
      </c>
      <c r="Y381" s="9">
        <v>363</v>
      </c>
      <c r="Z381" s="9">
        <f>Y381+2</f>
        <v>365</v>
      </c>
      <c r="AA381" s="9">
        <f>IF(ISERROR(VLOOKUP($A381,'SegEnds_NonXtal_BW#'!$A:$Z,19,FALSE)+VLOOKUP($A381,A:AL,28,FALSE)-50),"-",(VLOOKUP($A381,'SegEnds_NonXtal_BW#'!$A:$Z,19,FALSE)+VLOOKUP($A381,A:AL,28,FALSE)-50))</f>
        <v>369</v>
      </c>
      <c r="AB381" s="9">
        <v>384</v>
      </c>
      <c r="AC381" s="9">
        <f>IF(ISERROR((VLOOKUP($A381,'SegEnds_NonXtal_BW#'!$A:$Z,20,FALSE)+VLOOKUP($A381,A:AL,28,FALSE)-50)),"-",(VLOOKUP($A381,'SegEnds_NonXtal_BW#'!$A:$Z,20,FALSE)+VLOOKUP($A381,A:AL,28,FALSE)-50))</f>
        <v>406</v>
      </c>
      <c r="AD381" s="9">
        <f>IF(ISERROR(VLOOKUP($A381,'SegEnds_NonXtal_BW#'!$A:$Z,21,FALSE)+VLOOKUP($A381,A:AL,31,FALSE)-50),"-",(VLOOKUP($A381,'SegEnds_NonXtal_BW#'!$A:$Z,21,FALSE)+VLOOKUP($A381,A:AL,31,FALSE)-50))</f>
        <v>415</v>
      </c>
      <c r="AE381" s="9">
        <v>441</v>
      </c>
      <c r="AF381" s="9">
        <f>IF(ISERROR((VLOOKUP($A381,'SegEnds_NonXtal_BW#'!$A:$Z,22,FALSE)+VLOOKUP($A381,A:AL,31,FALSE)-50)),"-",(VLOOKUP($A381,'SegEnds_NonXtal_BW#'!$A:$Z,22,FALSE)+VLOOKUP($A381,A:AL,31,FALSE)-50))</f>
        <v>472</v>
      </c>
      <c r="AG381" s="9">
        <f>IF(ISERROR(VLOOKUP($A381,'SegEnds_NonXtal_BW#'!$A:$Z,23,FALSE)+VLOOKUP($A381,A:AL,34,FALSE)-50),"-",(VLOOKUP($A381,'SegEnds_NonXtal_BW#'!$A:$Z,23,FALSE)+VLOOKUP($A381,A:AL,34,FALSE)-50))</f>
        <v>487</v>
      </c>
      <c r="AH381" s="9">
        <v>503</v>
      </c>
      <c r="AI381" s="9">
        <f>IF(ISERROR((VLOOKUP($A381,'SegEnds_NonXtal_BW#'!$A:$Z,24,FALSE)+VLOOKUP($A381,A:AL,34,FALSE)-50)),"-",(VLOOKUP($A381,'SegEnds_NonXtal_BW#'!$A:$Z,24,FALSE)+VLOOKUP($A381,A:AL,34,FALSE)-50))</f>
        <v>510</v>
      </c>
      <c r="AJ381" s="9">
        <f>IF(ISERROR(VLOOKUP($A381,'SegEnds_NonXtal_BW#'!$A:$Z,25,FALSE)+VLOOKUP($A381,A:AL,37,FALSE)-50),"-",(VLOOKUP($A381,'SegEnds_NonXtal_BW#'!$A:$Z,25,FALSE)+VLOOKUP($A381,A:AL,37,FALSE)-50))</f>
        <v>511</v>
      </c>
      <c r="AK381" s="9">
        <v>514</v>
      </c>
      <c r="AL381" s="9">
        <f>IF(ISERROR((VLOOKUP($A381,'SegEnds_NonXtal_BW#'!$A:$Z,26,FALSE)+VLOOKUP($A381,A:AL,37,FALSE)-50)),"-",(VLOOKUP($A381,'SegEnds_NonXtal_BW#'!$A:$Z,26,FALSE)+VLOOKUP($A381,A:AL,37,FALSE)-50))</f>
        <v>526</v>
      </c>
      <c r="AM381" s="58" t="str">
        <f>VLOOKUP(A381,Classification!A:B,2,FALSE)</f>
        <v>F</v>
      </c>
      <c r="AN381" s="58" t="b">
        <f>AND(IF(Y381="-",IF(AA381-W381&gt;3,TRUE,FALSE),TRUE),IF(M381="-",IF(O381-K381&gt;3,TRUE,FALSE),TRUE),IF(AG381-AF381&gt;1,TRUE,FALSE),C381&lt;E381,OR(E381&lt;F381,F381="-"),OR(F381&lt;H381,F381="-"),OR(H381&lt;I381,H381="-"),I381&lt;K381,OR(K381&lt;L381,L381="-"),OR(L381&lt;N381,L381="-"),OR(N381&lt;O381,N381="-"),O381&lt;Q381,OR(Q381&lt;R381,R381="-"),OR(R381&lt;T381,R381="-"),OR(T381&lt;U381,T381="-"),U381&lt;W381,OR(W381&lt;X381,X381="-"),OR(X381&lt;Z381,X381="-"),OR(Z381&lt;AA381,Z381="-"),AA381&lt;AC381,AC381&lt;AD381,AD381&lt;AF381,AF381&lt;AG381,AG381&lt;AI381,OR(AI381&lt;AJ381,AJ381="-"),OR(AJ381&lt;AL381,AJ381="-"))</f>
        <v>1</v>
      </c>
      <c r="AO381" s="9" t="str">
        <f>IF(ISERROR(MATCH(A381,'SegEnds_Xtal_Prot#'!B:B, 0)), "NoXtal", "Xtal")</f>
        <v>Xtal</v>
      </c>
      <c r="AP381" s="9">
        <f>IF(ISERROR(F381-E381),"-",F381-E381)</f>
        <v>1</v>
      </c>
      <c r="AQ381" s="9">
        <f>IF(ISERROR(I381-H381),"-",I381-H381)</f>
        <v>1</v>
      </c>
      <c r="AR381" s="9" t="str">
        <f>IF(ISERROR(L381-K381),"-",L381-K381)</f>
        <v>-</v>
      </c>
      <c r="AS381" s="9" t="str">
        <f>IF(ISERROR(O381-N381),"-",O381-N381)</f>
        <v>-</v>
      </c>
      <c r="AT381" s="9" t="str">
        <f>IF(ISERROR(R381-Q381),"-",R381-Q381)</f>
        <v>-</v>
      </c>
      <c r="AU381" s="9" t="str">
        <f>IF(ISERROR(U381-T381),"-",U381-T381)</f>
        <v>-</v>
      </c>
      <c r="AV381" s="9">
        <f>IF(ISERROR(X381-W381),"-",X381-W381)</f>
        <v>12</v>
      </c>
      <c r="AW381" s="9">
        <f>IF(ISERROR(AA381-Z381),"-",AA381-Z381)</f>
        <v>4</v>
      </c>
      <c r="AX381" s="9">
        <f>IF(ISERROR(AD381-AC381),"-",AD381-AC381)</f>
        <v>9</v>
      </c>
      <c r="AY381" s="9">
        <f>IF(ISERROR(AG381-AF381),"-",AG381-AF381)</f>
        <v>15</v>
      </c>
      <c r="AZ381" s="9">
        <f>IF(ISERROR(AJ381-AI381),"-",AJ381-AI381)</f>
        <v>1</v>
      </c>
      <c r="BA381" s="9">
        <f>IF(ISERROR(LEN(VLOOKUP(A381,Seqs!A:E,2,FALSE))-AL381),"-",LEN(VLOOKUP(A381,Seqs!A:E,2,FALSE))-AL381)</f>
        <v>288</v>
      </c>
      <c r="BB381" s="130">
        <f>J381-D381</f>
        <v>27</v>
      </c>
      <c r="BC381" s="9" t="str">
        <f>IF(ISERROR(V381-S381),"-",V381-S381)</f>
        <v>-</v>
      </c>
      <c r="BD381" s="9">
        <f>J381-D381</f>
        <v>27</v>
      </c>
      <c r="BE381" s="9">
        <f>AE381-AB381</f>
        <v>57</v>
      </c>
    </row>
    <row r="382" spans="1:58" s="3" customFormat="1" x14ac:dyDescent="0.2">
      <c r="A382" s="3" t="s">
        <v>481</v>
      </c>
      <c r="B382" s="3" t="str">
        <f>LOWER(VLOOKUP(A382,Xtal_Templ!A:B,2,FALSE))</f>
        <v>agtr1_human</v>
      </c>
      <c r="C382" s="3">
        <v>20</v>
      </c>
      <c r="D382" s="3">
        <v>53</v>
      </c>
      <c r="E382" s="3">
        <f>IF(ISERROR(VLOOKUP($A382,'SegEnds_NonXtal_BW#'!$A:$Z,4,FALSE)+VLOOKUP($A382,A:AL,4,FALSE)-50),"-",(VLOOKUP($A382,'SegEnds_NonXtal_BW#'!$A:$Z,4,FALSE)+VLOOKUP($A382,A:AL,4,FALSE)-50))</f>
        <v>63</v>
      </c>
      <c r="F382" s="3" t="str">
        <f>IF(ISERROR(VLOOKUP($A382,'SegEnds_NonXtal_BW#'!$A:$Z,5,FALSE)+VLOOKUP($A382,A:AL,7,FALSE)-50),"-",(VLOOKUP($A382,'SegEnds_NonXtal_BW#'!$A:$Z,5,FALSE)+VLOOKUP($A382,A:AL,7,FALSE)-50))</f>
        <v>-</v>
      </c>
      <c r="G382" s="3" t="s">
        <v>23</v>
      </c>
      <c r="H382" s="3" t="str">
        <f>IF(ISERROR(VLOOKUP($A382,'SegEnds_NonXtal_BW#'!$A:$Z,6,FALSE)+VLOOKUP($A382,A:AL,7,FALSE)-50),"-",(VLOOKUP($A382,'SegEnds_NonXtal_BW#'!$A:$Z,6,FALSE)+VLOOKUP($A382,A:AL,7,FALSE)-50))</f>
        <v>-</v>
      </c>
      <c r="I382" s="3">
        <f>VLOOKUP($A382,'SegEnds_NonXtal_BW#'!$A:$Z,7,FALSE)+J382-50</f>
        <v>60</v>
      </c>
      <c r="J382" s="3">
        <v>71</v>
      </c>
      <c r="K382" s="3">
        <f>VLOOKUP($A382,'SegEnds_NonXtal_BW#'!$A:$Z,8,FALSE)+VLOOKUP($A382,A:AL,10,FALSE)-50</f>
        <v>84</v>
      </c>
      <c r="L382" s="3" t="str">
        <f>IF(ISERROR(VLOOKUP($A382,'SegEnds_NonXtal_BW#'!$A:$Z,9,FALSE)+VLOOKUP($A382,A:AL,13,FALSE)-50),"-",(VLOOKUP($A382,'SegEnds_NonXtal_BW#'!$A:$Z,9,FALSE)+VLOOKUP($A382,A:AL,13,FALSE)-50))</f>
        <v>-</v>
      </c>
      <c r="M382" s="3" t="s">
        <v>23</v>
      </c>
      <c r="N382" s="3" t="str">
        <f>IF(ISERROR(VLOOKUP($A382,'SegEnds_NonXtal_BW#'!$A:$Z,10,FALSE)+VLOOKUP($A382,A:AL,13,FALSE)-50),"-",(VLOOKUP($A382,'SegEnds_NonXtal_BW#'!$A:$Z,10,FALSE)+VLOOKUP($A382,A:AL,13,FALSE)-50))</f>
        <v>-</v>
      </c>
      <c r="O382" s="3">
        <f>VLOOKUP($A382,'SegEnds_NonXtal_BW#'!$A:$Z,11,FALSE)+VLOOKUP($A382,A:AL,16,FALSE)-50</f>
        <v>125</v>
      </c>
      <c r="P382" s="3">
        <v>152</v>
      </c>
      <c r="Q382" s="3">
        <f>VLOOKUP($A382,'SegEnds_NonXtal_BW#'!$A:$Z,12,FALSE)+VLOOKUP($A382,A:AL,16,FALSE)-50</f>
        <v>158</v>
      </c>
      <c r="R382" s="3" t="str">
        <f>IF(ISERROR(VLOOKUP($A382,'SegEnds_NonXtal_BW#'!$A:$Z,13,FALSE)+VLOOKUP($A382,A:AL,19,FALSE)-50),"-",VLOOKUP($A382,'SegEnds_NonXtal_BW#'!$A:$Z,13,FALSE)+VLOOKUP($A382,A:AL,19,FALSE)-50)</f>
        <v>-</v>
      </c>
      <c r="S382" s="3" t="s">
        <v>23</v>
      </c>
      <c r="T382" s="100" t="str">
        <f>IF(ISERROR(VLOOKUP($A382,'SegEnds_NonXtal_BW#'!$A:$Z,14,FALSE)+VLOOKUP($A382,A:AL,19,FALSE)-50),"-",(VLOOKUP($A382,'SegEnds_NonXtal_BW#'!$A:$Z,14,FALSE)+VLOOKUP($A382,A:AL,19,FALSE)-50))</f>
        <v>-</v>
      </c>
      <c r="U382" s="9">
        <f>IF(ISERROR(VLOOKUP($A382,'SegEnds_NonXtal_BW#'!$A:$Z,15,FALSE)+VLOOKUP($A382,A:AL,22,FALSE)-50),"-",VLOOKUP($A382,'SegEnds_NonXtal_BW#'!$A:$Z,15,FALSE)+VLOOKUP($A382,A:AL,22,FALSE)-50)</f>
        <v>175</v>
      </c>
      <c r="V382" s="3">
        <v>185</v>
      </c>
      <c r="W382" s="3">
        <f>IF(ISERROR(VLOOKUP($A382,'SegEnds_NonXtal_BW#'!$A:$Z,16,FALSE)+VLOOKUP($A382,A:AL,22,FALSE)-50),"-",(VLOOKUP($A382,'SegEnds_NonXtal_BW#'!$A:$Z,16,FALSE)+VLOOKUP($A382,A:AL,22,FALSE)-50))</f>
        <v>199</v>
      </c>
      <c r="X382" s="3" t="str">
        <f>IF(ISERROR(VLOOKUP($A382,'SegEnds_NonXtal_BW#'!$A:$Z,17,FALSE)+VLOOKUP($A382,A:AL,25,FALSE)-50),"-",(VLOOKUP($A382,'SegEnds_NonXtal_BW#'!$A:$Z,17,FALSE)+VLOOKUP($A382,A:AL,25,FALSE)-50))</f>
        <v>-</v>
      </c>
      <c r="Y382" s="3" t="s">
        <v>23</v>
      </c>
      <c r="Z382" s="3" t="str">
        <f>IF(ISERROR(VLOOKUP($A382,'SegEnds_NonXtal_BW#'!$A:$Z,18,FALSE)+VLOOKUP($A382,A:AL,25,FALSE)-50),"-",(VLOOKUP($A382,'SegEnds_NonXtal_BW#'!$A:$Z,18,FALSE)+VLOOKUP($A382,A:AL,25,FALSE)-50))</f>
        <v>-</v>
      </c>
      <c r="AA382" s="3">
        <f>IF(ISERROR(VLOOKUP($A382,'SegEnds_NonXtal_BW#'!$A:$Z,19,FALSE)+VLOOKUP($A382,A:AL,28,FALSE)-50),"-",(VLOOKUP($A382,'SegEnds_NonXtal_BW#'!$A:$Z,19,FALSE)+VLOOKUP($A382,A:AL,28,FALSE)-50))</f>
        <v>257</v>
      </c>
      <c r="AB382" s="3">
        <v>268</v>
      </c>
      <c r="AC382" s="3">
        <f>IF(ISERROR((VLOOKUP($A382,'SegEnds_NonXtal_BW#'!$A:$Z,20,FALSE)+VLOOKUP($A382,A:AL,28,FALSE)-50)),"-",(VLOOKUP($A382,'SegEnds_NonXtal_BW#'!$A:$Z,20,FALSE)+VLOOKUP($A382,A:AL,28,FALSE)-50))</f>
        <v>279</v>
      </c>
      <c r="AD382" s="3">
        <f>IF(ISERROR(VLOOKUP($A382,'SegEnds_NonXtal_BW#'!$A:$Z,21,FALSE)+VLOOKUP($A382,A:AL,31,FALSE)-50),"-",(VLOOKUP($A382,'SegEnds_NonXtal_BW#'!$A:$Z,21,FALSE)+VLOOKUP($A382,A:AL,31,FALSE)-50))</f>
        <v>326</v>
      </c>
      <c r="AE382" s="3">
        <v>347</v>
      </c>
      <c r="AF382" s="3">
        <f>IF(ISERROR((VLOOKUP($A382,'SegEnds_NonXtal_BW#'!$A:$Z,22,FALSE)+VLOOKUP($A382,A:AL,31,FALSE)-50)),"-",(VLOOKUP($A382,'SegEnds_NonXtal_BW#'!$A:$Z,22,FALSE)+VLOOKUP($A382,A:AL,31,FALSE)-50))</f>
        <v>350</v>
      </c>
      <c r="AG382" s="3">
        <f>IF(ISERROR(VLOOKUP($A382,'SegEnds_NonXtal_BW#'!$A:$Z,23,FALSE)+VLOOKUP($A382,A:AL,34,FALSE)-50),"-",(VLOOKUP($A382,'SegEnds_NonXtal_BW#'!$A:$Z,23,FALSE)+VLOOKUP($A382,A:AL,34,FALSE)-50))</f>
        <v>365</v>
      </c>
      <c r="AH382" s="3">
        <v>380</v>
      </c>
      <c r="AI382" s="3">
        <f>IF(ISERROR((VLOOKUP($A382,'SegEnds_NonXtal_BW#'!$A:$Z,24,FALSE)+VLOOKUP($A382,A:AL,34,FALSE)-50)),"-",(VLOOKUP($A382,'SegEnds_NonXtal_BW#'!$A:$Z,24,FALSE)+VLOOKUP($A382,A:AL,34,FALSE)-50))</f>
        <v>386</v>
      </c>
      <c r="AJ382" s="3">
        <f>IF(ISERROR(VLOOKUP($A382,'SegEnds_NonXtal_BW#'!$A:$Z,25,FALSE)+VLOOKUP($A382,A:AL,37,FALSE)-50),"-",(VLOOKUP($A382,'SegEnds_NonXtal_BW#'!$A:$Z,25,FALSE)+VLOOKUP($A382,A:AL,37,FALSE)-50))</f>
        <v>387</v>
      </c>
      <c r="AK382" s="3">
        <v>390</v>
      </c>
      <c r="AL382" s="3">
        <f>IF(ISERROR((VLOOKUP($A382,'SegEnds_NonXtal_BW#'!$A:$Z,26,FALSE)+VLOOKUP($A382,A:AL,37,FALSE)-50)),"-",(VLOOKUP($A382,'SegEnds_NonXtal_BW#'!$A:$Z,26,FALSE)+VLOOKUP($A382,A:AL,37,FALSE)-50))</f>
        <v>397</v>
      </c>
      <c r="AM382" s="28" t="str">
        <f>VLOOKUP(A382,Classification!A:B,2,FALSE)</f>
        <v>O</v>
      </c>
      <c r="AN382" s="28" t="b">
        <f t="shared" si="195"/>
        <v>1</v>
      </c>
      <c r="AO382" s="3" t="str">
        <f>IF(ISERROR(MATCH(A382,'SegEnds_Xtal_Prot#'!B:B, 0)), "NoXtal", "Xtal")</f>
        <v>NoXtal</v>
      </c>
      <c r="AP382" s="3" t="str">
        <f t="shared" si="180"/>
        <v>-</v>
      </c>
      <c r="AQ382" s="3" t="str">
        <f t="shared" si="181"/>
        <v>-</v>
      </c>
      <c r="AR382" s="3" t="str">
        <f t="shared" si="182"/>
        <v>-</v>
      </c>
      <c r="AS382" s="3" t="str">
        <f t="shared" si="183"/>
        <v>-</v>
      </c>
      <c r="AT382" s="3" t="str">
        <f t="shared" si="184"/>
        <v>-</v>
      </c>
      <c r="AU382" s="3" t="str">
        <f t="shared" si="185"/>
        <v>-</v>
      </c>
      <c r="AV382" s="3" t="str">
        <f t="shared" si="186"/>
        <v>-</v>
      </c>
      <c r="AW382" s="3" t="str">
        <f t="shared" si="187"/>
        <v>-</v>
      </c>
      <c r="AX382" s="3">
        <f t="shared" si="188"/>
        <v>47</v>
      </c>
      <c r="AY382" s="3">
        <f t="shared" si="189"/>
        <v>15</v>
      </c>
      <c r="AZ382" s="3">
        <f t="shared" si="190"/>
        <v>1</v>
      </c>
      <c r="BA382" s="3">
        <f>IF(ISERROR(LEN(VLOOKUP(A382,Seqs!A:E,2,FALSE))-AL382),"-",LEN(VLOOKUP(A382,Seqs!A:E,2,FALSE))-AL382)</f>
        <v>20</v>
      </c>
      <c r="BB382" s="16">
        <f t="shared" si="191"/>
        <v>18</v>
      </c>
      <c r="BC382" s="9" t="str">
        <f t="shared" si="192"/>
        <v>-</v>
      </c>
      <c r="BD382" s="3">
        <f t="shared" si="193"/>
        <v>18</v>
      </c>
      <c r="BE382" s="3">
        <f t="shared" si="194"/>
        <v>79</v>
      </c>
      <c r="BF382" s="3">
        <f>AH382-AE382</f>
        <v>33</v>
      </c>
    </row>
    <row r="383" spans="1:58" s="3" customFormat="1" x14ac:dyDescent="0.2">
      <c r="A383" s="3" t="s">
        <v>482</v>
      </c>
      <c r="B383" s="3" t="str">
        <f>LOWER(VLOOKUP(A383,Xtal_Templ!A:B,2,FALSE))</f>
        <v>ccr9_human</v>
      </c>
      <c r="C383" s="3">
        <v>202</v>
      </c>
      <c r="D383" s="3">
        <v>231</v>
      </c>
      <c r="E383" s="3">
        <f>IF(ISERROR(VLOOKUP($A383,'SegEnds_NonXtal_BW#'!$A:$Z,4,FALSE)+VLOOKUP($A383,A:AL,4,FALSE)-50),"-",(VLOOKUP($A383,'SegEnds_NonXtal_BW#'!$A:$Z,4,FALSE)+VLOOKUP($A383,A:AL,4,FALSE)-50))</f>
        <v>241</v>
      </c>
      <c r="F383" s="3" t="str">
        <f>IF(ISERROR(VLOOKUP($A383,'SegEnds_NonXtal_BW#'!$A:$Z,5,FALSE)+VLOOKUP($A383,A:AL,7,FALSE)-50),"-",(VLOOKUP($A383,'SegEnds_NonXtal_BW#'!$A:$Z,5,FALSE)+VLOOKUP($A383,A:AL,7,FALSE)-50))</f>
        <v>-</v>
      </c>
      <c r="G383" s="3" t="s">
        <v>23</v>
      </c>
      <c r="H383" s="3" t="str">
        <f>IF(ISERROR(VLOOKUP($A383,'SegEnds_NonXtal_BW#'!$A:$Z,6,FALSE)+VLOOKUP($A383,A:AL,7,FALSE)-50),"-",(VLOOKUP($A383,'SegEnds_NonXtal_BW#'!$A:$Z,6,FALSE)+VLOOKUP($A383,A:AL,7,FALSE)-50))</f>
        <v>-</v>
      </c>
      <c r="I383" s="3">
        <f>VLOOKUP($A383,'SegEnds_NonXtal_BW#'!$A:$Z,7,FALSE)+J383-50</f>
        <v>269</v>
      </c>
      <c r="J383" s="3">
        <v>280</v>
      </c>
      <c r="K383" s="3">
        <f>VLOOKUP($A383,'SegEnds_NonXtal_BW#'!$A:$Z,8,FALSE)+VLOOKUP($A383,A:AL,10,FALSE)-50</f>
        <v>293</v>
      </c>
      <c r="L383" s="3" t="str">
        <f>IF(ISERROR(VLOOKUP($A383,'SegEnds_NonXtal_BW#'!$A:$Z,9,FALSE)+VLOOKUP($A383,A:AL,13,FALSE)-50),"-",(VLOOKUP($A383,'SegEnds_NonXtal_BW#'!$A:$Z,9,FALSE)+VLOOKUP($A383,A:AL,13,FALSE)-50))</f>
        <v>-</v>
      </c>
      <c r="M383" s="3" t="s">
        <v>23</v>
      </c>
      <c r="N383" s="3" t="str">
        <f>IF(ISERROR(VLOOKUP($A383,'SegEnds_NonXtal_BW#'!$A:$Z,10,FALSE)+VLOOKUP($A383,A:AL,13,FALSE)-50),"-",(VLOOKUP($A383,'SegEnds_NonXtal_BW#'!$A:$Z,10,FALSE)+VLOOKUP($A383,A:AL,13,FALSE)-50))</f>
        <v>-</v>
      </c>
      <c r="O383" s="3">
        <f>VLOOKUP($A383,'SegEnds_NonXtal_BW#'!$A:$Z,11,FALSE)+VLOOKUP($A383,A:AL,16,FALSE)-50</f>
        <v>327</v>
      </c>
      <c r="P383" s="3">
        <v>354</v>
      </c>
      <c r="Q383" s="3">
        <f>VLOOKUP($A383,'SegEnds_NonXtal_BW#'!$A:$Z,12,FALSE)+VLOOKUP($A383,A:AL,16,FALSE)-50</f>
        <v>360</v>
      </c>
      <c r="R383" s="3" t="str">
        <f>IF(ISERROR(VLOOKUP($A383,'SegEnds_NonXtal_BW#'!$A:$Z,13,FALSE)+VLOOKUP($A383,A:AL,19,FALSE)-50),"-",VLOOKUP($A383,'SegEnds_NonXtal_BW#'!$A:$Z,13,FALSE)+VLOOKUP($A383,A:AL,19,FALSE)-50)</f>
        <v>-</v>
      </c>
      <c r="S383" s="3" t="s">
        <v>23</v>
      </c>
      <c r="T383" s="100" t="str">
        <f>IF(ISERROR(VLOOKUP($A383,'SegEnds_NonXtal_BW#'!$A:$Z,14,FALSE)+VLOOKUP($A383,A:AL,19,FALSE)-50),"-",(VLOOKUP($A383,'SegEnds_NonXtal_BW#'!$A:$Z,14,FALSE)+VLOOKUP($A383,A:AL,19,FALSE)-50))</f>
        <v>-</v>
      </c>
      <c r="U383" s="9">
        <f>IF(ISERROR(VLOOKUP($A383,'SegEnds_NonXtal_BW#'!$A:$Z,15,FALSE)+VLOOKUP($A383,A:AL,22,FALSE)-50),"-",VLOOKUP($A383,'SegEnds_NonXtal_BW#'!$A:$Z,15,FALSE)+VLOOKUP($A383,A:AL,22,FALSE)-50)</f>
        <v>381</v>
      </c>
      <c r="V383" s="3">
        <v>391</v>
      </c>
      <c r="W383" s="3">
        <f>IF(ISERROR(VLOOKUP($A383,'SegEnds_NonXtal_BW#'!$A:$Z,16,FALSE)+VLOOKUP($A383,A:AL,22,FALSE)-50),"-",(VLOOKUP($A383,'SegEnds_NonXtal_BW#'!$A:$Z,16,FALSE)+VLOOKUP($A383,A:AL,22,FALSE)-50))</f>
        <v>405</v>
      </c>
      <c r="X383" s="3" t="str">
        <f>IF(ISERROR(VLOOKUP($A383,'SegEnds_NonXtal_BW#'!$A:$Z,17,FALSE)+VLOOKUP($A383,A:AL,25,FALSE)-50),"-",(VLOOKUP($A383,'SegEnds_NonXtal_BW#'!$A:$Z,17,FALSE)+VLOOKUP($A383,A:AL,25,FALSE)-50))</f>
        <v>-</v>
      </c>
      <c r="Y383" s="3" t="s">
        <v>23</v>
      </c>
      <c r="Z383" s="3" t="str">
        <f>IF(ISERROR(VLOOKUP($A383,'SegEnds_NonXtal_BW#'!$A:$Z,18,FALSE)+VLOOKUP($A383,A:AL,25,FALSE)-50),"-",(VLOOKUP($A383,'SegEnds_NonXtal_BW#'!$A:$Z,18,FALSE)+VLOOKUP($A383,A:AL,25,FALSE)-50))</f>
        <v>-</v>
      </c>
      <c r="AA383" s="3">
        <f>IF(ISERROR(VLOOKUP($A383,'SegEnds_NonXtal_BW#'!$A:$Z,19,FALSE)+VLOOKUP($A383,A:AL,28,FALSE)-50),"-",(VLOOKUP($A383,'SegEnds_NonXtal_BW#'!$A:$Z,19,FALSE)+VLOOKUP($A383,A:AL,28,FALSE)-50))</f>
        <v>461</v>
      </c>
      <c r="AB383" s="3">
        <v>472</v>
      </c>
      <c r="AC383" s="3">
        <f>IF(ISERROR((VLOOKUP($A383,'SegEnds_NonXtal_BW#'!$A:$Z,20,FALSE)+VLOOKUP($A383,A:AL,28,FALSE)-50)),"-",(VLOOKUP($A383,'SegEnds_NonXtal_BW#'!$A:$Z,20,FALSE)+VLOOKUP($A383,A:AL,28,FALSE)-50))</f>
        <v>483</v>
      </c>
      <c r="AD383" s="3">
        <f>IF(ISERROR(VLOOKUP($A383,'SegEnds_NonXtal_BW#'!$A:$Z,21,FALSE)+VLOOKUP($A383,A:AL,31,FALSE)-50),"-",(VLOOKUP($A383,'SegEnds_NonXtal_BW#'!$A:$Z,21,FALSE)+VLOOKUP($A383,A:AL,31,FALSE)-50))</f>
        <v>488</v>
      </c>
      <c r="AE383" s="3">
        <v>509</v>
      </c>
      <c r="AF383" s="3">
        <f>IF(ISERROR((VLOOKUP($A383,'SegEnds_NonXtal_BW#'!$A:$Z,22,FALSE)+VLOOKUP($A383,A:AL,31,FALSE)-50)),"-",(VLOOKUP($A383,'SegEnds_NonXtal_BW#'!$A:$Z,22,FALSE)+VLOOKUP($A383,A:AL,31,FALSE)-50))</f>
        <v>512</v>
      </c>
      <c r="AG383" s="3">
        <f>IF(ISERROR(VLOOKUP($A383,'SegEnds_NonXtal_BW#'!$A:$Z,23,FALSE)+VLOOKUP($A383,A:AL,34,FALSE)-50),"-",(VLOOKUP($A383,'SegEnds_NonXtal_BW#'!$A:$Z,23,FALSE)+VLOOKUP($A383,A:AL,34,FALSE)-50))</f>
        <v>538</v>
      </c>
      <c r="AH383" s="3">
        <v>553</v>
      </c>
      <c r="AI383" s="3">
        <f>IF(ISERROR((VLOOKUP($A383,'SegEnds_NonXtal_BW#'!$A:$Z,24,FALSE)+VLOOKUP($A383,A:AL,34,FALSE)-50)),"-",(VLOOKUP($A383,'SegEnds_NonXtal_BW#'!$A:$Z,24,FALSE)+VLOOKUP($A383,A:AL,34,FALSE)-50))</f>
        <v>559</v>
      </c>
      <c r="AJ383" s="3">
        <f>IF(ISERROR(VLOOKUP($A383,'SegEnds_NonXtal_BW#'!$A:$Z,25,FALSE)+VLOOKUP($A383,A:AL,37,FALSE)-50),"-",(VLOOKUP($A383,'SegEnds_NonXtal_BW#'!$A:$Z,25,FALSE)+VLOOKUP($A383,A:AL,37,FALSE)-50))</f>
        <v>561</v>
      </c>
      <c r="AK383" s="3">
        <v>564</v>
      </c>
      <c r="AL383" s="3">
        <f>IF(ISERROR((VLOOKUP($A383,'SegEnds_NonXtal_BW#'!$A:$Z,26,FALSE)+VLOOKUP($A383,A:AL,37,FALSE)-50)),"-",(VLOOKUP($A383,'SegEnds_NonXtal_BW#'!$A:$Z,26,FALSE)+VLOOKUP($A383,A:AL,37,FALSE)-50))</f>
        <v>571</v>
      </c>
      <c r="AM383" s="28" t="str">
        <f>VLOOKUP(A383,Classification!A:B,2,FALSE)</f>
        <v>O</v>
      </c>
      <c r="AN383" s="28" t="b">
        <f t="shared" si="195"/>
        <v>1</v>
      </c>
      <c r="AO383" s="3" t="str">
        <f>IF(ISERROR(MATCH(A383,'SegEnds_Xtal_Prot#'!B:B, 0)), "NoXtal", "Xtal")</f>
        <v>NoXtal</v>
      </c>
      <c r="AP383" s="3" t="str">
        <f t="shared" si="180"/>
        <v>-</v>
      </c>
      <c r="AQ383" s="3" t="str">
        <f t="shared" si="181"/>
        <v>-</v>
      </c>
      <c r="AR383" s="3" t="str">
        <f t="shared" si="182"/>
        <v>-</v>
      </c>
      <c r="AS383" s="3" t="str">
        <f t="shared" si="183"/>
        <v>-</v>
      </c>
      <c r="AT383" s="3" t="str">
        <f t="shared" si="184"/>
        <v>-</v>
      </c>
      <c r="AU383" s="3" t="str">
        <f t="shared" si="185"/>
        <v>-</v>
      </c>
      <c r="AV383" s="3" t="str">
        <f t="shared" si="186"/>
        <v>-</v>
      </c>
      <c r="AW383" s="3" t="str">
        <f t="shared" si="187"/>
        <v>-</v>
      </c>
      <c r="AX383" s="3">
        <f t="shared" si="188"/>
        <v>5</v>
      </c>
      <c r="AY383" s="3">
        <f t="shared" si="189"/>
        <v>26</v>
      </c>
      <c r="AZ383" s="3">
        <f t="shared" si="190"/>
        <v>2</v>
      </c>
      <c r="BA383" s="3">
        <f>IF(ISERROR(LEN(VLOOKUP(A383,Seqs!A:E,2,FALSE))-AL383),"-",LEN(VLOOKUP(A383,Seqs!A:E,2,FALSE))-AL383)</f>
        <v>29</v>
      </c>
      <c r="BB383" s="16">
        <f t="shared" si="191"/>
        <v>49</v>
      </c>
      <c r="BC383" s="9" t="str">
        <f t="shared" si="192"/>
        <v>-</v>
      </c>
      <c r="BD383" s="3">
        <f t="shared" si="193"/>
        <v>49</v>
      </c>
      <c r="BE383" s="3">
        <f t="shared" si="194"/>
        <v>37</v>
      </c>
      <c r="BF383" s="3">
        <f>AH383-AE383</f>
        <v>44</v>
      </c>
    </row>
    <row r="384" spans="1:58" s="3" customFormat="1" x14ac:dyDescent="0.2">
      <c r="A384" s="3" t="s">
        <v>485</v>
      </c>
      <c r="B384" s="3" t="str">
        <f>LOWER(VLOOKUP(A384,Xtal_Templ!A:B,2,FALSE))</f>
        <v>aa2ar_human</v>
      </c>
      <c r="C384" s="3">
        <v>12</v>
      </c>
      <c r="D384" s="3">
        <v>42</v>
      </c>
      <c r="E384" s="3">
        <f>IF(ISERROR(VLOOKUP($A384,'SegEnds_NonXtal_BW#'!$A:$Z,4,FALSE)+VLOOKUP($A384,A:AL,4,FALSE)-50),"-",(VLOOKUP($A384,'SegEnds_NonXtal_BW#'!$A:$Z,4,FALSE)+VLOOKUP($A384,A:AL,4,FALSE)-50))</f>
        <v>52</v>
      </c>
      <c r="F384" s="3" t="str">
        <f>IF(ISERROR(VLOOKUP($A384,'SegEnds_NonXtal_BW#'!$A:$Z,5,FALSE)+VLOOKUP($A384,A:AL,7,FALSE)-50),"-",(VLOOKUP($A384,'SegEnds_NonXtal_BW#'!$A:$Z,5,FALSE)+VLOOKUP($A384,A:AL,7,FALSE)-50))</f>
        <v>-</v>
      </c>
      <c r="G384" s="3" t="s">
        <v>23</v>
      </c>
      <c r="H384" s="3" t="str">
        <f>IF(ISERROR(VLOOKUP($A384,'SegEnds_NonXtal_BW#'!$A:$Z,6,FALSE)+VLOOKUP($A384,A:AL,7,FALSE)-50),"-",(VLOOKUP($A384,'SegEnds_NonXtal_BW#'!$A:$Z,6,FALSE)+VLOOKUP($A384,A:AL,7,FALSE)-50))</f>
        <v>-</v>
      </c>
      <c r="I384" s="3">
        <f>VLOOKUP($A384,'SegEnds_NonXtal_BW#'!$A:$Z,7,FALSE)+J384-50</f>
        <v>67</v>
      </c>
      <c r="J384" s="3">
        <v>78</v>
      </c>
      <c r="K384" s="3">
        <f>VLOOKUP($A384,'SegEnds_NonXtal_BW#'!$A:$Z,8,FALSE)+VLOOKUP($A384,A:AL,10,FALSE)-50</f>
        <v>91</v>
      </c>
      <c r="L384" s="3" t="str">
        <f>IF(ISERROR(VLOOKUP($A384,'SegEnds_NonXtal_BW#'!$A:$Z,9,FALSE)+VLOOKUP($A384,A:AL,13,FALSE)-50),"-",(VLOOKUP($A384,'SegEnds_NonXtal_BW#'!$A:$Z,9,FALSE)+VLOOKUP($A384,A:AL,13,FALSE)-50))</f>
        <v>-</v>
      </c>
      <c r="M384" s="3" t="s">
        <v>23</v>
      </c>
      <c r="N384" s="3" t="str">
        <f>IF(ISERROR(VLOOKUP($A384,'SegEnds_NonXtal_BW#'!$A:$Z,10,FALSE)+VLOOKUP($A384,A:AL,13,FALSE)-50),"-",(VLOOKUP($A384,'SegEnds_NonXtal_BW#'!$A:$Z,10,FALSE)+VLOOKUP($A384,A:AL,13,FALSE)-50))</f>
        <v>-</v>
      </c>
      <c r="O384" s="3">
        <f>VLOOKUP($A384,'SegEnds_NonXtal_BW#'!$A:$Z,11,FALSE)+VLOOKUP($A384,A:AL,16,FALSE)-50</f>
        <v>114</v>
      </c>
      <c r="P384" s="3">
        <v>141</v>
      </c>
      <c r="Q384" s="3">
        <f>VLOOKUP($A384,'SegEnds_NonXtal_BW#'!$A:$Z,12,FALSE)+VLOOKUP($A384,A:AL,16,FALSE)-50</f>
        <v>147</v>
      </c>
      <c r="R384" s="3" t="str">
        <f>IF(ISERROR(VLOOKUP($A384,'SegEnds_NonXtal_BW#'!$A:$Z,13,FALSE)+VLOOKUP($A384,A:AL,19,FALSE)-50),"-",VLOOKUP($A384,'SegEnds_NonXtal_BW#'!$A:$Z,13,FALSE)+VLOOKUP($A384,A:AL,19,FALSE)-50)</f>
        <v>-</v>
      </c>
      <c r="S384" s="3" t="s">
        <v>23</v>
      </c>
      <c r="T384" s="100" t="str">
        <f>IF(ISERROR(VLOOKUP($A384,'SegEnds_NonXtal_BW#'!$A:$Z,14,FALSE)+VLOOKUP($A384,A:AL,19,FALSE)-50),"-",(VLOOKUP($A384,'SegEnds_NonXtal_BW#'!$A:$Z,14,FALSE)+VLOOKUP($A384,A:AL,19,FALSE)-50))</f>
        <v>-</v>
      </c>
      <c r="U384" s="9">
        <f>IF(ISERROR(VLOOKUP($A384,'SegEnds_NonXtal_BW#'!$A:$Z,15,FALSE)+VLOOKUP($A384,A:AL,22,FALSE)-50),"-",VLOOKUP($A384,'SegEnds_NonXtal_BW#'!$A:$Z,15,FALSE)+VLOOKUP($A384,A:AL,22,FALSE)-50)</f>
        <v>152</v>
      </c>
      <c r="V384" s="3">
        <v>162</v>
      </c>
      <c r="W384" s="3">
        <f>IF(ISERROR(VLOOKUP($A384,'SegEnds_NonXtal_BW#'!$A:$Z,16,FALSE)+VLOOKUP($A384,A:AL,22,FALSE)-50),"-",(VLOOKUP($A384,'SegEnds_NonXtal_BW#'!$A:$Z,16,FALSE)+VLOOKUP($A384,A:AL,22,FALSE)-50))</f>
        <v>176</v>
      </c>
      <c r="X384" s="3" t="str">
        <f>IF(ISERROR(VLOOKUP($A384,'SegEnds_NonXtal_BW#'!$A:$Z,17,FALSE)+VLOOKUP($A384,A:AL,25,FALSE)-50),"-",(VLOOKUP($A384,'SegEnds_NonXtal_BW#'!$A:$Z,17,FALSE)+VLOOKUP($A384,A:AL,25,FALSE)-50))</f>
        <v>-</v>
      </c>
      <c r="Y384" s="3" t="s">
        <v>23</v>
      </c>
      <c r="Z384" s="3" t="str">
        <f>IF(ISERROR(VLOOKUP($A384,'SegEnds_NonXtal_BW#'!$A:$Z,18,FALSE)+VLOOKUP($A384,A:AL,25,FALSE)-50),"-",(VLOOKUP($A384,'SegEnds_NonXtal_BW#'!$A:$Z,18,FALSE)+VLOOKUP($A384,A:AL,25,FALSE)-50))</f>
        <v>-</v>
      </c>
      <c r="AA384" s="3">
        <f>IF(ISERROR(VLOOKUP($A384,'SegEnds_NonXtal_BW#'!$A:$Z,19,FALSE)+VLOOKUP($A384,A:AL,28,FALSE)-50),"-",(VLOOKUP($A384,'SegEnds_NonXtal_BW#'!$A:$Z,19,FALSE)+VLOOKUP($A384,A:AL,28,FALSE)-50))</f>
        <v>190</v>
      </c>
      <c r="AB384" s="3">
        <v>201</v>
      </c>
      <c r="AC384" s="3">
        <f>IF(ISERROR((VLOOKUP($A384,'SegEnds_NonXtal_BW#'!$A:$Z,20,FALSE)+VLOOKUP($A384,A:AL,28,FALSE)-50)),"-",(VLOOKUP($A384,'SegEnds_NonXtal_BW#'!$A:$Z,20,FALSE)+VLOOKUP($A384,A:AL,28,FALSE)-50))</f>
        <v>212</v>
      </c>
      <c r="AD384" s="3">
        <f>IF(ISERROR(VLOOKUP($A384,'SegEnds_NonXtal_BW#'!$A:$Z,21,FALSE)+VLOOKUP($A384,A:AL,31,FALSE)-50),"-",(VLOOKUP($A384,'SegEnds_NonXtal_BW#'!$A:$Z,21,FALSE)+VLOOKUP($A384,A:AL,31,FALSE)-50))</f>
        <v>238</v>
      </c>
      <c r="AE384" s="3">
        <v>259</v>
      </c>
      <c r="AF384" s="3">
        <f>IF(ISERROR((VLOOKUP($A384,'SegEnds_NonXtal_BW#'!$A:$Z,22,FALSE)+VLOOKUP($A384,A:AL,31,FALSE)-50)),"-",(VLOOKUP($A384,'SegEnds_NonXtal_BW#'!$A:$Z,22,FALSE)+VLOOKUP($A384,A:AL,31,FALSE)-50))</f>
        <v>262</v>
      </c>
      <c r="AG384" s="3">
        <f>IF(ISERROR(VLOOKUP($A384,'SegEnds_NonXtal_BW#'!$A:$Z,23,FALSE)+VLOOKUP($A384,A:AL,34,FALSE)-50),"-",(VLOOKUP($A384,'SegEnds_NonXtal_BW#'!$A:$Z,23,FALSE)+VLOOKUP($A384,A:AL,34,FALSE)-50))</f>
        <v>293</v>
      </c>
      <c r="AH384" s="3">
        <v>308</v>
      </c>
      <c r="AI384" s="3">
        <f>IF(ISERROR((VLOOKUP($A384,'SegEnds_NonXtal_BW#'!$A:$Z,24,FALSE)+VLOOKUP($A384,A:AL,34,FALSE)-50)),"-",(VLOOKUP($A384,'SegEnds_NonXtal_BW#'!$A:$Z,24,FALSE)+VLOOKUP($A384,A:AL,34,FALSE)-50))</f>
        <v>314</v>
      </c>
      <c r="AJ384" s="3">
        <f>IF(ISERROR(VLOOKUP($A384,'SegEnds_NonXtal_BW#'!$A:$Z,25,FALSE)+VLOOKUP($A384,A:AL,37,FALSE)-50),"-",(VLOOKUP($A384,'SegEnds_NonXtal_BW#'!$A:$Z,25,FALSE)+VLOOKUP($A384,A:AL,37,FALSE)-50))</f>
        <v>315</v>
      </c>
      <c r="AK384" s="3">
        <v>318</v>
      </c>
      <c r="AL384" s="3">
        <f>IF(ISERROR((VLOOKUP($A384,'SegEnds_NonXtal_BW#'!$A:$Z,26,FALSE)+VLOOKUP($A384,A:AL,37,FALSE)-50)),"-",(VLOOKUP($A384,'SegEnds_NonXtal_BW#'!$A:$Z,26,FALSE)+VLOOKUP($A384,A:AL,37,FALSE)-50))</f>
        <v>325</v>
      </c>
      <c r="AM384" s="28" t="str">
        <f>VLOOKUP(A384,Classification!A:B,2,FALSE)</f>
        <v>O</v>
      </c>
      <c r="AN384" s="28" t="b">
        <f t="shared" si="195"/>
        <v>1</v>
      </c>
      <c r="AO384" s="3" t="str">
        <f>IF(ISERROR(MATCH(A384,'SegEnds_Xtal_Prot#'!B:B, 0)), "NoXtal", "Xtal")</f>
        <v>NoXtal</v>
      </c>
      <c r="AP384" s="3" t="str">
        <f t="shared" si="180"/>
        <v>-</v>
      </c>
      <c r="AQ384" s="3" t="str">
        <f t="shared" si="181"/>
        <v>-</v>
      </c>
      <c r="AR384" s="3" t="str">
        <f t="shared" si="182"/>
        <v>-</v>
      </c>
      <c r="AS384" s="3" t="str">
        <f t="shared" si="183"/>
        <v>-</v>
      </c>
      <c r="AT384" s="3" t="str">
        <f t="shared" si="184"/>
        <v>-</v>
      </c>
      <c r="AU384" s="3" t="str">
        <f t="shared" si="185"/>
        <v>-</v>
      </c>
      <c r="AV384" s="3" t="str">
        <f t="shared" si="186"/>
        <v>-</v>
      </c>
      <c r="AW384" s="3" t="str">
        <f t="shared" si="187"/>
        <v>-</v>
      </c>
      <c r="AX384" s="3">
        <f t="shared" si="188"/>
        <v>26</v>
      </c>
      <c r="AY384" s="3">
        <f t="shared" si="189"/>
        <v>31</v>
      </c>
      <c r="AZ384" s="3">
        <f t="shared" si="190"/>
        <v>1</v>
      </c>
      <c r="BA384" s="3">
        <f>IF(ISERROR(LEN(VLOOKUP(A384,Seqs!A:E,2,FALSE))-AL384),"-",LEN(VLOOKUP(A384,Seqs!A:E,2,FALSE))-AL384)</f>
        <v>79</v>
      </c>
      <c r="BB384" s="16">
        <f t="shared" si="191"/>
        <v>36</v>
      </c>
      <c r="BC384" s="9" t="str">
        <f t="shared" si="192"/>
        <v>-</v>
      </c>
      <c r="BD384" s="3">
        <f t="shared" si="193"/>
        <v>36</v>
      </c>
      <c r="BE384" s="3">
        <f t="shared" si="194"/>
        <v>58</v>
      </c>
    </row>
    <row r="385" spans="1:58" s="3" customFormat="1" x14ac:dyDescent="0.2">
      <c r="A385" s="3" t="s">
        <v>486</v>
      </c>
      <c r="B385" s="3" t="str">
        <f>LOWER(VLOOKUP(A385,Xtal_Templ!A:B,2,FALSE))</f>
        <v>5ht2c_human</v>
      </c>
      <c r="C385" s="3">
        <f>VLOOKUP($A385,'SegEnds_NonXtal_BW#'!$A:$Z,3,FALSE)+D385-50</f>
        <v>12</v>
      </c>
      <c r="D385" s="3">
        <v>29</v>
      </c>
      <c r="E385" s="3">
        <f>IF(ISERROR(VLOOKUP($A385,'SegEnds_NonXtal_BW#'!$A:$Z,4,FALSE)+VLOOKUP($A385,A:AL,4,FALSE)-50),"-",(VLOOKUP($A385,'SegEnds_NonXtal_BW#'!$A:$Z,4,FALSE)+VLOOKUP($A385,A:AL,4,FALSE)-50))</f>
        <v>39</v>
      </c>
      <c r="F385" s="3" t="str">
        <f>IF(ISERROR(VLOOKUP($A385,'SegEnds_NonXtal_BW#'!$A:$Z,5,FALSE)+VLOOKUP($A385,A:AL,7,FALSE)-50),"-",(VLOOKUP($A385,'SegEnds_NonXtal_BW#'!$A:$Z,5,FALSE)+VLOOKUP($A385,A:AL,7,FALSE)-50))</f>
        <v>-</v>
      </c>
      <c r="G385" s="3" t="s">
        <v>23</v>
      </c>
      <c r="H385" s="3" t="str">
        <f>IF(ISERROR(VLOOKUP($A385,'SegEnds_NonXtal_BW#'!$A:$Z,6,FALSE)+VLOOKUP($A385,A:AL,7,FALSE)-50),"-",(VLOOKUP($A385,'SegEnds_NonXtal_BW#'!$A:$Z,6,FALSE)+VLOOKUP($A385,A:AL,7,FALSE)-50))</f>
        <v>-</v>
      </c>
      <c r="I385" s="3">
        <f>VLOOKUP($A385,'SegEnds_NonXtal_BW#'!$A:$Z,7,FALSE)+J385-50</f>
        <v>46</v>
      </c>
      <c r="J385" s="3">
        <v>57</v>
      </c>
      <c r="K385" s="3">
        <f>VLOOKUP($A385,'SegEnds_NonXtal_BW#'!$A:$Z,8,FALSE)+VLOOKUP($A385,A:AL,10,FALSE)-50</f>
        <v>70</v>
      </c>
      <c r="L385" s="3" t="str">
        <f>IF(ISERROR(VLOOKUP($A385,'SegEnds_NonXtal_BW#'!$A:$Z,9,FALSE)+VLOOKUP($A385,A:AL,13,FALSE)-50),"-",(VLOOKUP($A385,'SegEnds_NonXtal_BW#'!$A:$Z,9,FALSE)+VLOOKUP($A385,A:AL,13,FALSE)-50))</f>
        <v>-</v>
      </c>
      <c r="M385" s="3" t="s">
        <v>23</v>
      </c>
      <c r="N385" s="3" t="str">
        <f>IF(ISERROR(VLOOKUP($A385,'SegEnds_NonXtal_BW#'!$A:$Z,10,FALSE)+VLOOKUP($A385,A:AL,13,FALSE)-50),"-",(VLOOKUP($A385,'SegEnds_NonXtal_BW#'!$A:$Z,10,FALSE)+VLOOKUP($A385,A:AL,13,FALSE)-50))</f>
        <v>-</v>
      </c>
      <c r="O385" s="3">
        <f>VLOOKUP($A385,'SegEnds_NonXtal_BW#'!$A:$Z,11,FALSE)+VLOOKUP($A385,A:AL,16,FALSE)-50</f>
        <v>77</v>
      </c>
      <c r="P385" s="3">
        <v>104</v>
      </c>
      <c r="Q385" s="3">
        <f>VLOOKUP($A385,'SegEnds_NonXtal_BW#'!$A:$Z,12,FALSE)+VLOOKUP($A385,A:AL,16,FALSE)-50</f>
        <v>110</v>
      </c>
      <c r="R385" s="3" t="str">
        <f>IF(ISERROR(VLOOKUP($A385,'SegEnds_NonXtal_BW#'!$A:$Z,13,FALSE)+VLOOKUP($A385,A:AL,19,FALSE)-50),"-",VLOOKUP($A385,'SegEnds_NonXtal_BW#'!$A:$Z,13,FALSE)+VLOOKUP($A385,A:AL,19,FALSE)-50)</f>
        <v>-</v>
      </c>
      <c r="S385" s="3" t="s">
        <v>23</v>
      </c>
      <c r="T385" s="100" t="str">
        <f>IF(ISERROR(VLOOKUP($A385,'SegEnds_NonXtal_BW#'!$A:$Z,14,FALSE)+VLOOKUP($A385,A:AL,19,FALSE)-50),"-",(VLOOKUP($A385,'SegEnds_NonXtal_BW#'!$A:$Z,14,FALSE)+VLOOKUP($A385,A:AL,19,FALSE)-50))</f>
        <v>-</v>
      </c>
      <c r="U385" s="9">
        <f>IF(ISERROR(VLOOKUP($A385,'SegEnds_NonXtal_BW#'!$A:$Z,15,FALSE)+VLOOKUP($A385,A:AL,22,FALSE)-50),"-",VLOOKUP($A385,'SegEnds_NonXtal_BW#'!$A:$Z,15,FALSE)+VLOOKUP($A385,A:AL,22,FALSE)-50)</f>
        <v>125</v>
      </c>
      <c r="V385" s="3">
        <v>135</v>
      </c>
      <c r="W385" s="3">
        <f>IF(ISERROR(VLOOKUP($A385,'SegEnds_NonXtal_BW#'!$A:$Z,16,FALSE)+VLOOKUP($A385,A:AL,22,FALSE)-50),"-",(VLOOKUP($A385,'SegEnds_NonXtal_BW#'!$A:$Z,16,FALSE)+VLOOKUP($A385,A:AL,22,FALSE)-50))</f>
        <v>149</v>
      </c>
      <c r="X385" s="3" t="str">
        <f>IF(ISERROR(VLOOKUP($A385,'SegEnds_NonXtal_BW#'!$A:$Z,17,FALSE)+VLOOKUP($A385,A:AL,25,FALSE)-50),"-",(VLOOKUP($A385,'SegEnds_NonXtal_BW#'!$A:$Z,17,FALSE)+VLOOKUP($A385,A:AL,25,FALSE)-50))</f>
        <v>-</v>
      </c>
      <c r="Y385" s="3" t="s">
        <v>23</v>
      </c>
      <c r="Z385" s="3" t="str">
        <f>IF(ISERROR(VLOOKUP($A385,'SegEnds_NonXtal_BW#'!$A:$Z,18,FALSE)+VLOOKUP($A385,A:AL,25,FALSE)-50),"-",(VLOOKUP($A385,'SegEnds_NonXtal_BW#'!$A:$Z,18,FALSE)+VLOOKUP($A385,A:AL,25,FALSE)-50))</f>
        <v>-</v>
      </c>
      <c r="AA385" s="3">
        <f>IF(ISERROR(VLOOKUP($A385,'SegEnds_NonXtal_BW#'!$A:$Z,19,FALSE)+VLOOKUP($A385,A:AL,28,FALSE)-50),"-",(VLOOKUP($A385,'SegEnds_NonXtal_BW#'!$A:$Z,19,FALSE)+VLOOKUP($A385,A:AL,28,FALSE)-50))</f>
        <v>153</v>
      </c>
      <c r="AB385" s="3">
        <v>164</v>
      </c>
      <c r="AC385" s="3">
        <f>IF(ISERROR((VLOOKUP($A385,'SegEnds_NonXtal_BW#'!$A:$Z,20,FALSE)+VLOOKUP($A385,A:AL,28,FALSE)-50)),"-",(VLOOKUP($A385,'SegEnds_NonXtal_BW#'!$A:$Z,20,FALSE)+VLOOKUP($A385,A:AL,28,FALSE)-50))</f>
        <v>175</v>
      </c>
      <c r="AD385" s="3">
        <f>IF(ISERROR(VLOOKUP($A385,'SegEnds_NonXtal_BW#'!$A:$Z,21,FALSE)+VLOOKUP($A385,A:AL,31,FALSE)-50),"-",(VLOOKUP($A385,'SegEnds_NonXtal_BW#'!$A:$Z,21,FALSE)+VLOOKUP($A385,A:AL,31,FALSE)-50))</f>
        <v>210</v>
      </c>
      <c r="AE385" s="3">
        <v>231</v>
      </c>
      <c r="AF385" s="3">
        <f>IF(ISERROR((VLOOKUP($A385,'SegEnds_NonXtal_BW#'!$A:$Z,22,FALSE)+VLOOKUP($A385,A:AL,31,FALSE)-50)),"-",(VLOOKUP($A385,'SegEnds_NonXtal_BW#'!$A:$Z,22,FALSE)+VLOOKUP($A385,A:AL,31,FALSE)-50))</f>
        <v>234</v>
      </c>
      <c r="AG385" s="3">
        <f>IF(ISERROR(VLOOKUP($A385,'SegEnds_NonXtal_BW#'!$A:$Z,23,FALSE)+VLOOKUP($A385,A:AL,34,FALSE)-50),"-",(VLOOKUP($A385,'SegEnds_NonXtal_BW#'!$A:$Z,23,FALSE)+VLOOKUP($A385,A:AL,34,FALSE)-50))</f>
        <v>261</v>
      </c>
      <c r="AH385" s="3">
        <v>276</v>
      </c>
      <c r="AI385" s="3">
        <f>IF(ISERROR((VLOOKUP($A385,'SegEnds_NonXtal_BW#'!$A:$Z,24,FALSE)+VLOOKUP($A385,A:AL,34,FALSE)-50)),"-",(VLOOKUP($A385,'SegEnds_NonXtal_BW#'!$A:$Z,24,FALSE)+VLOOKUP($A385,A:AL,34,FALSE)-50))</f>
        <v>282</v>
      </c>
      <c r="AJ385" s="3">
        <v>286</v>
      </c>
      <c r="AK385" s="3">
        <v>294</v>
      </c>
      <c r="AL385" s="3">
        <f>IF(ISERROR((VLOOKUP($A385,'SegEnds_NonXtal_BW#'!$A:$Z,26,FALSE)+VLOOKUP($A385,A:AL,37,FALSE)-50)),"-",(VLOOKUP($A385,'SegEnds_NonXtal_BW#'!$A:$Z,26,FALSE)+VLOOKUP($A385,A:AL,37,FALSE)-50))</f>
        <v>301</v>
      </c>
      <c r="AM385" s="28" t="str">
        <f>VLOOKUP(A385,Classification!A:B,2,FALSE)</f>
        <v>O</v>
      </c>
      <c r="AN385" s="28" t="b">
        <f t="shared" si="195"/>
        <v>1</v>
      </c>
      <c r="AO385" s="3" t="str">
        <f>IF(ISERROR(MATCH(A385,'SegEnds_Xtal_Prot#'!B:B, 0)), "NoXtal", "Xtal")</f>
        <v>NoXtal</v>
      </c>
      <c r="AP385" s="3" t="str">
        <f t="shared" si="180"/>
        <v>-</v>
      </c>
      <c r="AQ385" s="3" t="str">
        <f t="shared" si="181"/>
        <v>-</v>
      </c>
      <c r="AR385" s="3" t="str">
        <f t="shared" si="182"/>
        <v>-</v>
      </c>
      <c r="AS385" s="3" t="str">
        <f t="shared" si="183"/>
        <v>-</v>
      </c>
      <c r="AT385" s="3" t="str">
        <f t="shared" si="184"/>
        <v>-</v>
      </c>
      <c r="AU385" s="3" t="str">
        <f t="shared" si="185"/>
        <v>-</v>
      </c>
      <c r="AV385" s="3" t="str">
        <f t="shared" si="186"/>
        <v>-</v>
      </c>
      <c r="AW385" s="3" t="str">
        <f t="shared" si="187"/>
        <v>-</v>
      </c>
      <c r="AX385" s="3">
        <f t="shared" si="188"/>
        <v>35</v>
      </c>
      <c r="AY385" s="3">
        <f t="shared" si="189"/>
        <v>27</v>
      </c>
      <c r="AZ385" s="3">
        <f t="shared" si="190"/>
        <v>4</v>
      </c>
      <c r="BA385" s="3">
        <f>IF(ISERROR(LEN(VLOOKUP(A385,Seqs!A:E,2,FALSE))-AL385),"-",LEN(VLOOKUP(A385,Seqs!A:E,2,FALSE))-AL385)</f>
        <v>34</v>
      </c>
      <c r="BB385" s="16">
        <f t="shared" si="191"/>
        <v>28</v>
      </c>
      <c r="BC385" s="9" t="str">
        <f t="shared" si="192"/>
        <v>-</v>
      </c>
      <c r="BD385" s="3">
        <f t="shared" si="193"/>
        <v>28</v>
      </c>
      <c r="BE385" s="3">
        <f t="shared" si="194"/>
        <v>67</v>
      </c>
    </row>
    <row r="386" spans="1:58" s="3" customFormat="1" x14ac:dyDescent="0.2">
      <c r="A386" s="3" t="s">
        <v>484</v>
      </c>
      <c r="B386" s="3" t="str">
        <f>LOWER(VLOOKUP(A386,Xtal_Templ!A:B,2,FALSE))</f>
        <v>pe2r4_human</v>
      </c>
      <c r="C386" s="3">
        <v>27</v>
      </c>
      <c r="D386" s="3">
        <v>64</v>
      </c>
      <c r="E386" s="3">
        <f>IF(ISERROR(VLOOKUP($A386,'SegEnds_NonXtal_BW#'!$A:$Z,4,FALSE)+VLOOKUP($A386,A:AL,4,FALSE)-50),"-",(VLOOKUP($A386,'SegEnds_NonXtal_BW#'!$A:$Z,4,FALSE)+VLOOKUP($A386,A:AL,4,FALSE)-50))</f>
        <v>74</v>
      </c>
      <c r="F386" s="3" t="str">
        <f>IF(ISERROR(VLOOKUP($A386,'SegEnds_NonXtal_BW#'!$A:$Z,5,FALSE)+VLOOKUP($A386,A:AL,7,FALSE)-50),"-",(VLOOKUP($A386,'SegEnds_NonXtal_BW#'!$A:$Z,5,FALSE)+VLOOKUP($A386,A:AL,7,FALSE)-50))</f>
        <v>-</v>
      </c>
      <c r="G386" s="3" t="s">
        <v>23</v>
      </c>
      <c r="H386" s="3" t="str">
        <f>IF(ISERROR(VLOOKUP($A386,'SegEnds_NonXtal_BW#'!$A:$Z,6,FALSE)+VLOOKUP($A386,A:AL,7,FALSE)-50),"-",(VLOOKUP($A386,'SegEnds_NonXtal_BW#'!$A:$Z,6,FALSE)+VLOOKUP($A386,A:AL,7,FALSE)-50))</f>
        <v>-</v>
      </c>
      <c r="I386" s="3">
        <f>VLOOKUP($A386,'SegEnds_NonXtal_BW#'!$A:$Z,7,FALSE)+J386-50</f>
        <v>85</v>
      </c>
      <c r="J386" s="3">
        <v>96</v>
      </c>
      <c r="K386" s="3">
        <f>VLOOKUP($A386,'SegEnds_NonXtal_BW#'!$A:$Z,8,FALSE)+VLOOKUP($A386,A:AL,10,FALSE)-50</f>
        <v>109</v>
      </c>
      <c r="L386" s="3" t="str">
        <f>IF(ISERROR(VLOOKUP($A386,'SegEnds_NonXtal_BW#'!$A:$Z,9,FALSE)+VLOOKUP($A386,A:AL,13,FALSE)-50),"-",(VLOOKUP($A386,'SegEnds_NonXtal_BW#'!$A:$Z,9,FALSE)+VLOOKUP($A386,A:AL,13,FALSE)-50))</f>
        <v>-</v>
      </c>
      <c r="M386" s="3" t="s">
        <v>23</v>
      </c>
      <c r="N386" s="3" t="str">
        <f>IF(ISERROR(VLOOKUP($A386,'SegEnds_NonXtal_BW#'!$A:$Z,10,FALSE)+VLOOKUP($A386,A:AL,13,FALSE)-50),"-",(VLOOKUP($A386,'SegEnds_NonXtal_BW#'!$A:$Z,10,FALSE)+VLOOKUP($A386,A:AL,13,FALSE)-50))</f>
        <v>-</v>
      </c>
      <c r="O386" s="3">
        <f>VLOOKUP($A386,'SegEnds_NonXtal_BW#'!$A:$Z,11,FALSE)+VLOOKUP($A386,A:AL,16,FALSE)-50</f>
        <v>114</v>
      </c>
      <c r="P386" s="3">
        <v>141</v>
      </c>
      <c r="Q386" s="3">
        <f>VLOOKUP($A386,'SegEnds_NonXtal_BW#'!$A:$Z,12,FALSE)+VLOOKUP($A386,A:AL,16,FALSE)-50</f>
        <v>147</v>
      </c>
      <c r="R386" s="3" t="str">
        <f>IF(ISERROR(VLOOKUP($A386,'SegEnds_NonXtal_BW#'!$A:$Z,13,FALSE)+VLOOKUP($A386,A:AL,19,FALSE)-50),"-",VLOOKUP($A386,'SegEnds_NonXtal_BW#'!$A:$Z,13,FALSE)+VLOOKUP($A386,A:AL,19,FALSE)-50)</f>
        <v>-</v>
      </c>
      <c r="S386" s="3" t="s">
        <v>23</v>
      </c>
      <c r="T386" s="100" t="str">
        <f>IF(ISERROR(VLOOKUP($A386,'SegEnds_NonXtal_BW#'!$A:$Z,14,FALSE)+VLOOKUP($A386,A:AL,19,FALSE)-50),"-",(VLOOKUP($A386,'SegEnds_NonXtal_BW#'!$A:$Z,14,FALSE)+VLOOKUP($A386,A:AL,19,FALSE)-50))</f>
        <v>-</v>
      </c>
      <c r="U386" s="9">
        <f>IF(ISERROR(VLOOKUP($A386,'SegEnds_NonXtal_BW#'!$A:$Z,15,FALSE)+VLOOKUP($A386,A:AL,22,FALSE)-50),"-",VLOOKUP($A386,'SegEnds_NonXtal_BW#'!$A:$Z,15,FALSE)+VLOOKUP($A386,A:AL,22,FALSE)-50)</f>
        <v>162</v>
      </c>
      <c r="V386" s="3">
        <v>172</v>
      </c>
      <c r="W386" s="3">
        <f>IF(ISERROR(VLOOKUP($A386,'SegEnds_NonXtal_BW#'!$A:$Z,16,FALSE)+VLOOKUP($A386,A:AL,22,FALSE)-50),"-",(VLOOKUP($A386,'SegEnds_NonXtal_BW#'!$A:$Z,16,FALSE)+VLOOKUP($A386,A:AL,22,FALSE)-50))</f>
        <v>183</v>
      </c>
      <c r="X386" s="3" t="str">
        <f>IF(ISERROR(VLOOKUP($A386,'SegEnds_NonXtal_BW#'!$A:$Z,17,FALSE)+VLOOKUP($A386,A:AL,25,FALSE)-50),"-",(VLOOKUP($A386,'SegEnds_NonXtal_BW#'!$A:$Z,17,FALSE)+VLOOKUP($A386,A:AL,25,FALSE)-50))</f>
        <v>-</v>
      </c>
      <c r="Y386" s="3" t="s">
        <v>23</v>
      </c>
      <c r="Z386" s="3" t="str">
        <f>IF(ISERROR(VLOOKUP($A386,'SegEnds_NonXtal_BW#'!$A:$Z,18,FALSE)+VLOOKUP($A386,A:AL,25,FALSE)-50),"-",(VLOOKUP($A386,'SegEnds_NonXtal_BW#'!$A:$Z,18,FALSE)+VLOOKUP($A386,A:AL,25,FALSE)-50))</f>
        <v>-</v>
      </c>
      <c r="AA386" s="3">
        <f>IF(ISERROR(VLOOKUP($A386,'SegEnds_NonXtal_BW#'!$A:$Z,19,FALSE)+VLOOKUP($A386,A:AL,28,FALSE)-50),"-",(VLOOKUP($A386,'SegEnds_NonXtal_BW#'!$A:$Z,19,FALSE)+VLOOKUP($A386,A:AL,28,FALSE)-50))</f>
        <v>187</v>
      </c>
      <c r="AB386" s="3">
        <v>197</v>
      </c>
      <c r="AC386" s="3">
        <f>IF(ISERROR((VLOOKUP($A386,'SegEnds_NonXtal_BW#'!$A:$Z,20,FALSE)+VLOOKUP($A386,A:AL,28,FALSE)-50)),"-",(VLOOKUP($A386,'SegEnds_NonXtal_BW#'!$A:$Z,20,FALSE)+VLOOKUP($A386,A:AL,28,FALSE)-50))</f>
        <v>208</v>
      </c>
      <c r="AD386" s="3">
        <f>IF(ISERROR(VLOOKUP($A386,'SegEnds_NonXtal_BW#'!$A:$Z,21,FALSE)+VLOOKUP($A386,A:AL,31,FALSE)-50),"-",(VLOOKUP($A386,'SegEnds_NonXtal_BW#'!$A:$Z,21,FALSE)+VLOOKUP($A386,A:AL,31,FALSE)-50))</f>
        <v>252</v>
      </c>
      <c r="AE386" s="3">
        <v>273</v>
      </c>
      <c r="AF386" s="3">
        <f>IF(ISERROR((VLOOKUP($A386,'SegEnds_NonXtal_BW#'!$A:$Z,22,FALSE)+VLOOKUP($A386,A:AL,31,FALSE)-50)),"-",(VLOOKUP($A386,'SegEnds_NonXtal_BW#'!$A:$Z,22,FALSE)+VLOOKUP($A386,A:AL,31,FALSE)-50))</f>
        <v>276</v>
      </c>
      <c r="AG386" s="3">
        <f>IF(ISERROR(VLOOKUP($A386,'SegEnds_NonXtal_BW#'!$A:$Z,23,FALSE)+VLOOKUP($A386,A:AL,34,FALSE)-50),"-",(VLOOKUP($A386,'SegEnds_NonXtal_BW#'!$A:$Z,23,FALSE)+VLOOKUP($A386,A:AL,34,FALSE)-50))</f>
        <v>294</v>
      </c>
      <c r="AH386" s="3">
        <v>309</v>
      </c>
      <c r="AI386" s="3">
        <f>IF(ISERROR((VLOOKUP($A386,'SegEnds_NonXtal_BW#'!$A:$Z,24,FALSE)+VLOOKUP($A386,A:AL,34,FALSE)-50)),"-",(VLOOKUP($A386,'SegEnds_NonXtal_BW#'!$A:$Z,24,FALSE)+VLOOKUP($A386,A:AL,34,FALSE)-50))</f>
        <v>315</v>
      </c>
      <c r="AJ386" s="105">
        <v>320</v>
      </c>
      <c r="AK386" s="3">
        <v>333</v>
      </c>
      <c r="AL386" s="3">
        <f>IF(ISERROR((VLOOKUP($A386,'SegEnds_NonXtal_BW#'!$A:$Z,26,FALSE)+VLOOKUP($A386,A:AL,37,FALSE)-50)),"-",(VLOOKUP($A386,'SegEnds_NonXtal_BW#'!$A:$Z,26,FALSE)+VLOOKUP($A386,A:AL,37,FALSE)-50))</f>
        <v>340</v>
      </c>
      <c r="AM386" s="28" t="str">
        <f>VLOOKUP(A386,Classification!A:B,2,FALSE)</f>
        <v>O</v>
      </c>
      <c r="AN386" s="28" t="b">
        <f t="shared" si="195"/>
        <v>1</v>
      </c>
      <c r="AO386" s="3" t="str">
        <f>IF(ISERROR(MATCH(A386,'SegEnds_Xtal_Prot#'!B:B, 0)), "NoXtal", "Xtal")</f>
        <v>NoXtal</v>
      </c>
      <c r="AP386" s="3" t="str">
        <f t="shared" si="180"/>
        <v>-</v>
      </c>
      <c r="AQ386" s="3" t="str">
        <f t="shared" si="181"/>
        <v>-</v>
      </c>
      <c r="AR386" s="3" t="str">
        <f t="shared" si="182"/>
        <v>-</v>
      </c>
      <c r="AS386" s="3" t="str">
        <f t="shared" si="183"/>
        <v>-</v>
      </c>
      <c r="AT386" s="3" t="str">
        <f t="shared" si="184"/>
        <v>-</v>
      </c>
      <c r="AU386" s="3" t="str">
        <f t="shared" si="185"/>
        <v>-</v>
      </c>
      <c r="AV386" s="3" t="str">
        <f t="shared" si="186"/>
        <v>-</v>
      </c>
      <c r="AW386" s="3" t="str">
        <f t="shared" si="187"/>
        <v>-</v>
      </c>
      <c r="AX386" s="3">
        <f t="shared" si="188"/>
        <v>44</v>
      </c>
      <c r="AY386" s="3">
        <f t="shared" si="189"/>
        <v>18</v>
      </c>
      <c r="AZ386" s="3">
        <f t="shared" si="190"/>
        <v>5</v>
      </c>
      <c r="BA386" s="3">
        <f>IF(ISERROR(LEN(VLOOKUP(A386,Seqs!A:E,2,FALSE))-AL386),"-",LEN(VLOOKUP(A386,Seqs!A:E,2,FALSE))-AL386)</f>
        <v>33</v>
      </c>
      <c r="BB386" s="16">
        <f t="shared" si="191"/>
        <v>32</v>
      </c>
      <c r="BC386" s="9" t="str">
        <f t="shared" si="192"/>
        <v>-</v>
      </c>
      <c r="BD386" s="3">
        <f t="shared" si="193"/>
        <v>32</v>
      </c>
      <c r="BE386" s="3">
        <f t="shared" si="194"/>
        <v>76</v>
      </c>
    </row>
    <row r="387" spans="1:58" s="3" customFormat="1" x14ac:dyDescent="0.2">
      <c r="A387" s="3" t="s">
        <v>456</v>
      </c>
      <c r="B387" s="3" t="str">
        <f>LOWER(VLOOKUP(A387,Xtal_Templ!A:B,2,FALSE))</f>
        <v>drd2_human</v>
      </c>
      <c r="C387" s="3">
        <f>VLOOKUP($A387,'SegEnds_NonXtal_BW#'!$A:$Z,3,FALSE)+D387-50</f>
        <v>6</v>
      </c>
      <c r="D387" s="3">
        <v>24</v>
      </c>
      <c r="E387" s="3">
        <f t="shared" ref="E387:E411" si="203">F387-1</f>
        <v>36</v>
      </c>
      <c r="F387" s="3">
        <f t="shared" ref="F387:F411" si="204">G387-2</f>
        <v>37</v>
      </c>
      <c r="G387" s="3">
        <v>39</v>
      </c>
      <c r="H387" s="3">
        <f t="shared" ref="H387:I411" si="205">G387+1</f>
        <v>40</v>
      </c>
      <c r="I387" s="3">
        <f t="shared" si="205"/>
        <v>41</v>
      </c>
      <c r="J387" s="3">
        <v>54</v>
      </c>
      <c r="K387" s="3">
        <f>VLOOKUP($A387,'SegEnds_NonXtal_BW#'!$A:$Z,8,FALSE)+VLOOKUP($A387,A:AL,10,FALSE)-50</f>
        <v>71</v>
      </c>
      <c r="L387" s="3" t="str">
        <f>IF(ISERROR(VLOOKUP($A387,'SegEnds_NonXtal_BW#'!$A:$Z,9,FALSE)+VLOOKUP($A387,A:AL,13,FALSE)-50),"-",(VLOOKUP($A387,'SegEnds_NonXtal_BW#'!$A:$Z,9,FALSE)+VLOOKUP($A387,A:AL,13,FALSE)-50))</f>
        <v>-</v>
      </c>
      <c r="M387" s="3" t="s">
        <v>23</v>
      </c>
      <c r="N387" s="3" t="str">
        <f>IF(ISERROR(VLOOKUP($A387,'SegEnds_NonXtal_BW#'!$A:$Z,10,FALSE)+VLOOKUP($A387,A:AL,13,FALSE)-50),"-",(VLOOKUP($A387,'SegEnds_NonXtal_BW#'!$A:$Z,10,FALSE)+VLOOKUP($A387,A:AL,13,FALSE)-50))</f>
        <v>-</v>
      </c>
      <c r="O387" s="3">
        <f>VLOOKUP($A387,'SegEnds_NonXtal_BW#'!$A:$Z,11,FALSE)+VLOOKUP($A387,A:AL,16,FALSE)-50</f>
        <v>77</v>
      </c>
      <c r="P387" s="3">
        <v>106</v>
      </c>
      <c r="Q387" s="3">
        <f>VLOOKUP($A387,'SegEnds_NonXtal_BW#'!$A:$Z,12,FALSE)+VLOOKUP($A387,A:AL,16,FALSE)-50</f>
        <v>112</v>
      </c>
      <c r="R387" s="3">
        <f t="shared" ref="R387:R411" si="206">S387</f>
        <v>115</v>
      </c>
      <c r="S387" s="3">
        <v>115</v>
      </c>
      <c r="T387" s="100">
        <f t="shared" ref="T387:T411" si="207">S387+7</f>
        <v>122</v>
      </c>
      <c r="U387" s="9">
        <f>IF(ISERROR(VLOOKUP($A387,'SegEnds_NonXtal_BW#'!$A:$Z,15,FALSE)+VLOOKUP($A387,A:AL,22,FALSE)-50),"-",VLOOKUP($A387,'SegEnds_NonXtal_BW#'!$A:$Z,15,FALSE)+VLOOKUP($A387,A:AL,22,FALSE)-50)</f>
        <v>123</v>
      </c>
      <c r="V387" s="3">
        <v>135</v>
      </c>
      <c r="W387" s="3">
        <f>IF(ISERROR(VLOOKUP($A387,'SegEnds_NonXtal_BW#'!$A:$Z,16,FALSE)+VLOOKUP($A387,A:AL,22,FALSE)-50),"-",(VLOOKUP($A387,'SegEnds_NonXtal_BW#'!$A:$Z,16,FALSE)+VLOOKUP($A387,A:AL,22,FALSE)-50))</f>
        <v>147</v>
      </c>
      <c r="X387" s="3" t="str">
        <f>IF(ISERROR(VLOOKUP($A387,'SegEnds_NonXtal_BW#'!$A:$Z,17,FALSE)+VLOOKUP($A387,A:AL,25,FALSE)-50),"-",(VLOOKUP($A387,'SegEnds_NonXtal_BW#'!$A:$Z,17,FALSE)+VLOOKUP($A387,A:AL,25,FALSE)-50))</f>
        <v>-</v>
      </c>
      <c r="Y387" s="3" t="s">
        <v>23</v>
      </c>
      <c r="Z387" s="3" t="str">
        <f>IF(ISERROR(VLOOKUP($A387,'SegEnds_NonXtal_BW#'!$A:$Z,18,FALSE)+VLOOKUP($A387,A:AL,25,FALSE)-50),"-",(VLOOKUP($A387,'SegEnds_NonXtal_BW#'!$A:$Z,18,FALSE)+VLOOKUP($A387,A:AL,25,FALSE)-50))</f>
        <v>-</v>
      </c>
      <c r="AA387" s="3">
        <f>IF(ISERROR(VLOOKUP($A387,'SegEnds_NonXtal_BW#'!$A:$Z,19,FALSE)+VLOOKUP($A387,A:AL,28,FALSE)-50),"-",(VLOOKUP($A387,'SegEnds_NonXtal_BW#'!$A:$Z,19,FALSE)+VLOOKUP($A387,A:AL,28,FALSE)-50))</f>
        <v>167</v>
      </c>
      <c r="AB387" s="3">
        <v>185</v>
      </c>
      <c r="AC387" s="3">
        <f>IF(ISERROR((VLOOKUP($A387,'SegEnds_NonXtal_BW#'!$A:$Z,20,FALSE)+VLOOKUP($A387,A:AL,28,FALSE)-50)),"-",(VLOOKUP($A387,'SegEnds_NonXtal_BW#'!$A:$Z,20,FALSE)+VLOOKUP($A387,A:AL,28,FALSE)-50))</f>
        <v>207</v>
      </c>
      <c r="AD387" s="3">
        <f>IF(ISERROR(VLOOKUP($A387,'SegEnds_NonXtal_BW#'!$A:$Z,21,FALSE)+VLOOKUP($A387,A:AL,31,FALSE)-50),"-",(VLOOKUP($A387,'SegEnds_NonXtal_BW#'!$A:$Z,21,FALSE)+VLOOKUP($A387,A:AL,31,FALSE)-50))</f>
        <v>217</v>
      </c>
      <c r="AE387" s="3">
        <v>238</v>
      </c>
      <c r="AF387" s="3">
        <f>IF(ISERROR((VLOOKUP($A387,'SegEnds_NonXtal_BW#'!$A:$Z,22,FALSE)+VLOOKUP($A387,A:AL,31,FALSE)-50)),"-",(VLOOKUP($A387,'SegEnds_NonXtal_BW#'!$A:$Z,22,FALSE)+VLOOKUP($A387,A:AL,31,FALSE)-50))</f>
        <v>249</v>
      </c>
      <c r="AG387" s="3">
        <f>IF(ISERROR(VLOOKUP($A387,'SegEnds_NonXtal_BW#'!$A:$Z,23,FALSE)+VLOOKUP($A387,A:AL,34,FALSE)-50),"-",(VLOOKUP($A387,'SegEnds_NonXtal_BW#'!$A:$Z,23,FALSE)+VLOOKUP($A387,A:AL,34,FALSE)-50))</f>
        <v>255</v>
      </c>
      <c r="AH387" s="3">
        <v>274</v>
      </c>
      <c r="AI387" s="3">
        <f>IF(ISERROR((VLOOKUP($A387,'SegEnds_NonXtal_BW#'!$A:$Z,24,FALSE)+VLOOKUP($A387,A:AL,34,FALSE)-50)),"-",(VLOOKUP($A387,'SegEnds_NonXtal_BW#'!$A:$Z,24,FALSE)+VLOOKUP($A387,A:AL,34,FALSE)-50))</f>
        <v>280</v>
      </c>
      <c r="AJ387" s="3">
        <f>IF(ISERROR(VLOOKUP($A387,'SegEnds_NonXtal_BW#'!$A:$Z,25,FALSE)+VLOOKUP($A387,A:AL,37,FALSE)-50),"-",(VLOOKUP($A387,'SegEnds_NonXtal_BW#'!$A:$Z,25,FALSE)+VLOOKUP($A387,A:AL,37,FALSE)-50))</f>
        <v>281</v>
      </c>
      <c r="AK387" s="3">
        <v>284</v>
      </c>
      <c r="AL387" s="3">
        <f>IF(ISERROR((VLOOKUP($A387,'SegEnds_NonXtal_BW#'!$A:$Z,26,FALSE)+VLOOKUP($A387,A:AL,37,FALSE)-50)),"-",(VLOOKUP($A387,'SegEnds_NonXtal_BW#'!$A:$Z,26,FALSE)+VLOOKUP($A387,A:AL,37,FALSE)-50))</f>
        <v>294</v>
      </c>
      <c r="AM387" s="28" t="str">
        <f>VLOOKUP(A387,Classification!A:B,2,FALSE)</f>
        <v>T</v>
      </c>
      <c r="AN387" s="28" t="b">
        <f t="shared" si="195"/>
        <v>1</v>
      </c>
      <c r="AO387" s="3" t="str">
        <f>IF(ISERROR(MATCH(A387,'SegEnds_Xtal_Prot#'!B:B, 0)), "NoXtal", "Xtal")</f>
        <v>NoXtal</v>
      </c>
      <c r="AP387" s="3">
        <f t="shared" si="180"/>
        <v>1</v>
      </c>
      <c r="AQ387" s="3">
        <f t="shared" si="181"/>
        <v>1</v>
      </c>
      <c r="AR387" s="3" t="str">
        <f t="shared" si="182"/>
        <v>-</v>
      </c>
      <c r="AS387" s="3" t="str">
        <f t="shared" si="183"/>
        <v>-</v>
      </c>
      <c r="AT387" s="3">
        <f t="shared" si="184"/>
        <v>3</v>
      </c>
      <c r="AU387" s="3">
        <f t="shared" si="185"/>
        <v>1</v>
      </c>
      <c r="AV387" s="3" t="str">
        <f t="shared" si="186"/>
        <v>-</v>
      </c>
      <c r="AW387" s="3" t="str">
        <f t="shared" si="187"/>
        <v>-</v>
      </c>
      <c r="AX387" s="3">
        <f t="shared" si="188"/>
        <v>10</v>
      </c>
      <c r="AY387" s="3">
        <f t="shared" si="189"/>
        <v>6</v>
      </c>
      <c r="AZ387" s="3">
        <f t="shared" si="190"/>
        <v>1</v>
      </c>
      <c r="BA387" s="3">
        <f>IF(ISERROR(LEN(VLOOKUP(A387,Seqs!A:E,2,FALSE))-AL387),"-",LEN(VLOOKUP(A387,Seqs!A:E,2,FALSE))-AL387)</f>
        <v>13</v>
      </c>
      <c r="BB387" s="16">
        <f t="shared" si="191"/>
        <v>30</v>
      </c>
      <c r="BC387" s="9">
        <f t="shared" si="192"/>
        <v>20</v>
      </c>
      <c r="BD387" s="3">
        <f t="shared" si="193"/>
        <v>30</v>
      </c>
      <c r="BE387" s="3">
        <f t="shared" si="194"/>
        <v>53</v>
      </c>
      <c r="BF387" s="3">
        <f t="shared" ref="BF387:BF411" si="208">AH387-AE387</f>
        <v>36</v>
      </c>
    </row>
    <row r="388" spans="1:58" s="3" customFormat="1" x14ac:dyDescent="0.2">
      <c r="A388" s="3" t="s">
        <v>457</v>
      </c>
      <c r="B388" s="3" t="str">
        <f>LOWER(VLOOKUP(A388,Xtal_Templ!A:B,2,FALSE))</f>
        <v>apj_human</v>
      </c>
      <c r="C388" s="3">
        <f>VLOOKUP($A388,'SegEnds_NonXtal_BW#'!$A:$Z,3,FALSE)+D388-50</f>
        <v>6</v>
      </c>
      <c r="D388" s="3">
        <v>24</v>
      </c>
      <c r="E388" s="3">
        <f t="shared" si="203"/>
        <v>36</v>
      </c>
      <c r="F388" s="3">
        <f t="shared" si="204"/>
        <v>37</v>
      </c>
      <c r="G388" s="3">
        <v>39</v>
      </c>
      <c r="H388" s="3">
        <f t="shared" si="205"/>
        <v>40</v>
      </c>
      <c r="I388" s="3">
        <f t="shared" si="205"/>
        <v>41</v>
      </c>
      <c r="J388" s="3">
        <v>55</v>
      </c>
      <c r="K388" s="3">
        <f>VLOOKUP($A388,'SegEnds_NonXtal_BW#'!$A:$Z,8,FALSE)+VLOOKUP($A388,A:AL,10,FALSE)-50</f>
        <v>72</v>
      </c>
      <c r="L388" s="3" t="str">
        <f>IF(ISERROR(VLOOKUP($A388,'SegEnds_NonXtal_BW#'!$A:$Z,9,FALSE)+VLOOKUP($A388,A:AL,13,FALSE)-50),"-",(VLOOKUP($A388,'SegEnds_NonXtal_BW#'!$A:$Z,9,FALSE)+VLOOKUP($A388,A:AL,13,FALSE)-50))</f>
        <v>-</v>
      </c>
      <c r="M388" s="3" t="s">
        <v>23</v>
      </c>
      <c r="N388" s="3" t="str">
        <f>IF(ISERROR(VLOOKUP($A388,'SegEnds_NonXtal_BW#'!$A:$Z,10,FALSE)+VLOOKUP($A388,A:AL,13,FALSE)-50),"-",(VLOOKUP($A388,'SegEnds_NonXtal_BW#'!$A:$Z,10,FALSE)+VLOOKUP($A388,A:AL,13,FALSE)-50))</f>
        <v>-</v>
      </c>
      <c r="O388" s="3">
        <f>VLOOKUP($A388,'SegEnds_NonXtal_BW#'!$A:$Z,11,FALSE)+VLOOKUP($A388,A:AL,16,FALSE)-50</f>
        <v>78</v>
      </c>
      <c r="P388" s="3">
        <v>107</v>
      </c>
      <c r="Q388" s="3">
        <f>VLOOKUP($A388,'SegEnds_NonXtal_BW#'!$A:$Z,12,FALSE)+VLOOKUP($A388,A:AL,16,FALSE)-50</f>
        <v>113</v>
      </c>
      <c r="R388" s="3">
        <f t="shared" si="206"/>
        <v>116</v>
      </c>
      <c r="S388" s="3">
        <v>116</v>
      </c>
      <c r="T388" s="100">
        <f t="shared" si="207"/>
        <v>123</v>
      </c>
      <c r="U388" s="9">
        <f>IF(ISERROR(VLOOKUP($A388,'SegEnds_NonXtal_BW#'!$A:$Z,15,FALSE)+VLOOKUP($A388,A:AL,22,FALSE)-50),"-",VLOOKUP($A388,'SegEnds_NonXtal_BW#'!$A:$Z,15,FALSE)+VLOOKUP($A388,A:AL,22,FALSE)-50)</f>
        <v>124</v>
      </c>
      <c r="V388" s="3">
        <v>136</v>
      </c>
      <c r="W388" s="3">
        <f>IF(ISERROR(VLOOKUP($A388,'SegEnds_NonXtal_BW#'!$A:$Z,16,FALSE)+VLOOKUP($A388,A:AL,22,FALSE)-50),"-",(VLOOKUP($A388,'SegEnds_NonXtal_BW#'!$A:$Z,16,FALSE)+VLOOKUP($A388,A:AL,22,FALSE)-50))</f>
        <v>150</v>
      </c>
      <c r="X388" s="3" t="str">
        <f>IF(ISERROR(VLOOKUP($A388,'SegEnds_NonXtal_BW#'!$A:$Z,17,FALSE)+VLOOKUP($A388,A:AL,25,FALSE)-50),"-",(VLOOKUP($A388,'SegEnds_NonXtal_BW#'!$A:$Z,17,FALSE)+VLOOKUP($A388,A:AL,25,FALSE)-50))</f>
        <v>-</v>
      </c>
      <c r="Y388" s="3" t="s">
        <v>23</v>
      </c>
      <c r="Z388" s="3" t="str">
        <f>IF(ISERROR(VLOOKUP($A388,'SegEnds_NonXtal_BW#'!$A:$Z,18,FALSE)+VLOOKUP($A388,A:AL,25,FALSE)-50),"-",(VLOOKUP($A388,'SegEnds_NonXtal_BW#'!$A:$Z,18,FALSE)+VLOOKUP($A388,A:AL,25,FALSE)-50))</f>
        <v>-</v>
      </c>
      <c r="AA388" s="3">
        <f>IF(ISERROR(VLOOKUP($A388,'SegEnds_NonXtal_BW#'!$A:$Z,19,FALSE)+VLOOKUP($A388,A:AL,28,FALSE)-50),"-",(VLOOKUP($A388,'SegEnds_NonXtal_BW#'!$A:$Z,19,FALSE)+VLOOKUP($A388,A:AL,28,FALSE)-50))</f>
        <v>172</v>
      </c>
      <c r="AB388" s="3">
        <v>190</v>
      </c>
      <c r="AC388" s="3">
        <f>IF(ISERROR((VLOOKUP($A388,'SegEnds_NonXtal_BW#'!$A:$Z,20,FALSE)+VLOOKUP($A388,A:AL,28,FALSE)-50)),"-",(VLOOKUP($A388,'SegEnds_NonXtal_BW#'!$A:$Z,20,FALSE)+VLOOKUP($A388,A:AL,28,FALSE)-50))</f>
        <v>212</v>
      </c>
      <c r="AD388" s="3">
        <f>IF(ISERROR(VLOOKUP($A388,'SegEnds_NonXtal_BW#'!$A:$Z,21,FALSE)+VLOOKUP($A388,A:AL,31,FALSE)-50),"-",(VLOOKUP($A388,'SegEnds_NonXtal_BW#'!$A:$Z,21,FALSE)+VLOOKUP($A388,A:AL,31,FALSE)-50))</f>
        <v>222</v>
      </c>
      <c r="AE388" s="3">
        <v>243</v>
      </c>
      <c r="AF388" s="3">
        <f>IF(ISERROR((VLOOKUP($A388,'SegEnds_NonXtal_BW#'!$A:$Z,22,FALSE)+VLOOKUP($A388,A:AL,31,FALSE)-50)),"-",(VLOOKUP($A388,'SegEnds_NonXtal_BW#'!$A:$Z,22,FALSE)+VLOOKUP($A388,A:AL,31,FALSE)-50))</f>
        <v>254</v>
      </c>
      <c r="AG388" s="3">
        <f>IF(ISERROR(VLOOKUP($A388,'SegEnds_NonXtal_BW#'!$A:$Z,23,FALSE)+VLOOKUP($A388,A:AL,34,FALSE)-50),"-",(VLOOKUP($A388,'SegEnds_NonXtal_BW#'!$A:$Z,23,FALSE)+VLOOKUP($A388,A:AL,34,FALSE)-50))</f>
        <v>259</v>
      </c>
      <c r="AH388" s="3">
        <v>278</v>
      </c>
      <c r="AI388" s="3">
        <f>IF(ISERROR((VLOOKUP($A388,'SegEnds_NonXtal_BW#'!$A:$Z,24,FALSE)+VLOOKUP($A388,A:AL,34,FALSE)-50)),"-",(VLOOKUP($A388,'SegEnds_NonXtal_BW#'!$A:$Z,24,FALSE)+VLOOKUP($A388,A:AL,34,FALSE)-50))</f>
        <v>284</v>
      </c>
      <c r="AJ388" s="3">
        <f>IF(ISERROR(VLOOKUP($A388,'SegEnds_NonXtal_BW#'!$A:$Z,25,FALSE)+VLOOKUP($A388,A:AL,37,FALSE)-50),"-",(VLOOKUP($A388,'SegEnds_NonXtal_BW#'!$A:$Z,25,FALSE)+VLOOKUP($A388,A:AL,37,FALSE)-50))</f>
        <v>285</v>
      </c>
      <c r="AK388" s="3">
        <v>288</v>
      </c>
      <c r="AL388" s="3">
        <f>IF(ISERROR((VLOOKUP($A388,'SegEnds_NonXtal_BW#'!$A:$Z,26,FALSE)+VLOOKUP($A388,A:AL,37,FALSE)-50)),"-",(VLOOKUP($A388,'SegEnds_NonXtal_BW#'!$A:$Z,26,FALSE)+VLOOKUP($A388,A:AL,37,FALSE)-50))</f>
        <v>298</v>
      </c>
      <c r="AM388" s="28" t="str">
        <f>VLOOKUP(A388,Classification!A:B,2,FALSE)</f>
        <v>T</v>
      </c>
      <c r="AN388" s="28" t="b">
        <f t="shared" si="195"/>
        <v>1</v>
      </c>
      <c r="AO388" s="3" t="str">
        <f>IF(ISERROR(MATCH(A388,'SegEnds_Xtal_Prot#'!B:B, 0)), "NoXtal", "Xtal")</f>
        <v>NoXtal</v>
      </c>
      <c r="AP388" s="3">
        <f t="shared" si="180"/>
        <v>1</v>
      </c>
      <c r="AQ388" s="3">
        <f t="shared" si="181"/>
        <v>1</v>
      </c>
      <c r="AR388" s="3" t="str">
        <f t="shared" si="182"/>
        <v>-</v>
      </c>
      <c r="AS388" s="3" t="str">
        <f t="shared" si="183"/>
        <v>-</v>
      </c>
      <c r="AT388" s="3">
        <f t="shared" si="184"/>
        <v>3</v>
      </c>
      <c r="AU388" s="3">
        <f t="shared" si="185"/>
        <v>1</v>
      </c>
      <c r="AV388" s="3" t="str">
        <f t="shared" si="186"/>
        <v>-</v>
      </c>
      <c r="AW388" s="3" t="str">
        <f t="shared" si="187"/>
        <v>-</v>
      </c>
      <c r="AX388" s="3">
        <f t="shared" si="188"/>
        <v>10</v>
      </c>
      <c r="AY388" s="3">
        <f t="shared" si="189"/>
        <v>5</v>
      </c>
      <c r="AZ388" s="3">
        <f t="shared" si="190"/>
        <v>1</v>
      </c>
      <c r="BA388" s="3">
        <f>IF(ISERROR(LEN(VLOOKUP(A388,Seqs!A:E,2,FALSE))-AL388),"-",LEN(VLOOKUP(A388,Seqs!A:E,2,FALSE))-AL388)</f>
        <v>5</v>
      </c>
      <c r="BB388" s="16">
        <f t="shared" si="191"/>
        <v>31</v>
      </c>
      <c r="BC388" s="9">
        <f t="shared" si="192"/>
        <v>20</v>
      </c>
      <c r="BD388" s="3">
        <f t="shared" si="193"/>
        <v>31</v>
      </c>
      <c r="BE388" s="3">
        <f t="shared" si="194"/>
        <v>53</v>
      </c>
      <c r="BF388" s="3">
        <f t="shared" si="208"/>
        <v>35</v>
      </c>
    </row>
    <row r="389" spans="1:58" s="3" customFormat="1" x14ac:dyDescent="0.2">
      <c r="A389" s="3" t="s">
        <v>458</v>
      </c>
      <c r="B389" s="3" t="str">
        <f>LOWER(VLOOKUP(A389,Xtal_Templ!A:B,2,FALSE))</f>
        <v>5ht2c_human</v>
      </c>
      <c r="C389" s="3">
        <f>VLOOKUP($A389,'SegEnds_NonXtal_BW#'!$A:$Z,3,FALSE)+D389-50</f>
        <v>6</v>
      </c>
      <c r="D389" s="3">
        <v>24</v>
      </c>
      <c r="E389" s="3">
        <f t="shared" si="203"/>
        <v>36</v>
      </c>
      <c r="F389" s="3">
        <f t="shared" si="204"/>
        <v>37</v>
      </c>
      <c r="G389" s="3">
        <v>39</v>
      </c>
      <c r="H389" s="3">
        <f t="shared" si="205"/>
        <v>40</v>
      </c>
      <c r="I389" s="3">
        <f t="shared" si="205"/>
        <v>41</v>
      </c>
      <c r="J389" s="3">
        <v>55</v>
      </c>
      <c r="K389" s="3">
        <f>VLOOKUP($A389,'SegEnds_NonXtal_BW#'!$A:$Z,8,FALSE)+VLOOKUP($A389,A:AL,10,FALSE)-50</f>
        <v>72</v>
      </c>
      <c r="L389" s="3" t="str">
        <f>IF(ISERROR(VLOOKUP($A389,'SegEnds_NonXtal_BW#'!$A:$Z,9,FALSE)+VLOOKUP($A389,A:AL,13,FALSE)-50),"-",(VLOOKUP($A389,'SegEnds_NonXtal_BW#'!$A:$Z,9,FALSE)+VLOOKUP($A389,A:AL,13,FALSE)-50))</f>
        <v>-</v>
      </c>
      <c r="M389" s="3" t="s">
        <v>23</v>
      </c>
      <c r="N389" s="3" t="str">
        <f>IF(ISERROR(VLOOKUP($A389,'SegEnds_NonXtal_BW#'!$A:$Z,10,FALSE)+VLOOKUP($A389,A:AL,13,FALSE)-50),"-",(VLOOKUP($A389,'SegEnds_NonXtal_BW#'!$A:$Z,10,FALSE)+VLOOKUP($A389,A:AL,13,FALSE)-50))</f>
        <v>-</v>
      </c>
      <c r="O389" s="3">
        <f>VLOOKUP($A389,'SegEnds_NonXtal_BW#'!$A:$Z,11,FALSE)+VLOOKUP($A389,A:AL,16,FALSE)-50</f>
        <v>78</v>
      </c>
      <c r="P389" s="3">
        <v>107</v>
      </c>
      <c r="Q389" s="3">
        <f>VLOOKUP($A389,'SegEnds_NonXtal_BW#'!$A:$Z,12,FALSE)+VLOOKUP($A389,A:AL,16,FALSE)-50</f>
        <v>113</v>
      </c>
      <c r="R389" s="3">
        <f t="shared" si="206"/>
        <v>116</v>
      </c>
      <c r="S389" s="3">
        <v>116</v>
      </c>
      <c r="T389" s="100">
        <f t="shared" si="207"/>
        <v>123</v>
      </c>
      <c r="U389" s="9">
        <f>IF(ISERROR(VLOOKUP($A389,'SegEnds_NonXtal_BW#'!$A:$Z,15,FALSE)+VLOOKUP($A389,A:AL,22,FALSE)-50),"-",VLOOKUP($A389,'SegEnds_NonXtal_BW#'!$A:$Z,15,FALSE)+VLOOKUP($A389,A:AL,22,FALSE)-50)</f>
        <v>124</v>
      </c>
      <c r="V389" s="3">
        <v>136</v>
      </c>
      <c r="W389" s="3">
        <f>IF(ISERROR(VLOOKUP($A389,'SegEnds_NonXtal_BW#'!$A:$Z,16,FALSE)+VLOOKUP($A389,A:AL,22,FALSE)-50),"-",(VLOOKUP($A389,'SegEnds_NonXtal_BW#'!$A:$Z,16,FALSE)+VLOOKUP($A389,A:AL,22,FALSE)-50))</f>
        <v>153</v>
      </c>
      <c r="X389" s="3" t="str">
        <f>IF(ISERROR(VLOOKUP($A389,'SegEnds_NonXtal_BW#'!$A:$Z,17,FALSE)+VLOOKUP($A389,A:AL,25,FALSE)-50),"-",(VLOOKUP($A389,'SegEnds_NonXtal_BW#'!$A:$Z,17,FALSE)+VLOOKUP($A389,A:AL,25,FALSE)-50))</f>
        <v>-</v>
      </c>
      <c r="Y389" s="3" t="s">
        <v>23</v>
      </c>
      <c r="Z389" s="3" t="str">
        <f>IF(ISERROR(VLOOKUP($A389,'SegEnds_NonXtal_BW#'!$A:$Z,18,FALSE)+VLOOKUP($A389,A:AL,25,FALSE)-50),"-",(VLOOKUP($A389,'SegEnds_NonXtal_BW#'!$A:$Z,18,FALSE)+VLOOKUP($A389,A:AL,25,FALSE)-50))</f>
        <v>-</v>
      </c>
      <c r="AA389" s="3">
        <f>IF(ISERROR(VLOOKUP($A389,'SegEnds_NonXtal_BW#'!$A:$Z,19,FALSE)+VLOOKUP($A389,A:AL,28,FALSE)-50),"-",(VLOOKUP($A389,'SegEnds_NonXtal_BW#'!$A:$Z,19,FALSE)+VLOOKUP($A389,A:AL,28,FALSE)-50))</f>
        <v>172</v>
      </c>
      <c r="AB389" s="3">
        <v>190</v>
      </c>
      <c r="AC389" s="3">
        <f>IF(ISERROR((VLOOKUP($A389,'SegEnds_NonXtal_BW#'!$A:$Z,20,FALSE)+VLOOKUP($A389,A:AL,28,FALSE)-50)),"-",(VLOOKUP($A389,'SegEnds_NonXtal_BW#'!$A:$Z,20,FALSE)+VLOOKUP($A389,A:AL,28,FALSE)-50))</f>
        <v>212</v>
      </c>
      <c r="AD389" s="3">
        <f>IF(ISERROR(VLOOKUP($A389,'SegEnds_NonXtal_BW#'!$A:$Z,21,FALSE)+VLOOKUP($A389,A:AL,31,FALSE)-50),"-",(VLOOKUP($A389,'SegEnds_NonXtal_BW#'!$A:$Z,21,FALSE)+VLOOKUP($A389,A:AL,31,FALSE)-50))</f>
        <v>221</v>
      </c>
      <c r="AE389" s="3">
        <v>242</v>
      </c>
      <c r="AF389" s="3">
        <f>IF(ISERROR((VLOOKUP($A389,'SegEnds_NonXtal_BW#'!$A:$Z,22,FALSE)+VLOOKUP($A389,A:AL,31,FALSE)-50)),"-",(VLOOKUP($A389,'SegEnds_NonXtal_BW#'!$A:$Z,22,FALSE)+VLOOKUP($A389,A:AL,31,FALSE)-50))</f>
        <v>253</v>
      </c>
      <c r="AG389" s="3">
        <f>IF(ISERROR(VLOOKUP($A389,'SegEnds_NonXtal_BW#'!$A:$Z,23,FALSE)+VLOOKUP($A389,A:AL,34,FALSE)-50),"-",(VLOOKUP($A389,'SegEnds_NonXtal_BW#'!$A:$Z,23,FALSE)+VLOOKUP($A389,A:AL,34,FALSE)-50))</f>
        <v>258</v>
      </c>
      <c r="AH389" s="3">
        <v>277</v>
      </c>
      <c r="AI389" s="3">
        <f>IF(ISERROR((VLOOKUP($A389,'SegEnds_NonXtal_BW#'!$A:$Z,24,FALSE)+VLOOKUP($A389,A:AL,34,FALSE)-50)),"-",(VLOOKUP($A389,'SegEnds_NonXtal_BW#'!$A:$Z,24,FALSE)+VLOOKUP($A389,A:AL,34,FALSE)-50))</f>
        <v>283</v>
      </c>
      <c r="AJ389" s="3">
        <f>IF(ISERROR(VLOOKUP($A389,'SegEnds_NonXtal_BW#'!$A:$Z,25,FALSE)+VLOOKUP($A389,A:AL,37,FALSE)-50),"-",(VLOOKUP($A389,'SegEnds_NonXtal_BW#'!$A:$Z,25,FALSE)+VLOOKUP($A389,A:AL,37,FALSE)-50))</f>
        <v>284</v>
      </c>
      <c r="AK389" s="3">
        <v>287</v>
      </c>
      <c r="AL389" s="3">
        <f>IF(ISERROR((VLOOKUP($A389,'SegEnds_NonXtal_BW#'!$A:$Z,26,FALSE)+VLOOKUP($A389,A:AL,37,FALSE)-50)),"-",(VLOOKUP($A389,'SegEnds_NonXtal_BW#'!$A:$Z,26,FALSE)+VLOOKUP($A389,A:AL,37,FALSE)-50))</f>
        <v>297</v>
      </c>
      <c r="AM389" s="28" t="str">
        <f>VLOOKUP(A389,Classification!A:B,2,FALSE)</f>
        <v>T</v>
      </c>
      <c r="AN389" s="28" t="b">
        <f t="shared" si="195"/>
        <v>1</v>
      </c>
      <c r="AO389" s="3" t="str">
        <f>IF(ISERROR(MATCH(A389,'SegEnds_Xtal_Prot#'!B:B, 0)), "NoXtal", "Xtal")</f>
        <v>NoXtal</v>
      </c>
      <c r="AP389" s="3">
        <f t="shared" si="180"/>
        <v>1</v>
      </c>
      <c r="AQ389" s="3">
        <f t="shared" si="181"/>
        <v>1</v>
      </c>
      <c r="AR389" s="3" t="str">
        <f t="shared" si="182"/>
        <v>-</v>
      </c>
      <c r="AS389" s="3" t="str">
        <f t="shared" si="183"/>
        <v>-</v>
      </c>
      <c r="AT389" s="3">
        <f t="shared" si="184"/>
        <v>3</v>
      </c>
      <c r="AU389" s="3">
        <f t="shared" si="185"/>
        <v>1</v>
      </c>
      <c r="AV389" s="3" t="str">
        <f t="shared" si="186"/>
        <v>-</v>
      </c>
      <c r="AW389" s="3" t="str">
        <f t="shared" si="187"/>
        <v>-</v>
      </c>
      <c r="AX389" s="3">
        <f t="shared" si="188"/>
        <v>9</v>
      </c>
      <c r="AY389" s="3">
        <f t="shared" si="189"/>
        <v>5</v>
      </c>
      <c r="AZ389" s="3">
        <f t="shared" si="190"/>
        <v>1</v>
      </c>
      <c r="BA389" s="3">
        <f>IF(ISERROR(LEN(VLOOKUP(A389,Seqs!A:E,2,FALSE))-AL389),"-",LEN(VLOOKUP(A389,Seqs!A:E,2,FALSE))-AL389)</f>
        <v>20</v>
      </c>
      <c r="BB389" s="16">
        <f t="shared" si="191"/>
        <v>31</v>
      </c>
      <c r="BC389" s="9">
        <f t="shared" si="192"/>
        <v>20</v>
      </c>
      <c r="BD389" s="3">
        <f t="shared" si="193"/>
        <v>31</v>
      </c>
      <c r="BE389" s="3">
        <f t="shared" si="194"/>
        <v>52</v>
      </c>
      <c r="BF389" s="3">
        <f t="shared" si="208"/>
        <v>35</v>
      </c>
    </row>
    <row r="390" spans="1:58" s="3" customFormat="1" x14ac:dyDescent="0.2">
      <c r="A390" s="3" t="s">
        <v>459</v>
      </c>
      <c r="B390" s="3" t="str">
        <f>LOWER(VLOOKUP(A390,Xtal_Templ!A:B,2,FALSE))</f>
        <v>pd2r2_human</v>
      </c>
      <c r="C390" s="3">
        <f>VLOOKUP($A390,'SegEnds_NonXtal_BW#'!$A:$Z,3,FALSE)+D390-50</f>
        <v>7</v>
      </c>
      <c r="D390" s="3">
        <v>25</v>
      </c>
      <c r="E390" s="3">
        <f t="shared" si="203"/>
        <v>37</v>
      </c>
      <c r="F390" s="3">
        <f t="shared" si="204"/>
        <v>38</v>
      </c>
      <c r="G390" s="3">
        <v>40</v>
      </c>
      <c r="H390" s="3">
        <f t="shared" si="205"/>
        <v>41</v>
      </c>
      <c r="I390" s="3">
        <f t="shared" si="205"/>
        <v>42</v>
      </c>
      <c r="J390" s="3">
        <v>56</v>
      </c>
      <c r="K390" s="3">
        <f>VLOOKUP($A390,'SegEnds_NonXtal_BW#'!$A:$Z,8,FALSE)+VLOOKUP($A390,A:AL,10,FALSE)-50</f>
        <v>72</v>
      </c>
      <c r="L390" s="3" t="str">
        <f>IF(ISERROR(VLOOKUP($A390,'SegEnds_NonXtal_BW#'!$A:$Z,9,FALSE)+VLOOKUP($A390,A:AL,13,FALSE)-50),"-",(VLOOKUP($A390,'SegEnds_NonXtal_BW#'!$A:$Z,9,FALSE)+VLOOKUP($A390,A:AL,13,FALSE)-50))</f>
        <v>-</v>
      </c>
      <c r="M390" s="3" t="s">
        <v>23</v>
      </c>
      <c r="N390" s="3" t="str">
        <f>IF(ISERROR(VLOOKUP($A390,'SegEnds_NonXtal_BW#'!$A:$Z,10,FALSE)+VLOOKUP($A390,A:AL,13,FALSE)-50),"-",(VLOOKUP($A390,'SegEnds_NonXtal_BW#'!$A:$Z,10,FALSE)+VLOOKUP($A390,A:AL,13,FALSE)-50))</f>
        <v>-</v>
      </c>
      <c r="O390" s="3">
        <f>VLOOKUP($A390,'SegEnds_NonXtal_BW#'!$A:$Z,11,FALSE)+VLOOKUP($A390,A:AL,16,FALSE)-50</f>
        <v>77</v>
      </c>
      <c r="P390" s="3">
        <v>103</v>
      </c>
      <c r="Q390" s="3">
        <f>VLOOKUP($A390,'SegEnds_NonXtal_BW#'!$A:$Z,12,FALSE)+VLOOKUP($A390,A:AL,16,FALSE)-50</f>
        <v>109</v>
      </c>
      <c r="R390" s="3">
        <f t="shared" si="206"/>
        <v>112</v>
      </c>
      <c r="S390" s="3">
        <v>112</v>
      </c>
      <c r="T390" s="100">
        <f t="shared" si="207"/>
        <v>119</v>
      </c>
      <c r="U390" s="9">
        <f>IF(ISERROR(VLOOKUP($A390,'SegEnds_NonXtal_BW#'!$A:$Z,15,FALSE)+VLOOKUP($A390,A:AL,22,FALSE)-50),"-",VLOOKUP($A390,'SegEnds_NonXtal_BW#'!$A:$Z,15,FALSE)+VLOOKUP($A390,A:AL,22,FALSE)-50)</f>
        <v>120</v>
      </c>
      <c r="V390" s="3">
        <v>132</v>
      </c>
      <c r="W390" s="3">
        <f>IF(ISERROR(VLOOKUP($A390,'SegEnds_NonXtal_BW#'!$A:$Z,16,FALSE)+VLOOKUP($A390,A:AL,22,FALSE)-50),"-",(VLOOKUP($A390,'SegEnds_NonXtal_BW#'!$A:$Z,16,FALSE)+VLOOKUP($A390,A:AL,22,FALSE)-50))</f>
        <v>146</v>
      </c>
      <c r="X390" s="3" t="str">
        <f>IF(ISERROR(VLOOKUP($A390,'SegEnds_NonXtal_BW#'!$A:$Z,17,FALSE)+VLOOKUP($A390,A:AL,25,FALSE)-50),"-",(VLOOKUP($A390,'SegEnds_NonXtal_BW#'!$A:$Z,17,FALSE)+VLOOKUP($A390,A:AL,25,FALSE)-50))</f>
        <v>-</v>
      </c>
      <c r="Y390" s="3" t="s">
        <v>23</v>
      </c>
      <c r="Z390" s="3" t="str">
        <f>IF(ISERROR(VLOOKUP($A390,'SegEnds_NonXtal_BW#'!$A:$Z,18,FALSE)+VLOOKUP($A390,A:AL,25,FALSE)-50),"-",(VLOOKUP($A390,'SegEnds_NonXtal_BW#'!$A:$Z,18,FALSE)+VLOOKUP($A390,A:AL,25,FALSE)-50))</f>
        <v>-</v>
      </c>
      <c r="AA390" s="3">
        <f>IF(ISERROR(VLOOKUP($A390,'SegEnds_NonXtal_BW#'!$A:$Z,19,FALSE)+VLOOKUP($A390,A:AL,28,FALSE)-50),"-",(VLOOKUP($A390,'SegEnds_NonXtal_BW#'!$A:$Z,19,FALSE)+VLOOKUP($A390,A:AL,28,FALSE)-50))</f>
        <v>170</v>
      </c>
      <c r="AB390" s="3">
        <v>188</v>
      </c>
      <c r="AC390" s="3">
        <f>IF(ISERROR((VLOOKUP($A390,'SegEnds_NonXtal_BW#'!$A:$Z,20,FALSE)+VLOOKUP($A390,A:AL,28,FALSE)-50)),"-",(VLOOKUP($A390,'SegEnds_NonXtal_BW#'!$A:$Z,20,FALSE)+VLOOKUP($A390,A:AL,28,FALSE)-50))</f>
        <v>210</v>
      </c>
      <c r="AD390" s="3">
        <f>IF(ISERROR(VLOOKUP($A390,'SegEnds_NonXtal_BW#'!$A:$Z,21,FALSE)+VLOOKUP($A390,A:AL,31,FALSE)-50),"-",(VLOOKUP($A390,'SegEnds_NonXtal_BW#'!$A:$Z,21,FALSE)+VLOOKUP($A390,A:AL,31,FALSE)-50))</f>
        <v>217</v>
      </c>
      <c r="AE390" s="3">
        <v>238</v>
      </c>
      <c r="AF390" s="3">
        <f>IF(ISERROR((VLOOKUP($A390,'SegEnds_NonXtal_BW#'!$A:$Z,22,FALSE)+VLOOKUP($A390,A:AL,31,FALSE)-50)),"-",(VLOOKUP($A390,'SegEnds_NonXtal_BW#'!$A:$Z,22,FALSE)+VLOOKUP($A390,A:AL,31,FALSE)-50))</f>
        <v>249</v>
      </c>
      <c r="AG390" s="3">
        <f>IF(ISERROR(VLOOKUP($A390,'SegEnds_NonXtal_BW#'!$A:$Z,23,FALSE)+VLOOKUP($A390,A:AL,34,FALSE)-50),"-",(VLOOKUP($A390,'SegEnds_NonXtal_BW#'!$A:$Z,23,FALSE)+VLOOKUP($A390,A:AL,34,FALSE)-50))</f>
        <v>254</v>
      </c>
      <c r="AH390" s="3">
        <v>273</v>
      </c>
      <c r="AI390" s="3">
        <f>IF(ISERROR((VLOOKUP($A390,'SegEnds_NonXtal_BW#'!$A:$Z,24,FALSE)+VLOOKUP($A390,A:AL,34,FALSE)-50)),"-",(VLOOKUP($A390,'SegEnds_NonXtal_BW#'!$A:$Z,24,FALSE)+VLOOKUP($A390,A:AL,34,FALSE)-50))</f>
        <v>279</v>
      </c>
      <c r="AJ390" s="3">
        <f>IF(ISERROR(VLOOKUP($A390,'SegEnds_NonXtal_BW#'!$A:$Z,25,FALSE)+VLOOKUP($A390,A:AL,37,FALSE)-50),"-",(VLOOKUP($A390,'SegEnds_NonXtal_BW#'!$A:$Z,25,FALSE)+VLOOKUP($A390,A:AL,37,FALSE)-50))</f>
        <v>280</v>
      </c>
      <c r="AK390" s="3">
        <v>283</v>
      </c>
      <c r="AL390" s="3">
        <v>291</v>
      </c>
      <c r="AM390" s="28" t="str">
        <f>VLOOKUP(A390,Classification!A:B,2,FALSE)</f>
        <v>T</v>
      </c>
      <c r="AN390" s="28" t="b">
        <f t="shared" si="195"/>
        <v>1</v>
      </c>
      <c r="AO390" s="3" t="str">
        <f>IF(ISERROR(MATCH(A390,'SegEnds_Xtal_Prot#'!B:B, 0)), "NoXtal", "Xtal")</f>
        <v>NoXtal</v>
      </c>
      <c r="AP390" s="3">
        <f t="shared" ref="AP390:AP411" si="209">IF(ISERROR(F390-E390),"-",F390-E390)</f>
        <v>1</v>
      </c>
      <c r="AQ390" s="3">
        <f t="shared" ref="AQ390:AQ411" si="210">IF(ISERROR(I390-H390),"-",I390-H390)</f>
        <v>1</v>
      </c>
      <c r="AR390" s="3" t="str">
        <f t="shared" ref="AR390:AR411" si="211">IF(ISERROR(L390-K390),"-",L390-K390)</f>
        <v>-</v>
      </c>
      <c r="AS390" s="3" t="str">
        <f t="shared" ref="AS390:AS411" si="212">IF(ISERROR(O390-N390),"-",O390-N390)</f>
        <v>-</v>
      </c>
      <c r="AT390" s="3">
        <f t="shared" ref="AT390:AT411" si="213">IF(ISERROR(R390-Q390),"-",R390-Q390)</f>
        <v>3</v>
      </c>
      <c r="AU390" s="3">
        <f t="shared" ref="AU390:AU411" si="214">IF(ISERROR(U390-T390),"-",U390-T390)</f>
        <v>1</v>
      </c>
      <c r="AV390" s="3" t="str">
        <f t="shared" ref="AV390:AV411" si="215">IF(ISERROR(X390-W390),"-",X390-W390)</f>
        <v>-</v>
      </c>
      <c r="AW390" s="3" t="str">
        <f t="shared" ref="AW390:AW411" si="216">IF(ISERROR(AA390-Z390),"-",AA390-Z390)</f>
        <v>-</v>
      </c>
      <c r="AX390" s="3">
        <f t="shared" ref="AX390:AX411" si="217">IF(ISERROR(AD390-AC390),"-",AD390-AC390)</f>
        <v>7</v>
      </c>
      <c r="AY390" s="3">
        <f t="shared" ref="AY390:AY411" si="218">IF(ISERROR(AG390-AF390),"-",AG390-AF390)</f>
        <v>5</v>
      </c>
      <c r="AZ390" s="3">
        <f t="shared" ref="AZ390:AZ411" si="219">IF(ISERROR(AJ390-AI390),"-",AJ390-AI390)</f>
        <v>1</v>
      </c>
      <c r="BA390" s="3">
        <f>IF(ISERROR(LEN(VLOOKUP(A390,Seqs!A:E,2,FALSE))-AL390),"-",LEN(VLOOKUP(A390,Seqs!A:E,2,FALSE))-AL390)</f>
        <v>0</v>
      </c>
      <c r="BB390" s="16">
        <f t="shared" ref="BB390:BB411" si="220">J390-D390</f>
        <v>31</v>
      </c>
      <c r="BC390" s="9">
        <f t="shared" ref="BC390:BC411" si="221">IF(ISERROR(V390-S390),"-",V390-S390)</f>
        <v>20</v>
      </c>
      <c r="BD390" s="3">
        <f t="shared" ref="BD390:BD411" si="222">J390-D390</f>
        <v>31</v>
      </c>
      <c r="BE390" s="3">
        <f t="shared" ref="BE390:BE411" si="223">AE390-AB390</f>
        <v>50</v>
      </c>
      <c r="BF390" s="3">
        <f t="shared" si="208"/>
        <v>35</v>
      </c>
    </row>
    <row r="391" spans="1:58" s="3" customFormat="1" x14ac:dyDescent="0.2">
      <c r="A391" s="3" t="s">
        <v>460</v>
      </c>
      <c r="B391" s="3" t="str">
        <f>LOWER(VLOOKUP(A391,Xtal_Templ!A:B,2,FALSE))</f>
        <v>5ht2c_human</v>
      </c>
      <c r="C391" s="3">
        <f>VLOOKUP($A391,'SegEnds_NonXtal_BW#'!$A:$Z,3,FALSE)+D391-50</f>
        <v>6</v>
      </c>
      <c r="D391" s="3">
        <v>24</v>
      </c>
      <c r="E391" s="3">
        <f t="shared" si="203"/>
        <v>36</v>
      </c>
      <c r="F391" s="3">
        <f t="shared" si="204"/>
        <v>37</v>
      </c>
      <c r="G391" s="3">
        <v>39</v>
      </c>
      <c r="H391" s="3">
        <f t="shared" si="205"/>
        <v>40</v>
      </c>
      <c r="I391" s="3">
        <f t="shared" si="205"/>
        <v>41</v>
      </c>
      <c r="J391" s="3">
        <v>55</v>
      </c>
      <c r="K391" s="3">
        <f>VLOOKUP($A391,'SegEnds_NonXtal_BW#'!$A:$Z,8,FALSE)+VLOOKUP($A391,A:AL,10,FALSE)-50</f>
        <v>71</v>
      </c>
      <c r="L391" s="3" t="str">
        <f>IF(ISERROR(VLOOKUP($A391,'SegEnds_NonXtal_BW#'!$A:$Z,9,FALSE)+VLOOKUP($A391,A:AL,13,FALSE)-50),"-",(VLOOKUP($A391,'SegEnds_NonXtal_BW#'!$A:$Z,9,FALSE)+VLOOKUP($A391,A:AL,13,FALSE)-50))</f>
        <v>-</v>
      </c>
      <c r="M391" s="3" t="s">
        <v>23</v>
      </c>
      <c r="N391" s="3" t="str">
        <f>IF(ISERROR(VLOOKUP($A391,'SegEnds_NonXtal_BW#'!$A:$Z,10,FALSE)+VLOOKUP($A391,A:AL,13,FALSE)-50),"-",(VLOOKUP($A391,'SegEnds_NonXtal_BW#'!$A:$Z,10,FALSE)+VLOOKUP($A391,A:AL,13,FALSE)-50))</f>
        <v>-</v>
      </c>
      <c r="O391" s="3">
        <f>VLOOKUP($A391,'SegEnds_NonXtal_BW#'!$A:$Z,11,FALSE)+VLOOKUP($A391,A:AL,16,FALSE)-50</f>
        <v>77</v>
      </c>
      <c r="P391" s="3">
        <v>106</v>
      </c>
      <c r="Q391" s="3">
        <f>VLOOKUP($A391,'SegEnds_NonXtal_BW#'!$A:$Z,12,FALSE)+VLOOKUP($A391,A:AL,16,FALSE)-50</f>
        <v>112</v>
      </c>
      <c r="R391" s="3">
        <f t="shared" si="206"/>
        <v>115</v>
      </c>
      <c r="S391" s="3">
        <v>115</v>
      </c>
      <c r="T391" s="100">
        <f t="shared" si="207"/>
        <v>122</v>
      </c>
      <c r="U391" s="9">
        <f>IF(ISERROR(VLOOKUP($A391,'SegEnds_NonXtal_BW#'!$A:$Z,15,FALSE)+VLOOKUP($A391,A:AL,22,FALSE)-50),"-",VLOOKUP($A391,'SegEnds_NonXtal_BW#'!$A:$Z,15,FALSE)+VLOOKUP($A391,A:AL,22,FALSE)-50)</f>
        <v>123</v>
      </c>
      <c r="V391" s="3">
        <v>135</v>
      </c>
      <c r="W391" s="3">
        <f>IF(ISERROR(VLOOKUP($A391,'SegEnds_NonXtal_BW#'!$A:$Z,16,FALSE)+VLOOKUP($A391,A:AL,22,FALSE)-50),"-",(VLOOKUP($A391,'SegEnds_NonXtal_BW#'!$A:$Z,16,FALSE)+VLOOKUP($A391,A:AL,22,FALSE)-50))</f>
        <v>152</v>
      </c>
      <c r="X391" s="3" t="str">
        <f>IF(ISERROR(VLOOKUP($A391,'SegEnds_NonXtal_BW#'!$A:$Z,17,FALSE)+VLOOKUP($A391,A:AL,25,FALSE)-50),"-",(VLOOKUP($A391,'SegEnds_NonXtal_BW#'!$A:$Z,17,FALSE)+VLOOKUP($A391,A:AL,25,FALSE)-50))</f>
        <v>-</v>
      </c>
      <c r="Y391" s="3" t="s">
        <v>23</v>
      </c>
      <c r="Z391" s="3" t="str">
        <f>IF(ISERROR(VLOOKUP($A391,'SegEnds_NonXtal_BW#'!$A:$Z,18,FALSE)+VLOOKUP($A391,A:AL,25,FALSE)-50),"-",(VLOOKUP($A391,'SegEnds_NonXtal_BW#'!$A:$Z,18,FALSE)+VLOOKUP($A391,A:AL,25,FALSE)-50))</f>
        <v>-</v>
      </c>
      <c r="AA391" s="3">
        <f>IF(ISERROR(VLOOKUP($A391,'SegEnds_NonXtal_BW#'!$A:$Z,19,FALSE)+VLOOKUP($A391,A:AL,28,FALSE)-50),"-",(VLOOKUP($A391,'SegEnds_NonXtal_BW#'!$A:$Z,19,FALSE)+VLOOKUP($A391,A:AL,28,FALSE)-50))</f>
        <v>169</v>
      </c>
      <c r="AB391" s="3">
        <v>187</v>
      </c>
      <c r="AC391" s="3">
        <f>IF(ISERROR((VLOOKUP($A391,'SegEnds_NonXtal_BW#'!$A:$Z,20,FALSE)+VLOOKUP($A391,A:AL,28,FALSE)-50)),"-",(VLOOKUP($A391,'SegEnds_NonXtal_BW#'!$A:$Z,20,FALSE)+VLOOKUP($A391,A:AL,28,FALSE)-50))</f>
        <v>209</v>
      </c>
      <c r="AD391" s="3">
        <f>IF(ISERROR(VLOOKUP($A391,'SegEnds_NonXtal_BW#'!$A:$Z,21,FALSE)+VLOOKUP($A391,A:AL,31,FALSE)-50),"-",(VLOOKUP($A391,'SegEnds_NonXtal_BW#'!$A:$Z,21,FALSE)+VLOOKUP($A391,A:AL,31,FALSE)-50))</f>
        <v>219</v>
      </c>
      <c r="AE391" s="3">
        <v>240</v>
      </c>
      <c r="AF391" s="3">
        <f>IF(ISERROR((VLOOKUP($A391,'SegEnds_NonXtal_BW#'!$A:$Z,22,FALSE)+VLOOKUP($A391,A:AL,31,FALSE)-50)),"-",(VLOOKUP($A391,'SegEnds_NonXtal_BW#'!$A:$Z,22,FALSE)+VLOOKUP($A391,A:AL,31,FALSE)-50))</f>
        <v>251</v>
      </c>
      <c r="AG391" s="3">
        <f>IF(ISERROR(VLOOKUP($A391,'SegEnds_NonXtal_BW#'!$A:$Z,23,FALSE)+VLOOKUP($A391,A:AL,34,FALSE)-50),"-",(VLOOKUP($A391,'SegEnds_NonXtal_BW#'!$A:$Z,23,FALSE)+VLOOKUP($A391,A:AL,34,FALSE)-50))</f>
        <v>257</v>
      </c>
      <c r="AH391" s="3">
        <v>276</v>
      </c>
      <c r="AI391" s="3">
        <f>IF(ISERROR((VLOOKUP($A391,'SegEnds_NonXtal_BW#'!$A:$Z,24,FALSE)+VLOOKUP($A391,A:AL,34,FALSE)-50)),"-",(VLOOKUP($A391,'SegEnds_NonXtal_BW#'!$A:$Z,24,FALSE)+VLOOKUP($A391,A:AL,34,FALSE)-50))</f>
        <v>282</v>
      </c>
      <c r="AJ391" s="3">
        <f>IF(ISERROR(VLOOKUP($A391,'SegEnds_NonXtal_BW#'!$A:$Z,25,FALSE)+VLOOKUP($A391,A:AL,37,FALSE)-50),"-",(VLOOKUP($A391,'SegEnds_NonXtal_BW#'!$A:$Z,25,FALSE)+VLOOKUP($A391,A:AL,37,FALSE)-50))</f>
        <v>283</v>
      </c>
      <c r="AK391" s="3">
        <v>286</v>
      </c>
      <c r="AL391" s="3">
        <f>IF(ISERROR((VLOOKUP($A391,'SegEnds_NonXtal_BW#'!$A:$Z,26,FALSE)+VLOOKUP($A391,A:AL,37,FALSE)-50)),"-",(VLOOKUP($A391,'SegEnds_NonXtal_BW#'!$A:$Z,26,FALSE)+VLOOKUP($A391,A:AL,37,FALSE)-50))</f>
        <v>296</v>
      </c>
      <c r="AM391" s="28" t="str">
        <f>VLOOKUP(A391,Classification!A:B,2,FALSE)</f>
        <v>T</v>
      </c>
      <c r="AN391" s="28" t="b">
        <f t="shared" ref="AN391:AN411" si="224">AND(IF(Y391="-",IF(AA391-W391&gt;3,TRUE,FALSE),TRUE),IF(M391="-",IF(O391-K391&gt;3,TRUE,FALSE),TRUE),IF(AG391-AF391&gt;1,TRUE,FALSE),C391&lt;E391,OR(E391&lt;F391,F391="-"),OR(F391&lt;H391,F391="-"),OR(H391&lt;I391,H391="-"),I391&lt;K391,OR(K391&lt;L391,L391="-"),OR(L391&lt;N391,L391="-"),OR(N391&lt;O391,N391="-"),O391&lt;Q391,OR(Q391&lt;R391,R391="-"),OR(R391&lt;T391,R391="-"),OR(T391&lt;U391,T391="-"),U391&lt;W391,OR(W391&lt;X391,X391="-"),OR(X391&lt;Z391,X391="-"),OR(Z391&lt;AA391,Z391="-"),AA391&lt;AC391,AC391&lt;AD391,AD391&lt;AF391,AF391&lt;AG391,AG391&lt;AI391,OR(AI391&lt;AJ391,AJ391="-"),OR(AJ391&lt;AL391,AJ391="-"))</f>
        <v>1</v>
      </c>
      <c r="AO391" s="3" t="str">
        <f>IF(ISERROR(MATCH(A391,'SegEnds_Xtal_Prot#'!B:B, 0)), "NoXtal", "Xtal")</f>
        <v>NoXtal</v>
      </c>
      <c r="AP391" s="3">
        <f t="shared" si="209"/>
        <v>1</v>
      </c>
      <c r="AQ391" s="3">
        <f t="shared" si="210"/>
        <v>1</v>
      </c>
      <c r="AR391" s="3" t="str">
        <f t="shared" si="211"/>
        <v>-</v>
      </c>
      <c r="AS391" s="3" t="str">
        <f t="shared" si="212"/>
        <v>-</v>
      </c>
      <c r="AT391" s="3">
        <f t="shared" si="213"/>
        <v>3</v>
      </c>
      <c r="AU391" s="3">
        <f t="shared" si="214"/>
        <v>1</v>
      </c>
      <c r="AV391" s="3" t="str">
        <f t="shared" si="215"/>
        <v>-</v>
      </c>
      <c r="AW391" s="3" t="str">
        <f t="shared" si="216"/>
        <v>-</v>
      </c>
      <c r="AX391" s="3">
        <f t="shared" si="217"/>
        <v>10</v>
      </c>
      <c r="AY391" s="3">
        <f t="shared" si="218"/>
        <v>6</v>
      </c>
      <c r="AZ391" s="3">
        <f t="shared" si="219"/>
        <v>1</v>
      </c>
      <c r="BA391" s="3">
        <f>IF(ISERROR(LEN(VLOOKUP(A391,Seqs!A:E,2,FALSE))-AL391),"-",LEN(VLOOKUP(A391,Seqs!A:E,2,FALSE))-AL391)</f>
        <v>3</v>
      </c>
      <c r="BB391" s="16">
        <f t="shared" si="220"/>
        <v>31</v>
      </c>
      <c r="BC391" s="9">
        <f t="shared" si="221"/>
        <v>20</v>
      </c>
      <c r="BD391" s="3">
        <f t="shared" si="222"/>
        <v>31</v>
      </c>
      <c r="BE391" s="3">
        <f t="shared" si="223"/>
        <v>53</v>
      </c>
      <c r="BF391" s="3">
        <f t="shared" si="208"/>
        <v>36</v>
      </c>
    </row>
    <row r="392" spans="1:58" s="3" customFormat="1" x14ac:dyDescent="0.2">
      <c r="A392" s="3" t="s">
        <v>461</v>
      </c>
      <c r="B392" s="3" t="str">
        <f>LOWER(VLOOKUP(A392,Xtal_Templ!A:B,2,FALSE))</f>
        <v>5ht2c_human</v>
      </c>
      <c r="C392" s="3">
        <f>VLOOKUP($A392,'SegEnds_NonXtal_BW#'!$A:$Z,3,FALSE)+D392-50</f>
        <v>6</v>
      </c>
      <c r="D392" s="3">
        <v>24</v>
      </c>
      <c r="E392" s="3">
        <f t="shared" si="203"/>
        <v>36</v>
      </c>
      <c r="F392" s="3">
        <f t="shared" si="204"/>
        <v>37</v>
      </c>
      <c r="G392" s="3">
        <v>39</v>
      </c>
      <c r="H392" s="3">
        <f t="shared" si="205"/>
        <v>40</v>
      </c>
      <c r="I392" s="3">
        <f t="shared" si="205"/>
        <v>41</v>
      </c>
      <c r="J392" s="3">
        <v>55</v>
      </c>
      <c r="K392" s="3">
        <f>VLOOKUP($A392,'SegEnds_NonXtal_BW#'!$A:$Z,8,FALSE)+VLOOKUP($A392,A:AL,10,FALSE)-50</f>
        <v>71</v>
      </c>
      <c r="L392" s="3" t="str">
        <f>IF(ISERROR(VLOOKUP($A392,'SegEnds_NonXtal_BW#'!$A:$Z,9,FALSE)+VLOOKUP($A392,A:AL,13,FALSE)-50),"-",(VLOOKUP($A392,'SegEnds_NonXtal_BW#'!$A:$Z,9,FALSE)+VLOOKUP($A392,A:AL,13,FALSE)-50))</f>
        <v>-</v>
      </c>
      <c r="M392" s="3" t="s">
        <v>23</v>
      </c>
      <c r="N392" s="3" t="str">
        <f>IF(ISERROR(VLOOKUP($A392,'SegEnds_NonXtal_BW#'!$A:$Z,10,FALSE)+VLOOKUP($A392,A:AL,13,FALSE)-50),"-",(VLOOKUP($A392,'SegEnds_NonXtal_BW#'!$A:$Z,10,FALSE)+VLOOKUP($A392,A:AL,13,FALSE)-50))</f>
        <v>-</v>
      </c>
      <c r="O392" s="3">
        <f>VLOOKUP($A392,'SegEnds_NonXtal_BW#'!$A:$Z,11,FALSE)+VLOOKUP($A392,A:AL,16,FALSE)-50</f>
        <v>77</v>
      </c>
      <c r="P392" s="3">
        <v>106</v>
      </c>
      <c r="Q392" s="3">
        <f>VLOOKUP($A392,'SegEnds_NonXtal_BW#'!$A:$Z,12,FALSE)+VLOOKUP($A392,A:AL,16,FALSE)-50</f>
        <v>112</v>
      </c>
      <c r="R392" s="3">
        <f t="shared" si="206"/>
        <v>115</v>
      </c>
      <c r="S392" s="3">
        <v>115</v>
      </c>
      <c r="T392" s="100">
        <f t="shared" si="207"/>
        <v>122</v>
      </c>
      <c r="U392" s="9">
        <f>IF(ISERROR(VLOOKUP($A392,'SegEnds_NonXtal_BW#'!$A:$Z,15,FALSE)+VLOOKUP($A392,A:AL,22,FALSE)-50),"-",VLOOKUP($A392,'SegEnds_NonXtal_BW#'!$A:$Z,15,FALSE)+VLOOKUP($A392,A:AL,22,FALSE)-50)</f>
        <v>123</v>
      </c>
      <c r="V392" s="3">
        <v>135</v>
      </c>
      <c r="W392" s="3">
        <f>IF(ISERROR(VLOOKUP($A392,'SegEnds_NonXtal_BW#'!$A:$Z,16,FALSE)+VLOOKUP($A392,A:AL,22,FALSE)-50),"-",(VLOOKUP($A392,'SegEnds_NonXtal_BW#'!$A:$Z,16,FALSE)+VLOOKUP($A392,A:AL,22,FALSE)-50))</f>
        <v>152</v>
      </c>
      <c r="X392" s="3" t="str">
        <f>IF(ISERROR(VLOOKUP($A392,'SegEnds_NonXtal_BW#'!$A:$Z,17,FALSE)+VLOOKUP($A392,A:AL,25,FALSE)-50),"-",(VLOOKUP($A392,'SegEnds_NonXtal_BW#'!$A:$Z,17,FALSE)+VLOOKUP($A392,A:AL,25,FALSE)-50))</f>
        <v>-</v>
      </c>
      <c r="Y392" s="3" t="s">
        <v>23</v>
      </c>
      <c r="Z392" s="3" t="str">
        <f>IF(ISERROR(VLOOKUP($A392,'SegEnds_NonXtal_BW#'!$A:$Z,18,FALSE)+VLOOKUP($A392,A:AL,25,FALSE)-50),"-",(VLOOKUP($A392,'SegEnds_NonXtal_BW#'!$A:$Z,18,FALSE)+VLOOKUP($A392,A:AL,25,FALSE)-50))</f>
        <v>-</v>
      </c>
      <c r="AA392" s="3">
        <f>IF(ISERROR(VLOOKUP($A392,'SegEnds_NonXtal_BW#'!$A:$Z,19,FALSE)+VLOOKUP($A392,A:AL,28,FALSE)-50),"-",(VLOOKUP($A392,'SegEnds_NonXtal_BW#'!$A:$Z,19,FALSE)+VLOOKUP($A392,A:AL,28,FALSE)-50))</f>
        <v>169</v>
      </c>
      <c r="AB392" s="3">
        <v>187</v>
      </c>
      <c r="AC392" s="3">
        <f>IF(ISERROR((VLOOKUP($A392,'SegEnds_NonXtal_BW#'!$A:$Z,20,FALSE)+VLOOKUP($A392,A:AL,28,FALSE)-50)),"-",(VLOOKUP($A392,'SegEnds_NonXtal_BW#'!$A:$Z,20,FALSE)+VLOOKUP($A392,A:AL,28,FALSE)-50))</f>
        <v>209</v>
      </c>
      <c r="AD392" s="3">
        <f>IF(ISERROR(VLOOKUP($A392,'SegEnds_NonXtal_BW#'!$A:$Z,21,FALSE)+VLOOKUP($A392,A:AL,31,FALSE)-50),"-",(VLOOKUP($A392,'SegEnds_NonXtal_BW#'!$A:$Z,21,FALSE)+VLOOKUP($A392,A:AL,31,FALSE)-50))</f>
        <v>219</v>
      </c>
      <c r="AE392" s="3">
        <v>240</v>
      </c>
      <c r="AF392" s="3">
        <f>IF(ISERROR((VLOOKUP($A392,'SegEnds_NonXtal_BW#'!$A:$Z,22,FALSE)+VLOOKUP($A392,A:AL,31,FALSE)-50)),"-",(VLOOKUP($A392,'SegEnds_NonXtal_BW#'!$A:$Z,22,FALSE)+VLOOKUP($A392,A:AL,31,FALSE)-50))</f>
        <v>251</v>
      </c>
      <c r="AG392" s="3">
        <f>IF(ISERROR(VLOOKUP($A392,'SegEnds_NonXtal_BW#'!$A:$Z,23,FALSE)+VLOOKUP($A392,A:AL,34,FALSE)-50),"-",(VLOOKUP($A392,'SegEnds_NonXtal_BW#'!$A:$Z,23,FALSE)+VLOOKUP($A392,A:AL,34,FALSE)-50))</f>
        <v>257</v>
      </c>
      <c r="AH392" s="3">
        <v>276</v>
      </c>
      <c r="AI392" s="3">
        <f>IF(ISERROR((VLOOKUP($A392,'SegEnds_NonXtal_BW#'!$A:$Z,24,FALSE)+VLOOKUP($A392,A:AL,34,FALSE)-50)),"-",(VLOOKUP($A392,'SegEnds_NonXtal_BW#'!$A:$Z,24,FALSE)+VLOOKUP($A392,A:AL,34,FALSE)-50))</f>
        <v>282</v>
      </c>
      <c r="AJ392" s="3">
        <f>IF(ISERROR(VLOOKUP($A392,'SegEnds_NonXtal_BW#'!$A:$Z,25,FALSE)+VLOOKUP($A392,A:AL,37,FALSE)-50),"-",(VLOOKUP($A392,'SegEnds_NonXtal_BW#'!$A:$Z,25,FALSE)+VLOOKUP($A392,A:AL,37,FALSE)-50))</f>
        <v>283</v>
      </c>
      <c r="AK392" s="3">
        <v>286</v>
      </c>
      <c r="AL392" s="3">
        <f>IF(ISERROR((VLOOKUP($A392,'SegEnds_NonXtal_BW#'!$A:$Z,26,FALSE)+VLOOKUP($A392,A:AL,37,FALSE)-50)),"-",(VLOOKUP($A392,'SegEnds_NonXtal_BW#'!$A:$Z,26,FALSE)+VLOOKUP($A392,A:AL,37,FALSE)-50))</f>
        <v>296</v>
      </c>
      <c r="AM392" s="28" t="str">
        <f>VLOOKUP(A392,Classification!A:B,2,FALSE)</f>
        <v>T</v>
      </c>
      <c r="AN392" s="28" t="b">
        <f t="shared" si="224"/>
        <v>1</v>
      </c>
      <c r="AO392" s="3" t="str">
        <f>IF(ISERROR(MATCH(A392,'SegEnds_Xtal_Prot#'!B:B, 0)), "NoXtal", "Xtal")</f>
        <v>NoXtal</v>
      </c>
      <c r="AP392" s="3">
        <f t="shared" si="209"/>
        <v>1</v>
      </c>
      <c r="AQ392" s="3">
        <f t="shared" si="210"/>
        <v>1</v>
      </c>
      <c r="AR392" s="3" t="str">
        <f t="shared" si="211"/>
        <v>-</v>
      </c>
      <c r="AS392" s="3" t="str">
        <f t="shared" si="212"/>
        <v>-</v>
      </c>
      <c r="AT392" s="3">
        <f t="shared" si="213"/>
        <v>3</v>
      </c>
      <c r="AU392" s="3">
        <f t="shared" si="214"/>
        <v>1</v>
      </c>
      <c r="AV392" s="3" t="str">
        <f t="shared" si="215"/>
        <v>-</v>
      </c>
      <c r="AW392" s="3" t="str">
        <f t="shared" si="216"/>
        <v>-</v>
      </c>
      <c r="AX392" s="3">
        <f t="shared" si="217"/>
        <v>10</v>
      </c>
      <c r="AY392" s="3">
        <f t="shared" si="218"/>
        <v>6</v>
      </c>
      <c r="AZ392" s="3">
        <f t="shared" si="219"/>
        <v>1</v>
      </c>
      <c r="BA392" s="3">
        <f>IF(ISERROR(LEN(VLOOKUP(A392,Seqs!A:E,2,FALSE))-AL392),"-",LEN(VLOOKUP(A392,Seqs!A:E,2,FALSE))-AL392)</f>
        <v>13</v>
      </c>
      <c r="BB392" s="16">
        <f t="shared" si="220"/>
        <v>31</v>
      </c>
      <c r="BC392" s="9">
        <f t="shared" si="221"/>
        <v>20</v>
      </c>
      <c r="BD392" s="3">
        <f t="shared" si="222"/>
        <v>31</v>
      </c>
      <c r="BE392" s="3">
        <f t="shared" si="223"/>
        <v>53</v>
      </c>
      <c r="BF392" s="3">
        <f t="shared" si="208"/>
        <v>36</v>
      </c>
    </row>
    <row r="393" spans="1:58" s="3" customFormat="1" x14ac:dyDescent="0.2">
      <c r="A393" s="3" t="s">
        <v>462</v>
      </c>
      <c r="B393" s="3" t="str">
        <f>LOWER(VLOOKUP(A393,Xtal_Templ!A:B,2,FALSE))</f>
        <v>5ht2c_human</v>
      </c>
      <c r="C393" s="3">
        <f>VLOOKUP($A393,'SegEnds_NonXtal_BW#'!$A:$Z,3,FALSE)+D393-50</f>
        <v>6</v>
      </c>
      <c r="D393" s="3">
        <v>24</v>
      </c>
      <c r="E393" s="3">
        <f t="shared" si="203"/>
        <v>36</v>
      </c>
      <c r="F393" s="3">
        <f t="shared" si="204"/>
        <v>37</v>
      </c>
      <c r="G393" s="3">
        <v>39</v>
      </c>
      <c r="H393" s="3">
        <f t="shared" si="205"/>
        <v>40</v>
      </c>
      <c r="I393" s="3">
        <f t="shared" si="205"/>
        <v>41</v>
      </c>
      <c r="J393" s="3">
        <v>55</v>
      </c>
      <c r="K393" s="3">
        <f>VLOOKUP($A393,'SegEnds_NonXtal_BW#'!$A:$Z,8,FALSE)+VLOOKUP($A393,A:AL,10,FALSE)-50</f>
        <v>71</v>
      </c>
      <c r="L393" s="3" t="str">
        <f>IF(ISERROR(VLOOKUP($A393,'SegEnds_NonXtal_BW#'!$A:$Z,9,FALSE)+VLOOKUP($A393,A:AL,13,FALSE)-50),"-",(VLOOKUP($A393,'SegEnds_NonXtal_BW#'!$A:$Z,9,FALSE)+VLOOKUP($A393,A:AL,13,FALSE)-50))</f>
        <v>-</v>
      </c>
      <c r="M393" s="3" t="s">
        <v>23</v>
      </c>
      <c r="N393" s="3" t="str">
        <f>IF(ISERROR(VLOOKUP($A393,'SegEnds_NonXtal_BW#'!$A:$Z,10,FALSE)+VLOOKUP($A393,A:AL,13,FALSE)-50),"-",(VLOOKUP($A393,'SegEnds_NonXtal_BW#'!$A:$Z,10,FALSE)+VLOOKUP($A393,A:AL,13,FALSE)-50))</f>
        <v>-</v>
      </c>
      <c r="O393" s="3">
        <f>VLOOKUP($A393,'SegEnds_NonXtal_BW#'!$A:$Z,11,FALSE)+VLOOKUP($A393,A:AL,16,FALSE)-50</f>
        <v>77</v>
      </c>
      <c r="P393" s="3">
        <v>106</v>
      </c>
      <c r="Q393" s="3">
        <f>VLOOKUP($A393,'SegEnds_NonXtal_BW#'!$A:$Z,12,FALSE)+VLOOKUP($A393,A:AL,16,FALSE)-50</f>
        <v>112</v>
      </c>
      <c r="R393" s="3">
        <f t="shared" si="206"/>
        <v>115</v>
      </c>
      <c r="S393" s="3">
        <v>115</v>
      </c>
      <c r="T393" s="100">
        <f t="shared" si="207"/>
        <v>122</v>
      </c>
      <c r="U393" s="9">
        <f>IF(ISERROR(VLOOKUP($A393,'SegEnds_NonXtal_BW#'!$A:$Z,15,FALSE)+VLOOKUP($A393,A:AL,22,FALSE)-50),"-",VLOOKUP($A393,'SegEnds_NonXtal_BW#'!$A:$Z,15,FALSE)+VLOOKUP($A393,A:AL,22,FALSE)-50)</f>
        <v>123</v>
      </c>
      <c r="V393" s="3">
        <v>135</v>
      </c>
      <c r="W393" s="3">
        <f>IF(ISERROR(VLOOKUP($A393,'SegEnds_NonXtal_BW#'!$A:$Z,16,FALSE)+VLOOKUP($A393,A:AL,22,FALSE)-50),"-",(VLOOKUP($A393,'SegEnds_NonXtal_BW#'!$A:$Z,16,FALSE)+VLOOKUP($A393,A:AL,22,FALSE)-50))</f>
        <v>152</v>
      </c>
      <c r="X393" s="3" t="str">
        <f>IF(ISERROR(VLOOKUP($A393,'SegEnds_NonXtal_BW#'!$A:$Z,17,FALSE)+VLOOKUP($A393,A:AL,25,FALSE)-50),"-",(VLOOKUP($A393,'SegEnds_NonXtal_BW#'!$A:$Z,17,FALSE)+VLOOKUP($A393,A:AL,25,FALSE)-50))</f>
        <v>-</v>
      </c>
      <c r="Y393" s="3" t="s">
        <v>23</v>
      </c>
      <c r="Z393" s="3" t="str">
        <f>IF(ISERROR(VLOOKUP($A393,'SegEnds_NonXtal_BW#'!$A:$Z,18,FALSE)+VLOOKUP($A393,A:AL,25,FALSE)-50),"-",(VLOOKUP($A393,'SegEnds_NonXtal_BW#'!$A:$Z,18,FALSE)+VLOOKUP($A393,A:AL,25,FALSE)-50))</f>
        <v>-</v>
      </c>
      <c r="AA393" s="3">
        <f>IF(ISERROR(VLOOKUP($A393,'SegEnds_NonXtal_BW#'!$A:$Z,19,FALSE)+VLOOKUP($A393,A:AL,28,FALSE)-50),"-",(VLOOKUP($A393,'SegEnds_NonXtal_BW#'!$A:$Z,19,FALSE)+VLOOKUP($A393,A:AL,28,FALSE)-50))</f>
        <v>169</v>
      </c>
      <c r="AB393" s="3">
        <v>187</v>
      </c>
      <c r="AC393" s="3">
        <f>IF(ISERROR((VLOOKUP($A393,'SegEnds_NonXtal_BW#'!$A:$Z,20,FALSE)+VLOOKUP($A393,A:AL,28,FALSE)-50)),"-",(VLOOKUP($A393,'SegEnds_NonXtal_BW#'!$A:$Z,20,FALSE)+VLOOKUP($A393,A:AL,28,FALSE)-50))</f>
        <v>209</v>
      </c>
      <c r="AD393" s="3">
        <f>IF(ISERROR(VLOOKUP($A393,'SegEnds_NonXtal_BW#'!$A:$Z,21,FALSE)+VLOOKUP($A393,A:AL,31,FALSE)-50),"-",(VLOOKUP($A393,'SegEnds_NonXtal_BW#'!$A:$Z,21,FALSE)+VLOOKUP($A393,A:AL,31,FALSE)-50))</f>
        <v>219</v>
      </c>
      <c r="AE393" s="3">
        <v>240</v>
      </c>
      <c r="AF393" s="3">
        <f>IF(ISERROR((VLOOKUP($A393,'SegEnds_NonXtal_BW#'!$A:$Z,22,FALSE)+VLOOKUP($A393,A:AL,31,FALSE)-50)),"-",(VLOOKUP($A393,'SegEnds_NonXtal_BW#'!$A:$Z,22,FALSE)+VLOOKUP($A393,A:AL,31,FALSE)-50))</f>
        <v>251</v>
      </c>
      <c r="AG393" s="3">
        <f>IF(ISERROR(VLOOKUP($A393,'SegEnds_NonXtal_BW#'!$A:$Z,23,FALSE)+VLOOKUP($A393,A:AL,34,FALSE)-50),"-",(VLOOKUP($A393,'SegEnds_NonXtal_BW#'!$A:$Z,23,FALSE)+VLOOKUP($A393,A:AL,34,FALSE)-50))</f>
        <v>257</v>
      </c>
      <c r="AH393" s="3">
        <v>276</v>
      </c>
      <c r="AI393" s="3">
        <f>IF(ISERROR((VLOOKUP($A393,'SegEnds_NonXtal_BW#'!$A:$Z,24,FALSE)+VLOOKUP($A393,A:AL,34,FALSE)-50)),"-",(VLOOKUP($A393,'SegEnds_NonXtal_BW#'!$A:$Z,24,FALSE)+VLOOKUP($A393,A:AL,34,FALSE)-50))</f>
        <v>282</v>
      </c>
      <c r="AJ393" s="3">
        <f>IF(ISERROR(VLOOKUP($A393,'SegEnds_NonXtal_BW#'!$A:$Z,25,FALSE)+VLOOKUP($A393,A:AL,37,FALSE)-50),"-",(VLOOKUP($A393,'SegEnds_NonXtal_BW#'!$A:$Z,25,FALSE)+VLOOKUP($A393,A:AL,37,FALSE)-50))</f>
        <v>283</v>
      </c>
      <c r="AK393" s="3">
        <v>286</v>
      </c>
      <c r="AL393" s="3">
        <f>IF(ISERROR((VLOOKUP($A393,'SegEnds_NonXtal_BW#'!$A:$Z,26,FALSE)+VLOOKUP($A393,A:AL,37,FALSE)-50)),"-",(VLOOKUP($A393,'SegEnds_NonXtal_BW#'!$A:$Z,26,FALSE)+VLOOKUP($A393,A:AL,37,FALSE)-50))</f>
        <v>296</v>
      </c>
      <c r="AM393" s="28" t="str">
        <f>VLOOKUP(A393,Classification!A:B,2,FALSE)</f>
        <v>T</v>
      </c>
      <c r="AN393" s="28" t="b">
        <f t="shared" si="224"/>
        <v>1</v>
      </c>
      <c r="AO393" s="3" t="str">
        <f>IF(ISERROR(MATCH(A393,'SegEnds_Xtal_Prot#'!B:B, 0)), "NoXtal", "Xtal")</f>
        <v>NoXtal</v>
      </c>
      <c r="AP393" s="3">
        <f t="shared" si="209"/>
        <v>1</v>
      </c>
      <c r="AQ393" s="3">
        <f t="shared" si="210"/>
        <v>1</v>
      </c>
      <c r="AR393" s="3" t="str">
        <f t="shared" si="211"/>
        <v>-</v>
      </c>
      <c r="AS393" s="3" t="str">
        <f t="shared" si="212"/>
        <v>-</v>
      </c>
      <c r="AT393" s="3">
        <f t="shared" si="213"/>
        <v>3</v>
      </c>
      <c r="AU393" s="3">
        <f t="shared" si="214"/>
        <v>1</v>
      </c>
      <c r="AV393" s="3" t="str">
        <f t="shared" si="215"/>
        <v>-</v>
      </c>
      <c r="AW393" s="3" t="str">
        <f t="shared" si="216"/>
        <v>-</v>
      </c>
      <c r="AX393" s="3">
        <f t="shared" si="217"/>
        <v>10</v>
      </c>
      <c r="AY393" s="3">
        <f t="shared" si="218"/>
        <v>6</v>
      </c>
      <c r="AZ393" s="3">
        <f t="shared" si="219"/>
        <v>1</v>
      </c>
      <c r="BA393" s="3">
        <f>IF(ISERROR(LEN(VLOOKUP(A393,Seqs!A:E,2,FALSE))-AL393),"-",LEN(VLOOKUP(A393,Seqs!A:E,2,FALSE))-AL393)</f>
        <v>23</v>
      </c>
      <c r="BB393" s="16">
        <f t="shared" si="220"/>
        <v>31</v>
      </c>
      <c r="BC393" s="9">
        <f t="shared" si="221"/>
        <v>20</v>
      </c>
      <c r="BD393" s="3">
        <f t="shared" si="222"/>
        <v>31</v>
      </c>
      <c r="BE393" s="3">
        <f t="shared" si="223"/>
        <v>53</v>
      </c>
      <c r="BF393" s="3">
        <f t="shared" si="208"/>
        <v>36</v>
      </c>
    </row>
    <row r="394" spans="1:58" s="3" customFormat="1" x14ac:dyDescent="0.2">
      <c r="A394" s="3" t="s">
        <v>463</v>
      </c>
      <c r="B394" s="3" t="str">
        <f>LOWER(VLOOKUP(A394,Xtal_Templ!A:B,2,FALSE))</f>
        <v>drd2_human</v>
      </c>
      <c r="C394" s="3">
        <f>VLOOKUP($A394,'SegEnds_NonXtal_BW#'!$A:$Z,3,FALSE)+D394-50</f>
        <v>6</v>
      </c>
      <c r="D394" s="3">
        <v>24</v>
      </c>
      <c r="E394" s="3">
        <f t="shared" si="203"/>
        <v>36</v>
      </c>
      <c r="F394" s="3">
        <f t="shared" si="204"/>
        <v>37</v>
      </c>
      <c r="G394" s="3">
        <v>39</v>
      </c>
      <c r="H394" s="3">
        <f t="shared" si="205"/>
        <v>40</v>
      </c>
      <c r="I394" s="3">
        <f t="shared" si="205"/>
        <v>41</v>
      </c>
      <c r="J394" s="3">
        <v>55</v>
      </c>
      <c r="K394" s="3">
        <f>VLOOKUP($A394,'SegEnds_NonXtal_BW#'!$A:$Z,8,FALSE)+VLOOKUP($A394,A:AL,10,FALSE)-50</f>
        <v>71</v>
      </c>
      <c r="L394" s="3" t="str">
        <f>IF(ISERROR(VLOOKUP($A394,'SegEnds_NonXtal_BW#'!$A:$Z,9,FALSE)+VLOOKUP($A394,A:AL,13,FALSE)-50),"-",(VLOOKUP($A394,'SegEnds_NonXtal_BW#'!$A:$Z,9,FALSE)+VLOOKUP($A394,A:AL,13,FALSE)-50))</f>
        <v>-</v>
      </c>
      <c r="M394" s="3" t="s">
        <v>23</v>
      </c>
      <c r="N394" s="3" t="str">
        <f>IF(ISERROR(VLOOKUP($A394,'SegEnds_NonXtal_BW#'!$A:$Z,10,FALSE)+VLOOKUP($A394,A:AL,13,FALSE)-50),"-",(VLOOKUP($A394,'SegEnds_NonXtal_BW#'!$A:$Z,10,FALSE)+VLOOKUP($A394,A:AL,13,FALSE)-50))</f>
        <v>-</v>
      </c>
      <c r="O394" s="3">
        <f>VLOOKUP($A394,'SegEnds_NonXtal_BW#'!$A:$Z,11,FALSE)+VLOOKUP($A394,A:AL,16,FALSE)-50</f>
        <v>77</v>
      </c>
      <c r="P394" s="3">
        <v>106</v>
      </c>
      <c r="Q394" s="3">
        <f>VLOOKUP($A394,'SegEnds_NonXtal_BW#'!$A:$Z,12,FALSE)+VLOOKUP($A394,A:AL,16,FALSE)-50</f>
        <v>112</v>
      </c>
      <c r="R394" s="3">
        <f t="shared" si="206"/>
        <v>115</v>
      </c>
      <c r="S394" s="3">
        <v>115</v>
      </c>
      <c r="T394" s="100">
        <f t="shared" si="207"/>
        <v>122</v>
      </c>
      <c r="U394" s="9">
        <f>IF(ISERROR(VLOOKUP($A394,'SegEnds_NonXtal_BW#'!$A:$Z,15,FALSE)+VLOOKUP($A394,A:AL,22,FALSE)-50),"-",VLOOKUP($A394,'SegEnds_NonXtal_BW#'!$A:$Z,15,FALSE)+VLOOKUP($A394,A:AL,22,FALSE)-50)</f>
        <v>123</v>
      </c>
      <c r="V394" s="3">
        <v>135</v>
      </c>
      <c r="W394" s="3">
        <f>IF(ISERROR(VLOOKUP($A394,'SegEnds_NonXtal_BW#'!$A:$Z,16,FALSE)+VLOOKUP($A394,A:AL,22,FALSE)-50),"-",(VLOOKUP($A394,'SegEnds_NonXtal_BW#'!$A:$Z,16,FALSE)+VLOOKUP($A394,A:AL,22,FALSE)-50))</f>
        <v>147</v>
      </c>
      <c r="X394" s="3" t="str">
        <f>IF(ISERROR(VLOOKUP($A394,'SegEnds_NonXtal_BW#'!$A:$Z,17,FALSE)+VLOOKUP($A394,A:AL,25,FALSE)-50),"-",(VLOOKUP($A394,'SegEnds_NonXtal_BW#'!$A:$Z,17,FALSE)+VLOOKUP($A394,A:AL,25,FALSE)-50))</f>
        <v>-</v>
      </c>
      <c r="Y394" s="3" t="s">
        <v>23</v>
      </c>
      <c r="Z394" s="3" t="str">
        <f>IF(ISERROR(VLOOKUP($A394,'SegEnds_NonXtal_BW#'!$A:$Z,18,FALSE)+VLOOKUP($A394,A:AL,25,FALSE)-50),"-",(VLOOKUP($A394,'SegEnds_NonXtal_BW#'!$A:$Z,18,FALSE)+VLOOKUP($A394,A:AL,25,FALSE)-50))</f>
        <v>-</v>
      </c>
      <c r="AA394" s="3">
        <f>IF(ISERROR(VLOOKUP($A394,'SegEnds_NonXtal_BW#'!$A:$Z,19,FALSE)+VLOOKUP($A394,A:AL,28,FALSE)-50),"-",(VLOOKUP($A394,'SegEnds_NonXtal_BW#'!$A:$Z,19,FALSE)+VLOOKUP($A394,A:AL,28,FALSE)-50))</f>
        <v>169</v>
      </c>
      <c r="AB394" s="3">
        <v>187</v>
      </c>
      <c r="AC394" s="3">
        <f>IF(ISERROR((VLOOKUP($A394,'SegEnds_NonXtal_BW#'!$A:$Z,20,FALSE)+VLOOKUP($A394,A:AL,28,FALSE)-50)),"-",(VLOOKUP($A394,'SegEnds_NonXtal_BW#'!$A:$Z,20,FALSE)+VLOOKUP($A394,A:AL,28,FALSE)-50))</f>
        <v>209</v>
      </c>
      <c r="AD394" s="3">
        <f>IF(ISERROR(VLOOKUP($A394,'SegEnds_NonXtal_BW#'!$A:$Z,21,FALSE)+VLOOKUP($A394,A:AL,31,FALSE)-50),"-",(VLOOKUP($A394,'SegEnds_NonXtal_BW#'!$A:$Z,21,FALSE)+VLOOKUP($A394,A:AL,31,FALSE)-50))</f>
        <v>219</v>
      </c>
      <c r="AE394" s="3">
        <v>240</v>
      </c>
      <c r="AF394" s="3">
        <f>IF(ISERROR((VLOOKUP($A394,'SegEnds_NonXtal_BW#'!$A:$Z,22,FALSE)+VLOOKUP($A394,A:AL,31,FALSE)-50)),"-",(VLOOKUP($A394,'SegEnds_NonXtal_BW#'!$A:$Z,22,FALSE)+VLOOKUP($A394,A:AL,31,FALSE)-50))</f>
        <v>251</v>
      </c>
      <c r="AG394" s="3">
        <f>IF(ISERROR(VLOOKUP($A394,'SegEnds_NonXtal_BW#'!$A:$Z,23,FALSE)+VLOOKUP($A394,A:AL,34,FALSE)-50),"-",(VLOOKUP($A394,'SegEnds_NonXtal_BW#'!$A:$Z,23,FALSE)+VLOOKUP($A394,A:AL,34,FALSE)-50))</f>
        <v>257</v>
      </c>
      <c r="AH394" s="3">
        <v>276</v>
      </c>
      <c r="AI394" s="3">
        <f>IF(ISERROR((VLOOKUP($A394,'SegEnds_NonXtal_BW#'!$A:$Z,24,FALSE)+VLOOKUP($A394,A:AL,34,FALSE)-50)),"-",(VLOOKUP($A394,'SegEnds_NonXtal_BW#'!$A:$Z,24,FALSE)+VLOOKUP($A394,A:AL,34,FALSE)-50))</f>
        <v>282</v>
      </c>
      <c r="AJ394" s="3">
        <f>IF(ISERROR(VLOOKUP($A394,'SegEnds_NonXtal_BW#'!$A:$Z,25,FALSE)+VLOOKUP($A394,A:AL,37,FALSE)-50),"-",(VLOOKUP($A394,'SegEnds_NonXtal_BW#'!$A:$Z,25,FALSE)+VLOOKUP($A394,A:AL,37,FALSE)-50))</f>
        <v>283</v>
      </c>
      <c r="AK394" s="3">
        <v>286</v>
      </c>
      <c r="AL394" s="3">
        <f>IF(ISERROR((VLOOKUP($A394,'SegEnds_NonXtal_BW#'!$A:$Z,26,FALSE)+VLOOKUP($A394,A:AL,37,FALSE)-50)),"-",(VLOOKUP($A394,'SegEnds_NonXtal_BW#'!$A:$Z,26,FALSE)+VLOOKUP($A394,A:AL,37,FALSE)-50))</f>
        <v>296</v>
      </c>
      <c r="AM394" s="28" t="str">
        <f>VLOOKUP(A394,Classification!A:B,2,FALSE)</f>
        <v>T</v>
      </c>
      <c r="AN394" s="28" t="b">
        <f t="shared" si="224"/>
        <v>1</v>
      </c>
      <c r="AO394" s="3" t="str">
        <f>IF(ISERROR(MATCH(A394,'SegEnds_Xtal_Prot#'!B:B, 0)), "NoXtal", "Xtal")</f>
        <v>NoXtal</v>
      </c>
      <c r="AP394" s="3">
        <f t="shared" si="209"/>
        <v>1</v>
      </c>
      <c r="AQ394" s="3">
        <f t="shared" si="210"/>
        <v>1</v>
      </c>
      <c r="AR394" s="3" t="str">
        <f t="shared" si="211"/>
        <v>-</v>
      </c>
      <c r="AS394" s="3" t="str">
        <f t="shared" si="212"/>
        <v>-</v>
      </c>
      <c r="AT394" s="3">
        <f t="shared" si="213"/>
        <v>3</v>
      </c>
      <c r="AU394" s="3">
        <f t="shared" si="214"/>
        <v>1</v>
      </c>
      <c r="AV394" s="3" t="str">
        <f t="shared" si="215"/>
        <v>-</v>
      </c>
      <c r="AW394" s="3" t="str">
        <f t="shared" si="216"/>
        <v>-</v>
      </c>
      <c r="AX394" s="3">
        <f t="shared" si="217"/>
        <v>10</v>
      </c>
      <c r="AY394" s="3">
        <f t="shared" si="218"/>
        <v>6</v>
      </c>
      <c r="AZ394" s="3">
        <f t="shared" si="219"/>
        <v>1</v>
      </c>
      <c r="BA394" s="3">
        <f>IF(ISERROR(LEN(VLOOKUP(A394,Seqs!A:E,2,FALSE))-AL394),"-",LEN(VLOOKUP(A394,Seqs!A:E,2,FALSE))-AL394)</f>
        <v>13</v>
      </c>
      <c r="BB394" s="16">
        <f t="shared" si="220"/>
        <v>31</v>
      </c>
      <c r="BC394" s="9">
        <f t="shared" si="221"/>
        <v>20</v>
      </c>
      <c r="BD394" s="3">
        <f t="shared" si="222"/>
        <v>31</v>
      </c>
      <c r="BE394" s="3">
        <f t="shared" si="223"/>
        <v>53</v>
      </c>
      <c r="BF394" s="3">
        <f t="shared" si="208"/>
        <v>36</v>
      </c>
    </row>
    <row r="395" spans="1:58" s="3" customFormat="1" x14ac:dyDescent="0.2">
      <c r="A395" s="3" t="s">
        <v>464</v>
      </c>
      <c r="B395" s="3" t="str">
        <f>LOWER(VLOOKUP(A395,Xtal_Templ!A:B,2,FALSE))</f>
        <v>agtr1_human</v>
      </c>
      <c r="C395" s="3">
        <f>VLOOKUP($A395,'SegEnds_NonXtal_BW#'!$A:$Z,3,FALSE)+D395-50</f>
        <v>15</v>
      </c>
      <c r="D395" s="3">
        <v>33</v>
      </c>
      <c r="E395" s="3">
        <f t="shared" si="203"/>
        <v>45</v>
      </c>
      <c r="F395" s="3">
        <f t="shared" si="204"/>
        <v>46</v>
      </c>
      <c r="G395" s="3">
        <v>48</v>
      </c>
      <c r="H395" s="3">
        <f t="shared" si="205"/>
        <v>49</v>
      </c>
      <c r="I395" s="3">
        <f t="shared" si="205"/>
        <v>50</v>
      </c>
      <c r="J395" s="3">
        <v>64</v>
      </c>
      <c r="K395" s="3">
        <f>VLOOKUP($A395,'SegEnds_NonXtal_BW#'!$A:$Z,8,FALSE)+VLOOKUP($A395,A:AL,10,FALSE)-50</f>
        <v>81</v>
      </c>
      <c r="L395" s="3" t="str">
        <f>IF(ISERROR(VLOOKUP($A395,'SegEnds_NonXtal_BW#'!$A:$Z,9,FALSE)+VLOOKUP($A395,A:AL,13,FALSE)-50),"-",(VLOOKUP($A395,'SegEnds_NonXtal_BW#'!$A:$Z,9,FALSE)+VLOOKUP($A395,A:AL,13,FALSE)-50))</f>
        <v>-</v>
      </c>
      <c r="M395" s="3" t="s">
        <v>23</v>
      </c>
      <c r="N395" s="3" t="str">
        <f>IF(ISERROR(VLOOKUP($A395,'SegEnds_NonXtal_BW#'!$A:$Z,10,FALSE)+VLOOKUP($A395,A:AL,13,FALSE)-50),"-",(VLOOKUP($A395,'SegEnds_NonXtal_BW#'!$A:$Z,10,FALSE)+VLOOKUP($A395,A:AL,13,FALSE)-50))</f>
        <v>-</v>
      </c>
      <c r="O395" s="3">
        <f>VLOOKUP($A395,'SegEnds_NonXtal_BW#'!$A:$Z,11,FALSE)+VLOOKUP($A395,A:AL,16,FALSE)-50</f>
        <v>85</v>
      </c>
      <c r="P395" s="3">
        <v>117</v>
      </c>
      <c r="Q395" s="3">
        <f>VLOOKUP($A395,'SegEnds_NonXtal_BW#'!$A:$Z,12,FALSE)+VLOOKUP($A395,A:AL,16,FALSE)-50</f>
        <v>123</v>
      </c>
      <c r="R395" s="3">
        <f t="shared" si="206"/>
        <v>126</v>
      </c>
      <c r="S395" s="3">
        <v>126</v>
      </c>
      <c r="T395" s="100">
        <f t="shared" si="207"/>
        <v>133</v>
      </c>
      <c r="U395" s="9">
        <f>IF(ISERROR(VLOOKUP($A395,'SegEnds_NonXtal_BW#'!$A:$Z,15,FALSE)+VLOOKUP($A395,A:AL,22,FALSE)-50),"-",VLOOKUP($A395,'SegEnds_NonXtal_BW#'!$A:$Z,15,FALSE)+VLOOKUP($A395,A:AL,22,FALSE)-50)</f>
        <v>134</v>
      </c>
      <c r="V395" s="3">
        <v>146</v>
      </c>
      <c r="W395" s="3">
        <f>IF(ISERROR(VLOOKUP($A395,'SegEnds_NonXtal_BW#'!$A:$Z,16,FALSE)+VLOOKUP($A395,A:AL,22,FALSE)-50),"-",(VLOOKUP($A395,'SegEnds_NonXtal_BW#'!$A:$Z,16,FALSE)+VLOOKUP($A395,A:AL,22,FALSE)-50))</f>
        <v>160</v>
      </c>
      <c r="X395" s="3" t="str">
        <f>IF(ISERROR(VLOOKUP($A395,'SegEnds_NonXtal_BW#'!$A:$Z,17,FALSE)+VLOOKUP($A395,A:AL,25,FALSE)-50),"-",(VLOOKUP($A395,'SegEnds_NonXtal_BW#'!$A:$Z,17,FALSE)+VLOOKUP($A395,A:AL,25,FALSE)-50))</f>
        <v>-</v>
      </c>
      <c r="Y395" s="3" t="s">
        <v>23</v>
      </c>
      <c r="Z395" s="3" t="str">
        <f>IF(ISERROR(VLOOKUP($A395,'SegEnds_NonXtal_BW#'!$A:$Z,18,FALSE)+VLOOKUP($A395,A:AL,25,FALSE)-50),"-",(VLOOKUP($A395,'SegEnds_NonXtal_BW#'!$A:$Z,18,FALSE)+VLOOKUP($A395,A:AL,25,FALSE)-50))</f>
        <v>-</v>
      </c>
      <c r="AA395" s="3">
        <f>IF(ISERROR(VLOOKUP($A395,'SegEnds_NonXtal_BW#'!$A:$Z,19,FALSE)+VLOOKUP($A395,A:AL,28,FALSE)-50),"-",(VLOOKUP($A395,'SegEnds_NonXtal_BW#'!$A:$Z,19,FALSE)+VLOOKUP($A395,A:AL,28,FALSE)-50))</f>
        <v>187</v>
      </c>
      <c r="AB395" s="3">
        <v>205</v>
      </c>
      <c r="AC395" s="3">
        <f>IF(ISERROR((VLOOKUP($A395,'SegEnds_NonXtal_BW#'!$A:$Z,20,FALSE)+VLOOKUP($A395,A:AL,28,FALSE)-50)),"-",(VLOOKUP($A395,'SegEnds_NonXtal_BW#'!$A:$Z,20,FALSE)+VLOOKUP($A395,A:AL,28,FALSE)-50))</f>
        <v>227</v>
      </c>
      <c r="AD395" s="3">
        <f>IF(ISERROR(VLOOKUP($A395,'SegEnds_NonXtal_BW#'!$A:$Z,21,FALSE)+VLOOKUP($A395,A:AL,31,FALSE)-50),"-",(VLOOKUP($A395,'SegEnds_NonXtal_BW#'!$A:$Z,21,FALSE)+VLOOKUP($A395,A:AL,31,FALSE)-50))</f>
        <v>237</v>
      </c>
      <c r="AE395" s="3">
        <v>258</v>
      </c>
      <c r="AF395" s="3">
        <f>IF(ISERROR((VLOOKUP($A395,'SegEnds_NonXtal_BW#'!$A:$Z,22,FALSE)+VLOOKUP($A395,A:AL,31,FALSE)-50)),"-",(VLOOKUP($A395,'SegEnds_NonXtal_BW#'!$A:$Z,22,FALSE)+VLOOKUP($A395,A:AL,31,FALSE)-50))</f>
        <v>269</v>
      </c>
      <c r="AG395" s="3">
        <f>IF(ISERROR(VLOOKUP($A395,'SegEnds_NonXtal_BW#'!$A:$Z,23,FALSE)+VLOOKUP($A395,A:AL,34,FALSE)-50),"-",(VLOOKUP($A395,'SegEnds_NonXtal_BW#'!$A:$Z,23,FALSE)+VLOOKUP($A395,A:AL,34,FALSE)-50))</f>
        <v>275</v>
      </c>
      <c r="AH395" s="3">
        <v>294</v>
      </c>
      <c r="AI395" s="3">
        <f>IF(ISERROR((VLOOKUP($A395,'SegEnds_NonXtal_BW#'!$A:$Z,24,FALSE)+VLOOKUP($A395,A:AL,34,FALSE)-50)),"-",(VLOOKUP($A395,'SegEnds_NonXtal_BW#'!$A:$Z,24,FALSE)+VLOOKUP($A395,A:AL,34,FALSE)-50))</f>
        <v>300</v>
      </c>
      <c r="AJ395" s="3">
        <f>IF(ISERROR(VLOOKUP($A395,'SegEnds_NonXtal_BW#'!$A:$Z,25,FALSE)+VLOOKUP($A395,A:AL,37,FALSE)-50),"-",(VLOOKUP($A395,'SegEnds_NonXtal_BW#'!$A:$Z,25,FALSE)+VLOOKUP($A395,A:AL,37,FALSE)-50))</f>
        <v>301</v>
      </c>
      <c r="AK395" s="3">
        <v>304</v>
      </c>
      <c r="AL395" s="3">
        <f>IF(ISERROR((VLOOKUP($A395,'SegEnds_NonXtal_BW#'!$A:$Z,26,FALSE)+VLOOKUP($A395,A:AL,37,FALSE)-50)),"-",(VLOOKUP($A395,'SegEnds_NonXtal_BW#'!$A:$Z,26,FALSE)+VLOOKUP($A395,A:AL,37,FALSE)-50))</f>
        <v>314</v>
      </c>
      <c r="AM395" s="28" t="str">
        <f>VLOOKUP(A395,Classification!A:B,2,FALSE)</f>
        <v>T</v>
      </c>
      <c r="AN395" s="28" t="b">
        <f t="shared" si="224"/>
        <v>1</v>
      </c>
      <c r="AO395" s="3" t="str">
        <f>IF(ISERROR(MATCH(A395,'SegEnds_Xtal_Prot#'!B:B, 0)), "NoXtal", "Xtal")</f>
        <v>NoXtal</v>
      </c>
      <c r="AP395" s="3">
        <f t="shared" si="209"/>
        <v>1</v>
      </c>
      <c r="AQ395" s="3">
        <f t="shared" si="210"/>
        <v>1</v>
      </c>
      <c r="AR395" s="3" t="str">
        <f t="shared" si="211"/>
        <v>-</v>
      </c>
      <c r="AS395" s="3" t="str">
        <f t="shared" si="212"/>
        <v>-</v>
      </c>
      <c r="AT395" s="3">
        <f t="shared" si="213"/>
        <v>3</v>
      </c>
      <c r="AU395" s="3">
        <f t="shared" si="214"/>
        <v>1</v>
      </c>
      <c r="AV395" s="3" t="str">
        <f t="shared" si="215"/>
        <v>-</v>
      </c>
      <c r="AW395" s="3" t="str">
        <f t="shared" si="216"/>
        <v>-</v>
      </c>
      <c r="AX395" s="3">
        <f t="shared" si="217"/>
        <v>10</v>
      </c>
      <c r="AY395" s="3">
        <f t="shared" si="218"/>
        <v>6</v>
      </c>
      <c r="AZ395" s="3">
        <f t="shared" si="219"/>
        <v>1</v>
      </c>
      <c r="BA395" s="3">
        <f>IF(ISERROR(LEN(VLOOKUP(A395,Seqs!A:E,2,FALSE))-AL395),"-",LEN(VLOOKUP(A395,Seqs!A:E,2,FALSE))-AL395)</f>
        <v>19</v>
      </c>
      <c r="BB395" s="16">
        <f t="shared" si="220"/>
        <v>31</v>
      </c>
      <c r="BC395" s="9">
        <f t="shared" si="221"/>
        <v>20</v>
      </c>
      <c r="BD395" s="3">
        <f t="shared" si="222"/>
        <v>31</v>
      </c>
      <c r="BE395" s="3">
        <f t="shared" si="223"/>
        <v>53</v>
      </c>
      <c r="BF395" s="3">
        <f t="shared" si="208"/>
        <v>36</v>
      </c>
    </row>
    <row r="396" spans="1:58" s="3" customFormat="1" x14ac:dyDescent="0.2">
      <c r="A396" s="3" t="s">
        <v>465</v>
      </c>
      <c r="B396" s="3" t="str">
        <f>LOWER(VLOOKUP(A396,Xtal_Templ!A:B,2,FALSE))</f>
        <v>agtr1_human</v>
      </c>
      <c r="C396" s="3">
        <f>VLOOKUP($A396,'SegEnds_NonXtal_BW#'!$A:$Z,3,FALSE)+D396-50</f>
        <v>34</v>
      </c>
      <c r="D396" s="3">
        <v>52</v>
      </c>
      <c r="E396" s="3">
        <f t="shared" si="203"/>
        <v>64</v>
      </c>
      <c r="F396" s="3">
        <f t="shared" si="204"/>
        <v>65</v>
      </c>
      <c r="G396" s="3">
        <v>67</v>
      </c>
      <c r="H396" s="3">
        <f t="shared" si="205"/>
        <v>68</v>
      </c>
      <c r="I396" s="3">
        <f t="shared" si="205"/>
        <v>69</v>
      </c>
      <c r="J396" s="3">
        <v>83</v>
      </c>
      <c r="K396" s="3">
        <f>VLOOKUP($A396,'SegEnds_NonXtal_BW#'!$A:$Z,8,FALSE)+VLOOKUP($A396,A:AL,10,FALSE)-50</f>
        <v>99</v>
      </c>
      <c r="L396" s="3" t="str">
        <f>IF(ISERROR(VLOOKUP($A396,'SegEnds_NonXtal_BW#'!$A:$Z,9,FALSE)+VLOOKUP($A396,A:AL,13,FALSE)-50),"-",(VLOOKUP($A396,'SegEnds_NonXtal_BW#'!$A:$Z,9,FALSE)+VLOOKUP($A396,A:AL,13,FALSE)-50))</f>
        <v>-</v>
      </c>
      <c r="M396" s="3" t="s">
        <v>23</v>
      </c>
      <c r="N396" s="3" t="str">
        <f>IF(ISERROR(VLOOKUP($A396,'SegEnds_NonXtal_BW#'!$A:$Z,10,FALSE)+VLOOKUP($A396,A:AL,13,FALSE)-50),"-",(VLOOKUP($A396,'SegEnds_NonXtal_BW#'!$A:$Z,10,FALSE)+VLOOKUP($A396,A:AL,13,FALSE)-50))</f>
        <v>-</v>
      </c>
      <c r="O396" s="3">
        <f>VLOOKUP($A396,'SegEnds_NonXtal_BW#'!$A:$Z,11,FALSE)+VLOOKUP($A396,A:AL,16,FALSE)-50</f>
        <v>103</v>
      </c>
      <c r="P396" s="3">
        <v>135</v>
      </c>
      <c r="Q396" s="3">
        <f>VLOOKUP($A396,'SegEnds_NonXtal_BW#'!$A:$Z,12,FALSE)+VLOOKUP($A396,A:AL,16,FALSE)-50</f>
        <v>141</v>
      </c>
      <c r="R396" s="3">
        <f t="shared" si="206"/>
        <v>144</v>
      </c>
      <c r="S396" s="3">
        <v>144</v>
      </c>
      <c r="T396" s="100">
        <f t="shared" si="207"/>
        <v>151</v>
      </c>
      <c r="U396" s="9">
        <f>IF(ISERROR(VLOOKUP($A396,'SegEnds_NonXtal_BW#'!$A:$Z,15,FALSE)+VLOOKUP($A396,A:AL,22,FALSE)-50),"-",VLOOKUP($A396,'SegEnds_NonXtal_BW#'!$A:$Z,15,FALSE)+VLOOKUP($A396,A:AL,22,FALSE)-50)</f>
        <v>152</v>
      </c>
      <c r="V396" s="3">
        <v>164</v>
      </c>
      <c r="W396" s="3">
        <f>IF(ISERROR(VLOOKUP($A396,'SegEnds_NonXtal_BW#'!$A:$Z,16,FALSE)+VLOOKUP($A396,A:AL,22,FALSE)-50),"-",(VLOOKUP($A396,'SegEnds_NonXtal_BW#'!$A:$Z,16,FALSE)+VLOOKUP($A396,A:AL,22,FALSE)-50))</f>
        <v>178</v>
      </c>
      <c r="X396" s="3" t="str">
        <f>IF(ISERROR(VLOOKUP($A396,'SegEnds_NonXtal_BW#'!$A:$Z,17,FALSE)+VLOOKUP($A396,A:AL,25,FALSE)-50),"-",(VLOOKUP($A396,'SegEnds_NonXtal_BW#'!$A:$Z,17,FALSE)+VLOOKUP($A396,A:AL,25,FALSE)-50))</f>
        <v>-</v>
      </c>
      <c r="Y396" s="3" t="s">
        <v>23</v>
      </c>
      <c r="Z396" s="3" t="str">
        <f>IF(ISERROR(VLOOKUP($A396,'SegEnds_NonXtal_BW#'!$A:$Z,18,FALSE)+VLOOKUP($A396,A:AL,25,FALSE)-50),"-",(VLOOKUP($A396,'SegEnds_NonXtal_BW#'!$A:$Z,18,FALSE)+VLOOKUP($A396,A:AL,25,FALSE)-50))</f>
        <v>-</v>
      </c>
      <c r="AA396" s="3">
        <f>IF(ISERROR(VLOOKUP($A396,'SegEnds_NonXtal_BW#'!$A:$Z,19,FALSE)+VLOOKUP($A396,A:AL,28,FALSE)-50),"-",(VLOOKUP($A396,'SegEnds_NonXtal_BW#'!$A:$Z,19,FALSE)+VLOOKUP($A396,A:AL,28,FALSE)-50))</f>
        <v>202</v>
      </c>
      <c r="AB396" s="3">
        <v>220</v>
      </c>
      <c r="AC396" s="3">
        <f>IF(ISERROR((VLOOKUP($A396,'SegEnds_NonXtal_BW#'!$A:$Z,20,FALSE)+VLOOKUP($A396,A:AL,28,FALSE)-50)),"-",(VLOOKUP($A396,'SegEnds_NonXtal_BW#'!$A:$Z,20,FALSE)+VLOOKUP($A396,A:AL,28,FALSE)-50))</f>
        <v>242</v>
      </c>
      <c r="AD396" s="3">
        <f>IF(ISERROR(VLOOKUP($A396,'SegEnds_NonXtal_BW#'!$A:$Z,21,FALSE)+VLOOKUP($A396,A:AL,31,FALSE)-50),"-",(VLOOKUP($A396,'SegEnds_NonXtal_BW#'!$A:$Z,21,FALSE)+VLOOKUP($A396,A:AL,31,FALSE)-50))</f>
        <v>252</v>
      </c>
      <c r="AE396" s="3">
        <v>273</v>
      </c>
      <c r="AF396" s="3">
        <f>IF(ISERROR((VLOOKUP($A396,'SegEnds_NonXtal_BW#'!$A:$Z,22,FALSE)+VLOOKUP($A396,A:AL,31,FALSE)-50)),"-",(VLOOKUP($A396,'SegEnds_NonXtal_BW#'!$A:$Z,22,FALSE)+VLOOKUP($A396,A:AL,31,FALSE)-50))</f>
        <v>284</v>
      </c>
      <c r="AG396" s="3">
        <f>IF(ISERROR(VLOOKUP($A396,'SegEnds_NonXtal_BW#'!$A:$Z,23,FALSE)+VLOOKUP($A396,A:AL,34,FALSE)-50),"-",(VLOOKUP($A396,'SegEnds_NonXtal_BW#'!$A:$Z,23,FALSE)+VLOOKUP($A396,A:AL,34,FALSE)-50))</f>
        <v>289</v>
      </c>
      <c r="AH396" s="3">
        <v>308</v>
      </c>
      <c r="AI396" s="3">
        <f>IF(ISERROR((VLOOKUP($A396,'SegEnds_NonXtal_BW#'!$A:$Z,24,FALSE)+VLOOKUP($A396,A:AL,34,FALSE)-50)),"-",(VLOOKUP($A396,'SegEnds_NonXtal_BW#'!$A:$Z,24,FALSE)+VLOOKUP($A396,A:AL,34,FALSE)-50))</f>
        <v>314</v>
      </c>
      <c r="AJ396" s="3">
        <f>IF(ISERROR(VLOOKUP($A396,'SegEnds_NonXtal_BW#'!$A:$Z,25,FALSE)+VLOOKUP($A396,A:AL,37,FALSE)-50),"-",(VLOOKUP($A396,'SegEnds_NonXtal_BW#'!$A:$Z,25,FALSE)+VLOOKUP($A396,A:AL,37,FALSE)-50))</f>
        <v>315</v>
      </c>
      <c r="AK396" s="3">
        <v>318</v>
      </c>
      <c r="AL396" s="3">
        <f>IF(ISERROR((VLOOKUP($A396,'SegEnds_NonXtal_BW#'!$A:$Z,26,FALSE)+VLOOKUP($A396,A:AL,37,FALSE)-50)),"-",(VLOOKUP($A396,'SegEnds_NonXtal_BW#'!$A:$Z,26,FALSE)+VLOOKUP($A396,A:AL,37,FALSE)-50))</f>
        <v>328</v>
      </c>
      <c r="AM396" s="28" t="str">
        <f>VLOOKUP(A396,Classification!A:B,2,FALSE)</f>
        <v>T</v>
      </c>
      <c r="AN396" s="28" t="b">
        <f t="shared" si="224"/>
        <v>1</v>
      </c>
      <c r="AO396" s="3" t="str">
        <f>IF(ISERROR(MATCH(A396,'SegEnds_Xtal_Prot#'!B:B, 0)), "NoXtal", "Xtal")</f>
        <v>NoXtal</v>
      </c>
      <c r="AP396" s="3">
        <f t="shared" si="209"/>
        <v>1</v>
      </c>
      <c r="AQ396" s="3">
        <f t="shared" si="210"/>
        <v>1</v>
      </c>
      <c r="AR396" s="3" t="str">
        <f t="shared" si="211"/>
        <v>-</v>
      </c>
      <c r="AS396" s="3" t="str">
        <f t="shared" si="212"/>
        <v>-</v>
      </c>
      <c r="AT396" s="3">
        <f t="shared" si="213"/>
        <v>3</v>
      </c>
      <c r="AU396" s="3">
        <f t="shared" si="214"/>
        <v>1</v>
      </c>
      <c r="AV396" s="3" t="str">
        <f t="shared" si="215"/>
        <v>-</v>
      </c>
      <c r="AW396" s="3" t="str">
        <f t="shared" si="216"/>
        <v>-</v>
      </c>
      <c r="AX396" s="3">
        <f t="shared" si="217"/>
        <v>10</v>
      </c>
      <c r="AY396" s="3">
        <f t="shared" si="218"/>
        <v>5</v>
      </c>
      <c r="AZ396" s="3">
        <f t="shared" si="219"/>
        <v>1</v>
      </c>
      <c r="BA396" s="3">
        <f>IF(ISERROR(LEN(VLOOKUP(A396,Seqs!A:E,2,FALSE))-AL396),"-",LEN(VLOOKUP(A396,Seqs!A:E,2,FALSE))-AL396)</f>
        <v>10</v>
      </c>
      <c r="BB396" s="16">
        <f t="shared" si="220"/>
        <v>31</v>
      </c>
      <c r="BC396" s="9">
        <f t="shared" si="221"/>
        <v>20</v>
      </c>
      <c r="BD396" s="3">
        <f t="shared" si="222"/>
        <v>31</v>
      </c>
      <c r="BE396" s="3">
        <f t="shared" si="223"/>
        <v>53</v>
      </c>
      <c r="BF396" s="3">
        <f t="shared" si="208"/>
        <v>35</v>
      </c>
    </row>
    <row r="397" spans="1:58" s="3" customFormat="1" x14ac:dyDescent="0.2">
      <c r="A397" s="3" t="s">
        <v>466</v>
      </c>
      <c r="B397" s="3" t="str">
        <f>LOWER(VLOOKUP(A397,Xtal_Templ!A:B,2,FALSE))</f>
        <v>cxcr4_human</v>
      </c>
      <c r="C397" s="3">
        <f>VLOOKUP($A397,'SegEnds_NonXtal_BW#'!$A:$Z,3,FALSE)+D397-50</f>
        <v>18</v>
      </c>
      <c r="D397" s="3">
        <v>36</v>
      </c>
      <c r="E397" s="3">
        <f t="shared" si="203"/>
        <v>48</v>
      </c>
      <c r="F397" s="3">
        <f t="shared" si="204"/>
        <v>49</v>
      </c>
      <c r="G397" s="3">
        <v>51</v>
      </c>
      <c r="H397" s="3">
        <f t="shared" si="205"/>
        <v>52</v>
      </c>
      <c r="I397" s="3">
        <f t="shared" si="205"/>
        <v>53</v>
      </c>
      <c r="J397" s="3">
        <v>67</v>
      </c>
      <c r="K397" s="3">
        <f>VLOOKUP($A397,'SegEnds_NonXtal_BW#'!$A:$Z,8,FALSE)+VLOOKUP($A397,A:AL,10,FALSE)-50</f>
        <v>83</v>
      </c>
      <c r="L397" s="3" t="str">
        <f>IF(ISERROR(VLOOKUP($A397,'SegEnds_NonXtal_BW#'!$A:$Z,9,FALSE)+VLOOKUP($A397,A:AL,13,FALSE)-50),"-",(VLOOKUP($A397,'SegEnds_NonXtal_BW#'!$A:$Z,9,FALSE)+VLOOKUP($A397,A:AL,13,FALSE)-50))</f>
        <v>-</v>
      </c>
      <c r="M397" s="3" t="s">
        <v>23</v>
      </c>
      <c r="N397" s="3" t="str">
        <f>IF(ISERROR(VLOOKUP($A397,'SegEnds_NonXtal_BW#'!$A:$Z,10,FALSE)+VLOOKUP($A397,A:AL,13,FALSE)-50),"-",(VLOOKUP($A397,'SegEnds_NonXtal_BW#'!$A:$Z,10,FALSE)+VLOOKUP($A397,A:AL,13,FALSE)-50))</f>
        <v>-</v>
      </c>
      <c r="O397" s="3">
        <f>VLOOKUP($A397,'SegEnds_NonXtal_BW#'!$A:$Z,11,FALSE)+VLOOKUP($A397,A:AL,16,FALSE)-50</f>
        <v>87</v>
      </c>
      <c r="P397" s="3">
        <v>119</v>
      </c>
      <c r="Q397" s="3">
        <f>VLOOKUP($A397,'SegEnds_NonXtal_BW#'!$A:$Z,12,FALSE)+VLOOKUP($A397,A:AL,16,FALSE)-50</f>
        <v>125</v>
      </c>
      <c r="R397" s="3">
        <f t="shared" si="206"/>
        <v>128</v>
      </c>
      <c r="S397" s="3">
        <v>128</v>
      </c>
      <c r="T397" s="100">
        <f t="shared" si="207"/>
        <v>135</v>
      </c>
      <c r="U397" s="9">
        <f>IF(ISERROR(VLOOKUP($A397,'SegEnds_NonXtal_BW#'!$A:$Z,15,FALSE)+VLOOKUP($A397,A:AL,22,FALSE)-50),"-",VLOOKUP($A397,'SegEnds_NonXtal_BW#'!$A:$Z,15,FALSE)+VLOOKUP($A397,A:AL,22,FALSE)-50)</f>
        <v>136</v>
      </c>
      <c r="V397" s="3">
        <v>148</v>
      </c>
      <c r="W397" s="3">
        <f>IF(ISERROR(VLOOKUP($A397,'SegEnds_NonXtal_BW#'!$A:$Z,16,FALSE)+VLOOKUP($A397,A:AL,22,FALSE)-50),"-",(VLOOKUP($A397,'SegEnds_NonXtal_BW#'!$A:$Z,16,FALSE)+VLOOKUP($A397,A:AL,22,FALSE)-50))</f>
        <v>162</v>
      </c>
      <c r="X397" s="3" t="str">
        <f>IF(ISERROR(VLOOKUP($A397,'SegEnds_NonXtal_BW#'!$A:$Z,17,FALSE)+VLOOKUP($A397,A:AL,25,FALSE)-50),"-",(VLOOKUP($A397,'SegEnds_NonXtal_BW#'!$A:$Z,17,FALSE)+VLOOKUP($A397,A:AL,25,FALSE)-50))</f>
        <v>-</v>
      </c>
      <c r="Y397" s="3" t="s">
        <v>23</v>
      </c>
      <c r="Z397" s="3" t="str">
        <f>IF(ISERROR(VLOOKUP($A397,'SegEnds_NonXtal_BW#'!$A:$Z,18,FALSE)+VLOOKUP($A397,A:AL,25,FALSE)-50),"-",(VLOOKUP($A397,'SegEnds_NonXtal_BW#'!$A:$Z,18,FALSE)+VLOOKUP($A397,A:AL,25,FALSE)-50))</f>
        <v>-</v>
      </c>
      <c r="AA397" s="3">
        <f>IF(ISERROR(VLOOKUP($A397,'SegEnds_NonXtal_BW#'!$A:$Z,19,FALSE)+VLOOKUP($A397,A:AL,28,FALSE)-50),"-",(VLOOKUP($A397,'SegEnds_NonXtal_BW#'!$A:$Z,19,FALSE)+VLOOKUP($A397,A:AL,28,FALSE)-50))</f>
        <v>187</v>
      </c>
      <c r="AB397" s="3">
        <v>205</v>
      </c>
      <c r="AC397" s="3">
        <f>IF(ISERROR((VLOOKUP($A397,'SegEnds_NonXtal_BW#'!$A:$Z,20,FALSE)+VLOOKUP($A397,A:AL,28,FALSE)-50)),"-",(VLOOKUP($A397,'SegEnds_NonXtal_BW#'!$A:$Z,20,FALSE)+VLOOKUP($A397,A:AL,28,FALSE)-50))</f>
        <v>227</v>
      </c>
      <c r="AD397" s="3">
        <f>IF(ISERROR(VLOOKUP($A397,'SegEnds_NonXtal_BW#'!$A:$Z,21,FALSE)+VLOOKUP($A397,A:AL,31,FALSE)-50),"-",(VLOOKUP($A397,'SegEnds_NonXtal_BW#'!$A:$Z,21,FALSE)+VLOOKUP($A397,A:AL,31,FALSE)-50))</f>
        <v>237</v>
      </c>
      <c r="AE397" s="3">
        <v>258</v>
      </c>
      <c r="AF397" s="3">
        <f>IF(ISERROR((VLOOKUP($A397,'SegEnds_NonXtal_BW#'!$A:$Z,22,FALSE)+VLOOKUP($A397,A:AL,31,FALSE)-50)),"-",(VLOOKUP($A397,'SegEnds_NonXtal_BW#'!$A:$Z,22,FALSE)+VLOOKUP($A397,A:AL,31,FALSE)-50))</f>
        <v>269</v>
      </c>
      <c r="AG397" s="3">
        <f>IF(ISERROR(VLOOKUP($A397,'SegEnds_NonXtal_BW#'!$A:$Z,23,FALSE)+VLOOKUP($A397,A:AL,34,FALSE)-50),"-",(VLOOKUP($A397,'SegEnds_NonXtal_BW#'!$A:$Z,23,FALSE)+VLOOKUP($A397,A:AL,34,FALSE)-50))</f>
        <v>274</v>
      </c>
      <c r="AH397" s="3">
        <v>293</v>
      </c>
      <c r="AI397" s="3">
        <f>IF(ISERROR((VLOOKUP($A397,'SegEnds_NonXtal_BW#'!$A:$Z,24,FALSE)+VLOOKUP($A397,A:AL,34,FALSE)-50)),"-",(VLOOKUP($A397,'SegEnds_NonXtal_BW#'!$A:$Z,24,FALSE)+VLOOKUP($A397,A:AL,34,FALSE)-50))</f>
        <v>299</v>
      </c>
      <c r="AJ397" s="3">
        <f>IF(ISERROR(VLOOKUP($A397,'SegEnds_NonXtal_BW#'!$A:$Z,25,FALSE)+VLOOKUP($A397,A:AL,37,FALSE)-50),"-",(VLOOKUP($A397,'SegEnds_NonXtal_BW#'!$A:$Z,25,FALSE)+VLOOKUP($A397,A:AL,37,FALSE)-50))</f>
        <v>300</v>
      </c>
      <c r="AK397" s="3">
        <v>303</v>
      </c>
      <c r="AL397" s="3">
        <f>IF(ISERROR((VLOOKUP($A397,'SegEnds_NonXtal_BW#'!$A:$Z,26,FALSE)+VLOOKUP($A397,A:AL,37,FALSE)-50)),"-",(VLOOKUP($A397,'SegEnds_NonXtal_BW#'!$A:$Z,26,FALSE)+VLOOKUP($A397,A:AL,37,FALSE)-50))</f>
        <v>313</v>
      </c>
      <c r="AM397" s="28" t="str">
        <f>VLOOKUP(A397,Classification!A:B,2,FALSE)</f>
        <v>T</v>
      </c>
      <c r="AN397" s="28" t="b">
        <f t="shared" si="224"/>
        <v>1</v>
      </c>
      <c r="AO397" s="3" t="str">
        <f>IF(ISERROR(MATCH(A397,'SegEnds_Xtal_Prot#'!B:B, 0)), "NoXtal", "Xtal")</f>
        <v>NoXtal</v>
      </c>
      <c r="AP397" s="3">
        <f t="shared" si="209"/>
        <v>1</v>
      </c>
      <c r="AQ397" s="3">
        <f t="shared" si="210"/>
        <v>1</v>
      </c>
      <c r="AR397" s="3" t="str">
        <f t="shared" si="211"/>
        <v>-</v>
      </c>
      <c r="AS397" s="3" t="str">
        <f t="shared" si="212"/>
        <v>-</v>
      </c>
      <c r="AT397" s="3">
        <f t="shared" si="213"/>
        <v>3</v>
      </c>
      <c r="AU397" s="3">
        <f t="shared" si="214"/>
        <v>1</v>
      </c>
      <c r="AV397" s="3" t="str">
        <f t="shared" si="215"/>
        <v>-</v>
      </c>
      <c r="AW397" s="3" t="str">
        <f t="shared" si="216"/>
        <v>-</v>
      </c>
      <c r="AX397" s="3">
        <f t="shared" si="217"/>
        <v>10</v>
      </c>
      <c r="AY397" s="3">
        <f t="shared" si="218"/>
        <v>5</v>
      </c>
      <c r="AZ397" s="3">
        <f t="shared" si="219"/>
        <v>1</v>
      </c>
      <c r="BA397" s="3">
        <f>IF(ISERROR(LEN(VLOOKUP(A397,Seqs!A:E,2,FALSE))-AL397),"-",LEN(VLOOKUP(A397,Seqs!A:E,2,FALSE))-AL397)</f>
        <v>10</v>
      </c>
      <c r="BB397" s="16">
        <f t="shared" si="220"/>
        <v>31</v>
      </c>
      <c r="BC397" s="9">
        <f t="shared" si="221"/>
        <v>20</v>
      </c>
      <c r="BD397" s="3">
        <f t="shared" si="222"/>
        <v>31</v>
      </c>
      <c r="BE397" s="3">
        <f t="shared" si="223"/>
        <v>53</v>
      </c>
      <c r="BF397" s="3">
        <f t="shared" si="208"/>
        <v>35</v>
      </c>
    </row>
    <row r="398" spans="1:58" s="3" customFormat="1" x14ac:dyDescent="0.2">
      <c r="A398" s="3" t="s">
        <v>467</v>
      </c>
      <c r="B398" s="3" t="str">
        <f>LOWER(VLOOKUP(A398,Xtal_Templ!A:B,2,FALSE))</f>
        <v>drd2_human</v>
      </c>
      <c r="C398" s="3">
        <f>VLOOKUP($A398,'SegEnds_NonXtal_BW#'!$A:$Z,3,FALSE)+D398-50</f>
        <v>6</v>
      </c>
      <c r="D398" s="3">
        <v>24</v>
      </c>
      <c r="E398" s="3">
        <f t="shared" si="203"/>
        <v>36</v>
      </c>
      <c r="F398" s="3">
        <f t="shared" si="204"/>
        <v>37</v>
      </c>
      <c r="G398" s="3">
        <v>39</v>
      </c>
      <c r="H398" s="3">
        <f t="shared" si="205"/>
        <v>40</v>
      </c>
      <c r="I398" s="3">
        <f t="shared" si="205"/>
        <v>41</v>
      </c>
      <c r="J398" s="3">
        <v>55</v>
      </c>
      <c r="K398" s="3">
        <f>VLOOKUP($A398,'SegEnds_NonXtal_BW#'!$A:$Z,8,FALSE)+VLOOKUP($A398,A:AL,10,FALSE)-50</f>
        <v>72</v>
      </c>
      <c r="L398" s="3" t="str">
        <f>IF(ISERROR(VLOOKUP($A398,'SegEnds_NonXtal_BW#'!$A:$Z,9,FALSE)+VLOOKUP($A398,A:AL,13,FALSE)-50),"-",(VLOOKUP($A398,'SegEnds_NonXtal_BW#'!$A:$Z,9,FALSE)+VLOOKUP($A398,A:AL,13,FALSE)-50))</f>
        <v>-</v>
      </c>
      <c r="M398" s="3" t="s">
        <v>23</v>
      </c>
      <c r="N398" s="3" t="str">
        <f>IF(ISERROR(VLOOKUP($A398,'SegEnds_NonXtal_BW#'!$A:$Z,10,FALSE)+VLOOKUP($A398,A:AL,13,FALSE)-50),"-",(VLOOKUP($A398,'SegEnds_NonXtal_BW#'!$A:$Z,10,FALSE)+VLOOKUP($A398,A:AL,13,FALSE)-50))</f>
        <v>-</v>
      </c>
      <c r="O398" s="3">
        <f>VLOOKUP($A398,'SegEnds_NonXtal_BW#'!$A:$Z,11,FALSE)+VLOOKUP($A398,A:AL,16,FALSE)-50</f>
        <v>78</v>
      </c>
      <c r="P398" s="3">
        <v>107</v>
      </c>
      <c r="Q398" s="3">
        <f>VLOOKUP($A398,'SegEnds_NonXtal_BW#'!$A:$Z,12,FALSE)+VLOOKUP($A398,A:AL,16,FALSE)-50</f>
        <v>113</v>
      </c>
      <c r="R398" s="3">
        <f t="shared" si="206"/>
        <v>116</v>
      </c>
      <c r="S398" s="3">
        <v>116</v>
      </c>
      <c r="T398" s="100">
        <f t="shared" si="207"/>
        <v>123</v>
      </c>
      <c r="U398" s="9">
        <f>IF(ISERROR(VLOOKUP($A398,'SegEnds_NonXtal_BW#'!$A:$Z,15,FALSE)+VLOOKUP($A398,A:AL,22,FALSE)-50),"-",VLOOKUP($A398,'SegEnds_NonXtal_BW#'!$A:$Z,15,FALSE)+VLOOKUP($A398,A:AL,22,FALSE)-50)</f>
        <v>124</v>
      </c>
      <c r="V398" s="3">
        <v>136</v>
      </c>
      <c r="W398" s="3">
        <f>IF(ISERROR(VLOOKUP($A398,'SegEnds_NonXtal_BW#'!$A:$Z,16,FALSE)+VLOOKUP($A398,A:AL,22,FALSE)-50),"-",(VLOOKUP($A398,'SegEnds_NonXtal_BW#'!$A:$Z,16,FALSE)+VLOOKUP($A398,A:AL,22,FALSE)-50))</f>
        <v>148</v>
      </c>
      <c r="X398" s="3" t="str">
        <f>IF(ISERROR(VLOOKUP($A398,'SegEnds_NonXtal_BW#'!$A:$Z,17,FALSE)+VLOOKUP($A398,A:AL,25,FALSE)-50),"-",(VLOOKUP($A398,'SegEnds_NonXtal_BW#'!$A:$Z,17,FALSE)+VLOOKUP($A398,A:AL,25,FALSE)-50))</f>
        <v>-</v>
      </c>
      <c r="Y398" s="3" t="s">
        <v>23</v>
      </c>
      <c r="Z398" s="3" t="str">
        <f>IF(ISERROR(VLOOKUP($A398,'SegEnds_NonXtal_BW#'!$A:$Z,18,FALSE)+VLOOKUP($A398,A:AL,25,FALSE)-50),"-",(VLOOKUP($A398,'SegEnds_NonXtal_BW#'!$A:$Z,18,FALSE)+VLOOKUP($A398,A:AL,25,FALSE)-50))</f>
        <v>-</v>
      </c>
      <c r="AA398" s="3">
        <f>IF(ISERROR(VLOOKUP($A398,'SegEnds_NonXtal_BW#'!$A:$Z,19,FALSE)+VLOOKUP($A398,A:AL,28,FALSE)-50),"-",(VLOOKUP($A398,'SegEnds_NonXtal_BW#'!$A:$Z,19,FALSE)+VLOOKUP($A398,A:AL,28,FALSE)-50))</f>
        <v>174</v>
      </c>
      <c r="AB398" s="3">
        <v>192</v>
      </c>
      <c r="AC398" s="3">
        <f>IF(ISERROR((VLOOKUP($A398,'SegEnds_NonXtal_BW#'!$A:$Z,20,FALSE)+VLOOKUP($A398,A:AL,28,FALSE)-50)),"-",(VLOOKUP($A398,'SegEnds_NonXtal_BW#'!$A:$Z,20,FALSE)+VLOOKUP($A398,A:AL,28,FALSE)-50))</f>
        <v>214</v>
      </c>
      <c r="AD398" s="3">
        <f>IF(ISERROR(VLOOKUP($A398,'SegEnds_NonXtal_BW#'!$A:$Z,21,FALSE)+VLOOKUP($A398,A:AL,31,FALSE)-50),"-",(VLOOKUP($A398,'SegEnds_NonXtal_BW#'!$A:$Z,21,FALSE)+VLOOKUP($A398,A:AL,31,FALSE)-50))</f>
        <v>224</v>
      </c>
      <c r="AE398" s="3">
        <v>245</v>
      </c>
      <c r="AF398" s="3">
        <f>IF(ISERROR((VLOOKUP($A398,'SegEnds_NonXtal_BW#'!$A:$Z,22,FALSE)+VLOOKUP($A398,A:AL,31,FALSE)-50)),"-",(VLOOKUP($A398,'SegEnds_NonXtal_BW#'!$A:$Z,22,FALSE)+VLOOKUP($A398,A:AL,31,FALSE)-50))</f>
        <v>256</v>
      </c>
      <c r="AG398" s="3">
        <f>IF(ISERROR(VLOOKUP($A398,'SegEnds_NonXtal_BW#'!$A:$Z,23,FALSE)+VLOOKUP($A398,A:AL,34,FALSE)-50),"-",(VLOOKUP($A398,'SegEnds_NonXtal_BW#'!$A:$Z,23,FALSE)+VLOOKUP($A398,A:AL,34,FALSE)-50))</f>
        <v>261</v>
      </c>
      <c r="AH398" s="3">
        <v>280</v>
      </c>
      <c r="AI398" s="3">
        <f>IF(ISERROR((VLOOKUP($A398,'SegEnds_NonXtal_BW#'!$A:$Z,24,FALSE)+VLOOKUP($A398,A:AL,34,FALSE)-50)),"-",(VLOOKUP($A398,'SegEnds_NonXtal_BW#'!$A:$Z,24,FALSE)+VLOOKUP($A398,A:AL,34,FALSE)-50))</f>
        <v>286</v>
      </c>
      <c r="AJ398" s="3">
        <f>IF(ISERROR(VLOOKUP($A398,'SegEnds_NonXtal_BW#'!$A:$Z,25,FALSE)+VLOOKUP($A398,A:AL,37,FALSE)-50),"-",(VLOOKUP($A398,'SegEnds_NonXtal_BW#'!$A:$Z,25,FALSE)+VLOOKUP($A398,A:AL,37,FALSE)-50))</f>
        <v>287</v>
      </c>
      <c r="AK398" s="3">
        <v>290</v>
      </c>
      <c r="AL398" s="3">
        <f>IF(ISERROR((VLOOKUP($A398,'SegEnds_NonXtal_BW#'!$A:$Z,26,FALSE)+VLOOKUP($A398,A:AL,37,FALSE)-50)),"-",(VLOOKUP($A398,'SegEnds_NonXtal_BW#'!$A:$Z,26,FALSE)+VLOOKUP($A398,A:AL,37,FALSE)-50))</f>
        <v>300</v>
      </c>
      <c r="AM398" s="28" t="str">
        <f>VLOOKUP(A398,Classification!A:B,2,FALSE)</f>
        <v>T</v>
      </c>
      <c r="AN398" s="28" t="b">
        <f t="shared" si="224"/>
        <v>1</v>
      </c>
      <c r="AO398" s="3" t="str">
        <f>IF(ISERROR(MATCH(A398,'SegEnds_Xtal_Prot#'!B:B, 0)), "NoXtal", "Xtal")</f>
        <v>NoXtal</v>
      </c>
      <c r="AP398" s="3">
        <f t="shared" si="209"/>
        <v>1</v>
      </c>
      <c r="AQ398" s="3">
        <f t="shared" si="210"/>
        <v>1</v>
      </c>
      <c r="AR398" s="3" t="str">
        <f t="shared" si="211"/>
        <v>-</v>
      </c>
      <c r="AS398" s="3" t="str">
        <f t="shared" si="212"/>
        <v>-</v>
      </c>
      <c r="AT398" s="3">
        <f t="shared" si="213"/>
        <v>3</v>
      </c>
      <c r="AU398" s="3">
        <f t="shared" si="214"/>
        <v>1</v>
      </c>
      <c r="AV398" s="3" t="str">
        <f t="shared" si="215"/>
        <v>-</v>
      </c>
      <c r="AW398" s="3" t="str">
        <f t="shared" si="216"/>
        <v>-</v>
      </c>
      <c r="AX398" s="3">
        <f t="shared" si="217"/>
        <v>10</v>
      </c>
      <c r="AY398" s="3">
        <f t="shared" si="218"/>
        <v>5</v>
      </c>
      <c r="AZ398" s="3">
        <f t="shared" si="219"/>
        <v>1</v>
      </c>
      <c r="BA398" s="3">
        <f>IF(ISERROR(LEN(VLOOKUP(A398,Seqs!A:E,2,FALSE))-AL398),"-",LEN(VLOOKUP(A398,Seqs!A:E,2,FALSE))-AL398)</f>
        <v>7</v>
      </c>
      <c r="BB398" s="16">
        <f t="shared" si="220"/>
        <v>31</v>
      </c>
      <c r="BC398" s="9">
        <f t="shared" si="221"/>
        <v>20</v>
      </c>
      <c r="BD398" s="3">
        <f t="shared" si="222"/>
        <v>31</v>
      </c>
      <c r="BE398" s="3">
        <f t="shared" si="223"/>
        <v>53</v>
      </c>
      <c r="BF398" s="3">
        <f t="shared" si="208"/>
        <v>35</v>
      </c>
    </row>
    <row r="399" spans="1:58" s="3" customFormat="1" x14ac:dyDescent="0.2">
      <c r="A399" s="3" t="s">
        <v>468</v>
      </c>
      <c r="B399" s="3" t="str">
        <f>LOWER(VLOOKUP(A399,Xtal_Templ!A:B,2,FALSE))</f>
        <v>hrh1_human</v>
      </c>
      <c r="C399" s="3">
        <f>VLOOKUP($A399,'SegEnds_NonXtal_BW#'!$A:$Z,3,FALSE)+D399-50</f>
        <v>6</v>
      </c>
      <c r="D399" s="3">
        <v>24</v>
      </c>
      <c r="E399" s="3">
        <f t="shared" si="203"/>
        <v>36</v>
      </c>
      <c r="F399" s="3">
        <f t="shared" si="204"/>
        <v>37</v>
      </c>
      <c r="G399" s="3">
        <v>39</v>
      </c>
      <c r="H399" s="3">
        <f t="shared" si="205"/>
        <v>40</v>
      </c>
      <c r="I399" s="3">
        <f t="shared" si="205"/>
        <v>41</v>
      </c>
      <c r="J399" s="3">
        <v>55</v>
      </c>
      <c r="K399" s="3">
        <f>VLOOKUP($A399,'SegEnds_NonXtal_BW#'!$A:$Z,8,FALSE)+VLOOKUP($A399,A:AL,10,FALSE)-50</f>
        <v>72</v>
      </c>
      <c r="L399" s="3" t="str">
        <f>IF(ISERROR(VLOOKUP($A399,'SegEnds_NonXtal_BW#'!$A:$Z,9,FALSE)+VLOOKUP($A399,A:AL,13,FALSE)-50),"-",(VLOOKUP($A399,'SegEnds_NonXtal_BW#'!$A:$Z,9,FALSE)+VLOOKUP($A399,A:AL,13,FALSE)-50))</f>
        <v>-</v>
      </c>
      <c r="M399" s="3" t="s">
        <v>23</v>
      </c>
      <c r="N399" s="3" t="str">
        <f>IF(ISERROR(VLOOKUP($A399,'SegEnds_NonXtal_BW#'!$A:$Z,10,FALSE)+VLOOKUP($A399,A:AL,13,FALSE)-50),"-",(VLOOKUP($A399,'SegEnds_NonXtal_BW#'!$A:$Z,10,FALSE)+VLOOKUP($A399,A:AL,13,FALSE)-50))</f>
        <v>-</v>
      </c>
      <c r="O399" s="3">
        <f>VLOOKUP($A399,'SegEnds_NonXtal_BW#'!$A:$Z,11,FALSE)+VLOOKUP($A399,A:AL,16,FALSE)-50</f>
        <v>78</v>
      </c>
      <c r="P399" s="3">
        <v>107</v>
      </c>
      <c r="Q399" s="3">
        <f>VLOOKUP($A399,'SegEnds_NonXtal_BW#'!$A:$Z,12,FALSE)+VLOOKUP($A399,A:AL,16,FALSE)-50</f>
        <v>113</v>
      </c>
      <c r="R399" s="3">
        <f t="shared" si="206"/>
        <v>116</v>
      </c>
      <c r="S399" s="3">
        <v>116</v>
      </c>
      <c r="T399" s="100">
        <f t="shared" si="207"/>
        <v>123</v>
      </c>
      <c r="U399" s="9">
        <f>IF(ISERROR(VLOOKUP($A399,'SegEnds_NonXtal_BW#'!$A:$Z,15,FALSE)+VLOOKUP($A399,A:AL,22,FALSE)-50),"-",VLOOKUP($A399,'SegEnds_NonXtal_BW#'!$A:$Z,15,FALSE)+VLOOKUP($A399,A:AL,22,FALSE)-50)</f>
        <v>124</v>
      </c>
      <c r="V399" s="3">
        <v>136</v>
      </c>
      <c r="W399" s="3">
        <f>IF(ISERROR(VLOOKUP($A399,'SegEnds_NonXtal_BW#'!$A:$Z,16,FALSE)+VLOOKUP($A399,A:AL,22,FALSE)-50),"-",(VLOOKUP($A399,'SegEnds_NonXtal_BW#'!$A:$Z,16,FALSE)+VLOOKUP($A399,A:AL,22,FALSE)-50))</f>
        <v>148</v>
      </c>
      <c r="X399" s="3" t="str">
        <f>IF(ISERROR(VLOOKUP($A399,'SegEnds_NonXtal_BW#'!$A:$Z,17,FALSE)+VLOOKUP($A399,A:AL,25,FALSE)-50),"-",(VLOOKUP($A399,'SegEnds_NonXtal_BW#'!$A:$Z,17,FALSE)+VLOOKUP($A399,A:AL,25,FALSE)-50))</f>
        <v>-</v>
      </c>
      <c r="Y399" s="3" t="s">
        <v>23</v>
      </c>
      <c r="Z399" s="3" t="str">
        <f>IF(ISERROR(VLOOKUP($A399,'SegEnds_NonXtal_BW#'!$A:$Z,18,FALSE)+VLOOKUP($A399,A:AL,25,FALSE)-50),"-",(VLOOKUP($A399,'SegEnds_NonXtal_BW#'!$A:$Z,18,FALSE)+VLOOKUP($A399,A:AL,25,FALSE)-50))</f>
        <v>-</v>
      </c>
      <c r="AA399" s="3">
        <f>IF(ISERROR(VLOOKUP($A399,'SegEnds_NonXtal_BW#'!$A:$Z,19,FALSE)+VLOOKUP($A399,A:AL,28,FALSE)-50),"-",(VLOOKUP($A399,'SegEnds_NonXtal_BW#'!$A:$Z,19,FALSE)+VLOOKUP($A399,A:AL,28,FALSE)-50))</f>
        <v>174</v>
      </c>
      <c r="AB399" s="3">
        <v>192</v>
      </c>
      <c r="AC399" s="3">
        <f>IF(ISERROR((VLOOKUP($A399,'SegEnds_NonXtal_BW#'!$A:$Z,20,FALSE)+VLOOKUP($A399,A:AL,28,FALSE)-50)),"-",(VLOOKUP($A399,'SegEnds_NonXtal_BW#'!$A:$Z,20,FALSE)+VLOOKUP($A399,A:AL,28,FALSE)-50))</f>
        <v>214</v>
      </c>
      <c r="AD399" s="3">
        <f>IF(ISERROR(VLOOKUP($A399,'SegEnds_NonXtal_BW#'!$A:$Z,21,FALSE)+VLOOKUP($A399,A:AL,31,FALSE)-50),"-",(VLOOKUP($A399,'SegEnds_NonXtal_BW#'!$A:$Z,21,FALSE)+VLOOKUP($A399,A:AL,31,FALSE)-50))</f>
        <v>224</v>
      </c>
      <c r="AE399" s="3">
        <v>245</v>
      </c>
      <c r="AF399" s="3">
        <f>IF(ISERROR((VLOOKUP($A399,'SegEnds_NonXtal_BW#'!$A:$Z,22,FALSE)+VLOOKUP($A399,A:AL,31,FALSE)-50)),"-",(VLOOKUP($A399,'SegEnds_NonXtal_BW#'!$A:$Z,22,FALSE)+VLOOKUP($A399,A:AL,31,FALSE)-50))</f>
        <v>256</v>
      </c>
      <c r="AG399" s="3">
        <f>IF(ISERROR(VLOOKUP($A399,'SegEnds_NonXtal_BW#'!$A:$Z,23,FALSE)+VLOOKUP($A399,A:AL,34,FALSE)-50),"-",(VLOOKUP($A399,'SegEnds_NonXtal_BW#'!$A:$Z,23,FALSE)+VLOOKUP($A399,A:AL,34,FALSE)-50))</f>
        <v>262</v>
      </c>
      <c r="AH399" s="3">
        <v>281</v>
      </c>
      <c r="AI399" s="3">
        <f>IF(ISERROR((VLOOKUP($A399,'SegEnds_NonXtal_BW#'!$A:$Z,24,FALSE)+VLOOKUP($A399,A:AL,34,FALSE)-50)),"-",(VLOOKUP($A399,'SegEnds_NonXtal_BW#'!$A:$Z,24,FALSE)+VLOOKUP($A399,A:AL,34,FALSE)-50))</f>
        <v>287</v>
      </c>
      <c r="AJ399" s="3">
        <f>IF(ISERROR(VLOOKUP($A399,'SegEnds_NonXtal_BW#'!$A:$Z,25,FALSE)+VLOOKUP($A399,A:AL,37,FALSE)-50),"-",(VLOOKUP($A399,'SegEnds_NonXtal_BW#'!$A:$Z,25,FALSE)+VLOOKUP($A399,A:AL,37,FALSE)-50))</f>
        <v>288</v>
      </c>
      <c r="AK399" s="3">
        <v>291</v>
      </c>
      <c r="AL399" s="3">
        <f>IF(ISERROR((VLOOKUP($A399,'SegEnds_NonXtal_BW#'!$A:$Z,26,FALSE)+VLOOKUP($A399,A:AL,37,FALSE)-50)),"-",(VLOOKUP($A399,'SegEnds_NonXtal_BW#'!$A:$Z,26,FALSE)+VLOOKUP($A399,A:AL,37,FALSE)-50))</f>
        <v>301</v>
      </c>
      <c r="AM399" s="28" t="str">
        <f>VLOOKUP(A399,Classification!A:B,2,FALSE)</f>
        <v>T</v>
      </c>
      <c r="AN399" s="28" t="b">
        <f t="shared" si="224"/>
        <v>1</v>
      </c>
      <c r="AO399" s="3" t="str">
        <f>IF(ISERROR(MATCH(A399,'SegEnds_Xtal_Prot#'!B:B, 0)), "NoXtal", "Xtal")</f>
        <v>NoXtal</v>
      </c>
      <c r="AP399" s="3">
        <f t="shared" si="209"/>
        <v>1</v>
      </c>
      <c r="AQ399" s="3">
        <f t="shared" si="210"/>
        <v>1</v>
      </c>
      <c r="AR399" s="3" t="str">
        <f t="shared" si="211"/>
        <v>-</v>
      </c>
      <c r="AS399" s="3" t="str">
        <f t="shared" si="212"/>
        <v>-</v>
      </c>
      <c r="AT399" s="3">
        <f t="shared" si="213"/>
        <v>3</v>
      </c>
      <c r="AU399" s="3">
        <f t="shared" si="214"/>
        <v>1</v>
      </c>
      <c r="AV399" s="3" t="str">
        <f t="shared" si="215"/>
        <v>-</v>
      </c>
      <c r="AW399" s="3" t="str">
        <f t="shared" si="216"/>
        <v>-</v>
      </c>
      <c r="AX399" s="3">
        <f t="shared" si="217"/>
        <v>10</v>
      </c>
      <c r="AY399" s="3">
        <f t="shared" si="218"/>
        <v>6</v>
      </c>
      <c r="AZ399" s="3">
        <f t="shared" si="219"/>
        <v>1</v>
      </c>
      <c r="BA399" s="3">
        <f>IF(ISERROR(LEN(VLOOKUP(A399,Seqs!A:E,2,FALSE))-AL399),"-",LEN(VLOOKUP(A399,Seqs!A:E,2,FALSE))-AL399)</f>
        <v>13</v>
      </c>
      <c r="BB399" s="16">
        <f t="shared" si="220"/>
        <v>31</v>
      </c>
      <c r="BC399" s="9">
        <f t="shared" si="221"/>
        <v>20</v>
      </c>
      <c r="BD399" s="3">
        <f t="shared" si="222"/>
        <v>31</v>
      </c>
      <c r="BE399" s="3">
        <f t="shared" si="223"/>
        <v>53</v>
      </c>
      <c r="BF399" s="3">
        <f t="shared" si="208"/>
        <v>36</v>
      </c>
    </row>
    <row r="400" spans="1:58" s="3" customFormat="1" x14ac:dyDescent="0.2">
      <c r="A400" s="3" t="s">
        <v>469</v>
      </c>
      <c r="B400" s="3" t="str">
        <f>LOWER(VLOOKUP(A400,Xtal_Templ!A:B,2,FALSE))</f>
        <v>drd2_human</v>
      </c>
      <c r="C400" s="3">
        <f>VLOOKUP($A400,'SegEnds_NonXtal_BW#'!$A:$Z,3,FALSE)+D400-50</f>
        <v>6</v>
      </c>
      <c r="D400" s="3">
        <v>24</v>
      </c>
      <c r="E400" s="3">
        <f t="shared" si="203"/>
        <v>36</v>
      </c>
      <c r="F400" s="3">
        <f t="shared" si="204"/>
        <v>37</v>
      </c>
      <c r="G400" s="3">
        <v>39</v>
      </c>
      <c r="H400" s="3">
        <f t="shared" si="205"/>
        <v>40</v>
      </c>
      <c r="I400" s="3">
        <f t="shared" si="205"/>
        <v>41</v>
      </c>
      <c r="J400" s="3">
        <v>55</v>
      </c>
      <c r="K400" s="3">
        <f>VLOOKUP($A400,'SegEnds_NonXtal_BW#'!$A:$Z,8,FALSE)+VLOOKUP($A400,A:AL,10,FALSE)-50</f>
        <v>71</v>
      </c>
      <c r="L400" s="3" t="str">
        <f>IF(ISERROR(VLOOKUP($A400,'SegEnds_NonXtal_BW#'!$A:$Z,9,FALSE)+VLOOKUP($A400,A:AL,13,FALSE)-50),"-",(VLOOKUP($A400,'SegEnds_NonXtal_BW#'!$A:$Z,9,FALSE)+VLOOKUP($A400,A:AL,13,FALSE)-50))</f>
        <v>-</v>
      </c>
      <c r="M400" s="3" t="s">
        <v>23</v>
      </c>
      <c r="N400" s="3" t="str">
        <f>IF(ISERROR(VLOOKUP($A400,'SegEnds_NonXtal_BW#'!$A:$Z,10,FALSE)+VLOOKUP($A400,A:AL,13,FALSE)-50),"-",(VLOOKUP($A400,'SegEnds_NonXtal_BW#'!$A:$Z,10,FALSE)+VLOOKUP($A400,A:AL,13,FALSE)-50))</f>
        <v>-</v>
      </c>
      <c r="O400" s="3">
        <f>VLOOKUP($A400,'SegEnds_NonXtal_BW#'!$A:$Z,11,FALSE)+VLOOKUP($A400,A:AL,16,FALSE)-50</f>
        <v>77</v>
      </c>
      <c r="P400" s="3">
        <v>106</v>
      </c>
      <c r="Q400" s="3">
        <f>VLOOKUP($A400,'SegEnds_NonXtal_BW#'!$A:$Z,12,FALSE)+VLOOKUP($A400,A:AL,16,FALSE)-50</f>
        <v>112</v>
      </c>
      <c r="R400" s="3">
        <f t="shared" si="206"/>
        <v>115</v>
      </c>
      <c r="S400" s="3">
        <v>115</v>
      </c>
      <c r="T400" s="100">
        <f t="shared" si="207"/>
        <v>122</v>
      </c>
      <c r="U400" s="9">
        <f>IF(ISERROR(VLOOKUP($A400,'SegEnds_NonXtal_BW#'!$A:$Z,15,FALSE)+VLOOKUP($A400,A:AL,22,FALSE)-50),"-",VLOOKUP($A400,'SegEnds_NonXtal_BW#'!$A:$Z,15,FALSE)+VLOOKUP($A400,A:AL,22,FALSE)-50)</f>
        <v>123</v>
      </c>
      <c r="V400" s="3">
        <v>135</v>
      </c>
      <c r="W400" s="3">
        <f>IF(ISERROR(VLOOKUP($A400,'SegEnds_NonXtal_BW#'!$A:$Z,16,FALSE)+VLOOKUP($A400,A:AL,22,FALSE)-50),"-",(VLOOKUP($A400,'SegEnds_NonXtal_BW#'!$A:$Z,16,FALSE)+VLOOKUP($A400,A:AL,22,FALSE)-50))</f>
        <v>147</v>
      </c>
      <c r="X400" s="3" t="str">
        <f>IF(ISERROR(VLOOKUP($A400,'SegEnds_NonXtal_BW#'!$A:$Z,17,FALSE)+VLOOKUP($A400,A:AL,25,FALSE)-50),"-",(VLOOKUP($A400,'SegEnds_NonXtal_BW#'!$A:$Z,17,FALSE)+VLOOKUP($A400,A:AL,25,FALSE)-50))</f>
        <v>-</v>
      </c>
      <c r="Y400" s="3" t="s">
        <v>23</v>
      </c>
      <c r="Z400" s="3" t="str">
        <f>IF(ISERROR(VLOOKUP($A400,'SegEnds_NonXtal_BW#'!$A:$Z,18,FALSE)+VLOOKUP($A400,A:AL,25,FALSE)-50),"-",(VLOOKUP($A400,'SegEnds_NonXtal_BW#'!$A:$Z,18,FALSE)+VLOOKUP($A400,A:AL,25,FALSE)-50))</f>
        <v>-</v>
      </c>
      <c r="AA400" s="3">
        <f>IF(ISERROR(VLOOKUP($A400,'SegEnds_NonXtal_BW#'!$A:$Z,19,FALSE)+VLOOKUP($A400,A:AL,28,FALSE)-50),"-",(VLOOKUP($A400,'SegEnds_NonXtal_BW#'!$A:$Z,19,FALSE)+VLOOKUP($A400,A:AL,28,FALSE)-50))</f>
        <v>169</v>
      </c>
      <c r="AB400" s="3">
        <v>187</v>
      </c>
      <c r="AC400" s="3">
        <f>IF(ISERROR((VLOOKUP($A400,'SegEnds_NonXtal_BW#'!$A:$Z,20,FALSE)+VLOOKUP($A400,A:AL,28,FALSE)-50)),"-",(VLOOKUP($A400,'SegEnds_NonXtal_BW#'!$A:$Z,20,FALSE)+VLOOKUP($A400,A:AL,28,FALSE)-50))</f>
        <v>209</v>
      </c>
      <c r="AD400" s="3">
        <f>IF(ISERROR(VLOOKUP($A400,'SegEnds_NonXtal_BW#'!$A:$Z,21,FALSE)+VLOOKUP($A400,A:AL,31,FALSE)-50),"-",(VLOOKUP($A400,'SegEnds_NonXtal_BW#'!$A:$Z,21,FALSE)+VLOOKUP($A400,A:AL,31,FALSE)-50))</f>
        <v>219</v>
      </c>
      <c r="AE400" s="3">
        <v>240</v>
      </c>
      <c r="AF400" s="3">
        <f>IF(ISERROR((VLOOKUP($A400,'SegEnds_NonXtal_BW#'!$A:$Z,22,FALSE)+VLOOKUP($A400,A:AL,31,FALSE)-50)),"-",(VLOOKUP($A400,'SegEnds_NonXtal_BW#'!$A:$Z,22,FALSE)+VLOOKUP($A400,A:AL,31,FALSE)-50))</f>
        <v>251</v>
      </c>
      <c r="AG400" s="3">
        <f>IF(ISERROR(VLOOKUP($A400,'SegEnds_NonXtal_BW#'!$A:$Z,23,FALSE)+VLOOKUP($A400,A:AL,34,FALSE)-50),"-",(VLOOKUP($A400,'SegEnds_NonXtal_BW#'!$A:$Z,23,FALSE)+VLOOKUP($A400,A:AL,34,FALSE)-50))</f>
        <v>257</v>
      </c>
      <c r="AH400" s="3">
        <v>276</v>
      </c>
      <c r="AI400" s="3">
        <f>IF(ISERROR((VLOOKUP($A400,'SegEnds_NonXtal_BW#'!$A:$Z,24,FALSE)+VLOOKUP($A400,A:AL,34,FALSE)-50)),"-",(VLOOKUP($A400,'SegEnds_NonXtal_BW#'!$A:$Z,24,FALSE)+VLOOKUP($A400,A:AL,34,FALSE)-50))</f>
        <v>282</v>
      </c>
      <c r="AJ400" s="3">
        <f>IF(ISERROR(VLOOKUP($A400,'SegEnds_NonXtal_BW#'!$A:$Z,25,FALSE)+VLOOKUP($A400,A:AL,37,FALSE)-50),"-",(VLOOKUP($A400,'SegEnds_NonXtal_BW#'!$A:$Z,25,FALSE)+VLOOKUP($A400,A:AL,37,FALSE)-50))</f>
        <v>283</v>
      </c>
      <c r="AK400" s="3">
        <v>286</v>
      </c>
      <c r="AL400" s="3">
        <f>IF(ISERROR((VLOOKUP($A400,'SegEnds_NonXtal_BW#'!$A:$Z,26,FALSE)+VLOOKUP($A400,A:AL,37,FALSE)-50)),"-",(VLOOKUP($A400,'SegEnds_NonXtal_BW#'!$A:$Z,26,FALSE)+VLOOKUP($A400,A:AL,37,FALSE)-50))</f>
        <v>296</v>
      </c>
      <c r="AM400" s="28" t="str">
        <f>VLOOKUP(A400,Classification!A:B,2,FALSE)</f>
        <v>T</v>
      </c>
      <c r="AN400" s="28" t="b">
        <f t="shared" si="224"/>
        <v>1</v>
      </c>
      <c r="AO400" s="3" t="str">
        <f>IF(ISERROR(MATCH(A400,'SegEnds_Xtal_Prot#'!B:B, 0)), "NoXtal", "Xtal")</f>
        <v>NoXtal</v>
      </c>
      <c r="AP400" s="3">
        <f t="shared" si="209"/>
        <v>1</v>
      </c>
      <c r="AQ400" s="3">
        <f t="shared" si="210"/>
        <v>1</v>
      </c>
      <c r="AR400" s="3" t="str">
        <f t="shared" si="211"/>
        <v>-</v>
      </c>
      <c r="AS400" s="3" t="str">
        <f t="shared" si="212"/>
        <v>-</v>
      </c>
      <c r="AT400" s="3">
        <f t="shared" si="213"/>
        <v>3</v>
      </c>
      <c r="AU400" s="3">
        <f t="shared" si="214"/>
        <v>1</v>
      </c>
      <c r="AV400" s="3" t="str">
        <f t="shared" si="215"/>
        <v>-</v>
      </c>
      <c r="AW400" s="3" t="str">
        <f t="shared" si="216"/>
        <v>-</v>
      </c>
      <c r="AX400" s="3">
        <f t="shared" si="217"/>
        <v>10</v>
      </c>
      <c r="AY400" s="3">
        <f t="shared" si="218"/>
        <v>6</v>
      </c>
      <c r="AZ400" s="3">
        <f t="shared" si="219"/>
        <v>1</v>
      </c>
      <c r="BA400" s="3">
        <f>IF(ISERROR(LEN(VLOOKUP(A400,Seqs!A:E,2,FALSE))-AL400),"-",LEN(VLOOKUP(A400,Seqs!A:E,2,FALSE))-AL400)</f>
        <v>13</v>
      </c>
      <c r="BB400" s="16">
        <f t="shared" si="220"/>
        <v>31</v>
      </c>
      <c r="BC400" s="9">
        <f t="shared" si="221"/>
        <v>20</v>
      </c>
      <c r="BD400" s="3">
        <f t="shared" si="222"/>
        <v>31</v>
      </c>
      <c r="BE400" s="3">
        <f t="shared" si="223"/>
        <v>53</v>
      </c>
      <c r="BF400" s="3">
        <f t="shared" si="208"/>
        <v>36</v>
      </c>
    </row>
    <row r="401" spans="1:58" s="3" customFormat="1" x14ac:dyDescent="0.2">
      <c r="A401" s="3" t="s">
        <v>930</v>
      </c>
      <c r="B401" s="3" t="str">
        <f>LOWER(VLOOKUP(A401,Xtal_Templ!A:B,2,FALSE))</f>
        <v>5ht2c_human</v>
      </c>
      <c r="C401" s="3">
        <f>VLOOKUP($A401,'SegEnds_NonXtal_BW#'!$A:$Z,3,FALSE)+D401-50</f>
        <v>6</v>
      </c>
      <c r="D401" s="3">
        <v>24</v>
      </c>
      <c r="E401" s="3">
        <f t="shared" si="203"/>
        <v>36</v>
      </c>
      <c r="F401" s="3">
        <f t="shared" si="204"/>
        <v>37</v>
      </c>
      <c r="G401" s="3">
        <v>39</v>
      </c>
      <c r="H401" s="3">
        <f t="shared" si="205"/>
        <v>40</v>
      </c>
      <c r="I401" s="3">
        <f t="shared" si="205"/>
        <v>41</v>
      </c>
      <c r="J401" s="3">
        <v>55</v>
      </c>
      <c r="K401" s="3">
        <f>VLOOKUP($A401,'SegEnds_NonXtal_BW#'!$A:$Z,8,FALSE)+VLOOKUP($A401,A:AL,10,FALSE)-50</f>
        <v>71</v>
      </c>
      <c r="L401" s="3" t="str">
        <f>IF(ISERROR(VLOOKUP($A401,'SegEnds_NonXtal_BW#'!$A:$Z,9,FALSE)+VLOOKUP($A401,A:AL,13,FALSE)-50),"-",(VLOOKUP($A401,'SegEnds_NonXtal_BW#'!$A:$Z,9,FALSE)+VLOOKUP($A401,A:AL,13,FALSE)-50))</f>
        <v>-</v>
      </c>
      <c r="M401" s="3" t="s">
        <v>23</v>
      </c>
      <c r="N401" s="3" t="str">
        <f>IF(ISERROR(VLOOKUP($A401,'SegEnds_NonXtal_BW#'!$A:$Z,10,FALSE)+VLOOKUP($A401,A:AL,13,FALSE)-50),"-",(VLOOKUP($A401,'SegEnds_NonXtal_BW#'!$A:$Z,10,FALSE)+VLOOKUP($A401,A:AL,13,FALSE)-50))</f>
        <v>-</v>
      </c>
      <c r="O401" s="3">
        <f>VLOOKUP($A401,'SegEnds_NonXtal_BW#'!$A:$Z,11,FALSE)+VLOOKUP($A401,A:AL,16,FALSE)-50</f>
        <v>77</v>
      </c>
      <c r="P401" s="3">
        <v>106</v>
      </c>
      <c r="Q401" s="3">
        <f>VLOOKUP($A401,'SegEnds_NonXtal_BW#'!$A:$Z,12,FALSE)+VLOOKUP($A401,A:AL,16,FALSE)-50</f>
        <v>112</v>
      </c>
      <c r="R401" s="3">
        <f t="shared" si="206"/>
        <v>115</v>
      </c>
      <c r="S401" s="3">
        <v>115</v>
      </c>
      <c r="T401" s="100">
        <f t="shared" si="207"/>
        <v>122</v>
      </c>
      <c r="U401" s="9">
        <f>IF(ISERROR(VLOOKUP($A401,'SegEnds_NonXtal_BW#'!$A:$Z,15,FALSE)+VLOOKUP($A401,A:AL,22,FALSE)-50),"-",VLOOKUP($A401,'SegEnds_NonXtal_BW#'!$A:$Z,15,FALSE)+VLOOKUP($A401,A:AL,22,FALSE)-50)</f>
        <v>123</v>
      </c>
      <c r="V401" s="3">
        <v>135</v>
      </c>
      <c r="W401" s="3">
        <f>IF(ISERROR(VLOOKUP($A401,'SegEnds_NonXtal_BW#'!$A:$Z,16,FALSE)+VLOOKUP($A401,A:AL,22,FALSE)-50),"-",(VLOOKUP($A401,'SegEnds_NonXtal_BW#'!$A:$Z,16,FALSE)+VLOOKUP($A401,A:AL,22,FALSE)-50))</f>
        <v>152</v>
      </c>
      <c r="X401" s="3" t="str">
        <f>IF(ISERROR(VLOOKUP($A401,'SegEnds_NonXtal_BW#'!$A:$Z,17,FALSE)+VLOOKUP($A401,A:AL,25,FALSE)-50),"-",(VLOOKUP($A401,'SegEnds_NonXtal_BW#'!$A:$Z,17,FALSE)+VLOOKUP($A401,A:AL,25,FALSE)-50))</f>
        <v>-</v>
      </c>
      <c r="Y401" s="3" t="s">
        <v>23</v>
      </c>
      <c r="Z401" s="3" t="str">
        <f>IF(ISERROR(VLOOKUP($A401,'SegEnds_NonXtal_BW#'!$A:$Z,18,FALSE)+VLOOKUP($A401,A:AL,25,FALSE)-50),"-",(VLOOKUP($A401,'SegEnds_NonXtal_BW#'!$A:$Z,18,FALSE)+VLOOKUP($A401,A:AL,25,FALSE)-50))</f>
        <v>-</v>
      </c>
      <c r="AA401" s="3">
        <f>IF(ISERROR(VLOOKUP($A401,'SegEnds_NonXtal_BW#'!$A:$Z,19,FALSE)+VLOOKUP($A401,A:AL,28,FALSE)-50),"-",(VLOOKUP($A401,'SegEnds_NonXtal_BW#'!$A:$Z,19,FALSE)+VLOOKUP($A401,A:AL,28,FALSE)-50))</f>
        <v>169</v>
      </c>
      <c r="AB401" s="3">
        <v>187</v>
      </c>
      <c r="AC401" s="3">
        <f>IF(ISERROR((VLOOKUP($A401,'SegEnds_NonXtal_BW#'!$A:$Z,20,FALSE)+VLOOKUP($A401,A:AL,28,FALSE)-50)),"-",(VLOOKUP($A401,'SegEnds_NonXtal_BW#'!$A:$Z,20,FALSE)+VLOOKUP($A401,A:AL,28,FALSE)-50))</f>
        <v>209</v>
      </c>
      <c r="AD401" s="3">
        <f>IF(ISERROR(VLOOKUP($A401,'SegEnds_NonXtal_BW#'!$A:$Z,21,FALSE)+VLOOKUP($A401,A:AL,31,FALSE)-50),"-",(VLOOKUP($A401,'SegEnds_NonXtal_BW#'!$A:$Z,21,FALSE)+VLOOKUP($A401,A:AL,31,FALSE)-50))</f>
        <v>222</v>
      </c>
      <c r="AE401" s="3">
        <v>243</v>
      </c>
      <c r="AF401" s="3">
        <f>IF(ISERROR((VLOOKUP($A401,'SegEnds_NonXtal_BW#'!$A:$Z,22,FALSE)+VLOOKUP($A401,A:AL,31,FALSE)-50)),"-",(VLOOKUP($A401,'SegEnds_NonXtal_BW#'!$A:$Z,22,FALSE)+VLOOKUP($A401,A:AL,31,FALSE)-50))</f>
        <v>254</v>
      </c>
      <c r="AG401" s="3">
        <f>IF(ISERROR(VLOOKUP($A401,'SegEnds_NonXtal_BW#'!$A:$Z,23,FALSE)+VLOOKUP($A401,A:AL,34,FALSE)-50),"-",(VLOOKUP($A401,'SegEnds_NonXtal_BW#'!$A:$Z,23,FALSE)+VLOOKUP($A401,A:AL,34,FALSE)-50))</f>
        <v>259</v>
      </c>
      <c r="AH401" s="3">
        <v>276</v>
      </c>
      <c r="AI401" s="3">
        <f>IF(ISERROR((VLOOKUP($A401,'SegEnds_NonXtal_BW#'!$A:$Z,24,FALSE)+VLOOKUP($A401,A:AL,34,FALSE)-50)),"-",(VLOOKUP($A401,'SegEnds_NonXtal_BW#'!$A:$Z,24,FALSE)+VLOOKUP($A401,A:AL,34,FALSE)-50))</f>
        <v>282</v>
      </c>
      <c r="AJ401" s="3">
        <f>IF(ISERROR(VLOOKUP($A401,'SegEnds_NonXtal_BW#'!$A:$Z,25,FALSE)+VLOOKUP($A401,A:AL,37,FALSE)-50),"-",(VLOOKUP($A401,'SegEnds_NonXtal_BW#'!$A:$Z,25,FALSE)+VLOOKUP($A401,A:AL,37,FALSE)-50))</f>
        <v>283</v>
      </c>
      <c r="AK401" s="3">
        <v>286</v>
      </c>
      <c r="AL401" s="3">
        <f>IF(ISERROR((VLOOKUP($A401,'SegEnds_NonXtal_BW#'!$A:$Z,26,FALSE)+VLOOKUP($A401,A:AL,37,FALSE)-50)),"-",(VLOOKUP($A401,'SegEnds_NonXtal_BW#'!$A:$Z,26,FALSE)+VLOOKUP($A401,A:AL,37,FALSE)-50))</f>
        <v>296</v>
      </c>
      <c r="AM401" s="28" t="str">
        <f>VLOOKUP(A401,Classification!A:B,2,FALSE)</f>
        <v>T</v>
      </c>
      <c r="AN401" s="28" t="b">
        <f t="shared" si="224"/>
        <v>1</v>
      </c>
      <c r="AO401" s="3" t="str">
        <f>IF(ISERROR(MATCH(A401,'SegEnds_Xtal_Prot#'!B:B, 0)), "NoXtal", "Xtal")</f>
        <v>NoXtal</v>
      </c>
      <c r="AP401" s="3">
        <f t="shared" si="209"/>
        <v>1</v>
      </c>
      <c r="AQ401" s="3">
        <f t="shared" si="210"/>
        <v>1</v>
      </c>
      <c r="AR401" s="3" t="str">
        <f t="shared" si="211"/>
        <v>-</v>
      </c>
      <c r="AS401" s="3" t="str">
        <f t="shared" si="212"/>
        <v>-</v>
      </c>
      <c r="AT401" s="3">
        <f t="shared" si="213"/>
        <v>3</v>
      </c>
      <c r="AU401" s="3">
        <f t="shared" si="214"/>
        <v>1</v>
      </c>
      <c r="AV401" s="3" t="str">
        <f t="shared" si="215"/>
        <v>-</v>
      </c>
      <c r="AW401" s="3" t="str">
        <f t="shared" si="216"/>
        <v>-</v>
      </c>
      <c r="AX401" s="3">
        <f t="shared" si="217"/>
        <v>13</v>
      </c>
      <c r="AY401" s="3">
        <f t="shared" si="218"/>
        <v>5</v>
      </c>
      <c r="AZ401" s="3">
        <f t="shared" si="219"/>
        <v>1</v>
      </c>
      <c r="BA401" s="3">
        <f>IF(ISERROR(LEN(VLOOKUP(A401,Seqs!A:E,2,FALSE))-AL401),"-",LEN(VLOOKUP(A401,Seqs!A:E,2,FALSE))-AL401)</f>
        <v>3</v>
      </c>
      <c r="BB401" s="16">
        <f t="shared" si="220"/>
        <v>31</v>
      </c>
      <c r="BC401" s="9">
        <f t="shared" si="221"/>
        <v>20</v>
      </c>
      <c r="BD401" s="3">
        <f t="shared" si="222"/>
        <v>31</v>
      </c>
      <c r="BE401" s="3">
        <f t="shared" si="223"/>
        <v>56</v>
      </c>
      <c r="BF401" s="3">
        <f t="shared" si="208"/>
        <v>33</v>
      </c>
    </row>
    <row r="402" spans="1:58" s="3" customFormat="1" x14ac:dyDescent="0.2">
      <c r="A402" s="3" t="s">
        <v>470</v>
      </c>
      <c r="B402" s="3" t="str">
        <f>LOWER(VLOOKUP(A402,Xtal_Templ!A:B,2,FALSE))</f>
        <v>5ht2c_human</v>
      </c>
      <c r="C402" s="3">
        <f>VLOOKUP($A402,'SegEnds_NonXtal_BW#'!$A:$Z,3,FALSE)+D402-50</f>
        <v>6</v>
      </c>
      <c r="D402" s="3">
        <v>24</v>
      </c>
      <c r="E402" s="3">
        <f t="shared" si="203"/>
        <v>36</v>
      </c>
      <c r="F402" s="3">
        <f t="shared" si="204"/>
        <v>37</v>
      </c>
      <c r="G402" s="3">
        <v>39</v>
      </c>
      <c r="H402" s="3">
        <f t="shared" si="205"/>
        <v>40</v>
      </c>
      <c r="I402" s="3">
        <f t="shared" si="205"/>
        <v>41</v>
      </c>
      <c r="J402" s="3">
        <v>55</v>
      </c>
      <c r="K402" s="3">
        <f>VLOOKUP($A402,'SegEnds_NonXtal_BW#'!$A:$Z,8,FALSE)+VLOOKUP($A402,A:AL,10,FALSE)-50</f>
        <v>71</v>
      </c>
      <c r="L402" s="3" t="str">
        <f>IF(ISERROR(VLOOKUP($A402,'SegEnds_NonXtal_BW#'!$A:$Z,9,FALSE)+VLOOKUP($A402,A:AL,13,FALSE)-50),"-",(VLOOKUP($A402,'SegEnds_NonXtal_BW#'!$A:$Z,9,FALSE)+VLOOKUP($A402,A:AL,13,FALSE)-50))</f>
        <v>-</v>
      </c>
      <c r="M402" s="3" t="s">
        <v>23</v>
      </c>
      <c r="N402" s="3" t="str">
        <f>IF(ISERROR(VLOOKUP($A402,'SegEnds_NonXtal_BW#'!$A:$Z,10,FALSE)+VLOOKUP($A402,A:AL,13,FALSE)-50),"-",(VLOOKUP($A402,'SegEnds_NonXtal_BW#'!$A:$Z,10,FALSE)+VLOOKUP($A402,A:AL,13,FALSE)-50))</f>
        <v>-</v>
      </c>
      <c r="O402" s="3">
        <f>VLOOKUP($A402,'SegEnds_NonXtal_BW#'!$A:$Z,11,FALSE)+VLOOKUP($A402,A:AL,16,FALSE)-50</f>
        <v>77</v>
      </c>
      <c r="P402" s="3">
        <v>106</v>
      </c>
      <c r="Q402" s="3">
        <f>VLOOKUP($A402,'SegEnds_NonXtal_BW#'!$A:$Z,12,FALSE)+VLOOKUP($A402,A:AL,16,FALSE)-50</f>
        <v>112</v>
      </c>
      <c r="R402" s="3">
        <f t="shared" si="206"/>
        <v>115</v>
      </c>
      <c r="S402" s="3">
        <v>115</v>
      </c>
      <c r="T402" s="100">
        <f t="shared" si="207"/>
        <v>122</v>
      </c>
      <c r="U402" s="9">
        <f>IF(ISERROR(VLOOKUP($A402,'SegEnds_NonXtal_BW#'!$A:$Z,15,FALSE)+VLOOKUP($A402,A:AL,22,FALSE)-50),"-",VLOOKUP($A402,'SegEnds_NonXtal_BW#'!$A:$Z,15,FALSE)+VLOOKUP($A402,A:AL,22,FALSE)-50)</f>
        <v>123</v>
      </c>
      <c r="V402" s="3">
        <v>135</v>
      </c>
      <c r="W402" s="3">
        <f>IF(ISERROR(VLOOKUP($A402,'SegEnds_NonXtal_BW#'!$A:$Z,16,FALSE)+VLOOKUP($A402,A:AL,22,FALSE)-50),"-",(VLOOKUP($A402,'SegEnds_NonXtal_BW#'!$A:$Z,16,FALSE)+VLOOKUP($A402,A:AL,22,FALSE)-50))</f>
        <v>152</v>
      </c>
      <c r="X402" s="3" t="str">
        <f>IF(ISERROR(VLOOKUP($A402,'SegEnds_NonXtal_BW#'!$A:$Z,17,FALSE)+VLOOKUP($A402,A:AL,25,FALSE)-50),"-",(VLOOKUP($A402,'SegEnds_NonXtal_BW#'!$A:$Z,17,FALSE)+VLOOKUP($A402,A:AL,25,FALSE)-50))</f>
        <v>-</v>
      </c>
      <c r="Y402" s="3" t="s">
        <v>23</v>
      </c>
      <c r="Z402" s="3" t="str">
        <f>IF(ISERROR(VLOOKUP($A402,'SegEnds_NonXtal_BW#'!$A:$Z,18,FALSE)+VLOOKUP($A402,A:AL,25,FALSE)-50),"-",(VLOOKUP($A402,'SegEnds_NonXtal_BW#'!$A:$Z,18,FALSE)+VLOOKUP($A402,A:AL,25,FALSE)-50))</f>
        <v>-</v>
      </c>
      <c r="AA402" s="3">
        <f>IF(ISERROR(VLOOKUP($A402,'SegEnds_NonXtal_BW#'!$A:$Z,19,FALSE)+VLOOKUP($A402,A:AL,28,FALSE)-50),"-",(VLOOKUP($A402,'SegEnds_NonXtal_BW#'!$A:$Z,19,FALSE)+VLOOKUP($A402,A:AL,28,FALSE)-50))</f>
        <v>169</v>
      </c>
      <c r="AB402" s="3">
        <v>187</v>
      </c>
      <c r="AC402" s="3">
        <f>IF(ISERROR((VLOOKUP($A402,'SegEnds_NonXtal_BW#'!$A:$Z,20,FALSE)+VLOOKUP($A402,A:AL,28,FALSE)-50)),"-",(VLOOKUP($A402,'SegEnds_NonXtal_BW#'!$A:$Z,20,FALSE)+VLOOKUP($A402,A:AL,28,FALSE)-50))</f>
        <v>209</v>
      </c>
      <c r="AD402" s="3">
        <f>IF(ISERROR(VLOOKUP($A402,'SegEnds_NonXtal_BW#'!$A:$Z,21,FALSE)+VLOOKUP($A402,A:AL,31,FALSE)-50),"-",(VLOOKUP($A402,'SegEnds_NonXtal_BW#'!$A:$Z,21,FALSE)+VLOOKUP($A402,A:AL,31,FALSE)-50))</f>
        <v>219</v>
      </c>
      <c r="AE402" s="3">
        <v>240</v>
      </c>
      <c r="AF402" s="3">
        <f>IF(ISERROR((VLOOKUP($A402,'SegEnds_NonXtal_BW#'!$A:$Z,22,FALSE)+VLOOKUP($A402,A:AL,31,FALSE)-50)),"-",(VLOOKUP($A402,'SegEnds_NonXtal_BW#'!$A:$Z,22,FALSE)+VLOOKUP($A402,A:AL,31,FALSE)-50))</f>
        <v>251</v>
      </c>
      <c r="AG402" s="3">
        <f>IF(ISERROR(VLOOKUP($A402,'SegEnds_NonXtal_BW#'!$A:$Z,23,FALSE)+VLOOKUP($A402,A:AL,34,FALSE)-50),"-",(VLOOKUP($A402,'SegEnds_NonXtal_BW#'!$A:$Z,23,FALSE)+VLOOKUP($A402,A:AL,34,FALSE)-50))</f>
        <v>257</v>
      </c>
      <c r="AH402" s="3">
        <v>276</v>
      </c>
      <c r="AI402" s="3">
        <f>IF(ISERROR((VLOOKUP($A402,'SegEnds_NonXtal_BW#'!$A:$Z,24,FALSE)+VLOOKUP($A402,A:AL,34,FALSE)-50)),"-",(VLOOKUP($A402,'SegEnds_NonXtal_BW#'!$A:$Z,24,FALSE)+VLOOKUP($A402,A:AL,34,FALSE)-50))</f>
        <v>282</v>
      </c>
      <c r="AJ402" s="3">
        <f>IF(ISERROR(VLOOKUP($A402,'SegEnds_NonXtal_BW#'!$A:$Z,25,FALSE)+VLOOKUP($A402,A:AL,37,FALSE)-50),"-",(VLOOKUP($A402,'SegEnds_NonXtal_BW#'!$A:$Z,25,FALSE)+VLOOKUP($A402,A:AL,37,FALSE)-50))</f>
        <v>283</v>
      </c>
      <c r="AK402" s="3">
        <v>286</v>
      </c>
      <c r="AL402" s="3">
        <f>IF(ISERROR((VLOOKUP($A402,'SegEnds_NonXtal_BW#'!$A:$Z,26,FALSE)+VLOOKUP($A402,A:AL,37,FALSE)-50)),"-",(VLOOKUP($A402,'SegEnds_NonXtal_BW#'!$A:$Z,26,FALSE)+VLOOKUP($A402,A:AL,37,FALSE)-50))</f>
        <v>296</v>
      </c>
      <c r="AM402" s="28" t="str">
        <f>VLOOKUP(A402,Classification!A:B,2,FALSE)</f>
        <v>T</v>
      </c>
      <c r="AN402" s="28" t="b">
        <f t="shared" si="224"/>
        <v>1</v>
      </c>
      <c r="AO402" s="3" t="str">
        <f>IF(ISERROR(MATCH(A402,'SegEnds_Xtal_Prot#'!B:B, 0)), "NoXtal", "Xtal")</f>
        <v>NoXtal</v>
      </c>
      <c r="AP402" s="3">
        <f t="shared" si="209"/>
        <v>1</v>
      </c>
      <c r="AQ402" s="3">
        <f t="shared" si="210"/>
        <v>1</v>
      </c>
      <c r="AR402" s="3" t="str">
        <f t="shared" si="211"/>
        <v>-</v>
      </c>
      <c r="AS402" s="3" t="str">
        <f t="shared" si="212"/>
        <v>-</v>
      </c>
      <c r="AT402" s="3">
        <f t="shared" si="213"/>
        <v>3</v>
      </c>
      <c r="AU402" s="3">
        <f t="shared" si="214"/>
        <v>1</v>
      </c>
      <c r="AV402" s="3" t="str">
        <f t="shared" si="215"/>
        <v>-</v>
      </c>
      <c r="AW402" s="3" t="str">
        <f t="shared" si="216"/>
        <v>-</v>
      </c>
      <c r="AX402" s="3">
        <f t="shared" si="217"/>
        <v>10</v>
      </c>
      <c r="AY402" s="3">
        <f t="shared" si="218"/>
        <v>6</v>
      </c>
      <c r="AZ402" s="3">
        <f t="shared" si="219"/>
        <v>1</v>
      </c>
      <c r="BA402" s="3">
        <f>IF(ISERROR(LEN(VLOOKUP(A402,Seqs!A:E,2,FALSE))-AL402),"-",LEN(VLOOKUP(A402,Seqs!A:E,2,FALSE))-AL402)</f>
        <v>13</v>
      </c>
      <c r="BB402" s="16">
        <f t="shared" si="220"/>
        <v>31</v>
      </c>
      <c r="BC402" s="9">
        <f t="shared" si="221"/>
        <v>20</v>
      </c>
      <c r="BD402" s="3">
        <f t="shared" si="222"/>
        <v>31</v>
      </c>
      <c r="BE402" s="3">
        <f t="shared" si="223"/>
        <v>53</v>
      </c>
      <c r="BF402" s="3">
        <f t="shared" si="208"/>
        <v>36</v>
      </c>
    </row>
    <row r="403" spans="1:58" s="3" customFormat="1" x14ac:dyDescent="0.2">
      <c r="A403" s="3" t="s">
        <v>471</v>
      </c>
      <c r="B403" s="3" t="str">
        <f>LOWER(VLOOKUP(A403,Xtal_Templ!A:B,2,FALSE))</f>
        <v>drd2_human</v>
      </c>
      <c r="C403" s="3">
        <f>VLOOKUP($A403,'SegEnds_NonXtal_BW#'!$A:$Z,3,FALSE)+D403-50</f>
        <v>6</v>
      </c>
      <c r="D403" s="3">
        <v>24</v>
      </c>
      <c r="E403" s="3">
        <f t="shared" si="203"/>
        <v>36</v>
      </c>
      <c r="F403" s="3">
        <f t="shared" si="204"/>
        <v>37</v>
      </c>
      <c r="G403" s="3">
        <v>39</v>
      </c>
      <c r="H403" s="3">
        <f t="shared" si="205"/>
        <v>40</v>
      </c>
      <c r="I403" s="3">
        <f t="shared" si="205"/>
        <v>41</v>
      </c>
      <c r="J403" s="3">
        <v>55</v>
      </c>
      <c r="K403" s="3">
        <f>VLOOKUP($A403,'SegEnds_NonXtal_BW#'!$A:$Z,8,FALSE)+VLOOKUP($A403,A:AL,10,FALSE)-50</f>
        <v>71</v>
      </c>
      <c r="L403" s="3" t="str">
        <f>IF(ISERROR(VLOOKUP($A403,'SegEnds_NonXtal_BW#'!$A:$Z,9,FALSE)+VLOOKUP($A403,A:AL,13,FALSE)-50),"-",(VLOOKUP($A403,'SegEnds_NonXtal_BW#'!$A:$Z,9,FALSE)+VLOOKUP($A403,A:AL,13,FALSE)-50))</f>
        <v>-</v>
      </c>
      <c r="M403" s="3" t="s">
        <v>23</v>
      </c>
      <c r="N403" s="3" t="str">
        <f>IF(ISERROR(VLOOKUP($A403,'SegEnds_NonXtal_BW#'!$A:$Z,10,FALSE)+VLOOKUP($A403,A:AL,13,FALSE)-50),"-",(VLOOKUP($A403,'SegEnds_NonXtal_BW#'!$A:$Z,10,FALSE)+VLOOKUP($A403,A:AL,13,FALSE)-50))</f>
        <v>-</v>
      </c>
      <c r="O403" s="3">
        <f>VLOOKUP($A403,'SegEnds_NonXtal_BW#'!$A:$Z,11,FALSE)+VLOOKUP($A403,A:AL,16,FALSE)-50</f>
        <v>77</v>
      </c>
      <c r="P403" s="3">
        <v>106</v>
      </c>
      <c r="Q403" s="3">
        <f>VLOOKUP($A403,'SegEnds_NonXtal_BW#'!$A:$Z,12,FALSE)+VLOOKUP($A403,A:AL,16,FALSE)-50</f>
        <v>112</v>
      </c>
      <c r="R403" s="3">
        <f t="shared" si="206"/>
        <v>115</v>
      </c>
      <c r="S403" s="3">
        <v>115</v>
      </c>
      <c r="T403" s="100">
        <f t="shared" si="207"/>
        <v>122</v>
      </c>
      <c r="U403" s="9">
        <f>IF(ISERROR(VLOOKUP($A403,'SegEnds_NonXtal_BW#'!$A:$Z,15,FALSE)+VLOOKUP($A403,A:AL,22,FALSE)-50),"-",VLOOKUP($A403,'SegEnds_NonXtal_BW#'!$A:$Z,15,FALSE)+VLOOKUP($A403,A:AL,22,FALSE)-50)</f>
        <v>123</v>
      </c>
      <c r="V403" s="3">
        <v>135</v>
      </c>
      <c r="W403" s="3">
        <f>IF(ISERROR(VLOOKUP($A403,'SegEnds_NonXtal_BW#'!$A:$Z,16,FALSE)+VLOOKUP($A403,A:AL,22,FALSE)-50),"-",(VLOOKUP($A403,'SegEnds_NonXtal_BW#'!$A:$Z,16,FALSE)+VLOOKUP($A403,A:AL,22,FALSE)-50))</f>
        <v>147</v>
      </c>
      <c r="X403" s="3" t="str">
        <f>IF(ISERROR(VLOOKUP($A403,'SegEnds_NonXtal_BW#'!$A:$Z,17,FALSE)+VLOOKUP($A403,A:AL,25,FALSE)-50),"-",(VLOOKUP($A403,'SegEnds_NonXtal_BW#'!$A:$Z,17,FALSE)+VLOOKUP($A403,A:AL,25,FALSE)-50))</f>
        <v>-</v>
      </c>
      <c r="Y403" s="3" t="s">
        <v>23</v>
      </c>
      <c r="Z403" s="3" t="str">
        <f>IF(ISERROR(VLOOKUP($A403,'SegEnds_NonXtal_BW#'!$A:$Z,18,FALSE)+VLOOKUP($A403,A:AL,25,FALSE)-50),"-",(VLOOKUP($A403,'SegEnds_NonXtal_BW#'!$A:$Z,18,FALSE)+VLOOKUP($A403,A:AL,25,FALSE)-50))</f>
        <v>-</v>
      </c>
      <c r="AA403" s="3">
        <f>IF(ISERROR(VLOOKUP($A403,'SegEnds_NonXtal_BW#'!$A:$Z,19,FALSE)+VLOOKUP($A403,A:AL,28,FALSE)-50),"-",(VLOOKUP($A403,'SegEnds_NonXtal_BW#'!$A:$Z,19,FALSE)+VLOOKUP($A403,A:AL,28,FALSE)-50))</f>
        <v>169</v>
      </c>
      <c r="AB403" s="3">
        <v>187</v>
      </c>
      <c r="AC403" s="3">
        <f>IF(ISERROR((VLOOKUP($A403,'SegEnds_NonXtal_BW#'!$A:$Z,20,FALSE)+VLOOKUP($A403,A:AL,28,FALSE)-50)),"-",(VLOOKUP($A403,'SegEnds_NonXtal_BW#'!$A:$Z,20,FALSE)+VLOOKUP($A403,A:AL,28,FALSE)-50))</f>
        <v>209</v>
      </c>
      <c r="AD403" s="3">
        <f>IF(ISERROR(VLOOKUP($A403,'SegEnds_NonXtal_BW#'!$A:$Z,21,FALSE)+VLOOKUP($A403,A:AL,31,FALSE)-50),"-",(VLOOKUP($A403,'SegEnds_NonXtal_BW#'!$A:$Z,21,FALSE)+VLOOKUP($A403,A:AL,31,FALSE)-50))</f>
        <v>219</v>
      </c>
      <c r="AE403" s="3">
        <v>240</v>
      </c>
      <c r="AF403" s="3">
        <f>IF(ISERROR((VLOOKUP($A403,'SegEnds_NonXtal_BW#'!$A:$Z,22,FALSE)+VLOOKUP($A403,A:AL,31,FALSE)-50)),"-",(VLOOKUP($A403,'SegEnds_NonXtal_BW#'!$A:$Z,22,FALSE)+VLOOKUP($A403,A:AL,31,FALSE)-50))</f>
        <v>251</v>
      </c>
      <c r="AG403" s="3">
        <f>IF(ISERROR(VLOOKUP($A403,'SegEnds_NonXtal_BW#'!$A:$Z,23,FALSE)+VLOOKUP($A403,A:AL,34,FALSE)-50),"-",(VLOOKUP($A403,'SegEnds_NonXtal_BW#'!$A:$Z,23,FALSE)+VLOOKUP($A403,A:AL,34,FALSE)-50))</f>
        <v>257</v>
      </c>
      <c r="AH403" s="3">
        <v>276</v>
      </c>
      <c r="AI403" s="3">
        <f>IF(ISERROR((VLOOKUP($A403,'SegEnds_NonXtal_BW#'!$A:$Z,24,FALSE)+VLOOKUP($A403,A:AL,34,FALSE)-50)),"-",(VLOOKUP($A403,'SegEnds_NonXtal_BW#'!$A:$Z,24,FALSE)+VLOOKUP($A403,A:AL,34,FALSE)-50))</f>
        <v>282</v>
      </c>
      <c r="AJ403" s="3">
        <f>IF(ISERROR(VLOOKUP($A403,'SegEnds_NonXtal_BW#'!$A:$Z,25,FALSE)+VLOOKUP($A403,A:AL,37,FALSE)-50),"-",(VLOOKUP($A403,'SegEnds_NonXtal_BW#'!$A:$Z,25,FALSE)+VLOOKUP($A403,A:AL,37,FALSE)-50))</f>
        <v>283</v>
      </c>
      <c r="AK403" s="3">
        <v>286</v>
      </c>
      <c r="AL403" s="3">
        <f>IF(ISERROR((VLOOKUP($A403,'SegEnds_NonXtal_BW#'!$A:$Z,26,FALSE)+VLOOKUP($A403,A:AL,37,FALSE)-50)),"-",(VLOOKUP($A403,'SegEnds_NonXtal_BW#'!$A:$Z,26,FALSE)+VLOOKUP($A403,A:AL,37,FALSE)-50))</f>
        <v>296</v>
      </c>
      <c r="AM403" s="28" t="str">
        <f>VLOOKUP(A403,Classification!A:B,2,FALSE)</f>
        <v>T</v>
      </c>
      <c r="AN403" s="28" t="b">
        <f t="shared" si="224"/>
        <v>1</v>
      </c>
      <c r="AO403" s="3" t="str">
        <f>IF(ISERROR(MATCH(A403,'SegEnds_Xtal_Prot#'!B:B, 0)), "NoXtal", "Xtal")</f>
        <v>NoXtal</v>
      </c>
      <c r="AP403" s="3">
        <f t="shared" si="209"/>
        <v>1</v>
      </c>
      <c r="AQ403" s="3">
        <f t="shared" si="210"/>
        <v>1</v>
      </c>
      <c r="AR403" s="3" t="str">
        <f t="shared" si="211"/>
        <v>-</v>
      </c>
      <c r="AS403" s="3" t="str">
        <f t="shared" si="212"/>
        <v>-</v>
      </c>
      <c r="AT403" s="3">
        <f t="shared" si="213"/>
        <v>3</v>
      </c>
      <c r="AU403" s="3">
        <f t="shared" si="214"/>
        <v>1</v>
      </c>
      <c r="AV403" s="3" t="str">
        <f t="shared" si="215"/>
        <v>-</v>
      </c>
      <c r="AW403" s="3" t="str">
        <f t="shared" si="216"/>
        <v>-</v>
      </c>
      <c r="AX403" s="3">
        <f t="shared" si="217"/>
        <v>10</v>
      </c>
      <c r="AY403" s="3">
        <f t="shared" si="218"/>
        <v>6</v>
      </c>
      <c r="AZ403" s="3">
        <f t="shared" si="219"/>
        <v>1</v>
      </c>
      <c r="BA403" s="3">
        <f>IF(ISERROR(LEN(VLOOKUP(A403,Seqs!A:E,2,FALSE))-AL403),"-",LEN(VLOOKUP(A403,Seqs!A:E,2,FALSE))-AL403)</f>
        <v>3</v>
      </c>
      <c r="BB403" s="16">
        <f t="shared" si="220"/>
        <v>31</v>
      </c>
      <c r="BC403" s="9">
        <f t="shared" si="221"/>
        <v>20</v>
      </c>
      <c r="BD403" s="3">
        <f t="shared" si="222"/>
        <v>31</v>
      </c>
      <c r="BE403" s="3">
        <f t="shared" si="223"/>
        <v>53</v>
      </c>
      <c r="BF403" s="3">
        <f t="shared" si="208"/>
        <v>36</v>
      </c>
    </row>
    <row r="404" spans="1:58" s="3" customFormat="1" x14ac:dyDescent="0.2">
      <c r="A404" s="3" t="s">
        <v>472</v>
      </c>
      <c r="B404" s="3" t="str">
        <f>LOWER(VLOOKUP(A404,Xtal_Templ!A:B,2,FALSE))</f>
        <v>oprk_human</v>
      </c>
      <c r="C404" s="3">
        <f>VLOOKUP($A404,'SegEnds_NonXtal_BW#'!$A:$Z,3,FALSE)+D404-50</f>
        <v>17</v>
      </c>
      <c r="D404" s="3">
        <v>35</v>
      </c>
      <c r="E404" s="3">
        <f t="shared" si="203"/>
        <v>47</v>
      </c>
      <c r="F404" s="3">
        <f t="shared" si="204"/>
        <v>48</v>
      </c>
      <c r="G404" s="3">
        <v>50</v>
      </c>
      <c r="H404" s="3">
        <f t="shared" si="205"/>
        <v>51</v>
      </c>
      <c r="I404" s="3">
        <f t="shared" si="205"/>
        <v>52</v>
      </c>
      <c r="J404" s="3">
        <v>66</v>
      </c>
      <c r="K404" s="3">
        <f>VLOOKUP($A404,'SegEnds_NonXtal_BW#'!$A:$Z,8,FALSE)+VLOOKUP($A404,A:AL,10,FALSE)-50</f>
        <v>82</v>
      </c>
      <c r="L404" s="3" t="str">
        <f>IF(ISERROR(VLOOKUP($A404,'SegEnds_NonXtal_BW#'!$A:$Z,9,FALSE)+VLOOKUP($A404,A:AL,13,FALSE)-50),"-",(VLOOKUP($A404,'SegEnds_NonXtal_BW#'!$A:$Z,9,FALSE)+VLOOKUP($A404,A:AL,13,FALSE)-50))</f>
        <v>-</v>
      </c>
      <c r="M404" s="3" t="s">
        <v>23</v>
      </c>
      <c r="N404" s="3" t="str">
        <f>IF(ISERROR(VLOOKUP($A404,'SegEnds_NonXtal_BW#'!$A:$Z,10,FALSE)+VLOOKUP($A404,A:AL,13,FALSE)-50),"-",(VLOOKUP($A404,'SegEnds_NonXtal_BW#'!$A:$Z,10,FALSE)+VLOOKUP($A404,A:AL,13,FALSE)-50))</f>
        <v>-</v>
      </c>
      <c r="O404" s="3">
        <f>VLOOKUP($A404,'SegEnds_NonXtal_BW#'!$A:$Z,11,FALSE)+VLOOKUP($A404,A:AL,16,FALSE)-50</f>
        <v>86</v>
      </c>
      <c r="P404" s="3">
        <v>118</v>
      </c>
      <c r="Q404" s="3">
        <f>VLOOKUP($A404,'SegEnds_NonXtal_BW#'!$A:$Z,12,FALSE)+VLOOKUP($A404,A:AL,16,FALSE)-50</f>
        <v>124</v>
      </c>
      <c r="R404" s="3">
        <f t="shared" si="206"/>
        <v>127</v>
      </c>
      <c r="S404" s="3">
        <v>127</v>
      </c>
      <c r="T404" s="100">
        <f t="shared" si="207"/>
        <v>134</v>
      </c>
      <c r="U404" s="9">
        <f>IF(ISERROR(VLOOKUP($A404,'SegEnds_NonXtal_BW#'!$A:$Z,15,FALSE)+VLOOKUP($A404,A:AL,22,FALSE)-50),"-",VLOOKUP($A404,'SegEnds_NonXtal_BW#'!$A:$Z,15,FALSE)+VLOOKUP($A404,A:AL,22,FALSE)-50)</f>
        <v>135</v>
      </c>
      <c r="V404" s="3">
        <v>147</v>
      </c>
      <c r="W404" s="3">
        <f>IF(ISERROR(VLOOKUP($A404,'SegEnds_NonXtal_BW#'!$A:$Z,16,FALSE)+VLOOKUP($A404,A:AL,22,FALSE)-50),"-",(VLOOKUP($A404,'SegEnds_NonXtal_BW#'!$A:$Z,16,FALSE)+VLOOKUP($A404,A:AL,22,FALSE)-50))</f>
        <v>161</v>
      </c>
      <c r="X404" s="3" t="str">
        <f>IF(ISERROR(VLOOKUP($A404,'SegEnds_NonXtal_BW#'!$A:$Z,17,FALSE)+VLOOKUP($A404,A:AL,25,FALSE)-50),"-",(VLOOKUP($A404,'SegEnds_NonXtal_BW#'!$A:$Z,17,FALSE)+VLOOKUP($A404,A:AL,25,FALSE)-50))</f>
        <v>-</v>
      </c>
      <c r="Y404" s="3" t="s">
        <v>23</v>
      </c>
      <c r="Z404" s="3" t="str">
        <f>IF(ISERROR(VLOOKUP($A404,'SegEnds_NonXtal_BW#'!$A:$Z,18,FALSE)+VLOOKUP($A404,A:AL,25,FALSE)-50),"-",(VLOOKUP($A404,'SegEnds_NonXtal_BW#'!$A:$Z,18,FALSE)+VLOOKUP($A404,A:AL,25,FALSE)-50))</f>
        <v>-</v>
      </c>
      <c r="AA404" s="3">
        <f>IF(ISERROR(VLOOKUP($A404,'SegEnds_NonXtal_BW#'!$A:$Z,19,FALSE)+VLOOKUP($A404,A:AL,28,FALSE)-50),"-",(VLOOKUP($A404,'SegEnds_NonXtal_BW#'!$A:$Z,19,FALSE)+VLOOKUP($A404,A:AL,28,FALSE)-50))</f>
        <v>187</v>
      </c>
      <c r="AB404" s="3">
        <v>205</v>
      </c>
      <c r="AC404" s="3">
        <f>IF(ISERROR((VLOOKUP($A404,'SegEnds_NonXtal_BW#'!$A:$Z,20,FALSE)+VLOOKUP($A404,A:AL,28,FALSE)-50)),"-",(VLOOKUP($A404,'SegEnds_NonXtal_BW#'!$A:$Z,20,FALSE)+VLOOKUP($A404,A:AL,28,FALSE)-50))</f>
        <v>227</v>
      </c>
      <c r="AD404" s="3">
        <f>IF(ISERROR(VLOOKUP($A404,'SegEnds_NonXtal_BW#'!$A:$Z,21,FALSE)+VLOOKUP($A404,A:AL,31,FALSE)-50),"-",(VLOOKUP($A404,'SegEnds_NonXtal_BW#'!$A:$Z,21,FALSE)+VLOOKUP($A404,A:AL,31,FALSE)-50))</f>
        <v>237</v>
      </c>
      <c r="AE404" s="3">
        <v>258</v>
      </c>
      <c r="AF404" s="3">
        <f>IF(ISERROR((VLOOKUP($A404,'SegEnds_NonXtal_BW#'!$A:$Z,22,FALSE)+VLOOKUP($A404,A:AL,31,FALSE)-50)),"-",(VLOOKUP($A404,'SegEnds_NonXtal_BW#'!$A:$Z,22,FALSE)+VLOOKUP($A404,A:AL,31,FALSE)-50))</f>
        <v>269</v>
      </c>
      <c r="AG404" s="3">
        <f>IF(ISERROR(VLOOKUP($A404,'SegEnds_NonXtal_BW#'!$A:$Z,23,FALSE)+VLOOKUP($A404,A:AL,34,FALSE)-50),"-",(VLOOKUP($A404,'SegEnds_NonXtal_BW#'!$A:$Z,23,FALSE)+VLOOKUP($A404,A:AL,34,FALSE)-50))</f>
        <v>274</v>
      </c>
      <c r="AH404" s="3">
        <v>293</v>
      </c>
      <c r="AI404" s="3">
        <f>IF(ISERROR((VLOOKUP($A404,'SegEnds_NonXtal_BW#'!$A:$Z,24,FALSE)+VLOOKUP($A404,A:AL,34,FALSE)-50)),"-",(VLOOKUP($A404,'SegEnds_NonXtal_BW#'!$A:$Z,24,FALSE)+VLOOKUP($A404,A:AL,34,FALSE)-50))</f>
        <v>299</v>
      </c>
      <c r="AJ404" s="3">
        <f>IF(ISERROR(VLOOKUP($A404,'SegEnds_NonXtal_BW#'!$A:$Z,25,FALSE)+VLOOKUP($A404,A:AL,37,FALSE)-50),"-",(VLOOKUP($A404,'SegEnds_NonXtal_BW#'!$A:$Z,25,FALSE)+VLOOKUP($A404,A:AL,37,FALSE)-50))</f>
        <v>300</v>
      </c>
      <c r="AK404" s="3">
        <v>303</v>
      </c>
      <c r="AL404" s="3">
        <f>IF(ISERROR((VLOOKUP($A404,'SegEnds_NonXtal_BW#'!$A:$Z,26,FALSE)+VLOOKUP($A404,A:AL,37,FALSE)-50)),"-",(VLOOKUP($A404,'SegEnds_NonXtal_BW#'!$A:$Z,26,FALSE)+VLOOKUP($A404,A:AL,37,FALSE)-50))</f>
        <v>313</v>
      </c>
      <c r="AM404" s="28" t="str">
        <f>VLOOKUP(A404,Classification!A:B,2,FALSE)</f>
        <v>T</v>
      </c>
      <c r="AN404" s="28" t="b">
        <f t="shared" si="224"/>
        <v>1</v>
      </c>
      <c r="AO404" s="3" t="str">
        <f>IF(ISERROR(MATCH(A404,'SegEnds_Xtal_Prot#'!B:B, 0)), "NoXtal", "Xtal")</f>
        <v>NoXtal</v>
      </c>
      <c r="AP404" s="3">
        <f t="shared" si="209"/>
        <v>1</v>
      </c>
      <c r="AQ404" s="3">
        <f t="shared" si="210"/>
        <v>1</v>
      </c>
      <c r="AR404" s="3" t="str">
        <f t="shared" si="211"/>
        <v>-</v>
      </c>
      <c r="AS404" s="3" t="str">
        <f t="shared" si="212"/>
        <v>-</v>
      </c>
      <c r="AT404" s="3">
        <f t="shared" si="213"/>
        <v>3</v>
      </c>
      <c r="AU404" s="3">
        <f t="shared" si="214"/>
        <v>1</v>
      </c>
      <c r="AV404" s="3" t="str">
        <f t="shared" si="215"/>
        <v>-</v>
      </c>
      <c r="AW404" s="3" t="str">
        <f t="shared" si="216"/>
        <v>-</v>
      </c>
      <c r="AX404" s="3">
        <f t="shared" si="217"/>
        <v>10</v>
      </c>
      <c r="AY404" s="3">
        <f t="shared" si="218"/>
        <v>5</v>
      </c>
      <c r="AZ404" s="3">
        <f t="shared" si="219"/>
        <v>1</v>
      </c>
      <c r="BA404" s="3">
        <f>IF(ISERROR(LEN(VLOOKUP(A404,Seqs!A:E,2,FALSE))-AL404),"-",LEN(VLOOKUP(A404,Seqs!A:E,2,FALSE))-AL404)</f>
        <v>5</v>
      </c>
      <c r="BB404" s="16">
        <f t="shared" si="220"/>
        <v>31</v>
      </c>
      <c r="BC404" s="9">
        <f t="shared" si="221"/>
        <v>20</v>
      </c>
      <c r="BD404" s="3">
        <f t="shared" si="222"/>
        <v>31</v>
      </c>
      <c r="BE404" s="3">
        <f t="shared" si="223"/>
        <v>53</v>
      </c>
      <c r="BF404" s="3">
        <f t="shared" si="208"/>
        <v>35</v>
      </c>
    </row>
    <row r="405" spans="1:58" s="3" customFormat="1" x14ac:dyDescent="0.2">
      <c r="A405" s="3" t="s">
        <v>474</v>
      </c>
      <c r="B405" s="3" t="str">
        <f>LOWER(VLOOKUP(A405,Xtal_Templ!A:B,2,FALSE))</f>
        <v>cxcr4_human</v>
      </c>
      <c r="C405" s="3">
        <f>VLOOKUP($A405,'SegEnds_NonXtal_BW#'!$A:$Z,3,FALSE)+D405-50</f>
        <v>6</v>
      </c>
      <c r="D405" s="3">
        <v>24</v>
      </c>
      <c r="E405" s="3">
        <f t="shared" si="203"/>
        <v>36</v>
      </c>
      <c r="F405" s="3">
        <f t="shared" si="204"/>
        <v>37</v>
      </c>
      <c r="G405" s="3">
        <v>39</v>
      </c>
      <c r="H405" s="3">
        <f t="shared" si="205"/>
        <v>40</v>
      </c>
      <c r="I405" s="3">
        <f t="shared" si="205"/>
        <v>41</v>
      </c>
      <c r="J405" s="3">
        <v>55</v>
      </c>
      <c r="K405" s="3">
        <f>VLOOKUP($A405,'SegEnds_NonXtal_BW#'!$A:$Z,8,FALSE)+VLOOKUP($A405,A:AL,10,FALSE)-50</f>
        <v>71</v>
      </c>
      <c r="L405" s="3" t="str">
        <f>IF(ISERROR(VLOOKUP($A405,'SegEnds_NonXtal_BW#'!$A:$Z,9,FALSE)+VLOOKUP($A405,A:AL,13,FALSE)-50),"-",(VLOOKUP($A405,'SegEnds_NonXtal_BW#'!$A:$Z,9,FALSE)+VLOOKUP($A405,A:AL,13,FALSE)-50))</f>
        <v>-</v>
      </c>
      <c r="M405" s="3" t="s">
        <v>23</v>
      </c>
      <c r="N405" s="3" t="str">
        <f>IF(ISERROR(VLOOKUP($A405,'SegEnds_NonXtal_BW#'!$A:$Z,10,FALSE)+VLOOKUP($A405,A:AL,13,FALSE)-50),"-",(VLOOKUP($A405,'SegEnds_NonXtal_BW#'!$A:$Z,10,FALSE)+VLOOKUP($A405,A:AL,13,FALSE)-50))</f>
        <v>-</v>
      </c>
      <c r="O405" s="3">
        <f>VLOOKUP($A405,'SegEnds_NonXtal_BW#'!$A:$Z,11,FALSE)+VLOOKUP($A405,A:AL,16,FALSE)-50</f>
        <v>77</v>
      </c>
      <c r="P405" s="3">
        <v>103</v>
      </c>
      <c r="Q405" s="3">
        <f>VLOOKUP($A405,'SegEnds_NonXtal_BW#'!$A:$Z,12,FALSE)+VLOOKUP($A405,A:AL,16,FALSE)-50</f>
        <v>109</v>
      </c>
      <c r="R405" s="3">
        <f t="shared" si="206"/>
        <v>112</v>
      </c>
      <c r="S405" s="3">
        <v>112</v>
      </c>
      <c r="T405" s="100">
        <f t="shared" si="207"/>
        <v>119</v>
      </c>
      <c r="U405" s="9">
        <f>IF(ISERROR(VLOOKUP($A405,'SegEnds_NonXtal_BW#'!$A:$Z,15,FALSE)+VLOOKUP($A405,A:AL,22,FALSE)-50),"-",VLOOKUP($A405,'SegEnds_NonXtal_BW#'!$A:$Z,15,FALSE)+VLOOKUP($A405,A:AL,22,FALSE)-50)</f>
        <v>120</v>
      </c>
      <c r="V405" s="3">
        <v>132</v>
      </c>
      <c r="W405" s="3">
        <f>IF(ISERROR(VLOOKUP($A405,'SegEnds_NonXtal_BW#'!$A:$Z,16,FALSE)+VLOOKUP($A405,A:AL,22,FALSE)-50),"-",(VLOOKUP($A405,'SegEnds_NonXtal_BW#'!$A:$Z,16,FALSE)+VLOOKUP($A405,A:AL,22,FALSE)-50))</f>
        <v>146</v>
      </c>
      <c r="X405" s="3" t="str">
        <f>IF(ISERROR(VLOOKUP($A405,'SegEnds_NonXtal_BW#'!$A:$Z,17,FALSE)+VLOOKUP($A405,A:AL,25,FALSE)-50),"-",(VLOOKUP($A405,'SegEnds_NonXtal_BW#'!$A:$Z,17,FALSE)+VLOOKUP($A405,A:AL,25,FALSE)-50))</f>
        <v>-</v>
      </c>
      <c r="Y405" s="3" t="s">
        <v>23</v>
      </c>
      <c r="Z405" s="3" t="str">
        <f>IF(ISERROR(VLOOKUP($A405,'SegEnds_NonXtal_BW#'!$A:$Z,18,FALSE)+VLOOKUP($A405,A:AL,25,FALSE)-50),"-",(VLOOKUP($A405,'SegEnds_NonXtal_BW#'!$A:$Z,18,FALSE)+VLOOKUP($A405,A:AL,25,FALSE)-50))</f>
        <v>-</v>
      </c>
      <c r="AA405" s="3">
        <f>IF(ISERROR(VLOOKUP($A405,'SegEnds_NonXtal_BW#'!$A:$Z,19,FALSE)+VLOOKUP($A405,A:AL,28,FALSE)-50),"-",(VLOOKUP($A405,'SegEnds_NonXtal_BW#'!$A:$Z,19,FALSE)+VLOOKUP($A405,A:AL,28,FALSE)-50))</f>
        <v>168</v>
      </c>
      <c r="AB405" s="3">
        <v>186</v>
      </c>
      <c r="AC405" s="3">
        <f>IF(ISERROR((VLOOKUP($A405,'SegEnds_NonXtal_BW#'!$A:$Z,20,FALSE)+VLOOKUP($A405,A:AL,28,FALSE)-50)),"-",(VLOOKUP($A405,'SegEnds_NonXtal_BW#'!$A:$Z,20,FALSE)+VLOOKUP($A405,A:AL,28,FALSE)-50))</f>
        <v>208</v>
      </c>
      <c r="AD405" s="3">
        <f>IF(ISERROR(VLOOKUP($A405,'SegEnds_NonXtal_BW#'!$A:$Z,21,FALSE)+VLOOKUP($A405,A:AL,31,FALSE)-50),"-",(VLOOKUP($A405,'SegEnds_NonXtal_BW#'!$A:$Z,21,FALSE)+VLOOKUP($A405,A:AL,31,FALSE)-50))</f>
        <v>218</v>
      </c>
      <c r="AE405" s="3">
        <v>239</v>
      </c>
      <c r="AF405" s="3">
        <f>IF(ISERROR((VLOOKUP($A405,'SegEnds_NonXtal_BW#'!$A:$Z,22,FALSE)+VLOOKUP($A405,A:AL,31,FALSE)-50)),"-",(VLOOKUP($A405,'SegEnds_NonXtal_BW#'!$A:$Z,22,FALSE)+VLOOKUP($A405,A:AL,31,FALSE)-50))</f>
        <v>250</v>
      </c>
      <c r="AG405" s="3">
        <f>IF(ISERROR(VLOOKUP($A405,'SegEnds_NonXtal_BW#'!$A:$Z,23,FALSE)+VLOOKUP($A405,A:AL,34,FALSE)-50),"-",(VLOOKUP($A405,'SegEnds_NonXtal_BW#'!$A:$Z,23,FALSE)+VLOOKUP($A405,A:AL,34,FALSE)-50))</f>
        <v>255</v>
      </c>
      <c r="AH405" s="3">
        <v>274</v>
      </c>
      <c r="AI405" s="3">
        <f>IF(ISERROR((VLOOKUP($A405,'SegEnds_NonXtal_BW#'!$A:$Z,24,FALSE)+VLOOKUP($A405,A:AL,34,FALSE)-50)),"-",(VLOOKUP($A405,'SegEnds_NonXtal_BW#'!$A:$Z,24,FALSE)+VLOOKUP($A405,A:AL,34,FALSE)-50))</f>
        <v>280</v>
      </c>
      <c r="AJ405" s="3">
        <f>IF(ISERROR(VLOOKUP($A405,'SegEnds_NonXtal_BW#'!$A:$Z,25,FALSE)+VLOOKUP($A405,A:AL,37,FALSE)-50),"-",(VLOOKUP($A405,'SegEnds_NonXtal_BW#'!$A:$Z,25,FALSE)+VLOOKUP($A405,A:AL,37,FALSE)-50))</f>
        <v>281</v>
      </c>
      <c r="AK405" s="3">
        <v>284</v>
      </c>
      <c r="AL405" s="3">
        <f>IF(ISERROR((VLOOKUP($A405,'SegEnds_NonXtal_BW#'!$A:$Z,26,FALSE)+VLOOKUP($A405,A:AL,37,FALSE)-50)),"-",(VLOOKUP($A405,'SegEnds_NonXtal_BW#'!$A:$Z,26,FALSE)+VLOOKUP($A405,A:AL,37,FALSE)-50))</f>
        <v>294</v>
      </c>
      <c r="AM405" s="28" t="str">
        <f>VLOOKUP(A405,Classification!A:B,2,FALSE)</f>
        <v>T</v>
      </c>
      <c r="AN405" s="28" t="b">
        <f t="shared" si="224"/>
        <v>1</v>
      </c>
      <c r="AO405" s="3" t="str">
        <f>IF(ISERROR(MATCH(A405,'SegEnds_Xtal_Prot#'!B:B, 0)), "NoXtal", "Xtal")</f>
        <v>NoXtal</v>
      </c>
      <c r="AP405" s="3">
        <f t="shared" si="209"/>
        <v>1</v>
      </c>
      <c r="AQ405" s="3">
        <f t="shared" si="210"/>
        <v>1</v>
      </c>
      <c r="AR405" s="3" t="str">
        <f t="shared" si="211"/>
        <v>-</v>
      </c>
      <c r="AS405" s="3" t="str">
        <f t="shared" si="212"/>
        <v>-</v>
      </c>
      <c r="AT405" s="3">
        <f t="shared" si="213"/>
        <v>3</v>
      </c>
      <c r="AU405" s="3">
        <f t="shared" si="214"/>
        <v>1</v>
      </c>
      <c r="AV405" s="3" t="str">
        <f t="shared" si="215"/>
        <v>-</v>
      </c>
      <c r="AW405" s="3" t="str">
        <f t="shared" si="216"/>
        <v>-</v>
      </c>
      <c r="AX405" s="3">
        <f t="shared" si="217"/>
        <v>10</v>
      </c>
      <c r="AY405" s="3">
        <f t="shared" si="218"/>
        <v>5</v>
      </c>
      <c r="AZ405" s="3">
        <f t="shared" si="219"/>
        <v>1</v>
      </c>
      <c r="BA405" s="3">
        <f>IF(ISERROR(LEN(VLOOKUP(A405,Seqs!A:E,2,FALSE))-AL405),"-",LEN(VLOOKUP(A405,Seqs!A:E,2,FALSE))-AL405)</f>
        <v>5</v>
      </c>
      <c r="BB405" s="16">
        <f t="shared" si="220"/>
        <v>31</v>
      </c>
      <c r="BC405" s="9">
        <f t="shared" si="221"/>
        <v>20</v>
      </c>
      <c r="BD405" s="3">
        <f t="shared" si="222"/>
        <v>31</v>
      </c>
      <c r="BE405" s="3">
        <f t="shared" si="223"/>
        <v>53</v>
      </c>
      <c r="BF405" s="3">
        <f t="shared" si="208"/>
        <v>35</v>
      </c>
    </row>
    <row r="406" spans="1:58" s="3" customFormat="1" x14ac:dyDescent="0.2">
      <c r="A406" s="3" t="s">
        <v>475</v>
      </c>
      <c r="B406" s="3" t="str">
        <f>LOWER(VLOOKUP(A406,Xtal_Templ!A:B,2,FALSE))</f>
        <v>agtr1_human</v>
      </c>
      <c r="C406" s="3">
        <f>VLOOKUP($A406,'SegEnds_NonXtal_BW#'!$A:$Z,3,FALSE)+D406-50</f>
        <v>6</v>
      </c>
      <c r="D406" s="3">
        <v>24</v>
      </c>
      <c r="E406" s="3">
        <f t="shared" si="203"/>
        <v>36</v>
      </c>
      <c r="F406" s="3">
        <f t="shared" si="204"/>
        <v>37</v>
      </c>
      <c r="G406" s="3">
        <v>39</v>
      </c>
      <c r="H406" s="3">
        <f t="shared" si="205"/>
        <v>40</v>
      </c>
      <c r="I406" s="3">
        <f t="shared" si="205"/>
        <v>41</v>
      </c>
      <c r="J406" s="3">
        <v>55</v>
      </c>
      <c r="K406" s="3">
        <f>VLOOKUP($A406,'SegEnds_NonXtal_BW#'!$A:$Z,8,FALSE)+VLOOKUP($A406,A:AL,10,FALSE)-50</f>
        <v>72</v>
      </c>
      <c r="L406" s="3" t="str">
        <f>IF(ISERROR(VLOOKUP($A406,'SegEnds_NonXtal_BW#'!$A:$Z,9,FALSE)+VLOOKUP($A406,A:AL,13,FALSE)-50),"-",(VLOOKUP($A406,'SegEnds_NonXtal_BW#'!$A:$Z,9,FALSE)+VLOOKUP($A406,A:AL,13,FALSE)-50))</f>
        <v>-</v>
      </c>
      <c r="M406" s="3" t="s">
        <v>23</v>
      </c>
      <c r="N406" s="3" t="str">
        <f>IF(ISERROR(VLOOKUP($A406,'SegEnds_NonXtal_BW#'!$A:$Z,10,FALSE)+VLOOKUP($A406,A:AL,13,FALSE)-50),"-",(VLOOKUP($A406,'SegEnds_NonXtal_BW#'!$A:$Z,10,FALSE)+VLOOKUP($A406,A:AL,13,FALSE)-50))</f>
        <v>-</v>
      </c>
      <c r="O406" s="3">
        <f>VLOOKUP($A406,'SegEnds_NonXtal_BW#'!$A:$Z,11,FALSE)+VLOOKUP($A406,A:AL,16,FALSE)-50</f>
        <v>78</v>
      </c>
      <c r="P406" s="3">
        <v>107</v>
      </c>
      <c r="Q406" s="3">
        <f>VLOOKUP($A406,'SegEnds_NonXtal_BW#'!$A:$Z,12,FALSE)+VLOOKUP($A406,A:AL,16,FALSE)-50</f>
        <v>113</v>
      </c>
      <c r="R406" s="3">
        <f t="shared" si="206"/>
        <v>116</v>
      </c>
      <c r="S406" s="3">
        <v>116</v>
      </c>
      <c r="T406" s="100">
        <f t="shared" si="207"/>
        <v>123</v>
      </c>
      <c r="U406" s="9">
        <f>IF(ISERROR(VLOOKUP($A406,'SegEnds_NonXtal_BW#'!$A:$Z,15,FALSE)+VLOOKUP($A406,A:AL,22,FALSE)-50),"-",VLOOKUP($A406,'SegEnds_NonXtal_BW#'!$A:$Z,15,FALSE)+VLOOKUP($A406,A:AL,22,FALSE)-50)</f>
        <v>124</v>
      </c>
      <c r="V406" s="3">
        <v>136</v>
      </c>
      <c r="W406" s="3">
        <f>IF(ISERROR(VLOOKUP($A406,'SegEnds_NonXtal_BW#'!$A:$Z,16,FALSE)+VLOOKUP($A406,A:AL,22,FALSE)-50),"-",(VLOOKUP($A406,'SegEnds_NonXtal_BW#'!$A:$Z,16,FALSE)+VLOOKUP($A406,A:AL,22,FALSE)-50))</f>
        <v>150</v>
      </c>
      <c r="X406" s="3" t="str">
        <f>IF(ISERROR(VLOOKUP($A406,'SegEnds_NonXtal_BW#'!$A:$Z,17,FALSE)+VLOOKUP($A406,A:AL,25,FALSE)-50),"-",(VLOOKUP($A406,'SegEnds_NonXtal_BW#'!$A:$Z,17,FALSE)+VLOOKUP($A406,A:AL,25,FALSE)-50))</f>
        <v>-</v>
      </c>
      <c r="Y406" s="3" t="s">
        <v>23</v>
      </c>
      <c r="Z406" s="3" t="str">
        <f>IF(ISERROR(VLOOKUP($A406,'SegEnds_NonXtal_BW#'!$A:$Z,18,FALSE)+VLOOKUP($A406,A:AL,25,FALSE)-50),"-",(VLOOKUP($A406,'SegEnds_NonXtal_BW#'!$A:$Z,18,FALSE)+VLOOKUP($A406,A:AL,25,FALSE)-50))</f>
        <v>-</v>
      </c>
      <c r="AA406" s="3">
        <f>IF(ISERROR(VLOOKUP($A406,'SegEnds_NonXtal_BW#'!$A:$Z,19,FALSE)+VLOOKUP($A406,A:AL,28,FALSE)-50),"-",(VLOOKUP($A406,'SegEnds_NonXtal_BW#'!$A:$Z,19,FALSE)+VLOOKUP($A406,A:AL,28,FALSE)-50))</f>
        <v>174</v>
      </c>
      <c r="AB406" s="3">
        <v>192</v>
      </c>
      <c r="AC406" s="3">
        <f>IF(ISERROR((VLOOKUP($A406,'SegEnds_NonXtal_BW#'!$A:$Z,20,FALSE)+VLOOKUP($A406,A:AL,28,FALSE)-50)),"-",(VLOOKUP($A406,'SegEnds_NonXtal_BW#'!$A:$Z,20,FALSE)+VLOOKUP($A406,A:AL,28,FALSE)-50))</f>
        <v>214</v>
      </c>
      <c r="AD406" s="3">
        <f>IF(ISERROR(VLOOKUP($A406,'SegEnds_NonXtal_BW#'!$A:$Z,21,FALSE)+VLOOKUP($A406,A:AL,31,FALSE)-50),"-",(VLOOKUP($A406,'SegEnds_NonXtal_BW#'!$A:$Z,21,FALSE)+VLOOKUP($A406,A:AL,31,FALSE)-50))</f>
        <v>224</v>
      </c>
      <c r="AE406" s="3">
        <v>245</v>
      </c>
      <c r="AF406" s="3">
        <f>IF(ISERROR((VLOOKUP($A406,'SegEnds_NonXtal_BW#'!$A:$Z,22,FALSE)+VLOOKUP($A406,A:AL,31,FALSE)-50)),"-",(VLOOKUP($A406,'SegEnds_NonXtal_BW#'!$A:$Z,22,FALSE)+VLOOKUP($A406,A:AL,31,FALSE)-50))</f>
        <v>256</v>
      </c>
      <c r="AG406" s="3">
        <f>IF(ISERROR(VLOOKUP($A406,'SegEnds_NonXtal_BW#'!$A:$Z,23,FALSE)+VLOOKUP($A406,A:AL,34,FALSE)-50),"-",(VLOOKUP($A406,'SegEnds_NonXtal_BW#'!$A:$Z,23,FALSE)+VLOOKUP($A406,A:AL,34,FALSE)-50))</f>
        <v>262</v>
      </c>
      <c r="AH406" s="3">
        <v>281</v>
      </c>
      <c r="AI406" s="3">
        <f>IF(ISERROR((VLOOKUP($A406,'SegEnds_NonXtal_BW#'!$A:$Z,24,FALSE)+VLOOKUP($A406,A:AL,34,FALSE)-50)),"-",(VLOOKUP($A406,'SegEnds_NonXtal_BW#'!$A:$Z,24,FALSE)+VLOOKUP($A406,A:AL,34,FALSE)-50))</f>
        <v>287</v>
      </c>
      <c r="AJ406" s="3">
        <f>IF(ISERROR(VLOOKUP($A406,'SegEnds_NonXtal_BW#'!$A:$Z,25,FALSE)+VLOOKUP($A406,A:AL,37,FALSE)-50),"-",(VLOOKUP($A406,'SegEnds_NonXtal_BW#'!$A:$Z,25,FALSE)+VLOOKUP($A406,A:AL,37,FALSE)-50))</f>
        <v>288</v>
      </c>
      <c r="AK406" s="3">
        <v>291</v>
      </c>
      <c r="AL406" s="3">
        <f>IF(ISERROR((VLOOKUP($A406,'SegEnds_NonXtal_BW#'!$A:$Z,26,FALSE)+VLOOKUP($A406,A:AL,37,FALSE)-50)),"-",(VLOOKUP($A406,'SegEnds_NonXtal_BW#'!$A:$Z,26,FALSE)+VLOOKUP($A406,A:AL,37,FALSE)-50))</f>
        <v>301</v>
      </c>
      <c r="AM406" s="28" t="str">
        <f>VLOOKUP(A406,Classification!A:B,2,FALSE)</f>
        <v>T</v>
      </c>
      <c r="AN406" s="28" t="b">
        <f t="shared" si="224"/>
        <v>1</v>
      </c>
      <c r="AO406" s="3" t="str">
        <f>IF(ISERROR(MATCH(A406,'SegEnds_Xtal_Prot#'!B:B, 0)), "NoXtal", "Xtal")</f>
        <v>NoXtal</v>
      </c>
      <c r="AP406" s="3">
        <f t="shared" si="209"/>
        <v>1</v>
      </c>
      <c r="AQ406" s="3">
        <f t="shared" si="210"/>
        <v>1</v>
      </c>
      <c r="AR406" s="3" t="str">
        <f t="shared" si="211"/>
        <v>-</v>
      </c>
      <c r="AS406" s="3" t="str">
        <f t="shared" si="212"/>
        <v>-</v>
      </c>
      <c r="AT406" s="3">
        <f t="shared" si="213"/>
        <v>3</v>
      </c>
      <c r="AU406" s="3">
        <f t="shared" si="214"/>
        <v>1</v>
      </c>
      <c r="AV406" s="3" t="str">
        <f t="shared" si="215"/>
        <v>-</v>
      </c>
      <c r="AW406" s="3" t="str">
        <f t="shared" si="216"/>
        <v>-</v>
      </c>
      <c r="AX406" s="3">
        <f t="shared" si="217"/>
        <v>10</v>
      </c>
      <c r="AY406" s="3">
        <f t="shared" si="218"/>
        <v>6</v>
      </c>
      <c r="AZ406" s="3">
        <f t="shared" si="219"/>
        <v>1</v>
      </c>
      <c r="BA406" s="3">
        <f>IF(ISERROR(LEN(VLOOKUP(A406,Seqs!A:E,2,FALSE))-AL406),"-",LEN(VLOOKUP(A406,Seqs!A:E,2,FALSE))-AL406)</f>
        <v>15</v>
      </c>
      <c r="BB406" s="16">
        <f t="shared" si="220"/>
        <v>31</v>
      </c>
      <c r="BC406" s="9">
        <f t="shared" si="221"/>
        <v>20</v>
      </c>
      <c r="BD406" s="3">
        <f t="shared" si="222"/>
        <v>31</v>
      </c>
      <c r="BE406" s="3">
        <f t="shared" si="223"/>
        <v>53</v>
      </c>
      <c r="BF406" s="3">
        <f t="shared" si="208"/>
        <v>36</v>
      </c>
    </row>
    <row r="407" spans="1:58" s="3" customFormat="1" x14ac:dyDescent="0.2">
      <c r="A407" s="3" t="s">
        <v>476</v>
      </c>
      <c r="B407" s="3" t="str">
        <f>LOWER(VLOOKUP(A407,Xtal_Templ!A:B,2,FALSE))</f>
        <v>5ht1b_human</v>
      </c>
      <c r="C407" s="3">
        <f>VLOOKUP($A407,'SegEnds_NonXtal_BW#'!$A:$Z,3,FALSE)+D407-50</f>
        <v>6</v>
      </c>
      <c r="D407" s="3">
        <v>24</v>
      </c>
      <c r="E407" s="3">
        <f t="shared" si="203"/>
        <v>36</v>
      </c>
      <c r="F407" s="3">
        <f t="shared" si="204"/>
        <v>37</v>
      </c>
      <c r="G407" s="3">
        <v>39</v>
      </c>
      <c r="H407" s="3">
        <f t="shared" si="205"/>
        <v>40</v>
      </c>
      <c r="I407" s="3">
        <f t="shared" si="205"/>
        <v>41</v>
      </c>
      <c r="J407" s="3">
        <v>55</v>
      </c>
      <c r="K407" s="3">
        <f>VLOOKUP($A407,'SegEnds_NonXtal_BW#'!$A:$Z,8,FALSE)+VLOOKUP($A407,A:AL,10,FALSE)-50</f>
        <v>71</v>
      </c>
      <c r="L407" s="3" t="str">
        <f>IF(ISERROR(VLOOKUP($A407,'SegEnds_NonXtal_BW#'!$A:$Z,9,FALSE)+VLOOKUP($A407,A:AL,13,FALSE)-50),"-",(VLOOKUP($A407,'SegEnds_NonXtal_BW#'!$A:$Z,9,FALSE)+VLOOKUP($A407,A:AL,13,FALSE)-50))</f>
        <v>-</v>
      </c>
      <c r="M407" s="3" t="s">
        <v>23</v>
      </c>
      <c r="N407" s="3" t="str">
        <f>IF(ISERROR(VLOOKUP($A407,'SegEnds_NonXtal_BW#'!$A:$Z,10,FALSE)+VLOOKUP($A407,A:AL,13,FALSE)-50),"-",(VLOOKUP($A407,'SegEnds_NonXtal_BW#'!$A:$Z,10,FALSE)+VLOOKUP($A407,A:AL,13,FALSE)-50))</f>
        <v>-</v>
      </c>
      <c r="O407" s="3">
        <f>VLOOKUP($A407,'SegEnds_NonXtal_BW#'!$A:$Z,11,FALSE)+VLOOKUP($A407,A:AL,16,FALSE)-50</f>
        <v>77</v>
      </c>
      <c r="P407" s="3">
        <v>106</v>
      </c>
      <c r="Q407" s="3">
        <f>VLOOKUP($A407,'SegEnds_NonXtal_BW#'!$A:$Z,12,FALSE)+VLOOKUP($A407,A:AL,16,FALSE)-50</f>
        <v>112</v>
      </c>
      <c r="R407" s="3">
        <f t="shared" si="206"/>
        <v>115</v>
      </c>
      <c r="S407" s="3">
        <v>115</v>
      </c>
      <c r="T407" s="100">
        <f t="shared" si="207"/>
        <v>122</v>
      </c>
      <c r="U407" s="9">
        <f>IF(ISERROR(VLOOKUP($A407,'SegEnds_NonXtal_BW#'!$A:$Z,15,FALSE)+VLOOKUP($A407,A:AL,22,FALSE)-50),"-",VLOOKUP($A407,'SegEnds_NonXtal_BW#'!$A:$Z,15,FALSE)+VLOOKUP($A407,A:AL,22,FALSE)-50)</f>
        <v>123</v>
      </c>
      <c r="V407" s="3">
        <v>135</v>
      </c>
      <c r="W407" s="3">
        <f>IF(ISERROR(VLOOKUP($A407,'SegEnds_NonXtal_BW#'!$A:$Z,16,FALSE)+VLOOKUP($A407,A:AL,22,FALSE)-50),"-",(VLOOKUP($A407,'SegEnds_NonXtal_BW#'!$A:$Z,16,FALSE)+VLOOKUP($A407,A:AL,22,FALSE)-50))</f>
        <v>148</v>
      </c>
      <c r="X407" s="3" t="str">
        <f>IF(ISERROR(VLOOKUP($A407,'SegEnds_NonXtal_BW#'!$A:$Z,17,FALSE)+VLOOKUP($A407,A:AL,25,FALSE)-50),"-",(VLOOKUP($A407,'SegEnds_NonXtal_BW#'!$A:$Z,17,FALSE)+VLOOKUP($A407,A:AL,25,FALSE)-50))</f>
        <v>-</v>
      </c>
      <c r="Y407" s="3" t="s">
        <v>23</v>
      </c>
      <c r="Z407" s="3" t="str">
        <f>IF(ISERROR(VLOOKUP($A407,'SegEnds_NonXtal_BW#'!$A:$Z,18,FALSE)+VLOOKUP($A407,A:AL,25,FALSE)-50),"-",(VLOOKUP($A407,'SegEnds_NonXtal_BW#'!$A:$Z,18,FALSE)+VLOOKUP($A407,A:AL,25,FALSE)-50))</f>
        <v>-</v>
      </c>
      <c r="AA407" s="3">
        <f>IF(ISERROR(VLOOKUP($A407,'SegEnds_NonXtal_BW#'!$A:$Z,19,FALSE)+VLOOKUP($A407,A:AL,28,FALSE)-50),"-",(VLOOKUP($A407,'SegEnds_NonXtal_BW#'!$A:$Z,19,FALSE)+VLOOKUP($A407,A:AL,28,FALSE)-50))</f>
        <v>170</v>
      </c>
      <c r="AB407" s="3">
        <v>188</v>
      </c>
      <c r="AC407" s="3">
        <f>IF(ISERROR((VLOOKUP($A407,'SegEnds_NonXtal_BW#'!$A:$Z,20,FALSE)+VLOOKUP($A407,A:AL,28,FALSE)-50)),"-",(VLOOKUP($A407,'SegEnds_NonXtal_BW#'!$A:$Z,20,FALSE)+VLOOKUP($A407,A:AL,28,FALSE)-50))</f>
        <v>210</v>
      </c>
      <c r="AD407" s="3">
        <f>IF(ISERROR(VLOOKUP($A407,'SegEnds_NonXtal_BW#'!$A:$Z,21,FALSE)+VLOOKUP($A407,A:AL,31,FALSE)-50),"-",(VLOOKUP($A407,'SegEnds_NonXtal_BW#'!$A:$Z,21,FALSE)+VLOOKUP($A407,A:AL,31,FALSE)-50))</f>
        <v>220</v>
      </c>
      <c r="AE407" s="3">
        <v>241</v>
      </c>
      <c r="AF407" s="3">
        <f>IF(ISERROR((VLOOKUP($A407,'SegEnds_NonXtal_BW#'!$A:$Z,22,FALSE)+VLOOKUP($A407,A:AL,31,FALSE)-50)),"-",(VLOOKUP($A407,'SegEnds_NonXtal_BW#'!$A:$Z,22,FALSE)+VLOOKUP($A407,A:AL,31,FALSE)-50))</f>
        <v>252</v>
      </c>
      <c r="AG407" s="3">
        <f>IF(ISERROR(VLOOKUP($A407,'SegEnds_NonXtal_BW#'!$A:$Z,23,FALSE)+VLOOKUP($A407,A:AL,34,FALSE)-50),"-",(VLOOKUP($A407,'SegEnds_NonXtal_BW#'!$A:$Z,23,FALSE)+VLOOKUP($A407,A:AL,34,FALSE)-50))</f>
        <v>258</v>
      </c>
      <c r="AH407" s="3">
        <v>277</v>
      </c>
      <c r="AI407" s="3">
        <f>IF(ISERROR((VLOOKUP($A407,'SegEnds_NonXtal_BW#'!$A:$Z,24,FALSE)+VLOOKUP($A407,A:AL,34,FALSE)-50)),"-",(VLOOKUP($A407,'SegEnds_NonXtal_BW#'!$A:$Z,24,FALSE)+VLOOKUP($A407,A:AL,34,FALSE)-50))</f>
        <v>283</v>
      </c>
      <c r="AJ407" s="3">
        <f>IF(ISERROR(VLOOKUP($A407,'SegEnds_NonXtal_BW#'!$A:$Z,25,FALSE)+VLOOKUP($A407,A:AL,37,FALSE)-50),"-",(VLOOKUP($A407,'SegEnds_NonXtal_BW#'!$A:$Z,25,FALSE)+VLOOKUP($A407,A:AL,37,FALSE)-50))</f>
        <v>284</v>
      </c>
      <c r="AK407" s="3">
        <v>287</v>
      </c>
      <c r="AL407" s="3">
        <f>IF(ISERROR((VLOOKUP($A407,'SegEnds_NonXtal_BW#'!$A:$Z,26,FALSE)+VLOOKUP($A407,A:AL,37,FALSE)-50)),"-",(VLOOKUP($A407,'SegEnds_NonXtal_BW#'!$A:$Z,26,FALSE)+VLOOKUP($A407,A:AL,37,FALSE)-50))</f>
        <v>297</v>
      </c>
      <c r="AM407" s="28" t="str">
        <f>VLOOKUP(A407,Classification!A:B,2,FALSE)</f>
        <v>T</v>
      </c>
      <c r="AN407" s="28" t="b">
        <f t="shared" si="224"/>
        <v>1</v>
      </c>
      <c r="AO407" s="3" t="str">
        <f>IF(ISERROR(MATCH(A407,'SegEnds_Xtal_Prot#'!B:B, 0)), "NoXtal", "Xtal")</f>
        <v>NoXtal</v>
      </c>
      <c r="AP407" s="3">
        <f t="shared" si="209"/>
        <v>1</v>
      </c>
      <c r="AQ407" s="3">
        <f t="shared" si="210"/>
        <v>1</v>
      </c>
      <c r="AR407" s="3" t="str">
        <f t="shared" si="211"/>
        <v>-</v>
      </c>
      <c r="AS407" s="3" t="str">
        <f t="shared" si="212"/>
        <v>-</v>
      </c>
      <c r="AT407" s="3">
        <f t="shared" si="213"/>
        <v>3</v>
      </c>
      <c r="AU407" s="3">
        <f t="shared" si="214"/>
        <v>1</v>
      </c>
      <c r="AV407" s="3" t="str">
        <f t="shared" si="215"/>
        <v>-</v>
      </c>
      <c r="AW407" s="3" t="str">
        <f t="shared" si="216"/>
        <v>-</v>
      </c>
      <c r="AX407" s="3">
        <f t="shared" si="217"/>
        <v>10</v>
      </c>
      <c r="AY407" s="3">
        <f t="shared" si="218"/>
        <v>6</v>
      </c>
      <c r="AZ407" s="3">
        <f t="shared" si="219"/>
        <v>1</v>
      </c>
      <c r="BA407" s="3">
        <f>IF(ISERROR(LEN(VLOOKUP(A407,Seqs!A:E,2,FALSE))-AL407),"-",LEN(VLOOKUP(A407,Seqs!A:E,2,FALSE))-AL407)</f>
        <v>2</v>
      </c>
      <c r="BB407" s="16">
        <f t="shared" si="220"/>
        <v>31</v>
      </c>
      <c r="BC407" s="9">
        <f t="shared" si="221"/>
        <v>20</v>
      </c>
      <c r="BD407" s="3">
        <f t="shared" si="222"/>
        <v>31</v>
      </c>
      <c r="BE407" s="3">
        <f t="shared" si="223"/>
        <v>53</v>
      </c>
      <c r="BF407" s="3">
        <f t="shared" si="208"/>
        <v>36</v>
      </c>
    </row>
    <row r="408" spans="1:58" s="3" customFormat="1" x14ac:dyDescent="0.2">
      <c r="A408" s="3" t="s">
        <v>477</v>
      </c>
      <c r="B408" s="3" t="str">
        <f>LOWER(VLOOKUP(A408,Xtal_Templ!A:B,2,FALSE))</f>
        <v>hrh1_human</v>
      </c>
      <c r="C408" s="3">
        <f>VLOOKUP($A408,'SegEnds_NonXtal_BW#'!$A:$Z,3,FALSE)+D408-50</f>
        <v>6</v>
      </c>
      <c r="D408" s="3">
        <v>24</v>
      </c>
      <c r="E408" s="3">
        <f t="shared" si="203"/>
        <v>36</v>
      </c>
      <c r="F408" s="3">
        <f t="shared" si="204"/>
        <v>37</v>
      </c>
      <c r="G408" s="3">
        <v>39</v>
      </c>
      <c r="H408" s="3">
        <f t="shared" si="205"/>
        <v>40</v>
      </c>
      <c r="I408" s="3">
        <f t="shared" si="205"/>
        <v>41</v>
      </c>
      <c r="J408" s="3">
        <v>55</v>
      </c>
      <c r="K408" s="3">
        <f>VLOOKUP($A408,'SegEnds_NonXtal_BW#'!$A:$Z,8,FALSE)+VLOOKUP($A408,A:AL,10,FALSE)-50</f>
        <v>71</v>
      </c>
      <c r="L408" s="3" t="str">
        <f>IF(ISERROR(VLOOKUP($A408,'SegEnds_NonXtal_BW#'!$A:$Z,9,FALSE)+VLOOKUP($A408,A:AL,13,FALSE)-50),"-",(VLOOKUP($A408,'SegEnds_NonXtal_BW#'!$A:$Z,9,FALSE)+VLOOKUP($A408,A:AL,13,FALSE)-50))</f>
        <v>-</v>
      </c>
      <c r="M408" s="3" t="s">
        <v>23</v>
      </c>
      <c r="N408" s="3" t="str">
        <f>IF(ISERROR(VLOOKUP($A408,'SegEnds_NonXtal_BW#'!$A:$Z,10,FALSE)+VLOOKUP($A408,A:AL,13,FALSE)-50),"-",(VLOOKUP($A408,'SegEnds_NonXtal_BW#'!$A:$Z,10,FALSE)+VLOOKUP($A408,A:AL,13,FALSE)-50))</f>
        <v>-</v>
      </c>
      <c r="O408" s="3">
        <f>VLOOKUP($A408,'SegEnds_NonXtal_BW#'!$A:$Z,11,FALSE)+VLOOKUP($A408,A:AL,16,FALSE)-50</f>
        <v>77</v>
      </c>
      <c r="P408" s="3">
        <v>103</v>
      </c>
      <c r="Q408" s="3">
        <f>VLOOKUP($A408,'SegEnds_NonXtal_BW#'!$A:$Z,12,FALSE)+VLOOKUP($A408,A:AL,16,FALSE)-50</f>
        <v>109</v>
      </c>
      <c r="R408" s="3">
        <f t="shared" si="206"/>
        <v>112</v>
      </c>
      <c r="S408" s="3">
        <v>112</v>
      </c>
      <c r="T408" s="100">
        <f t="shared" si="207"/>
        <v>119</v>
      </c>
      <c r="U408" s="9">
        <f>IF(ISERROR(VLOOKUP($A408,'SegEnds_NonXtal_BW#'!$A:$Z,15,FALSE)+VLOOKUP($A408,A:AL,22,FALSE)-50),"-",VLOOKUP($A408,'SegEnds_NonXtal_BW#'!$A:$Z,15,FALSE)+VLOOKUP($A408,A:AL,22,FALSE)-50)</f>
        <v>120</v>
      </c>
      <c r="V408" s="3">
        <v>132</v>
      </c>
      <c r="W408" s="3">
        <f>IF(ISERROR(VLOOKUP($A408,'SegEnds_NonXtal_BW#'!$A:$Z,16,FALSE)+VLOOKUP($A408,A:AL,22,FALSE)-50),"-",(VLOOKUP($A408,'SegEnds_NonXtal_BW#'!$A:$Z,16,FALSE)+VLOOKUP($A408,A:AL,22,FALSE)-50))</f>
        <v>144</v>
      </c>
      <c r="X408" s="3" t="str">
        <f>IF(ISERROR(VLOOKUP($A408,'SegEnds_NonXtal_BW#'!$A:$Z,17,FALSE)+VLOOKUP($A408,A:AL,25,FALSE)-50),"-",(VLOOKUP($A408,'SegEnds_NonXtal_BW#'!$A:$Z,17,FALSE)+VLOOKUP($A408,A:AL,25,FALSE)-50))</f>
        <v>-</v>
      </c>
      <c r="Y408" s="3" t="s">
        <v>23</v>
      </c>
      <c r="Z408" s="3" t="str">
        <f>IF(ISERROR(VLOOKUP($A408,'SegEnds_NonXtal_BW#'!$A:$Z,18,FALSE)+VLOOKUP($A408,A:AL,25,FALSE)-50),"-",(VLOOKUP($A408,'SegEnds_NonXtal_BW#'!$A:$Z,18,FALSE)+VLOOKUP($A408,A:AL,25,FALSE)-50))</f>
        <v>-</v>
      </c>
      <c r="AA408" s="3">
        <f>IF(ISERROR(VLOOKUP($A408,'SegEnds_NonXtal_BW#'!$A:$Z,19,FALSE)+VLOOKUP($A408,A:AL,28,FALSE)-50),"-",(VLOOKUP($A408,'SegEnds_NonXtal_BW#'!$A:$Z,19,FALSE)+VLOOKUP($A408,A:AL,28,FALSE)-50))</f>
        <v>162</v>
      </c>
      <c r="AB408" s="3">
        <v>180</v>
      </c>
      <c r="AC408" s="3">
        <f>IF(ISERROR((VLOOKUP($A408,'SegEnds_NonXtal_BW#'!$A:$Z,20,FALSE)+VLOOKUP($A408,A:AL,28,FALSE)-50)),"-",(VLOOKUP($A408,'SegEnds_NonXtal_BW#'!$A:$Z,20,FALSE)+VLOOKUP($A408,A:AL,28,FALSE)-50))</f>
        <v>202</v>
      </c>
      <c r="AD408" s="3">
        <f>IF(ISERROR(VLOOKUP($A408,'SegEnds_NonXtal_BW#'!$A:$Z,21,FALSE)+VLOOKUP($A408,A:AL,31,FALSE)-50),"-",(VLOOKUP($A408,'SegEnds_NonXtal_BW#'!$A:$Z,21,FALSE)+VLOOKUP($A408,A:AL,31,FALSE)-50))</f>
        <v>212</v>
      </c>
      <c r="AE408" s="3">
        <v>233</v>
      </c>
      <c r="AF408" s="3">
        <f>IF(ISERROR((VLOOKUP($A408,'SegEnds_NonXtal_BW#'!$A:$Z,22,FALSE)+VLOOKUP($A408,A:AL,31,FALSE)-50)),"-",(VLOOKUP($A408,'SegEnds_NonXtal_BW#'!$A:$Z,22,FALSE)+VLOOKUP($A408,A:AL,31,FALSE)-50))</f>
        <v>244</v>
      </c>
      <c r="AG408" s="3">
        <f>IF(ISERROR(VLOOKUP($A408,'SegEnds_NonXtal_BW#'!$A:$Z,23,FALSE)+VLOOKUP($A408,A:AL,34,FALSE)-50),"-",(VLOOKUP($A408,'SegEnds_NonXtal_BW#'!$A:$Z,23,FALSE)+VLOOKUP($A408,A:AL,34,FALSE)-50))</f>
        <v>250</v>
      </c>
      <c r="AH408" s="3">
        <v>269</v>
      </c>
      <c r="AI408" s="3">
        <f>IF(ISERROR((VLOOKUP($A408,'SegEnds_NonXtal_BW#'!$A:$Z,24,FALSE)+VLOOKUP($A408,A:AL,34,FALSE)-50)),"-",(VLOOKUP($A408,'SegEnds_NonXtal_BW#'!$A:$Z,24,FALSE)+VLOOKUP($A408,A:AL,34,FALSE)-50))</f>
        <v>275</v>
      </c>
      <c r="AJ408" s="3">
        <f>IF(ISERROR(VLOOKUP($A408,'SegEnds_NonXtal_BW#'!$A:$Z,25,FALSE)+VLOOKUP($A408,A:AL,37,FALSE)-50),"-",(VLOOKUP($A408,'SegEnds_NonXtal_BW#'!$A:$Z,25,FALSE)+VLOOKUP($A408,A:AL,37,FALSE)-50))</f>
        <v>276</v>
      </c>
      <c r="AK408" s="3">
        <v>279</v>
      </c>
      <c r="AL408" s="3">
        <f>IF(ISERROR((VLOOKUP($A408,'SegEnds_NonXtal_BW#'!$A:$Z,26,FALSE)+VLOOKUP($A408,A:AL,37,FALSE)-50)),"-",(VLOOKUP($A408,'SegEnds_NonXtal_BW#'!$A:$Z,26,FALSE)+VLOOKUP($A408,A:AL,37,FALSE)-50))</f>
        <v>289</v>
      </c>
      <c r="AM408" s="28" t="str">
        <f>VLOOKUP(A408,Classification!A:B,2,FALSE)</f>
        <v>T</v>
      </c>
      <c r="AN408" s="28" t="b">
        <f t="shared" si="224"/>
        <v>1</v>
      </c>
      <c r="AO408" s="3" t="str">
        <f>IF(ISERROR(MATCH(A408,'SegEnds_Xtal_Prot#'!B:B, 0)), "NoXtal", "Xtal")</f>
        <v>NoXtal</v>
      </c>
      <c r="AP408" s="3">
        <f t="shared" si="209"/>
        <v>1</v>
      </c>
      <c r="AQ408" s="3">
        <f t="shared" si="210"/>
        <v>1</v>
      </c>
      <c r="AR408" s="3" t="str">
        <f t="shared" si="211"/>
        <v>-</v>
      </c>
      <c r="AS408" s="3" t="str">
        <f t="shared" si="212"/>
        <v>-</v>
      </c>
      <c r="AT408" s="3">
        <f t="shared" si="213"/>
        <v>3</v>
      </c>
      <c r="AU408" s="3">
        <f t="shared" si="214"/>
        <v>1</v>
      </c>
      <c r="AV408" s="3" t="str">
        <f t="shared" si="215"/>
        <v>-</v>
      </c>
      <c r="AW408" s="3" t="str">
        <f t="shared" si="216"/>
        <v>-</v>
      </c>
      <c r="AX408" s="3">
        <f t="shared" si="217"/>
        <v>10</v>
      </c>
      <c r="AY408" s="3">
        <f t="shared" si="218"/>
        <v>6</v>
      </c>
      <c r="AZ408" s="3">
        <f t="shared" si="219"/>
        <v>1</v>
      </c>
      <c r="BA408" s="3">
        <f>IF(ISERROR(LEN(VLOOKUP(A408,Seqs!A:E,2,FALSE))-AL408),"-",LEN(VLOOKUP(A408,Seqs!A:E,2,FALSE))-AL408)</f>
        <v>10</v>
      </c>
      <c r="BB408" s="16">
        <f t="shared" si="220"/>
        <v>31</v>
      </c>
      <c r="BC408" s="9">
        <f t="shared" si="221"/>
        <v>20</v>
      </c>
      <c r="BD408" s="3">
        <f t="shared" si="222"/>
        <v>31</v>
      </c>
      <c r="BE408" s="3">
        <f t="shared" si="223"/>
        <v>53</v>
      </c>
      <c r="BF408" s="3">
        <f t="shared" si="208"/>
        <v>36</v>
      </c>
    </row>
    <row r="409" spans="1:58" s="3" customFormat="1" x14ac:dyDescent="0.2">
      <c r="A409" s="3" t="s">
        <v>478</v>
      </c>
      <c r="B409" s="3" t="str">
        <f>LOWER(VLOOKUP(A409,Xtal_Templ!A:B,2,FALSE))</f>
        <v>drd2_human</v>
      </c>
      <c r="C409" s="3">
        <f>VLOOKUP($A409,'SegEnds_NonXtal_BW#'!$A:$Z,3,FALSE)+D409-50</f>
        <v>6</v>
      </c>
      <c r="D409" s="3">
        <v>24</v>
      </c>
      <c r="E409" s="3">
        <f t="shared" si="203"/>
        <v>36</v>
      </c>
      <c r="F409" s="3">
        <f t="shared" si="204"/>
        <v>37</v>
      </c>
      <c r="G409" s="3">
        <v>39</v>
      </c>
      <c r="H409" s="3">
        <f t="shared" si="205"/>
        <v>40</v>
      </c>
      <c r="I409" s="3">
        <f t="shared" si="205"/>
        <v>41</v>
      </c>
      <c r="J409" s="3">
        <v>55</v>
      </c>
      <c r="K409" s="3">
        <f>VLOOKUP($A409,'SegEnds_NonXtal_BW#'!$A:$Z,8,FALSE)+VLOOKUP($A409,A:AL,10,FALSE)-50</f>
        <v>72</v>
      </c>
      <c r="L409" s="3" t="str">
        <f>IF(ISERROR(VLOOKUP($A409,'SegEnds_NonXtal_BW#'!$A:$Z,9,FALSE)+VLOOKUP($A409,A:AL,13,FALSE)-50),"-",(VLOOKUP($A409,'SegEnds_NonXtal_BW#'!$A:$Z,9,FALSE)+VLOOKUP($A409,A:AL,13,FALSE)-50))</f>
        <v>-</v>
      </c>
      <c r="M409" s="3" t="s">
        <v>23</v>
      </c>
      <c r="N409" s="3" t="str">
        <f>IF(ISERROR(VLOOKUP($A409,'SegEnds_NonXtal_BW#'!$A:$Z,10,FALSE)+VLOOKUP($A409,A:AL,13,FALSE)-50),"-",(VLOOKUP($A409,'SegEnds_NonXtal_BW#'!$A:$Z,10,FALSE)+VLOOKUP($A409,A:AL,13,FALSE)-50))</f>
        <v>-</v>
      </c>
      <c r="O409" s="3">
        <f>VLOOKUP($A409,'SegEnds_NonXtal_BW#'!$A:$Z,11,FALSE)+VLOOKUP($A409,A:AL,16,FALSE)-50</f>
        <v>78</v>
      </c>
      <c r="P409" s="3">
        <v>107</v>
      </c>
      <c r="Q409" s="3">
        <f>VLOOKUP($A409,'SegEnds_NonXtal_BW#'!$A:$Z,12,FALSE)+VLOOKUP($A409,A:AL,16,FALSE)-50</f>
        <v>113</v>
      </c>
      <c r="R409" s="3">
        <f t="shared" si="206"/>
        <v>116</v>
      </c>
      <c r="S409" s="3">
        <v>116</v>
      </c>
      <c r="T409" s="100">
        <f t="shared" si="207"/>
        <v>123</v>
      </c>
      <c r="U409" s="9">
        <f>IF(ISERROR(VLOOKUP($A409,'SegEnds_NonXtal_BW#'!$A:$Z,15,FALSE)+VLOOKUP($A409,A:AL,22,FALSE)-50),"-",VLOOKUP($A409,'SegEnds_NonXtal_BW#'!$A:$Z,15,FALSE)+VLOOKUP($A409,A:AL,22,FALSE)-50)</f>
        <v>124</v>
      </c>
      <c r="V409" s="3">
        <v>136</v>
      </c>
      <c r="W409" s="3">
        <f>IF(ISERROR(VLOOKUP($A409,'SegEnds_NonXtal_BW#'!$A:$Z,16,FALSE)+VLOOKUP($A409,A:AL,22,FALSE)-50),"-",(VLOOKUP($A409,'SegEnds_NonXtal_BW#'!$A:$Z,16,FALSE)+VLOOKUP($A409,A:AL,22,FALSE)-50))</f>
        <v>148</v>
      </c>
      <c r="X409" s="3" t="str">
        <f>IF(ISERROR(VLOOKUP($A409,'SegEnds_NonXtal_BW#'!$A:$Z,17,FALSE)+VLOOKUP($A409,A:AL,25,FALSE)-50),"-",(VLOOKUP($A409,'SegEnds_NonXtal_BW#'!$A:$Z,17,FALSE)+VLOOKUP($A409,A:AL,25,FALSE)-50))</f>
        <v>-</v>
      </c>
      <c r="Y409" s="3" t="s">
        <v>23</v>
      </c>
      <c r="Z409" s="3" t="str">
        <f>IF(ISERROR(VLOOKUP($A409,'SegEnds_NonXtal_BW#'!$A:$Z,18,FALSE)+VLOOKUP($A409,A:AL,25,FALSE)-50),"-",(VLOOKUP($A409,'SegEnds_NonXtal_BW#'!$A:$Z,18,FALSE)+VLOOKUP($A409,A:AL,25,FALSE)-50))</f>
        <v>-</v>
      </c>
      <c r="AA409" s="3">
        <f>IF(ISERROR(VLOOKUP($A409,'SegEnds_NonXtal_BW#'!$A:$Z,19,FALSE)+VLOOKUP($A409,A:AL,28,FALSE)-50),"-",(VLOOKUP($A409,'SegEnds_NonXtal_BW#'!$A:$Z,19,FALSE)+VLOOKUP($A409,A:AL,28,FALSE)-50))</f>
        <v>175</v>
      </c>
      <c r="AB409" s="3">
        <v>193</v>
      </c>
      <c r="AC409" s="3">
        <f>IF(ISERROR((VLOOKUP($A409,'SegEnds_NonXtal_BW#'!$A:$Z,20,FALSE)+VLOOKUP($A409,A:AL,28,FALSE)-50)),"-",(VLOOKUP($A409,'SegEnds_NonXtal_BW#'!$A:$Z,20,FALSE)+VLOOKUP($A409,A:AL,28,FALSE)-50))</f>
        <v>215</v>
      </c>
      <c r="AD409" s="3">
        <f>IF(ISERROR(VLOOKUP($A409,'SegEnds_NonXtal_BW#'!$A:$Z,21,FALSE)+VLOOKUP($A409,A:AL,31,FALSE)-50),"-",(VLOOKUP($A409,'SegEnds_NonXtal_BW#'!$A:$Z,21,FALSE)+VLOOKUP($A409,A:AL,31,FALSE)-50))</f>
        <v>225</v>
      </c>
      <c r="AE409" s="3">
        <v>246</v>
      </c>
      <c r="AF409" s="3">
        <f>IF(ISERROR((VLOOKUP($A409,'SegEnds_NonXtal_BW#'!$A:$Z,22,FALSE)+VLOOKUP($A409,A:AL,31,FALSE)-50)),"-",(VLOOKUP($A409,'SegEnds_NonXtal_BW#'!$A:$Z,22,FALSE)+VLOOKUP($A409,A:AL,31,FALSE)-50))</f>
        <v>257</v>
      </c>
      <c r="AG409" s="3">
        <f>IF(ISERROR(VLOOKUP($A409,'SegEnds_NonXtal_BW#'!$A:$Z,23,FALSE)+VLOOKUP($A409,A:AL,34,FALSE)-50),"-",(VLOOKUP($A409,'SegEnds_NonXtal_BW#'!$A:$Z,23,FALSE)+VLOOKUP($A409,A:AL,34,FALSE)-50))</f>
        <v>263</v>
      </c>
      <c r="AH409" s="3">
        <v>282</v>
      </c>
      <c r="AI409" s="3">
        <f>IF(ISERROR((VLOOKUP($A409,'SegEnds_NonXtal_BW#'!$A:$Z,24,FALSE)+VLOOKUP($A409,A:AL,34,FALSE)-50)),"-",(VLOOKUP($A409,'SegEnds_NonXtal_BW#'!$A:$Z,24,FALSE)+VLOOKUP($A409,A:AL,34,FALSE)-50))</f>
        <v>288</v>
      </c>
      <c r="AJ409" s="3">
        <f>IF(ISERROR(VLOOKUP($A409,'SegEnds_NonXtal_BW#'!$A:$Z,25,FALSE)+VLOOKUP($A409,A:AL,37,FALSE)-50),"-",(VLOOKUP($A409,'SegEnds_NonXtal_BW#'!$A:$Z,25,FALSE)+VLOOKUP($A409,A:AL,37,FALSE)-50))</f>
        <v>289</v>
      </c>
      <c r="AK409" s="3">
        <v>292</v>
      </c>
      <c r="AL409" s="3">
        <f>IF(ISERROR((VLOOKUP($A409,'SegEnds_NonXtal_BW#'!$A:$Z,26,FALSE)+VLOOKUP($A409,A:AL,37,FALSE)-50)),"-",(VLOOKUP($A409,'SegEnds_NonXtal_BW#'!$A:$Z,26,FALSE)+VLOOKUP($A409,A:AL,37,FALSE)-50))</f>
        <v>302</v>
      </c>
      <c r="AM409" s="28" t="str">
        <f>VLOOKUP(A409,Classification!A:B,2,FALSE)</f>
        <v>T</v>
      </c>
      <c r="AN409" s="28" t="b">
        <f t="shared" si="224"/>
        <v>1</v>
      </c>
      <c r="AO409" s="3" t="str">
        <f>IF(ISERROR(MATCH(A409,'SegEnds_Xtal_Prot#'!B:B, 0)), "NoXtal", "Xtal")</f>
        <v>NoXtal</v>
      </c>
      <c r="AP409" s="3">
        <f t="shared" si="209"/>
        <v>1</v>
      </c>
      <c r="AQ409" s="3">
        <f t="shared" si="210"/>
        <v>1</v>
      </c>
      <c r="AR409" s="3" t="str">
        <f t="shared" si="211"/>
        <v>-</v>
      </c>
      <c r="AS409" s="3" t="str">
        <f t="shared" si="212"/>
        <v>-</v>
      </c>
      <c r="AT409" s="3">
        <f t="shared" si="213"/>
        <v>3</v>
      </c>
      <c r="AU409" s="3">
        <f t="shared" si="214"/>
        <v>1</v>
      </c>
      <c r="AV409" s="3" t="str">
        <f t="shared" si="215"/>
        <v>-</v>
      </c>
      <c r="AW409" s="3" t="str">
        <f t="shared" si="216"/>
        <v>-</v>
      </c>
      <c r="AX409" s="3">
        <f t="shared" si="217"/>
        <v>10</v>
      </c>
      <c r="AY409" s="3">
        <f t="shared" si="218"/>
        <v>6</v>
      </c>
      <c r="AZ409" s="3">
        <f t="shared" si="219"/>
        <v>1</v>
      </c>
      <c r="BA409" s="3">
        <f>IF(ISERROR(LEN(VLOOKUP(A409,Seqs!A:E,2,FALSE))-AL409),"-",LEN(VLOOKUP(A409,Seqs!A:E,2,FALSE))-AL409)</f>
        <v>16</v>
      </c>
      <c r="BB409" s="16">
        <f t="shared" si="220"/>
        <v>31</v>
      </c>
      <c r="BC409" s="9">
        <f t="shared" si="221"/>
        <v>20</v>
      </c>
      <c r="BD409" s="3">
        <f t="shared" si="222"/>
        <v>31</v>
      </c>
      <c r="BE409" s="3">
        <f t="shared" si="223"/>
        <v>53</v>
      </c>
      <c r="BF409" s="3">
        <f t="shared" si="208"/>
        <v>36</v>
      </c>
    </row>
    <row r="410" spans="1:58" s="3" customFormat="1" x14ac:dyDescent="0.2">
      <c r="A410" s="3" t="s">
        <v>479</v>
      </c>
      <c r="B410" s="3" t="str">
        <f>LOWER(VLOOKUP(A410,Xtal_Templ!A:B,2,FALSE))</f>
        <v>drd2_human</v>
      </c>
      <c r="C410" s="3">
        <f>VLOOKUP($A410,'SegEnds_NonXtal_BW#'!$A:$Z,3,FALSE)+D410-50</f>
        <v>6</v>
      </c>
      <c r="D410" s="3">
        <v>24</v>
      </c>
      <c r="E410" s="3">
        <f t="shared" si="203"/>
        <v>36</v>
      </c>
      <c r="F410" s="3">
        <f t="shared" si="204"/>
        <v>37</v>
      </c>
      <c r="G410" s="3">
        <v>39</v>
      </c>
      <c r="H410" s="3">
        <f t="shared" si="205"/>
        <v>40</v>
      </c>
      <c r="I410" s="3">
        <f t="shared" si="205"/>
        <v>41</v>
      </c>
      <c r="J410" s="3">
        <v>55</v>
      </c>
      <c r="K410" s="3">
        <f>VLOOKUP($A410,'SegEnds_NonXtal_BW#'!$A:$Z,8,FALSE)+VLOOKUP($A410,A:AL,10,FALSE)-50</f>
        <v>71</v>
      </c>
      <c r="L410" s="3" t="str">
        <f>IF(ISERROR(VLOOKUP($A410,'SegEnds_NonXtal_BW#'!$A:$Z,9,FALSE)+VLOOKUP($A410,A:AL,13,FALSE)-50),"-",(VLOOKUP($A410,'SegEnds_NonXtal_BW#'!$A:$Z,9,FALSE)+VLOOKUP($A410,A:AL,13,FALSE)-50))</f>
        <v>-</v>
      </c>
      <c r="M410" s="3" t="s">
        <v>23</v>
      </c>
      <c r="N410" s="3" t="str">
        <f>IF(ISERROR(VLOOKUP($A410,'SegEnds_NonXtal_BW#'!$A:$Z,10,FALSE)+VLOOKUP($A410,A:AL,13,FALSE)-50),"-",(VLOOKUP($A410,'SegEnds_NonXtal_BW#'!$A:$Z,10,FALSE)+VLOOKUP($A410,A:AL,13,FALSE)-50))</f>
        <v>-</v>
      </c>
      <c r="O410" s="3">
        <f>VLOOKUP($A410,'SegEnds_NonXtal_BW#'!$A:$Z,11,FALSE)+VLOOKUP($A410,A:AL,16,FALSE)-50</f>
        <v>75</v>
      </c>
      <c r="P410" s="3">
        <v>107</v>
      </c>
      <c r="Q410" s="3">
        <f>VLOOKUP($A410,'SegEnds_NonXtal_BW#'!$A:$Z,12,FALSE)+VLOOKUP($A410,A:AL,16,FALSE)-50</f>
        <v>113</v>
      </c>
      <c r="R410" s="3">
        <f t="shared" si="206"/>
        <v>116</v>
      </c>
      <c r="S410" s="3">
        <v>116</v>
      </c>
      <c r="T410" s="100">
        <f t="shared" si="207"/>
        <v>123</v>
      </c>
      <c r="U410" s="9">
        <f>IF(ISERROR(VLOOKUP($A410,'SegEnds_NonXtal_BW#'!$A:$Z,15,FALSE)+VLOOKUP($A410,A:AL,22,FALSE)-50),"-",VLOOKUP($A410,'SegEnds_NonXtal_BW#'!$A:$Z,15,FALSE)+VLOOKUP($A410,A:AL,22,FALSE)-50)</f>
        <v>124</v>
      </c>
      <c r="V410" s="3">
        <v>136</v>
      </c>
      <c r="W410" s="3">
        <f>IF(ISERROR(VLOOKUP($A410,'SegEnds_NonXtal_BW#'!$A:$Z,16,FALSE)+VLOOKUP($A410,A:AL,22,FALSE)-50),"-",(VLOOKUP($A410,'SegEnds_NonXtal_BW#'!$A:$Z,16,FALSE)+VLOOKUP($A410,A:AL,22,FALSE)-50))</f>
        <v>148</v>
      </c>
      <c r="X410" s="3" t="str">
        <f>IF(ISERROR(VLOOKUP($A410,'SegEnds_NonXtal_BW#'!$A:$Z,17,FALSE)+VLOOKUP($A410,A:AL,25,FALSE)-50),"-",(VLOOKUP($A410,'SegEnds_NonXtal_BW#'!$A:$Z,17,FALSE)+VLOOKUP($A410,A:AL,25,FALSE)-50))</f>
        <v>-</v>
      </c>
      <c r="Y410" s="3" t="s">
        <v>23</v>
      </c>
      <c r="Z410" s="3" t="str">
        <f>IF(ISERROR(VLOOKUP($A410,'SegEnds_NonXtal_BW#'!$A:$Z,18,FALSE)+VLOOKUP($A410,A:AL,25,FALSE)-50),"-",(VLOOKUP($A410,'SegEnds_NonXtal_BW#'!$A:$Z,18,FALSE)+VLOOKUP($A410,A:AL,25,FALSE)-50))</f>
        <v>-</v>
      </c>
      <c r="AA410" s="3">
        <f>IF(ISERROR(VLOOKUP($A410,'SegEnds_NonXtal_BW#'!$A:$Z,19,FALSE)+VLOOKUP($A410,A:AL,28,FALSE)-50),"-",(VLOOKUP($A410,'SegEnds_NonXtal_BW#'!$A:$Z,19,FALSE)+VLOOKUP($A410,A:AL,28,FALSE)-50))</f>
        <v>175</v>
      </c>
      <c r="AB410" s="3">
        <v>193</v>
      </c>
      <c r="AC410" s="3">
        <f>IF(ISERROR((VLOOKUP($A410,'SegEnds_NonXtal_BW#'!$A:$Z,20,FALSE)+VLOOKUP($A410,A:AL,28,FALSE)-50)),"-",(VLOOKUP($A410,'SegEnds_NonXtal_BW#'!$A:$Z,20,FALSE)+VLOOKUP($A410,A:AL,28,FALSE)-50))</f>
        <v>215</v>
      </c>
      <c r="AD410" s="3">
        <f>IF(ISERROR(VLOOKUP($A410,'SegEnds_NonXtal_BW#'!$A:$Z,21,FALSE)+VLOOKUP($A410,A:AL,31,FALSE)-50),"-",(VLOOKUP($A410,'SegEnds_NonXtal_BW#'!$A:$Z,21,FALSE)+VLOOKUP($A410,A:AL,31,FALSE)-50))</f>
        <v>225</v>
      </c>
      <c r="AE410" s="3">
        <v>246</v>
      </c>
      <c r="AF410" s="3">
        <f>IF(ISERROR((VLOOKUP($A410,'SegEnds_NonXtal_BW#'!$A:$Z,22,FALSE)+VLOOKUP($A410,A:AL,31,FALSE)-50)),"-",(VLOOKUP($A410,'SegEnds_NonXtal_BW#'!$A:$Z,22,FALSE)+VLOOKUP($A410,A:AL,31,FALSE)-50))</f>
        <v>257</v>
      </c>
      <c r="AG410" s="3">
        <f>IF(ISERROR(VLOOKUP($A410,'SegEnds_NonXtal_BW#'!$A:$Z,23,FALSE)+VLOOKUP($A410,A:AL,34,FALSE)-50),"-",(VLOOKUP($A410,'SegEnds_NonXtal_BW#'!$A:$Z,23,FALSE)+VLOOKUP($A410,A:AL,34,FALSE)-50))</f>
        <v>263</v>
      </c>
      <c r="AH410" s="3">
        <v>282</v>
      </c>
      <c r="AI410" s="3">
        <f>IF(ISERROR((VLOOKUP($A410,'SegEnds_NonXtal_BW#'!$A:$Z,24,FALSE)+VLOOKUP($A410,A:AL,34,FALSE)-50)),"-",(VLOOKUP($A410,'SegEnds_NonXtal_BW#'!$A:$Z,24,FALSE)+VLOOKUP($A410,A:AL,34,FALSE)-50))</f>
        <v>288</v>
      </c>
      <c r="AJ410" s="3">
        <f>IF(ISERROR(VLOOKUP($A410,'SegEnds_NonXtal_BW#'!$A:$Z,25,FALSE)+VLOOKUP($A410,A:AL,37,FALSE)-50),"-",(VLOOKUP($A410,'SegEnds_NonXtal_BW#'!$A:$Z,25,FALSE)+VLOOKUP($A410,A:AL,37,FALSE)-50))</f>
        <v>289</v>
      </c>
      <c r="AK410" s="3">
        <v>292</v>
      </c>
      <c r="AL410" s="3">
        <f>IF(ISERROR((VLOOKUP($A410,'SegEnds_NonXtal_BW#'!$A:$Z,26,FALSE)+VLOOKUP($A410,A:AL,37,FALSE)-50)),"-",(VLOOKUP($A410,'SegEnds_NonXtal_BW#'!$A:$Z,26,FALSE)+VLOOKUP($A410,A:AL,37,FALSE)-50))</f>
        <v>302</v>
      </c>
      <c r="AM410" s="28" t="str">
        <f>VLOOKUP(A410,Classification!A:B,2,FALSE)</f>
        <v>T</v>
      </c>
      <c r="AN410" s="28" t="b">
        <f t="shared" si="224"/>
        <v>1</v>
      </c>
      <c r="AO410" s="3" t="str">
        <f>IF(ISERROR(MATCH(A410,'SegEnds_Xtal_Prot#'!B:B, 0)), "NoXtal", "Xtal")</f>
        <v>NoXtal</v>
      </c>
      <c r="AP410" s="3">
        <f t="shared" si="209"/>
        <v>1</v>
      </c>
      <c r="AQ410" s="3">
        <f t="shared" si="210"/>
        <v>1</v>
      </c>
      <c r="AR410" s="3" t="str">
        <f t="shared" si="211"/>
        <v>-</v>
      </c>
      <c r="AS410" s="3" t="str">
        <f t="shared" si="212"/>
        <v>-</v>
      </c>
      <c r="AT410" s="3">
        <f t="shared" si="213"/>
        <v>3</v>
      </c>
      <c r="AU410" s="3">
        <f t="shared" si="214"/>
        <v>1</v>
      </c>
      <c r="AV410" s="3" t="str">
        <f t="shared" si="215"/>
        <v>-</v>
      </c>
      <c r="AW410" s="3" t="str">
        <f t="shared" si="216"/>
        <v>-</v>
      </c>
      <c r="AX410" s="3">
        <f t="shared" si="217"/>
        <v>10</v>
      </c>
      <c r="AY410" s="3">
        <f t="shared" si="218"/>
        <v>6</v>
      </c>
      <c r="AZ410" s="3">
        <f t="shared" si="219"/>
        <v>1</v>
      </c>
      <c r="BA410" s="3">
        <f>IF(ISERROR(LEN(VLOOKUP(A410,Seqs!A:E,2,FALSE))-AL410),"-",LEN(VLOOKUP(A410,Seqs!A:E,2,FALSE))-AL410)</f>
        <v>7</v>
      </c>
      <c r="BB410" s="16">
        <f t="shared" si="220"/>
        <v>31</v>
      </c>
      <c r="BC410" s="9">
        <f t="shared" si="221"/>
        <v>20</v>
      </c>
      <c r="BD410" s="3">
        <f t="shared" si="222"/>
        <v>31</v>
      </c>
      <c r="BE410" s="3">
        <f t="shared" si="223"/>
        <v>53</v>
      </c>
      <c r="BF410" s="3">
        <f t="shared" si="208"/>
        <v>36</v>
      </c>
    </row>
    <row r="411" spans="1:58" s="3" customFormat="1" x14ac:dyDescent="0.2">
      <c r="A411" s="3" t="s">
        <v>480</v>
      </c>
      <c r="B411" s="3" t="str">
        <f>LOWER(VLOOKUP(A411,Xtal_Templ!A:B,2,FALSE))</f>
        <v>agtr1_human</v>
      </c>
      <c r="C411" s="3">
        <f>VLOOKUP($A411,'SegEnds_NonXtal_BW#'!$A:$Z,3,FALSE)+D411-50</f>
        <v>6</v>
      </c>
      <c r="D411" s="3">
        <v>24</v>
      </c>
      <c r="E411" s="3">
        <f t="shared" si="203"/>
        <v>36</v>
      </c>
      <c r="F411" s="3">
        <f t="shared" si="204"/>
        <v>37</v>
      </c>
      <c r="G411" s="3">
        <v>39</v>
      </c>
      <c r="H411" s="3">
        <f t="shared" si="205"/>
        <v>40</v>
      </c>
      <c r="I411" s="3">
        <f t="shared" si="205"/>
        <v>41</v>
      </c>
      <c r="J411" s="3">
        <v>55</v>
      </c>
      <c r="K411" s="3">
        <f>VLOOKUP($A411,'SegEnds_NonXtal_BW#'!$A:$Z,8,FALSE)+VLOOKUP($A411,A:AL,10,FALSE)-50</f>
        <v>71</v>
      </c>
      <c r="L411" s="3" t="str">
        <f>IF(ISERROR(VLOOKUP($A411,'SegEnds_NonXtal_BW#'!$A:$Z,9,FALSE)+VLOOKUP($A411,A:AL,13,FALSE)-50),"-",(VLOOKUP($A411,'SegEnds_NonXtal_BW#'!$A:$Z,9,FALSE)+VLOOKUP($A411,A:AL,13,FALSE)-50))</f>
        <v>-</v>
      </c>
      <c r="M411" s="3" t="s">
        <v>23</v>
      </c>
      <c r="N411" s="3" t="str">
        <f>IF(ISERROR(VLOOKUP($A411,'SegEnds_NonXtal_BW#'!$A:$Z,10,FALSE)+VLOOKUP($A411,A:AL,13,FALSE)-50),"-",(VLOOKUP($A411,'SegEnds_NonXtal_BW#'!$A:$Z,10,FALSE)+VLOOKUP($A411,A:AL,13,FALSE)-50))</f>
        <v>-</v>
      </c>
      <c r="O411" s="3">
        <f>VLOOKUP($A411,'SegEnds_NonXtal_BW#'!$A:$Z,11,FALSE)+VLOOKUP($A411,A:AL,16,FALSE)-50</f>
        <v>75</v>
      </c>
      <c r="P411" s="3">
        <v>107</v>
      </c>
      <c r="Q411" s="3">
        <f>VLOOKUP($A411,'SegEnds_NonXtal_BW#'!$A:$Z,12,FALSE)+VLOOKUP($A411,A:AL,16,FALSE)-50</f>
        <v>113</v>
      </c>
      <c r="R411" s="3">
        <f t="shared" si="206"/>
        <v>116</v>
      </c>
      <c r="S411" s="3">
        <v>116</v>
      </c>
      <c r="T411" s="100">
        <f t="shared" si="207"/>
        <v>123</v>
      </c>
      <c r="U411" s="9">
        <f>IF(ISERROR(VLOOKUP($A411,'SegEnds_NonXtal_BW#'!$A:$Z,15,FALSE)+VLOOKUP($A411,A:AL,22,FALSE)-50),"-",VLOOKUP($A411,'SegEnds_NonXtal_BW#'!$A:$Z,15,FALSE)+VLOOKUP($A411,A:AL,22,FALSE)-50)</f>
        <v>124</v>
      </c>
      <c r="V411" s="3">
        <v>136</v>
      </c>
      <c r="W411" s="3">
        <f>IF(ISERROR(VLOOKUP($A411,'SegEnds_NonXtal_BW#'!$A:$Z,16,FALSE)+VLOOKUP($A411,A:AL,22,FALSE)-50),"-",(VLOOKUP($A411,'SegEnds_NonXtal_BW#'!$A:$Z,16,FALSE)+VLOOKUP($A411,A:AL,22,FALSE)-50))</f>
        <v>150</v>
      </c>
      <c r="X411" s="3" t="str">
        <f>IF(ISERROR(VLOOKUP($A411,'SegEnds_NonXtal_BW#'!$A:$Z,17,FALSE)+VLOOKUP($A411,A:AL,25,FALSE)-50),"-",(VLOOKUP($A411,'SegEnds_NonXtal_BW#'!$A:$Z,17,FALSE)+VLOOKUP($A411,A:AL,25,FALSE)-50))</f>
        <v>-</v>
      </c>
      <c r="Y411" s="3" t="s">
        <v>23</v>
      </c>
      <c r="Z411" s="3" t="str">
        <f>IF(ISERROR(VLOOKUP($A411,'SegEnds_NonXtal_BW#'!$A:$Z,18,FALSE)+VLOOKUP($A411,A:AL,25,FALSE)-50),"-",(VLOOKUP($A411,'SegEnds_NonXtal_BW#'!$A:$Z,18,FALSE)+VLOOKUP($A411,A:AL,25,FALSE)-50))</f>
        <v>-</v>
      </c>
      <c r="AA411" s="3">
        <f>IF(ISERROR(VLOOKUP($A411,'SegEnds_NonXtal_BW#'!$A:$Z,19,FALSE)+VLOOKUP($A411,A:AL,28,FALSE)-50),"-",(VLOOKUP($A411,'SegEnds_NonXtal_BW#'!$A:$Z,19,FALSE)+VLOOKUP($A411,A:AL,28,FALSE)-50))</f>
        <v>172</v>
      </c>
      <c r="AB411" s="3">
        <v>190</v>
      </c>
      <c r="AC411" s="3">
        <f>IF(ISERROR((VLOOKUP($A411,'SegEnds_NonXtal_BW#'!$A:$Z,20,FALSE)+VLOOKUP($A411,A:AL,28,FALSE)-50)),"-",(VLOOKUP($A411,'SegEnds_NonXtal_BW#'!$A:$Z,20,FALSE)+VLOOKUP($A411,A:AL,28,FALSE)-50))</f>
        <v>212</v>
      </c>
      <c r="AD411" s="3">
        <f>IF(ISERROR(VLOOKUP($A411,'SegEnds_NonXtal_BW#'!$A:$Z,21,FALSE)+VLOOKUP($A411,A:AL,31,FALSE)-50),"-",(VLOOKUP($A411,'SegEnds_NonXtal_BW#'!$A:$Z,21,FALSE)+VLOOKUP($A411,A:AL,31,FALSE)-50))</f>
        <v>222</v>
      </c>
      <c r="AE411" s="3">
        <v>243</v>
      </c>
      <c r="AF411" s="3">
        <f>IF(ISERROR((VLOOKUP($A411,'SegEnds_NonXtal_BW#'!$A:$Z,22,FALSE)+VLOOKUP($A411,A:AL,31,FALSE)-50)),"-",(VLOOKUP($A411,'SegEnds_NonXtal_BW#'!$A:$Z,22,FALSE)+VLOOKUP($A411,A:AL,31,FALSE)-50))</f>
        <v>254</v>
      </c>
      <c r="AG411" s="3">
        <f>IF(ISERROR(VLOOKUP($A411,'SegEnds_NonXtal_BW#'!$A:$Z,23,FALSE)+VLOOKUP($A411,A:AL,34,FALSE)-50),"-",(VLOOKUP($A411,'SegEnds_NonXtal_BW#'!$A:$Z,23,FALSE)+VLOOKUP($A411,A:AL,34,FALSE)-50))</f>
        <v>260</v>
      </c>
      <c r="AH411" s="3">
        <v>279</v>
      </c>
      <c r="AI411" s="3">
        <f>IF(ISERROR((VLOOKUP($A411,'SegEnds_NonXtal_BW#'!$A:$Z,24,FALSE)+VLOOKUP($A411,A:AL,34,FALSE)-50)),"-",(VLOOKUP($A411,'SegEnds_NonXtal_BW#'!$A:$Z,24,FALSE)+VLOOKUP($A411,A:AL,34,FALSE)-50))</f>
        <v>285</v>
      </c>
      <c r="AJ411" s="3">
        <f>IF(ISERROR(VLOOKUP($A411,'SegEnds_NonXtal_BW#'!$A:$Z,25,FALSE)+VLOOKUP($A411,A:AL,37,FALSE)-50),"-",(VLOOKUP($A411,'SegEnds_NonXtal_BW#'!$A:$Z,25,FALSE)+VLOOKUP($A411,A:AL,37,FALSE)-50))</f>
        <v>286</v>
      </c>
      <c r="AK411" s="3">
        <v>289</v>
      </c>
      <c r="AL411" s="3">
        <f>IF(ISERROR((VLOOKUP($A411,'SegEnds_NonXtal_BW#'!$A:$Z,26,FALSE)+VLOOKUP($A411,A:AL,37,FALSE)-50)),"-",(VLOOKUP($A411,'SegEnds_NonXtal_BW#'!$A:$Z,26,FALSE)+VLOOKUP($A411,A:AL,37,FALSE)-50))</f>
        <v>299</v>
      </c>
      <c r="AM411" s="28" t="str">
        <f>VLOOKUP(A411,Classification!A:B,2,FALSE)</f>
        <v>T</v>
      </c>
      <c r="AN411" s="28" t="b">
        <f t="shared" si="224"/>
        <v>1</v>
      </c>
      <c r="AO411" s="3" t="str">
        <f>IF(ISERROR(MATCH(A411,'SegEnds_Xtal_Prot#'!B:B, 0)), "NoXtal", "Xtal")</f>
        <v>NoXtal</v>
      </c>
      <c r="AP411" s="3">
        <f t="shared" si="209"/>
        <v>1</v>
      </c>
      <c r="AQ411" s="3">
        <f t="shared" si="210"/>
        <v>1</v>
      </c>
      <c r="AR411" s="3" t="str">
        <f t="shared" si="211"/>
        <v>-</v>
      </c>
      <c r="AS411" s="3" t="str">
        <f t="shared" si="212"/>
        <v>-</v>
      </c>
      <c r="AT411" s="3">
        <f t="shared" si="213"/>
        <v>3</v>
      </c>
      <c r="AU411" s="3">
        <f t="shared" si="214"/>
        <v>1</v>
      </c>
      <c r="AV411" s="3" t="str">
        <f t="shared" si="215"/>
        <v>-</v>
      </c>
      <c r="AW411" s="3" t="str">
        <f t="shared" si="216"/>
        <v>-</v>
      </c>
      <c r="AX411" s="3">
        <f t="shared" si="217"/>
        <v>10</v>
      </c>
      <c r="AY411" s="3">
        <f t="shared" si="218"/>
        <v>6</v>
      </c>
      <c r="AZ411" s="3">
        <f t="shared" si="219"/>
        <v>1</v>
      </c>
      <c r="BA411" s="3">
        <f>IF(ISERROR(LEN(VLOOKUP(A411,Seqs!A:E,2,FALSE))-AL411),"-",LEN(VLOOKUP(A411,Seqs!A:E,2,FALSE))-AL411)</f>
        <v>13</v>
      </c>
      <c r="BB411" s="16">
        <f t="shared" si="220"/>
        <v>31</v>
      </c>
      <c r="BC411" s="9">
        <f t="shared" si="221"/>
        <v>20</v>
      </c>
      <c r="BD411" s="3">
        <f t="shared" si="222"/>
        <v>31</v>
      </c>
      <c r="BE411" s="3">
        <f t="shared" si="223"/>
        <v>53</v>
      </c>
      <c r="BF411" s="3">
        <f t="shared" si="208"/>
        <v>36</v>
      </c>
    </row>
    <row r="412" spans="1:58" s="3" customFormat="1" x14ac:dyDescent="0.2">
      <c r="T412" s="100"/>
      <c r="U412" s="9"/>
      <c r="AM412" s="28"/>
      <c r="AN412" s="16"/>
      <c r="BB412" s="16"/>
      <c r="BC412" s="9"/>
    </row>
    <row r="413" spans="1:58" s="3" customFormat="1" x14ac:dyDescent="0.2">
      <c r="T413" s="100"/>
      <c r="U413" s="9"/>
      <c r="AM413" s="28"/>
      <c r="AN413" s="16"/>
      <c r="BB413" s="16"/>
      <c r="BC413" s="9"/>
    </row>
  </sheetData>
  <sortState ref="A2:BH409">
    <sortCondition ref="AM2:AM409"/>
    <sortCondition ref="BC2:BC409"/>
    <sortCondition ref="A2:A409"/>
  </sortState>
  <customSheetViews>
    <customSheetView guid="{3E3401AF-8459-8641-BD70-AD04F80E86ED}" scale="120">
      <pane ySplit="1" topLeftCell="A155" activePane="bottomLeft" state="frozenSplit"/>
      <selection pane="bottomLeft" activeCell="AB176" sqref="AB176"/>
      <pageMargins left="0.7" right="0.7" top="0.75" bottom="0.75" header="0.3" footer="0.3"/>
      <pageSetup paperSize="9" orientation="portrait" horizontalDpi="0" verticalDpi="0"/>
    </customSheetView>
  </customSheetViews>
  <conditionalFormatting sqref="AN2:AN411">
    <cfRule type="containsText" dxfId="24" priority="7" operator="containsText" text="FALSE">
      <formula>NOT(ISERROR(SEARCH("FALSE",AN2)))</formula>
    </cfRule>
  </conditionalFormatting>
  <conditionalFormatting sqref="AP1:BA1048576">
    <cfRule type="cellIs" dxfId="23" priority="5" operator="lessThan">
      <formula>1</formula>
    </cfRule>
  </conditionalFormatting>
  <conditionalFormatting sqref="E2:F411">
    <cfRule type="expression" dxfId="22" priority="25">
      <formula>NOT(OR(C2&lt;E2,C2="-",E2="-"))</formula>
    </cfRule>
  </conditionalFormatting>
  <conditionalFormatting sqref="K2:L2 K3 K4:L411">
    <cfRule type="expression" dxfId="21" priority="29">
      <formula>NOT(OR(G2&lt;K2,G2="-",K2="-"))</formula>
    </cfRule>
  </conditionalFormatting>
  <conditionalFormatting sqref="N2:O2 N4:N18 O3:O18 N19:O411">
    <cfRule type="expression" dxfId="20" priority="31">
      <formula>NOT(OR(I2&lt;N2,I2="-",N2="-"))</formula>
    </cfRule>
  </conditionalFormatting>
  <conditionalFormatting sqref="Q2:R411">
    <cfRule type="expression" dxfId="19" priority="33">
      <formula>NOT(OR(K2&lt;Q2,K2="-",Q2="-"))</formula>
    </cfRule>
  </conditionalFormatting>
  <conditionalFormatting sqref="T2:U411">
    <cfRule type="expression" dxfId="18" priority="35">
      <formula>NOT(OR(M2&lt;T2,M2="-",T2="-"))</formula>
    </cfRule>
  </conditionalFormatting>
  <conditionalFormatting sqref="W2:X411">
    <cfRule type="expression" dxfId="17" priority="37">
      <formula>NOT(OR(O2&lt;W2,O2="-",W2="-"))</formula>
    </cfRule>
  </conditionalFormatting>
  <conditionalFormatting sqref="Z2:AA411">
    <cfRule type="expression" dxfId="16" priority="39">
      <formula>NOT(OR(Q2&lt;Z2,Q2="-",Z2="-"))</formula>
    </cfRule>
  </conditionalFormatting>
  <conditionalFormatting sqref="AC2:AD411">
    <cfRule type="expression" dxfId="15" priority="41">
      <formula>NOT(OR(S2&lt;AC2,S2="-",AC2="-"))</formula>
    </cfRule>
  </conditionalFormatting>
  <conditionalFormatting sqref="AF2:AG411">
    <cfRule type="expression" dxfId="14" priority="43">
      <formula>NOT(OR(U2&lt;AF2,U2="-",AF2="-"))</formula>
    </cfRule>
  </conditionalFormatting>
  <conditionalFormatting sqref="AI2:AJ411">
    <cfRule type="expression" dxfId="13" priority="45">
      <formula>NOT(OR(W2&lt;AI2,W2="-",AI2="-"))</formula>
    </cfRule>
  </conditionalFormatting>
  <conditionalFormatting sqref="AL2:AL411">
    <cfRule type="expression" dxfId="12" priority="47">
      <formula>NOT(OR(Y2&lt;AL2,Y2="-",AL2="-"))</formula>
    </cfRule>
  </conditionalFormatting>
  <conditionalFormatting sqref="L3">
    <cfRule type="expression" dxfId="11" priority="3">
      <formula>NOT(OR(H3&lt;L3,H3="-",L3="-"))</formula>
    </cfRule>
  </conditionalFormatting>
  <conditionalFormatting sqref="N3">
    <cfRule type="expression" dxfId="10" priority="4">
      <formula>NOT(OR(I3&lt;N3,I3="-",N3="-"))</formula>
    </cfRule>
  </conditionalFormatting>
  <conditionalFormatting sqref="F2">
    <cfRule type="cellIs" dxfId="9" priority="2" operator="lessThan">
      <formula>$E$2</formula>
    </cfRule>
  </conditionalFormatting>
  <conditionalFormatting sqref="AN1:AN1048576">
    <cfRule type="cellIs" dxfId="8" priority="1" operator="equal">
      <formula>FALSE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H414"/>
  <sheetViews>
    <sheetView zoomScale="120" zoomScaleNormal="120" zoomScalePageLayoutView="120" workbookViewId="0">
      <pane ySplit="1" topLeftCell="A250" activePane="bottomLeft" state="frozenSplit"/>
      <selection pane="bottomLeft" activeCell="E268" sqref="E268"/>
    </sheetView>
  </sheetViews>
  <sheetFormatPr baseColWidth="10" defaultColWidth="10.83203125" defaultRowHeight="16" x14ac:dyDescent="0.2"/>
  <cols>
    <col min="1" max="1" width="13.33203125" style="4" bestFit="1" customWidth="1"/>
    <col min="2" max="2" width="12.83203125" style="4" bestFit="1" customWidth="1"/>
    <col min="3" max="3" width="3.1640625" style="4" bestFit="1" customWidth="1"/>
    <col min="4" max="4" width="7.33203125" style="4" customWidth="1"/>
    <col min="5" max="5" width="5" style="4" bestFit="1" customWidth="1"/>
    <col min="6" max="7" width="6" style="4" bestFit="1" customWidth="1"/>
    <col min="8" max="8" width="6" style="4" customWidth="1"/>
    <col min="9" max="9" width="7" style="4" bestFit="1" customWidth="1"/>
    <col min="10" max="10" width="6" style="4" bestFit="1" customWidth="1"/>
    <col min="11" max="14" width="5" style="4" bestFit="1" customWidth="1"/>
    <col min="15" max="15" width="6" style="4" bestFit="1" customWidth="1"/>
    <col min="16" max="17" width="6" style="4" customWidth="1"/>
    <col min="18" max="19" width="6" style="4" bestFit="1" customWidth="1"/>
    <col min="20" max="20" width="5" style="4" bestFit="1" customWidth="1"/>
    <col min="21" max="21" width="6" style="4" bestFit="1" customWidth="1"/>
    <col min="22" max="22" width="5" style="27" bestFit="1" customWidth="1"/>
    <col min="23" max="23" width="5" style="50" customWidth="1"/>
    <col min="24" max="25" width="5" style="50" bestFit="1" customWidth="1"/>
    <col min="26" max="26" width="4.1640625" style="50" customWidth="1"/>
    <col min="27" max="27" width="5" style="50" bestFit="1" customWidth="1"/>
    <col min="28" max="28" width="4.6640625" style="27" customWidth="1"/>
    <col min="29" max="31" width="4.6640625" style="50" customWidth="1"/>
    <col min="32" max="32" width="5" style="4" customWidth="1"/>
    <col min="33" max="33" width="4.6640625" style="5" customWidth="1"/>
    <col min="34" max="34" width="4.6640625" style="4" customWidth="1"/>
    <col min="35" max="16384" width="10.83203125" style="4"/>
  </cols>
  <sheetData>
    <row r="1" spans="1:34" s="30" customFormat="1" x14ac:dyDescent="0.2">
      <c r="A1" s="30" t="s">
        <v>31</v>
      </c>
      <c r="B1" s="54" t="s">
        <v>1204</v>
      </c>
      <c r="C1" s="30" t="s">
        <v>99</v>
      </c>
      <c r="D1" s="30" t="s">
        <v>1227</v>
      </c>
      <c r="E1" s="30" t="s">
        <v>1482</v>
      </c>
      <c r="F1" s="55" t="s">
        <v>13</v>
      </c>
      <c r="G1" s="20" t="s">
        <v>5</v>
      </c>
      <c r="H1" s="4" t="s">
        <v>1370</v>
      </c>
      <c r="I1" s="20" t="s">
        <v>21</v>
      </c>
      <c r="J1" s="53" t="s">
        <v>25</v>
      </c>
      <c r="K1" s="53" t="s">
        <v>26</v>
      </c>
      <c r="L1" s="20" t="s">
        <v>20</v>
      </c>
      <c r="M1" s="20" t="s">
        <v>18</v>
      </c>
      <c r="N1" s="20" t="s">
        <v>14</v>
      </c>
      <c r="O1" s="53" t="s">
        <v>1325</v>
      </c>
      <c r="P1" s="53" t="s">
        <v>1329</v>
      </c>
      <c r="Q1" s="53" t="s">
        <v>1373</v>
      </c>
      <c r="R1" s="20" t="s">
        <v>9</v>
      </c>
      <c r="S1" s="20" t="s">
        <v>1328</v>
      </c>
      <c r="T1" s="20" t="s">
        <v>12</v>
      </c>
      <c r="U1" s="20" t="s">
        <v>1330</v>
      </c>
      <c r="V1" s="26" t="s">
        <v>1315</v>
      </c>
      <c r="W1" s="30" t="s">
        <v>1316</v>
      </c>
      <c r="X1" s="30" t="s">
        <v>1317</v>
      </c>
      <c r="Y1" s="30" t="s">
        <v>1318</v>
      </c>
      <c r="Z1" s="30" t="s">
        <v>1319</v>
      </c>
      <c r="AA1" s="103" t="s">
        <v>1390</v>
      </c>
      <c r="AB1" s="26" t="s">
        <v>1320</v>
      </c>
      <c r="AC1" s="26" t="s">
        <v>1321</v>
      </c>
      <c r="AD1" s="26" t="s">
        <v>1322</v>
      </c>
      <c r="AE1" s="26" t="s">
        <v>1323</v>
      </c>
      <c r="AF1" s="30" t="s">
        <v>1324</v>
      </c>
      <c r="AG1" s="26" t="s">
        <v>1326</v>
      </c>
      <c r="AH1" s="30" t="s">
        <v>1327</v>
      </c>
    </row>
    <row r="2" spans="1:34" s="2" customFormat="1" x14ac:dyDescent="0.2">
      <c r="A2" s="2" t="s">
        <v>128</v>
      </c>
      <c r="B2" s="2" t="str">
        <f>LOWER(VLOOKUP(A2,Xtal_Templ!A:B,2,FALSE))</f>
        <v>5ht1b_human</v>
      </c>
      <c r="C2" s="2" t="str">
        <f>VLOOKUP(A2,Classification!A:D,2,FALSE)</f>
        <v>A</v>
      </c>
      <c r="D2" s="2" t="str">
        <f>IF(ISERROR(MATCH(A2,'SegEnds_Xtal_Prot#'!B:B, 0)), "NoXtal", "Xtal")</f>
        <v>NoXtal</v>
      </c>
      <c r="G2" s="2" t="s">
        <v>5</v>
      </c>
      <c r="H2" s="4"/>
      <c r="R2" s="2" t="s">
        <v>9</v>
      </c>
      <c r="T2" s="4" t="s">
        <v>12</v>
      </c>
      <c r="V2" s="28" t="str">
        <f>MID(VLOOKUP($A2,Seqs!$A:$B,2,FALSE),VLOOKUP($A2,'SegEnds_NonXtal_Prot#'!$A:$AL,10,FALSE),1)</f>
        <v>D</v>
      </c>
      <c r="W2" s="49" t="str">
        <f>MID(VLOOKUP($A2,Seqs!$A:$B,2,FALSE),VLOOKUP($A2,'SegEnds_NonXtal_Prot#'!$A:$AL,10,FALSE)+6,1)</f>
        <v>L</v>
      </c>
      <c r="X2" s="49" t="str">
        <f>MID(VLOOKUP($A2,Seqs!$A:$B,2,FALSE),VLOOKUP($A2,'SegEnds_NonXtal_Prot#'!$A:$AL,10,FALSE)+7,1)</f>
        <v>V</v>
      </c>
      <c r="Y2" s="49" t="str">
        <f>MID(VLOOKUP($A2,Seqs!$A:$B,2,FALSE),VLOOKUP($A2,'SegEnds_NonXtal_Prot#'!$A:$AL,10,FALSE)+8,1)</f>
        <v>L</v>
      </c>
      <c r="Z2" s="49" t="str">
        <f>MID(VLOOKUP($A2,Seqs!$A:$B,2,FALSE),VLOOKUP($A2,'SegEnds_NonXtal_Prot#'!A:AL,10,FALSE)+9,1)</f>
        <v>P</v>
      </c>
      <c r="AA2" s="49" t="str">
        <f>MID(VLOOKUP($A2,Seqs!$A:$B,2,FALSE),VLOOKUP($A2,'SegEnds_NonXtal_Prot#'!A:AL,10,FALSE)+10,1)</f>
        <v>M</v>
      </c>
      <c r="AB2" s="28" t="str">
        <f>MID(VLOOKUP($A2,Seqs!$A:$B,2,FALSE),VLOOKUP($A2,'SegEnds_NonXtal_Prot#'!$A:$AL,22,FALSE)+6,1)</f>
        <v>I</v>
      </c>
      <c r="AC2" s="49" t="str">
        <f>MID(VLOOKUP($A2,Seqs!$A:$B,2,FALSE),VLOOKUP($A2,'SegEnds_NonXtal_Prot#'!$A:$AL,22,FALSE)+7,1)</f>
        <v>S</v>
      </c>
      <c r="AD2" s="49" t="str">
        <f>MID(VLOOKUP($A2,Seqs!$A:$B,2,FALSE),VLOOKUP($A2,'SegEnds_NonXtal_Prot#'!$A:$AL,22,FALSE)+8,1)</f>
        <v>I</v>
      </c>
      <c r="AE2" s="49" t="str">
        <f>MID(VLOOKUP($A2,Seqs!$A:$B,2,FALSE),VLOOKUP($A2,'SegEnds_NonXtal_Prot#'!$A:$AL,22,FALSE)+9,1)</f>
        <v>P</v>
      </c>
      <c r="AF2" s="49" t="str">
        <f>MID(VLOOKUP($A2,Seqs!$A:$B,2,FALSE),VLOOKUP($A2,'SegEnds_NonXtal_Prot#'!$A:$AL,22,FALSE)+10,1)</f>
        <v>P</v>
      </c>
      <c r="AG2" s="28" t="str">
        <f>MID(VLOOKUP($A2,Seqs!$A:$B,2,FALSE),VLOOKUP($A2,'SegEnds_NonXtal_Prot#'!$A:$AL,28,FALSE)-4,1)</f>
        <v>A</v>
      </c>
      <c r="AH2" s="49" t="str">
        <f>MID(VLOOKUP($A2,Seqs!$A:$B,2,FALSE),VLOOKUP($A2,'SegEnds_NonXtal_Prot#'!$A:$AL,28,FALSE),1)</f>
        <v>P</v>
      </c>
    </row>
    <row r="3" spans="1:34" s="2" customFormat="1" x14ac:dyDescent="0.2">
      <c r="A3" s="2" t="s">
        <v>34</v>
      </c>
      <c r="B3" s="2" t="str">
        <f>LOWER(VLOOKUP(A3,Xtal_Templ!A:B,2,FALSE))</f>
        <v>5ht1b_human</v>
      </c>
      <c r="C3" s="2" t="str">
        <f>VLOOKUP(A3,Classification!A:D,2,FALSE)</f>
        <v>A</v>
      </c>
      <c r="D3" s="2" t="str">
        <f>IF(ISERROR(MATCH(A3,'SegEnds_Xtal_Prot#'!B:B, 0)), "NoXtal", "Xtal")</f>
        <v>Xtal</v>
      </c>
      <c r="G3" s="2" t="s">
        <v>5</v>
      </c>
      <c r="H3" s="4"/>
      <c r="R3" s="2" t="s">
        <v>9</v>
      </c>
      <c r="T3" s="4" t="s">
        <v>12</v>
      </c>
      <c r="V3" s="28" t="str">
        <f>MID(VLOOKUP($A3,Seqs!$A:$B,2,FALSE),VLOOKUP($A3,'SegEnds_NonXtal_Prot#'!A:AL,10,FALSE),1)</f>
        <v>D</v>
      </c>
      <c r="W3" s="49" t="str">
        <f>MID(VLOOKUP($A3,Seqs!$A:$B,2,FALSE),VLOOKUP($A3,'SegEnds_NonXtal_Prot#'!A:AL,10,FALSE)+6,1)</f>
        <v>L</v>
      </c>
      <c r="X3" s="49" t="str">
        <f>MID(VLOOKUP($A3,Seqs!$A:$B,2,FALSE),VLOOKUP($A3,'SegEnds_NonXtal_Prot#'!A:AL,10,FALSE)+7,1)</f>
        <v>V</v>
      </c>
      <c r="Y3" s="49" t="str">
        <f>MID(VLOOKUP($A3,Seqs!$A:$B,2,FALSE),VLOOKUP($A3,'SegEnds_NonXtal_Prot#'!A:AL,10,FALSE)+8,1)</f>
        <v>M</v>
      </c>
      <c r="Z3" s="49" t="str">
        <f>MID(VLOOKUP($A3,Seqs!$A:$B,2,FALSE),VLOOKUP($A3,'SegEnds_NonXtal_Prot#'!A:AL,10,FALSE)+9,1)</f>
        <v>P</v>
      </c>
      <c r="AA3" s="49" t="str">
        <f>MID(VLOOKUP($A3,Seqs!$A:$B,2,FALSE),VLOOKUP($A3,'SegEnds_NonXtal_Prot#'!A:AL,10,FALSE)+10,1)</f>
        <v>I</v>
      </c>
      <c r="AB3" s="28" t="str">
        <f>MID(VLOOKUP($A3,Seqs!$A:$B,2,FALSE),VLOOKUP($A3,'SegEnds_NonXtal_Prot#'!$A:$AL,22,FALSE)+6,1)</f>
        <v>I</v>
      </c>
      <c r="AC3" s="49" t="str">
        <f>MID(VLOOKUP($A3,Seqs!$A:$B,2,FALSE),VLOOKUP($A3,'SegEnds_NonXtal_Prot#'!$A:$AL,22,FALSE)+7,1)</f>
        <v>S</v>
      </c>
      <c r="AD3" s="49" t="str">
        <f>MID(VLOOKUP($A3,Seqs!$A:$B,2,FALSE),VLOOKUP($A3,'SegEnds_NonXtal_Prot#'!$A:$AL,22,FALSE)+8,1)</f>
        <v>L</v>
      </c>
      <c r="AE3" s="49" t="str">
        <f>MID(VLOOKUP($A3,Seqs!$A:$B,2,FALSE),VLOOKUP($A3,'SegEnds_NonXtal_Prot#'!$A:$AL,22,FALSE)+9,1)</f>
        <v>P</v>
      </c>
      <c r="AF3" s="49" t="str">
        <f>MID(VLOOKUP($A3,Seqs!$A:$B,2,FALSE),VLOOKUP($A3,'SegEnds_NonXtal_Prot#'!$A:$AL,22,FALSE)+10,1)</f>
        <v>P</v>
      </c>
      <c r="AG3" s="28" t="str">
        <f>MID(VLOOKUP($A3,Seqs!$A:$B,2,FALSE),VLOOKUP($A3,'SegEnds_NonXtal_Prot#'!$A:$AL,28,FALSE)-4,1)</f>
        <v>A</v>
      </c>
      <c r="AH3" s="49" t="str">
        <f>MID(VLOOKUP($A3,Seqs!$A:$B,2,FALSE),VLOOKUP($A3,'SegEnds_NonXtal_Prot#'!$A:$AL,28,FALSE),1)</f>
        <v>P</v>
      </c>
    </row>
    <row r="4" spans="1:34" s="2" customFormat="1" x14ac:dyDescent="0.2">
      <c r="A4" s="2" t="s">
        <v>129</v>
      </c>
      <c r="B4" s="2" t="str">
        <f>LOWER(VLOOKUP(A4,Xtal_Templ!A:B,2,FALSE))</f>
        <v>5ht1b_human</v>
      </c>
      <c r="C4" s="2" t="str">
        <f>VLOOKUP(A4,Classification!A:D,2,FALSE)</f>
        <v>A</v>
      </c>
      <c r="D4" s="2" t="str">
        <f>IF(ISERROR(MATCH(A4,'SegEnds_Xtal_Prot#'!B:B, 0)), "NoXtal", "Xtal")</f>
        <v>NoXtal</v>
      </c>
      <c r="G4" s="2" t="s">
        <v>5</v>
      </c>
      <c r="H4" s="4"/>
      <c r="R4" s="2" t="s">
        <v>9</v>
      </c>
      <c r="T4" s="4" t="s">
        <v>12</v>
      </c>
      <c r="V4" s="28" t="str">
        <f>MID(VLOOKUP($A4,Seqs!$A:$B,2,FALSE),VLOOKUP($A4,'SegEnds_NonXtal_Prot#'!A:AL,10,FALSE),1)</f>
        <v>D</v>
      </c>
      <c r="W4" s="49" t="str">
        <f>MID(VLOOKUP($A4,Seqs!$A:$B,2,FALSE),VLOOKUP($A4,'SegEnds_NonXtal_Prot#'!A:AL,10,FALSE)+6,1)</f>
        <v>L</v>
      </c>
      <c r="X4" s="49" t="str">
        <f>MID(VLOOKUP($A4,Seqs!$A:$B,2,FALSE),VLOOKUP($A4,'SegEnds_NonXtal_Prot#'!A:AL,10,FALSE)+7,1)</f>
        <v>V</v>
      </c>
      <c r="Y4" s="49" t="str">
        <f>MID(VLOOKUP($A4,Seqs!$A:$B,2,FALSE),VLOOKUP($A4,'SegEnds_NonXtal_Prot#'!A:AL,10,FALSE)+8,1)</f>
        <v>M</v>
      </c>
      <c r="Z4" s="49" t="str">
        <f>MID(VLOOKUP($A4,Seqs!$A:$B,2,FALSE),VLOOKUP($A4,'SegEnds_NonXtal_Prot#'!A:AL,10,FALSE)+9,1)</f>
        <v>P</v>
      </c>
      <c r="AA4" s="49" t="str">
        <f>MID(VLOOKUP($A4,Seqs!$A:$B,2,FALSE),VLOOKUP($A4,'SegEnds_NonXtal_Prot#'!A:AL,10,FALSE)+10,1)</f>
        <v>I</v>
      </c>
      <c r="AB4" s="28" t="str">
        <f>MID(VLOOKUP($A4,Seqs!$A:$B,2,FALSE),VLOOKUP($A4,'SegEnds_NonXtal_Prot#'!$A:$AL,22,FALSE)+6,1)</f>
        <v>I</v>
      </c>
      <c r="AC4" s="49" t="str">
        <f>MID(VLOOKUP($A4,Seqs!$A:$B,2,FALSE),VLOOKUP($A4,'SegEnds_NonXtal_Prot#'!$A:$AL,22,FALSE)+7,1)</f>
        <v>S</v>
      </c>
      <c r="AD4" s="49" t="str">
        <f>MID(VLOOKUP($A4,Seqs!$A:$B,2,FALSE),VLOOKUP($A4,'SegEnds_NonXtal_Prot#'!$A:$AL,22,FALSE)+8,1)</f>
        <v>I</v>
      </c>
      <c r="AE4" s="49" t="str">
        <f>MID(VLOOKUP($A4,Seqs!$A:$B,2,FALSE),VLOOKUP($A4,'SegEnds_NonXtal_Prot#'!$A:$AL,22,FALSE)+9,1)</f>
        <v>P</v>
      </c>
      <c r="AF4" s="49" t="str">
        <f>MID(VLOOKUP($A4,Seqs!$A:$B,2,FALSE),VLOOKUP($A4,'SegEnds_NonXtal_Prot#'!$A:$AL,22,FALSE)+10,1)</f>
        <v>P</v>
      </c>
      <c r="AG4" s="28" t="str">
        <f>MID(VLOOKUP($A4,Seqs!$A:$B,2,FALSE),VLOOKUP($A4,'SegEnds_NonXtal_Prot#'!$A:$AL,28,FALSE)-4,1)</f>
        <v>A</v>
      </c>
      <c r="AH4" s="49" t="str">
        <f>MID(VLOOKUP($A4,Seqs!$A:$B,2,FALSE),VLOOKUP($A4,'SegEnds_NonXtal_Prot#'!$A:$AL,28,FALSE),1)</f>
        <v>P</v>
      </c>
    </row>
    <row r="5" spans="1:34" s="2" customFormat="1" x14ac:dyDescent="0.2">
      <c r="A5" s="2" t="s">
        <v>130</v>
      </c>
      <c r="B5" s="2" t="str">
        <f>LOWER(VLOOKUP(A5,Xtal_Templ!A:B,2,FALSE))</f>
        <v>5ht1b_human</v>
      </c>
      <c r="C5" s="2" t="str">
        <f>VLOOKUP(A5,Classification!A:D,2,FALSE)</f>
        <v>A</v>
      </c>
      <c r="D5" s="2" t="str">
        <f>IF(ISERROR(MATCH(A5,'SegEnds_Xtal_Prot#'!B:B, 0)), "NoXtal", "Xtal")</f>
        <v>NoXtal</v>
      </c>
      <c r="G5" s="2" t="s">
        <v>5</v>
      </c>
      <c r="H5" s="4"/>
      <c r="R5" s="2" t="s">
        <v>9</v>
      </c>
      <c r="T5" s="4" t="s">
        <v>12</v>
      </c>
      <c r="V5" s="28" t="str">
        <f>MID(VLOOKUP($A5,Seqs!$A:$B,2,FALSE),VLOOKUP($A5,'SegEnds_NonXtal_Prot#'!A:AL,10,FALSE),1)</f>
        <v>D</v>
      </c>
      <c r="W5" s="49" t="str">
        <f>MID(VLOOKUP($A5,Seqs!$A:$B,2,FALSE),VLOOKUP($A5,'SegEnds_NonXtal_Prot#'!A:AL,10,FALSE)+6,1)</f>
        <v>L</v>
      </c>
      <c r="X5" s="49" t="str">
        <f>MID(VLOOKUP($A5,Seqs!$A:$B,2,FALSE),VLOOKUP($A5,'SegEnds_NonXtal_Prot#'!A:AL,10,FALSE)+7,1)</f>
        <v>V</v>
      </c>
      <c r="Y5" s="49" t="str">
        <f>MID(VLOOKUP($A5,Seqs!$A:$B,2,FALSE),VLOOKUP($A5,'SegEnds_NonXtal_Prot#'!A:AL,10,FALSE)+8,1)</f>
        <v>M</v>
      </c>
      <c r="Z5" s="49" t="str">
        <f>MID(VLOOKUP($A5,Seqs!$A:$B,2,FALSE),VLOOKUP($A5,'SegEnds_NonXtal_Prot#'!A:AL,10,FALSE)+9,1)</f>
        <v>P</v>
      </c>
      <c r="AA5" s="49" t="str">
        <f>MID(VLOOKUP($A5,Seqs!$A:$B,2,FALSE),VLOOKUP($A5,'SegEnds_NonXtal_Prot#'!A:AL,10,FALSE)+10,1)</f>
        <v>L</v>
      </c>
      <c r="AB5" s="28" t="str">
        <f>MID(VLOOKUP($A5,Seqs!$A:$B,2,FALSE),VLOOKUP($A5,'SegEnds_NonXtal_Prot#'!$A:$AL,22,FALSE)+6,1)</f>
        <v>I</v>
      </c>
      <c r="AC5" s="49" t="str">
        <f>MID(VLOOKUP($A5,Seqs!$A:$B,2,FALSE),VLOOKUP($A5,'SegEnds_NonXtal_Prot#'!$A:$AL,22,FALSE)+7,1)</f>
        <v>S</v>
      </c>
      <c r="AD5" s="49" t="str">
        <f>MID(VLOOKUP($A5,Seqs!$A:$B,2,FALSE),VLOOKUP($A5,'SegEnds_NonXtal_Prot#'!$A:$AL,22,FALSE)+8,1)</f>
        <v>M</v>
      </c>
      <c r="AE5" s="49" t="str">
        <f>MID(VLOOKUP($A5,Seqs!$A:$B,2,FALSE),VLOOKUP($A5,'SegEnds_NonXtal_Prot#'!$A:$AL,22,FALSE)+9,1)</f>
        <v>P</v>
      </c>
      <c r="AF5" s="49" t="str">
        <f>MID(VLOOKUP($A5,Seqs!$A:$B,2,FALSE),VLOOKUP($A5,'SegEnds_NonXtal_Prot#'!$A:$AL,22,FALSE)+10,1)</f>
        <v>P</v>
      </c>
      <c r="AG5" s="28" t="str">
        <f>MID(VLOOKUP($A5,Seqs!$A:$B,2,FALSE),VLOOKUP($A5,'SegEnds_NonXtal_Prot#'!$A:$AL,28,FALSE)-4,1)</f>
        <v>A</v>
      </c>
      <c r="AH5" s="49" t="str">
        <f>MID(VLOOKUP($A5,Seqs!$A:$B,2,FALSE),VLOOKUP($A5,'SegEnds_NonXtal_Prot#'!$A:$AL,28,FALSE),1)</f>
        <v>P</v>
      </c>
    </row>
    <row r="6" spans="1:34" s="2" customFormat="1" x14ac:dyDescent="0.2">
      <c r="A6" s="2" t="s">
        <v>131</v>
      </c>
      <c r="B6" s="2" t="str">
        <f>LOWER(VLOOKUP(A6,Xtal_Templ!A:B,2,FALSE))</f>
        <v>5ht1b_human</v>
      </c>
      <c r="C6" s="2" t="str">
        <f>VLOOKUP(A6,Classification!A:D,2,FALSE)</f>
        <v>A</v>
      </c>
      <c r="D6" s="2" t="str">
        <f>IF(ISERROR(MATCH(A6,'SegEnds_Xtal_Prot#'!B:B, 0)), "NoXtal", "Xtal")</f>
        <v>NoXtal</v>
      </c>
      <c r="G6" s="2" t="s">
        <v>5</v>
      </c>
      <c r="H6" s="4"/>
      <c r="R6" s="2" t="s">
        <v>9</v>
      </c>
      <c r="T6" s="4" t="s">
        <v>12</v>
      </c>
      <c r="V6" s="28" t="str">
        <f>MID(VLOOKUP($A6,Seqs!$A:$B,2,FALSE),VLOOKUP($A6,'SegEnds_NonXtal_Prot#'!A:AL,10,FALSE),1)</f>
        <v>D</v>
      </c>
      <c r="W6" s="49" t="str">
        <f>MID(VLOOKUP($A6,Seqs!$A:$B,2,FALSE),VLOOKUP($A6,'SegEnds_NonXtal_Prot#'!A:AL,10,FALSE)+6,1)</f>
        <v>L</v>
      </c>
      <c r="X6" s="49" t="str">
        <f>MID(VLOOKUP($A6,Seqs!$A:$B,2,FALSE),VLOOKUP($A6,'SegEnds_NonXtal_Prot#'!A:AL,10,FALSE)+7,1)</f>
        <v>V</v>
      </c>
      <c r="Y6" s="49" t="str">
        <f>MID(VLOOKUP($A6,Seqs!$A:$B,2,FALSE),VLOOKUP($A6,'SegEnds_NonXtal_Prot#'!A:AL,10,FALSE)+8,1)</f>
        <v>M</v>
      </c>
      <c r="Z6" s="49" t="str">
        <f>MID(VLOOKUP($A6,Seqs!$A:$B,2,FALSE),VLOOKUP($A6,'SegEnds_NonXtal_Prot#'!A:AL,10,FALSE)+9,1)</f>
        <v>P</v>
      </c>
      <c r="AA6" s="49" t="str">
        <f>MID(VLOOKUP($A6,Seqs!$A:$B,2,FALSE),VLOOKUP($A6,'SegEnds_NonXtal_Prot#'!A:AL,10,FALSE)+10,1)</f>
        <v>F</v>
      </c>
      <c r="AB6" s="28" t="str">
        <f>MID(VLOOKUP($A6,Seqs!$A:$B,2,FALSE),VLOOKUP($A6,'SegEnds_NonXtal_Prot#'!$A:$AL,22,FALSE)+6,1)</f>
        <v>I</v>
      </c>
      <c r="AC6" s="49" t="str">
        <f>MID(VLOOKUP($A6,Seqs!$A:$B,2,FALSE),VLOOKUP($A6,'SegEnds_NonXtal_Prot#'!$A:$AL,22,FALSE)+7,1)</f>
        <v>S</v>
      </c>
      <c r="AD6" s="49" t="str">
        <f>MID(VLOOKUP($A6,Seqs!$A:$B,2,FALSE),VLOOKUP($A6,'SegEnds_NonXtal_Prot#'!$A:$AL,22,FALSE)+8,1)</f>
        <v>M</v>
      </c>
      <c r="AE6" s="49" t="str">
        <f>MID(VLOOKUP($A6,Seqs!$A:$B,2,FALSE),VLOOKUP($A6,'SegEnds_NonXtal_Prot#'!$A:$AL,22,FALSE)+9,1)</f>
        <v>P</v>
      </c>
      <c r="AF6" s="49" t="str">
        <f>MID(VLOOKUP($A6,Seqs!$A:$B,2,FALSE),VLOOKUP($A6,'SegEnds_NonXtal_Prot#'!$A:$AL,22,FALSE)+10,1)</f>
        <v>P</v>
      </c>
      <c r="AG6" s="28" t="str">
        <f>MID(VLOOKUP($A6,Seqs!$A:$B,2,FALSE),VLOOKUP($A6,'SegEnds_NonXtal_Prot#'!$A:$AL,28,FALSE)-4,1)</f>
        <v>A</v>
      </c>
      <c r="AH6" s="49" t="str">
        <f>MID(VLOOKUP($A6,Seqs!$A:$B,2,FALSE),VLOOKUP($A6,'SegEnds_NonXtal_Prot#'!$A:$AL,28,FALSE),1)</f>
        <v>P</v>
      </c>
    </row>
    <row r="7" spans="1:34" s="2" customFormat="1" x14ac:dyDescent="0.2">
      <c r="A7" s="2" t="s">
        <v>135</v>
      </c>
      <c r="B7" s="2" t="str">
        <f>LOWER(VLOOKUP(A7,Xtal_Templ!A:B,2,FALSE))</f>
        <v>5ht1b_human</v>
      </c>
      <c r="C7" s="2" t="str">
        <f>VLOOKUP(A7,Classification!A:D,2,FALSE)</f>
        <v>A</v>
      </c>
      <c r="D7" s="2" t="str">
        <f>IF(ISERROR(MATCH(A7,'SegEnds_Xtal_Prot#'!B:B, 0)), "NoXtal", "Xtal")</f>
        <v>NoXtal</v>
      </c>
      <c r="G7" s="2" t="s">
        <v>5</v>
      </c>
      <c r="H7" s="4"/>
      <c r="R7" s="2" t="s">
        <v>9</v>
      </c>
      <c r="T7" s="4" t="s">
        <v>12</v>
      </c>
      <c r="V7" s="28" t="str">
        <f>MID(VLOOKUP($A7,Seqs!$A:$B,2,FALSE),VLOOKUP($A7,'SegEnds_NonXtal_Prot#'!A:AL,10,FALSE),1)</f>
        <v>D</v>
      </c>
      <c r="W7" s="49" t="str">
        <f>MID(VLOOKUP($A7,Seqs!$A:$B,2,FALSE),VLOOKUP($A7,'SegEnds_NonXtal_Prot#'!A:AL,10,FALSE)+6,1)</f>
        <v>L</v>
      </c>
      <c r="X7" s="49" t="str">
        <f>MID(VLOOKUP($A7,Seqs!$A:$B,2,FALSE),VLOOKUP($A7,'SegEnds_NonXtal_Prot#'!A:AL,10,FALSE)+7,1)</f>
        <v>V</v>
      </c>
      <c r="Y7" s="49" t="str">
        <f>MID(VLOOKUP($A7,Seqs!$A:$B,2,FALSE),VLOOKUP($A7,'SegEnds_NonXtal_Prot#'!A:AL,10,FALSE)+8,1)</f>
        <v>M</v>
      </c>
      <c r="Z7" s="49" t="str">
        <f>MID(VLOOKUP($A7,Seqs!$A:$B,2,FALSE),VLOOKUP($A7,'SegEnds_NonXtal_Prot#'!A:AL,10,FALSE)+9,1)</f>
        <v>P</v>
      </c>
      <c r="AA7" s="49" t="str">
        <f>MID(VLOOKUP($A7,Seqs!$A:$B,2,FALSE),VLOOKUP($A7,'SegEnds_NonXtal_Prot#'!A:AL,10,FALSE)+10,1)</f>
        <v>L</v>
      </c>
      <c r="AB7" s="28" t="str">
        <f>MID(VLOOKUP($A7,Seqs!$A:$B,2,FALSE),VLOOKUP($A7,'SegEnds_NonXtal_Prot#'!$A:$AL,22,FALSE)+6,1)</f>
        <v>I</v>
      </c>
      <c r="AC7" s="49" t="str">
        <f>MID(VLOOKUP($A7,Seqs!$A:$B,2,FALSE),VLOOKUP($A7,'SegEnds_NonXtal_Prot#'!$A:$AL,22,FALSE)+7,1)</f>
        <v>S</v>
      </c>
      <c r="AD7" s="49" t="str">
        <f>MID(VLOOKUP($A7,Seqs!$A:$B,2,FALSE),VLOOKUP($A7,'SegEnds_NonXtal_Prot#'!$A:$AL,22,FALSE)+8,1)</f>
        <v>L</v>
      </c>
      <c r="AE7" s="49" t="str">
        <f>MID(VLOOKUP($A7,Seqs!$A:$B,2,FALSE),VLOOKUP($A7,'SegEnds_NonXtal_Prot#'!$A:$AL,22,FALSE)+9,1)</f>
        <v>A</v>
      </c>
      <c r="AF7" s="49" t="str">
        <f>MID(VLOOKUP($A7,Seqs!$A:$B,2,FALSE),VLOOKUP($A7,'SegEnds_NonXtal_Prot#'!$A:$AL,22,FALSE)+10,1)</f>
        <v>P</v>
      </c>
      <c r="AG7" s="28" t="str">
        <f>MID(VLOOKUP($A7,Seqs!$A:$B,2,FALSE),VLOOKUP($A7,'SegEnds_NonXtal_Prot#'!$A:$AL,28,FALSE)-4,1)</f>
        <v>A</v>
      </c>
      <c r="AH7" s="49" t="str">
        <f>MID(VLOOKUP($A7,Seqs!$A:$B,2,FALSE),VLOOKUP($A7,'SegEnds_NonXtal_Prot#'!$A:$AL,28,FALSE),1)</f>
        <v>P</v>
      </c>
    </row>
    <row r="8" spans="1:34" s="2" customFormat="1" x14ac:dyDescent="0.2">
      <c r="A8" s="2" t="s">
        <v>137</v>
      </c>
      <c r="B8" s="2" t="str">
        <f>LOWER(VLOOKUP(A8,Xtal_Templ!A:B,2,FALSE))</f>
        <v>5ht1b_human</v>
      </c>
      <c r="C8" s="2" t="str">
        <f>VLOOKUP(A8,Classification!A:D,2,FALSE)</f>
        <v>A</v>
      </c>
      <c r="D8" s="2" t="str">
        <f>IF(ISERROR(MATCH(A8,'SegEnds_Xtal_Prot#'!B:B, 0)), "NoXtal", "Xtal")</f>
        <v>NoXtal</v>
      </c>
      <c r="G8" s="2" t="s">
        <v>5</v>
      </c>
      <c r="H8" s="4"/>
      <c r="R8" s="2" t="s">
        <v>9</v>
      </c>
      <c r="T8" s="4" t="s">
        <v>12</v>
      </c>
      <c r="V8" s="28" t="str">
        <f>MID(VLOOKUP($A8,Seqs!$A:$B,2,FALSE),VLOOKUP($A8,'SegEnds_NonXtal_Prot#'!A:AL,10,FALSE),1)</f>
        <v>D</v>
      </c>
      <c r="W8" s="49" t="str">
        <f>MID(VLOOKUP($A8,Seqs!$A:$B,2,FALSE),VLOOKUP($A8,'SegEnds_NonXtal_Prot#'!A:AL,10,FALSE)+6,1)</f>
        <v>A</v>
      </c>
      <c r="X8" s="49" t="str">
        <f>MID(VLOOKUP($A8,Seqs!$A:$B,2,FALSE),VLOOKUP($A8,'SegEnds_NonXtal_Prot#'!A:AL,10,FALSE)+7,1)</f>
        <v>V</v>
      </c>
      <c r="Y8" s="49" t="str">
        <f>MID(VLOOKUP($A8,Seqs!$A:$B,2,FALSE),VLOOKUP($A8,'SegEnds_NonXtal_Prot#'!A:AL,10,FALSE)+8,1)</f>
        <v>M</v>
      </c>
      <c r="Z8" s="49" t="str">
        <f>MID(VLOOKUP($A8,Seqs!$A:$B,2,FALSE),VLOOKUP($A8,'SegEnds_NonXtal_Prot#'!A:AL,10,FALSE)+9,1)</f>
        <v>P</v>
      </c>
      <c r="AA8" s="49" t="str">
        <f>MID(VLOOKUP($A8,Seqs!$A:$B,2,FALSE),VLOOKUP($A8,'SegEnds_NonXtal_Prot#'!A:AL,10,FALSE)+10,1)</f>
        <v>F</v>
      </c>
      <c r="AB8" s="28" t="str">
        <f>MID(VLOOKUP($A8,Seqs!$A:$B,2,FALSE),VLOOKUP($A8,'SegEnds_NonXtal_Prot#'!$A:$AL,22,FALSE)+6,1)</f>
        <v>I</v>
      </c>
      <c r="AC8" s="49" t="str">
        <f>MID(VLOOKUP($A8,Seqs!$A:$B,2,FALSE),VLOOKUP($A8,'SegEnds_NonXtal_Prot#'!$A:$AL,22,FALSE)+7,1)</f>
        <v>T</v>
      </c>
      <c r="AD8" s="49" t="str">
        <f>MID(VLOOKUP($A8,Seqs!$A:$B,2,FALSE),VLOOKUP($A8,'SegEnds_NonXtal_Prot#'!$A:$AL,22,FALSE)+8,1)</f>
        <v>L</v>
      </c>
      <c r="AE8" s="49" t="str">
        <f>MID(VLOOKUP($A8,Seqs!$A:$B,2,FALSE),VLOOKUP($A8,'SegEnds_NonXtal_Prot#'!$A:$AL,22,FALSE)+9,1)</f>
        <v>P</v>
      </c>
      <c r="AF8" s="49" t="str">
        <f>MID(VLOOKUP($A8,Seqs!$A:$B,2,FALSE),VLOOKUP($A8,'SegEnds_NonXtal_Prot#'!$A:$AL,22,FALSE)+10,1)</f>
        <v>P</v>
      </c>
      <c r="AG8" s="28" t="str">
        <f>MID(VLOOKUP($A8,Seqs!$A:$B,2,FALSE),VLOOKUP($A8,'SegEnds_NonXtal_Prot#'!$A:$AL,28,FALSE)-4,1)</f>
        <v>A</v>
      </c>
      <c r="AH8" s="49" t="str">
        <f>MID(VLOOKUP($A8,Seqs!$A:$B,2,FALSE),VLOOKUP($A8,'SegEnds_NonXtal_Prot#'!$A:$AL,28,FALSE),1)</f>
        <v>P</v>
      </c>
    </row>
    <row r="9" spans="1:34" s="2" customFormat="1" x14ac:dyDescent="0.2">
      <c r="A9" s="2" t="s">
        <v>152</v>
      </c>
      <c r="B9" s="2" t="str">
        <f>LOWER(VLOOKUP(A9,Xtal_Templ!A:B,2,FALSE))</f>
        <v>drd2_human</v>
      </c>
      <c r="C9" s="2" t="str">
        <f>VLOOKUP(A9,Classification!A:D,2,FALSE)</f>
        <v>A</v>
      </c>
      <c r="D9" s="2" t="str">
        <f>IF(ISERROR(MATCH(A9,'SegEnds_Xtal_Prot#'!B:B, 0)), "NoXtal", "Xtal")</f>
        <v>NoXtal</v>
      </c>
      <c r="G9" s="2" t="s">
        <v>5</v>
      </c>
      <c r="H9" s="4"/>
      <c r="R9" s="2" t="s">
        <v>9</v>
      </c>
      <c r="T9" s="4" t="s">
        <v>12</v>
      </c>
      <c r="V9" s="28" t="str">
        <f>MID(VLOOKUP($A9,Seqs!$A:$B,2,FALSE),VLOOKUP($A9,'SegEnds_NonXtal_Prot#'!A:AL,10,FALSE),1)</f>
        <v>D</v>
      </c>
      <c r="W9" s="49" t="str">
        <f>MID(VLOOKUP($A9,Seqs!$A:$B,2,FALSE),VLOOKUP($A9,'SegEnds_NonXtal_Prot#'!A:AL,10,FALSE)+6,1)</f>
        <v>T</v>
      </c>
      <c r="X9" s="49" t="str">
        <f>MID(VLOOKUP($A9,Seqs!$A:$B,2,FALSE),VLOOKUP($A9,'SegEnds_NonXtal_Prot#'!A:AL,10,FALSE)+7,1)</f>
        <v>V</v>
      </c>
      <c r="Y9" s="49" t="str">
        <f>MID(VLOOKUP($A9,Seqs!$A:$B,2,FALSE),VLOOKUP($A9,'SegEnds_NonXtal_Prot#'!A:AL,10,FALSE)+8,1)</f>
        <v>L</v>
      </c>
      <c r="Z9" s="49" t="str">
        <f>MID(VLOOKUP($A9,Seqs!$A:$B,2,FALSE),VLOOKUP($A9,'SegEnds_NonXtal_Prot#'!A:AL,10,FALSE)+9,1)</f>
        <v>P</v>
      </c>
      <c r="AA9" s="49" t="str">
        <f>MID(VLOOKUP($A9,Seqs!$A:$B,2,FALSE),VLOOKUP($A9,'SegEnds_NonXtal_Prot#'!A:AL,10,FALSE)+10,1)</f>
        <v>F</v>
      </c>
      <c r="AB9" s="28" t="str">
        <f>MID(VLOOKUP($A9,Seqs!$A:$B,2,FALSE),VLOOKUP($A9,'SegEnds_NonXtal_Prot#'!$A:$AL,22,FALSE)+6,1)</f>
        <v>I</v>
      </c>
      <c r="AC9" s="49" t="str">
        <f>MID(VLOOKUP($A9,Seqs!$A:$B,2,FALSE),VLOOKUP($A9,'SegEnds_NonXtal_Prot#'!$A:$AL,22,FALSE)+7,1)</f>
        <v>S</v>
      </c>
      <c r="AD9" s="49" t="str">
        <f>MID(VLOOKUP($A9,Seqs!$A:$B,2,FALSE),VLOOKUP($A9,'SegEnds_NonXtal_Prot#'!$A:$AL,22,FALSE)+8,1)</f>
        <v>I</v>
      </c>
      <c r="AE9" s="49" t="str">
        <f>MID(VLOOKUP($A9,Seqs!$A:$B,2,FALSE),VLOOKUP($A9,'SegEnds_NonXtal_Prot#'!$A:$AL,22,FALSE)+9,1)</f>
        <v>G</v>
      </c>
      <c r="AF9" s="49" t="str">
        <f>MID(VLOOKUP($A9,Seqs!$A:$B,2,FALSE),VLOOKUP($A9,'SegEnds_NonXtal_Prot#'!$A:$AL,22,FALSE)+10,1)</f>
        <v>P</v>
      </c>
      <c r="AG9" s="28" t="str">
        <f>MID(VLOOKUP($A9,Seqs!$A:$B,2,FALSE),VLOOKUP($A9,'SegEnds_NonXtal_Prot#'!$A:$AL,28,FALSE)-4,1)</f>
        <v>S</v>
      </c>
      <c r="AH9" s="49" t="str">
        <f>MID(VLOOKUP($A9,Seqs!$A:$B,2,FALSE),VLOOKUP($A9,'SegEnds_NonXtal_Prot#'!$A:$AL,28,FALSE),1)</f>
        <v>P</v>
      </c>
    </row>
    <row r="10" spans="1:34" s="2" customFormat="1" x14ac:dyDescent="0.2">
      <c r="A10" s="2" t="s">
        <v>155</v>
      </c>
      <c r="B10" s="2" t="str">
        <f>LOWER(VLOOKUP(A10,Xtal_Templ!A:B,2,FALSE))</f>
        <v>drd2_human</v>
      </c>
      <c r="C10" s="2" t="str">
        <f>VLOOKUP(A10,Classification!A:D,2,FALSE)</f>
        <v>A</v>
      </c>
      <c r="D10" s="2" t="str">
        <f>IF(ISERROR(MATCH(A10,'SegEnds_Xtal_Prot#'!B:B, 0)), "NoXtal", "Xtal")</f>
        <v>NoXtal</v>
      </c>
      <c r="G10" s="2" t="s">
        <v>5</v>
      </c>
      <c r="H10" s="4"/>
      <c r="R10" s="2" t="s">
        <v>9</v>
      </c>
      <c r="T10" s="4" t="s">
        <v>12</v>
      </c>
      <c r="V10" s="28" t="str">
        <f>MID(VLOOKUP($A10,Seqs!$A:$B,2,FALSE),VLOOKUP($A10,'SegEnds_NonXtal_Prot#'!A:AL,10,FALSE),1)</f>
        <v>D</v>
      </c>
      <c r="W10" s="49" t="str">
        <f>MID(VLOOKUP($A10,Seqs!$A:$B,2,FALSE),VLOOKUP($A10,'SegEnds_NonXtal_Prot#'!A:AL,10,FALSE)+6,1)</f>
        <v>L</v>
      </c>
      <c r="X10" s="49" t="str">
        <f>MID(VLOOKUP($A10,Seqs!$A:$B,2,FALSE),VLOOKUP($A10,'SegEnds_NonXtal_Prot#'!A:AL,10,FALSE)+7,1)</f>
        <v>V</v>
      </c>
      <c r="Y10" s="49" t="str">
        <f>MID(VLOOKUP($A10,Seqs!$A:$B,2,FALSE),VLOOKUP($A10,'SegEnds_NonXtal_Prot#'!A:AL,10,FALSE)+8,1)</f>
        <v>I</v>
      </c>
      <c r="Z10" s="49" t="str">
        <f>MID(VLOOKUP($A10,Seqs!$A:$B,2,FALSE),VLOOKUP($A10,'SegEnds_NonXtal_Prot#'!A:AL,10,FALSE)+9,1)</f>
        <v>P</v>
      </c>
      <c r="AA10" s="49" t="str">
        <f>MID(VLOOKUP($A10,Seqs!$A:$B,2,FALSE),VLOOKUP($A10,'SegEnds_NonXtal_Prot#'!A:AL,10,FALSE)+10,1)</f>
        <v>F</v>
      </c>
      <c r="AB10" s="28" t="str">
        <f>MID(VLOOKUP($A10,Seqs!$A:$B,2,FALSE),VLOOKUP($A10,'SegEnds_NonXtal_Prot#'!$A:$AL,22,FALSE)+6,1)</f>
        <v>I</v>
      </c>
      <c r="AC10" s="49" t="str">
        <f>MID(VLOOKUP($A10,Seqs!$A:$B,2,FALSE),VLOOKUP($A10,'SegEnds_NonXtal_Prot#'!$A:$AL,22,FALSE)+7,1)</f>
        <v>S</v>
      </c>
      <c r="AD10" s="49" t="str">
        <f>MID(VLOOKUP($A10,Seqs!$A:$B,2,FALSE),VLOOKUP($A10,'SegEnds_NonXtal_Prot#'!$A:$AL,22,FALSE)+8,1)</f>
        <v>F</v>
      </c>
      <c r="AE10" s="49" t="str">
        <f>MID(VLOOKUP($A10,Seqs!$A:$B,2,FALSE),VLOOKUP($A10,'SegEnds_NonXtal_Prot#'!$A:$AL,22,FALSE)+9,1)</f>
        <v>P</v>
      </c>
      <c r="AF10" s="49" t="str">
        <f>MID(VLOOKUP($A10,Seqs!$A:$B,2,FALSE),VLOOKUP($A10,'SegEnds_NonXtal_Prot#'!$A:$AL,22,FALSE)+10,1)</f>
        <v>P</v>
      </c>
      <c r="AG10" s="28" t="str">
        <f>MID(VLOOKUP($A10,Seqs!$A:$B,2,FALSE),VLOOKUP($A10,'SegEnds_NonXtal_Prot#'!$A:$AL,28,FALSE)-4,1)</f>
        <v>S</v>
      </c>
      <c r="AH10" s="49" t="str">
        <f>MID(VLOOKUP($A10,Seqs!$A:$B,2,FALSE),VLOOKUP($A10,'SegEnds_NonXtal_Prot#'!$A:$AL,28,FALSE),1)</f>
        <v>P</v>
      </c>
    </row>
    <row r="11" spans="1:34" s="2" customFormat="1" x14ac:dyDescent="0.2">
      <c r="A11" s="2" t="s">
        <v>157</v>
      </c>
      <c r="B11" s="2" t="str">
        <f>LOWER(VLOOKUP(A11,Xtal_Templ!A:B,2,FALSE))</f>
        <v>drd2_human</v>
      </c>
      <c r="C11" s="2" t="str">
        <f>VLOOKUP(A11,Classification!A:D,2,FALSE)</f>
        <v>A</v>
      </c>
      <c r="D11" s="2" t="str">
        <f>IF(ISERROR(MATCH(A11,'SegEnds_Xtal_Prot#'!B:B, 0)), "NoXtal", "Xtal")</f>
        <v>NoXtal</v>
      </c>
      <c r="G11" s="2" t="s">
        <v>5</v>
      </c>
      <c r="H11" s="4"/>
      <c r="R11" s="2" t="s">
        <v>9</v>
      </c>
      <c r="T11" s="4" t="s">
        <v>12</v>
      </c>
      <c r="V11" s="28" t="str">
        <f>MID(VLOOKUP($A11,Seqs!$A:$B,2,FALSE),VLOOKUP($A11,'SegEnds_NonXtal_Prot#'!A:AL,10,FALSE),1)</f>
        <v>D</v>
      </c>
      <c r="W11" s="49" t="str">
        <f>MID(VLOOKUP($A11,Seqs!$A:$B,2,FALSE),VLOOKUP($A11,'SegEnds_NonXtal_Prot#'!A:AL,10,FALSE)+6,1)</f>
        <v>L</v>
      </c>
      <c r="X11" s="49" t="str">
        <f>MID(VLOOKUP($A11,Seqs!$A:$B,2,FALSE),VLOOKUP($A11,'SegEnds_NonXtal_Prot#'!A:AL,10,FALSE)+7,1)</f>
        <v>V</v>
      </c>
      <c r="Y11" s="49" t="str">
        <f>MID(VLOOKUP($A11,Seqs!$A:$B,2,FALSE),VLOOKUP($A11,'SegEnds_NonXtal_Prot#'!A:AL,10,FALSE)+8,1)</f>
        <v>M</v>
      </c>
      <c r="Z11" s="49" t="str">
        <f>MID(VLOOKUP($A11,Seqs!$A:$B,2,FALSE),VLOOKUP($A11,'SegEnds_NonXtal_Prot#'!A:AL,10,FALSE)+9,1)</f>
        <v>P</v>
      </c>
      <c r="AA11" s="49" t="str">
        <f>MID(VLOOKUP($A11,Seqs!$A:$B,2,FALSE),VLOOKUP($A11,'SegEnds_NonXtal_Prot#'!A:AL,10,FALSE)+10,1)</f>
        <v>F</v>
      </c>
      <c r="AB11" s="28" t="str">
        <f>MID(VLOOKUP($A11,Seqs!$A:$B,2,FALSE),VLOOKUP($A11,'SegEnds_NonXtal_Prot#'!$A:$AL,22,FALSE)+6,1)</f>
        <v>I</v>
      </c>
      <c r="AC11" s="49" t="str">
        <f>MID(VLOOKUP($A11,Seqs!$A:$B,2,FALSE),VLOOKUP($A11,'SegEnds_NonXtal_Prot#'!$A:$AL,22,FALSE)+7,1)</f>
        <v>S</v>
      </c>
      <c r="AD11" s="49" t="str">
        <f>MID(VLOOKUP($A11,Seqs!$A:$B,2,FALSE),VLOOKUP($A11,'SegEnds_NonXtal_Prot#'!$A:$AL,22,FALSE)+8,1)</f>
        <v>F</v>
      </c>
      <c r="AE11" s="49" t="str">
        <f>MID(VLOOKUP($A11,Seqs!$A:$B,2,FALSE),VLOOKUP($A11,'SegEnds_NonXtal_Prot#'!$A:$AL,22,FALSE)+9,1)</f>
        <v>P</v>
      </c>
      <c r="AF11" s="49" t="str">
        <f>MID(VLOOKUP($A11,Seqs!$A:$B,2,FALSE),VLOOKUP($A11,'SegEnds_NonXtal_Prot#'!$A:$AL,22,FALSE)+10,1)</f>
        <v>P</v>
      </c>
      <c r="AG11" s="28" t="str">
        <f>MID(VLOOKUP($A11,Seqs!$A:$B,2,FALSE),VLOOKUP($A11,'SegEnds_NonXtal_Prot#'!$A:$AL,28,FALSE)-4,1)</f>
        <v>S</v>
      </c>
      <c r="AH11" s="49" t="str">
        <f>MID(VLOOKUP($A11,Seqs!$A:$B,2,FALSE),VLOOKUP($A11,'SegEnds_NonXtal_Prot#'!$A:$AL,28,FALSE),1)</f>
        <v>P</v>
      </c>
    </row>
    <row r="12" spans="1:34" s="2" customFormat="1" x14ac:dyDescent="0.2">
      <c r="A12" s="2" t="s">
        <v>220</v>
      </c>
      <c r="B12" s="2" t="str">
        <f>LOWER(VLOOKUP(A12,Xtal_Templ!A:B,2,FALSE))</f>
        <v>aa1r_human</v>
      </c>
      <c r="C12" s="2" t="str">
        <f>VLOOKUP(A12,Classification!A:D,2,FALSE)</f>
        <v>A</v>
      </c>
      <c r="D12" s="2" t="str">
        <f>IF(ISERROR(MATCH(A12,'SegEnds_Xtal_Prot#'!B:B, 0)), "NoXtal", "Xtal")</f>
        <v>NoXtal</v>
      </c>
      <c r="H12" s="4"/>
      <c r="R12" s="2" t="s">
        <v>9</v>
      </c>
      <c r="T12" s="4" t="s">
        <v>12</v>
      </c>
      <c r="V12" s="28" t="str">
        <f>MID(VLOOKUP($A12,Seqs!$A:$B,2,FALSE),VLOOKUP($A12,'SegEnds_NonXtal_Prot#'!A:AL,10,FALSE),1)</f>
        <v>D</v>
      </c>
      <c r="W12" s="49" t="str">
        <f>MID(VLOOKUP($A12,Seqs!$A:$B,2,FALSE),VLOOKUP($A12,'SegEnds_NonXtal_Prot#'!A:AL,10,FALSE)+6,1)</f>
        <v>L</v>
      </c>
      <c r="X12" s="49" t="str">
        <f>MID(VLOOKUP($A12,Seqs!$A:$B,2,FALSE),VLOOKUP($A12,'SegEnds_NonXtal_Prot#'!A:AL,10,FALSE)+7,1)</f>
        <v>H</v>
      </c>
      <c r="Y12" s="49" t="str">
        <f>MID(VLOOKUP($A12,Seqs!$A:$B,2,FALSE),VLOOKUP($A12,'SegEnds_NonXtal_Prot#'!A:AL,10,FALSE)+8,1)</f>
        <v>M</v>
      </c>
      <c r="Z12" s="49" t="str">
        <f>MID(VLOOKUP($A12,Seqs!$A:$B,2,FALSE),VLOOKUP($A12,'SegEnds_NonXtal_Prot#'!A:AL,10,FALSE)+9,1)</f>
        <v>L</v>
      </c>
      <c r="AA12" s="49" t="str">
        <f>MID(VLOOKUP($A12,Seqs!$A:$B,2,FALSE),VLOOKUP($A12,'SegEnds_NonXtal_Prot#'!A:AL,10,FALSE)+10,1)</f>
        <v>I</v>
      </c>
      <c r="AB12" s="28" t="str">
        <f>MID(VLOOKUP($A12,Seqs!$A:$B,2,FALSE),VLOOKUP($A12,'SegEnds_NonXtal_Prot#'!$A:$AL,22,FALSE)+6,1)</f>
        <v>F</v>
      </c>
      <c r="AC12" s="49" t="str">
        <f>MID(VLOOKUP($A12,Seqs!$A:$B,2,FALSE),VLOOKUP($A12,'SegEnds_NonXtal_Prot#'!$A:$AL,22,FALSE)+7,1)</f>
        <v>P</v>
      </c>
      <c r="AD12" s="49" t="str">
        <f>MID(VLOOKUP($A12,Seqs!$A:$B,2,FALSE),VLOOKUP($A12,'SegEnds_NonXtal_Prot#'!$A:$AL,22,FALSE)+8,1)</f>
        <v>T</v>
      </c>
      <c r="AE12" s="49" t="str">
        <f>MID(VLOOKUP($A12,Seqs!$A:$B,2,FALSE),VLOOKUP($A12,'SegEnds_NonXtal_Prot#'!$A:$AL,22,FALSE)+9,1)</f>
        <v>F</v>
      </c>
      <c r="AF12" s="49" t="str">
        <f>MID(VLOOKUP($A12,Seqs!$A:$B,2,FALSE),VLOOKUP($A12,'SegEnds_NonXtal_Prot#'!$A:$AL,22,FALSE)+10,1)</f>
        <v>L</v>
      </c>
      <c r="AG12" s="28" t="str">
        <f>MID(VLOOKUP($A12,Seqs!$A:$B,2,FALSE),VLOOKUP($A12,'SegEnds_NonXtal_Prot#'!$A:$AL,28,FALSE)-4,1)</f>
        <v>M</v>
      </c>
      <c r="AH12" s="49" t="str">
        <f>MID(VLOOKUP($A12,Seqs!$A:$B,2,FALSE),VLOOKUP($A12,'SegEnds_NonXtal_Prot#'!$A:$AL,28,FALSE),1)</f>
        <v>P</v>
      </c>
    </row>
    <row r="13" spans="1:34" s="2" customFormat="1" x14ac:dyDescent="0.2">
      <c r="A13" s="2" t="s">
        <v>227</v>
      </c>
      <c r="B13" s="2" t="str">
        <f>LOWER(VLOOKUP(A13,Xtal_Templ!A:B,2,FALSE))</f>
        <v>5ht1b_human</v>
      </c>
      <c r="C13" s="2" t="str">
        <f>VLOOKUP(A13,Classification!A:D,2,FALSE)</f>
        <v>A</v>
      </c>
      <c r="D13" s="2" t="str">
        <f>IF(ISERROR(MATCH(A13,'SegEnds_Xtal_Prot#'!B:B, 0)), "NoXtal", "Xtal")</f>
        <v>NoXtal</v>
      </c>
      <c r="G13" s="2" t="s">
        <v>5</v>
      </c>
      <c r="H13" s="4"/>
      <c r="R13" s="2" t="s">
        <v>9</v>
      </c>
      <c r="T13" s="4" t="s">
        <v>12</v>
      </c>
      <c r="V13" s="28" t="str">
        <f>MID(VLOOKUP($A13,Seqs!$A:$B,2,FALSE),VLOOKUP($A13,'SegEnds_NonXtal_Prot#'!A:AL,10,FALSE),1)</f>
        <v>N</v>
      </c>
      <c r="W13" s="49" t="str">
        <f>MID(VLOOKUP($A13,Seqs!$A:$B,2,FALSE),VLOOKUP($A13,'SegEnds_NonXtal_Prot#'!A:AL,10,FALSE)+6,1)</f>
        <v>L</v>
      </c>
      <c r="X13" s="49" t="str">
        <f>MID(VLOOKUP($A13,Seqs!$A:$B,2,FALSE),VLOOKUP($A13,'SegEnds_NonXtal_Prot#'!A:AL,10,FALSE)+7,1)</f>
        <v>V</v>
      </c>
      <c r="Y13" s="49" t="str">
        <f>MID(VLOOKUP($A13,Seqs!$A:$B,2,FALSE),VLOOKUP($A13,'SegEnds_NonXtal_Prot#'!A:AL,10,FALSE)+8,1)</f>
        <v>L</v>
      </c>
      <c r="Z13" s="49" t="str">
        <f>MID(VLOOKUP($A13,Seqs!$A:$B,2,FALSE),VLOOKUP($A13,'SegEnds_NonXtal_Prot#'!A:AL,10,FALSE)+9,1)</f>
        <v>P</v>
      </c>
      <c r="AA13" s="49" t="str">
        <f>MID(VLOOKUP($A13,Seqs!$A:$B,2,FALSE),VLOOKUP($A13,'SegEnds_NonXtal_Prot#'!A:AL,10,FALSE)+10,1)</f>
        <v>F</v>
      </c>
      <c r="AB13" s="28" t="str">
        <f>MID(VLOOKUP($A13,Seqs!$A:$B,2,FALSE),VLOOKUP($A13,'SegEnds_NonXtal_Prot#'!$A:$AL,22,FALSE)+6,1)</f>
        <v>G</v>
      </c>
      <c r="AC13" s="49" t="str">
        <f>MID(VLOOKUP($A13,Seqs!$A:$B,2,FALSE),VLOOKUP($A13,'SegEnds_NonXtal_Prot#'!$A:$AL,22,FALSE)+7,1)</f>
        <v>C</v>
      </c>
      <c r="AD13" s="49" t="str">
        <f>MID(VLOOKUP($A13,Seqs!$A:$B,2,FALSE),VLOOKUP($A13,'SegEnds_NonXtal_Prot#'!$A:$AL,22,FALSE)+8,1)</f>
        <v>L</v>
      </c>
      <c r="AE13" s="49" t="str">
        <f>MID(VLOOKUP($A13,Seqs!$A:$B,2,FALSE),VLOOKUP($A13,'SegEnds_NonXtal_Prot#'!$A:$AL,22,FALSE)+9,1)</f>
        <v>P</v>
      </c>
      <c r="AF13" s="49" t="str">
        <f>MID(VLOOKUP($A13,Seqs!$A:$B,2,FALSE),VLOOKUP($A13,'SegEnds_NonXtal_Prot#'!$A:$AL,22,FALSE)+10,1)</f>
        <v>P</v>
      </c>
      <c r="AG13" s="28" t="str">
        <f>MID(VLOOKUP($A13,Seqs!$A:$B,2,FALSE),VLOOKUP($A13,'SegEnds_NonXtal_Prot#'!$A:$AL,28,FALSE)-4,1)</f>
        <v>C</v>
      </c>
      <c r="AH13" s="49" t="str">
        <f>MID(VLOOKUP($A13,Seqs!$A:$B,2,FALSE),VLOOKUP($A13,'SegEnds_NonXtal_Prot#'!$A:$AL,28,FALSE),1)</f>
        <v>P</v>
      </c>
    </row>
    <row r="14" spans="1:34" s="2" customFormat="1" x14ac:dyDescent="0.2">
      <c r="A14" s="2" t="s">
        <v>265</v>
      </c>
      <c r="B14" s="2" t="str">
        <f>LOWER(VLOOKUP(A14,Xtal_Templ!A:B,2,FALSE))</f>
        <v>5ht2c_human</v>
      </c>
      <c r="C14" s="2" t="str">
        <f>VLOOKUP(A14,Classification!A:D,2,FALSE)</f>
        <v>A</v>
      </c>
      <c r="D14" s="2" t="str">
        <f>IF(ISERROR(MATCH(A14,'SegEnds_Xtal_Prot#'!B:B, 0)), "NoXtal", "Xtal")</f>
        <v>NoXtal</v>
      </c>
      <c r="G14" s="2" t="s">
        <v>5</v>
      </c>
      <c r="H14" s="4"/>
      <c r="N14" s="2" t="s">
        <v>14</v>
      </c>
      <c r="R14" s="2" t="s">
        <v>9</v>
      </c>
      <c r="T14" s="4" t="s">
        <v>12</v>
      </c>
      <c r="V14" s="28" t="str">
        <f>MID(VLOOKUP($A14,Seqs!$A:$B,2,FALSE),VLOOKUP($A14,'SegEnds_NonXtal_Prot#'!A:AL,10,FALSE),1)</f>
        <v>D</v>
      </c>
      <c r="W14" s="49" t="str">
        <f>MID(VLOOKUP($A14,Seqs!$A:$B,2,FALSE),VLOOKUP($A14,'SegEnds_NonXtal_Prot#'!A:AL,10,FALSE)+6,1)</f>
        <v>L</v>
      </c>
      <c r="X14" s="49" t="str">
        <f>MID(VLOOKUP($A14,Seqs!$A:$B,2,FALSE),VLOOKUP($A14,'SegEnds_NonXtal_Prot#'!A:AL,10,FALSE)+7,1)</f>
        <v>N</v>
      </c>
      <c r="Y14" s="49" t="str">
        <f>MID(VLOOKUP($A14,Seqs!$A:$B,2,FALSE),VLOOKUP($A14,'SegEnds_NonXtal_Prot#'!A:AL,10,FALSE)+8,1)</f>
        <v>M</v>
      </c>
      <c r="Z14" s="49" t="str">
        <f>MID(VLOOKUP($A14,Seqs!$A:$B,2,FALSE),VLOOKUP($A14,'SegEnds_NonXtal_Prot#'!A:AL,10,FALSE)+9,1)</f>
        <v>P</v>
      </c>
      <c r="AA14" s="49" t="str">
        <f>MID(VLOOKUP($A14,Seqs!$A:$B,2,FALSE),VLOOKUP($A14,'SegEnds_NonXtal_Prot#'!A:AL,10,FALSE)+10,1)</f>
        <v>F</v>
      </c>
      <c r="AB14" s="28" t="str">
        <f>MID(VLOOKUP($A14,Seqs!$A:$B,2,FALSE),VLOOKUP($A14,'SegEnds_NonXtal_Prot#'!$A:$AL,22,FALSE)+6,1)</f>
        <v>V</v>
      </c>
      <c r="AC14" s="49" t="str">
        <f>MID(VLOOKUP($A14,Seqs!$A:$B,2,FALSE),VLOOKUP($A14,'SegEnds_NonXtal_Prot#'!$A:$AL,22,FALSE)+7,1)</f>
        <v>A</v>
      </c>
      <c r="AD14" s="49" t="str">
        <f>MID(VLOOKUP($A14,Seqs!$A:$B,2,FALSE),VLOOKUP($A14,'SegEnds_NonXtal_Prot#'!$A:$AL,22,FALSE)+8,1)</f>
        <v>F</v>
      </c>
      <c r="AE14" s="49" t="str">
        <f>MID(VLOOKUP($A14,Seqs!$A:$B,2,FALSE),VLOOKUP($A14,'SegEnds_NonXtal_Prot#'!$A:$AL,22,FALSE)+9,1)</f>
        <v>P</v>
      </c>
      <c r="AF14" s="49" t="str">
        <f>MID(VLOOKUP($A14,Seqs!$A:$B,2,FALSE),VLOOKUP($A14,'SegEnds_NonXtal_Prot#'!$A:$AL,22,FALSE)+10,1)</f>
        <v>L</v>
      </c>
      <c r="AG14" s="28" t="str">
        <f>MID(VLOOKUP($A14,Seqs!$A:$B,2,FALSE),VLOOKUP($A14,'SegEnds_NonXtal_Prot#'!$A:$AL,28,FALSE)-4,1)</f>
        <v>S</v>
      </c>
      <c r="AH14" s="49" t="str">
        <f>MID(VLOOKUP($A14,Seqs!$A:$B,2,FALSE),VLOOKUP($A14,'SegEnds_NonXtal_Prot#'!$A:$AL,28,FALSE),1)</f>
        <v>P</v>
      </c>
    </row>
    <row r="15" spans="1:34" s="2" customFormat="1" x14ac:dyDescent="0.2">
      <c r="A15" s="2" t="s">
        <v>388</v>
      </c>
      <c r="B15" s="2" t="str">
        <f>LOWER(VLOOKUP(A15,Xtal_Templ!A:B,2,FALSE))</f>
        <v>drd2_human</v>
      </c>
      <c r="C15" s="2" t="str">
        <f>VLOOKUP(A15,Classification!A:D,2,FALSE)</f>
        <v>A</v>
      </c>
      <c r="D15" s="2" t="str">
        <f>IF(ISERROR(MATCH(A15,'SegEnds_Xtal_Prot#'!B:B, 0)), "NoXtal", "Xtal")</f>
        <v>NoXtal</v>
      </c>
      <c r="G15" s="2" t="s">
        <v>5</v>
      </c>
      <c r="H15" s="4"/>
      <c r="R15" s="2" t="s">
        <v>9</v>
      </c>
      <c r="T15" s="4" t="s">
        <v>12</v>
      </c>
      <c r="V15" s="28" t="str">
        <f>MID(VLOOKUP($A15,Seqs!$A:$B,2,FALSE),VLOOKUP($A15,'SegEnds_NonXtal_Prot#'!A:AL,10,FALSE),1)</f>
        <v>D</v>
      </c>
      <c r="W15" s="49" t="str">
        <f>MID(VLOOKUP($A15,Seqs!$A:$B,2,FALSE),VLOOKUP($A15,'SegEnds_NonXtal_Prot#'!A:AL,10,FALSE)+6,1)</f>
        <v>T</v>
      </c>
      <c r="X15" s="49" t="str">
        <f>MID(VLOOKUP($A15,Seqs!$A:$B,2,FALSE),VLOOKUP($A15,'SegEnds_NonXtal_Prot#'!A:AL,10,FALSE)+7,1)</f>
        <v>I</v>
      </c>
      <c r="Y15" s="49" t="str">
        <f>MID(VLOOKUP($A15,Seqs!$A:$B,2,FALSE),VLOOKUP($A15,'SegEnds_NonXtal_Prot#'!A:AL,10,FALSE)+8,1)</f>
        <v>M</v>
      </c>
      <c r="Z15" s="49" t="str">
        <f>MID(VLOOKUP($A15,Seqs!$A:$B,2,FALSE),VLOOKUP($A15,'SegEnds_NonXtal_Prot#'!A:AL,10,FALSE)+9,1)</f>
        <v>P</v>
      </c>
      <c r="AA15" s="49" t="str">
        <f>MID(VLOOKUP($A15,Seqs!$A:$B,2,FALSE),VLOOKUP($A15,'SegEnds_NonXtal_Prot#'!A:AL,10,FALSE)+10,1)</f>
        <v>Y</v>
      </c>
      <c r="AB15" s="28" t="str">
        <f>MID(VLOOKUP($A15,Seqs!$A:$B,2,FALSE),VLOOKUP($A15,'SegEnds_NonXtal_Prot#'!$A:$AL,22,FALSE)+6,1)</f>
        <v>F</v>
      </c>
      <c r="AC15" s="49" t="str">
        <f>MID(VLOOKUP($A15,Seqs!$A:$B,2,FALSE),VLOOKUP($A15,'SegEnds_NonXtal_Prot#'!$A:$AL,22,FALSE)+7,1)</f>
        <v>A</v>
      </c>
      <c r="AD15" s="49" t="str">
        <f>MID(VLOOKUP($A15,Seqs!$A:$B,2,FALSE),VLOOKUP($A15,'SegEnds_NonXtal_Prot#'!$A:$AL,22,FALSE)+8,1)</f>
        <v>F</v>
      </c>
      <c r="AE15" s="49" t="str">
        <f>MID(VLOOKUP($A15,Seqs!$A:$B,2,FALSE),VLOOKUP($A15,'SegEnds_NonXtal_Prot#'!$A:$AL,22,FALSE)+9,1)</f>
        <v>G</v>
      </c>
      <c r="AF15" s="49" t="str">
        <f>MID(VLOOKUP($A15,Seqs!$A:$B,2,FALSE),VLOOKUP($A15,'SegEnds_NonXtal_Prot#'!$A:$AL,22,FALSE)+10,1)</f>
        <v>V</v>
      </c>
      <c r="AG15" s="28" t="str">
        <f>MID(VLOOKUP($A15,Seqs!$A:$B,2,FALSE),VLOOKUP($A15,'SegEnds_NonXtal_Prot#'!$A:$AL,28,FALSE)-4,1)</f>
        <v>G</v>
      </c>
      <c r="AH15" s="49" t="str">
        <f>MID(VLOOKUP($A15,Seqs!$A:$B,2,FALSE),VLOOKUP($A15,'SegEnds_NonXtal_Prot#'!$A:$AL,28,FALSE),1)</f>
        <v>P</v>
      </c>
    </row>
    <row r="16" spans="1:34" s="2" customFormat="1" x14ac:dyDescent="0.2">
      <c r="A16" s="2" t="s">
        <v>389</v>
      </c>
      <c r="B16" s="2" t="str">
        <f>LOWER(VLOOKUP(A16,Xtal_Templ!A:B,2,FALSE))</f>
        <v>drd2_human</v>
      </c>
      <c r="C16" s="2" t="str">
        <f>VLOOKUP(A16,Classification!A:D,2,FALSE)</f>
        <v>A</v>
      </c>
      <c r="D16" s="2" t="str">
        <f>IF(ISERROR(MATCH(A16,'SegEnds_Xtal_Prot#'!B:B, 0)), "NoXtal", "Xtal")</f>
        <v>NoXtal</v>
      </c>
      <c r="G16" s="2" t="s">
        <v>5</v>
      </c>
      <c r="H16" s="4"/>
      <c r="R16" s="2" t="s">
        <v>9</v>
      </c>
      <c r="T16" s="4" t="s">
        <v>12</v>
      </c>
      <c r="V16" s="28" t="str">
        <f>MID(VLOOKUP($A16,Seqs!$A:$B,2,FALSE),VLOOKUP($A16,'SegEnds_NonXtal_Prot#'!A:AL,10,FALSE),1)</f>
        <v>D</v>
      </c>
      <c r="W16" s="49" t="str">
        <f>MID(VLOOKUP($A16,Seqs!$A:$B,2,FALSE),VLOOKUP($A16,'SegEnds_NonXtal_Prot#'!A:AL,10,FALSE)+6,1)</f>
        <v>V</v>
      </c>
      <c r="X16" s="49" t="str">
        <f>MID(VLOOKUP($A16,Seqs!$A:$B,2,FALSE),VLOOKUP($A16,'SegEnds_NonXtal_Prot#'!A:AL,10,FALSE)+7,1)</f>
        <v>I</v>
      </c>
      <c r="Y16" s="49" t="str">
        <f>MID(VLOOKUP($A16,Seqs!$A:$B,2,FALSE),VLOOKUP($A16,'SegEnds_NonXtal_Prot#'!A:AL,10,FALSE)+8,1)</f>
        <v>M</v>
      </c>
      <c r="Z16" s="49" t="str">
        <f>MID(VLOOKUP($A16,Seqs!$A:$B,2,FALSE),VLOOKUP($A16,'SegEnds_NonXtal_Prot#'!A:AL,10,FALSE)+9,1)</f>
        <v>P</v>
      </c>
      <c r="AA16" s="49" t="str">
        <f>MID(VLOOKUP($A16,Seqs!$A:$B,2,FALSE),VLOOKUP($A16,'SegEnds_NonXtal_Prot#'!A:AL,10,FALSE)+10,1)</f>
        <v>Y</v>
      </c>
      <c r="AB16" s="28" t="str">
        <f>MID(VLOOKUP($A16,Seqs!$A:$B,2,FALSE),VLOOKUP($A16,'SegEnds_NonXtal_Prot#'!$A:$AL,22,FALSE)+6,1)</f>
        <v>F</v>
      </c>
      <c r="AC16" s="49" t="str">
        <f>MID(VLOOKUP($A16,Seqs!$A:$B,2,FALSE),VLOOKUP($A16,'SegEnds_NonXtal_Prot#'!$A:$AL,22,FALSE)+7,1)</f>
        <v>S</v>
      </c>
      <c r="AD16" s="49" t="str">
        <f>MID(VLOOKUP($A16,Seqs!$A:$B,2,FALSE),VLOOKUP($A16,'SegEnds_NonXtal_Prot#'!$A:$AL,22,FALSE)+8,1)</f>
        <v>F</v>
      </c>
      <c r="AE16" s="49" t="str">
        <f>MID(VLOOKUP($A16,Seqs!$A:$B,2,FALSE),VLOOKUP($A16,'SegEnds_NonXtal_Prot#'!$A:$AL,22,FALSE)+9,1)</f>
        <v>G</v>
      </c>
      <c r="AF16" s="49" t="str">
        <f>MID(VLOOKUP($A16,Seqs!$A:$B,2,FALSE),VLOOKUP($A16,'SegEnds_NonXtal_Prot#'!$A:$AL,22,FALSE)+10,1)</f>
        <v>L</v>
      </c>
      <c r="AG16" s="28" t="str">
        <f>MID(VLOOKUP($A16,Seqs!$A:$B,2,FALSE),VLOOKUP($A16,'SegEnds_NonXtal_Prot#'!$A:$AL,28,FALSE)-4,1)</f>
        <v>C</v>
      </c>
      <c r="AH16" s="49" t="str">
        <f>MID(VLOOKUP($A16,Seqs!$A:$B,2,FALSE),VLOOKUP($A16,'SegEnds_NonXtal_Prot#'!$A:$AL,28,FALSE),1)</f>
        <v>P</v>
      </c>
    </row>
    <row r="17" spans="1:34" s="2" customFormat="1" x14ac:dyDescent="0.2">
      <c r="A17" s="2" t="s">
        <v>390</v>
      </c>
      <c r="B17" s="2" t="str">
        <f>LOWER(VLOOKUP(A17,Xtal_Templ!A:B,2,FALSE))</f>
        <v>5ht1b_human</v>
      </c>
      <c r="C17" s="2" t="str">
        <f>VLOOKUP(A17,Classification!A:D,2,FALSE)</f>
        <v>A</v>
      </c>
      <c r="D17" s="2" t="str">
        <f>IF(ISERROR(MATCH(A17,'SegEnds_Xtal_Prot#'!B:B, 0)), "NoXtal", "Xtal")</f>
        <v>NoXtal</v>
      </c>
      <c r="G17" s="2" t="s">
        <v>5</v>
      </c>
      <c r="H17" s="4"/>
      <c r="R17" s="2" t="s">
        <v>9</v>
      </c>
      <c r="T17" s="4" t="s">
        <v>12</v>
      </c>
      <c r="V17" s="28" t="str">
        <f>MID(VLOOKUP($A17,Seqs!$A:$B,2,FALSE),VLOOKUP($A17,'SegEnds_NonXtal_Prot#'!A:AL,10,FALSE),1)</f>
        <v>D</v>
      </c>
      <c r="W17" s="49" t="str">
        <f>MID(VLOOKUP($A17,Seqs!$A:$B,2,FALSE),VLOOKUP($A17,'SegEnds_NonXtal_Prot#'!A:AL,10,FALSE)+6,1)</f>
        <v>L</v>
      </c>
      <c r="X17" s="49" t="str">
        <f>MID(VLOOKUP($A17,Seqs!$A:$B,2,FALSE),VLOOKUP($A17,'SegEnds_NonXtal_Prot#'!A:AL,10,FALSE)+7,1)</f>
        <v>V</v>
      </c>
      <c r="Y17" s="49" t="str">
        <f>MID(VLOOKUP($A17,Seqs!$A:$B,2,FALSE),VLOOKUP($A17,'SegEnds_NonXtal_Prot#'!A:AL,10,FALSE)+8,1)</f>
        <v>L</v>
      </c>
      <c r="Z17" s="49" t="str">
        <f>MID(VLOOKUP($A17,Seqs!$A:$B,2,FALSE),VLOOKUP($A17,'SegEnds_NonXtal_Prot#'!A:AL,10,FALSE)+9,1)</f>
        <v>P</v>
      </c>
      <c r="AA17" s="49" t="str">
        <f>MID(VLOOKUP($A17,Seqs!$A:$B,2,FALSE),VLOOKUP($A17,'SegEnds_NonXtal_Prot#'!A:AL,10,FALSE)+10,1)</f>
        <v>L</v>
      </c>
      <c r="AB17" s="28" t="str">
        <f>MID(VLOOKUP($A17,Seqs!$A:$B,2,FALSE),VLOOKUP($A17,'SegEnds_NonXtal_Prot#'!$A:$AL,22,FALSE)+6,1)</f>
        <v>Y</v>
      </c>
      <c r="AC17" s="49" t="str">
        <f>MID(VLOOKUP($A17,Seqs!$A:$B,2,FALSE),VLOOKUP($A17,'SegEnds_NonXtal_Prot#'!$A:$AL,22,FALSE)+7,1)</f>
        <v>T</v>
      </c>
      <c r="AD17" s="49" t="str">
        <f>MID(VLOOKUP($A17,Seqs!$A:$B,2,FALSE),VLOOKUP($A17,'SegEnds_NonXtal_Prot#'!$A:$AL,22,FALSE)+8,1)</f>
        <v>S</v>
      </c>
      <c r="AE17" s="49" t="str">
        <f>MID(VLOOKUP($A17,Seqs!$A:$B,2,FALSE),VLOOKUP($A17,'SegEnds_NonXtal_Prot#'!$A:$AL,22,FALSE)+9,1)</f>
        <v>L</v>
      </c>
      <c r="AF17" s="49" t="str">
        <f>MID(VLOOKUP($A17,Seqs!$A:$B,2,FALSE),VLOOKUP($A17,'SegEnds_NonXtal_Prot#'!$A:$AL,22,FALSE)+10,1)</f>
        <v>F</v>
      </c>
      <c r="AG17" s="28" t="str">
        <f>MID(VLOOKUP($A17,Seqs!$A:$B,2,FALSE),VLOOKUP($A17,'SegEnds_NonXtal_Prot#'!$A:$AL,28,FALSE)-4,1)</f>
        <v>L</v>
      </c>
      <c r="AH17" s="49" t="str">
        <f>MID(VLOOKUP($A17,Seqs!$A:$B,2,FALSE),VLOOKUP($A17,'SegEnds_NonXtal_Prot#'!$A:$AL,28,FALSE),1)</f>
        <v>P</v>
      </c>
    </row>
    <row r="18" spans="1:34" s="2" customFormat="1" x14ac:dyDescent="0.2">
      <c r="A18" s="2" t="s">
        <v>391</v>
      </c>
      <c r="B18" s="2" t="str">
        <f>LOWER(VLOOKUP(A18,Xtal_Templ!A:B,2,FALSE))</f>
        <v>5ht1b_human</v>
      </c>
      <c r="C18" s="2" t="str">
        <f>VLOOKUP(A18,Classification!A:D,2,FALSE)</f>
        <v>A</v>
      </c>
      <c r="D18" s="2" t="str">
        <f>IF(ISERROR(MATCH(A18,'SegEnds_Xtal_Prot#'!B:B, 0)), "NoXtal", "Xtal")</f>
        <v>NoXtal</v>
      </c>
      <c r="G18" s="2" t="s">
        <v>5</v>
      </c>
      <c r="H18" s="4"/>
      <c r="R18" s="2" t="s">
        <v>9</v>
      </c>
      <c r="T18" s="4" t="s">
        <v>12</v>
      </c>
      <c r="V18" s="28" t="str">
        <f>MID(VLOOKUP($A18,Seqs!$A:$B,2,FALSE),VLOOKUP($A18,'SegEnds_NonXtal_Prot#'!A:AL,10,FALSE),1)</f>
        <v>D</v>
      </c>
      <c r="W18" s="49" t="str">
        <f>MID(VLOOKUP($A18,Seqs!$A:$B,2,FALSE),VLOOKUP($A18,'SegEnds_NonXtal_Prot#'!A:AL,10,FALSE)+6,1)</f>
        <v>T</v>
      </c>
      <c r="X18" s="49" t="str">
        <f>MID(VLOOKUP($A18,Seqs!$A:$B,2,FALSE),VLOOKUP($A18,'SegEnds_NonXtal_Prot#'!A:AL,10,FALSE)+7,1)</f>
        <v>V</v>
      </c>
      <c r="Y18" s="49" t="str">
        <f>MID(VLOOKUP($A18,Seqs!$A:$B,2,FALSE),VLOOKUP($A18,'SegEnds_NonXtal_Prot#'!A:AL,10,FALSE)+8,1)</f>
        <v>M</v>
      </c>
      <c r="Z18" s="49" t="str">
        <f>MID(VLOOKUP($A18,Seqs!$A:$B,2,FALSE),VLOOKUP($A18,'SegEnds_NonXtal_Prot#'!A:AL,10,FALSE)+9,1)</f>
        <v>P</v>
      </c>
      <c r="AA18" s="49" t="str">
        <f>MID(VLOOKUP($A18,Seqs!$A:$B,2,FALSE),VLOOKUP($A18,'SegEnds_NonXtal_Prot#'!A:AL,10,FALSE)+10,1)</f>
        <v>F</v>
      </c>
      <c r="AB18" s="28" t="str">
        <f>MID(VLOOKUP($A18,Seqs!$A:$B,2,FALSE),VLOOKUP($A18,'SegEnds_NonXtal_Prot#'!$A:$AL,22,FALSE)+6,1)</f>
        <v>Y</v>
      </c>
      <c r="AC18" s="49" t="str">
        <f>MID(VLOOKUP($A18,Seqs!$A:$B,2,FALSE),VLOOKUP($A18,'SegEnds_NonXtal_Prot#'!$A:$AL,22,FALSE)+7,1)</f>
        <v>S</v>
      </c>
      <c r="AD18" s="49" t="str">
        <f>MID(VLOOKUP($A18,Seqs!$A:$B,2,FALSE),VLOOKUP($A18,'SegEnds_NonXtal_Prot#'!$A:$AL,22,FALSE)+8,1)</f>
        <v>G</v>
      </c>
      <c r="AE18" s="49" t="str">
        <f>MID(VLOOKUP($A18,Seqs!$A:$B,2,FALSE),VLOOKUP($A18,'SegEnds_NonXtal_Prot#'!$A:$AL,22,FALSE)+9,1)</f>
        <v>A</v>
      </c>
      <c r="AF18" s="49" t="str">
        <f>MID(VLOOKUP($A18,Seqs!$A:$B,2,FALSE),VLOOKUP($A18,'SegEnds_NonXtal_Prot#'!$A:$AL,22,FALSE)+10,1)</f>
        <v>V</v>
      </c>
      <c r="AG18" s="28" t="str">
        <f>MID(VLOOKUP($A18,Seqs!$A:$B,2,FALSE),VLOOKUP($A18,'SegEnds_NonXtal_Prot#'!$A:$AL,28,FALSE)-4,1)</f>
        <v>S</v>
      </c>
      <c r="AH18" s="49" t="str">
        <f>MID(VLOOKUP($A18,Seqs!$A:$B,2,FALSE),VLOOKUP($A18,'SegEnds_NonXtal_Prot#'!$A:$AL,28,FALSE),1)</f>
        <v>P</v>
      </c>
    </row>
    <row r="19" spans="1:34" s="2" customFormat="1" x14ac:dyDescent="0.2">
      <c r="A19" s="2" t="s">
        <v>392</v>
      </c>
      <c r="B19" s="2" t="str">
        <f>LOWER(VLOOKUP(A19,Xtal_Templ!A:B,2,FALSE))</f>
        <v>5ht1b_human</v>
      </c>
      <c r="C19" s="2" t="str">
        <f>VLOOKUP(A19,Classification!A:D,2,FALSE)</f>
        <v>A</v>
      </c>
      <c r="D19" s="2" t="str">
        <f>IF(ISERROR(MATCH(A19,'SegEnds_Xtal_Prot#'!B:B, 0)), "NoXtal", "Xtal")</f>
        <v>NoXtal</v>
      </c>
      <c r="H19" s="4"/>
      <c r="R19" s="2" t="s">
        <v>9</v>
      </c>
      <c r="T19" s="4" t="s">
        <v>12</v>
      </c>
      <c r="V19" s="28" t="str">
        <f>MID(VLOOKUP($A19,Seqs!$A:$B,2,FALSE),VLOOKUP($A19,'SegEnds_NonXtal_Prot#'!A:AL,10,FALSE),1)</f>
        <v>D</v>
      </c>
      <c r="W19" s="49" t="str">
        <f>MID(VLOOKUP($A19,Seqs!$A:$B,2,FALSE),VLOOKUP($A19,'SegEnds_NonXtal_Prot#'!A:AL,10,FALSE)+6,1)</f>
        <v>T</v>
      </c>
      <c r="X19" s="49" t="str">
        <f>MID(VLOOKUP($A19,Seqs!$A:$B,2,FALSE),VLOOKUP($A19,'SegEnds_NonXtal_Prot#'!A:AL,10,FALSE)+7,1)</f>
        <v>V</v>
      </c>
      <c r="Y19" s="49" t="str">
        <f>MID(VLOOKUP($A19,Seqs!$A:$B,2,FALSE),VLOOKUP($A19,'SegEnds_NonXtal_Prot#'!A:AL,10,FALSE)+8,1)</f>
        <v>M</v>
      </c>
      <c r="Z19" s="49" t="str">
        <f>MID(VLOOKUP($A19,Seqs!$A:$B,2,FALSE),VLOOKUP($A19,'SegEnds_NonXtal_Prot#'!A:AL,10,FALSE)+9,1)</f>
        <v>L</v>
      </c>
      <c r="AA19" s="49" t="str">
        <f>MID(VLOOKUP($A19,Seqs!$A:$B,2,FALSE),VLOOKUP($A19,'SegEnds_NonXtal_Prot#'!A:AL,10,FALSE)+10,1)</f>
        <v>F</v>
      </c>
      <c r="AB19" s="28" t="str">
        <f>MID(VLOOKUP($A19,Seqs!$A:$B,2,FALSE),VLOOKUP($A19,'SegEnds_NonXtal_Prot#'!$A:$AL,22,FALSE)+6,1)</f>
        <v>Y</v>
      </c>
      <c r="AC19" s="49" t="str">
        <f>MID(VLOOKUP($A19,Seqs!$A:$B,2,FALSE),VLOOKUP($A19,'SegEnds_NonXtal_Prot#'!$A:$AL,22,FALSE)+7,1)</f>
        <v>S</v>
      </c>
      <c r="AD19" s="49" t="str">
        <f>MID(VLOOKUP($A19,Seqs!$A:$B,2,FALSE),VLOOKUP($A19,'SegEnds_NonXtal_Prot#'!$A:$AL,22,FALSE)+8,1)</f>
        <v>G</v>
      </c>
      <c r="AE19" s="49" t="str">
        <f>MID(VLOOKUP($A19,Seqs!$A:$B,2,FALSE),VLOOKUP($A19,'SegEnds_NonXtal_Prot#'!$A:$AL,22,FALSE)+9,1)</f>
        <v>A</v>
      </c>
      <c r="AF19" s="49" t="str">
        <f>MID(VLOOKUP($A19,Seqs!$A:$B,2,FALSE),VLOOKUP($A19,'SegEnds_NonXtal_Prot#'!$A:$AL,22,FALSE)+10,1)</f>
        <v>V</v>
      </c>
      <c r="AG19" s="28" t="str">
        <f>MID(VLOOKUP($A19,Seqs!$A:$B,2,FALSE),VLOOKUP($A19,'SegEnds_NonXtal_Prot#'!$A:$AL,28,FALSE)-4,1)</f>
        <v>L</v>
      </c>
      <c r="AH19" s="49" t="str">
        <f>MID(VLOOKUP($A19,Seqs!$A:$B,2,FALSE),VLOOKUP($A19,'SegEnds_NonXtal_Prot#'!$A:$AL,28,FALSE),1)</f>
        <v>P</v>
      </c>
    </row>
    <row r="20" spans="1:34" s="2" customFormat="1" x14ac:dyDescent="0.2">
      <c r="A20" s="2" t="s">
        <v>393</v>
      </c>
      <c r="B20" s="2" t="str">
        <f>LOWER(VLOOKUP(A20,Xtal_Templ!A:B,2,FALSE))</f>
        <v>5ht1b_human</v>
      </c>
      <c r="C20" s="2" t="str">
        <f>VLOOKUP(A20,Classification!A:D,2,FALSE)</f>
        <v>A</v>
      </c>
      <c r="D20" s="2" t="str">
        <f>IF(ISERROR(MATCH(A20,'SegEnds_Xtal_Prot#'!B:B, 0)), "NoXtal", "Xtal")</f>
        <v>NoXtal</v>
      </c>
      <c r="G20" s="2" t="s">
        <v>5</v>
      </c>
      <c r="H20" s="4"/>
      <c r="R20" s="2" t="s">
        <v>9</v>
      </c>
      <c r="T20" s="4" t="s">
        <v>12</v>
      </c>
      <c r="V20" s="28" t="str">
        <f>MID(VLOOKUP($A20,Seqs!$A:$B,2,FALSE),VLOOKUP($A20,'SegEnds_NonXtal_Prot#'!A:AL,10,FALSE),1)</f>
        <v>D</v>
      </c>
      <c r="W20" s="49" t="str">
        <f>MID(VLOOKUP($A20,Seqs!$A:$B,2,FALSE),VLOOKUP($A20,'SegEnds_NonXtal_Prot#'!A:AL,10,FALSE)+6,1)</f>
        <v>T</v>
      </c>
      <c r="X20" s="49" t="str">
        <f>MID(VLOOKUP($A20,Seqs!$A:$B,2,FALSE),VLOOKUP($A20,'SegEnds_NonXtal_Prot#'!A:AL,10,FALSE)+7,1)</f>
        <v>V</v>
      </c>
      <c r="Y20" s="49" t="str">
        <f>MID(VLOOKUP($A20,Seqs!$A:$B,2,FALSE),VLOOKUP($A20,'SegEnds_NonXtal_Prot#'!A:AL,10,FALSE)+8,1)</f>
        <v>M</v>
      </c>
      <c r="Z20" s="49" t="str">
        <f>MID(VLOOKUP($A20,Seqs!$A:$B,2,FALSE),VLOOKUP($A20,'SegEnds_NonXtal_Prot#'!A:AL,10,FALSE)+9,1)</f>
        <v>P</v>
      </c>
      <c r="AA20" s="49" t="str">
        <f>MID(VLOOKUP($A20,Seqs!$A:$B,2,FALSE),VLOOKUP($A20,'SegEnds_NonXtal_Prot#'!A:AL,10,FALSE)+10,1)</f>
        <v>F</v>
      </c>
      <c r="AB20" s="28" t="str">
        <f>MID(VLOOKUP($A20,Seqs!$A:$B,2,FALSE),VLOOKUP($A20,'SegEnds_NonXtal_Prot#'!$A:$AL,22,FALSE)+6,1)</f>
        <v>Y</v>
      </c>
      <c r="AC20" s="49" t="str">
        <f>MID(VLOOKUP($A20,Seqs!$A:$B,2,FALSE),VLOOKUP($A20,'SegEnds_NonXtal_Prot#'!$A:$AL,22,FALSE)+7,1)</f>
        <v>S</v>
      </c>
      <c r="AD20" s="49" t="str">
        <f>MID(VLOOKUP($A20,Seqs!$A:$B,2,FALSE),VLOOKUP($A20,'SegEnds_NonXtal_Prot#'!$A:$AL,22,FALSE)+8,1)</f>
        <v>F</v>
      </c>
      <c r="AE20" s="49" t="str">
        <f>MID(VLOOKUP($A20,Seqs!$A:$B,2,FALSE),VLOOKUP($A20,'SegEnds_NonXtal_Prot#'!$A:$AL,22,FALSE)+9,1)</f>
        <v>S</v>
      </c>
      <c r="AF20" s="49" t="str">
        <f>MID(VLOOKUP($A20,Seqs!$A:$B,2,FALSE),VLOOKUP($A20,'SegEnds_NonXtal_Prot#'!$A:$AL,22,FALSE)+10,1)</f>
        <v>I</v>
      </c>
      <c r="AG20" s="28" t="str">
        <f>MID(VLOOKUP($A20,Seqs!$A:$B,2,FALSE),VLOOKUP($A20,'SegEnds_NonXtal_Prot#'!$A:$AL,28,FALSE)-4,1)</f>
        <v>L</v>
      </c>
      <c r="AH20" s="49" t="str">
        <f>MID(VLOOKUP($A20,Seqs!$A:$B,2,FALSE),VLOOKUP($A20,'SegEnds_NonXtal_Prot#'!$A:$AL,28,FALSE),1)</f>
        <v>P</v>
      </c>
    </row>
    <row r="21" spans="1:34" s="2" customFormat="1" x14ac:dyDescent="0.2">
      <c r="A21" s="2" t="s">
        <v>132</v>
      </c>
      <c r="B21" s="2" t="str">
        <f>LOWER(VLOOKUP(A21,Xtal_Templ!A:B,2,FALSE))</f>
        <v>5ht2c_human</v>
      </c>
      <c r="C21" s="2" t="str">
        <f>VLOOKUP(A21,Classification!A:D,2,FALSE)</f>
        <v>A</v>
      </c>
      <c r="D21" s="2" t="str">
        <f>IF(ISERROR(MATCH(A21,'SegEnds_Xtal_Prot#'!B:B, 0)), "NoXtal", "Xtal")</f>
        <v>NoXtal</v>
      </c>
      <c r="G21" s="2" t="s">
        <v>5</v>
      </c>
      <c r="H21" s="4"/>
      <c r="N21" s="2" t="s">
        <v>14</v>
      </c>
      <c r="R21" s="2" t="s">
        <v>9</v>
      </c>
      <c r="T21" s="4" t="s">
        <v>12</v>
      </c>
      <c r="V21" s="28" t="str">
        <f>MID(VLOOKUP($A21,Seqs!$A:$B,2,FALSE),VLOOKUP($A21,'SegEnds_NonXtal_Prot#'!A:AL,10,FALSE),1)</f>
        <v>D</v>
      </c>
      <c r="W21" s="49" t="str">
        <f>MID(VLOOKUP($A21,Seqs!$A:$B,2,FALSE),VLOOKUP($A21,'SegEnds_NonXtal_Prot#'!A:AL,10,FALSE)+6,1)</f>
        <v>L</v>
      </c>
      <c r="X21" s="49" t="str">
        <f>MID(VLOOKUP($A21,Seqs!$A:$B,2,FALSE),VLOOKUP($A21,'SegEnds_NonXtal_Prot#'!A:AL,10,FALSE)+7,1)</f>
        <v>V</v>
      </c>
      <c r="Y21" s="49" t="str">
        <f>MID(VLOOKUP($A21,Seqs!$A:$B,2,FALSE),VLOOKUP($A21,'SegEnds_NonXtal_Prot#'!A:AL,10,FALSE)+8,1)</f>
        <v>M</v>
      </c>
      <c r="Z21" s="49" t="str">
        <f>MID(VLOOKUP($A21,Seqs!$A:$B,2,FALSE),VLOOKUP($A21,'SegEnds_NonXtal_Prot#'!A:AL,10,FALSE)+9,1)</f>
        <v>P</v>
      </c>
      <c r="AA21" s="49" t="str">
        <f>MID(VLOOKUP($A21,Seqs!$A:$B,2,FALSE),VLOOKUP($A21,'SegEnds_NonXtal_Prot#'!A:AL,10,FALSE)+10,1)</f>
        <v>V</v>
      </c>
      <c r="AB21" s="28" t="str">
        <f>MID(VLOOKUP($A21,Seqs!$A:$B,2,FALSE),VLOOKUP($A21,'SegEnds_NonXtal_Prot#'!$A:$AL,22,FALSE)+6,1)</f>
        <v>I</v>
      </c>
      <c r="AC21" s="49" t="str">
        <f>MID(VLOOKUP($A21,Seqs!$A:$B,2,FALSE),VLOOKUP($A21,'SegEnds_NonXtal_Prot#'!$A:$AL,22,FALSE)+7,1)</f>
        <v>S</v>
      </c>
      <c r="AD21" s="49" t="str">
        <f>MID(VLOOKUP($A21,Seqs!$A:$B,2,FALSE),VLOOKUP($A21,'SegEnds_NonXtal_Prot#'!$A:$AL,22,FALSE)+8,1)</f>
        <v>M</v>
      </c>
      <c r="AE21" s="49" t="str">
        <f>MID(VLOOKUP($A21,Seqs!$A:$B,2,FALSE),VLOOKUP($A21,'SegEnds_NonXtal_Prot#'!$A:$AL,22,FALSE)+9,1)</f>
        <v>P</v>
      </c>
      <c r="AF21" s="49" t="str">
        <f>MID(VLOOKUP($A21,Seqs!$A:$B,2,FALSE),VLOOKUP($A21,'SegEnds_NonXtal_Prot#'!$A:$AL,22,FALSE)+10,1)</f>
        <v>I</v>
      </c>
      <c r="AG21" s="28" t="str">
        <f>MID(VLOOKUP($A21,Seqs!$A:$B,2,FALSE),VLOOKUP($A21,'SegEnds_NonXtal_Prot#'!$A:$AL,28,FALSE)-4,1)</f>
        <v>S</v>
      </c>
      <c r="AH21" s="49" t="str">
        <f>MID(VLOOKUP($A21,Seqs!$A:$B,2,FALSE),VLOOKUP($A21,'SegEnds_NonXtal_Prot#'!$A:$AL,28,FALSE),1)</f>
        <v>P</v>
      </c>
    </row>
    <row r="22" spans="1:34" s="2" customFormat="1" x14ac:dyDescent="0.2">
      <c r="A22" s="2" t="s">
        <v>35</v>
      </c>
      <c r="B22" s="2" t="str">
        <f>LOWER(VLOOKUP(A22,Xtal_Templ!A:B,2,FALSE))</f>
        <v>5ht2b_human</v>
      </c>
      <c r="C22" s="2" t="str">
        <f>VLOOKUP(A22,Classification!A:D,2,FALSE)</f>
        <v>A</v>
      </c>
      <c r="D22" s="2" t="str">
        <f>IF(ISERROR(MATCH(A22,'SegEnds_Xtal_Prot#'!B:B, 0)), "NoXtal", "Xtal")</f>
        <v>Xtal</v>
      </c>
      <c r="F22" s="2" t="s">
        <v>13</v>
      </c>
      <c r="G22" s="2" t="s">
        <v>5</v>
      </c>
      <c r="H22" s="4"/>
      <c r="N22" s="2" t="s">
        <v>14</v>
      </c>
      <c r="R22" s="2" t="s">
        <v>9</v>
      </c>
      <c r="T22" s="4" t="s">
        <v>12</v>
      </c>
      <c r="V22" s="28" t="str">
        <f>MID(VLOOKUP($A22,Seqs!$A:$B,2,FALSE),VLOOKUP($A22,'SegEnds_NonXtal_Prot#'!A:AL,10,FALSE),1)</f>
        <v>D</v>
      </c>
      <c r="W22" s="49" t="str">
        <f>MID(VLOOKUP($A22,Seqs!$A:$B,2,FALSE),VLOOKUP($A22,'SegEnds_NonXtal_Prot#'!A:AL,10,FALSE)+6,1)</f>
        <v>F</v>
      </c>
      <c r="X22" s="49" t="str">
        <f>MID(VLOOKUP($A22,Seqs!$A:$B,2,FALSE),VLOOKUP($A22,'SegEnds_NonXtal_Prot#'!A:AL,10,FALSE)+7,1)</f>
        <v>V</v>
      </c>
      <c r="Y22" s="49" t="str">
        <f>MID(VLOOKUP($A22,Seqs!$A:$B,2,FALSE),VLOOKUP($A22,'SegEnds_NonXtal_Prot#'!A:AL,10,FALSE)+8,1)</f>
        <v>M</v>
      </c>
      <c r="Z22" s="49" t="str">
        <f>MID(VLOOKUP($A22,Seqs!$A:$B,2,FALSE),VLOOKUP($A22,'SegEnds_NonXtal_Prot#'!A:AL,10,FALSE)+9,1)</f>
        <v>P</v>
      </c>
      <c r="AA22" s="49" t="str">
        <f>MID(VLOOKUP($A22,Seqs!$A:$B,2,FALSE),VLOOKUP($A22,'SegEnds_NonXtal_Prot#'!A:AL,10,FALSE)+10,1)</f>
        <v>I</v>
      </c>
      <c r="AB22" s="28" t="str">
        <f>MID(VLOOKUP($A22,Seqs!$A:$B,2,FALSE),VLOOKUP($A22,'SegEnds_NonXtal_Prot#'!$A:$AL,22,FALSE)+6,1)</f>
        <v>I</v>
      </c>
      <c r="AC22" s="49" t="str">
        <f>MID(VLOOKUP($A22,Seqs!$A:$B,2,FALSE),VLOOKUP($A22,'SegEnds_NonXtal_Prot#'!$A:$AL,22,FALSE)+7,1)</f>
        <v>A</v>
      </c>
      <c r="AD22" s="49" t="str">
        <f>MID(VLOOKUP($A22,Seqs!$A:$B,2,FALSE),VLOOKUP($A22,'SegEnds_NonXtal_Prot#'!$A:$AL,22,FALSE)+8,1)</f>
        <v>I</v>
      </c>
      <c r="AE22" s="49" t="str">
        <f>MID(VLOOKUP($A22,Seqs!$A:$B,2,FALSE),VLOOKUP($A22,'SegEnds_NonXtal_Prot#'!$A:$AL,22,FALSE)+9,1)</f>
        <v>P</v>
      </c>
      <c r="AF22" s="49" t="str">
        <f>MID(VLOOKUP($A22,Seqs!$A:$B,2,FALSE),VLOOKUP($A22,'SegEnds_NonXtal_Prot#'!$A:$AL,22,FALSE)+10,1)</f>
        <v>V</v>
      </c>
      <c r="AG22" s="28" t="str">
        <f>MID(VLOOKUP($A22,Seqs!$A:$B,2,FALSE),VLOOKUP($A22,'SegEnds_NonXtal_Prot#'!$A:$AL,28,FALSE)-4,1)</f>
        <v>A</v>
      </c>
      <c r="AH22" s="49" t="str">
        <f>MID(VLOOKUP($A22,Seqs!$A:$B,2,FALSE),VLOOKUP($A22,'SegEnds_NonXtal_Prot#'!$A:$AL,28,FALSE),1)</f>
        <v>P</v>
      </c>
    </row>
    <row r="23" spans="1:34" s="2" customFormat="1" x14ac:dyDescent="0.2">
      <c r="A23" s="2" t="s">
        <v>133</v>
      </c>
      <c r="B23" s="2" t="str">
        <f>LOWER(VLOOKUP(A23,Xtal_Templ!A:B,2,FALSE))</f>
        <v>5ht2c_human</v>
      </c>
      <c r="C23" s="2" t="str">
        <f>VLOOKUP(A23,Classification!A:D,2,FALSE)</f>
        <v>A</v>
      </c>
      <c r="D23" s="2" t="str">
        <f>IF(ISERROR(MATCH(A23,'SegEnds_Xtal_Prot#'!B:B, 0)), "NoXtal", "Xtal")</f>
        <v>Xtal</v>
      </c>
      <c r="E23" s="2" t="s">
        <v>1482</v>
      </c>
      <c r="G23" s="2" t="s">
        <v>5</v>
      </c>
      <c r="H23" s="4"/>
      <c r="N23" s="2" t="s">
        <v>14</v>
      </c>
      <c r="R23" s="2" t="s">
        <v>9</v>
      </c>
      <c r="T23" s="4" t="s">
        <v>12</v>
      </c>
      <c r="V23" s="28" t="str">
        <f>MID(VLOOKUP($A23,Seqs!$A:$B,2,FALSE),VLOOKUP($A23,'SegEnds_NonXtal_Prot#'!A:AL,10,FALSE),1)</f>
        <v>D</v>
      </c>
      <c r="W23" s="49" t="str">
        <f>MID(VLOOKUP($A23,Seqs!$A:$B,2,FALSE),VLOOKUP($A23,'SegEnds_NonXtal_Prot#'!A:AL,10,FALSE)+6,1)</f>
        <v>L</v>
      </c>
      <c r="X23" s="49" t="str">
        <f>MID(VLOOKUP($A23,Seqs!$A:$B,2,FALSE),VLOOKUP($A23,'SegEnds_NonXtal_Prot#'!A:AL,10,FALSE)+7,1)</f>
        <v>V</v>
      </c>
      <c r="Y23" s="49" t="str">
        <f>MID(VLOOKUP($A23,Seqs!$A:$B,2,FALSE),VLOOKUP($A23,'SegEnds_NonXtal_Prot#'!A:AL,10,FALSE)+8,1)</f>
        <v>M</v>
      </c>
      <c r="Z23" s="49" t="str">
        <f>MID(VLOOKUP($A23,Seqs!$A:$B,2,FALSE),VLOOKUP($A23,'SegEnds_NonXtal_Prot#'!A:AL,10,FALSE)+9,1)</f>
        <v>P</v>
      </c>
      <c r="AA23" s="49" t="str">
        <f>MID(VLOOKUP($A23,Seqs!$A:$B,2,FALSE),VLOOKUP($A23,'SegEnds_NonXtal_Prot#'!A:AL,10,FALSE)+10,1)</f>
        <v>L</v>
      </c>
      <c r="AB23" s="28" t="str">
        <f>MID(VLOOKUP($A23,Seqs!$A:$B,2,FALSE),VLOOKUP($A23,'SegEnds_NonXtal_Prot#'!$A:$AL,22,FALSE)+6,1)</f>
        <v>V</v>
      </c>
      <c r="AC23" s="49" t="str">
        <f>MID(VLOOKUP($A23,Seqs!$A:$B,2,FALSE),VLOOKUP($A23,'SegEnds_NonXtal_Prot#'!$A:$AL,22,FALSE)+7,1)</f>
        <v>S</v>
      </c>
      <c r="AD23" s="49" t="str">
        <f>MID(VLOOKUP($A23,Seqs!$A:$B,2,FALSE),VLOOKUP($A23,'SegEnds_NonXtal_Prot#'!$A:$AL,22,FALSE)+8,1)</f>
        <v>V</v>
      </c>
      <c r="AE23" s="49" t="str">
        <f>MID(VLOOKUP($A23,Seqs!$A:$B,2,FALSE),VLOOKUP($A23,'SegEnds_NonXtal_Prot#'!$A:$AL,22,FALSE)+9,1)</f>
        <v>P</v>
      </c>
      <c r="AF23" s="49" t="str">
        <f>MID(VLOOKUP($A23,Seqs!$A:$B,2,FALSE),VLOOKUP($A23,'SegEnds_NonXtal_Prot#'!$A:$AL,22,FALSE)+10,1)</f>
        <v>I</v>
      </c>
      <c r="AG23" s="28" t="str">
        <f>MID(VLOOKUP($A23,Seqs!$A:$B,2,FALSE),VLOOKUP($A23,'SegEnds_NonXtal_Prot#'!$A:$AL,28,FALSE)-4,1)</f>
        <v>A</v>
      </c>
      <c r="AH23" s="49" t="str">
        <f>MID(VLOOKUP($A23,Seqs!$A:$B,2,FALSE),VLOOKUP($A23,'SegEnds_NonXtal_Prot#'!$A:$AL,28,FALSE),1)</f>
        <v>P</v>
      </c>
    </row>
    <row r="24" spans="1:34" s="2" customFormat="1" x14ac:dyDescent="0.2">
      <c r="A24" s="2" t="s">
        <v>230</v>
      </c>
      <c r="B24" s="2" t="str">
        <f>LOWER(VLOOKUP(A24,Xtal_Templ!A:B,2,FALSE))</f>
        <v>ox1r_human</v>
      </c>
      <c r="C24" s="2" t="str">
        <f>VLOOKUP(A24,Classification!A:D,2,FALSE)</f>
        <v>A</v>
      </c>
      <c r="D24" s="2" t="str">
        <f>IF(ISERROR(MATCH(A24,'SegEnds_Xtal_Prot#'!B:B, 0)), "NoXtal", "Xtal")</f>
        <v>NoXtal</v>
      </c>
      <c r="G24" s="2" t="s">
        <v>5</v>
      </c>
      <c r="H24" s="4"/>
      <c r="R24" s="2" t="s">
        <v>9</v>
      </c>
      <c r="T24" s="4" t="s">
        <v>12</v>
      </c>
      <c r="V24" s="28" t="str">
        <f>MID(VLOOKUP($A24,Seqs!$A:$B,2,FALSE),VLOOKUP($A24,'SegEnds_NonXtal_Prot#'!A:AL,10,FALSE),1)</f>
        <v>D</v>
      </c>
      <c r="W24" s="49" t="str">
        <f>MID(VLOOKUP($A24,Seqs!$A:$B,2,FALSE),VLOOKUP($A24,'SegEnds_NonXtal_Prot#'!A:AL,10,FALSE)+6,1)</f>
        <v>V</v>
      </c>
      <c r="X24" s="49" t="str">
        <f>MID(VLOOKUP($A24,Seqs!$A:$B,2,FALSE),VLOOKUP($A24,'SegEnds_NonXtal_Prot#'!A:AL,10,FALSE)+7,1)</f>
        <v>C</v>
      </c>
      <c r="Y24" s="49" t="str">
        <f>MID(VLOOKUP($A24,Seqs!$A:$B,2,FALSE),VLOOKUP($A24,'SegEnds_NonXtal_Prot#'!A:AL,10,FALSE)+8,1)</f>
        <v>F</v>
      </c>
      <c r="Z24" s="49" t="str">
        <f>MID(VLOOKUP($A24,Seqs!$A:$B,2,FALSE),VLOOKUP($A24,'SegEnds_NonXtal_Prot#'!A:AL,10,FALSE)+9,1)</f>
        <v>P</v>
      </c>
      <c r="AA24" s="49" t="str">
        <f>MID(VLOOKUP($A24,Seqs!$A:$B,2,FALSE),VLOOKUP($A24,'SegEnds_NonXtal_Prot#'!A:AL,10,FALSE)+10,1)</f>
        <v>F</v>
      </c>
      <c r="AB24" s="28" t="str">
        <f>MID(VLOOKUP($A24,Seqs!$A:$B,2,FALSE),VLOOKUP($A24,'SegEnds_NonXtal_Prot#'!$A:$AL,22,FALSE)+6,1)</f>
        <v>M</v>
      </c>
      <c r="AC24" s="49" t="str">
        <f>MID(VLOOKUP($A24,Seqs!$A:$B,2,FALSE),VLOOKUP($A24,'SegEnds_NonXtal_Prot#'!$A:$AL,22,FALSE)+7,1)</f>
        <v>A</v>
      </c>
      <c r="AD24" s="49" t="str">
        <f>MID(VLOOKUP($A24,Seqs!$A:$B,2,FALSE),VLOOKUP($A24,'SegEnds_NonXtal_Prot#'!$A:$AL,22,FALSE)+8,1)</f>
        <v>F</v>
      </c>
      <c r="AE24" s="49" t="str">
        <f>MID(VLOOKUP($A24,Seqs!$A:$B,2,FALSE),VLOOKUP($A24,'SegEnds_NonXtal_Prot#'!$A:$AL,22,FALSE)+9,1)</f>
        <v>P</v>
      </c>
      <c r="AF24" s="49" t="str">
        <f>MID(VLOOKUP($A24,Seqs!$A:$B,2,FALSE),VLOOKUP($A24,'SegEnds_NonXtal_Prot#'!$A:$AL,22,FALSE)+10,1)</f>
        <v>P</v>
      </c>
      <c r="AG24" s="28" t="str">
        <f>MID(VLOOKUP($A24,Seqs!$A:$B,2,FALSE),VLOOKUP($A24,'SegEnds_NonXtal_Prot#'!$A:$AL,28,FALSE)-4,1)</f>
        <v>T</v>
      </c>
      <c r="AH24" s="49" t="str">
        <f>MID(VLOOKUP($A24,Seqs!$A:$B,2,FALSE),VLOOKUP($A24,'SegEnds_NonXtal_Prot#'!$A:$AL,28,FALSE),1)</f>
        <v>P</v>
      </c>
    </row>
    <row r="25" spans="1:34" s="2" customFormat="1" x14ac:dyDescent="0.2">
      <c r="A25" s="2" t="s">
        <v>248</v>
      </c>
      <c r="B25" s="2" t="str">
        <f>LOWER(VLOOKUP(A25,Xtal_Templ!A:B,2,FALSE))</f>
        <v>ox1r_human</v>
      </c>
      <c r="C25" s="2" t="str">
        <f>VLOOKUP(A25,Classification!A:D,2,FALSE)</f>
        <v>A</v>
      </c>
      <c r="D25" s="2" t="str">
        <f>IF(ISERROR(MATCH(A25,'SegEnds_Xtal_Prot#'!B:B, 0)), "NoXtal", "Xtal")</f>
        <v>NoXtal</v>
      </c>
      <c r="G25" s="2" t="s">
        <v>5</v>
      </c>
      <c r="H25" s="4"/>
      <c r="T25" s="4" t="s">
        <v>12</v>
      </c>
      <c r="V25" s="28" t="str">
        <f>MID(VLOOKUP($A25,Seqs!$A:$B,2,FALSE),VLOOKUP($A25,'SegEnds_NonXtal_Prot#'!A:AL,10,FALSE),1)</f>
        <v>D</v>
      </c>
      <c r="W25" s="49" t="str">
        <f>MID(VLOOKUP($A25,Seqs!$A:$B,2,FALSE),VLOOKUP($A25,'SegEnds_NonXtal_Prot#'!A:AL,10,FALSE)+6,1)</f>
        <v>A</v>
      </c>
      <c r="X25" s="49" t="str">
        <f>MID(VLOOKUP($A25,Seqs!$A:$B,2,FALSE),VLOOKUP($A25,'SegEnds_NonXtal_Prot#'!A:AL,10,FALSE)+7,1)</f>
        <v>C</v>
      </c>
      <c r="Y25" s="49" t="str">
        <f>MID(VLOOKUP($A25,Seqs!$A:$B,2,FALSE),VLOOKUP($A25,'SegEnds_NonXtal_Prot#'!A:AL,10,FALSE)+8,1)</f>
        <v>L</v>
      </c>
      <c r="Z25" s="49" t="str">
        <f>MID(VLOOKUP($A25,Seqs!$A:$B,2,FALSE),VLOOKUP($A25,'SegEnds_NonXtal_Prot#'!A:AL,10,FALSE)+9,1)</f>
        <v>P</v>
      </c>
      <c r="AA25" s="49" t="str">
        <f>MID(VLOOKUP($A25,Seqs!$A:$B,2,FALSE),VLOOKUP($A25,'SegEnds_NonXtal_Prot#'!A:AL,10,FALSE)+10,1)</f>
        <v>A</v>
      </c>
      <c r="AB25" s="28" t="str">
        <f>MID(VLOOKUP($A25,Seqs!$A:$B,2,FALSE),VLOOKUP($A25,'SegEnds_NonXtal_Prot#'!$A:$AL,22,FALSE)+6,1)</f>
        <v>A</v>
      </c>
      <c r="AC25" s="49" t="str">
        <f>MID(VLOOKUP($A25,Seqs!$A:$B,2,FALSE),VLOOKUP($A25,'SegEnds_NonXtal_Prot#'!$A:$AL,22,FALSE)+7,1)</f>
        <v>A</v>
      </c>
      <c r="AD25" s="49" t="str">
        <f>MID(VLOOKUP($A25,Seqs!$A:$B,2,FALSE),VLOOKUP($A25,'SegEnds_NonXtal_Prot#'!$A:$AL,22,FALSE)+8,1)</f>
        <v>F</v>
      </c>
      <c r="AE25" s="49" t="str">
        <f>MID(VLOOKUP($A25,Seqs!$A:$B,2,FALSE),VLOOKUP($A25,'SegEnds_NonXtal_Prot#'!$A:$AL,22,FALSE)+9,1)</f>
        <v>P</v>
      </c>
      <c r="AF25" s="49" t="str">
        <f>MID(VLOOKUP($A25,Seqs!$A:$B,2,FALSE),VLOOKUP($A25,'SegEnds_NonXtal_Prot#'!$A:$AL,22,FALSE)+10,1)</f>
        <v>P</v>
      </c>
      <c r="AG25" s="28" t="str">
        <f>MID(VLOOKUP($A25,Seqs!$A:$B,2,FALSE),VLOOKUP($A25,'SegEnds_NonXtal_Prot#'!$A:$AL,28,FALSE)-4,1)</f>
        <v>G</v>
      </c>
      <c r="AH25" s="49" t="str">
        <f>MID(VLOOKUP($A25,Seqs!$A:$B,2,FALSE),VLOOKUP($A25,'SegEnds_NonXtal_Prot#'!$A:$AL,28,FALSE),1)</f>
        <v>L</v>
      </c>
    </row>
    <row r="26" spans="1:34" s="2" customFormat="1" x14ac:dyDescent="0.2">
      <c r="A26" s="2" t="s">
        <v>271</v>
      </c>
      <c r="B26" s="2" t="str">
        <f>LOWER(VLOOKUP(A26,Xtal_Templ!A:B,2,FALSE))</f>
        <v>5ht2c_human</v>
      </c>
      <c r="C26" s="2" t="str">
        <f>VLOOKUP(A26,Classification!A:D,2,FALSE)</f>
        <v>A</v>
      </c>
      <c r="D26" s="2" t="str">
        <f>IF(ISERROR(MATCH(A26,'SegEnds_Xtal_Prot#'!B:B, 0)), "NoXtal", "Xtal")</f>
        <v>NoXtal</v>
      </c>
      <c r="G26" s="2" t="s">
        <v>5</v>
      </c>
      <c r="H26" s="4"/>
      <c r="R26" s="2" t="s">
        <v>9</v>
      </c>
      <c r="T26" s="4" t="s">
        <v>12</v>
      </c>
      <c r="V26" s="28" t="str">
        <f>MID(VLOOKUP($A26,Seqs!$A:$B,2,FALSE),VLOOKUP($A26,'SegEnds_NonXtal_Prot#'!A:AL,10,FALSE),1)</f>
        <v>D</v>
      </c>
      <c r="W26" s="49" t="str">
        <f>MID(VLOOKUP($A26,Seqs!$A:$B,2,FALSE),VLOOKUP($A26,'SegEnds_NonXtal_Prot#'!A:AL,10,FALSE)+6,1)</f>
        <v>I</v>
      </c>
      <c r="X26" s="49" t="str">
        <f>MID(VLOOKUP($A26,Seqs!$A:$B,2,FALSE),VLOOKUP($A26,'SegEnds_NonXtal_Prot#'!A:AL,10,FALSE)+7,1)</f>
        <v>C</v>
      </c>
      <c r="Y26" s="49" t="str">
        <f>MID(VLOOKUP($A26,Seqs!$A:$B,2,FALSE),VLOOKUP($A26,'SegEnds_NonXtal_Prot#'!A:AL,10,FALSE)+8,1)</f>
        <v>F</v>
      </c>
      <c r="Z26" s="49" t="str">
        <f>MID(VLOOKUP($A26,Seqs!$A:$B,2,FALSE),VLOOKUP($A26,'SegEnds_NonXtal_Prot#'!A:AL,10,FALSE)+9,1)</f>
        <v>P</v>
      </c>
      <c r="AA26" s="49" t="str">
        <f>MID(VLOOKUP($A26,Seqs!$A:$B,2,FALSE),VLOOKUP($A26,'SegEnds_NonXtal_Prot#'!A:AL,10,FALSE)+10,1)</f>
        <v>F</v>
      </c>
      <c r="AB26" s="28" t="str">
        <f>MID(VLOOKUP($A26,Seqs!$A:$B,2,FALSE),VLOOKUP($A26,'SegEnds_NonXtal_Prot#'!$A:$AL,22,FALSE)+6,1)</f>
        <v>M</v>
      </c>
      <c r="AC26" s="49" t="str">
        <f>MID(VLOOKUP($A26,Seqs!$A:$B,2,FALSE),VLOOKUP($A26,'SegEnds_NonXtal_Prot#'!$A:$AL,22,FALSE)+7,1)</f>
        <v>A</v>
      </c>
      <c r="AD26" s="49" t="str">
        <f>MID(VLOOKUP($A26,Seqs!$A:$B,2,FALSE),VLOOKUP($A26,'SegEnds_NonXtal_Prot#'!$A:$AL,22,FALSE)+8,1)</f>
        <v>F</v>
      </c>
      <c r="AE26" s="49" t="str">
        <f>MID(VLOOKUP($A26,Seqs!$A:$B,2,FALSE),VLOOKUP($A26,'SegEnds_NonXtal_Prot#'!$A:$AL,22,FALSE)+9,1)</f>
        <v>P</v>
      </c>
      <c r="AF26" s="49" t="str">
        <f>MID(VLOOKUP($A26,Seqs!$A:$B,2,FALSE),VLOOKUP($A26,'SegEnds_NonXtal_Prot#'!$A:$AL,22,FALSE)+10,1)</f>
        <v>P</v>
      </c>
      <c r="AG26" s="28" t="str">
        <f>MID(VLOOKUP($A26,Seqs!$A:$B,2,FALSE),VLOOKUP($A26,'SegEnds_NonXtal_Prot#'!$A:$AL,28,FALSE)-4,1)</f>
        <v>T</v>
      </c>
      <c r="AH26" s="49" t="str">
        <f>MID(VLOOKUP($A26,Seqs!$A:$B,2,FALSE),VLOOKUP($A26,'SegEnds_NonXtal_Prot#'!$A:$AL,28,FALSE),1)</f>
        <v>P</v>
      </c>
    </row>
    <row r="27" spans="1:34" s="2" customFormat="1" x14ac:dyDescent="0.2">
      <c r="A27" s="2" t="s">
        <v>138</v>
      </c>
      <c r="B27" s="2" t="str">
        <f>LOWER(VLOOKUP(A27,Xtal_Templ!A:B,2,FALSE))</f>
        <v>aa1r_human</v>
      </c>
      <c r="C27" s="2" t="str">
        <f>VLOOKUP(A27,Classification!A:D,2,FALSE)</f>
        <v>A</v>
      </c>
      <c r="D27" s="2" t="str">
        <f>IF(ISERROR(MATCH(A27,'SegEnds_Xtal_Prot#'!B:B, 0)), "NoXtal", "Xtal")</f>
        <v>Xtal</v>
      </c>
      <c r="G27" s="2" t="s">
        <v>5</v>
      </c>
      <c r="H27" s="4"/>
      <c r="O27" s="2" t="s">
        <v>1325</v>
      </c>
      <c r="R27" s="2" t="s">
        <v>9</v>
      </c>
      <c r="T27" s="4" t="s">
        <v>12</v>
      </c>
      <c r="V27" s="28" t="str">
        <f>MID(VLOOKUP($A27,Seqs!$A:$B,2,FALSE),VLOOKUP($A27,'SegEnds_NonXtal_Prot#'!A:AL,10,FALSE),1)</f>
        <v>D</v>
      </c>
      <c r="W27" s="49" t="str">
        <f>MID(VLOOKUP($A27,Seqs!$A:$B,2,FALSE),VLOOKUP($A27,'SegEnds_NonXtal_Prot#'!A:AL,10,FALSE)+6,1)</f>
        <v>L</v>
      </c>
      <c r="X27" s="49" t="str">
        <f>MID(VLOOKUP($A27,Seqs!$A:$B,2,FALSE),VLOOKUP($A27,'SegEnds_NonXtal_Prot#'!A:AL,10,FALSE)+7,1)</f>
        <v>V</v>
      </c>
      <c r="Y27" s="49" t="str">
        <f>MID(VLOOKUP($A27,Seqs!$A:$B,2,FALSE),VLOOKUP($A27,'SegEnds_NonXtal_Prot#'!A:AL,10,FALSE)+8,1)</f>
        <v>I</v>
      </c>
      <c r="Z27" s="49" t="str">
        <f>MID(VLOOKUP($A27,Seqs!$A:$B,2,FALSE),VLOOKUP($A27,'SegEnds_NonXtal_Prot#'!A:AL,10,FALSE)+9,1)</f>
        <v>P</v>
      </c>
      <c r="AA27" s="49" t="str">
        <f>MID(VLOOKUP($A27,Seqs!$A:$B,2,FALSE),VLOOKUP($A27,'SegEnds_NonXtal_Prot#'!A:AL,10,FALSE)+10,1)</f>
        <v>L</v>
      </c>
      <c r="AB27" s="28" t="str">
        <f>MID(VLOOKUP($A27,Seqs!$A:$B,2,FALSE),VLOOKUP($A27,'SegEnds_NonXtal_Prot#'!$A:$AL,22,FALSE)+6,1)</f>
        <v>V</v>
      </c>
      <c r="AC27" s="49" t="str">
        <f>MID(VLOOKUP($A27,Seqs!$A:$B,2,FALSE),VLOOKUP($A27,'SegEnds_NonXtal_Prot#'!$A:$AL,22,FALSE)+7,1)</f>
        <v>G</v>
      </c>
      <c r="AD27" s="49" t="str">
        <f>MID(VLOOKUP($A27,Seqs!$A:$B,2,FALSE),VLOOKUP($A27,'SegEnds_NonXtal_Prot#'!$A:$AL,22,FALSE)+8,1)</f>
        <v>L</v>
      </c>
      <c r="AE27" s="49" t="str">
        <f>MID(VLOOKUP($A27,Seqs!$A:$B,2,FALSE),VLOOKUP($A27,'SegEnds_NonXtal_Prot#'!$A:$AL,22,FALSE)+9,1)</f>
        <v>T</v>
      </c>
      <c r="AF27" s="49" t="str">
        <f>MID(VLOOKUP($A27,Seqs!$A:$B,2,FALSE),VLOOKUP($A27,'SegEnds_NonXtal_Prot#'!$A:$AL,22,FALSE)+10,1)</f>
        <v>P</v>
      </c>
      <c r="AG27" s="28" t="str">
        <f>MID(VLOOKUP($A27,Seqs!$A:$B,2,FALSE),VLOOKUP($A27,'SegEnds_NonXtal_Prot#'!$A:$AL,28,FALSE)-4,1)</f>
        <v>W</v>
      </c>
      <c r="AH27" s="49" t="str">
        <f>MID(VLOOKUP($A27,Seqs!$A:$B,2,FALSE),VLOOKUP($A27,'SegEnds_NonXtal_Prot#'!$A:$AL,28,FALSE),1)</f>
        <v>P</v>
      </c>
    </row>
    <row r="28" spans="1:34" s="2" customFormat="1" x14ac:dyDescent="0.2">
      <c r="A28" s="2" t="s">
        <v>139</v>
      </c>
      <c r="B28" s="2" t="str">
        <f>LOWER(VLOOKUP(A28,Xtal_Templ!A:B,2,FALSE))</f>
        <v>aa2ar_human</v>
      </c>
      <c r="C28" s="2" t="str">
        <f>VLOOKUP(A28,Classification!A:D,2,FALSE)</f>
        <v>A</v>
      </c>
      <c r="D28" s="2" t="str">
        <f>IF(ISERROR(MATCH(A28,'SegEnds_Xtal_Prot#'!B:B, 0)), "NoXtal", "Xtal")</f>
        <v>Xtal</v>
      </c>
      <c r="G28" s="2" t="s">
        <v>5</v>
      </c>
      <c r="H28" s="4"/>
      <c r="O28" s="2" t="s">
        <v>1325</v>
      </c>
      <c r="R28" s="2" t="s">
        <v>9</v>
      </c>
      <c r="T28" s="4" t="s">
        <v>12</v>
      </c>
      <c r="V28" s="28" t="str">
        <f>MID(VLOOKUP($A28,Seqs!$A:$B,2,FALSE),VLOOKUP($A28,'SegEnds_NonXtal_Prot#'!A:AL,10,FALSE),1)</f>
        <v>D</v>
      </c>
      <c r="W28" s="49" t="str">
        <f>MID(VLOOKUP($A28,Seqs!$A:$B,2,FALSE),VLOOKUP($A28,'SegEnds_NonXtal_Prot#'!A:AL,10,FALSE)+6,1)</f>
        <v>L</v>
      </c>
      <c r="X28" s="49" t="str">
        <f>MID(VLOOKUP($A28,Seqs!$A:$B,2,FALSE),VLOOKUP($A28,'SegEnds_NonXtal_Prot#'!A:AL,10,FALSE)+7,1)</f>
        <v>A</v>
      </c>
      <c r="Y28" s="49" t="str">
        <f>MID(VLOOKUP($A28,Seqs!$A:$B,2,FALSE),VLOOKUP($A28,'SegEnds_NonXtal_Prot#'!A:AL,10,FALSE)+8,1)</f>
        <v>I</v>
      </c>
      <c r="Z28" s="49" t="str">
        <f>MID(VLOOKUP($A28,Seqs!$A:$B,2,FALSE),VLOOKUP($A28,'SegEnds_NonXtal_Prot#'!A:AL,10,FALSE)+9,1)</f>
        <v>P</v>
      </c>
      <c r="AA28" s="49" t="str">
        <f>MID(VLOOKUP($A28,Seqs!$A:$B,2,FALSE),VLOOKUP($A28,'SegEnds_NonXtal_Prot#'!A:AL,10,FALSE)+10,1)</f>
        <v>F</v>
      </c>
      <c r="AB28" s="28" t="str">
        <f>MID(VLOOKUP($A28,Seqs!$A:$B,2,FALSE),VLOOKUP($A28,'SegEnds_NonXtal_Prot#'!$A:$AL,22,FALSE)+6,1)</f>
        <v>I</v>
      </c>
      <c r="AC28" s="49" t="str">
        <f>MID(VLOOKUP($A28,Seqs!$A:$B,2,FALSE),VLOOKUP($A28,'SegEnds_NonXtal_Prot#'!$A:$AL,22,FALSE)+7,1)</f>
        <v>G</v>
      </c>
      <c r="AD28" s="49" t="str">
        <f>MID(VLOOKUP($A28,Seqs!$A:$B,2,FALSE),VLOOKUP($A28,'SegEnds_NonXtal_Prot#'!$A:$AL,22,FALSE)+8,1)</f>
        <v>L</v>
      </c>
      <c r="AE28" s="49" t="str">
        <f>MID(VLOOKUP($A28,Seqs!$A:$B,2,FALSE),VLOOKUP($A28,'SegEnds_NonXtal_Prot#'!$A:$AL,22,FALSE)+9,1)</f>
        <v>T</v>
      </c>
      <c r="AF28" s="49" t="str">
        <f>MID(VLOOKUP($A28,Seqs!$A:$B,2,FALSE),VLOOKUP($A28,'SegEnds_NonXtal_Prot#'!$A:$AL,22,FALSE)+10,1)</f>
        <v>P</v>
      </c>
      <c r="AG28" s="28" t="str">
        <f>MID(VLOOKUP($A28,Seqs!$A:$B,2,FALSE),VLOOKUP($A28,'SegEnds_NonXtal_Prot#'!$A:$AL,28,FALSE)-4,1)</f>
        <v>C</v>
      </c>
      <c r="AH28" s="49" t="str">
        <f>MID(VLOOKUP($A28,Seqs!$A:$B,2,FALSE),VLOOKUP($A28,'SegEnds_NonXtal_Prot#'!$A:$AL,28,FALSE),1)</f>
        <v>P</v>
      </c>
    </row>
    <row r="29" spans="1:34" s="2" customFormat="1" x14ac:dyDescent="0.2">
      <c r="A29" s="2" t="s">
        <v>140</v>
      </c>
      <c r="B29" s="2" t="str">
        <f>LOWER(VLOOKUP(A29,Xtal_Templ!A:B,2,FALSE))</f>
        <v>aa2ar_human</v>
      </c>
      <c r="C29" s="2" t="str">
        <f>VLOOKUP(A29,Classification!A:D,2,FALSE)</f>
        <v>A</v>
      </c>
      <c r="D29" s="2" t="str">
        <f>IF(ISERROR(MATCH(A29,'SegEnds_Xtal_Prot#'!B:B, 0)), "NoXtal", "Xtal")</f>
        <v>NoXtal</v>
      </c>
      <c r="G29" s="2" t="s">
        <v>5</v>
      </c>
      <c r="H29" s="4"/>
      <c r="O29" s="2" t="s">
        <v>1325</v>
      </c>
      <c r="R29" s="2" t="s">
        <v>9</v>
      </c>
      <c r="T29" s="4" t="s">
        <v>12</v>
      </c>
      <c r="V29" s="28" t="str">
        <f>MID(VLOOKUP($A29,Seqs!$A:$B,2,FALSE),VLOOKUP($A29,'SegEnds_NonXtal_Prot#'!A:AL,10,FALSE),1)</f>
        <v>D</v>
      </c>
      <c r="W29" s="49" t="str">
        <f>MID(VLOOKUP($A29,Seqs!$A:$B,2,FALSE),VLOOKUP($A29,'SegEnds_NonXtal_Prot#'!A:AL,10,FALSE)+6,1)</f>
        <v>F</v>
      </c>
      <c r="X29" s="49" t="str">
        <f>MID(VLOOKUP($A29,Seqs!$A:$B,2,FALSE),VLOOKUP($A29,'SegEnds_NonXtal_Prot#'!A:AL,10,FALSE)+7,1)</f>
        <v>A</v>
      </c>
      <c r="Y29" s="49" t="str">
        <f>MID(VLOOKUP($A29,Seqs!$A:$B,2,FALSE),VLOOKUP($A29,'SegEnds_NonXtal_Prot#'!A:AL,10,FALSE)+8,1)</f>
        <v>I</v>
      </c>
      <c r="Z29" s="49" t="str">
        <f>MID(VLOOKUP($A29,Seqs!$A:$B,2,FALSE),VLOOKUP($A29,'SegEnds_NonXtal_Prot#'!A:AL,10,FALSE)+9,1)</f>
        <v>P</v>
      </c>
      <c r="AA29" s="49" t="str">
        <f>MID(VLOOKUP($A29,Seqs!$A:$B,2,FALSE),VLOOKUP($A29,'SegEnds_NonXtal_Prot#'!A:AL,10,FALSE)+10,1)</f>
        <v>F</v>
      </c>
      <c r="AB29" s="28" t="str">
        <f>MID(VLOOKUP($A29,Seqs!$A:$B,2,FALSE),VLOOKUP($A29,'SegEnds_NonXtal_Prot#'!$A:$AL,22,FALSE)+6,1)</f>
        <v>I</v>
      </c>
      <c r="AC29" s="49" t="str">
        <f>MID(VLOOKUP($A29,Seqs!$A:$B,2,FALSE),VLOOKUP($A29,'SegEnds_NonXtal_Prot#'!$A:$AL,22,FALSE)+7,1)</f>
        <v>G</v>
      </c>
      <c r="AD29" s="49" t="str">
        <f>MID(VLOOKUP($A29,Seqs!$A:$B,2,FALSE),VLOOKUP($A29,'SegEnds_NonXtal_Prot#'!$A:$AL,22,FALSE)+8,1)</f>
        <v>L</v>
      </c>
      <c r="AE29" s="49" t="str">
        <f>MID(VLOOKUP($A29,Seqs!$A:$B,2,FALSE),VLOOKUP($A29,'SegEnds_NonXtal_Prot#'!$A:$AL,22,FALSE)+9,1)</f>
        <v>T</v>
      </c>
      <c r="AF29" s="49" t="str">
        <f>MID(VLOOKUP($A29,Seqs!$A:$B,2,FALSE),VLOOKUP($A29,'SegEnds_NonXtal_Prot#'!$A:$AL,22,FALSE)+10,1)</f>
        <v>P</v>
      </c>
      <c r="AG29" s="28" t="str">
        <f>MID(VLOOKUP($A29,Seqs!$A:$B,2,FALSE),VLOOKUP($A29,'SegEnds_NonXtal_Prot#'!$A:$AL,28,FALSE)-4,1)</f>
        <v>C</v>
      </c>
      <c r="AH29" s="49" t="str">
        <f>MID(VLOOKUP($A29,Seqs!$A:$B,2,FALSE),VLOOKUP($A29,'SegEnds_NonXtal_Prot#'!$A:$AL,28,FALSE),1)</f>
        <v>P</v>
      </c>
    </row>
    <row r="30" spans="1:34" s="2" customFormat="1" x14ac:dyDescent="0.2">
      <c r="A30" s="2" t="s">
        <v>141</v>
      </c>
      <c r="B30" s="2" t="str">
        <f>LOWER(VLOOKUP(A30,Xtal_Templ!A:B,2,FALSE))</f>
        <v>aa1r_human</v>
      </c>
      <c r="C30" s="2" t="str">
        <f>VLOOKUP(A30,Classification!A:D,2,FALSE)</f>
        <v>A</v>
      </c>
      <c r="D30" s="2" t="str">
        <f>IF(ISERROR(MATCH(A30,'SegEnds_Xtal_Prot#'!B:B, 0)), "NoXtal", "Xtal")</f>
        <v>NoXtal</v>
      </c>
      <c r="G30" s="2" t="s">
        <v>5</v>
      </c>
      <c r="H30" s="4"/>
      <c r="O30" s="2" t="s">
        <v>1325</v>
      </c>
      <c r="R30" s="2" t="s">
        <v>9</v>
      </c>
      <c r="T30" s="4" t="s">
        <v>12</v>
      </c>
      <c r="V30" s="28" t="str">
        <f>MID(VLOOKUP($A30,Seqs!$A:$B,2,FALSE),VLOOKUP($A30,'SegEnds_NonXtal_Prot#'!A:AL,10,FALSE),1)</f>
        <v>D</v>
      </c>
      <c r="W30" s="49" t="str">
        <f>MID(VLOOKUP($A30,Seqs!$A:$B,2,FALSE),VLOOKUP($A30,'SegEnds_NonXtal_Prot#'!A:AL,10,FALSE)+6,1)</f>
        <v>L</v>
      </c>
      <c r="X30" s="49" t="str">
        <f>MID(VLOOKUP($A30,Seqs!$A:$B,2,FALSE),VLOOKUP($A30,'SegEnds_NonXtal_Prot#'!A:AL,10,FALSE)+7,1)</f>
        <v>V</v>
      </c>
      <c r="Y30" s="49" t="str">
        <f>MID(VLOOKUP($A30,Seqs!$A:$B,2,FALSE),VLOOKUP($A30,'SegEnds_NonXtal_Prot#'!A:AL,10,FALSE)+8,1)</f>
        <v>M</v>
      </c>
      <c r="Z30" s="49" t="str">
        <f>MID(VLOOKUP($A30,Seqs!$A:$B,2,FALSE),VLOOKUP($A30,'SegEnds_NonXtal_Prot#'!A:AL,10,FALSE)+9,1)</f>
        <v>P</v>
      </c>
      <c r="AA30" s="49" t="str">
        <f>MID(VLOOKUP($A30,Seqs!$A:$B,2,FALSE),VLOOKUP($A30,'SegEnds_NonXtal_Prot#'!A:AL,10,FALSE)+10,1)</f>
        <v>L</v>
      </c>
      <c r="AB30" s="28" t="str">
        <f>MID(VLOOKUP($A30,Seqs!$A:$B,2,FALSE),VLOOKUP($A30,'SegEnds_NonXtal_Prot#'!$A:$AL,22,FALSE)+6,1)</f>
        <v>V</v>
      </c>
      <c r="AC30" s="49" t="str">
        <f>MID(VLOOKUP($A30,Seqs!$A:$B,2,FALSE),VLOOKUP($A30,'SegEnds_NonXtal_Prot#'!$A:$AL,22,FALSE)+7,1)</f>
        <v>G</v>
      </c>
      <c r="AD30" s="49" t="str">
        <f>MID(VLOOKUP($A30,Seqs!$A:$B,2,FALSE),VLOOKUP($A30,'SegEnds_NonXtal_Prot#'!$A:$AL,22,FALSE)+8,1)</f>
        <v>L</v>
      </c>
      <c r="AE30" s="49" t="str">
        <f>MID(VLOOKUP($A30,Seqs!$A:$B,2,FALSE),VLOOKUP($A30,'SegEnds_NonXtal_Prot#'!$A:$AL,22,FALSE)+9,1)</f>
        <v>T</v>
      </c>
      <c r="AF30" s="49" t="str">
        <f>MID(VLOOKUP($A30,Seqs!$A:$B,2,FALSE),VLOOKUP($A30,'SegEnds_NonXtal_Prot#'!$A:$AL,22,FALSE)+10,1)</f>
        <v>P</v>
      </c>
      <c r="AG30" s="28" t="str">
        <f>MID(VLOOKUP($A30,Seqs!$A:$B,2,FALSE),VLOOKUP($A30,'SegEnds_NonXtal_Prot#'!$A:$AL,28,FALSE)-4,1)</f>
        <v>W</v>
      </c>
      <c r="AH30" s="49" t="str">
        <f>MID(VLOOKUP($A30,Seqs!$A:$B,2,FALSE),VLOOKUP($A30,'SegEnds_NonXtal_Prot#'!$A:$AL,28,FALSE),1)</f>
        <v>P</v>
      </c>
    </row>
    <row r="31" spans="1:34" s="2" customFormat="1" x14ac:dyDescent="0.2">
      <c r="A31" s="2" t="s">
        <v>204</v>
      </c>
      <c r="B31" s="2" t="str">
        <f>LOWER(VLOOKUP(A31,Xtal_Templ!A:B,2,FALSE))</f>
        <v>aa2ar_human</v>
      </c>
      <c r="C31" s="2" t="str">
        <f>VLOOKUP(A31,Classification!A:D,2,FALSE)</f>
        <v>A</v>
      </c>
      <c r="D31" s="2" t="str">
        <f>IF(ISERROR(MATCH(A31,'SegEnds_Xtal_Prot#'!B:B, 0)), "NoXtal", "Xtal")</f>
        <v>NoXtal</v>
      </c>
      <c r="H31" s="4"/>
      <c r="T31" s="4" t="s">
        <v>12</v>
      </c>
      <c r="V31" s="28" t="str">
        <f>MID(VLOOKUP($A31,Seqs!$A:$B,2,FALSE),VLOOKUP($A31,'SegEnds_NonXtal_Prot#'!A:AL,10,FALSE),1)</f>
        <v>D</v>
      </c>
      <c r="W31" s="49" t="str">
        <f>MID(VLOOKUP($A31,Seqs!$A:$B,2,FALSE),VLOOKUP($A31,'SegEnds_NonXtal_Prot#'!A:AL,10,FALSE)+6,1)</f>
        <v>Y</v>
      </c>
      <c r="X31" s="49" t="str">
        <f>MID(VLOOKUP($A31,Seqs!$A:$B,2,FALSE),VLOOKUP($A31,'SegEnds_NonXtal_Prot#'!A:AL,10,FALSE)+7,1)</f>
        <v>L</v>
      </c>
      <c r="Y31" s="49" t="str">
        <f>MID(VLOOKUP($A31,Seqs!$A:$B,2,FALSE),VLOOKUP($A31,'SegEnds_NonXtal_Prot#'!A:AL,10,FALSE)+8,1)</f>
        <v>L</v>
      </c>
      <c r="Z31" s="49" t="str">
        <f>MID(VLOOKUP($A31,Seqs!$A:$B,2,FALSE),VLOOKUP($A31,'SegEnds_NonXtal_Prot#'!A:AL,10,FALSE)+9,1)</f>
        <v>L</v>
      </c>
      <c r="AA31" s="49" t="str">
        <f>MID(VLOOKUP($A31,Seqs!$A:$B,2,FALSE),VLOOKUP($A31,'SegEnds_NonXtal_Prot#'!A:AL,10,FALSE)+10,1)</f>
        <v>I</v>
      </c>
      <c r="AB31" s="28" t="str">
        <f>MID(VLOOKUP($A31,Seqs!$A:$B,2,FALSE),VLOOKUP($A31,'SegEnds_NonXtal_Prot#'!$A:$AL,22,FALSE)+6,1)</f>
        <v>A</v>
      </c>
      <c r="AC31" s="49" t="str">
        <f>MID(VLOOKUP($A31,Seqs!$A:$B,2,FALSE),VLOOKUP($A31,'SegEnds_NonXtal_Prot#'!$A:$AL,22,FALSE)+7,1)</f>
        <v>A</v>
      </c>
      <c r="AD31" s="49" t="str">
        <f>MID(VLOOKUP($A31,Seqs!$A:$B,2,FALSE),VLOOKUP($A31,'SegEnds_NonXtal_Prot#'!$A:$AL,22,FALSE)+8,1)</f>
        <v>L</v>
      </c>
      <c r="AE31" s="49" t="str">
        <f>MID(VLOOKUP($A31,Seqs!$A:$B,2,FALSE),VLOOKUP($A31,'SegEnds_NonXtal_Prot#'!$A:$AL,22,FALSE)+9,1)</f>
        <v>F</v>
      </c>
      <c r="AF31" s="49" t="str">
        <f>MID(VLOOKUP($A31,Seqs!$A:$B,2,FALSE),VLOOKUP($A31,'SegEnds_NonXtal_Prot#'!$A:$AL,22,FALSE)+10,1)</f>
        <v>P</v>
      </c>
      <c r="AG31" s="28" t="str">
        <f>MID(VLOOKUP($A31,Seqs!$A:$B,2,FALSE),VLOOKUP($A31,'SegEnds_NonXtal_Prot#'!$A:$AL,28,FALSE)-4,1)</f>
        <v>L</v>
      </c>
      <c r="AH31" s="49" t="str">
        <f>MID(VLOOKUP($A31,Seqs!$A:$B,2,FALSE),VLOOKUP($A31,'SegEnds_NonXtal_Prot#'!$A:$AL,28,FALSE),1)</f>
        <v>A</v>
      </c>
    </row>
    <row r="32" spans="1:34" s="2" customFormat="1" x14ac:dyDescent="0.2">
      <c r="A32" s="2" t="s">
        <v>284</v>
      </c>
      <c r="B32" s="2" t="str">
        <f>LOWER(VLOOKUP(A32,Xtal_Templ!A:B,2,FALSE))</f>
        <v>aa2ar_human</v>
      </c>
      <c r="C32" s="2" t="str">
        <f>VLOOKUP(A32,Classification!A:D,2,FALSE)</f>
        <v>A</v>
      </c>
      <c r="D32" s="2" t="str">
        <f>IF(ISERROR(MATCH(A32,'SegEnds_Xtal_Prot#'!B:B, 0)), "NoXtal", "Xtal")</f>
        <v>NoXtal</v>
      </c>
      <c r="H32" s="4"/>
      <c r="T32" s="4" t="s">
        <v>12</v>
      </c>
      <c r="V32" s="28" t="str">
        <f>MID(VLOOKUP($A32,Seqs!$A:$B,2,FALSE),VLOOKUP($A32,'SegEnds_NonXtal_Prot#'!A:AL,10,FALSE),1)</f>
        <v>N</v>
      </c>
      <c r="W32" s="49" t="str">
        <f>MID(VLOOKUP($A32,Seqs!$A:$B,2,FALSE),VLOOKUP($A32,'SegEnds_NonXtal_Prot#'!A:AL,10,FALSE)+6,1)</f>
        <v>S</v>
      </c>
      <c r="X32" s="49" t="str">
        <f>MID(VLOOKUP($A32,Seqs!$A:$B,2,FALSE),VLOOKUP($A32,'SegEnds_NonXtal_Prot#'!A:AL,10,FALSE)+7,1)</f>
        <v>S</v>
      </c>
      <c r="Y32" s="49" t="str">
        <f>MID(VLOOKUP($A32,Seqs!$A:$B,2,FALSE),VLOOKUP($A32,'SegEnds_NonXtal_Prot#'!A:AL,10,FALSE)+8,1)</f>
        <v>A</v>
      </c>
      <c r="Z32" s="49" t="str">
        <f>MID(VLOOKUP($A32,Seqs!$A:$B,2,FALSE),VLOOKUP($A32,'SegEnds_NonXtal_Prot#'!A:AL,10,FALSE)+9,1)</f>
        <v>V</v>
      </c>
      <c r="AA32" s="49" t="str">
        <f>MID(VLOOKUP($A32,Seqs!$A:$B,2,FALSE),VLOOKUP($A32,'SegEnds_NonXtal_Prot#'!A:AL,10,FALSE)+10,1)</f>
        <v>L</v>
      </c>
      <c r="AB32" s="28" t="str">
        <f>MID(VLOOKUP($A32,Seqs!$A:$B,2,FALSE),VLOOKUP($A32,'SegEnds_NonXtal_Prot#'!$A:$AL,22,FALSE)+6,1)</f>
        <v>M</v>
      </c>
      <c r="AC32" s="49" t="str">
        <f>MID(VLOOKUP($A32,Seqs!$A:$B,2,FALSE),VLOOKUP($A32,'SegEnds_NonXtal_Prot#'!$A:$AL,22,FALSE)+7,1)</f>
        <v>A</v>
      </c>
      <c r="AD32" s="49" t="str">
        <f>MID(VLOOKUP($A32,Seqs!$A:$B,2,FALSE),VLOOKUP($A32,'SegEnds_NonXtal_Prot#'!$A:$AL,22,FALSE)+8,1)</f>
        <v>A</v>
      </c>
      <c r="AE32" s="49" t="str">
        <f>MID(VLOOKUP($A32,Seqs!$A:$B,2,FALSE),VLOOKUP($A32,'SegEnds_NonXtal_Prot#'!$A:$AL,22,FALSE)+9,1)</f>
        <v>V</v>
      </c>
      <c r="AF32" s="49" t="str">
        <f>MID(VLOOKUP($A32,Seqs!$A:$B,2,FALSE),VLOOKUP($A32,'SegEnds_NonXtal_Prot#'!$A:$AL,22,FALSE)+10,1)</f>
        <v>P</v>
      </c>
      <c r="AG32" s="28" t="str">
        <f>MID(VLOOKUP($A32,Seqs!$A:$B,2,FALSE),VLOOKUP($A32,'SegEnds_NonXtal_Prot#'!$A:$AL,28,FALSE)-4,1)</f>
        <v>L</v>
      </c>
      <c r="AH32" s="49" t="str">
        <f>MID(VLOOKUP($A32,Seqs!$A:$B,2,FALSE),VLOOKUP($A32,'SegEnds_NonXtal_Prot#'!$A:$AL,28,FALSE),1)</f>
        <v>C</v>
      </c>
    </row>
    <row r="33" spans="1:34" s="2" customFormat="1" x14ac:dyDescent="0.2">
      <c r="A33" s="2" t="s">
        <v>291</v>
      </c>
      <c r="B33" s="2" t="str">
        <f>LOWER(VLOOKUP(A33,Xtal_Templ!A:B,2,FALSE))</f>
        <v>hrh1_human</v>
      </c>
      <c r="C33" s="2" t="str">
        <f>VLOOKUP(A33,Classification!A:D,2,FALSE)</f>
        <v>A</v>
      </c>
      <c r="D33" s="2" t="str">
        <f>IF(ISERROR(MATCH(A33,'SegEnds_Xtal_Prot#'!B:B, 0)), "NoXtal", "Xtal")</f>
        <v>NoXtal</v>
      </c>
      <c r="H33" s="4"/>
      <c r="T33" s="4" t="s">
        <v>12</v>
      </c>
      <c r="V33" s="28" t="str">
        <f>MID(VLOOKUP($A33,Seqs!$A:$B,2,FALSE),VLOOKUP($A33,'SegEnds_NonXtal_Prot#'!A:AL,10,FALSE),1)</f>
        <v>D</v>
      </c>
      <c r="W33" s="49" t="str">
        <f>MID(VLOOKUP($A33,Seqs!$A:$B,2,FALSE),VLOOKUP($A33,'SegEnds_NonXtal_Prot#'!A:AL,10,FALSE)+6,1)</f>
        <v>Y</v>
      </c>
      <c r="X33" s="49" t="str">
        <f>MID(VLOOKUP($A33,Seqs!$A:$B,2,FALSE),VLOOKUP($A33,'SegEnds_NonXtal_Prot#'!A:AL,10,FALSE)+7,1)</f>
        <v>L</v>
      </c>
      <c r="Y33" s="49" t="str">
        <f>MID(VLOOKUP($A33,Seqs!$A:$B,2,FALSE),VLOOKUP($A33,'SegEnds_NonXtal_Prot#'!A:AL,10,FALSE)+8,1)</f>
        <v>L</v>
      </c>
      <c r="Z33" s="49" t="str">
        <f>MID(VLOOKUP($A33,Seqs!$A:$B,2,FALSE),VLOOKUP($A33,'SegEnds_NonXtal_Prot#'!A:AL,10,FALSE)+9,1)</f>
        <v>L</v>
      </c>
      <c r="AA33" s="49" t="str">
        <f>MID(VLOOKUP($A33,Seqs!$A:$B,2,FALSE),VLOOKUP($A33,'SegEnds_NonXtal_Prot#'!A:AL,10,FALSE)+10,1)</f>
        <v>I</v>
      </c>
      <c r="AB33" s="28" t="str">
        <f>MID(VLOOKUP($A33,Seqs!$A:$B,2,FALSE),VLOOKUP($A33,'SegEnds_NonXtal_Prot#'!$A:$AL,22,FALSE)+6,1)</f>
        <v>I</v>
      </c>
      <c r="AC33" s="49" t="str">
        <f>MID(VLOOKUP($A33,Seqs!$A:$B,2,FALSE),VLOOKUP($A33,'SegEnds_NonXtal_Prot#'!$A:$AL,22,FALSE)+7,1)</f>
        <v>A</v>
      </c>
      <c r="AD33" s="49" t="str">
        <f>MID(VLOOKUP($A33,Seqs!$A:$B,2,FALSE),VLOOKUP($A33,'SegEnds_NonXtal_Prot#'!$A:$AL,22,FALSE)+8,1)</f>
        <v>M</v>
      </c>
      <c r="AE33" s="49" t="str">
        <f>MID(VLOOKUP($A33,Seqs!$A:$B,2,FALSE),VLOOKUP($A33,'SegEnds_NonXtal_Prot#'!$A:$AL,22,FALSE)+9,1)</f>
        <v>L</v>
      </c>
      <c r="AF33" s="49" t="str">
        <f>MID(VLOOKUP($A33,Seqs!$A:$B,2,FALSE),VLOOKUP($A33,'SegEnds_NonXtal_Prot#'!$A:$AL,22,FALSE)+10,1)</f>
        <v>P</v>
      </c>
      <c r="AG33" s="28" t="str">
        <f>MID(VLOOKUP($A33,Seqs!$A:$B,2,FALSE),VLOOKUP($A33,'SegEnds_NonXtal_Prot#'!$A:$AL,28,FALSE)-4,1)</f>
        <v>L</v>
      </c>
      <c r="AH33" s="49" t="str">
        <f>MID(VLOOKUP($A33,Seqs!$A:$B,2,FALSE),VLOOKUP($A33,'SegEnds_NonXtal_Prot#'!$A:$AL,28,FALSE),1)</f>
        <v>A</v>
      </c>
    </row>
    <row r="34" spans="1:34" s="2" customFormat="1" x14ac:dyDescent="0.2">
      <c r="A34" s="2" t="s">
        <v>298</v>
      </c>
      <c r="B34" s="2" t="str">
        <f>LOWER(VLOOKUP(A34,Xtal_Templ!A:B,2,FALSE))</f>
        <v>lpar1_human</v>
      </c>
      <c r="C34" s="2" t="str">
        <f>VLOOKUP(A34,Classification!A:D,2,FALSE)</f>
        <v>A</v>
      </c>
      <c r="D34" s="2" t="str">
        <f>IF(ISERROR(MATCH(A34,'SegEnds_Xtal_Prot#'!B:B, 0)), "NoXtal", "Xtal")</f>
        <v>NoXtal</v>
      </c>
      <c r="H34" s="4"/>
      <c r="T34" s="4" t="s">
        <v>12</v>
      </c>
      <c r="V34" s="28" t="str">
        <f>MID(VLOOKUP($A34,Seqs!$A:$B,2,FALSE),VLOOKUP($A34,'SegEnds_NonXtal_Prot#'!A:AL,10,FALSE),1)</f>
        <v>D</v>
      </c>
      <c r="W34" s="49" t="str">
        <f>MID(VLOOKUP($A34,Seqs!$A:$B,2,FALSE),VLOOKUP($A34,'SegEnds_NonXtal_Prot#'!A:AL,10,FALSE)+6,1)</f>
        <v>S</v>
      </c>
      <c r="X34" s="49" t="str">
        <f>MID(VLOOKUP($A34,Seqs!$A:$B,2,FALSE),VLOOKUP($A34,'SegEnds_NonXtal_Prot#'!A:AL,10,FALSE)+7,1)</f>
        <v>S</v>
      </c>
      <c r="Y34" s="49" t="str">
        <f>MID(VLOOKUP($A34,Seqs!$A:$B,2,FALSE),VLOOKUP($A34,'SegEnds_NonXtal_Prot#'!A:AL,10,FALSE)+8,1)</f>
        <v>A</v>
      </c>
      <c r="Z34" s="49" t="str">
        <f>MID(VLOOKUP($A34,Seqs!$A:$B,2,FALSE),VLOOKUP($A34,'SegEnds_NonXtal_Prot#'!A:AL,10,FALSE)+9,1)</f>
        <v>W</v>
      </c>
      <c r="AA34" s="49" t="str">
        <f>MID(VLOOKUP($A34,Seqs!$A:$B,2,FALSE),VLOOKUP($A34,'SegEnds_NonXtal_Prot#'!A:AL,10,FALSE)+10,1)</f>
        <v>E</v>
      </c>
      <c r="AB34" s="28" t="str">
        <f>MID(VLOOKUP($A34,Seqs!$A:$B,2,FALSE),VLOOKUP($A34,'SegEnds_NonXtal_Prot#'!$A:$AL,22,FALSE)+6,1)</f>
        <v>C</v>
      </c>
      <c r="AC34" s="49" t="str">
        <f>MID(VLOOKUP($A34,Seqs!$A:$B,2,FALSE),VLOOKUP($A34,'SegEnds_NonXtal_Prot#'!$A:$AL,22,FALSE)+7,1)</f>
        <v>G</v>
      </c>
      <c r="AD34" s="49" t="str">
        <f>MID(VLOOKUP($A34,Seqs!$A:$B,2,FALSE),VLOOKUP($A34,'SegEnds_NonXtal_Prot#'!$A:$AL,22,FALSE)+8,1)</f>
        <v>I</v>
      </c>
      <c r="AE34" s="49" t="str">
        <f>MID(VLOOKUP($A34,Seqs!$A:$B,2,FALSE),VLOOKUP($A34,'SegEnds_NonXtal_Prot#'!$A:$AL,22,FALSE)+9,1)</f>
        <v>V</v>
      </c>
      <c r="AF34" s="49" t="str">
        <f>MID(VLOOKUP($A34,Seqs!$A:$B,2,FALSE),VLOOKUP($A34,'SegEnds_NonXtal_Prot#'!$A:$AL,22,FALSE)+10,1)</f>
        <v>F</v>
      </c>
      <c r="AG34" s="28" t="str">
        <f>MID(VLOOKUP($A34,Seqs!$A:$B,2,FALSE),VLOOKUP($A34,'SegEnds_NonXtal_Prot#'!$A:$AL,28,FALSE)-4,1)</f>
        <v>S</v>
      </c>
      <c r="AH34" s="49" t="str">
        <f>MID(VLOOKUP($A34,Seqs!$A:$B,2,FALSE),VLOOKUP($A34,'SegEnds_NonXtal_Prot#'!$A:$AL,28,FALSE),1)</f>
        <v>H</v>
      </c>
    </row>
    <row r="35" spans="1:34" s="2" customFormat="1" x14ac:dyDescent="0.2">
      <c r="A35" s="2" t="s">
        <v>361</v>
      </c>
      <c r="B35" s="2" t="str">
        <f>LOWER(VLOOKUP(A35,Xtal_Templ!A:B,2,FALSE))</f>
        <v>pe2r3_human</v>
      </c>
      <c r="C35" s="2" t="str">
        <f>VLOOKUP(A35,Classification!A:D,2,FALSE)</f>
        <v>A</v>
      </c>
      <c r="D35" s="2" t="str">
        <f>IF(ISERROR(MATCH(A35,'SegEnds_Xtal_Prot#'!B:B, 0)), "NoXtal", "Xtal")</f>
        <v>NoXtal</v>
      </c>
      <c r="H35" s="4"/>
      <c r="T35" s="4" t="s">
        <v>12</v>
      </c>
      <c r="V35" s="28" t="str">
        <f>MID(VLOOKUP($A35,Seqs!$A:$B,2,FALSE),VLOOKUP($A35,'SegEnds_NonXtal_Prot#'!A:AL,10,FALSE),1)</f>
        <v>D</v>
      </c>
      <c r="W35" s="49" t="str">
        <f>MID(VLOOKUP($A35,Seqs!$A:$B,2,FALSE),VLOOKUP($A35,'SegEnds_NonXtal_Prot#'!A:AL,10,FALSE)+6,1)</f>
        <v>I</v>
      </c>
      <c r="X35" s="49" t="str">
        <f>MID(VLOOKUP($A35,Seqs!$A:$B,2,FALSE),VLOOKUP($A35,'SegEnds_NonXtal_Prot#'!A:AL,10,FALSE)+7,1)</f>
        <v>P</v>
      </c>
      <c r="Y35" s="49" t="str">
        <f>MID(VLOOKUP($A35,Seqs!$A:$B,2,FALSE),VLOOKUP($A35,'SegEnds_NonXtal_Prot#'!A:AL,10,FALSE)+8,1)</f>
        <v>G</v>
      </c>
      <c r="Z35" s="49" t="str">
        <f>MID(VLOOKUP($A35,Seqs!$A:$B,2,FALSE),VLOOKUP($A35,'SegEnds_NonXtal_Prot#'!A:AL,10,FALSE)+9,1)</f>
        <v>A</v>
      </c>
      <c r="AA35" s="49" t="str">
        <f>MID(VLOOKUP($A35,Seqs!$A:$B,2,FALSE),VLOOKUP($A35,'SegEnds_NonXtal_Prot#'!A:AL,10,FALSE)+10,1)</f>
        <v>L</v>
      </c>
      <c r="AB35" s="28" t="str">
        <f>MID(VLOOKUP($A35,Seqs!$A:$B,2,FALSE),VLOOKUP($A35,'SegEnds_NonXtal_Prot#'!$A:$AL,22,FALSE)+6,1)</f>
        <v>V</v>
      </c>
      <c r="AC35" s="49" t="str">
        <f>MID(VLOOKUP($A35,Seqs!$A:$B,2,FALSE),VLOOKUP($A35,'SegEnds_NonXtal_Prot#'!$A:$AL,22,FALSE)+7,1)</f>
        <v>A</v>
      </c>
      <c r="AD35" s="49" t="str">
        <f>MID(VLOOKUP($A35,Seqs!$A:$B,2,FALSE),VLOOKUP($A35,'SegEnds_NonXtal_Prot#'!$A:$AL,22,FALSE)+8,1)</f>
        <v>L</v>
      </c>
      <c r="AE35" s="49" t="str">
        <f>MID(VLOOKUP($A35,Seqs!$A:$B,2,FALSE),VLOOKUP($A35,'SegEnds_NonXtal_Prot#'!$A:$AL,22,FALSE)+9,1)</f>
        <v>L</v>
      </c>
      <c r="AF35" s="49" t="str">
        <f>MID(VLOOKUP($A35,Seqs!$A:$B,2,FALSE),VLOOKUP($A35,'SegEnds_NonXtal_Prot#'!$A:$AL,22,FALSE)+10,1)</f>
        <v>P</v>
      </c>
      <c r="AG35" s="28" t="str">
        <f>MID(VLOOKUP($A35,Seqs!$A:$B,2,FALSE),VLOOKUP($A35,'SegEnds_NonXtal_Prot#'!$A:$AL,28,FALSE)-4,1)</f>
        <v>L</v>
      </c>
      <c r="AH35" s="49" t="str">
        <f>MID(VLOOKUP($A35,Seqs!$A:$B,2,FALSE),VLOOKUP($A35,'SegEnds_NonXtal_Prot#'!$A:$AL,28,FALSE),1)</f>
        <v>L</v>
      </c>
    </row>
    <row r="36" spans="1:34" s="2" customFormat="1" x14ac:dyDescent="0.2">
      <c r="A36" s="2" t="s">
        <v>395</v>
      </c>
      <c r="B36" s="2" t="str">
        <f>LOWER(VLOOKUP(A36,Xtal_Templ!A:B,2,FALSE))</f>
        <v>aa2ar_human</v>
      </c>
      <c r="C36" s="2" t="str">
        <f>VLOOKUP(A36,Classification!A:D,2,FALSE)</f>
        <v>A</v>
      </c>
      <c r="D36" s="2" t="str">
        <f>IF(ISERROR(MATCH(A36,'SegEnds_Xtal_Prot#'!B:B, 0)), "NoXtal", "Xtal")</f>
        <v>NoXtal</v>
      </c>
      <c r="H36" s="4"/>
      <c r="T36" s="4" t="s">
        <v>12</v>
      </c>
      <c r="V36" s="28" t="str">
        <f>MID(VLOOKUP($A36,Seqs!$A:$B,2,FALSE),VLOOKUP($A36,'SegEnds_NonXtal_Prot#'!A:AL,10,FALSE),1)</f>
        <v>D</v>
      </c>
      <c r="W36" s="49" t="str">
        <f>MID(VLOOKUP($A36,Seqs!$A:$B,2,FALSE),VLOOKUP($A36,'SegEnds_NonXtal_Prot#'!A:AL,10,FALSE)+6,1)</f>
        <v>Y</v>
      </c>
      <c r="X36" s="49" t="str">
        <f>MID(VLOOKUP($A36,Seqs!$A:$B,2,FALSE),VLOOKUP($A36,'SegEnds_NonXtal_Prot#'!A:AL,10,FALSE)+7,1)</f>
        <v>L</v>
      </c>
      <c r="Y36" s="49" t="str">
        <f>MID(VLOOKUP($A36,Seqs!$A:$B,2,FALSE),VLOOKUP($A36,'SegEnds_NonXtal_Prot#'!A:AL,10,FALSE)+8,1)</f>
        <v>L</v>
      </c>
      <c r="Z36" s="49" t="str">
        <f>MID(VLOOKUP($A36,Seqs!$A:$B,2,FALSE),VLOOKUP($A36,'SegEnds_NonXtal_Prot#'!A:AL,10,FALSE)+9,1)</f>
        <v>L</v>
      </c>
      <c r="AA36" s="49" t="str">
        <f>MID(VLOOKUP($A36,Seqs!$A:$B,2,FALSE),VLOOKUP($A36,'SegEnds_NonXtal_Prot#'!A:AL,10,FALSE)+10,1)</f>
        <v>I</v>
      </c>
      <c r="AB36" s="28" t="str">
        <f>MID(VLOOKUP($A36,Seqs!$A:$B,2,FALSE),VLOOKUP($A36,'SegEnds_NonXtal_Prot#'!$A:$AL,22,FALSE)+6,1)</f>
        <v>L</v>
      </c>
      <c r="AC36" s="49" t="str">
        <f>MID(VLOOKUP($A36,Seqs!$A:$B,2,FALSE),VLOOKUP($A36,'SegEnds_NonXtal_Prot#'!$A:$AL,22,FALSE)+7,1)</f>
        <v>A</v>
      </c>
      <c r="AD36" s="49" t="str">
        <f>MID(VLOOKUP($A36,Seqs!$A:$B,2,FALSE),VLOOKUP($A36,'SegEnds_NonXtal_Prot#'!$A:$AL,22,FALSE)+8,1)</f>
        <v>L</v>
      </c>
      <c r="AE36" s="49" t="str">
        <f>MID(VLOOKUP($A36,Seqs!$A:$B,2,FALSE),VLOOKUP($A36,'SegEnds_NonXtal_Prot#'!$A:$AL,22,FALSE)+9,1)</f>
        <v>L</v>
      </c>
      <c r="AF36" s="49" t="str">
        <f>MID(VLOOKUP($A36,Seqs!$A:$B,2,FALSE),VLOOKUP($A36,'SegEnds_NonXtal_Prot#'!$A:$AL,22,FALSE)+10,1)</f>
        <v>P</v>
      </c>
      <c r="AG36" s="28" t="str">
        <f>MID(VLOOKUP($A36,Seqs!$A:$B,2,FALSE),VLOOKUP($A36,'SegEnds_NonXtal_Prot#'!$A:$AL,28,FALSE)-4,1)</f>
        <v>L</v>
      </c>
      <c r="AH36" s="49" t="str">
        <f>MID(VLOOKUP($A36,Seqs!$A:$B,2,FALSE),VLOOKUP($A36,'SegEnds_NonXtal_Prot#'!$A:$AL,28,FALSE),1)</f>
        <v>A</v>
      </c>
    </row>
    <row r="37" spans="1:34" s="2" customFormat="1" x14ac:dyDescent="0.2">
      <c r="A37" s="2" t="s">
        <v>146</v>
      </c>
      <c r="B37" s="2" t="str">
        <f>LOWER(VLOOKUP(A37,Xtal_Templ!A:B,2,FALSE))</f>
        <v>acm1_human</v>
      </c>
      <c r="C37" s="2" t="str">
        <f>VLOOKUP(A37,Classification!A:D,2,FALSE)</f>
        <v>A</v>
      </c>
      <c r="D37" s="2" t="str">
        <f>IF(ISERROR(MATCH(A37,'SegEnds_Xtal_Prot#'!B:B, 0)), "NoXtal", "Xtal")</f>
        <v>Xtal</v>
      </c>
      <c r="G37" s="2" t="s">
        <v>5</v>
      </c>
      <c r="H37" s="4"/>
      <c r="R37" s="2" t="s">
        <v>9</v>
      </c>
      <c r="T37" s="4" t="s">
        <v>12</v>
      </c>
      <c r="V37" s="28" t="str">
        <f>MID(VLOOKUP($A37,Seqs!$A:$B,2,FALSE),VLOOKUP($A37,'SegEnds_NonXtal_Prot#'!A:AL,10,FALSE),1)</f>
        <v>D</v>
      </c>
      <c r="W37" s="49" t="str">
        <f>MID(VLOOKUP($A37,Seqs!$A:$B,2,FALSE),VLOOKUP($A37,'SegEnds_NonXtal_Prot#'!A:AL,10,FALSE)+6,1)</f>
        <v>F</v>
      </c>
      <c r="X37" s="49" t="str">
        <f>MID(VLOOKUP($A37,Seqs!$A:$B,2,FALSE),VLOOKUP($A37,'SegEnds_NonXtal_Prot#'!A:AL,10,FALSE)+7,1)</f>
        <v>S</v>
      </c>
      <c r="Y37" s="49" t="str">
        <f>MID(VLOOKUP($A37,Seqs!$A:$B,2,FALSE),VLOOKUP($A37,'SegEnds_NonXtal_Prot#'!A:AL,10,FALSE)+8,1)</f>
        <v>M</v>
      </c>
      <c r="Z37" s="49" t="str">
        <f>MID(VLOOKUP($A37,Seqs!$A:$B,2,FALSE),VLOOKUP($A37,'SegEnds_NonXtal_Prot#'!A:AL,10,FALSE)+9,1)</f>
        <v>N</v>
      </c>
      <c r="AA37" s="49" t="str">
        <f>MID(VLOOKUP($A37,Seqs!$A:$B,2,FALSE),VLOOKUP($A37,'SegEnds_NonXtal_Prot#'!A:AL,10,FALSE)+10,1)</f>
        <v>L</v>
      </c>
      <c r="AB37" s="28" t="str">
        <f>MID(VLOOKUP($A37,Seqs!$A:$B,2,FALSE),VLOOKUP($A37,'SegEnds_NonXtal_Prot#'!$A:$AL,22,FALSE)+6,1)</f>
        <v>L</v>
      </c>
      <c r="AC37" s="49" t="str">
        <f>MID(VLOOKUP($A37,Seqs!$A:$B,2,FALSE),VLOOKUP($A37,'SegEnds_NonXtal_Prot#'!$A:$AL,22,FALSE)+7,1)</f>
        <v>W</v>
      </c>
      <c r="AD37" s="49" t="str">
        <f>MID(VLOOKUP($A37,Seqs!$A:$B,2,FALSE),VLOOKUP($A37,'SegEnds_NonXtal_Prot#'!$A:$AL,22,FALSE)+8,1)</f>
        <v>A</v>
      </c>
      <c r="AE37" s="49" t="str">
        <f>MID(VLOOKUP($A37,Seqs!$A:$B,2,FALSE),VLOOKUP($A37,'SegEnds_NonXtal_Prot#'!$A:$AL,22,FALSE)+9,1)</f>
        <v>P</v>
      </c>
      <c r="AF37" s="49" t="str">
        <f>MID(VLOOKUP($A37,Seqs!$A:$B,2,FALSE),VLOOKUP($A37,'SegEnds_NonXtal_Prot#'!$A:$AL,22,FALSE)+10,1)</f>
        <v>A</v>
      </c>
      <c r="AG37" s="28" t="str">
        <f>MID(VLOOKUP($A37,Seqs!$A:$B,2,FALSE),VLOOKUP($A37,'SegEnds_NonXtal_Prot#'!$A:$AL,28,FALSE)-4,1)</f>
        <v>A</v>
      </c>
      <c r="AH37" s="49" t="str">
        <f>MID(VLOOKUP($A37,Seqs!$A:$B,2,FALSE),VLOOKUP($A37,'SegEnds_NonXtal_Prot#'!$A:$AL,28,FALSE),1)</f>
        <v>P</v>
      </c>
    </row>
    <row r="38" spans="1:34" s="2" customFormat="1" x14ac:dyDescent="0.2">
      <c r="A38" s="2" t="s">
        <v>235</v>
      </c>
      <c r="B38" s="2" t="str">
        <f>LOWER(VLOOKUP(A38,Xtal_Templ!A:B,2,FALSE))</f>
        <v>lpar1_human</v>
      </c>
      <c r="C38" s="2" t="str">
        <f>VLOOKUP(A38,Classification!A:D,2,FALSE)</f>
        <v>A</v>
      </c>
      <c r="D38" s="2" t="str">
        <f>IF(ISERROR(MATCH(A38,'SegEnds_Xtal_Prot#'!B:B, 0)), "NoXtal", "Xtal")</f>
        <v>NoXtal</v>
      </c>
      <c r="H38" s="4"/>
      <c r="R38" s="2" t="s">
        <v>9</v>
      </c>
      <c r="T38" s="4" t="s">
        <v>12</v>
      </c>
      <c r="V38" s="28" t="str">
        <f>MID(VLOOKUP($A38,Seqs!$A:$B,2,FALSE),VLOOKUP($A38,'SegEnds_NonXtal_Prot#'!A:AL,10,FALSE),1)</f>
        <v>G</v>
      </c>
      <c r="W38" s="49" t="str">
        <f>MID(VLOOKUP($A38,Seqs!$A:$B,2,FALSE),VLOOKUP($A38,'SegEnds_NonXtal_Prot#'!A:AL,10,FALSE)+6,1)</f>
        <v>A</v>
      </c>
      <c r="X38" s="49" t="str">
        <f>MID(VLOOKUP($A38,Seqs!$A:$B,2,FALSE),VLOOKUP($A38,'SegEnds_NonXtal_Prot#'!A:AL,10,FALSE)+7,1)</f>
        <v>L</v>
      </c>
      <c r="Y38" s="49" t="str">
        <f>MID(VLOOKUP($A38,Seqs!$A:$B,2,FALSE),VLOOKUP($A38,'SegEnds_NonXtal_Prot#'!A:AL,10,FALSE)+8,1)</f>
        <v>P</v>
      </c>
      <c r="Z38" s="49" t="str">
        <f>MID(VLOOKUP($A38,Seqs!$A:$B,2,FALSE),VLOOKUP($A38,'SegEnds_NonXtal_Prot#'!A:AL,10,FALSE)+9,1)</f>
        <v>T</v>
      </c>
      <c r="AA38" s="49" t="str">
        <f>MID(VLOOKUP($A38,Seqs!$A:$B,2,FALSE),VLOOKUP($A38,'SegEnds_NonXtal_Prot#'!A:AL,10,FALSE)+10,1)</f>
        <v>L</v>
      </c>
      <c r="AB38" s="28" t="str">
        <f>MID(VLOOKUP($A38,Seqs!$A:$B,2,FALSE),VLOOKUP($A38,'SegEnds_NonXtal_Prot#'!$A:$AL,22,FALSE)+6,1)</f>
        <v>F</v>
      </c>
      <c r="AC38" s="49" t="str">
        <f>MID(VLOOKUP($A38,Seqs!$A:$B,2,FALSE),VLOOKUP($A38,'SegEnds_NonXtal_Prot#'!$A:$AL,22,FALSE)+7,1)</f>
        <v>A</v>
      </c>
      <c r="AD38" s="49" t="str">
        <f>MID(VLOOKUP($A38,Seqs!$A:$B,2,FALSE),VLOOKUP($A38,'SegEnds_NonXtal_Prot#'!$A:$AL,22,FALSE)+8,1)</f>
        <v>S</v>
      </c>
      <c r="AE38" s="49" t="str">
        <f>MID(VLOOKUP($A38,Seqs!$A:$B,2,FALSE),VLOOKUP($A38,'SegEnds_NonXtal_Prot#'!$A:$AL,22,FALSE)+9,1)</f>
        <v>L</v>
      </c>
      <c r="AF38" s="49" t="str">
        <f>MID(VLOOKUP($A38,Seqs!$A:$B,2,FALSE),VLOOKUP($A38,'SegEnds_NonXtal_Prot#'!$A:$AL,22,FALSE)+10,1)</f>
        <v>P</v>
      </c>
      <c r="AG38" s="28" t="str">
        <f>MID(VLOOKUP($A38,Seqs!$A:$B,2,FALSE),VLOOKUP($A38,'SegEnds_NonXtal_Prot#'!$A:$AL,28,FALSE)-4,1)</f>
        <v>G</v>
      </c>
      <c r="AH38" s="49" t="str">
        <f>MID(VLOOKUP($A38,Seqs!$A:$B,2,FALSE),VLOOKUP($A38,'SegEnds_NonXtal_Prot#'!$A:$AL,28,FALSE),1)</f>
        <v>P</v>
      </c>
    </row>
    <row r="39" spans="1:34" s="2" customFormat="1" x14ac:dyDescent="0.2">
      <c r="A39" s="2" t="s">
        <v>280</v>
      </c>
      <c r="B39" s="2" t="str">
        <f>LOWER(VLOOKUP(A39,Xtal_Templ!A:B,2,FALSE))</f>
        <v>hrh1_human</v>
      </c>
      <c r="C39" s="2" t="str">
        <f>VLOOKUP(A39,Classification!A:D,2,FALSE)</f>
        <v>A</v>
      </c>
      <c r="D39" s="2" t="str">
        <f>IF(ISERROR(MATCH(A39,'SegEnds_Xtal_Prot#'!B:B, 0)), "NoXtal", "Xtal")</f>
        <v>NoXtal</v>
      </c>
      <c r="G39" s="2" t="s">
        <v>5</v>
      </c>
      <c r="H39" s="4"/>
      <c r="N39" s="2" t="s">
        <v>14</v>
      </c>
      <c r="R39" s="2" t="s">
        <v>9</v>
      </c>
      <c r="T39" s="4" t="s">
        <v>12</v>
      </c>
      <c r="V39" s="28" t="str">
        <f>MID(VLOOKUP($A39,Seqs!$A:$B,2,FALSE),VLOOKUP($A39,'SegEnds_NonXtal_Prot#'!A:AL,10,FALSE),1)</f>
        <v>D</v>
      </c>
      <c r="W39" s="49" t="str">
        <f>MID(VLOOKUP($A39,Seqs!$A:$B,2,FALSE),VLOOKUP($A39,'SegEnds_NonXtal_Prot#'!A:AL,10,FALSE)+6,1)</f>
        <v>F</v>
      </c>
      <c r="X39" s="49" t="str">
        <f>MID(VLOOKUP($A39,Seqs!$A:$B,2,FALSE),VLOOKUP($A39,'SegEnds_NonXtal_Prot#'!A:AL,10,FALSE)+7,1)</f>
        <v>C</v>
      </c>
      <c r="Y39" s="49" t="str">
        <f>MID(VLOOKUP($A39,Seqs!$A:$B,2,FALSE),VLOOKUP($A39,'SegEnds_NonXtal_Prot#'!A:AL,10,FALSE)+8,1)</f>
        <v>I</v>
      </c>
      <c r="Z39" s="49" t="str">
        <f>MID(VLOOKUP($A39,Seqs!$A:$B,2,FALSE),VLOOKUP($A39,'SegEnds_NonXtal_Prot#'!A:AL,10,FALSE)+9,1)</f>
        <v>P</v>
      </c>
      <c r="AA39" s="49" t="str">
        <f>MID(VLOOKUP($A39,Seqs!$A:$B,2,FALSE),VLOOKUP($A39,'SegEnds_NonXtal_Prot#'!A:AL,10,FALSE)+10,1)</f>
        <v>L</v>
      </c>
      <c r="AB39" s="28" t="str">
        <f>MID(VLOOKUP($A39,Seqs!$A:$B,2,FALSE),VLOOKUP($A39,'SegEnds_NonXtal_Prot#'!$A:$AL,22,FALSE)+6,1)</f>
        <v>L</v>
      </c>
      <c r="AC39" s="49" t="str">
        <f>MID(VLOOKUP($A39,Seqs!$A:$B,2,FALSE),VLOOKUP($A39,'SegEnds_NonXtal_Prot#'!$A:$AL,22,FALSE)+7,1)</f>
        <v>Y</v>
      </c>
      <c r="AD39" s="49" t="str">
        <f>MID(VLOOKUP($A39,Seqs!$A:$B,2,FALSE),VLOOKUP($A39,'SegEnds_NonXtal_Prot#'!$A:$AL,22,FALSE)+8,1)</f>
        <v>G</v>
      </c>
      <c r="AE39" s="49" t="str">
        <f>MID(VLOOKUP($A39,Seqs!$A:$B,2,FALSE),VLOOKUP($A39,'SegEnds_NonXtal_Prot#'!$A:$AL,22,FALSE)+9,1)</f>
        <v>P</v>
      </c>
      <c r="AF39" s="49" t="str">
        <f>MID(VLOOKUP($A39,Seqs!$A:$B,2,FALSE),VLOOKUP($A39,'SegEnds_NonXtal_Prot#'!$A:$AL,22,FALSE)+10,1)</f>
        <v>A</v>
      </c>
      <c r="AG39" s="28" t="str">
        <f>MID(VLOOKUP($A39,Seqs!$A:$B,2,FALSE),VLOOKUP($A39,'SegEnds_NonXtal_Prot#'!$A:$AL,28,FALSE)-4,1)</f>
        <v>E</v>
      </c>
      <c r="AH39" s="49" t="str">
        <f>MID(VLOOKUP($A39,Seqs!$A:$B,2,FALSE),VLOOKUP($A39,'SegEnds_NonXtal_Prot#'!$A:$AL,28,FALSE),1)</f>
        <v>P</v>
      </c>
    </row>
    <row r="40" spans="1:34" s="2" customFormat="1" x14ac:dyDescent="0.2">
      <c r="A40" s="2" t="s">
        <v>147</v>
      </c>
      <c r="B40" s="2" t="str">
        <f>LOWER(VLOOKUP(A40,Xtal_Templ!A:B,2,FALSE))</f>
        <v>acm2_human</v>
      </c>
      <c r="C40" s="2" t="str">
        <f>VLOOKUP(A40,Classification!A:D,2,FALSE)</f>
        <v>A</v>
      </c>
      <c r="D40" s="2" t="str">
        <f>IF(ISERROR(MATCH(A40,'SegEnds_Xtal_Prot#'!B:B, 0)), "NoXtal", "Xtal")</f>
        <v>Xtal</v>
      </c>
      <c r="G40" s="2" t="s">
        <v>5</v>
      </c>
      <c r="H40" s="4"/>
      <c r="R40" s="2" t="s">
        <v>9</v>
      </c>
      <c r="T40" s="4" t="s">
        <v>12</v>
      </c>
      <c r="V40" s="28" t="str">
        <f>MID(VLOOKUP($A40,Seqs!$A:$B,2,FALSE),VLOOKUP($A40,'SegEnds_NonXtal_Prot#'!A:AL,10,FALSE),1)</f>
        <v>D</v>
      </c>
      <c r="W40" s="49" t="str">
        <f>MID(VLOOKUP($A40,Seqs!$A:$B,2,FALSE),VLOOKUP($A40,'SegEnds_NonXtal_Prot#'!A:AL,10,FALSE)+6,1)</f>
        <v>F</v>
      </c>
      <c r="X40" s="49" t="str">
        <f>MID(VLOOKUP($A40,Seqs!$A:$B,2,FALSE),VLOOKUP($A40,'SegEnds_NonXtal_Prot#'!A:AL,10,FALSE)+7,1)</f>
        <v>S</v>
      </c>
      <c r="Y40" s="49" t="str">
        <f>MID(VLOOKUP($A40,Seqs!$A:$B,2,FALSE),VLOOKUP($A40,'SegEnds_NonXtal_Prot#'!A:AL,10,FALSE)+8,1)</f>
        <v>M</v>
      </c>
      <c r="Z40" s="49" t="str">
        <f>MID(VLOOKUP($A40,Seqs!$A:$B,2,FALSE),VLOOKUP($A40,'SegEnds_NonXtal_Prot#'!A:AL,10,FALSE)+9,1)</f>
        <v>N</v>
      </c>
      <c r="AA40" s="49" t="str">
        <f>MID(VLOOKUP($A40,Seqs!$A:$B,2,FALSE),VLOOKUP($A40,'SegEnds_NonXtal_Prot#'!A:AL,10,FALSE)+10,1)</f>
        <v>L</v>
      </c>
      <c r="AB40" s="28" t="str">
        <f>MID(VLOOKUP($A40,Seqs!$A:$B,2,FALSE),VLOOKUP($A40,'SegEnds_NonXtal_Prot#'!$A:$AL,22,FALSE)+6,1)</f>
        <v>L</v>
      </c>
      <c r="AC40" s="49" t="str">
        <f>MID(VLOOKUP($A40,Seqs!$A:$B,2,FALSE),VLOOKUP($A40,'SegEnds_NonXtal_Prot#'!$A:$AL,22,FALSE)+7,1)</f>
        <v>W</v>
      </c>
      <c r="AD40" s="49" t="str">
        <f>MID(VLOOKUP($A40,Seqs!$A:$B,2,FALSE),VLOOKUP($A40,'SegEnds_NonXtal_Prot#'!$A:$AL,22,FALSE)+8,1)</f>
        <v>A</v>
      </c>
      <c r="AE40" s="49" t="str">
        <f>MID(VLOOKUP($A40,Seqs!$A:$B,2,FALSE),VLOOKUP($A40,'SegEnds_NonXtal_Prot#'!$A:$AL,22,FALSE)+9,1)</f>
        <v>P</v>
      </c>
      <c r="AF40" s="49" t="str">
        <f>MID(VLOOKUP($A40,Seqs!$A:$B,2,FALSE),VLOOKUP($A40,'SegEnds_NonXtal_Prot#'!$A:$AL,22,FALSE)+10,1)</f>
        <v>A</v>
      </c>
      <c r="AG40" s="28" t="str">
        <f>MID(VLOOKUP($A40,Seqs!$A:$B,2,FALSE),VLOOKUP($A40,'SegEnds_NonXtal_Prot#'!$A:$AL,28,FALSE)-4,1)</f>
        <v>A</v>
      </c>
      <c r="AH40" s="49" t="str">
        <f>MID(VLOOKUP($A40,Seqs!$A:$B,2,FALSE),VLOOKUP($A40,'SegEnds_NonXtal_Prot#'!$A:$AL,28,FALSE),1)</f>
        <v>P</v>
      </c>
    </row>
    <row r="41" spans="1:34" s="2" customFormat="1" x14ac:dyDescent="0.2">
      <c r="A41" s="2" t="s">
        <v>148</v>
      </c>
      <c r="B41" s="2" t="str">
        <f>LOWER(VLOOKUP(A41,Xtal_Templ!A:B,2,FALSE))</f>
        <v>acm3_rat</v>
      </c>
      <c r="C41" s="2" t="str">
        <f>VLOOKUP(A41,Classification!A:D,2,FALSE)</f>
        <v>A</v>
      </c>
      <c r="D41" s="2" t="str">
        <f>IF(ISERROR(MATCH(A41,'SegEnds_Xtal_Prot#'!B:B, 0)), "NoXtal", "Xtal")</f>
        <v>NoXtal</v>
      </c>
      <c r="G41" s="2" t="s">
        <v>5</v>
      </c>
      <c r="H41" s="4"/>
      <c r="R41" s="2" t="s">
        <v>9</v>
      </c>
      <c r="T41" s="4" t="s">
        <v>12</v>
      </c>
      <c r="V41" s="28" t="str">
        <f>MID(VLOOKUP($A41,Seqs!$A:$B,2,FALSE),VLOOKUP($A41,'SegEnds_NonXtal_Prot#'!A:AL,10,FALSE),1)</f>
        <v>D</v>
      </c>
      <c r="W41" s="49" t="str">
        <f>MID(VLOOKUP($A41,Seqs!$A:$B,2,FALSE),VLOOKUP($A41,'SegEnds_NonXtal_Prot#'!A:AL,10,FALSE)+6,1)</f>
        <v>I</v>
      </c>
      <c r="X41" s="49" t="str">
        <f>MID(VLOOKUP($A41,Seqs!$A:$B,2,FALSE),VLOOKUP($A41,'SegEnds_NonXtal_Prot#'!A:AL,10,FALSE)+7,1)</f>
        <v>S</v>
      </c>
      <c r="Y41" s="49" t="str">
        <f>MID(VLOOKUP($A41,Seqs!$A:$B,2,FALSE),VLOOKUP($A41,'SegEnds_NonXtal_Prot#'!A:AL,10,FALSE)+8,1)</f>
        <v>M</v>
      </c>
      <c r="Z41" s="49" t="str">
        <f>MID(VLOOKUP($A41,Seqs!$A:$B,2,FALSE),VLOOKUP($A41,'SegEnds_NonXtal_Prot#'!A:AL,10,FALSE)+9,1)</f>
        <v>N</v>
      </c>
      <c r="AA41" s="49" t="str">
        <f>MID(VLOOKUP($A41,Seqs!$A:$B,2,FALSE),VLOOKUP($A41,'SegEnds_NonXtal_Prot#'!A:AL,10,FALSE)+10,1)</f>
        <v>L</v>
      </c>
      <c r="AB41" s="28" t="str">
        <f>MID(VLOOKUP($A41,Seqs!$A:$B,2,FALSE),VLOOKUP($A41,'SegEnds_NonXtal_Prot#'!$A:$AL,22,FALSE)+6,1)</f>
        <v>L</v>
      </c>
      <c r="AC41" s="49" t="str">
        <f>MID(VLOOKUP($A41,Seqs!$A:$B,2,FALSE),VLOOKUP($A41,'SegEnds_NonXtal_Prot#'!$A:$AL,22,FALSE)+7,1)</f>
        <v>W</v>
      </c>
      <c r="AD41" s="49" t="str">
        <f>MID(VLOOKUP($A41,Seqs!$A:$B,2,FALSE),VLOOKUP($A41,'SegEnds_NonXtal_Prot#'!$A:$AL,22,FALSE)+8,1)</f>
        <v>A</v>
      </c>
      <c r="AE41" s="49" t="str">
        <f>MID(VLOOKUP($A41,Seqs!$A:$B,2,FALSE),VLOOKUP($A41,'SegEnds_NonXtal_Prot#'!$A:$AL,22,FALSE)+9,1)</f>
        <v>P</v>
      </c>
      <c r="AF41" s="49" t="str">
        <f>MID(VLOOKUP($A41,Seqs!$A:$B,2,FALSE),VLOOKUP($A41,'SegEnds_NonXtal_Prot#'!$A:$AL,22,FALSE)+10,1)</f>
        <v>A</v>
      </c>
      <c r="AG41" s="28" t="str">
        <f>MID(VLOOKUP($A41,Seqs!$A:$B,2,FALSE),VLOOKUP($A41,'SegEnds_NonXtal_Prot#'!$A:$AL,28,FALSE)-4,1)</f>
        <v>A</v>
      </c>
      <c r="AH41" s="49" t="str">
        <f>MID(VLOOKUP($A41,Seqs!$A:$B,2,FALSE),VLOOKUP($A41,'SegEnds_NonXtal_Prot#'!$A:$AL,28,FALSE),1)</f>
        <v>P</v>
      </c>
    </row>
    <row r="42" spans="1:34" s="2" customFormat="1" x14ac:dyDescent="0.2">
      <c r="A42" s="2" t="s">
        <v>910</v>
      </c>
      <c r="B42" s="2" t="str">
        <f>LOWER(VLOOKUP(A42,Xtal_Templ!A:B,2,FALSE))</f>
        <v>acm3_rat</v>
      </c>
      <c r="C42" s="2" t="str">
        <f>VLOOKUP(A42,Classification!A:D,2,FALSE)</f>
        <v>A</v>
      </c>
      <c r="D42" s="2" t="str">
        <f>IF(ISERROR(MATCH(A42,'SegEnds_Xtal_Prot#'!B:B, 0)), "NoXtal", "Xtal")</f>
        <v>Xtal</v>
      </c>
      <c r="G42" s="2" t="s">
        <v>5</v>
      </c>
      <c r="H42" s="4"/>
      <c r="R42" s="2" t="s">
        <v>9</v>
      </c>
      <c r="T42" s="4" t="s">
        <v>12</v>
      </c>
      <c r="V42" s="28" t="str">
        <f>MID(VLOOKUP($A42,Seqs!$A:$B,2,FALSE),VLOOKUP($A42,'SegEnds_NonXtal_Prot#'!A:AL,10,FALSE),1)</f>
        <v>D</v>
      </c>
      <c r="W42" s="49" t="str">
        <f>MID(VLOOKUP($A42,Seqs!$A:$B,2,FALSE),VLOOKUP($A42,'SegEnds_NonXtal_Prot#'!A:AL,10,FALSE)+6,1)</f>
        <v>I</v>
      </c>
      <c r="X42" s="49" t="str">
        <f>MID(VLOOKUP($A42,Seqs!$A:$B,2,FALSE),VLOOKUP($A42,'SegEnds_NonXtal_Prot#'!A:AL,10,FALSE)+7,1)</f>
        <v>S</v>
      </c>
      <c r="Y42" s="49" t="str">
        <f>MID(VLOOKUP($A42,Seqs!$A:$B,2,FALSE),VLOOKUP($A42,'SegEnds_NonXtal_Prot#'!A:AL,10,FALSE)+8,1)</f>
        <v>M</v>
      </c>
      <c r="Z42" s="49" t="str">
        <f>MID(VLOOKUP($A42,Seqs!$A:$B,2,FALSE),VLOOKUP($A42,'SegEnds_NonXtal_Prot#'!A:AL,10,FALSE)+9,1)</f>
        <v>N</v>
      </c>
      <c r="AA42" s="49" t="str">
        <f>MID(VLOOKUP($A42,Seqs!$A:$B,2,FALSE),VLOOKUP($A42,'SegEnds_NonXtal_Prot#'!A:AL,10,FALSE)+10,1)</f>
        <v>L</v>
      </c>
      <c r="AB42" s="28" t="str">
        <f>MID(VLOOKUP($A42,Seqs!$A:$B,2,FALSE),VLOOKUP($A42,'SegEnds_NonXtal_Prot#'!$A:$AL,22,FALSE)+6,1)</f>
        <v>L</v>
      </c>
      <c r="AC42" s="49" t="str">
        <f>MID(VLOOKUP($A42,Seqs!$A:$B,2,FALSE),VLOOKUP($A42,'SegEnds_NonXtal_Prot#'!$A:$AL,22,FALSE)+7,1)</f>
        <v>W</v>
      </c>
      <c r="AD42" s="49" t="str">
        <f>MID(VLOOKUP($A42,Seqs!$A:$B,2,FALSE),VLOOKUP($A42,'SegEnds_NonXtal_Prot#'!$A:$AL,22,FALSE)+8,1)</f>
        <v>A</v>
      </c>
      <c r="AE42" s="49" t="str">
        <f>MID(VLOOKUP($A42,Seqs!$A:$B,2,FALSE),VLOOKUP($A42,'SegEnds_NonXtal_Prot#'!$A:$AL,22,FALSE)+9,1)</f>
        <v>P</v>
      </c>
      <c r="AF42" s="49" t="str">
        <f>MID(VLOOKUP($A42,Seqs!$A:$B,2,FALSE),VLOOKUP($A42,'SegEnds_NonXtal_Prot#'!$A:$AL,22,FALSE)+10,1)</f>
        <v>A</v>
      </c>
      <c r="AG42" s="28" t="str">
        <f>MID(VLOOKUP($A42,Seqs!$A:$B,2,FALSE),VLOOKUP($A42,'SegEnds_NonXtal_Prot#'!$A:$AL,28,FALSE)-4,1)</f>
        <v>A</v>
      </c>
      <c r="AH42" s="49" t="str">
        <f>MID(VLOOKUP($A42,Seqs!$A:$B,2,FALSE),VLOOKUP($A42,'SegEnds_NonXtal_Prot#'!$A:$AL,28,FALSE),1)</f>
        <v>P</v>
      </c>
    </row>
    <row r="43" spans="1:34" s="2" customFormat="1" x14ac:dyDescent="0.2">
      <c r="A43" s="2" t="s">
        <v>150</v>
      </c>
      <c r="B43" s="2" t="str">
        <f>LOWER(VLOOKUP(A43,Xtal_Templ!A:B,2,FALSE))</f>
        <v>acm3_rat</v>
      </c>
      <c r="C43" s="2" t="str">
        <f>VLOOKUP(A43,Classification!A:D,2,FALSE)</f>
        <v>A</v>
      </c>
      <c r="D43" s="2" t="str">
        <f>IF(ISERROR(MATCH(A43,'SegEnds_Xtal_Prot#'!B:B, 0)), "NoXtal", "Xtal")</f>
        <v>NoXtal</v>
      </c>
      <c r="G43" s="2" t="s">
        <v>5</v>
      </c>
      <c r="H43" s="4"/>
      <c r="R43" s="2" t="s">
        <v>9</v>
      </c>
      <c r="T43" s="4" t="s">
        <v>12</v>
      </c>
      <c r="V43" s="28" t="str">
        <f>MID(VLOOKUP($A43,Seqs!$A:$B,2,FALSE),VLOOKUP($A43,'SegEnds_NonXtal_Prot#'!A:AL,10,FALSE),1)</f>
        <v>D</v>
      </c>
      <c r="W43" s="49" t="str">
        <f>MID(VLOOKUP($A43,Seqs!$A:$B,2,FALSE),VLOOKUP($A43,'SegEnds_NonXtal_Prot#'!A:AL,10,FALSE)+6,1)</f>
        <v>F</v>
      </c>
      <c r="X43" s="49" t="str">
        <f>MID(VLOOKUP($A43,Seqs!$A:$B,2,FALSE),VLOOKUP($A43,'SegEnds_NonXtal_Prot#'!A:AL,10,FALSE)+7,1)</f>
        <v>S</v>
      </c>
      <c r="Y43" s="49" t="str">
        <f>MID(VLOOKUP($A43,Seqs!$A:$B,2,FALSE),VLOOKUP($A43,'SegEnds_NonXtal_Prot#'!A:AL,10,FALSE)+8,1)</f>
        <v>M</v>
      </c>
      <c r="Z43" s="49" t="str">
        <f>MID(VLOOKUP($A43,Seqs!$A:$B,2,FALSE),VLOOKUP($A43,'SegEnds_NonXtal_Prot#'!A:AL,10,FALSE)+9,1)</f>
        <v>N</v>
      </c>
      <c r="AA43" s="49" t="str">
        <f>MID(VLOOKUP($A43,Seqs!$A:$B,2,FALSE),VLOOKUP($A43,'SegEnds_NonXtal_Prot#'!A:AL,10,FALSE)+10,1)</f>
        <v>L</v>
      </c>
      <c r="AB43" s="28" t="str">
        <f>MID(VLOOKUP($A43,Seqs!$A:$B,2,FALSE),VLOOKUP($A43,'SegEnds_NonXtal_Prot#'!$A:$AL,22,FALSE)+6,1)</f>
        <v>L</v>
      </c>
      <c r="AC43" s="49" t="str">
        <f>MID(VLOOKUP($A43,Seqs!$A:$B,2,FALSE),VLOOKUP($A43,'SegEnds_NonXtal_Prot#'!$A:$AL,22,FALSE)+7,1)</f>
        <v>W</v>
      </c>
      <c r="AD43" s="49" t="str">
        <f>MID(VLOOKUP($A43,Seqs!$A:$B,2,FALSE),VLOOKUP($A43,'SegEnds_NonXtal_Prot#'!$A:$AL,22,FALSE)+8,1)</f>
        <v>A</v>
      </c>
      <c r="AE43" s="49" t="str">
        <f>MID(VLOOKUP($A43,Seqs!$A:$B,2,FALSE),VLOOKUP($A43,'SegEnds_NonXtal_Prot#'!$A:$AL,22,FALSE)+9,1)</f>
        <v>P</v>
      </c>
      <c r="AF43" s="49" t="str">
        <f>MID(VLOOKUP($A43,Seqs!$A:$B,2,FALSE),VLOOKUP($A43,'SegEnds_NonXtal_Prot#'!$A:$AL,22,FALSE)+10,1)</f>
        <v>A</v>
      </c>
      <c r="AG43" s="28" t="str">
        <f>MID(VLOOKUP($A43,Seqs!$A:$B,2,FALSE),VLOOKUP($A43,'SegEnds_NonXtal_Prot#'!$A:$AL,28,FALSE)-4,1)</f>
        <v>A</v>
      </c>
      <c r="AH43" s="49" t="str">
        <f>MID(VLOOKUP($A43,Seqs!$A:$B,2,FALSE),VLOOKUP($A43,'SegEnds_NonXtal_Prot#'!$A:$AL,28,FALSE),1)</f>
        <v>P</v>
      </c>
    </row>
    <row r="44" spans="1:34" s="2" customFormat="1" ht="17" customHeight="1" x14ac:dyDescent="0.2">
      <c r="A44" s="2" t="s">
        <v>281</v>
      </c>
      <c r="B44" s="2" t="str">
        <f>LOWER(VLOOKUP(A44,Xtal_Templ!A:B,2,FALSE))</f>
        <v>acm3_rat</v>
      </c>
      <c r="C44" s="2" t="str">
        <f>VLOOKUP(A44,Classification!A:D,2,FALSE)</f>
        <v>A</v>
      </c>
      <c r="D44" s="2" t="str">
        <f>IF(ISERROR(MATCH(A44,'SegEnds_Xtal_Prot#'!B:B, 0)), "NoXtal", "Xtal")</f>
        <v>NoXtal</v>
      </c>
      <c r="G44" s="2" t="s">
        <v>5</v>
      </c>
      <c r="H44" s="4"/>
      <c r="N44" s="2" t="s">
        <v>14</v>
      </c>
      <c r="R44" s="2" t="s">
        <v>9</v>
      </c>
      <c r="T44" s="4" t="s">
        <v>12</v>
      </c>
      <c r="V44" s="28" t="str">
        <f>MID(VLOOKUP($A44,Seqs!$A:$B,2,FALSE),VLOOKUP($A44,'SegEnds_NonXtal_Prot#'!A:AL,10,FALSE),1)</f>
        <v>D</v>
      </c>
      <c r="W44" s="49" t="str">
        <f>MID(VLOOKUP($A44,Seqs!$A:$B,2,FALSE),VLOOKUP($A44,'SegEnds_NonXtal_Prot#'!A:AL,10,FALSE)+6,1)</f>
        <v>I</v>
      </c>
      <c r="X44" s="49" t="str">
        <f>MID(VLOOKUP($A44,Seqs!$A:$B,2,FALSE),VLOOKUP($A44,'SegEnds_NonXtal_Prot#'!A:AL,10,FALSE)+7,1)</f>
        <v>S</v>
      </c>
      <c r="Y44" s="49" t="str">
        <f>MID(VLOOKUP($A44,Seqs!$A:$B,2,FALSE),VLOOKUP($A44,'SegEnds_NonXtal_Prot#'!A:AL,10,FALSE)+8,1)</f>
        <v>I</v>
      </c>
      <c r="Z44" s="49" t="str">
        <f>MID(VLOOKUP($A44,Seqs!$A:$B,2,FALSE),VLOOKUP($A44,'SegEnds_NonXtal_Prot#'!A:AL,10,FALSE)+9,1)</f>
        <v>P</v>
      </c>
      <c r="AA44" s="49" t="str">
        <f>MID(VLOOKUP($A44,Seqs!$A:$B,2,FALSE),VLOOKUP($A44,'SegEnds_NonXtal_Prot#'!A:AL,10,FALSE)+10,1)</f>
        <v>L</v>
      </c>
      <c r="AB44" s="28" t="str">
        <f>MID(VLOOKUP($A44,Seqs!$A:$B,2,FALSE),VLOOKUP($A44,'SegEnds_NonXtal_Prot#'!$A:$AL,22,FALSE)+6,1)</f>
        <v>V</v>
      </c>
      <c r="AC44" s="49" t="str">
        <f>MID(VLOOKUP($A44,Seqs!$A:$B,2,FALSE),VLOOKUP($A44,'SegEnds_NonXtal_Prot#'!$A:$AL,22,FALSE)+7,1)</f>
        <v>N</v>
      </c>
      <c r="AD44" s="49" t="str">
        <f>MID(VLOOKUP($A44,Seqs!$A:$B,2,FALSE),VLOOKUP($A44,'SegEnds_NonXtal_Prot#'!$A:$AL,22,FALSE)+8,1)</f>
        <v>G</v>
      </c>
      <c r="AE44" s="49" t="str">
        <f>MID(VLOOKUP($A44,Seqs!$A:$B,2,FALSE),VLOOKUP($A44,'SegEnds_NonXtal_Prot#'!$A:$AL,22,FALSE)+9,1)</f>
        <v>P</v>
      </c>
      <c r="AF44" s="49" t="str">
        <f>MID(VLOOKUP($A44,Seqs!$A:$B,2,FALSE),VLOOKUP($A44,'SegEnds_NonXtal_Prot#'!$A:$AL,22,FALSE)+10,1)</f>
        <v>M</v>
      </c>
      <c r="AG44" s="28" t="str">
        <f>MID(VLOOKUP($A44,Seqs!$A:$B,2,FALSE),VLOOKUP($A44,'SegEnds_NonXtal_Prot#'!$A:$AL,28,FALSE)-4,1)</f>
        <v>E</v>
      </c>
      <c r="AH44" s="49" t="str">
        <f>MID(VLOOKUP($A44,Seqs!$A:$B,2,FALSE),VLOOKUP($A44,'SegEnds_NonXtal_Prot#'!$A:$AL,28,FALSE),1)</f>
        <v>P</v>
      </c>
    </row>
    <row r="45" spans="1:34" s="2" customFormat="1" x14ac:dyDescent="0.2">
      <c r="A45" s="2" t="s">
        <v>149</v>
      </c>
      <c r="B45" s="2" t="str">
        <f>LOWER(VLOOKUP(A45,Xtal_Templ!A:B,2,FALSE))</f>
        <v>acm4_human</v>
      </c>
      <c r="C45" s="2" t="str">
        <f>VLOOKUP(A45,Classification!A:D,2,FALSE)</f>
        <v>A</v>
      </c>
      <c r="D45" s="2" t="str">
        <f>IF(ISERROR(MATCH(A45,'SegEnds_Xtal_Prot#'!B:B, 0)), "NoXtal", "Xtal")</f>
        <v>Xtal</v>
      </c>
      <c r="G45" s="2" t="s">
        <v>5</v>
      </c>
      <c r="H45" s="4"/>
      <c r="R45" s="2" t="s">
        <v>9</v>
      </c>
      <c r="T45" s="4" t="s">
        <v>12</v>
      </c>
      <c r="V45" s="28" t="str">
        <f>MID(VLOOKUP($A45,Seqs!$A:$B,2,FALSE),VLOOKUP($A45,'SegEnds_NonXtal_Prot#'!A:AL,10,FALSE),1)</f>
        <v>D</v>
      </c>
      <c r="W45" s="49" t="str">
        <f>MID(VLOOKUP($A45,Seqs!$A:$B,2,FALSE),VLOOKUP($A45,'SegEnds_NonXtal_Prot#'!A:AL,10,FALSE)+6,1)</f>
        <v>F</v>
      </c>
      <c r="X45" s="49" t="str">
        <f>MID(VLOOKUP($A45,Seqs!$A:$B,2,FALSE),VLOOKUP($A45,'SegEnds_NonXtal_Prot#'!A:AL,10,FALSE)+7,1)</f>
        <v>S</v>
      </c>
      <c r="Y45" s="49" t="str">
        <f>MID(VLOOKUP($A45,Seqs!$A:$B,2,FALSE),VLOOKUP($A45,'SegEnds_NonXtal_Prot#'!A:AL,10,FALSE)+8,1)</f>
        <v>M</v>
      </c>
      <c r="Z45" s="49" t="str">
        <f>MID(VLOOKUP($A45,Seqs!$A:$B,2,FALSE),VLOOKUP($A45,'SegEnds_NonXtal_Prot#'!A:AL,10,FALSE)+9,1)</f>
        <v>N</v>
      </c>
      <c r="AA45" s="49" t="str">
        <f>MID(VLOOKUP($A45,Seqs!$A:$B,2,FALSE),VLOOKUP($A45,'SegEnds_NonXtal_Prot#'!A:AL,10,FALSE)+10,1)</f>
        <v>L</v>
      </c>
      <c r="AB45" s="28" t="str">
        <f>MID(VLOOKUP($A45,Seqs!$A:$B,2,FALSE),VLOOKUP($A45,'SegEnds_NonXtal_Prot#'!$A:$AL,22,FALSE)+6,1)</f>
        <v>L</v>
      </c>
      <c r="AC45" s="49" t="str">
        <f>MID(VLOOKUP($A45,Seqs!$A:$B,2,FALSE),VLOOKUP($A45,'SegEnds_NonXtal_Prot#'!$A:$AL,22,FALSE)+7,1)</f>
        <v>W</v>
      </c>
      <c r="AD45" s="49" t="str">
        <f>MID(VLOOKUP($A45,Seqs!$A:$B,2,FALSE),VLOOKUP($A45,'SegEnds_NonXtal_Prot#'!$A:$AL,22,FALSE)+8,1)</f>
        <v>A</v>
      </c>
      <c r="AE45" s="49" t="str">
        <f>MID(VLOOKUP($A45,Seqs!$A:$B,2,FALSE),VLOOKUP($A45,'SegEnds_NonXtal_Prot#'!$A:$AL,22,FALSE)+9,1)</f>
        <v>P</v>
      </c>
      <c r="AF45" s="49" t="str">
        <f>MID(VLOOKUP($A45,Seqs!$A:$B,2,FALSE),VLOOKUP($A45,'SegEnds_NonXtal_Prot#'!$A:$AL,22,FALSE)+10,1)</f>
        <v>A</v>
      </c>
      <c r="AG45" s="28" t="str">
        <f>MID(VLOOKUP($A45,Seqs!$A:$B,2,FALSE),VLOOKUP($A45,'SegEnds_NonXtal_Prot#'!$A:$AL,28,FALSE)-4,1)</f>
        <v>A</v>
      </c>
      <c r="AH45" s="49" t="str">
        <f>MID(VLOOKUP($A45,Seqs!$A:$B,2,FALSE),VLOOKUP($A45,'SegEnds_NonXtal_Prot#'!$A:$AL,28,FALSE),1)</f>
        <v>P</v>
      </c>
    </row>
    <row r="46" spans="1:34" s="2" customFormat="1" x14ac:dyDescent="0.2">
      <c r="A46" s="2" t="s">
        <v>228</v>
      </c>
      <c r="B46" s="2" t="str">
        <f>LOWER(VLOOKUP(A46,Xtal_Templ!A:B,2,FALSE))</f>
        <v>npy1r_human</v>
      </c>
      <c r="C46" s="2" t="str">
        <f>VLOOKUP(A46,Classification!A:D,2,FALSE)</f>
        <v>A</v>
      </c>
      <c r="D46" s="2" t="str">
        <f>IF(ISERROR(MATCH(A46,'SegEnds_Xtal_Prot#'!B:B, 0)), "NoXtal", "Xtal")</f>
        <v>NoXtal</v>
      </c>
      <c r="H46" s="4"/>
      <c r="T46" s="4" t="s">
        <v>12</v>
      </c>
      <c r="V46" s="28" t="str">
        <f>MID(VLOOKUP($A46,Seqs!$A:$B,2,FALSE),VLOOKUP($A46,'SegEnds_NonXtal_Prot#'!A:AL,10,FALSE),1)</f>
        <v>T</v>
      </c>
      <c r="W46" s="49" t="str">
        <f>MID(VLOOKUP($A46,Seqs!$A:$B,2,FALSE),VLOOKUP($A46,'SegEnds_NonXtal_Prot#'!A:AL,10,FALSE)+6,1)</f>
        <v>A</v>
      </c>
      <c r="X46" s="49" t="str">
        <f>MID(VLOOKUP($A46,Seqs!$A:$B,2,FALSE),VLOOKUP($A46,'SegEnds_NonXtal_Prot#'!A:AL,10,FALSE)+7,1)</f>
        <v>V</v>
      </c>
      <c r="Y46" s="49" t="str">
        <f>MID(VLOOKUP($A46,Seqs!$A:$B,2,FALSE),VLOOKUP($A46,'SegEnds_NonXtal_Prot#'!A:AL,10,FALSE)+8,1)</f>
        <v>P</v>
      </c>
      <c r="Z46" s="49" t="str">
        <f>MID(VLOOKUP($A46,Seqs!$A:$B,2,FALSE),VLOOKUP($A46,'SegEnds_NonXtal_Prot#'!A:AL,10,FALSE)+9,1)</f>
        <v>L</v>
      </c>
      <c r="AA46" s="49" t="str">
        <f>MID(VLOOKUP($A46,Seqs!$A:$B,2,FALSE),VLOOKUP($A46,'SegEnds_NonXtal_Prot#'!A:AL,10,FALSE)+10,1)</f>
        <v>T</v>
      </c>
      <c r="AB46" s="28" t="str">
        <f>MID(VLOOKUP($A46,Seqs!$A:$B,2,FALSE),VLOOKUP($A46,'SegEnds_NonXtal_Prot#'!$A:$AL,22,FALSE)+6,1)</f>
        <v>L</v>
      </c>
      <c r="AC46" s="49" t="str">
        <f>MID(VLOOKUP($A46,Seqs!$A:$B,2,FALSE),VLOOKUP($A46,'SegEnds_NonXtal_Prot#'!$A:$AL,22,FALSE)+7,1)</f>
        <v>S</v>
      </c>
      <c r="AD46" s="49" t="str">
        <f>MID(VLOOKUP($A46,Seqs!$A:$B,2,FALSE),VLOOKUP($A46,'SegEnds_NonXtal_Prot#'!$A:$AL,22,FALSE)+8,1)</f>
        <v>T</v>
      </c>
      <c r="AE46" s="49" t="str">
        <f>MID(VLOOKUP($A46,Seqs!$A:$B,2,FALSE),VLOOKUP($A46,'SegEnds_NonXtal_Prot#'!$A:$AL,22,FALSE)+9,1)</f>
        <v>L</v>
      </c>
      <c r="AF46" s="49" t="str">
        <f>MID(VLOOKUP($A46,Seqs!$A:$B,2,FALSE),VLOOKUP($A46,'SegEnds_NonXtal_Prot#'!$A:$AL,22,FALSE)+10,1)</f>
        <v>P</v>
      </c>
      <c r="AG46" s="28" t="str">
        <f>MID(VLOOKUP($A46,Seqs!$A:$B,2,FALSE),VLOOKUP($A46,'SegEnds_NonXtal_Prot#'!$A:$AL,28,FALSE)-4,1)</f>
        <v>L</v>
      </c>
      <c r="AH46" s="49" t="str">
        <f>MID(VLOOKUP($A46,Seqs!$A:$B,2,FALSE),VLOOKUP($A46,'SegEnds_NonXtal_Prot#'!$A:$AL,28,FALSE),1)</f>
        <v>I</v>
      </c>
    </row>
    <row r="47" spans="1:34" s="2" customFormat="1" x14ac:dyDescent="0.2">
      <c r="A47" s="2" t="s">
        <v>134</v>
      </c>
      <c r="B47" s="2" t="str">
        <f>LOWER(VLOOKUP(A47,Xtal_Templ!A:B,2,FALSE))</f>
        <v>drd2_human</v>
      </c>
      <c r="C47" s="2" t="str">
        <f>VLOOKUP(A47,Classification!A:D,2,FALSE)</f>
        <v>A</v>
      </c>
      <c r="D47" s="2" t="str">
        <f>IF(ISERROR(MATCH(A47,'SegEnds_Xtal_Prot#'!B:B, 0)), "NoXtal", "Xtal")</f>
        <v>NoXtal</v>
      </c>
      <c r="G47" s="2" t="s">
        <v>5</v>
      </c>
      <c r="H47" s="4"/>
      <c r="R47" s="2" t="s">
        <v>9</v>
      </c>
      <c r="T47" s="4" t="s">
        <v>12</v>
      </c>
      <c r="V47" s="28" t="str">
        <f>MID(VLOOKUP($A47,Seqs!$A:$B,2,FALSE),VLOOKUP($A47,'SegEnds_NonXtal_Prot#'!A:AL,10,FALSE),1)</f>
        <v>D</v>
      </c>
      <c r="W47" s="49" t="str">
        <f>MID(VLOOKUP($A47,Seqs!$A:$B,2,FALSE),VLOOKUP($A47,'SegEnds_NonXtal_Prot#'!A:AL,10,FALSE)+6,1)</f>
        <v>L</v>
      </c>
      <c r="X47" s="49" t="str">
        <f>MID(VLOOKUP($A47,Seqs!$A:$B,2,FALSE),VLOOKUP($A47,'SegEnds_NonXtal_Prot#'!A:AL,10,FALSE)+7,1)</f>
        <v>V</v>
      </c>
      <c r="Y47" s="49" t="str">
        <f>MID(VLOOKUP($A47,Seqs!$A:$B,2,FALSE),VLOOKUP($A47,'SegEnds_NonXtal_Prot#'!A:AL,10,FALSE)+8,1)</f>
        <v>M</v>
      </c>
      <c r="Z47" s="49" t="str">
        <f>MID(VLOOKUP($A47,Seqs!$A:$B,2,FALSE),VLOOKUP($A47,'SegEnds_NonXtal_Prot#'!A:AL,10,FALSE)+9,1)</f>
        <v>P</v>
      </c>
      <c r="AA47" s="49" t="str">
        <f>MID(VLOOKUP($A47,Seqs!$A:$B,2,FALSE),VLOOKUP($A47,'SegEnds_NonXtal_Prot#'!A:AL,10,FALSE)+10,1)</f>
        <v>F</v>
      </c>
      <c r="AB47" s="28" t="str">
        <f>MID(VLOOKUP($A47,Seqs!$A:$B,2,FALSE),VLOOKUP($A47,'SegEnds_NonXtal_Prot#'!$A:$AL,22,FALSE)+6,1)</f>
        <v>I</v>
      </c>
      <c r="AC47" s="49" t="str">
        <f>MID(VLOOKUP($A47,Seqs!$A:$B,2,FALSE),VLOOKUP($A47,'SegEnds_NonXtal_Prot#'!$A:$AL,22,FALSE)+7,1)</f>
        <v>S</v>
      </c>
      <c r="AD47" s="49" t="str">
        <f>MID(VLOOKUP($A47,Seqs!$A:$B,2,FALSE),VLOOKUP($A47,'SegEnds_NonXtal_Prot#'!$A:$AL,22,FALSE)+8,1)</f>
        <v>F</v>
      </c>
      <c r="AE47" s="49" t="str">
        <f>MID(VLOOKUP($A47,Seqs!$A:$B,2,FALSE),VLOOKUP($A47,'SegEnds_NonXtal_Prot#'!$A:$AL,22,FALSE)+9,1)</f>
        <v>L</v>
      </c>
      <c r="AF47" s="49" t="str">
        <f>MID(VLOOKUP($A47,Seqs!$A:$B,2,FALSE),VLOOKUP($A47,'SegEnds_NonXtal_Prot#'!$A:$AL,22,FALSE)+10,1)</f>
        <v>P</v>
      </c>
      <c r="AG47" s="28" t="str">
        <f>MID(VLOOKUP($A47,Seqs!$A:$B,2,FALSE),VLOOKUP($A47,'SegEnds_NonXtal_Prot#'!$A:$AL,28,FALSE)-4,1)</f>
        <v>A</v>
      </c>
      <c r="AH47" s="49" t="str">
        <f>MID(VLOOKUP($A47,Seqs!$A:$B,2,FALSE),VLOOKUP($A47,'SegEnds_NonXtal_Prot#'!$A:$AL,28,FALSE),1)</f>
        <v>P</v>
      </c>
    </row>
    <row r="48" spans="1:34" s="2" customFormat="1" x14ac:dyDescent="0.2">
      <c r="A48" s="2" t="s">
        <v>136</v>
      </c>
      <c r="B48" s="2" t="str">
        <f>LOWER(VLOOKUP(A48,Xtal_Templ!A:B,2,FALSE))</f>
        <v>5ht2c_human</v>
      </c>
      <c r="C48" s="2" t="str">
        <f>VLOOKUP(A48,Classification!A:D,2,FALSE)</f>
        <v>A</v>
      </c>
      <c r="D48" s="2" t="str">
        <f>IF(ISERROR(MATCH(A48,'SegEnds_Xtal_Prot#'!B:B, 0)), "NoXtal", "Xtal")</f>
        <v>NoXtal</v>
      </c>
      <c r="G48" s="2" t="s">
        <v>5</v>
      </c>
      <c r="H48" s="4"/>
      <c r="R48" s="2" t="s">
        <v>9</v>
      </c>
      <c r="T48" s="4" t="s">
        <v>12</v>
      </c>
      <c r="V48" s="28" t="str">
        <f>MID(VLOOKUP($A48,Seqs!$A:$B,2,FALSE),VLOOKUP($A48,'SegEnds_NonXtal_Prot#'!A:AL,10,FALSE),1)</f>
        <v>D</v>
      </c>
      <c r="W48" s="49" t="str">
        <f>MID(VLOOKUP($A48,Seqs!$A:$B,2,FALSE),VLOOKUP($A48,'SegEnds_NonXtal_Prot#'!A:AL,10,FALSE)+6,1)</f>
        <v>V</v>
      </c>
      <c r="X48" s="49" t="str">
        <f>MID(VLOOKUP($A48,Seqs!$A:$B,2,FALSE),VLOOKUP($A48,'SegEnds_NonXtal_Prot#'!A:AL,10,FALSE)+7,1)</f>
        <v>V</v>
      </c>
      <c r="Y48" s="49" t="str">
        <f>MID(VLOOKUP($A48,Seqs!$A:$B,2,FALSE),VLOOKUP($A48,'SegEnds_NonXtal_Prot#'!A:AL,10,FALSE)+8,1)</f>
        <v>M</v>
      </c>
      <c r="Z48" s="49" t="str">
        <f>MID(VLOOKUP($A48,Seqs!$A:$B,2,FALSE),VLOOKUP($A48,'SegEnds_NonXtal_Prot#'!A:AL,10,FALSE)+9,1)</f>
        <v>P</v>
      </c>
      <c r="AA48" s="49" t="str">
        <f>MID(VLOOKUP($A48,Seqs!$A:$B,2,FALSE),VLOOKUP($A48,'SegEnds_NonXtal_Prot#'!A:AL,10,FALSE)+10,1)</f>
        <v>P</v>
      </c>
      <c r="AB48" s="28" t="str">
        <f>MID(VLOOKUP($A48,Seqs!$A:$B,2,FALSE),VLOOKUP($A48,'SegEnds_NonXtal_Prot#'!$A:$AL,22,FALSE)+6,1)</f>
        <v>A</v>
      </c>
      <c r="AC48" s="49" t="str">
        <f>MID(VLOOKUP($A48,Seqs!$A:$B,2,FALSE),VLOOKUP($A48,'SegEnds_NonXtal_Prot#'!$A:$AL,22,FALSE)+7,1)</f>
        <v>S</v>
      </c>
      <c r="AD48" s="49" t="str">
        <f>MID(VLOOKUP($A48,Seqs!$A:$B,2,FALSE),VLOOKUP($A48,'SegEnds_NonXtal_Prot#'!$A:$AL,22,FALSE)+8,1)</f>
        <v>F</v>
      </c>
      <c r="AE48" s="49" t="str">
        <f>MID(VLOOKUP($A48,Seqs!$A:$B,2,FALSE),VLOOKUP($A48,'SegEnds_NonXtal_Prot#'!$A:$AL,22,FALSE)+9,1)</f>
        <v>L</v>
      </c>
      <c r="AF48" s="49" t="str">
        <f>MID(VLOOKUP($A48,Seqs!$A:$B,2,FALSE),VLOOKUP($A48,'SegEnds_NonXtal_Prot#'!$A:$AL,22,FALSE)+10,1)</f>
        <v>P</v>
      </c>
      <c r="AG48" s="28" t="str">
        <f>MID(VLOOKUP($A48,Seqs!$A:$B,2,FALSE),VLOOKUP($A48,'SegEnds_NonXtal_Prot#'!$A:$AL,28,FALSE)-4,1)</f>
        <v>T</v>
      </c>
      <c r="AH48" s="49" t="str">
        <f>MID(VLOOKUP($A48,Seqs!$A:$B,2,FALSE),VLOOKUP($A48,'SegEnds_NonXtal_Prot#'!$A:$AL,28,FALSE),1)</f>
        <v>P</v>
      </c>
    </row>
    <row r="49" spans="1:34" s="2" customFormat="1" x14ac:dyDescent="0.2">
      <c r="A49" s="2" t="s">
        <v>153</v>
      </c>
      <c r="B49" s="2" t="str">
        <f>LOWER(VLOOKUP(A49,Xtal_Templ!A:B,2,FALSE))</f>
        <v>drd2_human</v>
      </c>
      <c r="C49" s="2" t="str">
        <f>VLOOKUP(A49,Classification!A:D,2,FALSE)</f>
        <v>A</v>
      </c>
      <c r="D49" s="2" t="str">
        <f>IF(ISERROR(MATCH(A49,'SegEnds_Xtal_Prot#'!B:B, 0)), "NoXtal", "Xtal")</f>
        <v>NoXtal</v>
      </c>
      <c r="G49" s="2" t="s">
        <v>5</v>
      </c>
      <c r="H49" s="4"/>
      <c r="R49" s="2" t="s">
        <v>9</v>
      </c>
      <c r="T49" s="4" t="s">
        <v>12</v>
      </c>
      <c r="V49" s="28" t="str">
        <f>MID(VLOOKUP($A49,Seqs!$A:$B,2,FALSE),VLOOKUP($A49,'SegEnds_NonXtal_Prot#'!A:AL,10,FALSE),1)</f>
        <v>D</v>
      </c>
      <c r="W49" s="49" t="str">
        <f>MID(VLOOKUP($A49,Seqs!$A:$B,2,FALSE),VLOOKUP($A49,'SegEnds_NonXtal_Prot#'!A:AL,10,FALSE)+6,1)</f>
        <v>T</v>
      </c>
      <c r="X49" s="49" t="str">
        <f>MID(VLOOKUP($A49,Seqs!$A:$B,2,FALSE),VLOOKUP($A49,'SegEnds_NonXtal_Prot#'!A:AL,10,FALSE)+7,1)</f>
        <v>V</v>
      </c>
      <c r="Y49" s="49" t="str">
        <f>MID(VLOOKUP($A49,Seqs!$A:$B,2,FALSE),VLOOKUP($A49,'SegEnds_NonXtal_Prot#'!A:AL,10,FALSE)+8,1)</f>
        <v>L</v>
      </c>
      <c r="Z49" s="49" t="str">
        <f>MID(VLOOKUP($A49,Seqs!$A:$B,2,FALSE),VLOOKUP($A49,'SegEnds_NonXtal_Prot#'!A:AL,10,FALSE)+9,1)</f>
        <v>P</v>
      </c>
      <c r="AA49" s="49" t="str">
        <f>MID(VLOOKUP($A49,Seqs!$A:$B,2,FALSE),VLOOKUP($A49,'SegEnds_NonXtal_Prot#'!A:AL,10,FALSE)+10,1)</f>
        <v>F</v>
      </c>
      <c r="AB49" s="28" t="str">
        <f>MID(VLOOKUP($A49,Seqs!$A:$B,2,FALSE),VLOOKUP($A49,'SegEnds_NonXtal_Prot#'!$A:$AL,22,FALSE)+6,1)</f>
        <v>I</v>
      </c>
      <c r="AC49" s="49" t="str">
        <f>MID(VLOOKUP($A49,Seqs!$A:$B,2,FALSE),VLOOKUP($A49,'SegEnds_NonXtal_Prot#'!$A:$AL,22,FALSE)+7,1)</f>
        <v>S</v>
      </c>
      <c r="AD49" s="49" t="str">
        <f>MID(VLOOKUP($A49,Seqs!$A:$B,2,FALSE),VLOOKUP($A49,'SegEnds_NonXtal_Prot#'!$A:$AL,22,FALSE)+8,1)</f>
        <v>I</v>
      </c>
      <c r="AE49" s="49" t="str">
        <f>MID(VLOOKUP($A49,Seqs!$A:$B,2,FALSE),VLOOKUP($A49,'SegEnds_NonXtal_Prot#'!$A:$AL,22,FALSE)+9,1)</f>
        <v>G</v>
      </c>
      <c r="AF49" s="49" t="str">
        <f>MID(VLOOKUP($A49,Seqs!$A:$B,2,FALSE),VLOOKUP($A49,'SegEnds_NonXtal_Prot#'!$A:$AL,22,FALSE)+10,1)</f>
        <v>P</v>
      </c>
      <c r="AG49" s="28" t="str">
        <f>MID(VLOOKUP($A49,Seqs!$A:$B,2,FALSE),VLOOKUP($A49,'SegEnds_NonXtal_Prot#'!$A:$AL,28,FALSE)-4,1)</f>
        <v>S</v>
      </c>
      <c r="AH49" s="49" t="str">
        <f>MID(VLOOKUP($A49,Seqs!$A:$B,2,FALSE),VLOOKUP($A49,'SegEnds_NonXtal_Prot#'!$A:$AL,28,FALSE),1)</f>
        <v>P</v>
      </c>
    </row>
    <row r="50" spans="1:34" s="2" customFormat="1" x14ac:dyDescent="0.2">
      <c r="A50" s="2" t="s">
        <v>154</v>
      </c>
      <c r="B50" s="2" t="str">
        <f>LOWER(VLOOKUP(A50,Xtal_Templ!A:B,2,FALSE))</f>
        <v>drd2_human</v>
      </c>
      <c r="C50" s="2" t="str">
        <f>VLOOKUP(A50,Classification!A:D,2,FALSE)</f>
        <v>A</v>
      </c>
      <c r="D50" s="2" t="str">
        <f>IF(ISERROR(MATCH(A50,'SegEnds_Xtal_Prot#'!B:B, 0)), "NoXtal", "Xtal")</f>
        <v>NoXtal</v>
      </c>
      <c r="G50" s="2" t="s">
        <v>5</v>
      </c>
      <c r="H50" s="4"/>
      <c r="R50" s="2" t="s">
        <v>9</v>
      </c>
      <c r="T50" s="4" t="s">
        <v>12</v>
      </c>
      <c r="V50" s="28" t="str">
        <f>MID(VLOOKUP($A50,Seqs!$A:$B,2,FALSE),VLOOKUP($A50,'SegEnds_NonXtal_Prot#'!A:AL,10,FALSE),1)</f>
        <v>D</v>
      </c>
      <c r="W50" s="49" t="str">
        <f>MID(VLOOKUP($A50,Seqs!$A:$B,2,FALSE),VLOOKUP($A50,'SegEnds_NonXtal_Prot#'!A:AL,10,FALSE)+6,1)</f>
        <v>T</v>
      </c>
      <c r="X50" s="49" t="str">
        <f>MID(VLOOKUP($A50,Seqs!$A:$B,2,FALSE),VLOOKUP($A50,'SegEnds_NonXtal_Prot#'!A:AL,10,FALSE)+7,1)</f>
        <v>V</v>
      </c>
      <c r="Y50" s="49" t="str">
        <f>MID(VLOOKUP($A50,Seqs!$A:$B,2,FALSE),VLOOKUP($A50,'SegEnds_NonXtal_Prot#'!A:AL,10,FALSE)+8,1)</f>
        <v>L</v>
      </c>
      <c r="Z50" s="49" t="str">
        <f>MID(VLOOKUP($A50,Seqs!$A:$B,2,FALSE),VLOOKUP($A50,'SegEnds_NonXtal_Prot#'!A:AL,10,FALSE)+9,1)</f>
        <v>P</v>
      </c>
      <c r="AA50" s="49" t="str">
        <f>MID(VLOOKUP($A50,Seqs!$A:$B,2,FALSE),VLOOKUP($A50,'SegEnds_NonXtal_Prot#'!A:AL,10,FALSE)+10,1)</f>
        <v>F</v>
      </c>
      <c r="AB50" s="28" t="str">
        <f>MID(VLOOKUP($A50,Seqs!$A:$B,2,FALSE),VLOOKUP($A50,'SegEnds_NonXtal_Prot#'!$A:$AL,22,FALSE)+6,1)</f>
        <v>V</v>
      </c>
      <c r="AC50" s="49" t="str">
        <f>MID(VLOOKUP($A50,Seqs!$A:$B,2,FALSE),VLOOKUP($A50,'SegEnds_NonXtal_Prot#'!$A:$AL,22,FALSE)+7,1)</f>
        <v>S</v>
      </c>
      <c r="AD50" s="49" t="str">
        <f>MID(VLOOKUP($A50,Seqs!$A:$B,2,FALSE),VLOOKUP($A50,'SegEnds_NonXtal_Prot#'!$A:$AL,22,FALSE)+8,1)</f>
        <v>V</v>
      </c>
      <c r="AE50" s="49" t="str">
        <f>MID(VLOOKUP($A50,Seqs!$A:$B,2,FALSE),VLOOKUP($A50,'SegEnds_NonXtal_Prot#'!$A:$AL,22,FALSE)+9,1)</f>
        <v>G</v>
      </c>
      <c r="AF50" s="49" t="str">
        <f>MID(VLOOKUP($A50,Seqs!$A:$B,2,FALSE),VLOOKUP($A50,'SegEnds_NonXtal_Prot#'!$A:$AL,22,FALSE)+10,1)</f>
        <v>P</v>
      </c>
      <c r="AG50" s="28" t="str">
        <f>MID(VLOOKUP($A50,Seqs!$A:$B,2,FALSE),VLOOKUP($A50,'SegEnds_NonXtal_Prot#'!$A:$AL,28,FALSE)-4,1)</f>
        <v>S</v>
      </c>
      <c r="AH50" s="49" t="str">
        <f>MID(VLOOKUP($A50,Seqs!$A:$B,2,FALSE),VLOOKUP($A50,'SegEnds_NonXtal_Prot#'!$A:$AL,28,FALSE),1)</f>
        <v>P</v>
      </c>
    </row>
    <row r="51" spans="1:34" s="2" customFormat="1" x14ac:dyDescent="0.2">
      <c r="A51" s="2" t="s">
        <v>125</v>
      </c>
      <c r="B51" s="2" t="str">
        <f>LOWER(VLOOKUP(A51,Xtal_Templ!A:B,2,FALSE))</f>
        <v>adrb2_human</v>
      </c>
      <c r="C51" s="2" t="str">
        <f>VLOOKUP(A51,Classification!A:D,2,FALSE)</f>
        <v>A</v>
      </c>
      <c r="D51" s="2" t="str">
        <f>IF(ISERROR(MATCH(A51,'SegEnds_Xtal_Prot#'!B:B, 0)), "NoXtal", "Xtal")</f>
        <v>NoXtal</v>
      </c>
      <c r="G51" s="2" t="s">
        <v>5</v>
      </c>
      <c r="H51" s="4"/>
      <c r="R51" s="2" t="s">
        <v>9</v>
      </c>
      <c r="T51" s="4" t="s">
        <v>12</v>
      </c>
      <c r="V51" s="28" t="str">
        <f>MID(VLOOKUP($A51,Seqs!$A:$B,2,FALSE),VLOOKUP($A51,'SegEnds_NonXtal_Prot#'!A:AL,10,FALSE),1)</f>
        <v>D</v>
      </c>
      <c r="W51" s="49" t="str">
        <f>MID(VLOOKUP($A51,Seqs!$A:$B,2,FALSE),VLOOKUP($A51,'SegEnds_NonXtal_Prot#'!A:AL,10,FALSE)+6,1)</f>
        <v>L</v>
      </c>
      <c r="X51" s="49" t="str">
        <f>MID(VLOOKUP($A51,Seqs!$A:$B,2,FALSE),VLOOKUP($A51,'SegEnds_NonXtal_Prot#'!A:AL,10,FALSE)+7,1)</f>
        <v>V</v>
      </c>
      <c r="Y51" s="49" t="str">
        <f>MID(VLOOKUP($A51,Seqs!$A:$B,2,FALSE),VLOOKUP($A51,'SegEnds_NonXtal_Prot#'!A:AL,10,FALSE)+8,1)</f>
        <v>V</v>
      </c>
      <c r="Z51" s="49" t="str">
        <f>MID(VLOOKUP($A51,Seqs!$A:$B,2,FALSE),VLOOKUP($A51,'SegEnds_NonXtal_Prot#'!A:AL,10,FALSE)+9,1)</f>
        <v>P</v>
      </c>
      <c r="AA51" s="49" t="str">
        <f>MID(VLOOKUP($A51,Seqs!$A:$B,2,FALSE),VLOOKUP($A51,'SegEnds_NonXtal_Prot#'!A:AL,10,FALSE)+10,1)</f>
        <v>F</v>
      </c>
      <c r="AB51" s="28" t="str">
        <f>MID(VLOOKUP($A51,Seqs!$A:$B,2,FALSE),VLOOKUP($A51,'SegEnds_NonXtal_Prot#'!$A:$AL,22,FALSE)+6,1)</f>
        <v>V</v>
      </c>
      <c r="AC51" s="49" t="str">
        <f>MID(VLOOKUP($A51,Seqs!$A:$B,2,FALSE),VLOOKUP($A51,'SegEnds_NonXtal_Prot#'!$A:$AL,22,FALSE)+7,1)</f>
        <v>S</v>
      </c>
      <c r="AD51" s="49" t="str">
        <f>MID(VLOOKUP($A51,Seqs!$A:$B,2,FALSE),VLOOKUP($A51,'SegEnds_NonXtal_Prot#'!$A:$AL,22,FALSE)+8,1)</f>
        <v>F</v>
      </c>
      <c r="AE51" s="49" t="str">
        <f>MID(VLOOKUP($A51,Seqs!$A:$B,2,FALSE),VLOOKUP($A51,'SegEnds_NonXtal_Prot#'!$A:$AL,22,FALSE)+9,1)</f>
        <v>L</v>
      </c>
      <c r="AF51" s="49" t="str">
        <f>MID(VLOOKUP($A51,Seqs!$A:$B,2,FALSE),VLOOKUP($A51,'SegEnds_NonXtal_Prot#'!$A:$AL,22,FALSE)+10,1)</f>
        <v>P</v>
      </c>
      <c r="AG51" s="28" t="str">
        <f>MID(VLOOKUP($A51,Seqs!$A:$B,2,FALSE),VLOOKUP($A51,'SegEnds_NonXtal_Prot#'!$A:$AL,28,FALSE)-4,1)</f>
        <v>S</v>
      </c>
      <c r="AH51" s="49" t="str">
        <f>MID(VLOOKUP($A51,Seqs!$A:$B,2,FALSE),VLOOKUP($A51,'SegEnds_NonXtal_Prot#'!$A:$AL,28,FALSE),1)</f>
        <v>P</v>
      </c>
    </row>
    <row r="52" spans="1:34" s="2" customFormat="1" x14ac:dyDescent="0.2">
      <c r="A52" s="2" t="s">
        <v>912</v>
      </c>
      <c r="B52" s="2" t="str">
        <f>LOWER(VLOOKUP(A52,Xtal_Templ!A:B,2,FALSE))</f>
        <v>adrb1_melga</v>
      </c>
      <c r="C52" s="2" t="str">
        <f>VLOOKUP(A52,Classification!A:D,2,FALSE)</f>
        <v>A</v>
      </c>
      <c r="D52" s="2" t="str">
        <f>IF(ISERROR(MATCH(A52,'SegEnds_Xtal_Prot#'!B:B, 0)), "NoXtal", "Xtal")</f>
        <v>Xtal</v>
      </c>
      <c r="G52" s="2" t="s">
        <v>5</v>
      </c>
      <c r="H52" s="4"/>
      <c r="R52" s="2" t="s">
        <v>9</v>
      </c>
      <c r="T52" s="4" t="s">
        <v>12</v>
      </c>
      <c r="V52" s="28" t="str">
        <f>MID(VLOOKUP($A52,Seqs!$A:$B,2,FALSE),VLOOKUP($A52,'SegEnds_NonXtal_Prot#'!A:AL,10,FALSE),1)</f>
        <v>D</v>
      </c>
      <c r="W52" s="49" t="str">
        <f>MID(VLOOKUP($A52,Seqs!$A:$B,2,FALSE),VLOOKUP($A52,'SegEnds_NonXtal_Prot#'!A:AL,10,FALSE)+6,1)</f>
        <v>L</v>
      </c>
      <c r="X52" s="49" t="str">
        <f>MID(VLOOKUP($A52,Seqs!$A:$B,2,FALSE),VLOOKUP($A52,'SegEnds_NonXtal_Prot#'!A:AL,10,FALSE)+7,1)</f>
        <v>V</v>
      </c>
      <c r="Y52" s="49" t="str">
        <f>MID(VLOOKUP($A52,Seqs!$A:$B,2,FALSE),VLOOKUP($A52,'SegEnds_NonXtal_Prot#'!A:AL,10,FALSE)+8,1)</f>
        <v>V</v>
      </c>
      <c r="Z52" s="49" t="str">
        <f>MID(VLOOKUP($A52,Seqs!$A:$B,2,FALSE),VLOOKUP($A52,'SegEnds_NonXtal_Prot#'!A:AL,10,FALSE)+9,1)</f>
        <v>P</v>
      </c>
      <c r="AA52" s="49" t="str">
        <f>MID(VLOOKUP($A52,Seqs!$A:$B,2,FALSE),VLOOKUP($A52,'SegEnds_NonXtal_Prot#'!A:AL,10,FALSE)+10,1)</f>
        <v>F</v>
      </c>
      <c r="AB52" s="28" t="str">
        <f>MID(VLOOKUP($A52,Seqs!$A:$B,2,FALSE),VLOOKUP($A52,'SegEnds_NonXtal_Prot#'!$A:$AL,22,FALSE)+6,1)</f>
        <v>V</v>
      </c>
      <c r="AC52" s="49" t="str">
        <f>MID(VLOOKUP($A52,Seqs!$A:$B,2,FALSE),VLOOKUP($A52,'SegEnds_NonXtal_Prot#'!$A:$AL,22,FALSE)+7,1)</f>
        <v>S</v>
      </c>
      <c r="AD52" s="49" t="str">
        <f>MID(VLOOKUP($A52,Seqs!$A:$B,2,FALSE),VLOOKUP($A52,'SegEnds_NonXtal_Prot#'!$A:$AL,22,FALSE)+8,1)</f>
        <v>F</v>
      </c>
      <c r="AE52" s="49" t="str">
        <f>MID(VLOOKUP($A52,Seqs!$A:$B,2,FALSE),VLOOKUP($A52,'SegEnds_NonXtal_Prot#'!$A:$AL,22,FALSE)+9,1)</f>
        <v>L</v>
      </c>
      <c r="AF52" s="49" t="str">
        <f>MID(VLOOKUP($A52,Seqs!$A:$B,2,FALSE),VLOOKUP($A52,'SegEnds_NonXtal_Prot#'!$A:$AL,22,FALSE)+10,1)</f>
        <v>P</v>
      </c>
      <c r="AG52" s="28" t="str">
        <f>MID(VLOOKUP($A52,Seqs!$A:$B,2,FALSE),VLOOKUP($A52,'SegEnds_NonXtal_Prot#'!$A:$AL,28,FALSE)-4,1)</f>
        <v>S</v>
      </c>
      <c r="AH52" s="49" t="str">
        <f>MID(VLOOKUP($A52,Seqs!$A:$B,2,FALSE),VLOOKUP($A52,'SegEnds_NonXtal_Prot#'!$A:$AL,28,FALSE),1)</f>
        <v>P</v>
      </c>
    </row>
    <row r="53" spans="1:34" s="2" customFormat="1" x14ac:dyDescent="0.2">
      <c r="A53" s="2" t="s">
        <v>102</v>
      </c>
      <c r="B53" s="2" t="str">
        <f>LOWER(VLOOKUP(A53,Xtal_Templ!A:B,2,FALSE))</f>
        <v>adrb2_human</v>
      </c>
      <c r="C53" s="2" t="str">
        <f>VLOOKUP(A53,Classification!A:D,2,FALSE)</f>
        <v>A</v>
      </c>
      <c r="D53" s="2" t="str">
        <f>IF(ISERROR(MATCH(A53,'SegEnds_Xtal_Prot#'!B:B, 0)), "NoXtal", "Xtal")</f>
        <v>NoXtal</v>
      </c>
      <c r="G53" s="2" t="s">
        <v>5</v>
      </c>
      <c r="H53" s="4"/>
      <c r="R53" s="2" t="s">
        <v>9</v>
      </c>
      <c r="T53" s="4" t="s">
        <v>12</v>
      </c>
      <c r="V53" s="28" t="str">
        <f>MID(VLOOKUP($A53,Seqs!$A:$B,2,FALSE),VLOOKUP($A53,'SegEnds_NonXtal_Prot#'!A:AL,10,FALSE),1)</f>
        <v>D</v>
      </c>
      <c r="W53" s="49" t="str">
        <f>MID(VLOOKUP($A53,Seqs!$A:$B,2,FALSE),VLOOKUP($A53,'SegEnds_NonXtal_Prot#'!A:AL,10,FALSE)+6,1)</f>
        <v>L</v>
      </c>
      <c r="X53" s="49" t="str">
        <f>MID(VLOOKUP($A53,Seqs!$A:$B,2,FALSE),VLOOKUP($A53,'SegEnds_NonXtal_Prot#'!A:AL,10,FALSE)+7,1)</f>
        <v>V</v>
      </c>
      <c r="Y53" s="49" t="str">
        <f>MID(VLOOKUP($A53,Seqs!$A:$B,2,FALSE),VLOOKUP($A53,'SegEnds_NonXtal_Prot#'!A:AL,10,FALSE)+8,1)</f>
        <v>V</v>
      </c>
      <c r="Z53" s="49" t="str">
        <f>MID(VLOOKUP($A53,Seqs!$A:$B,2,FALSE),VLOOKUP($A53,'SegEnds_NonXtal_Prot#'!A:AL,10,FALSE)+9,1)</f>
        <v>P</v>
      </c>
      <c r="AA53" s="49" t="str">
        <f>MID(VLOOKUP($A53,Seqs!$A:$B,2,FALSE),VLOOKUP($A53,'SegEnds_NonXtal_Prot#'!A:AL,10,FALSE)+10,1)</f>
        <v>P</v>
      </c>
      <c r="AB53" s="28" t="str">
        <f>MID(VLOOKUP($A53,Seqs!$A:$B,2,FALSE),VLOOKUP($A53,'SegEnds_NonXtal_Prot#'!$A:$AL,22,FALSE)+6,1)</f>
        <v>V</v>
      </c>
      <c r="AC53" s="49" t="str">
        <f>MID(VLOOKUP($A53,Seqs!$A:$B,2,FALSE),VLOOKUP($A53,'SegEnds_NonXtal_Prot#'!$A:$AL,22,FALSE)+7,1)</f>
        <v>S</v>
      </c>
      <c r="AD53" s="49" t="str">
        <f>MID(VLOOKUP($A53,Seqs!$A:$B,2,FALSE),VLOOKUP($A53,'SegEnds_NonXtal_Prot#'!$A:$AL,22,FALSE)+8,1)</f>
        <v>F</v>
      </c>
      <c r="AE53" s="49" t="str">
        <f>MID(VLOOKUP($A53,Seqs!$A:$B,2,FALSE),VLOOKUP($A53,'SegEnds_NonXtal_Prot#'!$A:$AL,22,FALSE)+9,1)</f>
        <v>A</v>
      </c>
      <c r="AF53" s="49" t="str">
        <f>MID(VLOOKUP($A53,Seqs!$A:$B,2,FALSE),VLOOKUP($A53,'SegEnds_NonXtal_Prot#'!$A:$AL,22,FALSE)+10,1)</f>
        <v>P</v>
      </c>
      <c r="AG53" s="28" t="str">
        <f>MID(VLOOKUP($A53,Seqs!$A:$B,2,FALSE),VLOOKUP($A53,'SegEnds_NonXtal_Prot#'!$A:$AL,28,FALSE)-4,1)</f>
        <v>S</v>
      </c>
      <c r="AH53" s="49" t="str">
        <f>MID(VLOOKUP($A53,Seqs!$A:$B,2,FALSE),VLOOKUP($A53,'SegEnds_NonXtal_Prot#'!$A:$AL,28,FALSE),1)</f>
        <v>P</v>
      </c>
    </row>
    <row r="54" spans="1:34" s="2" customFormat="1" x14ac:dyDescent="0.2">
      <c r="A54" s="2" t="s">
        <v>190</v>
      </c>
      <c r="B54" s="2" t="str">
        <f>LOWER(VLOOKUP(A54,Xtal_Templ!A:B,2,FALSE))</f>
        <v>adrb2_human</v>
      </c>
      <c r="C54" s="2" t="str">
        <f>VLOOKUP(A54,Classification!A:D,2,FALSE)</f>
        <v>A</v>
      </c>
      <c r="D54" s="2" t="str">
        <f>IF(ISERROR(MATCH(A54,'SegEnds_Xtal_Prot#'!B:B, 0)), "NoXtal", "Xtal")</f>
        <v>NoXtal</v>
      </c>
      <c r="G54" s="2" t="s">
        <v>5</v>
      </c>
      <c r="H54" s="4"/>
      <c r="R54" s="2" t="s">
        <v>9</v>
      </c>
      <c r="T54" s="4" t="s">
        <v>12</v>
      </c>
      <c r="V54" s="28" t="str">
        <f>MID(VLOOKUP($A54,Seqs!$A:$B,2,FALSE),VLOOKUP($A54,'SegEnds_NonXtal_Prot#'!A:AL,10,FALSE),1)</f>
        <v>D</v>
      </c>
      <c r="W54" s="49" t="str">
        <f>MID(VLOOKUP($A54,Seqs!$A:$B,2,FALSE),VLOOKUP($A54,'SegEnds_NonXtal_Prot#'!A:AL,10,FALSE)+6,1)</f>
        <v>L</v>
      </c>
      <c r="X54" s="49" t="str">
        <f>MID(VLOOKUP($A54,Seqs!$A:$B,2,FALSE),VLOOKUP($A54,'SegEnds_NonXtal_Prot#'!A:AL,10,FALSE)+7,1)</f>
        <v>V</v>
      </c>
      <c r="Y54" s="49" t="str">
        <f>MID(VLOOKUP($A54,Seqs!$A:$B,2,FALSE),VLOOKUP($A54,'SegEnds_NonXtal_Prot#'!A:AL,10,FALSE)+8,1)</f>
        <v>M</v>
      </c>
      <c r="Z54" s="49" t="str">
        <f>MID(VLOOKUP($A54,Seqs!$A:$B,2,FALSE),VLOOKUP($A54,'SegEnds_NonXtal_Prot#'!A:AL,10,FALSE)+9,1)</f>
        <v>P</v>
      </c>
      <c r="AA54" s="49" t="str">
        <f>MID(VLOOKUP($A54,Seqs!$A:$B,2,FALSE),VLOOKUP($A54,'SegEnds_NonXtal_Prot#'!A:AL,10,FALSE)+10,1)</f>
        <v>W</v>
      </c>
      <c r="AB54" s="28" t="str">
        <f>MID(VLOOKUP($A54,Seqs!$A:$B,2,FALSE),VLOOKUP($A54,'SegEnds_NonXtal_Prot#'!$A:$AL,22,FALSE)+6,1)</f>
        <v>I</v>
      </c>
      <c r="AC54" s="49" t="str">
        <f>MID(VLOOKUP($A54,Seqs!$A:$B,2,FALSE),VLOOKUP($A54,'SegEnds_NonXtal_Prot#'!$A:$AL,22,FALSE)+7,1)</f>
        <v>S</v>
      </c>
      <c r="AD54" s="49" t="str">
        <f>MID(VLOOKUP($A54,Seqs!$A:$B,2,FALSE),VLOOKUP($A54,'SegEnds_NonXtal_Prot#'!$A:$AL,22,FALSE)+8,1)</f>
        <v>F</v>
      </c>
      <c r="AE54" s="49" t="str">
        <f>MID(VLOOKUP($A54,Seqs!$A:$B,2,FALSE),VLOOKUP($A54,'SegEnds_NonXtal_Prot#'!$A:$AL,22,FALSE)+9,1)</f>
        <v>I</v>
      </c>
      <c r="AF54" s="49" t="str">
        <f>MID(VLOOKUP($A54,Seqs!$A:$B,2,FALSE),VLOOKUP($A54,'SegEnds_NonXtal_Prot#'!$A:$AL,22,FALSE)+10,1)</f>
        <v>P</v>
      </c>
      <c r="AG54" s="28" t="str">
        <f>MID(VLOOKUP($A54,Seqs!$A:$B,2,FALSE),VLOOKUP($A54,'SegEnds_NonXtal_Prot#'!$A:$AL,28,FALSE)-4,1)</f>
        <v>S</v>
      </c>
      <c r="AH54" s="49" t="str">
        <f>MID(VLOOKUP($A54,Seqs!$A:$B,2,FALSE),VLOOKUP($A54,'SegEnds_NonXtal_Prot#'!$A:$AL,28,FALSE),1)</f>
        <v>P</v>
      </c>
    </row>
    <row r="55" spans="1:34" s="2" customFormat="1" x14ac:dyDescent="0.2">
      <c r="A55" s="2" t="s">
        <v>194</v>
      </c>
      <c r="B55" s="2" t="str">
        <f>LOWER(VLOOKUP(A55,Xtal_Templ!A:B,2,FALSE))</f>
        <v>adrb2_human</v>
      </c>
      <c r="C55" s="2" t="str">
        <f>VLOOKUP(A55,Classification!A:D,2,FALSE)</f>
        <v>A</v>
      </c>
      <c r="D55" s="2" t="str">
        <f>IF(ISERROR(MATCH(A55,'SegEnds_Xtal_Prot#'!B:B, 0)), "NoXtal", "Xtal")</f>
        <v>NoXtal</v>
      </c>
      <c r="G55" s="2" t="s">
        <v>5</v>
      </c>
      <c r="H55" s="4"/>
      <c r="R55" s="2" t="s">
        <v>9</v>
      </c>
      <c r="T55" s="4" t="s">
        <v>12</v>
      </c>
      <c r="V55" s="28" t="str">
        <f>MID(VLOOKUP($A55,Seqs!$A:$B,2,FALSE),VLOOKUP($A55,'SegEnds_NonXtal_Prot#'!A:AL,10,FALSE),1)</f>
        <v>D</v>
      </c>
      <c r="W55" s="49" t="str">
        <f>MID(VLOOKUP($A55,Seqs!$A:$B,2,FALSE),VLOOKUP($A55,'SegEnds_NonXtal_Prot#'!A:AL,10,FALSE)+6,1)</f>
        <v>L</v>
      </c>
      <c r="X55" s="49" t="str">
        <f>MID(VLOOKUP($A55,Seqs!$A:$B,2,FALSE),VLOOKUP($A55,'SegEnds_NonXtal_Prot#'!A:AL,10,FALSE)+7,1)</f>
        <v>V</v>
      </c>
      <c r="Y55" s="49" t="str">
        <f>MID(VLOOKUP($A55,Seqs!$A:$B,2,FALSE),VLOOKUP($A55,'SegEnds_NonXtal_Prot#'!A:AL,10,FALSE)+8,1)</f>
        <v>M</v>
      </c>
      <c r="Z55" s="49" t="str">
        <f>MID(VLOOKUP($A55,Seqs!$A:$B,2,FALSE),VLOOKUP($A55,'SegEnds_NonXtal_Prot#'!A:AL,10,FALSE)+9,1)</f>
        <v>P</v>
      </c>
      <c r="AA55" s="49" t="str">
        <f>MID(VLOOKUP($A55,Seqs!$A:$B,2,FALSE),VLOOKUP($A55,'SegEnds_NonXtal_Prot#'!A:AL,10,FALSE)+10,1)</f>
        <v>W</v>
      </c>
      <c r="AB55" s="28" t="str">
        <f>MID(VLOOKUP($A55,Seqs!$A:$B,2,FALSE),VLOOKUP($A55,'SegEnds_NonXtal_Prot#'!$A:$AL,22,FALSE)+6,1)</f>
        <v>I</v>
      </c>
      <c r="AC55" s="49" t="str">
        <f>MID(VLOOKUP($A55,Seqs!$A:$B,2,FALSE),VLOOKUP($A55,'SegEnds_NonXtal_Prot#'!$A:$AL,22,FALSE)+7,1)</f>
        <v>S</v>
      </c>
      <c r="AD55" s="49" t="str">
        <f>MID(VLOOKUP($A55,Seqs!$A:$B,2,FALSE),VLOOKUP($A55,'SegEnds_NonXtal_Prot#'!$A:$AL,22,FALSE)+8,1)</f>
        <v>F</v>
      </c>
      <c r="AE55" s="49" t="str">
        <f>MID(VLOOKUP($A55,Seqs!$A:$B,2,FALSE),VLOOKUP($A55,'SegEnds_NonXtal_Prot#'!$A:$AL,22,FALSE)+9,1)</f>
        <v>I</v>
      </c>
      <c r="AF55" s="49" t="str">
        <f>MID(VLOOKUP($A55,Seqs!$A:$B,2,FALSE),VLOOKUP($A55,'SegEnds_NonXtal_Prot#'!$A:$AL,22,FALSE)+10,1)</f>
        <v>P</v>
      </c>
      <c r="AG55" s="28" t="str">
        <f>MID(VLOOKUP($A55,Seqs!$A:$B,2,FALSE),VLOOKUP($A55,'SegEnds_NonXtal_Prot#'!$A:$AL,28,FALSE)-4,1)</f>
        <v>S</v>
      </c>
      <c r="AH55" s="49" t="str">
        <f>MID(VLOOKUP($A55,Seqs!$A:$B,2,FALSE),VLOOKUP($A55,'SegEnds_NonXtal_Prot#'!$A:$AL,28,FALSE),1)</f>
        <v>P</v>
      </c>
    </row>
    <row r="56" spans="1:34" s="2" customFormat="1" x14ac:dyDescent="0.2">
      <c r="A56" s="2" t="s">
        <v>212</v>
      </c>
      <c r="B56" s="2" t="str">
        <f>LOWER(VLOOKUP(A56,Xtal_Templ!A:B,2,FALSE))</f>
        <v>5ht2c_human</v>
      </c>
      <c r="C56" s="2" t="str">
        <f>VLOOKUP(A56,Classification!A:D,2,FALSE)</f>
        <v>A</v>
      </c>
      <c r="D56" s="2" t="str">
        <f>IF(ISERROR(MATCH(A56,'SegEnds_Xtal_Prot#'!B:B, 0)), "NoXtal", "Xtal")</f>
        <v>NoXtal</v>
      </c>
      <c r="G56" s="2" t="s">
        <v>5</v>
      </c>
      <c r="H56" s="4"/>
      <c r="T56" s="4" t="s">
        <v>12</v>
      </c>
      <c r="V56" s="28" t="str">
        <f>MID(VLOOKUP($A56,Seqs!$A:$B,2,FALSE),VLOOKUP($A56,'SegEnds_NonXtal_Prot#'!A:AL,10,FALSE),1)</f>
        <v>D</v>
      </c>
      <c r="W56" s="49" t="str">
        <f>MID(VLOOKUP($A56,Seqs!$A:$B,2,FALSE),VLOOKUP($A56,'SegEnds_NonXtal_Prot#'!A:AL,10,FALSE)+6,1)</f>
        <v>L</v>
      </c>
      <c r="X56" s="49" t="str">
        <f>MID(VLOOKUP($A56,Seqs!$A:$B,2,FALSE),VLOOKUP($A56,'SegEnds_NonXtal_Prot#'!A:AL,10,FALSE)+7,1)</f>
        <v>V</v>
      </c>
      <c r="Y56" s="49" t="str">
        <f>MID(VLOOKUP($A56,Seqs!$A:$B,2,FALSE),VLOOKUP($A56,'SegEnds_NonXtal_Prot#'!A:AL,10,FALSE)+8,1)</f>
        <v>A</v>
      </c>
      <c r="Z56" s="49" t="str">
        <f>MID(VLOOKUP($A56,Seqs!$A:$B,2,FALSE),VLOOKUP($A56,'SegEnds_NonXtal_Prot#'!A:AL,10,FALSE)+9,1)</f>
        <v>P</v>
      </c>
      <c r="AA56" s="49" t="str">
        <f>MID(VLOOKUP($A56,Seqs!$A:$B,2,FALSE),VLOOKUP($A56,'SegEnds_NonXtal_Prot#'!A:AL,10,FALSE)+10,1)</f>
        <v>W</v>
      </c>
      <c r="AB56" s="28" t="str">
        <f>MID(VLOOKUP($A56,Seqs!$A:$B,2,FALSE),VLOOKUP($A56,'SegEnds_NonXtal_Prot#'!$A:$AL,22,FALSE)+6,1)</f>
        <v>Q</v>
      </c>
      <c r="AC56" s="49" t="str">
        <f>MID(VLOOKUP($A56,Seqs!$A:$B,2,FALSE),VLOOKUP($A56,'SegEnds_NonXtal_Prot#'!$A:$AL,22,FALSE)+7,1)</f>
        <v>S</v>
      </c>
      <c r="AD56" s="49" t="str">
        <f>MID(VLOOKUP($A56,Seqs!$A:$B,2,FALSE),VLOOKUP($A56,'SegEnds_NonXtal_Prot#'!$A:$AL,22,FALSE)+8,1)</f>
        <v>T</v>
      </c>
      <c r="AE56" s="49" t="str">
        <f>MID(VLOOKUP($A56,Seqs!$A:$B,2,FALSE),VLOOKUP($A56,'SegEnds_NonXtal_Prot#'!$A:$AL,22,FALSE)+9,1)</f>
        <v>P</v>
      </c>
      <c r="AF56" s="49" t="str">
        <f>MID(VLOOKUP($A56,Seqs!$A:$B,2,FALSE),VLOOKUP($A56,'SegEnds_NonXtal_Prot#'!$A:$AL,22,FALSE)+10,1)</f>
        <v>P</v>
      </c>
      <c r="AG56" s="28" t="str">
        <f>MID(VLOOKUP($A56,Seqs!$A:$B,2,FALSE),VLOOKUP($A56,'SegEnds_NonXtal_Prot#'!$A:$AL,28,FALSE)-4,1)</f>
        <v>F</v>
      </c>
      <c r="AH56" s="49" t="str">
        <f>MID(VLOOKUP($A56,Seqs!$A:$B,2,FALSE),VLOOKUP($A56,'SegEnds_NonXtal_Prot#'!$A:$AL,28,FALSE),1)</f>
        <v>P</v>
      </c>
    </row>
    <row r="57" spans="1:34" s="2" customFormat="1" x14ac:dyDescent="0.2">
      <c r="A57" s="2" t="s">
        <v>259</v>
      </c>
      <c r="B57" s="2" t="str">
        <f>LOWER(VLOOKUP(A57,Xtal_Templ!A:B,2,FALSE))</f>
        <v>drd2_human</v>
      </c>
      <c r="C57" s="2" t="str">
        <f>VLOOKUP(A57,Classification!A:D,2,FALSE)</f>
        <v>A</v>
      </c>
      <c r="D57" s="2" t="str">
        <f>IF(ISERROR(MATCH(A57,'SegEnds_Xtal_Prot#'!B:B, 0)), "NoXtal", "Xtal")</f>
        <v>NoXtal</v>
      </c>
      <c r="G57" s="2" t="s">
        <v>5</v>
      </c>
      <c r="H57" s="4"/>
      <c r="N57" s="2" t="s">
        <v>14</v>
      </c>
      <c r="R57" s="2" t="s">
        <v>9</v>
      </c>
      <c r="T57" s="4" t="s">
        <v>12</v>
      </c>
      <c r="V57" s="28" t="str">
        <f>MID(VLOOKUP($A57,Seqs!$A:$B,2,FALSE),VLOOKUP($A57,'SegEnds_NonXtal_Prot#'!A:AL,10,FALSE),1)</f>
        <v>D</v>
      </c>
      <c r="W57" s="49" t="str">
        <f>MID(VLOOKUP($A57,Seqs!$A:$B,2,FALSE),VLOOKUP($A57,'SegEnds_NonXtal_Prot#'!A:AL,10,FALSE)+6,1)</f>
        <v>C</v>
      </c>
      <c r="X57" s="49" t="str">
        <f>MID(VLOOKUP($A57,Seqs!$A:$B,2,FALSE),VLOOKUP($A57,'SegEnds_NonXtal_Prot#'!A:AL,10,FALSE)+7,1)</f>
        <v>C</v>
      </c>
      <c r="Y57" s="49" t="str">
        <f>MID(VLOOKUP($A57,Seqs!$A:$B,2,FALSE),VLOOKUP($A57,'SegEnds_NonXtal_Prot#'!A:AL,10,FALSE)+8,1)</f>
        <v>M</v>
      </c>
      <c r="Z57" s="49" t="str">
        <f>MID(VLOOKUP($A57,Seqs!$A:$B,2,FALSE),VLOOKUP($A57,'SegEnds_NonXtal_Prot#'!A:AL,10,FALSE)+9,1)</f>
        <v>P</v>
      </c>
      <c r="AA57" s="49" t="str">
        <f>MID(VLOOKUP($A57,Seqs!$A:$B,2,FALSE),VLOOKUP($A57,'SegEnds_NonXtal_Prot#'!A:AL,10,FALSE)+10,1)</f>
        <v>F</v>
      </c>
      <c r="AB57" s="28" t="str">
        <f>MID(VLOOKUP($A57,Seqs!$A:$B,2,FALSE),VLOOKUP($A57,'SegEnds_NonXtal_Prot#'!$A:$AL,22,FALSE)+6,1)</f>
        <v>I</v>
      </c>
      <c r="AC57" s="49" t="str">
        <f>MID(VLOOKUP($A57,Seqs!$A:$B,2,FALSE),VLOOKUP($A57,'SegEnds_NonXtal_Prot#'!$A:$AL,22,FALSE)+7,1)</f>
        <v>A</v>
      </c>
      <c r="AD57" s="49" t="str">
        <f>MID(VLOOKUP($A57,Seqs!$A:$B,2,FALSE),VLOOKUP($A57,'SegEnds_NonXtal_Prot#'!$A:$AL,22,FALSE)+8,1)</f>
        <v>G</v>
      </c>
      <c r="AE57" s="49" t="str">
        <f>MID(VLOOKUP($A57,Seqs!$A:$B,2,FALSE),VLOOKUP($A57,'SegEnds_NonXtal_Prot#'!$A:$AL,22,FALSE)+9,1)</f>
        <v>P</v>
      </c>
      <c r="AF57" s="49" t="str">
        <f>MID(VLOOKUP($A57,Seqs!$A:$B,2,FALSE),VLOOKUP($A57,'SegEnds_NonXtal_Prot#'!$A:$AL,22,FALSE)+10,1)</f>
        <v>S</v>
      </c>
      <c r="AG57" s="28" t="str">
        <f>MID(VLOOKUP($A57,Seqs!$A:$B,2,FALSE),VLOOKUP($A57,'SegEnds_NonXtal_Prot#'!$A:$AL,28,FALSE)-4,1)</f>
        <v>V</v>
      </c>
      <c r="AH57" s="49" t="str">
        <f>MID(VLOOKUP($A57,Seqs!$A:$B,2,FALSE),VLOOKUP($A57,'SegEnds_NonXtal_Prot#'!$A:$AL,28,FALSE),1)</f>
        <v>P</v>
      </c>
    </row>
    <row r="58" spans="1:34" s="2" customFormat="1" x14ac:dyDescent="0.2">
      <c r="A58" s="2" t="s">
        <v>279</v>
      </c>
      <c r="B58" s="2" t="str">
        <f>LOWER(VLOOKUP(A58,Xtal_Templ!A:B,2,FALSE))</f>
        <v>adrb2_human</v>
      </c>
      <c r="C58" s="2" t="str">
        <f>VLOOKUP(A58,Classification!A:D,2,FALSE)</f>
        <v>A</v>
      </c>
      <c r="D58" s="2" t="str">
        <f>IF(ISERROR(MATCH(A58,'SegEnds_Xtal_Prot#'!B:B, 0)), "NoXtal", "Xtal")</f>
        <v>NoXtal</v>
      </c>
      <c r="G58" s="2" t="s">
        <v>5</v>
      </c>
      <c r="H58" s="4"/>
      <c r="R58" s="2" t="s">
        <v>9</v>
      </c>
      <c r="T58" s="4" t="s">
        <v>12</v>
      </c>
      <c r="V58" s="28" t="str">
        <f>MID(VLOOKUP($A58,Seqs!$A:$B,2,FALSE),VLOOKUP($A58,'SegEnds_NonXtal_Prot#'!A:AL,10,FALSE),1)</f>
        <v>D</v>
      </c>
      <c r="W58" s="49" t="str">
        <f>MID(VLOOKUP($A58,Seqs!$A:$B,2,FALSE),VLOOKUP($A58,'SegEnds_NonXtal_Prot#'!A:AL,10,FALSE)+6,1)</f>
        <v>L</v>
      </c>
      <c r="X58" s="49" t="str">
        <f>MID(VLOOKUP($A58,Seqs!$A:$B,2,FALSE),VLOOKUP($A58,'SegEnds_NonXtal_Prot#'!A:AL,10,FALSE)+7,1)</f>
        <v>V</v>
      </c>
      <c r="Y58" s="49" t="str">
        <f>MID(VLOOKUP($A58,Seqs!$A:$B,2,FALSE),VLOOKUP($A58,'SegEnds_NonXtal_Prot#'!A:AL,10,FALSE)+8,1)</f>
        <v>L</v>
      </c>
      <c r="Z58" s="49" t="str">
        <f>MID(VLOOKUP($A58,Seqs!$A:$B,2,FALSE),VLOOKUP($A58,'SegEnds_NonXtal_Prot#'!A:AL,10,FALSE)+9,1)</f>
        <v>P</v>
      </c>
      <c r="AA58" s="49" t="str">
        <f>MID(VLOOKUP($A58,Seqs!$A:$B,2,FALSE),VLOOKUP($A58,'SegEnds_NonXtal_Prot#'!A:AL,10,FALSE)+10,1)</f>
        <v>F</v>
      </c>
      <c r="AB58" s="28" t="str">
        <f>MID(VLOOKUP($A58,Seqs!$A:$B,2,FALSE),VLOOKUP($A58,'SegEnds_NonXtal_Prot#'!$A:$AL,22,FALSE)+6,1)</f>
        <v>L</v>
      </c>
      <c r="AC58" s="49" t="str">
        <f>MID(VLOOKUP($A58,Seqs!$A:$B,2,FALSE),VLOOKUP($A58,'SegEnds_NonXtal_Prot#'!$A:$AL,22,FALSE)+7,1)</f>
        <v>S</v>
      </c>
      <c r="AD58" s="49" t="str">
        <f>MID(VLOOKUP($A58,Seqs!$A:$B,2,FALSE),VLOOKUP($A58,'SegEnds_NonXtal_Prot#'!$A:$AL,22,FALSE)+8,1)</f>
        <v>F</v>
      </c>
      <c r="AE58" s="49" t="str">
        <f>MID(VLOOKUP($A58,Seqs!$A:$B,2,FALSE),VLOOKUP($A58,'SegEnds_NonXtal_Prot#'!$A:$AL,22,FALSE)+9,1)</f>
        <v>L</v>
      </c>
      <c r="AF58" s="49" t="str">
        <f>MID(VLOOKUP($A58,Seqs!$A:$B,2,FALSE),VLOOKUP($A58,'SegEnds_NonXtal_Prot#'!$A:$AL,22,FALSE)+10,1)</f>
        <v>S</v>
      </c>
      <c r="AG58" s="28" t="str">
        <f>MID(VLOOKUP($A58,Seqs!$A:$B,2,FALSE),VLOOKUP($A58,'SegEnds_NonXtal_Prot#'!$A:$AL,28,FALSE)-4,1)</f>
        <v>T</v>
      </c>
      <c r="AH58" s="49" t="str">
        <f>MID(VLOOKUP($A58,Seqs!$A:$B,2,FALSE),VLOOKUP($A58,'SegEnds_NonXtal_Prot#'!$A:$AL,28,FALSE),1)</f>
        <v>P</v>
      </c>
    </row>
    <row r="59" spans="1:34" s="2" customFormat="1" x14ac:dyDescent="0.2">
      <c r="A59" s="2" t="s">
        <v>311</v>
      </c>
      <c r="B59" s="2" t="str">
        <f>LOWER(VLOOKUP(A59,Xtal_Templ!A:B,2,FALSE))</f>
        <v>npy1r_human</v>
      </c>
      <c r="C59" s="2" t="str">
        <f>VLOOKUP(A59,Classification!A:D,2,FALSE)</f>
        <v>A</v>
      </c>
      <c r="D59" s="2" t="str">
        <f>IF(ISERROR(MATCH(A59,'SegEnds_Xtal_Prot#'!B:B, 0)), "NoXtal", "Xtal")</f>
        <v>NoXtal</v>
      </c>
      <c r="H59" s="4"/>
      <c r="N59" s="2" t="s">
        <v>14</v>
      </c>
      <c r="R59" s="2" t="s">
        <v>9</v>
      </c>
      <c r="T59" s="4" t="s">
        <v>12</v>
      </c>
      <c r="V59" s="28" t="str">
        <f>MID(VLOOKUP($A59,Seqs!$A:$B,2,FALSE),VLOOKUP($A59,'SegEnds_NonXtal_Prot#'!A:AL,10,FALSE),1)</f>
        <v>D</v>
      </c>
      <c r="W59" s="49" t="str">
        <f>MID(VLOOKUP($A59,Seqs!$A:$B,2,FALSE),VLOOKUP($A59,'SegEnds_NonXtal_Prot#'!A:AL,10,FALSE)+6,1)</f>
        <v>Y</v>
      </c>
      <c r="X59" s="49" t="str">
        <f>MID(VLOOKUP($A59,Seqs!$A:$B,2,FALSE),VLOOKUP($A59,'SegEnds_NonXtal_Prot#'!A:AL,10,FALSE)+7,1)</f>
        <v>P</v>
      </c>
      <c r="Y59" s="49" t="str">
        <f>MID(VLOOKUP($A59,Seqs!$A:$B,2,FALSE),VLOOKUP($A59,'SegEnds_NonXtal_Prot#'!A:AL,10,FALSE)+8,1)</f>
        <v>Y</v>
      </c>
      <c r="Z59" s="49" t="str">
        <f>MID(VLOOKUP($A59,Seqs!$A:$B,2,FALSE),VLOOKUP($A59,'SegEnds_NonXtal_Prot#'!A:AL,10,FALSE)+9,1)</f>
        <v>P</v>
      </c>
      <c r="AA59" s="49" t="str">
        <f>MID(VLOOKUP($A59,Seqs!$A:$B,2,FALSE),VLOOKUP($A59,'SegEnds_NonXtal_Prot#'!A:AL,10,FALSE)+10,1)</f>
        <v>L</v>
      </c>
      <c r="AB59" s="28" t="str">
        <f>MID(VLOOKUP($A59,Seqs!$A:$B,2,FALSE),VLOOKUP($A59,'SegEnds_NonXtal_Prot#'!$A:$AL,22,FALSE)+6,1)</f>
        <v>A</v>
      </c>
      <c r="AC59" s="49" t="str">
        <f>MID(VLOOKUP($A59,Seqs!$A:$B,2,FALSE),VLOOKUP($A59,'SegEnds_NonXtal_Prot#'!$A:$AL,22,FALSE)+7,1)</f>
        <v>V</v>
      </c>
      <c r="AD59" s="49" t="str">
        <f>MID(VLOOKUP($A59,Seqs!$A:$B,2,FALSE),VLOOKUP($A59,'SegEnds_NonXtal_Prot#'!$A:$AL,22,FALSE)+8,1)</f>
        <v>L</v>
      </c>
      <c r="AE59" s="49" t="str">
        <f>MID(VLOOKUP($A59,Seqs!$A:$B,2,FALSE),VLOOKUP($A59,'SegEnds_NonXtal_Prot#'!$A:$AL,22,FALSE)+9,1)</f>
        <v>P</v>
      </c>
      <c r="AF59" s="49" t="str">
        <f>MID(VLOOKUP($A59,Seqs!$A:$B,2,FALSE),VLOOKUP($A59,'SegEnds_NonXtal_Prot#'!$A:$AL,22,FALSE)+10,1)</f>
        <v>N</v>
      </c>
      <c r="AG59" s="28" t="str">
        <f>MID(VLOOKUP($A59,Seqs!$A:$B,2,FALSE),VLOOKUP($A59,'SegEnds_NonXtal_Prot#'!$A:$AL,28,FALSE)-4,1)</f>
        <v>H</v>
      </c>
      <c r="AH59" s="49" t="str">
        <f>MID(VLOOKUP($A59,Seqs!$A:$B,2,FALSE),VLOOKUP($A59,'SegEnds_NonXtal_Prot#'!$A:$AL,28,FALSE),1)</f>
        <v>P</v>
      </c>
    </row>
    <row r="60" spans="1:34" s="2" customFormat="1" x14ac:dyDescent="0.2">
      <c r="A60" s="2" t="s">
        <v>376</v>
      </c>
      <c r="B60" s="2" t="str">
        <f>LOWER(VLOOKUP(A60,Xtal_Templ!A:B,2,FALSE))</f>
        <v>aa1r_human</v>
      </c>
      <c r="C60" s="2" t="str">
        <f>VLOOKUP(A60,Classification!A:D,2,FALSE)</f>
        <v>A</v>
      </c>
      <c r="D60" s="2" t="str">
        <f>IF(ISERROR(MATCH(A60,'SegEnds_Xtal_Prot#'!B:B, 0)), "NoXtal", "Xtal")</f>
        <v>NoXtal</v>
      </c>
      <c r="H60" s="4"/>
      <c r="T60" s="4" t="s">
        <v>12</v>
      </c>
      <c r="V60" s="28" t="str">
        <f>MID(VLOOKUP($A60,Seqs!$A:$B,2,FALSE),VLOOKUP($A60,'SegEnds_NonXtal_Prot#'!A:AL,10,FALSE),1)</f>
        <v>D</v>
      </c>
      <c r="W60" s="49" t="str">
        <f>MID(VLOOKUP($A60,Seqs!$A:$B,2,FALSE),VLOOKUP($A60,'SegEnds_NonXtal_Prot#'!A:AL,10,FALSE)+6,1)</f>
        <v>Y</v>
      </c>
      <c r="X60" s="49" t="str">
        <f>MID(VLOOKUP($A60,Seqs!$A:$B,2,FALSE),VLOOKUP($A60,'SegEnds_NonXtal_Prot#'!A:AL,10,FALSE)+7,1)</f>
        <v>L</v>
      </c>
      <c r="Y60" s="49" t="str">
        <f>MID(VLOOKUP($A60,Seqs!$A:$B,2,FALSE),VLOOKUP($A60,'SegEnds_NonXtal_Prot#'!A:AL,10,FALSE)+8,1)</f>
        <v>F</v>
      </c>
      <c r="Z60" s="49" t="str">
        <f>MID(VLOOKUP($A60,Seqs!$A:$B,2,FALSE),VLOOKUP($A60,'SegEnds_NonXtal_Prot#'!A:AL,10,FALSE)+9,1)</f>
        <v>F</v>
      </c>
      <c r="AA60" s="49" t="str">
        <f>MID(VLOOKUP($A60,Seqs!$A:$B,2,FALSE),VLOOKUP($A60,'SegEnds_NonXtal_Prot#'!A:AL,10,FALSE)+10,1)</f>
        <v>V</v>
      </c>
      <c r="AB60" s="28" t="str">
        <f>MID(VLOOKUP($A60,Seqs!$A:$B,2,FALSE),VLOOKUP($A60,'SegEnds_NonXtal_Prot#'!$A:$AL,22,FALSE)+6,1)</f>
        <v>I</v>
      </c>
      <c r="AC60" s="49" t="str">
        <f>MID(VLOOKUP($A60,Seqs!$A:$B,2,FALSE),VLOOKUP($A60,'SegEnds_NonXtal_Prot#'!$A:$AL,22,FALSE)+7,1)</f>
        <v>A</v>
      </c>
      <c r="AD60" s="49" t="str">
        <f>MID(VLOOKUP($A60,Seqs!$A:$B,2,FALSE),VLOOKUP($A60,'SegEnds_NonXtal_Prot#'!$A:$AL,22,FALSE)+8,1)</f>
        <v>V</v>
      </c>
      <c r="AE60" s="49" t="str">
        <f>MID(VLOOKUP($A60,Seqs!$A:$B,2,FALSE),VLOOKUP($A60,'SegEnds_NonXtal_Prot#'!$A:$AL,22,FALSE)+9,1)</f>
        <v>I</v>
      </c>
      <c r="AF60" s="49" t="str">
        <f>MID(VLOOKUP($A60,Seqs!$A:$B,2,FALSE),VLOOKUP($A60,'SegEnds_NonXtal_Prot#'!$A:$AL,22,FALSE)+10,1)</f>
        <v>P</v>
      </c>
      <c r="AG60" s="28" t="str">
        <f>MID(VLOOKUP($A60,Seqs!$A:$B,2,FALSE),VLOOKUP($A60,'SegEnds_NonXtal_Prot#'!$A:$AL,28,FALSE)-4,1)</f>
        <v>V</v>
      </c>
      <c r="AH60" s="49" t="str">
        <f>MID(VLOOKUP($A60,Seqs!$A:$B,2,FALSE),VLOOKUP($A60,'SegEnds_NonXtal_Prot#'!$A:$AL,28,FALSE),1)</f>
        <v>A</v>
      </c>
    </row>
    <row r="61" spans="1:34" s="2" customFormat="1" x14ac:dyDescent="0.2">
      <c r="A61" s="2" t="s">
        <v>387</v>
      </c>
      <c r="B61" s="2" t="str">
        <f>LOWER(VLOOKUP(A61,Xtal_Templ!A:B,2,FALSE))</f>
        <v>drd2_human</v>
      </c>
      <c r="C61" s="2" t="str">
        <f>VLOOKUP(A61,Classification!A:D,2,FALSE)</f>
        <v>A</v>
      </c>
      <c r="D61" s="2" t="str">
        <f>IF(ISERROR(MATCH(A61,'SegEnds_Xtal_Prot#'!B:B, 0)), "NoXtal", "Xtal")</f>
        <v>NoXtal</v>
      </c>
      <c r="G61" s="2" t="s">
        <v>5</v>
      </c>
      <c r="H61" s="4"/>
      <c r="R61" s="2" t="s">
        <v>9</v>
      </c>
      <c r="T61" s="4" t="s">
        <v>12</v>
      </c>
      <c r="V61" s="28" t="str">
        <f>MID(VLOOKUP($A61,Seqs!$A:$B,2,FALSE),VLOOKUP($A61,'SegEnds_NonXtal_Prot#'!A:AL,10,FALSE),1)</f>
        <v>D</v>
      </c>
      <c r="W61" s="49" t="str">
        <f>MID(VLOOKUP($A61,Seqs!$A:$B,2,FALSE),VLOOKUP($A61,'SegEnds_NonXtal_Prot#'!A:AL,10,FALSE)+6,1)</f>
        <v>L</v>
      </c>
      <c r="X61" s="49" t="str">
        <f>MID(VLOOKUP($A61,Seqs!$A:$B,2,FALSE),VLOOKUP($A61,'SegEnds_NonXtal_Prot#'!A:AL,10,FALSE)+7,1)</f>
        <v>V</v>
      </c>
      <c r="Y61" s="49" t="str">
        <f>MID(VLOOKUP($A61,Seqs!$A:$B,2,FALSE),VLOOKUP($A61,'SegEnds_NonXtal_Prot#'!A:AL,10,FALSE)+8,1)</f>
        <v>M</v>
      </c>
      <c r="Z61" s="49" t="str">
        <f>MID(VLOOKUP($A61,Seqs!$A:$B,2,FALSE),VLOOKUP($A61,'SegEnds_NonXtal_Prot#'!A:AL,10,FALSE)+9,1)</f>
        <v>P</v>
      </c>
      <c r="AA61" s="49" t="str">
        <f>MID(VLOOKUP($A61,Seqs!$A:$B,2,FALSE),VLOOKUP($A61,'SegEnds_NonXtal_Prot#'!A:AL,10,FALSE)+10,1)</f>
        <v>Y</v>
      </c>
      <c r="AB61" s="28" t="str">
        <f>MID(VLOOKUP($A61,Seqs!$A:$B,2,FALSE),VLOOKUP($A61,'SegEnds_NonXtal_Prot#'!$A:$AL,22,FALSE)+6,1)</f>
        <v>F</v>
      </c>
      <c r="AC61" s="49" t="str">
        <f>MID(VLOOKUP($A61,Seqs!$A:$B,2,FALSE),VLOOKUP($A61,'SegEnds_NonXtal_Prot#'!$A:$AL,22,FALSE)+7,1)</f>
        <v>A</v>
      </c>
      <c r="AD61" s="49" t="str">
        <f>MID(VLOOKUP($A61,Seqs!$A:$B,2,FALSE),VLOOKUP($A61,'SegEnds_NonXtal_Prot#'!$A:$AL,22,FALSE)+8,1)</f>
        <v>F</v>
      </c>
      <c r="AE61" s="49" t="str">
        <f>MID(VLOOKUP($A61,Seqs!$A:$B,2,FALSE),VLOOKUP($A61,'SegEnds_NonXtal_Prot#'!$A:$AL,22,FALSE)+9,1)</f>
        <v>G</v>
      </c>
      <c r="AF61" s="49" t="str">
        <f>MID(VLOOKUP($A61,Seqs!$A:$B,2,FALSE),VLOOKUP($A61,'SegEnds_NonXtal_Prot#'!$A:$AL,22,FALSE)+10,1)</f>
        <v>M</v>
      </c>
      <c r="AG61" s="28" t="str">
        <f>MID(VLOOKUP($A61,Seqs!$A:$B,2,FALSE),VLOOKUP($A61,'SegEnds_NonXtal_Prot#'!$A:$AL,28,FALSE)-4,1)</f>
        <v>S</v>
      </c>
      <c r="AH61" s="49" t="str">
        <f>MID(VLOOKUP($A61,Seqs!$A:$B,2,FALSE),VLOOKUP($A61,'SegEnds_NonXtal_Prot#'!$A:$AL,28,FALSE),1)</f>
        <v>P</v>
      </c>
    </row>
    <row r="62" spans="1:34" s="2" customFormat="1" x14ac:dyDescent="0.2">
      <c r="A62" s="2" t="s">
        <v>126</v>
      </c>
      <c r="B62" s="2" t="str">
        <f>LOWER(VLOOKUP(A62,Xtal_Templ!A:B,2,FALSE))</f>
        <v>adrb2_human</v>
      </c>
      <c r="C62" s="2" t="str">
        <f>VLOOKUP(A62,Classification!A:D,2,FALSE)</f>
        <v>A</v>
      </c>
      <c r="D62" s="2" t="str">
        <f>IF(ISERROR(MATCH(A62,'SegEnds_Xtal_Prot#'!B:B, 0)), "NoXtal", "Xtal")</f>
        <v>Xtal</v>
      </c>
      <c r="G62" s="2" t="s">
        <v>5</v>
      </c>
      <c r="H62" s="4"/>
      <c r="R62" s="2" t="s">
        <v>9</v>
      </c>
      <c r="T62" s="4" t="s">
        <v>12</v>
      </c>
      <c r="V62" s="28" t="str">
        <f>MID(VLOOKUP($A62,Seqs!$A:$B,2,FALSE),VLOOKUP($A62,'SegEnds_NonXtal_Prot#'!A:AL,10,FALSE),1)</f>
        <v>D</v>
      </c>
      <c r="W62" s="49" t="str">
        <f>MID(VLOOKUP($A62,Seqs!$A:$B,2,FALSE),VLOOKUP($A62,'SegEnds_NonXtal_Prot#'!A:AL,10,FALSE)+6,1)</f>
        <v>A</v>
      </c>
      <c r="X62" s="49" t="str">
        <f>MID(VLOOKUP($A62,Seqs!$A:$B,2,FALSE),VLOOKUP($A62,'SegEnds_NonXtal_Prot#'!A:AL,10,FALSE)+7,1)</f>
        <v>V</v>
      </c>
      <c r="Y62" s="49" t="str">
        <f>MID(VLOOKUP($A62,Seqs!$A:$B,2,FALSE),VLOOKUP($A62,'SegEnds_NonXtal_Prot#'!A:AL,10,FALSE)+8,1)</f>
        <v>V</v>
      </c>
      <c r="Z62" s="49" t="str">
        <f>MID(VLOOKUP($A62,Seqs!$A:$B,2,FALSE),VLOOKUP($A62,'SegEnds_NonXtal_Prot#'!A:AL,10,FALSE)+9,1)</f>
        <v>P</v>
      </c>
      <c r="AA62" s="49" t="str">
        <f>MID(VLOOKUP($A62,Seqs!$A:$B,2,FALSE),VLOOKUP($A62,'SegEnds_NonXtal_Prot#'!A:AL,10,FALSE)+10,1)</f>
        <v>F</v>
      </c>
      <c r="AB62" s="28" t="str">
        <f>MID(VLOOKUP($A62,Seqs!$A:$B,2,FALSE),VLOOKUP($A62,'SegEnds_NonXtal_Prot#'!$A:$AL,22,FALSE)+6,1)</f>
        <v>T</v>
      </c>
      <c r="AC62" s="49" t="str">
        <f>MID(VLOOKUP($A62,Seqs!$A:$B,2,FALSE),VLOOKUP($A62,'SegEnds_NonXtal_Prot#'!$A:$AL,22,FALSE)+7,1)</f>
        <v>S</v>
      </c>
      <c r="AD62" s="49" t="str">
        <f>MID(VLOOKUP($A62,Seqs!$A:$B,2,FALSE),VLOOKUP($A62,'SegEnds_NonXtal_Prot#'!$A:$AL,22,FALSE)+8,1)</f>
        <v>F</v>
      </c>
      <c r="AE62" s="49" t="str">
        <f>MID(VLOOKUP($A62,Seqs!$A:$B,2,FALSE),VLOOKUP($A62,'SegEnds_NonXtal_Prot#'!$A:$AL,22,FALSE)+9,1)</f>
        <v>L</v>
      </c>
      <c r="AF62" s="49" t="str">
        <f>MID(VLOOKUP($A62,Seqs!$A:$B,2,FALSE),VLOOKUP($A62,'SegEnds_NonXtal_Prot#'!$A:$AL,22,FALSE)+10,1)</f>
        <v>P</v>
      </c>
      <c r="AG62" s="28" t="str">
        <f>MID(VLOOKUP($A62,Seqs!$A:$B,2,FALSE),VLOOKUP($A62,'SegEnds_NonXtal_Prot#'!$A:$AL,28,FALSE)-4,1)</f>
        <v>S</v>
      </c>
      <c r="AH62" s="49" t="str">
        <f>MID(VLOOKUP($A62,Seqs!$A:$B,2,FALSE),VLOOKUP($A62,'SegEnds_NonXtal_Prot#'!$A:$AL,28,FALSE),1)</f>
        <v>P</v>
      </c>
    </row>
    <row r="63" spans="1:34" s="2" customFormat="1" x14ac:dyDescent="0.2">
      <c r="A63" s="2" t="s">
        <v>375</v>
      </c>
      <c r="B63" s="2" t="str">
        <f>LOWER(VLOOKUP(A63,Xtal_Templ!A:B,2,FALSE))</f>
        <v>aa1r_human</v>
      </c>
      <c r="C63" s="2" t="str">
        <f>VLOOKUP(A63,Classification!A:D,2,FALSE)</f>
        <v>A</v>
      </c>
      <c r="D63" s="2" t="str">
        <f>IF(ISERROR(MATCH(A63,'SegEnds_Xtal_Prot#'!B:B, 0)), "NoXtal", "Xtal")</f>
        <v>NoXtal</v>
      </c>
      <c r="H63" s="4"/>
      <c r="T63" s="4" t="s">
        <v>12</v>
      </c>
      <c r="V63" s="28" t="str">
        <f>MID(VLOOKUP($A63,Seqs!$A:$B,2,FALSE),VLOOKUP($A63,'SegEnds_NonXtal_Prot#'!A:AL,10,FALSE),1)</f>
        <v>D</v>
      </c>
      <c r="W63" s="49" t="str">
        <f>MID(VLOOKUP($A63,Seqs!$A:$B,2,FALSE),VLOOKUP($A63,'SegEnds_NonXtal_Prot#'!A:AL,10,FALSE)+6,1)</f>
        <v>Y</v>
      </c>
      <c r="X63" s="49" t="str">
        <f>MID(VLOOKUP($A63,Seqs!$A:$B,2,FALSE),VLOOKUP($A63,'SegEnds_NonXtal_Prot#'!A:AL,10,FALSE)+7,1)</f>
        <v>L</v>
      </c>
      <c r="Y63" s="49" t="str">
        <f>MID(VLOOKUP($A63,Seqs!$A:$B,2,FALSE),VLOOKUP($A63,'SegEnds_NonXtal_Prot#'!A:AL,10,FALSE)+8,1)</f>
        <v>F</v>
      </c>
      <c r="Z63" s="49" t="str">
        <f>MID(VLOOKUP($A63,Seqs!$A:$B,2,FALSE),VLOOKUP($A63,'SegEnds_NonXtal_Prot#'!A:AL,10,FALSE)+9,1)</f>
        <v>V</v>
      </c>
      <c r="AA63" s="49" t="str">
        <f>MID(VLOOKUP($A63,Seqs!$A:$B,2,FALSE),VLOOKUP($A63,'SegEnds_NonXtal_Prot#'!A:AL,10,FALSE)+10,1)</f>
        <v>I</v>
      </c>
      <c r="AB63" s="28" t="str">
        <f>MID(VLOOKUP($A63,Seqs!$A:$B,2,FALSE),VLOOKUP($A63,'SegEnds_NonXtal_Prot#'!$A:$AL,22,FALSE)+6,1)</f>
        <v>V</v>
      </c>
      <c r="AC63" s="49" t="str">
        <f>MID(VLOOKUP($A63,Seqs!$A:$B,2,FALSE),VLOOKUP($A63,'SegEnds_NonXtal_Prot#'!$A:$AL,22,FALSE)+7,1)</f>
        <v>A</v>
      </c>
      <c r="AD63" s="49" t="str">
        <f>MID(VLOOKUP($A63,Seqs!$A:$B,2,FALSE),VLOOKUP($A63,'SegEnds_NonXtal_Prot#'!$A:$AL,22,FALSE)+8,1)</f>
        <v>F</v>
      </c>
      <c r="AE63" s="49" t="str">
        <f>MID(VLOOKUP($A63,Seqs!$A:$B,2,FALSE),VLOOKUP($A63,'SegEnds_NonXtal_Prot#'!$A:$AL,22,FALSE)+9,1)</f>
        <v>I</v>
      </c>
      <c r="AF63" s="49" t="str">
        <f>MID(VLOOKUP($A63,Seqs!$A:$B,2,FALSE),VLOOKUP($A63,'SegEnds_NonXtal_Prot#'!$A:$AL,22,FALSE)+10,1)</f>
        <v>P</v>
      </c>
      <c r="AG63" s="28" t="str">
        <f>MID(VLOOKUP($A63,Seqs!$A:$B,2,FALSE),VLOOKUP($A63,'SegEnds_NonXtal_Prot#'!$A:$AL,28,FALSE)-4,1)</f>
        <v>I</v>
      </c>
      <c r="AH63" s="49" t="str">
        <f>MID(VLOOKUP($A63,Seqs!$A:$B,2,FALSE),VLOOKUP($A63,'SegEnds_NonXtal_Prot#'!$A:$AL,28,FALSE),1)</f>
        <v>A</v>
      </c>
    </row>
    <row r="64" spans="1:34" s="2" customFormat="1" x14ac:dyDescent="0.2">
      <c r="A64" s="2" t="s">
        <v>144</v>
      </c>
      <c r="B64" s="2" t="str">
        <f>LOWER(VLOOKUP(A64,Xtal_Templ!A:B,2,FALSE))</f>
        <v>agtr1_human</v>
      </c>
      <c r="C64" s="2" t="str">
        <f>VLOOKUP(A64,Classification!A:D,2,FALSE)</f>
        <v>A</v>
      </c>
      <c r="D64" s="2" t="str">
        <f>IF(ISERROR(MATCH(A64,'SegEnds_Xtal_Prot#'!B:B, 0)), "NoXtal", "Xtal")</f>
        <v>NoXtal</v>
      </c>
      <c r="H64" s="4"/>
      <c r="N64" s="2" t="s">
        <v>14</v>
      </c>
      <c r="R64" s="2" t="s">
        <v>9</v>
      </c>
      <c r="T64" s="4" t="s">
        <v>12</v>
      </c>
      <c r="V64" s="28" t="str">
        <f>MID(VLOOKUP($A64,Seqs!$A:$B,2,FALSE),VLOOKUP($A64,'SegEnds_NonXtal_Prot#'!A:AL,10,FALSE),1)</f>
        <v>D</v>
      </c>
      <c r="W64" s="49" t="str">
        <f>MID(VLOOKUP($A64,Seqs!$A:$B,2,FALSE),VLOOKUP($A64,'SegEnds_NonXtal_Prot#'!A:AL,10,FALSE)+6,1)</f>
        <v>T</v>
      </c>
      <c r="X64" s="49" t="str">
        <f>MID(VLOOKUP($A64,Seqs!$A:$B,2,FALSE),VLOOKUP($A64,'SegEnds_NonXtal_Prot#'!A:AL,10,FALSE)+7,1)</f>
        <v>I</v>
      </c>
      <c r="Y64" s="49" t="str">
        <f>MID(VLOOKUP($A64,Seqs!$A:$B,2,FALSE),VLOOKUP($A64,'SegEnds_NonXtal_Prot#'!A:AL,10,FALSE)+8,1)</f>
        <v>P</v>
      </c>
      <c r="Z64" s="49" t="str">
        <f>MID(VLOOKUP($A64,Seqs!$A:$B,2,FALSE),VLOOKUP($A64,'SegEnds_NonXtal_Prot#'!A:AL,10,FALSE)+9,1)</f>
        <v>V</v>
      </c>
      <c r="AA64" s="49" t="str">
        <f>MID(VLOOKUP($A64,Seqs!$A:$B,2,FALSE),VLOOKUP($A64,'SegEnds_NonXtal_Prot#'!A:AL,10,FALSE)+10,1)</f>
        <v>W</v>
      </c>
      <c r="AB64" s="28" t="str">
        <f>MID(VLOOKUP($A64,Seqs!$A:$B,2,FALSE),VLOOKUP($A64,'SegEnds_NonXtal_Prot#'!$A:$AL,22,FALSE)+6,1)</f>
        <v>V</v>
      </c>
      <c r="AC64" s="49" t="str">
        <f>MID(VLOOKUP($A64,Seqs!$A:$B,2,FALSE),VLOOKUP($A64,'SegEnds_NonXtal_Prot#'!$A:$AL,22,FALSE)+7,1)</f>
        <v>S</v>
      </c>
      <c r="AD64" s="49" t="str">
        <f>MID(VLOOKUP($A64,Seqs!$A:$B,2,FALSE),VLOOKUP($A64,'SegEnds_NonXtal_Prot#'!$A:$AL,22,FALSE)+8,1)</f>
        <v>L</v>
      </c>
      <c r="AE64" s="49" t="str">
        <f>MID(VLOOKUP($A64,Seqs!$A:$B,2,FALSE),VLOOKUP($A64,'SegEnds_NonXtal_Prot#'!$A:$AL,22,FALSE)+9,1)</f>
        <v>P</v>
      </c>
      <c r="AF64" s="49" t="str">
        <f>MID(VLOOKUP($A64,Seqs!$A:$B,2,FALSE),VLOOKUP($A64,'SegEnds_NonXtal_Prot#'!$A:$AL,22,FALSE)+10,1)</f>
        <v>D</v>
      </c>
      <c r="AG64" s="28" t="str">
        <f>MID(VLOOKUP($A64,Seqs!$A:$B,2,FALSE),VLOOKUP($A64,'SegEnds_NonXtal_Prot#'!$A:$AL,28,FALSE)-4,1)</f>
        <v>G</v>
      </c>
      <c r="AH64" s="49" t="str">
        <f>MID(VLOOKUP($A64,Seqs!$A:$B,2,FALSE),VLOOKUP($A64,'SegEnds_NonXtal_Prot#'!$A:$AL,28,FALSE),1)</f>
        <v>P</v>
      </c>
    </row>
    <row r="65" spans="1:34" s="2" customFormat="1" x14ac:dyDescent="0.2">
      <c r="A65" s="2" t="s">
        <v>158</v>
      </c>
      <c r="B65" s="2" t="str">
        <f>LOWER(VLOOKUP(A65,Xtal_Templ!A:B,2,FALSE))</f>
        <v>agtr1_human</v>
      </c>
      <c r="C65" s="2" t="str">
        <f>VLOOKUP(A65,Classification!A:D,2,FALSE)</f>
        <v>A</v>
      </c>
      <c r="D65" s="2" t="str">
        <f>IF(ISERROR(MATCH(A65,'SegEnds_Xtal_Prot#'!B:B, 0)), "NoXtal", "Xtal")</f>
        <v>Xtal</v>
      </c>
      <c r="H65" s="4"/>
      <c r="N65" s="106" t="s">
        <v>14</v>
      </c>
      <c r="R65" s="2" t="s">
        <v>9</v>
      </c>
      <c r="T65" s="4" t="s">
        <v>12</v>
      </c>
      <c r="V65" s="28" t="str">
        <f>MID(VLOOKUP($A65,Seqs!$A:$B,2,FALSE),VLOOKUP($A65,'SegEnds_NonXtal_Prot#'!A:AL,10,FALSE),1)</f>
        <v>D</v>
      </c>
      <c r="W65" s="49" t="str">
        <f>MID(VLOOKUP($A65,Seqs!$A:$B,2,FALSE),VLOOKUP($A65,'SegEnds_NonXtal_Prot#'!A:AL,10,FALSE)+6,1)</f>
        <v>T</v>
      </c>
      <c r="X65" s="49" t="str">
        <f>MID(VLOOKUP($A65,Seqs!$A:$B,2,FALSE),VLOOKUP($A65,'SegEnds_NonXtal_Prot#'!A:AL,10,FALSE)+7,1)</f>
        <v>L</v>
      </c>
      <c r="Y65" s="49" t="str">
        <f>MID(VLOOKUP($A65,Seqs!$A:$B,2,FALSE),VLOOKUP($A65,'SegEnds_NonXtal_Prot#'!A:AL,10,FALSE)+8,1)</f>
        <v>P</v>
      </c>
      <c r="Z65" s="49" t="str">
        <f>MID(VLOOKUP($A65,Seqs!$A:$B,2,FALSE),VLOOKUP($A65,'SegEnds_NonXtal_Prot#'!A:AL,10,FALSE)+9,1)</f>
        <v>L</v>
      </c>
      <c r="AA65" s="49" t="str">
        <f>MID(VLOOKUP($A65,Seqs!$A:$B,2,FALSE),VLOOKUP($A65,'SegEnds_NonXtal_Prot#'!A:AL,10,FALSE)+10,1)</f>
        <v>W</v>
      </c>
      <c r="AB65" s="28" t="str">
        <f>MID(VLOOKUP($A65,Seqs!$A:$B,2,FALSE),VLOOKUP($A65,'SegEnds_NonXtal_Prot#'!$A:$AL,22,FALSE)+6,1)</f>
        <v>A</v>
      </c>
      <c r="AC65" s="49" t="str">
        <f>MID(VLOOKUP($A65,Seqs!$A:$B,2,FALSE),VLOOKUP($A65,'SegEnds_NonXtal_Prot#'!$A:$AL,22,FALSE)+7,1)</f>
        <v>S</v>
      </c>
      <c r="AD65" s="49" t="str">
        <f>MID(VLOOKUP($A65,Seqs!$A:$B,2,FALSE),VLOOKUP($A65,'SegEnds_NonXtal_Prot#'!$A:$AL,22,FALSE)+8,1)</f>
        <v>L</v>
      </c>
      <c r="AE65" s="49" t="str">
        <f>MID(VLOOKUP($A65,Seqs!$A:$B,2,FALSE),VLOOKUP($A65,'SegEnds_NonXtal_Prot#'!$A:$AL,22,FALSE)+9,1)</f>
        <v>P</v>
      </c>
      <c r="AF65" s="49" t="str">
        <f>MID(VLOOKUP($A65,Seqs!$A:$B,2,FALSE),VLOOKUP($A65,'SegEnds_NonXtal_Prot#'!$A:$AL,22,FALSE)+10,1)</f>
        <v>A</v>
      </c>
      <c r="AG65" s="28" t="str">
        <f>MID(VLOOKUP($A65,Seqs!$A:$B,2,FALSE),VLOOKUP($A65,'SegEnds_NonXtal_Prot#'!$A:$AL,28,FALSE)-4,1)</f>
        <v>G</v>
      </c>
      <c r="AH65" s="49" t="str">
        <f>MID(VLOOKUP($A65,Seqs!$A:$B,2,FALSE),VLOOKUP($A65,'SegEnds_NonXtal_Prot#'!$A:$AL,28,FALSE),1)</f>
        <v>P</v>
      </c>
    </row>
    <row r="66" spans="1:34" s="2" customFormat="1" x14ac:dyDescent="0.2">
      <c r="A66" s="2" t="s">
        <v>159</v>
      </c>
      <c r="B66" s="2" t="s">
        <v>159</v>
      </c>
      <c r="C66" s="2" t="str">
        <f>VLOOKUP(A66,Classification!A:D,2,FALSE)</f>
        <v>A</v>
      </c>
      <c r="D66" s="2" t="str">
        <f>IF(ISERROR(MATCH(A66,'SegEnds_Xtal_Prot#'!B:B, 0)), "NoXtal", "Xtal")</f>
        <v>Xtal</v>
      </c>
      <c r="H66" s="4"/>
      <c r="N66" s="106" t="s">
        <v>14</v>
      </c>
      <c r="R66" s="2" t="s">
        <v>9</v>
      </c>
      <c r="T66" s="4" t="s">
        <v>12</v>
      </c>
      <c r="V66" s="28" t="str">
        <f>MID(VLOOKUP($A66,Seqs!$A:$B,2,FALSE),VLOOKUP($A66,'SegEnds_NonXtal_Prot#'!A:AL,10,FALSE),1)</f>
        <v>D</v>
      </c>
      <c r="W66" s="49" t="str">
        <f>MID(VLOOKUP($A66,Seqs!$A:$B,2,FALSE),VLOOKUP($A66,'SegEnds_NonXtal_Prot#'!A:AL,10,FALSE)+6,1)</f>
        <v>T</v>
      </c>
      <c r="X66" s="49" t="str">
        <f>MID(VLOOKUP($A66,Seqs!$A:$B,2,FALSE),VLOOKUP($A66,'SegEnds_NonXtal_Prot#'!A:AL,10,FALSE)+7,1)</f>
        <v>L</v>
      </c>
      <c r="Y66" s="49" t="str">
        <f>MID(VLOOKUP($A66,Seqs!$A:$B,2,FALSE),VLOOKUP($A66,'SegEnds_NonXtal_Prot#'!A:AL,10,FALSE)+8,1)</f>
        <v>P</v>
      </c>
      <c r="Z66" s="49" t="str">
        <f>MID(VLOOKUP($A66,Seqs!$A:$B,2,FALSE),VLOOKUP($A66,'SegEnds_NonXtal_Prot#'!A:AL,10,FALSE)+9,1)</f>
        <v>L</v>
      </c>
      <c r="AA66" s="49" t="str">
        <f>MID(VLOOKUP($A66,Seqs!$A:$B,2,FALSE),VLOOKUP($A66,'SegEnds_NonXtal_Prot#'!A:AL,10,FALSE)+10,1)</f>
        <v>W</v>
      </c>
      <c r="AB66" s="28" t="str">
        <f>MID(VLOOKUP($A66,Seqs!$A:$B,2,FALSE),VLOOKUP($A66,'SegEnds_NonXtal_Prot#'!$A:$AL,22,FALSE)+6,1)</f>
        <v>S</v>
      </c>
      <c r="AC66" s="49" t="str">
        <f>MID(VLOOKUP($A66,Seqs!$A:$B,2,FALSE),VLOOKUP($A66,'SegEnds_NonXtal_Prot#'!$A:$AL,22,FALSE)+7,1)</f>
        <v>S</v>
      </c>
      <c r="AD66" s="49" t="str">
        <f>MID(VLOOKUP($A66,Seqs!$A:$B,2,FALSE),VLOOKUP($A66,'SegEnds_NonXtal_Prot#'!$A:$AL,22,FALSE)+8,1)</f>
        <v>L</v>
      </c>
      <c r="AE66" s="49" t="str">
        <f>MID(VLOOKUP($A66,Seqs!$A:$B,2,FALSE),VLOOKUP($A66,'SegEnds_NonXtal_Prot#'!$A:$AL,22,FALSE)+9,1)</f>
        <v>P</v>
      </c>
      <c r="AF66" s="49" t="str">
        <f>MID(VLOOKUP($A66,Seqs!$A:$B,2,FALSE),VLOOKUP($A66,'SegEnds_NonXtal_Prot#'!$A:$AL,22,FALSE)+10,1)</f>
        <v>T</v>
      </c>
      <c r="AG66" s="28" t="str">
        <f>MID(VLOOKUP($A66,Seqs!$A:$B,2,FALSE),VLOOKUP($A66,'SegEnds_NonXtal_Prot#'!$A:$AL,28,FALSE)-4,1)</f>
        <v>G</v>
      </c>
      <c r="AH66" s="49" t="str">
        <f>MID(VLOOKUP($A66,Seqs!$A:$B,2,FALSE),VLOOKUP($A66,'SegEnds_NonXtal_Prot#'!$A:$AL,28,FALSE),1)</f>
        <v>P</v>
      </c>
    </row>
    <row r="67" spans="1:34" s="2" customFormat="1" ht="17" customHeight="1" x14ac:dyDescent="0.2">
      <c r="A67" s="2" t="s">
        <v>160</v>
      </c>
      <c r="B67" s="2" t="str">
        <f>LOWER(VLOOKUP(A67,Xtal_Templ!A:B,2,FALSE))</f>
        <v>apj_human</v>
      </c>
      <c r="C67" s="2" t="str">
        <f>VLOOKUP(A67,Classification!A:D,2,FALSE)</f>
        <v>A</v>
      </c>
      <c r="D67" s="2" t="str">
        <f>IF(ISERROR(MATCH(A67,'SegEnds_Xtal_Prot#'!B:B, 0)), "NoXtal", "Xtal")</f>
        <v>Xtal</v>
      </c>
      <c r="H67" s="50"/>
      <c r="N67" s="2" t="s">
        <v>14</v>
      </c>
      <c r="R67" s="2" t="s">
        <v>9</v>
      </c>
      <c r="T67" s="4" t="s">
        <v>12</v>
      </c>
      <c r="V67" s="28" t="str">
        <f>MID(VLOOKUP($A67,Seqs!$A:$B,2,FALSE),VLOOKUP($A67,'SegEnds_NonXtal_Prot#'!A:AL,10,FALSE),1)</f>
        <v>D</v>
      </c>
      <c r="W67" s="49" t="str">
        <f>MID(VLOOKUP($A67,Seqs!$A:$B,2,FALSE),VLOOKUP($A67,'SegEnds_NonXtal_Prot#'!A:AL,10,FALSE)+6,1)</f>
        <v>T</v>
      </c>
      <c r="X67" s="49" t="str">
        <f>MID(VLOOKUP($A67,Seqs!$A:$B,2,FALSE),VLOOKUP($A67,'SegEnds_NonXtal_Prot#'!A:AL,10,FALSE)+7,1)</f>
        <v>L</v>
      </c>
      <c r="Y67" s="49" t="str">
        <f>MID(VLOOKUP($A67,Seqs!$A:$B,2,FALSE),VLOOKUP($A67,'SegEnds_NonXtal_Prot#'!A:AL,10,FALSE)+8,1)</f>
        <v>P</v>
      </c>
      <c r="Z67" s="49" t="str">
        <f>MID(VLOOKUP($A67,Seqs!$A:$B,2,FALSE),VLOOKUP($A67,'SegEnds_NonXtal_Prot#'!A:AL,10,FALSE)+9,1)</f>
        <v>L</v>
      </c>
      <c r="AA67" s="49" t="str">
        <f>MID(VLOOKUP($A67,Seqs!$A:$B,2,FALSE),VLOOKUP($A67,'SegEnds_NonXtal_Prot#'!A:AL,10,FALSE)+10,1)</f>
        <v>W</v>
      </c>
      <c r="AB67" s="28" t="str">
        <f>MID(VLOOKUP($A67,Seqs!$A:$B,2,FALSE),VLOOKUP($A67,'SegEnds_NonXtal_Prot#'!$A:$AL,22,FALSE)+6,1)</f>
        <v>L</v>
      </c>
      <c r="AC67" s="49" t="str">
        <f>MID(VLOOKUP($A67,Seqs!$A:$B,2,FALSE),VLOOKUP($A67,'SegEnds_NonXtal_Prot#'!$A:$AL,22,FALSE)+7,1)</f>
        <v>A</v>
      </c>
      <c r="AD67" s="49" t="str">
        <f>MID(VLOOKUP($A67,Seqs!$A:$B,2,FALSE),VLOOKUP($A67,'SegEnds_NonXtal_Prot#'!$A:$AL,22,FALSE)+8,1)</f>
        <v>M</v>
      </c>
      <c r="AE67" s="49" t="str">
        <f>MID(VLOOKUP($A67,Seqs!$A:$B,2,FALSE),VLOOKUP($A67,'SegEnds_NonXtal_Prot#'!$A:$AL,22,FALSE)+9,1)</f>
        <v>P</v>
      </c>
      <c r="AF67" s="49" t="str">
        <f>MID(VLOOKUP($A67,Seqs!$A:$B,2,FALSE),VLOOKUP($A67,'SegEnds_NonXtal_Prot#'!$A:$AL,22,FALSE)+10,1)</f>
        <v>V</v>
      </c>
      <c r="AG67" s="28" t="str">
        <f>MID(VLOOKUP($A67,Seqs!$A:$B,2,FALSE),VLOOKUP($A67,'SegEnds_NonXtal_Prot#'!$A:$AL,28,FALSE)-4,1)</f>
        <v>G</v>
      </c>
      <c r="AH67" s="49" t="str">
        <f>MID(VLOOKUP($A67,Seqs!$A:$B,2,FALSE),VLOOKUP($A67,'SegEnds_NonXtal_Prot#'!$A:$AL,28,FALSE),1)</f>
        <v>P</v>
      </c>
    </row>
    <row r="68" spans="1:34" s="2" customFormat="1" x14ac:dyDescent="0.2">
      <c r="A68" s="2" t="s">
        <v>161</v>
      </c>
      <c r="B68" s="2" t="str">
        <f>LOWER(VLOOKUP(A68,Xtal_Templ!A:B,2,FALSE))</f>
        <v>agtr1_human</v>
      </c>
      <c r="C68" s="2" t="str">
        <f>VLOOKUP(A68,Classification!A:D,2,FALSE)</f>
        <v>A</v>
      </c>
      <c r="D68" s="2" t="str">
        <f>IF(ISERROR(MATCH(A68,'SegEnds_Xtal_Prot#'!B:B, 0)), "NoXtal", "Xtal")</f>
        <v>NoXtal</v>
      </c>
      <c r="H68" s="4"/>
      <c r="N68" s="2" t="s">
        <v>14</v>
      </c>
      <c r="R68" s="2" t="s">
        <v>9</v>
      </c>
      <c r="T68" s="4" t="s">
        <v>12</v>
      </c>
      <c r="V68" s="28" t="str">
        <f>MID(VLOOKUP($A68,Seqs!$A:$B,2,FALSE),VLOOKUP($A68,'SegEnds_NonXtal_Prot#'!A:AL,10,FALSE),1)</f>
        <v>D</v>
      </c>
      <c r="W68" s="49" t="str">
        <f>MID(VLOOKUP($A68,Seqs!$A:$B,2,FALSE),VLOOKUP($A68,'SegEnds_NonXtal_Prot#'!A:AL,10,FALSE)+6,1)</f>
        <v>G</v>
      </c>
      <c r="X68" s="49" t="str">
        <f>MID(VLOOKUP($A68,Seqs!$A:$B,2,FALSE),VLOOKUP($A68,'SegEnds_NonXtal_Prot#'!A:AL,10,FALSE)+7,1)</f>
        <v>L</v>
      </c>
      <c r="Y68" s="49" t="str">
        <f>MID(VLOOKUP($A68,Seqs!$A:$B,2,FALSE),VLOOKUP($A68,'SegEnds_NonXtal_Prot#'!A:AL,10,FALSE)+8,1)</f>
        <v>P</v>
      </c>
      <c r="Z68" s="49" t="str">
        <f>MID(VLOOKUP($A68,Seqs!$A:$B,2,FALSE),VLOOKUP($A68,'SegEnds_NonXtal_Prot#'!A:AL,10,FALSE)+9,1)</f>
        <v>F</v>
      </c>
      <c r="AA68" s="49" t="str">
        <f>MID(VLOOKUP($A68,Seqs!$A:$B,2,FALSE),VLOOKUP($A68,'SegEnds_NonXtal_Prot#'!A:AL,10,FALSE)+10,1)</f>
        <v>W</v>
      </c>
      <c r="AB68" s="28" t="str">
        <f>MID(VLOOKUP($A68,Seqs!$A:$B,2,FALSE),VLOOKUP($A68,'SegEnds_NonXtal_Prot#'!$A:$AL,22,FALSE)+6,1)</f>
        <v>L</v>
      </c>
      <c r="AC68" s="49" t="str">
        <f>MID(VLOOKUP($A68,Seqs!$A:$B,2,FALSE),VLOOKUP($A68,'SegEnds_NonXtal_Prot#'!$A:$AL,22,FALSE)+7,1)</f>
        <v>S</v>
      </c>
      <c r="AD68" s="49" t="str">
        <f>MID(VLOOKUP($A68,Seqs!$A:$B,2,FALSE),VLOOKUP($A68,'SegEnds_NonXtal_Prot#'!$A:$AL,22,FALSE)+8,1)</f>
        <v>I</v>
      </c>
      <c r="AE68" s="49" t="str">
        <f>MID(VLOOKUP($A68,Seqs!$A:$B,2,FALSE),VLOOKUP($A68,'SegEnds_NonXtal_Prot#'!$A:$AL,22,FALSE)+9,1)</f>
        <v>P</v>
      </c>
      <c r="AF68" s="49" t="str">
        <f>MID(VLOOKUP($A68,Seqs!$A:$B,2,FALSE),VLOOKUP($A68,'SegEnds_NonXtal_Prot#'!$A:$AL,22,FALSE)+10,1)</f>
        <v>T</v>
      </c>
      <c r="AG68" s="28" t="str">
        <f>MID(VLOOKUP($A68,Seqs!$A:$B,2,FALSE),VLOOKUP($A68,'SegEnds_NonXtal_Prot#'!$A:$AL,28,FALSE)-4,1)</f>
        <v>G</v>
      </c>
      <c r="AH68" s="49" t="str">
        <f>MID(VLOOKUP($A68,Seqs!$A:$B,2,FALSE),VLOOKUP($A68,'SegEnds_NonXtal_Prot#'!$A:$AL,28,FALSE),1)</f>
        <v>P</v>
      </c>
    </row>
    <row r="69" spans="1:34" s="40" customFormat="1" x14ac:dyDescent="0.2">
      <c r="A69" s="2" t="s">
        <v>162</v>
      </c>
      <c r="B69" s="2" t="str">
        <f>LOWER(VLOOKUP(A69,Xtal_Templ!A:B,2,FALSE))</f>
        <v>agtr2_human</v>
      </c>
      <c r="C69" s="2" t="str">
        <f>VLOOKUP(A69,Classification!A:D,2,FALSE)</f>
        <v>A</v>
      </c>
      <c r="D69" s="2" t="str">
        <f>IF(ISERROR(MATCH(A69,'SegEnds_Xtal_Prot#'!B:B, 0)), "NoXtal", "Xtal")</f>
        <v>NoXtal</v>
      </c>
      <c r="E69" s="2"/>
      <c r="F69" s="2"/>
      <c r="G69" s="2"/>
      <c r="H69" s="4"/>
      <c r="I69" s="2"/>
      <c r="J69" s="2"/>
      <c r="K69" s="2"/>
      <c r="L69" s="2"/>
      <c r="M69" s="2"/>
      <c r="N69" s="2" t="s">
        <v>14</v>
      </c>
      <c r="O69" s="2"/>
      <c r="P69" s="2"/>
      <c r="Q69" s="2"/>
      <c r="R69" s="2" t="s">
        <v>9</v>
      </c>
      <c r="S69" s="2"/>
      <c r="T69" s="4" t="s">
        <v>12</v>
      </c>
      <c r="U69" s="2"/>
      <c r="V69" s="28" t="str">
        <f>MID(VLOOKUP($A69,Seqs!$A:$B,2,FALSE),VLOOKUP($A69,'SegEnds_NonXtal_Prot#'!A:AL,10,FALSE),1)</f>
        <v>D</v>
      </c>
      <c r="W69" s="49" t="str">
        <f>MID(VLOOKUP($A69,Seqs!$A:$B,2,FALSE),VLOOKUP($A69,'SegEnds_NonXtal_Prot#'!A:AL,10,FALSE)+6,1)</f>
        <v>G</v>
      </c>
      <c r="X69" s="49" t="str">
        <f>MID(VLOOKUP($A69,Seqs!$A:$B,2,FALSE),VLOOKUP($A69,'SegEnds_NonXtal_Prot#'!A:AL,10,FALSE)+7,1)</f>
        <v>L</v>
      </c>
      <c r="Y69" s="49" t="str">
        <f>MID(VLOOKUP($A69,Seqs!$A:$B,2,FALSE),VLOOKUP($A69,'SegEnds_NonXtal_Prot#'!A:AL,10,FALSE)+8,1)</f>
        <v>P</v>
      </c>
      <c r="Z69" s="49" t="str">
        <f>MID(VLOOKUP($A69,Seqs!$A:$B,2,FALSE),VLOOKUP($A69,'SegEnds_NonXtal_Prot#'!A:AL,10,FALSE)+9,1)</f>
        <v>F</v>
      </c>
      <c r="AA69" s="49" t="str">
        <f>MID(VLOOKUP($A69,Seqs!$A:$B,2,FALSE),VLOOKUP($A69,'SegEnds_NonXtal_Prot#'!A:AL,10,FALSE)+10,1)</f>
        <v>W</v>
      </c>
      <c r="AB69" s="28" t="str">
        <f>MID(VLOOKUP($A69,Seqs!$A:$B,2,FALSE),VLOOKUP($A69,'SegEnds_NonXtal_Prot#'!$A:$AL,22,FALSE)+6,1)</f>
        <v>L</v>
      </c>
      <c r="AC69" s="49" t="str">
        <f>MID(VLOOKUP($A69,Seqs!$A:$B,2,FALSE),VLOOKUP($A69,'SegEnds_NonXtal_Prot#'!$A:$AL,22,FALSE)+7,1)</f>
        <v>S</v>
      </c>
      <c r="AD69" s="49" t="str">
        <f>MID(VLOOKUP($A69,Seqs!$A:$B,2,FALSE),VLOOKUP($A69,'SegEnds_NonXtal_Prot#'!$A:$AL,22,FALSE)+8,1)</f>
        <v>S</v>
      </c>
      <c r="AE69" s="49" t="str">
        <f>MID(VLOOKUP($A69,Seqs!$A:$B,2,FALSE),VLOOKUP($A69,'SegEnds_NonXtal_Prot#'!$A:$AL,22,FALSE)+9,1)</f>
        <v>P</v>
      </c>
      <c r="AF69" s="49" t="str">
        <f>MID(VLOOKUP($A69,Seqs!$A:$B,2,FALSE),VLOOKUP($A69,'SegEnds_NonXtal_Prot#'!$A:$AL,22,FALSE)+10,1)</f>
        <v>M</v>
      </c>
      <c r="AG69" s="28" t="str">
        <f>MID(VLOOKUP($A69,Seqs!$A:$B,2,FALSE),VLOOKUP($A69,'SegEnds_NonXtal_Prot#'!$A:$AL,28,FALSE)-4,1)</f>
        <v>G</v>
      </c>
      <c r="AH69" s="49" t="str">
        <f>MID(VLOOKUP($A69,Seqs!$A:$B,2,FALSE),VLOOKUP($A69,'SegEnds_NonXtal_Prot#'!$A:$AL,28,FALSE),1)</f>
        <v>P</v>
      </c>
    </row>
    <row r="70" spans="1:34" s="2" customFormat="1" x14ac:dyDescent="0.2">
      <c r="A70" s="2" t="s">
        <v>165</v>
      </c>
      <c r="B70" s="2" t="str">
        <f>LOWER(VLOOKUP(A70,Xtal_Templ!A:B,2,FALSE))</f>
        <v>c5ar1_human</v>
      </c>
      <c r="C70" s="2" t="str">
        <f>VLOOKUP(A70,Classification!A:D,2,FALSE)</f>
        <v>A</v>
      </c>
      <c r="D70" s="2" t="str">
        <f>IF(ISERROR(MATCH(A70,'SegEnds_Xtal_Prot#'!B:B, 0)), "NoXtal", "Xtal")</f>
        <v>Xtal</v>
      </c>
      <c r="H70" s="4"/>
      <c r="N70" s="2" t="s">
        <v>14</v>
      </c>
      <c r="R70" s="2" t="s">
        <v>9</v>
      </c>
      <c r="T70" s="4" t="s">
        <v>12</v>
      </c>
      <c r="V70" s="28" t="str">
        <f>MID(VLOOKUP($A70,Seqs!$A:$B,2,FALSE),VLOOKUP($A70,'SegEnds_NonXtal_Prot#'!A:AL,10,FALSE),1)</f>
        <v>D</v>
      </c>
      <c r="W70" s="49" t="str">
        <f>MID(VLOOKUP($A70,Seqs!$A:$B,2,FALSE),VLOOKUP($A70,'SegEnds_NonXtal_Prot#'!A:AL,10,FALSE)+6,1)</f>
        <v>A</v>
      </c>
      <c r="X70" s="49" t="str">
        <f>MID(VLOOKUP($A70,Seqs!$A:$B,2,FALSE),VLOOKUP($A70,'SegEnds_NonXtal_Prot#'!A:AL,10,FALSE)+7,1)</f>
        <v>L</v>
      </c>
      <c r="Y70" s="49" t="str">
        <f>MID(VLOOKUP($A70,Seqs!$A:$B,2,FALSE),VLOOKUP($A70,'SegEnds_NonXtal_Prot#'!A:AL,10,FALSE)+8,1)</f>
        <v>P</v>
      </c>
      <c r="Z70" s="49" t="str">
        <f>MID(VLOOKUP($A70,Seqs!$A:$B,2,FALSE),VLOOKUP($A70,'SegEnds_NonXtal_Prot#'!A:AL,10,FALSE)+9,1)</f>
        <v>I</v>
      </c>
      <c r="AA70" s="49" t="str">
        <f>MID(VLOOKUP($A70,Seqs!$A:$B,2,FALSE),VLOOKUP($A70,'SegEnds_NonXtal_Prot#'!A:AL,10,FALSE)+10,1)</f>
        <v>L</v>
      </c>
      <c r="AB70" s="28" t="str">
        <f>MID(VLOOKUP($A70,Seqs!$A:$B,2,FALSE),VLOOKUP($A70,'SegEnds_NonXtal_Prot#'!$A:$AL,22,FALSE)+6,1)</f>
        <v>L</v>
      </c>
      <c r="AC70" s="49" t="str">
        <f>MID(VLOOKUP($A70,Seqs!$A:$B,2,FALSE),VLOOKUP($A70,'SegEnds_NonXtal_Prot#'!$A:$AL,22,FALSE)+7,1)</f>
        <v>T</v>
      </c>
      <c r="AD70" s="49" t="str">
        <f>MID(VLOOKUP($A70,Seqs!$A:$B,2,FALSE),VLOOKUP($A70,'SegEnds_NonXtal_Prot#'!$A:$AL,22,FALSE)+8,1)</f>
        <v>I</v>
      </c>
      <c r="AE70" s="49" t="str">
        <f>MID(VLOOKUP($A70,Seqs!$A:$B,2,FALSE),VLOOKUP($A70,'SegEnds_NonXtal_Prot#'!$A:$AL,22,FALSE)+9,1)</f>
        <v>P</v>
      </c>
      <c r="AF70" s="49" t="str">
        <f>MID(VLOOKUP($A70,Seqs!$A:$B,2,FALSE),VLOOKUP($A70,'SegEnds_NonXtal_Prot#'!$A:$AL,22,FALSE)+10,1)</f>
        <v>S</v>
      </c>
      <c r="AG70" s="28" t="str">
        <f>MID(VLOOKUP($A70,Seqs!$A:$B,2,FALSE),VLOOKUP($A70,'SegEnds_NonXtal_Prot#'!$A:$AL,28,FALSE)-4,1)</f>
        <v>G</v>
      </c>
      <c r="AH70" s="49" t="str">
        <f>MID(VLOOKUP($A70,Seqs!$A:$B,2,FALSE),VLOOKUP($A70,'SegEnds_NonXtal_Prot#'!$A:$AL,28,FALSE),1)</f>
        <v>P</v>
      </c>
    </row>
    <row r="71" spans="1:34" s="2" customFormat="1" x14ac:dyDescent="0.2">
      <c r="A71" s="2" t="s">
        <v>181</v>
      </c>
      <c r="B71" s="2" t="str">
        <f>LOWER(VLOOKUP(A71,Xtal_Templ!A:B,2,FALSE))</f>
        <v>agtr1_human</v>
      </c>
      <c r="C71" s="2" t="str">
        <f>VLOOKUP(A71,Classification!A:D,2,FALSE)</f>
        <v>A</v>
      </c>
      <c r="D71" s="2" t="str">
        <f>IF(ISERROR(MATCH(A71,'SegEnds_Xtal_Prot#'!B:B, 0)), "NoXtal", "Xtal")</f>
        <v>NoXtal</v>
      </c>
      <c r="H71" s="4"/>
      <c r="N71" s="2" t="s">
        <v>14</v>
      </c>
      <c r="R71" s="2" t="s">
        <v>9</v>
      </c>
      <c r="T71" s="4" t="s">
        <v>12</v>
      </c>
      <c r="V71" s="28" t="str">
        <f>MID(VLOOKUP($A71,Seqs!$A:$B,2,FALSE),VLOOKUP($A71,'SegEnds_NonXtal_Prot#'!A:AL,10,FALSE),1)</f>
        <v>D</v>
      </c>
      <c r="W71" s="49" t="str">
        <f>MID(VLOOKUP($A71,Seqs!$A:$B,2,FALSE),VLOOKUP($A71,'SegEnds_NonXtal_Prot#'!A:AL,10,FALSE)+6,1)</f>
        <v>F</v>
      </c>
      <c r="X71" s="49" t="str">
        <f>MID(VLOOKUP($A71,Seqs!$A:$B,2,FALSE),VLOOKUP($A71,'SegEnds_NonXtal_Prot#'!A:AL,10,FALSE)+7,1)</f>
        <v>L</v>
      </c>
      <c r="Y71" s="49" t="str">
        <f>MID(VLOOKUP($A71,Seqs!$A:$B,2,FALSE),VLOOKUP($A71,'SegEnds_NonXtal_Prot#'!A:AL,10,FALSE)+8,1)</f>
        <v>P</v>
      </c>
      <c r="Z71" s="49" t="str">
        <f>MID(VLOOKUP($A71,Seqs!$A:$B,2,FALSE),VLOOKUP($A71,'SegEnds_NonXtal_Prot#'!A:AL,10,FALSE)+9,1)</f>
        <v>I</v>
      </c>
      <c r="AA71" s="49" t="str">
        <f>MID(VLOOKUP($A71,Seqs!$A:$B,2,FALSE),VLOOKUP($A71,'SegEnds_NonXtal_Prot#'!A:AL,10,FALSE)+10,1)</f>
        <v>H</v>
      </c>
      <c r="AB71" s="28" t="str">
        <f>MID(VLOOKUP($A71,Seqs!$A:$B,2,FALSE),VLOOKUP($A71,'SegEnds_NonXtal_Prot#'!$A:$AL,22,FALSE)+6,1)</f>
        <v>L</v>
      </c>
      <c r="AC71" s="49" t="str">
        <f>MID(VLOOKUP($A71,Seqs!$A:$B,2,FALSE),VLOOKUP($A71,'SegEnds_NonXtal_Prot#'!$A:$AL,22,FALSE)+7,1)</f>
        <v>S</v>
      </c>
      <c r="AD71" s="49" t="str">
        <f>MID(VLOOKUP($A71,Seqs!$A:$B,2,FALSE),VLOOKUP($A71,'SegEnds_NonXtal_Prot#'!$A:$AL,22,FALSE)+8,1)</f>
        <v>S</v>
      </c>
      <c r="AE71" s="49" t="str">
        <f>MID(VLOOKUP($A71,Seqs!$A:$B,2,FALSE),VLOOKUP($A71,'SegEnds_NonXtal_Prot#'!$A:$AL,22,FALSE)+9,1)</f>
        <v>P</v>
      </c>
      <c r="AF71" s="49" t="str">
        <f>MID(VLOOKUP($A71,Seqs!$A:$B,2,FALSE),VLOOKUP($A71,'SegEnds_NonXtal_Prot#'!$A:$AL,22,FALSE)+10,1)</f>
        <v>S</v>
      </c>
      <c r="AG71" s="28" t="str">
        <f>MID(VLOOKUP($A71,Seqs!$A:$B,2,FALSE),VLOOKUP($A71,'SegEnds_NonXtal_Prot#'!$A:$AL,28,FALSE)-4,1)</f>
        <v>G</v>
      </c>
      <c r="AH71" s="49" t="str">
        <f>MID(VLOOKUP($A71,Seqs!$A:$B,2,FALSE),VLOOKUP($A71,'SegEnds_NonXtal_Prot#'!$A:$AL,28,FALSE),1)</f>
        <v>P</v>
      </c>
    </row>
    <row r="72" spans="1:34" s="2" customFormat="1" x14ac:dyDescent="0.2">
      <c r="A72" s="2" t="s">
        <v>233</v>
      </c>
      <c r="B72" s="2" t="str">
        <f>LOWER(VLOOKUP(A72,Xtal_Templ!A:B,2,FALSE))</f>
        <v>apj_human</v>
      </c>
      <c r="C72" s="2" t="str">
        <f>VLOOKUP(A72,Classification!A:D,2,FALSE)</f>
        <v>A</v>
      </c>
      <c r="D72" s="2" t="str">
        <f>IF(ISERROR(MATCH(A72,'SegEnds_Xtal_Prot#'!B:B, 0)), "NoXtal", "Xtal")</f>
        <v>NoXtal</v>
      </c>
      <c r="H72" s="4"/>
      <c r="N72" s="2" t="s">
        <v>14</v>
      </c>
      <c r="R72" s="2" t="s">
        <v>9</v>
      </c>
      <c r="T72" s="4" t="s">
        <v>12</v>
      </c>
      <c r="V72" s="28" t="str">
        <f>MID(VLOOKUP($A72,Seqs!$A:$B,2,FALSE),VLOOKUP($A72,'SegEnds_NonXtal_Prot#'!A:AL,10,FALSE),1)</f>
        <v>D</v>
      </c>
      <c r="W72" s="49" t="str">
        <f>MID(VLOOKUP($A72,Seqs!$A:$B,2,FALSE),VLOOKUP($A72,'SegEnds_NonXtal_Prot#'!A:AL,10,FALSE)+6,1)</f>
        <v>S</v>
      </c>
      <c r="X72" s="49" t="str">
        <f>MID(VLOOKUP($A72,Seqs!$A:$B,2,FALSE),VLOOKUP($A72,'SegEnds_NonXtal_Prot#'!A:AL,10,FALSE)+7,1)</f>
        <v>L</v>
      </c>
      <c r="Y72" s="49" t="str">
        <f>MID(VLOOKUP($A72,Seqs!$A:$B,2,FALSE),VLOOKUP($A72,'SegEnds_NonXtal_Prot#'!A:AL,10,FALSE)+8,1)</f>
        <v>P</v>
      </c>
      <c r="Z72" s="49" t="str">
        <f>MID(VLOOKUP($A72,Seqs!$A:$B,2,FALSE),VLOOKUP($A72,'SegEnds_NonXtal_Prot#'!A:AL,10,FALSE)+9,1)</f>
        <v>V</v>
      </c>
      <c r="AA72" s="49" t="str">
        <f>MID(VLOOKUP($A72,Seqs!$A:$B,2,FALSE),VLOOKUP($A72,'SegEnds_NonXtal_Prot#'!A:AL,10,FALSE)+10,1)</f>
        <v>W</v>
      </c>
      <c r="AB72" s="28" t="str">
        <f>MID(VLOOKUP($A72,Seqs!$A:$B,2,FALSE),VLOOKUP($A72,'SegEnds_NonXtal_Prot#'!$A:$AL,22,FALSE)+6,1)</f>
        <v>I</v>
      </c>
      <c r="AC72" s="49" t="str">
        <f>MID(VLOOKUP($A72,Seqs!$A:$B,2,FALSE),VLOOKUP($A72,'SegEnds_NonXtal_Prot#'!$A:$AL,22,FALSE)+7,1)</f>
        <v>P</v>
      </c>
      <c r="AD72" s="49" t="str">
        <f>MID(VLOOKUP($A72,Seqs!$A:$B,2,FALSE),VLOOKUP($A72,'SegEnds_NonXtal_Prot#'!$A:$AL,22,FALSE)+8,1)</f>
        <v>L</v>
      </c>
      <c r="AE72" s="49" t="str">
        <f>MID(VLOOKUP($A72,Seqs!$A:$B,2,FALSE),VLOOKUP($A72,'SegEnds_NonXtal_Prot#'!$A:$AL,22,FALSE)+9,1)</f>
        <v>P</v>
      </c>
      <c r="AF72" s="49" t="str">
        <f>MID(VLOOKUP($A72,Seqs!$A:$B,2,FALSE),VLOOKUP($A72,'SegEnds_NonXtal_Prot#'!$A:$AL,22,FALSE)+10,1)</f>
        <v>E</v>
      </c>
      <c r="AG72" s="28" t="str">
        <f>MID(VLOOKUP($A72,Seqs!$A:$B,2,FALSE),VLOOKUP($A72,'SegEnds_NonXtal_Prot#'!$A:$AL,28,FALSE)-4,1)</f>
        <v>G</v>
      </c>
      <c r="AH72" s="49" t="str">
        <f>MID(VLOOKUP($A72,Seqs!$A:$B,2,FALSE),VLOOKUP($A72,'SegEnds_NonXtal_Prot#'!$A:$AL,28,FALSE),1)</f>
        <v>P</v>
      </c>
    </row>
    <row r="73" spans="1:34" s="2" customFormat="1" x14ac:dyDescent="0.2">
      <c r="A73" s="2" t="s">
        <v>236</v>
      </c>
      <c r="B73" s="2" t="str">
        <f>LOWER(VLOOKUP(A73,Xtal_Templ!A:B,2,FALSE))</f>
        <v>ccr5_human</v>
      </c>
      <c r="C73" s="2" t="str">
        <f>VLOOKUP(A73,Classification!A:D,2,FALSE)</f>
        <v>A</v>
      </c>
      <c r="D73" s="2" t="str">
        <f>IF(ISERROR(MATCH(A73,'SegEnds_Xtal_Prot#'!B:B, 0)), "NoXtal", "Xtal")</f>
        <v>NoXtal</v>
      </c>
      <c r="H73" s="4"/>
      <c r="R73" s="2" t="s">
        <v>9</v>
      </c>
      <c r="T73" s="4" t="s">
        <v>12</v>
      </c>
      <c r="V73" s="28" t="str">
        <f>MID(VLOOKUP($A73,Seqs!$A:$B,2,FALSE),VLOOKUP($A73,'SegEnds_NonXtal_Prot#'!A:AL,10,FALSE),1)</f>
        <v>D</v>
      </c>
      <c r="W73" s="49" t="str">
        <f>MID(VLOOKUP($A73,Seqs!$A:$B,2,FALSE),VLOOKUP($A73,'SegEnds_NonXtal_Prot#'!A:AL,10,FALSE)+6,1)</f>
        <v>D</v>
      </c>
      <c r="X73" s="49" t="str">
        <f>MID(VLOOKUP($A73,Seqs!$A:$B,2,FALSE),VLOOKUP($A73,'SegEnds_NonXtal_Prot#'!A:AL,10,FALSE)+7,1)</f>
        <v>S</v>
      </c>
      <c r="Y73" s="49" t="str">
        <f>MID(VLOOKUP($A73,Seqs!$A:$B,2,FALSE),VLOOKUP($A73,'SegEnds_NonXtal_Prot#'!A:AL,10,FALSE)+8,1)</f>
        <v>L</v>
      </c>
      <c r="Z73" s="49" t="str">
        <f>MID(VLOOKUP($A73,Seqs!$A:$B,2,FALSE),VLOOKUP($A73,'SegEnds_NonXtal_Prot#'!A:AL,10,FALSE)+9,1)</f>
        <v>I</v>
      </c>
      <c r="AA73" s="49" t="str">
        <f>MID(VLOOKUP($A73,Seqs!$A:$B,2,FALSE),VLOOKUP($A73,'SegEnds_NonXtal_Prot#'!A:AL,10,FALSE)+10,1)</f>
        <v>E</v>
      </c>
      <c r="AB73" s="28" t="str">
        <f>MID(VLOOKUP($A73,Seqs!$A:$B,2,FALSE),VLOOKUP($A73,'SegEnds_NonXtal_Prot#'!$A:$AL,22,FALSE)+6,1)</f>
        <v>A</v>
      </c>
      <c r="AC73" s="49" t="str">
        <f>MID(VLOOKUP($A73,Seqs!$A:$B,2,FALSE),VLOOKUP($A73,'SegEnds_NonXtal_Prot#'!$A:$AL,22,FALSE)+7,1)</f>
        <v>T</v>
      </c>
      <c r="AD73" s="49" t="str">
        <f>MID(VLOOKUP($A73,Seqs!$A:$B,2,FALSE),VLOOKUP($A73,'SegEnds_NonXtal_Prot#'!$A:$AL,22,FALSE)+8,1)</f>
        <v>L</v>
      </c>
      <c r="AE73" s="49" t="str">
        <f>MID(VLOOKUP($A73,Seqs!$A:$B,2,FALSE),VLOOKUP($A73,'SegEnds_NonXtal_Prot#'!$A:$AL,22,FALSE)+9,1)</f>
        <v>V</v>
      </c>
      <c r="AF73" s="49" t="str">
        <f>MID(VLOOKUP($A73,Seqs!$A:$B,2,FALSE),VLOOKUP($A73,'SegEnds_NonXtal_Prot#'!$A:$AL,22,FALSE)+10,1)</f>
        <v>P</v>
      </c>
      <c r="AG73" s="28" t="str">
        <f>MID(VLOOKUP($A73,Seqs!$A:$B,2,FALSE),VLOOKUP($A73,'SegEnds_NonXtal_Prot#'!$A:$AL,28,FALSE)-4,1)</f>
        <v>G</v>
      </c>
      <c r="AH73" s="49" t="str">
        <f>MID(VLOOKUP($A73,Seqs!$A:$B,2,FALSE),VLOOKUP($A73,'SegEnds_NonXtal_Prot#'!$A:$AL,28,FALSE),1)</f>
        <v>P</v>
      </c>
    </row>
    <row r="74" spans="1:34" s="2" customFormat="1" x14ac:dyDescent="0.2">
      <c r="A74" s="2" t="s">
        <v>237</v>
      </c>
      <c r="B74" s="2" t="str">
        <f>LOWER(VLOOKUP(A74,Xtal_Templ!A:B,2,FALSE))</f>
        <v>agtr1_human</v>
      </c>
      <c r="C74" s="2" t="str">
        <f>VLOOKUP(A74,Classification!A:D,2,FALSE)</f>
        <v>A</v>
      </c>
      <c r="D74" s="2" t="str">
        <f>IF(ISERROR(MATCH(A74,'SegEnds_Xtal_Prot#'!B:B, 0)), "NoXtal", "Xtal")</f>
        <v>NoXtal</v>
      </c>
      <c r="H74" s="4"/>
      <c r="R74" s="2" t="s">
        <v>9</v>
      </c>
      <c r="T74" s="4" t="s">
        <v>12</v>
      </c>
      <c r="V74" s="28" t="str">
        <f>MID(VLOOKUP($A74,Seqs!$A:$B,2,FALSE),VLOOKUP($A74,'SegEnds_NonXtal_Prot#'!A:AL,10,FALSE),1)</f>
        <v>D</v>
      </c>
      <c r="W74" s="49" t="str">
        <f>MID(VLOOKUP($A74,Seqs!$A:$B,2,FALSE),VLOOKUP($A74,'SegEnds_NonXtal_Prot#'!A:AL,10,FALSE)+6,1)</f>
        <v>F</v>
      </c>
      <c r="X74" s="49" t="str">
        <f>MID(VLOOKUP($A74,Seqs!$A:$B,2,FALSE),VLOOKUP($A74,'SegEnds_NonXtal_Prot#'!A:AL,10,FALSE)+7,1)</f>
        <v>L</v>
      </c>
      <c r="Y74" s="49" t="str">
        <f>MID(VLOOKUP($A74,Seqs!$A:$B,2,FALSE),VLOOKUP($A74,'SegEnds_NonXtal_Prot#'!A:AL,10,FALSE)+8,1)</f>
        <v>P</v>
      </c>
      <c r="Z74" s="49" t="str">
        <f>MID(VLOOKUP($A74,Seqs!$A:$B,2,FALSE),VLOOKUP($A74,'SegEnds_NonXtal_Prot#'!A:AL,10,FALSE)+9,1)</f>
        <v>L</v>
      </c>
      <c r="AA74" s="49" t="str">
        <f>MID(VLOOKUP($A74,Seqs!$A:$B,2,FALSE),VLOOKUP($A74,'SegEnds_NonXtal_Prot#'!A:AL,10,FALSE)+10,1)</f>
        <v>Y</v>
      </c>
      <c r="AB74" s="28" t="str">
        <f>MID(VLOOKUP($A74,Seqs!$A:$B,2,FALSE),VLOOKUP($A74,'SegEnds_NonXtal_Prot#'!$A:$AL,22,FALSE)+6,1)</f>
        <v>I</v>
      </c>
      <c r="AC74" s="49" t="str">
        <f>MID(VLOOKUP($A74,Seqs!$A:$B,2,FALSE),VLOOKUP($A74,'SegEnds_NonXtal_Prot#'!$A:$AL,22,FALSE)+7,1)</f>
        <v>G</v>
      </c>
      <c r="AD74" s="49" t="str">
        <f>MID(VLOOKUP($A74,Seqs!$A:$B,2,FALSE),VLOOKUP($A74,'SegEnds_NonXtal_Prot#'!$A:$AL,22,FALSE)+8,1)</f>
        <v>G</v>
      </c>
      <c r="AE74" s="49" t="str">
        <f>MID(VLOOKUP($A74,Seqs!$A:$B,2,FALSE),VLOOKUP($A74,'SegEnds_NonXtal_Prot#'!$A:$AL,22,FALSE)+9,1)</f>
        <v>P</v>
      </c>
      <c r="AF74" s="49" t="str">
        <f>MID(VLOOKUP($A74,Seqs!$A:$B,2,FALSE),VLOOKUP($A74,'SegEnds_NonXtal_Prot#'!$A:$AL,22,FALSE)+10,1)</f>
        <v>A</v>
      </c>
      <c r="AG74" s="28" t="str">
        <f>MID(VLOOKUP($A74,Seqs!$A:$B,2,FALSE),VLOOKUP($A74,'SegEnds_NonXtal_Prot#'!$A:$AL,28,FALSE)-4,1)</f>
        <v>G</v>
      </c>
      <c r="AH74" s="49" t="str">
        <f>MID(VLOOKUP($A74,Seqs!$A:$B,2,FALSE),VLOOKUP($A74,'SegEnds_NonXtal_Prot#'!$A:$AL,28,FALSE),1)</f>
        <v>P</v>
      </c>
    </row>
    <row r="75" spans="1:34" s="2" customFormat="1" x14ac:dyDescent="0.2">
      <c r="A75" s="2" t="s">
        <v>239</v>
      </c>
      <c r="B75" s="2" t="str">
        <f>LOWER(VLOOKUP(A75,Xtal_Templ!A:B,2,FALSE))</f>
        <v>agtr1_human</v>
      </c>
      <c r="C75" s="2" t="str">
        <f>VLOOKUP(A75,Classification!A:D,2,FALSE)</f>
        <v>A</v>
      </c>
      <c r="D75" s="2" t="str">
        <f>IF(ISERROR(MATCH(A75,'SegEnds_Xtal_Prot#'!B:B, 0)), "NoXtal", "Xtal")</f>
        <v>NoXtal</v>
      </c>
      <c r="H75" s="4"/>
      <c r="R75" s="2" t="s">
        <v>9</v>
      </c>
      <c r="T75" s="4" t="s">
        <v>12</v>
      </c>
      <c r="V75" s="28" t="str">
        <f>MID(VLOOKUP($A75,Seqs!$A:$B,2,FALSE),VLOOKUP($A75,'SegEnds_NonXtal_Prot#'!A:AL,10,FALSE),1)</f>
        <v>D</v>
      </c>
      <c r="W75" s="49" t="str">
        <f>MID(VLOOKUP($A75,Seqs!$A:$B,2,FALSE),VLOOKUP($A75,'SegEnds_NonXtal_Prot#'!A:AL,10,FALSE)+6,1)</f>
        <v>T</v>
      </c>
      <c r="X75" s="49" t="str">
        <f>MID(VLOOKUP($A75,Seqs!$A:$B,2,FALSE),VLOOKUP($A75,'SegEnds_NonXtal_Prot#'!A:AL,10,FALSE)+7,1)</f>
        <v>L</v>
      </c>
      <c r="Y75" s="49" t="str">
        <f>MID(VLOOKUP($A75,Seqs!$A:$B,2,FALSE),VLOOKUP($A75,'SegEnds_NonXtal_Prot#'!A:AL,10,FALSE)+8,1)</f>
        <v>P</v>
      </c>
      <c r="Z75" s="49" t="str">
        <f>MID(VLOOKUP($A75,Seqs!$A:$B,2,FALSE),VLOOKUP($A75,'SegEnds_NonXtal_Prot#'!A:AL,10,FALSE)+9,1)</f>
        <v>L</v>
      </c>
      <c r="AA75" s="49" t="str">
        <f>MID(VLOOKUP($A75,Seqs!$A:$B,2,FALSE),VLOOKUP($A75,'SegEnds_NonXtal_Prot#'!A:AL,10,FALSE)+10,1)</f>
        <v>W</v>
      </c>
      <c r="AB75" s="28" t="str">
        <f>MID(VLOOKUP($A75,Seqs!$A:$B,2,FALSE),VLOOKUP($A75,'SegEnds_NonXtal_Prot#'!$A:$AL,22,FALSE)+6,1)</f>
        <v>L</v>
      </c>
      <c r="AC75" s="49" t="str">
        <f>MID(VLOOKUP($A75,Seqs!$A:$B,2,FALSE),VLOOKUP($A75,'SegEnds_NonXtal_Prot#'!$A:$AL,22,FALSE)+7,1)</f>
        <v>G</v>
      </c>
      <c r="AD75" s="49" t="str">
        <f>MID(VLOOKUP($A75,Seqs!$A:$B,2,FALSE),VLOOKUP($A75,'SegEnds_NonXtal_Prot#'!$A:$AL,22,FALSE)+8,1)</f>
        <v>L</v>
      </c>
      <c r="AE75" s="49" t="str">
        <f>MID(VLOOKUP($A75,Seqs!$A:$B,2,FALSE),VLOOKUP($A75,'SegEnds_NonXtal_Prot#'!$A:$AL,22,FALSE)+9,1)</f>
        <v>P</v>
      </c>
      <c r="AF75" s="49" t="str">
        <f>MID(VLOOKUP($A75,Seqs!$A:$B,2,FALSE),VLOOKUP($A75,'SegEnds_NonXtal_Prot#'!$A:$AL,22,FALSE)+10,1)</f>
        <v>T</v>
      </c>
      <c r="AG75" s="28" t="str">
        <f>MID(VLOOKUP($A75,Seqs!$A:$B,2,FALSE),VLOOKUP($A75,'SegEnds_NonXtal_Prot#'!$A:$AL,28,FALSE)-4,1)</f>
        <v>T</v>
      </c>
      <c r="AH75" s="49" t="str">
        <f>MID(VLOOKUP($A75,Seqs!$A:$B,2,FALSE),VLOOKUP($A75,'SegEnds_NonXtal_Prot#'!$A:$AL,28,FALSE),1)</f>
        <v>P</v>
      </c>
    </row>
    <row r="76" spans="1:34" s="2" customFormat="1" x14ac:dyDescent="0.2">
      <c r="A76" s="2" t="s">
        <v>246</v>
      </c>
      <c r="B76" s="2" t="str">
        <f>LOWER(VLOOKUP(A76,Xtal_Templ!A:B,2,FALSE))</f>
        <v>agtr1_human</v>
      </c>
      <c r="C76" s="2" t="str">
        <f>VLOOKUP(A76,Classification!A:D,2,FALSE)</f>
        <v>A</v>
      </c>
      <c r="D76" s="2" t="str">
        <f>IF(ISERROR(MATCH(A76,'SegEnds_Xtal_Prot#'!B:B, 0)), "NoXtal", "Xtal")</f>
        <v>NoXtal</v>
      </c>
      <c r="H76" s="4"/>
      <c r="R76" s="2" t="s">
        <v>9</v>
      </c>
      <c r="T76" s="4" t="s">
        <v>12</v>
      </c>
      <c r="V76" s="28" t="str">
        <f>MID(VLOOKUP($A76,Seqs!$A:$B,2,FALSE),VLOOKUP($A76,'SegEnds_NonXtal_Prot#'!A:AL,10,FALSE),1)</f>
        <v>D</v>
      </c>
      <c r="W76" s="49" t="str">
        <f>MID(VLOOKUP($A76,Seqs!$A:$B,2,FALSE),VLOOKUP($A76,'SegEnds_NonXtal_Prot#'!A:AL,10,FALSE)+6,1)</f>
        <v>T</v>
      </c>
      <c r="X76" s="49" t="str">
        <f>MID(VLOOKUP($A76,Seqs!$A:$B,2,FALSE),VLOOKUP($A76,'SegEnds_NonXtal_Prot#'!A:AL,10,FALSE)+7,1)</f>
        <v>L</v>
      </c>
      <c r="Y76" s="49" t="str">
        <f>MID(VLOOKUP($A76,Seqs!$A:$B,2,FALSE),VLOOKUP($A76,'SegEnds_NonXtal_Prot#'!A:AL,10,FALSE)+8,1)</f>
        <v>P</v>
      </c>
      <c r="Z76" s="49" t="str">
        <f>MID(VLOOKUP($A76,Seqs!$A:$B,2,FALSE),VLOOKUP($A76,'SegEnds_NonXtal_Prot#'!A:AL,10,FALSE)+9,1)</f>
        <v>L</v>
      </c>
      <c r="AA76" s="49" t="str">
        <f>MID(VLOOKUP($A76,Seqs!$A:$B,2,FALSE),VLOOKUP($A76,'SegEnds_NonXtal_Prot#'!A:AL,10,FALSE)+10,1)</f>
        <v>W</v>
      </c>
      <c r="AB76" s="28" t="str">
        <f>MID(VLOOKUP($A76,Seqs!$A:$B,2,FALSE),VLOOKUP($A76,'SegEnds_NonXtal_Prot#'!$A:$AL,22,FALSE)+6,1)</f>
        <v>A</v>
      </c>
      <c r="AC76" s="49" t="str">
        <f>MID(VLOOKUP($A76,Seqs!$A:$B,2,FALSE),VLOOKUP($A76,'SegEnds_NonXtal_Prot#'!$A:$AL,22,FALSE)+7,1)</f>
        <v>G</v>
      </c>
      <c r="AD76" s="49" t="str">
        <f>MID(VLOOKUP($A76,Seqs!$A:$B,2,FALSE),VLOOKUP($A76,'SegEnds_NonXtal_Prot#'!$A:$AL,22,FALSE)+8,1)</f>
        <v>L</v>
      </c>
      <c r="AE76" s="49" t="str">
        <f>MID(VLOOKUP($A76,Seqs!$A:$B,2,FALSE),VLOOKUP($A76,'SegEnds_NonXtal_Prot#'!$A:$AL,22,FALSE)+9,1)</f>
        <v>P</v>
      </c>
      <c r="AF76" s="49" t="str">
        <f>MID(VLOOKUP($A76,Seqs!$A:$B,2,FALSE),VLOOKUP($A76,'SegEnds_NonXtal_Prot#'!$A:$AL,22,FALSE)+10,1)</f>
        <v>S</v>
      </c>
      <c r="AG76" s="28" t="str">
        <f>MID(VLOOKUP($A76,Seqs!$A:$B,2,FALSE),VLOOKUP($A76,'SegEnds_NonXtal_Prot#'!$A:$AL,28,FALSE)-4,1)</f>
        <v>T</v>
      </c>
      <c r="AH76" s="49" t="str">
        <f>MID(VLOOKUP($A76,Seqs!$A:$B,2,FALSE),VLOOKUP($A76,'SegEnds_NonXtal_Prot#'!$A:$AL,28,FALSE),1)</f>
        <v>P</v>
      </c>
    </row>
    <row r="77" spans="1:34" s="2" customFormat="1" x14ac:dyDescent="0.2">
      <c r="A77" s="2" t="s">
        <v>252</v>
      </c>
      <c r="B77" s="2" t="str">
        <f>LOWER(VLOOKUP(A77,Xtal_Templ!A:B,2,FALSE))</f>
        <v>agtr1_human</v>
      </c>
      <c r="C77" s="2" t="str">
        <f>VLOOKUP(A77,Classification!A:D,2,FALSE)</f>
        <v>A</v>
      </c>
      <c r="D77" s="2" t="str">
        <f>IF(ISERROR(MATCH(A77,'SegEnds_Xtal_Prot#'!B:B, 0)), "NoXtal", "Xtal")</f>
        <v>NoXtal</v>
      </c>
      <c r="H77" s="4"/>
      <c r="N77" s="2" t="s">
        <v>14</v>
      </c>
      <c r="R77" s="2" t="s">
        <v>9</v>
      </c>
      <c r="T77" s="4" t="s">
        <v>12</v>
      </c>
      <c r="V77" s="28" t="str">
        <f>MID(VLOOKUP($A77,Seqs!$A:$B,2,FALSE),VLOOKUP($A77,'SegEnds_NonXtal_Prot#'!A:AL,10,FALSE),1)</f>
        <v>Y</v>
      </c>
      <c r="W77" s="49" t="str">
        <f>MID(VLOOKUP($A77,Seqs!$A:$B,2,FALSE),VLOOKUP($A77,'SegEnds_NonXtal_Prot#'!A:AL,10,FALSE)+6,1)</f>
        <v>I</v>
      </c>
      <c r="X77" s="49" t="str">
        <f>MID(VLOOKUP($A77,Seqs!$A:$B,2,FALSE),VLOOKUP($A77,'SegEnds_NonXtal_Prot#'!A:AL,10,FALSE)+7,1)</f>
        <v>L</v>
      </c>
      <c r="Y77" s="49" t="str">
        <f>MID(VLOOKUP($A77,Seqs!$A:$B,2,FALSE),VLOOKUP($A77,'SegEnds_NonXtal_Prot#'!A:AL,10,FALSE)+8,1)</f>
        <v>P</v>
      </c>
      <c r="Z77" s="49" t="str">
        <f>MID(VLOOKUP($A77,Seqs!$A:$B,2,FALSE),VLOOKUP($A77,'SegEnds_NonXtal_Prot#'!A:AL,10,FALSE)+9,1)</f>
        <v>F</v>
      </c>
      <c r="AA77" s="49" t="str">
        <f>MID(VLOOKUP($A77,Seqs!$A:$B,2,FALSE),VLOOKUP($A77,'SegEnds_NonXtal_Prot#'!A:AL,10,FALSE)+10,1)</f>
        <v>M</v>
      </c>
      <c r="AB77" s="28" t="str">
        <f>MID(VLOOKUP($A77,Seqs!$A:$B,2,FALSE),VLOOKUP($A77,'SegEnds_NonXtal_Prot#'!$A:$AL,22,FALSE)+6,1)</f>
        <v>L</v>
      </c>
      <c r="AC77" s="49" t="str">
        <f>MID(VLOOKUP($A77,Seqs!$A:$B,2,FALSE),VLOOKUP($A77,'SegEnds_NonXtal_Prot#'!$A:$AL,22,FALSE)+7,1)</f>
        <v>S</v>
      </c>
      <c r="AD77" s="49" t="str">
        <f>MID(VLOOKUP($A77,Seqs!$A:$B,2,FALSE),VLOOKUP($A77,'SegEnds_NonXtal_Prot#'!$A:$AL,22,FALSE)+8,1)</f>
        <v>I</v>
      </c>
      <c r="AE77" s="49" t="str">
        <f>MID(VLOOKUP($A77,Seqs!$A:$B,2,FALSE),VLOOKUP($A77,'SegEnds_NonXtal_Prot#'!$A:$AL,22,FALSE)+9,1)</f>
        <v>P</v>
      </c>
      <c r="AF77" s="49" t="str">
        <f>MID(VLOOKUP($A77,Seqs!$A:$B,2,FALSE),VLOOKUP($A77,'SegEnds_NonXtal_Prot#'!$A:$AL,22,FALSE)+10,1)</f>
        <v>Y</v>
      </c>
      <c r="AG77" s="28" t="str">
        <f>MID(VLOOKUP($A77,Seqs!$A:$B,2,FALSE),VLOOKUP($A77,'SegEnds_NonXtal_Prot#'!$A:$AL,28,FALSE)-4,1)</f>
        <v>G</v>
      </c>
      <c r="AH77" s="49" t="str">
        <f>MID(VLOOKUP($A77,Seqs!$A:$B,2,FALSE),VLOOKUP($A77,'SegEnds_NonXtal_Prot#'!$A:$AL,28,FALSE),1)</f>
        <v>P</v>
      </c>
    </row>
    <row r="78" spans="1:34" s="2" customFormat="1" x14ac:dyDescent="0.2">
      <c r="A78" s="2" t="s">
        <v>283</v>
      </c>
      <c r="B78" s="2" t="str">
        <f>LOWER(VLOOKUP(A78,Xtal_Templ!A:B,2,FALSE))</f>
        <v>agtr1_human</v>
      </c>
      <c r="C78" s="2" t="str">
        <f>VLOOKUP(A78,Classification!A:D,2,FALSE)</f>
        <v>A</v>
      </c>
      <c r="D78" s="2" t="str">
        <f>IF(ISERROR(MATCH(A78,'SegEnds_Xtal_Prot#'!B:B, 0)), "NoXtal", "Xtal")</f>
        <v>NoXtal</v>
      </c>
      <c r="H78" s="4"/>
      <c r="T78" s="4" t="s">
        <v>12</v>
      </c>
      <c r="V78" s="28" t="str">
        <f>MID(VLOOKUP($A78,Seqs!$A:$B,2,FALSE),VLOOKUP($A78,'SegEnds_NonXtal_Prot#'!A:AL,10,FALSE),1)</f>
        <v>N</v>
      </c>
      <c r="W78" s="49" t="str">
        <f>MID(VLOOKUP($A78,Seqs!$A:$B,2,FALSE),VLOOKUP($A78,'SegEnds_NonXtal_Prot#'!A:AL,10,FALSE)+6,1)</f>
        <v>Y</v>
      </c>
      <c r="X78" s="49" t="str">
        <f>MID(VLOOKUP($A78,Seqs!$A:$B,2,FALSE),VLOOKUP($A78,'SegEnds_NonXtal_Prot#'!A:AL,10,FALSE)+7,1)</f>
        <v>T</v>
      </c>
      <c r="Y78" s="49" t="str">
        <f>MID(VLOOKUP($A78,Seqs!$A:$B,2,FALSE),VLOOKUP($A78,'SegEnds_NonXtal_Prot#'!A:AL,10,FALSE)+8,1)</f>
        <v>G</v>
      </c>
      <c r="Z78" s="49" t="str">
        <f>MID(VLOOKUP($A78,Seqs!$A:$B,2,FALSE),VLOOKUP($A78,'SegEnds_NonXtal_Prot#'!A:AL,10,FALSE)+9,1)</f>
        <v>I</v>
      </c>
      <c r="AA78" s="49" t="str">
        <f>MID(VLOOKUP($A78,Seqs!$A:$B,2,FALSE),VLOOKUP($A78,'SegEnds_NonXtal_Prot#'!A:AL,10,FALSE)+10,1)</f>
        <v>L</v>
      </c>
      <c r="AB78" s="28" t="str">
        <f>MID(VLOOKUP($A78,Seqs!$A:$B,2,FALSE),VLOOKUP($A78,'SegEnds_NonXtal_Prot#'!$A:$AL,22,FALSE)+6,1)</f>
        <v>A</v>
      </c>
      <c r="AC78" s="49" t="str">
        <f>MID(VLOOKUP($A78,Seqs!$A:$B,2,FALSE),VLOOKUP($A78,'SegEnds_NonXtal_Prot#'!$A:$AL,22,FALSE)+7,1)</f>
        <v>G</v>
      </c>
      <c r="AD78" s="49" t="str">
        <f>MID(VLOOKUP($A78,Seqs!$A:$B,2,FALSE),VLOOKUP($A78,'SegEnds_NonXtal_Prot#'!$A:$AL,22,FALSE)+8,1)</f>
        <v>C</v>
      </c>
      <c r="AE78" s="49" t="str">
        <f>MID(VLOOKUP($A78,Seqs!$A:$B,2,FALSE),VLOOKUP($A78,'SegEnds_NonXtal_Prot#'!$A:$AL,22,FALSE)+9,1)</f>
        <v>F</v>
      </c>
      <c r="AF78" s="49" t="str">
        <f>MID(VLOOKUP($A78,Seqs!$A:$B,2,FALSE),VLOOKUP($A78,'SegEnds_NonXtal_Prot#'!$A:$AL,22,FALSE)+10,1)</f>
        <v>P</v>
      </c>
      <c r="AG78" s="28" t="str">
        <f>MID(VLOOKUP($A78,Seqs!$A:$B,2,FALSE),VLOOKUP($A78,'SegEnds_NonXtal_Prot#'!$A:$AL,28,FALSE)-4,1)</f>
        <v>L</v>
      </c>
      <c r="AH78" s="49" t="str">
        <f>MID(VLOOKUP($A78,Seqs!$A:$B,2,FALSE),VLOOKUP($A78,'SegEnds_NonXtal_Prot#'!$A:$AL,28,FALSE),1)</f>
        <v>A</v>
      </c>
    </row>
    <row r="79" spans="1:34" s="2" customFormat="1" x14ac:dyDescent="0.2">
      <c r="A79" s="2" t="s">
        <v>292</v>
      </c>
      <c r="B79" s="2" t="str">
        <f>LOWER(VLOOKUP(A79,Xtal_Templ!A:B,2,FALSE))</f>
        <v>pd2r2_human</v>
      </c>
      <c r="C79" s="2" t="str">
        <f>VLOOKUP(A79,Classification!A:D,2,FALSE)</f>
        <v>A</v>
      </c>
      <c r="D79" s="2" t="str">
        <f>IF(ISERROR(MATCH(A79,'SegEnds_Xtal_Prot#'!B:B, 0)), "NoXtal", "Xtal")</f>
        <v>NoXtal</v>
      </c>
      <c r="H79" s="4"/>
      <c r="N79" s="2" t="s">
        <v>14</v>
      </c>
      <c r="R79" s="2" t="s">
        <v>9</v>
      </c>
      <c r="T79" s="4" t="s">
        <v>12</v>
      </c>
      <c r="V79" s="28" t="str">
        <f>MID(VLOOKUP($A79,Seqs!$A:$B,2,FALSE),VLOOKUP($A79,'SegEnds_NonXtal_Prot#'!A:AL,10,FALSE),1)</f>
        <v>D</v>
      </c>
      <c r="W79" s="49" t="str">
        <f>MID(VLOOKUP($A79,Seqs!$A:$B,2,FALSE),VLOOKUP($A79,'SegEnds_NonXtal_Prot#'!A:AL,10,FALSE)+6,1)</f>
        <v>T</v>
      </c>
      <c r="X79" s="49" t="str">
        <f>MID(VLOOKUP($A79,Seqs!$A:$B,2,FALSE),VLOOKUP($A79,'SegEnds_NonXtal_Prot#'!A:AL,10,FALSE)+7,1)</f>
        <v>A</v>
      </c>
      <c r="Y79" s="49" t="str">
        <f>MID(VLOOKUP($A79,Seqs!$A:$B,2,FALSE),VLOOKUP($A79,'SegEnds_NonXtal_Prot#'!A:AL,10,FALSE)+8,1)</f>
        <v>P</v>
      </c>
      <c r="Z79" s="49" t="str">
        <f>MID(VLOOKUP($A79,Seqs!$A:$B,2,FALSE),VLOOKUP($A79,'SegEnds_NonXtal_Prot#'!A:AL,10,FALSE)+9,1)</f>
        <v>F</v>
      </c>
      <c r="AA79" s="49" t="str">
        <f>MID(VLOOKUP($A79,Seqs!$A:$B,2,FALSE),VLOOKUP($A79,'SegEnds_NonXtal_Prot#'!A:AL,10,FALSE)+10,1)</f>
        <v>F</v>
      </c>
      <c r="AB79" s="28" t="str">
        <f>MID(VLOOKUP($A79,Seqs!$A:$B,2,FALSE),VLOOKUP($A79,'SegEnds_NonXtal_Prot#'!$A:$AL,22,FALSE)+6,1)</f>
        <v>L</v>
      </c>
      <c r="AC79" s="49" t="str">
        <f>MID(VLOOKUP($A79,Seqs!$A:$B,2,FALSE),VLOOKUP($A79,'SegEnds_NonXtal_Prot#'!$A:$AL,22,FALSE)+7,1)</f>
        <v>A</v>
      </c>
      <c r="AD79" s="49" t="str">
        <f>MID(VLOOKUP($A79,Seqs!$A:$B,2,FALSE),VLOOKUP($A79,'SegEnds_NonXtal_Prot#'!$A:$AL,22,FALSE)+8,1)</f>
        <v>T</v>
      </c>
      <c r="AE79" s="49" t="str">
        <f>MID(VLOOKUP($A79,Seqs!$A:$B,2,FALSE),VLOOKUP($A79,'SegEnds_NonXtal_Prot#'!$A:$AL,22,FALSE)+9,1)</f>
        <v>P</v>
      </c>
      <c r="AF79" s="49" t="str">
        <f>MID(VLOOKUP($A79,Seqs!$A:$B,2,FALSE),VLOOKUP($A79,'SegEnds_NonXtal_Prot#'!$A:$AL,22,FALSE)+10,1)</f>
        <v>V</v>
      </c>
      <c r="AG79" s="28" t="str">
        <f>MID(VLOOKUP($A79,Seqs!$A:$B,2,FALSE),VLOOKUP($A79,'SegEnds_NonXtal_Prot#'!$A:$AL,28,FALSE)-4,1)</f>
        <v>G</v>
      </c>
      <c r="AH79" s="49" t="str">
        <f>MID(VLOOKUP($A79,Seqs!$A:$B,2,FALSE),VLOOKUP($A79,'SegEnds_NonXtal_Prot#'!$A:$AL,28,FALSE),1)</f>
        <v>P</v>
      </c>
    </row>
    <row r="80" spans="1:34" s="2" customFormat="1" x14ac:dyDescent="0.2">
      <c r="A80" s="2" t="s">
        <v>304</v>
      </c>
      <c r="B80" s="2" t="str">
        <f>LOWER(VLOOKUP(A80,Xtal_Templ!A:B,2,FALSE))</f>
        <v>pd2r2_human</v>
      </c>
      <c r="C80" s="2" t="str">
        <f>VLOOKUP(A80,Classification!A:D,2,FALSE)</f>
        <v>A</v>
      </c>
      <c r="D80" s="2" t="str">
        <f>IF(ISERROR(MATCH(A80,'SegEnds_Xtal_Prot#'!B:B, 0)), "NoXtal", "Xtal")</f>
        <v>NoXtal</v>
      </c>
      <c r="H80" s="4"/>
      <c r="T80" s="4" t="s">
        <v>12</v>
      </c>
      <c r="V80" s="28" t="str">
        <f>MID(VLOOKUP($A80,Seqs!$A:$B,2,FALSE),VLOOKUP($A80,'SegEnds_NonXtal_Prot#'!A:AL,10,FALSE),1)</f>
        <v>D</v>
      </c>
      <c r="W80" s="49" t="str">
        <f>MID(VLOOKUP($A80,Seqs!$A:$B,2,FALSE),VLOOKUP($A80,'SegEnds_NonXtal_Prot#'!A:AL,10,FALSE)+6,1)</f>
        <v>C</v>
      </c>
      <c r="X80" s="49" t="str">
        <f>MID(VLOOKUP($A80,Seqs!$A:$B,2,FALSE),VLOOKUP($A80,'SegEnds_NonXtal_Prot#'!A:AL,10,FALSE)+7,1)</f>
        <v>R</v>
      </c>
      <c r="Y80" s="49" t="str">
        <f>MID(VLOOKUP($A80,Seqs!$A:$B,2,FALSE),VLOOKUP($A80,'SegEnds_NonXtal_Prot#'!A:AL,10,FALSE)+8,1)</f>
        <v>V</v>
      </c>
      <c r="Z80" s="49" t="str">
        <f>MID(VLOOKUP($A80,Seqs!$A:$B,2,FALSE),VLOOKUP($A80,'SegEnds_NonXtal_Prot#'!A:AL,10,FALSE)+9,1)</f>
        <v>G</v>
      </c>
      <c r="AA80" s="49" t="str">
        <f>MID(VLOOKUP($A80,Seqs!$A:$B,2,FALSE),VLOOKUP($A80,'SegEnds_NonXtal_Prot#'!A:AL,10,FALSE)+10,1)</f>
        <v>F</v>
      </c>
      <c r="AB80" s="28" t="str">
        <f>MID(VLOOKUP($A80,Seqs!$A:$B,2,FALSE),VLOOKUP($A80,'SegEnds_NonXtal_Prot#'!$A:$AL,22,FALSE)+6,1)</f>
        <v>A</v>
      </c>
      <c r="AC80" s="49" t="str">
        <f>MID(VLOOKUP($A80,Seqs!$A:$B,2,FALSE),VLOOKUP($A80,'SegEnds_NonXtal_Prot#'!$A:$AL,22,FALSE)+7,1)</f>
        <v>V</v>
      </c>
      <c r="AD80" s="49" t="str">
        <f>MID(VLOOKUP($A80,Seqs!$A:$B,2,FALSE),VLOOKUP($A80,'SegEnds_NonXtal_Prot#'!$A:$AL,22,FALSE)+8,1)</f>
        <v>P</v>
      </c>
      <c r="AE80" s="49" t="str">
        <f>MID(VLOOKUP($A80,Seqs!$A:$B,2,FALSE),VLOOKUP($A80,'SegEnds_NonXtal_Prot#'!$A:$AL,22,FALSE)+9,1)</f>
        <v>L</v>
      </c>
      <c r="AF80" s="49" t="str">
        <f>MID(VLOOKUP($A80,Seqs!$A:$B,2,FALSE),VLOOKUP($A80,'SegEnds_NonXtal_Prot#'!$A:$AL,22,FALSE)+10,1)</f>
        <v>P</v>
      </c>
      <c r="AG80" s="28" t="str">
        <f>MID(VLOOKUP($A80,Seqs!$A:$B,2,FALSE),VLOOKUP($A80,'SegEnds_NonXtal_Prot#'!$A:$AL,28,FALSE)-4,1)</f>
        <v>L</v>
      </c>
      <c r="AH80" s="49" t="str">
        <f>MID(VLOOKUP($A80,Seqs!$A:$B,2,FALSE),VLOOKUP($A80,'SegEnds_NonXtal_Prot#'!$A:$AL,28,FALSE),1)</f>
        <v>R</v>
      </c>
    </row>
    <row r="81" spans="1:34" s="2" customFormat="1" x14ac:dyDescent="0.2">
      <c r="A81" s="2" t="s">
        <v>306</v>
      </c>
      <c r="B81" s="2" t="str">
        <f>LOWER(VLOOKUP(A81,Xtal_Templ!A:B,2,FALSE))</f>
        <v>c5ar1_human</v>
      </c>
      <c r="C81" s="2" t="str">
        <f>VLOOKUP(A81,Classification!A:D,2,FALSE)</f>
        <v>A</v>
      </c>
      <c r="D81" s="2" t="str">
        <f>IF(ISERROR(MATCH(A81,'SegEnds_Xtal_Prot#'!B:B, 0)), "NoXtal", "Xtal")</f>
        <v>NoXtal</v>
      </c>
      <c r="H81" s="4"/>
      <c r="T81" s="4" t="s">
        <v>12</v>
      </c>
      <c r="V81" s="28" t="str">
        <f>MID(VLOOKUP($A81,Seqs!$A:$B,2,FALSE),VLOOKUP($A81,'SegEnds_NonXtal_Prot#'!A:AL,10,FALSE),1)</f>
        <v>D</v>
      </c>
      <c r="W81" s="49" t="str">
        <f>MID(VLOOKUP($A81,Seqs!$A:$B,2,FALSE),VLOOKUP($A81,'SegEnds_NonXtal_Prot#'!A:AL,10,FALSE)+6,1)</f>
        <v>F</v>
      </c>
      <c r="X81" s="49" t="str">
        <f>MID(VLOOKUP($A81,Seqs!$A:$B,2,FALSE),VLOOKUP($A81,'SegEnds_NonXtal_Prot#'!A:AL,10,FALSE)+7,1)</f>
        <v>Q</v>
      </c>
      <c r="Y81" s="49" t="str">
        <f>MID(VLOOKUP($A81,Seqs!$A:$B,2,FALSE),VLOOKUP($A81,'SegEnds_NonXtal_Prot#'!A:AL,10,FALSE)+8,1)</f>
        <v>I</v>
      </c>
      <c r="Z81" s="49" t="str">
        <f>MID(VLOOKUP($A81,Seqs!$A:$B,2,FALSE),VLOOKUP($A81,'SegEnds_NonXtal_Prot#'!A:AL,10,FALSE)+9,1)</f>
        <v>I</v>
      </c>
      <c r="AA81" s="49" t="str">
        <f>MID(VLOOKUP($A81,Seqs!$A:$B,2,FALSE),VLOOKUP($A81,'SegEnds_NonXtal_Prot#'!A:AL,10,FALSE)+10,1)</f>
        <v>N</v>
      </c>
      <c r="AB81" s="28" t="str">
        <f>MID(VLOOKUP($A81,Seqs!$A:$B,2,FALSE),VLOOKUP($A81,'SegEnds_NonXtal_Prot#'!$A:$AL,22,FALSE)+6,1)</f>
        <v>L</v>
      </c>
      <c r="AC81" s="49" t="str">
        <f>MID(VLOOKUP($A81,Seqs!$A:$B,2,FALSE),VLOOKUP($A81,'SegEnds_NonXtal_Prot#'!$A:$AL,22,FALSE)+7,1)</f>
        <v>S</v>
      </c>
      <c r="AD81" s="49" t="str">
        <f>MID(VLOOKUP($A81,Seqs!$A:$B,2,FALSE),VLOOKUP($A81,'SegEnds_NonXtal_Prot#'!$A:$AL,22,FALSE)+8,1)</f>
        <v>I</v>
      </c>
      <c r="AE81" s="49" t="str">
        <f>MID(VLOOKUP($A81,Seqs!$A:$B,2,FALSE),VLOOKUP($A81,'SegEnds_NonXtal_Prot#'!$A:$AL,22,FALSE)+9,1)</f>
        <v>L</v>
      </c>
      <c r="AF81" s="49" t="str">
        <f>MID(VLOOKUP($A81,Seqs!$A:$B,2,FALSE),VLOOKUP($A81,'SegEnds_NonXtal_Prot#'!$A:$AL,22,FALSE)+10,1)</f>
        <v>E</v>
      </c>
      <c r="AG81" s="28" t="str">
        <f>MID(VLOOKUP($A81,Seqs!$A:$B,2,FALSE),VLOOKUP($A81,'SegEnds_NonXtal_Prot#'!$A:$AL,28,FALSE)-4,1)</f>
        <v>I</v>
      </c>
      <c r="AH81" s="49" t="str">
        <f>MID(VLOOKUP($A81,Seqs!$A:$B,2,FALSE),VLOOKUP($A81,'SegEnds_NonXtal_Prot#'!$A:$AL,28,FALSE),1)</f>
        <v>M</v>
      </c>
    </row>
    <row r="82" spans="1:34" s="2" customFormat="1" x14ac:dyDescent="0.2">
      <c r="A82" s="2" t="s">
        <v>331</v>
      </c>
      <c r="B82" s="2" t="str">
        <f>LOWER(VLOOKUP(A82,Xtal_Templ!A:B,2,FALSE))</f>
        <v>agtr2_human</v>
      </c>
      <c r="C82" s="2" t="str">
        <f>VLOOKUP(A82,Classification!A:D,2,FALSE)</f>
        <v>A</v>
      </c>
      <c r="D82" s="2" t="str">
        <f>IF(ISERROR(MATCH(A82,'SegEnds_Xtal_Prot#'!B:B, 0)), "NoXtal", "Xtal")</f>
        <v>NoXtal</v>
      </c>
      <c r="H82" s="4"/>
      <c r="R82" s="2" t="s">
        <v>9</v>
      </c>
      <c r="S82" s="106"/>
      <c r="T82" s="4" t="s">
        <v>12</v>
      </c>
      <c r="V82" s="28" t="str">
        <f>MID(VLOOKUP($A82,Seqs!$A:$B,2,FALSE),VLOOKUP($A82,'SegEnds_NonXtal_Prot#'!A:AL,10,FALSE),1)</f>
        <v>D</v>
      </c>
      <c r="W82" s="49" t="str">
        <f>MID(VLOOKUP($A82,Seqs!$A:$B,2,FALSE),VLOOKUP($A82,'SegEnds_NonXtal_Prot#'!A:AL,10,FALSE)+6,1)</f>
        <v>S</v>
      </c>
      <c r="X82" s="49" t="str">
        <f>MID(VLOOKUP($A82,Seqs!$A:$B,2,FALSE),VLOOKUP($A82,'SegEnds_NonXtal_Prot#'!A:AL,10,FALSE)+7,1)</f>
        <v>L</v>
      </c>
      <c r="Y82" s="49" t="str">
        <f>MID(VLOOKUP($A82,Seqs!$A:$B,2,FALSE),VLOOKUP($A82,'SegEnds_NonXtal_Prot#'!A:AL,10,FALSE)+8,1)</f>
        <v>P</v>
      </c>
      <c r="Z82" s="49" t="str">
        <f>MID(VLOOKUP($A82,Seqs!$A:$B,2,FALSE),VLOOKUP($A82,'SegEnds_NonXtal_Prot#'!A:AL,10,FALSE)+9,1)</f>
        <v>F</v>
      </c>
      <c r="AA82" s="49" t="str">
        <f>MID(VLOOKUP($A82,Seqs!$A:$B,2,FALSE),VLOOKUP($A82,'SegEnds_NonXtal_Prot#'!A:AL,10,FALSE)+10,1)</f>
        <v>W</v>
      </c>
      <c r="AB82" s="28" t="str">
        <f>MID(VLOOKUP($A82,Seqs!$A:$B,2,FALSE),VLOOKUP($A82,'SegEnds_NonXtal_Prot#'!$A:$AL,22,FALSE)+6,1)</f>
        <v>T</v>
      </c>
      <c r="AC82" s="49" t="str">
        <f>MID(VLOOKUP($A82,Seqs!$A:$B,2,FALSE),VLOOKUP($A82,'SegEnds_NonXtal_Prot#'!$A:$AL,22,FALSE)+7,1)</f>
        <v>S</v>
      </c>
      <c r="AD82" s="49" t="str">
        <f>MID(VLOOKUP($A82,Seqs!$A:$B,2,FALSE),VLOOKUP($A82,'SegEnds_NonXtal_Prot#'!$A:$AL,22,FALSE)+8,1)</f>
        <v>I</v>
      </c>
      <c r="AE82" s="49" t="str">
        <f>MID(VLOOKUP($A82,Seqs!$A:$B,2,FALSE),VLOOKUP($A82,'SegEnds_NonXtal_Prot#'!$A:$AL,22,FALSE)+9,1)</f>
        <v>Y</v>
      </c>
      <c r="AF82" s="49" t="str">
        <f>MID(VLOOKUP($A82,Seqs!$A:$B,2,FALSE),VLOOKUP($A82,'SegEnds_NonXtal_Prot#'!$A:$AL,22,FALSE)+10,1)</f>
        <v>F</v>
      </c>
      <c r="AG82" s="28" t="str">
        <f>MID(VLOOKUP($A82,Seqs!$A:$B,2,FALSE),VLOOKUP($A82,'SegEnds_NonXtal_Prot#'!$A:$AL,28,FALSE)-4,1)</f>
        <v>G</v>
      </c>
      <c r="AH82" s="49" t="str">
        <f>MID(VLOOKUP($A82,Seqs!$A:$B,2,FALSE),VLOOKUP($A82,'SegEnds_NonXtal_Prot#'!$A:$AL,28,FALSE),1)</f>
        <v>P</v>
      </c>
    </row>
    <row r="83" spans="1:34" s="2" customFormat="1" x14ac:dyDescent="0.2">
      <c r="A83" s="2" t="s">
        <v>373</v>
      </c>
      <c r="B83" s="2" t="str">
        <f>LOWER(VLOOKUP(A83,Xtal_Templ!A:B,2,FALSE))</f>
        <v>agtr1_human</v>
      </c>
      <c r="C83" s="2" t="str">
        <f>VLOOKUP(A83,Classification!A:D,2,FALSE)</f>
        <v>A</v>
      </c>
      <c r="D83" s="2" t="str">
        <f>IF(ISERROR(MATCH(A83,'SegEnds_Xtal_Prot#'!B:B, 0)), "NoXtal", "Xtal")</f>
        <v>NoXtal</v>
      </c>
      <c r="H83" s="4"/>
      <c r="N83" s="2" t="s">
        <v>14</v>
      </c>
      <c r="R83" s="2" t="s">
        <v>9</v>
      </c>
      <c r="T83" s="4" t="s">
        <v>12</v>
      </c>
      <c r="V83" s="28" t="str">
        <f>MID(VLOOKUP($A83,Seqs!$A:$B,2,FALSE),VLOOKUP($A83,'SegEnds_NonXtal_Prot#'!A:AL,10,FALSE),1)</f>
        <v>D</v>
      </c>
      <c r="W83" s="49" t="str">
        <f>MID(VLOOKUP($A83,Seqs!$A:$B,2,FALSE),VLOOKUP($A83,'SegEnds_NonXtal_Prot#'!A:AL,10,FALSE)+6,1)</f>
        <v>T</v>
      </c>
      <c r="X83" s="49" t="str">
        <f>MID(VLOOKUP($A83,Seqs!$A:$B,2,FALSE),VLOOKUP($A83,'SegEnds_NonXtal_Prot#'!A:AL,10,FALSE)+7,1)</f>
        <v>L</v>
      </c>
      <c r="Y83" s="49" t="str">
        <f>MID(VLOOKUP($A83,Seqs!$A:$B,2,FALSE),VLOOKUP($A83,'SegEnds_NonXtal_Prot#'!A:AL,10,FALSE)+8,1)</f>
        <v>P</v>
      </c>
      <c r="Z83" s="49" t="str">
        <f>MID(VLOOKUP($A83,Seqs!$A:$B,2,FALSE),VLOOKUP($A83,'SegEnds_NonXtal_Prot#'!A:AL,10,FALSE)+9,1)</f>
        <v>F</v>
      </c>
      <c r="AA83" s="49" t="str">
        <f>MID(VLOOKUP($A83,Seqs!$A:$B,2,FALSE),VLOOKUP($A83,'SegEnds_NonXtal_Prot#'!A:AL,10,FALSE)+10,1)</f>
        <v>W</v>
      </c>
      <c r="AB83" s="28" t="str">
        <f>MID(VLOOKUP($A83,Seqs!$A:$B,2,FALSE),VLOOKUP($A83,'SegEnds_NonXtal_Prot#'!$A:$AL,22,FALSE)+6,1)</f>
        <v>A</v>
      </c>
      <c r="AC83" s="49" t="str">
        <f>MID(VLOOKUP($A83,Seqs!$A:$B,2,FALSE),VLOOKUP($A83,'SegEnds_NonXtal_Prot#'!$A:$AL,22,FALSE)+7,1)</f>
        <v>S</v>
      </c>
      <c r="AD83" s="49" t="str">
        <f>MID(VLOOKUP($A83,Seqs!$A:$B,2,FALSE),VLOOKUP($A83,'SegEnds_NonXtal_Prot#'!$A:$AL,22,FALSE)+8,1)</f>
        <v>L</v>
      </c>
      <c r="AE83" s="49" t="str">
        <f>MID(VLOOKUP($A83,Seqs!$A:$B,2,FALSE),VLOOKUP($A83,'SegEnds_NonXtal_Prot#'!$A:$AL,22,FALSE)+9,1)</f>
        <v>P</v>
      </c>
      <c r="AF83" s="49" t="str">
        <f>MID(VLOOKUP($A83,Seqs!$A:$B,2,FALSE),VLOOKUP($A83,'SegEnds_NonXtal_Prot#'!$A:$AL,22,FALSE)+10,1)</f>
        <v>S</v>
      </c>
      <c r="AG83" s="28" t="str">
        <f>MID(VLOOKUP($A83,Seqs!$A:$B,2,FALSE),VLOOKUP($A83,'SegEnds_NonXtal_Prot#'!$A:$AL,28,FALSE)-4,1)</f>
        <v>G</v>
      </c>
      <c r="AH83" s="49" t="str">
        <f>MID(VLOOKUP($A83,Seqs!$A:$B,2,FALSE),VLOOKUP($A83,'SegEnds_NonXtal_Prot#'!$A:$AL,28,FALSE),1)</f>
        <v>P</v>
      </c>
    </row>
    <row r="84" spans="1:34" s="2" customFormat="1" x14ac:dyDescent="0.2">
      <c r="A84" s="2" t="s">
        <v>374</v>
      </c>
      <c r="B84" s="2" t="str">
        <f>LOWER(VLOOKUP(A84,Xtal_Templ!A:B,2,FALSE))</f>
        <v>agtr1_human</v>
      </c>
      <c r="C84" s="2" t="str">
        <f>VLOOKUP(A84,Classification!A:D,2,FALSE)</f>
        <v>A</v>
      </c>
      <c r="D84" s="2" t="str">
        <f>IF(ISERROR(MATCH(A84,'SegEnds_Xtal_Prot#'!B:B, 0)), "NoXtal", "Xtal")</f>
        <v>NoXtal</v>
      </c>
      <c r="H84" s="4"/>
      <c r="N84" s="2" t="s">
        <v>14</v>
      </c>
      <c r="R84" s="2" t="s">
        <v>9</v>
      </c>
      <c r="T84" s="4" t="s">
        <v>12</v>
      </c>
      <c r="V84" s="28" t="str">
        <f>MID(VLOOKUP($A84,Seqs!$A:$B,2,FALSE),VLOOKUP($A84,'SegEnds_NonXtal_Prot#'!A:AL,10,FALSE),1)</f>
        <v>D</v>
      </c>
      <c r="W84" s="49" t="str">
        <f>MID(VLOOKUP($A84,Seqs!$A:$B,2,FALSE),VLOOKUP($A84,'SegEnds_NonXtal_Prot#'!A:AL,10,FALSE)+6,1)</f>
        <v>T</v>
      </c>
      <c r="X84" s="49" t="str">
        <f>MID(VLOOKUP($A84,Seqs!$A:$B,2,FALSE),VLOOKUP($A84,'SegEnds_NonXtal_Prot#'!A:AL,10,FALSE)+7,1)</f>
        <v>L</v>
      </c>
      <c r="Y84" s="49" t="str">
        <f>MID(VLOOKUP($A84,Seqs!$A:$B,2,FALSE),VLOOKUP($A84,'SegEnds_NonXtal_Prot#'!A:AL,10,FALSE)+8,1)</f>
        <v>P</v>
      </c>
      <c r="Z84" s="49" t="str">
        <f>MID(VLOOKUP($A84,Seqs!$A:$B,2,FALSE),VLOOKUP($A84,'SegEnds_NonXtal_Prot#'!A:AL,10,FALSE)+9,1)</f>
        <v>F</v>
      </c>
      <c r="AA84" s="49" t="str">
        <f>MID(VLOOKUP($A84,Seqs!$A:$B,2,FALSE),VLOOKUP($A84,'SegEnds_NonXtal_Prot#'!A:AL,10,FALSE)+10,1)</f>
        <v>W</v>
      </c>
      <c r="AB84" s="28" t="str">
        <f>MID(VLOOKUP($A84,Seqs!$A:$B,2,FALSE),VLOOKUP($A84,'SegEnds_NonXtal_Prot#'!$A:$AL,22,FALSE)+6,1)</f>
        <v>V</v>
      </c>
      <c r="AC84" s="49" t="str">
        <f>MID(VLOOKUP($A84,Seqs!$A:$B,2,FALSE),VLOOKUP($A84,'SegEnds_NonXtal_Prot#'!$A:$AL,22,FALSE)+7,1)</f>
        <v>T</v>
      </c>
      <c r="AD84" s="49" t="str">
        <f>MID(VLOOKUP($A84,Seqs!$A:$B,2,FALSE),VLOOKUP($A84,'SegEnds_NonXtal_Prot#'!$A:$AL,22,FALSE)+8,1)</f>
        <v>V</v>
      </c>
      <c r="AE84" s="49" t="str">
        <f>MID(VLOOKUP($A84,Seqs!$A:$B,2,FALSE),VLOOKUP($A84,'SegEnds_NonXtal_Prot#'!$A:$AL,22,FALSE)+9,1)</f>
        <v>P</v>
      </c>
      <c r="AF84" s="49" t="str">
        <f>MID(VLOOKUP($A84,Seqs!$A:$B,2,FALSE),VLOOKUP($A84,'SegEnds_NonXtal_Prot#'!$A:$AL,22,FALSE)+10,1)</f>
        <v>T</v>
      </c>
      <c r="AG84" s="28" t="str">
        <f>MID(VLOOKUP($A84,Seqs!$A:$B,2,FALSE),VLOOKUP($A84,'SegEnds_NonXtal_Prot#'!$A:$AL,28,FALSE)-4,1)</f>
        <v>A</v>
      </c>
      <c r="AH84" s="49" t="str">
        <f>MID(VLOOKUP($A84,Seqs!$A:$B,2,FALSE),VLOOKUP($A84,'SegEnds_NonXtal_Prot#'!$A:$AL,28,FALSE),1)</f>
        <v>P</v>
      </c>
    </row>
    <row r="85" spans="1:34" s="2" customFormat="1" x14ac:dyDescent="0.2">
      <c r="A85" s="2" t="s">
        <v>170</v>
      </c>
      <c r="B85" s="2" t="str">
        <f>LOWER(VLOOKUP(A85,Xtal_Templ!A:B,2,FALSE))</f>
        <v>ccr2_human</v>
      </c>
      <c r="C85" s="2" t="str">
        <f>VLOOKUP(A85,Classification!A:D,2,FALSE)</f>
        <v>A</v>
      </c>
      <c r="D85" s="2" t="str">
        <f>IF(ISERROR(MATCH(A85,'SegEnds_Xtal_Prot#'!B:B, 0)), "NoXtal", "Xtal")</f>
        <v>Xtal</v>
      </c>
      <c r="H85" s="4"/>
      <c r="N85" s="2" t="s">
        <v>14</v>
      </c>
      <c r="R85" s="2" t="s">
        <v>9</v>
      </c>
      <c r="T85" s="4" t="s">
        <v>12</v>
      </c>
      <c r="V85" s="28" t="str">
        <f>MID(VLOOKUP($A85,Seqs!$A:$B,2,FALSE),VLOOKUP($A85,'SegEnds_NonXtal_Prot#'!A:AL,10,FALSE),1)</f>
        <v>D</v>
      </c>
      <c r="W85" s="49" t="str">
        <f>MID(VLOOKUP($A85,Seqs!$A:$B,2,FALSE),VLOOKUP($A85,'SegEnds_NonXtal_Prot#'!A:AL,10,FALSE)+6,1)</f>
        <v>T</v>
      </c>
      <c r="X85" s="49" t="str">
        <f>MID(VLOOKUP($A85,Seqs!$A:$B,2,FALSE),VLOOKUP($A85,'SegEnds_NonXtal_Prot#'!A:AL,10,FALSE)+7,1)</f>
        <v>L</v>
      </c>
      <c r="Y85" s="49" t="str">
        <f>MID(VLOOKUP($A85,Seqs!$A:$B,2,FALSE),VLOOKUP($A85,'SegEnds_NonXtal_Prot#'!A:AL,10,FALSE)+8,1)</f>
        <v>P</v>
      </c>
      <c r="Z85" s="49" t="str">
        <f>MID(VLOOKUP($A85,Seqs!$A:$B,2,FALSE),VLOOKUP($A85,'SegEnds_NonXtal_Prot#'!A:AL,10,FALSE)+9,1)</f>
        <v>L</v>
      </c>
      <c r="AA85" s="49" t="str">
        <f>MID(VLOOKUP($A85,Seqs!$A:$B,2,FALSE),VLOOKUP($A85,'SegEnds_NonXtal_Prot#'!A:AL,10,FALSE)+10,1)</f>
        <v>W</v>
      </c>
      <c r="AB85" s="28" t="str">
        <f>MID(VLOOKUP($A85,Seqs!$A:$B,2,FALSE),VLOOKUP($A85,'SegEnds_NonXtal_Prot#'!$A:$AL,22,FALSE)+6,1)</f>
        <v>A</v>
      </c>
      <c r="AC85" s="49" t="str">
        <f>MID(VLOOKUP($A85,Seqs!$A:$B,2,FALSE),VLOOKUP($A85,'SegEnds_NonXtal_Prot#'!$A:$AL,22,FALSE)+7,1)</f>
        <v>S</v>
      </c>
      <c r="AD85" s="49" t="str">
        <f>MID(VLOOKUP($A85,Seqs!$A:$B,2,FALSE),VLOOKUP($A85,'SegEnds_NonXtal_Prot#'!$A:$AL,22,FALSE)+8,1)</f>
        <v>V</v>
      </c>
      <c r="AE85" s="49" t="str">
        <f>MID(VLOOKUP($A85,Seqs!$A:$B,2,FALSE),VLOOKUP($A85,'SegEnds_NonXtal_Prot#'!$A:$AL,22,FALSE)+9,1)</f>
        <v>P</v>
      </c>
      <c r="AF85" s="49" t="str">
        <f>MID(VLOOKUP($A85,Seqs!$A:$B,2,FALSE),VLOOKUP($A85,'SegEnds_NonXtal_Prot#'!$A:$AL,22,FALSE)+10,1)</f>
        <v>G</v>
      </c>
      <c r="AG85" s="28" t="str">
        <f>MID(VLOOKUP($A85,Seqs!$A:$B,2,FALSE),VLOOKUP($A85,'SegEnds_NonXtal_Prot#'!$A:$AL,28,FALSE)-4,1)</f>
        <v>G</v>
      </c>
      <c r="AH85" s="49" t="str">
        <f>MID(VLOOKUP($A85,Seqs!$A:$B,2,FALSE),VLOOKUP($A85,'SegEnds_NonXtal_Prot#'!$A:$AL,28,FALSE),1)</f>
        <v>P</v>
      </c>
    </row>
    <row r="86" spans="1:34" s="2" customFormat="1" x14ac:dyDescent="0.2">
      <c r="A86" s="2" t="s">
        <v>142</v>
      </c>
      <c r="B86" s="2" t="str">
        <f>LOWER(VLOOKUP(A86,Xtal_Templ!A:B,2,FALSE))</f>
        <v>c5ar1_human</v>
      </c>
      <c r="C86" s="2" t="str">
        <f>VLOOKUP(A86,Classification!A:D,2,FALSE)</f>
        <v>A</v>
      </c>
      <c r="D86" s="2" t="str">
        <f>IF(ISERROR(MATCH(A86,'SegEnds_Xtal_Prot#'!B:B, 0)), "NoXtal", "Xtal")</f>
        <v>NoXtal</v>
      </c>
      <c r="H86" s="4"/>
      <c r="N86" s="2" t="s">
        <v>14</v>
      </c>
      <c r="T86" s="4" t="s">
        <v>12</v>
      </c>
      <c r="V86" s="28" t="str">
        <f>MID(VLOOKUP($A86,Seqs!$A:$B,2,FALSE),VLOOKUP($A86,'SegEnds_NonXtal_Prot#'!A:AL,10,FALSE),1)</f>
        <v>S</v>
      </c>
      <c r="W86" s="49" t="str">
        <f>MID(VLOOKUP($A86,Seqs!$A:$B,2,FALSE),VLOOKUP($A86,'SegEnds_NonXtal_Prot#'!A:AL,10,FALSE)+6,1)</f>
        <v>V</v>
      </c>
      <c r="X86" s="49" t="str">
        <f>MID(VLOOKUP($A86,Seqs!$A:$B,2,FALSE),VLOOKUP($A86,'SegEnds_NonXtal_Prot#'!A:AL,10,FALSE)+7,1)</f>
        <v>V</v>
      </c>
      <c r="Y86" s="49" t="str">
        <f>MID(VLOOKUP($A86,Seqs!$A:$B,2,FALSE),VLOOKUP($A86,'SegEnds_NonXtal_Prot#'!A:AL,10,FALSE)+8,1)</f>
        <v>P</v>
      </c>
      <c r="Z86" s="49" t="str">
        <f>MID(VLOOKUP($A86,Seqs!$A:$B,2,FALSE),VLOOKUP($A86,'SegEnds_NonXtal_Prot#'!A:AL,10,FALSE)+9,1)</f>
        <v>V</v>
      </c>
      <c r="AA86" s="49" t="str">
        <f>MID(VLOOKUP($A86,Seqs!$A:$B,2,FALSE),VLOOKUP($A86,'SegEnds_NonXtal_Prot#'!A:AL,10,FALSE)+10,1)</f>
        <v>L</v>
      </c>
      <c r="AB86" s="28" t="str">
        <f>MID(VLOOKUP($A86,Seqs!$A:$B,2,FALSE),VLOOKUP($A86,'SegEnds_NonXtal_Prot#'!$A:$AL,22,FALSE)+6,1)</f>
        <v>L</v>
      </c>
      <c r="AC86" s="49" t="str">
        <f>MID(VLOOKUP($A86,Seqs!$A:$B,2,FALSE),VLOOKUP($A86,'SegEnds_NonXtal_Prot#'!$A:$AL,22,FALSE)+7,1)</f>
        <v>T</v>
      </c>
      <c r="AD86" s="49" t="str">
        <f>MID(VLOOKUP($A86,Seqs!$A:$B,2,FALSE),VLOOKUP($A86,'SegEnds_NonXtal_Prot#'!$A:$AL,22,FALSE)+8,1)</f>
        <v>L</v>
      </c>
      <c r="AE86" s="49" t="str">
        <f>MID(VLOOKUP($A86,Seqs!$A:$B,2,FALSE),VLOOKUP($A86,'SegEnds_NonXtal_Prot#'!$A:$AL,22,FALSE)+9,1)</f>
        <v>P</v>
      </c>
      <c r="AF86" s="49" t="str">
        <f>MID(VLOOKUP($A86,Seqs!$A:$B,2,FALSE),VLOOKUP($A86,'SegEnds_NonXtal_Prot#'!$A:$AL,22,FALSE)+10,1)</f>
        <v>V</v>
      </c>
      <c r="AG86" s="28" t="str">
        <f>MID(VLOOKUP($A86,Seqs!$A:$B,2,FALSE),VLOOKUP($A86,'SegEnds_NonXtal_Prot#'!$A:$AL,28,FALSE)-4,1)</f>
        <v>C</v>
      </c>
      <c r="AH86" s="49" t="str">
        <f>MID(VLOOKUP($A86,Seqs!$A:$B,2,FALSE),VLOOKUP($A86,'SegEnds_NonXtal_Prot#'!$A:$AL,28,FALSE),1)</f>
        <v>F</v>
      </c>
    </row>
    <row r="87" spans="1:34" s="2" customFormat="1" x14ac:dyDescent="0.2">
      <c r="A87" s="2" t="s">
        <v>143</v>
      </c>
      <c r="B87" s="2" t="str">
        <f>LOWER(VLOOKUP(A87,Xtal_Templ!A:B,2,FALSE))</f>
        <v>ccr5_human</v>
      </c>
      <c r="C87" s="2" t="str">
        <f>VLOOKUP(A87,Classification!A:D,2,FALSE)</f>
        <v>A</v>
      </c>
      <c r="D87" s="2" t="str">
        <f>IF(ISERROR(MATCH(A87,'SegEnds_Xtal_Prot#'!B:B, 0)), "NoXtal", "Xtal")</f>
        <v>NoXtal</v>
      </c>
      <c r="H87" s="4"/>
      <c r="N87" s="2" t="s">
        <v>14</v>
      </c>
      <c r="R87" s="2" t="s">
        <v>9</v>
      </c>
      <c r="T87" s="4" t="s">
        <v>12</v>
      </c>
      <c r="V87" s="28" t="str">
        <f>MID(VLOOKUP($A87,Seqs!$A:$B,2,FALSE),VLOOKUP($A87,'SegEnds_NonXtal_Prot#'!A:AL,10,FALSE),1)</f>
        <v>N</v>
      </c>
      <c r="W87" s="49" t="str">
        <f>MID(VLOOKUP($A87,Seqs!$A:$B,2,FALSE),VLOOKUP($A87,'SegEnds_NonXtal_Prot#'!A:AL,10,FALSE)+6,1)</f>
        <v>T</v>
      </c>
      <c r="X87" s="49" t="str">
        <f>MID(VLOOKUP($A87,Seqs!$A:$B,2,FALSE),VLOOKUP($A87,'SegEnds_NonXtal_Prot#'!A:AL,10,FALSE)+7,1)</f>
        <v>L</v>
      </c>
      <c r="Y87" s="49" t="str">
        <f>MID(VLOOKUP($A87,Seqs!$A:$B,2,FALSE),VLOOKUP($A87,'SegEnds_NonXtal_Prot#'!A:AL,10,FALSE)+8,1)</f>
        <v>P</v>
      </c>
      <c r="Z87" s="49" t="str">
        <f>MID(VLOOKUP($A87,Seqs!$A:$B,2,FALSE),VLOOKUP($A87,'SegEnds_NonXtal_Prot#'!A:AL,10,FALSE)+9,1)</f>
        <v>F</v>
      </c>
      <c r="AA87" s="49" t="str">
        <f>MID(VLOOKUP($A87,Seqs!$A:$B,2,FALSE),VLOOKUP($A87,'SegEnds_NonXtal_Prot#'!A:AL,10,FALSE)+10,1)</f>
        <v>W</v>
      </c>
      <c r="AB87" s="28" t="str">
        <f>MID(VLOOKUP($A87,Seqs!$A:$B,2,FALSE),VLOOKUP($A87,'SegEnds_NonXtal_Prot#'!$A:$AL,22,FALSE)+6,1)</f>
        <v>V</v>
      </c>
      <c r="AC87" s="49" t="str">
        <f>MID(VLOOKUP($A87,Seqs!$A:$B,2,FALSE),VLOOKUP($A87,'SegEnds_NonXtal_Prot#'!$A:$AL,22,FALSE)+7,1)</f>
        <v>S</v>
      </c>
      <c r="AD87" s="49" t="str">
        <f>MID(VLOOKUP($A87,Seqs!$A:$B,2,FALSE),VLOOKUP($A87,'SegEnds_NonXtal_Prot#'!$A:$AL,22,FALSE)+8,1)</f>
        <v>I</v>
      </c>
      <c r="AE87" s="49" t="str">
        <f>MID(VLOOKUP($A87,Seqs!$A:$B,2,FALSE),VLOOKUP($A87,'SegEnds_NonXtal_Prot#'!$A:$AL,22,FALSE)+9,1)</f>
        <v>P</v>
      </c>
      <c r="AF87" s="49" t="str">
        <f>MID(VLOOKUP($A87,Seqs!$A:$B,2,FALSE),VLOOKUP($A87,'SegEnds_NonXtal_Prot#'!$A:$AL,22,FALSE)+10,1)</f>
        <v>D</v>
      </c>
      <c r="AG87" s="28" t="str">
        <f>MID(VLOOKUP($A87,Seqs!$A:$B,2,FALSE),VLOOKUP($A87,'SegEnds_NonXtal_Prot#'!$A:$AL,28,FALSE)-4,1)</f>
        <v>G</v>
      </c>
      <c r="AH87" s="49" t="str">
        <f>MID(VLOOKUP($A87,Seqs!$A:$B,2,FALSE),VLOOKUP($A87,'SegEnds_NonXtal_Prot#'!$A:$AL,28,FALSE),1)</f>
        <v>P</v>
      </c>
    </row>
    <row r="88" spans="1:34" s="2" customFormat="1" x14ac:dyDescent="0.2">
      <c r="A88" s="2" t="s">
        <v>145</v>
      </c>
      <c r="B88" s="2" t="str">
        <f>LOWER(VLOOKUP(A88,Xtal_Templ!A:B,2,FALSE))</f>
        <v>ccr9_human</v>
      </c>
      <c r="C88" s="2" t="str">
        <f>VLOOKUP(A88,Classification!A:D,2,FALSE)</f>
        <v>A</v>
      </c>
      <c r="D88" s="2" t="str">
        <f>IF(ISERROR(MATCH(A88,'SegEnds_Xtal_Prot#'!B:B, 0)), "NoXtal", "Xtal")</f>
        <v>NoXtal</v>
      </c>
      <c r="H88" s="4"/>
      <c r="N88" s="2" t="s">
        <v>14</v>
      </c>
      <c r="R88" s="2" t="s">
        <v>9</v>
      </c>
      <c r="T88" s="4" t="s">
        <v>12</v>
      </c>
      <c r="V88" s="28" t="str">
        <f>MID(VLOOKUP($A88,Seqs!$A:$B,2,FALSE),VLOOKUP($A88,'SegEnds_NonXtal_Prot#'!A:AL,10,FALSE),1)</f>
        <v>D</v>
      </c>
      <c r="W88" s="49" t="str">
        <f>MID(VLOOKUP($A88,Seqs!$A:$B,2,FALSE),VLOOKUP($A88,'SegEnds_NonXtal_Prot#'!A:AL,10,FALSE)+6,1)</f>
        <v>T</v>
      </c>
      <c r="X88" s="49" t="str">
        <f>MID(VLOOKUP($A88,Seqs!$A:$B,2,FALSE),VLOOKUP($A88,'SegEnds_NonXtal_Prot#'!A:AL,10,FALSE)+7,1)</f>
        <v>L</v>
      </c>
      <c r="Y88" s="49" t="str">
        <f>MID(VLOOKUP($A88,Seqs!$A:$B,2,FALSE),VLOOKUP($A88,'SegEnds_NonXtal_Prot#'!A:AL,10,FALSE)+8,1)</f>
        <v>P</v>
      </c>
      <c r="Z88" s="49" t="str">
        <f>MID(VLOOKUP($A88,Seqs!$A:$B,2,FALSE),VLOOKUP($A88,'SegEnds_NonXtal_Prot#'!A:AL,10,FALSE)+9,1)</f>
        <v>F</v>
      </c>
      <c r="AA88" s="49" t="str">
        <f>MID(VLOOKUP($A88,Seqs!$A:$B,2,FALSE),VLOOKUP($A88,'SegEnds_NonXtal_Prot#'!A:AL,10,FALSE)+10,1)</f>
        <v>W</v>
      </c>
      <c r="AB88" s="28" t="str">
        <f>MID(VLOOKUP($A88,Seqs!$A:$B,2,FALSE),VLOOKUP($A88,'SegEnds_NonXtal_Prot#'!$A:$AL,22,FALSE)+6,1)</f>
        <v>L</v>
      </c>
      <c r="AC88" s="49" t="str">
        <f>MID(VLOOKUP($A88,Seqs!$A:$B,2,FALSE),VLOOKUP($A88,'SegEnds_NonXtal_Prot#'!$A:$AL,22,FALSE)+7,1)</f>
        <v>S</v>
      </c>
      <c r="AD88" s="49" t="str">
        <f>MID(VLOOKUP($A88,Seqs!$A:$B,2,FALSE),VLOOKUP($A88,'SegEnds_NonXtal_Prot#'!$A:$AL,22,FALSE)+8,1)</f>
        <v>I</v>
      </c>
      <c r="AE88" s="49" t="str">
        <f>MID(VLOOKUP($A88,Seqs!$A:$B,2,FALSE),VLOOKUP($A88,'SegEnds_NonXtal_Prot#'!$A:$AL,22,FALSE)+9,1)</f>
        <v>P</v>
      </c>
      <c r="AF88" s="49" t="str">
        <f>MID(VLOOKUP($A88,Seqs!$A:$B,2,FALSE),VLOOKUP($A88,'SegEnds_NonXtal_Prot#'!$A:$AL,22,FALSE)+10,1)</f>
        <v>Q</v>
      </c>
      <c r="AG88" s="28" t="str">
        <f>MID(VLOOKUP($A88,Seqs!$A:$B,2,FALSE),VLOOKUP($A88,'SegEnds_NonXtal_Prot#'!$A:$AL,28,FALSE)-4,1)</f>
        <v>G</v>
      </c>
      <c r="AH88" s="49" t="str">
        <f>MID(VLOOKUP($A88,Seqs!$A:$B,2,FALSE),VLOOKUP($A88,'SegEnds_NonXtal_Prot#'!$A:$AL,28,FALSE),1)</f>
        <v>P</v>
      </c>
    </row>
    <row r="89" spans="1:34" s="2" customFormat="1" x14ac:dyDescent="0.2">
      <c r="A89" s="2" t="s">
        <v>168</v>
      </c>
      <c r="B89" s="2" t="str">
        <f>LOWER(VLOOKUP(A89,Xtal_Templ!A:B,2,FALSE))</f>
        <v>ccr5_human</v>
      </c>
      <c r="C89" s="2" t="str">
        <f>VLOOKUP(A89,Classification!A:D,2,FALSE)</f>
        <v>A</v>
      </c>
      <c r="D89" s="2" t="str">
        <f>IF(ISERROR(MATCH(A89,'SegEnds_Xtal_Prot#'!B:B, 0)), "NoXtal", "Xtal")</f>
        <v>NoXtal</v>
      </c>
      <c r="H89" s="4"/>
      <c r="N89" s="2" t="s">
        <v>14</v>
      </c>
      <c r="R89" s="2" t="s">
        <v>9</v>
      </c>
      <c r="T89" s="4" t="s">
        <v>12</v>
      </c>
      <c r="V89" s="28" t="str">
        <f>MID(VLOOKUP($A89,Seqs!$A:$B,2,FALSE),VLOOKUP($A89,'SegEnds_NonXtal_Prot#'!A:AL,10,FALSE),1)</f>
        <v>D</v>
      </c>
      <c r="W89" s="49" t="str">
        <f>MID(VLOOKUP($A89,Seqs!$A:$B,2,FALSE),VLOOKUP($A89,'SegEnds_NonXtal_Prot#'!A:AL,10,FALSE)+6,1)</f>
        <v>T</v>
      </c>
      <c r="X89" s="49" t="str">
        <f>MID(VLOOKUP($A89,Seqs!$A:$B,2,FALSE),VLOOKUP($A89,'SegEnds_NonXtal_Prot#'!A:AL,10,FALSE)+7,1)</f>
        <v>L</v>
      </c>
      <c r="Y89" s="49" t="str">
        <f>MID(VLOOKUP($A89,Seqs!$A:$B,2,FALSE),VLOOKUP($A89,'SegEnds_NonXtal_Prot#'!A:AL,10,FALSE)+8,1)</f>
        <v>P</v>
      </c>
      <c r="Z89" s="49" t="str">
        <f>MID(VLOOKUP($A89,Seqs!$A:$B,2,FALSE),VLOOKUP($A89,'SegEnds_NonXtal_Prot#'!A:AL,10,FALSE)+9,1)</f>
        <v>F</v>
      </c>
      <c r="AA89" s="49" t="str">
        <f>MID(VLOOKUP($A89,Seqs!$A:$B,2,FALSE),VLOOKUP($A89,'SegEnds_NonXtal_Prot#'!A:AL,10,FALSE)+10,1)</f>
        <v>W</v>
      </c>
      <c r="AB89" s="28" t="str">
        <f>MID(VLOOKUP($A89,Seqs!$A:$B,2,FALSE),VLOOKUP($A89,'SegEnds_NonXtal_Prot#'!$A:$AL,22,FALSE)+6,1)</f>
        <v>A</v>
      </c>
      <c r="AC89" s="49" t="str">
        <f>MID(VLOOKUP($A89,Seqs!$A:$B,2,FALSE),VLOOKUP($A89,'SegEnds_NonXtal_Prot#'!$A:$AL,22,FALSE)+7,1)</f>
        <v>S</v>
      </c>
      <c r="AD89" s="49" t="str">
        <f>MID(VLOOKUP($A89,Seqs!$A:$B,2,FALSE),VLOOKUP($A89,'SegEnds_NonXtal_Prot#'!$A:$AL,22,FALSE)+8,1)</f>
        <v>M</v>
      </c>
      <c r="AE89" s="49" t="str">
        <f>MID(VLOOKUP($A89,Seqs!$A:$B,2,FALSE),VLOOKUP($A89,'SegEnds_NonXtal_Prot#'!$A:$AL,22,FALSE)+9,1)</f>
        <v>P</v>
      </c>
      <c r="AF89" s="49" t="str">
        <f>MID(VLOOKUP($A89,Seqs!$A:$B,2,FALSE),VLOOKUP($A89,'SegEnds_NonXtal_Prot#'!$A:$AL,22,FALSE)+10,1)</f>
        <v>G</v>
      </c>
      <c r="AG89" s="28" t="str">
        <f>MID(VLOOKUP($A89,Seqs!$A:$B,2,FALSE),VLOOKUP($A89,'SegEnds_NonXtal_Prot#'!$A:$AL,28,FALSE)-4,1)</f>
        <v>G</v>
      </c>
      <c r="AH89" s="49" t="str">
        <f>MID(VLOOKUP($A89,Seqs!$A:$B,2,FALSE),VLOOKUP($A89,'SegEnds_NonXtal_Prot#'!$A:$AL,28,FALSE),1)</f>
        <v>P</v>
      </c>
    </row>
    <row r="90" spans="1:34" s="2" customFormat="1" x14ac:dyDescent="0.2">
      <c r="A90" s="2" t="s">
        <v>169</v>
      </c>
      <c r="B90" s="2" t="str">
        <f>LOWER(VLOOKUP(A90,Xtal_Templ!A:B,2,FALSE))</f>
        <v>ccr9_human</v>
      </c>
      <c r="C90" s="2" t="str">
        <f>VLOOKUP(A90,Classification!A:D,2,FALSE)</f>
        <v>A</v>
      </c>
      <c r="D90" s="2" t="str">
        <f>IF(ISERROR(MATCH(A90,'SegEnds_Xtal_Prot#'!B:B, 0)), "NoXtal", "Xtal")</f>
        <v>NoXtal</v>
      </c>
      <c r="H90" s="4"/>
      <c r="N90" s="2" t="s">
        <v>14</v>
      </c>
      <c r="R90" s="2" t="s">
        <v>9</v>
      </c>
      <c r="T90" s="4" t="s">
        <v>12</v>
      </c>
      <c r="V90" s="28" t="str">
        <f>MID(VLOOKUP($A90,Seqs!$A:$B,2,FALSE),VLOOKUP($A90,'SegEnds_NonXtal_Prot#'!A:AL,10,FALSE),1)</f>
        <v>D</v>
      </c>
      <c r="W90" s="49" t="str">
        <f>MID(VLOOKUP($A90,Seqs!$A:$B,2,FALSE),VLOOKUP($A90,'SegEnds_NonXtal_Prot#'!A:AL,10,FALSE)+6,1)</f>
        <v>T</v>
      </c>
      <c r="X90" s="49" t="str">
        <f>MID(VLOOKUP($A90,Seqs!$A:$B,2,FALSE),VLOOKUP($A90,'SegEnds_NonXtal_Prot#'!A:AL,10,FALSE)+7,1)</f>
        <v>L</v>
      </c>
      <c r="Y90" s="49" t="str">
        <f>MID(VLOOKUP($A90,Seqs!$A:$B,2,FALSE),VLOOKUP($A90,'SegEnds_NonXtal_Prot#'!A:AL,10,FALSE)+8,1)</f>
        <v>P</v>
      </c>
      <c r="Z90" s="49" t="str">
        <f>MID(VLOOKUP($A90,Seqs!$A:$B,2,FALSE),VLOOKUP($A90,'SegEnds_NonXtal_Prot#'!A:AL,10,FALSE)+9,1)</f>
        <v>F</v>
      </c>
      <c r="AA90" s="49" t="str">
        <f>MID(VLOOKUP($A90,Seqs!$A:$B,2,FALSE),VLOOKUP($A90,'SegEnds_NonXtal_Prot#'!A:AL,10,FALSE)+10,1)</f>
        <v>A</v>
      </c>
      <c r="AB90" s="28" t="str">
        <f>MID(VLOOKUP($A90,Seqs!$A:$B,2,FALSE),VLOOKUP($A90,'SegEnds_NonXtal_Prot#'!$A:$AL,22,FALSE)+6,1)</f>
        <v>L</v>
      </c>
      <c r="AC90" s="49" t="str">
        <f>MID(VLOOKUP($A90,Seqs!$A:$B,2,FALSE),VLOOKUP($A90,'SegEnds_NonXtal_Prot#'!$A:$AL,22,FALSE)+7,1)</f>
        <v>A</v>
      </c>
      <c r="AD90" s="49" t="str">
        <f>MID(VLOOKUP($A90,Seqs!$A:$B,2,FALSE),VLOOKUP($A90,'SegEnds_NonXtal_Prot#'!$A:$AL,22,FALSE)+8,1)</f>
        <v>L</v>
      </c>
      <c r="AE90" s="49" t="str">
        <f>MID(VLOOKUP($A90,Seqs!$A:$B,2,FALSE),VLOOKUP($A90,'SegEnds_NonXtal_Prot#'!$A:$AL,22,FALSE)+9,1)</f>
        <v>P</v>
      </c>
      <c r="AF90" s="49" t="str">
        <f>MID(VLOOKUP($A90,Seqs!$A:$B,2,FALSE),VLOOKUP($A90,'SegEnds_NonXtal_Prot#'!$A:$AL,22,FALSE)+10,1)</f>
        <v>A</v>
      </c>
      <c r="AG90" s="28" t="str">
        <f>MID(VLOOKUP($A90,Seqs!$A:$B,2,FALSE),VLOOKUP($A90,'SegEnds_NonXtal_Prot#'!$A:$AL,28,FALSE)-4,1)</f>
        <v>G</v>
      </c>
      <c r="AH90" s="49" t="str">
        <f>MID(VLOOKUP($A90,Seqs!$A:$B,2,FALSE),VLOOKUP($A90,'SegEnds_NonXtal_Prot#'!$A:$AL,28,FALSE),1)</f>
        <v>P</v>
      </c>
    </row>
    <row r="91" spans="1:34" s="2" customFormat="1" x14ac:dyDescent="0.2">
      <c r="A91" s="2" t="s">
        <v>171</v>
      </c>
      <c r="B91" s="2" t="str">
        <f>LOWER(VLOOKUP(A91,Xtal_Templ!A:B,2,FALSE))</f>
        <v>ccr5_human</v>
      </c>
      <c r="C91" s="2" t="str">
        <f>VLOOKUP(A91,Classification!A:D,2,FALSE)</f>
        <v>A</v>
      </c>
      <c r="D91" s="2" t="str">
        <f>IF(ISERROR(MATCH(A91,'SegEnds_Xtal_Prot#'!B:B, 0)), "NoXtal", "Xtal")</f>
        <v>NoXtal</v>
      </c>
      <c r="H91" s="4"/>
      <c r="N91" s="2" t="s">
        <v>14</v>
      </c>
      <c r="R91" s="2" t="s">
        <v>9</v>
      </c>
      <c r="T91" s="4" t="s">
        <v>12</v>
      </c>
      <c r="V91" s="28" t="str">
        <f>MID(VLOOKUP($A91,Seqs!$A:$B,2,FALSE),VLOOKUP($A91,'SegEnds_NonXtal_Prot#'!A:AL,10,FALSE),1)</f>
        <v>D</v>
      </c>
      <c r="W91" s="49" t="str">
        <f>MID(VLOOKUP($A91,Seqs!$A:$B,2,FALSE),VLOOKUP($A91,'SegEnds_NonXtal_Prot#'!A:AL,10,FALSE)+6,1)</f>
        <v>T</v>
      </c>
      <c r="X91" s="49" t="str">
        <f>MID(VLOOKUP($A91,Seqs!$A:$B,2,FALSE),VLOOKUP($A91,'SegEnds_NonXtal_Prot#'!A:AL,10,FALSE)+7,1)</f>
        <v>L</v>
      </c>
      <c r="Y91" s="49" t="str">
        <f>MID(VLOOKUP($A91,Seqs!$A:$B,2,FALSE),VLOOKUP($A91,'SegEnds_NonXtal_Prot#'!A:AL,10,FALSE)+8,1)</f>
        <v>P</v>
      </c>
      <c r="Z91" s="49" t="str">
        <f>MID(VLOOKUP($A91,Seqs!$A:$B,2,FALSE),VLOOKUP($A91,'SegEnds_NonXtal_Prot#'!A:AL,10,FALSE)+9,1)</f>
        <v>F</v>
      </c>
      <c r="AA91" s="49" t="str">
        <f>MID(VLOOKUP($A91,Seqs!$A:$B,2,FALSE),VLOOKUP($A91,'SegEnds_NonXtal_Prot#'!A:AL,10,FALSE)+10,1)</f>
        <v>W</v>
      </c>
      <c r="AB91" s="28" t="str">
        <f>MID(VLOOKUP($A91,Seqs!$A:$B,2,FALSE),VLOOKUP($A91,'SegEnds_NonXtal_Prot#'!$A:$AL,22,FALSE)+6,1)</f>
        <v>A</v>
      </c>
      <c r="AC91" s="49" t="str">
        <f>MID(VLOOKUP($A91,Seqs!$A:$B,2,FALSE),VLOOKUP($A91,'SegEnds_NonXtal_Prot#'!$A:$AL,22,FALSE)+7,1)</f>
        <v>A</v>
      </c>
      <c r="AD91" s="49" t="str">
        <f>MID(VLOOKUP($A91,Seqs!$A:$B,2,FALSE),VLOOKUP($A91,'SegEnds_NonXtal_Prot#'!$A:$AL,22,FALSE)+8,1)</f>
        <v>L</v>
      </c>
      <c r="AE91" s="49" t="str">
        <f>MID(VLOOKUP($A91,Seqs!$A:$B,2,FALSE),VLOOKUP($A91,'SegEnds_NonXtal_Prot#'!$A:$AL,22,FALSE)+9,1)</f>
        <v>P</v>
      </c>
      <c r="AF91" s="49" t="str">
        <f>MID(VLOOKUP($A91,Seqs!$A:$B,2,FALSE),VLOOKUP($A91,'SegEnds_NonXtal_Prot#'!$A:$AL,22,FALSE)+10,1)</f>
        <v>E</v>
      </c>
      <c r="AG91" s="28" t="str">
        <f>MID(VLOOKUP($A91,Seqs!$A:$B,2,FALSE),VLOOKUP($A91,'SegEnds_NonXtal_Prot#'!$A:$AL,28,FALSE)-4,1)</f>
        <v>C</v>
      </c>
      <c r="AH91" s="49" t="str">
        <f>MID(VLOOKUP($A91,Seqs!$A:$B,2,FALSE),VLOOKUP($A91,'SegEnds_NonXtal_Prot#'!$A:$AL,28,FALSE),1)</f>
        <v>P</v>
      </c>
    </row>
    <row r="92" spans="1:34" s="2" customFormat="1" x14ac:dyDescent="0.2">
      <c r="A92" s="2" t="s">
        <v>172</v>
      </c>
      <c r="B92" s="2" t="str">
        <f>LOWER(VLOOKUP(A92,Xtal_Templ!A:B,2,FALSE))</f>
        <v>ccr5_human</v>
      </c>
      <c r="C92" s="2" t="str">
        <f>VLOOKUP(A92,Classification!A:D,2,FALSE)</f>
        <v>A</v>
      </c>
      <c r="D92" s="2" t="str">
        <f>IF(ISERROR(MATCH(A92,'SegEnds_Xtal_Prot#'!B:B, 0)), "NoXtal", "Xtal")</f>
        <v>NoXtal</v>
      </c>
      <c r="H92" s="4"/>
      <c r="N92" s="2" t="s">
        <v>14</v>
      </c>
      <c r="R92" s="2" t="s">
        <v>9</v>
      </c>
      <c r="T92" s="4" t="s">
        <v>12</v>
      </c>
      <c r="V92" s="28" t="str">
        <f>MID(VLOOKUP($A92,Seqs!$A:$B,2,FALSE),VLOOKUP($A92,'SegEnds_NonXtal_Prot#'!A:AL,10,FALSE),1)</f>
        <v>D</v>
      </c>
      <c r="W92" s="49" t="str">
        <f>MID(VLOOKUP($A92,Seqs!$A:$B,2,FALSE),VLOOKUP($A92,'SegEnds_NonXtal_Prot#'!A:AL,10,FALSE)+6,1)</f>
        <v>S</v>
      </c>
      <c r="X92" s="49" t="str">
        <f>MID(VLOOKUP($A92,Seqs!$A:$B,2,FALSE),VLOOKUP($A92,'SegEnds_NonXtal_Prot#'!A:AL,10,FALSE)+7,1)</f>
        <v>L</v>
      </c>
      <c r="Y92" s="49" t="str">
        <f>MID(VLOOKUP($A92,Seqs!$A:$B,2,FALSE),VLOOKUP($A92,'SegEnds_NonXtal_Prot#'!A:AL,10,FALSE)+8,1)</f>
        <v>P</v>
      </c>
      <c r="Z92" s="49" t="str">
        <f>MID(VLOOKUP($A92,Seqs!$A:$B,2,FALSE),VLOOKUP($A92,'SegEnds_NonXtal_Prot#'!A:AL,10,FALSE)+9,1)</f>
        <v>F</v>
      </c>
      <c r="AA92" s="49" t="str">
        <f>MID(VLOOKUP($A92,Seqs!$A:$B,2,FALSE),VLOOKUP($A92,'SegEnds_NonXtal_Prot#'!A:AL,10,FALSE)+10,1)</f>
        <v>W</v>
      </c>
      <c r="AB92" s="28" t="str">
        <f>MID(VLOOKUP($A92,Seqs!$A:$B,2,FALSE),VLOOKUP($A92,'SegEnds_NonXtal_Prot#'!$A:$AL,22,FALSE)+6,1)</f>
        <v>A</v>
      </c>
      <c r="AC92" s="49" t="str">
        <f>MID(VLOOKUP($A92,Seqs!$A:$B,2,FALSE),VLOOKUP($A92,'SegEnds_NonXtal_Prot#'!$A:$AL,22,FALSE)+7,1)</f>
        <v>S</v>
      </c>
      <c r="AD92" s="49" t="str">
        <f>MID(VLOOKUP($A92,Seqs!$A:$B,2,FALSE),VLOOKUP($A92,'SegEnds_NonXtal_Prot#'!$A:$AL,22,FALSE)+8,1)</f>
        <v>L</v>
      </c>
      <c r="AE92" s="49" t="str">
        <f>MID(VLOOKUP($A92,Seqs!$A:$B,2,FALSE),VLOOKUP($A92,'SegEnds_NonXtal_Prot#'!$A:$AL,22,FALSE)+9,1)</f>
        <v>P</v>
      </c>
      <c r="AF92" s="49" t="str">
        <f>MID(VLOOKUP($A92,Seqs!$A:$B,2,FALSE),VLOOKUP($A92,'SegEnds_NonXtal_Prot#'!$A:$AL,22,FALSE)+10,1)</f>
        <v>G</v>
      </c>
      <c r="AG92" s="28" t="str">
        <f>MID(VLOOKUP($A92,Seqs!$A:$B,2,FALSE),VLOOKUP($A92,'SegEnds_NonXtal_Prot#'!$A:$AL,28,FALSE)-4,1)</f>
        <v>G</v>
      </c>
      <c r="AH92" s="49" t="str">
        <f>MID(VLOOKUP($A92,Seqs!$A:$B,2,FALSE),VLOOKUP($A92,'SegEnds_NonXtal_Prot#'!$A:$AL,28,FALSE),1)</f>
        <v>P</v>
      </c>
    </row>
    <row r="93" spans="1:34" s="2" customFormat="1" x14ac:dyDescent="0.2">
      <c r="A93" s="2" t="s">
        <v>173</v>
      </c>
      <c r="B93" s="2" t="str">
        <f>LOWER(VLOOKUP(A93,Xtal_Templ!A:B,2,FALSE))</f>
        <v>ccr5_human</v>
      </c>
      <c r="C93" s="2" t="str">
        <f>VLOOKUP(A93,Classification!A:D,2,FALSE)</f>
        <v>A</v>
      </c>
      <c r="D93" s="2" t="str">
        <f>IF(ISERROR(MATCH(A93,'SegEnds_Xtal_Prot#'!B:B, 0)), "NoXtal", "Xtal")</f>
        <v>Xtal</v>
      </c>
      <c r="H93" s="4"/>
      <c r="N93" s="2" t="s">
        <v>14</v>
      </c>
      <c r="R93" s="2" t="s">
        <v>9</v>
      </c>
      <c r="T93" s="4" t="s">
        <v>12</v>
      </c>
      <c r="V93" s="28" t="str">
        <f>MID(VLOOKUP($A93,Seqs!$A:$B,2,FALSE),VLOOKUP($A93,'SegEnds_NonXtal_Prot#'!A:AL,10,FALSE),1)</f>
        <v>D</v>
      </c>
      <c r="W93" s="49" t="str">
        <f>MID(VLOOKUP($A93,Seqs!$A:$B,2,FALSE),VLOOKUP($A93,'SegEnds_NonXtal_Prot#'!A:AL,10,FALSE)+6,1)</f>
        <v>T</v>
      </c>
      <c r="X93" s="49" t="str">
        <f>MID(VLOOKUP($A93,Seqs!$A:$B,2,FALSE),VLOOKUP($A93,'SegEnds_NonXtal_Prot#'!A:AL,10,FALSE)+7,1)</f>
        <v>V</v>
      </c>
      <c r="Y93" s="49" t="str">
        <f>MID(VLOOKUP($A93,Seqs!$A:$B,2,FALSE),VLOOKUP($A93,'SegEnds_NonXtal_Prot#'!A:AL,10,FALSE)+8,1)</f>
        <v>P</v>
      </c>
      <c r="Z93" s="49" t="str">
        <f>MID(VLOOKUP($A93,Seqs!$A:$B,2,FALSE),VLOOKUP($A93,'SegEnds_NonXtal_Prot#'!A:AL,10,FALSE)+9,1)</f>
        <v>F</v>
      </c>
      <c r="AA93" s="49" t="str">
        <f>MID(VLOOKUP($A93,Seqs!$A:$B,2,FALSE),VLOOKUP($A93,'SegEnds_NonXtal_Prot#'!A:AL,10,FALSE)+10,1)</f>
        <v>W</v>
      </c>
      <c r="AB93" s="28" t="str">
        <f>MID(VLOOKUP($A93,Seqs!$A:$B,2,FALSE),VLOOKUP($A93,'SegEnds_NonXtal_Prot#'!$A:$AL,22,FALSE)+6,1)</f>
        <v>A</v>
      </c>
      <c r="AC93" s="49" t="str">
        <f>MID(VLOOKUP($A93,Seqs!$A:$B,2,FALSE),VLOOKUP($A93,'SegEnds_NonXtal_Prot#'!$A:$AL,22,FALSE)+7,1)</f>
        <v>S</v>
      </c>
      <c r="AD93" s="49" t="str">
        <f>MID(VLOOKUP($A93,Seqs!$A:$B,2,FALSE),VLOOKUP($A93,'SegEnds_NonXtal_Prot#'!$A:$AL,22,FALSE)+8,1)</f>
        <v>L</v>
      </c>
      <c r="AE93" s="49" t="str">
        <f>MID(VLOOKUP($A93,Seqs!$A:$B,2,FALSE),VLOOKUP($A93,'SegEnds_NonXtal_Prot#'!$A:$AL,22,FALSE)+9,1)</f>
        <v>P</v>
      </c>
      <c r="AF93" s="49" t="str">
        <f>MID(VLOOKUP($A93,Seqs!$A:$B,2,FALSE),VLOOKUP($A93,'SegEnds_NonXtal_Prot#'!$A:$AL,22,FALSE)+10,1)</f>
        <v>G</v>
      </c>
      <c r="AG93" s="28" t="str">
        <f>MID(VLOOKUP($A93,Seqs!$A:$B,2,FALSE),VLOOKUP($A93,'SegEnds_NonXtal_Prot#'!$A:$AL,28,FALSE)-4,1)</f>
        <v>G</v>
      </c>
      <c r="AH93" s="49" t="str">
        <f>MID(VLOOKUP($A93,Seqs!$A:$B,2,FALSE),VLOOKUP($A93,'SegEnds_NonXtal_Prot#'!$A:$AL,28,FALSE),1)</f>
        <v>P</v>
      </c>
    </row>
    <row r="94" spans="1:34" s="2" customFormat="1" x14ac:dyDescent="0.2">
      <c r="A94" s="2" t="s">
        <v>174</v>
      </c>
      <c r="B94" s="2" t="str">
        <f>LOWER(VLOOKUP(A94,Xtal_Templ!A:B,2,FALSE))</f>
        <v>ccr9_human</v>
      </c>
      <c r="C94" s="2" t="str">
        <f>VLOOKUP(A94,Classification!A:D,2,FALSE)</f>
        <v>A</v>
      </c>
      <c r="D94" s="2" t="str">
        <f>IF(ISERROR(MATCH(A94,'SegEnds_Xtal_Prot#'!B:B, 0)), "NoXtal", "Xtal")</f>
        <v>NoXtal</v>
      </c>
      <c r="H94" s="4"/>
      <c r="R94" s="2" t="s">
        <v>9</v>
      </c>
      <c r="T94" s="4" t="s">
        <v>12</v>
      </c>
      <c r="V94" s="28" t="str">
        <f>MID(VLOOKUP($A94,Seqs!$A:$B,2,FALSE),VLOOKUP($A94,'SegEnds_NonXtal_Prot#'!A:AL,10,FALSE),1)</f>
        <v>D</v>
      </c>
      <c r="W94" s="49" t="str">
        <f>MID(VLOOKUP($A94,Seqs!$A:$B,2,FALSE),VLOOKUP($A94,'SegEnds_NonXtal_Prot#'!A:AL,10,FALSE)+6,1)</f>
        <v>T</v>
      </c>
      <c r="X94" s="49" t="str">
        <f>MID(VLOOKUP($A94,Seqs!$A:$B,2,FALSE),VLOOKUP($A94,'SegEnds_NonXtal_Prot#'!A:AL,10,FALSE)+7,1)</f>
        <v>L</v>
      </c>
      <c r="Y94" s="49" t="str">
        <f>MID(VLOOKUP($A94,Seqs!$A:$B,2,FALSE),VLOOKUP($A94,'SegEnds_NonXtal_Prot#'!A:AL,10,FALSE)+8,1)</f>
        <v>P</v>
      </c>
      <c r="Z94" s="49" t="str">
        <f>MID(VLOOKUP($A94,Seqs!$A:$B,2,FALSE),VLOOKUP($A94,'SegEnds_NonXtal_Prot#'!A:AL,10,FALSE)+9,1)</f>
        <v>F</v>
      </c>
      <c r="AA94" s="49" t="str">
        <f>MID(VLOOKUP($A94,Seqs!$A:$B,2,FALSE),VLOOKUP($A94,'SegEnds_NonXtal_Prot#'!A:AL,10,FALSE)+10,1)</f>
        <v>W</v>
      </c>
      <c r="AB94" s="28" t="str">
        <f>MID(VLOOKUP($A94,Seqs!$A:$B,2,FALSE),VLOOKUP($A94,'SegEnds_NonXtal_Prot#'!$A:$AL,22,FALSE)+6,1)</f>
        <v>I</v>
      </c>
      <c r="AC94" s="49" t="str">
        <f>MID(VLOOKUP($A94,Seqs!$A:$B,2,FALSE),VLOOKUP($A94,'SegEnds_NonXtal_Prot#'!$A:$AL,22,FALSE)+7,1)</f>
        <v>S</v>
      </c>
      <c r="AD94" s="49" t="str">
        <f>MID(VLOOKUP($A94,Seqs!$A:$B,2,FALSE),VLOOKUP($A94,'SegEnds_NonXtal_Prot#'!$A:$AL,22,FALSE)+8,1)</f>
        <v>S</v>
      </c>
      <c r="AE94" s="49" t="str">
        <f>MID(VLOOKUP($A94,Seqs!$A:$B,2,FALSE),VLOOKUP($A94,'SegEnds_NonXtal_Prot#'!$A:$AL,22,FALSE)+9,1)</f>
        <v>S</v>
      </c>
      <c r="AF94" s="49" t="str">
        <f>MID(VLOOKUP($A94,Seqs!$A:$B,2,FALSE),VLOOKUP($A94,'SegEnds_NonXtal_Prot#'!$A:$AL,22,FALSE)+10,1)</f>
        <v>T</v>
      </c>
      <c r="AG94" s="28" t="str">
        <f>MID(VLOOKUP($A94,Seqs!$A:$B,2,FALSE),VLOOKUP($A94,'SegEnds_NonXtal_Prot#'!$A:$AL,28,FALSE)-4,1)</f>
        <v>G</v>
      </c>
      <c r="AH94" s="49" t="str">
        <f>MID(VLOOKUP($A94,Seqs!$A:$B,2,FALSE),VLOOKUP($A94,'SegEnds_NonXtal_Prot#'!$A:$AL,28,FALSE),1)</f>
        <v>P</v>
      </c>
    </row>
    <row r="95" spans="1:34" s="2" customFormat="1" x14ac:dyDescent="0.2">
      <c r="A95" s="2" t="s">
        <v>175</v>
      </c>
      <c r="B95" s="2" t="str">
        <f>LOWER(VLOOKUP(A95,Xtal_Templ!A:B,2,FALSE))</f>
        <v>ccr9_human</v>
      </c>
      <c r="C95" s="2" t="str">
        <f>VLOOKUP(A95,Classification!A:D,2,FALSE)</f>
        <v>A</v>
      </c>
      <c r="D95" s="2" t="str">
        <f>IF(ISERROR(MATCH(A95,'SegEnds_Xtal_Prot#'!B:B, 0)), "NoXtal", "Xtal")</f>
        <v>NoXtal</v>
      </c>
      <c r="H95" s="4"/>
      <c r="N95" s="2" t="s">
        <v>14</v>
      </c>
      <c r="R95" s="2" t="s">
        <v>9</v>
      </c>
      <c r="T95" s="4" t="s">
        <v>12</v>
      </c>
      <c r="V95" s="28" t="str">
        <f>MID(VLOOKUP($A95,Seqs!$A:$B,2,FALSE),VLOOKUP($A95,'SegEnds_NonXtal_Prot#'!A:AL,10,FALSE),1)</f>
        <v>D</v>
      </c>
      <c r="W95" s="49" t="str">
        <f>MID(VLOOKUP($A95,Seqs!$A:$B,2,FALSE),VLOOKUP($A95,'SegEnds_NonXtal_Prot#'!A:AL,10,FALSE)+6,1)</f>
        <v>T</v>
      </c>
      <c r="X95" s="49" t="str">
        <f>MID(VLOOKUP($A95,Seqs!$A:$B,2,FALSE),VLOOKUP($A95,'SegEnds_NonXtal_Prot#'!A:AL,10,FALSE)+7,1)</f>
        <v>L</v>
      </c>
      <c r="Y95" s="49" t="str">
        <f>MID(VLOOKUP($A95,Seqs!$A:$B,2,FALSE),VLOOKUP($A95,'SegEnds_NonXtal_Prot#'!A:AL,10,FALSE)+8,1)</f>
        <v>P</v>
      </c>
      <c r="Z95" s="49" t="str">
        <f>MID(VLOOKUP($A95,Seqs!$A:$B,2,FALSE),VLOOKUP($A95,'SegEnds_NonXtal_Prot#'!A:AL,10,FALSE)+9,1)</f>
        <v>F</v>
      </c>
      <c r="AA95" s="49" t="str">
        <f>MID(VLOOKUP($A95,Seqs!$A:$B,2,FALSE),VLOOKUP($A95,'SegEnds_NonXtal_Prot#'!A:AL,10,FALSE)+10,1)</f>
        <v>W</v>
      </c>
      <c r="AB95" s="28" t="str">
        <f>MID(VLOOKUP($A95,Seqs!$A:$B,2,FALSE),VLOOKUP($A95,'SegEnds_NonXtal_Prot#'!$A:$AL,22,FALSE)+6,1)</f>
        <v>L</v>
      </c>
      <c r="AC95" s="49" t="str">
        <f>MID(VLOOKUP($A95,Seqs!$A:$B,2,FALSE),VLOOKUP($A95,'SegEnds_NonXtal_Prot#'!$A:$AL,22,FALSE)+7,1)</f>
        <v>S</v>
      </c>
      <c r="AD95" s="49" t="str">
        <f>MID(VLOOKUP($A95,Seqs!$A:$B,2,FALSE),VLOOKUP($A95,'SegEnds_NonXtal_Prot#'!$A:$AL,22,FALSE)+8,1)</f>
        <v>I</v>
      </c>
      <c r="AE95" s="49" t="str">
        <f>MID(VLOOKUP($A95,Seqs!$A:$B,2,FALSE),VLOOKUP($A95,'SegEnds_NonXtal_Prot#'!$A:$AL,22,FALSE)+9,1)</f>
        <v>P</v>
      </c>
      <c r="AF95" s="49" t="str">
        <f>MID(VLOOKUP($A95,Seqs!$A:$B,2,FALSE),VLOOKUP($A95,'SegEnds_NonXtal_Prot#'!$A:$AL,22,FALSE)+10,1)</f>
        <v>E</v>
      </c>
      <c r="AG95" s="28" t="str">
        <f>MID(VLOOKUP($A95,Seqs!$A:$B,2,FALSE),VLOOKUP($A95,'SegEnds_NonXtal_Prot#'!$A:$AL,28,FALSE)-4,1)</f>
        <v>G</v>
      </c>
      <c r="AH95" s="49" t="str">
        <f>MID(VLOOKUP($A95,Seqs!$A:$B,2,FALSE),VLOOKUP($A95,'SegEnds_NonXtal_Prot#'!$A:$AL,28,FALSE),1)</f>
        <v>P</v>
      </c>
    </row>
    <row r="96" spans="1:34" s="2" customFormat="1" x14ac:dyDescent="0.2">
      <c r="A96" s="2" t="s">
        <v>176</v>
      </c>
      <c r="B96" s="2" t="str">
        <f>LOWER(VLOOKUP(A96,Xtal_Templ!A:B,2,FALSE))</f>
        <v>ccr5_human</v>
      </c>
      <c r="C96" s="2" t="str">
        <f>VLOOKUP(A96,Classification!A:D,2,FALSE)</f>
        <v>A</v>
      </c>
      <c r="D96" s="2" t="str">
        <f>IF(ISERROR(MATCH(A96,'SegEnds_Xtal_Prot#'!B:B, 0)), "NoXtal", "Xtal")</f>
        <v>NoXtal</v>
      </c>
      <c r="H96" s="4"/>
      <c r="N96" s="2" t="s">
        <v>14</v>
      </c>
      <c r="R96" s="2" t="s">
        <v>9</v>
      </c>
      <c r="T96" s="4" t="s">
        <v>12</v>
      </c>
      <c r="V96" s="28" t="str">
        <f>MID(VLOOKUP($A96,Seqs!$A:$B,2,FALSE),VLOOKUP($A96,'SegEnds_NonXtal_Prot#'!A:AL,10,FALSE),1)</f>
        <v>D</v>
      </c>
      <c r="W96" s="49" t="str">
        <f>MID(VLOOKUP($A96,Seqs!$A:$B,2,FALSE),VLOOKUP($A96,'SegEnds_NonXtal_Prot#'!A:AL,10,FALSE)+6,1)</f>
        <v>S</v>
      </c>
      <c r="X96" s="49" t="str">
        <f>MID(VLOOKUP($A96,Seqs!$A:$B,2,FALSE),VLOOKUP($A96,'SegEnds_NonXtal_Prot#'!A:AL,10,FALSE)+7,1)</f>
        <v>F</v>
      </c>
      <c r="Y96" s="49" t="str">
        <f>MID(VLOOKUP($A96,Seqs!$A:$B,2,FALSE),VLOOKUP($A96,'SegEnds_NonXtal_Prot#'!A:AL,10,FALSE)+8,1)</f>
        <v>P</v>
      </c>
      <c r="Z96" s="49" t="str">
        <f>MID(VLOOKUP($A96,Seqs!$A:$B,2,FALSE),VLOOKUP($A96,'SegEnds_NonXtal_Prot#'!A:AL,10,FALSE)+9,1)</f>
        <v>F</v>
      </c>
      <c r="AA96" s="49" t="str">
        <f>MID(VLOOKUP($A96,Seqs!$A:$B,2,FALSE),VLOOKUP($A96,'SegEnds_NonXtal_Prot#'!A:AL,10,FALSE)+10,1)</f>
        <v>Q</v>
      </c>
      <c r="AB96" s="28" t="str">
        <f>MID(VLOOKUP($A96,Seqs!$A:$B,2,FALSE),VLOOKUP($A96,'SegEnds_NonXtal_Prot#'!$A:$AL,22,FALSE)+6,1)</f>
        <v>A</v>
      </c>
      <c r="AC96" s="49" t="str">
        <f>MID(VLOOKUP($A96,Seqs!$A:$B,2,FALSE),VLOOKUP($A96,'SegEnds_NonXtal_Prot#'!$A:$AL,22,FALSE)+7,1)</f>
        <v>T</v>
      </c>
      <c r="AD96" s="49" t="str">
        <f>MID(VLOOKUP($A96,Seqs!$A:$B,2,FALSE),VLOOKUP($A96,'SegEnds_NonXtal_Prot#'!$A:$AL,22,FALSE)+8,1)</f>
        <v>I</v>
      </c>
      <c r="AE96" s="49" t="str">
        <f>MID(VLOOKUP($A96,Seqs!$A:$B,2,FALSE),VLOOKUP($A96,'SegEnds_NonXtal_Prot#'!$A:$AL,22,FALSE)+9,1)</f>
        <v>P</v>
      </c>
      <c r="AF96" s="49" t="str">
        <f>MID(VLOOKUP($A96,Seqs!$A:$B,2,FALSE),VLOOKUP($A96,'SegEnds_NonXtal_Prot#'!$A:$AL,22,FALSE)+10,1)</f>
        <v>L</v>
      </c>
      <c r="AG96" s="28" t="str">
        <f>MID(VLOOKUP($A96,Seqs!$A:$B,2,FALSE),VLOOKUP($A96,'SegEnds_NonXtal_Prot#'!$A:$AL,28,FALSE)-4,1)</f>
        <v>G</v>
      </c>
      <c r="AH96" s="49" t="str">
        <f>MID(VLOOKUP($A96,Seqs!$A:$B,2,FALSE),VLOOKUP($A96,'SegEnds_NonXtal_Prot#'!$A:$AL,28,FALSE),1)</f>
        <v>P</v>
      </c>
    </row>
    <row r="97" spans="1:34" s="2" customFormat="1" x14ac:dyDescent="0.2">
      <c r="A97" s="2" t="s">
        <v>178</v>
      </c>
      <c r="B97" s="2" t="str">
        <f>LOWER(VLOOKUP(A97,Xtal_Templ!A:B,2,FALSE))</f>
        <v>ccr5_human</v>
      </c>
      <c r="C97" s="2" t="str">
        <f>VLOOKUP(A97,Classification!A:D,2,FALSE)</f>
        <v>A</v>
      </c>
      <c r="D97" s="2" t="str">
        <f>IF(ISERROR(MATCH(A97,'SegEnds_Xtal_Prot#'!B:B, 0)), "NoXtal", "Xtal")</f>
        <v>NoXtal</v>
      </c>
      <c r="H97" s="4"/>
      <c r="N97" s="2" t="s">
        <v>14</v>
      </c>
      <c r="R97" s="2" t="s">
        <v>9</v>
      </c>
      <c r="T97" s="4" t="s">
        <v>12</v>
      </c>
      <c r="V97" s="28" t="str">
        <f>MID(VLOOKUP($A97,Seqs!$A:$B,2,FALSE),VLOOKUP($A97,'SegEnds_NonXtal_Prot#'!A:AL,10,FALSE),1)</f>
        <v>N</v>
      </c>
      <c r="W97" s="49" t="str">
        <f>MID(VLOOKUP($A97,Seqs!$A:$B,2,FALSE),VLOOKUP($A97,'SegEnds_NonXtal_Prot#'!A:AL,10,FALSE)+6,1)</f>
        <v>T</v>
      </c>
      <c r="X97" s="49" t="str">
        <f>MID(VLOOKUP($A97,Seqs!$A:$B,2,FALSE),VLOOKUP($A97,'SegEnds_NonXtal_Prot#'!A:AL,10,FALSE)+7,1)</f>
        <v>L</v>
      </c>
      <c r="Y97" s="49" t="str">
        <f>MID(VLOOKUP($A97,Seqs!$A:$B,2,FALSE),VLOOKUP($A97,'SegEnds_NonXtal_Prot#'!A:AL,10,FALSE)+8,1)</f>
        <v>P</v>
      </c>
      <c r="Z97" s="49" t="str">
        <f>MID(VLOOKUP($A97,Seqs!$A:$B,2,FALSE),VLOOKUP($A97,'SegEnds_NonXtal_Prot#'!A:AL,10,FALSE)+9,1)</f>
        <v>F</v>
      </c>
      <c r="AA97" s="49" t="str">
        <f>MID(VLOOKUP($A97,Seqs!$A:$B,2,FALSE),VLOOKUP($A97,'SegEnds_NonXtal_Prot#'!A:AL,10,FALSE)+10,1)</f>
        <v>W</v>
      </c>
      <c r="AB97" s="28" t="str">
        <f>MID(VLOOKUP($A97,Seqs!$A:$B,2,FALSE),VLOOKUP($A97,'SegEnds_NonXtal_Prot#'!$A:$AL,22,FALSE)+6,1)</f>
        <v>A</v>
      </c>
      <c r="AC97" s="49" t="str">
        <f>MID(VLOOKUP($A97,Seqs!$A:$B,2,FALSE),VLOOKUP($A97,'SegEnds_NonXtal_Prot#'!$A:$AL,22,FALSE)+7,1)</f>
        <v>T</v>
      </c>
      <c r="AD97" s="49" t="str">
        <f>MID(VLOOKUP($A97,Seqs!$A:$B,2,FALSE),VLOOKUP($A97,'SegEnds_NonXtal_Prot#'!$A:$AL,22,FALSE)+8,1)</f>
        <v>L</v>
      </c>
      <c r="AE97" s="49" t="str">
        <f>MID(VLOOKUP($A97,Seqs!$A:$B,2,FALSE),VLOOKUP($A97,'SegEnds_NonXtal_Prot#'!$A:$AL,22,FALSE)+9,1)</f>
        <v>P</v>
      </c>
      <c r="AF97" s="49" t="str">
        <f>MID(VLOOKUP($A97,Seqs!$A:$B,2,FALSE),VLOOKUP($A97,'SegEnds_NonXtal_Prot#'!$A:$AL,22,FALSE)+10,1)</f>
        <v>E</v>
      </c>
      <c r="AG97" s="28" t="str">
        <f>MID(VLOOKUP($A97,Seqs!$A:$B,2,FALSE),VLOOKUP($A97,'SegEnds_NonXtal_Prot#'!$A:$AL,28,FALSE)-4,1)</f>
        <v>V</v>
      </c>
      <c r="AH97" s="49" t="str">
        <f>MID(VLOOKUP($A97,Seqs!$A:$B,2,FALSE),VLOOKUP($A97,'SegEnds_NonXtal_Prot#'!$A:$AL,28,FALSE),1)</f>
        <v>P</v>
      </c>
    </row>
    <row r="98" spans="1:34" s="2" customFormat="1" x14ac:dyDescent="0.2">
      <c r="A98" s="2" t="s">
        <v>184</v>
      </c>
      <c r="B98" s="2" t="str">
        <f>LOWER(VLOOKUP(A98,Xtal_Templ!A:B,2,FALSE))</f>
        <v>ccr5_human</v>
      </c>
      <c r="C98" s="2" t="str">
        <f>VLOOKUP(A98,Classification!A:D,2,FALSE)</f>
        <v>A</v>
      </c>
      <c r="D98" s="2" t="str">
        <f>IF(ISERROR(MATCH(A98,'SegEnds_Xtal_Prot#'!B:B, 0)), "NoXtal", "Xtal")</f>
        <v>NoXtal</v>
      </c>
      <c r="H98" s="4"/>
      <c r="N98" s="2" t="s">
        <v>14</v>
      </c>
      <c r="R98" s="2" t="s">
        <v>9</v>
      </c>
      <c r="T98" s="4" t="s">
        <v>12</v>
      </c>
      <c r="V98" s="28" t="str">
        <f>MID(VLOOKUP($A98,Seqs!$A:$B,2,FALSE),VLOOKUP($A98,'SegEnds_NonXtal_Prot#'!A:AL,10,FALSE),1)</f>
        <v>D</v>
      </c>
      <c r="W98" s="49" t="str">
        <f>MID(VLOOKUP($A98,Seqs!$A:$B,2,FALSE),VLOOKUP($A98,'SegEnds_NonXtal_Prot#'!A:AL,10,FALSE)+6,1)</f>
        <v>T</v>
      </c>
      <c r="X98" s="49" t="str">
        <f>MID(VLOOKUP($A98,Seqs!$A:$B,2,FALSE),VLOOKUP($A98,'SegEnds_NonXtal_Prot#'!A:AL,10,FALSE)+7,1)</f>
        <v>L</v>
      </c>
      <c r="Y98" s="49" t="str">
        <f>MID(VLOOKUP($A98,Seqs!$A:$B,2,FALSE),VLOOKUP($A98,'SegEnds_NonXtal_Prot#'!A:AL,10,FALSE)+8,1)</f>
        <v>P</v>
      </c>
      <c r="Z98" s="49" t="str">
        <f>MID(VLOOKUP($A98,Seqs!$A:$B,2,FALSE),VLOOKUP($A98,'SegEnds_NonXtal_Prot#'!A:AL,10,FALSE)+9,1)</f>
        <v>F</v>
      </c>
      <c r="AA98" s="49" t="str">
        <f>MID(VLOOKUP($A98,Seqs!$A:$B,2,FALSE),VLOOKUP($A98,'SegEnds_NonXtal_Prot#'!A:AL,10,FALSE)+10,1)</f>
        <v>W</v>
      </c>
      <c r="AB98" s="28" t="str">
        <f>MID(VLOOKUP($A98,Seqs!$A:$B,2,FALSE),VLOOKUP($A98,'SegEnds_NonXtal_Prot#'!$A:$AL,22,FALSE)+6,1)</f>
        <v>V</v>
      </c>
      <c r="AC98" s="49" t="str">
        <f>MID(VLOOKUP($A98,Seqs!$A:$B,2,FALSE),VLOOKUP($A98,'SegEnds_NonXtal_Prot#'!$A:$AL,22,FALSE)+7,1)</f>
        <v>A</v>
      </c>
      <c r="AD98" s="49" t="str">
        <f>MID(VLOOKUP($A98,Seqs!$A:$B,2,FALSE),VLOOKUP($A98,'SegEnds_NonXtal_Prot#'!$A:$AL,22,FALSE)+8,1)</f>
        <v>A</v>
      </c>
      <c r="AE98" s="49" t="str">
        <f>MID(VLOOKUP($A98,Seqs!$A:$B,2,FALSE),VLOOKUP($A98,'SegEnds_NonXtal_Prot#'!$A:$AL,22,FALSE)+9,1)</f>
        <v>P</v>
      </c>
      <c r="AF98" s="49" t="str">
        <f>MID(VLOOKUP($A98,Seqs!$A:$B,2,FALSE),VLOOKUP($A98,'SegEnds_NonXtal_Prot#'!$A:$AL,22,FALSE)+10,1)</f>
        <v>Q</v>
      </c>
      <c r="AG98" s="28" t="str">
        <f>MID(VLOOKUP($A98,Seqs!$A:$B,2,FALSE),VLOOKUP($A98,'SegEnds_NonXtal_Prot#'!$A:$AL,28,FALSE)-4,1)</f>
        <v>G</v>
      </c>
      <c r="AH98" s="49" t="str">
        <f>MID(VLOOKUP($A98,Seqs!$A:$B,2,FALSE),VLOOKUP($A98,'SegEnds_NonXtal_Prot#'!$A:$AL,28,FALSE),1)</f>
        <v>P</v>
      </c>
    </row>
    <row r="99" spans="1:34" s="2" customFormat="1" x14ac:dyDescent="0.2">
      <c r="A99" s="2" t="s">
        <v>185</v>
      </c>
      <c r="B99" s="2" t="str">
        <f>LOWER(VLOOKUP(A99,Xtal_Templ!A:B,2,FALSE))</f>
        <v>ccr2_human</v>
      </c>
      <c r="C99" s="2" t="str">
        <f>VLOOKUP(A99,Classification!A:D,2,FALSE)</f>
        <v>A</v>
      </c>
      <c r="D99" s="2" t="str">
        <f>IF(ISERROR(MATCH(A99,'SegEnds_Xtal_Prot#'!B:B, 0)), "NoXtal", "Xtal")</f>
        <v>NoXtal</v>
      </c>
      <c r="H99" s="4"/>
      <c r="N99" s="2" t="s">
        <v>14</v>
      </c>
      <c r="R99" s="2" t="s">
        <v>9</v>
      </c>
      <c r="T99" s="4" t="s">
        <v>12</v>
      </c>
      <c r="V99" s="28" t="str">
        <f>MID(VLOOKUP($A99,Seqs!$A:$B,2,FALSE),VLOOKUP($A99,'SegEnds_NonXtal_Prot#'!A:AL,10,FALSE),1)</f>
        <v>D</v>
      </c>
      <c r="W99" s="49" t="str">
        <f>MID(VLOOKUP($A99,Seqs!$A:$B,2,FALSE),VLOOKUP($A99,'SegEnds_NonXtal_Prot#'!A:AL,10,FALSE)+6,1)</f>
        <v>T</v>
      </c>
      <c r="X99" s="49" t="str">
        <f>MID(VLOOKUP($A99,Seqs!$A:$B,2,FALSE),VLOOKUP($A99,'SegEnds_NonXtal_Prot#'!A:AL,10,FALSE)+7,1)</f>
        <v>L</v>
      </c>
      <c r="Y99" s="49" t="str">
        <f>MID(VLOOKUP($A99,Seqs!$A:$B,2,FALSE),VLOOKUP($A99,'SegEnds_NonXtal_Prot#'!A:AL,10,FALSE)+8,1)</f>
        <v>P</v>
      </c>
      <c r="Z99" s="49" t="str">
        <f>MID(VLOOKUP($A99,Seqs!$A:$B,2,FALSE),VLOOKUP($A99,'SegEnds_NonXtal_Prot#'!A:AL,10,FALSE)+9,1)</f>
        <v>I</v>
      </c>
      <c r="AA99" s="49" t="str">
        <f>MID(VLOOKUP($A99,Seqs!$A:$B,2,FALSE),VLOOKUP($A99,'SegEnds_NonXtal_Prot#'!A:AL,10,FALSE)+10,1)</f>
        <v>W</v>
      </c>
      <c r="AB99" s="28" t="str">
        <f>MID(VLOOKUP($A99,Seqs!$A:$B,2,FALSE),VLOOKUP($A99,'SegEnds_NonXtal_Prot#'!$A:$AL,22,FALSE)+6,1)</f>
        <v>L</v>
      </c>
      <c r="AC99" s="49" t="str">
        <f>MID(VLOOKUP($A99,Seqs!$A:$B,2,FALSE),VLOOKUP($A99,'SegEnds_NonXtal_Prot#'!$A:$AL,22,FALSE)+7,1)</f>
        <v>S</v>
      </c>
      <c r="AD99" s="49" t="str">
        <f>MID(VLOOKUP($A99,Seqs!$A:$B,2,FALSE),VLOOKUP($A99,'SegEnds_NonXtal_Prot#'!$A:$AL,22,FALSE)+8,1)</f>
        <v>L</v>
      </c>
      <c r="AE99" s="49" t="str">
        <f>MID(VLOOKUP($A99,Seqs!$A:$B,2,FALSE),VLOOKUP($A99,'SegEnds_NonXtal_Prot#'!$A:$AL,22,FALSE)+9,1)</f>
        <v>P</v>
      </c>
      <c r="AF99" s="49" t="str">
        <f>MID(VLOOKUP($A99,Seqs!$A:$B,2,FALSE),VLOOKUP($A99,'SegEnds_NonXtal_Prot#'!$A:$AL,22,FALSE)+10,1)</f>
        <v>F</v>
      </c>
      <c r="AG99" s="28" t="str">
        <f>MID(VLOOKUP($A99,Seqs!$A:$B,2,FALSE),VLOOKUP($A99,'SegEnds_NonXtal_Prot#'!$A:$AL,28,FALSE)-4,1)</f>
        <v>G</v>
      </c>
      <c r="AH99" s="49" t="str">
        <f>MID(VLOOKUP($A99,Seqs!$A:$B,2,FALSE),VLOOKUP($A99,'SegEnds_NonXtal_Prot#'!$A:$AL,28,FALSE),1)</f>
        <v>P</v>
      </c>
    </row>
    <row r="100" spans="1:34" s="2" customFormat="1" x14ac:dyDescent="0.2">
      <c r="A100" s="2" t="s">
        <v>186</v>
      </c>
      <c r="B100" s="2" t="str">
        <f>LOWER(VLOOKUP(A100,Xtal_Templ!A:B,2,FALSE))</f>
        <v>ccr9_human</v>
      </c>
      <c r="C100" s="2" t="str">
        <f>VLOOKUP(A100,Classification!A:D,2,FALSE)</f>
        <v>A</v>
      </c>
      <c r="D100" s="2" t="str">
        <f>IF(ISERROR(MATCH(A100,'SegEnds_Xtal_Prot#'!B:B, 0)), "NoXtal", "Xtal")</f>
        <v>NoXtal</v>
      </c>
      <c r="H100" s="4"/>
      <c r="N100" s="2" t="s">
        <v>14</v>
      </c>
      <c r="R100" s="2" t="s">
        <v>9</v>
      </c>
      <c r="T100" s="4" t="s">
        <v>12</v>
      </c>
      <c r="V100" s="28" t="str">
        <f>MID(VLOOKUP($A100,Seqs!$A:$B,2,FALSE),VLOOKUP($A100,'SegEnds_NonXtal_Prot#'!A:AL,10,FALSE),1)</f>
        <v>D</v>
      </c>
      <c r="W100" s="49" t="str">
        <f>MID(VLOOKUP($A100,Seqs!$A:$B,2,FALSE),VLOOKUP($A100,'SegEnds_NonXtal_Prot#'!A:AL,10,FALSE)+6,1)</f>
        <v>T</v>
      </c>
      <c r="X100" s="49" t="str">
        <f>MID(VLOOKUP($A100,Seqs!$A:$B,2,FALSE),VLOOKUP($A100,'SegEnds_NonXtal_Prot#'!A:AL,10,FALSE)+7,1)</f>
        <v>L</v>
      </c>
      <c r="Y100" s="49" t="str">
        <f>MID(VLOOKUP($A100,Seqs!$A:$B,2,FALSE),VLOOKUP($A100,'SegEnds_NonXtal_Prot#'!A:AL,10,FALSE)+8,1)</f>
        <v>P</v>
      </c>
      <c r="Z100" s="49" t="str">
        <f>MID(VLOOKUP($A100,Seqs!$A:$B,2,FALSE),VLOOKUP($A100,'SegEnds_NonXtal_Prot#'!A:AL,10,FALSE)+9,1)</f>
        <v>I</v>
      </c>
      <c r="AA100" s="49" t="str">
        <f>MID(VLOOKUP($A100,Seqs!$A:$B,2,FALSE),VLOOKUP($A100,'SegEnds_NonXtal_Prot#'!A:AL,10,FALSE)+10,1)</f>
        <v>W</v>
      </c>
      <c r="AB100" s="28" t="str">
        <f>MID(VLOOKUP($A100,Seqs!$A:$B,2,FALSE),VLOOKUP($A100,'SegEnds_NonXtal_Prot#'!$A:$AL,22,FALSE)+6,1)</f>
        <v>L</v>
      </c>
      <c r="AC100" s="49" t="str">
        <f>MID(VLOOKUP($A100,Seqs!$A:$B,2,FALSE),VLOOKUP($A100,'SegEnds_NonXtal_Prot#'!$A:$AL,22,FALSE)+7,1)</f>
        <v>A</v>
      </c>
      <c r="AD100" s="49" t="str">
        <f>MID(VLOOKUP($A100,Seqs!$A:$B,2,FALSE),VLOOKUP($A100,'SegEnds_NonXtal_Prot#'!$A:$AL,22,FALSE)+8,1)</f>
        <v>L</v>
      </c>
      <c r="AE100" s="49" t="str">
        <f>MID(VLOOKUP($A100,Seqs!$A:$B,2,FALSE),VLOOKUP($A100,'SegEnds_NonXtal_Prot#'!$A:$AL,22,FALSE)+9,1)</f>
        <v>P</v>
      </c>
      <c r="AF100" s="49" t="str">
        <f>MID(VLOOKUP($A100,Seqs!$A:$B,2,FALSE),VLOOKUP($A100,'SegEnds_NonXtal_Prot#'!$A:$AL,22,FALSE)+10,1)</f>
        <v>V</v>
      </c>
      <c r="AG100" s="28" t="str">
        <f>MID(VLOOKUP($A100,Seqs!$A:$B,2,FALSE),VLOOKUP($A100,'SegEnds_NonXtal_Prot#'!$A:$AL,28,FALSE)-4,1)</f>
        <v>G</v>
      </c>
      <c r="AH100" s="49" t="str">
        <f>MID(VLOOKUP($A100,Seqs!$A:$B,2,FALSE),VLOOKUP($A100,'SegEnds_NonXtal_Prot#'!$A:$AL,28,FALSE),1)</f>
        <v>P</v>
      </c>
    </row>
    <row r="101" spans="1:34" s="2" customFormat="1" x14ac:dyDescent="0.2">
      <c r="A101" s="2" t="s">
        <v>189</v>
      </c>
      <c r="B101" s="2" t="str">
        <f>LOWER(VLOOKUP(A101,Xtal_Templ!A:B,2,FALSE))</f>
        <v>ccr9_human</v>
      </c>
      <c r="C101" s="2" t="str">
        <f>VLOOKUP(A101,Classification!A:D,2,FALSE)</f>
        <v>A</v>
      </c>
      <c r="D101" s="2" t="str">
        <f>IF(ISERROR(MATCH(A101,'SegEnds_Xtal_Prot#'!B:B, 0)), "NoXtal", "Xtal")</f>
        <v>NoXtal</v>
      </c>
      <c r="H101" s="4"/>
      <c r="N101" s="2" t="s">
        <v>14</v>
      </c>
      <c r="R101" s="2" t="s">
        <v>9</v>
      </c>
      <c r="T101" s="4" t="s">
        <v>12</v>
      </c>
      <c r="V101" s="28" t="str">
        <f>MID(VLOOKUP($A101,Seqs!$A:$B,2,FALSE),VLOOKUP($A101,'SegEnds_NonXtal_Prot#'!A:AL,10,FALSE),1)</f>
        <v>D</v>
      </c>
      <c r="W101" s="49" t="str">
        <f>MID(VLOOKUP($A101,Seqs!$A:$B,2,FALSE),VLOOKUP($A101,'SegEnds_NonXtal_Prot#'!A:AL,10,FALSE)+6,1)</f>
        <v>T</v>
      </c>
      <c r="X101" s="49" t="str">
        <f>MID(VLOOKUP($A101,Seqs!$A:$B,2,FALSE),VLOOKUP($A101,'SegEnds_NonXtal_Prot#'!A:AL,10,FALSE)+7,1)</f>
        <v>L</v>
      </c>
      <c r="Y101" s="49" t="str">
        <f>MID(VLOOKUP($A101,Seqs!$A:$B,2,FALSE),VLOOKUP($A101,'SegEnds_NonXtal_Prot#'!A:AL,10,FALSE)+8,1)</f>
        <v>P</v>
      </c>
      <c r="Z101" s="49" t="str">
        <f>MID(VLOOKUP($A101,Seqs!$A:$B,2,FALSE),VLOOKUP($A101,'SegEnds_NonXtal_Prot#'!A:AL,10,FALSE)+9,1)</f>
        <v>F</v>
      </c>
      <c r="AA101" s="49" t="str">
        <f>MID(VLOOKUP($A101,Seqs!$A:$B,2,FALSE),VLOOKUP($A101,'SegEnds_NonXtal_Prot#'!A:AL,10,FALSE)+10,1)</f>
        <v>W</v>
      </c>
      <c r="AB101" s="28" t="str">
        <f>MID(VLOOKUP($A101,Seqs!$A:$B,2,FALSE),VLOOKUP($A101,'SegEnds_NonXtal_Prot#'!$A:$AL,22,FALSE)+6,1)</f>
        <v>V</v>
      </c>
      <c r="AC101" s="49" t="str">
        <f>MID(VLOOKUP($A101,Seqs!$A:$B,2,FALSE),VLOOKUP($A101,'SegEnds_NonXtal_Prot#'!$A:$AL,22,FALSE)+7,1)</f>
        <v>S</v>
      </c>
      <c r="AD101" s="49" t="str">
        <f>MID(VLOOKUP($A101,Seqs!$A:$B,2,FALSE),VLOOKUP($A101,'SegEnds_NonXtal_Prot#'!$A:$AL,22,FALSE)+8,1)</f>
        <v>L</v>
      </c>
      <c r="AE101" s="49" t="str">
        <f>MID(VLOOKUP($A101,Seqs!$A:$B,2,FALSE),VLOOKUP($A101,'SegEnds_NonXtal_Prot#'!$A:$AL,22,FALSE)+9,1)</f>
        <v>P</v>
      </c>
      <c r="AF101" s="49" t="str">
        <f>MID(VLOOKUP($A101,Seqs!$A:$B,2,FALSE),VLOOKUP($A101,'SegEnds_NonXtal_Prot#'!$A:$AL,22,FALSE)+10,1)</f>
        <v>Q</v>
      </c>
      <c r="AG101" s="28" t="str">
        <f>MID(VLOOKUP($A101,Seqs!$A:$B,2,FALSE),VLOOKUP($A101,'SegEnds_NonXtal_Prot#'!$A:$AL,28,FALSE)-4,1)</f>
        <v>G</v>
      </c>
      <c r="AH101" s="49" t="str">
        <f>MID(VLOOKUP($A101,Seqs!$A:$B,2,FALSE),VLOOKUP($A101,'SegEnds_NonXtal_Prot#'!$A:$AL,28,FALSE),1)</f>
        <v>P</v>
      </c>
    </row>
    <row r="102" spans="1:34" s="2" customFormat="1" x14ac:dyDescent="0.2">
      <c r="A102" s="2" t="s">
        <v>400</v>
      </c>
      <c r="B102" s="2" t="str">
        <f>LOWER(VLOOKUP(A102,Xtal_Templ!A:B,2,FALSE))</f>
        <v>ccr5_human</v>
      </c>
      <c r="C102" s="2" t="str">
        <f>VLOOKUP(A102,Classification!A:D,2,FALSE)</f>
        <v>A</v>
      </c>
      <c r="D102" s="2" t="str">
        <f>IF(ISERROR(MATCH(A102,'SegEnds_Xtal_Prot#'!B:B, 0)), "NoXtal", "Xtal")</f>
        <v>NoXtal</v>
      </c>
      <c r="H102" s="4"/>
      <c r="T102" s="4" t="s">
        <v>12</v>
      </c>
      <c r="V102" s="28" t="str">
        <f>MID(VLOOKUP($A102,Seqs!$A:$B,2,FALSE),VLOOKUP($A102,'SegEnds_NonXtal_Prot#'!A:AL,10,FALSE),1)</f>
        <v>D</v>
      </c>
      <c r="W102" s="49" t="str">
        <f>MID(VLOOKUP($A102,Seqs!$A:$B,2,FALSE),VLOOKUP($A102,'SegEnds_NonXtal_Prot#'!A:AL,10,FALSE)+6,1)</f>
        <v>L</v>
      </c>
      <c r="X102" s="49" t="str">
        <f>MID(VLOOKUP($A102,Seqs!$A:$B,2,FALSE),VLOOKUP($A102,'SegEnds_NonXtal_Prot#'!A:AL,10,FALSE)+7,1)</f>
        <v>L</v>
      </c>
      <c r="Y102" s="49" t="str">
        <f>MID(VLOOKUP($A102,Seqs!$A:$B,2,FALSE),VLOOKUP($A102,'SegEnds_NonXtal_Prot#'!A:AL,10,FALSE)+8,1)</f>
        <v>P</v>
      </c>
      <c r="Z102" s="49" t="str">
        <f>MID(VLOOKUP($A102,Seqs!$A:$B,2,FALSE),VLOOKUP($A102,'SegEnds_NonXtal_Prot#'!A:AL,10,FALSE)+9,1)</f>
        <v>V</v>
      </c>
      <c r="AA102" s="49" t="str">
        <f>MID(VLOOKUP($A102,Seqs!$A:$B,2,FALSE),VLOOKUP($A102,'SegEnds_NonXtal_Prot#'!A:AL,10,FALSE)+10,1)</f>
        <v>W</v>
      </c>
      <c r="AB102" s="28" t="str">
        <f>MID(VLOOKUP($A102,Seqs!$A:$B,2,FALSE),VLOOKUP($A102,'SegEnds_NonXtal_Prot#'!$A:$AL,22,FALSE)+6,1)</f>
        <v>S</v>
      </c>
      <c r="AC102" s="49" t="str">
        <f>MID(VLOOKUP($A102,Seqs!$A:$B,2,FALSE),VLOOKUP($A102,'SegEnds_NonXtal_Prot#'!$A:$AL,22,FALSE)+7,1)</f>
        <v>S</v>
      </c>
      <c r="AD102" s="49" t="str">
        <f>MID(VLOOKUP($A102,Seqs!$A:$B,2,FALSE),VLOOKUP($A102,'SegEnds_NonXtal_Prot#'!$A:$AL,22,FALSE)+8,1)</f>
        <v>I</v>
      </c>
      <c r="AE102" s="49" t="str">
        <f>MID(VLOOKUP($A102,Seqs!$A:$B,2,FALSE),VLOOKUP($A102,'SegEnds_NonXtal_Prot#'!$A:$AL,22,FALSE)+9,1)</f>
        <v>L</v>
      </c>
      <c r="AF102" s="49" t="str">
        <f>MID(VLOOKUP($A102,Seqs!$A:$B,2,FALSE),VLOOKUP($A102,'SegEnds_NonXtal_Prot#'!$A:$AL,22,FALSE)+10,1)</f>
        <v>D</v>
      </c>
      <c r="AG102" s="28" t="str">
        <f>MID(VLOOKUP($A102,Seqs!$A:$B,2,FALSE),VLOOKUP($A102,'SegEnds_NonXtal_Prot#'!$A:$AL,28,FALSE)-4,1)</f>
        <v>F</v>
      </c>
      <c r="AH102" s="49" t="str">
        <f>MID(VLOOKUP($A102,Seqs!$A:$B,2,FALSE),VLOOKUP($A102,'SegEnds_NonXtal_Prot#'!$A:$AL,28,FALSE),1)</f>
        <v>S</v>
      </c>
    </row>
    <row r="103" spans="1:34" s="2" customFormat="1" x14ac:dyDescent="0.2">
      <c r="A103" s="40" t="s">
        <v>177</v>
      </c>
      <c r="B103" s="40" t="str">
        <f>LOWER(VLOOKUP(A103,Xtal_Templ!A:B,2,FALSE))</f>
        <v>ccr9_human</v>
      </c>
      <c r="C103" s="40" t="str">
        <f>VLOOKUP(A103,Classification!A:D,2,FALSE)</f>
        <v>A</v>
      </c>
      <c r="D103" s="40" t="str">
        <f>IF(ISERROR(MATCH(A103,'SegEnds_Xtal_Prot#'!B:B, 0)), "NoXtal", "Xtal")</f>
        <v>Xtal</v>
      </c>
      <c r="E103" s="40"/>
      <c r="F103" s="40"/>
      <c r="G103" s="40"/>
      <c r="H103" s="11"/>
      <c r="I103" s="40"/>
      <c r="J103" s="40"/>
      <c r="K103" s="40"/>
      <c r="L103" s="40"/>
      <c r="M103" s="40"/>
      <c r="N103" s="40" t="s">
        <v>14</v>
      </c>
      <c r="O103" s="40"/>
      <c r="P103" s="40"/>
      <c r="Q103" s="40"/>
      <c r="R103" s="40" t="s">
        <v>9</v>
      </c>
      <c r="S103" s="40"/>
      <c r="T103" s="11" t="s">
        <v>12</v>
      </c>
      <c r="U103" s="40"/>
      <c r="V103" s="58" t="str">
        <f>MID(VLOOKUP($A103,Seqs!$A:$B,2,FALSE),VLOOKUP($A103,'SegEnds_NonXtal_Prot#'!A:AL,10,FALSE),1)</f>
        <v>D</v>
      </c>
      <c r="W103" s="51" t="str">
        <f>MID(VLOOKUP($A103,Seqs!$A:$B,2,FALSE),VLOOKUP($A103,'SegEnds_NonXtal_Prot#'!A:AL,10,FALSE)+6,1)</f>
        <v>T</v>
      </c>
      <c r="X103" s="51" t="str">
        <f>MID(VLOOKUP($A103,Seqs!$A:$B,2,FALSE),VLOOKUP($A103,'SegEnds_NonXtal_Prot#'!A:AL,10,FALSE)+7,1)</f>
        <v>L</v>
      </c>
      <c r="Y103" s="51" t="str">
        <f>MID(VLOOKUP($A103,Seqs!$A:$B,2,FALSE),VLOOKUP($A103,'SegEnds_NonXtal_Prot#'!A:AL,10,FALSE)+8,1)</f>
        <v>P</v>
      </c>
      <c r="Z103" s="49" t="str">
        <f>MID(VLOOKUP($A103,Seqs!$A:$B,2,FALSE),VLOOKUP($A103,'SegEnds_NonXtal_Prot#'!A:AL,10,FALSE)+9,1)</f>
        <v>F</v>
      </c>
      <c r="AA103" s="49" t="str">
        <f>MID(VLOOKUP($A103,Seqs!$A:$B,2,FALSE),VLOOKUP($A103,'SegEnds_NonXtal_Prot#'!A:AL,10,FALSE)+10,1)</f>
        <v>W</v>
      </c>
      <c r="AB103" s="58" t="str">
        <f>MID(VLOOKUP($A103,Seqs!$A:$B,2,FALSE),VLOOKUP($A103,'SegEnds_NonXtal_Prot#'!$A:$AL,22,FALSE)+6,1)</f>
        <v>L</v>
      </c>
      <c r="AC103" s="51" t="str">
        <f>MID(VLOOKUP($A103,Seqs!$A:$B,2,FALSE),VLOOKUP($A103,'SegEnds_NonXtal_Prot#'!$A:$AL,22,FALSE)+7,1)</f>
        <v>C</v>
      </c>
      <c r="AD103" s="51" t="str">
        <f>MID(VLOOKUP($A103,Seqs!$A:$B,2,FALSE),VLOOKUP($A103,'SegEnds_NonXtal_Prot#'!$A:$AL,22,FALSE)+8,1)</f>
        <v>I</v>
      </c>
      <c r="AE103" s="51" t="str">
        <f>MID(VLOOKUP($A103,Seqs!$A:$B,2,FALSE),VLOOKUP($A103,'SegEnds_NonXtal_Prot#'!$A:$AL,22,FALSE)+9,1)</f>
        <v>P</v>
      </c>
      <c r="AF103" s="51" t="str">
        <f>MID(VLOOKUP($A103,Seqs!$A:$B,2,FALSE),VLOOKUP($A103,'SegEnds_NonXtal_Prot#'!$A:$AL,22,FALSE)+10,1)</f>
        <v>E</v>
      </c>
      <c r="AG103" s="58" t="str">
        <f>MID(VLOOKUP($A103,Seqs!$A:$B,2,FALSE),VLOOKUP($A103,'SegEnds_NonXtal_Prot#'!$A:$AL,28,FALSE)-4,1)</f>
        <v>G</v>
      </c>
      <c r="AH103" s="51" t="str">
        <f>MID(VLOOKUP($A103,Seqs!$A:$B,2,FALSE),VLOOKUP($A103,'SegEnds_NonXtal_Prot#'!$A:$AL,28,FALSE),1)</f>
        <v>P</v>
      </c>
    </row>
    <row r="104" spans="1:34" s="2" customFormat="1" x14ac:dyDescent="0.2">
      <c r="A104" s="2" t="s">
        <v>182</v>
      </c>
      <c r="B104" s="2" t="str">
        <f>LOWER(VLOOKUP(A104,Xtal_Templ!A:B,2,FALSE))</f>
        <v>cnr1_human</v>
      </c>
      <c r="C104" s="2" t="str">
        <f>VLOOKUP(A104,Classification!A:D,2,FALSE)</f>
        <v>A</v>
      </c>
      <c r="D104" s="2" t="str">
        <f>IF(ISERROR(MATCH(A104,'SegEnds_Xtal_Prot#'!B:B, 0)), "NoXtal", "Xtal")</f>
        <v>Xtal</v>
      </c>
      <c r="H104" s="4"/>
      <c r="T104" s="4" t="s">
        <v>12</v>
      </c>
      <c r="V104" s="28" t="str">
        <f>MID(VLOOKUP($A104,Seqs!$A:$B,2,FALSE),VLOOKUP($A104,'SegEnds_NonXtal_Prot#'!A:AL,10,FALSE),1)</f>
        <v>D</v>
      </c>
      <c r="W104" s="49" t="str">
        <f>MID(VLOOKUP($A104,Seqs!$A:$B,2,FALSE),VLOOKUP($A104,'SegEnds_NonXtal_Prot#'!A:AL,10,FALSE)+6,1)</f>
        <v>I</v>
      </c>
      <c r="X104" s="49" t="str">
        <f>MID(VLOOKUP($A104,Seqs!$A:$B,2,FALSE),VLOOKUP($A104,'SegEnds_NonXtal_Prot#'!A:AL,10,FALSE)+7,1)</f>
        <v>F</v>
      </c>
      <c r="Y104" s="49" t="str">
        <f>MID(VLOOKUP($A104,Seqs!$A:$B,2,FALSE),VLOOKUP($A104,'SegEnds_NonXtal_Prot#'!A:AL,10,FALSE)+8,1)</f>
        <v>V</v>
      </c>
      <c r="Z104" s="49" t="str">
        <f>MID(VLOOKUP($A104,Seqs!$A:$B,2,FALSE),VLOOKUP($A104,'SegEnds_NonXtal_Prot#'!A:AL,10,FALSE)+9,1)</f>
        <v>Y</v>
      </c>
      <c r="AA104" s="49" t="str">
        <f>MID(VLOOKUP($A104,Seqs!$A:$B,2,FALSE),VLOOKUP($A104,'SegEnds_NonXtal_Prot#'!A:AL,10,FALSE)+10,1)</f>
        <v>S</v>
      </c>
      <c r="AB104" s="28" t="str">
        <f>MID(VLOOKUP($A104,Seqs!$A:$B,2,FALSE),VLOOKUP($A104,'SegEnds_NonXtal_Prot#'!$A:$AL,22,FALSE)+6,1)</f>
        <v>I</v>
      </c>
      <c r="AC104" s="49" t="str">
        <f>MID(VLOOKUP($A104,Seqs!$A:$B,2,FALSE),VLOOKUP($A104,'SegEnds_NonXtal_Prot#'!$A:$AL,22,FALSE)+7,1)</f>
        <v>A</v>
      </c>
      <c r="AD104" s="49" t="str">
        <f>MID(VLOOKUP($A104,Seqs!$A:$B,2,FALSE),VLOOKUP($A104,'SegEnds_NonXtal_Prot#'!$A:$AL,22,FALSE)+8,1)</f>
        <v>V</v>
      </c>
      <c r="AE104" s="49" t="str">
        <f>MID(VLOOKUP($A104,Seqs!$A:$B,2,FALSE),VLOOKUP($A104,'SegEnds_NonXtal_Prot#'!$A:$AL,22,FALSE)+9,1)</f>
        <v>L</v>
      </c>
      <c r="AF104" s="49" t="str">
        <f>MID(VLOOKUP($A104,Seqs!$A:$B,2,FALSE),VLOOKUP($A104,'SegEnds_NonXtal_Prot#'!$A:$AL,22,FALSE)+10,1)</f>
        <v>P</v>
      </c>
      <c r="AG104" s="28" t="str">
        <f>MID(VLOOKUP($A104,Seqs!$A:$B,2,FALSE),VLOOKUP($A104,'SegEnds_NonXtal_Prot#'!$A:$AL,28,FALSE)-4,1)</f>
        <v>V</v>
      </c>
      <c r="AH104" s="49" t="str">
        <f>MID(VLOOKUP($A104,Seqs!$A:$B,2,FALSE),VLOOKUP($A104,'SegEnds_NonXtal_Prot#'!$A:$AL,28,FALSE),1)</f>
        <v>L</v>
      </c>
    </row>
    <row r="105" spans="1:34" s="2" customFormat="1" ht="17" customHeight="1" x14ac:dyDescent="0.2">
      <c r="A105" s="2" t="s">
        <v>183</v>
      </c>
      <c r="B105" s="2" t="str">
        <f>LOWER(VLOOKUP(A105,Xtal_Templ!A:B,2,FALSE))</f>
        <v>cnr1_human</v>
      </c>
      <c r="C105" s="2" t="str">
        <f>VLOOKUP(A105,Classification!A:D,2,FALSE)</f>
        <v>A</v>
      </c>
      <c r="D105" s="2" t="str">
        <f>IF(ISERROR(MATCH(A105,'SegEnds_Xtal_Prot#'!B:B, 0)), "NoXtal", "Xtal")</f>
        <v>NoXtal</v>
      </c>
      <c r="H105" s="4"/>
      <c r="T105" s="4" t="s">
        <v>12</v>
      </c>
      <c r="V105" s="28" t="str">
        <f>MID(VLOOKUP($A105,Seqs!$A:$B,2,FALSE),VLOOKUP($A105,'SegEnds_NonXtal_Prot#'!A:AL,10,FALSE),1)</f>
        <v>D</v>
      </c>
      <c r="W105" s="49" t="str">
        <f>MID(VLOOKUP($A105,Seqs!$A:$B,2,FALSE),VLOOKUP($A105,'SegEnds_NonXtal_Prot#'!A:AL,10,FALSE)+6,1)</f>
        <v>V</v>
      </c>
      <c r="X105" s="49" t="str">
        <f>MID(VLOOKUP($A105,Seqs!$A:$B,2,FALSE),VLOOKUP($A105,'SegEnds_NonXtal_Prot#'!A:AL,10,FALSE)+7,1)</f>
        <v>F</v>
      </c>
      <c r="Y105" s="49" t="str">
        <f>MID(VLOOKUP($A105,Seqs!$A:$B,2,FALSE),VLOOKUP($A105,'SegEnds_NonXtal_Prot#'!A:AL,10,FALSE)+8,1)</f>
        <v>A</v>
      </c>
      <c r="Z105" s="49" t="str">
        <f>MID(VLOOKUP($A105,Seqs!$A:$B,2,FALSE),VLOOKUP($A105,'SegEnds_NonXtal_Prot#'!A:AL,10,FALSE)+9,1)</f>
        <v>C</v>
      </c>
      <c r="AA105" s="49" t="str">
        <f>MID(VLOOKUP($A105,Seqs!$A:$B,2,FALSE),VLOOKUP($A105,'SegEnds_NonXtal_Prot#'!A:AL,10,FALSE)+10,1)</f>
        <v>S</v>
      </c>
      <c r="AB105" s="28" t="str">
        <f>MID(VLOOKUP($A105,Seqs!$A:$B,2,FALSE),VLOOKUP($A105,'SegEnds_NonXtal_Prot#'!$A:$AL,22,FALSE)+6,1)</f>
        <v>V</v>
      </c>
      <c r="AC105" s="49" t="str">
        <f>MID(VLOOKUP($A105,Seqs!$A:$B,2,FALSE),VLOOKUP($A105,'SegEnds_NonXtal_Prot#'!$A:$AL,22,FALSE)+7,1)</f>
        <v>S</v>
      </c>
      <c r="AD105" s="49" t="str">
        <f>MID(VLOOKUP($A105,Seqs!$A:$B,2,FALSE),VLOOKUP($A105,'SegEnds_NonXtal_Prot#'!$A:$AL,22,FALSE)+8,1)</f>
        <v>Y</v>
      </c>
      <c r="AE105" s="49" t="str">
        <f>MID(VLOOKUP($A105,Seqs!$A:$B,2,FALSE),VLOOKUP($A105,'SegEnds_NonXtal_Prot#'!$A:$AL,22,FALSE)+9,1)</f>
        <v>L</v>
      </c>
      <c r="AF105" s="49" t="str">
        <f>MID(VLOOKUP($A105,Seqs!$A:$B,2,FALSE),VLOOKUP($A105,'SegEnds_NonXtal_Prot#'!$A:$AL,22,FALSE)+10,1)</f>
        <v>P</v>
      </c>
      <c r="AG105" s="28" t="str">
        <f>MID(VLOOKUP($A105,Seqs!$A:$B,2,FALSE),VLOOKUP($A105,'SegEnds_NonXtal_Prot#'!$A:$AL,28,FALSE)-4,1)</f>
        <v>F</v>
      </c>
      <c r="AH105" s="49" t="str">
        <f>MID(VLOOKUP($A105,Seqs!$A:$B,2,FALSE),VLOOKUP($A105,'SegEnds_NonXtal_Prot#'!$A:$AL,28,FALSE),1)</f>
        <v>L</v>
      </c>
    </row>
    <row r="106" spans="1:34" s="2" customFormat="1" x14ac:dyDescent="0.2">
      <c r="A106" s="2" t="s">
        <v>166</v>
      </c>
      <c r="B106" s="2" t="str">
        <f>LOWER(VLOOKUP(A106,Xtal_Templ!A:B,2,FALSE))</f>
        <v>c5ar1_human</v>
      </c>
      <c r="C106" s="2" t="str">
        <f>VLOOKUP(A106,Classification!A:D,2,FALSE)</f>
        <v>A</v>
      </c>
      <c r="D106" s="2" t="str">
        <f>IF(ISERROR(MATCH(A106,'SegEnds_Xtal_Prot#'!B:B, 0)), "NoXtal", "Xtal")</f>
        <v>NoXtal</v>
      </c>
      <c r="H106" s="4"/>
      <c r="N106" s="2" t="s">
        <v>14</v>
      </c>
      <c r="R106" s="2" t="s">
        <v>9</v>
      </c>
      <c r="T106" s="4" t="s">
        <v>12</v>
      </c>
      <c r="V106" s="28" t="str">
        <f>MID(VLOOKUP($A106,Seqs!$A:$B,2,FALSE),VLOOKUP($A106,'SegEnds_NonXtal_Prot#'!A:AL,10,FALSE),1)</f>
        <v>D</v>
      </c>
      <c r="W106" s="49" t="str">
        <f>MID(VLOOKUP($A106,Seqs!$A:$B,2,FALSE),VLOOKUP($A106,'SegEnds_NonXtal_Prot#'!A:AL,10,FALSE)+6,1)</f>
        <v>S</v>
      </c>
      <c r="X106" s="49" t="str">
        <f>MID(VLOOKUP($A106,Seqs!$A:$B,2,FALSE),VLOOKUP($A106,'SegEnds_NonXtal_Prot#'!A:AL,10,FALSE)+7,1)</f>
        <v>L</v>
      </c>
      <c r="Y106" s="49" t="str">
        <f>MID(VLOOKUP($A106,Seqs!$A:$B,2,FALSE),VLOOKUP($A106,'SegEnds_NonXtal_Prot#'!A:AL,10,FALSE)+8,1)</f>
        <v>P</v>
      </c>
      <c r="Z106" s="49" t="str">
        <f>MID(VLOOKUP($A106,Seqs!$A:$B,2,FALSE),VLOOKUP($A106,'SegEnds_NonXtal_Prot#'!A:AL,10,FALSE)+9,1)</f>
        <v>I</v>
      </c>
      <c r="AA106" s="49" t="str">
        <f>MID(VLOOKUP($A106,Seqs!$A:$B,2,FALSE),VLOOKUP($A106,'SegEnds_NonXtal_Prot#'!A:AL,10,FALSE)+10,1)</f>
        <v>L</v>
      </c>
      <c r="AB106" s="28" t="str">
        <f>MID(VLOOKUP($A106,Seqs!$A:$B,2,FALSE),VLOOKUP($A106,'SegEnds_NonXtal_Prot#'!$A:$AL,22,FALSE)+6,1)</f>
        <v>L</v>
      </c>
      <c r="AC106" s="49" t="str">
        <f>MID(VLOOKUP($A106,Seqs!$A:$B,2,FALSE),VLOOKUP($A106,'SegEnds_NonXtal_Prot#'!$A:$AL,22,FALSE)+7,1)</f>
        <v>T</v>
      </c>
      <c r="AD106" s="49" t="str">
        <f>MID(VLOOKUP($A106,Seqs!$A:$B,2,FALSE),VLOOKUP($A106,'SegEnds_NonXtal_Prot#'!$A:$AL,22,FALSE)+8,1)</f>
        <v>V</v>
      </c>
      <c r="AE106" s="49" t="str">
        <f>MID(VLOOKUP($A106,Seqs!$A:$B,2,FALSE),VLOOKUP($A106,'SegEnds_NonXtal_Prot#'!$A:$AL,22,FALSE)+9,1)</f>
        <v>P</v>
      </c>
      <c r="AF106" s="49" t="str">
        <f>MID(VLOOKUP($A106,Seqs!$A:$B,2,FALSE),VLOOKUP($A106,'SegEnds_NonXtal_Prot#'!$A:$AL,22,FALSE)+10,1)</f>
        <v>S</v>
      </c>
      <c r="AG106" s="28" t="str">
        <f>MID(VLOOKUP($A106,Seqs!$A:$B,2,FALSE),VLOOKUP($A106,'SegEnds_NonXtal_Prot#'!$A:$AL,28,FALSE)-4,1)</f>
        <v>G</v>
      </c>
      <c r="AH106" s="49" t="str">
        <f>MID(VLOOKUP($A106,Seqs!$A:$B,2,FALSE),VLOOKUP($A106,'SegEnds_NonXtal_Prot#'!$A:$AL,28,FALSE),1)</f>
        <v>P</v>
      </c>
    </row>
    <row r="107" spans="1:34" s="2" customFormat="1" x14ac:dyDescent="0.2">
      <c r="A107" s="2" t="s">
        <v>187</v>
      </c>
      <c r="B107" s="2" t="str">
        <f>LOWER(VLOOKUP(A107,Xtal_Templ!A:B,2,FALSE))</f>
        <v>cxcr4_human</v>
      </c>
      <c r="C107" s="2" t="str">
        <f>VLOOKUP(A107,Classification!A:D,2,FALSE)</f>
        <v>A</v>
      </c>
      <c r="D107" s="2" t="str">
        <f>IF(ISERROR(MATCH(A107,'SegEnds_Xtal_Prot#'!B:B, 0)), "NoXtal", "Xtal")</f>
        <v>NoXtal</v>
      </c>
      <c r="H107" s="4"/>
      <c r="N107" s="2" t="s">
        <v>14</v>
      </c>
      <c r="R107" s="2" t="s">
        <v>9</v>
      </c>
      <c r="T107" s="4" t="s">
        <v>12</v>
      </c>
      <c r="V107" s="28" t="str">
        <f>MID(VLOOKUP($A107,Seqs!$A:$B,2,FALSE),VLOOKUP($A107,'SegEnds_NonXtal_Prot#'!A:AL,10,FALSE),1)</f>
        <v>D</v>
      </c>
      <c r="W107" s="49" t="str">
        <f>MID(VLOOKUP($A107,Seqs!$A:$B,2,FALSE),VLOOKUP($A107,'SegEnds_NonXtal_Prot#'!A:AL,10,FALSE)+6,1)</f>
        <v>T</v>
      </c>
      <c r="X107" s="49" t="str">
        <f>MID(VLOOKUP($A107,Seqs!$A:$B,2,FALSE),VLOOKUP($A107,'SegEnds_NonXtal_Prot#'!A:AL,10,FALSE)+7,1)</f>
        <v>L</v>
      </c>
      <c r="Y107" s="49" t="str">
        <f>MID(VLOOKUP($A107,Seqs!$A:$B,2,FALSE),VLOOKUP($A107,'SegEnds_NonXtal_Prot#'!A:AL,10,FALSE)+8,1)</f>
        <v>P</v>
      </c>
      <c r="Z107" s="49" t="str">
        <f>MID(VLOOKUP($A107,Seqs!$A:$B,2,FALSE),VLOOKUP($A107,'SegEnds_NonXtal_Prot#'!A:AL,10,FALSE)+9,1)</f>
        <v>L</v>
      </c>
      <c r="AA107" s="49" t="str">
        <f>MID(VLOOKUP($A107,Seqs!$A:$B,2,FALSE),VLOOKUP($A107,'SegEnds_NonXtal_Prot#'!A:AL,10,FALSE)+10,1)</f>
        <v>W</v>
      </c>
      <c r="AB107" s="28" t="str">
        <f>MID(VLOOKUP($A107,Seqs!$A:$B,2,FALSE),VLOOKUP($A107,'SegEnds_NonXtal_Prot#'!$A:$AL,22,FALSE)+6,1)</f>
        <v>F</v>
      </c>
      <c r="AC107" s="49" t="str">
        <f>MID(VLOOKUP($A107,Seqs!$A:$B,2,FALSE),VLOOKUP($A107,'SegEnds_NonXtal_Prot#'!$A:$AL,22,FALSE)+7,1)</f>
        <v>A</v>
      </c>
      <c r="AD107" s="49" t="str">
        <f>MID(VLOOKUP($A107,Seqs!$A:$B,2,FALSE),VLOOKUP($A107,'SegEnds_NonXtal_Prot#'!$A:$AL,22,FALSE)+8,1)</f>
        <v>L</v>
      </c>
      <c r="AE107" s="49" t="str">
        <f>MID(VLOOKUP($A107,Seqs!$A:$B,2,FALSE),VLOOKUP($A107,'SegEnds_NonXtal_Prot#'!$A:$AL,22,FALSE)+9,1)</f>
        <v>P</v>
      </c>
      <c r="AF107" s="49" t="str">
        <f>MID(VLOOKUP($A107,Seqs!$A:$B,2,FALSE),VLOOKUP($A107,'SegEnds_NonXtal_Prot#'!$A:$AL,22,FALSE)+10,1)</f>
        <v>D</v>
      </c>
      <c r="AG107" s="28" t="str">
        <f>MID(VLOOKUP($A107,Seqs!$A:$B,2,FALSE),VLOOKUP($A107,'SegEnds_NonXtal_Prot#'!$A:$AL,28,FALSE)-4,1)</f>
        <v>G</v>
      </c>
      <c r="AH107" s="49" t="str">
        <f>MID(VLOOKUP($A107,Seqs!$A:$B,2,FALSE),VLOOKUP($A107,'SegEnds_NonXtal_Prot#'!$A:$AL,28,FALSE),1)</f>
        <v>P</v>
      </c>
    </row>
    <row r="108" spans="1:34" s="2" customFormat="1" x14ac:dyDescent="0.2">
      <c r="A108" s="2" t="s">
        <v>1172</v>
      </c>
      <c r="B108" s="2" t="str">
        <f>LOWER(VLOOKUP(A108,Xtal_Templ!A:B,2,FALSE))</f>
        <v>cxcr4_human</v>
      </c>
      <c r="C108" s="2" t="str">
        <f>VLOOKUP(A108,Classification!A:D,2,FALSE)</f>
        <v>A</v>
      </c>
      <c r="D108" s="2" t="str">
        <f>IF(ISERROR(MATCH(A108,'SegEnds_Xtal_Prot#'!B:B, 0)), "NoXtal", "Xtal")</f>
        <v>Xtal</v>
      </c>
      <c r="H108" s="4"/>
      <c r="N108" s="2" t="s">
        <v>14</v>
      </c>
      <c r="R108" s="2" t="s">
        <v>9</v>
      </c>
      <c r="T108" s="4" t="s">
        <v>12</v>
      </c>
      <c r="V108" s="28" t="str">
        <f>MID(VLOOKUP($A108,Seqs!$A:$B,2,FALSE),VLOOKUP($A108,'SegEnds_NonXtal_Prot#'!A:AL,10,FALSE),1)</f>
        <v>D</v>
      </c>
      <c r="W108" s="49" t="str">
        <f>MID(VLOOKUP($A108,Seqs!$A:$B,2,FALSE),VLOOKUP($A108,'SegEnds_NonXtal_Prot#'!A:AL,10,FALSE)+6,1)</f>
        <v>T</v>
      </c>
      <c r="X108" s="49" t="str">
        <f>MID(VLOOKUP($A108,Seqs!$A:$B,2,FALSE),VLOOKUP($A108,'SegEnds_NonXtal_Prot#'!A:AL,10,FALSE)+7,1)</f>
        <v>L</v>
      </c>
      <c r="Y108" s="49" t="str">
        <f>MID(VLOOKUP($A108,Seqs!$A:$B,2,FALSE),VLOOKUP($A108,'SegEnds_NonXtal_Prot#'!A:AL,10,FALSE)+8,1)</f>
        <v>P</v>
      </c>
      <c r="Z108" s="49" t="str">
        <f>MID(VLOOKUP($A108,Seqs!$A:$B,2,FALSE),VLOOKUP($A108,'SegEnds_NonXtal_Prot#'!A:AL,10,FALSE)+9,1)</f>
        <v>F</v>
      </c>
      <c r="AA108" s="49" t="str">
        <f>MID(VLOOKUP($A108,Seqs!$A:$B,2,FALSE),VLOOKUP($A108,'SegEnds_NonXtal_Prot#'!A:AL,10,FALSE)+10,1)</f>
        <v>W</v>
      </c>
      <c r="AB108" s="28" t="str">
        <f>MID(VLOOKUP($A108,Seqs!$A:$B,2,FALSE),VLOOKUP($A108,'SegEnds_NonXtal_Prot#'!$A:$AL,22,FALSE)+6,1)</f>
        <v>L</v>
      </c>
      <c r="AC108" s="49" t="str">
        <f>MID(VLOOKUP($A108,Seqs!$A:$B,2,FALSE),VLOOKUP($A108,'SegEnds_NonXtal_Prot#'!$A:$AL,22,FALSE)+7,1)</f>
        <v>T</v>
      </c>
      <c r="AD108" s="49" t="str">
        <f>MID(VLOOKUP($A108,Seqs!$A:$B,2,FALSE),VLOOKUP($A108,'SegEnds_NonXtal_Prot#'!$A:$AL,22,FALSE)+8,1)</f>
        <v>I</v>
      </c>
      <c r="AE108" s="49" t="str">
        <f>MID(VLOOKUP($A108,Seqs!$A:$B,2,FALSE),VLOOKUP($A108,'SegEnds_NonXtal_Prot#'!$A:$AL,22,FALSE)+9,1)</f>
        <v>P</v>
      </c>
      <c r="AF108" s="49" t="str">
        <f>MID(VLOOKUP($A108,Seqs!$A:$B,2,FALSE),VLOOKUP($A108,'SegEnds_NonXtal_Prot#'!$A:$AL,22,FALSE)+10,1)</f>
        <v>D</v>
      </c>
      <c r="AG108" s="28" t="str">
        <f>MID(VLOOKUP($A108,Seqs!$A:$B,2,FALSE),VLOOKUP($A108,'SegEnds_NonXtal_Prot#'!$A:$AL,28,FALSE)-4,1)</f>
        <v>G</v>
      </c>
      <c r="AH108" s="49" t="str">
        <f>MID(VLOOKUP($A108,Seqs!$A:$B,2,FALSE),VLOOKUP($A108,'SegEnds_NonXtal_Prot#'!$A:$AL,28,FALSE),1)</f>
        <v>P</v>
      </c>
    </row>
    <row r="109" spans="1:34" s="2" customFormat="1" x14ac:dyDescent="0.2">
      <c r="A109" s="2" t="s">
        <v>188</v>
      </c>
      <c r="B109" s="2" t="str">
        <f>LOWER(VLOOKUP(A109,Xtal_Templ!A:B,2,FALSE))</f>
        <v>cxcr4_human</v>
      </c>
      <c r="C109" s="2" t="str">
        <f>VLOOKUP(A109,Classification!A:D,2,FALSE)</f>
        <v>A</v>
      </c>
      <c r="D109" s="2" t="str">
        <f>IF(ISERROR(MATCH(A109,'SegEnds_Xtal_Prot#'!B:B, 0)), "NoXtal", "Xtal")</f>
        <v>NoXtal</v>
      </c>
      <c r="H109" s="4"/>
      <c r="N109" s="2" t="s">
        <v>14</v>
      </c>
      <c r="R109" s="2" t="s">
        <v>9</v>
      </c>
      <c r="T109" s="4" t="s">
        <v>12</v>
      </c>
      <c r="V109" s="28" t="str">
        <f>MID(VLOOKUP($A109,Seqs!$A:$B,2,FALSE),VLOOKUP($A109,'SegEnds_NonXtal_Prot#'!A:AL,10,FALSE),1)</f>
        <v>D</v>
      </c>
      <c r="W109" s="49" t="str">
        <f>MID(VLOOKUP($A109,Seqs!$A:$B,2,FALSE),VLOOKUP($A109,'SegEnds_NonXtal_Prot#'!A:AL,10,FALSE)+6,1)</f>
        <v>I</v>
      </c>
      <c r="X109" s="49" t="str">
        <f>MID(VLOOKUP($A109,Seqs!$A:$B,2,FALSE),VLOOKUP($A109,'SegEnds_NonXtal_Prot#'!A:AL,10,FALSE)+7,1)</f>
        <v>L</v>
      </c>
      <c r="Y109" s="49" t="str">
        <f>MID(VLOOKUP($A109,Seqs!$A:$B,2,FALSE),VLOOKUP($A109,'SegEnds_NonXtal_Prot#'!A:AL,10,FALSE)+8,1)</f>
        <v>P</v>
      </c>
      <c r="Z109" s="49" t="str">
        <f>MID(VLOOKUP($A109,Seqs!$A:$B,2,FALSE),VLOOKUP($A109,'SegEnds_NonXtal_Prot#'!A:AL,10,FALSE)+9,1)</f>
        <v>F</v>
      </c>
      <c r="AA109" s="49" t="str">
        <f>MID(VLOOKUP($A109,Seqs!$A:$B,2,FALSE),VLOOKUP($A109,'SegEnds_NonXtal_Prot#'!A:AL,10,FALSE)+10,1)</f>
        <v>A</v>
      </c>
      <c r="AB109" s="28" t="str">
        <f>MID(VLOOKUP($A109,Seqs!$A:$B,2,FALSE),VLOOKUP($A109,'SegEnds_NonXtal_Prot#'!$A:$AL,22,FALSE)+6,1)</f>
        <v>L</v>
      </c>
      <c r="AC109" s="49" t="str">
        <f>MID(VLOOKUP($A109,Seqs!$A:$B,2,FALSE),VLOOKUP($A109,'SegEnds_NonXtal_Prot#'!$A:$AL,22,FALSE)+7,1)</f>
        <v>A</v>
      </c>
      <c r="AD109" s="49" t="str">
        <f>MID(VLOOKUP($A109,Seqs!$A:$B,2,FALSE),VLOOKUP($A109,'SegEnds_NonXtal_Prot#'!$A:$AL,22,FALSE)+8,1)</f>
        <v>L</v>
      </c>
      <c r="AE109" s="49" t="str">
        <f>MID(VLOOKUP($A109,Seqs!$A:$B,2,FALSE),VLOOKUP($A109,'SegEnds_NonXtal_Prot#'!$A:$AL,22,FALSE)+9,1)</f>
        <v>P</v>
      </c>
      <c r="AF109" s="49" t="str">
        <f>MID(VLOOKUP($A109,Seqs!$A:$B,2,FALSE),VLOOKUP($A109,'SegEnds_NonXtal_Prot#'!$A:$AL,22,FALSE)+10,1)</f>
        <v>E</v>
      </c>
      <c r="AG109" s="28" t="str">
        <f>MID(VLOOKUP($A109,Seqs!$A:$B,2,FALSE),VLOOKUP($A109,'SegEnds_NonXtal_Prot#'!$A:$AL,28,FALSE)-4,1)</f>
        <v>G</v>
      </c>
      <c r="AH109" s="49" t="str">
        <f>MID(VLOOKUP($A109,Seqs!$A:$B,2,FALSE),VLOOKUP($A109,'SegEnds_NonXtal_Prot#'!$A:$AL,28,FALSE),1)</f>
        <v>P</v>
      </c>
    </row>
    <row r="110" spans="1:34" s="2" customFormat="1" x14ac:dyDescent="0.2">
      <c r="A110" s="2" t="s">
        <v>201</v>
      </c>
      <c r="B110" s="2" t="str">
        <f>LOWER(VLOOKUP(A110,Xtal_Templ!A:B,2,FALSE))</f>
        <v>pd2r2_human</v>
      </c>
      <c r="C110" s="2" t="str">
        <f>VLOOKUP(A110,Classification!A:D,2,FALSE)</f>
        <v>A</v>
      </c>
      <c r="D110" s="2" t="str">
        <f>IF(ISERROR(MATCH(A110,'SegEnds_Xtal_Prot#'!B:B, 0)), "NoXtal", "Xtal")</f>
        <v>NoXtal</v>
      </c>
      <c r="H110" s="4"/>
      <c r="N110" s="2" t="s">
        <v>14</v>
      </c>
      <c r="R110" s="2" t="s">
        <v>9</v>
      </c>
      <c r="T110" s="4" t="s">
        <v>12</v>
      </c>
      <c r="V110" s="28" t="str">
        <f>MID(VLOOKUP($A110,Seqs!$A:$B,2,FALSE),VLOOKUP($A110,'SegEnds_NonXtal_Prot#'!A:AL,10,FALSE),1)</f>
        <v>D</v>
      </c>
      <c r="W110" s="49" t="str">
        <f>MID(VLOOKUP($A110,Seqs!$A:$B,2,FALSE),VLOOKUP($A110,'SegEnds_NonXtal_Prot#'!A:AL,10,FALSE)+6,1)</f>
        <v>T</v>
      </c>
      <c r="X110" s="49" t="str">
        <f>MID(VLOOKUP($A110,Seqs!$A:$B,2,FALSE),VLOOKUP($A110,'SegEnds_NonXtal_Prot#'!A:AL,10,FALSE)+7,1)</f>
        <v>L</v>
      </c>
      <c r="Y110" s="49" t="str">
        <f>MID(VLOOKUP($A110,Seqs!$A:$B,2,FALSE),VLOOKUP($A110,'SegEnds_NonXtal_Prot#'!A:AL,10,FALSE)+8,1)</f>
        <v>P</v>
      </c>
      <c r="Z110" s="49" t="str">
        <f>MID(VLOOKUP($A110,Seqs!$A:$B,2,FALSE),VLOOKUP($A110,'SegEnds_NonXtal_Prot#'!A:AL,10,FALSE)+9,1)</f>
        <v>F</v>
      </c>
      <c r="AA110" s="49" t="str">
        <f>MID(VLOOKUP($A110,Seqs!$A:$B,2,FALSE),VLOOKUP($A110,'SegEnds_NonXtal_Prot#'!A:AL,10,FALSE)+10,1)</f>
        <v>F</v>
      </c>
      <c r="AB110" s="28" t="str">
        <f>MID(VLOOKUP($A110,Seqs!$A:$B,2,FALSE),VLOOKUP($A110,'SegEnds_NonXtal_Prot#'!$A:$AL,22,FALSE)+6,1)</f>
        <v>L</v>
      </c>
      <c r="AC110" s="49" t="str">
        <f>MID(VLOOKUP($A110,Seqs!$A:$B,2,FALSE),VLOOKUP($A110,'SegEnds_NonXtal_Prot#'!$A:$AL,22,FALSE)+7,1)</f>
        <v>T</v>
      </c>
      <c r="AD110" s="49" t="str">
        <f>MID(VLOOKUP($A110,Seqs!$A:$B,2,FALSE),VLOOKUP($A110,'SegEnds_NonXtal_Prot#'!$A:$AL,22,FALSE)+8,1)</f>
        <v>L</v>
      </c>
      <c r="AE110" s="49" t="str">
        <f>MID(VLOOKUP($A110,Seqs!$A:$B,2,FALSE),VLOOKUP($A110,'SegEnds_NonXtal_Prot#'!$A:$AL,22,FALSE)+9,1)</f>
        <v>P</v>
      </c>
      <c r="AF110" s="49" t="str">
        <f>MID(VLOOKUP($A110,Seqs!$A:$B,2,FALSE),VLOOKUP($A110,'SegEnds_NonXtal_Prot#'!$A:$AL,22,FALSE)+10,1)</f>
        <v>V</v>
      </c>
      <c r="AG110" s="28" t="str">
        <f>MID(VLOOKUP($A110,Seqs!$A:$B,2,FALSE),VLOOKUP($A110,'SegEnds_NonXtal_Prot#'!$A:$AL,28,FALSE)-4,1)</f>
        <v>G</v>
      </c>
      <c r="AH110" s="49" t="str">
        <f>MID(VLOOKUP($A110,Seqs!$A:$B,2,FALSE),VLOOKUP($A110,'SegEnds_NonXtal_Prot#'!$A:$AL,28,FALSE),1)</f>
        <v>P</v>
      </c>
    </row>
    <row r="111" spans="1:34" s="2" customFormat="1" x14ac:dyDescent="0.2">
      <c r="A111" s="2" t="s">
        <v>202</v>
      </c>
      <c r="B111" s="2" t="str">
        <f>LOWER(VLOOKUP(A111,Xtal_Templ!A:B,2,FALSE))</f>
        <v>pd2r2_human</v>
      </c>
      <c r="C111" s="2" t="str">
        <f>VLOOKUP(A111,Classification!A:D,2,FALSE)</f>
        <v>A</v>
      </c>
      <c r="D111" s="2" t="str">
        <f>IF(ISERROR(MATCH(A111,'SegEnds_Xtal_Prot#'!B:B, 0)), "NoXtal", "Xtal")</f>
        <v>NoXtal</v>
      </c>
      <c r="H111" s="4"/>
      <c r="N111" s="2" t="s">
        <v>14</v>
      </c>
      <c r="R111" s="2" t="s">
        <v>9</v>
      </c>
      <c r="T111" s="4" t="s">
        <v>12</v>
      </c>
      <c r="V111" s="28" t="str">
        <f>MID(VLOOKUP($A111,Seqs!$A:$B,2,FALSE),VLOOKUP($A111,'SegEnds_NonXtal_Prot#'!A:AL,10,FALSE),1)</f>
        <v>D</v>
      </c>
      <c r="W111" s="49" t="str">
        <f>MID(VLOOKUP($A111,Seqs!$A:$B,2,FALSE),VLOOKUP($A111,'SegEnds_NonXtal_Prot#'!A:AL,10,FALSE)+6,1)</f>
        <v>T</v>
      </c>
      <c r="X111" s="49" t="str">
        <f>MID(VLOOKUP($A111,Seqs!$A:$B,2,FALSE),VLOOKUP($A111,'SegEnds_NonXtal_Prot#'!A:AL,10,FALSE)+7,1)</f>
        <v>L</v>
      </c>
      <c r="Y111" s="49" t="str">
        <f>MID(VLOOKUP($A111,Seqs!$A:$B,2,FALSE),VLOOKUP($A111,'SegEnds_NonXtal_Prot#'!A:AL,10,FALSE)+8,1)</f>
        <v>P</v>
      </c>
      <c r="Z111" s="49" t="str">
        <f>MID(VLOOKUP($A111,Seqs!$A:$B,2,FALSE),VLOOKUP($A111,'SegEnds_NonXtal_Prot#'!A:AL,10,FALSE)+9,1)</f>
        <v>F</v>
      </c>
      <c r="AA111" s="49" t="str">
        <f>MID(VLOOKUP($A111,Seqs!$A:$B,2,FALSE),VLOOKUP($A111,'SegEnds_NonXtal_Prot#'!A:AL,10,FALSE)+10,1)</f>
        <v>L</v>
      </c>
      <c r="AB111" s="28" t="str">
        <f>MID(VLOOKUP($A111,Seqs!$A:$B,2,FALSE),VLOOKUP($A111,'SegEnds_NonXtal_Prot#'!$A:$AL,22,FALSE)+6,1)</f>
        <v>L</v>
      </c>
      <c r="AC111" s="49" t="str">
        <f>MID(VLOOKUP($A111,Seqs!$A:$B,2,FALSE),VLOOKUP($A111,'SegEnds_NonXtal_Prot#'!$A:$AL,22,FALSE)+7,1)</f>
        <v>T</v>
      </c>
      <c r="AD111" s="49" t="str">
        <f>MID(VLOOKUP($A111,Seqs!$A:$B,2,FALSE),VLOOKUP($A111,'SegEnds_NonXtal_Prot#'!$A:$AL,22,FALSE)+8,1)</f>
        <v>L</v>
      </c>
      <c r="AE111" s="49" t="str">
        <f>MID(VLOOKUP($A111,Seqs!$A:$B,2,FALSE),VLOOKUP($A111,'SegEnds_NonXtal_Prot#'!$A:$AL,22,FALSE)+9,1)</f>
        <v>P</v>
      </c>
      <c r="AF111" s="49" t="str">
        <f>MID(VLOOKUP($A111,Seqs!$A:$B,2,FALSE),VLOOKUP($A111,'SegEnds_NonXtal_Prot#'!$A:$AL,22,FALSE)+10,1)</f>
        <v>V</v>
      </c>
      <c r="AG111" s="28" t="str">
        <f>MID(VLOOKUP($A111,Seqs!$A:$B,2,FALSE),VLOOKUP($A111,'SegEnds_NonXtal_Prot#'!$A:$AL,28,FALSE)-4,1)</f>
        <v>G</v>
      </c>
      <c r="AH111" s="49" t="str">
        <f>MID(VLOOKUP($A111,Seqs!$A:$B,2,FALSE),VLOOKUP($A111,'SegEnds_NonXtal_Prot#'!$A:$AL,28,FALSE),1)</f>
        <v>P</v>
      </c>
    </row>
    <row r="112" spans="1:34" s="2" customFormat="1" x14ac:dyDescent="0.2">
      <c r="A112" s="2" t="s">
        <v>203</v>
      </c>
      <c r="B112" s="2" t="str">
        <f>LOWER(VLOOKUP(A112,Xtal_Templ!A:B,2,FALSE))</f>
        <v>pd2r2_human</v>
      </c>
      <c r="C112" s="2" t="str">
        <f>VLOOKUP(A112,Classification!A:D,2,FALSE)</f>
        <v>A</v>
      </c>
      <c r="D112" s="2" t="str">
        <f>IF(ISERROR(MATCH(A112,'SegEnds_Xtal_Prot#'!B:B, 0)), "NoXtal", "Xtal")</f>
        <v>NoXtal</v>
      </c>
      <c r="H112" s="4"/>
      <c r="N112" s="2" t="s">
        <v>14</v>
      </c>
      <c r="R112" s="2" t="s">
        <v>9</v>
      </c>
      <c r="T112" s="4" t="s">
        <v>12</v>
      </c>
      <c r="V112" s="28" t="str">
        <f>MID(VLOOKUP($A112,Seqs!$A:$B,2,FALSE),VLOOKUP($A112,'SegEnds_NonXtal_Prot#'!A:AL,10,FALSE),1)</f>
        <v>D</v>
      </c>
      <c r="W112" s="49" t="str">
        <f>MID(VLOOKUP($A112,Seqs!$A:$B,2,FALSE),VLOOKUP($A112,'SegEnds_NonXtal_Prot#'!A:AL,10,FALSE)+6,1)</f>
        <v>I</v>
      </c>
      <c r="X112" s="49" t="str">
        <f>MID(VLOOKUP($A112,Seqs!$A:$B,2,FALSE),VLOOKUP($A112,'SegEnds_NonXtal_Prot#'!A:AL,10,FALSE)+7,1)</f>
        <v>L</v>
      </c>
      <c r="Y112" s="49" t="str">
        <f>MID(VLOOKUP($A112,Seqs!$A:$B,2,FALSE),VLOOKUP($A112,'SegEnds_NonXtal_Prot#'!A:AL,10,FALSE)+8,1)</f>
        <v>P</v>
      </c>
      <c r="Z112" s="49" t="str">
        <f>MID(VLOOKUP($A112,Seqs!$A:$B,2,FALSE),VLOOKUP($A112,'SegEnds_NonXtal_Prot#'!A:AL,10,FALSE)+9,1)</f>
        <v>F</v>
      </c>
      <c r="AA112" s="49" t="str">
        <f>MID(VLOOKUP($A112,Seqs!$A:$B,2,FALSE),VLOOKUP($A112,'SegEnds_NonXtal_Prot#'!A:AL,10,FALSE)+10,1)</f>
        <v>R</v>
      </c>
      <c r="AB112" s="28" t="str">
        <f>MID(VLOOKUP($A112,Seqs!$A:$B,2,FALSE),VLOOKUP($A112,'SegEnds_NonXtal_Prot#'!$A:$AL,22,FALSE)+6,1)</f>
        <v>L</v>
      </c>
      <c r="AC112" s="49" t="str">
        <f>MID(VLOOKUP($A112,Seqs!$A:$B,2,FALSE),VLOOKUP($A112,'SegEnds_NonXtal_Prot#'!$A:$AL,22,FALSE)+7,1)</f>
        <v>T</v>
      </c>
      <c r="AD112" s="49" t="str">
        <f>MID(VLOOKUP($A112,Seqs!$A:$B,2,FALSE),VLOOKUP($A112,'SegEnds_NonXtal_Prot#'!$A:$AL,22,FALSE)+8,1)</f>
        <v>L</v>
      </c>
      <c r="AE112" s="49" t="str">
        <f>MID(VLOOKUP($A112,Seqs!$A:$B,2,FALSE),VLOOKUP($A112,'SegEnds_NonXtal_Prot#'!$A:$AL,22,FALSE)+9,1)</f>
        <v>P</v>
      </c>
      <c r="AF112" s="49" t="str">
        <f>MID(VLOOKUP($A112,Seqs!$A:$B,2,FALSE),VLOOKUP($A112,'SegEnds_NonXtal_Prot#'!$A:$AL,22,FALSE)+10,1)</f>
        <v>N</v>
      </c>
      <c r="AG112" s="28" t="str">
        <f>MID(VLOOKUP($A112,Seqs!$A:$B,2,FALSE),VLOOKUP($A112,'SegEnds_NonXtal_Prot#'!$A:$AL,28,FALSE)-4,1)</f>
        <v>G</v>
      </c>
      <c r="AH112" s="49" t="str">
        <f>MID(VLOOKUP($A112,Seqs!$A:$B,2,FALSE),VLOOKUP($A112,'SegEnds_NonXtal_Prot#'!$A:$AL,28,FALSE),1)</f>
        <v>P</v>
      </c>
    </row>
    <row r="113" spans="1:34" s="2" customFormat="1" x14ac:dyDescent="0.2">
      <c r="A113" s="2" t="s">
        <v>293</v>
      </c>
      <c r="B113" s="2" t="str">
        <f>LOWER(VLOOKUP(A113,Xtal_Templ!A:B,2,FALSE))</f>
        <v>pd2r2_human</v>
      </c>
      <c r="C113" s="2" t="str">
        <f>VLOOKUP(A113,Classification!A:D,2,FALSE)</f>
        <v>A</v>
      </c>
      <c r="D113" s="2" t="str">
        <f>IF(ISERROR(MATCH(A113,'SegEnds_Xtal_Prot#'!B:B, 0)), "NoXtal", "Xtal")</f>
        <v>NoXtal</v>
      </c>
      <c r="H113" s="4"/>
      <c r="N113" s="2" t="s">
        <v>14</v>
      </c>
      <c r="R113" s="2" t="s">
        <v>9</v>
      </c>
      <c r="T113" s="4" t="s">
        <v>12</v>
      </c>
      <c r="V113" s="28" t="str">
        <f>MID(VLOOKUP($A113,Seqs!$A:$B,2,FALSE),VLOOKUP($A113,'SegEnds_NonXtal_Prot#'!A:AL,10,FALSE),1)</f>
        <v>D</v>
      </c>
      <c r="W113" s="49" t="str">
        <f>MID(VLOOKUP($A113,Seqs!$A:$B,2,FALSE),VLOOKUP($A113,'SegEnds_NonXtal_Prot#'!A:AL,10,FALSE)+6,1)</f>
        <v>L</v>
      </c>
      <c r="X113" s="49" t="str">
        <f>MID(VLOOKUP($A113,Seqs!$A:$B,2,FALSE),VLOOKUP($A113,'SegEnds_NonXtal_Prot#'!A:AL,10,FALSE)+7,1)</f>
        <v>T</v>
      </c>
      <c r="Y113" s="49" t="str">
        <f>MID(VLOOKUP($A113,Seqs!$A:$B,2,FALSE),VLOOKUP($A113,'SegEnds_NonXtal_Prot#'!A:AL,10,FALSE)+8,1)</f>
        <v>P</v>
      </c>
      <c r="Z113" s="49" t="str">
        <f>MID(VLOOKUP($A113,Seqs!$A:$B,2,FALSE),VLOOKUP($A113,'SegEnds_NonXtal_Prot#'!A:AL,10,FALSE)+9,1)</f>
        <v>L</v>
      </c>
      <c r="AA113" s="49" t="str">
        <f>MID(VLOOKUP($A113,Seqs!$A:$B,2,FALSE),VLOOKUP($A113,'SegEnds_NonXtal_Prot#'!A:AL,10,FALSE)+10,1)</f>
        <v>F</v>
      </c>
      <c r="AB113" s="28" t="str">
        <f>MID(VLOOKUP($A113,Seqs!$A:$B,2,FALSE),VLOOKUP($A113,'SegEnds_NonXtal_Prot#'!$A:$AL,22,FALSE)+6,1)</f>
        <v>L</v>
      </c>
      <c r="AC113" s="49" t="str">
        <f>MID(VLOOKUP($A113,Seqs!$A:$B,2,FALSE),VLOOKUP($A113,'SegEnds_NonXtal_Prot#'!$A:$AL,22,FALSE)+7,1)</f>
        <v>A</v>
      </c>
      <c r="AD113" s="49" t="str">
        <f>MID(VLOOKUP($A113,Seqs!$A:$B,2,FALSE),VLOOKUP($A113,'SegEnds_NonXtal_Prot#'!$A:$AL,22,FALSE)+8,1)</f>
        <v>V</v>
      </c>
      <c r="AE113" s="49" t="str">
        <f>MID(VLOOKUP($A113,Seqs!$A:$B,2,FALSE),VLOOKUP($A113,'SegEnds_NonXtal_Prot#'!$A:$AL,22,FALSE)+9,1)</f>
        <v>P</v>
      </c>
      <c r="AF113" s="49" t="str">
        <f>MID(VLOOKUP($A113,Seqs!$A:$B,2,FALSE),VLOOKUP($A113,'SegEnds_NonXtal_Prot#'!$A:$AL,22,FALSE)+10,1)</f>
        <v>A</v>
      </c>
      <c r="AG113" s="28" t="str">
        <f>MID(VLOOKUP($A113,Seqs!$A:$B,2,FALSE),VLOOKUP($A113,'SegEnds_NonXtal_Prot#'!$A:$AL,28,FALSE)-4,1)</f>
        <v>A</v>
      </c>
      <c r="AH113" s="49" t="str">
        <f>MID(VLOOKUP($A113,Seqs!$A:$B,2,FALSE),VLOOKUP($A113,'SegEnds_NonXtal_Prot#'!$A:$AL,28,FALSE),1)</f>
        <v>P</v>
      </c>
    </row>
    <row r="114" spans="1:34" s="2" customFormat="1" x14ac:dyDescent="0.2">
      <c r="A114" s="2" t="s">
        <v>156</v>
      </c>
      <c r="B114" s="2" t="str">
        <f>LOWER(VLOOKUP(A114,Xtal_Templ!A:B,2,FALSE))</f>
        <v>drd2_human</v>
      </c>
      <c r="C114" s="2" t="str">
        <f>VLOOKUP(A114,Classification!A:D,2,FALSE)</f>
        <v>A</v>
      </c>
      <c r="D114" s="2" t="str">
        <f>IF(ISERROR(MATCH(A114,'SegEnds_Xtal_Prot#'!B:B, 0)), "NoXtal", "Xtal")</f>
        <v>NoXtal</v>
      </c>
      <c r="G114" s="2" t="s">
        <v>5</v>
      </c>
      <c r="H114" s="4"/>
      <c r="R114" s="2" t="s">
        <v>9</v>
      </c>
      <c r="T114" s="4" t="s">
        <v>12</v>
      </c>
      <c r="V114" s="28" t="str">
        <f>MID(VLOOKUP($A114,Seqs!$A:$B,2,FALSE),VLOOKUP($A114,'SegEnds_NonXtal_Prot#'!A:AL,10,FALSE),1)</f>
        <v>D</v>
      </c>
      <c r="W114" s="49" t="str">
        <f>MID(VLOOKUP($A114,Seqs!$A:$B,2,FALSE),VLOOKUP($A114,'SegEnds_NonXtal_Prot#'!A:AL,10,FALSE)+6,1)</f>
        <v>L</v>
      </c>
      <c r="X114" s="49" t="str">
        <f>MID(VLOOKUP($A114,Seqs!$A:$B,2,FALSE),VLOOKUP($A114,'SegEnds_NonXtal_Prot#'!A:AL,10,FALSE)+7,1)</f>
        <v>I</v>
      </c>
      <c r="Y114" s="49" t="str">
        <f>MID(VLOOKUP($A114,Seqs!$A:$B,2,FALSE),VLOOKUP($A114,'SegEnds_NonXtal_Prot#'!A:AL,10,FALSE)+8,1)</f>
        <v>I</v>
      </c>
      <c r="Z114" s="49" t="str">
        <f>MID(VLOOKUP($A114,Seqs!$A:$B,2,FALSE),VLOOKUP($A114,'SegEnds_NonXtal_Prot#'!A:AL,10,FALSE)+9,1)</f>
        <v>P</v>
      </c>
      <c r="AA114" s="49" t="str">
        <f>MID(VLOOKUP($A114,Seqs!$A:$B,2,FALSE),VLOOKUP($A114,'SegEnds_NonXtal_Prot#'!A:AL,10,FALSE)+10,1)</f>
        <v>F</v>
      </c>
      <c r="AB114" s="28" t="str">
        <f>MID(VLOOKUP($A114,Seqs!$A:$B,2,FALSE),VLOOKUP($A114,'SegEnds_NonXtal_Prot#'!$A:$AL,22,FALSE)+6,1)</f>
        <v>I</v>
      </c>
      <c r="AC114" s="49" t="str">
        <f>MID(VLOOKUP($A114,Seqs!$A:$B,2,FALSE),VLOOKUP($A114,'SegEnds_NonXtal_Prot#'!$A:$AL,22,FALSE)+7,1)</f>
        <v>S</v>
      </c>
      <c r="AD114" s="49" t="str">
        <f>MID(VLOOKUP($A114,Seqs!$A:$B,2,FALSE),VLOOKUP($A114,'SegEnds_NonXtal_Prot#'!$A:$AL,22,FALSE)+8,1)</f>
        <v>L</v>
      </c>
      <c r="AE114" s="49" t="str">
        <f>MID(VLOOKUP($A114,Seqs!$A:$B,2,FALSE),VLOOKUP($A114,'SegEnds_NonXtal_Prot#'!$A:$AL,22,FALSE)+9,1)</f>
        <v>P</v>
      </c>
      <c r="AF114" s="49" t="str">
        <f>MID(VLOOKUP($A114,Seqs!$A:$B,2,FALSE),VLOOKUP($A114,'SegEnds_NonXtal_Prot#'!$A:$AL,22,FALSE)+10,1)</f>
        <v>P</v>
      </c>
      <c r="AG114" s="28" t="str">
        <f>MID(VLOOKUP($A114,Seqs!$A:$B,2,FALSE),VLOOKUP($A114,'SegEnds_NonXtal_Prot#'!$A:$AL,28,FALSE)-4,1)</f>
        <v>S</v>
      </c>
      <c r="AH114" s="49" t="str">
        <f>MID(VLOOKUP($A114,Seqs!$A:$B,2,FALSE),VLOOKUP($A114,'SegEnds_NonXtal_Prot#'!$A:$AL,28,FALSE),1)</f>
        <v>P</v>
      </c>
    </row>
    <row r="115" spans="1:34" s="2" customFormat="1" x14ac:dyDescent="0.2">
      <c r="A115" s="2" t="s">
        <v>191</v>
      </c>
      <c r="B115" s="2" t="str">
        <f>LOWER(VLOOKUP(A115,Xtal_Templ!A:B,2,FALSE))</f>
        <v>drd2_human</v>
      </c>
      <c r="C115" s="2" t="str">
        <f>VLOOKUP(A115,Classification!A:D,2,FALSE)</f>
        <v>A</v>
      </c>
      <c r="D115" s="2" t="str">
        <f>IF(ISERROR(MATCH(A115,'SegEnds_Xtal_Prot#'!B:B, 0)), "NoXtal", "Xtal")</f>
        <v>Xtal</v>
      </c>
      <c r="G115" s="2" t="s">
        <v>5</v>
      </c>
      <c r="H115" s="4"/>
      <c r="N115" s="2" t="s">
        <v>14</v>
      </c>
      <c r="R115" s="2" t="s">
        <v>9</v>
      </c>
      <c r="T115" s="4" t="s">
        <v>12</v>
      </c>
      <c r="V115" s="28" t="str">
        <f>MID(VLOOKUP($A115,Seqs!$A:$B,2,FALSE),VLOOKUP($A115,'SegEnds_NonXtal_Prot#'!A:AL,10,FALSE),1)</f>
        <v>D</v>
      </c>
      <c r="W115" s="49" t="str">
        <f>MID(VLOOKUP($A115,Seqs!$A:$B,2,FALSE),VLOOKUP($A115,'SegEnds_NonXtal_Prot#'!A:AL,10,FALSE)+6,1)</f>
        <v>L</v>
      </c>
      <c r="X115" s="49" t="str">
        <f>MID(VLOOKUP($A115,Seqs!$A:$B,2,FALSE),VLOOKUP($A115,'SegEnds_NonXtal_Prot#'!A:AL,10,FALSE)+7,1)</f>
        <v>V</v>
      </c>
      <c r="Y115" s="49" t="str">
        <f>MID(VLOOKUP($A115,Seqs!$A:$B,2,FALSE),VLOOKUP($A115,'SegEnds_NonXtal_Prot#'!A:AL,10,FALSE)+8,1)</f>
        <v>M</v>
      </c>
      <c r="Z115" s="49" t="str">
        <f>MID(VLOOKUP($A115,Seqs!$A:$B,2,FALSE),VLOOKUP($A115,'SegEnds_NonXtal_Prot#'!A:AL,10,FALSE)+9,1)</f>
        <v>P</v>
      </c>
      <c r="AA115" s="49" t="str">
        <f>MID(VLOOKUP($A115,Seqs!$A:$B,2,FALSE),VLOOKUP($A115,'SegEnds_NonXtal_Prot#'!A:AL,10,FALSE)+10,1)</f>
        <v>W</v>
      </c>
      <c r="AB115" s="28" t="str">
        <f>MID(VLOOKUP($A115,Seqs!$A:$B,2,FALSE),VLOOKUP($A115,'SegEnds_NonXtal_Prot#'!$A:$AL,22,FALSE)+6,1)</f>
        <v>I</v>
      </c>
      <c r="AC115" s="49" t="str">
        <f>MID(VLOOKUP($A115,Seqs!$A:$B,2,FALSE),VLOOKUP($A115,'SegEnds_NonXtal_Prot#'!$A:$AL,22,FALSE)+7,1)</f>
        <v>S</v>
      </c>
      <c r="AD115" s="49" t="str">
        <f>MID(VLOOKUP($A115,Seqs!$A:$B,2,FALSE),VLOOKUP($A115,'SegEnds_NonXtal_Prot#'!$A:$AL,22,FALSE)+8,1)</f>
        <v>C</v>
      </c>
      <c r="AE115" s="49" t="str">
        <f>MID(VLOOKUP($A115,Seqs!$A:$B,2,FALSE),VLOOKUP($A115,'SegEnds_NonXtal_Prot#'!$A:$AL,22,FALSE)+9,1)</f>
        <v>P</v>
      </c>
      <c r="AF115" s="49" t="str">
        <f>MID(VLOOKUP($A115,Seqs!$A:$B,2,FALSE),VLOOKUP($A115,'SegEnds_NonXtal_Prot#'!$A:$AL,22,FALSE)+10,1)</f>
        <v>L</v>
      </c>
      <c r="AG115" s="28" t="str">
        <f>MID(VLOOKUP($A115,Seqs!$A:$B,2,FALSE),VLOOKUP($A115,'SegEnds_NonXtal_Prot#'!$A:$AL,28,FALSE)-4,1)</f>
        <v>S</v>
      </c>
      <c r="AH115" s="49" t="str">
        <f>MID(VLOOKUP($A115,Seqs!$A:$B,2,FALSE),VLOOKUP($A115,'SegEnds_NonXtal_Prot#'!$A:$AL,28,FALSE),1)</f>
        <v>P</v>
      </c>
    </row>
    <row r="116" spans="1:34" s="2" customFormat="1" x14ac:dyDescent="0.2">
      <c r="A116" s="2" t="s">
        <v>192</v>
      </c>
      <c r="B116" s="2" t="str">
        <f>LOWER(VLOOKUP(A116,Xtal_Templ!A:B,2,FALSE))</f>
        <v>drd3_human</v>
      </c>
      <c r="C116" s="2" t="str">
        <f>VLOOKUP(A116,Classification!A:D,2,FALSE)</f>
        <v>A</v>
      </c>
      <c r="D116" s="2" t="str">
        <f>IF(ISERROR(MATCH(A116,'SegEnds_Xtal_Prot#'!B:B, 0)), "NoXtal", "Xtal")</f>
        <v>Xtal</v>
      </c>
      <c r="G116" s="2" t="s">
        <v>5</v>
      </c>
      <c r="H116" s="4"/>
      <c r="N116" s="2" t="s">
        <v>14</v>
      </c>
      <c r="R116" s="2" t="s">
        <v>9</v>
      </c>
      <c r="T116" s="4" t="s">
        <v>12</v>
      </c>
      <c r="V116" s="28" t="str">
        <f>MID(VLOOKUP($A116,Seqs!$A:$B,2,FALSE),VLOOKUP($A116,'SegEnds_NonXtal_Prot#'!A:AL,10,FALSE),1)</f>
        <v>D</v>
      </c>
      <c r="W116" s="49" t="str">
        <f>MID(VLOOKUP($A116,Seqs!$A:$B,2,FALSE),VLOOKUP($A116,'SegEnds_NonXtal_Prot#'!A:AL,10,FALSE)+6,1)</f>
        <v>L</v>
      </c>
      <c r="X116" s="49" t="str">
        <f>MID(VLOOKUP($A116,Seqs!$A:$B,2,FALSE),VLOOKUP($A116,'SegEnds_NonXtal_Prot#'!A:AL,10,FALSE)+7,1)</f>
        <v>V</v>
      </c>
      <c r="Y116" s="49" t="str">
        <f>MID(VLOOKUP($A116,Seqs!$A:$B,2,FALSE),VLOOKUP($A116,'SegEnds_NonXtal_Prot#'!A:AL,10,FALSE)+8,1)</f>
        <v>M</v>
      </c>
      <c r="Z116" s="49" t="str">
        <f>MID(VLOOKUP($A116,Seqs!$A:$B,2,FALSE),VLOOKUP($A116,'SegEnds_NonXtal_Prot#'!A:AL,10,FALSE)+9,1)</f>
        <v>P</v>
      </c>
      <c r="AA116" s="49" t="str">
        <f>MID(VLOOKUP($A116,Seqs!$A:$B,2,FALSE),VLOOKUP($A116,'SegEnds_NonXtal_Prot#'!A:AL,10,FALSE)+10,1)</f>
        <v>W</v>
      </c>
      <c r="AB116" s="28" t="str">
        <f>MID(VLOOKUP($A116,Seqs!$A:$B,2,FALSE),VLOOKUP($A116,'SegEnds_NonXtal_Prot#'!$A:$AL,22,FALSE)+6,1)</f>
        <v>V</v>
      </c>
      <c r="AC116" s="49" t="str">
        <f>MID(VLOOKUP($A116,Seqs!$A:$B,2,FALSE),VLOOKUP($A116,'SegEnds_NonXtal_Prot#'!$A:$AL,22,FALSE)+7,1)</f>
        <v>S</v>
      </c>
      <c r="AD116" s="49" t="str">
        <f>MID(VLOOKUP($A116,Seqs!$A:$B,2,FALSE),VLOOKUP($A116,'SegEnds_NonXtal_Prot#'!$A:$AL,22,FALSE)+8,1)</f>
        <v>C</v>
      </c>
      <c r="AE116" s="49" t="str">
        <f>MID(VLOOKUP($A116,Seqs!$A:$B,2,FALSE),VLOOKUP($A116,'SegEnds_NonXtal_Prot#'!$A:$AL,22,FALSE)+9,1)</f>
        <v>P</v>
      </c>
      <c r="AF116" s="49" t="str">
        <f>MID(VLOOKUP($A116,Seqs!$A:$B,2,FALSE),VLOOKUP($A116,'SegEnds_NonXtal_Prot#'!$A:$AL,22,FALSE)+10,1)</f>
        <v>L</v>
      </c>
      <c r="AG116" s="28" t="str">
        <f>MID(VLOOKUP($A116,Seqs!$A:$B,2,FALSE),VLOOKUP($A116,'SegEnds_NonXtal_Prot#'!$A:$AL,28,FALSE)-4,1)</f>
        <v>S</v>
      </c>
      <c r="AH116" s="49" t="str">
        <f>MID(VLOOKUP($A116,Seqs!$A:$B,2,FALSE),VLOOKUP($A116,'SegEnds_NonXtal_Prot#'!$A:$AL,28,FALSE),1)</f>
        <v>P</v>
      </c>
    </row>
    <row r="117" spans="1:34" s="2" customFormat="1" x14ac:dyDescent="0.2">
      <c r="A117" s="2" t="s">
        <v>193</v>
      </c>
      <c r="B117" s="2" t="str">
        <f>LOWER(VLOOKUP(A117,Xtal_Templ!A:B,2,FALSE))</f>
        <v>drd4_human</v>
      </c>
      <c r="C117" s="2" t="str">
        <f>VLOOKUP(A117,Classification!A:D,2,FALSE)</f>
        <v>A</v>
      </c>
      <c r="D117" s="2" t="str">
        <f>IF(ISERROR(MATCH(A117,'SegEnds_Xtal_Prot#'!B:B, 0)), "NoXtal", "Xtal")</f>
        <v>Xtal</v>
      </c>
      <c r="G117" s="2" t="s">
        <v>5</v>
      </c>
      <c r="H117" s="4"/>
      <c r="N117" s="2" t="s">
        <v>14</v>
      </c>
      <c r="R117" s="2" t="s">
        <v>9</v>
      </c>
      <c r="T117" s="4" t="s">
        <v>12</v>
      </c>
      <c r="V117" s="28" t="str">
        <f>MID(VLOOKUP($A117,Seqs!$A:$B,2,FALSE),VLOOKUP($A117,'SegEnds_NonXtal_Prot#'!A:AL,10,FALSE),1)</f>
        <v>D</v>
      </c>
      <c r="W117" s="49" t="str">
        <f>MID(VLOOKUP($A117,Seqs!$A:$B,2,FALSE),VLOOKUP($A117,'SegEnds_NonXtal_Prot#'!A:AL,10,FALSE)+6,1)</f>
        <v>L</v>
      </c>
      <c r="X117" s="49" t="str">
        <f>MID(VLOOKUP($A117,Seqs!$A:$B,2,FALSE),VLOOKUP($A117,'SegEnds_NonXtal_Prot#'!A:AL,10,FALSE)+7,1)</f>
        <v>V</v>
      </c>
      <c r="Y117" s="49" t="str">
        <f>MID(VLOOKUP($A117,Seqs!$A:$B,2,FALSE),VLOOKUP($A117,'SegEnds_NonXtal_Prot#'!A:AL,10,FALSE)+8,1)</f>
        <v>L</v>
      </c>
      <c r="Z117" s="49" t="str">
        <f>MID(VLOOKUP($A117,Seqs!$A:$B,2,FALSE),VLOOKUP($A117,'SegEnds_NonXtal_Prot#'!A:AL,10,FALSE)+9,1)</f>
        <v>P</v>
      </c>
      <c r="AA117" s="49" t="str">
        <f>MID(VLOOKUP($A117,Seqs!$A:$B,2,FALSE),VLOOKUP($A117,'SegEnds_NonXtal_Prot#'!A:AL,10,FALSE)+10,1)</f>
        <v>L</v>
      </c>
      <c r="AB117" s="28" t="str">
        <f>MID(VLOOKUP($A117,Seqs!$A:$B,2,FALSE),VLOOKUP($A117,'SegEnds_NonXtal_Prot#'!$A:$AL,22,FALSE)+6,1)</f>
        <v>V</v>
      </c>
      <c r="AC117" s="49" t="str">
        <f>MID(VLOOKUP($A117,Seqs!$A:$B,2,FALSE),VLOOKUP($A117,'SegEnds_NonXtal_Prot#'!$A:$AL,22,FALSE)+7,1)</f>
        <v>A</v>
      </c>
      <c r="AD117" s="49" t="str">
        <f>MID(VLOOKUP($A117,Seqs!$A:$B,2,FALSE),VLOOKUP($A117,'SegEnds_NonXtal_Prot#'!$A:$AL,22,FALSE)+8,1)</f>
        <v>A</v>
      </c>
      <c r="AE117" s="49" t="str">
        <f>MID(VLOOKUP($A117,Seqs!$A:$B,2,FALSE),VLOOKUP($A117,'SegEnds_NonXtal_Prot#'!$A:$AL,22,FALSE)+9,1)</f>
        <v>P</v>
      </c>
      <c r="AF117" s="49" t="str">
        <f>MID(VLOOKUP($A117,Seqs!$A:$B,2,FALSE),VLOOKUP($A117,'SegEnds_NonXtal_Prot#'!$A:$AL,22,FALSE)+10,1)</f>
        <v>V</v>
      </c>
      <c r="AG117" s="28" t="str">
        <f>MID(VLOOKUP($A117,Seqs!$A:$B,2,FALSE),VLOOKUP($A117,'SegEnds_NonXtal_Prot#'!$A:$AL,28,FALSE)-4,1)</f>
        <v>S</v>
      </c>
      <c r="AH117" s="49" t="str">
        <f>MID(VLOOKUP($A117,Seqs!$A:$B,2,FALSE),VLOOKUP($A117,'SegEnds_NonXtal_Prot#'!$A:$AL,28,FALSE),1)</f>
        <v>P</v>
      </c>
    </row>
    <row r="118" spans="1:34" s="2" customFormat="1" x14ac:dyDescent="0.2">
      <c r="A118" s="2" t="s">
        <v>263</v>
      </c>
      <c r="B118" s="2" t="str">
        <f>LOWER(VLOOKUP(A118,Xtal_Templ!A:B,2,FALSE))</f>
        <v>ox2r_human</v>
      </c>
      <c r="C118" s="2" t="str">
        <f>VLOOKUP(A118,Classification!A:D,2,FALSE)</f>
        <v>A</v>
      </c>
      <c r="D118" s="2" t="str">
        <f>IF(ISERROR(MATCH(A118,'SegEnds_Xtal_Prot#'!B:B, 0)), "NoXtal", "Xtal")</f>
        <v>NoXtal</v>
      </c>
      <c r="G118" s="2" t="s">
        <v>5</v>
      </c>
      <c r="H118" s="4"/>
      <c r="R118" s="2" t="s">
        <v>9</v>
      </c>
      <c r="T118" s="4" t="s">
        <v>12</v>
      </c>
      <c r="V118" s="28" t="str">
        <f>MID(VLOOKUP($A118,Seqs!$A:$B,2,FALSE),VLOOKUP($A118,'SegEnds_NonXtal_Prot#'!A:AL,10,FALSE),1)</f>
        <v>D</v>
      </c>
      <c r="W118" s="49" t="str">
        <f>MID(VLOOKUP($A118,Seqs!$A:$B,2,FALSE),VLOOKUP($A118,'SegEnds_NonXtal_Prot#'!A:AL,10,FALSE)+6,1)</f>
        <v>T</v>
      </c>
      <c r="X118" s="49" t="str">
        <f>MID(VLOOKUP($A118,Seqs!$A:$B,2,FALSE),VLOOKUP($A118,'SegEnds_NonXtal_Prot#'!A:AL,10,FALSE)+7,1)</f>
        <v>L</v>
      </c>
      <c r="Y118" s="49" t="str">
        <f>MID(VLOOKUP($A118,Seqs!$A:$B,2,FALSE),VLOOKUP($A118,'SegEnds_NonXtal_Prot#'!A:AL,10,FALSE)+8,1)</f>
        <v>M</v>
      </c>
      <c r="Z118" s="49" t="str">
        <f>MID(VLOOKUP($A118,Seqs!$A:$B,2,FALSE),VLOOKUP($A118,'SegEnds_NonXtal_Prot#'!A:AL,10,FALSE)+9,1)</f>
        <v>P</v>
      </c>
      <c r="AA118" s="49" t="str">
        <f>MID(VLOOKUP($A118,Seqs!$A:$B,2,FALSE),VLOOKUP($A118,'SegEnds_NonXtal_Prot#'!A:AL,10,FALSE)+10,1)</f>
        <v>L</v>
      </c>
      <c r="AB118" s="28" t="str">
        <f>MID(VLOOKUP($A118,Seqs!$A:$B,2,FALSE),VLOOKUP($A118,'SegEnds_NonXtal_Prot#'!$A:$AL,22,FALSE)+6,1)</f>
        <v>M</v>
      </c>
      <c r="AC118" s="49" t="str">
        <f>MID(VLOOKUP($A118,Seqs!$A:$B,2,FALSE),VLOOKUP($A118,'SegEnds_NonXtal_Prot#'!$A:$AL,22,FALSE)+7,1)</f>
        <v>A</v>
      </c>
      <c r="AD118" s="49" t="str">
        <f>MID(VLOOKUP($A118,Seqs!$A:$B,2,FALSE),VLOOKUP($A118,'SegEnds_NonXtal_Prot#'!$A:$AL,22,FALSE)+8,1)</f>
        <v>S</v>
      </c>
      <c r="AE118" s="49" t="str">
        <f>MID(VLOOKUP($A118,Seqs!$A:$B,2,FALSE),VLOOKUP($A118,'SegEnds_NonXtal_Prot#'!$A:$AL,22,FALSE)+9,1)</f>
        <v>V</v>
      </c>
      <c r="AF118" s="49" t="str">
        <f>MID(VLOOKUP($A118,Seqs!$A:$B,2,FALSE),VLOOKUP($A118,'SegEnds_NonXtal_Prot#'!$A:$AL,22,FALSE)+10,1)</f>
        <v>P</v>
      </c>
      <c r="AG118" s="28" t="str">
        <f>MID(VLOOKUP($A118,Seqs!$A:$B,2,FALSE),VLOOKUP($A118,'SegEnds_NonXtal_Prot#'!$A:$AL,28,FALSE)-4,1)</f>
        <v>Y</v>
      </c>
      <c r="AH118" s="49" t="str">
        <f>MID(VLOOKUP($A118,Seqs!$A:$B,2,FALSE),VLOOKUP($A118,'SegEnds_NonXtal_Prot#'!$A:$AL,28,FALSE),1)</f>
        <v>P</v>
      </c>
    </row>
    <row r="119" spans="1:34" s="2" customFormat="1" x14ac:dyDescent="0.2">
      <c r="A119" s="2" t="s">
        <v>264</v>
      </c>
      <c r="B119" s="2" t="str">
        <f>LOWER(VLOOKUP(A119,Xtal_Templ!A:B,2,FALSE))</f>
        <v>drd3_human</v>
      </c>
      <c r="C119" s="2" t="str">
        <f>VLOOKUP(A119,Classification!A:D,2,FALSE)</f>
        <v>A</v>
      </c>
      <c r="D119" s="2" t="str">
        <f>IF(ISERROR(MATCH(A119,'SegEnds_Xtal_Prot#'!B:B, 0)), "NoXtal", "Xtal")</f>
        <v>NoXtal</v>
      </c>
      <c r="G119" s="2" t="s">
        <v>5</v>
      </c>
      <c r="H119" s="4"/>
      <c r="R119" s="2" t="s">
        <v>9</v>
      </c>
      <c r="T119" s="4" t="s">
        <v>12</v>
      </c>
      <c r="V119" s="28" t="str">
        <f>MID(VLOOKUP($A119,Seqs!$A:$B,2,FALSE),VLOOKUP($A119,'SegEnds_NonXtal_Prot#'!A:AL,10,FALSE),1)</f>
        <v>D</v>
      </c>
      <c r="W119" s="49" t="str">
        <f>MID(VLOOKUP($A119,Seqs!$A:$B,2,FALSE),VLOOKUP($A119,'SegEnds_NonXtal_Prot#'!A:AL,10,FALSE)+6,1)</f>
        <v>S</v>
      </c>
      <c r="X119" s="49" t="str">
        <f>MID(VLOOKUP($A119,Seqs!$A:$B,2,FALSE),VLOOKUP($A119,'SegEnds_NonXtal_Prot#'!A:AL,10,FALSE)+7,1)</f>
        <v>I</v>
      </c>
      <c r="Y119" s="49" t="str">
        <f>MID(VLOOKUP($A119,Seqs!$A:$B,2,FALSE),VLOOKUP($A119,'SegEnds_NonXtal_Prot#'!A:AL,10,FALSE)+8,1)</f>
        <v>M</v>
      </c>
      <c r="Z119" s="49" t="str">
        <f>MID(VLOOKUP($A119,Seqs!$A:$B,2,FALSE),VLOOKUP($A119,'SegEnds_NonXtal_Prot#'!A:AL,10,FALSE)+9,1)</f>
        <v>P</v>
      </c>
      <c r="AA119" s="49" t="str">
        <f>MID(VLOOKUP($A119,Seqs!$A:$B,2,FALSE),VLOOKUP($A119,'SegEnds_NonXtal_Prot#'!A:AL,10,FALSE)+10,1)</f>
        <v>L</v>
      </c>
      <c r="AB119" s="28" t="str">
        <f>MID(VLOOKUP($A119,Seqs!$A:$B,2,FALSE),VLOOKUP($A119,'SegEnds_NonXtal_Prot#'!$A:$AL,22,FALSE)+6,1)</f>
        <v>L</v>
      </c>
      <c r="AC119" s="49" t="str">
        <f>MID(VLOOKUP($A119,Seqs!$A:$B,2,FALSE),VLOOKUP($A119,'SegEnds_NonXtal_Prot#'!$A:$AL,22,FALSE)+7,1)</f>
        <v>G</v>
      </c>
      <c r="AD119" s="49" t="str">
        <f>MID(VLOOKUP($A119,Seqs!$A:$B,2,FALSE),VLOOKUP($A119,'SegEnds_NonXtal_Prot#'!$A:$AL,22,FALSE)+8,1)</f>
        <v>A</v>
      </c>
      <c r="AE119" s="49" t="str">
        <f>MID(VLOOKUP($A119,Seqs!$A:$B,2,FALSE),VLOOKUP($A119,'SegEnds_NonXtal_Prot#'!$A:$AL,22,FALSE)+9,1)</f>
        <v>L</v>
      </c>
      <c r="AF119" s="49" t="str">
        <f>MID(VLOOKUP($A119,Seqs!$A:$B,2,FALSE),VLOOKUP($A119,'SegEnds_NonXtal_Prot#'!$A:$AL,22,FALSE)+10,1)</f>
        <v>S</v>
      </c>
      <c r="AG119" s="28" t="str">
        <f>MID(VLOOKUP($A119,Seqs!$A:$B,2,FALSE),VLOOKUP($A119,'SegEnds_NonXtal_Prot#'!$A:$AL,28,FALSE)-4,1)</f>
        <v>A</v>
      </c>
      <c r="AH119" s="49" t="str">
        <f>MID(VLOOKUP($A119,Seqs!$A:$B,2,FALSE),VLOOKUP($A119,'SegEnds_NonXtal_Prot#'!$A:$AL,28,FALSE),1)</f>
        <v>P</v>
      </c>
    </row>
    <row r="120" spans="1:34" s="2" customFormat="1" x14ac:dyDescent="0.2">
      <c r="A120" s="2" t="s">
        <v>266</v>
      </c>
      <c r="B120" s="2" t="str">
        <f>LOWER(VLOOKUP(A120,Xtal_Templ!A:B,2,FALSE))</f>
        <v>drd2_human</v>
      </c>
      <c r="C120" s="2" t="str">
        <f>VLOOKUP(A120,Classification!A:D,2,FALSE)</f>
        <v>A</v>
      </c>
      <c r="D120" s="2" t="str">
        <f>IF(ISERROR(MATCH(A120,'SegEnds_Xtal_Prot#'!B:B, 0)), "NoXtal", "Xtal")</f>
        <v>NoXtal</v>
      </c>
      <c r="G120" s="2" t="s">
        <v>5</v>
      </c>
      <c r="H120" s="4"/>
      <c r="T120" s="4" t="s">
        <v>12</v>
      </c>
      <c r="V120" s="28" t="str">
        <f>MID(VLOOKUP($A120,Seqs!$A:$B,2,FALSE),VLOOKUP($A120,'SegEnds_NonXtal_Prot#'!A:AL,10,FALSE),1)</f>
        <v>D</v>
      </c>
      <c r="W120" s="49" t="str">
        <f>MID(VLOOKUP($A120,Seqs!$A:$B,2,FALSE),VLOOKUP($A120,'SegEnds_NonXtal_Prot#'!A:AL,10,FALSE)+6,1)</f>
        <v>V</v>
      </c>
      <c r="X120" s="49" t="str">
        <f>MID(VLOOKUP($A120,Seqs!$A:$B,2,FALSE),VLOOKUP($A120,'SegEnds_NonXtal_Prot#'!A:AL,10,FALSE)+7,1)</f>
        <v>T</v>
      </c>
      <c r="Y120" s="49" t="str">
        <f>MID(VLOOKUP($A120,Seqs!$A:$B,2,FALSE),VLOOKUP($A120,'SegEnds_NonXtal_Prot#'!A:AL,10,FALSE)+8,1)</f>
        <v>A</v>
      </c>
      <c r="Z120" s="49" t="str">
        <f>MID(VLOOKUP($A120,Seqs!$A:$B,2,FALSE),VLOOKUP($A120,'SegEnds_NonXtal_Prot#'!A:AL,10,FALSE)+9,1)</f>
        <v>P</v>
      </c>
      <c r="AA120" s="49" t="str">
        <f>MID(VLOOKUP($A120,Seqs!$A:$B,2,FALSE),VLOOKUP($A120,'SegEnds_NonXtal_Prot#'!A:AL,10,FALSE)+10,1)</f>
        <v>M</v>
      </c>
      <c r="AB120" s="28" t="str">
        <f>MID(VLOOKUP($A120,Seqs!$A:$B,2,FALSE),VLOOKUP($A120,'SegEnds_NonXtal_Prot#'!$A:$AL,22,FALSE)+6,1)</f>
        <v>L</v>
      </c>
      <c r="AC120" s="49" t="str">
        <f>MID(VLOOKUP($A120,Seqs!$A:$B,2,FALSE),VLOOKUP($A120,'SegEnds_NonXtal_Prot#'!$A:$AL,22,FALSE)+7,1)</f>
        <v>A</v>
      </c>
      <c r="AD120" s="49" t="str">
        <f>MID(VLOOKUP($A120,Seqs!$A:$B,2,FALSE),VLOOKUP($A120,'SegEnds_NonXtal_Prot#'!$A:$AL,22,FALSE)+8,1)</f>
        <v>T</v>
      </c>
      <c r="AE120" s="49" t="str">
        <f>MID(VLOOKUP($A120,Seqs!$A:$B,2,FALSE),VLOOKUP($A120,'SegEnds_NonXtal_Prot#'!$A:$AL,22,FALSE)+9,1)</f>
        <v>L</v>
      </c>
      <c r="AF120" s="49" t="str">
        <f>MID(VLOOKUP($A120,Seqs!$A:$B,2,FALSE),VLOOKUP($A120,'SegEnds_NonXtal_Prot#'!$A:$AL,22,FALSE)+10,1)</f>
        <v>A</v>
      </c>
      <c r="AG120" s="28" t="str">
        <f>MID(VLOOKUP($A120,Seqs!$A:$B,2,FALSE),VLOOKUP($A120,'SegEnds_NonXtal_Prot#'!$A:$AL,28,FALSE)-4,1)</f>
        <v>D</v>
      </c>
      <c r="AH120" s="49" t="str">
        <f>MID(VLOOKUP($A120,Seqs!$A:$B,2,FALSE),VLOOKUP($A120,'SegEnds_NonXtal_Prot#'!$A:$AL,28,FALSE),1)</f>
        <v>C</v>
      </c>
    </row>
    <row r="121" spans="1:34" s="2" customFormat="1" x14ac:dyDescent="0.2">
      <c r="A121" s="2" t="s">
        <v>273</v>
      </c>
      <c r="B121" s="2" t="str">
        <f>LOWER(VLOOKUP(A121,Xtal_Templ!A:B,2,FALSE))</f>
        <v>ox1r_human</v>
      </c>
      <c r="C121" s="2" t="str">
        <f>VLOOKUP(A121,Classification!A:D,2,FALSE)</f>
        <v>A</v>
      </c>
      <c r="D121" s="2" t="str">
        <f>IF(ISERROR(MATCH(A121,'SegEnds_Xtal_Prot#'!B:B, 0)), "NoXtal", "Xtal")</f>
        <v>NoXtal</v>
      </c>
      <c r="G121" s="2" t="s">
        <v>5</v>
      </c>
      <c r="H121" s="4"/>
      <c r="R121" s="2" t="s">
        <v>9</v>
      </c>
      <c r="T121" s="4" t="s">
        <v>12</v>
      </c>
      <c r="V121" s="28" t="str">
        <f>MID(VLOOKUP($A121,Seqs!$A:$B,2,FALSE),VLOOKUP($A121,'SegEnds_NonXtal_Prot#'!A:AL,10,FALSE),1)</f>
        <v>D</v>
      </c>
      <c r="W121" s="49" t="str">
        <f>MID(VLOOKUP($A121,Seqs!$A:$B,2,FALSE),VLOOKUP($A121,'SegEnds_NonXtal_Prot#'!A:AL,10,FALSE)+6,1)</f>
        <v>L</v>
      </c>
      <c r="X121" s="49" t="str">
        <f>MID(VLOOKUP($A121,Seqs!$A:$B,2,FALSE),VLOOKUP($A121,'SegEnds_NonXtal_Prot#'!A:AL,10,FALSE)+7,1)</f>
        <v>W</v>
      </c>
      <c r="Y121" s="49" t="str">
        <f>MID(VLOOKUP($A121,Seqs!$A:$B,2,FALSE),VLOOKUP($A121,'SegEnds_NonXtal_Prot#'!A:AL,10,FALSE)+8,1)</f>
        <v>M</v>
      </c>
      <c r="Z121" s="49" t="str">
        <f>MID(VLOOKUP($A121,Seqs!$A:$B,2,FALSE),VLOOKUP($A121,'SegEnds_NonXtal_Prot#'!A:AL,10,FALSE)+9,1)</f>
        <v>P</v>
      </c>
      <c r="AA121" s="49" t="str">
        <f>MID(VLOOKUP($A121,Seqs!$A:$B,2,FALSE),VLOOKUP($A121,'SegEnds_NonXtal_Prot#'!A:AL,10,FALSE)+10,1)</f>
        <v>Q</v>
      </c>
      <c r="AB121" s="28" t="str">
        <f>MID(VLOOKUP($A121,Seqs!$A:$B,2,FALSE),VLOOKUP($A121,'SegEnds_NonXtal_Prot#'!$A:$AL,22,FALSE)+6,1)</f>
        <v>L</v>
      </c>
      <c r="AC121" s="49" t="str">
        <f>MID(VLOOKUP($A121,Seqs!$A:$B,2,FALSE),VLOOKUP($A121,'SegEnds_NonXtal_Prot#'!$A:$AL,22,FALSE)+7,1)</f>
        <v>V</v>
      </c>
      <c r="AD121" s="49" t="str">
        <f>MID(VLOOKUP($A121,Seqs!$A:$B,2,FALSE),VLOOKUP($A121,'SegEnds_NonXtal_Prot#'!$A:$AL,22,FALSE)+8,1)</f>
        <v>L</v>
      </c>
      <c r="AE121" s="49" t="str">
        <f>MID(VLOOKUP($A121,Seqs!$A:$B,2,FALSE),VLOOKUP($A121,'SegEnds_NonXtal_Prot#'!$A:$AL,22,FALSE)+9,1)</f>
        <v>L</v>
      </c>
      <c r="AF121" s="49" t="str">
        <f>MID(VLOOKUP($A121,Seqs!$A:$B,2,FALSE),VLOOKUP($A121,'SegEnds_NonXtal_Prot#'!$A:$AL,22,FALSE)+10,1)</f>
        <v>L</v>
      </c>
      <c r="AG121" s="28" t="str">
        <f>MID(VLOOKUP($A121,Seqs!$A:$B,2,FALSE),VLOOKUP($A121,'SegEnds_NonXtal_Prot#'!$A:$AL,28,FALSE)-4,1)</f>
        <v>L</v>
      </c>
      <c r="AH121" s="49" t="str">
        <f>MID(VLOOKUP($A121,Seqs!$A:$B,2,FALSE),VLOOKUP($A121,'SegEnds_NonXtal_Prot#'!$A:$AL,28,FALSE),1)</f>
        <v>P</v>
      </c>
    </row>
    <row r="122" spans="1:34" s="2" customFormat="1" x14ac:dyDescent="0.2">
      <c r="A122" s="2" t="s">
        <v>366</v>
      </c>
      <c r="B122" s="2" t="str">
        <f>LOWER(VLOOKUP(A122,Xtal_Templ!A:B,2,FALSE))</f>
        <v>pe2r4_human</v>
      </c>
      <c r="C122" s="2" t="str">
        <f>VLOOKUP(A122,Classification!A:D,2,FALSE)</f>
        <v>A</v>
      </c>
      <c r="D122" s="2" t="str">
        <f>IF(ISERROR(MATCH(A122,'SegEnds_Xtal_Prot#'!B:B, 0)), "NoXtal", "Xtal")</f>
        <v>NoXtal</v>
      </c>
      <c r="G122" s="2" t="s">
        <v>5</v>
      </c>
      <c r="H122" s="4"/>
      <c r="T122" s="4" t="s">
        <v>12</v>
      </c>
      <c r="V122" s="28" t="str">
        <f>MID(VLOOKUP($A122,Seqs!$A:$B,2,FALSE),VLOOKUP($A122,'SegEnds_NonXtal_Prot#'!A:AL,10,FALSE),1)</f>
        <v>D</v>
      </c>
      <c r="W122" s="49" t="str">
        <f>MID(VLOOKUP($A122,Seqs!$A:$B,2,FALSE),VLOOKUP($A122,'SegEnds_NonXtal_Prot#'!A:AL,10,FALSE)+6,1)</f>
        <v>F</v>
      </c>
      <c r="X122" s="49" t="str">
        <f>MID(VLOOKUP($A122,Seqs!$A:$B,2,FALSE),VLOOKUP($A122,'SegEnds_NonXtal_Prot#'!A:AL,10,FALSE)+7,1)</f>
        <v>L</v>
      </c>
      <c r="Y122" s="49" t="str">
        <f>MID(VLOOKUP($A122,Seqs!$A:$B,2,FALSE),VLOOKUP($A122,'SegEnds_NonXtal_Prot#'!A:AL,10,FALSE)+8,1)</f>
        <v>S</v>
      </c>
      <c r="Z122" s="49" t="str">
        <f>MID(VLOOKUP($A122,Seqs!$A:$B,2,FALSE),VLOOKUP($A122,'SegEnds_NonXtal_Prot#'!A:AL,10,FALSE)+9,1)</f>
        <v>P</v>
      </c>
      <c r="AA122" s="49" t="str">
        <f>MID(VLOOKUP($A122,Seqs!$A:$B,2,FALSE),VLOOKUP($A122,'SegEnds_NonXtal_Prot#'!A:AL,10,FALSE)+10,1)</f>
        <v>A</v>
      </c>
      <c r="AB122" s="28" t="str">
        <f>MID(VLOOKUP($A122,Seqs!$A:$B,2,FALSE),VLOOKUP($A122,'SegEnds_NonXtal_Prot#'!$A:$AL,22,FALSE)+6,1)</f>
        <v>F</v>
      </c>
      <c r="AC122" s="49" t="str">
        <f>MID(VLOOKUP($A122,Seqs!$A:$B,2,FALSE),VLOOKUP($A122,'SegEnds_NonXtal_Prot#'!$A:$AL,22,FALSE)+7,1)</f>
        <v>C</v>
      </c>
      <c r="AD122" s="49" t="str">
        <f>MID(VLOOKUP($A122,Seqs!$A:$B,2,FALSE),VLOOKUP($A122,'SegEnds_NonXtal_Prot#'!$A:$AL,22,FALSE)+8,1)</f>
        <v>A</v>
      </c>
      <c r="AE122" s="49" t="str">
        <f>MID(VLOOKUP($A122,Seqs!$A:$B,2,FALSE),VLOOKUP($A122,'SegEnds_NonXtal_Prot#'!$A:$AL,22,FALSE)+9,1)</f>
        <v>L</v>
      </c>
      <c r="AF122" s="49" t="str">
        <f>MID(VLOOKUP($A122,Seqs!$A:$B,2,FALSE),VLOOKUP($A122,'SegEnds_NonXtal_Prot#'!$A:$AL,22,FALSE)+10,1)</f>
        <v>P</v>
      </c>
      <c r="AG122" s="28" t="str">
        <f>MID(VLOOKUP($A122,Seqs!$A:$B,2,FALSE),VLOOKUP($A122,'SegEnds_NonXtal_Prot#'!$A:$AL,28,FALSE)-4,1)</f>
        <v>A</v>
      </c>
      <c r="AH122" s="49" t="str">
        <f>MID(VLOOKUP($A122,Seqs!$A:$B,2,FALSE),VLOOKUP($A122,'SegEnds_NonXtal_Prot#'!$A:$AL,28,FALSE),1)</f>
        <v>A</v>
      </c>
    </row>
    <row r="123" spans="1:34" s="2" customFormat="1" x14ac:dyDescent="0.2">
      <c r="A123" s="2" t="s">
        <v>195</v>
      </c>
      <c r="B123" s="2" t="str">
        <f>LOWER(VLOOKUP(A123,Xtal_Templ!A:B,2,FALSE))</f>
        <v>ednrb_human</v>
      </c>
      <c r="C123" s="2" t="str">
        <f>VLOOKUP(A123,Classification!A:D,2,FALSE)</f>
        <v>A</v>
      </c>
      <c r="D123" s="2" t="str">
        <f>IF(ISERROR(MATCH(A123,'SegEnds_Xtal_Prot#'!B:B, 0)), "NoXtal", "Xtal")</f>
        <v>NoXtal</v>
      </c>
      <c r="G123" s="2" t="s">
        <v>5</v>
      </c>
      <c r="H123" s="4"/>
      <c r="N123" s="2" t="s">
        <v>14</v>
      </c>
      <c r="R123" s="2" t="s">
        <v>9</v>
      </c>
      <c r="T123" s="4" t="s">
        <v>12</v>
      </c>
      <c r="V123" s="28" t="str">
        <f>MID(VLOOKUP($A123,Seqs!$A:$B,2,FALSE),VLOOKUP($A123,'SegEnds_NonXtal_Prot#'!A:AL,10,FALSE),1)</f>
        <v>D</v>
      </c>
      <c r="W123" s="49" t="str">
        <f>MID(VLOOKUP($A123,Seqs!$A:$B,2,FALSE),VLOOKUP($A123,'SegEnds_NonXtal_Prot#'!A:AL,10,FALSE)+6,1)</f>
        <v>I</v>
      </c>
      <c r="X123" s="49" t="str">
        <f>MID(VLOOKUP($A123,Seqs!$A:$B,2,FALSE),VLOOKUP($A123,'SegEnds_NonXtal_Prot#'!A:AL,10,FALSE)+7,1)</f>
        <v>D</v>
      </c>
      <c r="Y123" s="49" t="str">
        <f>MID(VLOOKUP($A123,Seqs!$A:$B,2,FALSE),VLOOKUP($A123,'SegEnds_NonXtal_Prot#'!A:AL,10,FALSE)+8,1)</f>
        <v>L</v>
      </c>
      <c r="Z123" s="49" t="str">
        <f>MID(VLOOKUP($A123,Seqs!$A:$B,2,FALSE),VLOOKUP($A123,'SegEnds_NonXtal_Prot#'!A:AL,10,FALSE)+9,1)</f>
        <v>P</v>
      </c>
      <c r="AA123" s="49" t="str">
        <f>MID(VLOOKUP($A123,Seqs!$A:$B,2,FALSE),VLOOKUP($A123,'SegEnds_NonXtal_Prot#'!A:AL,10,FALSE)+10,1)</f>
        <v>I</v>
      </c>
      <c r="AB123" s="28" t="str">
        <f>MID(VLOOKUP($A123,Seqs!$A:$B,2,FALSE),VLOOKUP($A123,'SegEnds_NonXtal_Prot#'!$A:$AL,22,FALSE)+6,1)</f>
        <v>L</v>
      </c>
      <c r="AC123" s="49" t="str">
        <f>MID(VLOOKUP($A123,Seqs!$A:$B,2,FALSE),VLOOKUP($A123,'SegEnds_NonXtal_Prot#'!$A:$AL,22,FALSE)+7,1)</f>
        <v>A</v>
      </c>
      <c r="AD123" s="49" t="str">
        <f>MID(VLOOKUP($A123,Seqs!$A:$B,2,FALSE),VLOOKUP($A123,'SegEnds_NonXtal_Prot#'!$A:$AL,22,FALSE)+8,1)</f>
        <v>I</v>
      </c>
      <c r="AE123" s="49" t="str">
        <f>MID(VLOOKUP($A123,Seqs!$A:$B,2,FALSE),VLOOKUP($A123,'SegEnds_NonXtal_Prot#'!$A:$AL,22,FALSE)+9,1)</f>
        <v>P</v>
      </c>
      <c r="AF123" s="49" t="str">
        <f>MID(VLOOKUP($A123,Seqs!$A:$B,2,FALSE),VLOOKUP($A123,'SegEnds_NonXtal_Prot#'!$A:$AL,22,FALSE)+10,1)</f>
        <v>E</v>
      </c>
      <c r="AG123" s="28" t="str">
        <f>MID(VLOOKUP($A123,Seqs!$A:$B,2,FALSE),VLOOKUP($A123,'SegEnds_NonXtal_Prot#'!$A:$AL,28,FALSE)-4,1)</f>
        <v>Y</v>
      </c>
      <c r="AH123" s="49" t="str">
        <f>MID(VLOOKUP($A123,Seqs!$A:$B,2,FALSE),VLOOKUP($A123,'SegEnds_NonXtal_Prot#'!$A:$AL,28,FALSE),1)</f>
        <v>P</v>
      </c>
    </row>
    <row r="124" spans="1:34" s="2" customFormat="1" x14ac:dyDescent="0.2">
      <c r="A124" s="2" t="s">
        <v>196</v>
      </c>
      <c r="B124" s="2" t="str">
        <f>LOWER(VLOOKUP(A124,Xtal_Templ!A:B,2,FALSE))</f>
        <v>ednrb_human</v>
      </c>
      <c r="C124" s="2" t="str">
        <f>VLOOKUP(A124,Classification!A:D,2,FALSE)</f>
        <v>A</v>
      </c>
      <c r="D124" s="2" t="str">
        <f>IF(ISERROR(MATCH(A124,'SegEnds_Xtal_Prot#'!B:B, 0)), "NoXtal", "Xtal")</f>
        <v>Xtal</v>
      </c>
      <c r="G124" s="2" t="s">
        <v>5</v>
      </c>
      <c r="H124" s="4"/>
      <c r="N124" s="2" t="s">
        <v>14</v>
      </c>
      <c r="R124" s="2" t="s">
        <v>9</v>
      </c>
      <c r="T124" s="4" t="s">
        <v>12</v>
      </c>
      <c r="V124" s="28" t="str">
        <f>MID(VLOOKUP($A124,Seqs!$A:$B,2,FALSE),VLOOKUP($A124,'SegEnds_NonXtal_Prot#'!A:AL,10,FALSE),1)</f>
        <v>D</v>
      </c>
      <c r="W124" s="49" t="str">
        <f>MID(VLOOKUP($A124,Seqs!$A:$B,2,FALSE),VLOOKUP($A124,'SegEnds_NonXtal_Prot#'!A:AL,10,FALSE)+6,1)</f>
        <v>I</v>
      </c>
      <c r="X124" s="49" t="str">
        <f>MID(VLOOKUP($A124,Seqs!$A:$B,2,FALSE),VLOOKUP($A124,'SegEnds_NonXtal_Prot#'!A:AL,10,FALSE)+7,1)</f>
        <v>D</v>
      </c>
      <c r="Y124" s="49" t="str">
        <f>MID(VLOOKUP($A124,Seqs!$A:$B,2,FALSE),VLOOKUP($A124,'SegEnds_NonXtal_Prot#'!A:AL,10,FALSE)+8,1)</f>
        <v>I</v>
      </c>
      <c r="Z124" s="49" t="str">
        <f>MID(VLOOKUP($A124,Seqs!$A:$B,2,FALSE),VLOOKUP($A124,'SegEnds_NonXtal_Prot#'!A:AL,10,FALSE)+9,1)</f>
        <v>P</v>
      </c>
      <c r="AA124" s="49" t="str">
        <f>MID(VLOOKUP($A124,Seqs!$A:$B,2,FALSE),VLOOKUP($A124,'SegEnds_NonXtal_Prot#'!A:AL,10,FALSE)+10,1)</f>
        <v>I</v>
      </c>
      <c r="AB124" s="28" t="str">
        <f>MID(VLOOKUP($A124,Seqs!$A:$B,2,FALSE),VLOOKUP($A124,'SegEnds_NonXtal_Prot#'!$A:$AL,22,FALSE)+6,1)</f>
        <v>L</v>
      </c>
      <c r="AC124" s="49" t="str">
        <f>MID(VLOOKUP($A124,Seqs!$A:$B,2,FALSE),VLOOKUP($A124,'SegEnds_NonXtal_Prot#'!$A:$AL,22,FALSE)+7,1)</f>
        <v>A</v>
      </c>
      <c r="AD124" s="49" t="str">
        <f>MID(VLOOKUP($A124,Seqs!$A:$B,2,FALSE),VLOOKUP($A124,'SegEnds_NonXtal_Prot#'!$A:$AL,22,FALSE)+8,1)</f>
        <v>V</v>
      </c>
      <c r="AE124" s="49" t="str">
        <f>MID(VLOOKUP($A124,Seqs!$A:$B,2,FALSE),VLOOKUP($A124,'SegEnds_NonXtal_Prot#'!$A:$AL,22,FALSE)+9,1)</f>
        <v>P</v>
      </c>
      <c r="AF124" s="49" t="str">
        <f>MID(VLOOKUP($A124,Seqs!$A:$B,2,FALSE),VLOOKUP($A124,'SegEnds_NonXtal_Prot#'!$A:$AL,22,FALSE)+10,1)</f>
        <v>E</v>
      </c>
      <c r="AG124" s="28" t="str">
        <f>MID(VLOOKUP($A124,Seqs!$A:$B,2,FALSE),VLOOKUP($A124,'SegEnds_NonXtal_Prot#'!$A:$AL,28,FALSE)-4,1)</f>
        <v>Y</v>
      </c>
      <c r="AH124" s="49" t="str">
        <f>MID(VLOOKUP($A124,Seqs!$A:$B,2,FALSE),VLOOKUP($A124,'SegEnds_NonXtal_Prot#'!$A:$AL,28,FALSE),1)</f>
        <v>P</v>
      </c>
    </row>
    <row r="125" spans="1:34" s="2" customFormat="1" x14ac:dyDescent="0.2">
      <c r="A125" s="2" t="s">
        <v>197</v>
      </c>
      <c r="B125" s="2" t="str">
        <f>LOWER(VLOOKUP(A125,Xtal_Templ!A:B,2,FALSE))</f>
        <v>ednrb_human</v>
      </c>
      <c r="C125" s="2" t="str">
        <f>VLOOKUP(A125,Classification!A:D,2,FALSE)</f>
        <v>A</v>
      </c>
      <c r="D125" s="2" t="str">
        <f>IF(ISERROR(MATCH(A125,'SegEnds_Xtal_Prot#'!B:B, 0)), "NoXtal", "Xtal")</f>
        <v>NoXtal</v>
      </c>
      <c r="G125" s="2" t="s">
        <v>5</v>
      </c>
      <c r="H125" s="4"/>
      <c r="N125" s="2" t="s">
        <v>14</v>
      </c>
      <c r="R125" s="2" t="s">
        <v>9</v>
      </c>
      <c r="T125" s="4" t="s">
        <v>12</v>
      </c>
      <c r="V125" s="28" t="str">
        <f>MID(VLOOKUP($A125,Seqs!$A:$B,2,FALSE),VLOOKUP($A125,'SegEnds_NonXtal_Prot#'!A:AL,10,FALSE),1)</f>
        <v>D</v>
      </c>
      <c r="W125" s="49" t="str">
        <f>MID(VLOOKUP($A125,Seqs!$A:$B,2,FALSE),VLOOKUP($A125,'SegEnds_NonXtal_Prot#'!A:AL,10,FALSE)+6,1)</f>
        <v>F</v>
      </c>
      <c r="X125" s="49" t="str">
        <f>MID(VLOOKUP($A125,Seqs!$A:$B,2,FALSE),VLOOKUP($A125,'SegEnds_NonXtal_Prot#'!A:AL,10,FALSE)+7,1)</f>
        <v>C</v>
      </c>
      <c r="Y125" s="49" t="str">
        <f>MID(VLOOKUP($A125,Seqs!$A:$B,2,FALSE),VLOOKUP($A125,'SegEnds_NonXtal_Prot#'!A:AL,10,FALSE)+8,1)</f>
        <v>L</v>
      </c>
      <c r="Z125" s="49" t="str">
        <f>MID(VLOOKUP($A125,Seqs!$A:$B,2,FALSE),VLOOKUP($A125,'SegEnds_NonXtal_Prot#'!A:AL,10,FALSE)+9,1)</f>
        <v>P</v>
      </c>
      <c r="AA125" s="49" t="str">
        <f>MID(VLOOKUP($A125,Seqs!$A:$B,2,FALSE),VLOOKUP($A125,'SegEnds_NonXtal_Prot#'!A:AL,10,FALSE)+10,1)</f>
        <v>I</v>
      </c>
      <c r="AB125" s="28" t="str">
        <f>MID(VLOOKUP($A125,Seqs!$A:$B,2,FALSE),VLOOKUP($A125,'SegEnds_NonXtal_Prot#'!$A:$AL,22,FALSE)+6,1)</f>
        <v>L</v>
      </c>
      <c r="AC125" s="49" t="str">
        <f>MID(VLOOKUP($A125,Seqs!$A:$B,2,FALSE),VLOOKUP($A125,'SegEnds_NonXtal_Prot#'!$A:$AL,22,FALSE)+7,1)</f>
        <v>A</v>
      </c>
      <c r="AD125" s="49" t="str">
        <f>MID(VLOOKUP($A125,Seqs!$A:$B,2,FALSE),VLOOKUP($A125,'SegEnds_NonXtal_Prot#'!$A:$AL,22,FALSE)+8,1)</f>
        <v>V</v>
      </c>
      <c r="AE125" s="49" t="str">
        <f>MID(VLOOKUP($A125,Seqs!$A:$B,2,FALSE),VLOOKUP($A125,'SegEnds_NonXtal_Prot#'!$A:$AL,22,FALSE)+9,1)</f>
        <v>P</v>
      </c>
      <c r="AF125" s="49" t="str">
        <f>MID(VLOOKUP($A125,Seqs!$A:$B,2,FALSE),VLOOKUP($A125,'SegEnds_NonXtal_Prot#'!$A:$AL,22,FALSE)+10,1)</f>
        <v>E</v>
      </c>
      <c r="AG125" s="28" t="str">
        <f>MID(VLOOKUP($A125,Seqs!$A:$B,2,FALSE),VLOOKUP($A125,'SegEnds_NonXtal_Prot#'!$A:$AL,28,FALSE)-4,1)</f>
        <v>Y</v>
      </c>
      <c r="AH125" s="49" t="str">
        <f>MID(VLOOKUP($A125,Seqs!$A:$B,2,FALSE),VLOOKUP($A125,'SegEnds_NonXtal_Prot#'!$A:$AL,28,FALSE),1)</f>
        <v>P</v>
      </c>
    </row>
    <row r="126" spans="1:34" s="2" customFormat="1" x14ac:dyDescent="0.2">
      <c r="A126" s="2" t="s">
        <v>255</v>
      </c>
      <c r="B126" s="2" t="str">
        <f>LOWER(VLOOKUP(A126,Xtal_Templ!A:B,2,FALSE))</f>
        <v>ednrb_human</v>
      </c>
      <c r="C126" s="2" t="str">
        <f>VLOOKUP(A126,Classification!A:D,2,FALSE)</f>
        <v>A</v>
      </c>
      <c r="D126" s="2" t="str">
        <f>IF(ISERROR(MATCH(A126,'SegEnds_Xtal_Prot#'!B:B, 0)), "NoXtal", "Xtal")</f>
        <v>NoXtal</v>
      </c>
      <c r="G126" s="2" t="s">
        <v>5</v>
      </c>
      <c r="H126" s="4"/>
      <c r="N126" s="2" t="s">
        <v>14</v>
      </c>
      <c r="R126" s="2" t="s">
        <v>9</v>
      </c>
      <c r="T126" s="4" t="s">
        <v>12</v>
      </c>
      <c r="V126" s="28" t="str">
        <f>MID(VLOOKUP($A126,Seqs!$A:$B,2,FALSE),VLOOKUP($A126,'SegEnds_NonXtal_Prot#'!A:AL,10,FALSE),1)</f>
        <v>D</v>
      </c>
      <c r="W126" s="49" t="str">
        <f>MID(VLOOKUP($A126,Seqs!$A:$B,2,FALSE),VLOOKUP($A126,'SegEnds_NonXtal_Prot#'!A:AL,10,FALSE)+6,1)</f>
        <v>F</v>
      </c>
      <c r="X126" s="49" t="str">
        <f>MID(VLOOKUP($A126,Seqs!$A:$B,2,FALSE),VLOOKUP($A126,'SegEnds_NonXtal_Prot#'!A:AL,10,FALSE)+7,1)</f>
        <v>C</v>
      </c>
      <c r="Y126" s="49" t="str">
        <f>MID(VLOOKUP($A126,Seqs!$A:$B,2,FALSE),VLOOKUP($A126,'SegEnds_NonXtal_Prot#'!A:AL,10,FALSE)+8,1)</f>
        <v>L</v>
      </c>
      <c r="Z126" s="49" t="str">
        <f>MID(VLOOKUP($A126,Seqs!$A:$B,2,FALSE),VLOOKUP($A126,'SegEnds_NonXtal_Prot#'!A:AL,10,FALSE)+9,1)</f>
        <v>P</v>
      </c>
      <c r="AA126" s="49" t="str">
        <f>MID(VLOOKUP($A126,Seqs!$A:$B,2,FALSE),VLOOKUP($A126,'SegEnds_NonXtal_Prot#'!A:AL,10,FALSE)+10,1)</f>
        <v>L</v>
      </c>
      <c r="AB126" s="28" t="str">
        <f>MID(VLOOKUP($A126,Seqs!$A:$B,2,FALSE),VLOOKUP($A126,'SegEnds_NonXtal_Prot#'!$A:$AL,22,FALSE)+6,1)</f>
        <v>L</v>
      </c>
      <c r="AC126" s="49" t="str">
        <f>MID(VLOOKUP($A126,Seqs!$A:$B,2,FALSE),VLOOKUP($A126,'SegEnds_NonXtal_Prot#'!$A:$AL,22,FALSE)+7,1)</f>
        <v>A</v>
      </c>
      <c r="AD126" s="49" t="str">
        <f>MID(VLOOKUP($A126,Seqs!$A:$B,2,FALSE),VLOOKUP($A126,'SegEnds_NonXtal_Prot#'!$A:$AL,22,FALSE)+8,1)</f>
        <v>L</v>
      </c>
      <c r="AE126" s="49" t="str">
        <f>MID(VLOOKUP($A126,Seqs!$A:$B,2,FALSE),VLOOKUP($A126,'SegEnds_NonXtal_Prot#'!$A:$AL,22,FALSE)+9,1)</f>
        <v>P</v>
      </c>
      <c r="AF126" s="49" t="str">
        <f>MID(VLOOKUP($A126,Seqs!$A:$B,2,FALSE),VLOOKUP($A126,'SegEnds_NonXtal_Prot#'!$A:$AL,22,FALSE)+10,1)</f>
        <v>E</v>
      </c>
      <c r="AG126" s="28" t="str">
        <f>MID(VLOOKUP($A126,Seqs!$A:$B,2,FALSE),VLOOKUP($A126,'SegEnds_NonXtal_Prot#'!$A:$AL,28,FALSE)-4,1)</f>
        <v>Y</v>
      </c>
      <c r="AH126" s="49" t="str">
        <f>MID(VLOOKUP($A126,Seqs!$A:$B,2,FALSE),VLOOKUP($A126,'SegEnds_NonXtal_Prot#'!$A:$AL,28,FALSE),1)</f>
        <v>P</v>
      </c>
    </row>
    <row r="127" spans="1:34" s="2" customFormat="1" x14ac:dyDescent="0.2">
      <c r="A127" s="2" t="s">
        <v>274</v>
      </c>
      <c r="B127" s="2" t="str">
        <f>LOWER(VLOOKUP(A127,Xtal_Templ!A:B,2,FALSE))</f>
        <v>ednrb_human</v>
      </c>
      <c r="C127" s="2" t="str">
        <f>VLOOKUP(A127,Classification!A:D,2,FALSE)</f>
        <v>A</v>
      </c>
      <c r="D127" s="2" t="str">
        <f>IF(ISERROR(MATCH(A127,'SegEnds_Xtal_Prot#'!B:B, 0)), "NoXtal", "Xtal")</f>
        <v>NoXtal</v>
      </c>
      <c r="G127" s="2" t="s">
        <v>5</v>
      </c>
      <c r="H127" s="4"/>
      <c r="N127" s="2" t="s">
        <v>14</v>
      </c>
      <c r="T127" s="4" t="s">
        <v>12</v>
      </c>
      <c r="V127" s="28" t="str">
        <f>MID(VLOOKUP($A127,Seqs!$A:$B,2,FALSE),VLOOKUP($A127,'SegEnds_NonXtal_Prot#'!A:AL,10,FALSE),1)</f>
        <v>D</v>
      </c>
      <c r="W127" s="49" t="str">
        <f>MID(VLOOKUP($A127,Seqs!$A:$B,2,FALSE),VLOOKUP($A127,'SegEnds_NonXtal_Prot#'!A:AL,10,FALSE)+6,1)</f>
        <v>T</v>
      </c>
      <c r="X127" s="49" t="str">
        <f>MID(VLOOKUP($A127,Seqs!$A:$B,2,FALSE),VLOOKUP($A127,'SegEnds_NonXtal_Prot#'!A:AL,10,FALSE)+7,1)</f>
        <v>C</v>
      </c>
      <c r="Y127" s="49" t="str">
        <f>MID(VLOOKUP($A127,Seqs!$A:$B,2,FALSE),VLOOKUP($A127,'SegEnds_NonXtal_Prot#'!A:AL,10,FALSE)+8,1)</f>
        <v>A</v>
      </c>
      <c r="Z127" s="49" t="str">
        <f>MID(VLOOKUP($A127,Seqs!$A:$B,2,FALSE),VLOOKUP($A127,'SegEnds_NonXtal_Prot#'!A:AL,10,FALSE)+9,1)</f>
        <v>P</v>
      </c>
      <c r="AA127" s="49" t="str">
        <f>MID(VLOOKUP($A127,Seqs!$A:$B,2,FALSE),VLOOKUP($A127,'SegEnds_NonXtal_Prot#'!A:AL,10,FALSE)+10,1)</f>
        <v>V</v>
      </c>
      <c r="AB127" s="28" t="str">
        <f>MID(VLOOKUP($A127,Seqs!$A:$B,2,FALSE),VLOOKUP($A127,'SegEnds_NonXtal_Prot#'!$A:$AL,22,FALSE)+6,1)</f>
        <v>L</v>
      </c>
      <c r="AC127" s="49" t="str">
        <f>MID(VLOOKUP($A127,Seqs!$A:$B,2,FALSE),VLOOKUP($A127,'SegEnds_NonXtal_Prot#'!$A:$AL,22,FALSE)+7,1)</f>
        <v>A</v>
      </c>
      <c r="AD127" s="49" t="str">
        <f>MID(VLOOKUP($A127,Seqs!$A:$B,2,FALSE),VLOOKUP($A127,'SegEnds_NonXtal_Prot#'!$A:$AL,22,FALSE)+8,1)</f>
        <v>I</v>
      </c>
      <c r="AE127" s="49" t="str">
        <f>MID(VLOOKUP($A127,Seqs!$A:$B,2,FALSE),VLOOKUP($A127,'SegEnds_NonXtal_Prot#'!$A:$AL,22,FALSE)+9,1)</f>
        <v>P</v>
      </c>
      <c r="AF127" s="49" t="str">
        <f>MID(VLOOKUP($A127,Seqs!$A:$B,2,FALSE),VLOOKUP($A127,'SegEnds_NonXtal_Prot#'!$A:$AL,22,FALSE)+10,1)</f>
        <v>E</v>
      </c>
      <c r="AG127" s="28" t="str">
        <f>MID(VLOOKUP($A127,Seqs!$A:$B,2,FALSE),VLOOKUP($A127,'SegEnds_NonXtal_Prot#'!$A:$AL,28,FALSE)-4,1)</f>
        <v>F</v>
      </c>
      <c r="AH127" s="49" t="str">
        <f>MID(VLOOKUP($A127,Seqs!$A:$B,2,FALSE),VLOOKUP($A127,'SegEnds_NonXtal_Prot#'!$A:$AL,28,FALSE),1)</f>
        <v>P</v>
      </c>
    </row>
    <row r="128" spans="1:34" s="2" customFormat="1" x14ac:dyDescent="0.2">
      <c r="A128" s="2" t="s">
        <v>317</v>
      </c>
      <c r="B128" s="2" t="str">
        <f>LOWER(VLOOKUP(A128,Xtal_Templ!A:B,2,FALSE))</f>
        <v>ednrb_human</v>
      </c>
      <c r="C128" s="2" t="str">
        <f>VLOOKUP(A128,Classification!A:D,2,FALSE)</f>
        <v>A</v>
      </c>
      <c r="D128" s="2" t="str">
        <f>IF(ISERROR(MATCH(A128,'SegEnds_Xtal_Prot#'!B:B, 0)), "NoXtal", "Xtal")</f>
        <v>NoXtal</v>
      </c>
      <c r="G128" s="2" t="s">
        <v>5</v>
      </c>
      <c r="H128" s="4"/>
      <c r="N128" s="2" t="s">
        <v>14</v>
      </c>
      <c r="R128" s="2" t="s">
        <v>9</v>
      </c>
      <c r="T128" s="4" t="s">
        <v>12</v>
      </c>
      <c r="V128" s="28" t="str">
        <f>MID(VLOOKUP($A128,Seqs!$A:$B,2,FALSE),VLOOKUP($A128,'SegEnds_NonXtal_Prot#'!A:AL,10,FALSE),1)</f>
        <v>D</v>
      </c>
      <c r="W128" s="49" t="str">
        <f>MID(VLOOKUP($A128,Seqs!$A:$B,2,FALSE),VLOOKUP($A128,'SegEnds_NonXtal_Prot#'!A:AL,10,FALSE)+6,1)</f>
        <v>T</v>
      </c>
      <c r="X128" s="49" t="str">
        <f>MID(VLOOKUP($A128,Seqs!$A:$B,2,FALSE),VLOOKUP($A128,'SegEnds_NonXtal_Prot#'!A:AL,10,FALSE)+7,1)</f>
        <v>C</v>
      </c>
      <c r="Y128" s="49" t="str">
        <f>MID(VLOOKUP($A128,Seqs!$A:$B,2,FALSE),VLOOKUP($A128,'SegEnds_NonXtal_Prot#'!A:AL,10,FALSE)+8,1)</f>
        <v>V</v>
      </c>
      <c r="Z128" s="49" t="str">
        <f>MID(VLOOKUP($A128,Seqs!$A:$B,2,FALSE),VLOOKUP($A128,'SegEnds_NonXtal_Prot#'!A:AL,10,FALSE)+9,1)</f>
        <v>P</v>
      </c>
      <c r="AA128" s="49" t="str">
        <f>MID(VLOOKUP($A128,Seqs!$A:$B,2,FALSE),VLOOKUP($A128,'SegEnds_NonXtal_Prot#'!A:AL,10,FALSE)+10,1)</f>
        <v>V</v>
      </c>
      <c r="AB128" s="28" t="str">
        <f>MID(VLOOKUP($A128,Seqs!$A:$B,2,FALSE),VLOOKUP($A128,'SegEnds_NonXtal_Prot#'!$A:$AL,22,FALSE)+6,1)</f>
        <v>L</v>
      </c>
      <c r="AC128" s="49" t="str">
        <f>MID(VLOOKUP($A128,Seqs!$A:$B,2,FALSE),VLOOKUP($A128,'SegEnds_NonXtal_Prot#'!$A:$AL,22,FALSE)+7,1)</f>
        <v>A</v>
      </c>
      <c r="AD128" s="49" t="str">
        <f>MID(VLOOKUP($A128,Seqs!$A:$B,2,FALSE),VLOOKUP($A128,'SegEnds_NonXtal_Prot#'!$A:$AL,22,FALSE)+8,1)</f>
        <v>V</v>
      </c>
      <c r="AE128" s="49" t="str">
        <f>MID(VLOOKUP($A128,Seqs!$A:$B,2,FALSE),VLOOKUP($A128,'SegEnds_NonXtal_Prot#'!$A:$AL,22,FALSE)+9,1)</f>
        <v>P</v>
      </c>
      <c r="AF128" s="49" t="str">
        <f>MID(VLOOKUP($A128,Seqs!$A:$B,2,FALSE),VLOOKUP($A128,'SegEnds_NonXtal_Prot#'!$A:$AL,22,FALSE)+10,1)</f>
        <v>E</v>
      </c>
      <c r="AG128" s="28" t="str">
        <f>MID(VLOOKUP($A128,Seqs!$A:$B,2,FALSE),VLOOKUP($A128,'SegEnds_NonXtal_Prot#'!$A:$AL,28,FALSE)-4,1)</f>
        <v>Y</v>
      </c>
      <c r="AH128" s="49" t="str">
        <f>MID(VLOOKUP($A128,Seqs!$A:$B,2,FALSE),VLOOKUP($A128,'SegEnds_NonXtal_Prot#'!$A:$AL,28,FALSE),1)</f>
        <v>P</v>
      </c>
    </row>
    <row r="129" spans="1:34" s="2" customFormat="1" x14ac:dyDescent="0.2">
      <c r="A129" s="2" t="s">
        <v>1173</v>
      </c>
      <c r="B129" s="2" t="str">
        <f>LOWER(VLOOKUP(A129,Xtal_Templ!A:B,2,FALSE))</f>
        <v>ffar1_human</v>
      </c>
      <c r="C129" s="2" t="str">
        <f>VLOOKUP(A129,Classification!A:D,2,FALSE)</f>
        <v>A</v>
      </c>
      <c r="D129" s="2" t="str">
        <f>IF(ISERROR(MATCH(A129,'SegEnds_Xtal_Prot#'!B:B, 0)), "NoXtal", "Xtal")</f>
        <v>Xtal</v>
      </c>
      <c r="H129" s="4"/>
      <c r="R129" s="2" t="s">
        <v>9</v>
      </c>
      <c r="S129" s="2" t="s">
        <v>1328</v>
      </c>
      <c r="T129" s="4" t="s">
        <v>12</v>
      </c>
      <c r="V129" s="28" t="str">
        <f>MID(VLOOKUP($A129,Seqs!$A:$B,2,FALSE),VLOOKUP($A129,'SegEnds_NonXtal_Prot#'!A:AL,10,FALSE),1)</f>
        <v>D</v>
      </c>
      <c r="W129" s="49" t="str">
        <f>MID(VLOOKUP($A129,Seqs!$A:$B,2,FALSE),VLOOKUP($A129,'SegEnds_NonXtal_Prot#'!A:AL,10,FALSE)+6,1)</f>
        <v>S</v>
      </c>
      <c r="X129" s="49" t="str">
        <f>MID(VLOOKUP($A129,Seqs!$A:$B,2,FALSE),VLOOKUP($A129,'SegEnds_NonXtal_Prot#'!A:AL,10,FALSE)+7,1)</f>
        <v>L</v>
      </c>
      <c r="Y129" s="49" t="str">
        <f>MID(VLOOKUP($A129,Seqs!$A:$B,2,FALSE),VLOOKUP($A129,'SegEnds_NonXtal_Prot#'!A:AL,10,FALSE)+8,1)</f>
        <v>P</v>
      </c>
      <c r="Z129" s="49" t="str">
        <f>MID(VLOOKUP($A129,Seqs!$A:$B,2,FALSE),VLOOKUP($A129,'SegEnds_NonXtal_Prot#'!A:AL,10,FALSE)+9,1)</f>
        <v>L</v>
      </c>
      <c r="AA129" s="49" t="str">
        <f>MID(VLOOKUP($A129,Seqs!$A:$B,2,FALSE),VLOOKUP($A129,'SegEnds_NonXtal_Prot#'!A:AL,10,FALSE)+10,1)</f>
        <v>K</v>
      </c>
      <c r="AB129" s="28" t="str">
        <f>MID(VLOOKUP($A129,Seqs!$A:$B,2,FALSE),VLOOKUP($A129,'SegEnds_NonXtal_Prot#'!$A:$AL,22,FALSE)+6,1)</f>
        <v>H</v>
      </c>
      <c r="AC129" s="49" t="str">
        <f>MID(VLOOKUP($A129,Seqs!$A:$B,2,FALSE),VLOOKUP($A129,'SegEnds_NonXtal_Prot#'!$A:$AL,22,FALSE)+7,1)</f>
        <v>L</v>
      </c>
      <c r="AD129" s="49" t="str">
        <f>MID(VLOOKUP($A129,Seqs!$A:$B,2,FALSE),VLOOKUP($A129,'SegEnds_NonXtal_Prot#'!$A:$AL,22,FALSE)+8,1)</f>
        <v>G</v>
      </c>
      <c r="AE129" s="49" t="str">
        <f>MID(VLOOKUP($A129,Seqs!$A:$B,2,FALSE),VLOOKUP($A129,'SegEnds_NonXtal_Prot#'!$A:$AL,22,FALSE)+9,1)</f>
        <v>L</v>
      </c>
      <c r="AF129" s="49" t="str">
        <f>MID(VLOOKUP($A129,Seqs!$A:$B,2,FALSE),VLOOKUP($A129,'SegEnds_NonXtal_Prot#'!$A:$AL,22,FALSE)+10,1)</f>
        <v>V</v>
      </c>
      <c r="AG129" s="28" t="str">
        <f>MID(VLOOKUP($A129,Seqs!$A:$B,2,FALSE),VLOOKUP($A129,'SegEnds_NonXtal_Prot#'!$A:$AL,28,FALSE)-4,1)</f>
        <v>L</v>
      </c>
      <c r="AH129" s="49" t="str">
        <f>MID(VLOOKUP($A129,Seqs!$A:$B,2,FALSE),VLOOKUP($A129,'SegEnds_NonXtal_Prot#'!$A:$AL,28,FALSE),1)</f>
        <v>P</v>
      </c>
    </row>
    <row r="130" spans="1:34" s="2" customFormat="1" x14ac:dyDescent="0.2">
      <c r="A130" s="2" t="s">
        <v>198</v>
      </c>
      <c r="B130" s="2" t="str">
        <f>LOWER(VLOOKUP(A130,Xtal_Templ!A:B,2,FALSE))</f>
        <v>par2_human</v>
      </c>
      <c r="C130" s="2" t="str">
        <f>VLOOKUP(A130,Classification!A:D,2,FALSE)</f>
        <v>A</v>
      </c>
      <c r="D130" s="2" t="str">
        <f>IF(ISERROR(MATCH(A130,'SegEnds_Xtal_Prot#'!B:B, 0)), "NoXtal", "Xtal")</f>
        <v>NoXtal</v>
      </c>
      <c r="H130" s="4"/>
      <c r="R130" s="2" t="s">
        <v>9</v>
      </c>
      <c r="S130" s="2" t="s">
        <v>1328</v>
      </c>
      <c r="T130" s="4" t="s">
        <v>12</v>
      </c>
      <c r="V130" s="28" t="str">
        <f>MID(VLOOKUP($A130,Seqs!$A:$B,2,FALSE),VLOOKUP($A130,'SegEnds_NonXtal_Prot#'!A:AL,10,FALSE),1)</f>
        <v>D</v>
      </c>
      <c r="W130" s="49" t="str">
        <f>MID(VLOOKUP($A130,Seqs!$A:$B,2,FALSE),VLOOKUP($A130,'SegEnds_NonXtal_Prot#'!A:AL,10,FALSE)+6,1)</f>
        <v>L</v>
      </c>
      <c r="X130" s="49" t="str">
        <f>MID(VLOOKUP($A130,Seqs!$A:$B,2,FALSE),VLOOKUP($A130,'SegEnds_NonXtal_Prot#'!A:AL,10,FALSE)+7,1)</f>
        <v>L</v>
      </c>
      <c r="Y130" s="49" t="str">
        <f>MID(VLOOKUP($A130,Seqs!$A:$B,2,FALSE),VLOOKUP($A130,'SegEnds_NonXtal_Prot#'!A:AL,10,FALSE)+8,1)</f>
        <v>P</v>
      </c>
      <c r="Z130" s="49" t="str">
        <f>MID(VLOOKUP($A130,Seqs!$A:$B,2,FALSE),VLOOKUP($A130,'SegEnds_NonXtal_Prot#'!A:AL,10,FALSE)+9,1)</f>
        <v>F</v>
      </c>
      <c r="AA130" s="49" t="str">
        <f>MID(VLOOKUP($A130,Seqs!$A:$B,2,FALSE),VLOOKUP($A130,'SegEnds_NonXtal_Prot#'!A:AL,10,FALSE)+10,1)</f>
        <v>K</v>
      </c>
      <c r="AB130" s="28" t="str">
        <f>MID(VLOOKUP($A130,Seqs!$A:$B,2,FALSE),VLOOKUP($A130,'SegEnds_NonXtal_Prot#'!$A:$AL,22,FALSE)+6,1)</f>
        <v>H</v>
      </c>
      <c r="AC130" s="49" t="str">
        <f>MID(VLOOKUP($A130,Seqs!$A:$B,2,FALSE),VLOOKUP($A130,'SegEnds_NonXtal_Prot#'!$A:$AL,22,FALSE)+7,1)</f>
        <v>C</v>
      </c>
      <c r="AD130" s="49" t="str">
        <f>MID(VLOOKUP($A130,Seqs!$A:$B,2,FALSE),VLOOKUP($A130,'SegEnds_NonXtal_Prot#'!$A:$AL,22,FALSE)+8,1)</f>
        <v>T</v>
      </c>
      <c r="AE130" s="49" t="str">
        <f>MID(VLOOKUP($A130,Seqs!$A:$B,2,FALSE),VLOOKUP($A130,'SegEnds_NonXtal_Prot#'!$A:$AL,22,FALSE)+9,1)</f>
        <v>I</v>
      </c>
      <c r="AF130" s="49" t="str">
        <f>MID(VLOOKUP($A130,Seqs!$A:$B,2,FALSE),VLOOKUP($A130,'SegEnds_NonXtal_Prot#'!$A:$AL,22,FALSE)+10,1)</f>
        <v>V</v>
      </c>
      <c r="AG130" s="28" t="str">
        <f>MID(VLOOKUP($A130,Seqs!$A:$B,2,FALSE),VLOOKUP($A130,'SegEnds_NonXtal_Prot#'!$A:$AL,28,FALSE)-4,1)</f>
        <v>L</v>
      </c>
      <c r="AH130" s="49" t="str">
        <f>MID(VLOOKUP($A130,Seqs!$A:$B,2,FALSE),VLOOKUP($A130,'SegEnds_NonXtal_Prot#'!$A:$AL,28,FALSE),1)</f>
        <v>P</v>
      </c>
    </row>
    <row r="131" spans="1:34" s="2" customFormat="1" x14ac:dyDescent="0.2">
      <c r="A131" s="2" t="s">
        <v>219</v>
      </c>
      <c r="B131" s="2" t="str">
        <f>LOWER(VLOOKUP(A131,Xtal_Templ!A:B,2,FALSE))</f>
        <v>agtr1_human</v>
      </c>
      <c r="C131" s="2" t="str">
        <f>VLOOKUP(A131,Classification!A:D,2,FALSE)</f>
        <v>A</v>
      </c>
      <c r="D131" s="2" t="str">
        <f>IF(ISERROR(MATCH(A131,'SegEnds_Xtal_Prot#'!B:B, 0)), "NoXtal", "Xtal")</f>
        <v>NoXtal</v>
      </c>
      <c r="G131" s="2" t="s">
        <v>5</v>
      </c>
      <c r="H131" s="4"/>
      <c r="R131" s="2" t="s">
        <v>9</v>
      </c>
      <c r="T131" s="4" t="s">
        <v>12</v>
      </c>
      <c r="V131" s="28" t="str">
        <f>MID(VLOOKUP($A131,Seqs!$A:$B,2,FALSE),VLOOKUP($A131,'SegEnds_NonXtal_Prot#'!A:AL,10,FALSE),1)</f>
        <v>A</v>
      </c>
      <c r="W131" s="49" t="str">
        <f>MID(VLOOKUP($A131,Seqs!$A:$B,2,FALSE),VLOOKUP($A131,'SegEnds_NonXtal_Prot#'!A:AL,10,FALSE)+6,1)</f>
        <v>L</v>
      </c>
      <c r="X131" s="49" t="str">
        <f>MID(VLOOKUP($A131,Seqs!$A:$B,2,FALSE),VLOOKUP($A131,'SegEnds_NonXtal_Prot#'!A:AL,10,FALSE)+7,1)</f>
        <v>L</v>
      </c>
      <c r="Y131" s="49" t="str">
        <f>MID(VLOOKUP($A131,Seqs!$A:$B,2,FALSE),VLOOKUP($A131,'SegEnds_NonXtal_Prot#'!A:AL,10,FALSE)+8,1)</f>
        <v>G</v>
      </c>
      <c r="Z131" s="49" t="str">
        <f>MID(VLOOKUP($A131,Seqs!$A:$B,2,FALSE),VLOOKUP($A131,'SegEnds_NonXtal_Prot#'!A:AL,10,FALSE)+9,1)</f>
        <v>P</v>
      </c>
      <c r="AA131" s="49" t="str">
        <f>MID(VLOOKUP($A131,Seqs!$A:$B,2,FALSE),VLOOKUP($A131,'SegEnds_NonXtal_Prot#'!A:AL,10,FALSE)+10,1)</f>
        <v>P</v>
      </c>
      <c r="AB131" s="28" t="str">
        <f>MID(VLOOKUP($A131,Seqs!$A:$B,2,FALSE),VLOOKUP($A131,'SegEnds_NonXtal_Prot#'!$A:$AL,22,FALSE)+6,1)</f>
        <v>T</v>
      </c>
      <c r="AC131" s="49" t="str">
        <f>MID(VLOOKUP($A131,Seqs!$A:$B,2,FALSE),VLOOKUP($A131,'SegEnds_NonXtal_Prot#'!$A:$AL,22,FALSE)+7,1)</f>
        <v>S</v>
      </c>
      <c r="AD131" s="49" t="str">
        <f>MID(VLOOKUP($A131,Seqs!$A:$B,2,FALSE),VLOOKUP($A131,'SegEnds_NonXtal_Prot#'!$A:$AL,22,FALSE)+8,1)</f>
        <v>F</v>
      </c>
      <c r="AE131" s="49" t="str">
        <f>MID(VLOOKUP($A131,Seqs!$A:$B,2,FALSE),VLOOKUP($A131,'SegEnds_NonXtal_Prot#'!$A:$AL,22,FALSE)+9,1)</f>
        <v>S</v>
      </c>
      <c r="AF131" s="49" t="str">
        <f>MID(VLOOKUP($A131,Seqs!$A:$B,2,FALSE),VLOOKUP($A131,'SegEnds_NonXtal_Prot#'!$A:$AL,22,FALSE)+10,1)</f>
        <v>S</v>
      </c>
      <c r="AG131" s="28" t="str">
        <f>MID(VLOOKUP($A131,Seqs!$A:$B,2,FALSE),VLOOKUP($A131,'SegEnds_NonXtal_Prot#'!$A:$AL,28,FALSE)-4,1)</f>
        <v>G</v>
      </c>
      <c r="AH131" s="49" t="str">
        <f>MID(VLOOKUP($A131,Seqs!$A:$B,2,FALSE),VLOOKUP($A131,'SegEnds_NonXtal_Prot#'!$A:$AL,28,FALSE),1)</f>
        <v>P</v>
      </c>
    </row>
    <row r="132" spans="1:34" s="2" customFormat="1" x14ac:dyDescent="0.2">
      <c r="A132" s="2" t="s">
        <v>226</v>
      </c>
      <c r="B132" s="2" t="str">
        <f>LOWER(VLOOKUP(A132,Xtal_Templ!A:B,2,FALSE))</f>
        <v>par1_human</v>
      </c>
      <c r="C132" s="2" t="str">
        <f>VLOOKUP(A132,Classification!A:D,2,FALSE)</f>
        <v>A</v>
      </c>
      <c r="D132" s="2" t="str">
        <f>IF(ISERROR(MATCH(A132,'SegEnds_Xtal_Prot#'!B:B, 0)), "NoXtal", "Xtal")</f>
        <v>NoXtal</v>
      </c>
      <c r="H132" s="4"/>
      <c r="T132" s="4" t="s">
        <v>12</v>
      </c>
      <c r="V132" s="28" t="str">
        <f>MID(VLOOKUP($A132,Seqs!$A:$B,2,FALSE),VLOOKUP($A132,'SegEnds_NonXtal_Prot#'!A:AL,10,FALSE),1)</f>
        <v>D</v>
      </c>
      <c r="W132" s="49" t="str">
        <f>MID(VLOOKUP($A132,Seqs!$A:$B,2,FALSE),VLOOKUP($A132,'SegEnds_NonXtal_Prot#'!A:AL,10,FALSE)+6,1)</f>
        <v>N</v>
      </c>
      <c r="X132" s="49" t="str">
        <f>MID(VLOOKUP($A132,Seqs!$A:$B,2,FALSE),VLOOKUP($A132,'SegEnds_NonXtal_Prot#'!A:AL,10,FALSE)+7,1)</f>
        <v>I</v>
      </c>
      <c r="Y132" s="49" t="str">
        <f>MID(VLOOKUP($A132,Seqs!$A:$B,2,FALSE),VLOOKUP($A132,'SegEnds_NonXtal_Prot#'!A:AL,10,FALSE)+8,1)</f>
        <v>S</v>
      </c>
      <c r="Z132" s="49" t="str">
        <f>MID(VLOOKUP($A132,Seqs!$A:$B,2,FALSE),VLOOKUP($A132,'SegEnds_NonXtal_Prot#'!A:AL,10,FALSE)+9,1)</f>
        <v>I</v>
      </c>
      <c r="AA132" s="49" t="str">
        <f>MID(VLOOKUP($A132,Seqs!$A:$B,2,FALSE),VLOOKUP($A132,'SegEnds_NonXtal_Prot#'!A:AL,10,FALSE)+10,1)</f>
        <v>I</v>
      </c>
      <c r="AB132" s="28" t="str">
        <f>MID(VLOOKUP($A132,Seqs!$A:$B,2,FALSE),VLOOKUP($A132,'SegEnds_NonXtal_Prot#'!$A:$AL,22,FALSE)+6,1)</f>
        <v>Y</v>
      </c>
      <c r="AC132" s="49" t="str">
        <f>MID(VLOOKUP($A132,Seqs!$A:$B,2,FALSE),VLOOKUP($A132,'SegEnds_NonXtal_Prot#'!$A:$AL,22,FALSE)+7,1)</f>
        <v>V</v>
      </c>
      <c r="AD132" s="49" t="str">
        <f>MID(VLOOKUP($A132,Seqs!$A:$B,2,FALSE),VLOOKUP($A132,'SegEnds_NonXtal_Prot#'!$A:$AL,22,FALSE)+8,1)</f>
        <v>L</v>
      </c>
      <c r="AE132" s="49" t="str">
        <f>MID(VLOOKUP($A132,Seqs!$A:$B,2,FALSE),VLOOKUP($A132,'SegEnds_NonXtal_Prot#'!$A:$AL,22,FALSE)+9,1)</f>
        <v>G</v>
      </c>
      <c r="AF132" s="49" t="str">
        <f>MID(VLOOKUP($A132,Seqs!$A:$B,2,FALSE),VLOOKUP($A132,'SegEnds_NonXtal_Prot#'!$A:$AL,22,FALSE)+10,1)</f>
        <v>D</v>
      </c>
      <c r="AG132" s="28" t="str">
        <f>MID(VLOOKUP($A132,Seqs!$A:$B,2,FALSE),VLOOKUP($A132,'SegEnds_NonXtal_Prot#'!$A:$AL,28,FALSE)-4,1)</f>
        <v>I</v>
      </c>
      <c r="AH132" s="49" t="str">
        <f>MID(VLOOKUP($A132,Seqs!$A:$B,2,FALSE),VLOOKUP($A132,'SegEnds_NonXtal_Prot#'!$A:$AL,28,FALSE),1)</f>
        <v>A</v>
      </c>
    </row>
    <row r="133" spans="1:34" s="2" customFormat="1" x14ac:dyDescent="0.2">
      <c r="A133" s="2" t="s">
        <v>245</v>
      </c>
      <c r="B133" s="2" t="str">
        <f>LOWER(VLOOKUP(A133,Xtal_Templ!A:B,2,FALSE))</f>
        <v>hrh1_human</v>
      </c>
      <c r="C133" s="2" t="str">
        <f>VLOOKUP(A133,Classification!A:D,2,FALSE)</f>
        <v>A</v>
      </c>
      <c r="D133" s="2" t="str">
        <f>IF(ISERROR(MATCH(A133,'SegEnds_Xtal_Prot#'!B:B, 0)), "NoXtal", "Xtal")</f>
        <v>NoXtal</v>
      </c>
      <c r="G133" s="2" t="s">
        <v>5</v>
      </c>
      <c r="H133" s="4"/>
      <c r="T133" s="4" t="s">
        <v>12</v>
      </c>
      <c r="V133" s="28" t="str">
        <f>MID(VLOOKUP($A133,Seqs!$A:$B,2,FALSE),VLOOKUP($A133,'SegEnds_NonXtal_Prot#'!A:AL,10,FALSE),1)</f>
        <v>D</v>
      </c>
      <c r="W133" s="49" t="str">
        <f>MID(VLOOKUP($A133,Seqs!$A:$B,2,FALSE),VLOOKUP($A133,'SegEnds_NonXtal_Prot#'!A:AL,10,FALSE)+6,1)</f>
        <v>G</v>
      </c>
      <c r="X133" s="49" t="str">
        <f>MID(VLOOKUP($A133,Seqs!$A:$B,2,FALSE),VLOOKUP($A133,'SegEnds_NonXtal_Prot#'!A:AL,10,FALSE)+7,1)</f>
        <v>C</v>
      </c>
      <c r="Y133" s="49" t="str">
        <f>MID(VLOOKUP($A133,Seqs!$A:$B,2,FALSE),VLOOKUP($A133,'SegEnds_NonXtal_Prot#'!A:AL,10,FALSE)+8,1)</f>
        <v>I</v>
      </c>
      <c r="Z133" s="49" t="str">
        <f>MID(VLOOKUP($A133,Seqs!$A:$B,2,FALSE),VLOOKUP($A133,'SegEnds_NonXtal_Prot#'!A:AL,10,FALSE)+9,1)</f>
        <v>P</v>
      </c>
      <c r="AA133" s="49" t="str">
        <f>MID(VLOOKUP($A133,Seqs!$A:$B,2,FALSE),VLOOKUP($A133,'SegEnds_NonXtal_Prot#'!A:AL,10,FALSE)+10,1)</f>
        <v>L</v>
      </c>
      <c r="AB133" s="28" t="str">
        <f>MID(VLOOKUP($A133,Seqs!$A:$B,2,FALSE),VLOOKUP($A133,'SegEnds_NonXtal_Prot#'!$A:$AL,22,FALSE)+6,1)</f>
        <v>S</v>
      </c>
      <c r="AC133" s="49" t="str">
        <f>MID(VLOOKUP($A133,Seqs!$A:$B,2,FALSE),VLOOKUP($A133,'SegEnds_NonXtal_Prot#'!$A:$AL,22,FALSE)+7,1)</f>
        <v>F</v>
      </c>
      <c r="AD133" s="49" t="str">
        <f>MID(VLOOKUP($A133,Seqs!$A:$B,2,FALSE),VLOOKUP($A133,'SegEnds_NonXtal_Prot#'!$A:$AL,22,FALSE)+8,1)</f>
        <v>L</v>
      </c>
      <c r="AE133" s="49" t="str">
        <f>MID(VLOOKUP($A133,Seqs!$A:$B,2,FALSE),VLOOKUP($A133,'SegEnds_NonXtal_Prot#'!$A:$AL,22,FALSE)+9,1)</f>
        <v>I</v>
      </c>
      <c r="AF133" s="49" t="str">
        <f>MID(VLOOKUP($A133,Seqs!$A:$B,2,FALSE),VLOOKUP($A133,'SegEnds_NonXtal_Prot#'!$A:$AL,22,FALSE)+10,1)</f>
        <v>P</v>
      </c>
      <c r="AG133" s="28" t="str">
        <f>MID(VLOOKUP($A133,Seqs!$A:$B,2,FALSE),VLOOKUP($A133,'SegEnds_NonXtal_Prot#'!$A:$AL,28,FALSE)-4,1)</f>
        <v>I</v>
      </c>
      <c r="AH133" s="49" t="str">
        <f>MID(VLOOKUP($A133,Seqs!$A:$B,2,FALSE),VLOOKUP($A133,'SegEnds_NonXtal_Prot#'!$A:$AL,28,FALSE),1)</f>
        <v>T</v>
      </c>
    </row>
    <row r="134" spans="1:34" s="2" customFormat="1" x14ac:dyDescent="0.2">
      <c r="A134" s="2" t="s">
        <v>278</v>
      </c>
      <c r="B134" s="2" t="str">
        <f>LOWER(VLOOKUP(A134,Xtal_Templ!A:B,2,FALSE))</f>
        <v>hrh1_human</v>
      </c>
      <c r="C134" s="2" t="str">
        <f>VLOOKUP(A134,Classification!A:D,2,FALSE)</f>
        <v>A</v>
      </c>
      <c r="D134" s="2" t="str">
        <f>IF(ISERROR(MATCH(A134,'SegEnds_Xtal_Prot#'!B:B, 0)), "NoXtal", "Xtal")</f>
        <v>Xtal</v>
      </c>
      <c r="G134" s="2" t="s">
        <v>5</v>
      </c>
      <c r="H134" s="4"/>
      <c r="L134" s="2" t="s">
        <v>20</v>
      </c>
      <c r="R134" s="2" t="s">
        <v>9</v>
      </c>
      <c r="T134" s="4" t="s">
        <v>12</v>
      </c>
      <c r="V134" s="28" t="str">
        <f>MID(VLOOKUP($A134,Seqs!$A:$B,2,FALSE),VLOOKUP($A134,'SegEnds_NonXtal_Prot#'!A:AL,10,FALSE),1)</f>
        <v>D</v>
      </c>
      <c r="W134" s="49" t="str">
        <f>MID(VLOOKUP($A134,Seqs!$A:$B,2,FALSE),VLOOKUP($A134,'SegEnds_NonXtal_Prot#'!A:AL,10,FALSE)+6,1)</f>
        <v>V</v>
      </c>
      <c r="X134" s="49" t="str">
        <f>MID(VLOOKUP($A134,Seqs!$A:$B,2,FALSE),VLOOKUP($A134,'SegEnds_NonXtal_Prot#'!A:AL,10,FALSE)+7,1)</f>
        <v>V</v>
      </c>
      <c r="Y134" s="49" t="str">
        <f>MID(VLOOKUP($A134,Seqs!$A:$B,2,FALSE),VLOOKUP($A134,'SegEnds_NonXtal_Prot#'!A:AL,10,FALSE)+8,1)</f>
        <v>M</v>
      </c>
      <c r="Z134" s="49" t="str">
        <f>MID(VLOOKUP($A134,Seqs!$A:$B,2,FALSE),VLOOKUP($A134,'SegEnds_NonXtal_Prot#'!A:AL,10,FALSE)+9,1)</f>
        <v>P</v>
      </c>
      <c r="AA134" s="49" t="str">
        <f>MID(VLOOKUP($A134,Seqs!$A:$B,2,FALSE),VLOOKUP($A134,'SegEnds_NonXtal_Prot#'!A:AL,10,FALSE)+10,1)</f>
        <v>M</v>
      </c>
      <c r="AB134" s="28" t="str">
        <f>MID(VLOOKUP($A134,Seqs!$A:$B,2,FALSE),VLOOKUP($A134,'SegEnds_NonXtal_Prot#'!$A:$AL,22,FALSE)+6,1)</f>
        <v>W</v>
      </c>
      <c r="AC134" s="49" t="str">
        <f>MID(VLOOKUP($A134,Seqs!$A:$B,2,FALSE),VLOOKUP($A134,'SegEnds_NonXtal_Prot#'!$A:$AL,22,FALSE)+7,1)</f>
        <v>V</v>
      </c>
      <c r="AD134" s="49" t="str">
        <f>MID(VLOOKUP($A134,Seqs!$A:$B,2,FALSE),VLOOKUP($A134,'SegEnds_NonXtal_Prot#'!$A:$AL,22,FALSE)+8,1)</f>
        <v>I</v>
      </c>
      <c r="AE134" s="49" t="str">
        <f>MID(VLOOKUP($A134,Seqs!$A:$B,2,FALSE),VLOOKUP($A134,'SegEnds_NonXtal_Prot#'!$A:$AL,22,FALSE)+9,1)</f>
        <v>P</v>
      </c>
      <c r="AF134" s="49" t="str">
        <f>MID(VLOOKUP($A134,Seqs!$A:$B,2,FALSE),VLOOKUP($A134,'SegEnds_NonXtal_Prot#'!$A:$AL,22,FALSE)+10,1)</f>
        <v>I</v>
      </c>
      <c r="AG134" s="28" t="str">
        <f>MID(VLOOKUP($A134,Seqs!$A:$B,2,FALSE),VLOOKUP($A134,'SegEnds_NonXtal_Prot#'!$A:$AL,28,FALSE)-4,1)</f>
        <v>N</v>
      </c>
      <c r="AH134" s="49" t="str">
        <f>MID(VLOOKUP($A134,Seqs!$A:$B,2,FALSE),VLOOKUP($A134,'SegEnds_NonXtal_Prot#'!$A:$AL,28,FALSE),1)</f>
        <v>P</v>
      </c>
    </row>
    <row r="135" spans="1:34" s="2" customFormat="1" x14ac:dyDescent="0.2">
      <c r="A135" s="2" t="s">
        <v>249</v>
      </c>
      <c r="B135" s="2" t="str">
        <f>LOWER(VLOOKUP(A135,Xtal_Templ!A:B,2,FALSE))</f>
        <v>lpar1_human</v>
      </c>
      <c r="C135" s="2" t="str">
        <f>VLOOKUP(A135,Classification!A:D,2,FALSE)</f>
        <v>A</v>
      </c>
      <c r="D135" s="2" t="str">
        <f>IF(ISERROR(MATCH(A135,'SegEnds_Xtal_Prot#'!B:B, 0)), "NoXtal", "Xtal")</f>
        <v>NoXtal</v>
      </c>
      <c r="H135" s="4"/>
      <c r="T135" s="4" t="s">
        <v>12</v>
      </c>
      <c r="V135" s="28" t="str">
        <f>MID(VLOOKUP($A135,Seqs!$A:$B,2,FALSE),VLOOKUP($A135,'SegEnds_NonXtal_Prot#'!A:AL,10,FALSE),1)</f>
        <v>D</v>
      </c>
      <c r="W135" s="49" t="str">
        <f>MID(VLOOKUP($A135,Seqs!$A:$B,2,FALSE),VLOOKUP($A135,'SegEnds_NonXtal_Prot#'!A:AL,10,FALSE)+6,1)</f>
        <v>G</v>
      </c>
      <c r="X135" s="49" t="str">
        <f>MID(VLOOKUP($A135,Seqs!$A:$B,2,FALSE),VLOOKUP($A135,'SegEnds_NonXtal_Prot#'!A:AL,10,FALSE)+7,1)</f>
        <v>L</v>
      </c>
      <c r="Y135" s="49" t="str">
        <f>MID(VLOOKUP($A135,Seqs!$A:$B,2,FALSE),VLOOKUP($A135,'SegEnds_NonXtal_Prot#'!A:AL,10,FALSE)+8,1)</f>
        <v>V</v>
      </c>
      <c r="Z135" s="49" t="str">
        <f>MID(VLOOKUP($A135,Seqs!$A:$B,2,FALSE),VLOOKUP($A135,'SegEnds_NonXtal_Prot#'!A:AL,10,FALSE)+9,1)</f>
        <v>L</v>
      </c>
      <c r="AA135" s="49" t="str">
        <f>MID(VLOOKUP($A135,Seqs!$A:$B,2,FALSE),VLOOKUP($A135,'SegEnds_NonXtal_Prot#'!A:AL,10,FALSE)+10,1)</f>
        <v>H</v>
      </c>
      <c r="AB135" s="28" t="str">
        <f>MID(VLOOKUP($A135,Seqs!$A:$B,2,FALSE),VLOOKUP($A135,'SegEnds_NonXtal_Prot#'!$A:$AL,22,FALSE)+6,1)</f>
        <v>L</v>
      </c>
      <c r="AC135" s="49" t="str">
        <f>MID(VLOOKUP($A135,Seqs!$A:$B,2,FALSE),VLOOKUP($A135,'SegEnds_NonXtal_Prot#'!$A:$AL,22,FALSE)+7,1)</f>
        <v>G</v>
      </c>
      <c r="AD135" s="49" t="str">
        <f>MID(VLOOKUP($A135,Seqs!$A:$B,2,FALSE),VLOOKUP($A135,'SegEnds_NonXtal_Prot#'!$A:$AL,22,FALSE)+8,1)</f>
        <v>L</v>
      </c>
      <c r="AE135" s="49" t="str">
        <f>MID(VLOOKUP($A135,Seqs!$A:$B,2,FALSE),VLOOKUP($A135,'SegEnds_NonXtal_Prot#'!$A:$AL,22,FALSE)+9,1)</f>
        <v>L</v>
      </c>
      <c r="AF135" s="49" t="str">
        <f>MID(VLOOKUP($A135,Seqs!$A:$B,2,FALSE),VLOOKUP($A135,'SegEnds_NonXtal_Prot#'!$A:$AL,22,FALSE)+10,1)</f>
        <v>P</v>
      </c>
      <c r="AG135" s="28" t="str">
        <f>MID(VLOOKUP($A135,Seqs!$A:$B,2,FALSE),VLOOKUP($A135,'SegEnds_NonXtal_Prot#'!$A:$AL,28,FALSE)-4,1)</f>
        <v>A</v>
      </c>
      <c r="AH135" s="49" t="str">
        <f>MID(VLOOKUP($A135,Seqs!$A:$B,2,FALSE),VLOOKUP($A135,'SegEnds_NonXtal_Prot#'!$A:$AL,28,FALSE),1)</f>
        <v>V</v>
      </c>
    </row>
    <row r="136" spans="1:34" s="2" customFormat="1" x14ac:dyDescent="0.2">
      <c r="A136" s="2" t="s">
        <v>103</v>
      </c>
      <c r="B136" s="2" t="str">
        <f>LOWER(VLOOKUP(A136,Xtal_Templ!A:B,2,FALSE))</f>
        <v>lpar1_human</v>
      </c>
      <c r="C136" s="2" t="str">
        <f>VLOOKUP(A136,Classification!A:D,2,FALSE)</f>
        <v>A</v>
      </c>
      <c r="D136" s="2" t="str">
        <f>IF(ISERROR(MATCH(A136,'SegEnds_Xtal_Prot#'!B:B, 0)), "NoXtal", "Xtal")</f>
        <v>Xtal</v>
      </c>
      <c r="H136" s="4"/>
      <c r="I136" s="2" t="s">
        <v>21</v>
      </c>
      <c r="T136" s="4" t="s">
        <v>12</v>
      </c>
      <c r="V136" s="28" t="str">
        <f>MID(VLOOKUP($A136,Seqs!$A:$B,2,FALSE),VLOOKUP($A136,'SegEnds_NonXtal_Prot#'!A:AL,10,FALSE),1)</f>
        <v>D</v>
      </c>
      <c r="W136" s="49" t="str">
        <f>MID(VLOOKUP($A136,Seqs!$A:$B,2,FALSE),VLOOKUP($A136,'SegEnds_NonXtal_Prot#'!A:AL,10,FALSE)+6,1)</f>
        <v>A</v>
      </c>
      <c r="X136" s="49" t="str">
        <f>MID(VLOOKUP($A136,Seqs!$A:$B,2,FALSE),VLOOKUP($A136,'SegEnds_NonXtal_Prot#'!A:AL,10,FALSE)+7,1)</f>
        <v>Y</v>
      </c>
      <c r="Y136" s="49" t="str">
        <f>MID(VLOOKUP($A136,Seqs!$A:$B,2,FALSE),VLOOKUP($A136,'SegEnds_NonXtal_Prot#'!A:AL,10,FALSE)+8,1)</f>
        <v>F</v>
      </c>
      <c r="Z136" s="49" t="str">
        <f>MID(VLOOKUP($A136,Seqs!$A:$B,2,FALSE),VLOOKUP($A136,'SegEnds_NonXtal_Prot#'!A:AL,10,FALSE)+9,1)</f>
        <v>Y</v>
      </c>
      <c r="AA136" s="49" t="str">
        <f>MID(VLOOKUP($A136,Seqs!$A:$B,2,FALSE),VLOOKUP($A136,'SegEnds_NonXtal_Prot#'!A:AL,10,FALSE)+10,1)</f>
        <v>L</v>
      </c>
      <c r="AB136" s="28" t="str">
        <f>MID(VLOOKUP($A136,Seqs!$A:$B,2,FALSE),VLOOKUP($A136,'SegEnds_NonXtal_Prot#'!$A:$AL,22,FALSE)+6,1)</f>
        <v>M</v>
      </c>
      <c r="AC136" s="49" t="str">
        <f>MID(VLOOKUP($A136,Seqs!$A:$B,2,FALSE),VLOOKUP($A136,'SegEnds_NonXtal_Prot#'!$A:$AL,22,FALSE)+7,1)</f>
        <v>G</v>
      </c>
      <c r="AD136" s="49" t="str">
        <f>MID(VLOOKUP($A136,Seqs!$A:$B,2,FALSE),VLOOKUP($A136,'SegEnds_NonXtal_Prot#'!$A:$AL,22,FALSE)+8,1)</f>
        <v>A</v>
      </c>
      <c r="AE136" s="49" t="str">
        <f>MID(VLOOKUP($A136,Seqs!$A:$B,2,FALSE),VLOOKUP($A136,'SegEnds_NonXtal_Prot#'!$A:$AL,22,FALSE)+9,1)</f>
        <v>I</v>
      </c>
      <c r="AF136" s="49" t="str">
        <f>MID(VLOOKUP($A136,Seqs!$A:$B,2,FALSE),VLOOKUP($A136,'SegEnds_NonXtal_Prot#'!$A:$AL,22,FALSE)+10,1)</f>
        <v>P</v>
      </c>
      <c r="AG136" s="28" t="str">
        <f>MID(VLOOKUP($A136,Seqs!$A:$B,2,FALSE),VLOOKUP($A136,'SegEnds_NonXtal_Prot#'!$A:$AL,28,FALSE)-4,1)</f>
        <v>F</v>
      </c>
      <c r="AH136" s="49" t="str">
        <f>MID(VLOOKUP($A136,Seqs!$A:$B,2,FALSE),VLOOKUP($A136,'SegEnds_NonXtal_Prot#'!$A:$AL,28,FALSE),1)</f>
        <v>T</v>
      </c>
    </row>
    <row r="137" spans="1:34" s="2" customFormat="1" x14ac:dyDescent="0.2">
      <c r="A137" s="2" t="s">
        <v>286</v>
      </c>
      <c r="B137" s="2" t="str">
        <f>LOWER(VLOOKUP(A137,Xtal_Templ!A:B,2,FALSE))</f>
        <v>lpar1_human</v>
      </c>
      <c r="C137" s="2" t="str">
        <f>VLOOKUP(A137,Classification!A:D,2,FALSE)</f>
        <v>A</v>
      </c>
      <c r="D137" s="2" t="str">
        <f>IF(ISERROR(MATCH(A137,'SegEnds_Xtal_Prot#'!B:B, 0)), "NoXtal", "Xtal")</f>
        <v>NoXtal</v>
      </c>
      <c r="H137" s="4"/>
      <c r="I137" s="2" t="s">
        <v>21</v>
      </c>
      <c r="T137" s="4" t="s">
        <v>12</v>
      </c>
      <c r="V137" s="28" t="str">
        <f>MID(VLOOKUP($A137,Seqs!$A:$B,2,FALSE),VLOOKUP($A137,'SegEnds_NonXtal_Prot#'!A:AL,10,FALSE),1)</f>
        <v>D</v>
      </c>
      <c r="W137" s="49" t="str">
        <f>MID(VLOOKUP($A137,Seqs!$A:$B,2,FALSE),VLOOKUP($A137,'SegEnds_NonXtal_Prot#'!A:AL,10,FALSE)+6,1)</f>
        <v>A</v>
      </c>
      <c r="X137" s="49" t="str">
        <f>MID(VLOOKUP($A137,Seqs!$A:$B,2,FALSE),VLOOKUP($A137,'SegEnds_NonXtal_Prot#'!A:AL,10,FALSE)+7,1)</f>
        <v>Y</v>
      </c>
      <c r="Y137" s="49" t="str">
        <f>MID(VLOOKUP($A137,Seqs!$A:$B,2,FALSE),VLOOKUP($A137,'SegEnds_NonXtal_Prot#'!A:AL,10,FALSE)+8,1)</f>
        <v>L</v>
      </c>
      <c r="Z137" s="49" t="str">
        <f>MID(VLOOKUP($A137,Seqs!$A:$B,2,FALSE),VLOOKUP($A137,'SegEnds_NonXtal_Prot#'!A:AL,10,FALSE)+9,1)</f>
        <v>F</v>
      </c>
      <c r="AA137" s="49" t="str">
        <f>MID(VLOOKUP($A137,Seqs!$A:$B,2,FALSE),VLOOKUP($A137,'SegEnds_NonXtal_Prot#'!A:AL,10,FALSE)+10,1)</f>
        <v>L</v>
      </c>
      <c r="AB137" s="28" t="str">
        <f>MID(VLOOKUP($A137,Seqs!$A:$B,2,FALSE),VLOOKUP($A137,'SegEnds_NonXtal_Prot#'!$A:$AL,22,FALSE)+6,1)</f>
        <v>L</v>
      </c>
      <c r="AC137" s="49" t="str">
        <f>MID(VLOOKUP($A137,Seqs!$A:$B,2,FALSE),VLOOKUP($A137,'SegEnds_NonXtal_Prot#'!$A:$AL,22,FALSE)+7,1)</f>
        <v>G</v>
      </c>
      <c r="AD137" s="49" t="str">
        <f>MID(VLOOKUP($A137,Seqs!$A:$B,2,FALSE),VLOOKUP($A137,'SegEnds_NonXtal_Prot#'!$A:$AL,22,FALSE)+8,1)</f>
        <v>L</v>
      </c>
      <c r="AE137" s="49" t="str">
        <f>MID(VLOOKUP($A137,Seqs!$A:$B,2,FALSE),VLOOKUP($A137,'SegEnds_NonXtal_Prot#'!$A:$AL,22,FALSE)+9,1)</f>
        <v>L</v>
      </c>
      <c r="AF137" s="49" t="str">
        <f>MID(VLOOKUP($A137,Seqs!$A:$B,2,FALSE),VLOOKUP($A137,'SegEnds_NonXtal_Prot#'!$A:$AL,22,FALSE)+10,1)</f>
        <v>P</v>
      </c>
      <c r="AG137" s="28" t="str">
        <f>MID(VLOOKUP($A137,Seqs!$A:$B,2,FALSE),VLOOKUP($A137,'SegEnds_NonXtal_Prot#'!$A:$AL,28,FALSE)-4,1)</f>
        <v>S</v>
      </c>
      <c r="AH137" s="49" t="str">
        <f>MID(VLOOKUP($A137,Seqs!$A:$B,2,FALSE),VLOOKUP($A137,'SegEnds_NonXtal_Prot#'!$A:$AL,28,FALSE),1)</f>
        <v>V</v>
      </c>
    </row>
    <row r="138" spans="1:34" s="2" customFormat="1" x14ac:dyDescent="0.2">
      <c r="A138" s="2" t="s">
        <v>287</v>
      </c>
      <c r="B138" s="2" t="str">
        <f>LOWER(VLOOKUP(A138,Xtal_Templ!A:B,2,FALSE))</f>
        <v>lpar1_human</v>
      </c>
      <c r="C138" s="2" t="str">
        <f>VLOOKUP(A138,Classification!A:D,2,FALSE)</f>
        <v>A</v>
      </c>
      <c r="D138" s="2" t="str">
        <f>IF(ISERROR(MATCH(A138,'SegEnds_Xtal_Prot#'!B:B, 0)), "NoXtal", "Xtal")</f>
        <v>NoXtal</v>
      </c>
      <c r="H138" s="4"/>
      <c r="I138" s="2" t="s">
        <v>21</v>
      </c>
      <c r="T138" s="4" t="s">
        <v>12</v>
      </c>
      <c r="V138" s="28" t="str">
        <f>MID(VLOOKUP($A138,Seqs!$A:$B,2,FALSE),VLOOKUP($A138,'SegEnds_NonXtal_Prot#'!A:AL,10,FALSE),1)</f>
        <v>D</v>
      </c>
      <c r="W138" s="49" t="str">
        <f>MID(VLOOKUP($A138,Seqs!$A:$B,2,FALSE),VLOOKUP($A138,'SegEnds_NonXtal_Prot#'!A:AL,10,FALSE)+6,1)</f>
        <v>A</v>
      </c>
      <c r="X138" s="49" t="str">
        <f>MID(VLOOKUP($A138,Seqs!$A:$B,2,FALSE),VLOOKUP($A138,'SegEnds_NonXtal_Prot#'!A:AL,10,FALSE)+7,1)</f>
        <v>Y</v>
      </c>
      <c r="Y138" s="49" t="str">
        <f>MID(VLOOKUP($A138,Seqs!$A:$B,2,FALSE),VLOOKUP($A138,'SegEnds_NonXtal_Prot#'!A:AL,10,FALSE)+8,1)</f>
        <v>V</v>
      </c>
      <c r="Z138" s="49" t="str">
        <f>MID(VLOOKUP($A138,Seqs!$A:$B,2,FALSE),VLOOKUP($A138,'SegEnds_NonXtal_Prot#'!A:AL,10,FALSE)+9,1)</f>
        <v>F</v>
      </c>
      <c r="AA138" s="49" t="str">
        <f>MID(VLOOKUP($A138,Seqs!$A:$B,2,FALSE),VLOOKUP($A138,'SegEnds_NonXtal_Prot#'!A:AL,10,FALSE)+10,1)</f>
        <v>L</v>
      </c>
      <c r="AB138" s="28" t="str">
        <f>MID(VLOOKUP($A138,Seqs!$A:$B,2,FALSE),VLOOKUP($A138,'SegEnds_NonXtal_Prot#'!$A:$AL,22,FALSE)+6,1)</f>
        <v>M</v>
      </c>
      <c r="AC138" s="49" t="str">
        <f>MID(VLOOKUP($A138,Seqs!$A:$B,2,FALSE),VLOOKUP($A138,'SegEnds_NonXtal_Prot#'!$A:$AL,22,FALSE)+7,1)</f>
        <v>G</v>
      </c>
      <c r="AD138" s="49" t="str">
        <f>MID(VLOOKUP($A138,Seqs!$A:$B,2,FALSE),VLOOKUP($A138,'SegEnds_NonXtal_Prot#'!$A:$AL,22,FALSE)+8,1)</f>
        <v>A</v>
      </c>
      <c r="AE138" s="49" t="str">
        <f>MID(VLOOKUP($A138,Seqs!$A:$B,2,FALSE),VLOOKUP($A138,'SegEnds_NonXtal_Prot#'!$A:$AL,22,FALSE)+9,1)</f>
        <v>V</v>
      </c>
      <c r="AF138" s="49" t="str">
        <f>MID(VLOOKUP($A138,Seqs!$A:$B,2,FALSE),VLOOKUP($A138,'SegEnds_NonXtal_Prot#'!$A:$AL,22,FALSE)+10,1)</f>
        <v>P</v>
      </c>
      <c r="AG138" s="28" t="str">
        <f>MID(VLOOKUP($A138,Seqs!$A:$B,2,FALSE),VLOOKUP($A138,'SegEnds_NonXtal_Prot#'!$A:$AL,28,FALSE)-4,1)</f>
        <v>S</v>
      </c>
      <c r="AH138" s="49" t="str">
        <f>MID(VLOOKUP($A138,Seqs!$A:$B,2,FALSE),VLOOKUP($A138,'SegEnds_NonXtal_Prot#'!$A:$AL,28,FALSE),1)</f>
        <v>A</v>
      </c>
    </row>
    <row r="139" spans="1:34" s="2" customFormat="1" x14ac:dyDescent="0.2">
      <c r="A139" s="2" t="s">
        <v>1451</v>
      </c>
      <c r="B139" s="2" t="str">
        <f>LOWER(VLOOKUP(A139,Xtal_Templ!A:B,2,FALSE))</f>
        <v>q08bg4_danre</v>
      </c>
      <c r="C139" s="2" t="str">
        <f>VLOOKUP(A139,Classification!A:D,2,FALSE)</f>
        <v>A</v>
      </c>
      <c r="D139" s="2" t="str">
        <f>IF(ISERROR(MATCH(A139,'SegEnds_Xtal_Prot#'!B:B, 0)), "NoXtal", "Xtal")</f>
        <v>Xtal</v>
      </c>
      <c r="H139" s="4"/>
      <c r="R139" s="2" t="s">
        <v>9</v>
      </c>
      <c r="T139" s="4" t="s">
        <v>12</v>
      </c>
      <c r="V139" s="28" t="str">
        <f>MID(VLOOKUP($A139,Seqs!$A:$B,2,FALSE),VLOOKUP($A139,'SegEnds_NonXtal_Prot#'!A:AL,10,FALSE),1)</f>
        <v>D</v>
      </c>
      <c r="W139" s="49" t="str">
        <f>MID(VLOOKUP($A139,Seqs!$A:$B,2,FALSE),VLOOKUP($A139,'SegEnds_NonXtal_Prot#'!A:AL,10,FALSE)+6,1)</f>
        <v>T</v>
      </c>
      <c r="X139" s="49" t="str">
        <f>MID(VLOOKUP($A139,Seqs!$A:$B,2,FALSE),VLOOKUP($A139,'SegEnds_NonXtal_Prot#'!A:AL,10,FALSE)+7,1)</f>
        <v>L</v>
      </c>
      <c r="Y139" s="49" t="str">
        <f>MID(VLOOKUP($A139,Seqs!$A:$B,2,FALSE),VLOOKUP($A139,'SegEnds_NonXtal_Prot#'!A:AL,10,FALSE)+8,1)</f>
        <v>P</v>
      </c>
      <c r="Z139" s="49" t="str">
        <f>MID(VLOOKUP($A139,Seqs!$A:$B,2,FALSE),VLOOKUP($A139,'SegEnds_NonXtal_Prot#'!A:AL,10,FALSE)+9,1)</f>
        <v>L</v>
      </c>
      <c r="AA139" s="49" t="str">
        <f>MID(VLOOKUP($A139,Seqs!$A:$B,2,FALSE),VLOOKUP($A139,'SegEnds_NonXtal_Prot#'!A:AL,10,FALSE)+10,1)</f>
        <v>R</v>
      </c>
      <c r="AB139" s="28" t="str">
        <f>MID(VLOOKUP($A139,Seqs!$A:$B,2,FALSE),VLOOKUP($A139,'SegEnds_NonXtal_Prot#'!$A:$AL,22,FALSE)+6,1)</f>
        <v>G</v>
      </c>
      <c r="AC139" s="49" t="str">
        <f>MID(VLOOKUP($A139,Seqs!$A:$B,2,FALSE),VLOOKUP($A139,'SegEnds_NonXtal_Prot#'!$A:$AL,22,FALSE)+7,1)</f>
        <v>S</v>
      </c>
      <c r="AD139" s="49" t="str">
        <f>MID(VLOOKUP($A139,Seqs!$A:$B,2,FALSE),VLOOKUP($A139,'SegEnds_NonXtal_Prot#'!$A:$AL,22,FALSE)+8,1)</f>
        <v>L</v>
      </c>
      <c r="AE139" s="49" t="str">
        <f>MID(VLOOKUP($A139,Seqs!$A:$B,2,FALSE),VLOOKUP($A139,'SegEnds_NonXtal_Prot#'!$A:$AL,22,FALSE)+9,1)</f>
        <v>P</v>
      </c>
      <c r="AF139" s="49" t="str">
        <f>MID(VLOOKUP($A139,Seqs!$A:$B,2,FALSE),VLOOKUP($A139,'SegEnds_NonXtal_Prot#'!$A:$AL,22,FALSE)+10,1)</f>
        <v>T</v>
      </c>
      <c r="AG139" s="28" t="str">
        <f>MID(VLOOKUP($A139,Seqs!$A:$B,2,FALSE),VLOOKUP($A139,'SegEnds_NonXtal_Prot#'!$A:$AL,28,FALSE)-4,1)</f>
        <v>G</v>
      </c>
      <c r="AH139" s="49" t="str">
        <f>MID(VLOOKUP($A139,Seqs!$A:$B,2,FALSE),VLOOKUP($A139,'SegEnds_NonXtal_Prot#'!$A:$AL,28,FALSE),1)</f>
        <v>P</v>
      </c>
    </row>
    <row r="140" spans="1:34" s="2" customFormat="1" x14ac:dyDescent="0.2">
      <c r="A140" s="2" t="s">
        <v>1463</v>
      </c>
      <c r="B140" s="2" t="str">
        <f>LOWER(VLOOKUP(A140,Xtal_Templ!A:B,2,FALSE))</f>
        <v>q9wtk1_cavpo</v>
      </c>
      <c r="C140" s="2" t="str">
        <f>VLOOKUP(A140,Classification!A:D,2,FALSE)</f>
        <v>A</v>
      </c>
      <c r="D140" s="2" t="str">
        <f>IF(ISERROR(MATCH(A140,'SegEnds_Xtal_Prot#'!B:B, 0)), "NoXtal", "Xtal")</f>
        <v>Xtal</v>
      </c>
      <c r="F140" s="122"/>
      <c r="G140" s="122"/>
      <c r="H140" s="122"/>
      <c r="I140" s="122"/>
      <c r="J140" s="122"/>
      <c r="K140" s="122"/>
      <c r="L140" s="122"/>
      <c r="M140" s="122"/>
      <c r="N140" s="123" t="s">
        <v>14</v>
      </c>
      <c r="O140" s="122"/>
      <c r="P140" s="122"/>
      <c r="Q140" s="122"/>
      <c r="R140" s="122" t="s">
        <v>9</v>
      </c>
      <c r="S140" s="122"/>
      <c r="T140" s="122" t="s">
        <v>12</v>
      </c>
      <c r="U140" s="122"/>
      <c r="V140" s="28" t="str">
        <f>MID(VLOOKUP($A140,Seqs!$A:$B,2,FALSE),VLOOKUP($A140,'SegEnds_NonXtal_Prot#'!A:AL,10,FALSE),1)</f>
        <v>D</v>
      </c>
      <c r="W140" s="49" t="str">
        <f>MID(VLOOKUP($A140,Seqs!$A:$B,2,FALSE),VLOOKUP($A140,'SegEnds_NonXtal_Prot#'!A:AL,10,FALSE)+6,1)</f>
        <v>T</v>
      </c>
      <c r="X140" s="49" t="str">
        <f>MID(VLOOKUP($A140,Seqs!$A:$B,2,FALSE),VLOOKUP($A140,'SegEnds_NonXtal_Prot#'!A:AL,10,FALSE)+7,1)</f>
        <v>A</v>
      </c>
      <c r="Y140" s="49" t="str">
        <f>MID(VLOOKUP($A140,Seqs!$A:$B,2,FALSE),VLOOKUP($A140,'SegEnds_NonXtal_Prot#'!A:AL,10,FALSE)+8,1)</f>
        <v>P</v>
      </c>
      <c r="Z140" s="49" t="str">
        <f>MID(VLOOKUP($A140,Seqs!$A:$B,2,FALSE),VLOOKUP($A140,'SegEnds_NonXtal_Prot#'!A:AL,10,FALSE)+9,1)</f>
        <v>F</v>
      </c>
      <c r="AA140" s="49" t="str">
        <f>MID(VLOOKUP($A140,Seqs!$A:$B,2,FALSE),VLOOKUP($A140,'SegEnds_NonXtal_Prot#'!A:AL,10,FALSE)+10,1)</f>
        <v>F</v>
      </c>
      <c r="AB140" s="28" t="str">
        <f>MID(VLOOKUP($A140,Seqs!$A:$B,2,FALSE),VLOOKUP($A140,'SegEnds_NonXtal_Prot#'!$A:$AL,22,FALSE)+6,1)</f>
        <v>L</v>
      </c>
      <c r="AC140" s="49" t="str">
        <f>MID(VLOOKUP($A140,Seqs!$A:$B,2,FALSE),VLOOKUP($A140,'SegEnds_NonXtal_Prot#'!$A:$AL,22,FALSE)+7,1)</f>
        <v>A</v>
      </c>
      <c r="AD140" s="49" t="str">
        <f>MID(VLOOKUP($A140,Seqs!$A:$B,2,FALSE),VLOOKUP($A140,'SegEnds_NonXtal_Prot#'!$A:$AL,22,FALSE)+8,1)</f>
        <v>T</v>
      </c>
      <c r="AE140" s="49" t="str">
        <f>MID(VLOOKUP($A140,Seqs!$A:$B,2,FALSE),VLOOKUP($A140,'SegEnds_NonXtal_Prot#'!$A:$AL,22,FALSE)+9,1)</f>
        <v>P</v>
      </c>
      <c r="AF140" s="49" t="str">
        <f>MID(VLOOKUP($A140,Seqs!$A:$B,2,FALSE),VLOOKUP($A140,'SegEnds_NonXtal_Prot#'!$A:$AL,22,FALSE)+10,1)</f>
        <v>V</v>
      </c>
      <c r="AG140" s="28" t="str">
        <f>MID(VLOOKUP($A140,Seqs!$A:$B,2,FALSE),VLOOKUP($A140,'SegEnds_NonXtal_Prot#'!$A:$AL,28,FALSE)-4,1)</f>
        <v>G</v>
      </c>
      <c r="AH140" s="49" t="str">
        <f>MID(VLOOKUP($A140,Seqs!$A:$B,2,FALSE),VLOOKUP($A140,'SegEnds_NonXtal_Prot#'!$A:$AL,28,FALSE),1)</f>
        <v>P</v>
      </c>
    </row>
    <row r="141" spans="1:34" s="2" customFormat="1" x14ac:dyDescent="0.2">
      <c r="A141" s="2" t="s">
        <v>209</v>
      </c>
      <c r="B141" s="2" t="str">
        <f>LOWER(VLOOKUP(A141,Xtal_Templ!A:B,2,FALSE))</f>
        <v>ntr1_rat</v>
      </c>
      <c r="C141" s="2" t="str">
        <f>VLOOKUP(A141,Classification!A:D,2,FALSE)</f>
        <v>A</v>
      </c>
      <c r="D141" s="2" t="str">
        <f>IF(ISERROR(MATCH(A141,'SegEnds_Xtal_Prot#'!B:B, 0)), "NoXtal", "Xtal")</f>
        <v>NoXtal</v>
      </c>
      <c r="H141" s="4"/>
      <c r="N141" s="2" t="s">
        <v>14</v>
      </c>
      <c r="T141" s="4" t="s">
        <v>12</v>
      </c>
      <c r="V141" s="28" t="str">
        <f>MID(VLOOKUP($A141,Seqs!$A:$B,2,FALSE),VLOOKUP($A141,'SegEnds_NonXtal_Prot#'!A:AL,10,FALSE),1)</f>
        <v>D</v>
      </c>
      <c r="W141" s="49" t="str">
        <f>MID(VLOOKUP($A141,Seqs!$A:$B,2,FALSE),VLOOKUP($A141,'SegEnds_NonXtal_Prot#'!A:AL,10,FALSE)+6,1)</f>
        <v>C</v>
      </c>
      <c r="X141" s="49" t="str">
        <f>MID(VLOOKUP($A141,Seqs!$A:$B,2,FALSE),VLOOKUP($A141,'SegEnds_NonXtal_Prot#'!A:AL,10,FALSE)+7,1)</f>
        <v>M</v>
      </c>
      <c r="Y141" s="49" t="str">
        <f>MID(VLOOKUP($A141,Seqs!$A:$B,2,FALSE),VLOOKUP($A141,'SegEnds_NonXtal_Prot#'!A:AL,10,FALSE)+8,1)</f>
        <v>P</v>
      </c>
      <c r="Z141" s="49" t="str">
        <f>MID(VLOOKUP($A141,Seqs!$A:$B,2,FALSE),VLOOKUP($A141,'SegEnds_NonXtal_Prot#'!A:AL,10,FALSE)+9,1)</f>
        <v>L</v>
      </c>
      <c r="AA141" s="49" t="str">
        <f>MID(VLOOKUP($A141,Seqs!$A:$B,2,FALSE),VLOOKUP($A141,'SegEnds_NonXtal_Prot#'!A:AL,10,FALSE)+10,1)</f>
        <v>D</v>
      </c>
      <c r="AB141" s="28" t="str">
        <f>MID(VLOOKUP($A141,Seqs!$A:$B,2,FALSE),VLOOKUP($A141,'SegEnds_NonXtal_Prot#'!$A:$AL,22,FALSE)+6,1)</f>
        <v>S</v>
      </c>
      <c r="AC141" s="49" t="str">
        <f>MID(VLOOKUP($A141,Seqs!$A:$B,2,FALSE),VLOOKUP($A141,'SegEnds_NonXtal_Prot#'!$A:$AL,22,FALSE)+7,1)</f>
        <v>A</v>
      </c>
      <c r="AD141" s="49" t="str">
        <f>MID(VLOOKUP($A141,Seqs!$A:$B,2,FALSE),VLOOKUP($A141,'SegEnds_NonXtal_Prot#'!$A:$AL,22,FALSE)+8,1)</f>
        <v>G</v>
      </c>
      <c r="AE141" s="49" t="str">
        <f>MID(VLOOKUP($A141,Seqs!$A:$B,2,FALSE),VLOOKUP($A141,'SegEnds_NonXtal_Prot#'!$A:$AL,22,FALSE)+9,1)</f>
        <v>P</v>
      </c>
      <c r="AF141" s="49" t="str">
        <f>MID(VLOOKUP($A141,Seqs!$A:$B,2,FALSE),VLOOKUP($A141,'SegEnds_NonXtal_Prot#'!$A:$AL,22,FALSE)+10,1)</f>
        <v>I</v>
      </c>
      <c r="AG141" s="28" t="str">
        <f>MID(VLOOKUP($A141,Seqs!$A:$B,2,FALSE),VLOOKUP($A141,'SegEnds_NonXtal_Prot#'!$A:$AL,28,FALSE)-4,1)</f>
        <v>F</v>
      </c>
      <c r="AH141" s="49" t="str">
        <f>MID(VLOOKUP($A141,Seqs!$A:$B,2,FALSE),VLOOKUP($A141,'SegEnds_NonXtal_Prot#'!$A:$AL,28,FALSE),1)</f>
        <v>P</v>
      </c>
    </row>
    <row r="142" spans="1:34" s="2" customFormat="1" x14ac:dyDescent="0.2">
      <c r="A142" s="2" t="s">
        <v>216</v>
      </c>
      <c r="B142" s="2" t="str">
        <f>LOWER(VLOOKUP(A142,Xtal_Templ!A:B,2,FALSE))</f>
        <v>5ht2c_human</v>
      </c>
      <c r="C142" s="2" t="str">
        <f>VLOOKUP(A142,Classification!A:D,2,FALSE)</f>
        <v>A</v>
      </c>
      <c r="D142" s="2" t="str">
        <f>IF(ISERROR(MATCH(A142,'SegEnds_Xtal_Prot#'!B:B, 0)), "NoXtal", "Xtal")</f>
        <v>NoXtal</v>
      </c>
      <c r="H142" s="4"/>
      <c r="R142" s="2" t="s">
        <v>9</v>
      </c>
      <c r="T142" s="4" t="s">
        <v>12</v>
      </c>
      <c r="V142" s="28" t="str">
        <f>MID(VLOOKUP($A142,Seqs!$A:$B,2,FALSE),VLOOKUP($A142,'SegEnds_NonXtal_Prot#'!A:AL,10,FALSE),1)</f>
        <v>D</v>
      </c>
      <c r="W142" s="49" t="str">
        <f>MID(VLOOKUP($A142,Seqs!$A:$B,2,FALSE),VLOOKUP($A142,'SegEnds_NonXtal_Prot#'!A:AL,10,FALSE)+6,1)</f>
        <v>F</v>
      </c>
      <c r="X142" s="49" t="str">
        <f>MID(VLOOKUP($A142,Seqs!$A:$B,2,FALSE),VLOOKUP($A142,'SegEnds_NonXtal_Prot#'!A:AL,10,FALSE)+7,1)</f>
        <v>I</v>
      </c>
      <c r="Y142" s="49" t="str">
        <f>MID(VLOOKUP($A142,Seqs!$A:$B,2,FALSE),VLOOKUP($A142,'SegEnds_NonXtal_Prot#'!A:AL,10,FALSE)+8,1)</f>
        <v>V</v>
      </c>
      <c r="Z142" s="49" t="str">
        <f>MID(VLOOKUP($A142,Seqs!$A:$B,2,FALSE),VLOOKUP($A142,'SegEnds_NonXtal_Prot#'!A:AL,10,FALSE)+9,1)</f>
        <v>F</v>
      </c>
      <c r="AA142" s="49" t="str">
        <f>MID(VLOOKUP($A142,Seqs!$A:$B,2,FALSE),VLOOKUP($A142,'SegEnds_NonXtal_Prot#'!A:AL,10,FALSE)+10,1)</f>
        <v>V</v>
      </c>
      <c r="AB142" s="28" t="str">
        <f>MID(VLOOKUP($A142,Seqs!$A:$B,2,FALSE),VLOOKUP($A142,'SegEnds_NonXtal_Prot#'!$A:$AL,22,FALSE)+6,1)</f>
        <v>L</v>
      </c>
      <c r="AC142" s="49" t="str">
        <f>MID(VLOOKUP($A142,Seqs!$A:$B,2,FALSE),VLOOKUP($A142,'SegEnds_NonXtal_Prot#'!$A:$AL,22,FALSE)+7,1)</f>
        <v>T</v>
      </c>
      <c r="AD142" s="49" t="str">
        <f>MID(VLOOKUP($A142,Seqs!$A:$B,2,FALSE),VLOOKUP($A142,'SegEnds_NonXtal_Prot#'!$A:$AL,22,FALSE)+8,1)</f>
        <v>S</v>
      </c>
      <c r="AE142" s="49" t="str">
        <f>MID(VLOOKUP($A142,Seqs!$A:$B,2,FALSE),VLOOKUP($A142,'SegEnds_NonXtal_Prot#'!$A:$AL,22,FALSE)+9,1)</f>
        <v>I</v>
      </c>
      <c r="AF142" s="49" t="str">
        <f>MID(VLOOKUP($A142,Seqs!$A:$B,2,FALSE),VLOOKUP($A142,'SegEnds_NonXtal_Prot#'!$A:$AL,22,FALSE)+10,1)</f>
        <v>P</v>
      </c>
      <c r="AG142" s="28" t="str">
        <f>MID(VLOOKUP($A142,Seqs!$A:$B,2,FALSE),VLOOKUP($A142,'SegEnds_NonXtal_Prot#'!$A:$AL,28,FALSE)-4,1)</f>
        <v>V</v>
      </c>
      <c r="AH142" s="49" t="str">
        <f>MID(VLOOKUP($A142,Seqs!$A:$B,2,FALSE),VLOOKUP($A142,'SegEnds_NonXtal_Prot#'!$A:$AL,28,FALSE),1)</f>
        <v>P</v>
      </c>
    </row>
    <row r="143" spans="1:34" s="2" customFormat="1" x14ac:dyDescent="0.2">
      <c r="A143" s="2" t="s">
        <v>224</v>
      </c>
      <c r="B143" s="2" t="str">
        <f>LOWER(VLOOKUP(A143,Xtal_Templ!A:B,2,FALSE))</f>
        <v>pd2r2_human</v>
      </c>
      <c r="C143" s="2" t="str">
        <f>VLOOKUP(A143,Classification!A:D,2,FALSE)</f>
        <v>A</v>
      </c>
      <c r="D143" s="2" t="str">
        <f>IF(ISERROR(MATCH(A143,'SegEnds_Xtal_Prot#'!B:B, 0)), "NoXtal", "Xtal")</f>
        <v>NoXtal</v>
      </c>
      <c r="H143" s="4"/>
      <c r="N143" s="2" t="s">
        <v>14</v>
      </c>
      <c r="R143" s="2" t="s">
        <v>9</v>
      </c>
      <c r="T143" s="4" t="s">
        <v>12</v>
      </c>
      <c r="V143" s="28" t="str">
        <f>MID(VLOOKUP($A143,Seqs!$A:$B,2,FALSE),VLOOKUP($A143,'SegEnds_NonXtal_Prot#'!A:AL,10,FALSE),1)</f>
        <v>D</v>
      </c>
      <c r="W143" s="49" t="str">
        <f>MID(VLOOKUP($A143,Seqs!$A:$B,2,FALSE),VLOOKUP($A143,'SegEnds_NonXtal_Prot#'!A:AL,10,FALSE)+6,1)</f>
        <v>A</v>
      </c>
      <c r="X143" s="49" t="str">
        <f>MID(VLOOKUP($A143,Seqs!$A:$B,2,FALSE),VLOOKUP($A143,'SegEnds_NonXtal_Prot#'!A:AL,10,FALSE)+7,1)</f>
        <v>A</v>
      </c>
      <c r="Y143" s="49" t="str">
        <f>MID(VLOOKUP($A143,Seqs!$A:$B,2,FALSE),VLOOKUP($A143,'SegEnds_NonXtal_Prot#'!A:AL,10,FALSE)+8,1)</f>
        <v>A</v>
      </c>
      <c r="Z143" s="49" t="str">
        <f>MID(VLOOKUP($A143,Seqs!$A:$B,2,FALSE),VLOOKUP($A143,'SegEnds_NonXtal_Prot#'!A:AL,10,FALSE)+9,1)</f>
        <v>F</v>
      </c>
      <c r="AA143" s="49" t="str">
        <f>MID(VLOOKUP($A143,Seqs!$A:$B,2,FALSE),VLOOKUP($A143,'SegEnds_NonXtal_Prot#'!A:AL,10,FALSE)+10,1)</f>
        <v>Q</v>
      </c>
      <c r="AB143" s="28" t="str">
        <f>MID(VLOOKUP($A143,Seqs!$A:$B,2,FALSE),VLOOKUP($A143,'SegEnds_NonXtal_Prot#'!$A:$AL,22,FALSE)+6,1)</f>
        <v>F</v>
      </c>
      <c r="AC143" s="49" t="str">
        <f>MID(VLOOKUP($A143,Seqs!$A:$B,2,FALSE),VLOOKUP($A143,'SegEnds_NonXtal_Prot#'!$A:$AL,22,FALSE)+7,1)</f>
        <v>S</v>
      </c>
      <c r="AD143" s="49" t="str">
        <f>MID(VLOOKUP($A143,Seqs!$A:$B,2,FALSE),VLOOKUP($A143,'SegEnds_NonXtal_Prot#'!$A:$AL,22,FALSE)+8,1)</f>
        <v>V</v>
      </c>
      <c r="AE143" s="49" t="str">
        <f>MID(VLOOKUP($A143,Seqs!$A:$B,2,FALSE),VLOOKUP($A143,'SegEnds_NonXtal_Prot#'!$A:$AL,22,FALSE)+9,1)</f>
        <v>P</v>
      </c>
      <c r="AF143" s="49" t="str">
        <f>MID(VLOOKUP($A143,Seqs!$A:$B,2,FALSE),VLOOKUP($A143,'SegEnds_NonXtal_Prot#'!$A:$AL,22,FALSE)+10,1)</f>
        <v>W</v>
      </c>
      <c r="AG143" s="28" t="str">
        <f>MID(VLOOKUP($A143,Seqs!$A:$B,2,FALSE),VLOOKUP($A143,'SegEnds_NonXtal_Prot#'!$A:$AL,28,FALSE)-4,1)</f>
        <v>G</v>
      </c>
      <c r="AH143" s="49" t="str">
        <f>MID(VLOOKUP($A143,Seqs!$A:$B,2,FALSE),VLOOKUP($A143,'SegEnds_NonXtal_Prot#'!$A:$AL,28,FALSE),1)</f>
        <v>P</v>
      </c>
    </row>
    <row r="144" spans="1:34" s="2" customFormat="1" x14ac:dyDescent="0.2">
      <c r="A144" s="2" t="s">
        <v>256</v>
      </c>
      <c r="B144" s="2" t="str">
        <f>LOWER(VLOOKUP(A144,Xtal_Templ!A:B,2,FALSE))</f>
        <v>ntr1_rat</v>
      </c>
      <c r="C144" s="2" t="str">
        <f>VLOOKUP(A144,Classification!A:D,2,FALSE)</f>
        <v>A</v>
      </c>
      <c r="D144" s="2" t="str">
        <f>IF(ISERROR(MATCH(A144,'SegEnds_Xtal_Prot#'!B:B, 0)), "NoXtal", "Xtal")</f>
        <v>NoXtal</v>
      </c>
      <c r="G144" s="2" t="s">
        <v>5</v>
      </c>
      <c r="H144" s="4"/>
      <c r="N144" s="2" t="s">
        <v>14</v>
      </c>
      <c r="T144" s="4" t="s">
        <v>12</v>
      </c>
      <c r="V144" s="28" t="str">
        <f>MID(VLOOKUP($A144,Seqs!$A:$B,2,FALSE),VLOOKUP($A144,'SegEnds_NonXtal_Prot#'!A:AL,10,FALSE),1)</f>
        <v>D</v>
      </c>
      <c r="W144" s="49" t="str">
        <f>MID(VLOOKUP($A144,Seqs!$A:$B,2,FALSE),VLOOKUP($A144,'SegEnds_NonXtal_Prot#'!A:AL,10,FALSE)+6,1)</f>
        <v>I</v>
      </c>
      <c r="X144" s="49" t="str">
        <f>MID(VLOOKUP($A144,Seqs!$A:$B,2,FALSE),VLOOKUP($A144,'SegEnds_NonXtal_Prot#'!A:AL,10,FALSE)+7,1)</f>
        <v>G</v>
      </c>
      <c r="Y144" s="49" t="str">
        <f>MID(VLOOKUP($A144,Seqs!$A:$B,2,FALSE),VLOOKUP($A144,'SegEnds_NonXtal_Prot#'!A:AL,10,FALSE)+8,1)</f>
        <v>M</v>
      </c>
      <c r="Z144" s="49" t="str">
        <f>MID(VLOOKUP($A144,Seqs!$A:$B,2,FALSE),VLOOKUP($A144,'SegEnds_NonXtal_Prot#'!A:AL,10,FALSE)+9,1)</f>
        <v>P</v>
      </c>
      <c r="AA144" s="49" t="str">
        <f>MID(VLOOKUP($A144,Seqs!$A:$B,2,FALSE),VLOOKUP($A144,'SegEnds_NonXtal_Prot#'!A:AL,10,FALSE)+10,1)</f>
        <v>M</v>
      </c>
      <c r="AB144" s="28" t="str">
        <f>MID(VLOOKUP($A144,Seqs!$A:$B,2,FALSE),VLOOKUP($A144,'SegEnds_NonXtal_Prot#'!$A:$AL,22,FALSE)+6,1)</f>
        <v>V</v>
      </c>
      <c r="AC144" s="49" t="str">
        <f>MID(VLOOKUP($A144,Seqs!$A:$B,2,FALSE),VLOOKUP($A144,'SegEnds_NonXtal_Prot#'!$A:$AL,22,FALSE)+7,1)</f>
        <v>A</v>
      </c>
      <c r="AD144" s="49" t="str">
        <f>MID(VLOOKUP($A144,Seqs!$A:$B,2,FALSE),VLOOKUP($A144,'SegEnds_NonXtal_Prot#'!$A:$AL,22,FALSE)+8,1)</f>
        <v>L</v>
      </c>
      <c r="AE144" s="49" t="str">
        <f>MID(VLOOKUP($A144,Seqs!$A:$B,2,FALSE),VLOOKUP($A144,'SegEnds_NonXtal_Prot#'!$A:$AL,22,FALSE)+9,1)</f>
        <v>P</v>
      </c>
      <c r="AF144" s="49" t="str">
        <f>MID(VLOOKUP($A144,Seqs!$A:$B,2,FALSE),VLOOKUP($A144,'SegEnds_NonXtal_Prot#'!$A:$AL,22,FALSE)+10,1)</f>
        <v>L</v>
      </c>
      <c r="AG144" s="28" t="str">
        <f>MID(VLOOKUP($A144,Seqs!$A:$B,2,FALSE),VLOOKUP($A144,'SegEnds_NonXtal_Prot#'!$A:$AL,28,FALSE)-4,1)</f>
        <v>A</v>
      </c>
      <c r="AH144" s="49" t="str">
        <f>MID(VLOOKUP($A144,Seqs!$A:$B,2,FALSE),VLOOKUP($A144,'SegEnds_NonXtal_Prot#'!$A:$AL,28,FALSE),1)</f>
        <v>Y</v>
      </c>
    </row>
    <row r="145" spans="1:34" s="2" customFormat="1" x14ac:dyDescent="0.2">
      <c r="A145" s="2" t="s">
        <v>310</v>
      </c>
      <c r="B145" s="2" t="str">
        <f>LOWER(VLOOKUP(A145,Xtal_Templ!A:B,2,FALSE))</f>
        <v>ntr1_rat</v>
      </c>
      <c r="C145" s="2" t="str">
        <f>VLOOKUP(A145,Classification!A:D,2,FALSE)</f>
        <v>A</v>
      </c>
      <c r="D145" s="2" t="str">
        <f>IF(ISERROR(MATCH(A145,'SegEnds_Xtal_Prot#'!B:B, 0)), "NoXtal", "Xtal")</f>
        <v>NoXtal</v>
      </c>
      <c r="H145" s="4"/>
      <c r="N145" s="2" t="s">
        <v>14</v>
      </c>
      <c r="R145" s="2" t="s">
        <v>9</v>
      </c>
      <c r="T145" s="4" t="s">
        <v>12</v>
      </c>
      <c r="V145" s="28" t="str">
        <f>MID(VLOOKUP($A145,Seqs!$A:$B,2,FALSE),VLOOKUP($A145,'SegEnds_NonXtal_Prot#'!A:AL,10,FALSE),1)</f>
        <v>D</v>
      </c>
      <c r="W145" s="49" t="str">
        <f>MID(VLOOKUP($A145,Seqs!$A:$B,2,FALSE),VLOOKUP($A145,'SegEnds_NonXtal_Prot#'!A:AL,10,FALSE)+6,1)</f>
        <v>G</v>
      </c>
      <c r="X145" s="49" t="str">
        <f>MID(VLOOKUP($A145,Seqs!$A:$B,2,FALSE),VLOOKUP($A145,'SegEnds_NonXtal_Prot#'!A:AL,10,FALSE)+7,1)</f>
        <v>L</v>
      </c>
      <c r="Y145" s="49" t="str">
        <f>MID(VLOOKUP($A145,Seqs!$A:$B,2,FALSE),VLOOKUP($A145,'SegEnds_NonXtal_Prot#'!A:AL,10,FALSE)+8,1)</f>
        <v>P</v>
      </c>
      <c r="Z145" s="49" t="str">
        <f>MID(VLOOKUP($A145,Seqs!$A:$B,2,FALSE),VLOOKUP($A145,'SegEnds_NonXtal_Prot#'!A:AL,10,FALSE)+9,1)</f>
        <v>F</v>
      </c>
      <c r="AA145" s="49" t="str">
        <f>MID(VLOOKUP($A145,Seqs!$A:$B,2,FALSE),VLOOKUP($A145,'SegEnds_NonXtal_Prot#'!A:AL,10,FALSE)+10,1)</f>
        <v>D</v>
      </c>
      <c r="AB145" s="28" t="str">
        <f>MID(VLOOKUP($A145,Seqs!$A:$B,2,FALSE),VLOOKUP($A145,'SegEnds_NonXtal_Prot#'!$A:$AL,22,FALSE)+6,1)</f>
        <v>S</v>
      </c>
      <c r="AC145" s="49" t="str">
        <f>MID(VLOOKUP($A145,Seqs!$A:$B,2,FALSE),VLOOKUP($A145,'SegEnds_NonXtal_Prot#'!$A:$AL,22,FALSE)+7,1)</f>
        <v>A</v>
      </c>
      <c r="AD145" s="49" t="str">
        <f>MID(VLOOKUP($A145,Seqs!$A:$B,2,FALSE),VLOOKUP($A145,'SegEnds_NonXtal_Prot#'!$A:$AL,22,FALSE)+8,1)</f>
        <v>G</v>
      </c>
      <c r="AE145" s="49" t="str">
        <f>MID(VLOOKUP($A145,Seqs!$A:$B,2,FALSE),VLOOKUP($A145,'SegEnds_NonXtal_Prot#'!$A:$AL,22,FALSE)+9,1)</f>
        <v>P</v>
      </c>
      <c r="AF145" s="49" t="str">
        <f>MID(VLOOKUP($A145,Seqs!$A:$B,2,FALSE),VLOOKUP($A145,'SegEnds_NonXtal_Prot#'!$A:$AL,22,FALSE)+10,1)</f>
        <v>F</v>
      </c>
      <c r="AG145" s="28" t="str">
        <f>MID(VLOOKUP($A145,Seqs!$A:$B,2,FALSE),VLOOKUP($A145,'SegEnds_NonXtal_Prot#'!$A:$AL,28,FALSE)-4,1)</f>
        <v>Y</v>
      </c>
      <c r="AH145" s="49" t="str">
        <f>MID(VLOOKUP($A145,Seqs!$A:$B,2,FALSE),VLOOKUP($A145,'SegEnds_NonXtal_Prot#'!$A:$AL,28,FALSE),1)</f>
        <v>P</v>
      </c>
    </row>
    <row r="146" spans="1:34" s="2" customFormat="1" x14ac:dyDescent="0.2">
      <c r="A146" s="2" t="s">
        <v>318</v>
      </c>
      <c r="B146" s="2" t="str">
        <f>LOWER(VLOOKUP(A146,Xtal_Templ!A:B,2,FALSE))</f>
        <v>ntr1_rat</v>
      </c>
      <c r="C146" s="2" t="str">
        <f>VLOOKUP(A146,Classification!A:D,2,FALSE)</f>
        <v>A</v>
      </c>
      <c r="D146" s="2" t="str">
        <f>IF(ISERROR(MATCH(A146,'SegEnds_Xtal_Prot#'!B:B, 0)), "NoXtal", "Xtal")</f>
        <v>NoXtal</v>
      </c>
      <c r="G146" s="2" t="s">
        <v>5</v>
      </c>
      <c r="H146" s="4"/>
      <c r="N146" s="2" t="s">
        <v>14</v>
      </c>
      <c r="T146" s="4" t="s">
        <v>12</v>
      </c>
      <c r="V146" s="28" t="str">
        <f>MID(VLOOKUP($A146,Seqs!$A:$B,2,FALSE),VLOOKUP($A146,'SegEnds_NonXtal_Prot#'!A:AL,10,FALSE),1)</f>
        <v>D</v>
      </c>
      <c r="W146" s="49" t="str">
        <f>MID(VLOOKUP($A146,Seqs!$A:$B,2,FALSE),VLOOKUP($A146,'SegEnds_NonXtal_Prot#'!A:AL,10,FALSE)+6,1)</f>
        <v>V</v>
      </c>
      <c r="X146" s="49" t="str">
        <f>MID(VLOOKUP($A146,Seqs!$A:$B,2,FALSE),VLOOKUP($A146,'SegEnds_NonXtal_Prot#'!A:AL,10,FALSE)+7,1)</f>
        <v>G</v>
      </c>
      <c r="Y146" s="49" t="str">
        <f>MID(VLOOKUP($A146,Seqs!$A:$B,2,FALSE),VLOOKUP($A146,'SegEnds_NonXtal_Prot#'!A:AL,10,FALSE)+8,1)</f>
        <v>L</v>
      </c>
      <c r="Z146" s="49" t="str">
        <f>MID(VLOOKUP($A146,Seqs!$A:$B,2,FALSE),VLOOKUP($A146,'SegEnds_NonXtal_Prot#'!A:AL,10,FALSE)+9,1)</f>
        <v>P</v>
      </c>
      <c r="AA146" s="49" t="str">
        <f>MID(VLOOKUP($A146,Seqs!$A:$B,2,FALSE),VLOOKUP($A146,'SegEnds_NonXtal_Prot#'!A:AL,10,FALSE)+10,1)</f>
        <v>L</v>
      </c>
      <c r="AB146" s="28" t="str">
        <f>MID(VLOOKUP($A146,Seqs!$A:$B,2,FALSE),VLOOKUP($A146,'SegEnds_NonXtal_Prot#'!$A:$AL,22,FALSE)+6,1)</f>
        <v>C</v>
      </c>
      <c r="AC146" s="49" t="str">
        <f>MID(VLOOKUP($A146,Seqs!$A:$B,2,FALSE),VLOOKUP($A146,'SegEnds_NonXtal_Prot#'!$A:$AL,22,FALSE)+7,1)</f>
        <v>S</v>
      </c>
      <c r="AD146" s="49" t="str">
        <f>MID(VLOOKUP($A146,Seqs!$A:$B,2,FALSE),VLOOKUP($A146,'SegEnds_NonXtal_Prot#'!$A:$AL,22,FALSE)+8,1)</f>
        <v>L</v>
      </c>
      <c r="AE146" s="49" t="str">
        <f>MID(VLOOKUP($A146,Seqs!$A:$B,2,FALSE),VLOOKUP($A146,'SegEnds_NonXtal_Prot#'!$A:$AL,22,FALSE)+9,1)</f>
        <v>P</v>
      </c>
      <c r="AF146" s="49" t="str">
        <f>MID(VLOOKUP($A146,Seqs!$A:$B,2,FALSE),VLOOKUP($A146,'SegEnds_NonXtal_Prot#'!$A:$AL,22,FALSE)+10,1)</f>
        <v>N</v>
      </c>
      <c r="AG146" s="28" t="str">
        <f>MID(VLOOKUP($A146,Seqs!$A:$B,2,FALSE),VLOOKUP($A146,'SegEnds_NonXtal_Prot#'!$A:$AL,28,FALSE)-4,1)</f>
        <v>F</v>
      </c>
      <c r="AH146" s="49" t="str">
        <f>MID(VLOOKUP($A146,Seqs!$A:$B,2,FALSE),VLOOKUP($A146,'SegEnds_NonXtal_Prot#'!$A:$AL,28,FALSE),1)</f>
        <v>P</v>
      </c>
    </row>
    <row r="147" spans="1:34" s="2" customFormat="1" x14ac:dyDescent="0.2">
      <c r="A147" s="2" t="s">
        <v>319</v>
      </c>
      <c r="B147" s="2" t="str">
        <f>LOWER(VLOOKUP(A147,Xtal_Templ!A:B,2,FALSE))</f>
        <v>ntr1_rat</v>
      </c>
      <c r="C147" s="2" t="str">
        <f>VLOOKUP(A147,Classification!A:D,2,FALSE)</f>
        <v>A</v>
      </c>
      <c r="D147" s="2" t="str">
        <f>IF(ISERROR(MATCH(A147,'SegEnds_Xtal_Prot#'!B:B, 0)), "NoXtal", "Xtal")</f>
        <v>NoXtal</v>
      </c>
      <c r="G147" s="2" t="s">
        <v>5</v>
      </c>
      <c r="H147" s="4"/>
      <c r="N147" s="2" t="s">
        <v>14</v>
      </c>
      <c r="T147" s="4" t="s">
        <v>12</v>
      </c>
      <c r="V147" s="28" t="str">
        <f>MID(VLOOKUP($A147,Seqs!$A:$B,2,FALSE),VLOOKUP($A147,'SegEnds_NonXtal_Prot#'!A:AL,10,FALSE),1)</f>
        <v>D</v>
      </c>
      <c r="W147" s="49" t="str">
        <f>MID(VLOOKUP($A147,Seqs!$A:$B,2,FALSE),VLOOKUP($A147,'SegEnds_NonXtal_Prot#'!A:AL,10,FALSE)+6,1)</f>
        <v>L</v>
      </c>
      <c r="X147" s="49" t="str">
        <f>MID(VLOOKUP($A147,Seqs!$A:$B,2,FALSE),VLOOKUP($A147,'SegEnds_NonXtal_Prot#'!A:AL,10,FALSE)+7,1)</f>
        <v>G</v>
      </c>
      <c r="Y147" s="49" t="str">
        <f>MID(VLOOKUP($A147,Seqs!$A:$B,2,FALSE),VLOOKUP($A147,'SegEnds_NonXtal_Prot#'!A:AL,10,FALSE)+8,1)</f>
        <v>M</v>
      </c>
      <c r="Z147" s="49" t="str">
        <f>MID(VLOOKUP($A147,Seqs!$A:$B,2,FALSE),VLOOKUP($A147,'SegEnds_NonXtal_Prot#'!A:AL,10,FALSE)+9,1)</f>
        <v>P</v>
      </c>
      <c r="AA147" s="49" t="str">
        <f>MID(VLOOKUP($A147,Seqs!$A:$B,2,FALSE),VLOOKUP($A147,'SegEnds_NonXtal_Prot#'!A:AL,10,FALSE)+10,1)</f>
        <v>L</v>
      </c>
      <c r="AB147" s="28" t="str">
        <f>MID(VLOOKUP($A147,Seqs!$A:$B,2,FALSE),VLOOKUP($A147,'SegEnds_NonXtal_Prot#'!$A:$AL,22,FALSE)+6,1)</f>
        <v>F</v>
      </c>
      <c r="AC147" s="49" t="str">
        <f>MID(VLOOKUP($A147,Seqs!$A:$B,2,FALSE),VLOOKUP($A147,'SegEnds_NonXtal_Prot#'!$A:$AL,22,FALSE)+7,1)</f>
        <v>S</v>
      </c>
      <c r="AD147" s="49" t="str">
        <f>MID(VLOOKUP($A147,Seqs!$A:$B,2,FALSE),VLOOKUP($A147,'SegEnds_NonXtal_Prot#'!$A:$AL,22,FALSE)+8,1)</f>
        <v>L</v>
      </c>
      <c r="AE147" s="49" t="str">
        <f>MID(VLOOKUP($A147,Seqs!$A:$B,2,FALSE),VLOOKUP($A147,'SegEnds_NonXtal_Prot#'!$A:$AL,22,FALSE)+9,1)</f>
        <v>P</v>
      </c>
      <c r="AF147" s="49" t="str">
        <f>MID(VLOOKUP($A147,Seqs!$A:$B,2,FALSE),VLOOKUP($A147,'SegEnds_NonXtal_Prot#'!$A:$AL,22,FALSE)+10,1)</f>
        <v>N</v>
      </c>
      <c r="AG147" s="28" t="str">
        <f>MID(VLOOKUP($A147,Seqs!$A:$B,2,FALSE),VLOOKUP($A147,'SegEnds_NonXtal_Prot#'!$A:$AL,28,FALSE)-4,1)</f>
        <v>F</v>
      </c>
      <c r="AH147" s="49" t="str">
        <f>MID(VLOOKUP($A147,Seqs!$A:$B,2,FALSE),VLOOKUP($A147,'SegEnds_NonXtal_Prot#'!$A:$AL,28,FALSE),1)</f>
        <v>P</v>
      </c>
    </row>
    <row r="148" spans="1:34" s="2" customFormat="1" x14ac:dyDescent="0.2">
      <c r="A148" s="2" t="s">
        <v>127</v>
      </c>
      <c r="B148" s="2" t="str">
        <f>LOWER(VLOOKUP(A148,Xtal_Templ!A:B,2,FALSE))</f>
        <v>ntr1_rat</v>
      </c>
      <c r="C148" s="2" t="str">
        <f>VLOOKUP(A148,Classification!A:D,2,FALSE)</f>
        <v>A</v>
      </c>
      <c r="D148" s="2" t="str">
        <f>IF(ISERROR(MATCH(A148,'SegEnds_Xtal_Prot#'!B:B, 0)), "NoXtal", "Xtal")</f>
        <v>NoXtal</v>
      </c>
      <c r="G148" s="2" t="s">
        <v>5</v>
      </c>
      <c r="H148" s="4"/>
      <c r="N148" s="2" t="s">
        <v>14</v>
      </c>
      <c r="R148" s="2" t="s">
        <v>9</v>
      </c>
      <c r="T148" s="4" t="s">
        <v>12</v>
      </c>
      <c r="V148" s="28" t="str">
        <f>MID(VLOOKUP($A148,Seqs!$A:$B,2,FALSE),VLOOKUP($A148,'SegEnds_NonXtal_Prot#'!A:AL,10,FALSE),1)</f>
        <v>D</v>
      </c>
      <c r="W148" s="49" t="str">
        <f>MID(VLOOKUP($A148,Seqs!$A:$B,2,FALSE),VLOOKUP($A148,'SegEnds_NonXtal_Prot#'!A:AL,10,FALSE)+6,1)</f>
        <v>L</v>
      </c>
      <c r="X148" s="49" t="str">
        <f>MID(VLOOKUP($A148,Seqs!$A:$B,2,FALSE),VLOOKUP($A148,'SegEnds_NonXtal_Prot#'!A:AL,10,FALSE)+7,1)</f>
        <v>A</v>
      </c>
      <c r="Y148" s="49" t="str">
        <f>MID(VLOOKUP($A148,Seqs!$A:$B,2,FALSE),VLOOKUP($A148,'SegEnds_NonXtal_Prot#'!A:AL,10,FALSE)+8,1)</f>
        <v>M</v>
      </c>
      <c r="Z148" s="49" t="str">
        <f>MID(VLOOKUP($A148,Seqs!$A:$B,2,FALSE),VLOOKUP($A148,'SegEnds_NonXtal_Prot#'!A:AL,10,FALSE)+9,1)</f>
        <v>P</v>
      </c>
      <c r="AA148" s="49" t="str">
        <f>MID(VLOOKUP($A148,Seqs!$A:$B,2,FALSE),VLOOKUP($A148,'SegEnds_NonXtal_Prot#'!A:AL,10,FALSE)+10,1)</f>
        <v>V</v>
      </c>
      <c r="AB148" s="28" t="str">
        <f>MID(VLOOKUP($A148,Seqs!$A:$B,2,FALSE),VLOOKUP($A148,'SegEnds_NonXtal_Prot#'!$A:$AL,22,FALSE)+6,1)</f>
        <v>L</v>
      </c>
      <c r="AC148" s="49" t="str">
        <f>MID(VLOOKUP($A148,Seqs!$A:$B,2,FALSE),VLOOKUP($A148,'SegEnds_NonXtal_Prot#'!$A:$AL,22,FALSE)+7,1)</f>
        <v>A</v>
      </c>
      <c r="AD148" s="49" t="str">
        <f>MID(VLOOKUP($A148,Seqs!$A:$B,2,FALSE),VLOOKUP($A148,'SegEnds_NonXtal_Prot#'!$A:$AL,22,FALSE)+8,1)</f>
        <v>V</v>
      </c>
      <c r="AE148" s="49" t="str">
        <f>MID(VLOOKUP($A148,Seqs!$A:$B,2,FALSE),VLOOKUP($A148,'SegEnds_NonXtal_Prot#'!$A:$AL,22,FALSE)+9,1)</f>
        <v>P</v>
      </c>
      <c r="AF148" s="49" t="str">
        <f>MID(VLOOKUP($A148,Seqs!$A:$B,2,FALSE),VLOOKUP($A148,'SegEnds_NonXtal_Prot#'!$A:$AL,22,FALSE)+10,1)</f>
        <v>M</v>
      </c>
      <c r="AG148" s="28" t="str">
        <f>MID(VLOOKUP($A148,Seqs!$A:$B,2,FALSE),VLOOKUP($A148,'SegEnds_NonXtal_Prot#'!$A:$AL,28,FALSE)-4,1)</f>
        <v>S</v>
      </c>
      <c r="AH148" s="49" t="str">
        <f>MID(VLOOKUP($A148,Seqs!$A:$B,2,FALSE),VLOOKUP($A148,'SegEnds_NonXtal_Prot#'!$A:$AL,28,FALSE),1)</f>
        <v>P</v>
      </c>
    </row>
    <row r="149" spans="1:34" s="2" customFormat="1" x14ac:dyDescent="0.2">
      <c r="A149" s="2" t="s">
        <v>914</v>
      </c>
      <c r="B149" s="2" t="str">
        <f>LOWER(VLOOKUP(A149,Xtal_Templ!A:B,2,FALSE))</f>
        <v>ntr1_rat</v>
      </c>
      <c r="C149" s="2" t="str">
        <f>VLOOKUP(A149,Classification!A:D,2,FALSE)</f>
        <v>A</v>
      </c>
      <c r="D149" s="2" t="str">
        <f>IF(ISERROR(MATCH(A149,'SegEnds_Xtal_Prot#'!B:B, 0)), "NoXtal", "Xtal")</f>
        <v>Xtal</v>
      </c>
      <c r="G149" s="2" t="s">
        <v>5</v>
      </c>
      <c r="H149" s="4"/>
      <c r="N149" s="2" t="s">
        <v>14</v>
      </c>
      <c r="R149" s="2" t="s">
        <v>9</v>
      </c>
      <c r="T149" s="4" t="s">
        <v>12</v>
      </c>
      <c r="V149" s="28" t="str">
        <f>MID(VLOOKUP($A149,Seqs!$A:$B,2,FALSE),VLOOKUP($A149,'SegEnds_NonXtal_Prot#'!A:AL,10,FALSE),1)</f>
        <v>D</v>
      </c>
      <c r="W149" s="49" t="str">
        <f>MID(VLOOKUP($A149,Seqs!$A:$B,2,FALSE),VLOOKUP($A149,'SegEnds_NonXtal_Prot#'!A:AL,10,FALSE)+6,1)</f>
        <v>L</v>
      </c>
      <c r="X149" s="49" t="str">
        <f>MID(VLOOKUP($A149,Seqs!$A:$B,2,FALSE),VLOOKUP($A149,'SegEnds_NonXtal_Prot#'!A:AL,10,FALSE)+7,1)</f>
        <v>A</v>
      </c>
      <c r="Y149" s="49" t="str">
        <f>MID(VLOOKUP($A149,Seqs!$A:$B,2,FALSE),VLOOKUP($A149,'SegEnds_NonXtal_Prot#'!A:AL,10,FALSE)+8,1)</f>
        <v>M</v>
      </c>
      <c r="Z149" s="49" t="str">
        <f>MID(VLOOKUP($A149,Seqs!$A:$B,2,FALSE),VLOOKUP($A149,'SegEnds_NonXtal_Prot#'!A:AL,10,FALSE)+9,1)</f>
        <v>P</v>
      </c>
      <c r="AA149" s="49" t="str">
        <f>MID(VLOOKUP($A149,Seqs!$A:$B,2,FALSE),VLOOKUP($A149,'SegEnds_NonXtal_Prot#'!A:AL,10,FALSE)+10,1)</f>
        <v>V</v>
      </c>
      <c r="AB149" s="28" t="str">
        <f>MID(VLOOKUP($A149,Seqs!$A:$B,2,FALSE),VLOOKUP($A149,'SegEnds_NonXtal_Prot#'!$A:$AL,22,FALSE)+6,1)</f>
        <v>L</v>
      </c>
      <c r="AC149" s="49" t="str">
        <f>MID(VLOOKUP($A149,Seqs!$A:$B,2,FALSE),VLOOKUP($A149,'SegEnds_NonXtal_Prot#'!$A:$AL,22,FALSE)+7,1)</f>
        <v>A</v>
      </c>
      <c r="AD149" s="49" t="str">
        <f>MID(VLOOKUP($A149,Seqs!$A:$B,2,FALSE),VLOOKUP($A149,'SegEnds_NonXtal_Prot#'!$A:$AL,22,FALSE)+8,1)</f>
        <v>I</v>
      </c>
      <c r="AE149" s="49" t="str">
        <f>MID(VLOOKUP($A149,Seqs!$A:$B,2,FALSE),VLOOKUP($A149,'SegEnds_NonXtal_Prot#'!$A:$AL,22,FALSE)+9,1)</f>
        <v>P</v>
      </c>
      <c r="AF149" s="49" t="str">
        <f>MID(VLOOKUP($A149,Seqs!$A:$B,2,FALSE),VLOOKUP($A149,'SegEnds_NonXtal_Prot#'!$A:$AL,22,FALSE)+10,1)</f>
        <v>M</v>
      </c>
      <c r="AG149" s="28" t="str">
        <f>MID(VLOOKUP($A149,Seqs!$A:$B,2,FALSE),VLOOKUP($A149,'SegEnds_NonXtal_Prot#'!$A:$AL,28,FALSE)-4,1)</f>
        <v>S</v>
      </c>
      <c r="AH149" s="49" t="str">
        <f>MID(VLOOKUP($A149,Seqs!$A:$B,2,FALSE),VLOOKUP($A149,'SegEnds_NonXtal_Prot#'!$A:$AL,28,FALSE),1)</f>
        <v>P</v>
      </c>
    </row>
    <row r="150" spans="1:34" s="2" customFormat="1" x14ac:dyDescent="0.2">
      <c r="A150" s="2" t="s">
        <v>330</v>
      </c>
      <c r="B150" s="2" t="str">
        <f>LOWER(VLOOKUP(A150,Xtal_Templ!A:B,2,FALSE))</f>
        <v>ntr1_rat</v>
      </c>
      <c r="C150" s="2" t="str">
        <f>VLOOKUP(A150,Classification!A:D,2,FALSE)</f>
        <v>A</v>
      </c>
      <c r="D150" s="2" t="str">
        <f>IF(ISERROR(MATCH(A150,'SegEnds_Xtal_Prot#'!B:B, 0)), "NoXtal", "Xtal")</f>
        <v>NoXtal</v>
      </c>
      <c r="G150" s="2" t="s">
        <v>5</v>
      </c>
      <c r="H150" s="4"/>
      <c r="N150" s="2" t="s">
        <v>14</v>
      </c>
      <c r="R150" s="2" t="s">
        <v>9</v>
      </c>
      <c r="T150" s="4" t="s">
        <v>12</v>
      </c>
      <c r="V150" s="28" t="str">
        <f>MID(VLOOKUP($A150,Seqs!$A:$B,2,FALSE),VLOOKUP($A150,'SegEnds_NonXtal_Prot#'!A:AL,10,FALSE),1)</f>
        <v>G</v>
      </c>
      <c r="W150" s="49" t="str">
        <f>MID(VLOOKUP($A150,Seqs!$A:$B,2,FALSE),VLOOKUP($A150,'SegEnds_NonXtal_Prot#'!A:AL,10,FALSE)+6,1)</f>
        <v>V</v>
      </c>
      <c r="X150" s="49" t="str">
        <f>MID(VLOOKUP($A150,Seqs!$A:$B,2,FALSE),VLOOKUP($A150,'SegEnds_NonXtal_Prot#'!A:AL,10,FALSE)+7,1)</f>
        <v>G</v>
      </c>
      <c r="Y150" s="49" t="str">
        <f>MID(VLOOKUP($A150,Seqs!$A:$B,2,FALSE),VLOOKUP($A150,'SegEnds_NonXtal_Prot#'!A:AL,10,FALSE)+8,1)</f>
        <v>V</v>
      </c>
      <c r="Z150" s="49" t="str">
        <f>MID(VLOOKUP($A150,Seqs!$A:$B,2,FALSE),VLOOKUP($A150,'SegEnds_NonXtal_Prot#'!A:AL,10,FALSE)+9,1)</f>
        <v>P</v>
      </c>
      <c r="AA150" s="49" t="str">
        <f>MID(VLOOKUP($A150,Seqs!$A:$B,2,FALSE),VLOOKUP($A150,'SegEnds_NonXtal_Prot#'!A:AL,10,FALSE)+10,1)</f>
        <v>V</v>
      </c>
      <c r="AB150" s="28" t="str">
        <f>MID(VLOOKUP($A150,Seqs!$A:$B,2,FALSE),VLOOKUP($A150,'SegEnds_NonXtal_Prot#'!$A:$AL,22,FALSE)+6,1)</f>
        <v>L</v>
      </c>
      <c r="AC150" s="49" t="str">
        <f>MID(VLOOKUP($A150,Seqs!$A:$B,2,FALSE),VLOOKUP($A150,'SegEnds_NonXtal_Prot#'!$A:$AL,22,FALSE)+7,1)</f>
        <v>A</v>
      </c>
      <c r="AD150" s="49" t="str">
        <f>MID(VLOOKUP($A150,Seqs!$A:$B,2,FALSE),VLOOKUP($A150,'SegEnds_NonXtal_Prot#'!$A:$AL,22,FALSE)+8,1)</f>
        <v>L</v>
      </c>
      <c r="AE150" s="49" t="str">
        <f>MID(VLOOKUP($A150,Seqs!$A:$B,2,FALSE),VLOOKUP($A150,'SegEnds_NonXtal_Prot#'!$A:$AL,22,FALSE)+9,1)</f>
        <v>P</v>
      </c>
      <c r="AF150" s="49" t="str">
        <f>MID(VLOOKUP($A150,Seqs!$A:$B,2,FALSE),VLOOKUP($A150,'SegEnds_NonXtal_Prot#'!$A:$AL,22,FALSE)+10,1)</f>
        <v>M</v>
      </c>
      <c r="AG150" s="28" t="str">
        <f>MID(VLOOKUP($A150,Seqs!$A:$B,2,FALSE),VLOOKUP($A150,'SegEnds_NonXtal_Prot#'!$A:$AL,28,FALSE)-4,1)</f>
        <v>S</v>
      </c>
      <c r="AH150" s="49" t="str">
        <f>MID(VLOOKUP($A150,Seqs!$A:$B,2,FALSE),VLOOKUP($A150,'SegEnds_NonXtal_Prot#'!$A:$AL,28,FALSE),1)</f>
        <v>P</v>
      </c>
    </row>
    <row r="151" spans="1:34" s="2" customFormat="1" x14ac:dyDescent="0.2">
      <c r="A151" s="2" t="s">
        <v>362</v>
      </c>
      <c r="B151" s="2" t="str">
        <f>LOWER(VLOOKUP(A151,Xtal_Templ!A:B,2,FALSE))</f>
        <v>pe2r4_human</v>
      </c>
      <c r="C151" s="2" t="str">
        <f>VLOOKUP(A151,Classification!A:D,2,FALSE)</f>
        <v>A</v>
      </c>
      <c r="D151" s="2" t="str">
        <f>IF(ISERROR(MATCH(A151,'SegEnds_Xtal_Prot#'!B:B, 0)), "NoXtal", "Xtal")</f>
        <v>NoXtal</v>
      </c>
      <c r="G151" s="2" t="s">
        <v>5</v>
      </c>
      <c r="H151" s="4"/>
      <c r="T151" s="4" t="s">
        <v>12</v>
      </c>
      <c r="V151" s="28" t="str">
        <f>MID(VLOOKUP($A151,Seqs!$A:$B,2,FALSE),VLOOKUP($A151,'SegEnds_NonXtal_Prot#'!A:AL,10,FALSE),1)</f>
        <v>D</v>
      </c>
      <c r="W151" s="49" t="str">
        <f>MID(VLOOKUP($A151,Seqs!$A:$B,2,FALSE),VLOOKUP($A151,'SegEnds_NonXtal_Prot#'!A:AL,10,FALSE)+6,1)</f>
        <v>L</v>
      </c>
      <c r="X151" s="49" t="str">
        <f>MID(VLOOKUP($A151,Seqs!$A:$B,2,FALSE),VLOOKUP($A151,'SegEnds_NonXtal_Prot#'!A:AL,10,FALSE)+7,1)</f>
        <v>I</v>
      </c>
      <c r="Y151" s="49" t="str">
        <f>MID(VLOOKUP($A151,Seqs!$A:$B,2,FALSE),VLOOKUP($A151,'SegEnds_NonXtal_Prot#'!A:AL,10,FALSE)+8,1)</f>
        <v>S</v>
      </c>
      <c r="Z151" s="49" t="str">
        <f>MID(VLOOKUP($A151,Seqs!$A:$B,2,FALSE),VLOOKUP($A151,'SegEnds_NonXtal_Prot#'!A:AL,10,FALSE)+9,1)</f>
        <v>P</v>
      </c>
      <c r="AA151" s="49" t="str">
        <f>MID(VLOOKUP($A151,Seqs!$A:$B,2,FALSE),VLOOKUP($A151,'SegEnds_NonXtal_Prot#'!A:AL,10,FALSE)+10,1)</f>
        <v>V</v>
      </c>
      <c r="AB151" s="28" t="str">
        <f>MID(VLOOKUP($A151,Seqs!$A:$B,2,FALSE),VLOOKUP($A151,'SegEnds_NonXtal_Prot#'!$A:$AL,22,FALSE)+6,1)</f>
        <v>F</v>
      </c>
      <c r="AC151" s="49" t="str">
        <f>MID(VLOOKUP($A151,Seqs!$A:$B,2,FALSE),VLOOKUP($A151,'SegEnds_NonXtal_Prot#'!$A:$AL,22,FALSE)+7,1)</f>
        <v>C</v>
      </c>
      <c r="AD151" s="49" t="str">
        <f>MID(VLOOKUP($A151,Seqs!$A:$B,2,FALSE),VLOOKUP($A151,'SegEnds_NonXtal_Prot#'!$A:$AL,22,FALSE)+8,1)</f>
        <v>S</v>
      </c>
      <c r="AE151" s="49" t="str">
        <f>MID(VLOOKUP($A151,Seqs!$A:$B,2,FALSE),VLOOKUP($A151,'SegEnds_NonXtal_Prot#'!$A:$AL,22,FALSE)+9,1)</f>
        <v>L</v>
      </c>
      <c r="AF151" s="49" t="str">
        <f>MID(VLOOKUP($A151,Seqs!$A:$B,2,FALSE),VLOOKUP($A151,'SegEnds_NonXtal_Prot#'!$A:$AL,22,FALSE)+10,1)</f>
        <v>P</v>
      </c>
      <c r="AG151" s="28" t="str">
        <f>MID(VLOOKUP($A151,Seqs!$A:$B,2,FALSE),VLOOKUP($A151,'SegEnds_NonXtal_Prot#'!$A:$AL,28,FALSE)-4,1)</f>
        <v>L</v>
      </c>
      <c r="AH151" s="49" t="str">
        <f>MID(VLOOKUP($A151,Seqs!$A:$B,2,FALSE),VLOOKUP($A151,'SegEnds_NonXtal_Prot#'!$A:$AL,28,FALSE),1)</f>
        <v>V</v>
      </c>
    </row>
    <row r="152" spans="1:34" s="2" customFormat="1" x14ac:dyDescent="0.2">
      <c r="A152" s="2" t="s">
        <v>335</v>
      </c>
      <c r="B152" s="2" t="str">
        <f>LOWER(VLOOKUP(A152,Xtal_Templ!A:B,2,FALSE))</f>
        <v>oprd_human</v>
      </c>
      <c r="C152" s="2" t="str">
        <f>VLOOKUP(A152,Classification!A:D,2,FALSE)</f>
        <v>A</v>
      </c>
      <c r="D152" s="2" t="str">
        <f>IF(ISERROR(MATCH(A152,'SegEnds_Xtal_Prot#'!B:B, 0)), "NoXtal", "Xtal")</f>
        <v>Xtal</v>
      </c>
      <c r="H152" s="4"/>
      <c r="R152" s="2" t="s">
        <v>9</v>
      </c>
      <c r="T152" s="4" t="s">
        <v>12</v>
      </c>
      <c r="V152" s="28" t="str">
        <f>MID(VLOOKUP($A152,Seqs!$A:$B,2,FALSE),VLOOKUP($A152,'SegEnds_NonXtal_Prot#'!A:AL,10,FALSE),1)</f>
        <v>D</v>
      </c>
      <c r="W152" s="49" t="str">
        <f>MID(VLOOKUP($A152,Seqs!$A:$B,2,FALSE),VLOOKUP($A152,'SegEnds_NonXtal_Prot#'!A:AL,10,FALSE)+6,1)</f>
        <v>T</v>
      </c>
      <c r="X152" s="49" t="str">
        <f>MID(VLOOKUP($A152,Seqs!$A:$B,2,FALSE),VLOOKUP($A152,'SegEnds_NonXtal_Prot#'!A:AL,10,FALSE)+7,1)</f>
        <v>L</v>
      </c>
      <c r="Y152" s="49" t="str">
        <f>MID(VLOOKUP($A152,Seqs!$A:$B,2,FALSE),VLOOKUP($A152,'SegEnds_NonXtal_Prot#'!A:AL,10,FALSE)+8,1)</f>
        <v>P</v>
      </c>
      <c r="Z152" s="49" t="str">
        <f>MID(VLOOKUP($A152,Seqs!$A:$B,2,FALSE),VLOOKUP($A152,'SegEnds_NonXtal_Prot#'!A:AL,10,FALSE)+9,1)</f>
        <v>F</v>
      </c>
      <c r="AA152" s="49" t="str">
        <f>MID(VLOOKUP($A152,Seqs!$A:$B,2,FALSE),VLOOKUP($A152,'SegEnds_NonXtal_Prot#'!A:AL,10,FALSE)+10,1)</f>
        <v>Q</v>
      </c>
      <c r="AB152" s="28" t="str">
        <f>MID(VLOOKUP($A152,Seqs!$A:$B,2,FALSE),VLOOKUP($A152,'SegEnds_NonXtal_Prot#'!$A:$AL,22,FALSE)+6,1)</f>
        <v>V</v>
      </c>
      <c r="AC152" s="49" t="str">
        <f>MID(VLOOKUP($A152,Seqs!$A:$B,2,FALSE),VLOOKUP($A152,'SegEnds_NonXtal_Prot#'!$A:$AL,22,FALSE)+7,1)</f>
        <v>G</v>
      </c>
      <c r="AD152" s="49" t="str">
        <f>MID(VLOOKUP($A152,Seqs!$A:$B,2,FALSE),VLOOKUP($A152,'SegEnds_NonXtal_Prot#'!$A:$AL,22,FALSE)+8,1)</f>
        <v>V</v>
      </c>
      <c r="AE152" s="49" t="str">
        <f>MID(VLOOKUP($A152,Seqs!$A:$B,2,FALSE),VLOOKUP($A152,'SegEnds_NonXtal_Prot#'!$A:$AL,22,FALSE)+9,1)</f>
        <v>P</v>
      </c>
      <c r="AF152" s="49" t="str">
        <f>MID(VLOOKUP($A152,Seqs!$A:$B,2,FALSE),VLOOKUP($A152,'SegEnds_NonXtal_Prot#'!$A:$AL,22,FALSE)+10,1)</f>
        <v>I</v>
      </c>
      <c r="AG152" s="28" t="str">
        <f>MID(VLOOKUP($A152,Seqs!$A:$B,2,FALSE),VLOOKUP($A152,'SegEnds_NonXtal_Prot#'!$A:$AL,28,FALSE)-4,1)</f>
        <v>A</v>
      </c>
      <c r="AH152" s="49" t="str">
        <f>MID(VLOOKUP($A152,Seqs!$A:$B,2,FALSE),VLOOKUP($A152,'SegEnds_NonXtal_Prot#'!$A:$AL,28,FALSE),1)</f>
        <v>P</v>
      </c>
    </row>
    <row r="153" spans="1:34" s="2" customFormat="1" x14ac:dyDescent="0.2">
      <c r="A153" s="2" t="s">
        <v>268</v>
      </c>
      <c r="B153" s="2" t="str">
        <f>LOWER(VLOOKUP(A153,Xtal_Templ!A:B,2,FALSE))</f>
        <v>oprm_mouse</v>
      </c>
      <c r="C153" s="2" t="str">
        <f>VLOOKUP(A153,Classification!A:D,2,FALSE)</f>
        <v>A</v>
      </c>
      <c r="D153" s="2" t="str">
        <f>IF(ISERROR(MATCH(A153,'SegEnds_Xtal_Prot#'!B:B, 0)), "NoXtal", "Xtal")</f>
        <v>NoXtal</v>
      </c>
      <c r="H153" s="4"/>
      <c r="N153" s="2" t="s">
        <v>14</v>
      </c>
      <c r="T153" s="4" t="s">
        <v>12</v>
      </c>
      <c r="V153" s="28" t="str">
        <f>MID(VLOOKUP($A153,Seqs!$A:$B,2,FALSE),VLOOKUP($A153,'SegEnds_NonXtal_Prot#'!A:AL,10,FALSE),1)</f>
        <v>N</v>
      </c>
      <c r="W153" s="49" t="str">
        <f>MID(VLOOKUP($A153,Seqs!$A:$B,2,FALSE),VLOOKUP($A153,'SegEnds_NonXtal_Prot#'!A:AL,10,FALSE)+6,1)</f>
        <v>A</v>
      </c>
      <c r="X153" s="49" t="str">
        <f>MID(VLOOKUP($A153,Seqs!$A:$B,2,FALSE),VLOOKUP($A153,'SegEnds_NonXtal_Prot#'!A:AL,10,FALSE)+7,1)</f>
        <v>M</v>
      </c>
      <c r="Y153" s="49" t="str">
        <f>MID(VLOOKUP($A153,Seqs!$A:$B,2,FALSE),VLOOKUP($A153,'SegEnds_NonXtal_Prot#'!A:AL,10,FALSE)+8,1)</f>
        <v>P</v>
      </c>
      <c r="Z153" s="49" t="str">
        <f>MID(VLOOKUP($A153,Seqs!$A:$B,2,FALSE),VLOOKUP($A153,'SegEnds_NonXtal_Prot#'!A:AL,10,FALSE)+9,1)</f>
        <v>F</v>
      </c>
      <c r="AA153" s="49" t="str">
        <f>MID(VLOOKUP($A153,Seqs!$A:$B,2,FALSE),VLOOKUP($A153,'SegEnds_NonXtal_Prot#'!A:AL,10,FALSE)+10,1)</f>
        <v>M</v>
      </c>
      <c r="AB153" s="28" t="str">
        <f>MID(VLOOKUP($A153,Seqs!$A:$B,2,FALSE),VLOOKUP($A153,'SegEnds_NonXtal_Prot#'!$A:$AL,22,FALSE)+6,1)</f>
        <v>I</v>
      </c>
      <c r="AC153" s="49" t="str">
        <f>MID(VLOOKUP($A153,Seqs!$A:$B,2,FALSE),VLOOKUP($A153,'SegEnds_NonXtal_Prot#'!$A:$AL,22,FALSE)+7,1)</f>
        <v>I</v>
      </c>
      <c r="AD153" s="49" t="str">
        <f>MID(VLOOKUP($A153,Seqs!$A:$B,2,FALSE),VLOOKUP($A153,'SegEnds_NonXtal_Prot#'!$A:$AL,22,FALSE)+8,1)</f>
        <v>I</v>
      </c>
      <c r="AE153" s="49" t="str">
        <f>MID(VLOOKUP($A153,Seqs!$A:$B,2,FALSE),VLOOKUP($A153,'SegEnds_NonXtal_Prot#'!$A:$AL,22,FALSE)+9,1)</f>
        <v>P</v>
      </c>
      <c r="AF153" s="49" t="str">
        <f>MID(VLOOKUP($A153,Seqs!$A:$B,2,FALSE),VLOOKUP($A153,'SegEnds_NonXtal_Prot#'!$A:$AL,22,FALSE)+10,1)</f>
        <v>V</v>
      </c>
      <c r="AG153" s="28" t="str">
        <f>MID(VLOOKUP($A153,Seqs!$A:$B,2,FALSE),VLOOKUP($A153,'SegEnds_NonXtal_Prot#'!$A:$AL,28,FALSE)-4,1)</f>
        <v>F</v>
      </c>
      <c r="AH153" s="49" t="str">
        <f>MID(VLOOKUP($A153,Seqs!$A:$B,2,FALSE),VLOOKUP($A153,'SegEnds_NonXtal_Prot#'!$A:$AL,28,FALSE),1)</f>
        <v>S</v>
      </c>
    </row>
    <row r="154" spans="1:34" s="2" customFormat="1" x14ac:dyDescent="0.2">
      <c r="A154" s="2" t="s">
        <v>300</v>
      </c>
      <c r="B154" s="2" t="str">
        <f>LOWER(VLOOKUP(A154,Xtal_Templ!A:B,2,FALSE))</f>
        <v>oprd_human</v>
      </c>
      <c r="C154" s="2" t="str">
        <f>VLOOKUP(A154,Classification!A:D,2,FALSE)</f>
        <v>A</v>
      </c>
      <c r="D154" s="2" t="str">
        <f>IF(ISERROR(MATCH(A154,'SegEnds_Xtal_Prot#'!B:B, 0)), "NoXtal", "Xtal")</f>
        <v>NoXtal</v>
      </c>
      <c r="H154" s="4"/>
      <c r="N154" s="2" t="s">
        <v>14</v>
      </c>
      <c r="R154" s="2" t="s">
        <v>9</v>
      </c>
      <c r="T154" s="4" t="s">
        <v>12</v>
      </c>
      <c r="V154" s="28" t="str">
        <f>MID(VLOOKUP($A154,Seqs!$A:$B,2,FALSE),VLOOKUP($A154,'SegEnds_NonXtal_Prot#'!A:AL,10,FALSE),1)</f>
        <v>D</v>
      </c>
      <c r="W154" s="49" t="str">
        <f>MID(VLOOKUP($A154,Seqs!$A:$B,2,FALSE),VLOOKUP($A154,'SegEnds_NonXtal_Prot#'!A:AL,10,FALSE)+6,1)</f>
        <v>G</v>
      </c>
      <c r="X154" s="49" t="str">
        <f>MID(VLOOKUP($A154,Seqs!$A:$B,2,FALSE),VLOOKUP($A154,'SegEnds_NonXtal_Prot#'!A:AL,10,FALSE)+7,1)</f>
        <v>M</v>
      </c>
      <c r="Y154" s="49" t="str">
        <f>MID(VLOOKUP($A154,Seqs!$A:$B,2,FALSE),VLOOKUP($A154,'SegEnds_NonXtal_Prot#'!A:AL,10,FALSE)+8,1)</f>
        <v>P</v>
      </c>
      <c r="Z154" s="49" t="str">
        <f>MID(VLOOKUP($A154,Seqs!$A:$B,2,FALSE),VLOOKUP($A154,'SegEnds_NonXtal_Prot#'!A:AL,10,FALSE)+9,1)</f>
        <v>F</v>
      </c>
      <c r="AA154" s="49" t="str">
        <f>MID(VLOOKUP($A154,Seqs!$A:$B,2,FALSE),VLOOKUP($A154,'SegEnds_NonXtal_Prot#'!A:AL,10,FALSE)+10,1)</f>
        <v>L</v>
      </c>
      <c r="AB154" s="28" t="str">
        <f>MID(VLOOKUP($A154,Seqs!$A:$B,2,FALSE),VLOOKUP($A154,'SegEnds_NonXtal_Prot#'!$A:$AL,22,FALSE)+6,1)</f>
        <v>L</v>
      </c>
      <c r="AC154" s="49" t="str">
        <f>MID(VLOOKUP($A154,Seqs!$A:$B,2,FALSE),VLOOKUP($A154,'SegEnds_NonXtal_Prot#'!$A:$AL,22,FALSE)+7,1)</f>
        <v>A</v>
      </c>
      <c r="AD154" s="49" t="str">
        <f>MID(VLOOKUP($A154,Seqs!$A:$B,2,FALSE),VLOOKUP($A154,'SegEnds_NonXtal_Prot#'!$A:$AL,22,FALSE)+8,1)</f>
        <v>L</v>
      </c>
      <c r="AE154" s="49" t="str">
        <f>MID(VLOOKUP($A154,Seqs!$A:$B,2,FALSE),VLOOKUP($A154,'SegEnds_NonXtal_Prot#'!$A:$AL,22,FALSE)+9,1)</f>
        <v>P</v>
      </c>
      <c r="AF154" s="49" t="str">
        <f>MID(VLOOKUP($A154,Seqs!$A:$B,2,FALSE),VLOOKUP($A154,'SegEnds_NonXtal_Prot#'!$A:$AL,22,FALSE)+10,1)</f>
        <v>V</v>
      </c>
      <c r="AG154" s="28" t="str">
        <f>MID(VLOOKUP($A154,Seqs!$A:$B,2,FALSE),VLOOKUP($A154,'SegEnds_NonXtal_Prot#'!$A:$AL,28,FALSE)-4,1)</f>
        <v>T</v>
      </c>
      <c r="AH154" s="49" t="str">
        <f>MID(VLOOKUP($A154,Seqs!$A:$B,2,FALSE),VLOOKUP($A154,'SegEnds_NonXtal_Prot#'!$A:$AL,28,FALSE),1)</f>
        <v>P</v>
      </c>
    </row>
    <row r="155" spans="1:34" s="2" customFormat="1" x14ac:dyDescent="0.2">
      <c r="A155" s="2" t="s">
        <v>321</v>
      </c>
      <c r="B155" s="2" t="str">
        <f>LOWER(VLOOKUP(A155,Xtal_Templ!A:B,2,FALSE))</f>
        <v>oprd_human</v>
      </c>
      <c r="C155" s="2" t="str">
        <f>VLOOKUP(A155,Classification!A:D,2,FALSE)</f>
        <v>A</v>
      </c>
      <c r="D155" s="2" t="str">
        <f>IF(ISERROR(MATCH(A155,'SegEnds_Xtal_Prot#'!B:B, 0)), "NoXtal", "Xtal")</f>
        <v>NoXtal</v>
      </c>
      <c r="H155" s="4"/>
      <c r="N155" s="2" t="s">
        <v>14</v>
      </c>
      <c r="R155" s="2" t="s">
        <v>9</v>
      </c>
      <c r="T155" s="4" t="s">
        <v>12</v>
      </c>
      <c r="V155" s="28" t="str">
        <f>MID(VLOOKUP($A155,Seqs!$A:$B,2,FALSE),VLOOKUP($A155,'SegEnds_NonXtal_Prot#'!A:AL,10,FALSE),1)</f>
        <v>D</v>
      </c>
      <c r="W155" s="49" t="str">
        <f>MID(VLOOKUP($A155,Seqs!$A:$B,2,FALSE),VLOOKUP($A155,'SegEnds_NonXtal_Prot#'!A:AL,10,FALSE)+6,1)</f>
        <v>V</v>
      </c>
      <c r="X155" s="49" t="str">
        <f>MID(VLOOKUP($A155,Seqs!$A:$B,2,FALSE),VLOOKUP($A155,'SegEnds_NonXtal_Prot#'!A:AL,10,FALSE)+7,1)</f>
        <v>L</v>
      </c>
      <c r="Y155" s="49" t="str">
        <f>MID(VLOOKUP($A155,Seqs!$A:$B,2,FALSE),VLOOKUP($A155,'SegEnds_NonXtal_Prot#'!A:AL,10,FALSE)+8,1)</f>
        <v>P</v>
      </c>
      <c r="Z155" s="49" t="str">
        <f>MID(VLOOKUP($A155,Seqs!$A:$B,2,FALSE),VLOOKUP($A155,'SegEnds_NonXtal_Prot#'!A:AL,10,FALSE)+9,1)</f>
        <v>V</v>
      </c>
      <c r="AA155" s="49" t="str">
        <f>MID(VLOOKUP($A155,Seqs!$A:$B,2,FALSE),VLOOKUP($A155,'SegEnds_NonXtal_Prot#'!A:AL,10,FALSE)+10,1)</f>
        <v>N</v>
      </c>
      <c r="AB155" s="28" t="str">
        <f>MID(VLOOKUP($A155,Seqs!$A:$B,2,FALSE),VLOOKUP($A155,'SegEnds_NonXtal_Prot#'!$A:$AL,22,FALSE)+6,1)</f>
        <v>L</v>
      </c>
      <c r="AC155" s="49" t="str">
        <f>MID(VLOOKUP($A155,Seqs!$A:$B,2,FALSE),VLOOKUP($A155,'SegEnds_NonXtal_Prot#'!$A:$AL,22,FALSE)+7,1)</f>
        <v>V</v>
      </c>
      <c r="AD155" s="49" t="str">
        <f>MID(VLOOKUP($A155,Seqs!$A:$B,2,FALSE),VLOOKUP($A155,'SegEnds_NonXtal_Prot#'!$A:$AL,22,FALSE)+8,1)</f>
        <v>L</v>
      </c>
      <c r="AE155" s="49" t="str">
        <f>MID(VLOOKUP($A155,Seqs!$A:$B,2,FALSE),VLOOKUP($A155,'SegEnds_NonXtal_Prot#'!$A:$AL,22,FALSE)+9,1)</f>
        <v>P</v>
      </c>
      <c r="AF155" s="49" t="str">
        <f>MID(VLOOKUP($A155,Seqs!$A:$B,2,FALSE),VLOOKUP($A155,'SegEnds_NonXtal_Prot#'!$A:$AL,22,FALSE)+10,1)</f>
        <v>F</v>
      </c>
      <c r="AG155" s="28" t="str">
        <f>MID(VLOOKUP($A155,Seqs!$A:$B,2,FALSE),VLOOKUP($A155,'SegEnds_NonXtal_Prot#'!$A:$AL,28,FALSE)-4,1)</f>
        <v>G</v>
      </c>
      <c r="AH155" s="49" t="str">
        <f>MID(VLOOKUP($A155,Seqs!$A:$B,2,FALSE),VLOOKUP($A155,'SegEnds_NonXtal_Prot#'!$A:$AL,28,FALSE),1)</f>
        <v>P</v>
      </c>
    </row>
    <row r="156" spans="1:34" s="2" customFormat="1" x14ac:dyDescent="0.2">
      <c r="A156" s="2" t="s">
        <v>916</v>
      </c>
      <c r="B156" s="2" t="str">
        <f>LOWER(VLOOKUP(A156,Xtal_Templ!A:B,2,FALSE))</f>
        <v>oprd_human</v>
      </c>
      <c r="C156" s="2" t="str">
        <f>VLOOKUP(A156,Classification!A:D,2,FALSE)</f>
        <v>A</v>
      </c>
      <c r="D156" s="2" t="str">
        <f>IF(ISERROR(MATCH(A156,'SegEnds_Xtal_Prot#'!B:B, 0)), "NoXtal", "Xtal")</f>
        <v>Xtal</v>
      </c>
      <c r="H156" s="4"/>
      <c r="R156" s="2" t="s">
        <v>9</v>
      </c>
      <c r="T156" s="4" t="s">
        <v>12</v>
      </c>
      <c r="V156" s="28" t="str">
        <f>MID(VLOOKUP($A156,Seqs!$A:$B,2,FALSE),VLOOKUP($A156,'SegEnds_NonXtal_Prot#'!A:AL,10,FALSE),1)</f>
        <v>D</v>
      </c>
      <c r="W156" s="49" t="str">
        <f>MID(VLOOKUP($A156,Seqs!$A:$B,2,FALSE),VLOOKUP($A156,'SegEnds_NonXtal_Prot#'!A:AL,10,FALSE)+6,1)</f>
        <v>T</v>
      </c>
      <c r="X156" s="49" t="str">
        <f>MID(VLOOKUP($A156,Seqs!$A:$B,2,FALSE),VLOOKUP($A156,'SegEnds_NonXtal_Prot#'!A:AL,10,FALSE)+7,1)</f>
        <v>L</v>
      </c>
      <c r="Y156" s="49" t="str">
        <f>MID(VLOOKUP($A156,Seqs!$A:$B,2,FALSE),VLOOKUP($A156,'SegEnds_NonXtal_Prot#'!A:AL,10,FALSE)+8,1)</f>
        <v>P</v>
      </c>
      <c r="Z156" s="49" t="str">
        <f>MID(VLOOKUP($A156,Seqs!$A:$B,2,FALSE),VLOOKUP($A156,'SegEnds_NonXtal_Prot#'!A:AL,10,FALSE)+9,1)</f>
        <v>F</v>
      </c>
      <c r="AA156" s="49" t="str">
        <f>MID(VLOOKUP($A156,Seqs!$A:$B,2,FALSE),VLOOKUP($A156,'SegEnds_NonXtal_Prot#'!A:AL,10,FALSE)+10,1)</f>
        <v>Q</v>
      </c>
      <c r="AB156" s="28" t="str">
        <f>MID(VLOOKUP($A156,Seqs!$A:$B,2,FALSE),VLOOKUP($A156,'SegEnds_NonXtal_Prot#'!$A:$AL,22,FALSE)+6,1)</f>
        <v>V</v>
      </c>
      <c r="AC156" s="49" t="str">
        <f>MID(VLOOKUP($A156,Seqs!$A:$B,2,FALSE),VLOOKUP($A156,'SegEnds_NonXtal_Prot#'!$A:$AL,22,FALSE)+7,1)</f>
        <v>G</v>
      </c>
      <c r="AD156" s="49" t="str">
        <f>MID(VLOOKUP($A156,Seqs!$A:$B,2,FALSE),VLOOKUP($A156,'SegEnds_NonXtal_Prot#'!$A:$AL,22,FALSE)+8,1)</f>
        <v>V</v>
      </c>
      <c r="AE156" s="49" t="str">
        <f>MID(VLOOKUP($A156,Seqs!$A:$B,2,FALSE),VLOOKUP($A156,'SegEnds_NonXtal_Prot#'!$A:$AL,22,FALSE)+9,1)</f>
        <v>P</v>
      </c>
      <c r="AF156" s="49" t="str">
        <f>MID(VLOOKUP($A156,Seqs!$A:$B,2,FALSE),VLOOKUP($A156,'SegEnds_NonXtal_Prot#'!$A:$AL,22,FALSE)+10,1)</f>
        <v>I</v>
      </c>
      <c r="AG156" s="28" t="str">
        <f>MID(VLOOKUP($A156,Seqs!$A:$B,2,FALSE),VLOOKUP($A156,'SegEnds_NonXtal_Prot#'!$A:$AL,28,FALSE)-4,1)</f>
        <v>A</v>
      </c>
      <c r="AH156" s="49" t="str">
        <f>MID(VLOOKUP($A156,Seqs!$A:$B,2,FALSE),VLOOKUP($A156,'SegEnds_NonXtal_Prot#'!$A:$AL,28,FALSE),1)</f>
        <v>P</v>
      </c>
    </row>
    <row r="157" spans="1:34" s="2" customFormat="1" x14ac:dyDescent="0.2">
      <c r="A157" s="2" t="s">
        <v>360</v>
      </c>
      <c r="B157" s="2" t="str">
        <f>LOWER(VLOOKUP(A157,Xtal_Templ!A:B,2,FALSE))</f>
        <v>pd2r2_human</v>
      </c>
      <c r="C157" s="2" t="str">
        <f>VLOOKUP(A157,Classification!A:D,2,FALSE)</f>
        <v>A</v>
      </c>
      <c r="D157" s="2" t="str">
        <f>IF(ISERROR(MATCH(A157,'SegEnds_Xtal_Prot#'!B:B, 0)), "NoXtal", "Xtal")</f>
        <v>Xtal</v>
      </c>
      <c r="H157" s="4"/>
      <c r="N157" s="2" t="s">
        <v>14</v>
      </c>
      <c r="R157" s="2" t="s">
        <v>9</v>
      </c>
      <c r="T157" s="4" t="s">
        <v>12</v>
      </c>
      <c r="V157" s="28" t="str">
        <f>MID(VLOOKUP($A157,Seqs!$A:$B,2,FALSE),VLOOKUP($A157,'SegEnds_NonXtal_Prot#'!A:AL,10,FALSE),1)</f>
        <v>D</v>
      </c>
      <c r="W157" s="49" t="str">
        <f>MID(VLOOKUP($A157,Seqs!$A:$B,2,FALSE),VLOOKUP($A157,'SegEnds_NonXtal_Prot#'!A:AL,10,FALSE)+6,1)</f>
        <v>S</v>
      </c>
      <c r="X157" s="49" t="str">
        <f>MID(VLOOKUP($A157,Seqs!$A:$B,2,FALSE),VLOOKUP($A157,'SegEnds_NonXtal_Prot#'!A:AL,10,FALSE)+7,1)</f>
        <v>L</v>
      </c>
      <c r="Y157" s="49" t="str">
        <f>MID(VLOOKUP($A157,Seqs!$A:$B,2,FALSE),VLOOKUP($A157,'SegEnds_NonXtal_Prot#'!A:AL,10,FALSE)+8,1)</f>
        <v>P</v>
      </c>
      <c r="Z157" s="49" t="str">
        <f>MID(VLOOKUP($A157,Seqs!$A:$B,2,FALSE),VLOOKUP($A157,'SegEnds_NonXtal_Prot#'!A:AL,10,FALSE)+9,1)</f>
        <v>F</v>
      </c>
      <c r="AA157" s="49" t="str">
        <f>MID(VLOOKUP($A157,Seqs!$A:$B,2,FALSE),VLOOKUP($A157,'SegEnds_NonXtal_Prot#'!A:AL,10,FALSE)+10,1)</f>
        <v>F</v>
      </c>
      <c r="AB157" s="28" t="str">
        <f>MID(VLOOKUP($A157,Seqs!$A:$B,2,FALSE),VLOOKUP($A157,'SegEnds_NonXtal_Prot#'!$A:$AL,22,FALSE)+6,1)</f>
        <v>N</v>
      </c>
      <c r="AC157" s="49" t="str">
        <f>MID(VLOOKUP($A157,Seqs!$A:$B,2,FALSE),VLOOKUP($A157,'SegEnds_NonXtal_Prot#'!$A:$AL,22,FALSE)+7,1)</f>
        <v>T</v>
      </c>
      <c r="AD157" s="49" t="str">
        <f>MID(VLOOKUP($A157,Seqs!$A:$B,2,FALSE),VLOOKUP($A157,'SegEnds_NonXtal_Prot#'!$A:$AL,22,FALSE)+8,1)</f>
        <v>V</v>
      </c>
      <c r="AE157" s="49" t="str">
        <f>MID(VLOOKUP($A157,Seqs!$A:$B,2,FALSE),VLOOKUP($A157,'SegEnds_NonXtal_Prot#'!$A:$AL,22,FALSE)+9,1)</f>
        <v>P</v>
      </c>
      <c r="AF157" s="49" t="str">
        <f>MID(VLOOKUP($A157,Seqs!$A:$B,2,FALSE),VLOOKUP($A157,'SegEnds_NonXtal_Prot#'!$A:$AL,22,FALSE)+10,1)</f>
        <v>Y</v>
      </c>
      <c r="AG157" s="28" t="str">
        <f>MID(VLOOKUP($A157,Seqs!$A:$B,2,FALSE),VLOOKUP($A157,'SegEnds_NonXtal_Prot#'!$A:$AL,28,FALSE)-4,1)</f>
        <v>A</v>
      </c>
      <c r="AH157" s="49" t="str">
        <f>MID(VLOOKUP($A157,Seqs!$A:$B,2,FALSE),VLOOKUP($A157,'SegEnds_NonXtal_Prot#'!$A:$AL,28,FALSE),1)</f>
        <v>P</v>
      </c>
    </row>
    <row r="158" spans="1:34" s="2" customFormat="1" x14ac:dyDescent="0.2">
      <c r="A158" s="2" t="s">
        <v>384</v>
      </c>
      <c r="B158" s="2" t="str">
        <f>LOWER(VLOOKUP(A158,Xtal_Templ!A:B,2,FALSE))</f>
        <v>oprd_human</v>
      </c>
      <c r="C158" s="2" t="str">
        <f>VLOOKUP(A158,Classification!A:D,2,FALSE)</f>
        <v>A</v>
      </c>
      <c r="D158" s="2" t="str">
        <f>IF(ISERROR(MATCH(A158,'SegEnds_Xtal_Prot#'!B:B, 0)), "NoXtal", "Xtal")</f>
        <v>NoXtal</v>
      </c>
      <c r="H158" s="4"/>
      <c r="N158" s="2" t="s">
        <v>14</v>
      </c>
      <c r="R158" s="2" t="s">
        <v>9</v>
      </c>
      <c r="T158" s="4" t="s">
        <v>12</v>
      </c>
      <c r="V158" s="28" t="str">
        <f>MID(VLOOKUP($A158,Seqs!$A:$B,2,FALSE),VLOOKUP($A158,'SegEnds_NonXtal_Prot#'!A:AL,10,FALSE),1)</f>
        <v>D</v>
      </c>
      <c r="W158" s="49" t="str">
        <f>MID(VLOOKUP($A158,Seqs!$A:$B,2,FALSE),VLOOKUP($A158,'SegEnds_NonXtal_Prot#'!A:AL,10,FALSE)+6,1)</f>
        <v>S</v>
      </c>
      <c r="X158" s="49" t="str">
        <f>MID(VLOOKUP($A158,Seqs!$A:$B,2,FALSE),VLOOKUP($A158,'SegEnds_NonXtal_Prot#'!A:AL,10,FALSE)+7,1)</f>
        <v>V</v>
      </c>
      <c r="Y158" s="49" t="str">
        <f>MID(VLOOKUP($A158,Seqs!$A:$B,2,FALSE),VLOOKUP($A158,'SegEnds_NonXtal_Prot#'!A:AL,10,FALSE)+8,1)</f>
        <v>P</v>
      </c>
      <c r="Z158" s="49" t="str">
        <f>MID(VLOOKUP($A158,Seqs!$A:$B,2,FALSE),VLOOKUP($A158,'SegEnds_NonXtal_Prot#'!A:AL,10,FALSE)+9,1)</f>
        <v>F</v>
      </c>
      <c r="AA158" s="49" t="str">
        <f>MID(VLOOKUP($A158,Seqs!$A:$B,2,FALSE),VLOOKUP($A158,'SegEnds_NonXtal_Prot#'!A:AL,10,FALSE)+10,1)</f>
        <v>V</v>
      </c>
      <c r="AB158" s="28" t="str">
        <f>MID(VLOOKUP($A158,Seqs!$A:$B,2,FALSE),VLOOKUP($A158,'SegEnds_NonXtal_Prot#'!$A:$AL,22,FALSE)+6,1)</f>
        <v>V</v>
      </c>
      <c r="AC158" s="49" t="str">
        <f>MID(VLOOKUP($A158,Seqs!$A:$B,2,FALSE),VLOOKUP($A158,'SegEnds_NonXtal_Prot#'!$A:$AL,22,FALSE)+7,1)</f>
        <v>T</v>
      </c>
      <c r="AD158" s="49" t="str">
        <f>MID(VLOOKUP($A158,Seqs!$A:$B,2,FALSE),VLOOKUP($A158,'SegEnds_NonXtal_Prot#'!$A:$AL,22,FALSE)+8,1)</f>
        <v>L</v>
      </c>
      <c r="AE158" s="49" t="str">
        <f>MID(VLOOKUP($A158,Seqs!$A:$B,2,FALSE),VLOOKUP($A158,'SegEnds_NonXtal_Prot#'!$A:$AL,22,FALSE)+9,1)</f>
        <v>P</v>
      </c>
      <c r="AF158" s="49" t="str">
        <f>MID(VLOOKUP($A158,Seqs!$A:$B,2,FALSE),VLOOKUP($A158,'SegEnds_NonXtal_Prot#'!$A:$AL,22,FALSE)+10,1)</f>
        <v>I</v>
      </c>
      <c r="AG158" s="28" t="str">
        <f>MID(VLOOKUP($A158,Seqs!$A:$B,2,FALSE),VLOOKUP($A158,'SegEnds_NonXtal_Prot#'!$A:$AL,28,FALSE)-4,1)</f>
        <v>G</v>
      </c>
      <c r="AH158" s="49" t="str">
        <f>MID(VLOOKUP($A158,Seqs!$A:$B,2,FALSE),VLOOKUP($A158,'SegEnds_NonXtal_Prot#'!$A:$AL,28,FALSE),1)</f>
        <v>P</v>
      </c>
    </row>
    <row r="159" spans="1:34" s="2" customFormat="1" x14ac:dyDescent="0.2">
      <c r="A159" s="2" t="s">
        <v>164</v>
      </c>
      <c r="B159" s="2" t="str">
        <f>LOWER(VLOOKUP(A159,Xtal_Templ!A:B,2,FALSE))</f>
        <v>c5ar1_human</v>
      </c>
      <c r="C159" s="2" t="str">
        <f>VLOOKUP(A159,Classification!A:D,2,FALSE)</f>
        <v>A</v>
      </c>
      <c r="D159" s="2" t="str">
        <f>IF(ISERROR(MATCH(A159,'SegEnds_Xtal_Prot#'!B:B, 0)), "NoXtal", "Xtal")</f>
        <v>NoXtal</v>
      </c>
      <c r="H159" s="4"/>
      <c r="N159" s="2" t="s">
        <v>14</v>
      </c>
      <c r="R159" s="2" t="s">
        <v>9</v>
      </c>
      <c r="T159" s="4" t="s">
        <v>12</v>
      </c>
      <c r="V159" s="28" t="str">
        <f>MID(VLOOKUP($A159,Seqs!$A:$B,2,FALSE),VLOOKUP($A159,'SegEnds_NonXtal_Prot#'!A:AL,10,FALSE),1)</f>
        <v>D</v>
      </c>
      <c r="W159" s="49" t="str">
        <f>MID(VLOOKUP($A159,Seqs!$A:$B,2,FALSE),VLOOKUP($A159,'SegEnds_NonXtal_Prot#'!A:AL,10,FALSE)+6,1)</f>
        <v>S</v>
      </c>
      <c r="X159" s="49" t="str">
        <f>MID(VLOOKUP($A159,Seqs!$A:$B,2,FALSE),VLOOKUP($A159,'SegEnds_NonXtal_Prot#'!A:AL,10,FALSE)+7,1)</f>
        <v>L</v>
      </c>
      <c r="Y159" s="49" t="str">
        <f>MID(VLOOKUP($A159,Seqs!$A:$B,2,FALSE),VLOOKUP($A159,'SegEnds_NonXtal_Prot#'!A:AL,10,FALSE)+8,1)</f>
        <v>P</v>
      </c>
      <c r="Z159" s="49" t="str">
        <f>MID(VLOOKUP($A159,Seqs!$A:$B,2,FALSE),VLOOKUP($A159,'SegEnds_NonXtal_Prot#'!A:AL,10,FALSE)+9,1)</f>
        <v>F</v>
      </c>
      <c r="AA159" s="49" t="str">
        <f>MID(VLOOKUP($A159,Seqs!$A:$B,2,FALSE),VLOOKUP($A159,'SegEnds_NonXtal_Prot#'!A:AL,10,FALSE)+10,1)</f>
        <v>S</v>
      </c>
      <c r="AB159" s="28" t="str">
        <f>MID(VLOOKUP($A159,Seqs!$A:$B,2,FALSE),VLOOKUP($A159,'SegEnds_NonXtal_Prot#'!$A:$AL,22,FALSE)+6,1)</f>
        <v>M</v>
      </c>
      <c r="AC159" s="49" t="str">
        <f>MID(VLOOKUP($A159,Seqs!$A:$B,2,FALSE),VLOOKUP($A159,'SegEnds_NonXtal_Prot#'!$A:$AL,22,FALSE)+7,1)</f>
        <v>C</v>
      </c>
      <c r="AD159" s="49" t="str">
        <f>MID(VLOOKUP($A159,Seqs!$A:$B,2,FALSE),VLOOKUP($A159,'SegEnds_NonXtal_Prot#'!$A:$AL,22,FALSE)+8,1)</f>
        <v>I</v>
      </c>
      <c r="AE159" s="49" t="str">
        <f>MID(VLOOKUP($A159,Seqs!$A:$B,2,FALSE),VLOOKUP($A159,'SegEnds_NonXtal_Prot#'!$A:$AL,22,FALSE)+9,1)</f>
        <v>P</v>
      </c>
      <c r="AF159" s="49" t="str">
        <f>MID(VLOOKUP($A159,Seqs!$A:$B,2,FALSE),VLOOKUP($A159,'SegEnds_NonXtal_Prot#'!$A:$AL,22,FALSE)+10,1)</f>
        <v>V</v>
      </c>
      <c r="AG159" s="28" t="str">
        <f>MID(VLOOKUP($A159,Seqs!$A:$B,2,FALSE),VLOOKUP($A159,'SegEnds_NonXtal_Prot#'!$A:$AL,28,FALSE)-4,1)</f>
        <v>G</v>
      </c>
      <c r="AH159" s="49" t="str">
        <f>MID(VLOOKUP($A159,Seqs!$A:$B,2,FALSE),VLOOKUP($A159,'SegEnds_NonXtal_Prot#'!$A:$AL,28,FALSE),1)</f>
        <v>P</v>
      </c>
    </row>
    <row r="160" spans="1:34" s="2" customFormat="1" x14ac:dyDescent="0.2">
      <c r="A160" s="2" t="s">
        <v>200</v>
      </c>
      <c r="B160" s="2" t="str">
        <f>LOWER(VLOOKUP(A160,Xtal_Templ!A:B,2,FALSE))</f>
        <v>ox2r_human</v>
      </c>
      <c r="C160" s="2" t="str">
        <f>VLOOKUP(A160,Classification!A:D,2,FALSE)</f>
        <v>A</v>
      </c>
      <c r="D160" s="2" t="str">
        <f>IF(ISERROR(MATCH(A160,'SegEnds_Xtal_Prot#'!B:B, 0)), "NoXtal", "Xtal")</f>
        <v>NoXtal</v>
      </c>
      <c r="H160" s="4"/>
      <c r="N160" s="2" t="s">
        <v>14</v>
      </c>
      <c r="R160" s="2" t="s">
        <v>9</v>
      </c>
      <c r="S160" s="2" t="s">
        <v>1328</v>
      </c>
      <c r="T160" s="4" t="s">
        <v>12</v>
      </c>
      <c r="V160" s="28" t="str">
        <f>MID(VLOOKUP($A160,Seqs!$A:$B,2,FALSE),VLOOKUP($A160,'SegEnds_NonXtal_Prot#'!A:AL,10,FALSE),1)</f>
        <v>D</v>
      </c>
      <c r="W160" s="49" t="str">
        <f>MID(VLOOKUP($A160,Seqs!$A:$B,2,FALSE),VLOOKUP($A160,'SegEnds_NonXtal_Prot#'!A:AL,10,FALSE)+6,1)</f>
        <v>A</v>
      </c>
      <c r="X160" s="49" t="str">
        <f>MID(VLOOKUP($A160,Seqs!$A:$B,2,FALSE),VLOOKUP($A160,'SegEnds_NonXtal_Prot#'!A:AL,10,FALSE)+7,1)</f>
        <v>I</v>
      </c>
      <c r="Y160" s="49" t="str">
        <f>MID(VLOOKUP($A160,Seqs!$A:$B,2,FALSE),VLOOKUP($A160,'SegEnds_NonXtal_Prot#'!A:AL,10,FALSE)+8,1)</f>
        <v>P</v>
      </c>
      <c r="Z160" s="49" t="str">
        <f>MID(VLOOKUP($A160,Seqs!$A:$B,2,FALSE),VLOOKUP($A160,'SegEnds_NonXtal_Prot#'!A:AL,10,FALSE)+9,1)</f>
        <v>L</v>
      </c>
      <c r="AA160" s="49" t="str">
        <f>MID(VLOOKUP($A160,Seqs!$A:$B,2,FALSE),VLOOKUP($A160,'SegEnds_NonXtal_Prot#'!A:AL,10,FALSE)+10,1)</f>
        <v>V</v>
      </c>
      <c r="AB160" s="28" t="str">
        <f>MID(VLOOKUP($A160,Seqs!$A:$B,2,FALSE),VLOOKUP($A160,'SegEnds_NonXtal_Prot#'!$A:$AL,22,FALSE)+6,1)</f>
        <v>A</v>
      </c>
      <c r="AC160" s="49" t="str">
        <f>MID(VLOOKUP($A160,Seqs!$A:$B,2,FALSE),VLOOKUP($A160,'SegEnds_NonXtal_Prot#'!$A:$AL,22,FALSE)+7,1)</f>
        <v>A</v>
      </c>
      <c r="AD160" s="49" t="str">
        <f>MID(VLOOKUP($A160,Seqs!$A:$B,2,FALSE),VLOOKUP($A160,'SegEnds_NonXtal_Prot#'!$A:$AL,22,FALSE)+8,1)</f>
        <v>L</v>
      </c>
      <c r="AE160" s="49" t="str">
        <f>MID(VLOOKUP($A160,Seqs!$A:$B,2,FALSE),VLOOKUP($A160,'SegEnds_NonXtal_Prot#'!$A:$AL,22,FALSE)+9,1)</f>
        <v>P</v>
      </c>
      <c r="AF160" s="49" t="str">
        <f>MID(VLOOKUP($A160,Seqs!$A:$B,2,FALSE),VLOOKUP($A160,'SegEnds_NonXtal_Prot#'!$A:$AL,22,FALSE)+10,1)</f>
        <v>L</v>
      </c>
      <c r="AG160" s="28" t="str">
        <f>MID(VLOOKUP($A160,Seqs!$A:$B,2,FALSE),VLOOKUP($A160,'SegEnds_NonXtal_Prot#'!$A:$AL,28,FALSE)-4,1)</f>
        <v>N</v>
      </c>
      <c r="AH160" s="49" t="str">
        <f>MID(VLOOKUP($A160,Seqs!$A:$B,2,FALSE),VLOOKUP($A160,'SegEnds_NonXtal_Prot#'!$A:$AL,28,FALSE),1)</f>
        <v>P</v>
      </c>
    </row>
    <row r="161" spans="1:34" s="2" customFormat="1" x14ac:dyDescent="0.2">
      <c r="A161" s="2" t="s">
        <v>251</v>
      </c>
      <c r="B161" s="2" t="str">
        <f>LOWER(VLOOKUP(A161,Xtal_Templ!A:B,2,FALSE))</f>
        <v>oprd_human</v>
      </c>
      <c r="C161" s="2" t="str">
        <f>VLOOKUP(A161,Classification!A:D,2,FALSE)</f>
        <v>A</v>
      </c>
      <c r="D161" s="2" t="str">
        <f>IF(ISERROR(MATCH(A161,'SegEnds_Xtal_Prot#'!B:B, 0)), "NoXtal", "Xtal")</f>
        <v>NoXtal</v>
      </c>
      <c r="H161" s="4"/>
      <c r="R161" s="2" t="s">
        <v>9</v>
      </c>
      <c r="T161" s="4" t="s">
        <v>12</v>
      </c>
      <c r="V161" s="28" t="str">
        <f>MID(VLOOKUP($A161,Seqs!$A:$B,2,FALSE),VLOOKUP($A161,'SegEnds_NonXtal_Prot#'!A:AL,10,FALSE),1)</f>
        <v>D</v>
      </c>
      <c r="W161" s="49" t="str">
        <f>MID(VLOOKUP($A161,Seqs!$A:$B,2,FALSE),VLOOKUP($A161,'SegEnds_NonXtal_Prot#'!A:AL,10,FALSE)+6,1)</f>
        <v>S</v>
      </c>
      <c r="X161" s="49" t="str">
        <f>MID(VLOOKUP($A161,Seqs!$A:$B,2,FALSE),VLOOKUP($A161,'SegEnds_NonXtal_Prot#'!A:AL,10,FALSE)+7,1)</f>
        <v>L</v>
      </c>
      <c r="Y161" s="49" t="str">
        <f>MID(VLOOKUP($A161,Seqs!$A:$B,2,FALSE),VLOOKUP($A161,'SegEnds_NonXtal_Prot#'!A:AL,10,FALSE)+8,1)</f>
        <v>P</v>
      </c>
      <c r="Z161" s="49" t="str">
        <f>MID(VLOOKUP($A161,Seqs!$A:$B,2,FALSE),VLOOKUP($A161,'SegEnds_NonXtal_Prot#'!A:AL,10,FALSE)+9,1)</f>
        <v>I</v>
      </c>
      <c r="AA161" s="49" t="str">
        <f>MID(VLOOKUP($A161,Seqs!$A:$B,2,FALSE),VLOOKUP($A161,'SegEnds_NonXtal_Prot#'!A:AL,10,FALSE)+10,1)</f>
        <v>A</v>
      </c>
      <c r="AB161" s="28" t="str">
        <f>MID(VLOOKUP($A161,Seqs!$A:$B,2,FALSE),VLOOKUP($A161,'SegEnds_NonXtal_Prot#'!$A:$AL,22,FALSE)+6,1)</f>
        <v>L</v>
      </c>
      <c r="AC161" s="49" t="str">
        <f>MID(VLOOKUP($A161,Seqs!$A:$B,2,FALSE),VLOOKUP($A161,'SegEnds_NonXtal_Prot#'!$A:$AL,22,FALSE)+7,1)</f>
        <v>C</v>
      </c>
      <c r="AD161" s="49" t="str">
        <f>MID(VLOOKUP($A161,Seqs!$A:$B,2,FALSE),VLOOKUP($A161,'SegEnds_NonXtal_Prot#'!$A:$AL,22,FALSE)+8,1)</f>
        <v>S</v>
      </c>
      <c r="AE161" s="49" t="str">
        <f>MID(VLOOKUP($A161,Seqs!$A:$B,2,FALSE),VLOOKUP($A161,'SegEnds_NonXtal_Prot#'!$A:$AL,22,FALSE)+9,1)</f>
        <v>A</v>
      </c>
      <c r="AF161" s="49" t="str">
        <f>MID(VLOOKUP($A161,Seqs!$A:$B,2,FALSE),VLOOKUP($A161,'SegEnds_NonXtal_Prot#'!$A:$AL,22,FALSE)+10,1)</f>
        <v>H</v>
      </c>
      <c r="AG161" s="28" t="str">
        <f>MID(VLOOKUP($A161,Seqs!$A:$B,2,FALSE),VLOOKUP($A161,'SegEnds_NonXtal_Prot#'!$A:$AL,28,FALSE)-4,1)</f>
        <v>G</v>
      </c>
      <c r="AH161" s="49" t="str">
        <f>MID(VLOOKUP($A161,Seqs!$A:$B,2,FALSE),VLOOKUP($A161,'SegEnds_NonXtal_Prot#'!$A:$AL,28,FALSE),1)</f>
        <v>P</v>
      </c>
    </row>
    <row r="162" spans="1:34" s="2" customFormat="1" x14ac:dyDescent="0.2">
      <c r="A162" s="2" t="s">
        <v>308</v>
      </c>
      <c r="B162" s="2" t="str">
        <f>LOWER(VLOOKUP(A162,Xtal_Templ!A:B,2,FALSE))</f>
        <v>c5ar1_human</v>
      </c>
      <c r="C162" s="2" t="str">
        <f>VLOOKUP(A162,Classification!A:D,2,FALSE)</f>
        <v>A</v>
      </c>
      <c r="D162" s="2" t="str">
        <f>IF(ISERROR(MATCH(A162,'SegEnds_Xtal_Prot#'!B:B, 0)), "NoXtal", "Xtal")</f>
        <v>NoXtal</v>
      </c>
      <c r="H162" s="4"/>
      <c r="T162" s="4" t="s">
        <v>12</v>
      </c>
      <c r="V162" s="28" t="str">
        <f>MID(VLOOKUP($A162,Seqs!$A:$B,2,FALSE),VLOOKUP($A162,'SegEnds_NonXtal_Prot#'!A:AL,10,FALSE),1)</f>
        <v>D</v>
      </c>
      <c r="W162" s="49" t="str">
        <f>MID(VLOOKUP($A162,Seqs!$A:$B,2,FALSE),VLOOKUP($A162,'SegEnds_NonXtal_Prot#'!A:AL,10,FALSE)+6,1)</f>
        <v>F</v>
      </c>
      <c r="X162" s="49" t="str">
        <f>MID(VLOOKUP($A162,Seqs!$A:$B,2,FALSE),VLOOKUP($A162,'SegEnds_NonXtal_Prot#'!A:AL,10,FALSE)+7,1)</f>
        <v>Q</v>
      </c>
      <c r="Y162" s="49" t="str">
        <f>MID(VLOOKUP($A162,Seqs!$A:$B,2,FALSE),VLOOKUP($A162,'SegEnds_NonXtal_Prot#'!A:AL,10,FALSE)+8,1)</f>
        <v>I</v>
      </c>
      <c r="Z162" s="49" t="str">
        <f>MID(VLOOKUP($A162,Seqs!$A:$B,2,FALSE),VLOOKUP($A162,'SegEnds_NonXtal_Prot#'!A:AL,10,FALSE)+9,1)</f>
        <v>I</v>
      </c>
      <c r="AA162" s="49" t="str">
        <f>MID(VLOOKUP($A162,Seqs!$A:$B,2,FALSE),VLOOKUP($A162,'SegEnds_NonXtal_Prot#'!A:AL,10,FALSE)+10,1)</f>
        <v>R</v>
      </c>
      <c r="AB162" s="28" t="str">
        <f>MID(VLOOKUP($A162,Seqs!$A:$B,2,FALSE),VLOOKUP($A162,'SegEnds_NonXtal_Prot#'!$A:$AL,22,FALSE)+6,1)</f>
        <v>F</v>
      </c>
      <c r="AC162" s="49" t="str">
        <f>MID(VLOOKUP($A162,Seqs!$A:$B,2,FALSE),VLOOKUP($A162,'SegEnds_NonXtal_Prot#'!$A:$AL,22,FALSE)+7,1)</f>
        <v>S</v>
      </c>
      <c r="AD162" s="49" t="str">
        <f>MID(VLOOKUP($A162,Seqs!$A:$B,2,FALSE),VLOOKUP($A162,'SegEnds_NonXtal_Prot#'!$A:$AL,22,FALSE)+8,1)</f>
        <v>M</v>
      </c>
      <c r="AE162" s="49" t="str">
        <f>MID(VLOOKUP($A162,Seqs!$A:$B,2,FALSE),VLOOKUP($A162,'SegEnds_NonXtal_Prot#'!$A:$AL,22,FALSE)+9,1)</f>
        <v>L</v>
      </c>
      <c r="AF162" s="49" t="str">
        <f>MID(VLOOKUP($A162,Seqs!$A:$B,2,FALSE),VLOOKUP($A162,'SegEnds_NonXtal_Prot#'!$A:$AL,22,FALSE)+10,1)</f>
        <v>E</v>
      </c>
      <c r="AG162" s="28" t="str">
        <f>MID(VLOOKUP($A162,Seqs!$A:$B,2,FALSE),VLOOKUP($A162,'SegEnds_NonXtal_Prot#'!$A:$AL,28,FALSE)-4,1)</f>
        <v>I</v>
      </c>
      <c r="AH162" s="49" t="str">
        <f>MID(VLOOKUP($A162,Seqs!$A:$B,2,FALSE),VLOOKUP($A162,'SegEnds_NonXtal_Prot#'!$A:$AL,28,FALSE),1)</f>
        <v>V</v>
      </c>
    </row>
    <row r="163" spans="1:34" s="2" customFormat="1" x14ac:dyDescent="0.2">
      <c r="A163" s="2" t="s">
        <v>336</v>
      </c>
      <c r="B163" s="2" t="str">
        <f>LOWER(VLOOKUP(A163,Xtal_Templ!A:B,2,FALSE))</f>
        <v>oprk_human</v>
      </c>
      <c r="C163" s="2" t="str">
        <f>VLOOKUP(A163,Classification!A:D,2,FALSE)</f>
        <v>A</v>
      </c>
      <c r="D163" s="2" t="str">
        <f>IF(ISERROR(MATCH(A163,'SegEnds_Xtal_Prot#'!B:B, 0)), "NoXtal", "Xtal")</f>
        <v>Xtal</v>
      </c>
      <c r="H163" s="4"/>
      <c r="R163" s="2" t="s">
        <v>9</v>
      </c>
      <c r="T163" s="4" t="s">
        <v>12</v>
      </c>
      <c r="V163" s="28" t="str">
        <f>MID(VLOOKUP($A163,Seqs!$A:$B,2,FALSE),VLOOKUP($A163,'SegEnds_NonXtal_Prot#'!A:AL,10,FALSE),1)</f>
        <v>D</v>
      </c>
      <c r="W163" s="49" t="str">
        <f>MID(VLOOKUP($A163,Seqs!$A:$B,2,FALSE),VLOOKUP($A163,'SegEnds_NonXtal_Prot#'!A:AL,10,FALSE)+6,1)</f>
        <v>T</v>
      </c>
      <c r="X163" s="49" t="str">
        <f>MID(VLOOKUP($A163,Seqs!$A:$B,2,FALSE),VLOOKUP($A163,'SegEnds_NonXtal_Prot#'!A:AL,10,FALSE)+7,1)</f>
        <v>M</v>
      </c>
      <c r="Y163" s="49" t="str">
        <f>MID(VLOOKUP($A163,Seqs!$A:$B,2,FALSE),VLOOKUP($A163,'SegEnds_NonXtal_Prot#'!A:AL,10,FALSE)+8,1)</f>
        <v>P</v>
      </c>
      <c r="Z163" s="49" t="str">
        <f>MID(VLOOKUP($A163,Seqs!$A:$B,2,FALSE),VLOOKUP($A163,'SegEnds_NonXtal_Prot#'!A:AL,10,FALSE)+9,1)</f>
        <v>F</v>
      </c>
      <c r="AA163" s="49" t="str">
        <f>MID(VLOOKUP($A163,Seqs!$A:$B,2,FALSE),VLOOKUP($A163,'SegEnds_NonXtal_Prot#'!A:AL,10,FALSE)+10,1)</f>
        <v>Q</v>
      </c>
      <c r="AB163" s="28" t="str">
        <f>MID(VLOOKUP($A163,Seqs!$A:$B,2,FALSE),VLOOKUP($A163,'SegEnds_NonXtal_Prot#'!$A:$AL,22,FALSE)+6,1)</f>
        <v>V</v>
      </c>
      <c r="AC163" s="49" t="str">
        <f>MID(VLOOKUP($A163,Seqs!$A:$B,2,FALSE),VLOOKUP($A163,'SegEnds_NonXtal_Prot#'!$A:$AL,22,FALSE)+7,1)</f>
        <v>G</v>
      </c>
      <c r="AD163" s="49" t="str">
        <f>MID(VLOOKUP($A163,Seqs!$A:$B,2,FALSE),VLOOKUP($A163,'SegEnds_NonXtal_Prot#'!$A:$AL,22,FALSE)+8,1)</f>
        <v>I</v>
      </c>
      <c r="AE163" s="49" t="str">
        <f>MID(VLOOKUP($A163,Seqs!$A:$B,2,FALSE),VLOOKUP($A163,'SegEnds_NonXtal_Prot#'!$A:$AL,22,FALSE)+9,1)</f>
        <v>S</v>
      </c>
      <c r="AF163" s="49" t="str">
        <f>MID(VLOOKUP($A163,Seqs!$A:$B,2,FALSE),VLOOKUP($A163,'SegEnds_NonXtal_Prot#'!$A:$AL,22,FALSE)+10,1)</f>
        <v>A</v>
      </c>
      <c r="AG163" s="28" t="str">
        <f>MID(VLOOKUP($A163,Seqs!$A:$B,2,FALSE),VLOOKUP($A163,'SegEnds_NonXtal_Prot#'!$A:$AL,28,FALSE)-4,1)</f>
        <v>A</v>
      </c>
      <c r="AH163" s="49" t="str">
        <f>MID(VLOOKUP($A163,Seqs!$A:$B,2,FALSE),VLOOKUP($A163,'SegEnds_NonXtal_Prot#'!$A:$AL,28,FALSE),1)</f>
        <v>P</v>
      </c>
    </row>
    <row r="164" spans="1:34" s="2" customFormat="1" x14ac:dyDescent="0.2">
      <c r="A164" s="2" t="s">
        <v>342</v>
      </c>
      <c r="B164" s="2" t="str">
        <f>LOWER(VLOOKUP(A164,Xtal_Templ!A:B,2,FALSE))</f>
        <v>pd2r2_human</v>
      </c>
      <c r="C164" s="2" t="str">
        <f>VLOOKUP(A164,Classification!A:D,2,FALSE)</f>
        <v>A</v>
      </c>
      <c r="D164" s="2" t="str">
        <f>IF(ISERROR(MATCH(A164,'SegEnds_Xtal_Prot#'!B:B, 0)), "NoXtal", "Xtal")</f>
        <v>NoXtal</v>
      </c>
      <c r="H164" s="4"/>
      <c r="R164" s="2" t="s">
        <v>9</v>
      </c>
      <c r="T164" s="4" t="s">
        <v>12</v>
      </c>
      <c r="V164" s="28" t="str">
        <f>MID(VLOOKUP($A164,Seqs!$A:$B,2,FALSE),VLOOKUP($A164,'SegEnds_NonXtal_Prot#'!A:AL,10,FALSE),1)</f>
        <v>D</v>
      </c>
      <c r="W164" s="49" t="str">
        <f>MID(VLOOKUP($A164,Seqs!$A:$B,2,FALSE),VLOOKUP($A164,'SegEnds_NonXtal_Prot#'!A:AL,10,FALSE)+6,1)</f>
        <v>N</v>
      </c>
      <c r="X164" s="49" t="str">
        <f>MID(VLOOKUP($A164,Seqs!$A:$B,2,FALSE),VLOOKUP($A164,'SegEnds_NonXtal_Prot#'!A:AL,10,FALSE)+7,1)</f>
        <v>L</v>
      </c>
      <c r="Y164" s="49" t="str">
        <f>MID(VLOOKUP($A164,Seqs!$A:$B,2,FALSE),VLOOKUP($A164,'SegEnds_NonXtal_Prot#'!A:AL,10,FALSE)+8,1)</f>
        <v>P</v>
      </c>
      <c r="Z164" s="49" t="str">
        <f>MID(VLOOKUP($A164,Seqs!$A:$B,2,FALSE),VLOOKUP($A164,'SegEnds_NonXtal_Prot#'!A:AL,10,FALSE)+9,1)</f>
        <v>L</v>
      </c>
      <c r="AA164" s="49" t="str">
        <f>MID(VLOOKUP($A164,Seqs!$A:$B,2,FALSE),VLOOKUP($A164,'SegEnds_NonXtal_Prot#'!A:AL,10,FALSE)+10,1)</f>
        <v>R</v>
      </c>
      <c r="AB164" s="28" t="str">
        <f>MID(VLOOKUP($A164,Seqs!$A:$B,2,FALSE),VLOOKUP($A164,'SegEnds_NonXtal_Prot#'!$A:$AL,22,FALSE)+6,1)</f>
        <v>L</v>
      </c>
      <c r="AC164" s="49" t="str">
        <f>MID(VLOOKUP($A164,Seqs!$A:$B,2,FALSE),VLOOKUP($A164,'SegEnds_NonXtal_Prot#'!$A:$AL,22,FALSE)+7,1)</f>
        <v>N</v>
      </c>
      <c r="AD164" s="49" t="str">
        <f>MID(VLOOKUP($A164,Seqs!$A:$B,2,FALSE),VLOOKUP($A164,'SegEnds_NonXtal_Prot#'!$A:$AL,22,FALSE)+8,1)</f>
        <v>G</v>
      </c>
      <c r="AE164" s="49" t="str">
        <f>MID(VLOOKUP($A164,Seqs!$A:$B,2,FALSE),VLOOKUP($A164,'SegEnds_NonXtal_Prot#'!$A:$AL,22,FALSE)+9,1)</f>
        <v>H</v>
      </c>
      <c r="AF164" s="49" t="str">
        <f>MID(VLOOKUP($A164,Seqs!$A:$B,2,FALSE),VLOOKUP($A164,'SegEnds_NonXtal_Prot#'!$A:$AL,22,FALSE)+10,1)</f>
        <v>L</v>
      </c>
      <c r="AG164" s="28" t="str">
        <f>MID(VLOOKUP($A164,Seqs!$A:$B,2,FALSE),VLOOKUP($A164,'SegEnds_NonXtal_Prot#'!$A:$AL,28,FALSE)-4,1)</f>
        <v>E</v>
      </c>
      <c r="AH164" s="49" t="str">
        <f>MID(VLOOKUP($A164,Seqs!$A:$B,2,FALSE),VLOOKUP($A164,'SegEnds_NonXtal_Prot#'!$A:$AL,28,FALSE),1)</f>
        <v>P</v>
      </c>
    </row>
    <row r="165" spans="1:34" s="2" customFormat="1" x14ac:dyDescent="0.2">
      <c r="A165" s="2" t="s">
        <v>205</v>
      </c>
      <c r="B165" s="2" t="str">
        <f>LOWER(VLOOKUP(A165,Xtal_Templ!A:B,2,FALSE))</f>
        <v>oprk_human</v>
      </c>
      <c r="C165" s="2" t="str">
        <f>VLOOKUP(A165,Classification!A:D,2,FALSE)</f>
        <v>A</v>
      </c>
      <c r="D165" s="2" t="str">
        <f>IF(ISERROR(MATCH(A165,'SegEnds_Xtal_Prot#'!B:B, 0)), "NoXtal", "Xtal")</f>
        <v>NoXtal</v>
      </c>
      <c r="G165" s="2" t="s">
        <v>5</v>
      </c>
      <c r="H165" s="4"/>
      <c r="N165" s="2" t="s">
        <v>14</v>
      </c>
      <c r="R165" s="2" t="s">
        <v>9</v>
      </c>
      <c r="T165" s="4" t="s">
        <v>12</v>
      </c>
      <c r="V165" s="28" t="str">
        <f>MID(VLOOKUP($A165,Seqs!$A:$B,2,FALSE),VLOOKUP($A165,'SegEnds_NonXtal_Prot#'!A:AL,10,FALSE),1)</f>
        <v>D</v>
      </c>
      <c r="W165" s="49" t="str">
        <f>MID(VLOOKUP($A165,Seqs!$A:$B,2,FALSE),VLOOKUP($A165,'SegEnds_NonXtal_Prot#'!A:AL,10,FALSE)+6,1)</f>
        <v>F</v>
      </c>
      <c r="X165" s="49" t="str">
        <f>MID(VLOOKUP($A165,Seqs!$A:$B,2,FALSE),VLOOKUP($A165,'SegEnds_NonXtal_Prot#'!A:AL,10,FALSE)+7,1)</f>
        <v>C</v>
      </c>
      <c r="Y165" s="49" t="str">
        <f>MID(VLOOKUP($A165,Seqs!$A:$B,2,FALSE),VLOOKUP($A165,'SegEnds_NonXtal_Prot#'!A:AL,10,FALSE)+8,1)</f>
        <v>I</v>
      </c>
      <c r="Z165" s="49" t="str">
        <f>MID(VLOOKUP($A165,Seqs!$A:$B,2,FALSE),VLOOKUP($A165,'SegEnds_NonXtal_Prot#'!A:AL,10,FALSE)+9,1)</f>
        <v>P</v>
      </c>
      <c r="AA165" s="49" t="str">
        <f>MID(VLOOKUP($A165,Seqs!$A:$B,2,FALSE),VLOOKUP($A165,'SegEnds_NonXtal_Prot#'!A:AL,10,FALSE)+10,1)</f>
        <v>F</v>
      </c>
      <c r="AB165" s="28" t="str">
        <f>MID(VLOOKUP($A165,Seqs!$A:$B,2,FALSE),VLOOKUP($A165,'SegEnds_NonXtal_Prot#'!$A:$AL,22,FALSE)+6,1)</f>
        <v>M</v>
      </c>
      <c r="AC165" s="49" t="str">
        <f>MID(VLOOKUP($A165,Seqs!$A:$B,2,FALSE),VLOOKUP($A165,'SegEnds_NonXtal_Prot#'!$A:$AL,22,FALSE)+7,1)</f>
        <v>A</v>
      </c>
      <c r="AD165" s="49" t="str">
        <f>MID(VLOOKUP($A165,Seqs!$A:$B,2,FALSE),VLOOKUP($A165,'SegEnds_NonXtal_Prot#'!$A:$AL,22,FALSE)+8,1)</f>
        <v>S</v>
      </c>
      <c r="AE165" s="49" t="str">
        <f>MID(VLOOKUP($A165,Seqs!$A:$B,2,FALSE),VLOOKUP($A165,'SegEnds_NonXtal_Prot#'!$A:$AL,22,FALSE)+9,1)</f>
        <v>P</v>
      </c>
      <c r="AF165" s="49" t="str">
        <f>MID(VLOOKUP($A165,Seqs!$A:$B,2,FALSE),VLOOKUP($A165,'SegEnds_NonXtal_Prot#'!$A:$AL,22,FALSE)+10,1)</f>
        <v>V</v>
      </c>
      <c r="AG165" s="28" t="str">
        <f>MID(VLOOKUP($A165,Seqs!$A:$B,2,FALSE),VLOOKUP($A165,'SegEnds_NonXtal_Prot#'!$A:$AL,28,FALSE)-4,1)</f>
        <v>G</v>
      </c>
      <c r="AH165" s="49" t="str">
        <f>MID(VLOOKUP($A165,Seqs!$A:$B,2,FALSE),VLOOKUP($A165,'SegEnds_NonXtal_Prot#'!$A:$AL,28,FALSE),1)</f>
        <v>P</v>
      </c>
    </row>
    <row r="166" spans="1:34" s="2" customFormat="1" x14ac:dyDescent="0.2">
      <c r="A166" s="2" t="s">
        <v>206</v>
      </c>
      <c r="B166" s="2" t="str">
        <f>LOWER(VLOOKUP(A166,Xtal_Templ!A:B,2,FALSE))</f>
        <v>oprk_human</v>
      </c>
      <c r="C166" s="2" t="str">
        <f>VLOOKUP(A166,Classification!A:D,2,FALSE)</f>
        <v>A</v>
      </c>
      <c r="D166" s="2" t="str">
        <f>IF(ISERROR(MATCH(A166,'SegEnds_Xtal_Prot#'!B:B, 0)), "NoXtal", "Xtal")</f>
        <v>NoXtal</v>
      </c>
      <c r="G166" s="2" t="s">
        <v>5</v>
      </c>
      <c r="H166" s="4"/>
      <c r="N166" s="2" t="s">
        <v>14</v>
      </c>
      <c r="R166" s="2" t="s">
        <v>9</v>
      </c>
      <c r="T166" s="4" t="s">
        <v>12</v>
      </c>
      <c r="V166" s="28" t="str">
        <f>MID(VLOOKUP($A166,Seqs!$A:$B,2,FALSE),VLOOKUP($A166,'SegEnds_NonXtal_Prot#'!A:AL,10,FALSE),1)</f>
        <v>D</v>
      </c>
      <c r="W166" s="49" t="str">
        <f>MID(VLOOKUP($A166,Seqs!$A:$B,2,FALSE),VLOOKUP($A166,'SegEnds_NonXtal_Prot#'!A:AL,10,FALSE)+6,1)</f>
        <v>C</v>
      </c>
      <c r="X166" s="49" t="str">
        <f>MID(VLOOKUP($A166,Seqs!$A:$B,2,FALSE),VLOOKUP($A166,'SegEnds_NonXtal_Prot#'!A:AL,10,FALSE)+7,1)</f>
        <v>C</v>
      </c>
      <c r="Y166" s="49" t="str">
        <f>MID(VLOOKUP($A166,Seqs!$A:$B,2,FALSE),VLOOKUP($A166,'SegEnds_NonXtal_Prot#'!A:AL,10,FALSE)+8,1)</f>
        <v>V</v>
      </c>
      <c r="Z166" s="49" t="str">
        <f>MID(VLOOKUP($A166,Seqs!$A:$B,2,FALSE),VLOOKUP($A166,'SegEnds_NonXtal_Prot#'!A:AL,10,FALSE)+9,1)</f>
        <v>P</v>
      </c>
      <c r="AA166" s="49" t="str">
        <f>MID(VLOOKUP($A166,Seqs!$A:$B,2,FALSE),VLOOKUP($A166,'SegEnds_NonXtal_Prot#'!A:AL,10,FALSE)+10,1)</f>
        <v>F</v>
      </c>
      <c r="AB166" s="28" t="str">
        <f>MID(VLOOKUP($A166,Seqs!$A:$B,2,FALSE),VLOOKUP($A166,'SegEnds_NonXtal_Prot#'!$A:$AL,22,FALSE)+6,1)</f>
        <v>F</v>
      </c>
      <c r="AC166" s="49" t="str">
        <f>MID(VLOOKUP($A166,Seqs!$A:$B,2,FALSE),VLOOKUP($A166,'SegEnds_NonXtal_Prot#'!$A:$AL,22,FALSE)+7,1)</f>
        <v>S</v>
      </c>
      <c r="AD166" s="49" t="str">
        <f>MID(VLOOKUP($A166,Seqs!$A:$B,2,FALSE),VLOOKUP($A166,'SegEnds_NonXtal_Prot#'!$A:$AL,22,FALSE)+8,1)</f>
        <v>G</v>
      </c>
      <c r="AE166" s="49" t="str">
        <f>MID(VLOOKUP($A166,Seqs!$A:$B,2,FALSE),VLOOKUP($A166,'SegEnds_NonXtal_Prot#'!$A:$AL,22,FALSE)+9,1)</f>
        <v>P</v>
      </c>
      <c r="AF166" s="49" t="str">
        <f>MID(VLOOKUP($A166,Seqs!$A:$B,2,FALSE),VLOOKUP($A166,'SegEnds_NonXtal_Prot#'!$A:$AL,22,FALSE)+10,1)</f>
        <v>Y</v>
      </c>
      <c r="AG166" s="28" t="str">
        <f>MID(VLOOKUP($A166,Seqs!$A:$B,2,FALSE),VLOOKUP($A166,'SegEnds_NonXtal_Prot#'!$A:$AL,28,FALSE)-4,1)</f>
        <v>S</v>
      </c>
      <c r="AH166" s="49" t="str">
        <f>MID(VLOOKUP($A166,Seqs!$A:$B,2,FALSE),VLOOKUP($A166,'SegEnds_NonXtal_Prot#'!$A:$AL,28,FALSE),1)</f>
        <v>P</v>
      </c>
    </row>
    <row r="167" spans="1:34" s="2" customFormat="1" x14ac:dyDescent="0.2">
      <c r="A167" s="2" t="s">
        <v>207</v>
      </c>
      <c r="B167" s="2" t="str">
        <f>LOWER(VLOOKUP(A167,Xtal_Templ!A:B,2,FALSE))</f>
        <v>oprk_human</v>
      </c>
      <c r="C167" s="2" t="str">
        <f>VLOOKUP(A167,Classification!A:D,2,FALSE)</f>
        <v>A</v>
      </c>
      <c r="D167" s="2" t="str">
        <f>IF(ISERROR(MATCH(A167,'SegEnds_Xtal_Prot#'!B:B, 0)), "NoXtal", "Xtal")</f>
        <v>NoXtal</v>
      </c>
      <c r="G167" s="2" t="s">
        <v>5</v>
      </c>
      <c r="H167" s="4"/>
      <c r="N167" s="2" t="s">
        <v>14</v>
      </c>
      <c r="R167" s="2" t="s">
        <v>9</v>
      </c>
      <c r="T167" s="4" t="s">
        <v>12</v>
      </c>
      <c r="V167" s="28" t="str">
        <f>MID(VLOOKUP($A167,Seqs!$A:$B,2,FALSE),VLOOKUP($A167,'SegEnds_NonXtal_Prot#'!A:AL,10,FALSE),1)</f>
        <v>D</v>
      </c>
      <c r="W167" s="49" t="str">
        <f>MID(VLOOKUP($A167,Seqs!$A:$B,2,FALSE),VLOOKUP($A167,'SegEnds_NonXtal_Prot#'!A:AL,10,FALSE)+6,1)</f>
        <v>C</v>
      </c>
      <c r="X167" s="49" t="str">
        <f>MID(VLOOKUP($A167,Seqs!$A:$B,2,FALSE),VLOOKUP($A167,'SegEnds_NonXtal_Prot#'!A:AL,10,FALSE)+7,1)</f>
        <v>C</v>
      </c>
      <c r="Y167" s="49" t="str">
        <f>MID(VLOOKUP($A167,Seqs!$A:$B,2,FALSE),VLOOKUP($A167,'SegEnds_NonXtal_Prot#'!A:AL,10,FALSE)+8,1)</f>
        <v>V</v>
      </c>
      <c r="Z167" s="49" t="str">
        <f>MID(VLOOKUP($A167,Seqs!$A:$B,2,FALSE),VLOOKUP($A167,'SegEnds_NonXtal_Prot#'!A:AL,10,FALSE)+9,1)</f>
        <v>P</v>
      </c>
      <c r="AA167" s="49" t="str">
        <f>MID(VLOOKUP($A167,Seqs!$A:$B,2,FALSE),VLOOKUP($A167,'SegEnds_NonXtal_Prot#'!A:AL,10,FALSE)+10,1)</f>
        <v>F</v>
      </c>
      <c r="AB167" s="28" t="str">
        <f>MID(VLOOKUP($A167,Seqs!$A:$B,2,FALSE),VLOOKUP($A167,'SegEnds_NonXtal_Prot#'!$A:$AL,22,FALSE)+6,1)</f>
        <v>F</v>
      </c>
      <c r="AC167" s="49" t="str">
        <f>MID(VLOOKUP($A167,Seqs!$A:$B,2,FALSE),VLOOKUP($A167,'SegEnds_NonXtal_Prot#'!$A:$AL,22,FALSE)+7,1)</f>
        <v>S</v>
      </c>
      <c r="AD167" s="49" t="str">
        <f>MID(VLOOKUP($A167,Seqs!$A:$B,2,FALSE),VLOOKUP($A167,'SegEnds_NonXtal_Prot#'!$A:$AL,22,FALSE)+8,1)</f>
        <v>A</v>
      </c>
      <c r="AE167" s="49" t="str">
        <f>MID(VLOOKUP($A167,Seqs!$A:$B,2,FALSE),VLOOKUP($A167,'SegEnds_NonXtal_Prot#'!$A:$AL,22,FALSE)+9,1)</f>
        <v>P</v>
      </c>
      <c r="AF167" s="49" t="str">
        <f>MID(VLOOKUP($A167,Seqs!$A:$B,2,FALSE),VLOOKUP($A167,'SegEnds_NonXtal_Prot#'!$A:$AL,22,FALSE)+10,1)</f>
        <v>Y</v>
      </c>
      <c r="AG167" s="28" t="str">
        <f>MID(VLOOKUP($A167,Seqs!$A:$B,2,FALSE),VLOOKUP($A167,'SegEnds_NonXtal_Prot#'!$A:$AL,28,FALSE)-4,1)</f>
        <v>G</v>
      </c>
      <c r="AH167" s="49" t="str">
        <f>MID(VLOOKUP($A167,Seqs!$A:$B,2,FALSE),VLOOKUP($A167,'SegEnds_NonXtal_Prot#'!$A:$AL,28,FALSE),1)</f>
        <v>P</v>
      </c>
    </row>
    <row r="168" spans="1:34" s="2" customFormat="1" x14ac:dyDescent="0.2">
      <c r="A168" s="2" t="s">
        <v>210</v>
      </c>
      <c r="B168" s="2" t="str">
        <f>LOWER(VLOOKUP(A168,Xtal_Templ!A:B,2,FALSE))</f>
        <v>apj_human</v>
      </c>
      <c r="C168" s="2" t="str">
        <f>VLOOKUP(A168,Classification!A:D,2,FALSE)</f>
        <v>A</v>
      </c>
      <c r="D168" s="2" t="str">
        <f>IF(ISERROR(MATCH(A168,'SegEnds_Xtal_Prot#'!B:B, 0)), "NoXtal", "Xtal")</f>
        <v>NoXtal</v>
      </c>
      <c r="G168" s="106" t="s">
        <v>5</v>
      </c>
      <c r="N168" s="2" t="s">
        <v>14</v>
      </c>
      <c r="R168" s="2" t="s">
        <v>9</v>
      </c>
      <c r="T168" s="4" t="s">
        <v>12</v>
      </c>
      <c r="V168" s="28" t="str">
        <f>MID(VLOOKUP($A168,Seqs!$A:$B,2,FALSE),VLOOKUP($A168,'SegEnds_NonXtal_Prot#'!A:AL,10,FALSE),1)</f>
        <v>N</v>
      </c>
      <c r="W168" s="49" t="str">
        <f>MID(VLOOKUP($A168,Seqs!$A:$B,2,FALSE),VLOOKUP($A168,'SegEnds_NonXtal_Prot#'!A:AL,10,FALSE)+6,1)</f>
        <v>I</v>
      </c>
      <c r="X168" s="49" t="str">
        <f>MID(VLOOKUP($A168,Seqs!$A:$B,2,FALSE),VLOOKUP($A168,'SegEnds_NonXtal_Prot#'!A:AL,10,FALSE)+7,1)</f>
        <v>V</v>
      </c>
      <c r="Y168" s="49" t="str">
        <f>MID(VLOOKUP($A168,Seqs!$A:$B,2,FALSE),VLOOKUP($A168,'SegEnds_NonXtal_Prot#'!A:AL,10,FALSE)+8,1)</f>
        <v>M</v>
      </c>
      <c r="Z168" s="49" t="str">
        <f>MID(VLOOKUP($A168,Seqs!$A:$B,2,FALSE),VLOOKUP($A168,'SegEnds_NonXtal_Prot#'!A:AL,10,FALSE)+9,1)</f>
        <v>P</v>
      </c>
      <c r="AA168" s="49" t="str">
        <f>MID(VLOOKUP($A168,Seqs!$A:$B,2,FALSE),VLOOKUP($A168,'SegEnds_NonXtal_Prot#'!A:AL,10,FALSE)+10,1)</f>
        <v>L</v>
      </c>
      <c r="AB168" s="28" t="str">
        <f>MID(VLOOKUP($A168,Seqs!$A:$B,2,FALSE),VLOOKUP($A168,'SegEnds_NonXtal_Prot#'!$A:$AL,22,FALSE)+6,1)</f>
        <v>F</v>
      </c>
      <c r="AC168" s="49" t="str">
        <f>MID(VLOOKUP($A168,Seqs!$A:$B,2,FALSE),VLOOKUP($A168,'SegEnds_NonXtal_Prot#'!$A:$AL,22,FALSE)+7,1)</f>
        <v>A</v>
      </c>
      <c r="AD168" s="49" t="str">
        <f>MID(VLOOKUP($A168,Seqs!$A:$B,2,FALSE),VLOOKUP($A168,'SegEnds_NonXtal_Prot#'!$A:$AL,22,FALSE)+8,1)</f>
        <v>G</v>
      </c>
      <c r="AE168" s="49" t="str">
        <f>MID(VLOOKUP($A168,Seqs!$A:$B,2,FALSE),VLOOKUP($A168,'SegEnds_NonXtal_Prot#'!$A:$AL,22,FALSE)+9,1)</f>
        <v>P</v>
      </c>
      <c r="AF168" s="49" t="str">
        <f>MID(VLOOKUP($A168,Seqs!$A:$B,2,FALSE),VLOOKUP($A168,'SegEnds_NonXtal_Prot#'!$A:$AL,22,FALSE)+10,1)</f>
        <v>Q</v>
      </c>
      <c r="AG168" s="28" t="str">
        <f>MID(VLOOKUP($A168,Seqs!$A:$B,2,FALSE),VLOOKUP($A168,'SegEnds_NonXtal_Prot#'!$A:$AL,28,FALSE)-4,1)</f>
        <v>L</v>
      </c>
      <c r="AH168" s="49" t="str">
        <f>MID(VLOOKUP($A168,Seqs!$A:$B,2,FALSE),VLOOKUP($A168,'SegEnds_NonXtal_Prot#'!$A:$AL,28,FALSE),1)</f>
        <v>P</v>
      </c>
    </row>
    <row r="169" spans="1:34" s="2" customFormat="1" x14ac:dyDescent="0.2">
      <c r="A169" s="2" t="s">
        <v>337</v>
      </c>
      <c r="B169" s="2" t="str">
        <f>LOWER(VLOOKUP(A169,Xtal_Templ!A:B,2,FALSE))</f>
        <v>oprm_mouse</v>
      </c>
      <c r="C169" s="2" t="str">
        <f>VLOOKUP(A169,Classification!A:D,2,FALSE)</f>
        <v>A</v>
      </c>
      <c r="D169" s="2" t="str">
        <f>IF(ISERROR(MATCH(A169,'SegEnds_Xtal_Prot#'!B:B, 0)), "NoXtal", "Xtal")</f>
        <v>NoXtal</v>
      </c>
      <c r="H169" s="4"/>
      <c r="R169" s="2" t="s">
        <v>9</v>
      </c>
      <c r="T169" s="4" t="s">
        <v>12</v>
      </c>
      <c r="V169" s="28" t="str">
        <f>MID(VLOOKUP($A169,Seqs!$A:$B,2,FALSE),VLOOKUP($A169,'SegEnds_NonXtal_Prot#'!A:AL,10,FALSE),1)</f>
        <v>D</v>
      </c>
      <c r="W169" s="49" t="str">
        <f>MID(VLOOKUP($A169,Seqs!$A:$B,2,FALSE),VLOOKUP($A169,'SegEnds_NonXtal_Prot#'!A:AL,10,FALSE)+6,1)</f>
        <v>T</v>
      </c>
      <c r="X169" s="49" t="str">
        <f>MID(VLOOKUP($A169,Seqs!$A:$B,2,FALSE),VLOOKUP($A169,'SegEnds_NonXtal_Prot#'!A:AL,10,FALSE)+7,1)</f>
        <v>L</v>
      </c>
      <c r="Y169" s="49" t="str">
        <f>MID(VLOOKUP($A169,Seqs!$A:$B,2,FALSE),VLOOKUP($A169,'SegEnds_NonXtal_Prot#'!A:AL,10,FALSE)+8,1)</f>
        <v>P</v>
      </c>
      <c r="Z169" s="49" t="str">
        <f>MID(VLOOKUP($A169,Seqs!$A:$B,2,FALSE),VLOOKUP($A169,'SegEnds_NonXtal_Prot#'!A:AL,10,FALSE)+9,1)</f>
        <v>F</v>
      </c>
      <c r="AA169" s="49" t="str">
        <f>MID(VLOOKUP($A169,Seqs!$A:$B,2,FALSE),VLOOKUP($A169,'SegEnds_NonXtal_Prot#'!A:AL,10,FALSE)+10,1)</f>
        <v>Q</v>
      </c>
      <c r="AB169" s="28" t="str">
        <f>MID(VLOOKUP($A169,Seqs!$A:$B,2,FALSE),VLOOKUP($A169,'SegEnds_NonXtal_Prot#'!$A:$AL,22,FALSE)+6,1)</f>
        <v>I</v>
      </c>
      <c r="AC169" s="49" t="str">
        <f>MID(VLOOKUP($A169,Seqs!$A:$B,2,FALSE),VLOOKUP($A169,'SegEnds_NonXtal_Prot#'!$A:$AL,22,FALSE)+7,1)</f>
        <v>G</v>
      </c>
      <c r="AD169" s="49" t="str">
        <f>MID(VLOOKUP($A169,Seqs!$A:$B,2,FALSE),VLOOKUP($A169,'SegEnds_NonXtal_Prot#'!$A:$AL,22,FALSE)+8,1)</f>
        <v>L</v>
      </c>
      <c r="AE169" s="49" t="str">
        <f>MID(VLOOKUP($A169,Seqs!$A:$B,2,FALSE),VLOOKUP($A169,'SegEnds_NonXtal_Prot#'!$A:$AL,22,FALSE)+9,1)</f>
        <v>P</v>
      </c>
      <c r="AF169" s="49" t="str">
        <f>MID(VLOOKUP($A169,Seqs!$A:$B,2,FALSE),VLOOKUP($A169,'SegEnds_NonXtal_Prot#'!$A:$AL,22,FALSE)+10,1)</f>
        <v>V</v>
      </c>
      <c r="AG169" s="28" t="str">
        <f>MID(VLOOKUP($A169,Seqs!$A:$B,2,FALSE),VLOOKUP($A169,'SegEnds_NonXtal_Prot#'!$A:$AL,28,FALSE)-4,1)</f>
        <v>A</v>
      </c>
      <c r="AH169" s="49" t="str">
        <f>MID(VLOOKUP($A169,Seqs!$A:$B,2,FALSE),VLOOKUP($A169,'SegEnds_NonXtal_Prot#'!$A:$AL,28,FALSE),1)</f>
        <v>P</v>
      </c>
    </row>
    <row r="170" spans="1:34" s="2" customFormat="1" x14ac:dyDescent="0.2">
      <c r="A170" s="2" t="s">
        <v>918</v>
      </c>
      <c r="B170" s="2" t="str">
        <f>LOWER(VLOOKUP(A170,Xtal_Templ!A:B,2,FALSE))</f>
        <v>oprm_mouse</v>
      </c>
      <c r="C170" s="2" t="str">
        <f>VLOOKUP(A170,Classification!A:D,2,FALSE)</f>
        <v>A</v>
      </c>
      <c r="D170" s="2" t="str">
        <f>IF(ISERROR(MATCH(A170,'SegEnds_Xtal_Prot#'!B:B, 0)), "NoXtal", "Xtal")</f>
        <v>Xtal</v>
      </c>
      <c r="H170" s="4"/>
      <c r="R170" s="2" t="s">
        <v>9</v>
      </c>
      <c r="T170" s="4" t="s">
        <v>12</v>
      </c>
      <c r="V170" s="28" t="str">
        <f>MID(VLOOKUP($A170,Seqs!$A:$B,2,FALSE),VLOOKUP($A170,'SegEnds_NonXtal_Prot#'!A:AL,10,FALSE),1)</f>
        <v>D</v>
      </c>
      <c r="W170" s="49" t="str">
        <f>MID(VLOOKUP($A170,Seqs!$A:$B,2,FALSE),VLOOKUP($A170,'SegEnds_NonXtal_Prot#'!A:AL,10,FALSE)+6,1)</f>
        <v>T</v>
      </c>
      <c r="X170" s="49" t="str">
        <f>MID(VLOOKUP($A170,Seqs!$A:$B,2,FALSE),VLOOKUP($A170,'SegEnds_NonXtal_Prot#'!A:AL,10,FALSE)+7,1)</f>
        <v>L</v>
      </c>
      <c r="Y170" s="49" t="str">
        <f>MID(VLOOKUP($A170,Seqs!$A:$B,2,FALSE),VLOOKUP($A170,'SegEnds_NonXtal_Prot#'!A:AL,10,FALSE)+8,1)</f>
        <v>P</v>
      </c>
      <c r="Z170" s="49" t="str">
        <f>MID(VLOOKUP($A170,Seqs!$A:$B,2,FALSE),VLOOKUP($A170,'SegEnds_NonXtal_Prot#'!A:AL,10,FALSE)+9,1)</f>
        <v>F</v>
      </c>
      <c r="AA170" s="49" t="str">
        <f>MID(VLOOKUP($A170,Seqs!$A:$B,2,FALSE),VLOOKUP($A170,'SegEnds_NonXtal_Prot#'!A:AL,10,FALSE)+10,1)</f>
        <v>Q</v>
      </c>
      <c r="AB170" s="28" t="str">
        <f>MID(VLOOKUP($A170,Seqs!$A:$B,2,FALSE),VLOOKUP($A170,'SegEnds_NonXtal_Prot#'!$A:$AL,22,FALSE)+6,1)</f>
        <v>I</v>
      </c>
      <c r="AC170" s="49" t="str">
        <f>MID(VLOOKUP($A170,Seqs!$A:$B,2,FALSE),VLOOKUP($A170,'SegEnds_NonXtal_Prot#'!$A:$AL,22,FALSE)+7,1)</f>
        <v>G</v>
      </c>
      <c r="AD170" s="49" t="str">
        <f>MID(VLOOKUP($A170,Seqs!$A:$B,2,FALSE),VLOOKUP($A170,'SegEnds_NonXtal_Prot#'!$A:$AL,22,FALSE)+8,1)</f>
        <v>L</v>
      </c>
      <c r="AE170" s="49" t="str">
        <f>MID(VLOOKUP($A170,Seqs!$A:$B,2,FALSE),VLOOKUP($A170,'SegEnds_NonXtal_Prot#'!$A:$AL,22,FALSE)+9,1)</f>
        <v>P</v>
      </c>
      <c r="AF170" s="49" t="str">
        <f>MID(VLOOKUP($A170,Seqs!$A:$B,2,FALSE),VLOOKUP($A170,'SegEnds_NonXtal_Prot#'!$A:$AL,22,FALSE)+10,1)</f>
        <v>V</v>
      </c>
      <c r="AG170" s="28" t="str">
        <f>MID(VLOOKUP($A170,Seqs!$A:$B,2,FALSE),VLOOKUP($A170,'SegEnds_NonXtal_Prot#'!$A:$AL,28,FALSE)-4,1)</f>
        <v>A</v>
      </c>
      <c r="AH170" s="49" t="str">
        <f>MID(VLOOKUP($A170,Seqs!$A:$B,2,FALSE),VLOOKUP($A170,'SegEnds_NonXtal_Prot#'!$A:$AL,28,FALSE),1)</f>
        <v>P</v>
      </c>
    </row>
    <row r="171" spans="1:34" s="2" customFormat="1" x14ac:dyDescent="0.2">
      <c r="A171" s="2" t="s">
        <v>381</v>
      </c>
      <c r="B171" s="2" t="str">
        <f>LOWER(VLOOKUP(A171,Xtal_Templ!A:B,2,FALSE))</f>
        <v>oprk_human</v>
      </c>
      <c r="C171" s="2" t="str">
        <f>VLOOKUP(A171,Classification!A:D,2,FALSE)</f>
        <v>A</v>
      </c>
      <c r="D171" s="2" t="str">
        <f>IF(ISERROR(MATCH(A171,'SegEnds_Xtal_Prot#'!B:B, 0)), "NoXtal", "Xtal")</f>
        <v>NoXtal</v>
      </c>
      <c r="H171" s="4"/>
      <c r="N171" s="2" t="s">
        <v>14</v>
      </c>
      <c r="R171" s="2" t="s">
        <v>9</v>
      </c>
      <c r="T171" s="4" t="s">
        <v>12</v>
      </c>
      <c r="V171" s="28" t="str">
        <f>MID(VLOOKUP($A171,Seqs!$A:$B,2,FALSE),VLOOKUP($A171,'SegEnds_NonXtal_Prot#'!A:AL,10,FALSE),1)</f>
        <v>D</v>
      </c>
      <c r="W171" s="49" t="str">
        <f>MID(VLOOKUP($A171,Seqs!$A:$B,2,FALSE),VLOOKUP($A171,'SegEnds_NonXtal_Prot#'!A:AL,10,FALSE)+6,1)</f>
        <v>S</v>
      </c>
      <c r="X171" s="49" t="str">
        <f>MID(VLOOKUP($A171,Seqs!$A:$B,2,FALSE),VLOOKUP($A171,'SegEnds_NonXtal_Prot#'!A:AL,10,FALSE)+7,1)</f>
        <v>V</v>
      </c>
      <c r="Y171" s="49" t="str">
        <f>MID(VLOOKUP($A171,Seqs!$A:$B,2,FALSE),VLOOKUP($A171,'SegEnds_NonXtal_Prot#'!A:AL,10,FALSE)+8,1)</f>
        <v>P</v>
      </c>
      <c r="Z171" s="49" t="str">
        <f>MID(VLOOKUP($A171,Seqs!$A:$B,2,FALSE),VLOOKUP($A171,'SegEnds_NonXtal_Prot#'!A:AL,10,FALSE)+9,1)</f>
        <v>F</v>
      </c>
      <c r="AA171" s="49" t="str">
        <f>MID(VLOOKUP($A171,Seqs!$A:$B,2,FALSE),VLOOKUP($A171,'SegEnds_NonXtal_Prot#'!A:AL,10,FALSE)+10,1)</f>
        <v>L</v>
      </c>
      <c r="AB171" s="28" t="str">
        <f>MID(VLOOKUP($A171,Seqs!$A:$B,2,FALSE),VLOOKUP($A171,'SegEnds_NonXtal_Prot#'!$A:$AL,22,FALSE)+6,1)</f>
        <v>V</v>
      </c>
      <c r="AC171" s="49" t="str">
        <f>MID(VLOOKUP($A171,Seqs!$A:$B,2,FALSE),VLOOKUP($A171,'SegEnds_NonXtal_Prot#'!$A:$AL,22,FALSE)+7,1)</f>
        <v>I</v>
      </c>
      <c r="AD171" s="49" t="str">
        <f>MID(VLOOKUP($A171,Seqs!$A:$B,2,FALSE),VLOOKUP($A171,'SegEnds_NonXtal_Prot#'!$A:$AL,22,FALSE)+8,1)</f>
        <v>L</v>
      </c>
      <c r="AE171" s="49" t="str">
        <f>MID(VLOOKUP($A171,Seqs!$A:$B,2,FALSE),VLOOKUP($A171,'SegEnds_NonXtal_Prot#'!$A:$AL,22,FALSE)+9,1)</f>
        <v>P</v>
      </c>
      <c r="AF171" s="49" t="str">
        <f>MID(VLOOKUP($A171,Seqs!$A:$B,2,FALSE),VLOOKUP($A171,'SegEnds_NonXtal_Prot#'!$A:$AL,22,FALSE)+10,1)</f>
        <v>I</v>
      </c>
      <c r="AG171" s="28" t="str">
        <f>MID(VLOOKUP($A171,Seqs!$A:$B,2,FALSE),VLOOKUP($A171,'SegEnds_NonXtal_Prot#'!$A:$AL,28,FALSE)-4,1)</f>
        <v>G</v>
      </c>
      <c r="AH171" s="49" t="str">
        <f>MID(VLOOKUP($A171,Seqs!$A:$B,2,FALSE),VLOOKUP($A171,'SegEnds_NonXtal_Prot#'!$A:$AL,28,FALSE),1)</f>
        <v>P</v>
      </c>
    </row>
    <row r="172" spans="1:34" s="2" customFormat="1" x14ac:dyDescent="0.2">
      <c r="A172" s="2" t="s">
        <v>382</v>
      </c>
      <c r="B172" s="2" t="str">
        <f>LOWER(VLOOKUP(A172,Xtal_Templ!A:B,2,FALSE))</f>
        <v>oprk_human</v>
      </c>
      <c r="C172" s="2" t="str">
        <f>VLOOKUP(A172,Classification!A:D,2,FALSE)</f>
        <v>A</v>
      </c>
      <c r="D172" s="2" t="str">
        <f>IF(ISERROR(MATCH(A172,'SegEnds_Xtal_Prot#'!B:B, 0)), "NoXtal", "Xtal")</f>
        <v>NoXtal</v>
      </c>
      <c r="H172" s="4"/>
      <c r="N172" s="2" t="s">
        <v>14</v>
      </c>
      <c r="R172" s="2" t="s">
        <v>9</v>
      </c>
      <c r="T172" s="4" t="s">
        <v>12</v>
      </c>
      <c r="V172" s="28" t="str">
        <f>MID(VLOOKUP($A172,Seqs!$A:$B,2,FALSE),VLOOKUP($A172,'SegEnds_NonXtal_Prot#'!A:AL,10,FALSE),1)</f>
        <v>D</v>
      </c>
      <c r="W172" s="49" t="str">
        <f>MID(VLOOKUP($A172,Seqs!$A:$B,2,FALSE),VLOOKUP($A172,'SegEnds_NonXtal_Prot#'!A:AL,10,FALSE)+6,1)</f>
        <v>G</v>
      </c>
      <c r="X172" s="49" t="str">
        <f>MID(VLOOKUP($A172,Seqs!$A:$B,2,FALSE),VLOOKUP($A172,'SegEnds_NonXtal_Prot#'!A:AL,10,FALSE)+7,1)</f>
        <v>L</v>
      </c>
      <c r="Y172" s="49" t="str">
        <f>MID(VLOOKUP($A172,Seqs!$A:$B,2,FALSE),VLOOKUP($A172,'SegEnds_NonXtal_Prot#'!A:AL,10,FALSE)+8,1)</f>
        <v>P</v>
      </c>
      <c r="Z172" s="49" t="str">
        <f>MID(VLOOKUP($A172,Seqs!$A:$B,2,FALSE),VLOOKUP($A172,'SegEnds_NonXtal_Prot#'!A:AL,10,FALSE)+9,1)</f>
        <v>F</v>
      </c>
      <c r="AA172" s="49" t="str">
        <f>MID(VLOOKUP($A172,Seqs!$A:$B,2,FALSE),VLOOKUP($A172,'SegEnds_NonXtal_Prot#'!A:AL,10,FALSE)+10,1)</f>
        <v>L</v>
      </c>
      <c r="AB172" s="28" t="str">
        <f>MID(VLOOKUP($A172,Seqs!$A:$B,2,FALSE),VLOOKUP($A172,'SegEnds_NonXtal_Prot#'!$A:$AL,22,FALSE)+6,1)</f>
        <v>V</v>
      </c>
      <c r="AC172" s="49" t="str">
        <f>MID(VLOOKUP($A172,Seqs!$A:$B,2,FALSE),VLOOKUP($A172,'SegEnds_NonXtal_Prot#'!$A:$AL,22,FALSE)+7,1)</f>
        <v>I</v>
      </c>
      <c r="AD172" s="49" t="str">
        <f>MID(VLOOKUP($A172,Seqs!$A:$B,2,FALSE),VLOOKUP($A172,'SegEnds_NonXtal_Prot#'!$A:$AL,22,FALSE)+8,1)</f>
        <v>L</v>
      </c>
      <c r="AE172" s="49" t="str">
        <f>MID(VLOOKUP($A172,Seqs!$A:$B,2,FALSE),VLOOKUP($A172,'SegEnds_NonXtal_Prot#'!$A:$AL,22,FALSE)+9,1)</f>
        <v>P</v>
      </c>
      <c r="AF172" s="49" t="str">
        <f>MID(VLOOKUP($A172,Seqs!$A:$B,2,FALSE),VLOOKUP($A172,'SegEnds_NonXtal_Prot#'!$A:$AL,22,FALSE)+10,1)</f>
        <v>I</v>
      </c>
      <c r="AG172" s="28" t="str">
        <f>MID(VLOOKUP($A172,Seqs!$A:$B,2,FALSE),VLOOKUP($A172,'SegEnds_NonXtal_Prot#'!$A:$AL,28,FALSE)-4,1)</f>
        <v>G</v>
      </c>
      <c r="AH172" s="49" t="str">
        <f>MID(VLOOKUP($A172,Seqs!$A:$B,2,FALSE),VLOOKUP($A172,'SegEnds_NonXtal_Prot#'!$A:$AL,28,FALSE),1)</f>
        <v>P</v>
      </c>
    </row>
    <row r="173" spans="1:34" s="2" customFormat="1" x14ac:dyDescent="0.2">
      <c r="A173" s="2" t="s">
        <v>385</v>
      </c>
      <c r="B173" s="2" t="str">
        <f>LOWER(VLOOKUP(A173,Xtal_Templ!A:B,2,FALSE))</f>
        <v>oprk_human</v>
      </c>
      <c r="C173" s="2" t="str">
        <f>VLOOKUP(A173,Classification!A:D,2,FALSE)</f>
        <v>A</v>
      </c>
      <c r="D173" s="2" t="str">
        <f>IF(ISERROR(MATCH(A173,'SegEnds_Xtal_Prot#'!B:B, 0)), "NoXtal", "Xtal")</f>
        <v>NoXtal</v>
      </c>
      <c r="H173" s="4"/>
      <c r="N173" s="2" t="s">
        <v>14</v>
      </c>
      <c r="R173" s="2" t="s">
        <v>9</v>
      </c>
      <c r="T173" s="4" t="s">
        <v>12</v>
      </c>
      <c r="V173" s="28" t="str">
        <f>MID(VLOOKUP($A173,Seqs!$A:$B,2,FALSE),VLOOKUP($A173,'SegEnds_NonXtal_Prot#'!A:AL,10,FALSE),1)</f>
        <v>D</v>
      </c>
      <c r="W173" s="49" t="str">
        <f>MID(VLOOKUP($A173,Seqs!$A:$B,2,FALSE),VLOOKUP($A173,'SegEnds_NonXtal_Prot#'!A:AL,10,FALSE)+6,1)</f>
        <v>G</v>
      </c>
      <c r="X173" s="49" t="str">
        <f>MID(VLOOKUP($A173,Seqs!$A:$B,2,FALSE),VLOOKUP($A173,'SegEnds_NonXtal_Prot#'!A:AL,10,FALSE)+7,1)</f>
        <v>L</v>
      </c>
      <c r="Y173" s="49" t="str">
        <f>MID(VLOOKUP($A173,Seqs!$A:$B,2,FALSE),VLOOKUP($A173,'SegEnds_NonXtal_Prot#'!A:AL,10,FALSE)+8,1)</f>
        <v>P</v>
      </c>
      <c r="Z173" s="49" t="str">
        <f>MID(VLOOKUP($A173,Seqs!$A:$B,2,FALSE),VLOOKUP($A173,'SegEnds_NonXtal_Prot#'!A:AL,10,FALSE)+9,1)</f>
        <v>F</v>
      </c>
      <c r="AA173" s="49" t="str">
        <f>MID(VLOOKUP($A173,Seqs!$A:$B,2,FALSE),VLOOKUP($A173,'SegEnds_NonXtal_Prot#'!A:AL,10,FALSE)+10,1)</f>
        <v>L</v>
      </c>
      <c r="AB173" s="28" t="str">
        <f>MID(VLOOKUP($A173,Seqs!$A:$B,2,FALSE),VLOOKUP($A173,'SegEnds_NonXtal_Prot#'!$A:$AL,22,FALSE)+6,1)</f>
        <v>M</v>
      </c>
      <c r="AC173" s="49" t="str">
        <f>MID(VLOOKUP($A173,Seqs!$A:$B,2,FALSE),VLOOKUP($A173,'SegEnds_NonXtal_Prot#'!$A:$AL,22,FALSE)+7,1)</f>
        <v>S</v>
      </c>
      <c r="AD173" s="49" t="str">
        <f>MID(VLOOKUP($A173,Seqs!$A:$B,2,FALSE),VLOOKUP($A173,'SegEnds_NonXtal_Prot#'!$A:$AL,22,FALSE)+8,1)</f>
        <v>L</v>
      </c>
      <c r="AE173" s="49" t="str">
        <f>MID(VLOOKUP($A173,Seqs!$A:$B,2,FALSE),VLOOKUP($A173,'SegEnds_NonXtal_Prot#'!$A:$AL,22,FALSE)+9,1)</f>
        <v>P</v>
      </c>
      <c r="AF173" s="49" t="str">
        <f>MID(VLOOKUP($A173,Seqs!$A:$B,2,FALSE),VLOOKUP($A173,'SegEnds_NonXtal_Prot#'!$A:$AL,22,FALSE)+10,1)</f>
        <v>L</v>
      </c>
      <c r="AG173" s="28" t="str">
        <f>MID(VLOOKUP($A173,Seqs!$A:$B,2,FALSE),VLOOKUP($A173,'SegEnds_NonXtal_Prot#'!$A:$AL,28,FALSE)-4,1)</f>
        <v>G</v>
      </c>
      <c r="AH173" s="49" t="str">
        <f>MID(VLOOKUP($A173,Seqs!$A:$B,2,FALSE),VLOOKUP($A173,'SegEnds_NonXtal_Prot#'!$A:$AL,28,FALSE),1)</f>
        <v>P</v>
      </c>
    </row>
    <row r="174" spans="1:34" s="2" customFormat="1" x14ac:dyDescent="0.2">
      <c r="A174" s="2" t="s">
        <v>397</v>
      </c>
      <c r="B174" s="2" t="str">
        <f>LOWER(VLOOKUP(A174,Xtal_Templ!A:B,2,FALSE))</f>
        <v>ox2r_human</v>
      </c>
      <c r="C174" s="2" t="str">
        <f>VLOOKUP(A174,Classification!A:D,2,FALSE)</f>
        <v>A</v>
      </c>
      <c r="D174" s="2" t="str">
        <f>IF(ISERROR(MATCH(A174,'SegEnds_Xtal_Prot#'!B:B, 0)), "NoXtal", "Xtal")</f>
        <v>NoXtal</v>
      </c>
      <c r="H174" s="4"/>
      <c r="N174" s="2" t="s">
        <v>14</v>
      </c>
      <c r="R174" s="2" t="s">
        <v>9</v>
      </c>
      <c r="T174" s="4" t="s">
        <v>12</v>
      </c>
      <c r="V174" s="28" t="str">
        <f>MID(VLOOKUP($A174,Seqs!$A:$B,2,FALSE),VLOOKUP($A174,'SegEnds_NonXtal_Prot#'!A:AL,10,FALSE),1)</f>
        <v>D</v>
      </c>
      <c r="W174" s="49" t="str">
        <f>MID(VLOOKUP($A174,Seqs!$A:$B,2,FALSE),VLOOKUP($A174,'SegEnds_NonXtal_Prot#'!A:AL,10,FALSE)+6,1)</f>
        <v>F</v>
      </c>
      <c r="X174" s="49" t="str">
        <f>MID(VLOOKUP($A174,Seqs!$A:$B,2,FALSE),VLOOKUP($A174,'SegEnds_NonXtal_Prot#'!A:AL,10,FALSE)+7,1)</f>
        <v>Q</v>
      </c>
      <c r="Y174" s="49" t="str">
        <f>MID(VLOOKUP($A174,Seqs!$A:$B,2,FALSE),VLOOKUP($A174,'SegEnds_NonXtal_Prot#'!A:AL,10,FALSE)+8,1)</f>
        <v>V</v>
      </c>
      <c r="Z174" s="49" t="str">
        <f>MID(VLOOKUP($A174,Seqs!$A:$B,2,FALSE),VLOOKUP($A174,'SegEnds_NonXtal_Prot#'!A:AL,10,FALSE)+9,1)</f>
        <v>L</v>
      </c>
      <c r="AA174" s="49" t="str">
        <f>MID(VLOOKUP($A174,Seqs!$A:$B,2,FALSE),VLOOKUP($A174,'SegEnds_NonXtal_Prot#'!A:AL,10,FALSE)+10,1)</f>
        <v>P</v>
      </c>
      <c r="AB174" s="28" t="str">
        <f>MID(VLOOKUP($A174,Seqs!$A:$B,2,FALSE),VLOOKUP($A174,'SegEnds_NonXtal_Prot#'!$A:$AL,22,FALSE)+6,1)</f>
        <v>L</v>
      </c>
      <c r="AC174" s="49" t="str">
        <f>MID(VLOOKUP($A174,Seqs!$A:$B,2,FALSE),VLOOKUP($A174,'SegEnds_NonXtal_Prot#'!$A:$AL,22,FALSE)+7,1)</f>
        <v>S</v>
      </c>
      <c r="AD174" s="49" t="str">
        <f>MID(VLOOKUP($A174,Seqs!$A:$B,2,FALSE),VLOOKUP($A174,'SegEnds_NonXtal_Prot#'!$A:$AL,22,FALSE)+8,1)</f>
        <v>T</v>
      </c>
      <c r="AE174" s="49" t="str">
        <f>MID(VLOOKUP($A174,Seqs!$A:$B,2,FALSE),VLOOKUP($A174,'SegEnds_NonXtal_Prot#'!$A:$AL,22,FALSE)+9,1)</f>
        <v>P</v>
      </c>
      <c r="AF174" s="49" t="str">
        <f>MID(VLOOKUP($A174,Seqs!$A:$B,2,FALSE),VLOOKUP($A174,'SegEnds_NonXtal_Prot#'!$A:$AL,22,FALSE)+10,1)</f>
        <v>Q</v>
      </c>
      <c r="AG174" s="28" t="str">
        <f>MID(VLOOKUP($A174,Seqs!$A:$B,2,FALSE),VLOOKUP($A174,'SegEnds_NonXtal_Prot#'!$A:$AL,28,FALSE)-4,1)</f>
        <v>I</v>
      </c>
      <c r="AH174" s="49" t="str">
        <f>MID(VLOOKUP($A174,Seqs!$A:$B,2,FALSE),VLOOKUP($A174,'SegEnds_NonXtal_Prot#'!$A:$AL,28,FALSE),1)</f>
        <v>P</v>
      </c>
    </row>
    <row r="175" spans="1:34" s="2" customFormat="1" x14ac:dyDescent="0.2">
      <c r="A175" s="2" t="s">
        <v>217</v>
      </c>
      <c r="B175" s="2" t="str">
        <f>LOWER(VLOOKUP(A175,Xtal_Templ!A:B,2,FALSE))</f>
        <v>hrh1_human</v>
      </c>
      <c r="C175" s="2" t="str">
        <f>VLOOKUP(A175,Classification!A:D,2,FALSE)</f>
        <v>A</v>
      </c>
      <c r="D175" s="2" t="str">
        <f>IF(ISERROR(MATCH(A175,'SegEnds_Xtal_Prot#'!B:B, 0)), "NoXtal", "Xtal")</f>
        <v>NoXtal</v>
      </c>
      <c r="H175" s="4"/>
      <c r="N175" s="2" t="s">
        <v>14</v>
      </c>
      <c r="T175" s="4" t="s">
        <v>12</v>
      </c>
      <c r="V175" s="28" t="str">
        <f>MID(VLOOKUP($A175,Seqs!$A:$B,2,FALSE),VLOOKUP($A175,'SegEnds_NonXtal_Prot#'!A:AL,10,FALSE),1)</f>
        <v>H</v>
      </c>
      <c r="W175" s="49" t="str">
        <f>MID(VLOOKUP($A175,Seqs!$A:$B,2,FALSE),VLOOKUP($A175,'SegEnds_NonXtal_Prot#'!A:AL,10,FALSE)+6,1)</f>
        <v>T</v>
      </c>
      <c r="X175" s="49" t="str">
        <f>MID(VLOOKUP($A175,Seqs!$A:$B,2,FALSE),VLOOKUP($A175,'SegEnds_NonXtal_Prot#'!A:AL,10,FALSE)+7,1)</f>
        <v>V</v>
      </c>
      <c r="Y175" s="49" t="str">
        <f>MID(VLOOKUP($A175,Seqs!$A:$B,2,FALSE),VLOOKUP($A175,'SegEnds_NonXtal_Prot#'!A:AL,10,FALSE)+8,1)</f>
        <v>P</v>
      </c>
      <c r="Z175" s="49" t="str">
        <f>MID(VLOOKUP($A175,Seqs!$A:$B,2,FALSE),VLOOKUP($A175,'SegEnds_NonXtal_Prot#'!A:AL,10,FALSE)+9,1)</f>
        <v>F</v>
      </c>
      <c r="AA175" s="49" t="str">
        <f>MID(VLOOKUP($A175,Seqs!$A:$B,2,FALSE),VLOOKUP($A175,'SegEnds_NonXtal_Prot#'!A:AL,10,FALSE)+10,1)</f>
        <v>R</v>
      </c>
      <c r="AB175" s="28" t="str">
        <f>MID(VLOOKUP($A175,Seqs!$A:$B,2,FALSE),VLOOKUP($A175,'SegEnds_NonXtal_Prot#'!$A:$AL,22,FALSE)+6,1)</f>
        <v>I</v>
      </c>
      <c r="AC175" s="49" t="str">
        <f>MID(VLOOKUP($A175,Seqs!$A:$B,2,FALSE),VLOOKUP($A175,'SegEnds_NonXtal_Prot#'!$A:$AL,22,FALSE)+7,1)</f>
        <v>V</v>
      </c>
      <c r="AD175" s="49" t="str">
        <f>MID(VLOOKUP($A175,Seqs!$A:$B,2,FALSE),VLOOKUP($A175,'SegEnds_NonXtal_Prot#'!$A:$AL,22,FALSE)+8,1)</f>
        <v>V</v>
      </c>
      <c r="AE175" s="49" t="str">
        <f>MID(VLOOKUP($A175,Seqs!$A:$B,2,FALSE),VLOOKUP($A175,'SegEnds_NonXtal_Prot#'!$A:$AL,22,FALSE)+9,1)</f>
        <v>P</v>
      </c>
      <c r="AF175" s="49" t="str">
        <f>MID(VLOOKUP($A175,Seqs!$A:$B,2,FALSE),VLOOKUP($A175,'SegEnds_NonXtal_Prot#'!$A:$AL,22,FALSE)+10,1)</f>
        <v>L</v>
      </c>
      <c r="AG175" s="28" t="str">
        <f>MID(VLOOKUP($A175,Seqs!$A:$B,2,FALSE),VLOOKUP($A175,'SegEnds_NonXtal_Prot#'!$A:$AL,28,FALSE)-4,1)</f>
        <v>V</v>
      </c>
      <c r="AH175" s="49" t="str">
        <f>MID(VLOOKUP($A175,Seqs!$A:$B,2,FALSE),VLOOKUP($A175,'SegEnds_NonXtal_Prot#'!$A:$AL,28,FALSE),1)</f>
        <v>L</v>
      </c>
    </row>
    <row r="176" spans="1:34" s="2" customFormat="1" x14ac:dyDescent="0.2">
      <c r="A176" s="2" t="s">
        <v>218</v>
      </c>
      <c r="B176" s="2" t="str">
        <f>LOWER(VLOOKUP(A176,Xtal_Templ!A:B,2,FALSE))</f>
        <v>drd2_human</v>
      </c>
      <c r="C176" s="2" t="str">
        <f>VLOOKUP(A176,Classification!A:D,2,FALSE)</f>
        <v>A</v>
      </c>
      <c r="D176" s="2" t="str">
        <f>IF(ISERROR(MATCH(A176,'SegEnds_Xtal_Prot#'!B:B, 0)), "NoXtal", "Xtal")</f>
        <v>NoXtal</v>
      </c>
      <c r="H176" s="4"/>
      <c r="R176" s="2" t="s">
        <v>9</v>
      </c>
      <c r="T176" s="4" t="s">
        <v>12</v>
      </c>
      <c r="V176" s="28" t="str">
        <f>MID(VLOOKUP($A176,Seqs!$A:$B,2,FALSE),VLOOKUP($A176,'SegEnds_NonXtal_Prot#'!A:AL,10,FALSE),1)</f>
        <v>D</v>
      </c>
      <c r="W176" s="49" t="str">
        <f>MID(VLOOKUP($A176,Seqs!$A:$B,2,FALSE),VLOOKUP($A176,'SegEnds_NonXtal_Prot#'!A:AL,10,FALSE)+6,1)</f>
        <v>V</v>
      </c>
      <c r="X176" s="49" t="str">
        <f>MID(VLOOKUP($A176,Seqs!$A:$B,2,FALSE),VLOOKUP($A176,'SegEnds_NonXtal_Prot#'!A:AL,10,FALSE)+7,1)</f>
        <v>I</v>
      </c>
      <c r="Y176" s="49" t="str">
        <f>MID(VLOOKUP($A176,Seqs!$A:$B,2,FALSE),VLOOKUP($A176,'SegEnds_NonXtal_Prot#'!A:AL,10,FALSE)+8,1)</f>
        <v>V</v>
      </c>
      <c r="Z176" s="49" t="str">
        <f>MID(VLOOKUP($A176,Seqs!$A:$B,2,FALSE),VLOOKUP($A176,'SegEnds_NonXtal_Prot#'!A:AL,10,FALSE)+9,1)</f>
        <v>F</v>
      </c>
      <c r="AA176" s="49" t="str">
        <f>MID(VLOOKUP($A176,Seqs!$A:$B,2,FALSE),VLOOKUP($A176,'SegEnds_NonXtal_Prot#'!A:AL,10,FALSE)+10,1)</f>
        <v>A</v>
      </c>
      <c r="AB176" s="28" t="str">
        <f>MID(VLOOKUP($A176,Seqs!$A:$B,2,FALSE),VLOOKUP($A176,'SegEnds_NonXtal_Prot#'!$A:$AL,22,FALSE)+6,1)</f>
        <v>L</v>
      </c>
      <c r="AC176" s="49" t="str">
        <f>MID(VLOOKUP($A176,Seqs!$A:$B,2,FALSE),VLOOKUP($A176,'SegEnds_NonXtal_Prot#'!$A:$AL,22,FALSE)+7,1)</f>
        <v>T</v>
      </c>
      <c r="AD176" s="49" t="str">
        <f>MID(VLOOKUP($A176,Seqs!$A:$B,2,FALSE),VLOOKUP($A176,'SegEnds_NonXtal_Prot#'!$A:$AL,22,FALSE)+8,1)</f>
        <v>G</v>
      </c>
      <c r="AE176" s="49" t="str">
        <f>MID(VLOOKUP($A176,Seqs!$A:$B,2,FALSE),VLOOKUP($A176,'SegEnds_NonXtal_Prot#'!$A:$AL,22,FALSE)+9,1)</f>
        <v>I</v>
      </c>
      <c r="AF176" s="49" t="str">
        <f>MID(VLOOKUP($A176,Seqs!$A:$B,2,FALSE),VLOOKUP($A176,'SegEnds_NonXtal_Prot#'!$A:$AL,22,FALSE)+10,1)</f>
        <v>P</v>
      </c>
      <c r="AG176" s="28" t="str">
        <f>MID(VLOOKUP($A176,Seqs!$A:$B,2,FALSE),VLOOKUP($A176,'SegEnds_NonXtal_Prot#'!$A:$AL,28,FALSE)-4,1)</f>
        <v>V</v>
      </c>
      <c r="AH176" s="49" t="str">
        <f>MID(VLOOKUP($A176,Seqs!$A:$B,2,FALSE),VLOOKUP($A176,'SegEnds_NonXtal_Prot#'!$A:$AL,28,FALSE),1)</f>
        <v>P</v>
      </c>
    </row>
    <row r="177" spans="1:34" s="2" customFormat="1" x14ac:dyDescent="0.2">
      <c r="A177" s="2" t="s">
        <v>282</v>
      </c>
      <c r="B177" s="2" t="str">
        <f>LOWER(VLOOKUP(A177,Xtal_Templ!A:B,2,FALSE))</f>
        <v>oprk_human</v>
      </c>
      <c r="C177" s="2" t="str">
        <f>VLOOKUP(A177,Classification!A:D,2,FALSE)</f>
        <v>A</v>
      </c>
      <c r="D177" s="2" t="str">
        <f>IF(ISERROR(MATCH(A177,'SegEnds_Xtal_Prot#'!B:B, 0)), "NoXtal", "Xtal")</f>
        <v>NoXtal</v>
      </c>
      <c r="G177" s="2" t="s">
        <v>5</v>
      </c>
      <c r="H177" s="4"/>
      <c r="N177" s="2" t="s">
        <v>14</v>
      </c>
      <c r="R177" s="2" t="s">
        <v>9</v>
      </c>
      <c r="T177" s="4" t="s">
        <v>12</v>
      </c>
      <c r="V177" s="28" t="str">
        <f>MID(VLOOKUP($A177,Seqs!$A:$B,2,FALSE),VLOOKUP($A177,'SegEnds_NonXtal_Prot#'!A:AL,10,FALSE),1)</f>
        <v>D</v>
      </c>
      <c r="W177" s="49" t="str">
        <f>MID(VLOOKUP($A177,Seqs!$A:$B,2,FALSE),VLOOKUP($A177,'SegEnds_NonXtal_Prot#'!A:AL,10,FALSE)+6,1)</f>
        <v>C</v>
      </c>
      <c r="X177" s="49" t="str">
        <f>MID(VLOOKUP($A177,Seqs!$A:$B,2,FALSE),VLOOKUP($A177,'SegEnds_NonXtal_Prot#'!A:AL,10,FALSE)+7,1)</f>
        <v>C</v>
      </c>
      <c r="Y177" s="49" t="str">
        <f>MID(VLOOKUP($A177,Seqs!$A:$B,2,FALSE),VLOOKUP($A177,'SegEnds_NonXtal_Prot#'!A:AL,10,FALSE)+8,1)</f>
        <v>V</v>
      </c>
      <c r="Z177" s="49" t="str">
        <f>MID(VLOOKUP($A177,Seqs!$A:$B,2,FALSE),VLOOKUP($A177,'SegEnds_NonXtal_Prot#'!A:AL,10,FALSE)+9,1)</f>
        <v>P</v>
      </c>
      <c r="AA177" s="49" t="str">
        <f>MID(VLOOKUP($A177,Seqs!$A:$B,2,FALSE),VLOOKUP($A177,'SegEnds_NonXtal_Prot#'!A:AL,10,FALSE)+10,1)</f>
        <v>F</v>
      </c>
      <c r="AB177" s="28" t="str">
        <f>MID(VLOOKUP($A177,Seqs!$A:$B,2,FALSE),VLOOKUP($A177,'SegEnds_NonXtal_Prot#'!$A:$AL,22,FALSE)+6,1)</f>
        <v>V</v>
      </c>
      <c r="AC177" s="49" t="str">
        <f>MID(VLOOKUP($A177,Seqs!$A:$B,2,FALSE),VLOOKUP($A177,'SegEnds_NonXtal_Prot#'!$A:$AL,22,FALSE)+7,1)</f>
        <v>S</v>
      </c>
      <c r="AD177" s="49" t="str">
        <f>MID(VLOOKUP($A177,Seqs!$A:$B,2,FALSE),VLOOKUP($A177,'SegEnds_NonXtal_Prot#'!$A:$AL,22,FALSE)+8,1)</f>
        <v>A</v>
      </c>
      <c r="AE177" s="49" t="str">
        <f>MID(VLOOKUP($A177,Seqs!$A:$B,2,FALSE),VLOOKUP($A177,'SegEnds_NonXtal_Prot#'!$A:$AL,22,FALSE)+9,1)</f>
        <v>P</v>
      </c>
      <c r="AF177" s="49" t="str">
        <f>MID(VLOOKUP($A177,Seqs!$A:$B,2,FALSE),VLOOKUP($A177,'SegEnds_NonXtal_Prot#'!$A:$AL,22,FALSE)+10,1)</f>
        <v>V</v>
      </c>
      <c r="AG177" s="28" t="str">
        <f>MID(VLOOKUP($A177,Seqs!$A:$B,2,FALSE),VLOOKUP($A177,'SegEnds_NonXtal_Prot#'!$A:$AL,28,FALSE)-4,1)</f>
        <v>L</v>
      </c>
      <c r="AH177" s="49" t="str">
        <f>MID(VLOOKUP($A177,Seqs!$A:$B,2,FALSE),VLOOKUP($A177,'SegEnds_NonXtal_Prot#'!$A:$AL,28,FALSE),1)</f>
        <v>P</v>
      </c>
    </row>
    <row r="178" spans="1:34" s="2" customFormat="1" x14ac:dyDescent="0.2">
      <c r="A178" s="2" t="s">
        <v>299</v>
      </c>
      <c r="B178" s="2" t="str">
        <f>LOWER(VLOOKUP(A178,Xtal_Templ!A:B,2,FALSE))</f>
        <v>oprk_human</v>
      </c>
      <c r="C178" s="2" t="str">
        <f>VLOOKUP(A178,Classification!A:D,2,FALSE)</f>
        <v>A</v>
      </c>
      <c r="D178" s="2" t="str">
        <f>IF(ISERROR(MATCH(A178,'SegEnds_Xtal_Prot#'!B:B, 0)), "NoXtal", "Xtal")</f>
        <v>NoXtal</v>
      </c>
      <c r="H178" s="4"/>
      <c r="N178" s="2" t="s">
        <v>14</v>
      </c>
      <c r="R178" s="2" t="s">
        <v>9</v>
      </c>
      <c r="T178" s="4" t="s">
        <v>12</v>
      </c>
      <c r="V178" s="28" t="str">
        <f>MID(VLOOKUP($A178,Seqs!$A:$B,2,FALSE),VLOOKUP($A178,'SegEnds_NonXtal_Prot#'!A:AL,10,FALSE),1)</f>
        <v>D</v>
      </c>
      <c r="W178" s="49" t="str">
        <f>MID(VLOOKUP($A178,Seqs!$A:$B,2,FALSE),VLOOKUP($A178,'SegEnds_NonXtal_Prot#'!A:AL,10,FALSE)+6,1)</f>
        <v>G</v>
      </c>
      <c r="X178" s="49" t="str">
        <f>MID(VLOOKUP($A178,Seqs!$A:$B,2,FALSE),VLOOKUP($A178,'SegEnds_NonXtal_Prot#'!A:AL,10,FALSE)+7,1)</f>
        <v>M</v>
      </c>
      <c r="Y178" s="49" t="str">
        <f>MID(VLOOKUP($A178,Seqs!$A:$B,2,FALSE),VLOOKUP($A178,'SegEnds_NonXtal_Prot#'!A:AL,10,FALSE)+8,1)</f>
        <v>P</v>
      </c>
      <c r="Z178" s="49" t="str">
        <f>MID(VLOOKUP($A178,Seqs!$A:$B,2,FALSE),VLOOKUP($A178,'SegEnds_NonXtal_Prot#'!A:AL,10,FALSE)+9,1)</f>
        <v>F</v>
      </c>
      <c r="AA178" s="49" t="str">
        <f>MID(VLOOKUP($A178,Seqs!$A:$B,2,FALSE),VLOOKUP($A178,'SegEnds_NonXtal_Prot#'!A:AL,10,FALSE)+10,1)</f>
        <v>M</v>
      </c>
      <c r="AB178" s="28" t="str">
        <f>MID(VLOOKUP($A178,Seqs!$A:$B,2,FALSE),VLOOKUP($A178,'SegEnds_NonXtal_Prot#'!$A:$AL,22,FALSE)+6,1)</f>
        <v>S</v>
      </c>
      <c r="AC178" s="49" t="str">
        <f>MID(VLOOKUP($A178,Seqs!$A:$B,2,FALSE),VLOOKUP($A178,'SegEnds_NonXtal_Prot#'!$A:$AL,22,FALSE)+7,1)</f>
        <v>I</v>
      </c>
      <c r="AD178" s="49" t="str">
        <f>MID(VLOOKUP($A178,Seqs!$A:$B,2,FALSE),VLOOKUP($A178,'SegEnds_NonXtal_Prot#'!$A:$AL,22,FALSE)+8,1)</f>
        <v>T</v>
      </c>
      <c r="AE178" s="49" t="str">
        <f>MID(VLOOKUP($A178,Seqs!$A:$B,2,FALSE),VLOOKUP($A178,'SegEnds_NonXtal_Prot#'!$A:$AL,22,FALSE)+9,1)</f>
        <v>P</v>
      </c>
      <c r="AF178" s="49" t="str">
        <f>MID(VLOOKUP($A178,Seqs!$A:$B,2,FALSE),VLOOKUP($A178,'SegEnds_NonXtal_Prot#'!$A:$AL,22,FALSE)+10,1)</f>
        <v>V</v>
      </c>
      <c r="AG178" s="28" t="str">
        <f>MID(VLOOKUP($A178,Seqs!$A:$B,2,FALSE),VLOOKUP($A178,'SegEnds_NonXtal_Prot#'!$A:$AL,28,FALSE)-4,1)</f>
        <v>A</v>
      </c>
      <c r="AH178" s="49" t="str">
        <f>MID(VLOOKUP($A178,Seqs!$A:$B,2,FALSE),VLOOKUP($A178,'SegEnds_NonXtal_Prot#'!$A:$AL,28,FALSE),1)</f>
        <v>P</v>
      </c>
    </row>
    <row r="179" spans="1:34" s="2" customFormat="1" x14ac:dyDescent="0.2">
      <c r="A179" s="2" t="s">
        <v>320</v>
      </c>
      <c r="B179" s="2" t="str">
        <f>LOWER(VLOOKUP(A179,Xtal_Templ!A:B,2,FALSE))</f>
        <v>oprk_human</v>
      </c>
      <c r="C179" s="2" t="str">
        <f>VLOOKUP(A179,Classification!A:D,2,FALSE)</f>
        <v>A</v>
      </c>
      <c r="D179" s="2" t="str">
        <f>IF(ISERROR(MATCH(A179,'SegEnds_Xtal_Prot#'!B:B, 0)), "NoXtal", "Xtal")</f>
        <v>NoXtal</v>
      </c>
      <c r="H179" s="4"/>
      <c r="N179" s="2" t="s">
        <v>14</v>
      </c>
      <c r="R179" s="2" t="s">
        <v>9</v>
      </c>
      <c r="T179" s="4" t="s">
        <v>12</v>
      </c>
      <c r="V179" s="28" t="str">
        <f>MID(VLOOKUP($A179,Seqs!$A:$B,2,FALSE),VLOOKUP($A179,'SegEnds_NonXtal_Prot#'!A:AL,10,FALSE),1)</f>
        <v>D</v>
      </c>
      <c r="W179" s="49" t="str">
        <f>MID(VLOOKUP($A179,Seqs!$A:$B,2,FALSE),VLOOKUP($A179,'SegEnds_NonXtal_Prot#'!A:AL,10,FALSE)+6,1)</f>
        <v>V</v>
      </c>
      <c r="X179" s="49" t="str">
        <f>MID(VLOOKUP($A179,Seqs!$A:$B,2,FALSE),VLOOKUP($A179,'SegEnds_NonXtal_Prot#'!A:AL,10,FALSE)+7,1)</f>
        <v>L</v>
      </c>
      <c r="Y179" s="49" t="str">
        <f>MID(VLOOKUP($A179,Seqs!$A:$B,2,FALSE),VLOOKUP($A179,'SegEnds_NonXtal_Prot#'!A:AL,10,FALSE)+8,1)</f>
        <v>P</v>
      </c>
      <c r="Z179" s="49" t="str">
        <f>MID(VLOOKUP($A179,Seqs!$A:$B,2,FALSE),VLOOKUP($A179,'SegEnds_NonXtal_Prot#'!A:AL,10,FALSE)+9,1)</f>
        <v>I</v>
      </c>
      <c r="AA179" s="49" t="str">
        <f>MID(VLOOKUP($A179,Seqs!$A:$B,2,FALSE),VLOOKUP($A179,'SegEnds_NonXtal_Prot#'!A:AL,10,FALSE)+10,1)</f>
        <v>N</v>
      </c>
      <c r="AB179" s="28" t="str">
        <f>MID(VLOOKUP($A179,Seqs!$A:$B,2,FALSE),VLOOKUP($A179,'SegEnds_NonXtal_Prot#'!$A:$AL,22,FALSE)+6,1)</f>
        <v>V</v>
      </c>
      <c r="AC179" s="49" t="str">
        <f>MID(VLOOKUP($A179,Seqs!$A:$B,2,FALSE),VLOOKUP($A179,'SegEnds_NonXtal_Prot#'!$A:$AL,22,FALSE)+7,1)</f>
        <v>V</v>
      </c>
      <c r="AD179" s="49" t="str">
        <f>MID(VLOOKUP($A179,Seqs!$A:$B,2,FALSE),VLOOKUP($A179,'SegEnds_NonXtal_Prot#'!$A:$AL,22,FALSE)+8,1)</f>
        <v>L</v>
      </c>
      <c r="AE179" s="49" t="str">
        <f>MID(VLOOKUP($A179,Seqs!$A:$B,2,FALSE),VLOOKUP($A179,'SegEnds_NonXtal_Prot#'!$A:$AL,22,FALSE)+9,1)</f>
        <v>P</v>
      </c>
      <c r="AF179" s="49" t="str">
        <f>MID(VLOOKUP($A179,Seqs!$A:$B,2,FALSE),VLOOKUP($A179,'SegEnds_NonXtal_Prot#'!$A:$AL,22,FALSE)+10,1)</f>
        <v>F</v>
      </c>
      <c r="AG179" s="28" t="str">
        <f>MID(VLOOKUP($A179,Seqs!$A:$B,2,FALSE),VLOOKUP($A179,'SegEnds_NonXtal_Prot#'!$A:$AL,28,FALSE)-4,1)</f>
        <v>G</v>
      </c>
      <c r="AH179" s="49" t="str">
        <f>MID(VLOOKUP($A179,Seqs!$A:$B,2,FALSE),VLOOKUP($A179,'SegEnds_NonXtal_Prot#'!$A:$AL,28,FALSE),1)</f>
        <v>P</v>
      </c>
    </row>
    <row r="180" spans="1:34" s="2" customFormat="1" x14ac:dyDescent="0.2">
      <c r="A180" s="2" t="s">
        <v>1174</v>
      </c>
      <c r="B180" s="2" t="str">
        <f>LOWER(VLOOKUP(A180,Xtal_Templ!A:B,2,FALSE))</f>
        <v>oprx_human</v>
      </c>
      <c r="C180" s="2" t="str">
        <f>VLOOKUP(A180,Classification!A:D,2,FALSE)</f>
        <v>A</v>
      </c>
      <c r="D180" s="2" t="str">
        <f>IF(ISERROR(MATCH(A180,'SegEnds_Xtal_Prot#'!B:B, 0)), "NoXtal", "Xtal")</f>
        <v>Xtal</v>
      </c>
      <c r="H180" s="4"/>
      <c r="R180" s="2" t="s">
        <v>9</v>
      </c>
      <c r="T180" s="4" t="s">
        <v>12</v>
      </c>
      <c r="V180" s="28" t="str">
        <f>MID(VLOOKUP($A180,Seqs!$A:$B,2,FALSE),VLOOKUP($A180,'SegEnds_NonXtal_Prot#'!A:AL,10,FALSE),1)</f>
        <v>D</v>
      </c>
      <c r="W180" s="49" t="str">
        <f>MID(VLOOKUP($A180,Seqs!$A:$B,2,FALSE),VLOOKUP($A180,'SegEnds_NonXtal_Prot#'!A:AL,10,FALSE)+6,1)</f>
        <v>T</v>
      </c>
      <c r="X180" s="49" t="str">
        <f>MID(VLOOKUP($A180,Seqs!$A:$B,2,FALSE),VLOOKUP($A180,'SegEnds_NonXtal_Prot#'!A:AL,10,FALSE)+7,1)</f>
        <v>L</v>
      </c>
      <c r="Y180" s="49" t="str">
        <f>MID(VLOOKUP($A180,Seqs!$A:$B,2,FALSE),VLOOKUP($A180,'SegEnds_NonXtal_Prot#'!A:AL,10,FALSE)+8,1)</f>
        <v>P</v>
      </c>
      <c r="Z180" s="49" t="str">
        <f>MID(VLOOKUP($A180,Seqs!$A:$B,2,FALSE),VLOOKUP($A180,'SegEnds_NonXtal_Prot#'!A:AL,10,FALSE)+9,1)</f>
        <v>F</v>
      </c>
      <c r="AA180" s="49" t="str">
        <f>MID(VLOOKUP($A180,Seqs!$A:$B,2,FALSE),VLOOKUP($A180,'SegEnds_NonXtal_Prot#'!A:AL,10,FALSE)+10,1)</f>
        <v>Q</v>
      </c>
      <c r="AB180" s="28" t="str">
        <f>MID(VLOOKUP($A180,Seqs!$A:$B,2,FALSE),VLOOKUP($A180,'SegEnds_NonXtal_Prot#'!$A:$AL,22,FALSE)+6,1)</f>
        <v>V</v>
      </c>
      <c r="AC180" s="49" t="str">
        <f>MID(VLOOKUP($A180,Seqs!$A:$B,2,FALSE),VLOOKUP($A180,'SegEnds_NonXtal_Prot#'!$A:$AL,22,FALSE)+7,1)</f>
        <v>G</v>
      </c>
      <c r="AD180" s="49" t="str">
        <f>MID(VLOOKUP($A180,Seqs!$A:$B,2,FALSE),VLOOKUP($A180,'SegEnds_NonXtal_Prot#'!$A:$AL,22,FALSE)+8,1)</f>
        <v>V</v>
      </c>
      <c r="AE180" s="49" t="str">
        <f>MID(VLOOKUP($A180,Seqs!$A:$B,2,FALSE),VLOOKUP($A180,'SegEnds_NonXtal_Prot#'!$A:$AL,22,FALSE)+9,1)</f>
        <v>P</v>
      </c>
      <c r="AF180" s="49" t="str">
        <f>MID(VLOOKUP($A180,Seqs!$A:$B,2,FALSE),VLOOKUP($A180,'SegEnds_NonXtal_Prot#'!$A:$AL,22,FALSE)+10,1)</f>
        <v>V</v>
      </c>
      <c r="AG180" s="28" t="str">
        <f>MID(VLOOKUP($A180,Seqs!$A:$B,2,FALSE),VLOOKUP($A180,'SegEnds_NonXtal_Prot#'!$A:$AL,28,FALSE)-4,1)</f>
        <v>S</v>
      </c>
      <c r="AH180" s="49" t="str">
        <f>MID(VLOOKUP($A180,Seqs!$A:$B,2,FALSE),VLOOKUP($A180,'SegEnds_NonXtal_Prot#'!$A:$AL,28,FALSE),1)</f>
        <v>P</v>
      </c>
    </row>
    <row r="181" spans="1:34" s="2" customFormat="1" x14ac:dyDescent="0.2">
      <c r="A181" s="2" t="s">
        <v>383</v>
      </c>
      <c r="B181" s="2" t="str">
        <f>LOWER(VLOOKUP(A181,Xtal_Templ!A:B,2,FALSE))</f>
        <v>oprk_human</v>
      </c>
      <c r="C181" s="2" t="str">
        <f>VLOOKUP(A181,Classification!A:D,2,FALSE)</f>
        <v>A</v>
      </c>
      <c r="D181" s="2" t="str">
        <f>IF(ISERROR(MATCH(A181,'SegEnds_Xtal_Prot#'!B:B, 0)), "NoXtal", "Xtal")</f>
        <v>NoXtal</v>
      </c>
      <c r="H181" s="4"/>
      <c r="N181" s="2" t="s">
        <v>14</v>
      </c>
      <c r="R181" s="2" t="s">
        <v>9</v>
      </c>
      <c r="T181" s="4" t="s">
        <v>12</v>
      </c>
      <c r="V181" s="28" t="str">
        <f>MID(VLOOKUP($A181,Seqs!$A:$B,2,FALSE),VLOOKUP($A181,'SegEnds_NonXtal_Prot#'!A:AL,10,FALSE),1)</f>
        <v>D</v>
      </c>
      <c r="W181" s="49" t="str">
        <f>MID(VLOOKUP($A181,Seqs!$A:$B,2,FALSE),VLOOKUP($A181,'SegEnds_NonXtal_Prot#'!A:AL,10,FALSE)+6,1)</f>
        <v>G</v>
      </c>
      <c r="X181" s="49" t="str">
        <f>MID(VLOOKUP($A181,Seqs!$A:$B,2,FALSE),VLOOKUP($A181,'SegEnds_NonXtal_Prot#'!A:AL,10,FALSE)+7,1)</f>
        <v>L</v>
      </c>
      <c r="Y181" s="49" t="str">
        <f>MID(VLOOKUP($A181,Seqs!$A:$B,2,FALSE),VLOOKUP($A181,'SegEnds_NonXtal_Prot#'!A:AL,10,FALSE)+8,1)</f>
        <v>P</v>
      </c>
      <c r="Z181" s="49" t="str">
        <f>MID(VLOOKUP($A181,Seqs!$A:$B,2,FALSE),VLOOKUP($A181,'SegEnds_NonXtal_Prot#'!A:AL,10,FALSE)+9,1)</f>
        <v>F</v>
      </c>
      <c r="AA181" s="49" t="str">
        <f>MID(VLOOKUP($A181,Seqs!$A:$B,2,FALSE),VLOOKUP($A181,'SegEnds_NonXtal_Prot#'!A:AL,10,FALSE)+10,1)</f>
        <v>L</v>
      </c>
      <c r="AB181" s="28" t="str">
        <f>MID(VLOOKUP($A181,Seqs!$A:$B,2,FALSE),VLOOKUP($A181,'SegEnds_NonXtal_Prot#'!$A:$AL,22,FALSE)+6,1)</f>
        <v>V</v>
      </c>
      <c r="AC181" s="49" t="str">
        <f>MID(VLOOKUP($A181,Seqs!$A:$B,2,FALSE),VLOOKUP($A181,'SegEnds_NonXtal_Prot#'!$A:$AL,22,FALSE)+7,1)</f>
        <v>V</v>
      </c>
      <c r="AD181" s="49" t="str">
        <f>MID(VLOOKUP($A181,Seqs!$A:$B,2,FALSE),VLOOKUP($A181,'SegEnds_NonXtal_Prot#'!$A:$AL,22,FALSE)+8,1)</f>
        <v>L</v>
      </c>
      <c r="AE181" s="49" t="str">
        <f>MID(VLOOKUP($A181,Seqs!$A:$B,2,FALSE),VLOOKUP($A181,'SegEnds_NonXtal_Prot#'!$A:$AL,22,FALSE)+9,1)</f>
        <v>P</v>
      </c>
      <c r="AF181" s="49" t="str">
        <f>MID(VLOOKUP($A181,Seqs!$A:$B,2,FALSE),VLOOKUP($A181,'SegEnds_NonXtal_Prot#'!$A:$AL,22,FALSE)+10,1)</f>
        <v>V</v>
      </c>
      <c r="AG181" s="28" t="str">
        <f>MID(VLOOKUP($A181,Seqs!$A:$B,2,FALSE),VLOOKUP($A181,'SegEnds_NonXtal_Prot#'!$A:$AL,28,FALSE)-4,1)</f>
        <v>G</v>
      </c>
      <c r="AH181" s="49" t="str">
        <f>MID(VLOOKUP($A181,Seqs!$A:$B,2,FALSE),VLOOKUP($A181,'SegEnds_NonXtal_Prot#'!$A:$AL,28,FALSE),1)</f>
        <v>P</v>
      </c>
    </row>
    <row r="182" spans="1:34" s="2" customFormat="1" x14ac:dyDescent="0.2">
      <c r="A182" s="2" t="s">
        <v>394</v>
      </c>
      <c r="B182" s="2" t="str">
        <f>LOWER(VLOOKUP(A182,Xtal_Templ!A:B,2,FALSE))</f>
        <v>oprx_human</v>
      </c>
      <c r="C182" s="2" t="str">
        <f>VLOOKUP(A182,Classification!A:D,2,FALSE)</f>
        <v>A</v>
      </c>
      <c r="D182" s="2" t="str">
        <f>IF(ISERROR(MATCH(A182,'SegEnds_Xtal_Prot#'!B:B, 0)), "NoXtal", "Xtal")</f>
        <v>NoXtal</v>
      </c>
      <c r="H182" s="4"/>
      <c r="T182" s="4" t="s">
        <v>12</v>
      </c>
      <c r="V182" s="28" t="str">
        <f>MID(VLOOKUP($A182,Seqs!$A:$B,2,FALSE),VLOOKUP($A182,'SegEnds_NonXtal_Prot#'!A:AL,10,FALSE),1)</f>
        <v>D</v>
      </c>
      <c r="W182" s="49" t="str">
        <f>MID(VLOOKUP($A182,Seqs!$A:$B,2,FALSE),VLOOKUP($A182,'SegEnds_NonXtal_Prot#'!A:AL,10,FALSE)+6,1)</f>
        <v>A</v>
      </c>
      <c r="X182" s="49" t="str">
        <f>MID(VLOOKUP($A182,Seqs!$A:$B,2,FALSE),VLOOKUP($A182,'SegEnds_NonXtal_Prot#'!A:AL,10,FALSE)+7,1)</f>
        <v>A</v>
      </c>
      <c r="Y182" s="49" t="str">
        <f>MID(VLOOKUP($A182,Seqs!$A:$B,2,FALSE),VLOOKUP($A182,'SegEnds_NonXtal_Prot#'!A:AL,10,FALSE)+8,1)</f>
        <v>G</v>
      </c>
      <c r="Z182" s="49" t="str">
        <f>MID(VLOOKUP($A182,Seqs!$A:$B,2,FALSE),VLOOKUP($A182,'SegEnds_NonXtal_Prot#'!A:AL,10,FALSE)+9,1)</f>
        <v>L</v>
      </c>
      <c r="AA182" s="49" t="str">
        <f>MID(VLOOKUP($A182,Seqs!$A:$B,2,FALSE),VLOOKUP($A182,'SegEnds_NonXtal_Prot#'!A:AL,10,FALSE)+10,1)</f>
        <v>P</v>
      </c>
      <c r="AB182" s="28" t="str">
        <f>MID(VLOOKUP($A182,Seqs!$A:$B,2,FALSE),VLOOKUP($A182,'SegEnds_NonXtal_Prot#'!$A:$AL,22,FALSE)+6,1)</f>
        <v>Y</v>
      </c>
      <c r="AC182" s="49" t="str">
        <f>MID(VLOOKUP($A182,Seqs!$A:$B,2,FALSE),VLOOKUP($A182,'SegEnds_NonXtal_Prot#'!$A:$AL,22,FALSE)+7,1)</f>
        <v>C</v>
      </c>
      <c r="AD182" s="49" t="str">
        <f>MID(VLOOKUP($A182,Seqs!$A:$B,2,FALSE),VLOOKUP($A182,'SegEnds_NonXtal_Prot#'!$A:$AL,22,FALSE)+8,1)</f>
        <v>M</v>
      </c>
      <c r="AE182" s="49" t="str">
        <f>MID(VLOOKUP($A182,Seqs!$A:$B,2,FALSE),VLOOKUP($A182,'SegEnds_NonXtal_Prot#'!$A:$AL,22,FALSE)+9,1)</f>
        <v>L</v>
      </c>
      <c r="AF182" s="49" t="str">
        <f>MID(VLOOKUP($A182,Seqs!$A:$B,2,FALSE),VLOOKUP($A182,'SegEnds_NonXtal_Prot#'!$A:$AL,22,FALSE)+10,1)</f>
        <v>W</v>
      </c>
      <c r="AG182" s="28" t="str">
        <f>MID(VLOOKUP($A182,Seqs!$A:$B,2,FALSE),VLOOKUP($A182,'SegEnds_NonXtal_Prot#'!$A:$AL,28,FALSE)-4,1)</f>
        <v>F</v>
      </c>
      <c r="AH182" s="49" t="str">
        <f>MID(VLOOKUP($A182,Seqs!$A:$B,2,FALSE),VLOOKUP($A182,'SegEnds_NonXtal_Prot#'!$A:$AL,28,FALSE),1)</f>
        <v>P</v>
      </c>
    </row>
    <row r="183" spans="1:34" s="2" customFormat="1" x14ac:dyDescent="0.2">
      <c r="A183" s="2" t="s">
        <v>396</v>
      </c>
      <c r="B183" s="2" t="str">
        <f>LOWER(VLOOKUP(A183,Xtal_Templ!A:B,2,FALSE))</f>
        <v>adrb2_human</v>
      </c>
      <c r="C183" s="2" t="str">
        <f>VLOOKUP(A183,Classification!A:D,2,FALSE)</f>
        <v>A</v>
      </c>
      <c r="D183" s="2" t="str">
        <f>IF(ISERROR(MATCH(A183,'SegEnds_Xtal_Prot#'!B:B, 0)), "NoXtal", "Xtal")</f>
        <v>NoXtal</v>
      </c>
      <c r="H183" s="4"/>
      <c r="N183" s="2" t="s">
        <v>14</v>
      </c>
      <c r="R183" s="2" t="s">
        <v>9</v>
      </c>
      <c r="T183" s="4" t="s">
        <v>12</v>
      </c>
      <c r="V183" s="28" t="str">
        <f>MID(VLOOKUP($A183,Seqs!$A:$B,2,FALSE),VLOOKUP($A183,'SegEnds_NonXtal_Prot#'!A:AL,10,FALSE),1)</f>
        <v>D</v>
      </c>
      <c r="W183" s="49" t="str">
        <f>MID(VLOOKUP($A183,Seqs!$A:$B,2,FALSE),VLOOKUP($A183,'SegEnds_NonXtal_Prot#'!A:AL,10,FALSE)+6,1)</f>
        <v>S</v>
      </c>
      <c r="X183" s="49" t="str">
        <f>MID(VLOOKUP($A183,Seqs!$A:$B,2,FALSE),VLOOKUP($A183,'SegEnds_NonXtal_Prot#'!A:AL,10,FALSE)+7,1)</f>
        <v>I</v>
      </c>
      <c r="Y183" s="49" t="str">
        <f>MID(VLOOKUP($A183,Seqs!$A:$B,2,FALSE),VLOOKUP($A183,'SegEnds_NonXtal_Prot#'!A:AL,10,FALSE)+8,1)</f>
        <v>P</v>
      </c>
      <c r="Z183" s="49" t="str">
        <f>MID(VLOOKUP($A183,Seqs!$A:$B,2,FALSE),VLOOKUP($A183,'SegEnds_NonXtal_Prot#'!A:AL,10,FALSE)+9,1)</f>
        <v>F</v>
      </c>
      <c r="AA183" s="49" t="str">
        <f>MID(VLOOKUP($A183,Seqs!$A:$B,2,FALSE),VLOOKUP($A183,'SegEnds_NonXtal_Prot#'!A:AL,10,FALSE)+10,1)</f>
        <v>I</v>
      </c>
      <c r="AB183" s="28" t="str">
        <f>MID(VLOOKUP($A183,Seqs!$A:$B,2,FALSE),VLOOKUP($A183,'SegEnds_NonXtal_Prot#'!$A:$AL,22,FALSE)+6,1)</f>
        <v>L</v>
      </c>
      <c r="AC183" s="49" t="str">
        <f>MID(VLOOKUP($A183,Seqs!$A:$B,2,FALSE),VLOOKUP($A183,'SegEnds_NonXtal_Prot#'!$A:$AL,22,FALSE)+7,1)</f>
        <v>T</v>
      </c>
      <c r="AD183" s="49" t="str">
        <f>MID(VLOOKUP($A183,Seqs!$A:$B,2,FALSE),VLOOKUP($A183,'SegEnds_NonXtal_Prot#'!$A:$AL,22,FALSE)+8,1)</f>
        <v>L</v>
      </c>
      <c r="AE183" s="49" t="str">
        <f>MID(VLOOKUP($A183,Seqs!$A:$B,2,FALSE),VLOOKUP($A183,'SegEnds_NonXtal_Prot#'!$A:$AL,22,FALSE)+9,1)</f>
        <v>P</v>
      </c>
      <c r="AF183" s="49" t="str">
        <f>MID(VLOOKUP($A183,Seqs!$A:$B,2,FALSE),VLOOKUP($A183,'SegEnds_NonXtal_Prot#'!$A:$AL,22,FALSE)+10,1)</f>
        <v>V</v>
      </c>
      <c r="AG183" s="28" t="str">
        <f>MID(VLOOKUP($A183,Seqs!$A:$B,2,FALSE),VLOOKUP($A183,'SegEnds_NonXtal_Prot#'!$A:$AL,28,FALSE)-4,1)</f>
        <v>S</v>
      </c>
      <c r="AH183" s="49" t="str">
        <f>MID(VLOOKUP($A183,Seqs!$A:$B,2,FALSE),VLOOKUP($A183,'SegEnds_NonXtal_Prot#'!$A:$AL,28,FALSE),1)</f>
        <v>P</v>
      </c>
    </row>
    <row r="184" spans="1:34" s="2" customFormat="1" x14ac:dyDescent="0.2">
      <c r="A184" s="2" t="s">
        <v>398</v>
      </c>
      <c r="B184" s="2" t="str">
        <f>LOWER(VLOOKUP(A184,Xtal_Templ!A:B,2,FALSE))</f>
        <v>ntr1_rat</v>
      </c>
      <c r="C184" s="2" t="str">
        <f>VLOOKUP(A184,Classification!A:D,2,FALSE)</f>
        <v>A</v>
      </c>
      <c r="D184" s="2" t="str">
        <f>IF(ISERROR(MATCH(A184,'SegEnds_Xtal_Prot#'!B:B, 0)), "NoXtal", "Xtal")</f>
        <v>NoXtal</v>
      </c>
      <c r="H184" s="4"/>
      <c r="N184" s="2" t="s">
        <v>14</v>
      </c>
      <c r="R184" s="2" t="s">
        <v>9</v>
      </c>
      <c r="T184" s="4" t="s">
        <v>12</v>
      </c>
      <c r="V184" s="28" t="str">
        <f>MID(VLOOKUP($A184,Seqs!$A:$B,2,FALSE),VLOOKUP($A184,'SegEnds_NonXtal_Prot#'!A:AL,10,FALSE),1)</f>
        <v>D</v>
      </c>
      <c r="W184" s="49" t="str">
        <f>MID(VLOOKUP($A184,Seqs!$A:$B,2,FALSE),VLOOKUP($A184,'SegEnds_NonXtal_Prot#'!A:AL,10,FALSE)+6,1)</f>
        <v>F</v>
      </c>
      <c r="X184" s="49" t="str">
        <f>MID(VLOOKUP($A184,Seqs!$A:$B,2,FALSE),VLOOKUP($A184,'SegEnds_NonXtal_Prot#'!A:AL,10,FALSE)+7,1)</f>
        <v>Q</v>
      </c>
      <c r="Y184" s="49" t="str">
        <f>MID(VLOOKUP($A184,Seqs!$A:$B,2,FALSE),VLOOKUP($A184,'SegEnds_NonXtal_Prot#'!A:AL,10,FALSE)+8,1)</f>
        <v>V</v>
      </c>
      <c r="Z184" s="49" t="str">
        <f>MID(VLOOKUP($A184,Seqs!$A:$B,2,FALSE),VLOOKUP($A184,'SegEnds_NonXtal_Prot#'!A:AL,10,FALSE)+9,1)</f>
        <v>L</v>
      </c>
      <c r="AA184" s="49" t="str">
        <f>MID(VLOOKUP($A184,Seqs!$A:$B,2,FALSE),VLOOKUP($A184,'SegEnds_NonXtal_Prot#'!A:AL,10,FALSE)+10,1)</f>
        <v>P</v>
      </c>
      <c r="AB184" s="28" t="str">
        <f>MID(VLOOKUP($A184,Seqs!$A:$B,2,FALSE),VLOOKUP($A184,'SegEnds_NonXtal_Prot#'!$A:$AL,22,FALSE)+6,1)</f>
        <v>F</v>
      </c>
      <c r="AC184" s="49" t="str">
        <f>MID(VLOOKUP($A184,Seqs!$A:$B,2,FALSE),VLOOKUP($A184,'SegEnds_NonXtal_Prot#'!$A:$AL,22,FALSE)+7,1)</f>
        <v>S</v>
      </c>
      <c r="AD184" s="49" t="str">
        <f>MID(VLOOKUP($A184,Seqs!$A:$B,2,FALSE),VLOOKUP($A184,'SegEnds_NonXtal_Prot#'!$A:$AL,22,FALSE)+8,1)</f>
        <v>L</v>
      </c>
      <c r="AE184" s="49" t="str">
        <f>MID(VLOOKUP($A184,Seqs!$A:$B,2,FALSE),VLOOKUP($A184,'SegEnds_NonXtal_Prot#'!$A:$AL,22,FALSE)+9,1)</f>
        <v>P</v>
      </c>
      <c r="AF184" s="49" t="str">
        <f>MID(VLOOKUP($A184,Seqs!$A:$B,2,FALSE),VLOOKUP($A184,'SegEnds_NonXtal_Prot#'!$A:$AL,22,FALSE)+10,1)</f>
        <v>Q</v>
      </c>
      <c r="AG184" s="28" t="str">
        <f>MID(VLOOKUP($A184,Seqs!$A:$B,2,FALSE),VLOOKUP($A184,'SegEnds_NonXtal_Prot#'!$A:$AL,28,FALSE)-4,1)</f>
        <v>I</v>
      </c>
      <c r="AH184" s="49" t="str">
        <f>MID(VLOOKUP($A184,Seqs!$A:$B,2,FALSE),VLOOKUP($A184,'SegEnds_NonXtal_Prot#'!$A:$AL,28,FALSE),1)</f>
        <v>P</v>
      </c>
    </row>
    <row r="185" spans="1:34" s="2" customFormat="1" x14ac:dyDescent="0.2">
      <c r="A185" s="2" t="s">
        <v>399</v>
      </c>
      <c r="B185" s="2" t="str">
        <f>LOWER(VLOOKUP(A185,Xtal_Templ!A:B,2,FALSE))</f>
        <v>ntr1_rat</v>
      </c>
      <c r="C185" s="2" t="str">
        <f>VLOOKUP(A185,Classification!A:D,2,FALSE)</f>
        <v>A</v>
      </c>
      <c r="D185" s="2" t="str">
        <f>IF(ISERROR(MATCH(A185,'SegEnds_Xtal_Prot#'!B:B, 0)), "NoXtal", "Xtal")</f>
        <v>NoXtal</v>
      </c>
      <c r="H185" s="4"/>
      <c r="N185" s="2" t="s">
        <v>14</v>
      </c>
      <c r="R185" s="2" t="s">
        <v>9</v>
      </c>
      <c r="T185" s="4" t="s">
        <v>12</v>
      </c>
      <c r="V185" s="28" t="str">
        <f>MID(VLOOKUP($A185,Seqs!$A:$B,2,FALSE),VLOOKUP($A185,'SegEnds_NonXtal_Prot#'!A:AL,10,FALSE),1)</f>
        <v>D</v>
      </c>
      <c r="W185" s="49" t="str">
        <f>MID(VLOOKUP($A185,Seqs!$A:$B,2,FALSE),VLOOKUP($A185,'SegEnds_NonXtal_Prot#'!A:AL,10,FALSE)+6,1)</f>
        <v>F</v>
      </c>
      <c r="X185" s="49" t="str">
        <f>MID(VLOOKUP($A185,Seqs!$A:$B,2,FALSE),VLOOKUP($A185,'SegEnds_NonXtal_Prot#'!A:AL,10,FALSE)+7,1)</f>
        <v>Q</v>
      </c>
      <c r="Y185" s="49" t="str">
        <f>MID(VLOOKUP($A185,Seqs!$A:$B,2,FALSE),VLOOKUP($A185,'SegEnds_NonXtal_Prot#'!A:AL,10,FALSE)+8,1)</f>
        <v>V</v>
      </c>
      <c r="Z185" s="49" t="str">
        <f>MID(VLOOKUP($A185,Seqs!$A:$B,2,FALSE),VLOOKUP($A185,'SegEnds_NonXtal_Prot#'!A:AL,10,FALSE)+9,1)</f>
        <v>L</v>
      </c>
      <c r="AA185" s="49" t="str">
        <f>MID(VLOOKUP($A185,Seqs!$A:$B,2,FALSE),VLOOKUP($A185,'SegEnds_NonXtal_Prot#'!A:AL,10,FALSE)+10,1)</f>
        <v>P</v>
      </c>
      <c r="AB185" s="28" t="str">
        <f>MID(VLOOKUP($A185,Seqs!$A:$B,2,FALSE),VLOOKUP($A185,'SegEnds_NonXtal_Prot#'!$A:$AL,22,FALSE)+6,1)</f>
        <v>L</v>
      </c>
      <c r="AC185" s="49" t="str">
        <f>MID(VLOOKUP($A185,Seqs!$A:$B,2,FALSE),VLOOKUP($A185,'SegEnds_NonXtal_Prot#'!$A:$AL,22,FALSE)+7,1)</f>
        <v>S</v>
      </c>
      <c r="AD185" s="49" t="str">
        <f>MID(VLOOKUP($A185,Seqs!$A:$B,2,FALSE),VLOOKUP($A185,'SegEnds_NonXtal_Prot#'!$A:$AL,22,FALSE)+8,1)</f>
        <v>L</v>
      </c>
      <c r="AE185" s="49" t="str">
        <f>MID(VLOOKUP($A185,Seqs!$A:$B,2,FALSE),VLOOKUP($A185,'SegEnds_NonXtal_Prot#'!$A:$AL,22,FALSE)+9,1)</f>
        <v>P</v>
      </c>
      <c r="AF185" s="49" t="str">
        <f>MID(VLOOKUP($A185,Seqs!$A:$B,2,FALSE),VLOOKUP($A185,'SegEnds_NonXtal_Prot#'!$A:$AL,22,FALSE)+10,1)</f>
        <v>Q</v>
      </c>
      <c r="AG185" s="28" t="str">
        <f>MID(VLOOKUP($A185,Seqs!$A:$B,2,FALSE),VLOOKUP($A185,'SegEnds_NonXtal_Prot#'!$A:$AL,28,FALSE)-4,1)</f>
        <v>V</v>
      </c>
      <c r="AH185" s="49" t="str">
        <f>MID(VLOOKUP($A185,Seqs!$A:$B,2,FALSE),VLOOKUP($A185,'SegEnds_NonXtal_Prot#'!$A:$AL,28,FALSE),1)</f>
        <v>P</v>
      </c>
    </row>
    <row r="186" spans="1:34" s="2" customFormat="1" x14ac:dyDescent="0.2">
      <c r="A186" s="2" t="s">
        <v>332</v>
      </c>
      <c r="B186" s="2" t="str">
        <f>LOWER(VLOOKUP(A186,Xtal_Templ!A:B,2,FALSE))</f>
        <v>opsd_bovin</v>
      </c>
      <c r="C186" s="2" t="str">
        <f>VLOOKUP(A186,Classification!A:D,2,FALSE)</f>
        <v>A</v>
      </c>
      <c r="D186" s="2" t="str">
        <f>IF(ISERROR(MATCH(A186,'SegEnds_Xtal_Prot#'!B:B, 0)), "NoXtal", "Xtal")</f>
        <v>NoXtal</v>
      </c>
      <c r="G186" s="2" t="s">
        <v>5</v>
      </c>
      <c r="H186" s="4"/>
      <c r="R186" s="2" t="s">
        <v>9</v>
      </c>
      <c r="T186" s="4" t="s">
        <v>12</v>
      </c>
      <c r="V186" s="28" t="str">
        <f>MID(VLOOKUP($A186,Seqs!$A:$B,2,FALSE),VLOOKUP($A186,'SegEnds_NonXtal_Prot#'!A:AL,10,FALSE),1)</f>
        <v>D</v>
      </c>
      <c r="W186" s="49" t="str">
        <f>MID(VLOOKUP($A186,Seqs!$A:$B,2,FALSE),VLOOKUP($A186,'SegEnds_NonXtal_Prot#'!A:AL,10,FALSE)+6,1)</f>
        <v>F</v>
      </c>
      <c r="X186" s="49" t="str">
        <f>MID(VLOOKUP($A186,Seqs!$A:$B,2,FALSE),VLOOKUP($A186,'SegEnds_NonXtal_Prot#'!A:AL,10,FALSE)+7,1)</f>
        <v>G</v>
      </c>
      <c r="Y186" s="49" t="str">
        <f>MID(VLOOKUP($A186,Seqs!$A:$B,2,FALSE),VLOOKUP($A186,'SegEnds_NonXtal_Prot#'!A:AL,10,FALSE)+8,1)</f>
        <v>V</v>
      </c>
      <c r="Z186" s="49" t="str">
        <f>MID(VLOOKUP($A186,Seqs!$A:$B,2,FALSE),VLOOKUP($A186,'SegEnds_NonXtal_Prot#'!A:AL,10,FALSE)+9,1)</f>
        <v>T</v>
      </c>
      <c r="AA186" s="49" t="str">
        <f>MID(VLOOKUP($A186,Seqs!$A:$B,2,FALSE),VLOOKUP($A186,'SegEnds_NonXtal_Prot#'!A:AL,10,FALSE)+10,1)</f>
        <v>F</v>
      </c>
      <c r="AB186" s="28" t="str">
        <f>MID(VLOOKUP($A186,Seqs!$A:$B,2,FALSE),VLOOKUP($A186,'SegEnds_NonXtal_Prot#'!$A:$AL,22,FALSE)+6,1)</f>
        <v>W</v>
      </c>
      <c r="AC186" s="49" t="str">
        <f>MID(VLOOKUP($A186,Seqs!$A:$B,2,FALSE),VLOOKUP($A186,'SegEnds_NonXtal_Prot#'!$A:$AL,22,FALSE)+7,1)</f>
        <v>A</v>
      </c>
      <c r="AD186" s="49" t="str">
        <f>MID(VLOOKUP($A186,Seqs!$A:$B,2,FALSE),VLOOKUP($A186,'SegEnds_NonXtal_Prot#'!$A:$AL,22,FALSE)+8,1)</f>
        <v>G</v>
      </c>
      <c r="AE186" s="49" t="str">
        <f>MID(VLOOKUP($A186,Seqs!$A:$B,2,FALSE),VLOOKUP($A186,'SegEnds_NonXtal_Prot#'!$A:$AL,22,FALSE)+9,1)</f>
        <v>A</v>
      </c>
      <c r="AF186" s="49" t="str">
        <f>MID(VLOOKUP($A186,Seqs!$A:$B,2,FALSE),VLOOKUP($A186,'SegEnds_NonXtal_Prot#'!$A:$AL,22,FALSE)+10,1)</f>
        <v>P</v>
      </c>
      <c r="AG186" s="28" t="str">
        <f>MID(VLOOKUP($A186,Seqs!$A:$B,2,FALSE),VLOOKUP($A186,'SegEnds_NonXtal_Prot#'!$A:$AL,28,FALSE)-4,1)</f>
        <v>C</v>
      </c>
      <c r="AH186" s="49" t="str">
        <f>MID(VLOOKUP($A186,Seqs!$A:$B,2,FALSE),VLOOKUP($A186,'SegEnds_NonXtal_Prot#'!$A:$AL,28,FALSE),1)</f>
        <v>P</v>
      </c>
    </row>
    <row r="187" spans="1:34" s="2" customFormat="1" x14ac:dyDescent="0.2">
      <c r="A187" s="2" t="s">
        <v>333</v>
      </c>
      <c r="B187" s="2" t="s">
        <v>920</v>
      </c>
      <c r="C187" s="2" t="str">
        <f>VLOOKUP(A187,Classification!A:D,2,FALSE)</f>
        <v>A</v>
      </c>
      <c r="D187" s="2" t="str">
        <f>IF(ISERROR(MATCH(A187,'SegEnds_Xtal_Prot#'!B:B, 0)), "NoXtal", "Xtal")</f>
        <v>NoXtal</v>
      </c>
      <c r="G187" s="2" t="s">
        <v>5</v>
      </c>
      <c r="H187" s="4"/>
      <c r="R187" s="2" t="s">
        <v>9</v>
      </c>
      <c r="T187" s="4" t="s">
        <v>12</v>
      </c>
      <c r="V187" s="28" t="str">
        <f>MID(VLOOKUP($A187,Seqs!$A:$B,2,FALSE),VLOOKUP($A187,'SegEnds_NonXtal_Prot#'!A:AL,10,FALSE),1)</f>
        <v>D</v>
      </c>
      <c r="W187" s="49" t="str">
        <f>MID(VLOOKUP($A187,Seqs!$A:$B,2,FALSE),VLOOKUP($A187,'SegEnds_NonXtal_Prot#'!A:AL,10,FALSE)+6,1)</f>
        <v>T</v>
      </c>
      <c r="X187" s="49" t="str">
        <f>MID(VLOOKUP($A187,Seqs!$A:$B,2,FALSE),VLOOKUP($A187,'SegEnds_NonXtal_Prot#'!A:AL,10,FALSE)+7,1)</f>
        <v>Q</v>
      </c>
      <c r="Y187" s="49" t="str">
        <f>MID(VLOOKUP($A187,Seqs!$A:$B,2,FALSE),VLOOKUP($A187,'SegEnds_NonXtal_Prot#'!A:AL,10,FALSE)+8,1)</f>
        <v>A</v>
      </c>
      <c r="Z187" s="49" t="str">
        <f>MID(VLOOKUP($A187,Seqs!$A:$B,2,FALSE),VLOOKUP($A187,'SegEnds_NonXtal_Prot#'!A:AL,10,FALSE)+9,1)</f>
        <v>P</v>
      </c>
      <c r="AA187" s="49" t="str">
        <f>MID(VLOOKUP($A187,Seqs!$A:$B,2,FALSE),VLOOKUP($A187,'SegEnds_NonXtal_Prot#'!A:AL,10,FALSE)+10,1)</f>
        <v>V</v>
      </c>
      <c r="AB187" s="28" t="str">
        <f>MID(VLOOKUP($A187,Seqs!$A:$B,2,FALSE),VLOOKUP($A187,'SegEnds_NonXtal_Prot#'!$A:$AL,22,FALSE)+6,1)</f>
        <v>W</v>
      </c>
      <c r="AC187" s="49" t="str">
        <f>MID(VLOOKUP($A187,Seqs!$A:$B,2,FALSE),VLOOKUP($A187,'SegEnds_NonXtal_Prot#'!$A:$AL,22,FALSE)+7,1)</f>
        <v>S</v>
      </c>
      <c r="AD187" s="49" t="str">
        <f>MID(VLOOKUP($A187,Seqs!$A:$B,2,FALSE),VLOOKUP($A187,'SegEnds_NonXtal_Prot#'!$A:$AL,22,FALSE)+8,1)</f>
        <v>L</v>
      </c>
      <c r="AE187" s="49" t="str">
        <f>MID(VLOOKUP($A187,Seqs!$A:$B,2,FALSE),VLOOKUP($A187,'SegEnds_NonXtal_Prot#'!$A:$AL,22,FALSE)+9,1)</f>
        <v>P</v>
      </c>
      <c r="AF187" s="49" t="str">
        <f>MID(VLOOKUP($A187,Seqs!$A:$B,2,FALSE),VLOOKUP($A187,'SegEnds_NonXtal_Prot#'!$A:$AL,22,FALSE)+10,1)</f>
        <v>P</v>
      </c>
      <c r="AG187" s="28" t="str">
        <f>MID(VLOOKUP($A187,Seqs!$A:$B,2,FALSE),VLOOKUP($A187,'SegEnds_NonXtal_Prot#'!$A:$AL,28,FALSE)-4,1)</f>
        <v>V</v>
      </c>
      <c r="AH187" s="49" t="str">
        <f>MID(VLOOKUP($A187,Seqs!$A:$B,2,FALSE),VLOOKUP($A187,'SegEnds_NonXtal_Prot#'!$A:$AL,28,FALSE),1)</f>
        <v>P</v>
      </c>
    </row>
    <row r="188" spans="1:34" s="2" customFormat="1" x14ac:dyDescent="0.2">
      <c r="A188" s="2" t="s">
        <v>334</v>
      </c>
      <c r="B188" s="2" t="s">
        <v>920</v>
      </c>
      <c r="C188" s="2" t="str">
        <f>VLOOKUP(A188,Classification!A:D,2,FALSE)</f>
        <v>A</v>
      </c>
      <c r="D188" s="2" t="str">
        <f>IF(ISERROR(MATCH(A188,'SegEnds_Xtal_Prot#'!B:B, 0)), "NoXtal", "Xtal")</f>
        <v>NoXtal</v>
      </c>
      <c r="G188" s="2" t="s">
        <v>5</v>
      </c>
      <c r="H188" s="4"/>
      <c r="R188" s="2" t="s">
        <v>9</v>
      </c>
      <c r="T188" s="4" t="s">
        <v>12</v>
      </c>
      <c r="V188" s="28" t="str">
        <f>MID(VLOOKUP($A188,Seqs!$A:$B,2,FALSE),VLOOKUP($A188,'SegEnds_NonXtal_Prot#'!A:AL,10,FALSE),1)</f>
        <v>D</v>
      </c>
      <c r="W188" s="49" t="str">
        <f>MID(VLOOKUP($A188,Seqs!$A:$B,2,FALSE),VLOOKUP($A188,'SegEnds_NonXtal_Prot#'!A:AL,10,FALSE)+6,1)</f>
        <v>V</v>
      </c>
      <c r="X188" s="49" t="str">
        <f>MID(VLOOKUP($A188,Seqs!$A:$B,2,FALSE),VLOOKUP($A188,'SegEnds_NonXtal_Prot#'!A:AL,10,FALSE)+7,1)</f>
        <v>G</v>
      </c>
      <c r="Y188" s="49" t="str">
        <f>MID(VLOOKUP($A188,Seqs!$A:$B,2,FALSE),VLOOKUP($A188,'SegEnds_NonXtal_Prot#'!A:AL,10,FALSE)+8,1)</f>
        <v>K</v>
      </c>
      <c r="Z188" s="49" t="str">
        <f>MID(VLOOKUP($A188,Seqs!$A:$B,2,FALSE),VLOOKUP($A188,'SegEnds_NonXtal_Prot#'!A:AL,10,FALSE)+9,1)</f>
        <v>P</v>
      </c>
      <c r="AA188" s="49" t="str">
        <f>MID(VLOOKUP($A188,Seqs!$A:$B,2,FALSE),VLOOKUP($A188,'SegEnds_NonXtal_Prot#'!A:AL,10,FALSE)+10,1)</f>
        <v>F</v>
      </c>
      <c r="AB188" s="28" t="str">
        <f>MID(VLOOKUP($A188,Seqs!$A:$B,2,FALSE),VLOOKUP($A188,'SegEnds_NonXtal_Prot#'!$A:$AL,22,FALSE)+6,1)</f>
        <v>W</v>
      </c>
      <c r="AC188" s="49" t="str">
        <f>MID(VLOOKUP($A188,Seqs!$A:$B,2,FALSE),VLOOKUP($A188,'SegEnds_NonXtal_Prot#'!$A:$AL,22,FALSE)+7,1)</f>
        <v>T</v>
      </c>
      <c r="AD188" s="49" t="str">
        <f>MID(VLOOKUP($A188,Seqs!$A:$B,2,FALSE),VLOOKUP($A188,'SegEnds_NonXtal_Prot#'!$A:$AL,22,FALSE)+8,1)</f>
        <v>T</v>
      </c>
      <c r="AE188" s="49" t="str">
        <f>MID(VLOOKUP($A188,Seqs!$A:$B,2,FALSE),VLOOKUP($A188,'SegEnds_NonXtal_Prot#'!$A:$AL,22,FALSE)+9,1)</f>
        <v>M</v>
      </c>
      <c r="AF188" s="49" t="str">
        <f>MID(VLOOKUP($A188,Seqs!$A:$B,2,FALSE),VLOOKUP($A188,'SegEnds_NonXtal_Prot#'!$A:$AL,22,FALSE)+10,1)</f>
        <v>P</v>
      </c>
      <c r="AG188" s="28" t="str">
        <f>MID(VLOOKUP($A188,Seqs!$A:$B,2,FALSE),VLOOKUP($A188,'SegEnds_NonXtal_Prot#'!$A:$AL,28,FALSE)-4,1)</f>
        <v>C</v>
      </c>
      <c r="AH188" s="49" t="str">
        <f>MID(VLOOKUP($A188,Seqs!$A:$B,2,FALSE),VLOOKUP($A188,'SegEnds_NonXtal_Prot#'!$A:$AL,28,FALSE),1)</f>
        <v>P</v>
      </c>
    </row>
    <row r="189" spans="1:34" s="2" customFormat="1" x14ac:dyDescent="0.2">
      <c r="A189" s="2" t="s">
        <v>920</v>
      </c>
      <c r="B189" s="2" t="str">
        <f>LOWER(VLOOKUP(A189,Xtal_Templ!A:B,2,FALSE))</f>
        <v>opsd_bovin</v>
      </c>
      <c r="C189" s="2" t="str">
        <f>VLOOKUP(A189,Classification!A:D,2,FALSE)</f>
        <v>A</v>
      </c>
      <c r="D189" s="2" t="str">
        <f>IF(ISERROR(MATCH(A189,'SegEnds_Xtal_Prot#'!B:B, 0)), "NoXtal", "Xtal")</f>
        <v>Xtal</v>
      </c>
      <c r="G189" s="2" t="s">
        <v>5</v>
      </c>
      <c r="H189" s="4"/>
      <c r="R189" s="2" t="s">
        <v>9</v>
      </c>
      <c r="T189" s="4" t="s">
        <v>12</v>
      </c>
      <c r="V189" s="28" t="str">
        <f>MID(VLOOKUP($A189,Seqs!$A:$B,2,FALSE),VLOOKUP($A189,'SegEnds_NonXtal_Prot#'!A:AL,10,FALSE),1)</f>
        <v>D</v>
      </c>
      <c r="W189" s="49" t="str">
        <f>MID(VLOOKUP($A189,Seqs!$A:$B,2,FALSE),VLOOKUP($A189,'SegEnds_NonXtal_Prot#'!A:AL,10,FALSE)+6,1)</f>
        <v>G</v>
      </c>
      <c r="X189" s="49" t="str">
        <f>MID(VLOOKUP($A189,Seqs!$A:$B,2,FALSE),VLOOKUP($A189,'SegEnds_NonXtal_Prot#'!A:AL,10,FALSE)+7,1)</f>
        <v>G</v>
      </c>
      <c r="Y189" s="49" t="str">
        <f>MID(VLOOKUP($A189,Seqs!$A:$B,2,FALSE),VLOOKUP($A189,'SegEnds_NonXtal_Prot#'!A:AL,10,FALSE)+8,1)</f>
        <v>F</v>
      </c>
      <c r="Z189" s="49" t="str">
        <f>MID(VLOOKUP($A189,Seqs!$A:$B,2,FALSE),VLOOKUP($A189,'SegEnds_NonXtal_Prot#'!A:AL,10,FALSE)+9,1)</f>
        <v>T</v>
      </c>
      <c r="AA189" s="49" t="str">
        <f>MID(VLOOKUP($A189,Seqs!$A:$B,2,FALSE),VLOOKUP($A189,'SegEnds_NonXtal_Prot#'!A:AL,10,FALSE)+10,1)</f>
        <v>T</v>
      </c>
      <c r="AB189" s="28" t="str">
        <f>MID(VLOOKUP($A189,Seqs!$A:$B,2,FALSE),VLOOKUP($A189,'SegEnds_NonXtal_Prot#'!$A:$AL,22,FALSE)+6,1)</f>
        <v>C</v>
      </c>
      <c r="AC189" s="49" t="str">
        <f>MID(VLOOKUP($A189,Seqs!$A:$B,2,FALSE),VLOOKUP($A189,'SegEnds_NonXtal_Prot#'!$A:$AL,22,FALSE)+7,1)</f>
        <v>A</v>
      </c>
      <c r="AD189" s="49" t="str">
        <f>MID(VLOOKUP($A189,Seqs!$A:$B,2,FALSE),VLOOKUP($A189,'SegEnds_NonXtal_Prot#'!$A:$AL,22,FALSE)+8,1)</f>
        <v>A</v>
      </c>
      <c r="AE189" s="49" t="str">
        <f>MID(VLOOKUP($A189,Seqs!$A:$B,2,FALSE),VLOOKUP($A189,'SegEnds_NonXtal_Prot#'!$A:$AL,22,FALSE)+9,1)</f>
        <v>P</v>
      </c>
      <c r="AF189" s="49" t="str">
        <f>MID(VLOOKUP($A189,Seqs!$A:$B,2,FALSE),VLOOKUP($A189,'SegEnds_NonXtal_Prot#'!$A:$AL,22,FALSE)+10,1)</f>
        <v>P</v>
      </c>
      <c r="AG189" s="28" t="str">
        <f>MID(VLOOKUP($A189,Seqs!$A:$B,2,FALSE),VLOOKUP($A189,'SegEnds_NonXtal_Prot#'!$A:$AL,28,FALSE)-4,1)</f>
        <v>H</v>
      </c>
      <c r="AH189" s="49" t="str">
        <f>MID(VLOOKUP($A189,Seqs!$A:$B,2,FALSE),VLOOKUP($A189,'SegEnds_NonXtal_Prot#'!$A:$AL,28,FALSE),1)</f>
        <v>P</v>
      </c>
    </row>
    <row r="190" spans="1:34" s="2" customFormat="1" x14ac:dyDescent="0.2">
      <c r="A190" s="2" t="s">
        <v>285</v>
      </c>
      <c r="B190" s="2" t="str">
        <f>LOWER(VLOOKUP(A190,Xtal_Templ!A:B,2,FALSE))</f>
        <v>adrb2_human</v>
      </c>
      <c r="C190" s="2" t="str">
        <f>VLOOKUP(A190,Classification!A:D,2,FALSE)</f>
        <v>A</v>
      </c>
      <c r="D190" s="2" t="str">
        <f>IF(ISERROR(MATCH(A190,'SegEnds_Xtal_Prot#'!B:B, 0)), "NoXtal", "Xtal")</f>
        <v>NoXtal</v>
      </c>
      <c r="H190" s="4"/>
      <c r="T190" s="4" t="s">
        <v>12</v>
      </c>
      <c r="V190" s="28" t="str">
        <f>MID(VLOOKUP($A190,Seqs!$A:$B,2,FALSE),VLOOKUP($A190,'SegEnds_NonXtal_Prot#'!A:AL,10,FALSE),1)</f>
        <v>N</v>
      </c>
      <c r="W190" s="49" t="str">
        <f>MID(VLOOKUP($A190,Seqs!$A:$B,2,FALSE),VLOOKUP($A190,'SegEnds_NonXtal_Prot#'!A:AL,10,FALSE)+6,1)</f>
        <v>S</v>
      </c>
      <c r="X190" s="49" t="str">
        <f>MID(VLOOKUP($A190,Seqs!$A:$B,2,FALSE),VLOOKUP($A190,'SegEnds_NonXtal_Prot#'!A:AL,10,FALSE)+7,1)</f>
        <v>C</v>
      </c>
      <c r="Y190" s="49" t="str">
        <f>MID(VLOOKUP($A190,Seqs!$A:$B,2,FALSE),VLOOKUP($A190,'SegEnds_NonXtal_Prot#'!A:AL,10,FALSE)+8,1)</f>
        <v>G</v>
      </c>
      <c r="Z190" s="49" t="str">
        <f>MID(VLOOKUP($A190,Seqs!$A:$B,2,FALSE),VLOOKUP($A190,'SegEnds_NonXtal_Prot#'!A:AL,10,FALSE)+9,1)</f>
        <v>L</v>
      </c>
      <c r="AA190" s="49" t="str">
        <f>MID(VLOOKUP($A190,Seqs!$A:$B,2,FALSE),VLOOKUP($A190,'SegEnds_NonXtal_Prot#'!A:AL,10,FALSE)+10,1)</f>
        <v>L</v>
      </c>
      <c r="AB190" s="28" t="str">
        <f>MID(VLOOKUP($A190,Seqs!$A:$B,2,FALSE),VLOOKUP($A190,'SegEnds_NonXtal_Prot#'!$A:$AL,22,FALSE)+6,1)</f>
        <v>A</v>
      </c>
      <c r="AC190" s="49" t="str">
        <f>MID(VLOOKUP($A190,Seqs!$A:$B,2,FALSE),VLOOKUP($A190,'SegEnds_NonXtal_Prot#'!$A:$AL,22,FALSE)+7,1)</f>
        <v>A</v>
      </c>
      <c r="AD190" s="49" t="str">
        <f>MID(VLOOKUP($A190,Seqs!$A:$B,2,FALSE),VLOOKUP($A190,'SegEnds_NonXtal_Prot#'!$A:$AL,22,FALSE)+8,1)</f>
        <v>A</v>
      </c>
      <c r="AE190" s="49" t="str">
        <f>MID(VLOOKUP($A190,Seqs!$A:$B,2,FALSE),VLOOKUP($A190,'SegEnds_NonXtal_Prot#'!$A:$AL,22,FALSE)+9,1)</f>
        <v>L</v>
      </c>
      <c r="AF190" s="49" t="str">
        <f>MID(VLOOKUP($A190,Seqs!$A:$B,2,FALSE),VLOOKUP($A190,'SegEnds_NonXtal_Prot#'!$A:$AL,22,FALSE)+10,1)</f>
        <v>P</v>
      </c>
      <c r="AG190" s="28" t="str">
        <f>MID(VLOOKUP($A190,Seqs!$A:$B,2,FALSE),VLOOKUP($A190,'SegEnds_NonXtal_Prot#'!$A:$AL,28,FALSE)-4,1)</f>
        <v>M</v>
      </c>
      <c r="AH190" s="49" t="str">
        <f>MID(VLOOKUP($A190,Seqs!$A:$B,2,FALSE),VLOOKUP($A190,'SegEnds_NonXtal_Prot#'!$A:$AL,28,FALSE),1)</f>
        <v>C</v>
      </c>
    </row>
    <row r="191" spans="1:34" s="2" customFormat="1" x14ac:dyDescent="0.2">
      <c r="A191" s="2" t="s">
        <v>338</v>
      </c>
      <c r="B191" s="2" t="str">
        <f>LOWER(VLOOKUP(A191,Xtal_Templ!A:B,2,FALSE))</f>
        <v>opsd_human</v>
      </c>
      <c r="C191" s="2" t="str">
        <f>VLOOKUP(A191,Classification!A:D,2,FALSE)</f>
        <v>A</v>
      </c>
      <c r="D191" s="2" t="str">
        <f>IF(ISERROR(MATCH(A191,'SegEnds_Xtal_Prot#'!B:B, 0)), "NoXtal", "Xtal")</f>
        <v>NoXtal</v>
      </c>
      <c r="H191" s="4"/>
      <c r="R191" s="2" t="s">
        <v>9</v>
      </c>
      <c r="T191" s="4" t="s">
        <v>12</v>
      </c>
      <c r="V191" s="28" t="str">
        <f>MID(VLOOKUP($A191,Seqs!$A:$B,2,FALSE),VLOOKUP($A191,'SegEnds_NonXtal_Prot#'!A:AL,10,FALSE),1)</f>
        <v>G</v>
      </c>
      <c r="W191" s="49" t="str">
        <f>MID(VLOOKUP($A191,Seqs!$A:$B,2,FALSE),VLOOKUP($A191,'SegEnds_NonXtal_Prot#'!A:AL,10,FALSE)+6,1)</f>
        <v>F</v>
      </c>
      <c r="X191" s="49" t="str">
        <f>MID(VLOOKUP($A191,Seqs!$A:$B,2,FALSE),VLOOKUP($A191,'SegEnds_NonXtal_Prot#'!A:AL,10,FALSE)+7,1)</f>
        <v>S</v>
      </c>
      <c r="Y191" s="49" t="str">
        <f>MID(VLOOKUP($A191,Seqs!$A:$B,2,FALSE),VLOOKUP($A191,'SegEnds_NonXtal_Prot#'!A:AL,10,FALSE)+8,1)</f>
        <v>V</v>
      </c>
      <c r="Z191" s="49" t="str">
        <f>MID(VLOOKUP($A191,Seqs!$A:$B,2,FALSE),VLOOKUP($A191,'SegEnds_NonXtal_Prot#'!A:AL,10,FALSE)+9,1)</f>
        <v>F</v>
      </c>
      <c r="AA191" s="49" t="str">
        <f>MID(VLOOKUP($A191,Seqs!$A:$B,2,FALSE),VLOOKUP($A191,'SegEnds_NonXtal_Prot#'!A:AL,10,FALSE)+10,1)</f>
        <v>P</v>
      </c>
      <c r="AB191" s="28" t="str">
        <f>MID(VLOOKUP($A191,Seqs!$A:$B,2,FALSE),VLOOKUP($A191,'SegEnds_NonXtal_Prot#'!$A:$AL,22,FALSE)+6,1)</f>
        <v>V</v>
      </c>
      <c r="AC191" s="49" t="str">
        <f>MID(VLOOKUP($A191,Seqs!$A:$B,2,FALSE),VLOOKUP($A191,'SegEnds_NonXtal_Prot#'!$A:$AL,22,FALSE)+7,1)</f>
        <v>S</v>
      </c>
      <c r="AD191" s="49" t="str">
        <f>MID(VLOOKUP($A191,Seqs!$A:$B,2,FALSE),VLOOKUP($A191,'SegEnds_NonXtal_Prot#'!$A:$AL,22,FALSE)+8,1)</f>
        <v>I</v>
      </c>
      <c r="AE191" s="49" t="str">
        <f>MID(VLOOKUP($A191,Seqs!$A:$B,2,FALSE),VLOOKUP($A191,'SegEnds_NonXtal_Prot#'!$A:$AL,22,FALSE)+9,1)</f>
        <v>P</v>
      </c>
      <c r="AF191" s="49" t="str">
        <f>MID(VLOOKUP($A191,Seqs!$A:$B,2,FALSE),VLOOKUP($A191,'SegEnds_NonXtal_Prot#'!$A:$AL,22,FALSE)+10,1)</f>
        <v>P</v>
      </c>
      <c r="AG191" s="28" t="str">
        <f>MID(VLOOKUP($A191,Seqs!$A:$B,2,FALSE),VLOOKUP($A191,'SegEnds_NonXtal_Prot#'!$A:$AL,28,FALSE)-4,1)</f>
        <v>C</v>
      </c>
      <c r="AH191" s="49" t="str">
        <f>MID(VLOOKUP($A191,Seqs!$A:$B,2,FALSE),VLOOKUP($A191,'SegEnds_NonXtal_Prot#'!$A:$AL,28,FALSE),1)</f>
        <v>P</v>
      </c>
    </row>
    <row r="192" spans="1:34" s="2" customFormat="1" x14ac:dyDescent="0.2">
      <c r="A192" s="2" t="s">
        <v>339</v>
      </c>
      <c r="B192" s="2" t="str">
        <f>LOWER(VLOOKUP(A192,Xtal_Templ!A:B,2,FALSE))</f>
        <v>opsd_human</v>
      </c>
      <c r="C192" s="2" t="str">
        <f>VLOOKUP(A192,Classification!A:D,2,FALSE)</f>
        <v>A</v>
      </c>
      <c r="D192" s="2" t="str">
        <f>IF(ISERROR(MATCH(A192,'SegEnds_Xtal_Prot#'!B:B, 0)), "NoXtal", "Xtal")</f>
        <v>Xtal</v>
      </c>
      <c r="G192" s="2" t="s">
        <v>5</v>
      </c>
      <c r="H192" s="4"/>
      <c r="R192" s="2" t="s">
        <v>9</v>
      </c>
      <c r="T192" s="4" t="s">
        <v>12</v>
      </c>
      <c r="V192" s="28" t="str">
        <f>MID(VLOOKUP($A192,Seqs!$A:$B,2,FALSE),VLOOKUP($A192,'SegEnds_NonXtal_Prot#'!A:AL,10,FALSE),1)</f>
        <v>D</v>
      </c>
      <c r="W192" s="49" t="str">
        <f>MID(VLOOKUP($A192,Seqs!$A:$B,2,FALSE),VLOOKUP($A192,'SegEnds_NonXtal_Prot#'!A:AL,10,FALSE)+6,1)</f>
        <v>G</v>
      </c>
      <c r="X192" s="49" t="str">
        <f>MID(VLOOKUP($A192,Seqs!$A:$B,2,FALSE),VLOOKUP($A192,'SegEnds_NonXtal_Prot#'!A:AL,10,FALSE)+7,1)</f>
        <v>G</v>
      </c>
      <c r="Y192" s="49" t="str">
        <f>MID(VLOOKUP($A192,Seqs!$A:$B,2,FALSE),VLOOKUP($A192,'SegEnds_NonXtal_Prot#'!A:AL,10,FALSE)+8,1)</f>
        <v>F</v>
      </c>
      <c r="Z192" s="49" t="str">
        <f>MID(VLOOKUP($A192,Seqs!$A:$B,2,FALSE),VLOOKUP($A192,'SegEnds_NonXtal_Prot#'!A:AL,10,FALSE)+9,1)</f>
        <v>T</v>
      </c>
      <c r="AA192" s="49" t="str">
        <f>MID(VLOOKUP($A192,Seqs!$A:$B,2,FALSE),VLOOKUP($A192,'SegEnds_NonXtal_Prot#'!A:AL,10,FALSE)+10,1)</f>
        <v>S</v>
      </c>
      <c r="AB192" s="28" t="str">
        <f>MID(VLOOKUP($A192,Seqs!$A:$B,2,FALSE),VLOOKUP($A192,'SegEnds_NonXtal_Prot#'!$A:$AL,22,FALSE)+6,1)</f>
        <v>C</v>
      </c>
      <c r="AC192" s="49" t="str">
        <f>MID(VLOOKUP($A192,Seqs!$A:$B,2,FALSE),VLOOKUP($A192,'SegEnds_NonXtal_Prot#'!$A:$AL,22,FALSE)+7,1)</f>
        <v>A</v>
      </c>
      <c r="AD192" s="49" t="str">
        <f>MID(VLOOKUP($A192,Seqs!$A:$B,2,FALSE),VLOOKUP($A192,'SegEnds_NonXtal_Prot#'!$A:$AL,22,FALSE)+8,1)</f>
        <v>A</v>
      </c>
      <c r="AE192" s="49" t="str">
        <f>MID(VLOOKUP($A192,Seqs!$A:$B,2,FALSE),VLOOKUP($A192,'SegEnds_NonXtal_Prot#'!$A:$AL,22,FALSE)+9,1)</f>
        <v>P</v>
      </c>
      <c r="AF192" s="49" t="str">
        <f>MID(VLOOKUP($A192,Seqs!$A:$B,2,FALSE),VLOOKUP($A192,'SegEnds_NonXtal_Prot#'!$A:$AL,22,FALSE)+10,1)</f>
        <v>P</v>
      </c>
      <c r="AG192" s="28" t="str">
        <f>MID(VLOOKUP($A192,Seqs!$A:$B,2,FALSE),VLOOKUP($A192,'SegEnds_NonXtal_Prot#'!$A:$AL,28,FALSE)-4,1)</f>
        <v>H</v>
      </c>
      <c r="AH192" s="49" t="str">
        <f>MID(VLOOKUP($A192,Seqs!$A:$B,2,FALSE),VLOOKUP($A192,'SegEnds_NonXtal_Prot#'!$A:$AL,28,FALSE),1)</f>
        <v>P</v>
      </c>
    </row>
    <row r="193" spans="1:34" s="2" customFormat="1" x14ac:dyDescent="0.2">
      <c r="A193" s="2" t="s">
        <v>340</v>
      </c>
      <c r="B193" s="2" t="str">
        <f>LOWER(VLOOKUP(A193,Xtal_Templ!A:B,2,FALSE))</f>
        <v>opsd_human</v>
      </c>
      <c r="C193" s="2" t="str">
        <f>VLOOKUP(A193,Classification!A:D,2,FALSE)</f>
        <v>A</v>
      </c>
      <c r="D193" s="2" t="str">
        <f>IF(ISERROR(MATCH(A193,'SegEnds_Xtal_Prot#'!B:B, 0)), "NoXtal", "Xtal")</f>
        <v>NoXtal</v>
      </c>
      <c r="H193" s="4"/>
      <c r="R193" s="2" t="s">
        <v>9</v>
      </c>
      <c r="T193" s="4" t="s">
        <v>12</v>
      </c>
      <c r="V193" s="28" t="str">
        <f>MID(VLOOKUP($A193,Seqs!$A:$B,2,FALSE),VLOOKUP($A193,'SegEnds_NonXtal_Prot#'!A:AL,10,FALSE),1)</f>
        <v>D</v>
      </c>
      <c r="W193" s="49" t="str">
        <f>MID(VLOOKUP($A193,Seqs!$A:$B,2,FALSE),VLOOKUP($A193,'SegEnds_NonXtal_Prot#'!A:AL,10,FALSE)+6,1)</f>
        <v>I</v>
      </c>
      <c r="X193" s="49" t="str">
        <f>MID(VLOOKUP($A193,Seqs!$A:$B,2,FALSE),VLOOKUP($A193,'SegEnds_NonXtal_Prot#'!A:AL,10,FALSE)+7,1)</f>
        <v>A</v>
      </c>
      <c r="Y193" s="49" t="str">
        <f>MID(VLOOKUP($A193,Seqs!$A:$B,2,FALSE),VLOOKUP($A193,'SegEnds_NonXtal_Prot#'!A:AL,10,FALSE)+8,1)</f>
        <v>S</v>
      </c>
      <c r="Z193" s="49" t="str">
        <f>MID(VLOOKUP($A193,Seqs!$A:$B,2,FALSE),VLOOKUP($A193,'SegEnds_NonXtal_Prot#'!A:AL,10,FALSE)+9,1)</f>
        <v>T</v>
      </c>
      <c r="AA193" s="49" t="str">
        <f>MID(VLOOKUP($A193,Seqs!$A:$B,2,FALSE),VLOOKUP($A193,'SegEnds_NonXtal_Prot#'!A:AL,10,FALSE)+10,1)</f>
        <v>I</v>
      </c>
      <c r="AB193" s="28" t="str">
        <f>MID(VLOOKUP($A193,Seqs!$A:$B,2,FALSE),VLOOKUP($A193,'SegEnds_NonXtal_Prot#'!$A:$AL,22,FALSE)+6,1)</f>
        <v>W</v>
      </c>
      <c r="AC193" s="49" t="str">
        <f>MID(VLOOKUP($A193,Seqs!$A:$B,2,FALSE),VLOOKUP($A193,'SegEnds_NonXtal_Prot#'!$A:$AL,22,FALSE)+7,1)</f>
        <v>T</v>
      </c>
      <c r="AD193" s="49" t="str">
        <f>MID(VLOOKUP($A193,Seqs!$A:$B,2,FALSE),VLOOKUP($A193,'SegEnds_NonXtal_Prot#'!$A:$AL,22,FALSE)+8,1)</f>
        <v>A</v>
      </c>
      <c r="AE193" s="49" t="str">
        <f>MID(VLOOKUP($A193,Seqs!$A:$B,2,FALSE),VLOOKUP($A193,'SegEnds_NonXtal_Prot#'!$A:$AL,22,FALSE)+9,1)</f>
        <v>P</v>
      </c>
      <c r="AF193" s="49" t="str">
        <f>MID(VLOOKUP($A193,Seqs!$A:$B,2,FALSE),VLOOKUP($A193,'SegEnds_NonXtal_Prot#'!$A:$AL,22,FALSE)+10,1)</f>
        <v>P</v>
      </c>
      <c r="AG193" s="28" t="str">
        <f>MID(VLOOKUP($A193,Seqs!$A:$B,2,FALSE),VLOOKUP($A193,'SegEnds_NonXtal_Prot#'!$A:$AL,28,FALSE)-4,1)</f>
        <v>C</v>
      </c>
      <c r="AH193" s="49" t="str">
        <f>MID(VLOOKUP($A193,Seqs!$A:$B,2,FALSE),VLOOKUP($A193,'SegEnds_NonXtal_Prot#'!$A:$AL,28,FALSE),1)</f>
        <v>P</v>
      </c>
    </row>
    <row r="194" spans="1:34" s="2" customFormat="1" x14ac:dyDescent="0.2">
      <c r="A194" s="2" t="s">
        <v>341</v>
      </c>
      <c r="B194" s="2" t="str">
        <f>LOWER(VLOOKUP(A194,Xtal_Templ!A:B,2,FALSE))</f>
        <v>opsd_human</v>
      </c>
      <c r="C194" s="2" t="str">
        <f>VLOOKUP(A194,Classification!A:D,2,FALSE)</f>
        <v>A</v>
      </c>
      <c r="D194" s="2" t="str">
        <f>IF(ISERROR(MATCH(A194,'SegEnds_Xtal_Prot#'!B:B, 0)), "NoXtal", "Xtal")</f>
        <v>NoXtal</v>
      </c>
      <c r="H194" s="4"/>
      <c r="R194" s="2" t="s">
        <v>9</v>
      </c>
      <c r="T194" s="4" t="s">
        <v>12</v>
      </c>
      <c r="V194" s="28" t="str">
        <f>MID(VLOOKUP($A194,Seqs!$A:$B,2,FALSE),VLOOKUP($A194,'SegEnds_NonXtal_Prot#'!A:AL,10,FALSE),1)</f>
        <v>D</v>
      </c>
      <c r="W194" s="49" t="str">
        <f>MID(VLOOKUP($A194,Seqs!$A:$B,2,FALSE),VLOOKUP($A194,'SegEnds_NonXtal_Prot#'!A:AL,10,FALSE)+6,1)</f>
        <v>I</v>
      </c>
      <c r="X194" s="49" t="str">
        <f>MID(VLOOKUP($A194,Seqs!$A:$B,2,FALSE),VLOOKUP($A194,'SegEnds_NonXtal_Prot#'!A:AL,10,FALSE)+7,1)</f>
        <v>A</v>
      </c>
      <c r="Y194" s="49" t="str">
        <f>MID(VLOOKUP($A194,Seqs!$A:$B,2,FALSE),VLOOKUP($A194,'SegEnds_NonXtal_Prot#'!A:AL,10,FALSE)+8,1)</f>
        <v>S</v>
      </c>
      <c r="Z194" s="49" t="str">
        <f>MID(VLOOKUP($A194,Seqs!$A:$B,2,FALSE),VLOOKUP($A194,'SegEnds_NonXtal_Prot#'!A:AL,10,FALSE)+9,1)</f>
        <v>T</v>
      </c>
      <c r="AA194" s="49" t="str">
        <f>MID(VLOOKUP($A194,Seqs!$A:$B,2,FALSE),VLOOKUP($A194,'SegEnds_NonXtal_Prot#'!A:AL,10,FALSE)+10,1)</f>
        <v>I</v>
      </c>
      <c r="AB194" s="28" t="str">
        <f>MID(VLOOKUP($A194,Seqs!$A:$B,2,FALSE),VLOOKUP($A194,'SegEnds_NonXtal_Prot#'!$A:$AL,22,FALSE)+6,1)</f>
        <v>W</v>
      </c>
      <c r="AC194" s="49" t="str">
        <f>MID(VLOOKUP($A194,Seqs!$A:$B,2,FALSE),VLOOKUP($A194,'SegEnds_NonXtal_Prot#'!$A:$AL,22,FALSE)+7,1)</f>
        <v>T</v>
      </c>
      <c r="AD194" s="49" t="str">
        <f>MID(VLOOKUP($A194,Seqs!$A:$B,2,FALSE),VLOOKUP($A194,'SegEnds_NonXtal_Prot#'!$A:$AL,22,FALSE)+8,1)</f>
        <v>A</v>
      </c>
      <c r="AE194" s="49" t="str">
        <f>MID(VLOOKUP($A194,Seqs!$A:$B,2,FALSE),VLOOKUP($A194,'SegEnds_NonXtal_Prot#'!$A:$AL,22,FALSE)+9,1)</f>
        <v>P</v>
      </c>
      <c r="AF194" s="49" t="str">
        <f>MID(VLOOKUP($A194,Seqs!$A:$B,2,FALSE),VLOOKUP($A194,'SegEnds_NonXtal_Prot#'!$A:$AL,22,FALSE)+10,1)</f>
        <v>P</v>
      </c>
      <c r="AG194" s="28" t="str">
        <f>MID(VLOOKUP($A194,Seqs!$A:$B,2,FALSE),VLOOKUP($A194,'SegEnds_NonXtal_Prot#'!$A:$AL,28,FALSE)-4,1)</f>
        <v>C</v>
      </c>
      <c r="AH194" s="49" t="str">
        <f>MID(VLOOKUP($A194,Seqs!$A:$B,2,FALSE),VLOOKUP($A194,'SegEnds_NonXtal_Prot#'!$A:$AL,28,FALSE),1)</f>
        <v>P</v>
      </c>
    </row>
    <row r="195" spans="1:34" s="2" customFormat="1" x14ac:dyDescent="0.2">
      <c r="A195" s="2" t="s">
        <v>922</v>
      </c>
      <c r="B195" s="2" t="str">
        <f>LOWER(VLOOKUP(A195,Xtal_Templ!A:B,2,FALSE))</f>
        <v>opsd_todpa</v>
      </c>
      <c r="C195" s="2" t="str">
        <f>VLOOKUP(A195,Classification!A:D,2,FALSE)</f>
        <v>A</v>
      </c>
      <c r="D195" s="2" t="str">
        <f>IF(ISERROR(MATCH(A195,'SegEnds_Xtal_Prot#'!B:B, 0)), "NoXtal", "Xtal")</f>
        <v>Xtal</v>
      </c>
      <c r="H195" s="4" t="s">
        <v>1370</v>
      </c>
      <c r="R195" s="2" t="s">
        <v>9</v>
      </c>
      <c r="T195" s="4" t="s">
        <v>12</v>
      </c>
      <c r="V195" s="28" t="str">
        <f>MID(VLOOKUP($A195,Seqs!$A:$B,2,FALSE),VLOOKUP($A195,'SegEnds_NonXtal_Prot#'!A:AL,10,FALSE),1)</f>
        <v>D</v>
      </c>
      <c r="W195" s="49" t="str">
        <f>MID(VLOOKUP($A195,Seqs!$A:$B,2,FALSE),VLOOKUP($A195,'SegEnds_NonXtal_Prot#'!A:AL,10,FALSE)+6,1)</f>
        <v>V</v>
      </c>
      <c r="X195" s="49" t="str">
        <f>MID(VLOOKUP($A195,Seqs!$A:$B,2,FALSE),VLOOKUP($A195,'SegEnds_NonXtal_Prot#'!A:AL,10,FALSE)+7,1)</f>
        <v>N</v>
      </c>
      <c r="Y195" s="49" t="str">
        <f>MID(VLOOKUP($A195,Seqs!$A:$B,2,FALSE),VLOOKUP($A195,'SegEnds_NonXtal_Prot#'!A:AL,10,FALSE)+8,1)</f>
        <v>G</v>
      </c>
      <c r="Z195" s="49" t="str">
        <f>MID(VLOOKUP($A195,Seqs!$A:$B,2,FALSE),VLOOKUP($A195,'SegEnds_NonXtal_Prot#'!A:AL,10,FALSE)+9,1)</f>
        <v>F</v>
      </c>
      <c r="AA195" s="49" t="str">
        <f>MID(VLOOKUP($A195,Seqs!$A:$B,2,FALSE),VLOOKUP($A195,'SegEnds_NonXtal_Prot#'!A:AL,10,FALSE)+10,1)</f>
        <v>P</v>
      </c>
      <c r="AB195" s="28" t="str">
        <f>MID(VLOOKUP($A195,Seqs!$A:$B,2,FALSE),VLOOKUP($A195,'SegEnds_NonXtal_Prot#'!$A:$AL,22,FALSE)+6,1)</f>
        <v>W</v>
      </c>
      <c r="AC195" s="49" t="str">
        <f>MID(VLOOKUP($A195,Seqs!$A:$B,2,FALSE),VLOOKUP($A195,'SegEnds_NonXtal_Prot#'!$A:$AL,22,FALSE)+7,1)</f>
        <v>A</v>
      </c>
      <c r="AD195" s="49" t="str">
        <f>MID(VLOOKUP($A195,Seqs!$A:$B,2,FALSE),VLOOKUP($A195,'SegEnds_NonXtal_Prot#'!$A:$AL,22,FALSE)+8,1)</f>
        <v>I</v>
      </c>
      <c r="AE195" s="49" t="str">
        <f>MID(VLOOKUP($A195,Seqs!$A:$B,2,FALSE),VLOOKUP($A195,'SegEnds_NonXtal_Prot#'!$A:$AL,22,FALSE)+9,1)</f>
        <v>G</v>
      </c>
      <c r="AF195" s="49" t="str">
        <f>MID(VLOOKUP($A195,Seqs!$A:$B,2,FALSE),VLOOKUP($A195,'SegEnds_NonXtal_Prot#'!$A:$AL,22,FALSE)+10,1)</f>
        <v>P</v>
      </c>
      <c r="AG195" s="28" t="str">
        <f>MID(VLOOKUP($A195,Seqs!$A:$B,2,FALSE),VLOOKUP($A195,'SegEnds_NonXtal_Prot#'!$A:$AL,28,FALSE)-4,1)</f>
        <v>G</v>
      </c>
      <c r="AH195" s="49" t="str">
        <f>MID(VLOOKUP($A195,Seqs!$A:$B,2,FALSE),VLOOKUP($A195,'SegEnds_NonXtal_Prot#'!$A:$AL,28,FALSE),1)</f>
        <v>P</v>
      </c>
    </row>
    <row r="196" spans="1:34" s="2" customFormat="1" x14ac:dyDescent="0.2">
      <c r="A196" s="2" t="s">
        <v>215</v>
      </c>
      <c r="B196" s="2" t="str">
        <f>LOWER(VLOOKUP(A196,Xtal_Templ!A:B,2,FALSE))</f>
        <v>ox1r_human</v>
      </c>
      <c r="C196" s="2" t="str">
        <f>VLOOKUP(A196,Classification!A:D,2,FALSE)</f>
        <v>A</v>
      </c>
      <c r="D196" s="2" t="str">
        <f>IF(ISERROR(MATCH(A196,'SegEnds_Xtal_Prot#'!B:B, 0)), "NoXtal", "Xtal")</f>
        <v>NoXtal</v>
      </c>
      <c r="G196" s="2" t="s">
        <v>5</v>
      </c>
      <c r="H196" s="4"/>
      <c r="N196" s="2" t="s">
        <v>14</v>
      </c>
      <c r="R196" s="2" t="s">
        <v>9</v>
      </c>
      <c r="T196" s="4" t="s">
        <v>12</v>
      </c>
      <c r="V196" s="28" t="str">
        <f>MID(VLOOKUP($A196,Seqs!$A:$B,2,FALSE),VLOOKUP($A196,'SegEnds_NonXtal_Prot#'!A:AL,10,FALSE),1)</f>
        <v>D</v>
      </c>
      <c r="W196" s="49" t="str">
        <f>MID(VLOOKUP($A196,Seqs!$A:$B,2,FALSE),VLOOKUP($A196,'SegEnds_NonXtal_Prot#'!A:AL,10,FALSE)+6,1)</f>
        <v>L</v>
      </c>
      <c r="X196" s="49" t="str">
        <f>MID(VLOOKUP($A196,Seqs!$A:$B,2,FALSE),VLOOKUP($A196,'SegEnds_NonXtal_Prot#'!A:AL,10,FALSE)+7,1)</f>
        <v>C</v>
      </c>
      <c r="Y196" s="49" t="str">
        <f>MID(VLOOKUP($A196,Seqs!$A:$B,2,FALSE),VLOOKUP($A196,'SegEnds_NonXtal_Prot#'!A:AL,10,FALSE)+8,1)</f>
        <v>L</v>
      </c>
      <c r="Z196" s="49" t="str">
        <f>MID(VLOOKUP($A196,Seqs!$A:$B,2,FALSE),VLOOKUP($A196,'SegEnds_NonXtal_Prot#'!A:AL,10,FALSE)+9,1)</f>
        <v>P</v>
      </c>
      <c r="AA196" s="49" t="str">
        <f>MID(VLOOKUP($A196,Seqs!$A:$B,2,FALSE),VLOOKUP($A196,'SegEnds_NonXtal_Prot#'!A:AL,10,FALSE)+10,1)</f>
        <v>A</v>
      </c>
      <c r="AB196" s="28" t="str">
        <f>MID(VLOOKUP($A196,Seqs!$A:$B,2,FALSE),VLOOKUP($A196,'SegEnds_NonXtal_Prot#'!$A:$AL,22,FALSE)+6,1)</f>
        <v>F</v>
      </c>
      <c r="AC196" s="49" t="str">
        <f>MID(VLOOKUP($A196,Seqs!$A:$B,2,FALSE),VLOOKUP($A196,'SegEnds_NonXtal_Prot#'!$A:$AL,22,FALSE)+7,1)</f>
        <v>S</v>
      </c>
      <c r="AD196" s="49" t="str">
        <f>MID(VLOOKUP($A196,Seqs!$A:$B,2,FALSE),VLOOKUP($A196,'SegEnds_NonXtal_Prot#'!$A:$AL,22,FALSE)+8,1)</f>
        <v>L</v>
      </c>
      <c r="AE196" s="49" t="str">
        <f>MID(VLOOKUP($A196,Seqs!$A:$B,2,FALSE),VLOOKUP($A196,'SegEnds_NonXtal_Prot#'!$A:$AL,22,FALSE)+9,1)</f>
        <v>P</v>
      </c>
      <c r="AF196" s="49" t="str">
        <f>MID(VLOOKUP($A196,Seqs!$A:$B,2,FALSE),VLOOKUP($A196,'SegEnds_NonXtal_Prot#'!$A:$AL,22,FALSE)+10,1)</f>
        <v>W</v>
      </c>
      <c r="AG196" s="28" t="str">
        <f>MID(VLOOKUP($A196,Seqs!$A:$B,2,FALSE),VLOOKUP($A196,'SegEnds_NonXtal_Prot#'!$A:$AL,28,FALSE)-4,1)</f>
        <v>C</v>
      </c>
      <c r="AH196" s="49" t="str">
        <f>MID(VLOOKUP($A196,Seqs!$A:$B,2,FALSE),VLOOKUP($A196,'SegEnds_NonXtal_Prot#'!$A:$AL,28,FALSE),1)</f>
        <v>P</v>
      </c>
    </row>
    <row r="197" spans="1:34" s="2" customFormat="1" x14ac:dyDescent="0.2">
      <c r="A197" s="2" t="s">
        <v>222</v>
      </c>
      <c r="B197" s="2" t="str">
        <f>LOWER(VLOOKUP(A197,Xtal_Templ!A:B,2,FALSE))</f>
        <v>ox2r_human</v>
      </c>
      <c r="C197" s="2" t="str">
        <f>VLOOKUP(A197,Classification!A:D,2,FALSE)</f>
        <v>A</v>
      </c>
      <c r="D197" s="2" t="str">
        <f>IF(ISERROR(MATCH(A197,'SegEnds_Xtal_Prot#'!B:B, 0)), "NoXtal", "Xtal")</f>
        <v>NoXtal</v>
      </c>
      <c r="H197" s="4"/>
      <c r="R197" s="2" t="s">
        <v>9</v>
      </c>
      <c r="T197" s="4" t="s">
        <v>12</v>
      </c>
      <c r="V197" s="28" t="str">
        <f>MID(VLOOKUP($A197,Seqs!$A:$B,2,FALSE),VLOOKUP($A197,'SegEnds_NonXtal_Prot#'!A:AL,10,FALSE),1)</f>
        <v>D</v>
      </c>
      <c r="W197" s="49" t="str">
        <f>MID(VLOOKUP($A197,Seqs!$A:$B,2,FALSE),VLOOKUP($A197,'SegEnds_NonXtal_Prot#'!A:AL,10,FALSE)+6,1)</f>
        <v>G</v>
      </c>
      <c r="X197" s="49" t="str">
        <f>MID(VLOOKUP($A197,Seqs!$A:$B,2,FALSE),VLOOKUP($A197,'SegEnds_NonXtal_Prot#'!A:AL,10,FALSE)+7,1)</f>
        <v>T</v>
      </c>
      <c r="Y197" s="49" t="str">
        <f>MID(VLOOKUP($A197,Seqs!$A:$B,2,FALSE),VLOOKUP($A197,'SegEnds_NonXtal_Prot#'!A:AL,10,FALSE)+8,1)</f>
        <v>A</v>
      </c>
      <c r="Z197" s="49" t="str">
        <f>MID(VLOOKUP($A197,Seqs!$A:$B,2,FALSE),VLOOKUP($A197,'SegEnds_NonXtal_Prot#'!A:AL,10,FALSE)+9,1)</f>
        <v>L</v>
      </c>
      <c r="AA197" s="49" t="str">
        <f>MID(VLOOKUP($A197,Seqs!$A:$B,2,FALSE),VLOOKUP($A197,'SegEnds_NonXtal_Prot#'!A:AL,10,FALSE)+10,1)</f>
        <v>S</v>
      </c>
      <c r="AB197" s="28" t="str">
        <f>MID(VLOOKUP($A197,Seqs!$A:$B,2,FALSE),VLOOKUP($A197,'SegEnds_NonXtal_Prot#'!$A:$AL,22,FALSE)+6,1)</f>
        <v>L</v>
      </c>
      <c r="AC197" s="49" t="str">
        <f>MID(VLOOKUP($A197,Seqs!$A:$B,2,FALSE),VLOOKUP($A197,'SegEnds_NonXtal_Prot#'!$A:$AL,22,FALSE)+7,1)</f>
        <v>A</v>
      </c>
      <c r="AD197" s="49" t="str">
        <f>MID(VLOOKUP($A197,Seqs!$A:$B,2,FALSE),VLOOKUP($A197,'SegEnds_NonXtal_Prot#'!$A:$AL,22,FALSE)+8,1)</f>
        <v>L</v>
      </c>
      <c r="AE197" s="49" t="str">
        <f>MID(VLOOKUP($A197,Seqs!$A:$B,2,FALSE),VLOOKUP($A197,'SegEnds_NonXtal_Prot#'!$A:$AL,22,FALSE)+9,1)</f>
        <v>P</v>
      </c>
      <c r="AF197" s="49" t="str">
        <f>MID(VLOOKUP($A197,Seqs!$A:$B,2,FALSE),VLOOKUP($A197,'SegEnds_NonXtal_Prot#'!$A:$AL,22,FALSE)+10,1)</f>
        <v>P</v>
      </c>
      <c r="AG197" s="28" t="str">
        <f>MID(VLOOKUP($A197,Seqs!$A:$B,2,FALSE),VLOOKUP($A197,'SegEnds_NonXtal_Prot#'!$A:$AL,28,FALSE)-4,1)</f>
        <v>G</v>
      </c>
      <c r="AH197" s="49" t="str">
        <f>MID(VLOOKUP($A197,Seqs!$A:$B,2,FALSE),VLOOKUP($A197,'SegEnds_NonXtal_Prot#'!$A:$AL,28,FALSE),1)</f>
        <v>P</v>
      </c>
    </row>
    <row r="198" spans="1:34" s="2" customFormat="1" x14ac:dyDescent="0.2">
      <c r="A198" s="2" t="s">
        <v>232</v>
      </c>
      <c r="B198" s="2" t="str">
        <f>LOWER(VLOOKUP(A198,Xtal_Templ!A:B,2,FALSE))</f>
        <v>ox1r_human</v>
      </c>
      <c r="C198" s="2" t="str">
        <f>VLOOKUP(A198,Classification!A:D,2,FALSE)</f>
        <v>A</v>
      </c>
      <c r="D198" s="2" t="str">
        <f>IF(ISERROR(MATCH(A198,'SegEnds_Xtal_Prot#'!B:B, 0)), "NoXtal", "Xtal")</f>
        <v>NoXtal</v>
      </c>
      <c r="G198" s="2" t="s">
        <v>5</v>
      </c>
      <c r="H198" s="4"/>
      <c r="N198" s="2" t="s">
        <v>14</v>
      </c>
      <c r="R198" s="2" t="s">
        <v>9</v>
      </c>
      <c r="T198" s="4" t="s">
        <v>12</v>
      </c>
      <c r="V198" s="28" t="str">
        <f>MID(VLOOKUP($A198,Seqs!$A:$B,2,FALSE),VLOOKUP($A198,'SegEnds_NonXtal_Prot#'!A:AL,10,FALSE),1)</f>
        <v>G</v>
      </c>
      <c r="W198" s="49" t="str">
        <f>MID(VLOOKUP($A198,Seqs!$A:$B,2,FALSE),VLOOKUP($A198,'SegEnds_NonXtal_Prot#'!A:AL,10,FALSE)+6,1)</f>
        <v>V</v>
      </c>
      <c r="X198" s="49" t="str">
        <f>MID(VLOOKUP($A198,Seqs!$A:$B,2,FALSE),VLOOKUP($A198,'SegEnds_NonXtal_Prot#'!A:AL,10,FALSE)+7,1)</f>
        <v>C</v>
      </c>
      <c r="Y198" s="49" t="str">
        <f>MID(VLOOKUP($A198,Seqs!$A:$B,2,FALSE),VLOOKUP($A198,'SegEnds_NonXtal_Prot#'!A:AL,10,FALSE)+8,1)</f>
        <v>V</v>
      </c>
      <c r="Z198" s="49" t="str">
        <f>MID(VLOOKUP($A198,Seqs!$A:$B,2,FALSE),VLOOKUP($A198,'SegEnds_NonXtal_Prot#'!A:AL,10,FALSE)+9,1)</f>
        <v>P</v>
      </c>
      <c r="AA198" s="49" t="str">
        <f>MID(VLOOKUP($A198,Seqs!$A:$B,2,FALSE),VLOOKUP($A198,'SegEnds_NonXtal_Prot#'!A:AL,10,FALSE)+10,1)</f>
        <v>F</v>
      </c>
      <c r="AB198" s="28" t="str">
        <f>MID(VLOOKUP($A198,Seqs!$A:$B,2,FALSE),VLOOKUP($A198,'SegEnds_NonXtal_Prot#'!$A:$AL,22,FALSE)+6,1)</f>
        <v>A</v>
      </c>
      <c r="AC198" s="49" t="str">
        <f>MID(VLOOKUP($A198,Seqs!$A:$B,2,FALSE),VLOOKUP($A198,'SegEnds_NonXtal_Prot#'!$A:$AL,22,FALSE)+7,1)</f>
        <v>S</v>
      </c>
      <c r="AD198" s="49" t="str">
        <f>MID(VLOOKUP($A198,Seqs!$A:$B,2,FALSE),VLOOKUP($A198,'SegEnds_NonXtal_Prot#'!$A:$AL,22,FALSE)+8,1)</f>
        <v>V</v>
      </c>
      <c r="AE198" s="49" t="str">
        <f>MID(VLOOKUP($A198,Seqs!$A:$B,2,FALSE),VLOOKUP($A198,'SegEnds_NonXtal_Prot#'!$A:$AL,22,FALSE)+9,1)</f>
        <v>P</v>
      </c>
      <c r="AF198" s="49" t="str">
        <f>MID(VLOOKUP($A198,Seqs!$A:$B,2,FALSE),VLOOKUP($A198,'SegEnds_NonXtal_Prot#'!$A:$AL,22,FALSE)+10,1)</f>
        <v>V</v>
      </c>
      <c r="AG198" s="28" t="str">
        <f>MID(VLOOKUP($A198,Seqs!$A:$B,2,FALSE),VLOOKUP($A198,'SegEnds_NonXtal_Prot#'!$A:$AL,28,FALSE)-4,1)</f>
        <v>T</v>
      </c>
      <c r="AH198" s="49" t="str">
        <f>MID(VLOOKUP($A198,Seqs!$A:$B,2,FALSE),VLOOKUP($A198,'SegEnds_NonXtal_Prot#'!$A:$AL,28,FALSE),1)</f>
        <v>P</v>
      </c>
    </row>
    <row r="199" spans="1:34" s="2" customFormat="1" x14ac:dyDescent="0.2">
      <c r="A199" s="2" t="s">
        <v>267</v>
      </c>
      <c r="B199" s="2" t="str">
        <f>LOWER(VLOOKUP(A199,Xtal_Templ!A:B,2,FALSE))</f>
        <v>drd2_human</v>
      </c>
      <c r="C199" s="2" t="str">
        <f>VLOOKUP(A199,Classification!A:D,2,FALSE)</f>
        <v>A</v>
      </c>
      <c r="D199" s="2" t="str">
        <f>IF(ISERROR(MATCH(A199,'SegEnds_Xtal_Prot#'!B:B, 0)), "NoXtal", "Xtal")</f>
        <v>NoXtal</v>
      </c>
      <c r="G199" s="2" t="s">
        <v>5</v>
      </c>
      <c r="H199" s="4"/>
      <c r="R199" s="2" t="s">
        <v>9</v>
      </c>
      <c r="T199" s="4" t="s">
        <v>12</v>
      </c>
      <c r="V199" s="28" t="str">
        <f>MID(VLOOKUP($A199,Seqs!$A:$B,2,FALSE),VLOOKUP($A199,'SegEnds_NonXtal_Prot#'!A:AL,10,FALSE),1)</f>
        <v>H</v>
      </c>
      <c r="W199" s="49" t="str">
        <f>MID(VLOOKUP($A199,Seqs!$A:$B,2,FALSE),VLOOKUP($A199,'SegEnds_NonXtal_Prot#'!A:AL,10,FALSE)+6,1)</f>
        <v>L</v>
      </c>
      <c r="X199" s="49" t="str">
        <f>MID(VLOOKUP($A199,Seqs!$A:$B,2,FALSE),VLOOKUP($A199,'SegEnds_NonXtal_Prot#'!A:AL,10,FALSE)+7,1)</f>
        <v>D</v>
      </c>
      <c r="Y199" s="49" t="str">
        <f>MID(VLOOKUP($A199,Seqs!$A:$B,2,FALSE),VLOOKUP($A199,'SegEnds_NonXtal_Prot#'!A:AL,10,FALSE)+8,1)</f>
        <v>M</v>
      </c>
      <c r="Z199" s="49" t="str">
        <f>MID(VLOOKUP($A199,Seqs!$A:$B,2,FALSE),VLOOKUP($A199,'SegEnds_NonXtal_Prot#'!A:AL,10,FALSE)+9,1)</f>
        <v>P</v>
      </c>
      <c r="AA199" s="49" t="str">
        <f>MID(VLOOKUP($A199,Seqs!$A:$B,2,FALSE),VLOOKUP($A199,'SegEnds_NonXtal_Prot#'!A:AL,10,FALSE)+10,1)</f>
        <v>F</v>
      </c>
      <c r="AB199" s="28" t="str">
        <f>MID(VLOOKUP($A199,Seqs!$A:$B,2,FALSE),VLOOKUP($A199,'SegEnds_NonXtal_Prot#'!$A:$AL,22,FALSE)+6,1)</f>
        <v>F</v>
      </c>
      <c r="AC199" s="49" t="str">
        <f>MID(VLOOKUP($A199,Seqs!$A:$B,2,FALSE),VLOOKUP($A199,'SegEnds_NonXtal_Prot#'!$A:$AL,22,FALSE)+7,1)</f>
        <v>S</v>
      </c>
      <c r="AD199" s="49" t="str">
        <f>MID(VLOOKUP($A199,Seqs!$A:$B,2,FALSE),VLOOKUP($A199,'SegEnds_NonXtal_Prot#'!$A:$AL,22,FALSE)+8,1)</f>
        <v>G</v>
      </c>
      <c r="AE199" s="49" t="str">
        <f>MID(VLOOKUP($A199,Seqs!$A:$B,2,FALSE),VLOOKUP($A199,'SegEnds_NonXtal_Prot#'!$A:$AL,22,FALSE)+9,1)</f>
        <v>A</v>
      </c>
      <c r="AF199" s="49" t="str">
        <f>MID(VLOOKUP($A199,Seqs!$A:$B,2,FALSE),VLOOKUP($A199,'SegEnds_NonXtal_Prot#'!$A:$AL,22,FALSE)+10,1)</f>
        <v>A</v>
      </c>
      <c r="AG199" s="28" t="str">
        <f>MID(VLOOKUP($A199,Seqs!$A:$B,2,FALSE),VLOOKUP($A199,'SegEnds_NonXtal_Prot#'!$A:$AL,28,FALSE)-4,1)</f>
        <v>G</v>
      </c>
      <c r="AH199" s="49" t="str">
        <f>MID(VLOOKUP($A199,Seqs!$A:$B,2,FALSE),VLOOKUP($A199,'SegEnds_NonXtal_Prot#'!$A:$AL,28,FALSE),1)</f>
        <v>P</v>
      </c>
    </row>
    <row r="200" spans="1:34" s="2" customFormat="1" x14ac:dyDescent="0.2">
      <c r="A200" s="2" t="s">
        <v>270</v>
      </c>
      <c r="B200" s="2" t="str">
        <f>LOWER(VLOOKUP(A200,Xtal_Templ!A:B,2,FALSE))</f>
        <v>5ht2c_human</v>
      </c>
      <c r="C200" s="2" t="str">
        <f>VLOOKUP(A200,Classification!A:D,2,FALSE)</f>
        <v>A</v>
      </c>
      <c r="D200" s="2" t="str">
        <f>IF(ISERROR(MATCH(A200,'SegEnds_Xtal_Prot#'!B:B, 0)), "NoXtal", "Xtal")</f>
        <v>NoXtal</v>
      </c>
      <c r="G200" s="2" t="s">
        <v>5</v>
      </c>
      <c r="H200" s="4"/>
      <c r="N200" s="2" t="s">
        <v>14</v>
      </c>
      <c r="R200" s="2" t="s">
        <v>9</v>
      </c>
      <c r="T200" s="4" t="s">
        <v>12</v>
      </c>
      <c r="V200" s="28" t="str">
        <f>MID(VLOOKUP($A200,Seqs!$A:$B,2,FALSE),VLOOKUP($A200,'SegEnds_NonXtal_Prot#'!A:AL,10,FALSE),1)</f>
        <v>D</v>
      </c>
      <c r="W200" s="49" t="str">
        <f>MID(VLOOKUP($A200,Seqs!$A:$B,2,FALSE),VLOOKUP($A200,'SegEnds_NonXtal_Prot#'!A:AL,10,FALSE)+6,1)</f>
        <v>L</v>
      </c>
      <c r="X200" s="49" t="str">
        <f>MID(VLOOKUP($A200,Seqs!$A:$B,2,FALSE),VLOOKUP($A200,'SegEnds_NonXtal_Prot#'!A:AL,10,FALSE)+7,1)</f>
        <v>L</v>
      </c>
      <c r="Y200" s="49" t="str">
        <f>MID(VLOOKUP($A200,Seqs!$A:$B,2,FALSE),VLOOKUP($A200,'SegEnds_NonXtal_Prot#'!A:AL,10,FALSE)+8,1)</f>
        <v>Q</v>
      </c>
      <c r="Z200" s="49" t="str">
        <f>MID(VLOOKUP($A200,Seqs!$A:$B,2,FALSE),VLOOKUP($A200,'SegEnds_NonXtal_Prot#'!A:AL,10,FALSE)+9,1)</f>
        <v>P</v>
      </c>
      <c r="AA200" s="49" t="str">
        <f>MID(VLOOKUP($A200,Seqs!$A:$B,2,FALSE),VLOOKUP($A200,'SegEnds_NonXtal_Prot#'!A:AL,10,FALSE)+10,1)</f>
        <v>F</v>
      </c>
      <c r="AB200" s="28" t="str">
        <f>MID(VLOOKUP($A200,Seqs!$A:$B,2,FALSE),VLOOKUP($A200,'SegEnds_NonXtal_Prot#'!$A:$AL,22,FALSE)+6,1)</f>
        <v>S</v>
      </c>
      <c r="AC200" s="49" t="str">
        <f>MID(VLOOKUP($A200,Seqs!$A:$B,2,FALSE),VLOOKUP($A200,'SegEnds_NonXtal_Prot#'!$A:$AL,22,FALSE)+7,1)</f>
        <v>F</v>
      </c>
      <c r="AD200" s="49" t="str">
        <f>MID(VLOOKUP($A200,Seqs!$A:$B,2,FALSE),VLOOKUP($A200,'SegEnds_NonXtal_Prot#'!$A:$AL,22,FALSE)+8,1)</f>
        <v>A</v>
      </c>
      <c r="AE200" s="49" t="str">
        <f>MID(VLOOKUP($A200,Seqs!$A:$B,2,FALSE),VLOOKUP($A200,'SegEnds_NonXtal_Prot#'!$A:$AL,22,FALSE)+9,1)</f>
        <v>P</v>
      </c>
      <c r="AF200" s="49" t="str">
        <f>MID(VLOOKUP($A200,Seqs!$A:$B,2,FALSE),VLOOKUP($A200,'SegEnds_NonXtal_Prot#'!$A:$AL,22,FALSE)+10,1)</f>
        <v>L</v>
      </c>
      <c r="AG200" s="28" t="str">
        <f>MID(VLOOKUP($A200,Seqs!$A:$B,2,FALSE),VLOOKUP($A200,'SegEnds_NonXtal_Prot#'!$A:$AL,28,FALSE)-4,1)</f>
        <v>D</v>
      </c>
      <c r="AH200" s="49" t="str">
        <f>MID(VLOOKUP($A200,Seqs!$A:$B,2,FALSE),VLOOKUP($A200,'SegEnds_NonXtal_Prot#'!$A:$AL,28,FALSE),1)</f>
        <v>P</v>
      </c>
    </row>
    <row r="201" spans="1:34" s="2" customFormat="1" x14ac:dyDescent="0.2">
      <c r="A201" s="2" t="s">
        <v>315</v>
      </c>
      <c r="B201" s="2" t="str">
        <f>LOWER(VLOOKUP(A201,Xtal_Templ!A:B,2,FALSE))</f>
        <v>nk1r_human</v>
      </c>
      <c r="C201" s="2" t="str">
        <f>VLOOKUP(A201,Classification!A:D,2,FALSE)</f>
        <v>A</v>
      </c>
      <c r="D201" s="2" t="str">
        <f>IF(ISERROR(MATCH(A201,'SegEnds_Xtal_Prot#'!B:B, 0)), "NoXtal", "Xtal")</f>
        <v>NoXtal</v>
      </c>
      <c r="H201" s="4"/>
      <c r="N201" s="2" t="s">
        <v>14</v>
      </c>
      <c r="R201" s="2" t="s">
        <v>9</v>
      </c>
      <c r="T201" s="4" t="s">
        <v>12</v>
      </c>
      <c r="V201" s="28" t="str">
        <f>MID(VLOOKUP($A201,Seqs!$A:$B,2,FALSE),VLOOKUP($A201,'SegEnds_NonXtal_Prot#'!A:AL,10,FALSE),1)</f>
        <v>D</v>
      </c>
      <c r="W201" s="49" t="str">
        <f>MID(VLOOKUP($A201,Seqs!$A:$B,2,FALSE),VLOOKUP($A201,'SegEnds_NonXtal_Prot#'!A:AL,10,FALSE)+6,1)</f>
        <v>F</v>
      </c>
      <c r="X201" s="49" t="str">
        <f>MID(VLOOKUP($A201,Seqs!$A:$B,2,FALSE),VLOOKUP($A201,'SegEnds_NonXtal_Prot#'!A:AL,10,FALSE)+7,1)</f>
        <v>N</v>
      </c>
      <c r="Y201" s="49" t="str">
        <f>MID(VLOOKUP($A201,Seqs!$A:$B,2,FALSE),VLOOKUP($A201,'SegEnds_NonXtal_Prot#'!A:AL,10,FALSE)+8,1)</f>
        <v>A</v>
      </c>
      <c r="Z201" s="49" t="str">
        <f>MID(VLOOKUP($A201,Seqs!$A:$B,2,FALSE),VLOOKUP($A201,'SegEnds_NonXtal_Prot#'!A:AL,10,FALSE)+9,1)</f>
        <v>A</v>
      </c>
      <c r="AA201" s="49" t="str">
        <f>MID(VLOOKUP($A201,Seqs!$A:$B,2,FALSE),VLOOKUP($A201,'SegEnds_NonXtal_Prot#'!A:AL,10,FALSE)+10,1)</f>
        <v>F</v>
      </c>
      <c r="AB201" s="28" t="str">
        <f>MID(VLOOKUP($A201,Seqs!$A:$B,2,FALSE),VLOOKUP($A201,'SegEnds_NonXtal_Prot#'!$A:$AL,22,FALSE)+6,1)</f>
        <v>L</v>
      </c>
      <c r="AC201" s="49" t="str">
        <f>MID(VLOOKUP($A201,Seqs!$A:$B,2,FALSE),VLOOKUP($A201,'SegEnds_NonXtal_Prot#'!$A:$AL,22,FALSE)+7,1)</f>
        <v>A</v>
      </c>
      <c r="AD201" s="49" t="str">
        <f>MID(VLOOKUP($A201,Seqs!$A:$B,2,FALSE),VLOOKUP($A201,'SegEnds_NonXtal_Prot#'!$A:$AL,22,FALSE)+8,1)</f>
        <v>S</v>
      </c>
      <c r="AE201" s="49" t="str">
        <f>MID(VLOOKUP($A201,Seqs!$A:$B,2,FALSE),VLOOKUP($A201,'SegEnds_NonXtal_Prot#'!$A:$AL,22,FALSE)+9,1)</f>
        <v>P</v>
      </c>
      <c r="AF201" s="49" t="str">
        <f>MID(VLOOKUP($A201,Seqs!$A:$B,2,FALSE),VLOOKUP($A201,'SegEnds_NonXtal_Prot#'!$A:$AL,22,FALSE)+10,1)</f>
        <v>Q</v>
      </c>
      <c r="AG201" s="28" t="str">
        <f>MID(VLOOKUP($A201,Seqs!$A:$B,2,FALSE),VLOOKUP($A201,'SegEnds_NonXtal_Prot#'!$A:$AL,28,FALSE)-4,1)</f>
        <v>I</v>
      </c>
      <c r="AH201" s="49" t="str">
        <f>MID(VLOOKUP($A201,Seqs!$A:$B,2,FALSE),VLOOKUP($A201,'SegEnds_NonXtal_Prot#'!$A:$AL,28,FALSE),1)</f>
        <v>P</v>
      </c>
    </row>
    <row r="202" spans="1:34" s="2" customFormat="1" x14ac:dyDescent="0.2">
      <c r="A202" s="2" t="s">
        <v>323</v>
      </c>
      <c r="B202" s="2" t="str">
        <f>LOWER(VLOOKUP(A202,Xtal_Templ!A:B,2,FALSE))</f>
        <v>ox1r_human</v>
      </c>
      <c r="C202" s="2" t="str">
        <f>VLOOKUP(A202,Classification!A:D,2,FALSE)</f>
        <v>A</v>
      </c>
      <c r="D202" s="2" t="str">
        <f>IF(ISERROR(MATCH(A202,'SegEnds_Xtal_Prot#'!B:B, 0)), "NoXtal", "Xtal")</f>
        <v>NoXtal</v>
      </c>
      <c r="G202" s="2" t="s">
        <v>5</v>
      </c>
      <c r="H202" s="4"/>
      <c r="N202" s="2" t="s">
        <v>14</v>
      </c>
      <c r="R202" s="2" t="s">
        <v>9</v>
      </c>
      <c r="T202" s="4" t="s">
        <v>12</v>
      </c>
      <c r="V202" s="28" t="str">
        <f>MID(VLOOKUP($A202,Seqs!$A:$B,2,FALSE),VLOOKUP($A202,'SegEnds_NonXtal_Prot#'!A:AL,10,FALSE),1)</f>
        <v>D</v>
      </c>
      <c r="W202" s="49" t="str">
        <f>MID(VLOOKUP($A202,Seqs!$A:$B,2,FALSE),VLOOKUP($A202,'SegEnds_NonXtal_Prot#'!A:AL,10,FALSE)+6,1)</f>
        <v>F</v>
      </c>
      <c r="X202" s="49" t="str">
        <f>MID(VLOOKUP($A202,Seqs!$A:$B,2,FALSE),VLOOKUP($A202,'SegEnds_NonXtal_Prot#'!A:AL,10,FALSE)+7,1)</f>
        <v>C</v>
      </c>
      <c r="Y202" s="49" t="str">
        <f>MID(VLOOKUP($A202,Seqs!$A:$B,2,FALSE),VLOOKUP($A202,'SegEnds_NonXtal_Prot#'!A:AL,10,FALSE)+8,1)</f>
        <v>M</v>
      </c>
      <c r="Z202" s="49" t="str">
        <f>MID(VLOOKUP($A202,Seqs!$A:$B,2,FALSE),VLOOKUP($A202,'SegEnds_NonXtal_Prot#'!A:AL,10,FALSE)+9,1)</f>
        <v>P</v>
      </c>
      <c r="AA202" s="49" t="str">
        <f>MID(VLOOKUP($A202,Seqs!$A:$B,2,FALSE),VLOOKUP($A202,'SegEnds_NonXtal_Prot#'!A:AL,10,FALSE)+10,1)</f>
        <v>I</v>
      </c>
      <c r="AB202" s="28" t="str">
        <f>MID(VLOOKUP($A202,Seqs!$A:$B,2,FALSE),VLOOKUP($A202,'SegEnds_NonXtal_Prot#'!$A:$AL,22,FALSE)+6,1)</f>
        <v>I</v>
      </c>
      <c r="AC202" s="49" t="str">
        <f>MID(VLOOKUP($A202,Seqs!$A:$B,2,FALSE),VLOOKUP($A202,'SegEnds_NonXtal_Prot#'!$A:$AL,22,FALSE)+7,1)</f>
        <v>M</v>
      </c>
      <c r="AD202" s="49" t="str">
        <f>MID(VLOOKUP($A202,Seqs!$A:$B,2,FALSE),VLOOKUP($A202,'SegEnds_NonXtal_Prot#'!$A:$AL,22,FALSE)+8,1)</f>
        <v>S</v>
      </c>
      <c r="AE202" s="49" t="str">
        <f>MID(VLOOKUP($A202,Seqs!$A:$B,2,FALSE),VLOOKUP($A202,'SegEnds_NonXtal_Prot#'!$A:$AL,22,FALSE)+9,1)</f>
        <v>P</v>
      </c>
      <c r="AF202" s="49" t="str">
        <f>MID(VLOOKUP($A202,Seqs!$A:$B,2,FALSE),VLOOKUP($A202,'SegEnds_NonXtal_Prot#'!$A:$AL,22,FALSE)+10,1)</f>
        <v>S</v>
      </c>
      <c r="AG202" s="28" t="str">
        <f>MID(VLOOKUP($A202,Seqs!$A:$B,2,FALSE),VLOOKUP($A202,'SegEnds_NonXtal_Prot#'!$A:$AL,28,FALSE)-4,1)</f>
        <v>I</v>
      </c>
      <c r="AH202" s="49" t="str">
        <f>MID(VLOOKUP($A202,Seqs!$A:$B,2,FALSE),VLOOKUP($A202,'SegEnds_NonXtal_Prot#'!$A:$AL,28,FALSE),1)</f>
        <v>P</v>
      </c>
    </row>
    <row r="203" spans="1:34" s="2" customFormat="1" x14ac:dyDescent="0.2">
      <c r="A203" s="2" t="s">
        <v>326</v>
      </c>
      <c r="B203" s="2" t="str">
        <f>LOWER(VLOOKUP(A203,Xtal_Templ!A:B,2,FALSE))</f>
        <v>ox2r_human</v>
      </c>
      <c r="C203" s="2" t="str">
        <f>VLOOKUP(A203,Classification!A:D,2,FALSE)</f>
        <v>A</v>
      </c>
      <c r="D203" s="2" t="str">
        <f>IF(ISERROR(MATCH(A203,'SegEnds_Xtal_Prot#'!B:B, 0)), "NoXtal", "Xtal")</f>
        <v>NoXtal</v>
      </c>
      <c r="G203" s="2" t="s">
        <v>5</v>
      </c>
      <c r="H203" s="4"/>
      <c r="N203" s="2" t="s">
        <v>14</v>
      </c>
      <c r="R203" s="2" t="s">
        <v>9</v>
      </c>
      <c r="T203" s="4" t="s">
        <v>12</v>
      </c>
      <c r="V203" s="28" t="str">
        <f>MID(VLOOKUP($A203,Seqs!$A:$B,2,FALSE),VLOOKUP($A203,'SegEnds_NonXtal_Prot#'!A:AL,10,FALSE),1)</f>
        <v>D</v>
      </c>
      <c r="W203" s="49" t="str">
        <f>MID(VLOOKUP($A203,Seqs!$A:$B,2,FALSE),VLOOKUP($A203,'SegEnds_NonXtal_Prot#'!A:AL,10,FALSE)+6,1)</f>
        <v>L</v>
      </c>
      <c r="X203" s="49" t="str">
        <f>MID(VLOOKUP($A203,Seqs!$A:$B,2,FALSE),VLOOKUP($A203,'SegEnds_NonXtal_Prot#'!A:AL,10,FALSE)+7,1)</f>
        <v>C</v>
      </c>
      <c r="Y203" s="49" t="str">
        <f>MID(VLOOKUP($A203,Seqs!$A:$B,2,FALSE),VLOOKUP($A203,'SegEnds_NonXtal_Prot#'!A:AL,10,FALSE)+8,1)</f>
        <v>L</v>
      </c>
      <c r="Z203" s="49" t="str">
        <f>MID(VLOOKUP($A203,Seqs!$A:$B,2,FALSE),VLOOKUP($A203,'SegEnds_NonXtal_Prot#'!A:AL,10,FALSE)+9,1)</f>
        <v>P</v>
      </c>
      <c r="AA203" s="49" t="str">
        <f>MID(VLOOKUP($A203,Seqs!$A:$B,2,FALSE),VLOOKUP($A203,'SegEnds_NonXtal_Prot#'!A:AL,10,FALSE)+10,1)</f>
        <v>F</v>
      </c>
      <c r="AB203" s="28" t="str">
        <f>MID(VLOOKUP($A203,Seqs!$A:$B,2,FALSE),VLOOKUP($A203,'SegEnds_NonXtal_Prot#'!$A:$AL,22,FALSE)+6,1)</f>
        <v>L</v>
      </c>
      <c r="AC203" s="49" t="str">
        <f>MID(VLOOKUP($A203,Seqs!$A:$B,2,FALSE),VLOOKUP($A203,'SegEnds_NonXtal_Prot#'!$A:$AL,22,FALSE)+7,1)</f>
        <v>A</v>
      </c>
      <c r="AD203" s="49" t="str">
        <f>MID(VLOOKUP($A203,Seqs!$A:$B,2,FALSE),VLOOKUP($A203,'SegEnds_NonXtal_Prot#'!$A:$AL,22,FALSE)+8,1)</f>
        <v>S</v>
      </c>
      <c r="AE203" s="49" t="str">
        <f>MID(VLOOKUP($A203,Seqs!$A:$B,2,FALSE),VLOOKUP($A203,'SegEnds_NonXtal_Prot#'!$A:$AL,22,FALSE)+9,1)</f>
        <v>P</v>
      </c>
      <c r="AF203" s="49" t="str">
        <f>MID(VLOOKUP($A203,Seqs!$A:$B,2,FALSE),VLOOKUP($A203,'SegEnds_NonXtal_Prot#'!$A:$AL,22,FALSE)+10,1)</f>
        <v>L</v>
      </c>
      <c r="AG203" s="28" t="str">
        <f>MID(VLOOKUP($A203,Seqs!$A:$B,2,FALSE),VLOOKUP($A203,'SegEnds_NonXtal_Prot#'!$A:$AL,28,FALSE)-4,1)</f>
        <v>L</v>
      </c>
      <c r="AH203" s="49" t="str">
        <f>MID(VLOOKUP($A203,Seqs!$A:$B,2,FALSE),VLOOKUP($A203,'SegEnds_NonXtal_Prot#'!$A:$AL,28,FALSE),1)</f>
        <v>P</v>
      </c>
    </row>
    <row r="204" spans="1:34" s="2" customFormat="1" x14ac:dyDescent="0.2">
      <c r="A204" s="2" t="s">
        <v>1175</v>
      </c>
      <c r="B204" s="2" t="str">
        <f>LOWER(VLOOKUP(A204,Xtal_Templ!A:B,2,FALSE))</f>
        <v>ox1r_human</v>
      </c>
      <c r="C204" s="2" t="str">
        <f>VLOOKUP(A204,Classification!A:D,2,FALSE)</f>
        <v>A</v>
      </c>
      <c r="D204" s="2" t="str">
        <f>IF(ISERROR(MATCH(A204,'SegEnds_Xtal_Prot#'!B:B, 0)), "NoXtal", "Xtal")</f>
        <v>Xtal</v>
      </c>
      <c r="G204" s="2" t="s">
        <v>5</v>
      </c>
      <c r="H204" s="4"/>
      <c r="N204" s="2" t="s">
        <v>14</v>
      </c>
      <c r="R204" s="2" t="s">
        <v>9</v>
      </c>
      <c r="T204" s="4" t="s">
        <v>12</v>
      </c>
      <c r="V204" s="28" t="str">
        <f>MID(VLOOKUP($A204,Seqs!$A:$B,2,FALSE),VLOOKUP($A204,'SegEnds_NonXtal_Prot#'!A:AL,10,FALSE),1)</f>
        <v>D</v>
      </c>
      <c r="W204" s="49" t="str">
        <f>MID(VLOOKUP($A204,Seqs!$A:$B,2,FALSE),VLOOKUP($A204,'SegEnds_NonXtal_Prot#'!A:AL,10,FALSE)+6,1)</f>
        <v>I</v>
      </c>
      <c r="X204" s="49" t="str">
        <f>MID(VLOOKUP($A204,Seqs!$A:$B,2,FALSE),VLOOKUP($A204,'SegEnds_NonXtal_Prot#'!A:AL,10,FALSE)+7,1)</f>
        <v>C</v>
      </c>
      <c r="Y204" s="49" t="str">
        <f>MID(VLOOKUP($A204,Seqs!$A:$B,2,FALSE),VLOOKUP($A204,'SegEnds_NonXtal_Prot#'!A:AL,10,FALSE)+8,1)</f>
        <v>L</v>
      </c>
      <c r="Z204" s="49" t="str">
        <f>MID(VLOOKUP($A204,Seqs!$A:$B,2,FALSE),VLOOKUP($A204,'SegEnds_NonXtal_Prot#'!A:AL,10,FALSE)+9,1)</f>
        <v>P</v>
      </c>
      <c r="AA204" s="49" t="str">
        <f>MID(VLOOKUP($A204,Seqs!$A:$B,2,FALSE),VLOOKUP($A204,'SegEnds_NonXtal_Prot#'!A:AL,10,FALSE)+10,1)</f>
        <v>A</v>
      </c>
      <c r="AB204" s="28" t="str">
        <f>MID(VLOOKUP($A204,Seqs!$A:$B,2,FALSE),VLOOKUP($A204,'SegEnds_NonXtal_Prot#'!$A:$AL,22,FALSE)+6,1)</f>
        <v>I</v>
      </c>
      <c r="AC204" s="49" t="str">
        <f>MID(VLOOKUP($A204,Seqs!$A:$B,2,FALSE),VLOOKUP($A204,'SegEnds_NonXtal_Prot#'!$A:$AL,22,FALSE)+7,1)</f>
        <v>M</v>
      </c>
      <c r="AD204" s="49" t="str">
        <f>MID(VLOOKUP($A204,Seqs!$A:$B,2,FALSE),VLOOKUP($A204,'SegEnds_NonXtal_Prot#'!$A:$AL,22,FALSE)+8,1)</f>
        <v>V</v>
      </c>
      <c r="AE204" s="49" t="str">
        <f>MID(VLOOKUP($A204,Seqs!$A:$B,2,FALSE),VLOOKUP($A204,'SegEnds_NonXtal_Prot#'!$A:$AL,22,FALSE)+9,1)</f>
        <v>P</v>
      </c>
      <c r="AF204" s="49" t="str">
        <f>MID(VLOOKUP($A204,Seqs!$A:$B,2,FALSE),VLOOKUP($A204,'SegEnds_NonXtal_Prot#'!$A:$AL,22,FALSE)+10,1)</f>
        <v>Q</v>
      </c>
      <c r="AG204" s="28" t="str">
        <f>MID(VLOOKUP($A204,Seqs!$A:$B,2,FALSE),VLOOKUP($A204,'SegEnds_NonXtal_Prot#'!$A:$AL,28,FALSE)-4,1)</f>
        <v>T</v>
      </c>
      <c r="AH204" s="49" t="str">
        <f>MID(VLOOKUP($A204,Seqs!$A:$B,2,FALSE),VLOOKUP($A204,'SegEnds_NonXtal_Prot#'!$A:$AL,28,FALSE),1)</f>
        <v>P</v>
      </c>
    </row>
    <row r="205" spans="1:34" s="2" customFormat="1" x14ac:dyDescent="0.2">
      <c r="A205" s="2" t="s">
        <v>344</v>
      </c>
      <c r="B205" s="2" t="str">
        <f>LOWER(VLOOKUP(A205,Xtal_Templ!A:B,2,FALSE))</f>
        <v>ox2r_human</v>
      </c>
      <c r="C205" s="2" t="str">
        <f>VLOOKUP(A205,Classification!A:D,2,FALSE)</f>
        <v>A</v>
      </c>
      <c r="D205" s="2" t="str">
        <f>IF(ISERROR(MATCH(A205,'SegEnds_Xtal_Prot#'!B:B, 0)), "NoXtal", "Xtal")</f>
        <v>NoXtal</v>
      </c>
      <c r="H205" s="4"/>
      <c r="N205" s="2" t="s">
        <v>14</v>
      </c>
      <c r="R205" s="2" t="s">
        <v>9</v>
      </c>
      <c r="T205" s="4" t="s">
        <v>12</v>
      </c>
      <c r="V205" s="28" t="str">
        <f>MID(VLOOKUP($A205,Seqs!$A:$B,2,FALSE),VLOOKUP($A205,'SegEnds_NonXtal_Prot#'!A:AL,10,FALSE),1)</f>
        <v>D</v>
      </c>
      <c r="W205" s="49" t="str">
        <f>MID(VLOOKUP($A205,Seqs!$A:$B,2,FALSE),VLOOKUP($A205,'SegEnds_NonXtal_Prot#'!A:AL,10,FALSE)+6,1)</f>
        <v>F</v>
      </c>
      <c r="X205" s="49" t="str">
        <f>MID(VLOOKUP($A205,Seqs!$A:$B,2,FALSE),VLOOKUP($A205,'SegEnds_NonXtal_Prot#'!A:AL,10,FALSE)+7,1)</f>
        <v>Q</v>
      </c>
      <c r="Y205" s="49" t="str">
        <f>MID(VLOOKUP($A205,Seqs!$A:$B,2,FALSE),VLOOKUP($A205,'SegEnds_NonXtal_Prot#'!A:AL,10,FALSE)+8,1)</f>
        <v>V</v>
      </c>
      <c r="Z205" s="49" t="str">
        <f>MID(VLOOKUP($A205,Seqs!$A:$B,2,FALSE),VLOOKUP($A205,'SegEnds_NonXtal_Prot#'!A:AL,10,FALSE)+9,1)</f>
        <v>L</v>
      </c>
      <c r="AA205" s="49" t="str">
        <f>MID(VLOOKUP($A205,Seqs!$A:$B,2,FALSE),VLOOKUP($A205,'SegEnds_NonXtal_Prot#'!A:AL,10,FALSE)+10,1)</f>
        <v>P</v>
      </c>
      <c r="AB205" s="28" t="str">
        <f>MID(VLOOKUP($A205,Seqs!$A:$B,2,FALSE),VLOOKUP($A205,'SegEnds_NonXtal_Prot#'!$A:$AL,22,FALSE)+6,1)</f>
        <v>A</v>
      </c>
      <c r="AC205" s="49" t="str">
        <f>MID(VLOOKUP($A205,Seqs!$A:$B,2,FALSE),VLOOKUP($A205,'SegEnds_NonXtal_Prot#'!$A:$AL,22,FALSE)+7,1)</f>
        <v>S</v>
      </c>
      <c r="AD205" s="49" t="str">
        <f>MID(VLOOKUP($A205,Seqs!$A:$B,2,FALSE),VLOOKUP($A205,'SegEnds_NonXtal_Prot#'!$A:$AL,22,FALSE)+8,1)</f>
        <v>A</v>
      </c>
      <c r="AE205" s="49" t="str">
        <f>MID(VLOOKUP($A205,Seqs!$A:$B,2,FALSE),VLOOKUP($A205,'SegEnds_NonXtal_Prot#'!$A:$AL,22,FALSE)+9,1)</f>
        <v>P</v>
      </c>
      <c r="AF205" s="49" t="str">
        <f>MID(VLOOKUP($A205,Seqs!$A:$B,2,FALSE),VLOOKUP($A205,'SegEnds_NonXtal_Prot#'!$A:$AL,22,FALSE)+10,1)</f>
        <v>Q</v>
      </c>
      <c r="AG205" s="28" t="str">
        <f>MID(VLOOKUP($A205,Seqs!$A:$B,2,FALSE),VLOOKUP($A205,'SegEnds_NonXtal_Prot#'!$A:$AL,28,FALSE)-4,1)</f>
        <v>V</v>
      </c>
      <c r="AH205" s="49" t="str">
        <f>MID(VLOOKUP($A205,Seqs!$A:$B,2,FALSE),VLOOKUP($A205,'SegEnds_NonXtal_Prot#'!$A:$AL,28,FALSE),1)</f>
        <v>P</v>
      </c>
    </row>
    <row r="206" spans="1:34" s="2" customFormat="1" x14ac:dyDescent="0.2">
      <c r="A206" s="2" t="s">
        <v>163</v>
      </c>
      <c r="B206" s="2" t="str">
        <f>LOWER(VLOOKUP(A206,Xtal_Templ!A:B,2,FALSE))</f>
        <v>ednrb_human</v>
      </c>
      <c r="C206" s="2" t="str">
        <f>VLOOKUP(A206,Classification!A:D,2,FALSE)</f>
        <v>A</v>
      </c>
      <c r="D206" s="2" t="str">
        <f>IF(ISERROR(MATCH(A206,'SegEnds_Xtal_Prot#'!B:B, 0)), "NoXtal", "Xtal")</f>
        <v>NoXtal</v>
      </c>
      <c r="G206" s="2" t="s">
        <v>5</v>
      </c>
      <c r="H206" s="4"/>
      <c r="N206" s="2" t="s">
        <v>14</v>
      </c>
      <c r="T206" s="4" t="s">
        <v>12</v>
      </c>
      <c r="V206" s="28" t="str">
        <f>MID(VLOOKUP($A206,Seqs!$A:$B,2,FALSE),VLOOKUP($A206,'SegEnds_NonXtal_Prot#'!A:AL,10,FALSE),1)</f>
        <v>D</v>
      </c>
      <c r="W206" s="49" t="str">
        <f>MID(VLOOKUP($A206,Seqs!$A:$B,2,FALSE),VLOOKUP($A206,'SegEnds_NonXtal_Prot#'!A:AL,10,FALSE)+6,1)</f>
        <v>T</v>
      </c>
      <c r="X206" s="49" t="str">
        <f>MID(VLOOKUP($A206,Seqs!$A:$B,2,FALSE),VLOOKUP($A206,'SegEnds_NonXtal_Prot#'!A:AL,10,FALSE)+7,1)</f>
        <v>C</v>
      </c>
      <c r="Y206" s="49" t="str">
        <f>MID(VLOOKUP($A206,Seqs!$A:$B,2,FALSE),VLOOKUP($A206,'SegEnds_NonXtal_Prot#'!A:AL,10,FALSE)+8,1)</f>
        <v>V</v>
      </c>
      <c r="Z206" s="49" t="str">
        <f>MID(VLOOKUP($A206,Seqs!$A:$B,2,FALSE),VLOOKUP($A206,'SegEnds_NonXtal_Prot#'!A:AL,10,FALSE)+9,1)</f>
        <v>P</v>
      </c>
      <c r="AA206" s="49" t="str">
        <f>MID(VLOOKUP($A206,Seqs!$A:$B,2,FALSE),VLOOKUP($A206,'SegEnds_NonXtal_Prot#'!A:AL,10,FALSE)+10,1)</f>
        <v>V</v>
      </c>
      <c r="AB206" s="28" t="str">
        <f>MID(VLOOKUP($A206,Seqs!$A:$B,2,FALSE),VLOOKUP($A206,'SegEnds_NonXtal_Prot#'!$A:$AL,22,FALSE)+6,1)</f>
        <v>F</v>
      </c>
      <c r="AC206" s="49" t="str">
        <f>MID(VLOOKUP($A206,Seqs!$A:$B,2,FALSE),VLOOKUP($A206,'SegEnds_NonXtal_Prot#'!$A:$AL,22,FALSE)+7,1)</f>
        <v>A</v>
      </c>
      <c r="AD206" s="49" t="str">
        <f>MID(VLOOKUP($A206,Seqs!$A:$B,2,FALSE),VLOOKUP($A206,'SegEnds_NonXtal_Prot#'!$A:$AL,22,FALSE)+8,1)</f>
        <v>L</v>
      </c>
      <c r="AE206" s="49" t="str">
        <f>MID(VLOOKUP($A206,Seqs!$A:$B,2,FALSE),VLOOKUP($A206,'SegEnds_NonXtal_Prot#'!$A:$AL,22,FALSE)+9,1)</f>
        <v>P</v>
      </c>
      <c r="AF206" s="49" t="str">
        <f>MID(VLOOKUP($A206,Seqs!$A:$B,2,FALSE),VLOOKUP($A206,'SegEnds_NonXtal_Prot#'!$A:$AL,22,FALSE)+10,1)</f>
        <v>E</v>
      </c>
      <c r="AG206" s="28" t="str">
        <f>MID(VLOOKUP($A206,Seqs!$A:$B,2,FALSE),VLOOKUP($A206,'SegEnds_NonXtal_Prot#'!$A:$AL,28,FALSE)-4,1)</f>
        <v>F</v>
      </c>
      <c r="AH206" s="49" t="str">
        <f>MID(VLOOKUP($A206,Seqs!$A:$B,2,FALSE),VLOOKUP($A206,'SegEnds_NonXtal_Prot#'!$A:$AL,28,FALSE),1)</f>
        <v>P</v>
      </c>
    </row>
    <row r="207" spans="1:34" s="2" customFormat="1" x14ac:dyDescent="0.2">
      <c r="A207" s="2" t="s">
        <v>167</v>
      </c>
      <c r="B207" s="2" t="str">
        <f>LOWER(VLOOKUP(A207,Xtal_Templ!A:B,2,FALSE))</f>
        <v>ox1r_human</v>
      </c>
      <c r="C207" s="2" t="str">
        <f>VLOOKUP(A207,Classification!A:D,2,FALSE)</f>
        <v>A</v>
      </c>
      <c r="D207" s="2" t="str">
        <f>IF(ISERROR(MATCH(A207,'SegEnds_Xtal_Prot#'!B:B, 0)), "NoXtal", "Xtal")</f>
        <v>NoXtal</v>
      </c>
      <c r="G207" s="2" t="s">
        <v>5</v>
      </c>
      <c r="H207" s="4"/>
      <c r="N207" s="2" t="s">
        <v>14</v>
      </c>
      <c r="R207" s="2" t="s">
        <v>9</v>
      </c>
      <c r="T207" s="4" t="s">
        <v>12</v>
      </c>
      <c r="V207" s="28" t="str">
        <f>MID(VLOOKUP($A207,Seqs!$A:$B,2,FALSE),VLOOKUP($A207,'SegEnds_NonXtal_Prot#'!A:AL,10,FALSE),1)</f>
        <v>D</v>
      </c>
      <c r="W207" s="49" t="str">
        <f>MID(VLOOKUP($A207,Seqs!$A:$B,2,FALSE),VLOOKUP($A207,'SegEnds_NonXtal_Prot#'!A:AL,10,FALSE)+6,1)</f>
        <v>F</v>
      </c>
      <c r="X207" s="49" t="str">
        <f>MID(VLOOKUP($A207,Seqs!$A:$B,2,FALSE),VLOOKUP($A207,'SegEnds_NonXtal_Prot#'!A:AL,10,FALSE)+7,1)</f>
        <v>C</v>
      </c>
      <c r="Y207" s="49" t="str">
        <f>MID(VLOOKUP($A207,Seqs!$A:$B,2,FALSE),VLOOKUP($A207,'SegEnds_NonXtal_Prot#'!A:AL,10,FALSE)+8,1)</f>
        <v>M</v>
      </c>
      <c r="Z207" s="49" t="str">
        <f>MID(VLOOKUP($A207,Seqs!$A:$B,2,FALSE),VLOOKUP($A207,'SegEnds_NonXtal_Prot#'!A:AL,10,FALSE)+9,1)</f>
        <v>P</v>
      </c>
      <c r="AA207" s="49" t="str">
        <f>MID(VLOOKUP($A207,Seqs!$A:$B,2,FALSE),VLOOKUP($A207,'SegEnds_NonXtal_Prot#'!A:AL,10,FALSE)+10,1)</f>
        <v>F</v>
      </c>
      <c r="AB207" s="28" t="str">
        <f>MID(VLOOKUP($A207,Seqs!$A:$B,2,FALSE),VLOOKUP($A207,'SegEnds_NonXtal_Prot#'!$A:$AL,22,FALSE)+6,1)</f>
        <v>I</v>
      </c>
      <c r="AC207" s="49" t="str">
        <f>MID(VLOOKUP($A207,Seqs!$A:$B,2,FALSE),VLOOKUP($A207,'SegEnds_NonXtal_Prot#'!$A:$AL,22,FALSE)+7,1)</f>
        <v>M</v>
      </c>
      <c r="AD207" s="49" t="str">
        <f>MID(VLOOKUP($A207,Seqs!$A:$B,2,FALSE),VLOOKUP($A207,'SegEnds_NonXtal_Prot#'!$A:$AL,22,FALSE)+8,1)</f>
        <v>T</v>
      </c>
      <c r="AE207" s="49" t="str">
        <f>MID(VLOOKUP($A207,Seqs!$A:$B,2,FALSE),VLOOKUP($A207,'SegEnds_NonXtal_Prot#'!$A:$AL,22,FALSE)+9,1)</f>
        <v>P</v>
      </c>
      <c r="AF207" s="49" t="str">
        <f>MID(VLOOKUP($A207,Seqs!$A:$B,2,FALSE),VLOOKUP($A207,'SegEnds_NonXtal_Prot#'!$A:$AL,22,FALSE)+10,1)</f>
        <v>Y</v>
      </c>
      <c r="AG207" s="28" t="str">
        <f>MID(VLOOKUP($A207,Seqs!$A:$B,2,FALSE),VLOOKUP($A207,'SegEnds_NonXtal_Prot#'!$A:$AL,28,FALSE)-4,1)</f>
        <v>L</v>
      </c>
      <c r="AH207" s="49" t="str">
        <f>MID(VLOOKUP($A207,Seqs!$A:$B,2,FALSE),VLOOKUP($A207,'SegEnds_NonXtal_Prot#'!$A:$AL,28,FALSE),1)</f>
        <v>P</v>
      </c>
    </row>
    <row r="208" spans="1:34" s="2" customFormat="1" x14ac:dyDescent="0.2">
      <c r="A208" s="2" t="s">
        <v>208</v>
      </c>
      <c r="B208" s="2" t="str">
        <f>LOWER(VLOOKUP(A208,Xtal_Templ!A:B,2,FALSE))</f>
        <v>ox2r_human</v>
      </c>
      <c r="C208" s="2" t="str">
        <f>VLOOKUP(A208,Classification!A:D,2,FALSE)</f>
        <v>A</v>
      </c>
      <c r="D208" s="2" t="str">
        <f>IF(ISERROR(MATCH(A208,'SegEnds_Xtal_Prot#'!B:B, 0)), "NoXtal", "Xtal")</f>
        <v>NoXtal</v>
      </c>
      <c r="G208" s="2" t="s">
        <v>5</v>
      </c>
      <c r="H208" s="4"/>
      <c r="N208" s="2" t="s">
        <v>14</v>
      </c>
      <c r="R208" s="2" t="s">
        <v>9</v>
      </c>
      <c r="T208" s="4" t="s">
        <v>12</v>
      </c>
      <c r="V208" s="28" t="str">
        <f>MID(VLOOKUP($A208,Seqs!$A:$B,2,FALSE),VLOOKUP($A208,'SegEnds_NonXtal_Prot#'!A:AL,10,FALSE),1)</f>
        <v>D</v>
      </c>
      <c r="W208" s="49" t="str">
        <f>MID(VLOOKUP($A208,Seqs!$A:$B,2,FALSE),VLOOKUP($A208,'SegEnds_NonXtal_Prot#'!A:AL,10,FALSE)+6,1)</f>
        <v>A</v>
      </c>
      <c r="X208" s="49" t="str">
        <f>MID(VLOOKUP($A208,Seqs!$A:$B,2,FALSE),VLOOKUP($A208,'SegEnds_NonXtal_Prot#'!A:AL,10,FALSE)+7,1)</f>
        <v>C</v>
      </c>
      <c r="Y208" s="49" t="str">
        <f>MID(VLOOKUP($A208,Seqs!$A:$B,2,FALSE),VLOOKUP($A208,'SegEnds_NonXtal_Prot#'!A:AL,10,FALSE)+8,1)</f>
        <v>M</v>
      </c>
      <c r="Z208" s="49" t="str">
        <f>MID(VLOOKUP($A208,Seqs!$A:$B,2,FALSE),VLOOKUP($A208,'SegEnds_NonXtal_Prot#'!A:AL,10,FALSE)+9,1)</f>
        <v>P</v>
      </c>
      <c r="AA208" s="49" t="str">
        <f>MID(VLOOKUP($A208,Seqs!$A:$B,2,FALSE),VLOOKUP($A208,'SegEnds_NonXtal_Prot#'!A:AL,10,FALSE)+10,1)</f>
        <v>F</v>
      </c>
      <c r="AB208" s="28" t="str">
        <f>MID(VLOOKUP($A208,Seqs!$A:$B,2,FALSE),VLOOKUP($A208,'SegEnds_NonXtal_Prot#'!$A:$AL,22,FALSE)+6,1)</f>
        <v>L</v>
      </c>
      <c r="AC208" s="49" t="str">
        <f>MID(VLOOKUP($A208,Seqs!$A:$B,2,FALSE),VLOOKUP($A208,'SegEnds_NonXtal_Prot#'!$A:$AL,22,FALSE)+7,1)</f>
        <v>M</v>
      </c>
      <c r="AD208" s="49" t="str">
        <f>MID(VLOOKUP($A208,Seqs!$A:$B,2,FALSE),VLOOKUP($A208,'SegEnds_NonXtal_Prot#'!$A:$AL,22,FALSE)+8,1)</f>
        <v>V</v>
      </c>
      <c r="AE208" s="49" t="str">
        <f>MID(VLOOKUP($A208,Seqs!$A:$B,2,FALSE),VLOOKUP($A208,'SegEnds_NonXtal_Prot#'!$A:$AL,22,FALSE)+9,1)</f>
        <v>P</v>
      </c>
      <c r="AF208" s="49" t="str">
        <f>MID(VLOOKUP($A208,Seqs!$A:$B,2,FALSE),VLOOKUP($A208,'SegEnds_NonXtal_Prot#'!$A:$AL,22,FALSE)+10,1)</f>
        <v>Y</v>
      </c>
      <c r="AG208" s="28" t="str">
        <f>MID(VLOOKUP($A208,Seqs!$A:$B,2,FALSE),VLOOKUP($A208,'SegEnds_NonXtal_Prot#'!$A:$AL,28,FALSE)-4,1)</f>
        <v>L</v>
      </c>
      <c r="AH208" s="49" t="str">
        <f>MID(VLOOKUP($A208,Seqs!$A:$B,2,FALSE),VLOOKUP($A208,'SegEnds_NonXtal_Prot#'!$A:$AL,28,FALSE),1)</f>
        <v>P</v>
      </c>
    </row>
    <row r="209" spans="1:34" s="2" customFormat="1" x14ac:dyDescent="0.2">
      <c r="A209" s="2" t="s">
        <v>223</v>
      </c>
      <c r="B209" s="2" t="str">
        <f>LOWER(VLOOKUP(A209,Xtal_Templ!A:B,2,FALSE))</f>
        <v>agtr2_human</v>
      </c>
      <c r="C209" s="2" t="str">
        <f>VLOOKUP(A209,Classification!A:D,2,FALSE)</f>
        <v>A</v>
      </c>
      <c r="D209" s="2" t="str">
        <f>IF(ISERROR(MATCH(A209,'SegEnds_Xtal_Prot#'!B:B, 0)), "NoXtal", "Xtal")</f>
        <v>NoXtal</v>
      </c>
      <c r="G209" s="2" t="s">
        <v>5</v>
      </c>
      <c r="H209" s="4"/>
      <c r="N209" s="2" t="s">
        <v>14</v>
      </c>
      <c r="R209" s="2" t="s">
        <v>9</v>
      </c>
      <c r="T209" s="4" t="s">
        <v>12</v>
      </c>
      <c r="V209" s="28" t="str">
        <f>MID(VLOOKUP($A209,Seqs!$A:$B,2,FALSE),VLOOKUP($A209,'SegEnds_NonXtal_Prot#'!A:AL,10,FALSE),1)</f>
        <v>D</v>
      </c>
      <c r="W209" s="49" t="str">
        <f>MID(VLOOKUP($A209,Seqs!$A:$B,2,FALSE),VLOOKUP($A209,'SegEnds_NonXtal_Prot#'!A:AL,10,FALSE)+6,1)</f>
        <v>F</v>
      </c>
      <c r="X209" s="49" t="str">
        <f>MID(VLOOKUP($A209,Seqs!$A:$B,2,FALSE),VLOOKUP($A209,'SegEnds_NonXtal_Prot#'!A:AL,10,FALSE)+7,1)</f>
        <v>S</v>
      </c>
      <c r="Y209" s="49" t="str">
        <f>MID(VLOOKUP($A209,Seqs!$A:$B,2,FALSE),VLOOKUP($A209,'SegEnds_NonXtal_Prot#'!A:AL,10,FALSE)+8,1)</f>
        <v>A</v>
      </c>
      <c r="Z209" s="49" t="str">
        <f>MID(VLOOKUP($A209,Seqs!$A:$B,2,FALSE),VLOOKUP($A209,'SegEnds_NonXtal_Prot#'!A:AL,10,FALSE)+9,1)</f>
        <v>P</v>
      </c>
      <c r="AA209" s="49" t="str">
        <f>MID(VLOOKUP($A209,Seqs!$A:$B,2,FALSE),VLOOKUP($A209,'SegEnds_NonXtal_Prot#'!A:AL,10,FALSE)+10,1)</f>
        <v>I</v>
      </c>
      <c r="AB209" s="28" t="str">
        <f>MID(VLOOKUP($A209,Seqs!$A:$B,2,FALSE),VLOOKUP($A209,'SegEnds_NonXtal_Prot#'!$A:$AL,22,FALSE)+6,1)</f>
        <v>L</v>
      </c>
      <c r="AC209" s="49" t="str">
        <f>MID(VLOOKUP($A209,Seqs!$A:$B,2,FALSE),VLOOKUP($A209,'SegEnds_NonXtal_Prot#'!$A:$AL,22,FALSE)+7,1)</f>
        <v>P</v>
      </c>
      <c r="AD209" s="49" t="str">
        <f>MID(VLOOKUP($A209,Seqs!$A:$B,2,FALSE),VLOOKUP($A209,'SegEnds_NonXtal_Prot#'!$A:$AL,22,FALSE)+8,1)</f>
        <v>L</v>
      </c>
      <c r="AE209" s="49" t="str">
        <f>MID(VLOOKUP($A209,Seqs!$A:$B,2,FALSE),VLOOKUP($A209,'SegEnds_NonXtal_Prot#'!$A:$AL,22,FALSE)+9,1)</f>
        <v>P</v>
      </c>
      <c r="AF209" s="49" t="str">
        <f>MID(VLOOKUP($A209,Seqs!$A:$B,2,FALSE),VLOOKUP($A209,'SegEnds_NonXtal_Prot#'!$A:$AL,22,FALSE)+10,1)</f>
        <v>E</v>
      </c>
      <c r="AG209" s="28" t="str">
        <f>MID(VLOOKUP($A209,Seqs!$A:$B,2,FALSE),VLOOKUP($A209,'SegEnds_NonXtal_Prot#'!$A:$AL,28,FALSE)-4,1)</f>
        <v>A</v>
      </c>
      <c r="AH209" s="49" t="str">
        <f>MID(VLOOKUP($A209,Seqs!$A:$B,2,FALSE),VLOOKUP($A209,'SegEnds_NonXtal_Prot#'!$A:$AL,28,FALSE),1)</f>
        <v>P</v>
      </c>
    </row>
    <row r="210" spans="1:34" s="2" customFormat="1" x14ac:dyDescent="0.2">
      <c r="A210" s="2" t="s">
        <v>225</v>
      </c>
      <c r="B210" s="2" t="str">
        <f>LOWER(VLOOKUP(A210,Xtal_Templ!A:B,2,FALSE))</f>
        <v>ox2r_human</v>
      </c>
      <c r="C210" s="2" t="str">
        <f>VLOOKUP(A210,Classification!A:D,2,FALSE)</f>
        <v>A</v>
      </c>
      <c r="D210" s="2" t="str">
        <f>IF(ISERROR(MATCH(A210,'SegEnds_Xtal_Prot#'!B:B, 0)), "NoXtal", "Xtal")</f>
        <v>NoXtal</v>
      </c>
      <c r="H210" s="4"/>
      <c r="T210" s="4" t="s">
        <v>12</v>
      </c>
      <c r="V210" s="28" t="str">
        <f>MID(VLOOKUP($A210,Seqs!$A:$B,2,FALSE),VLOOKUP($A210,'SegEnds_NonXtal_Prot#'!A:AL,10,FALSE),1)</f>
        <v>T</v>
      </c>
      <c r="W210" s="49" t="str">
        <f>MID(VLOOKUP($A210,Seqs!$A:$B,2,FALSE),VLOOKUP($A210,'SegEnds_NonXtal_Prot#'!A:AL,10,FALSE)+6,1)</f>
        <v>A</v>
      </c>
      <c r="X210" s="49" t="str">
        <f>MID(VLOOKUP($A210,Seqs!$A:$B,2,FALSE),VLOOKUP($A210,'SegEnds_NonXtal_Prot#'!A:AL,10,FALSE)+7,1)</f>
        <v>V</v>
      </c>
      <c r="Y210" s="49" t="str">
        <f>MID(VLOOKUP($A210,Seqs!$A:$B,2,FALSE),VLOOKUP($A210,'SegEnds_NonXtal_Prot#'!A:AL,10,FALSE)+8,1)</f>
        <v>P</v>
      </c>
      <c r="Z210" s="49" t="str">
        <f>MID(VLOOKUP($A210,Seqs!$A:$B,2,FALSE),VLOOKUP($A210,'SegEnds_NonXtal_Prot#'!A:AL,10,FALSE)+9,1)</f>
        <v>I</v>
      </c>
      <c r="AA210" s="49" t="str">
        <f>MID(VLOOKUP($A210,Seqs!$A:$B,2,FALSE),VLOOKUP($A210,'SegEnds_NonXtal_Prot#'!A:AL,10,FALSE)+10,1)</f>
        <v>A</v>
      </c>
      <c r="AB210" s="28" t="str">
        <f>MID(VLOOKUP($A210,Seqs!$A:$B,2,FALSE),VLOOKUP($A210,'SegEnds_NonXtal_Prot#'!$A:$AL,22,FALSE)+6,1)</f>
        <v>L</v>
      </c>
      <c r="AC210" s="49" t="str">
        <f>MID(VLOOKUP($A210,Seqs!$A:$B,2,FALSE),VLOOKUP($A210,'SegEnds_NonXtal_Prot#'!$A:$AL,22,FALSE)+7,1)</f>
        <v>S</v>
      </c>
      <c r="AD210" s="49" t="str">
        <f>MID(VLOOKUP($A210,Seqs!$A:$B,2,FALSE),VLOOKUP($A210,'SegEnds_NonXtal_Prot#'!$A:$AL,22,FALSE)+8,1)</f>
        <v>A</v>
      </c>
      <c r="AE210" s="49" t="str">
        <f>MID(VLOOKUP($A210,Seqs!$A:$B,2,FALSE),VLOOKUP($A210,'SegEnds_NonXtal_Prot#'!$A:$AL,22,FALSE)+9,1)</f>
        <v>L</v>
      </c>
      <c r="AF210" s="49" t="str">
        <f>MID(VLOOKUP($A210,Seqs!$A:$B,2,FALSE),VLOOKUP($A210,'SegEnds_NonXtal_Prot#'!$A:$AL,22,FALSE)+10,1)</f>
        <v>P</v>
      </c>
      <c r="AG210" s="28" t="str">
        <f>MID(VLOOKUP($A210,Seqs!$A:$B,2,FALSE),VLOOKUP($A210,'SegEnds_NonXtal_Prot#'!$A:$AL,28,FALSE)-4,1)</f>
        <v>V</v>
      </c>
      <c r="AH210" s="49" t="str">
        <f>MID(VLOOKUP($A210,Seqs!$A:$B,2,FALSE),VLOOKUP($A210,'SegEnds_NonXtal_Prot#'!$A:$AL,28,FALSE),1)</f>
        <v>V</v>
      </c>
    </row>
    <row r="211" spans="1:34" s="2" customFormat="1" x14ac:dyDescent="0.2">
      <c r="A211" s="2" t="s">
        <v>242</v>
      </c>
      <c r="B211" s="2" t="str">
        <f>LOWER(VLOOKUP(A211,Xtal_Templ!A:B,2,FALSE))</f>
        <v>ox2r_human</v>
      </c>
      <c r="C211" s="2" t="str">
        <f>VLOOKUP(A211,Classification!A:D,2,FALSE)</f>
        <v>A</v>
      </c>
      <c r="D211" s="2" t="str">
        <f>IF(ISERROR(MATCH(A211,'SegEnds_Xtal_Prot#'!B:B, 0)), "NoXtal", "Xtal")</f>
        <v>NoXtal</v>
      </c>
      <c r="G211" s="2" t="s">
        <v>5</v>
      </c>
      <c r="H211" s="4"/>
      <c r="N211" s="2" t="s">
        <v>14</v>
      </c>
      <c r="R211" s="2" t="s">
        <v>9</v>
      </c>
      <c r="T211" s="4" t="s">
        <v>12</v>
      </c>
      <c r="V211" s="28" t="str">
        <f>MID(VLOOKUP($A211,Seqs!$A:$B,2,FALSE),VLOOKUP($A211,'SegEnds_NonXtal_Prot#'!A:AL,10,FALSE),1)</f>
        <v>D</v>
      </c>
      <c r="W211" s="49" t="str">
        <f>MID(VLOOKUP($A211,Seqs!$A:$B,2,FALSE),VLOOKUP($A211,'SegEnds_NonXtal_Prot#'!A:AL,10,FALSE)+6,1)</f>
        <v>A</v>
      </c>
      <c r="X211" s="49" t="str">
        <f>MID(VLOOKUP($A211,Seqs!$A:$B,2,FALSE),VLOOKUP($A211,'SegEnds_NonXtal_Prot#'!A:AL,10,FALSE)+7,1)</f>
        <v>S</v>
      </c>
      <c r="Y211" s="49" t="str">
        <f>MID(VLOOKUP($A211,Seqs!$A:$B,2,FALSE),VLOOKUP($A211,'SegEnds_NonXtal_Prot#'!A:AL,10,FALSE)+8,1)</f>
        <v>T</v>
      </c>
      <c r="Z211" s="49" t="str">
        <f>MID(VLOOKUP($A211,Seqs!$A:$B,2,FALSE),VLOOKUP($A211,'SegEnds_NonXtal_Prot#'!A:AL,10,FALSE)+9,1)</f>
        <v>P</v>
      </c>
      <c r="AA211" s="49" t="str">
        <f>MID(VLOOKUP($A211,Seqs!$A:$B,2,FALSE),VLOOKUP($A211,'SegEnds_NonXtal_Prot#'!A:AL,10,FALSE)+10,1)</f>
        <v>F</v>
      </c>
      <c r="AB211" s="28" t="str">
        <f>MID(VLOOKUP($A211,Seqs!$A:$B,2,FALSE),VLOOKUP($A211,'SegEnds_NonXtal_Prot#'!$A:$AL,22,FALSE)+6,1)</f>
        <v>F</v>
      </c>
      <c r="AC211" s="49" t="str">
        <f>MID(VLOOKUP($A211,Seqs!$A:$B,2,FALSE),VLOOKUP($A211,'SegEnds_NonXtal_Prot#'!$A:$AL,22,FALSE)+7,1)</f>
        <v>V</v>
      </c>
      <c r="AD211" s="49" t="str">
        <f>MID(VLOOKUP($A211,Seqs!$A:$B,2,FALSE),VLOOKUP($A211,'SegEnds_NonXtal_Prot#'!$A:$AL,22,FALSE)+8,1)</f>
        <v>T</v>
      </c>
      <c r="AE211" s="49" t="str">
        <f>MID(VLOOKUP($A211,Seqs!$A:$B,2,FALSE),VLOOKUP($A211,'SegEnds_NonXtal_Prot#'!$A:$AL,22,FALSE)+9,1)</f>
        <v>P</v>
      </c>
      <c r="AF211" s="49" t="str">
        <f>MID(VLOOKUP($A211,Seqs!$A:$B,2,FALSE),VLOOKUP($A211,'SegEnds_NonXtal_Prot#'!$A:$AL,22,FALSE)+10,1)</f>
        <v>V</v>
      </c>
      <c r="AG211" s="28" t="str">
        <f>MID(VLOOKUP($A211,Seqs!$A:$B,2,FALSE),VLOOKUP($A211,'SegEnds_NonXtal_Prot#'!$A:$AL,28,FALSE)-4,1)</f>
        <v>G</v>
      </c>
      <c r="AH211" s="49" t="str">
        <f>MID(VLOOKUP($A211,Seqs!$A:$B,2,FALSE),VLOOKUP($A211,'SegEnds_NonXtal_Prot#'!$A:$AL,28,FALSE),1)</f>
        <v>P</v>
      </c>
    </row>
    <row r="212" spans="1:34" s="2" customFormat="1" x14ac:dyDescent="0.2">
      <c r="A212" s="2" t="s">
        <v>244</v>
      </c>
      <c r="B212" s="2" t="str">
        <f>LOWER(VLOOKUP(A212,Xtal_Templ!A:B,2,FALSE))</f>
        <v>5ht2c_human</v>
      </c>
      <c r="C212" s="2" t="str">
        <f>VLOOKUP(A212,Classification!A:D,2,FALSE)</f>
        <v>A</v>
      </c>
      <c r="D212" s="2" t="str">
        <f>IF(ISERROR(MATCH(A212,'SegEnds_Xtal_Prot#'!B:B, 0)), "NoXtal", "Xtal")</f>
        <v>NoXtal</v>
      </c>
      <c r="H212" s="4"/>
      <c r="N212" s="2" t="s">
        <v>14</v>
      </c>
      <c r="R212" s="2" t="s">
        <v>9</v>
      </c>
      <c r="T212" s="4" t="s">
        <v>12</v>
      </c>
      <c r="V212" s="28" t="str">
        <f>MID(VLOOKUP($A212,Seqs!$A:$B,2,FALSE),VLOOKUP($A212,'SegEnds_NonXtal_Prot#'!A:AL,10,FALSE),1)</f>
        <v>D</v>
      </c>
      <c r="W212" s="49" t="str">
        <f>MID(VLOOKUP($A212,Seqs!$A:$B,2,FALSE),VLOOKUP($A212,'SegEnds_NonXtal_Prot#'!A:AL,10,FALSE)+6,1)</f>
        <v>S</v>
      </c>
      <c r="X212" s="49" t="str">
        <f>MID(VLOOKUP($A212,Seqs!$A:$B,2,FALSE),VLOOKUP($A212,'SegEnds_NonXtal_Prot#'!A:AL,10,FALSE)+7,1)</f>
        <v>C</v>
      </c>
      <c r="Y212" s="49" t="str">
        <f>MID(VLOOKUP($A212,Seqs!$A:$B,2,FALSE),VLOOKUP($A212,'SegEnds_NonXtal_Prot#'!A:AL,10,FALSE)+8,1)</f>
        <v>V</v>
      </c>
      <c r="Z212" s="49" t="str">
        <f>MID(VLOOKUP($A212,Seqs!$A:$B,2,FALSE),VLOOKUP($A212,'SegEnds_NonXtal_Prot#'!A:AL,10,FALSE)+9,1)</f>
        <v>V</v>
      </c>
      <c r="AA212" s="49" t="str">
        <f>MID(VLOOKUP($A212,Seqs!$A:$B,2,FALSE),VLOOKUP($A212,'SegEnds_NonXtal_Prot#'!A:AL,10,FALSE)+10,1)</f>
        <v>P</v>
      </c>
      <c r="AB212" s="28" t="str">
        <f>MID(VLOOKUP($A212,Seqs!$A:$B,2,FALSE),VLOOKUP($A212,'SegEnds_NonXtal_Prot#'!$A:$AL,22,FALSE)+6,1)</f>
        <v>V</v>
      </c>
      <c r="AC212" s="49" t="str">
        <f>MID(VLOOKUP($A212,Seqs!$A:$B,2,FALSE),VLOOKUP($A212,'SegEnds_NonXtal_Prot#'!$A:$AL,22,FALSE)+7,1)</f>
        <v>F</v>
      </c>
      <c r="AD212" s="49" t="str">
        <f>MID(VLOOKUP($A212,Seqs!$A:$B,2,FALSE),VLOOKUP($A212,'SegEnds_NonXtal_Prot#'!$A:$AL,22,FALSE)+8,1)</f>
        <v>L</v>
      </c>
      <c r="AE212" s="49" t="str">
        <f>MID(VLOOKUP($A212,Seqs!$A:$B,2,FALSE),VLOOKUP($A212,'SegEnds_NonXtal_Prot#'!$A:$AL,22,FALSE)+9,1)</f>
        <v>P</v>
      </c>
      <c r="AF212" s="49" t="str">
        <f>MID(VLOOKUP($A212,Seqs!$A:$B,2,FALSE),VLOOKUP($A212,'SegEnds_NonXtal_Prot#'!$A:$AL,22,FALSE)+10,1)</f>
        <v>S</v>
      </c>
      <c r="AG212" s="28" t="str">
        <f>MID(VLOOKUP($A212,Seqs!$A:$B,2,FALSE),VLOOKUP($A212,'SegEnds_NonXtal_Prot#'!$A:$AL,28,FALSE)-4,1)</f>
        <v>M</v>
      </c>
      <c r="AH212" s="49" t="str">
        <f>MID(VLOOKUP($A212,Seqs!$A:$B,2,FALSE),VLOOKUP($A212,'SegEnds_NonXtal_Prot#'!$A:$AL,28,FALSE),1)</f>
        <v>P</v>
      </c>
    </row>
    <row r="213" spans="1:34" s="2" customFormat="1" x14ac:dyDescent="0.2">
      <c r="A213" s="2" t="s">
        <v>247</v>
      </c>
      <c r="B213" s="2" t="str">
        <f>LOWER(VLOOKUP(A213,Xtal_Templ!A:B,2,FALSE))</f>
        <v>drd2_human</v>
      </c>
      <c r="C213" s="2" t="str">
        <f>VLOOKUP(A213,Classification!A:D,2,FALSE)</f>
        <v>A</v>
      </c>
      <c r="D213" s="2" t="str">
        <f>IF(ISERROR(MATCH(A213,'SegEnds_Xtal_Prot#'!B:B, 0)), "NoXtal", "Xtal")</f>
        <v>NoXtal</v>
      </c>
      <c r="G213" s="2" t="s">
        <v>5</v>
      </c>
      <c r="H213" s="4"/>
      <c r="T213" s="4" t="s">
        <v>12</v>
      </c>
      <c r="V213" s="28" t="str">
        <f>MID(VLOOKUP($A213,Seqs!$A:$B,2,FALSE),VLOOKUP($A213,'SegEnds_NonXtal_Prot#'!A:AL,10,FALSE),1)</f>
        <v>N</v>
      </c>
      <c r="W213" s="49" t="str">
        <f>MID(VLOOKUP($A213,Seqs!$A:$B,2,FALSE),VLOOKUP($A213,'SegEnds_NonXtal_Prot#'!A:AL,10,FALSE)+6,1)</f>
        <v>V</v>
      </c>
      <c r="X213" s="49" t="str">
        <f>MID(VLOOKUP($A213,Seqs!$A:$B,2,FALSE),VLOOKUP($A213,'SegEnds_NonXtal_Prot#'!A:AL,10,FALSE)+7,1)</f>
        <v>N</v>
      </c>
      <c r="Y213" s="49" t="str">
        <f>MID(VLOOKUP($A213,Seqs!$A:$B,2,FALSE),VLOOKUP($A213,'SegEnds_NonXtal_Prot#'!A:AL,10,FALSE)+8,1)</f>
        <v>M</v>
      </c>
      <c r="Z213" s="49" t="str">
        <f>MID(VLOOKUP($A213,Seqs!$A:$B,2,FALSE),VLOOKUP($A213,'SegEnds_NonXtal_Prot#'!A:AL,10,FALSE)+9,1)</f>
        <v>P</v>
      </c>
      <c r="AA213" s="49" t="str">
        <f>MID(VLOOKUP($A213,Seqs!$A:$B,2,FALSE),VLOOKUP($A213,'SegEnds_NonXtal_Prot#'!A:AL,10,FALSE)+10,1)</f>
        <v>L</v>
      </c>
      <c r="AB213" s="28" t="str">
        <f>MID(VLOOKUP($A213,Seqs!$A:$B,2,FALSE),VLOOKUP($A213,'SegEnds_NonXtal_Prot#'!$A:$AL,22,FALSE)+6,1)</f>
        <v>F</v>
      </c>
      <c r="AC213" s="49" t="str">
        <f>MID(VLOOKUP($A213,Seqs!$A:$B,2,FALSE),VLOOKUP($A213,'SegEnds_NonXtal_Prot#'!$A:$AL,22,FALSE)+7,1)</f>
        <v>P</v>
      </c>
      <c r="AD213" s="49" t="str">
        <f>MID(VLOOKUP($A213,Seqs!$A:$B,2,FALSE),VLOOKUP($A213,'SegEnds_NonXtal_Prot#'!$A:$AL,22,FALSE)+8,1)</f>
        <v>A</v>
      </c>
      <c r="AE213" s="49" t="str">
        <f>MID(VLOOKUP($A213,Seqs!$A:$B,2,FALSE),VLOOKUP($A213,'SegEnds_NonXtal_Prot#'!$A:$AL,22,FALSE)+9,1)</f>
        <v>A</v>
      </c>
      <c r="AF213" s="49" t="str">
        <f>MID(VLOOKUP($A213,Seqs!$A:$B,2,FALSE),VLOOKUP($A213,'SegEnds_NonXtal_Prot#'!$A:$AL,22,FALSE)+10,1)</f>
        <v>A</v>
      </c>
      <c r="AG213" s="28" t="str">
        <f>MID(VLOOKUP($A213,Seqs!$A:$B,2,FALSE),VLOOKUP($A213,'SegEnds_NonXtal_Prot#'!$A:$AL,28,FALSE)-4,1)</f>
        <v>S</v>
      </c>
      <c r="AH213" s="49" t="str">
        <f>MID(VLOOKUP($A213,Seqs!$A:$B,2,FALSE),VLOOKUP($A213,'SegEnds_NonXtal_Prot#'!$A:$AL,28,FALSE),1)</f>
        <v>S</v>
      </c>
    </row>
    <row r="214" spans="1:34" s="2" customFormat="1" x14ac:dyDescent="0.2">
      <c r="A214" s="2" t="s">
        <v>260</v>
      </c>
      <c r="B214" s="2" t="str">
        <f>LOWER(VLOOKUP(A214,Xtal_Templ!A:B,2,FALSE))</f>
        <v>5ht2b_human</v>
      </c>
      <c r="C214" s="2" t="str">
        <f>VLOOKUP(A214,Classification!A:D,2,FALSE)</f>
        <v>A</v>
      </c>
      <c r="D214" s="2" t="str">
        <f>IF(ISERROR(MATCH(A214,'SegEnds_Xtal_Prot#'!B:B, 0)), "NoXtal", "Xtal")</f>
        <v>NoXtal</v>
      </c>
      <c r="H214" s="4"/>
      <c r="N214" s="2" t="s">
        <v>14</v>
      </c>
      <c r="R214" s="2" t="s">
        <v>9</v>
      </c>
      <c r="T214" s="4" t="s">
        <v>12</v>
      </c>
      <c r="V214" s="28" t="str">
        <f>MID(VLOOKUP($A214,Seqs!$A:$B,2,FALSE),VLOOKUP($A214,'SegEnds_NonXtal_Prot#'!A:AL,10,FALSE),1)</f>
        <v>D</v>
      </c>
      <c r="W214" s="49" t="str">
        <f>MID(VLOOKUP($A214,Seqs!$A:$B,2,FALSE),VLOOKUP($A214,'SegEnds_NonXtal_Prot#'!A:AL,10,FALSE)+6,1)</f>
        <v>S</v>
      </c>
      <c r="X214" s="49" t="str">
        <f>MID(VLOOKUP($A214,Seqs!$A:$B,2,FALSE),VLOOKUP($A214,'SegEnds_NonXtal_Prot#'!A:AL,10,FALSE)+7,1)</f>
        <v>C</v>
      </c>
      <c r="Y214" s="49" t="str">
        <f>MID(VLOOKUP($A214,Seqs!$A:$B,2,FALSE),VLOOKUP($A214,'SegEnds_NonXtal_Prot#'!A:AL,10,FALSE)+8,1)</f>
        <v>L</v>
      </c>
      <c r="Z214" s="49" t="str">
        <f>MID(VLOOKUP($A214,Seqs!$A:$B,2,FALSE),VLOOKUP($A214,'SegEnds_NonXtal_Prot#'!A:AL,10,FALSE)+9,1)</f>
        <v>V</v>
      </c>
      <c r="AA214" s="49" t="str">
        <f>MID(VLOOKUP($A214,Seqs!$A:$B,2,FALSE),VLOOKUP($A214,'SegEnds_NonXtal_Prot#'!A:AL,10,FALSE)+10,1)</f>
        <v>P</v>
      </c>
      <c r="AB214" s="28" t="str">
        <f>MID(VLOOKUP($A214,Seqs!$A:$B,2,FALSE),VLOOKUP($A214,'SegEnds_NonXtal_Prot#'!$A:$AL,22,FALSE)+6,1)</f>
        <v>I</v>
      </c>
      <c r="AC214" s="49" t="str">
        <f>MID(VLOOKUP($A214,Seqs!$A:$B,2,FALSE),VLOOKUP($A214,'SegEnds_NonXtal_Prot#'!$A:$AL,22,FALSE)+7,1)</f>
        <v>F</v>
      </c>
      <c r="AD214" s="49" t="str">
        <f>MID(VLOOKUP($A214,Seqs!$A:$B,2,FALSE),VLOOKUP($A214,'SegEnds_NonXtal_Prot#'!$A:$AL,22,FALSE)+8,1)</f>
        <v>L</v>
      </c>
      <c r="AE214" s="49" t="str">
        <f>MID(VLOOKUP($A214,Seqs!$A:$B,2,FALSE),VLOOKUP($A214,'SegEnds_NonXtal_Prot#'!$A:$AL,22,FALSE)+9,1)</f>
        <v>P</v>
      </c>
      <c r="AF214" s="49" t="str">
        <f>MID(VLOOKUP($A214,Seqs!$A:$B,2,FALSE),VLOOKUP($A214,'SegEnds_NonXtal_Prot#'!$A:$AL,22,FALSE)+10,1)</f>
        <v>S</v>
      </c>
      <c r="AG214" s="28" t="str">
        <f>MID(VLOOKUP($A214,Seqs!$A:$B,2,FALSE),VLOOKUP($A214,'SegEnds_NonXtal_Prot#'!$A:$AL,28,FALSE)-4,1)</f>
        <v>L</v>
      </c>
      <c r="AH214" s="49" t="str">
        <f>MID(VLOOKUP($A214,Seqs!$A:$B,2,FALSE),VLOOKUP($A214,'SegEnds_NonXtal_Prot#'!$A:$AL,28,FALSE),1)</f>
        <v>P</v>
      </c>
    </row>
    <row r="215" spans="1:34" s="2" customFormat="1" x14ac:dyDescent="0.2">
      <c r="A215" s="2" t="s">
        <v>269</v>
      </c>
      <c r="B215" s="2" t="str">
        <f>LOWER(VLOOKUP(A215,Xtal_Templ!A:B,2,FALSE))</f>
        <v>ox2r_human</v>
      </c>
      <c r="C215" s="2" t="str">
        <f>VLOOKUP(A215,Classification!A:D,2,FALSE)</f>
        <v>A</v>
      </c>
      <c r="D215" s="2" t="str">
        <f>IF(ISERROR(MATCH(A215,'SegEnds_Xtal_Prot#'!B:B, 0)), "NoXtal", "Xtal")</f>
        <v>NoXtal</v>
      </c>
      <c r="G215" s="2" t="s">
        <v>5</v>
      </c>
      <c r="H215" s="4"/>
      <c r="N215" s="2" t="s">
        <v>14</v>
      </c>
      <c r="R215" s="2" t="s">
        <v>9</v>
      </c>
      <c r="T215" s="4" t="s">
        <v>12</v>
      </c>
      <c r="V215" s="28" t="str">
        <f>MID(VLOOKUP($A215,Seqs!$A:$B,2,FALSE),VLOOKUP($A215,'SegEnds_NonXtal_Prot#'!A:AL,10,FALSE),1)</f>
        <v>D</v>
      </c>
      <c r="W215" s="49" t="str">
        <f>MID(VLOOKUP($A215,Seqs!$A:$B,2,FALSE),VLOOKUP($A215,'SegEnds_NonXtal_Prot#'!A:AL,10,FALSE)+6,1)</f>
        <v>L</v>
      </c>
      <c r="X215" s="49" t="str">
        <f>MID(VLOOKUP($A215,Seqs!$A:$B,2,FALSE),VLOOKUP($A215,'SegEnds_NonXtal_Prot#'!A:AL,10,FALSE)+7,1)</f>
        <v>N</v>
      </c>
      <c r="Y215" s="49" t="str">
        <f>MID(VLOOKUP($A215,Seqs!$A:$B,2,FALSE),VLOOKUP($A215,'SegEnds_NonXtal_Prot#'!A:AL,10,FALSE)+8,1)</f>
        <v>T</v>
      </c>
      <c r="Z215" s="49" t="str">
        <f>MID(VLOOKUP($A215,Seqs!$A:$B,2,FALSE),VLOOKUP($A215,'SegEnds_NonXtal_Prot#'!A:AL,10,FALSE)+9,1)</f>
        <v>P</v>
      </c>
      <c r="AA215" s="49" t="str">
        <f>MID(VLOOKUP($A215,Seqs!$A:$B,2,FALSE),VLOOKUP($A215,'SegEnds_NonXtal_Prot#'!A:AL,10,FALSE)+10,1)</f>
        <v>F</v>
      </c>
      <c r="AB215" s="28" t="str">
        <f>MID(VLOOKUP($A215,Seqs!$A:$B,2,FALSE),VLOOKUP($A215,'SegEnds_NonXtal_Prot#'!$A:$AL,22,FALSE)+6,1)</f>
        <v>F</v>
      </c>
      <c r="AC215" s="49" t="str">
        <f>MID(VLOOKUP($A215,Seqs!$A:$B,2,FALSE),VLOOKUP($A215,'SegEnds_NonXtal_Prot#'!$A:$AL,22,FALSE)+7,1)</f>
        <v>S</v>
      </c>
      <c r="AD215" s="49" t="str">
        <f>MID(VLOOKUP($A215,Seqs!$A:$B,2,FALSE),VLOOKUP($A215,'SegEnds_NonXtal_Prot#'!$A:$AL,22,FALSE)+8,1)</f>
        <v>L</v>
      </c>
      <c r="AE215" s="49" t="str">
        <f>MID(VLOOKUP($A215,Seqs!$A:$B,2,FALSE),VLOOKUP($A215,'SegEnds_NonXtal_Prot#'!$A:$AL,22,FALSE)+9,1)</f>
        <v>P</v>
      </c>
      <c r="AF215" s="49" t="str">
        <f>MID(VLOOKUP($A215,Seqs!$A:$B,2,FALSE),VLOOKUP($A215,'SegEnds_NonXtal_Prot#'!$A:$AL,22,FALSE)+10,1)</f>
        <v>H</v>
      </c>
      <c r="AG215" s="28" t="str">
        <f>MID(VLOOKUP($A215,Seqs!$A:$B,2,FALSE),VLOOKUP($A215,'SegEnds_NonXtal_Prot#'!$A:$AL,28,FALSE)-4,1)</f>
        <v>L</v>
      </c>
      <c r="AH215" s="49" t="str">
        <f>MID(VLOOKUP($A215,Seqs!$A:$B,2,FALSE),VLOOKUP($A215,'SegEnds_NonXtal_Prot#'!$A:$AL,28,FALSE),1)</f>
        <v>P</v>
      </c>
    </row>
    <row r="216" spans="1:34" s="2" customFormat="1" x14ac:dyDescent="0.2">
      <c r="A216" s="2" t="s">
        <v>312</v>
      </c>
      <c r="B216" s="2" t="str">
        <f>LOWER(VLOOKUP(A216,Xtal_Templ!A:B,2,FALSE))</f>
        <v>ox2r_human</v>
      </c>
      <c r="C216" s="2" t="str">
        <f>VLOOKUP(A216,Classification!A:D,2,FALSE)</f>
        <v>A</v>
      </c>
      <c r="D216" s="2" t="str">
        <f>IF(ISERROR(MATCH(A216,'SegEnds_Xtal_Prot#'!B:B, 0)), "NoXtal", "Xtal")</f>
        <v>NoXtal</v>
      </c>
      <c r="H216" s="4"/>
      <c r="N216" s="2" t="s">
        <v>14</v>
      </c>
      <c r="R216" s="2" t="s">
        <v>9</v>
      </c>
      <c r="T216" s="4" t="s">
        <v>12</v>
      </c>
      <c r="V216" s="28" t="str">
        <f>MID(VLOOKUP($A216,Seqs!$A:$B,2,FALSE),VLOOKUP($A216,'SegEnds_NonXtal_Prot#'!A:AL,10,FALSE),1)</f>
        <v>D</v>
      </c>
      <c r="W216" s="49" t="str">
        <f>MID(VLOOKUP($A216,Seqs!$A:$B,2,FALSE),VLOOKUP($A216,'SegEnds_NonXtal_Prot#'!A:AL,10,FALSE)+6,1)</f>
        <v>Y</v>
      </c>
      <c r="X216" s="49" t="str">
        <f>MID(VLOOKUP($A216,Seqs!$A:$B,2,FALSE),VLOOKUP($A216,'SegEnds_NonXtal_Prot#'!A:AL,10,FALSE)+7,1)</f>
        <v>P</v>
      </c>
      <c r="Y216" s="49" t="str">
        <f>MID(VLOOKUP($A216,Seqs!$A:$B,2,FALSE),VLOOKUP($A216,'SegEnds_NonXtal_Prot#'!A:AL,10,FALSE)+8,1)</f>
        <v>Y</v>
      </c>
      <c r="Z216" s="49" t="str">
        <f>MID(VLOOKUP($A216,Seqs!$A:$B,2,FALSE),VLOOKUP($A216,'SegEnds_NonXtal_Prot#'!A:AL,10,FALSE)+9,1)</f>
        <v>P</v>
      </c>
      <c r="AA216" s="49" t="str">
        <f>MID(VLOOKUP($A216,Seqs!$A:$B,2,FALSE),VLOOKUP($A216,'SegEnds_NonXtal_Prot#'!A:AL,10,FALSE)+10,1)</f>
        <v>L</v>
      </c>
      <c r="AB216" s="28" t="str">
        <f>MID(VLOOKUP($A216,Seqs!$A:$B,2,FALSE),VLOOKUP($A216,'SegEnds_NonXtal_Prot#'!$A:$AL,22,FALSE)+6,1)</f>
        <v>A</v>
      </c>
      <c r="AC216" s="49" t="str">
        <f>MID(VLOOKUP($A216,Seqs!$A:$B,2,FALSE),VLOOKUP($A216,'SegEnds_NonXtal_Prot#'!$A:$AL,22,FALSE)+7,1)</f>
        <v>L</v>
      </c>
      <c r="AD216" s="49" t="str">
        <f>MID(VLOOKUP($A216,Seqs!$A:$B,2,FALSE),VLOOKUP($A216,'SegEnds_NonXtal_Prot#'!$A:$AL,22,FALSE)+8,1)</f>
        <v>L</v>
      </c>
      <c r="AE216" s="49" t="str">
        <f>MID(VLOOKUP($A216,Seqs!$A:$B,2,FALSE),VLOOKUP($A216,'SegEnds_NonXtal_Prot#'!$A:$AL,22,FALSE)+9,1)</f>
        <v>P</v>
      </c>
      <c r="AF216" s="49" t="str">
        <f>MID(VLOOKUP($A216,Seqs!$A:$B,2,FALSE),VLOOKUP($A216,'SegEnds_NonXtal_Prot#'!$A:$AL,22,FALSE)+10,1)</f>
        <v>N</v>
      </c>
      <c r="AG216" s="28" t="str">
        <f>MID(VLOOKUP($A216,Seqs!$A:$B,2,FALSE),VLOOKUP($A216,'SegEnds_NonXtal_Prot#'!$A:$AL,28,FALSE)-4,1)</f>
        <v>H</v>
      </c>
      <c r="AH216" s="49" t="str">
        <f>MID(VLOOKUP($A216,Seqs!$A:$B,2,FALSE),VLOOKUP($A216,'SegEnds_NonXtal_Prot#'!$A:$AL,28,FALSE),1)</f>
        <v>P</v>
      </c>
    </row>
    <row r="217" spans="1:34" s="2" customFormat="1" x14ac:dyDescent="0.2">
      <c r="A217" s="2" t="s">
        <v>313</v>
      </c>
      <c r="B217" s="2" t="str">
        <f>LOWER(VLOOKUP(A217,Xtal_Templ!A:B,2,FALSE))</f>
        <v>ox2r_human</v>
      </c>
      <c r="C217" s="2" t="str">
        <f>VLOOKUP(A217,Classification!A:D,2,FALSE)</f>
        <v>A</v>
      </c>
      <c r="D217" s="2" t="str">
        <f>IF(ISERROR(MATCH(A217,'SegEnds_Xtal_Prot#'!B:B, 0)), "NoXtal", "Xtal")</f>
        <v>NoXtal</v>
      </c>
      <c r="H217" s="4"/>
      <c r="N217" s="2" t="s">
        <v>14</v>
      </c>
      <c r="R217" s="2" t="s">
        <v>9</v>
      </c>
      <c r="T217" s="4" t="s">
        <v>12</v>
      </c>
      <c r="V217" s="28" t="str">
        <f>MID(VLOOKUP($A217,Seqs!$A:$B,2,FALSE),VLOOKUP($A217,'SegEnds_NonXtal_Prot#'!A:AL,10,FALSE),1)</f>
        <v>D</v>
      </c>
      <c r="W217" s="49" t="str">
        <f>MID(VLOOKUP($A217,Seqs!$A:$B,2,FALSE),VLOOKUP($A217,'SegEnds_NonXtal_Prot#'!A:AL,10,FALSE)+6,1)</f>
        <v>Y</v>
      </c>
      <c r="X217" s="49" t="str">
        <f>MID(VLOOKUP($A217,Seqs!$A:$B,2,FALSE),VLOOKUP($A217,'SegEnds_NonXtal_Prot#'!A:AL,10,FALSE)+7,1)</f>
        <v>P</v>
      </c>
      <c r="Y217" s="49" t="str">
        <f>MID(VLOOKUP($A217,Seqs!$A:$B,2,FALSE),VLOOKUP($A217,'SegEnds_NonXtal_Prot#'!A:AL,10,FALSE)+8,1)</f>
        <v>Y</v>
      </c>
      <c r="Z217" s="49" t="str">
        <f>MID(VLOOKUP($A217,Seqs!$A:$B,2,FALSE),VLOOKUP($A217,'SegEnds_NonXtal_Prot#'!A:AL,10,FALSE)+9,1)</f>
        <v>P</v>
      </c>
      <c r="AA217" s="49" t="str">
        <f>MID(VLOOKUP($A217,Seqs!$A:$B,2,FALSE),VLOOKUP($A217,'SegEnds_NonXtal_Prot#'!A:AL,10,FALSE)+10,1)</f>
        <v>L</v>
      </c>
      <c r="AB217" s="28" t="str">
        <f>MID(VLOOKUP($A217,Seqs!$A:$B,2,FALSE),VLOOKUP($A217,'SegEnds_NonXtal_Prot#'!$A:$AL,22,FALSE)+6,1)</f>
        <v>A</v>
      </c>
      <c r="AC217" s="49" t="str">
        <f>MID(VLOOKUP($A217,Seqs!$A:$B,2,FALSE),VLOOKUP($A217,'SegEnds_NonXtal_Prot#'!$A:$AL,22,FALSE)+7,1)</f>
        <v>V</v>
      </c>
      <c r="AD217" s="49" t="str">
        <f>MID(VLOOKUP($A217,Seqs!$A:$B,2,FALSE),VLOOKUP($A217,'SegEnds_NonXtal_Prot#'!$A:$AL,22,FALSE)+8,1)</f>
        <v>L</v>
      </c>
      <c r="AE217" s="49" t="str">
        <f>MID(VLOOKUP($A217,Seqs!$A:$B,2,FALSE),VLOOKUP($A217,'SegEnds_NonXtal_Prot#'!$A:$AL,22,FALSE)+9,1)</f>
        <v>P</v>
      </c>
      <c r="AF217" s="49" t="str">
        <f>MID(VLOOKUP($A217,Seqs!$A:$B,2,FALSE),VLOOKUP($A217,'SegEnds_NonXtal_Prot#'!$A:$AL,22,FALSE)+10,1)</f>
        <v>N</v>
      </c>
      <c r="AG217" s="28" t="str">
        <f>MID(VLOOKUP($A217,Seqs!$A:$B,2,FALSE),VLOOKUP($A217,'SegEnds_NonXtal_Prot#'!$A:$AL,28,FALSE)-4,1)</f>
        <v>H</v>
      </c>
      <c r="AH217" s="49" t="str">
        <f>MID(VLOOKUP($A217,Seqs!$A:$B,2,FALSE),VLOOKUP($A217,'SegEnds_NonXtal_Prot#'!$A:$AL,28,FALSE),1)</f>
        <v>P</v>
      </c>
    </row>
    <row r="218" spans="1:34" s="2" customFormat="1" x14ac:dyDescent="0.2">
      <c r="A218" s="2" t="s">
        <v>314</v>
      </c>
      <c r="B218" s="2" t="str">
        <f>LOWER(VLOOKUP(A218,Xtal_Templ!A:B,2,FALSE))</f>
        <v>nk1r_human</v>
      </c>
      <c r="C218" s="2" t="str">
        <f>VLOOKUP(A218,Classification!A:D,2,FALSE)</f>
        <v>A</v>
      </c>
      <c r="D218" s="2" t="str">
        <f>IF(ISERROR(MATCH(A218,'SegEnds_Xtal_Prot#'!B:B, 0)), "NoXtal", "Xtal")</f>
        <v>Xtal</v>
      </c>
      <c r="N218" s="2" t="s">
        <v>14</v>
      </c>
      <c r="R218" s="2" t="s">
        <v>9</v>
      </c>
      <c r="T218" s="4" t="s">
        <v>12</v>
      </c>
      <c r="V218" s="28" t="str">
        <f>MID(VLOOKUP($A218,Seqs!$A:$B,2,FALSE),VLOOKUP($A218,'SegEnds_NonXtal_Prot#'!A:AL,10,FALSE),1)</f>
        <v>E</v>
      </c>
      <c r="W218" s="49" t="str">
        <f>MID(VLOOKUP($A218,Seqs!$A:$B,2,FALSE),VLOOKUP($A218,'SegEnds_NonXtal_Prot#'!A:AL,10,FALSE)+6,1)</f>
        <v>F</v>
      </c>
      <c r="X218" s="49" t="str">
        <f>MID(VLOOKUP($A218,Seqs!$A:$B,2,FALSE),VLOOKUP($A218,'SegEnds_NonXtal_Prot#'!A:AL,10,FALSE)+7,1)</f>
        <v>N</v>
      </c>
      <c r="Y218" s="49" t="str">
        <f>MID(VLOOKUP($A218,Seqs!$A:$B,2,FALSE),VLOOKUP($A218,'SegEnds_NonXtal_Prot#'!A:AL,10,FALSE)+8,1)</f>
        <v>T</v>
      </c>
      <c r="Z218" s="49" t="str">
        <f>MID(VLOOKUP($A218,Seqs!$A:$B,2,FALSE),VLOOKUP($A218,'SegEnds_NonXtal_Prot#'!A:AL,10,FALSE)+9,1)</f>
        <v>V</v>
      </c>
      <c r="AA218" s="49" t="str">
        <f>MID(VLOOKUP($A218,Seqs!$A:$B,2,FALSE),VLOOKUP($A218,'SegEnds_NonXtal_Prot#'!A:AL,10,FALSE)+10,1)</f>
        <v>V</v>
      </c>
      <c r="AB218" s="28" t="str">
        <f>MID(VLOOKUP($A218,Seqs!$A:$B,2,FALSE),VLOOKUP($A218,'SegEnds_NonXtal_Prot#'!$A:$AL,22,FALSE)+6,1)</f>
        <v>L</v>
      </c>
      <c r="AC218" s="49" t="str">
        <f>MID(VLOOKUP($A218,Seqs!$A:$B,2,FALSE),VLOOKUP($A218,'SegEnds_NonXtal_Prot#'!$A:$AL,22,FALSE)+7,1)</f>
        <v>A</v>
      </c>
      <c r="AD218" s="49" t="str">
        <f>MID(VLOOKUP($A218,Seqs!$A:$B,2,FALSE),VLOOKUP($A218,'SegEnds_NonXtal_Prot#'!$A:$AL,22,FALSE)+8,1)</f>
        <v>F</v>
      </c>
      <c r="AE218" s="49" t="str">
        <f>MID(VLOOKUP($A218,Seqs!$A:$B,2,FALSE),VLOOKUP($A218,'SegEnds_NonXtal_Prot#'!$A:$AL,22,FALSE)+9,1)</f>
        <v>P</v>
      </c>
      <c r="AF218" s="49" t="str">
        <f>MID(VLOOKUP($A218,Seqs!$A:$B,2,FALSE),VLOOKUP($A218,'SegEnds_NonXtal_Prot#'!$A:$AL,22,FALSE)+10,1)</f>
        <v>Q</v>
      </c>
      <c r="AG218" s="28" t="str">
        <f>MID(VLOOKUP($A218,Seqs!$A:$B,2,FALSE),VLOOKUP($A218,'SegEnds_NonXtal_Prot#'!$A:$AL,28,FALSE)-4,1)</f>
        <v>I</v>
      </c>
      <c r="AH218" s="49" t="str">
        <f>MID(VLOOKUP($A218,Seqs!$A:$B,2,FALSE),VLOOKUP($A218,'SegEnds_NonXtal_Prot#'!$A:$AL,28,FALSE),1)</f>
        <v>P</v>
      </c>
    </row>
    <row r="219" spans="1:34" s="2" customFormat="1" x14ac:dyDescent="0.2">
      <c r="A219" s="2" t="s">
        <v>316</v>
      </c>
      <c r="B219" s="2" t="str">
        <f>LOWER(VLOOKUP(A219,Xtal_Templ!A:B,2,FALSE))</f>
        <v>nk1r_human</v>
      </c>
      <c r="C219" s="2" t="str">
        <f>VLOOKUP(A219,Classification!A:D,2,FALSE)</f>
        <v>A</v>
      </c>
      <c r="D219" s="2" t="str">
        <f>IF(ISERROR(MATCH(A219,'SegEnds_Xtal_Prot#'!B:B, 0)), "NoXtal", "Xtal")</f>
        <v>NoXtal</v>
      </c>
      <c r="H219" s="4"/>
      <c r="N219" s="2" t="s">
        <v>14</v>
      </c>
      <c r="R219" s="2" t="s">
        <v>9</v>
      </c>
      <c r="T219" s="4" t="s">
        <v>12</v>
      </c>
      <c r="V219" s="28" t="str">
        <f>MID(VLOOKUP($A219,Seqs!$A:$B,2,FALSE),VLOOKUP($A219,'SegEnds_NonXtal_Prot#'!A:AL,10,FALSE),1)</f>
        <v>D</v>
      </c>
      <c r="W219" s="49" t="str">
        <f>MID(VLOOKUP($A219,Seqs!$A:$B,2,FALSE),VLOOKUP($A219,'SegEnds_NonXtal_Prot#'!A:AL,10,FALSE)+6,1)</f>
        <v>F</v>
      </c>
      <c r="X219" s="49" t="str">
        <f>MID(VLOOKUP($A219,Seqs!$A:$B,2,FALSE),VLOOKUP($A219,'SegEnds_NonXtal_Prot#'!A:AL,10,FALSE)+7,1)</f>
        <v>N</v>
      </c>
      <c r="Y219" s="49" t="str">
        <f>MID(VLOOKUP($A219,Seqs!$A:$B,2,FALSE),VLOOKUP($A219,'SegEnds_NonXtal_Prot#'!A:AL,10,FALSE)+8,1)</f>
        <v>T</v>
      </c>
      <c r="Z219" s="49" t="str">
        <f>MID(VLOOKUP($A219,Seqs!$A:$B,2,FALSE),VLOOKUP($A219,'SegEnds_NonXtal_Prot#'!A:AL,10,FALSE)+9,1)</f>
        <v>L</v>
      </c>
      <c r="AA219" s="49" t="str">
        <f>MID(VLOOKUP($A219,Seqs!$A:$B,2,FALSE),VLOOKUP($A219,'SegEnds_NonXtal_Prot#'!A:AL,10,FALSE)+10,1)</f>
        <v>V</v>
      </c>
      <c r="AB219" s="28" t="str">
        <f>MID(VLOOKUP($A219,Seqs!$A:$B,2,FALSE),VLOOKUP($A219,'SegEnds_NonXtal_Prot#'!$A:$AL,22,FALSE)+6,1)</f>
        <v>L</v>
      </c>
      <c r="AC219" s="49" t="str">
        <f>MID(VLOOKUP($A219,Seqs!$A:$B,2,FALSE),VLOOKUP($A219,'SegEnds_NonXtal_Prot#'!$A:$AL,22,FALSE)+7,1)</f>
        <v>A</v>
      </c>
      <c r="AD219" s="49" t="str">
        <f>MID(VLOOKUP($A219,Seqs!$A:$B,2,FALSE),VLOOKUP($A219,'SegEnds_NonXtal_Prot#'!$A:$AL,22,FALSE)+8,1)</f>
        <v>F</v>
      </c>
      <c r="AE219" s="49" t="str">
        <f>MID(VLOOKUP($A219,Seqs!$A:$B,2,FALSE),VLOOKUP($A219,'SegEnds_NonXtal_Prot#'!$A:$AL,22,FALSE)+9,1)</f>
        <v>P</v>
      </c>
      <c r="AF219" s="49" t="str">
        <f>MID(VLOOKUP($A219,Seqs!$A:$B,2,FALSE),VLOOKUP($A219,'SegEnds_NonXtal_Prot#'!$A:$AL,22,FALSE)+10,1)</f>
        <v>Q</v>
      </c>
      <c r="AG219" s="28" t="str">
        <f>MID(VLOOKUP($A219,Seqs!$A:$B,2,FALSE),VLOOKUP($A219,'SegEnds_NonXtal_Prot#'!$A:$AL,28,FALSE)-4,1)</f>
        <v>V</v>
      </c>
      <c r="AH219" s="49" t="str">
        <f>MID(VLOOKUP($A219,Seqs!$A:$B,2,FALSE),VLOOKUP($A219,'SegEnds_NonXtal_Prot#'!$A:$AL,28,FALSE),1)</f>
        <v>P</v>
      </c>
    </row>
    <row r="220" spans="1:34" s="2" customFormat="1" x14ac:dyDescent="0.2">
      <c r="A220" s="2" t="s">
        <v>322</v>
      </c>
      <c r="B220" s="2" t="str">
        <f>LOWER(VLOOKUP(A220,Xtal_Templ!A:B,2,FALSE))</f>
        <v>ox1r_human</v>
      </c>
      <c r="C220" s="2" t="str">
        <f>VLOOKUP(A220,Classification!A:D,2,FALSE)</f>
        <v>A</v>
      </c>
      <c r="D220" s="2" t="str">
        <f>IF(ISERROR(MATCH(A220,'SegEnds_Xtal_Prot#'!B:B, 0)), "NoXtal", "Xtal")</f>
        <v>NoXtal</v>
      </c>
      <c r="G220" s="2" t="s">
        <v>5</v>
      </c>
      <c r="H220" s="4"/>
      <c r="N220" s="2" t="s">
        <v>14</v>
      </c>
      <c r="R220" s="2" t="s">
        <v>9</v>
      </c>
      <c r="T220" s="4" t="s">
        <v>12</v>
      </c>
      <c r="V220" s="28" t="str">
        <f>MID(VLOOKUP($A220,Seqs!$A:$B,2,FALSE),VLOOKUP($A220,'SegEnds_NonXtal_Prot#'!A:AL,10,FALSE),1)</f>
        <v>D</v>
      </c>
      <c r="W220" s="49" t="str">
        <f>MID(VLOOKUP($A220,Seqs!$A:$B,2,FALSE),VLOOKUP($A220,'SegEnds_NonXtal_Prot#'!A:AL,10,FALSE)+6,1)</f>
        <v>F</v>
      </c>
      <c r="X220" s="49" t="str">
        <f>MID(VLOOKUP($A220,Seqs!$A:$B,2,FALSE),VLOOKUP($A220,'SegEnds_NonXtal_Prot#'!A:AL,10,FALSE)+7,1)</f>
        <v>C</v>
      </c>
      <c r="Y220" s="49" t="str">
        <f>MID(VLOOKUP($A220,Seqs!$A:$B,2,FALSE),VLOOKUP($A220,'SegEnds_NonXtal_Prot#'!A:AL,10,FALSE)+8,1)</f>
        <v>M</v>
      </c>
      <c r="Z220" s="49" t="str">
        <f>MID(VLOOKUP($A220,Seqs!$A:$B,2,FALSE),VLOOKUP($A220,'SegEnds_NonXtal_Prot#'!A:AL,10,FALSE)+9,1)</f>
        <v>P</v>
      </c>
      <c r="AA220" s="49" t="str">
        <f>MID(VLOOKUP($A220,Seqs!$A:$B,2,FALSE),VLOOKUP($A220,'SegEnds_NonXtal_Prot#'!A:AL,10,FALSE)+10,1)</f>
        <v>T</v>
      </c>
      <c r="AB220" s="28" t="str">
        <f>MID(VLOOKUP($A220,Seqs!$A:$B,2,FALSE),VLOOKUP($A220,'SegEnds_NonXtal_Prot#'!$A:$AL,22,FALSE)+6,1)</f>
        <v>I</v>
      </c>
      <c r="AC220" s="49" t="str">
        <f>MID(VLOOKUP($A220,Seqs!$A:$B,2,FALSE),VLOOKUP($A220,'SegEnds_NonXtal_Prot#'!$A:$AL,22,FALSE)+7,1)</f>
        <v>M</v>
      </c>
      <c r="AD220" s="49" t="str">
        <f>MID(VLOOKUP($A220,Seqs!$A:$B,2,FALSE),VLOOKUP($A220,'SegEnds_NonXtal_Prot#'!$A:$AL,22,FALSE)+8,1)</f>
        <v>C</v>
      </c>
      <c r="AE220" s="49" t="str">
        <f>MID(VLOOKUP($A220,Seqs!$A:$B,2,FALSE),VLOOKUP($A220,'SegEnds_NonXtal_Prot#'!$A:$AL,22,FALSE)+9,1)</f>
        <v>P</v>
      </c>
      <c r="AF220" s="49" t="str">
        <f>MID(VLOOKUP($A220,Seqs!$A:$B,2,FALSE),VLOOKUP($A220,'SegEnds_NonXtal_Prot#'!$A:$AL,22,FALSE)+10,1)</f>
        <v>S</v>
      </c>
      <c r="AG220" s="28" t="str">
        <f>MID(VLOOKUP($A220,Seqs!$A:$B,2,FALSE),VLOOKUP($A220,'SegEnds_NonXtal_Prot#'!$A:$AL,28,FALSE)-4,1)</f>
        <v>I</v>
      </c>
      <c r="AH220" s="49" t="str">
        <f>MID(VLOOKUP($A220,Seqs!$A:$B,2,FALSE),VLOOKUP($A220,'SegEnds_NonXtal_Prot#'!$A:$AL,28,FALSE),1)</f>
        <v>P</v>
      </c>
    </row>
    <row r="221" spans="1:34" s="2" customFormat="1" x14ac:dyDescent="0.2">
      <c r="A221" s="2" t="s">
        <v>324</v>
      </c>
      <c r="B221" s="2" t="str">
        <f>LOWER(VLOOKUP(A221,Xtal_Templ!A:B,2,FALSE))</f>
        <v>5ht2c_human</v>
      </c>
      <c r="C221" s="2" t="str">
        <f>VLOOKUP(A221,Classification!A:D,2,FALSE)</f>
        <v>A</v>
      </c>
      <c r="D221" s="2" t="str">
        <f>IF(ISERROR(MATCH(A221,'SegEnds_Xtal_Prot#'!B:B, 0)), "NoXtal", "Xtal")</f>
        <v>NoXtal</v>
      </c>
      <c r="H221" s="4"/>
      <c r="N221" s="2" t="s">
        <v>14</v>
      </c>
      <c r="R221" s="2" t="s">
        <v>9</v>
      </c>
      <c r="T221" s="4" t="s">
        <v>12</v>
      </c>
      <c r="V221" s="28" t="str">
        <f>MID(VLOOKUP($A221,Seqs!$A:$B,2,FALSE),VLOOKUP($A221,'SegEnds_NonXtal_Prot#'!A:AL,10,FALSE),1)</f>
        <v>D</v>
      </c>
      <c r="W221" s="49" t="str">
        <f>MID(VLOOKUP($A221,Seqs!$A:$B,2,FALSE),VLOOKUP($A221,'SegEnds_NonXtal_Prot#'!A:AL,10,FALSE)+6,1)</f>
        <v>V</v>
      </c>
      <c r="X221" s="49" t="str">
        <f>MID(VLOOKUP($A221,Seqs!$A:$B,2,FALSE),VLOOKUP($A221,'SegEnds_NonXtal_Prot#'!A:AL,10,FALSE)+7,1)</f>
        <v>N</v>
      </c>
      <c r="Y221" s="49" t="str">
        <f>MID(VLOOKUP($A221,Seqs!$A:$B,2,FALSE),VLOOKUP($A221,'SegEnds_NonXtal_Prot#'!A:AL,10,FALSE)+8,1)</f>
        <v>I</v>
      </c>
      <c r="Z221" s="49" t="str">
        <f>MID(VLOOKUP($A221,Seqs!$A:$B,2,FALSE),VLOOKUP($A221,'SegEnds_NonXtal_Prot#'!A:AL,10,FALSE)+9,1)</f>
        <v>L</v>
      </c>
      <c r="AA221" s="49" t="str">
        <f>MID(VLOOKUP($A221,Seqs!$A:$B,2,FALSE),VLOOKUP($A221,'SegEnds_NonXtal_Prot#'!A:AL,10,FALSE)+10,1)</f>
        <v>T</v>
      </c>
      <c r="AB221" s="28" t="str">
        <f>MID(VLOOKUP($A221,Seqs!$A:$B,2,FALSE),VLOOKUP($A221,'SegEnds_NonXtal_Prot#'!$A:$AL,22,FALSE)+6,1)</f>
        <v>F</v>
      </c>
      <c r="AC221" s="49" t="str">
        <f>MID(VLOOKUP($A221,Seqs!$A:$B,2,FALSE),VLOOKUP($A221,'SegEnds_NonXtal_Prot#'!$A:$AL,22,FALSE)+7,1)</f>
        <v>S</v>
      </c>
      <c r="AD221" s="49" t="str">
        <f>MID(VLOOKUP($A221,Seqs!$A:$B,2,FALSE),VLOOKUP($A221,'SegEnds_NonXtal_Prot#'!$A:$AL,22,FALSE)+8,1)</f>
        <v>I</v>
      </c>
      <c r="AE221" s="49" t="str">
        <f>MID(VLOOKUP($A221,Seqs!$A:$B,2,FALSE),VLOOKUP($A221,'SegEnds_NonXtal_Prot#'!$A:$AL,22,FALSE)+9,1)</f>
        <v>P</v>
      </c>
      <c r="AF221" s="49" t="str">
        <f>MID(VLOOKUP($A221,Seqs!$A:$B,2,FALSE),VLOOKUP($A221,'SegEnds_NonXtal_Prot#'!$A:$AL,22,FALSE)+10,1)</f>
        <v>T</v>
      </c>
      <c r="AG221" s="28" t="str">
        <f>MID(VLOOKUP($A221,Seqs!$A:$B,2,FALSE),VLOOKUP($A221,'SegEnds_NonXtal_Prot#'!$A:$AL,28,FALSE)-4,1)</f>
        <v>V</v>
      </c>
      <c r="AH221" s="49" t="str">
        <f>MID(VLOOKUP($A221,Seqs!$A:$B,2,FALSE),VLOOKUP($A221,'SegEnds_NonXtal_Prot#'!$A:$AL,28,FALSE),1)</f>
        <v>P</v>
      </c>
    </row>
    <row r="222" spans="1:34" s="2" customFormat="1" x14ac:dyDescent="0.2">
      <c r="A222" s="2" t="s">
        <v>325</v>
      </c>
      <c r="B222" s="2" t="str">
        <f>LOWER(VLOOKUP(A222,Xtal_Templ!A:B,2,FALSE))</f>
        <v>npy1r_human</v>
      </c>
      <c r="C222" s="2" t="str">
        <f>VLOOKUP(A222,Classification!A:D,2,FALSE)</f>
        <v>A</v>
      </c>
      <c r="D222" s="2" t="str">
        <f>IF(ISERROR(MATCH(A222,'SegEnds_Xtal_Prot#'!B:B, 0)), "NoXtal", "Xtal")</f>
        <v>Xtal</v>
      </c>
      <c r="G222" s="2" t="s">
        <v>5</v>
      </c>
      <c r="H222" s="4"/>
      <c r="N222" s="2" t="s">
        <v>14</v>
      </c>
      <c r="R222" s="2" t="s">
        <v>9</v>
      </c>
      <c r="T222" s="4" t="s">
        <v>12</v>
      </c>
      <c r="V222" s="28" t="str">
        <f>MID(VLOOKUP($A222,Seqs!$A:$B,2,FALSE),VLOOKUP($A222,'SegEnds_NonXtal_Prot#'!A:AL,10,FALSE),1)</f>
        <v>D</v>
      </c>
      <c r="W222" s="49" t="str">
        <f>MID(VLOOKUP($A222,Seqs!$A:$B,2,FALSE),VLOOKUP($A222,'SegEnds_NonXtal_Prot#'!A:AL,10,FALSE)+6,1)</f>
        <v>M</v>
      </c>
      <c r="X222" s="49" t="str">
        <f>MID(VLOOKUP($A222,Seqs!$A:$B,2,FALSE),VLOOKUP($A222,'SegEnds_NonXtal_Prot#'!A:AL,10,FALSE)+7,1)</f>
        <v>C</v>
      </c>
      <c r="Y222" s="49" t="str">
        <f>MID(VLOOKUP($A222,Seqs!$A:$B,2,FALSE),VLOOKUP($A222,'SegEnds_NonXtal_Prot#'!A:AL,10,FALSE)+8,1)</f>
        <v>L</v>
      </c>
      <c r="Z222" s="49" t="str">
        <f>MID(VLOOKUP($A222,Seqs!$A:$B,2,FALSE),VLOOKUP($A222,'SegEnds_NonXtal_Prot#'!A:AL,10,FALSE)+9,1)</f>
        <v>P</v>
      </c>
      <c r="AA222" s="49" t="str">
        <f>MID(VLOOKUP($A222,Seqs!$A:$B,2,FALSE),VLOOKUP($A222,'SegEnds_NonXtal_Prot#'!A:AL,10,FALSE)+10,1)</f>
        <v>F</v>
      </c>
      <c r="AB222" s="28" t="str">
        <f>MID(VLOOKUP($A222,Seqs!$A:$B,2,FALSE),VLOOKUP($A222,'SegEnds_NonXtal_Prot#'!$A:$AL,22,FALSE)+6,1)</f>
        <v>S</v>
      </c>
      <c r="AC222" s="49" t="str">
        <f>MID(VLOOKUP($A222,Seqs!$A:$B,2,FALSE),VLOOKUP($A222,'SegEnds_NonXtal_Prot#'!$A:$AL,22,FALSE)+7,1)</f>
        <v>S</v>
      </c>
      <c r="AD222" s="49" t="str">
        <f>MID(VLOOKUP($A222,Seqs!$A:$B,2,FALSE),VLOOKUP($A222,'SegEnds_NonXtal_Prot#'!$A:$AL,22,FALSE)+8,1)</f>
        <v>L</v>
      </c>
      <c r="AE222" s="49" t="str">
        <f>MID(VLOOKUP($A222,Seqs!$A:$B,2,FALSE),VLOOKUP($A222,'SegEnds_NonXtal_Prot#'!$A:$AL,22,FALSE)+9,1)</f>
        <v>P</v>
      </c>
      <c r="AF222" s="49" t="str">
        <f>MID(VLOOKUP($A222,Seqs!$A:$B,2,FALSE),VLOOKUP($A222,'SegEnds_NonXtal_Prot#'!$A:$AL,22,FALSE)+10,1)</f>
        <v>F</v>
      </c>
      <c r="AG222" s="28" t="str">
        <f>MID(VLOOKUP($A222,Seqs!$A:$B,2,FALSE),VLOOKUP($A222,'SegEnds_NonXtal_Prot#'!$A:$AL,28,FALSE)-4,1)</f>
        <v>Q</v>
      </c>
      <c r="AH222" s="49" t="str">
        <f>MID(VLOOKUP($A222,Seqs!$A:$B,2,FALSE),VLOOKUP($A222,'SegEnds_NonXtal_Prot#'!$A:$AL,28,FALSE),1)</f>
        <v>P</v>
      </c>
    </row>
    <row r="223" spans="1:34" s="2" customFormat="1" x14ac:dyDescent="0.2">
      <c r="A223" s="2" t="s">
        <v>327</v>
      </c>
      <c r="B223" s="2" t="str">
        <f>LOWER(VLOOKUP(A223,Xtal_Templ!A:B,2,FALSE))</f>
        <v>npy1r_human</v>
      </c>
      <c r="C223" s="2" t="str">
        <f>VLOOKUP(A223,Classification!A:D,2,FALSE)</f>
        <v>A</v>
      </c>
      <c r="D223" s="2" t="str">
        <f>IF(ISERROR(MATCH(A223,'SegEnds_Xtal_Prot#'!B:B, 0)), "NoXtal", "Xtal")</f>
        <v>NoXtal</v>
      </c>
      <c r="G223" s="2" t="s">
        <v>5</v>
      </c>
      <c r="H223" s="4"/>
      <c r="N223" s="2" t="s">
        <v>14</v>
      </c>
      <c r="R223" s="2" t="s">
        <v>9</v>
      </c>
      <c r="T223" s="4" t="s">
        <v>12</v>
      </c>
      <c r="V223" s="28" t="str">
        <f>MID(VLOOKUP($A223,Seqs!$A:$B,2,FALSE),VLOOKUP($A223,'SegEnds_NonXtal_Prot#'!A:AL,10,FALSE),1)</f>
        <v>D</v>
      </c>
      <c r="W223" s="49" t="str">
        <f>MID(VLOOKUP($A223,Seqs!$A:$B,2,FALSE),VLOOKUP($A223,'SegEnds_NonXtal_Prot#'!A:AL,10,FALSE)+6,1)</f>
        <v>L</v>
      </c>
      <c r="X223" s="49" t="str">
        <f>MID(VLOOKUP($A223,Seqs!$A:$B,2,FALSE),VLOOKUP($A223,'SegEnds_NonXtal_Prot#'!A:AL,10,FALSE)+7,1)</f>
        <v>C</v>
      </c>
      <c r="Y223" s="49" t="str">
        <f>MID(VLOOKUP($A223,Seqs!$A:$B,2,FALSE),VLOOKUP($A223,'SegEnds_NonXtal_Prot#'!A:AL,10,FALSE)+8,1)</f>
        <v>Q</v>
      </c>
      <c r="Z223" s="49" t="str">
        <f>MID(VLOOKUP($A223,Seqs!$A:$B,2,FALSE),VLOOKUP($A223,'SegEnds_NonXtal_Prot#'!A:AL,10,FALSE)+9,1)</f>
        <v>P</v>
      </c>
      <c r="AA223" s="49" t="str">
        <f>MID(VLOOKUP($A223,Seqs!$A:$B,2,FALSE),VLOOKUP($A223,'SegEnds_NonXtal_Prot#'!A:AL,10,FALSE)+10,1)</f>
        <v>L</v>
      </c>
      <c r="AB223" s="28" t="str">
        <f>MID(VLOOKUP($A223,Seqs!$A:$B,2,FALSE),VLOOKUP($A223,'SegEnds_NonXtal_Prot#'!$A:$AL,22,FALSE)+6,1)</f>
        <v>L</v>
      </c>
      <c r="AC223" s="49" t="str">
        <f>MID(VLOOKUP($A223,Seqs!$A:$B,2,FALSE),VLOOKUP($A223,'SegEnds_NonXtal_Prot#'!$A:$AL,22,FALSE)+7,1)</f>
        <v>S</v>
      </c>
      <c r="AD223" s="49" t="str">
        <f>MID(VLOOKUP($A223,Seqs!$A:$B,2,FALSE),VLOOKUP($A223,'SegEnds_NonXtal_Prot#'!$A:$AL,22,FALSE)+8,1)</f>
        <v>L</v>
      </c>
      <c r="AE223" s="49" t="str">
        <f>MID(VLOOKUP($A223,Seqs!$A:$B,2,FALSE),VLOOKUP($A223,'SegEnds_NonXtal_Prot#'!$A:$AL,22,FALSE)+9,1)</f>
        <v>P</v>
      </c>
      <c r="AF223" s="49" t="str">
        <f>MID(VLOOKUP($A223,Seqs!$A:$B,2,FALSE),VLOOKUP($A223,'SegEnds_NonXtal_Prot#'!$A:$AL,22,FALSE)+10,1)</f>
        <v>F</v>
      </c>
      <c r="AG223" s="28" t="str">
        <f>MID(VLOOKUP($A223,Seqs!$A:$B,2,FALSE),VLOOKUP($A223,'SegEnds_NonXtal_Prot#'!$A:$AL,28,FALSE)-4,1)</f>
        <v>Q</v>
      </c>
      <c r="AH223" s="49" t="str">
        <f>MID(VLOOKUP($A223,Seqs!$A:$B,2,FALSE),VLOOKUP($A223,'SegEnds_NonXtal_Prot#'!$A:$AL,28,FALSE),1)</f>
        <v>P</v>
      </c>
    </row>
    <row r="224" spans="1:34" s="2" customFormat="1" x14ac:dyDescent="0.2">
      <c r="A224" s="2" t="s">
        <v>328</v>
      </c>
      <c r="B224" s="2" t="str">
        <f>LOWER(VLOOKUP(A224,Xtal_Templ!A:B,2,FALSE))</f>
        <v>npy1r_human</v>
      </c>
      <c r="C224" s="2" t="str">
        <f>VLOOKUP(A224,Classification!A:D,2,FALSE)</f>
        <v>A</v>
      </c>
      <c r="D224" s="2" t="str">
        <f>IF(ISERROR(MATCH(A224,'SegEnds_Xtal_Prot#'!B:B, 0)), "NoXtal", "Xtal")</f>
        <v>NoXtal</v>
      </c>
      <c r="G224" s="2" t="s">
        <v>5</v>
      </c>
      <c r="H224" s="4"/>
      <c r="N224" s="2" t="s">
        <v>14</v>
      </c>
      <c r="R224" s="2" t="s">
        <v>9</v>
      </c>
      <c r="T224" s="4" t="s">
        <v>12</v>
      </c>
      <c r="V224" s="28" t="str">
        <f>MID(VLOOKUP($A224,Seqs!$A:$B,2,FALSE),VLOOKUP($A224,'SegEnds_NonXtal_Prot#'!A:AL,10,FALSE),1)</f>
        <v>D</v>
      </c>
      <c r="W224" s="49" t="str">
        <f>MID(VLOOKUP($A224,Seqs!$A:$B,2,FALSE),VLOOKUP($A224,'SegEnds_NonXtal_Prot#'!A:AL,10,FALSE)+6,1)</f>
        <v>F</v>
      </c>
      <c r="X224" s="49" t="str">
        <f>MID(VLOOKUP($A224,Seqs!$A:$B,2,FALSE),VLOOKUP($A224,'SegEnds_NonXtal_Prot#'!A:AL,10,FALSE)+7,1)</f>
        <v>C</v>
      </c>
      <c r="Y224" s="49" t="str">
        <f>MID(VLOOKUP($A224,Seqs!$A:$B,2,FALSE),VLOOKUP($A224,'SegEnds_NonXtal_Prot#'!A:AL,10,FALSE)+8,1)</f>
        <v>S</v>
      </c>
      <c r="Z224" s="49" t="str">
        <f>MID(VLOOKUP($A224,Seqs!$A:$B,2,FALSE),VLOOKUP($A224,'SegEnds_NonXtal_Prot#'!A:AL,10,FALSE)+9,1)</f>
        <v>P</v>
      </c>
      <c r="AA224" s="49" t="str">
        <f>MID(VLOOKUP($A224,Seqs!$A:$B,2,FALSE),VLOOKUP($A224,'SegEnds_NonXtal_Prot#'!A:AL,10,FALSE)+10,1)</f>
        <v>F</v>
      </c>
      <c r="AB224" s="28" t="str">
        <f>MID(VLOOKUP($A224,Seqs!$A:$B,2,FALSE),VLOOKUP($A224,'SegEnds_NonXtal_Prot#'!$A:$AL,22,FALSE)+6,1)</f>
        <v>I</v>
      </c>
      <c r="AC224" s="49" t="str">
        <f>MID(VLOOKUP($A224,Seqs!$A:$B,2,FALSE),VLOOKUP($A224,'SegEnds_NonXtal_Prot#'!$A:$AL,22,FALSE)+7,1)</f>
        <v>C</v>
      </c>
      <c r="AD224" s="49" t="str">
        <f>MID(VLOOKUP($A224,Seqs!$A:$B,2,FALSE),VLOOKUP($A224,'SegEnds_NonXtal_Prot#'!$A:$AL,22,FALSE)+8,1)</f>
        <v>S</v>
      </c>
      <c r="AE224" s="49" t="str">
        <f>MID(VLOOKUP($A224,Seqs!$A:$B,2,FALSE),VLOOKUP($A224,'SegEnds_NonXtal_Prot#'!$A:$AL,22,FALSE)+9,1)</f>
        <v>P</v>
      </c>
      <c r="AF224" s="49" t="str">
        <f>MID(VLOOKUP($A224,Seqs!$A:$B,2,FALSE),VLOOKUP($A224,'SegEnds_NonXtal_Prot#'!$A:$AL,22,FALSE)+10,1)</f>
        <v>L</v>
      </c>
      <c r="AG224" s="28" t="str">
        <f>MID(VLOOKUP($A224,Seqs!$A:$B,2,FALSE),VLOOKUP($A224,'SegEnds_NonXtal_Prot#'!$A:$AL,28,FALSE)-4,1)</f>
        <v>Q</v>
      </c>
      <c r="AH224" s="49" t="str">
        <f>MID(VLOOKUP($A224,Seqs!$A:$B,2,FALSE),VLOOKUP($A224,'SegEnds_NonXtal_Prot#'!$A:$AL,28,FALSE),1)</f>
        <v>P</v>
      </c>
    </row>
    <row r="225" spans="1:34" s="2" customFormat="1" x14ac:dyDescent="0.2">
      <c r="A225" s="2" t="s">
        <v>329</v>
      </c>
      <c r="B225" s="2" t="str">
        <f>LOWER(VLOOKUP(A225,Xtal_Templ!A:B,2,FALSE))</f>
        <v>npy1r_human</v>
      </c>
      <c r="C225" s="2" t="str">
        <f>VLOOKUP(A225,Classification!A:D,2,FALSE)</f>
        <v>A</v>
      </c>
      <c r="D225" s="2" t="str">
        <f>IF(ISERROR(MATCH(A225,'SegEnds_Xtal_Prot#'!B:B, 0)), "NoXtal", "Xtal")</f>
        <v>NoXtal</v>
      </c>
      <c r="H225" s="4"/>
      <c r="N225" s="2" t="s">
        <v>14</v>
      </c>
      <c r="R225" s="2" t="s">
        <v>9</v>
      </c>
      <c r="T225" s="4" t="s">
        <v>12</v>
      </c>
      <c r="V225" s="28" t="str">
        <f>MID(VLOOKUP($A225,Seqs!$A:$B,2,FALSE),VLOOKUP($A225,'SegEnds_NonXtal_Prot#'!A:AL,10,FALSE),1)</f>
        <v>D</v>
      </c>
      <c r="W225" s="49" t="str">
        <f>MID(VLOOKUP($A225,Seqs!$A:$B,2,FALSE),VLOOKUP($A225,'SegEnds_NonXtal_Prot#'!A:AL,10,FALSE)+6,1)</f>
        <v>M</v>
      </c>
      <c r="X225" s="49" t="str">
        <f>MID(VLOOKUP($A225,Seqs!$A:$B,2,FALSE),VLOOKUP($A225,'SegEnds_NonXtal_Prot#'!A:AL,10,FALSE)+7,1)</f>
        <v>C</v>
      </c>
      <c r="Y225" s="49" t="str">
        <f>MID(VLOOKUP($A225,Seqs!$A:$B,2,FALSE),VLOOKUP($A225,'SegEnds_NonXtal_Prot#'!A:AL,10,FALSE)+8,1)</f>
        <v>I</v>
      </c>
      <c r="Z225" s="49" t="str">
        <f>MID(VLOOKUP($A225,Seqs!$A:$B,2,FALSE),VLOOKUP($A225,'SegEnds_NonXtal_Prot#'!A:AL,10,FALSE)+9,1)</f>
        <v>H</v>
      </c>
      <c r="AA225" s="49" t="str">
        <f>MID(VLOOKUP($A225,Seqs!$A:$B,2,FALSE),VLOOKUP($A225,'SegEnds_NonXtal_Prot#'!A:AL,10,FALSE)+10,1)</f>
        <v>F</v>
      </c>
      <c r="AB225" s="28" t="str">
        <f>MID(VLOOKUP($A225,Seqs!$A:$B,2,FALSE),VLOOKUP($A225,'SegEnds_NonXtal_Prot#'!$A:$AL,22,FALSE)+6,1)</f>
        <v>L</v>
      </c>
      <c r="AC225" s="49" t="str">
        <f>MID(VLOOKUP($A225,Seqs!$A:$B,2,FALSE),VLOOKUP($A225,'SegEnds_NonXtal_Prot#'!$A:$AL,22,FALSE)+7,1)</f>
        <v>S</v>
      </c>
      <c r="AD225" s="49" t="str">
        <f>MID(VLOOKUP($A225,Seqs!$A:$B,2,FALSE),VLOOKUP($A225,'SegEnds_NonXtal_Prot#'!$A:$AL,22,FALSE)+8,1)</f>
        <v>I</v>
      </c>
      <c r="AE225" s="49" t="str">
        <f>MID(VLOOKUP($A225,Seqs!$A:$B,2,FALSE),VLOOKUP($A225,'SegEnds_NonXtal_Prot#'!$A:$AL,22,FALSE)+9,1)</f>
        <v>P</v>
      </c>
      <c r="AF225" s="49" t="str">
        <f>MID(VLOOKUP($A225,Seqs!$A:$B,2,FALSE),VLOOKUP($A225,'SegEnds_NonXtal_Prot#'!$A:$AL,22,FALSE)+10,1)</f>
        <v>F</v>
      </c>
      <c r="AG225" s="28" t="str">
        <f>MID(VLOOKUP($A225,Seqs!$A:$B,2,FALSE),VLOOKUP($A225,'SegEnds_NonXtal_Prot#'!$A:$AL,28,FALSE)-4,1)</f>
        <v>Q</v>
      </c>
      <c r="AH225" s="49" t="str">
        <f>MID(VLOOKUP($A225,Seqs!$A:$B,2,FALSE),VLOOKUP($A225,'SegEnds_NonXtal_Prot#'!$A:$AL,28,FALSE),1)</f>
        <v>P</v>
      </c>
    </row>
    <row r="226" spans="1:34" s="2" customFormat="1" x14ac:dyDescent="0.2">
      <c r="A226" s="2" t="s">
        <v>1176</v>
      </c>
      <c r="B226" s="2" t="str">
        <f>LOWER(VLOOKUP(A226,Xtal_Templ!A:B,2,FALSE))</f>
        <v>ox2r_human</v>
      </c>
      <c r="C226" s="2" t="str">
        <f>VLOOKUP(A226,Classification!A:D,2,FALSE)</f>
        <v>A</v>
      </c>
      <c r="D226" s="2" t="str">
        <f>IF(ISERROR(MATCH(A226,'SegEnds_Xtal_Prot#'!B:B, 0)), "NoXtal", "Xtal")</f>
        <v>Xtal</v>
      </c>
      <c r="G226" s="2" t="s">
        <v>5</v>
      </c>
      <c r="H226" s="4"/>
      <c r="N226" s="2" t="s">
        <v>14</v>
      </c>
      <c r="R226" s="2" t="s">
        <v>9</v>
      </c>
      <c r="T226" s="4" t="s">
        <v>12</v>
      </c>
      <c r="V226" s="28" t="str">
        <f>MID(VLOOKUP($A226,Seqs!$A:$B,2,FALSE),VLOOKUP($A226,'SegEnds_NonXtal_Prot#'!A:AL,10,FALSE),1)</f>
        <v>D</v>
      </c>
      <c r="W226" s="49" t="str">
        <f>MID(VLOOKUP($A226,Seqs!$A:$B,2,FALSE),VLOOKUP($A226,'SegEnds_NonXtal_Prot#'!A:AL,10,FALSE)+6,1)</f>
        <v>T</v>
      </c>
      <c r="X226" s="49" t="str">
        <f>MID(VLOOKUP($A226,Seqs!$A:$B,2,FALSE),VLOOKUP($A226,'SegEnds_NonXtal_Prot#'!A:AL,10,FALSE)+7,1)</f>
        <v>C</v>
      </c>
      <c r="Y226" s="49" t="str">
        <f>MID(VLOOKUP($A226,Seqs!$A:$B,2,FALSE),VLOOKUP($A226,'SegEnds_NonXtal_Prot#'!A:AL,10,FALSE)+8,1)</f>
        <v>L</v>
      </c>
      <c r="Z226" s="49" t="str">
        <f>MID(VLOOKUP($A226,Seqs!$A:$B,2,FALSE),VLOOKUP($A226,'SegEnds_NonXtal_Prot#'!A:AL,10,FALSE)+9,1)</f>
        <v>P</v>
      </c>
      <c r="AA226" s="49" t="str">
        <f>MID(VLOOKUP($A226,Seqs!$A:$B,2,FALSE),VLOOKUP($A226,'SegEnds_NonXtal_Prot#'!A:AL,10,FALSE)+10,1)</f>
        <v>A</v>
      </c>
      <c r="AB226" s="28" t="str">
        <f>MID(VLOOKUP($A226,Seqs!$A:$B,2,FALSE),VLOOKUP($A226,'SegEnds_NonXtal_Prot#'!$A:$AL,22,FALSE)+6,1)</f>
        <v>I</v>
      </c>
      <c r="AC226" s="49" t="str">
        <f>MID(VLOOKUP($A226,Seqs!$A:$B,2,FALSE),VLOOKUP($A226,'SegEnds_NonXtal_Prot#'!$A:$AL,22,FALSE)+7,1)</f>
        <v>M</v>
      </c>
      <c r="AD226" s="49" t="str">
        <f>MID(VLOOKUP($A226,Seqs!$A:$B,2,FALSE),VLOOKUP($A226,'SegEnds_NonXtal_Prot#'!$A:$AL,22,FALSE)+8,1)</f>
        <v>I</v>
      </c>
      <c r="AE226" s="49" t="str">
        <f>MID(VLOOKUP($A226,Seqs!$A:$B,2,FALSE),VLOOKUP($A226,'SegEnds_NonXtal_Prot#'!$A:$AL,22,FALSE)+9,1)</f>
        <v>P</v>
      </c>
      <c r="AF226" s="49" t="str">
        <f>MID(VLOOKUP($A226,Seqs!$A:$B,2,FALSE),VLOOKUP($A226,'SegEnds_NonXtal_Prot#'!$A:$AL,22,FALSE)+10,1)</f>
        <v>Q</v>
      </c>
      <c r="AG226" s="28" t="str">
        <f>MID(VLOOKUP($A226,Seqs!$A:$B,2,FALSE),VLOOKUP($A226,'SegEnds_NonXtal_Prot#'!$A:$AL,28,FALSE)-4,1)</f>
        <v>T</v>
      </c>
      <c r="AH226" s="49" t="str">
        <f>MID(VLOOKUP($A226,Seqs!$A:$B,2,FALSE),VLOOKUP($A226,'SegEnds_NonXtal_Prot#'!$A:$AL,28,FALSE),1)</f>
        <v>P</v>
      </c>
    </row>
    <row r="227" spans="1:34" s="2" customFormat="1" x14ac:dyDescent="0.2">
      <c r="A227" s="2" t="s">
        <v>359</v>
      </c>
      <c r="B227" s="2" t="str">
        <f>LOWER(VLOOKUP(A227,Xtal_Templ!A:B,2,FALSE))</f>
        <v>pe2r4_human</v>
      </c>
      <c r="C227" s="2" t="str">
        <f>VLOOKUP(A227,Classification!A:D,2,FALSE)</f>
        <v>A</v>
      </c>
      <c r="D227" s="2" t="str">
        <f>IF(ISERROR(MATCH(A227,'SegEnds_Xtal_Prot#'!B:B, 0)), "NoXtal", "Xtal")</f>
        <v>NoXtal</v>
      </c>
      <c r="G227" s="2" t="s">
        <v>5</v>
      </c>
      <c r="H227" s="4"/>
      <c r="T227" s="4" t="s">
        <v>12</v>
      </c>
      <c r="V227" s="28" t="str">
        <f>MID(VLOOKUP($A227,Seqs!$A:$B,2,FALSE),VLOOKUP($A227,'SegEnds_NonXtal_Prot#'!A:AL,10,FALSE),1)</f>
        <v>D</v>
      </c>
      <c r="W227" s="49" t="str">
        <f>MID(VLOOKUP($A227,Seqs!$A:$B,2,FALSE),VLOOKUP($A227,'SegEnds_NonXtal_Prot#'!A:AL,10,FALSE)+6,1)</f>
        <v>L</v>
      </c>
      <c r="X227" s="49" t="str">
        <f>MID(VLOOKUP($A227,Seqs!$A:$B,2,FALSE),VLOOKUP($A227,'SegEnds_NonXtal_Prot#'!A:AL,10,FALSE)+7,1)</f>
        <v>L</v>
      </c>
      <c r="Y227" s="49" t="str">
        <f>MID(VLOOKUP($A227,Seqs!$A:$B,2,FALSE),VLOOKUP($A227,'SegEnds_NonXtal_Prot#'!A:AL,10,FALSE)+8,1)</f>
        <v>S</v>
      </c>
      <c r="Z227" s="49" t="str">
        <f>MID(VLOOKUP($A227,Seqs!$A:$B,2,FALSE),VLOOKUP($A227,'SegEnds_NonXtal_Prot#'!A:AL,10,FALSE)+9,1)</f>
        <v>P</v>
      </c>
      <c r="AA227" s="49" t="str">
        <f>MID(VLOOKUP($A227,Seqs!$A:$B,2,FALSE),VLOOKUP($A227,'SegEnds_NonXtal_Prot#'!A:AL,10,FALSE)+10,1)</f>
        <v>V</v>
      </c>
      <c r="AB227" s="28" t="str">
        <f>MID(VLOOKUP($A227,Seqs!$A:$B,2,FALSE),VLOOKUP($A227,'SegEnds_NonXtal_Prot#'!$A:$AL,22,FALSE)+6,1)</f>
        <v>F</v>
      </c>
      <c r="AC227" s="49" t="str">
        <f>MID(VLOOKUP($A227,Seqs!$A:$B,2,FALSE),VLOOKUP($A227,'SegEnds_NonXtal_Prot#'!$A:$AL,22,FALSE)+7,1)</f>
        <v>C</v>
      </c>
      <c r="AD227" s="49" t="str">
        <f>MID(VLOOKUP($A227,Seqs!$A:$B,2,FALSE),VLOOKUP($A227,'SegEnds_NonXtal_Prot#'!$A:$AL,22,FALSE)+8,1)</f>
        <v>A</v>
      </c>
      <c r="AE227" s="49" t="str">
        <f>MID(VLOOKUP($A227,Seqs!$A:$B,2,FALSE),VLOOKUP($A227,'SegEnds_NonXtal_Prot#'!$A:$AL,22,FALSE)+9,1)</f>
        <v>L</v>
      </c>
      <c r="AF227" s="49" t="str">
        <f>MID(VLOOKUP($A227,Seqs!$A:$B,2,FALSE),VLOOKUP($A227,'SegEnds_NonXtal_Prot#'!$A:$AL,22,FALSE)+10,1)</f>
        <v>P</v>
      </c>
      <c r="AG227" s="28" t="str">
        <f>MID(VLOOKUP($A227,Seqs!$A:$B,2,FALSE),VLOOKUP($A227,'SegEnds_NonXtal_Prot#'!$A:$AL,28,FALSE)-4,1)</f>
        <v>A</v>
      </c>
      <c r="AH227" s="49" t="str">
        <f>MID(VLOOKUP($A227,Seqs!$A:$B,2,FALSE),VLOOKUP($A227,'SegEnds_NonXtal_Prot#'!$A:$AL,28,FALSE),1)</f>
        <v>L</v>
      </c>
    </row>
    <row r="228" spans="1:34" s="2" customFormat="1" x14ac:dyDescent="0.2">
      <c r="A228" s="2" t="s">
        <v>367</v>
      </c>
      <c r="B228" s="2" t="str">
        <f>LOWER(VLOOKUP(A228,Xtal_Templ!A:B,2,FALSE))</f>
        <v>ox1r_human</v>
      </c>
      <c r="C228" s="2" t="str">
        <f>VLOOKUP(A228,Classification!A:D,2,FALSE)</f>
        <v>A</v>
      </c>
      <c r="D228" s="2" t="str">
        <f>IF(ISERROR(MATCH(A228,'SegEnds_Xtal_Prot#'!B:B, 0)), "NoXtal", "Xtal")</f>
        <v>NoXtal</v>
      </c>
      <c r="G228" s="2" t="s">
        <v>5</v>
      </c>
      <c r="H228" s="4"/>
      <c r="N228" s="2" t="s">
        <v>14</v>
      </c>
      <c r="R228" s="2" t="s">
        <v>9</v>
      </c>
      <c r="T228" s="4" t="s">
        <v>12</v>
      </c>
      <c r="V228" s="28" t="str">
        <f>MID(VLOOKUP($A228,Seqs!$A:$B,2,FALSE),VLOOKUP($A228,'SegEnds_NonXtal_Prot#'!A:AL,10,FALSE),1)</f>
        <v>D</v>
      </c>
      <c r="W228" s="49" t="str">
        <f>MID(VLOOKUP($A228,Seqs!$A:$B,2,FALSE),VLOOKUP($A228,'SegEnds_NonXtal_Prot#'!A:AL,10,FALSE)+6,1)</f>
        <v>V</v>
      </c>
      <c r="X228" s="49" t="str">
        <f>MID(VLOOKUP($A228,Seqs!$A:$B,2,FALSE),VLOOKUP($A228,'SegEnds_NonXtal_Prot#'!A:AL,10,FALSE)+7,1)</f>
        <v>C</v>
      </c>
      <c r="Y228" s="49" t="str">
        <f>MID(VLOOKUP($A228,Seqs!$A:$B,2,FALSE),VLOOKUP($A228,'SegEnds_NonXtal_Prot#'!A:AL,10,FALSE)+8,1)</f>
        <v>C</v>
      </c>
      <c r="Z228" s="49" t="str">
        <f>MID(VLOOKUP($A228,Seqs!$A:$B,2,FALSE),VLOOKUP($A228,'SegEnds_NonXtal_Prot#'!A:AL,10,FALSE)+9,1)</f>
        <v>P</v>
      </c>
      <c r="AA228" s="49" t="str">
        <f>MID(VLOOKUP($A228,Seqs!$A:$B,2,FALSE),VLOOKUP($A228,'SegEnds_NonXtal_Prot#'!A:AL,10,FALSE)+10,1)</f>
        <v>F</v>
      </c>
      <c r="AB228" s="28" t="str">
        <f>MID(VLOOKUP($A228,Seqs!$A:$B,2,FALSE),VLOOKUP($A228,'SegEnds_NonXtal_Prot#'!$A:$AL,22,FALSE)+6,1)</f>
        <v>I</v>
      </c>
      <c r="AC228" s="49" t="str">
        <f>MID(VLOOKUP($A228,Seqs!$A:$B,2,FALSE),VLOOKUP($A228,'SegEnds_NonXtal_Prot#'!$A:$AL,22,FALSE)+7,1)</f>
        <v>A</v>
      </c>
      <c r="AD228" s="49" t="str">
        <f>MID(VLOOKUP($A228,Seqs!$A:$B,2,FALSE),VLOOKUP($A228,'SegEnds_NonXtal_Prot#'!$A:$AL,22,FALSE)+8,1)</f>
        <v>I</v>
      </c>
      <c r="AE228" s="49" t="str">
        <f>MID(VLOOKUP($A228,Seqs!$A:$B,2,FALSE),VLOOKUP($A228,'SegEnds_NonXtal_Prot#'!$A:$AL,22,FALSE)+9,1)</f>
        <v>P</v>
      </c>
      <c r="AF228" s="49" t="str">
        <f>MID(VLOOKUP($A228,Seqs!$A:$B,2,FALSE),VLOOKUP($A228,'SegEnds_NonXtal_Prot#'!$A:$AL,22,FALSE)+10,1)</f>
        <v>S</v>
      </c>
      <c r="AG228" s="28" t="str">
        <f>MID(VLOOKUP($A228,Seqs!$A:$B,2,FALSE),VLOOKUP($A228,'SegEnds_NonXtal_Prot#'!$A:$AL,28,FALSE)-4,1)</f>
        <v>E</v>
      </c>
      <c r="AH228" s="49" t="str">
        <f>MID(VLOOKUP($A228,Seqs!$A:$B,2,FALSE),VLOOKUP($A228,'SegEnds_NonXtal_Prot#'!$A:$AL,28,FALSE),1)</f>
        <v>P</v>
      </c>
    </row>
    <row r="229" spans="1:34" s="2" customFormat="1" x14ac:dyDescent="0.2">
      <c r="A229" s="2" t="s">
        <v>368</v>
      </c>
      <c r="B229" s="2" t="str">
        <f>LOWER(VLOOKUP(A229,Xtal_Templ!A:B,2,FALSE))</f>
        <v>ox2r_human</v>
      </c>
      <c r="C229" s="2" t="str">
        <f>VLOOKUP(A229,Classification!A:D,2,FALSE)</f>
        <v>A</v>
      </c>
      <c r="D229" s="2" t="str">
        <f>IF(ISERROR(MATCH(A229,'SegEnds_Xtal_Prot#'!B:B, 0)), "NoXtal", "Xtal")</f>
        <v>NoXtal</v>
      </c>
      <c r="G229" s="2" t="s">
        <v>5</v>
      </c>
      <c r="H229" s="4"/>
      <c r="N229" s="2" t="s">
        <v>14</v>
      </c>
      <c r="R229" s="2" t="s">
        <v>9</v>
      </c>
      <c r="T229" s="4" t="s">
        <v>12</v>
      </c>
      <c r="V229" s="28" t="str">
        <f>MID(VLOOKUP($A229,Seqs!$A:$B,2,FALSE),VLOOKUP($A229,'SegEnds_NonXtal_Prot#'!A:AL,10,FALSE),1)</f>
        <v>D</v>
      </c>
      <c r="W229" s="49" t="str">
        <f>MID(VLOOKUP($A229,Seqs!$A:$B,2,FALSE),VLOOKUP($A229,'SegEnds_NonXtal_Prot#'!A:AL,10,FALSE)+6,1)</f>
        <v>I</v>
      </c>
      <c r="X229" s="49" t="str">
        <f>MID(VLOOKUP($A229,Seqs!$A:$B,2,FALSE),VLOOKUP($A229,'SegEnds_NonXtal_Prot#'!A:AL,10,FALSE)+7,1)</f>
        <v>C</v>
      </c>
      <c r="Y229" s="49" t="str">
        <f>MID(VLOOKUP($A229,Seqs!$A:$B,2,FALSE),VLOOKUP($A229,'SegEnds_NonXtal_Prot#'!A:AL,10,FALSE)+8,1)</f>
        <v>C</v>
      </c>
      <c r="Z229" s="49" t="str">
        <f>MID(VLOOKUP($A229,Seqs!$A:$B,2,FALSE),VLOOKUP($A229,'SegEnds_NonXtal_Prot#'!A:AL,10,FALSE)+9,1)</f>
        <v>P</v>
      </c>
      <c r="AA229" s="49" t="str">
        <f>MID(VLOOKUP($A229,Seqs!$A:$B,2,FALSE),VLOOKUP($A229,'SegEnds_NonXtal_Prot#'!A:AL,10,FALSE)+10,1)</f>
        <v>F</v>
      </c>
      <c r="AB229" s="28" t="str">
        <f>MID(VLOOKUP($A229,Seqs!$A:$B,2,FALSE),VLOOKUP($A229,'SegEnds_NonXtal_Prot#'!$A:$AL,22,FALSE)+6,1)</f>
        <v>I</v>
      </c>
      <c r="AC229" s="49" t="str">
        <f>MID(VLOOKUP($A229,Seqs!$A:$B,2,FALSE),VLOOKUP($A229,'SegEnds_NonXtal_Prot#'!$A:$AL,22,FALSE)+7,1)</f>
        <v>A</v>
      </c>
      <c r="AD229" s="49" t="str">
        <f>MID(VLOOKUP($A229,Seqs!$A:$B,2,FALSE),VLOOKUP($A229,'SegEnds_NonXtal_Prot#'!$A:$AL,22,FALSE)+8,1)</f>
        <v>I</v>
      </c>
      <c r="AE229" s="49" t="str">
        <f>MID(VLOOKUP($A229,Seqs!$A:$B,2,FALSE),VLOOKUP($A229,'SegEnds_NonXtal_Prot#'!$A:$AL,22,FALSE)+9,1)</f>
        <v>P</v>
      </c>
      <c r="AF229" s="49" t="str">
        <f>MID(VLOOKUP($A229,Seqs!$A:$B,2,FALSE),VLOOKUP($A229,'SegEnds_NonXtal_Prot#'!$A:$AL,22,FALSE)+10,1)</f>
        <v>S</v>
      </c>
      <c r="AG229" s="28" t="str">
        <f>MID(VLOOKUP($A229,Seqs!$A:$B,2,FALSE),VLOOKUP($A229,'SegEnds_NonXtal_Prot#'!$A:$AL,28,FALSE)-4,1)</f>
        <v>E</v>
      </c>
      <c r="AH229" s="49" t="str">
        <f>MID(VLOOKUP($A229,Seqs!$A:$B,2,FALSE),VLOOKUP($A229,'SegEnds_NonXtal_Prot#'!$A:$AL,28,FALSE),1)</f>
        <v>P</v>
      </c>
    </row>
    <row r="230" spans="1:34" s="2" customFormat="1" x14ac:dyDescent="0.2">
      <c r="A230" s="2" t="s">
        <v>369</v>
      </c>
      <c r="B230" s="2" t="str">
        <f>LOWER(VLOOKUP(A230,Xtal_Templ!A:B,2,FALSE))</f>
        <v>ox2r_human</v>
      </c>
      <c r="C230" s="2" t="str">
        <f>VLOOKUP(A230,Classification!A:D,2,FALSE)</f>
        <v>A</v>
      </c>
      <c r="D230" s="2" t="str">
        <f>IF(ISERROR(MATCH(A230,'SegEnds_Xtal_Prot#'!B:B, 0)), "NoXtal", "Xtal")</f>
        <v>NoXtal</v>
      </c>
      <c r="G230" s="2" t="s">
        <v>5</v>
      </c>
      <c r="H230" s="4"/>
      <c r="N230" s="2" t="s">
        <v>14</v>
      </c>
      <c r="R230" s="2" t="s">
        <v>9</v>
      </c>
      <c r="T230" s="4" t="s">
        <v>12</v>
      </c>
      <c r="V230" s="28" t="str">
        <f>MID(VLOOKUP($A230,Seqs!$A:$B,2,FALSE),VLOOKUP($A230,'SegEnds_NonXtal_Prot#'!A:AL,10,FALSE),1)</f>
        <v>D</v>
      </c>
      <c r="W230" s="49" t="str">
        <f>MID(VLOOKUP($A230,Seqs!$A:$B,2,FALSE),VLOOKUP($A230,'SegEnds_NonXtal_Prot#'!A:AL,10,FALSE)+6,1)</f>
        <v>A</v>
      </c>
      <c r="X230" s="49" t="str">
        <f>MID(VLOOKUP($A230,Seqs!$A:$B,2,FALSE),VLOOKUP($A230,'SegEnds_NonXtal_Prot#'!A:AL,10,FALSE)+7,1)</f>
        <v>C</v>
      </c>
      <c r="Y230" s="49" t="str">
        <f>MID(VLOOKUP($A230,Seqs!$A:$B,2,FALSE),VLOOKUP($A230,'SegEnds_NonXtal_Prot#'!A:AL,10,FALSE)+8,1)</f>
        <v>V</v>
      </c>
      <c r="Z230" s="49" t="str">
        <f>MID(VLOOKUP($A230,Seqs!$A:$B,2,FALSE),VLOOKUP($A230,'SegEnds_NonXtal_Prot#'!A:AL,10,FALSE)+9,1)</f>
        <v>P</v>
      </c>
      <c r="AA230" s="49" t="str">
        <f>MID(VLOOKUP($A230,Seqs!$A:$B,2,FALSE),VLOOKUP($A230,'SegEnds_NonXtal_Prot#'!A:AL,10,FALSE)+10,1)</f>
        <v>L</v>
      </c>
      <c r="AB230" s="28" t="str">
        <f>MID(VLOOKUP($A230,Seqs!$A:$B,2,FALSE),VLOOKUP($A230,'SegEnds_NonXtal_Prot#'!$A:$AL,22,FALSE)+6,1)</f>
        <v>L</v>
      </c>
      <c r="AC230" s="49" t="str">
        <f>MID(VLOOKUP($A230,Seqs!$A:$B,2,FALSE),VLOOKUP($A230,'SegEnds_NonXtal_Prot#'!$A:$AL,22,FALSE)+7,1)</f>
        <v>A</v>
      </c>
      <c r="AD230" s="49" t="str">
        <f>MID(VLOOKUP($A230,Seqs!$A:$B,2,FALSE),VLOOKUP($A230,'SegEnds_NonXtal_Prot#'!$A:$AL,22,FALSE)+8,1)</f>
        <v>L</v>
      </c>
      <c r="AE230" s="49" t="str">
        <f>MID(VLOOKUP($A230,Seqs!$A:$B,2,FALSE),VLOOKUP($A230,'SegEnds_NonXtal_Prot#'!$A:$AL,22,FALSE)+9,1)</f>
        <v>P</v>
      </c>
      <c r="AF230" s="49" t="str">
        <f>MID(VLOOKUP($A230,Seqs!$A:$B,2,FALSE),VLOOKUP($A230,'SegEnds_NonXtal_Prot#'!$A:$AL,22,FALSE)+10,1)</f>
        <v>A</v>
      </c>
      <c r="AG230" s="28" t="str">
        <f>MID(VLOOKUP($A230,Seqs!$A:$B,2,FALSE),VLOOKUP($A230,'SegEnds_NonXtal_Prot#'!$A:$AL,28,FALSE)-4,1)</f>
        <v>T</v>
      </c>
      <c r="AH230" s="49" t="str">
        <f>MID(VLOOKUP($A230,Seqs!$A:$B,2,FALSE),VLOOKUP($A230,'SegEnds_NonXtal_Prot#'!$A:$AL,28,FALSE),1)</f>
        <v>P</v>
      </c>
    </row>
    <row r="231" spans="1:34" s="2" customFormat="1" x14ac:dyDescent="0.2">
      <c r="A231" s="2" t="s">
        <v>372</v>
      </c>
      <c r="B231" s="2" t="str">
        <f>LOWER(VLOOKUP(A231,Xtal_Templ!A:B,2,FALSE))</f>
        <v>ox2r_human</v>
      </c>
      <c r="C231" s="2" t="str">
        <f>VLOOKUP(A231,Classification!A:D,2,FALSE)</f>
        <v>A</v>
      </c>
      <c r="D231" s="2" t="str">
        <f>IF(ISERROR(MATCH(A231,'SegEnds_Xtal_Prot#'!B:B, 0)), "NoXtal", "Xtal")</f>
        <v>NoXtal</v>
      </c>
      <c r="G231" s="2" t="s">
        <v>5</v>
      </c>
      <c r="H231" s="4"/>
      <c r="R231" s="2" t="s">
        <v>9</v>
      </c>
      <c r="T231" s="4" t="s">
        <v>12</v>
      </c>
      <c r="V231" s="28" t="str">
        <f>MID(VLOOKUP($A231,Seqs!$A:$B,2,FALSE),VLOOKUP($A231,'SegEnds_NonXtal_Prot#'!A:AL,10,FALSE),1)</f>
        <v>D</v>
      </c>
      <c r="W231" s="49" t="str">
        <f>MID(VLOOKUP($A231,Seqs!$A:$B,2,FALSE),VLOOKUP($A231,'SegEnds_NonXtal_Prot#'!A:AL,10,FALSE)+6,1)</f>
        <v>F</v>
      </c>
      <c r="X231" s="49" t="str">
        <f>MID(VLOOKUP($A231,Seqs!$A:$B,2,FALSE),VLOOKUP($A231,'SegEnds_NonXtal_Prot#'!A:AL,10,FALSE)+7,1)</f>
        <v>C</v>
      </c>
      <c r="Y231" s="49" t="str">
        <f>MID(VLOOKUP($A231,Seqs!$A:$B,2,FALSE),VLOOKUP($A231,'SegEnds_NonXtal_Prot#'!A:AL,10,FALSE)+8,1)</f>
        <v>I</v>
      </c>
      <c r="Z231" s="49" t="str">
        <f>MID(VLOOKUP($A231,Seqs!$A:$B,2,FALSE),VLOOKUP($A231,'SegEnds_NonXtal_Prot#'!A:AL,10,FALSE)+9,1)</f>
        <v>P</v>
      </c>
      <c r="AA231" s="49" t="str">
        <f>MID(VLOOKUP($A231,Seqs!$A:$B,2,FALSE),VLOOKUP($A231,'SegEnds_NonXtal_Prot#'!A:AL,10,FALSE)+10,1)</f>
        <v>V</v>
      </c>
      <c r="AB231" s="28" t="str">
        <f>MID(VLOOKUP($A231,Seqs!$A:$B,2,FALSE),VLOOKUP($A231,'SegEnds_NonXtal_Prot#'!$A:$AL,22,FALSE)+6,1)</f>
        <v>V</v>
      </c>
      <c r="AC231" s="49" t="str">
        <f>MID(VLOOKUP($A231,Seqs!$A:$B,2,FALSE),VLOOKUP($A231,'SegEnds_NonXtal_Prot#'!$A:$AL,22,FALSE)+7,1)</f>
        <v>G</v>
      </c>
      <c r="AD231" s="49" t="str">
        <f>MID(VLOOKUP($A231,Seqs!$A:$B,2,FALSE),VLOOKUP($A231,'SegEnds_NonXtal_Prot#'!$A:$AL,22,FALSE)+8,1)</f>
        <v>S</v>
      </c>
      <c r="AE231" s="49" t="str">
        <f>MID(VLOOKUP($A231,Seqs!$A:$B,2,FALSE),VLOOKUP($A231,'SegEnds_NonXtal_Prot#'!$A:$AL,22,FALSE)+9,1)</f>
        <v>P</v>
      </c>
      <c r="AF231" s="49" t="str">
        <f>MID(VLOOKUP($A231,Seqs!$A:$B,2,FALSE),VLOOKUP($A231,'SegEnds_NonXtal_Prot#'!$A:$AL,22,FALSE)+10,1)</f>
        <v>M</v>
      </c>
      <c r="AG231" s="28" t="str">
        <f>MID(VLOOKUP($A231,Seqs!$A:$B,2,FALSE),VLOOKUP($A231,'SegEnds_NonXtal_Prot#'!$A:$AL,28,FALSE)-4,1)</f>
        <v>L</v>
      </c>
      <c r="AH231" s="49" t="str">
        <f>MID(VLOOKUP($A231,Seqs!$A:$B,2,FALSE),VLOOKUP($A231,'SegEnds_NonXtal_Prot#'!$A:$AL,28,FALSE),1)</f>
        <v>P</v>
      </c>
    </row>
    <row r="232" spans="1:34" s="2" customFormat="1" x14ac:dyDescent="0.2">
      <c r="A232" s="2" t="s">
        <v>179</v>
      </c>
      <c r="B232" s="2" t="str">
        <f>LOWER(VLOOKUP(A232,Xtal_Templ!A:B,2,FALSE))</f>
        <v>p2ry1_human</v>
      </c>
      <c r="C232" s="2" t="str">
        <f>VLOOKUP(A232,Classification!A:D,2,FALSE)</f>
        <v>A</v>
      </c>
      <c r="D232" s="2" t="str">
        <f>IF(ISERROR(MATCH(A232,'SegEnds_Xtal_Prot#'!B:B, 0)), "NoXtal", "Xtal")</f>
        <v>NoXtal</v>
      </c>
      <c r="H232" s="4"/>
      <c r="N232" s="2" t="s">
        <v>14</v>
      </c>
      <c r="R232" s="2" t="s">
        <v>9</v>
      </c>
      <c r="S232" s="106"/>
      <c r="T232" s="4" t="s">
        <v>12</v>
      </c>
      <c r="V232" s="28" t="str">
        <f>MID(VLOOKUP($A232,Seqs!$A:$B,2,FALSE),VLOOKUP($A232,'SegEnds_NonXtal_Prot#'!A:AL,10,FALSE),1)</f>
        <v>D</v>
      </c>
      <c r="W232" s="49" t="str">
        <f>MID(VLOOKUP($A232,Seqs!$A:$B,2,FALSE),VLOOKUP($A232,'SegEnds_NonXtal_Prot#'!A:AL,10,FALSE)+6,1)</f>
        <v>T</v>
      </c>
      <c r="X232" s="49" t="str">
        <f>MID(VLOOKUP($A232,Seqs!$A:$B,2,FALSE),VLOOKUP($A232,'SegEnds_NonXtal_Prot#'!A:AL,10,FALSE)+7,1)</f>
        <v>L</v>
      </c>
      <c r="Y232" s="49" t="str">
        <f>MID(VLOOKUP($A232,Seqs!$A:$B,2,FALSE),VLOOKUP($A232,'SegEnds_NonXtal_Prot#'!A:AL,10,FALSE)+8,1)</f>
        <v>P</v>
      </c>
      <c r="Z232" s="49" t="str">
        <f>MID(VLOOKUP($A232,Seqs!$A:$B,2,FALSE),VLOOKUP($A232,'SegEnds_NonXtal_Prot#'!A:AL,10,FALSE)+9,1)</f>
        <v>L</v>
      </c>
      <c r="AA232" s="49" t="str">
        <f>MID(VLOOKUP($A232,Seqs!$A:$B,2,FALSE),VLOOKUP($A232,'SegEnds_NonXtal_Prot#'!A:AL,10,FALSE)+10,1)</f>
        <v>R</v>
      </c>
      <c r="AB232" s="28" t="str">
        <f>MID(VLOOKUP($A232,Seqs!$A:$B,2,FALSE),VLOOKUP($A232,'SegEnds_NonXtal_Prot#'!$A:$AL,22,FALSE)+6,1)</f>
        <v>T</v>
      </c>
      <c r="AC232" s="49" t="str">
        <f>MID(VLOOKUP($A232,Seqs!$A:$B,2,FALSE),VLOOKUP($A232,'SegEnds_NonXtal_Prot#'!$A:$AL,22,FALSE)+7,1)</f>
        <v>S</v>
      </c>
      <c r="AD232" s="49" t="str">
        <f>MID(VLOOKUP($A232,Seqs!$A:$B,2,FALSE),VLOOKUP($A232,'SegEnds_NonXtal_Prot#'!$A:$AL,22,FALSE)+8,1)</f>
        <v>S</v>
      </c>
      <c r="AE232" s="49" t="str">
        <f>MID(VLOOKUP($A232,Seqs!$A:$B,2,FALSE),VLOOKUP($A232,'SegEnds_NonXtal_Prot#'!$A:$AL,22,FALSE)+9,1)</f>
        <v>P</v>
      </c>
      <c r="AF232" s="49" t="str">
        <f>MID(VLOOKUP($A232,Seqs!$A:$B,2,FALSE),VLOOKUP($A232,'SegEnds_NonXtal_Prot#'!$A:$AL,22,FALSE)+10,1)</f>
        <v>F</v>
      </c>
      <c r="AG232" s="28" t="str">
        <f>MID(VLOOKUP($A232,Seqs!$A:$B,2,FALSE),VLOOKUP($A232,'SegEnds_NonXtal_Prot#'!$A:$AL,28,FALSE)-4,1)</f>
        <v>G</v>
      </c>
      <c r="AH232" s="49" t="str">
        <f>MID(VLOOKUP($A232,Seqs!$A:$B,2,FALSE),VLOOKUP($A232,'SegEnds_NonXtal_Prot#'!$A:$AL,28,FALSE),1)</f>
        <v>P</v>
      </c>
    </row>
    <row r="233" spans="1:34" s="2" customFormat="1" x14ac:dyDescent="0.2">
      <c r="A233" s="2" t="s">
        <v>180</v>
      </c>
      <c r="B233" s="2" t="str">
        <f>LOWER(VLOOKUP(A233,Xtal_Templ!A:B,2,FALSE))</f>
        <v>p2ry1_human</v>
      </c>
      <c r="C233" s="2" t="str">
        <f>VLOOKUP(A233,Classification!A:D,2,FALSE)</f>
        <v>A</v>
      </c>
      <c r="D233" s="2" t="str">
        <f>IF(ISERROR(MATCH(A233,'SegEnds_Xtal_Prot#'!B:B, 0)), "NoXtal", "Xtal")</f>
        <v>NoXtal</v>
      </c>
      <c r="H233" s="4"/>
      <c r="R233" s="2" t="s">
        <v>9</v>
      </c>
      <c r="T233" s="4" t="s">
        <v>12</v>
      </c>
      <c r="V233" s="28" t="str">
        <f>MID(VLOOKUP($A233,Seqs!$A:$B,2,FALSE),VLOOKUP($A233,'SegEnds_NonXtal_Prot#'!A:AL,10,FALSE),1)</f>
        <v>D</v>
      </c>
      <c r="W233" s="49" t="str">
        <f>MID(VLOOKUP($A233,Seqs!$A:$B,2,FALSE),VLOOKUP($A233,'SegEnds_NonXtal_Prot#'!A:AL,10,FALSE)+6,1)</f>
        <v>T</v>
      </c>
      <c r="X233" s="49" t="str">
        <f>MID(VLOOKUP($A233,Seqs!$A:$B,2,FALSE),VLOOKUP($A233,'SegEnds_NonXtal_Prot#'!A:AL,10,FALSE)+7,1)</f>
        <v>L</v>
      </c>
      <c r="Y233" s="49" t="str">
        <f>MID(VLOOKUP($A233,Seqs!$A:$B,2,FALSE),VLOOKUP($A233,'SegEnds_NonXtal_Prot#'!A:AL,10,FALSE)+8,1)</f>
        <v>P</v>
      </c>
      <c r="Z233" s="49" t="str">
        <f>MID(VLOOKUP($A233,Seqs!$A:$B,2,FALSE),VLOOKUP($A233,'SegEnds_NonXtal_Prot#'!A:AL,10,FALSE)+9,1)</f>
        <v>F</v>
      </c>
      <c r="AA233" s="49" t="str">
        <f>MID(VLOOKUP($A233,Seqs!$A:$B,2,FALSE),VLOOKUP($A233,'SegEnds_NonXtal_Prot#'!A:AL,10,FALSE)+10,1)</f>
        <v>R</v>
      </c>
      <c r="AB233" s="28" t="str">
        <f>MID(VLOOKUP($A233,Seqs!$A:$B,2,FALSE),VLOOKUP($A233,'SegEnds_NonXtal_Prot#'!$A:$AL,22,FALSE)+6,1)</f>
        <v>S</v>
      </c>
      <c r="AC233" s="49" t="str">
        <f>MID(VLOOKUP($A233,Seqs!$A:$B,2,FALSE),VLOOKUP($A233,'SegEnds_NonXtal_Prot#'!$A:$AL,22,FALSE)+7,1)</f>
        <v>S</v>
      </c>
      <c r="AD233" s="49" t="str">
        <f>MID(VLOOKUP($A233,Seqs!$A:$B,2,FALSE),VLOOKUP($A233,'SegEnds_NonXtal_Prot#'!$A:$AL,22,FALSE)+8,1)</f>
        <v>I</v>
      </c>
      <c r="AE233" s="49" t="str">
        <f>MID(VLOOKUP($A233,Seqs!$A:$B,2,FALSE),VLOOKUP($A233,'SegEnds_NonXtal_Prot#'!$A:$AL,22,FALSE)+9,1)</f>
        <v>M</v>
      </c>
      <c r="AF233" s="49" t="str">
        <f>MID(VLOOKUP($A233,Seqs!$A:$B,2,FALSE),VLOOKUP($A233,'SegEnds_NonXtal_Prot#'!$A:$AL,22,FALSE)+10,1)</f>
        <v>L</v>
      </c>
      <c r="AG233" s="28" t="str">
        <f>MID(VLOOKUP($A233,Seqs!$A:$B,2,FALSE),VLOOKUP($A233,'SegEnds_NonXtal_Prot#'!$A:$AL,28,FALSE)-4,1)</f>
        <v>G</v>
      </c>
      <c r="AH233" s="49" t="str">
        <f>MID(VLOOKUP($A233,Seqs!$A:$B,2,FALSE),VLOOKUP($A233,'SegEnds_NonXtal_Prot#'!$A:$AL,28,FALSE),1)</f>
        <v>P</v>
      </c>
    </row>
    <row r="234" spans="1:34" s="2" customFormat="1" x14ac:dyDescent="0.2">
      <c r="A234" s="2" t="s">
        <v>214</v>
      </c>
      <c r="B234" s="2" t="str">
        <f>LOWER(VLOOKUP(A234,Xtal_Templ!A:B,2,FALSE))</f>
        <v>p2ry1_human</v>
      </c>
      <c r="C234" s="2" t="str">
        <f>VLOOKUP(A234,Classification!A:D,2,FALSE)</f>
        <v>A</v>
      </c>
      <c r="D234" s="2" t="str">
        <f>IF(ISERROR(MATCH(A234,'SegEnds_Xtal_Prot#'!B:B, 0)), "NoXtal", "Xtal")</f>
        <v>NoXtal</v>
      </c>
      <c r="H234" s="4"/>
      <c r="N234" s="2" t="s">
        <v>14</v>
      </c>
      <c r="R234" s="2" t="s">
        <v>9</v>
      </c>
      <c r="T234" s="4" t="s">
        <v>12</v>
      </c>
      <c r="V234" s="28" t="str">
        <f>MID(VLOOKUP($A234,Seqs!$A:$B,2,FALSE),VLOOKUP($A234,'SegEnds_NonXtal_Prot#'!A:AL,10,FALSE),1)</f>
        <v>E</v>
      </c>
      <c r="W234" s="49" t="str">
        <f>MID(VLOOKUP($A234,Seqs!$A:$B,2,FALSE),VLOOKUP($A234,'SegEnds_NonXtal_Prot#'!A:AL,10,FALSE)+6,1)</f>
        <v>T</v>
      </c>
      <c r="X234" s="49" t="str">
        <f>MID(VLOOKUP($A234,Seqs!$A:$B,2,FALSE),VLOOKUP($A234,'SegEnds_NonXtal_Prot#'!A:AL,10,FALSE)+7,1)</f>
        <v>L</v>
      </c>
      <c r="Y234" s="49" t="str">
        <f>MID(VLOOKUP($A234,Seqs!$A:$B,2,FALSE),VLOOKUP($A234,'SegEnds_NonXtal_Prot#'!A:AL,10,FALSE)+8,1)</f>
        <v>P</v>
      </c>
      <c r="Z234" s="49" t="str">
        <f>MID(VLOOKUP($A234,Seqs!$A:$B,2,FALSE),VLOOKUP($A234,'SegEnds_NonXtal_Prot#'!A:AL,10,FALSE)+9,1)</f>
        <v>L</v>
      </c>
      <c r="AA234" s="49" t="str">
        <f>MID(VLOOKUP($A234,Seqs!$A:$B,2,FALSE),VLOOKUP($A234,'SegEnds_NonXtal_Prot#'!A:AL,10,FALSE)+10,1)</f>
        <v>W</v>
      </c>
      <c r="AB234" s="28" t="str">
        <f>MID(VLOOKUP($A234,Seqs!$A:$B,2,FALSE),VLOOKUP($A234,'SegEnds_NonXtal_Prot#'!$A:$AL,22,FALSE)+6,1)</f>
        <v>V</v>
      </c>
      <c r="AC234" s="49" t="str">
        <f>MID(VLOOKUP($A234,Seqs!$A:$B,2,FALSE),VLOOKUP($A234,'SegEnds_NonXtal_Prot#'!$A:$AL,22,FALSE)+7,1)</f>
        <v>H</v>
      </c>
      <c r="AD234" s="49" t="str">
        <f>MID(VLOOKUP($A234,Seqs!$A:$B,2,FALSE),VLOOKUP($A234,'SegEnds_NonXtal_Prot#'!$A:$AL,22,FALSE)+8,1)</f>
        <v>Y</v>
      </c>
      <c r="AE234" s="49" t="str">
        <f>MID(VLOOKUP($A234,Seqs!$A:$B,2,FALSE),VLOOKUP($A234,'SegEnds_NonXtal_Prot#'!$A:$AL,22,FALSE)+9,1)</f>
        <v>P</v>
      </c>
      <c r="AF234" s="49" t="str">
        <f>MID(VLOOKUP($A234,Seqs!$A:$B,2,FALSE),VLOOKUP($A234,'SegEnds_NonXtal_Prot#'!$A:$AL,22,FALSE)+10,1)</f>
        <v>V</v>
      </c>
      <c r="AG234" s="28" t="str">
        <f>MID(VLOOKUP($A234,Seqs!$A:$B,2,FALSE),VLOOKUP($A234,'SegEnds_NonXtal_Prot#'!$A:$AL,28,FALSE)-4,1)</f>
        <v>G</v>
      </c>
      <c r="AH234" s="49" t="str">
        <f>MID(VLOOKUP($A234,Seqs!$A:$B,2,FALSE),VLOOKUP($A234,'SegEnds_NonXtal_Prot#'!$A:$AL,28,FALSE),1)</f>
        <v>P</v>
      </c>
    </row>
    <row r="235" spans="1:34" s="2" customFormat="1" x14ac:dyDescent="0.2">
      <c r="A235" s="2" t="s">
        <v>231</v>
      </c>
      <c r="B235" s="2" t="str">
        <f>LOWER(VLOOKUP(A235,Xtal_Templ!A:B,2,FALSE))</f>
        <v>p2ry1_human</v>
      </c>
      <c r="C235" s="2" t="str">
        <f>VLOOKUP(A235,Classification!A:D,2,FALSE)</f>
        <v>A</v>
      </c>
      <c r="D235" s="2" t="str">
        <f>IF(ISERROR(MATCH(A235,'SegEnds_Xtal_Prot#'!B:B, 0)), "NoXtal", "Xtal")</f>
        <v>NoXtal</v>
      </c>
      <c r="H235" s="4"/>
      <c r="R235" s="2" t="s">
        <v>9</v>
      </c>
      <c r="T235" s="4" t="s">
        <v>12</v>
      </c>
      <c r="V235" s="28" t="str">
        <f>MID(VLOOKUP($A235,Seqs!$A:$B,2,FALSE),VLOOKUP($A235,'SegEnds_NonXtal_Prot#'!A:AL,10,FALSE),1)</f>
        <v>D</v>
      </c>
      <c r="W235" s="49" t="str">
        <f>MID(VLOOKUP($A235,Seqs!$A:$B,2,FALSE),VLOOKUP($A235,'SegEnds_NonXtal_Prot#'!A:AL,10,FALSE)+6,1)</f>
        <v>S</v>
      </c>
      <c r="X235" s="49" t="str">
        <f>MID(VLOOKUP($A235,Seqs!$A:$B,2,FALSE),VLOOKUP($A235,'SegEnds_NonXtal_Prot#'!A:AL,10,FALSE)+7,1)</f>
        <v>L</v>
      </c>
      <c r="Y235" s="49" t="str">
        <f>MID(VLOOKUP($A235,Seqs!$A:$B,2,FALSE),VLOOKUP($A235,'SegEnds_NonXtal_Prot#'!A:AL,10,FALSE)+8,1)</f>
        <v>P</v>
      </c>
      <c r="Z235" s="49" t="str">
        <f>MID(VLOOKUP($A235,Seqs!$A:$B,2,FALSE),VLOOKUP($A235,'SegEnds_NonXtal_Prot#'!A:AL,10,FALSE)+9,1)</f>
        <v>L</v>
      </c>
      <c r="AA235" s="49" t="str">
        <f>MID(VLOOKUP($A235,Seqs!$A:$B,2,FALSE),VLOOKUP($A235,'SegEnds_NonXtal_Prot#'!A:AL,10,FALSE)+10,1)</f>
        <v>R</v>
      </c>
      <c r="AB235" s="28" t="str">
        <f>MID(VLOOKUP($A235,Seqs!$A:$B,2,FALSE),VLOOKUP($A235,'SegEnds_NonXtal_Prot#'!$A:$AL,22,FALSE)+6,1)</f>
        <v>A</v>
      </c>
      <c r="AC235" s="49" t="str">
        <f>MID(VLOOKUP($A235,Seqs!$A:$B,2,FALSE),VLOOKUP($A235,'SegEnds_NonXtal_Prot#'!$A:$AL,22,FALSE)+7,1)</f>
        <v>C</v>
      </c>
      <c r="AD235" s="49" t="str">
        <f>MID(VLOOKUP($A235,Seqs!$A:$B,2,FALSE),VLOOKUP($A235,'SegEnds_NonXtal_Prot#'!$A:$AL,22,FALSE)+8,1)</f>
        <v>V</v>
      </c>
      <c r="AE235" s="49" t="str">
        <f>MID(VLOOKUP($A235,Seqs!$A:$B,2,FALSE),VLOOKUP($A235,'SegEnds_NonXtal_Prot#'!$A:$AL,22,FALSE)+9,1)</f>
        <v>L</v>
      </c>
      <c r="AF235" s="49" t="str">
        <f>MID(VLOOKUP($A235,Seqs!$A:$B,2,FALSE),VLOOKUP($A235,'SegEnds_NonXtal_Prot#'!$A:$AL,22,FALSE)+10,1)</f>
        <v>F</v>
      </c>
      <c r="AG235" s="28" t="str">
        <f>MID(VLOOKUP($A235,Seqs!$A:$B,2,FALSE),VLOOKUP($A235,'SegEnds_NonXtal_Prot#'!$A:$AL,28,FALSE)-4,1)</f>
        <v>G</v>
      </c>
      <c r="AH235" s="49" t="str">
        <f>MID(VLOOKUP($A235,Seqs!$A:$B,2,FALSE),VLOOKUP($A235,'SegEnds_NonXtal_Prot#'!$A:$AL,28,FALSE),1)</f>
        <v>P</v>
      </c>
    </row>
    <row r="236" spans="1:34" s="2" customFormat="1" x14ac:dyDescent="0.2">
      <c r="A236" s="2" t="s">
        <v>240</v>
      </c>
      <c r="B236" s="2" t="str">
        <f>LOWER(VLOOKUP(A236,Xtal_Templ!A:B,2,FALSE))</f>
        <v>apj_human</v>
      </c>
      <c r="C236" s="2" t="str">
        <f>VLOOKUP(A236,Classification!A:D,2,FALSE)</f>
        <v>A</v>
      </c>
      <c r="D236" s="2" t="str">
        <f>IF(ISERROR(MATCH(A236,'SegEnds_Xtal_Prot#'!B:B, 0)), "NoXtal", "Xtal")</f>
        <v>NoXtal</v>
      </c>
      <c r="H236" s="4"/>
      <c r="N236" s="2" t="s">
        <v>14</v>
      </c>
      <c r="R236" s="2" t="s">
        <v>9</v>
      </c>
      <c r="T236" s="4" t="s">
        <v>12</v>
      </c>
      <c r="V236" s="28" t="str">
        <f>MID(VLOOKUP($A236,Seqs!$A:$B,2,FALSE),VLOOKUP($A236,'SegEnds_NonXtal_Prot#'!A:AL,10,FALSE),1)</f>
        <v>D</v>
      </c>
      <c r="W236" s="49" t="str">
        <f>MID(VLOOKUP($A236,Seqs!$A:$B,2,FALSE),VLOOKUP($A236,'SegEnds_NonXtal_Prot#'!A:AL,10,FALSE)+6,1)</f>
        <v>V</v>
      </c>
      <c r="X236" s="49" t="str">
        <f>MID(VLOOKUP($A236,Seqs!$A:$B,2,FALSE),VLOOKUP($A236,'SegEnds_NonXtal_Prot#'!A:AL,10,FALSE)+7,1)</f>
        <v>L</v>
      </c>
      <c r="Y236" s="49" t="str">
        <f>MID(VLOOKUP($A236,Seqs!$A:$B,2,FALSE),VLOOKUP($A236,'SegEnds_NonXtal_Prot#'!A:AL,10,FALSE)+8,1)</f>
        <v>P</v>
      </c>
      <c r="Z236" s="49" t="str">
        <f>MID(VLOOKUP($A236,Seqs!$A:$B,2,FALSE),VLOOKUP($A236,'SegEnds_NonXtal_Prot#'!A:AL,10,FALSE)+9,1)</f>
        <v>T</v>
      </c>
      <c r="AA236" s="49" t="str">
        <f>MID(VLOOKUP($A236,Seqs!$A:$B,2,FALSE),VLOOKUP($A236,'SegEnds_NonXtal_Prot#'!A:AL,10,FALSE)+10,1)</f>
        <v>R</v>
      </c>
      <c r="AB236" s="28" t="str">
        <f>MID(VLOOKUP($A236,Seqs!$A:$B,2,FALSE),VLOOKUP($A236,'SegEnds_NonXtal_Prot#'!$A:$AL,22,FALSE)+6,1)</f>
        <v>A</v>
      </c>
      <c r="AC236" s="49" t="str">
        <f>MID(VLOOKUP($A236,Seqs!$A:$B,2,FALSE),VLOOKUP($A236,'SegEnds_NonXtal_Prot#'!$A:$AL,22,FALSE)+7,1)</f>
        <v>M</v>
      </c>
      <c r="AD236" s="49" t="str">
        <f>MID(VLOOKUP($A236,Seqs!$A:$B,2,FALSE),VLOOKUP($A236,'SegEnds_NonXtal_Prot#'!$A:$AL,22,FALSE)+8,1)</f>
        <v>A</v>
      </c>
      <c r="AE236" s="49" t="str">
        <f>MID(VLOOKUP($A236,Seqs!$A:$B,2,FALSE),VLOOKUP($A236,'SegEnds_NonXtal_Prot#'!$A:$AL,22,FALSE)+9,1)</f>
        <v>P</v>
      </c>
      <c r="AF236" s="49" t="str">
        <f>MID(VLOOKUP($A236,Seqs!$A:$B,2,FALSE),VLOOKUP($A236,'SegEnds_NonXtal_Prot#'!$A:$AL,22,FALSE)+10,1)</f>
        <v>L</v>
      </c>
      <c r="AG236" s="28" t="str">
        <f>MID(VLOOKUP($A236,Seqs!$A:$B,2,FALSE),VLOOKUP($A236,'SegEnds_NonXtal_Prot#'!$A:$AL,28,FALSE)-4,1)</f>
        <v>A</v>
      </c>
      <c r="AH236" s="49" t="str">
        <f>MID(VLOOKUP($A236,Seqs!$A:$B,2,FALSE),VLOOKUP($A236,'SegEnds_NonXtal_Prot#'!$A:$AL,28,FALSE),1)</f>
        <v>P</v>
      </c>
    </row>
    <row r="237" spans="1:34" s="2" customFormat="1" x14ac:dyDescent="0.2">
      <c r="A237" s="2" t="s">
        <v>241</v>
      </c>
      <c r="B237" s="2" t="str">
        <f>LOWER(VLOOKUP(A237,Xtal_Templ!A:B,2,FALSE))</f>
        <v>oprk_human</v>
      </c>
      <c r="C237" s="2" t="str">
        <f>VLOOKUP(A237,Classification!A:D,2,FALSE)</f>
        <v>A</v>
      </c>
      <c r="D237" s="2" t="str">
        <f>IF(ISERROR(MATCH(A237,'SegEnds_Xtal_Prot#'!B:B, 0)), "NoXtal", "Xtal")</f>
        <v>NoXtal</v>
      </c>
      <c r="H237" s="4"/>
      <c r="N237" s="2" t="s">
        <v>14</v>
      </c>
      <c r="T237" s="4" t="s">
        <v>12</v>
      </c>
      <c r="V237" s="28" t="str">
        <f>MID(VLOOKUP($A237,Seqs!$A:$B,2,FALSE),VLOOKUP($A237,'SegEnds_NonXtal_Prot#'!A:AL,10,FALSE),1)</f>
        <v>D</v>
      </c>
      <c r="W237" s="49" t="str">
        <f>MID(VLOOKUP($A237,Seqs!$A:$B,2,FALSE),VLOOKUP($A237,'SegEnds_NonXtal_Prot#'!A:AL,10,FALSE)+6,1)</f>
        <v>T</v>
      </c>
      <c r="X237" s="49" t="str">
        <f>MID(VLOOKUP($A237,Seqs!$A:$B,2,FALSE),VLOOKUP($A237,'SegEnds_NonXtal_Prot#'!A:AL,10,FALSE)+7,1)</f>
        <v>L</v>
      </c>
      <c r="Y237" s="49" t="str">
        <f>MID(VLOOKUP($A237,Seqs!$A:$B,2,FALSE),VLOOKUP($A237,'SegEnds_NonXtal_Prot#'!A:AL,10,FALSE)+8,1)</f>
        <v>P</v>
      </c>
      <c r="Z237" s="49" t="str">
        <f>MID(VLOOKUP($A237,Seqs!$A:$B,2,FALSE),VLOOKUP($A237,'SegEnds_NonXtal_Prot#'!A:AL,10,FALSE)+9,1)</f>
        <v>F</v>
      </c>
      <c r="AA237" s="49" t="str">
        <f>MID(VLOOKUP($A237,Seqs!$A:$B,2,FALSE),VLOOKUP($A237,'SegEnds_NonXtal_Prot#'!A:AL,10,FALSE)+10,1)</f>
        <v>R</v>
      </c>
      <c r="AB237" s="28" t="str">
        <f>MID(VLOOKUP($A237,Seqs!$A:$B,2,FALSE),VLOOKUP($A237,'SegEnds_NonXtal_Prot#'!$A:$AL,22,FALSE)+6,1)</f>
        <v>T</v>
      </c>
      <c r="AC237" s="49" t="str">
        <f>MID(VLOOKUP($A237,Seqs!$A:$B,2,FALSE),VLOOKUP($A237,'SegEnds_NonXtal_Prot#'!$A:$AL,22,FALSE)+7,1)</f>
        <v>T</v>
      </c>
      <c r="AD237" s="49" t="str">
        <f>MID(VLOOKUP($A237,Seqs!$A:$B,2,FALSE),VLOOKUP($A237,'SegEnds_NonXtal_Prot#'!$A:$AL,22,FALSE)+8,1)</f>
        <v>T</v>
      </c>
      <c r="AE237" s="49" t="str">
        <f>MID(VLOOKUP($A237,Seqs!$A:$B,2,FALSE),VLOOKUP($A237,'SegEnds_NonXtal_Prot#'!$A:$AL,22,FALSE)+9,1)</f>
        <v>P</v>
      </c>
      <c r="AF237" s="49" t="str">
        <f>MID(VLOOKUP($A237,Seqs!$A:$B,2,FALSE),VLOOKUP($A237,'SegEnds_NonXtal_Prot#'!$A:$AL,22,FALSE)+10,1)</f>
        <v>L</v>
      </c>
      <c r="AG237" s="28" t="str">
        <f>MID(VLOOKUP($A237,Seqs!$A:$B,2,FALSE),VLOOKUP($A237,'SegEnds_NonXtal_Prot#'!$A:$AL,28,FALSE)-4,1)</f>
        <v>F</v>
      </c>
      <c r="AH237" s="49" t="str">
        <f>MID(VLOOKUP($A237,Seqs!$A:$B,2,FALSE),VLOOKUP($A237,'SegEnds_NonXtal_Prot#'!$A:$AL,28,FALSE),1)</f>
        <v>P</v>
      </c>
    </row>
    <row r="238" spans="1:34" s="2" customFormat="1" x14ac:dyDescent="0.2">
      <c r="A238" s="2" t="s">
        <v>250</v>
      </c>
      <c r="B238" s="2" t="str">
        <f>LOWER(VLOOKUP(A238,Xtal_Templ!A:B,2,FALSE))</f>
        <v>oprd_human</v>
      </c>
      <c r="C238" s="2" t="str">
        <f>VLOOKUP(A238,Classification!A:D,2,FALSE)</f>
        <v>A</v>
      </c>
      <c r="D238" s="2" t="str">
        <f>IF(ISERROR(MATCH(A238,'SegEnds_Xtal_Prot#'!B:B, 0)), "NoXtal", "Xtal")</f>
        <v>NoXtal</v>
      </c>
      <c r="H238" s="4"/>
      <c r="N238" s="2" t="s">
        <v>14</v>
      </c>
      <c r="R238" s="2" t="s">
        <v>9</v>
      </c>
      <c r="T238" s="4" t="s">
        <v>12</v>
      </c>
      <c r="V238" s="28" t="str">
        <f>MID(VLOOKUP($A238,Seqs!$A:$B,2,FALSE),VLOOKUP($A238,'SegEnds_NonXtal_Prot#'!A:AL,10,FALSE),1)</f>
        <v>D</v>
      </c>
      <c r="W238" s="49" t="str">
        <f>MID(VLOOKUP($A238,Seqs!$A:$B,2,FALSE),VLOOKUP($A238,'SegEnds_NonXtal_Prot#'!A:AL,10,FALSE)+6,1)</f>
        <v>C</v>
      </c>
      <c r="X238" s="49" t="str">
        <f>MID(VLOOKUP($A238,Seqs!$A:$B,2,FALSE),VLOOKUP($A238,'SegEnds_NonXtal_Prot#'!A:AL,10,FALSE)+7,1)</f>
        <v>L</v>
      </c>
      <c r="Y238" s="49" t="str">
        <f>MID(VLOOKUP($A238,Seqs!$A:$B,2,FALSE),VLOOKUP($A238,'SegEnds_NonXtal_Prot#'!A:AL,10,FALSE)+8,1)</f>
        <v>P</v>
      </c>
      <c r="Z238" s="49" t="str">
        <f>MID(VLOOKUP($A238,Seqs!$A:$B,2,FALSE),VLOOKUP($A238,'SegEnds_NonXtal_Prot#'!A:AL,10,FALSE)+9,1)</f>
        <v>F</v>
      </c>
      <c r="AA238" s="49" t="str">
        <f>MID(VLOOKUP($A238,Seqs!$A:$B,2,FALSE),VLOOKUP($A238,'SegEnds_NonXtal_Prot#'!A:AL,10,FALSE)+10,1)</f>
        <v>L</v>
      </c>
      <c r="AB238" s="28" t="str">
        <f>MID(VLOOKUP($A238,Seqs!$A:$B,2,FALSE),VLOOKUP($A238,'SegEnds_NonXtal_Prot#'!$A:$AL,22,FALSE)+6,1)</f>
        <v>L</v>
      </c>
      <c r="AC238" s="49" t="str">
        <f>MID(VLOOKUP($A238,Seqs!$A:$B,2,FALSE),VLOOKUP($A238,'SegEnds_NonXtal_Prot#'!$A:$AL,22,FALSE)+7,1)</f>
        <v>T</v>
      </c>
      <c r="AD238" s="49" t="str">
        <f>MID(VLOOKUP($A238,Seqs!$A:$B,2,FALSE),VLOOKUP($A238,'SegEnds_NonXtal_Prot#'!$A:$AL,22,FALSE)+8,1)</f>
        <v>C</v>
      </c>
      <c r="AE238" s="49" t="str">
        <f>MID(VLOOKUP($A238,Seqs!$A:$B,2,FALSE),VLOOKUP($A238,'SegEnds_NonXtal_Prot#'!$A:$AL,22,FALSE)+9,1)</f>
        <v>P</v>
      </c>
      <c r="AF238" s="49" t="str">
        <f>MID(VLOOKUP($A238,Seqs!$A:$B,2,FALSE),VLOOKUP($A238,'SegEnds_NonXtal_Prot#'!$A:$AL,22,FALSE)+10,1)</f>
        <v>G</v>
      </c>
      <c r="AG238" s="28" t="str">
        <f>MID(VLOOKUP($A238,Seqs!$A:$B,2,FALSE),VLOOKUP($A238,'SegEnds_NonXtal_Prot#'!$A:$AL,28,FALSE)-4,1)</f>
        <v>Q</v>
      </c>
      <c r="AH238" s="49" t="str">
        <f>MID(VLOOKUP($A238,Seqs!$A:$B,2,FALSE),VLOOKUP($A238,'SegEnds_NonXtal_Prot#'!$A:$AL,28,FALSE),1)</f>
        <v>P</v>
      </c>
    </row>
    <row r="239" spans="1:34" s="2" customFormat="1" x14ac:dyDescent="0.2">
      <c r="A239" s="2" t="s">
        <v>257</v>
      </c>
      <c r="B239" s="2" t="str">
        <f>LOWER(VLOOKUP(A239,Xtal_Templ!A:B,2,FALSE))</f>
        <v>ptafr_human</v>
      </c>
      <c r="C239" s="2" t="str">
        <f>VLOOKUP(A239,Classification!A:D,2,FALSE)</f>
        <v>A</v>
      </c>
      <c r="D239" s="2" t="str">
        <f>IF(ISERROR(MATCH(A239,'SegEnds_Xtal_Prot#'!B:B, 0)), "NoXtal", "Xtal")</f>
        <v>NoXtal</v>
      </c>
      <c r="H239" s="4"/>
      <c r="R239" s="2" t="s">
        <v>9</v>
      </c>
      <c r="S239" s="106"/>
      <c r="T239" s="4" t="s">
        <v>12</v>
      </c>
      <c r="V239" s="28" t="str">
        <f>MID(VLOOKUP($A239,Seqs!$A:$B,2,FALSE),VLOOKUP($A239,'SegEnds_NonXtal_Prot#'!A:AL,10,FALSE),1)</f>
        <v>D</v>
      </c>
      <c r="W239" s="49" t="str">
        <f>MID(VLOOKUP($A239,Seqs!$A:$B,2,FALSE),VLOOKUP($A239,'SegEnds_NonXtal_Prot#'!A:AL,10,FALSE)+6,1)</f>
        <v>T</v>
      </c>
      <c r="X239" s="49" t="str">
        <f>MID(VLOOKUP($A239,Seqs!$A:$B,2,FALSE),VLOOKUP($A239,'SegEnds_NonXtal_Prot#'!A:AL,10,FALSE)+7,1)</f>
        <v>L</v>
      </c>
      <c r="Y239" s="49" t="str">
        <f>MID(VLOOKUP($A239,Seqs!$A:$B,2,FALSE),VLOOKUP($A239,'SegEnds_NonXtal_Prot#'!A:AL,10,FALSE)+8,1)</f>
        <v>P</v>
      </c>
      <c r="Z239" s="49" t="str">
        <f>MID(VLOOKUP($A239,Seqs!$A:$B,2,FALSE),VLOOKUP($A239,'SegEnds_NonXtal_Prot#'!A:AL,10,FALSE)+9,1)</f>
        <v>L</v>
      </c>
      <c r="AA239" s="49" t="str">
        <f>MID(VLOOKUP($A239,Seqs!$A:$B,2,FALSE),VLOOKUP($A239,'SegEnds_NonXtal_Prot#'!A:AL,10,FALSE)+10,1)</f>
        <v>W</v>
      </c>
      <c r="AB239" s="28" t="str">
        <f>MID(VLOOKUP($A239,Seqs!$A:$B,2,FALSE),VLOOKUP($A239,'SegEnds_NonXtal_Prot#'!$A:$AL,22,FALSE)+6,1)</f>
        <v>A</v>
      </c>
      <c r="AC239" s="49" t="str">
        <f>MID(VLOOKUP($A239,Seqs!$A:$B,2,FALSE),VLOOKUP($A239,'SegEnds_NonXtal_Prot#'!$A:$AL,22,FALSE)+7,1)</f>
        <v>N</v>
      </c>
      <c r="AD239" s="49" t="str">
        <f>MID(VLOOKUP($A239,Seqs!$A:$B,2,FALSE),VLOOKUP($A239,'SegEnds_NonXtal_Prot#'!$A:$AL,22,FALSE)+8,1)</f>
        <v>S</v>
      </c>
      <c r="AE239" s="49" t="str">
        <f>MID(VLOOKUP($A239,Seqs!$A:$B,2,FALSE),VLOOKUP($A239,'SegEnds_NonXtal_Prot#'!$A:$AL,22,FALSE)+9,1)</f>
        <v>A</v>
      </c>
      <c r="AF239" s="49" t="str">
        <f>MID(VLOOKUP($A239,Seqs!$A:$B,2,FALSE),VLOOKUP($A239,'SegEnds_NonXtal_Prot#'!$A:$AL,22,FALSE)+10,1)</f>
        <v>P</v>
      </c>
      <c r="AG239" s="28" t="str">
        <f>MID(VLOOKUP($A239,Seqs!$A:$B,2,FALSE),VLOOKUP($A239,'SegEnds_NonXtal_Prot#'!$A:$AL,28,FALSE)-4,1)</f>
        <v>G</v>
      </c>
      <c r="AH239" s="49" t="str">
        <f>MID(VLOOKUP($A239,Seqs!$A:$B,2,FALSE),VLOOKUP($A239,'SegEnds_NonXtal_Prot#'!$A:$AL,28,FALSE),1)</f>
        <v>P</v>
      </c>
    </row>
    <row r="240" spans="1:34" s="2" customFormat="1" x14ac:dyDescent="0.2">
      <c r="A240" s="2" t="s">
        <v>275</v>
      </c>
      <c r="B240" s="2" t="str">
        <f>LOWER(VLOOKUP(A240,Xtal_Templ!A:B,2,FALSE))</f>
        <v>p2ry1_human</v>
      </c>
      <c r="C240" s="2" t="str">
        <f>VLOOKUP(A240,Classification!A:D,2,FALSE)</f>
        <v>A</v>
      </c>
      <c r="D240" s="2" t="str">
        <f>IF(ISERROR(MATCH(A240,'SegEnds_Xtal_Prot#'!B:B, 0)), "NoXtal", "Xtal")</f>
        <v>NoXtal</v>
      </c>
      <c r="H240" s="4"/>
      <c r="R240" s="2" t="s">
        <v>9</v>
      </c>
      <c r="T240" s="4" t="s">
        <v>12</v>
      </c>
      <c r="V240" s="28" t="str">
        <f>MID(VLOOKUP($A240,Seqs!$A:$B,2,FALSE),VLOOKUP($A240,'SegEnds_NonXtal_Prot#'!A:AL,10,FALSE),1)</f>
        <v>D</v>
      </c>
      <c r="W240" s="49" t="str">
        <f>MID(VLOOKUP($A240,Seqs!$A:$B,2,FALSE),VLOOKUP($A240,'SegEnds_NonXtal_Prot#'!A:AL,10,FALSE)+6,1)</f>
        <v>C</v>
      </c>
      <c r="X240" s="49" t="str">
        <f>MID(VLOOKUP($A240,Seqs!$A:$B,2,FALSE),VLOOKUP($A240,'SegEnds_NonXtal_Prot#'!A:AL,10,FALSE)+7,1)</f>
        <v>L</v>
      </c>
      <c r="Y240" s="49" t="str">
        <f>MID(VLOOKUP($A240,Seqs!$A:$B,2,FALSE),VLOOKUP($A240,'SegEnds_NonXtal_Prot#'!A:AL,10,FALSE)+8,1)</f>
        <v>P</v>
      </c>
      <c r="Z240" s="49" t="str">
        <f>MID(VLOOKUP($A240,Seqs!$A:$B,2,FALSE),VLOOKUP($A240,'SegEnds_NonXtal_Prot#'!A:AL,10,FALSE)+9,1)</f>
        <v>F</v>
      </c>
      <c r="AA240" s="49" t="str">
        <f>MID(VLOOKUP($A240,Seqs!$A:$B,2,FALSE),VLOOKUP($A240,'SegEnds_NonXtal_Prot#'!A:AL,10,FALSE)+10,1)</f>
        <v>R</v>
      </c>
      <c r="AB240" s="28" t="str">
        <f>MID(VLOOKUP($A240,Seqs!$A:$B,2,FALSE),VLOOKUP($A240,'SegEnds_NonXtal_Prot#'!$A:$AL,22,FALSE)+6,1)</f>
        <v>G</v>
      </c>
      <c r="AC240" s="49" t="str">
        <f>MID(VLOOKUP($A240,Seqs!$A:$B,2,FALSE),VLOOKUP($A240,'SegEnds_NonXtal_Prot#'!$A:$AL,22,FALSE)+7,1)</f>
        <v>T</v>
      </c>
      <c r="AD240" s="49" t="str">
        <f>MID(VLOOKUP($A240,Seqs!$A:$B,2,FALSE),VLOOKUP($A240,'SegEnds_NonXtal_Prot#'!$A:$AL,22,FALSE)+8,1)</f>
        <v>V</v>
      </c>
      <c r="AE240" s="49" t="str">
        <f>MID(VLOOKUP($A240,Seqs!$A:$B,2,FALSE),VLOOKUP($A240,'SegEnds_NonXtal_Prot#'!$A:$AL,22,FALSE)+9,1)</f>
        <v>Y</v>
      </c>
      <c r="AF240" s="49" t="str">
        <f>MID(VLOOKUP($A240,Seqs!$A:$B,2,FALSE),VLOOKUP($A240,'SegEnds_NonXtal_Prot#'!$A:$AL,22,FALSE)+10,1)</f>
        <v>L</v>
      </c>
      <c r="AG240" s="28" t="str">
        <f>MID(VLOOKUP($A240,Seqs!$A:$B,2,FALSE),VLOOKUP($A240,'SegEnds_NonXtal_Prot#'!$A:$AL,28,FALSE)-4,1)</f>
        <v>E</v>
      </c>
      <c r="AH240" s="49" t="str">
        <f>MID(VLOOKUP($A240,Seqs!$A:$B,2,FALSE),VLOOKUP($A240,'SegEnds_NonXtal_Prot#'!$A:$AL,28,FALSE),1)</f>
        <v>P</v>
      </c>
    </row>
    <row r="241" spans="1:34" s="2" customFormat="1" x14ac:dyDescent="0.2">
      <c r="A241" s="2" t="s">
        <v>276</v>
      </c>
      <c r="B241" s="2" t="str">
        <f>LOWER(VLOOKUP(A241,Xtal_Templ!A:B,2,FALSE))</f>
        <v>oprk_human</v>
      </c>
      <c r="C241" s="2" t="str">
        <f>VLOOKUP(A241,Classification!A:D,2,FALSE)</f>
        <v>A</v>
      </c>
      <c r="D241" s="2" t="str">
        <f>IF(ISERROR(MATCH(A241,'SegEnds_Xtal_Prot#'!B:B, 0)), "NoXtal", "Xtal")</f>
        <v>NoXtal</v>
      </c>
      <c r="H241" s="4"/>
      <c r="R241" s="2" t="s">
        <v>9</v>
      </c>
      <c r="T241" s="4" t="s">
        <v>12</v>
      </c>
      <c r="V241" s="28" t="str">
        <f>MID(VLOOKUP($A241,Seqs!$A:$B,2,FALSE),VLOOKUP($A241,'SegEnds_NonXtal_Prot#'!A:AL,10,FALSE),1)</f>
        <v>D</v>
      </c>
      <c r="W241" s="49" t="str">
        <f>MID(VLOOKUP($A241,Seqs!$A:$B,2,FALSE),VLOOKUP($A241,'SegEnds_NonXtal_Prot#'!A:AL,10,FALSE)+6,1)</f>
        <v>C</v>
      </c>
      <c r="X241" s="49" t="str">
        <f>MID(VLOOKUP($A241,Seqs!$A:$B,2,FALSE),VLOOKUP($A241,'SegEnds_NonXtal_Prot#'!A:AL,10,FALSE)+7,1)</f>
        <v>L</v>
      </c>
      <c r="Y241" s="49" t="str">
        <f>MID(VLOOKUP($A241,Seqs!$A:$B,2,FALSE),VLOOKUP($A241,'SegEnds_NonXtal_Prot#'!A:AL,10,FALSE)+8,1)</f>
        <v>P</v>
      </c>
      <c r="Z241" s="49" t="str">
        <f>MID(VLOOKUP($A241,Seqs!$A:$B,2,FALSE),VLOOKUP($A241,'SegEnds_NonXtal_Prot#'!A:AL,10,FALSE)+9,1)</f>
        <v>F</v>
      </c>
      <c r="AA241" s="49" t="str">
        <f>MID(VLOOKUP($A241,Seqs!$A:$B,2,FALSE),VLOOKUP($A241,'SegEnds_NonXtal_Prot#'!A:AL,10,FALSE)+10,1)</f>
        <v>L</v>
      </c>
      <c r="AB241" s="28" t="str">
        <f>MID(VLOOKUP($A241,Seqs!$A:$B,2,FALSE),VLOOKUP($A241,'SegEnds_NonXtal_Prot#'!$A:$AL,22,FALSE)+6,1)</f>
        <v>L</v>
      </c>
      <c r="AC241" s="49" t="str">
        <f>MID(VLOOKUP($A241,Seqs!$A:$B,2,FALSE),VLOOKUP($A241,'SegEnds_NonXtal_Prot#'!$A:$AL,22,FALSE)+7,1)</f>
        <v>T</v>
      </c>
      <c r="AD241" s="49" t="str">
        <f>MID(VLOOKUP($A241,Seqs!$A:$B,2,FALSE),VLOOKUP($A241,'SegEnds_NonXtal_Prot#'!$A:$AL,22,FALSE)+8,1)</f>
        <v>V</v>
      </c>
      <c r="AE241" s="49" t="str">
        <f>MID(VLOOKUP($A241,Seqs!$A:$B,2,FALSE),VLOOKUP($A241,'SegEnds_NonXtal_Prot#'!$A:$AL,22,FALSE)+9,1)</f>
        <v>H</v>
      </c>
      <c r="AF241" s="49" t="str">
        <f>MID(VLOOKUP($A241,Seqs!$A:$B,2,FALSE),VLOOKUP($A241,'SegEnds_NonXtal_Prot#'!$A:$AL,22,FALSE)+10,1)</f>
        <v>L</v>
      </c>
      <c r="AG241" s="28" t="str">
        <f>MID(VLOOKUP($A241,Seqs!$A:$B,2,FALSE),VLOOKUP($A241,'SegEnds_NonXtal_Prot#'!$A:$AL,28,FALSE)-4,1)</f>
        <v>E</v>
      </c>
      <c r="AH241" s="49" t="str">
        <f>MID(VLOOKUP($A241,Seqs!$A:$B,2,FALSE),VLOOKUP($A241,'SegEnds_NonXtal_Prot#'!$A:$AL,28,FALSE),1)</f>
        <v>P</v>
      </c>
    </row>
    <row r="242" spans="1:34" s="2" customFormat="1" x14ac:dyDescent="0.2">
      <c r="A242" s="2" t="s">
        <v>277</v>
      </c>
      <c r="B242" s="2" t="str">
        <f>LOWER(VLOOKUP(A242,Xtal_Templ!A:B,2,FALSE))</f>
        <v>p2ry1_human</v>
      </c>
      <c r="C242" s="2" t="str">
        <f>VLOOKUP(A242,Classification!A:D,2,FALSE)</f>
        <v>A</v>
      </c>
      <c r="D242" s="2" t="str">
        <f>IF(ISERROR(MATCH(A242,'SegEnds_Xtal_Prot#'!B:B, 0)), "NoXtal", "Xtal")</f>
        <v>NoXtal</v>
      </c>
      <c r="H242" s="4"/>
      <c r="R242" s="2" t="s">
        <v>9</v>
      </c>
      <c r="T242" s="4" t="s">
        <v>12</v>
      </c>
      <c r="V242" s="28" t="str">
        <f>MID(VLOOKUP($A242,Seqs!$A:$B,2,FALSE),VLOOKUP($A242,'SegEnds_NonXtal_Prot#'!A:AL,10,FALSE),1)</f>
        <v>D</v>
      </c>
      <c r="W242" s="49" t="str">
        <f>MID(VLOOKUP($A242,Seqs!$A:$B,2,FALSE),VLOOKUP($A242,'SegEnds_NonXtal_Prot#'!A:AL,10,FALSE)+6,1)</f>
        <v>C</v>
      </c>
      <c r="X242" s="49" t="str">
        <f>MID(VLOOKUP($A242,Seqs!$A:$B,2,FALSE),VLOOKUP($A242,'SegEnds_NonXtal_Prot#'!A:AL,10,FALSE)+7,1)</f>
        <v>L</v>
      </c>
      <c r="Y242" s="49" t="str">
        <f>MID(VLOOKUP($A242,Seqs!$A:$B,2,FALSE),VLOOKUP($A242,'SegEnds_NonXtal_Prot#'!A:AL,10,FALSE)+8,1)</f>
        <v>P</v>
      </c>
      <c r="Z242" s="49" t="str">
        <f>MID(VLOOKUP($A242,Seqs!$A:$B,2,FALSE),VLOOKUP($A242,'SegEnds_NonXtal_Prot#'!A:AL,10,FALSE)+9,1)</f>
        <v>F</v>
      </c>
      <c r="AA242" s="49" t="str">
        <f>MID(VLOOKUP($A242,Seqs!$A:$B,2,FALSE),VLOOKUP($A242,'SegEnds_NonXtal_Prot#'!A:AL,10,FALSE)+10,1)</f>
        <v>V</v>
      </c>
      <c r="AB242" s="28" t="str">
        <f>MID(VLOOKUP($A242,Seqs!$A:$B,2,FALSE),VLOOKUP($A242,'SegEnds_NonXtal_Prot#'!$A:$AL,22,FALSE)+6,1)</f>
        <v>L</v>
      </c>
      <c r="AC242" s="49" t="str">
        <f>MID(VLOOKUP($A242,Seqs!$A:$B,2,FALSE),VLOOKUP($A242,'SegEnds_NonXtal_Prot#'!$A:$AL,22,FALSE)+7,1)</f>
        <v>T</v>
      </c>
      <c r="AD242" s="49" t="str">
        <f>MID(VLOOKUP($A242,Seqs!$A:$B,2,FALSE),VLOOKUP($A242,'SegEnds_NonXtal_Prot#'!$A:$AL,22,FALSE)+8,1)</f>
        <v>V</v>
      </c>
      <c r="AE242" s="49" t="str">
        <f>MID(VLOOKUP($A242,Seqs!$A:$B,2,FALSE),VLOOKUP($A242,'SegEnds_NonXtal_Prot#'!$A:$AL,22,FALSE)+9,1)</f>
        <v>H</v>
      </c>
      <c r="AF242" s="49" t="str">
        <f>MID(VLOOKUP($A242,Seqs!$A:$B,2,FALSE),VLOOKUP($A242,'SegEnds_NonXtal_Prot#'!$A:$AL,22,FALSE)+10,1)</f>
        <v>L</v>
      </c>
      <c r="AG242" s="28" t="str">
        <f>MID(VLOOKUP($A242,Seqs!$A:$B,2,FALSE),VLOOKUP($A242,'SegEnds_NonXtal_Prot#'!$A:$AL,28,FALSE)-4,1)</f>
        <v>E</v>
      </c>
      <c r="AH242" s="49" t="str">
        <f>MID(VLOOKUP($A242,Seqs!$A:$B,2,FALSE),VLOOKUP($A242,'SegEnds_NonXtal_Prot#'!$A:$AL,28,FALSE),1)</f>
        <v>P</v>
      </c>
    </row>
    <row r="243" spans="1:34" s="2" customFormat="1" x14ac:dyDescent="0.2">
      <c r="A243" s="2" t="s">
        <v>288</v>
      </c>
      <c r="B243" s="2" t="str">
        <f>LOWER(VLOOKUP(A243,Xtal_Templ!A:B,2,FALSE))</f>
        <v>oprk_human</v>
      </c>
      <c r="C243" s="2" t="str">
        <f>VLOOKUP(A243,Classification!A:D,2,FALSE)</f>
        <v>A</v>
      </c>
      <c r="D243" s="2" t="str">
        <f>IF(ISERROR(MATCH(A243,'SegEnds_Xtal_Prot#'!B:B, 0)), "NoXtal", "Xtal")</f>
        <v>NoXtal</v>
      </c>
      <c r="H243" s="4"/>
      <c r="R243" s="2" t="s">
        <v>9</v>
      </c>
      <c r="T243" s="4" t="s">
        <v>12</v>
      </c>
      <c r="V243" s="28" t="str">
        <f>MID(VLOOKUP($A243,Seqs!$A:$B,2,FALSE),VLOOKUP($A243,'SegEnds_NonXtal_Prot#'!A:AL,10,FALSE),1)</f>
        <v>D</v>
      </c>
      <c r="W243" s="49" t="str">
        <f>MID(VLOOKUP($A243,Seqs!$A:$B,2,FALSE),VLOOKUP($A243,'SegEnds_NonXtal_Prot#'!A:AL,10,FALSE)+6,1)</f>
        <v>T</v>
      </c>
      <c r="X243" s="49" t="str">
        <f>MID(VLOOKUP($A243,Seqs!$A:$B,2,FALSE),VLOOKUP($A243,'SegEnds_NonXtal_Prot#'!A:AL,10,FALSE)+7,1)</f>
        <v>L</v>
      </c>
      <c r="Y243" s="49" t="str">
        <f>MID(VLOOKUP($A243,Seqs!$A:$B,2,FALSE),VLOOKUP($A243,'SegEnds_NonXtal_Prot#'!A:AL,10,FALSE)+8,1)</f>
        <v>P</v>
      </c>
      <c r="Z243" s="49" t="str">
        <f>MID(VLOOKUP($A243,Seqs!$A:$B,2,FALSE),VLOOKUP($A243,'SegEnds_NonXtal_Prot#'!A:AL,10,FALSE)+9,1)</f>
        <v>F</v>
      </c>
      <c r="AA243" s="49" t="str">
        <f>MID(VLOOKUP($A243,Seqs!$A:$B,2,FALSE),VLOOKUP($A243,'SegEnds_NonXtal_Prot#'!A:AL,10,FALSE)+10,1)</f>
        <v>K</v>
      </c>
      <c r="AB243" s="28" t="str">
        <f>MID(VLOOKUP($A243,Seqs!$A:$B,2,FALSE),VLOOKUP($A243,'SegEnds_NonXtal_Prot#'!$A:$AL,22,FALSE)+6,1)</f>
        <v>G</v>
      </c>
      <c r="AC243" s="49" t="str">
        <f>MID(VLOOKUP($A243,Seqs!$A:$B,2,FALSE),VLOOKUP($A243,'SegEnds_NonXtal_Prot#'!$A:$AL,22,FALSE)+7,1)</f>
        <v>G</v>
      </c>
      <c r="AD243" s="49" t="str">
        <f>MID(VLOOKUP($A243,Seqs!$A:$B,2,FALSE),VLOOKUP($A243,'SegEnds_NonXtal_Prot#'!$A:$AL,22,FALSE)+8,1)</f>
        <v>I</v>
      </c>
      <c r="AE243" s="49" t="str">
        <f>MID(VLOOKUP($A243,Seqs!$A:$B,2,FALSE),VLOOKUP($A243,'SegEnds_NonXtal_Prot#'!$A:$AL,22,FALSE)+9,1)</f>
        <v>S</v>
      </c>
      <c r="AF243" s="49" t="str">
        <f>MID(VLOOKUP($A243,Seqs!$A:$B,2,FALSE),VLOOKUP($A243,'SegEnds_NonXtal_Prot#'!$A:$AL,22,FALSE)+10,1)</f>
        <v>A</v>
      </c>
      <c r="AG243" s="28" t="str">
        <f>MID(VLOOKUP($A243,Seqs!$A:$B,2,FALSE),VLOOKUP($A243,'SegEnds_NonXtal_Prot#'!$A:$AL,28,FALSE)-4,1)</f>
        <v>G</v>
      </c>
      <c r="AH243" s="49" t="str">
        <f>MID(VLOOKUP($A243,Seqs!$A:$B,2,FALSE),VLOOKUP($A243,'SegEnds_NonXtal_Prot#'!$A:$AL,28,FALSE),1)</f>
        <v>P</v>
      </c>
    </row>
    <row r="244" spans="1:34" s="2" customFormat="1" x14ac:dyDescent="0.2">
      <c r="A244" s="2" t="s">
        <v>289</v>
      </c>
      <c r="B244" s="2" t="str">
        <f>LOWER(VLOOKUP(A244,Xtal_Templ!A:B,2,FALSE))</f>
        <v>par2_human</v>
      </c>
      <c r="C244" s="2" t="str">
        <f>VLOOKUP(A244,Classification!A:D,2,FALSE)</f>
        <v>A</v>
      </c>
      <c r="D244" s="2" t="str">
        <f>IF(ISERROR(MATCH(A244,'SegEnds_Xtal_Prot#'!B:B, 0)), "NoXtal", "Xtal")</f>
        <v>NoXtal</v>
      </c>
      <c r="H244" s="4"/>
      <c r="N244" s="2" t="s">
        <v>14</v>
      </c>
      <c r="R244" s="2" t="s">
        <v>9</v>
      </c>
      <c r="T244" s="4" t="s">
        <v>12</v>
      </c>
      <c r="V244" s="28" t="str">
        <f>MID(VLOOKUP($A244,Seqs!$A:$B,2,FALSE),VLOOKUP($A244,'SegEnds_NonXtal_Prot#'!A:AL,10,FALSE),1)</f>
        <v>D</v>
      </c>
      <c r="W244" s="49" t="str">
        <f>MID(VLOOKUP($A244,Seqs!$A:$B,2,FALSE),VLOOKUP($A244,'SegEnds_NonXtal_Prot#'!A:AL,10,FALSE)+6,1)</f>
        <v>S</v>
      </c>
      <c r="X244" s="49" t="str">
        <f>MID(VLOOKUP($A244,Seqs!$A:$B,2,FALSE),VLOOKUP($A244,'SegEnds_NonXtal_Prot#'!A:AL,10,FALSE)+7,1)</f>
        <v>L</v>
      </c>
      <c r="Y244" s="49" t="str">
        <f>MID(VLOOKUP($A244,Seqs!$A:$B,2,FALSE),VLOOKUP($A244,'SegEnds_NonXtal_Prot#'!A:AL,10,FALSE)+8,1)</f>
        <v>P</v>
      </c>
      <c r="Z244" s="49" t="str">
        <f>MID(VLOOKUP($A244,Seqs!$A:$B,2,FALSE),VLOOKUP($A244,'SegEnds_NonXtal_Prot#'!A:AL,10,FALSE)+9,1)</f>
        <v>V</v>
      </c>
      <c r="AA244" s="49" t="str">
        <f>MID(VLOOKUP($A244,Seqs!$A:$B,2,FALSE),VLOOKUP($A244,'SegEnds_NonXtal_Prot#'!A:AL,10,FALSE)+10,1)</f>
        <v>R</v>
      </c>
      <c r="AB244" s="28" t="str">
        <f>MID(VLOOKUP($A244,Seqs!$A:$B,2,FALSE),VLOOKUP($A244,'SegEnds_NonXtal_Prot#'!$A:$AL,22,FALSE)+6,1)</f>
        <v>F</v>
      </c>
      <c r="AC244" s="49" t="str">
        <f>MID(VLOOKUP($A244,Seqs!$A:$B,2,FALSE),VLOOKUP($A244,'SegEnds_NonXtal_Prot#'!$A:$AL,22,FALSE)+7,1)</f>
        <v>A</v>
      </c>
      <c r="AD244" s="49" t="str">
        <f>MID(VLOOKUP($A244,Seqs!$A:$B,2,FALSE),VLOOKUP($A244,'SegEnds_NonXtal_Prot#'!$A:$AL,22,FALSE)+8,1)</f>
        <v>V</v>
      </c>
      <c r="AE244" s="49" t="str">
        <f>MID(VLOOKUP($A244,Seqs!$A:$B,2,FALSE),VLOOKUP($A244,'SegEnds_NonXtal_Prot#'!$A:$AL,22,FALSE)+9,1)</f>
        <v>P</v>
      </c>
      <c r="AF244" s="49" t="str">
        <f>MID(VLOOKUP($A244,Seqs!$A:$B,2,FALSE),VLOOKUP($A244,'SegEnds_NonXtal_Prot#'!$A:$AL,22,FALSE)+10,1)</f>
        <v>A</v>
      </c>
      <c r="AG244" s="28" t="str">
        <f>MID(VLOOKUP($A244,Seqs!$A:$B,2,FALSE),VLOOKUP($A244,'SegEnds_NonXtal_Prot#'!$A:$AL,28,FALSE)-4,1)</f>
        <v>G</v>
      </c>
      <c r="AH244" s="49" t="str">
        <f>MID(VLOOKUP($A244,Seqs!$A:$B,2,FALSE),VLOOKUP($A244,'SegEnds_NonXtal_Prot#'!$A:$AL,28,FALSE),1)</f>
        <v>P</v>
      </c>
    </row>
    <row r="245" spans="1:34" s="2" customFormat="1" x14ac:dyDescent="0.2">
      <c r="A245" s="2" t="s">
        <v>290</v>
      </c>
      <c r="B245" s="2" t="str">
        <f>LOWER(VLOOKUP(A245,Xtal_Templ!A:B,2,FALSE))</f>
        <v>ptafr_human</v>
      </c>
      <c r="C245" s="2" t="str">
        <f>VLOOKUP(A245,Classification!A:D,2,FALSE)</f>
        <v>A</v>
      </c>
      <c r="D245" s="2" t="str">
        <f>IF(ISERROR(MATCH(A245,'SegEnds_Xtal_Prot#'!B:B, 0)), "NoXtal", "Xtal")</f>
        <v>NoXtal</v>
      </c>
      <c r="H245" s="4"/>
      <c r="N245" s="2" t="s">
        <v>14</v>
      </c>
      <c r="R245" s="2" t="s">
        <v>9</v>
      </c>
      <c r="S245" s="106"/>
      <c r="T245" s="4" t="s">
        <v>12</v>
      </c>
      <c r="V245" s="28" t="str">
        <f>MID(VLOOKUP($A245,Seqs!$A:$B,2,FALSE),VLOOKUP($A245,'SegEnds_NonXtal_Prot#'!A:AL,10,FALSE),1)</f>
        <v>D</v>
      </c>
      <c r="W245" s="49" t="str">
        <f>MID(VLOOKUP($A245,Seqs!$A:$B,2,FALSE),VLOOKUP($A245,'SegEnds_NonXtal_Prot#'!A:AL,10,FALSE)+6,1)</f>
        <v>T</v>
      </c>
      <c r="X245" s="49" t="str">
        <f>MID(VLOOKUP($A245,Seqs!$A:$B,2,FALSE),VLOOKUP($A245,'SegEnds_NonXtal_Prot#'!A:AL,10,FALSE)+7,1)</f>
        <v>L</v>
      </c>
      <c r="Y245" s="49" t="str">
        <f>MID(VLOOKUP($A245,Seqs!$A:$B,2,FALSE),VLOOKUP($A245,'SegEnds_NonXtal_Prot#'!A:AL,10,FALSE)+8,1)</f>
        <v>P</v>
      </c>
      <c r="Z245" s="49" t="str">
        <f>MID(VLOOKUP($A245,Seqs!$A:$B,2,FALSE),VLOOKUP($A245,'SegEnds_NonXtal_Prot#'!A:AL,10,FALSE)+9,1)</f>
        <v>F</v>
      </c>
      <c r="AA245" s="49" t="str">
        <f>MID(VLOOKUP($A245,Seqs!$A:$B,2,FALSE),VLOOKUP($A245,'SegEnds_NonXtal_Prot#'!A:AL,10,FALSE)+10,1)</f>
        <v>R</v>
      </c>
      <c r="AB245" s="28" t="str">
        <f>MID(VLOOKUP($A245,Seqs!$A:$B,2,FALSE),VLOOKUP($A245,'SegEnds_NonXtal_Prot#'!$A:$AL,22,FALSE)+6,1)</f>
        <v>G</v>
      </c>
      <c r="AC245" s="49" t="str">
        <f>MID(VLOOKUP($A245,Seqs!$A:$B,2,FALSE),VLOOKUP($A245,'SegEnds_NonXtal_Prot#'!$A:$AL,22,FALSE)+7,1)</f>
        <v>S</v>
      </c>
      <c r="AD245" s="49" t="str">
        <f>MID(VLOOKUP($A245,Seqs!$A:$B,2,FALSE),VLOOKUP($A245,'SegEnds_NonXtal_Prot#'!$A:$AL,22,FALSE)+8,1)</f>
        <v>A</v>
      </c>
      <c r="AE245" s="49" t="str">
        <f>MID(VLOOKUP($A245,Seqs!$A:$B,2,FALSE),VLOOKUP($A245,'SegEnds_NonXtal_Prot#'!$A:$AL,22,FALSE)+9,1)</f>
        <v>P</v>
      </c>
      <c r="AF245" s="49" t="str">
        <f>MID(VLOOKUP($A245,Seqs!$A:$B,2,FALSE),VLOOKUP($A245,'SegEnds_NonXtal_Prot#'!$A:$AL,22,FALSE)+10,1)</f>
        <v>A</v>
      </c>
      <c r="AG245" s="28" t="str">
        <f>MID(VLOOKUP($A245,Seqs!$A:$B,2,FALSE),VLOOKUP($A245,'SegEnds_NonXtal_Prot#'!$A:$AL,28,FALSE)-4,1)</f>
        <v>G</v>
      </c>
      <c r="AH245" s="49" t="str">
        <f>MID(VLOOKUP($A245,Seqs!$A:$B,2,FALSE),VLOOKUP($A245,'SegEnds_NonXtal_Prot#'!$A:$AL,28,FALSE),1)</f>
        <v>P</v>
      </c>
    </row>
    <row r="246" spans="1:34" s="2" customFormat="1" x14ac:dyDescent="0.2">
      <c r="A246" s="2" t="s">
        <v>294</v>
      </c>
      <c r="B246" s="2" t="str">
        <f>LOWER(VLOOKUP(A246,Xtal_Templ!A:B,2,FALSE))</f>
        <v>agtr1_human</v>
      </c>
      <c r="C246" s="2" t="str">
        <f>VLOOKUP(A246,Classification!A:D,2,FALSE)</f>
        <v>A</v>
      </c>
      <c r="D246" s="2" t="str">
        <f>IF(ISERROR(MATCH(A246,'SegEnds_Xtal_Prot#'!B:B, 0)), "NoXtal", "Xtal")</f>
        <v>NoXtal</v>
      </c>
      <c r="H246" s="4"/>
      <c r="R246" s="2" t="s">
        <v>9</v>
      </c>
      <c r="T246" s="4" t="s">
        <v>12</v>
      </c>
      <c r="V246" s="28" t="str">
        <f>MID(VLOOKUP($A246,Seqs!$A:$B,2,FALSE),VLOOKUP($A246,'SegEnds_NonXtal_Prot#'!A:AL,10,FALSE),1)</f>
        <v>D</v>
      </c>
      <c r="W246" s="49" t="str">
        <f>MID(VLOOKUP($A246,Seqs!$A:$B,2,FALSE),VLOOKUP($A246,'SegEnds_NonXtal_Prot#'!A:AL,10,FALSE)+6,1)</f>
        <v>C</v>
      </c>
      <c r="X246" s="49" t="str">
        <f>MID(VLOOKUP($A246,Seqs!$A:$B,2,FALSE),VLOOKUP($A246,'SegEnds_NonXtal_Prot#'!A:AL,10,FALSE)+7,1)</f>
        <v>I</v>
      </c>
      <c r="Y246" s="49" t="str">
        <f>MID(VLOOKUP($A246,Seqs!$A:$B,2,FALSE),VLOOKUP($A246,'SegEnds_NonXtal_Prot#'!A:AL,10,FALSE)+8,1)</f>
        <v>F</v>
      </c>
      <c r="Z246" s="49" t="str">
        <f>MID(VLOOKUP($A246,Seqs!$A:$B,2,FALSE),VLOOKUP($A246,'SegEnds_NonXtal_Prot#'!A:AL,10,FALSE)+9,1)</f>
        <v>I</v>
      </c>
      <c r="AA246" s="49" t="str">
        <f>MID(VLOOKUP($A246,Seqs!$A:$B,2,FALSE),VLOOKUP($A246,'SegEnds_NonXtal_Prot#'!A:AL,10,FALSE)+10,1)</f>
        <v>L</v>
      </c>
      <c r="AB246" s="28" t="str">
        <f>MID(VLOOKUP($A246,Seqs!$A:$B,2,FALSE),VLOOKUP($A246,'SegEnds_NonXtal_Prot#'!$A:$AL,22,FALSE)+6,1)</f>
        <v>V</v>
      </c>
      <c r="AC246" s="49" t="str">
        <f>MID(VLOOKUP($A246,Seqs!$A:$B,2,FALSE),VLOOKUP($A246,'SegEnds_NonXtal_Prot#'!$A:$AL,22,FALSE)+7,1)</f>
        <v>T</v>
      </c>
      <c r="AD246" s="49" t="str">
        <f>MID(VLOOKUP($A246,Seqs!$A:$B,2,FALSE),VLOOKUP($A246,'SegEnds_NonXtal_Prot#'!$A:$AL,22,FALSE)+8,1)</f>
        <v>T</v>
      </c>
      <c r="AE246" s="49" t="str">
        <f>MID(VLOOKUP($A246,Seqs!$A:$B,2,FALSE),VLOOKUP($A246,'SegEnds_NonXtal_Prot#'!$A:$AL,22,FALSE)+9,1)</f>
        <v>M</v>
      </c>
      <c r="AF246" s="49" t="str">
        <f>MID(VLOOKUP($A246,Seqs!$A:$B,2,FALSE),VLOOKUP($A246,'SegEnds_NonXtal_Prot#'!$A:$AL,22,FALSE)+10,1)</f>
        <v>E</v>
      </c>
      <c r="AG246" s="28" t="str">
        <f>MID(VLOOKUP($A246,Seqs!$A:$B,2,FALSE),VLOOKUP($A246,'SegEnds_NonXtal_Prot#'!$A:$AL,28,FALSE)-4,1)</f>
        <v>L</v>
      </c>
      <c r="AH246" s="49" t="str">
        <f>MID(VLOOKUP($A246,Seqs!$A:$B,2,FALSE),VLOOKUP($A246,'SegEnds_NonXtal_Prot#'!$A:$AL,28,FALSE),1)</f>
        <v>P</v>
      </c>
    </row>
    <row r="247" spans="1:34" s="2" customFormat="1" x14ac:dyDescent="0.2">
      <c r="A247" s="2" t="s">
        <v>295</v>
      </c>
      <c r="B247" s="2" t="str">
        <f>LOWER(VLOOKUP(A247,Xtal_Templ!A:B,2,FALSE))</f>
        <v>ccr9_human</v>
      </c>
      <c r="C247" s="2" t="str">
        <f>VLOOKUP(A247,Classification!A:D,2,FALSE)</f>
        <v>A</v>
      </c>
      <c r="D247" s="2" t="str">
        <f>IF(ISERROR(MATCH(A247,'SegEnds_Xtal_Prot#'!B:B, 0)), "NoXtal", "Xtal")</f>
        <v>NoXtal</v>
      </c>
      <c r="H247" s="4"/>
      <c r="T247" s="4" t="s">
        <v>12</v>
      </c>
      <c r="V247" s="28" t="str">
        <f>MID(VLOOKUP($A247,Seqs!$A:$B,2,FALSE),VLOOKUP($A247,'SegEnds_NonXtal_Prot#'!A:AL,10,FALSE),1)</f>
        <v>D</v>
      </c>
      <c r="W247" s="49" t="str">
        <f>MID(VLOOKUP($A247,Seqs!$A:$B,2,FALSE),VLOOKUP($A247,'SegEnds_NonXtal_Prot#'!A:AL,10,FALSE)+6,1)</f>
        <v>C</v>
      </c>
      <c r="X247" s="49" t="str">
        <f>MID(VLOOKUP($A247,Seqs!$A:$B,2,FALSE),VLOOKUP($A247,'SegEnds_NonXtal_Prot#'!A:AL,10,FALSE)+7,1)</f>
        <v>S</v>
      </c>
      <c r="Y247" s="49" t="str">
        <f>MID(VLOOKUP($A247,Seqs!$A:$B,2,FALSE),VLOOKUP($A247,'SegEnds_NonXtal_Prot#'!A:AL,10,FALSE)+8,1)</f>
        <v>A</v>
      </c>
      <c r="Z247" s="49" t="str">
        <f>MID(VLOOKUP($A247,Seqs!$A:$B,2,FALSE),VLOOKUP($A247,'SegEnds_NonXtal_Prot#'!A:AL,10,FALSE)+9,1)</f>
        <v>V</v>
      </c>
      <c r="AA247" s="49" t="str">
        <f>MID(VLOOKUP($A247,Seqs!$A:$B,2,FALSE),VLOOKUP($A247,'SegEnds_NonXtal_Prot#'!A:AL,10,FALSE)+10,1)</f>
        <v>G</v>
      </c>
      <c r="AB247" s="28" t="str">
        <f>MID(VLOOKUP($A247,Seqs!$A:$B,2,FALSE),VLOOKUP($A247,'SegEnds_NonXtal_Prot#'!$A:$AL,22,FALSE)+6,1)</f>
        <v>I</v>
      </c>
      <c r="AC247" s="49" t="str">
        <f>MID(VLOOKUP($A247,Seqs!$A:$B,2,FALSE),VLOOKUP($A247,'SegEnds_NonXtal_Prot#'!$A:$AL,22,FALSE)+7,1)</f>
        <v>N</v>
      </c>
      <c r="AD247" s="49" t="str">
        <f>MID(VLOOKUP($A247,Seqs!$A:$B,2,FALSE),VLOOKUP($A247,'SegEnds_NonXtal_Prot#'!$A:$AL,22,FALSE)+8,1)</f>
        <v>I</v>
      </c>
      <c r="AE247" s="49" t="str">
        <f>MID(VLOOKUP($A247,Seqs!$A:$B,2,FALSE),VLOOKUP($A247,'SegEnds_NonXtal_Prot#'!$A:$AL,22,FALSE)+9,1)</f>
        <v>V</v>
      </c>
      <c r="AF247" s="49" t="str">
        <f>MID(VLOOKUP($A247,Seqs!$A:$B,2,FALSE),VLOOKUP($A247,'SegEnds_NonXtal_Prot#'!$A:$AL,22,FALSE)+10,1)</f>
        <v>K</v>
      </c>
      <c r="AG247" s="28" t="str">
        <f>MID(VLOOKUP($A247,Seqs!$A:$B,2,FALSE),VLOOKUP($A247,'SegEnds_NonXtal_Prot#'!$A:$AL,28,FALSE)-4,1)</f>
        <v>A</v>
      </c>
      <c r="AH247" s="49" t="str">
        <f>MID(VLOOKUP($A247,Seqs!$A:$B,2,FALSE),VLOOKUP($A247,'SegEnds_NonXtal_Prot#'!$A:$AL,28,FALSE),1)</f>
        <v>L</v>
      </c>
    </row>
    <row r="248" spans="1:34" s="2" customFormat="1" x14ac:dyDescent="0.2">
      <c r="A248" s="2" t="s">
        <v>301</v>
      </c>
      <c r="B248" s="2" t="str">
        <f>LOWER(VLOOKUP(A248,Xtal_Templ!A:B,2,FALSE))</f>
        <v>c5ar1_human</v>
      </c>
      <c r="C248" s="2" t="str">
        <f>VLOOKUP(A248,Classification!A:D,2,FALSE)</f>
        <v>A</v>
      </c>
      <c r="D248" s="2" t="str">
        <f>IF(ISERROR(MATCH(A248,'SegEnds_Xtal_Prot#'!B:B, 0)), "NoXtal", "Xtal")</f>
        <v>NoXtal</v>
      </c>
      <c r="H248" s="4"/>
      <c r="R248" s="2" t="s">
        <v>9</v>
      </c>
      <c r="T248" s="4" t="s">
        <v>12</v>
      </c>
      <c r="V248" s="28" t="str">
        <f>MID(VLOOKUP($A248,Seqs!$A:$B,2,FALSE),VLOOKUP($A248,'SegEnds_NonXtal_Prot#'!A:AL,10,FALSE),1)</f>
        <v>D</v>
      </c>
      <c r="W248" s="49" t="str">
        <f>MID(VLOOKUP($A248,Seqs!$A:$B,2,FALSE),VLOOKUP($A248,'SegEnds_NonXtal_Prot#'!A:AL,10,FALSE)+6,1)</f>
        <v>S</v>
      </c>
      <c r="X248" s="49" t="str">
        <f>MID(VLOOKUP($A248,Seqs!$A:$B,2,FALSE),VLOOKUP($A248,'SegEnds_NonXtal_Prot#'!A:AL,10,FALSE)+7,1)</f>
        <v>M</v>
      </c>
      <c r="Y248" s="49" t="str">
        <f>MID(VLOOKUP($A248,Seqs!$A:$B,2,FALSE),VLOOKUP($A248,'SegEnds_NonXtal_Prot#'!A:AL,10,FALSE)+8,1)</f>
        <v>A</v>
      </c>
      <c r="Z248" s="49" t="str">
        <f>MID(VLOOKUP($A248,Seqs!$A:$B,2,FALSE),VLOOKUP($A248,'SegEnds_NonXtal_Prot#'!A:AL,10,FALSE)+9,1)</f>
        <v>S</v>
      </c>
      <c r="AA248" s="49" t="str">
        <f>MID(VLOOKUP($A248,Seqs!$A:$B,2,FALSE),VLOOKUP($A248,'SegEnds_NonXtal_Prot#'!A:AL,10,FALSE)+10,1)</f>
        <v>T</v>
      </c>
      <c r="AB248" s="28" t="str">
        <f>MID(VLOOKUP($A248,Seqs!$A:$B,2,FALSE),VLOOKUP($A248,'SegEnds_NonXtal_Prot#'!$A:$AL,22,FALSE)+6,1)</f>
        <v>M</v>
      </c>
      <c r="AC248" s="49" t="str">
        <f>MID(VLOOKUP($A248,Seqs!$A:$B,2,FALSE),VLOOKUP($A248,'SegEnds_NonXtal_Prot#'!$A:$AL,22,FALSE)+7,1)</f>
        <v>N</v>
      </c>
      <c r="AD248" s="49" t="str">
        <f>MID(VLOOKUP($A248,Seqs!$A:$B,2,FALSE),VLOOKUP($A248,'SegEnds_NonXtal_Prot#'!$A:$AL,22,FALSE)+8,1)</f>
        <v>G</v>
      </c>
      <c r="AE248" s="49" t="str">
        <f>MID(VLOOKUP($A248,Seqs!$A:$B,2,FALSE),VLOOKUP($A248,'SegEnds_NonXtal_Prot#'!$A:$AL,22,FALSE)+9,1)</f>
        <v>L</v>
      </c>
      <c r="AF248" s="49" t="str">
        <f>MID(VLOOKUP($A248,Seqs!$A:$B,2,FALSE),VLOOKUP($A248,'SegEnds_NonXtal_Prot#'!$A:$AL,22,FALSE)+10,1)</f>
        <v>T</v>
      </c>
      <c r="AG248" s="28" t="str">
        <f>MID(VLOOKUP($A248,Seqs!$A:$B,2,FALSE),VLOOKUP($A248,'SegEnds_NonXtal_Prot#'!$A:$AL,28,FALSE)-4,1)</f>
        <v>G</v>
      </c>
      <c r="AH248" s="49" t="str">
        <f>MID(VLOOKUP($A248,Seqs!$A:$B,2,FALSE),VLOOKUP($A248,'SegEnds_NonXtal_Prot#'!$A:$AL,28,FALSE),1)</f>
        <v>P</v>
      </c>
    </row>
    <row r="249" spans="1:34" s="2" customFormat="1" x14ac:dyDescent="0.2">
      <c r="A249" s="2" t="s">
        <v>303</v>
      </c>
      <c r="B249" s="2" t="str">
        <f>LOWER(VLOOKUP(A249,Xtal_Templ!A:B,2,FALSE))</f>
        <v>c5ar1_human</v>
      </c>
      <c r="C249" s="2" t="str">
        <f>VLOOKUP(A249,Classification!A:D,2,FALSE)</f>
        <v>A</v>
      </c>
      <c r="D249" s="2" t="str">
        <f>IF(ISERROR(MATCH(A249,'SegEnds_Xtal_Prot#'!B:B, 0)), "NoXtal", "Xtal")</f>
        <v>NoXtal</v>
      </c>
      <c r="H249" s="4"/>
      <c r="R249" s="2" t="s">
        <v>9</v>
      </c>
      <c r="T249" s="4" t="s">
        <v>12</v>
      </c>
      <c r="V249" s="28" t="str">
        <f>MID(VLOOKUP($A249,Seqs!$A:$B,2,FALSE),VLOOKUP($A249,'SegEnds_NonXtal_Prot#'!A:AL,10,FALSE),1)</f>
        <v>D</v>
      </c>
      <c r="W249" s="49" t="str">
        <f>MID(VLOOKUP($A249,Seqs!$A:$B,2,FALSE),VLOOKUP($A249,'SegEnds_NonXtal_Prot#'!A:AL,10,FALSE)+6,1)</f>
        <v>S</v>
      </c>
      <c r="X249" s="49" t="str">
        <f>MID(VLOOKUP($A249,Seqs!$A:$B,2,FALSE),VLOOKUP($A249,'SegEnds_NonXtal_Prot#'!A:AL,10,FALSE)+7,1)</f>
        <v>K</v>
      </c>
      <c r="Y249" s="49" t="str">
        <f>MID(VLOOKUP($A249,Seqs!$A:$B,2,FALSE),VLOOKUP($A249,'SegEnds_NonXtal_Prot#'!A:AL,10,FALSE)+8,1)</f>
        <v>A</v>
      </c>
      <c r="Z249" s="49" t="str">
        <f>MID(VLOOKUP($A249,Seqs!$A:$B,2,FALSE),VLOOKUP($A249,'SegEnds_NonXtal_Prot#'!A:AL,10,FALSE)+9,1)</f>
        <v>V</v>
      </c>
      <c r="AA249" s="49" t="str">
        <f>MID(VLOOKUP($A249,Seqs!$A:$B,2,FALSE),VLOOKUP($A249,'SegEnds_NonXtal_Prot#'!A:AL,10,FALSE)+10,1)</f>
        <v>F</v>
      </c>
      <c r="AB249" s="28" t="str">
        <f>MID(VLOOKUP($A249,Seqs!$A:$B,2,FALSE),VLOOKUP($A249,'SegEnds_NonXtal_Prot#'!$A:$AL,22,FALSE)+6,1)</f>
        <v>V</v>
      </c>
      <c r="AC249" s="49" t="str">
        <f>MID(VLOOKUP($A249,Seqs!$A:$B,2,FALSE),VLOOKUP($A249,'SegEnds_NonXtal_Prot#'!$A:$AL,22,FALSE)+7,1)</f>
        <v>T</v>
      </c>
      <c r="AD249" s="49" t="str">
        <f>MID(VLOOKUP($A249,Seqs!$A:$B,2,FALSE),VLOOKUP($A249,'SegEnds_NonXtal_Prot#'!$A:$AL,22,FALSE)+8,1)</f>
        <v>C</v>
      </c>
      <c r="AE249" s="49" t="str">
        <f>MID(VLOOKUP($A249,Seqs!$A:$B,2,FALSE),VLOOKUP($A249,'SegEnds_NonXtal_Prot#'!$A:$AL,22,FALSE)+9,1)</f>
        <v>L</v>
      </c>
      <c r="AF249" s="49" t="str">
        <f>MID(VLOOKUP($A249,Seqs!$A:$B,2,FALSE),VLOOKUP($A249,'SegEnds_NonXtal_Prot#'!$A:$AL,22,FALSE)+10,1)</f>
        <v>H</v>
      </c>
      <c r="AG249" s="28" t="str">
        <f>MID(VLOOKUP($A249,Seqs!$A:$B,2,FALSE),VLOOKUP($A249,'SegEnds_NonXtal_Prot#'!$A:$AL,28,FALSE)-4,1)</f>
        <v>L</v>
      </c>
      <c r="AH249" s="49" t="str">
        <f>MID(VLOOKUP($A249,Seqs!$A:$B,2,FALSE),VLOOKUP($A249,'SegEnds_NonXtal_Prot#'!$A:$AL,28,FALSE),1)</f>
        <v>P</v>
      </c>
    </row>
    <row r="250" spans="1:34" s="2" customFormat="1" x14ac:dyDescent="0.2">
      <c r="A250" s="2" t="s">
        <v>305</v>
      </c>
      <c r="B250" s="2" t="str">
        <f>LOWER(VLOOKUP(A250,Xtal_Templ!A:B,2,FALSE))</f>
        <v>agtr1_human</v>
      </c>
      <c r="C250" s="2" t="str">
        <f>VLOOKUP(A250,Classification!A:D,2,FALSE)</f>
        <v>A</v>
      </c>
      <c r="D250" s="2" t="str">
        <f>IF(ISERROR(MATCH(A250,'SegEnds_Xtal_Prot#'!B:B, 0)), "NoXtal", "Xtal")</f>
        <v>NoXtal</v>
      </c>
      <c r="H250" s="4"/>
      <c r="T250" s="4" t="s">
        <v>12</v>
      </c>
      <c r="V250" s="28" t="str">
        <f>MID(VLOOKUP($A250,Seqs!$A:$B,2,FALSE),VLOOKUP($A250,'SegEnds_NonXtal_Prot#'!A:AL,10,FALSE),1)</f>
        <v>D</v>
      </c>
      <c r="W250" s="49" t="str">
        <f>MID(VLOOKUP($A250,Seqs!$A:$B,2,FALSE),VLOOKUP($A250,'SegEnds_NonXtal_Prot#'!A:AL,10,FALSE)+6,1)</f>
        <v>G</v>
      </c>
      <c r="X250" s="49" t="str">
        <f>MID(VLOOKUP($A250,Seqs!$A:$B,2,FALSE),VLOOKUP($A250,'SegEnds_NonXtal_Prot#'!A:AL,10,FALSE)+7,1)</f>
        <v>R</v>
      </c>
      <c r="Y250" s="49" t="str">
        <f>MID(VLOOKUP($A250,Seqs!$A:$B,2,FALSE),VLOOKUP($A250,'SegEnds_NonXtal_Prot#'!A:AL,10,FALSE)+8,1)</f>
        <v>L</v>
      </c>
      <c r="Z250" s="49" t="str">
        <f>MID(VLOOKUP($A250,Seqs!$A:$B,2,FALSE),VLOOKUP($A250,'SegEnds_NonXtal_Prot#'!A:AL,10,FALSE)+9,1)</f>
        <v>I</v>
      </c>
      <c r="AA250" s="49" t="str">
        <f>MID(VLOOKUP($A250,Seqs!$A:$B,2,FALSE),VLOOKUP($A250,'SegEnds_NonXtal_Prot#'!A:AL,10,FALSE)+10,1)</f>
        <v>Y</v>
      </c>
      <c r="AB250" s="28" t="str">
        <f>MID(VLOOKUP($A250,Seqs!$A:$B,2,FALSE),VLOOKUP($A250,'SegEnds_NonXtal_Prot#'!$A:$AL,22,FALSE)+6,1)</f>
        <v>R</v>
      </c>
      <c r="AC250" s="49" t="str">
        <f>MID(VLOOKUP($A250,Seqs!$A:$B,2,FALSE),VLOOKUP($A250,'SegEnds_NonXtal_Prot#'!$A:$AL,22,FALSE)+7,1)</f>
        <v>S</v>
      </c>
      <c r="AD250" s="49" t="str">
        <f>MID(VLOOKUP($A250,Seqs!$A:$B,2,FALSE),VLOOKUP($A250,'SegEnds_NonXtal_Prot#'!$A:$AL,22,FALSE)+8,1)</f>
        <v>I</v>
      </c>
      <c r="AE250" s="49" t="str">
        <f>MID(VLOOKUP($A250,Seqs!$A:$B,2,FALSE),VLOOKUP($A250,'SegEnds_NonXtal_Prot#'!$A:$AL,22,FALSE)+9,1)</f>
        <v>L</v>
      </c>
      <c r="AF250" s="49" t="str">
        <f>MID(VLOOKUP($A250,Seqs!$A:$B,2,FALSE),VLOOKUP($A250,'SegEnds_NonXtal_Prot#'!$A:$AL,22,FALSE)+10,1)</f>
        <v>E</v>
      </c>
      <c r="AG250" s="28" t="str">
        <f>MID(VLOOKUP($A250,Seqs!$A:$B,2,FALSE),VLOOKUP($A250,'SegEnds_NonXtal_Prot#'!$A:$AL,28,FALSE)-4,1)</f>
        <v>I</v>
      </c>
      <c r="AH250" s="49" t="str">
        <f>MID(VLOOKUP($A250,Seqs!$A:$B,2,FALSE),VLOOKUP($A250,'SegEnds_NonXtal_Prot#'!$A:$AL,28,FALSE),1)</f>
        <v>V</v>
      </c>
    </row>
    <row r="251" spans="1:34" s="2" customFormat="1" x14ac:dyDescent="0.2">
      <c r="A251" s="2" t="s">
        <v>343</v>
      </c>
      <c r="B251" s="2" t="str">
        <f>LOWER(VLOOKUP(A251,Xtal_Templ!A:B,2,FALSE))</f>
        <v>p2ry1_human</v>
      </c>
      <c r="C251" s="2" t="str">
        <f>VLOOKUP(A251,Classification!A:D,2,FALSE)</f>
        <v>A</v>
      </c>
      <c r="D251" s="2" t="str">
        <f>IF(ISERROR(MATCH(A251,'SegEnds_Xtal_Prot#'!B:B, 0)), "NoXtal", "Xtal")</f>
        <v>NoXtal</v>
      </c>
      <c r="H251" s="4"/>
      <c r="N251" s="2" t="s">
        <v>14</v>
      </c>
      <c r="R251" s="2" t="s">
        <v>9</v>
      </c>
      <c r="T251" s="4" t="s">
        <v>12</v>
      </c>
      <c r="V251" s="28" t="str">
        <f>MID(VLOOKUP($A251,Seqs!$A:$B,2,FALSE),VLOOKUP($A251,'SegEnds_NonXtal_Prot#'!A:AL,10,FALSE),1)</f>
        <v>D</v>
      </c>
      <c r="W251" s="49" t="str">
        <f>MID(VLOOKUP($A251,Seqs!$A:$B,2,FALSE),VLOOKUP($A251,'SegEnds_NonXtal_Prot#'!A:AL,10,FALSE)+6,1)</f>
        <v>S</v>
      </c>
      <c r="X251" s="49" t="str">
        <f>MID(VLOOKUP($A251,Seqs!$A:$B,2,FALSE),VLOOKUP($A251,'SegEnds_NonXtal_Prot#'!A:AL,10,FALSE)+7,1)</f>
        <v>L</v>
      </c>
      <c r="Y251" s="49" t="str">
        <f>MID(VLOOKUP($A251,Seqs!$A:$B,2,FALSE),VLOOKUP($A251,'SegEnds_NonXtal_Prot#'!A:AL,10,FALSE)+8,1)</f>
        <v>P</v>
      </c>
      <c r="Z251" s="49" t="str">
        <f>MID(VLOOKUP($A251,Seqs!$A:$B,2,FALSE),VLOOKUP($A251,'SegEnds_NonXtal_Prot#'!A:AL,10,FALSE)+9,1)</f>
        <v>F</v>
      </c>
      <c r="AA251" s="49" t="str">
        <f>MID(VLOOKUP($A251,Seqs!$A:$B,2,FALSE),VLOOKUP($A251,'SegEnds_NonXtal_Prot#'!A:AL,10,FALSE)+10,1)</f>
        <v>L</v>
      </c>
      <c r="AB251" s="28" t="str">
        <f>MID(VLOOKUP($A251,Seqs!$A:$B,2,FALSE),VLOOKUP($A251,'SegEnds_NonXtal_Prot#'!$A:$AL,22,FALSE)+6,1)</f>
        <v>A</v>
      </c>
      <c r="AC251" s="49" t="str">
        <f>MID(VLOOKUP($A251,Seqs!$A:$B,2,FALSE),VLOOKUP($A251,'SegEnds_NonXtal_Prot#'!$A:$AL,22,FALSE)+7,1)</f>
        <v>V</v>
      </c>
      <c r="AD251" s="49" t="str">
        <f>MID(VLOOKUP($A251,Seqs!$A:$B,2,FALSE),VLOOKUP($A251,'SegEnds_NonXtal_Prot#'!$A:$AL,22,FALSE)+8,1)</f>
        <v>I</v>
      </c>
      <c r="AE251" s="49" t="str">
        <f>MID(VLOOKUP($A251,Seqs!$A:$B,2,FALSE),VLOOKUP($A251,'SegEnds_NonXtal_Prot#'!$A:$AL,22,FALSE)+9,1)</f>
        <v>P</v>
      </c>
      <c r="AF251" s="49" t="str">
        <f>MID(VLOOKUP($A251,Seqs!$A:$B,2,FALSE),VLOOKUP($A251,'SegEnds_NonXtal_Prot#'!$A:$AL,22,FALSE)+10,1)</f>
        <v>M</v>
      </c>
      <c r="AG251" s="28" t="str">
        <f>MID(VLOOKUP($A251,Seqs!$A:$B,2,FALSE),VLOOKUP($A251,'SegEnds_NonXtal_Prot#'!$A:$AL,28,FALSE)-4,1)</f>
        <v>T</v>
      </c>
      <c r="AH251" s="49" t="str">
        <f>MID(VLOOKUP($A251,Seqs!$A:$B,2,FALSE),VLOOKUP($A251,'SegEnds_NonXtal_Prot#'!$A:$AL,28,FALSE),1)</f>
        <v>P</v>
      </c>
    </row>
    <row r="252" spans="1:34" s="2" customFormat="1" x14ac:dyDescent="0.2">
      <c r="A252" s="2" t="s">
        <v>345</v>
      </c>
      <c r="B252" s="2" t="str">
        <f>LOWER(VLOOKUP(A252,Xtal_Templ!A:B,2,FALSE))</f>
        <v>p2ry1_human</v>
      </c>
      <c r="C252" s="2" t="str">
        <f>VLOOKUP(A252,Classification!A:D,2,FALSE)</f>
        <v>A</v>
      </c>
      <c r="D252" s="2" t="str">
        <f>IF(ISERROR(MATCH(A252,'SegEnds_Xtal_Prot#'!B:B, 0)), "NoXtal", "Xtal")</f>
        <v>Xtal</v>
      </c>
      <c r="H252" s="4"/>
      <c r="R252" s="2" t="s">
        <v>9</v>
      </c>
      <c r="S252" s="2" t="s">
        <v>1328</v>
      </c>
      <c r="T252" s="4" t="s">
        <v>12</v>
      </c>
      <c r="V252" s="28" t="str">
        <f>MID(VLOOKUP($A252,Seqs!$A:$B,2,FALSE),VLOOKUP($A252,'SegEnds_NonXtal_Prot#'!A:AL,10,FALSE),1)</f>
        <v>D</v>
      </c>
      <c r="W252" s="49" t="str">
        <f>MID(VLOOKUP($A252,Seqs!$A:$B,2,FALSE),VLOOKUP($A252,'SegEnds_NonXtal_Prot#'!A:AL,10,FALSE)+6,1)</f>
        <v>T</v>
      </c>
      <c r="X252" s="49" t="str">
        <f>MID(VLOOKUP($A252,Seqs!$A:$B,2,FALSE),VLOOKUP($A252,'SegEnds_NonXtal_Prot#'!A:AL,10,FALSE)+7,1)</f>
        <v>L</v>
      </c>
      <c r="Y252" s="49" t="str">
        <f>MID(VLOOKUP($A252,Seqs!$A:$B,2,FALSE),VLOOKUP($A252,'SegEnds_NonXtal_Prot#'!A:AL,10,FALSE)+8,1)</f>
        <v>P</v>
      </c>
      <c r="Z252" s="49" t="str">
        <f>MID(VLOOKUP($A252,Seqs!$A:$B,2,FALSE),VLOOKUP($A252,'SegEnds_NonXtal_Prot#'!A:AL,10,FALSE)+9,1)</f>
        <v>A</v>
      </c>
      <c r="AA252" s="49" t="str">
        <f>MID(VLOOKUP($A252,Seqs!$A:$B,2,FALSE),VLOOKUP($A252,'SegEnds_NonXtal_Prot#'!A:AL,10,FALSE)+10,1)</f>
        <v>L</v>
      </c>
      <c r="AB252" s="28" t="str">
        <f>MID(VLOOKUP($A252,Seqs!$A:$B,2,FALSE),VLOOKUP($A252,'SegEnds_NonXtal_Prot#'!$A:$AL,22,FALSE)+6,1)</f>
        <v>A</v>
      </c>
      <c r="AC252" s="49" t="str">
        <f>MID(VLOOKUP($A252,Seqs!$A:$B,2,FALSE),VLOOKUP($A252,'SegEnds_NonXtal_Prot#'!$A:$AL,22,FALSE)+7,1)</f>
        <v>I</v>
      </c>
      <c r="AD252" s="49" t="str">
        <f>MID(VLOOKUP($A252,Seqs!$A:$B,2,FALSE),VLOOKUP($A252,'SegEnds_NonXtal_Prot#'!$A:$AL,22,FALSE)+8,1)</f>
        <v>S</v>
      </c>
      <c r="AE252" s="49" t="str">
        <f>MID(VLOOKUP($A252,Seqs!$A:$B,2,FALSE),VLOOKUP($A252,'SegEnds_NonXtal_Prot#'!$A:$AL,22,FALSE)+9,1)</f>
        <v>P</v>
      </c>
      <c r="AF252" s="49" t="str">
        <f>MID(VLOOKUP($A252,Seqs!$A:$B,2,FALSE),VLOOKUP($A252,'SegEnds_NonXtal_Prot#'!$A:$AL,22,FALSE)+10,1)</f>
        <v>I</v>
      </c>
      <c r="AG252" s="28" t="str">
        <f>MID(VLOOKUP($A252,Seqs!$A:$B,2,FALSE),VLOOKUP($A252,'SegEnds_NonXtal_Prot#'!$A:$AL,28,FALSE)-4,1)</f>
        <v>M</v>
      </c>
      <c r="AH252" s="49" t="str">
        <f>MID(VLOOKUP($A252,Seqs!$A:$B,2,FALSE),VLOOKUP($A252,'SegEnds_NonXtal_Prot#'!$A:$AL,28,FALSE),1)</f>
        <v>P</v>
      </c>
    </row>
    <row r="253" spans="1:34" s="2" customFormat="1" x14ac:dyDescent="0.2">
      <c r="A253" s="2" t="s">
        <v>346</v>
      </c>
      <c r="B253" s="2" t="str">
        <f>LOWER(VLOOKUP(A253,Xtal_Templ!A:B,2,FALSE))</f>
        <v>p2ry1_human</v>
      </c>
      <c r="C253" s="2" t="str">
        <f>VLOOKUP(A253,Classification!A:D,2,FALSE)</f>
        <v>A</v>
      </c>
      <c r="D253" s="2" t="str">
        <f>IF(ISERROR(MATCH(A253,'SegEnds_Xtal_Prot#'!B:B, 0)), "NoXtal", "Xtal")</f>
        <v>NoXtal</v>
      </c>
      <c r="H253" s="4"/>
      <c r="R253" s="2" t="s">
        <v>9</v>
      </c>
      <c r="S253" s="2" t="s">
        <v>1328</v>
      </c>
      <c r="T253" s="4" t="s">
        <v>12</v>
      </c>
      <c r="V253" s="28" t="str">
        <f>MID(VLOOKUP($A253,Seqs!$A:$B,2,FALSE),VLOOKUP($A253,'SegEnds_NonXtal_Prot#'!A:AL,10,FALSE),1)</f>
        <v>D</v>
      </c>
      <c r="W253" s="49" t="str">
        <f>MID(VLOOKUP($A253,Seqs!$A:$B,2,FALSE),VLOOKUP($A253,'SegEnds_NonXtal_Prot#'!A:AL,10,FALSE)+6,1)</f>
        <v>S</v>
      </c>
      <c r="X253" s="49" t="str">
        <f>MID(VLOOKUP($A253,Seqs!$A:$B,2,FALSE),VLOOKUP($A253,'SegEnds_NonXtal_Prot#'!A:AL,10,FALSE)+7,1)</f>
        <v>L</v>
      </c>
      <c r="Y253" s="49" t="str">
        <f>MID(VLOOKUP($A253,Seqs!$A:$B,2,FALSE),VLOOKUP($A253,'SegEnds_NonXtal_Prot#'!A:AL,10,FALSE)+8,1)</f>
        <v>P</v>
      </c>
      <c r="Z253" s="49" t="str">
        <f>MID(VLOOKUP($A253,Seqs!$A:$B,2,FALSE),VLOOKUP($A253,'SegEnds_NonXtal_Prot#'!A:AL,10,FALSE)+9,1)</f>
        <v>L</v>
      </c>
      <c r="AA253" s="49" t="str">
        <f>MID(VLOOKUP($A253,Seqs!$A:$B,2,FALSE),VLOOKUP($A253,'SegEnds_NonXtal_Prot#'!A:AL,10,FALSE)+10,1)</f>
        <v>L</v>
      </c>
      <c r="AB253" s="28" t="str">
        <f>MID(VLOOKUP($A253,Seqs!$A:$B,2,FALSE),VLOOKUP($A253,'SegEnds_NonXtal_Prot#'!$A:$AL,22,FALSE)+6,1)</f>
        <v>C</v>
      </c>
      <c r="AC253" s="49" t="str">
        <f>MID(VLOOKUP($A253,Seqs!$A:$B,2,FALSE),VLOOKUP($A253,'SegEnds_NonXtal_Prot#'!$A:$AL,22,FALSE)+7,1)</f>
        <v>Q</v>
      </c>
      <c r="AD253" s="49" t="str">
        <f>MID(VLOOKUP($A253,Seqs!$A:$B,2,FALSE),VLOOKUP($A253,'SegEnds_NonXtal_Prot#'!$A:$AL,22,FALSE)+8,1)</f>
        <v>A</v>
      </c>
      <c r="AE253" s="49" t="str">
        <f>MID(VLOOKUP($A253,Seqs!$A:$B,2,FALSE),VLOOKUP($A253,'SegEnds_NonXtal_Prot#'!$A:$AL,22,FALSE)+9,1)</f>
        <v>P</v>
      </c>
      <c r="AF253" s="49" t="str">
        <f>MID(VLOOKUP($A253,Seqs!$A:$B,2,FALSE),VLOOKUP($A253,'SegEnds_NonXtal_Prot#'!$A:$AL,22,FALSE)+10,1)</f>
        <v>V</v>
      </c>
      <c r="AG253" s="28" t="str">
        <f>MID(VLOOKUP($A253,Seqs!$A:$B,2,FALSE),VLOOKUP($A253,'SegEnds_NonXtal_Prot#'!$A:$AL,28,FALSE)-4,1)</f>
        <v>L</v>
      </c>
      <c r="AH253" s="49" t="str">
        <f>MID(VLOOKUP($A253,Seqs!$A:$B,2,FALSE),VLOOKUP($A253,'SegEnds_NonXtal_Prot#'!$A:$AL,28,FALSE),1)</f>
        <v>P</v>
      </c>
    </row>
    <row r="254" spans="1:34" s="2" customFormat="1" x14ac:dyDescent="0.2">
      <c r="A254" s="2" t="s">
        <v>347</v>
      </c>
      <c r="B254" s="2" t="str">
        <f>LOWER(VLOOKUP(A254,Xtal_Templ!A:B,2,FALSE))</f>
        <v>p2ry1_human</v>
      </c>
      <c r="C254" s="2" t="str">
        <f>VLOOKUP(A254,Classification!A:D,2,FALSE)</f>
        <v>A</v>
      </c>
      <c r="D254" s="2" t="str">
        <f>IF(ISERROR(MATCH(A254,'SegEnds_Xtal_Prot#'!B:B, 0)), "NoXtal", "Xtal")</f>
        <v>NoXtal</v>
      </c>
      <c r="H254" s="4"/>
      <c r="R254" s="2" t="s">
        <v>9</v>
      </c>
      <c r="S254" s="2" t="s">
        <v>1328</v>
      </c>
      <c r="T254" s="4" t="s">
        <v>12</v>
      </c>
      <c r="V254" s="28" t="str">
        <f>MID(VLOOKUP($A254,Seqs!$A:$B,2,FALSE),VLOOKUP($A254,'SegEnds_NonXtal_Prot#'!A:AL,10,FALSE),1)</f>
        <v>D</v>
      </c>
      <c r="W254" s="49" t="str">
        <f>MID(VLOOKUP($A254,Seqs!$A:$B,2,FALSE),VLOOKUP($A254,'SegEnds_NonXtal_Prot#'!A:AL,10,FALSE)+6,1)</f>
        <v>S</v>
      </c>
      <c r="X254" s="49" t="str">
        <f>MID(VLOOKUP($A254,Seqs!$A:$B,2,FALSE),VLOOKUP($A254,'SegEnds_NonXtal_Prot#'!A:AL,10,FALSE)+7,1)</f>
        <v>L</v>
      </c>
      <c r="Y254" s="49" t="str">
        <f>MID(VLOOKUP($A254,Seqs!$A:$B,2,FALSE),VLOOKUP($A254,'SegEnds_NonXtal_Prot#'!A:AL,10,FALSE)+8,1)</f>
        <v>P</v>
      </c>
      <c r="Z254" s="49" t="str">
        <f>MID(VLOOKUP($A254,Seqs!$A:$B,2,FALSE),VLOOKUP($A254,'SegEnds_NonXtal_Prot#'!A:AL,10,FALSE)+9,1)</f>
        <v>T</v>
      </c>
      <c r="AA254" s="49" t="str">
        <f>MID(VLOOKUP($A254,Seqs!$A:$B,2,FALSE),VLOOKUP($A254,'SegEnds_NonXtal_Prot#'!A:AL,10,FALSE)+10,1)</f>
        <v>L</v>
      </c>
      <c r="AB254" s="28" t="str">
        <f>MID(VLOOKUP($A254,Seqs!$A:$B,2,FALSE),VLOOKUP($A254,'SegEnds_NonXtal_Prot#'!$A:$AL,22,FALSE)+6,1)</f>
        <v>C</v>
      </c>
      <c r="AC254" s="49" t="str">
        <f>MID(VLOOKUP($A254,Seqs!$A:$B,2,FALSE),VLOOKUP($A254,'SegEnds_NonXtal_Prot#'!$A:$AL,22,FALSE)+7,1)</f>
        <v>L</v>
      </c>
      <c r="AD254" s="49" t="str">
        <f>MID(VLOOKUP($A254,Seqs!$A:$B,2,FALSE),VLOOKUP($A254,'SegEnds_NonXtal_Prot#'!$A:$AL,22,FALSE)+8,1)</f>
        <v>V</v>
      </c>
      <c r="AE254" s="49" t="str">
        <f>MID(VLOOKUP($A254,Seqs!$A:$B,2,FALSE),VLOOKUP($A254,'SegEnds_NonXtal_Prot#'!$A:$AL,22,FALSE)+9,1)</f>
        <v>P</v>
      </c>
      <c r="AF254" s="49" t="str">
        <f>MID(VLOOKUP($A254,Seqs!$A:$B,2,FALSE),VLOOKUP($A254,'SegEnds_NonXtal_Prot#'!$A:$AL,22,FALSE)+10,1)</f>
        <v>N</v>
      </c>
      <c r="AG254" s="28" t="str">
        <f>MID(VLOOKUP($A254,Seqs!$A:$B,2,FALSE),VLOOKUP($A254,'SegEnds_NonXtal_Prot#'!$A:$AL,28,FALSE)-4,1)</f>
        <v>L</v>
      </c>
      <c r="AH254" s="49" t="str">
        <f>MID(VLOOKUP($A254,Seqs!$A:$B,2,FALSE),VLOOKUP($A254,'SegEnds_NonXtal_Prot#'!$A:$AL,28,FALSE),1)</f>
        <v>P</v>
      </c>
    </row>
    <row r="255" spans="1:34" s="2" customFormat="1" x14ac:dyDescent="0.2">
      <c r="A255" s="2" t="s">
        <v>348</v>
      </c>
      <c r="B255" s="2" t="str">
        <f>LOWER(VLOOKUP(A255,Xtal_Templ!A:B,2,FALSE))</f>
        <v>p2ry1_human</v>
      </c>
      <c r="C255" s="2" t="str">
        <f>VLOOKUP(A255,Classification!A:D,2,FALSE)</f>
        <v>A</v>
      </c>
      <c r="D255" s="2" t="str">
        <f>IF(ISERROR(MATCH(A255,'SegEnds_Xtal_Prot#'!B:B, 0)), "NoXtal", "Xtal")</f>
        <v>NoXtal</v>
      </c>
      <c r="H255" s="4"/>
      <c r="R255" s="2" t="s">
        <v>9</v>
      </c>
      <c r="S255" s="2" t="s">
        <v>1328</v>
      </c>
      <c r="T255" s="4" t="s">
        <v>12</v>
      </c>
      <c r="V255" s="28" t="str">
        <f>MID(VLOOKUP($A255,Seqs!$A:$B,2,FALSE),VLOOKUP($A255,'SegEnds_NonXtal_Prot#'!A:AL,10,FALSE),1)</f>
        <v>D</v>
      </c>
      <c r="W255" s="49" t="str">
        <f>MID(VLOOKUP($A255,Seqs!$A:$B,2,FALSE),VLOOKUP($A255,'SegEnds_NonXtal_Prot#'!A:AL,10,FALSE)+6,1)</f>
        <v>S</v>
      </c>
      <c r="X255" s="49" t="str">
        <f>MID(VLOOKUP($A255,Seqs!$A:$B,2,FALSE),VLOOKUP($A255,'SegEnds_NonXtal_Prot#'!A:AL,10,FALSE)+7,1)</f>
        <v>L</v>
      </c>
      <c r="Y255" s="49" t="str">
        <f>MID(VLOOKUP($A255,Seqs!$A:$B,2,FALSE),VLOOKUP($A255,'SegEnds_NonXtal_Prot#'!A:AL,10,FALSE)+8,1)</f>
        <v>P</v>
      </c>
      <c r="Z255" s="49" t="str">
        <f>MID(VLOOKUP($A255,Seqs!$A:$B,2,FALSE),VLOOKUP($A255,'SegEnds_NonXtal_Prot#'!A:AL,10,FALSE)+9,1)</f>
        <v>L</v>
      </c>
      <c r="AA255" s="49" t="str">
        <f>MID(VLOOKUP($A255,Seqs!$A:$B,2,FALSE),VLOOKUP($A255,'SegEnds_NonXtal_Prot#'!A:AL,10,FALSE)+10,1)</f>
        <v>L</v>
      </c>
      <c r="AB255" s="28" t="str">
        <f>MID(VLOOKUP($A255,Seqs!$A:$B,2,FALSE),VLOOKUP($A255,'SegEnds_NonXtal_Prot#'!$A:$AL,22,FALSE)+6,1)</f>
        <v>Q</v>
      </c>
      <c r="AC255" s="49" t="str">
        <f>MID(VLOOKUP($A255,Seqs!$A:$B,2,FALSE),VLOOKUP($A255,'SegEnds_NonXtal_Prot#'!$A:$AL,22,FALSE)+7,1)</f>
        <v>C</v>
      </c>
      <c r="AD255" s="49" t="str">
        <f>MID(VLOOKUP($A255,Seqs!$A:$B,2,FALSE),VLOOKUP($A255,'SegEnds_NonXtal_Prot#'!$A:$AL,22,FALSE)+8,1)</f>
        <v>L</v>
      </c>
      <c r="AE255" s="49" t="str">
        <f>MID(VLOOKUP($A255,Seqs!$A:$B,2,FALSE),VLOOKUP($A255,'SegEnds_NonXtal_Prot#'!$A:$AL,22,FALSE)+9,1)</f>
        <v>P</v>
      </c>
      <c r="AF255" s="49" t="str">
        <f>MID(VLOOKUP($A255,Seqs!$A:$B,2,FALSE),VLOOKUP($A255,'SegEnds_NonXtal_Prot#'!$A:$AL,22,FALSE)+10,1)</f>
        <v>T</v>
      </c>
      <c r="AG255" s="28" t="str">
        <f>MID(VLOOKUP($A255,Seqs!$A:$B,2,FALSE),VLOOKUP($A255,'SegEnds_NonXtal_Prot#'!$A:$AL,28,FALSE)-4,1)</f>
        <v>G</v>
      </c>
      <c r="AH255" s="49" t="str">
        <f>MID(VLOOKUP($A255,Seqs!$A:$B,2,FALSE),VLOOKUP($A255,'SegEnds_NonXtal_Prot#'!$A:$AL,28,FALSE),1)</f>
        <v>P</v>
      </c>
    </row>
    <row r="256" spans="1:34" s="2" customFormat="1" x14ac:dyDescent="0.2">
      <c r="A256" s="2" t="s">
        <v>350</v>
      </c>
      <c r="B256" s="2" t="str">
        <f>LOWER(VLOOKUP(A256,Xtal_Templ!A:B,2,FALSE))</f>
        <v>ptafr_human</v>
      </c>
      <c r="C256" s="2" t="str">
        <f>VLOOKUP(A256,Classification!A:D,2,FALSE)</f>
        <v>A</v>
      </c>
      <c r="D256" s="2" t="str">
        <f>IF(ISERROR(MATCH(A256,'SegEnds_Xtal_Prot#'!B:B, 0)), "NoXtal", "Xtal")</f>
        <v>NoXtal</v>
      </c>
      <c r="H256" s="4"/>
      <c r="R256" s="2" t="s">
        <v>9</v>
      </c>
      <c r="S256" s="2" t="s">
        <v>1328</v>
      </c>
      <c r="T256" s="4" t="s">
        <v>12</v>
      </c>
      <c r="V256" s="28" t="str">
        <f>MID(VLOOKUP($A256,Seqs!$A:$B,2,FALSE),VLOOKUP($A256,'SegEnds_NonXtal_Prot#'!A:AL,10,FALSE),1)</f>
        <v>D</v>
      </c>
      <c r="W256" s="49" t="str">
        <f>MID(VLOOKUP($A256,Seqs!$A:$B,2,FALSE),VLOOKUP($A256,'SegEnds_NonXtal_Prot#'!A:AL,10,FALSE)+6,1)</f>
        <v>S</v>
      </c>
      <c r="X256" s="49" t="str">
        <f>MID(VLOOKUP($A256,Seqs!$A:$B,2,FALSE),VLOOKUP($A256,'SegEnds_NonXtal_Prot#'!A:AL,10,FALSE)+7,1)</f>
        <v>L</v>
      </c>
      <c r="Y256" s="49" t="str">
        <f>MID(VLOOKUP($A256,Seqs!$A:$B,2,FALSE),VLOOKUP($A256,'SegEnds_NonXtal_Prot#'!A:AL,10,FALSE)+8,1)</f>
        <v>P</v>
      </c>
      <c r="Z256" s="49" t="str">
        <f>MID(VLOOKUP($A256,Seqs!$A:$B,2,FALSE),VLOOKUP($A256,'SegEnds_NonXtal_Prot#'!A:AL,10,FALSE)+9,1)</f>
        <v>L</v>
      </c>
      <c r="AA256" s="49" t="str">
        <f>MID(VLOOKUP($A256,Seqs!$A:$B,2,FALSE),VLOOKUP($A256,'SegEnds_NonXtal_Prot#'!A:AL,10,FALSE)+10,1)</f>
        <v>R</v>
      </c>
      <c r="AB256" s="28" t="str">
        <f>MID(VLOOKUP($A256,Seqs!$A:$B,2,FALSE),VLOOKUP($A256,'SegEnds_NonXtal_Prot#'!$A:$AL,22,FALSE)+6,1)</f>
        <v>A</v>
      </c>
      <c r="AC256" s="49" t="str">
        <f>MID(VLOOKUP($A256,Seqs!$A:$B,2,FALSE),VLOOKUP($A256,'SegEnds_NonXtal_Prot#'!$A:$AL,22,FALSE)+7,1)</f>
        <v>C</v>
      </c>
      <c r="AD256" s="49" t="str">
        <f>MID(VLOOKUP($A256,Seqs!$A:$B,2,FALSE),VLOOKUP($A256,'SegEnds_NonXtal_Prot#'!$A:$AL,22,FALSE)+8,1)</f>
        <v>L</v>
      </c>
      <c r="AE256" s="49" t="str">
        <f>MID(VLOOKUP($A256,Seqs!$A:$B,2,FALSE),VLOOKUP($A256,'SegEnds_NonXtal_Prot#'!$A:$AL,22,FALSE)+9,1)</f>
        <v>P</v>
      </c>
      <c r="AF256" s="49" t="str">
        <f>MID(VLOOKUP($A256,Seqs!$A:$B,2,FALSE),VLOOKUP($A256,'SegEnds_NonXtal_Prot#'!$A:$AL,22,FALSE)+10,1)</f>
        <v>F</v>
      </c>
      <c r="AG256" s="28" t="str">
        <f>MID(VLOOKUP($A256,Seqs!$A:$B,2,FALSE),VLOOKUP($A256,'SegEnds_NonXtal_Prot#'!$A:$AL,28,FALSE)-4,1)</f>
        <v>G</v>
      </c>
      <c r="AH256" s="49" t="str">
        <f>MID(VLOOKUP($A256,Seqs!$A:$B,2,FALSE),VLOOKUP($A256,'SegEnds_NonXtal_Prot#'!$A:$AL,28,FALSE),1)</f>
        <v>P</v>
      </c>
    </row>
    <row r="257" spans="1:34" s="2" customFormat="1" x14ac:dyDescent="0.2">
      <c r="A257" s="2" t="s">
        <v>351</v>
      </c>
      <c r="B257" s="2" t="str">
        <f>LOWER(VLOOKUP(A257,Xtal_Templ!A:B,2,FALSE))</f>
        <v>p2ry1_human</v>
      </c>
      <c r="C257" s="2" t="str">
        <f>VLOOKUP(A257,Classification!A:D,2,FALSE)</f>
        <v>A</v>
      </c>
      <c r="D257" s="2" t="str">
        <f>IF(ISERROR(MATCH(A257,'SegEnds_Xtal_Prot#'!B:B, 0)), "NoXtal", "Xtal")</f>
        <v>NoXtal</v>
      </c>
      <c r="H257" s="4"/>
      <c r="R257" s="2" t="s">
        <v>9</v>
      </c>
      <c r="S257" s="2" t="s">
        <v>1328</v>
      </c>
      <c r="T257" s="4" t="s">
        <v>12</v>
      </c>
      <c r="V257" s="28" t="str">
        <f>MID(VLOOKUP($A257,Seqs!$A:$B,2,FALSE),VLOOKUP($A257,'SegEnds_NonXtal_Prot#'!A:AL,10,FALSE),1)</f>
        <v>D</v>
      </c>
      <c r="W257" s="49" t="str">
        <f>MID(VLOOKUP($A257,Seqs!$A:$B,2,FALSE),VLOOKUP($A257,'SegEnds_NonXtal_Prot#'!A:AL,10,FALSE)+6,1)</f>
        <v>T</v>
      </c>
      <c r="X257" s="49" t="str">
        <f>MID(VLOOKUP($A257,Seqs!$A:$B,2,FALSE),VLOOKUP($A257,'SegEnds_NonXtal_Prot#'!A:AL,10,FALSE)+7,1)</f>
        <v>L</v>
      </c>
      <c r="Y257" s="49" t="str">
        <f>MID(VLOOKUP($A257,Seqs!$A:$B,2,FALSE),VLOOKUP($A257,'SegEnds_NonXtal_Prot#'!A:AL,10,FALSE)+8,1)</f>
        <v>P</v>
      </c>
      <c r="Z257" s="49" t="str">
        <f>MID(VLOOKUP($A257,Seqs!$A:$B,2,FALSE),VLOOKUP($A257,'SegEnds_NonXtal_Prot#'!A:AL,10,FALSE)+9,1)</f>
        <v>P</v>
      </c>
      <c r="AA257" s="49" t="str">
        <f>MID(VLOOKUP($A257,Seqs!$A:$B,2,FALSE),VLOOKUP($A257,'SegEnds_NonXtal_Prot#'!A:AL,10,FALSE)+10,1)</f>
        <v>L</v>
      </c>
      <c r="AB257" s="28" t="str">
        <f>MID(VLOOKUP($A257,Seqs!$A:$B,2,FALSE),VLOOKUP($A257,'SegEnds_NonXtal_Prot#'!$A:$AL,22,FALSE)+6,1)</f>
        <v>L</v>
      </c>
      <c r="AC257" s="49" t="str">
        <f>MID(VLOOKUP($A257,Seqs!$A:$B,2,FALSE),VLOOKUP($A257,'SegEnds_NonXtal_Prot#'!$A:$AL,22,FALSE)+7,1)</f>
        <v>A</v>
      </c>
      <c r="AD257" s="49" t="str">
        <f>MID(VLOOKUP($A257,Seqs!$A:$B,2,FALSE),VLOOKUP($A257,'SegEnds_NonXtal_Prot#'!$A:$AL,22,FALSE)+8,1)</f>
        <v>M</v>
      </c>
      <c r="AE257" s="49" t="str">
        <f>MID(VLOOKUP($A257,Seqs!$A:$B,2,FALSE),VLOOKUP($A257,'SegEnds_NonXtal_Prot#'!$A:$AL,22,FALSE)+9,1)</f>
        <v>P</v>
      </c>
      <c r="AF257" s="49" t="str">
        <f>MID(VLOOKUP($A257,Seqs!$A:$B,2,FALSE),VLOOKUP($A257,'SegEnds_NonXtal_Prot#'!$A:$AL,22,FALSE)+10,1)</f>
        <v>T</v>
      </c>
      <c r="AG257" s="28" t="str">
        <f>MID(VLOOKUP($A257,Seqs!$A:$B,2,FALSE),VLOOKUP($A257,'SegEnds_NonXtal_Prot#'!$A:$AL,28,FALSE)-4,1)</f>
        <v>G</v>
      </c>
      <c r="AH257" s="49" t="str">
        <f>MID(VLOOKUP($A257,Seqs!$A:$B,2,FALSE),VLOOKUP($A257,'SegEnds_NonXtal_Prot#'!$A:$AL,28,FALSE),1)</f>
        <v>P</v>
      </c>
    </row>
    <row r="258" spans="1:34" s="2" customFormat="1" x14ac:dyDescent="0.2">
      <c r="A258" s="2" t="s">
        <v>370</v>
      </c>
      <c r="B258" s="2" t="str">
        <f>LOWER(VLOOKUP(A258,Xtal_Templ!A:B,2,FALSE))</f>
        <v>p2ry1_human</v>
      </c>
      <c r="C258" s="2" t="str">
        <f>VLOOKUP(A258,Classification!A:D,2,FALSE)</f>
        <v>A</v>
      </c>
      <c r="D258" s="2" t="str">
        <f>IF(ISERROR(MATCH(A258,'SegEnds_Xtal_Prot#'!B:B, 0)), "NoXtal", "Xtal")</f>
        <v>NoXtal</v>
      </c>
      <c r="H258" s="4"/>
      <c r="R258" s="2" t="s">
        <v>9</v>
      </c>
      <c r="S258" s="106"/>
      <c r="T258" s="4" t="s">
        <v>12</v>
      </c>
      <c r="V258" s="28" t="str">
        <f>MID(VLOOKUP($A258,Seqs!$A:$B,2,FALSE),VLOOKUP($A258,'SegEnds_NonXtal_Prot#'!A:AL,10,FALSE),1)</f>
        <v>D</v>
      </c>
      <c r="W258" s="49" t="str">
        <f>MID(VLOOKUP($A258,Seqs!$A:$B,2,FALSE),VLOOKUP($A258,'SegEnds_NonXtal_Prot#'!A:AL,10,FALSE)+6,1)</f>
        <v>T</v>
      </c>
      <c r="X258" s="49" t="str">
        <f>MID(VLOOKUP($A258,Seqs!$A:$B,2,FALSE),VLOOKUP($A258,'SegEnds_NonXtal_Prot#'!A:AL,10,FALSE)+7,1)</f>
        <v>L</v>
      </c>
      <c r="Y258" s="49" t="str">
        <f>MID(VLOOKUP($A258,Seqs!$A:$B,2,FALSE),VLOOKUP($A258,'SegEnds_NonXtal_Prot#'!A:AL,10,FALSE)+8,1)</f>
        <v>P</v>
      </c>
      <c r="Z258" s="49" t="str">
        <f>MID(VLOOKUP($A258,Seqs!$A:$B,2,FALSE),VLOOKUP($A258,'SegEnds_NonXtal_Prot#'!A:AL,10,FALSE)+9,1)</f>
        <v>L</v>
      </c>
      <c r="AA258" s="49" t="str">
        <f>MID(VLOOKUP($A258,Seqs!$A:$B,2,FALSE),VLOOKUP($A258,'SegEnds_NonXtal_Prot#'!A:AL,10,FALSE)+10,1)</f>
        <v>W</v>
      </c>
      <c r="AB258" s="28" t="str">
        <f>MID(VLOOKUP($A258,Seqs!$A:$B,2,FALSE),VLOOKUP($A258,'SegEnds_NonXtal_Prot#'!$A:$AL,22,FALSE)+6,1)</f>
        <v>F</v>
      </c>
      <c r="AC258" s="49" t="str">
        <f>MID(VLOOKUP($A258,Seqs!$A:$B,2,FALSE),VLOOKUP($A258,'SegEnds_NonXtal_Prot#'!$A:$AL,22,FALSE)+7,1)</f>
        <v>N</v>
      </c>
      <c r="AD258" s="49" t="str">
        <f>MID(VLOOKUP($A258,Seqs!$A:$B,2,FALSE),VLOOKUP($A258,'SegEnds_NonXtal_Prot#'!$A:$AL,22,FALSE)+8,1)</f>
        <v>A</v>
      </c>
      <c r="AE258" s="49" t="str">
        <f>MID(VLOOKUP($A258,Seqs!$A:$B,2,FALSE),VLOOKUP($A258,'SegEnds_NonXtal_Prot#'!$A:$AL,22,FALSE)+9,1)</f>
        <v>V</v>
      </c>
      <c r="AF258" s="49" t="str">
        <f>MID(VLOOKUP($A258,Seqs!$A:$B,2,FALSE),VLOOKUP($A258,'SegEnds_NonXtal_Prot#'!$A:$AL,22,FALSE)+10,1)</f>
        <v>M</v>
      </c>
      <c r="AG258" s="28" t="str">
        <f>MID(VLOOKUP($A258,Seqs!$A:$B,2,FALSE),VLOOKUP($A258,'SegEnds_NonXtal_Prot#'!$A:$AL,28,FALSE)-4,1)</f>
        <v>G</v>
      </c>
      <c r="AH258" s="49" t="str">
        <f>MID(VLOOKUP($A258,Seqs!$A:$B,2,FALSE),VLOOKUP($A258,'SegEnds_NonXtal_Prot#'!$A:$AL,28,FALSE),1)</f>
        <v>P</v>
      </c>
    </row>
    <row r="259" spans="1:34" s="2" customFormat="1" x14ac:dyDescent="0.2">
      <c r="A259" s="2" t="s">
        <v>386</v>
      </c>
      <c r="B259" s="2" t="str">
        <f>LOWER(VLOOKUP(A259,Xtal_Templ!A:B,2,FALSE))</f>
        <v>p2ry1_human</v>
      </c>
      <c r="C259" s="2" t="str">
        <f>VLOOKUP(A259,Classification!A:D,2,FALSE)</f>
        <v>A</v>
      </c>
      <c r="D259" s="2" t="str">
        <f>IF(ISERROR(MATCH(A259,'SegEnds_Xtal_Prot#'!B:B, 0)), "NoXtal", "Xtal")</f>
        <v>NoXtal</v>
      </c>
      <c r="H259" s="4"/>
      <c r="N259" s="2" t="s">
        <v>14</v>
      </c>
      <c r="R259" s="2" t="s">
        <v>9</v>
      </c>
      <c r="T259" s="4" t="s">
        <v>12</v>
      </c>
      <c r="V259" s="28" t="str">
        <f>MID(VLOOKUP($A259,Seqs!$A:$B,2,FALSE),VLOOKUP($A259,'SegEnds_NonXtal_Prot#'!A:AL,10,FALSE),1)</f>
        <v>D</v>
      </c>
      <c r="W259" s="49" t="str">
        <f>MID(VLOOKUP($A259,Seqs!$A:$B,2,FALSE),VLOOKUP($A259,'SegEnds_NonXtal_Prot#'!A:AL,10,FALSE)+6,1)</f>
        <v>T</v>
      </c>
      <c r="X259" s="49" t="str">
        <f>MID(VLOOKUP($A259,Seqs!$A:$B,2,FALSE),VLOOKUP($A259,'SegEnds_NonXtal_Prot#'!A:AL,10,FALSE)+7,1)</f>
        <v>L</v>
      </c>
      <c r="Y259" s="49" t="str">
        <f>MID(VLOOKUP($A259,Seqs!$A:$B,2,FALSE),VLOOKUP($A259,'SegEnds_NonXtal_Prot#'!A:AL,10,FALSE)+8,1)</f>
        <v>P</v>
      </c>
      <c r="Z259" s="49" t="str">
        <f>MID(VLOOKUP($A259,Seqs!$A:$B,2,FALSE),VLOOKUP($A259,'SegEnds_NonXtal_Prot#'!A:AL,10,FALSE)+9,1)</f>
        <v>M</v>
      </c>
      <c r="AA259" s="49" t="str">
        <f>MID(VLOOKUP($A259,Seqs!$A:$B,2,FALSE),VLOOKUP($A259,'SegEnds_NonXtal_Prot#'!A:AL,10,FALSE)+10,1)</f>
        <v>L</v>
      </c>
      <c r="AB259" s="28" t="str">
        <f>MID(VLOOKUP($A259,Seqs!$A:$B,2,FALSE),VLOOKUP($A259,'SegEnds_NonXtal_Prot#'!$A:$AL,22,FALSE)+6,1)</f>
        <v>E</v>
      </c>
      <c r="AC259" s="49" t="str">
        <f>MID(VLOOKUP($A259,Seqs!$A:$B,2,FALSE),VLOOKUP($A259,'SegEnds_NonXtal_Prot#'!$A:$AL,22,FALSE)+7,1)</f>
        <v>L</v>
      </c>
      <c r="AD259" s="49" t="str">
        <f>MID(VLOOKUP($A259,Seqs!$A:$B,2,FALSE),VLOOKUP($A259,'SegEnds_NonXtal_Prot#'!$A:$AL,22,FALSE)+8,1)</f>
        <v>L</v>
      </c>
      <c r="AE259" s="49" t="str">
        <f>MID(VLOOKUP($A259,Seqs!$A:$B,2,FALSE),VLOOKUP($A259,'SegEnds_NonXtal_Prot#'!$A:$AL,22,FALSE)+9,1)</f>
        <v>P</v>
      </c>
      <c r="AF259" s="49" t="str">
        <f>MID(VLOOKUP($A259,Seqs!$A:$B,2,FALSE),VLOOKUP($A259,'SegEnds_NonXtal_Prot#'!$A:$AL,22,FALSE)+10,1)</f>
        <v>I</v>
      </c>
      <c r="AG259" s="28" t="str">
        <f>MID(VLOOKUP($A259,Seqs!$A:$B,2,FALSE),VLOOKUP($A259,'SegEnds_NonXtal_Prot#'!$A:$AL,28,FALSE)-4,1)</f>
        <v>G</v>
      </c>
      <c r="AH259" s="49" t="str">
        <f>MID(VLOOKUP($A259,Seqs!$A:$B,2,FALSE),VLOOKUP($A259,'SegEnds_NonXtal_Prot#'!$A:$AL,28,FALSE),1)</f>
        <v>P</v>
      </c>
    </row>
    <row r="260" spans="1:34" s="2" customFormat="1" x14ac:dyDescent="0.2">
      <c r="A260" s="2" t="s">
        <v>229</v>
      </c>
      <c r="B260" s="2" t="str">
        <f>LOWER(VLOOKUP(A260,Xtal_Templ!A:B,2,FALSE))</f>
        <v>p2y12_human</v>
      </c>
      <c r="C260" s="2" t="str">
        <f>VLOOKUP(A260,Classification!A:D,2,FALSE)</f>
        <v>A</v>
      </c>
      <c r="D260" s="2" t="str">
        <f>IF(ISERROR(MATCH(A260,'SegEnds_Xtal_Prot#'!B:B, 0)), "NoXtal", "Xtal")</f>
        <v>NoXtal</v>
      </c>
      <c r="H260" s="4"/>
      <c r="N260" s="2" t="s">
        <v>14</v>
      </c>
      <c r="T260" s="4" t="s">
        <v>12</v>
      </c>
      <c r="V260" s="28" t="str">
        <f>MID(VLOOKUP($A260,Seqs!$A:$B,2,FALSE),VLOOKUP($A260,'SegEnds_NonXtal_Prot#'!A:AL,10,FALSE),1)</f>
        <v>D</v>
      </c>
      <c r="W260" s="49" t="str">
        <f>MID(VLOOKUP($A260,Seqs!$A:$B,2,FALSE),VLOOKUP($A260,'SegEnds_NonXtal_Prot#'!A:AL,10,FALSE)+6,1)</f>
        <v>A</v>
      </c>
      <c r="X260" s="49" t="str">
        <f>MID(VLOOKUP($A260,Seqs!$A:$B,2,FALSE),VLOOKUP($A260,'SegEnds_NonXtal_Prot#'!A:AL,10,FALSE)+7,1)</f>
        <v>L</v>
      </c>
      <c r="Y260" s="49" t="str">
        <f>MID(VLOOKUP($A260,Seqs!$A:$B,2,FALSE),VLOOKUP($A260,'SegEnds_NonXtal_Prot#'!A:AL,10,FALSE)+8,1)</f>
        <v>P</v>
      </c>
      <c r="Z260" s="49" t="str">
        <f>MID(VLOOKUP($A260,Seqs!$A:$B,2,FALSE),VLOOKUP($A260,'SegEnds_NonXtal_Prot#'!A:AL,10,FALSE)+9,1)</f>
        <v>V</v>
      </c>
      <c r="AA260" s="49" t="str">
        <f>MID(VLOOKUP($A260,Seqs!$A:$B,2,FALSE),VLOOKUP($A260,'SegEnds_NonXtal_Prot#'!A:AL,10,FALSE)+10,1)</f>
        <v>K</v>
      </c>
      <c r="AB260" s="28" t="str">
        <f>MID(VLOOKUP($A260,Seqs!$A:$B,2,FALSE),VLOOKUP($A260,'SegEnds_NonXtal_Prot#'!$A:$AL,22,FALSE)+6,1)</f>
        <v>I</v>
      </c>
      <c r="AC260" s="49" t="str">
        <f>MID(VLOOKUP($A260,Seqs!$A:$B,2,FALSE),VLOOKUP($A260,'SegEnds_NonXtal_Prot#'!$A:$AL,22,FALSE)+7,1)</f>
        <v>M</v>
      </c>
      <c r="AD260" s="49" t="str">
        <f>MID(VLOOKUP($A260,Seqs!$A:$B,2,FALSE),VLOOKUP($A260,'SegEnds_NonXtal_Prot#'!$A:$AL,22,FALSE)+8,1)</f>
        <v>V</v>
      </c>
      <c r="AE260" s="49" t="str">
        <f>MID(VLOOKUP($A260,Seqs!$A:$B,2,FALSE),VLOOKUP($A260,'SegEnds_NonXtal_Prot#'!$A:$AL,22,FALSE)+9,1)</f>
        <v>P</v>
      </c>
      <c r="AF260" s="49" t="str">
        <f>MID(VLOOKUP($A260,Seqs!$A:$B,2,FALSE),VLOOKUP($A260,'SegEnds_NonXtal_Prot#'!$A:$AL,22,FALSE)+10,1)</f>
        <v>N</v>
      </c>
      <c r="AG260" s="28" t="str">
        <f>MID(VLOOKUP($A260,Seqs!$A:$B,2,FALSE),VLOOKUP($A260,'SegEnds_NonXtal_Prot#'!$A:$AL,28,FALSE)-4,1)</f>
        <v>I</v>
      </c>
      <c r="AH260" s="49" t="str">
        <f>MID(VLOOKUP($A260,Seqs!$A:$B,2,FALSE),VLOOKUP($A260,'SegEnds_NonXtal_Prot#'!$A:$AL,28,FALSE),1)</f>
        <v>F</v>
      </c>
    </row>
    <row r="261" spans="1:34" s="2" customFormat="1" x14ac:dyDescent="0.2">
      <c r="A261" s="2" t="s">
        <v>234</v>
      </c>
      <c r="B261" s="2" t="str">
        <f>LOWER(VLOOKUP(A261,Xtal_Templ!A:B,2,FALSE))</f>
        <v>ccr5_human</v>
      </c>
      <c r="C261" s="2" t="str">
        <f>VLOOKUP(A261,Classification!A:D,2,FALSE)</f>
        <v>A</v>
      </c>
      <c r="D261" s="2" t="str">
        <f>IF(ISERROR(MATCH(A261,'SegEnds_Xtal_Prot#'!B:B, 0)), "NoXtal", "Xtal")</f>
        <v>NoXtal</v>
      </c>
      <c r="H261" s="4"/>
      <c r="N261" s="2" t="s">
        <v>14</v>
      </c>
      <c r="R261" s="2" t="s">
        <v>9</v>
      </c>
      <c r="T261" s="4" t="s">
        <v>12</v>
      </c>
      <c r="V261" s="28" t="str">
        <f>MID(VLOOKUP($A261,Seqs!$A:$B,2,FALSE),VLOOKUP($A261,'SegEnds_NonXtal_Prot#'!A:AL,10,FALSE),1)</f>
        <v>D</v>
      </c>
      <c r="W261" s="49" t="str">
        <f>MID(VLOOKUP($A261,Seqs!$A:$B,2,FALSE),VLOOKUP($A261,'SegEnds_NonXtal_Prot#'!A:AL,10,FALSE)+6,1)</f>
        <v>A</v>
      </c>
      <c r="X261" s="49" t="str">
        <f>MID(VLOOKUP($A261,Seqs!$A:$B,2,FALSE),VLOOKUP($A261,'SegEnds_NonXtal_Prot#'!A:AL,10,FALSE)+7,1)</f>
        <v>L</v>
      </c>
      <c r="Y261" s="49" t="str">
        <f>MID(VLOOKUP($A261,Seqs!$A:$B,2,FALSE),VLOOKUP($A261,'SegEnds_NonXtal_Prot#'!A:AL,10,FALSE)+8,1)</f>
        <v>P</v>
      </c>
      <c r="Z261" s="49" t="str">
        <f>MID(VLOOKUP($A261,Seqs!$A:$B,2,FALSE),VLOOKUP($A261,'SegEnds_NonXtal_Prot#'!A:AL,10,FALSE)+9,1)</f>
        <v>T</v>
      </c>
      <c r="AA261" s="49" t="str">
        <f>MID(VLOOKUP($A261,Seqs!$A:$B,2,FALSE),VLOOKUP($A261,'SegEnds_NonXtal_Prot#'!A:AL,10,FALSE)+10,1)</f>
        <v>R</v>
      </c>
      <c r="AB261" s="28" t="str">
        <f>MID(VLOOKUP($A261,Seqs!$A:$B,2,FALSE),VLOOKUP($A261,'SegEnds_NonXtal_Prot#'!$A:$AL,22,FALSE)+6,1)</f>
        <v>Q</v>
      </c>
      <c r="AC261" s="49" t="str">
        <f>MID(VLOOKUP($A261,Seqs!$A:$B,2,FALSE),VLOOKUP($A261,'SegEnds_NonXtal_Prot#'!$A:$AL,22,FALSE)+7,1)</f>
        <v>T</v>
      </c>
      <c r="AD261" s="49" t="str">
        <f>MID(VLOOKUP($A261,Seqs!$A:$B,2,FALSE),VLOOKUP($A261,'SegEnds_NonXtal_Prot#'!$A:$AL,22,FALSE)+8,1)</f>
        <v>L</v>
      </c>
      <c r="AE261" s="49" t="str">
        <f>MID(VLOOKUP($A261,Seqs!$A:$B,2,FALSE),VLOOKUP($A261,'SegEnds_NonXtal_Prot#'!$A:$AL,22,FALSE)+9,1)</f>
        <v>P</v>
      </c>
      <c r="AF261" s="49" t="str">
        <f>MID(VLOOKUP($A261,Seqs!$A:$B,2,FALSE),VLOOKUP($A261,'SegEnds_NonXtal_Prot#'!$A:$AL,22,FALSE)+10,1)</f>
        <v>L</v>
      </c>
      <c r="AG261" s="28" t="str">
        <f>MID(VLOOKUP($A261,Seqs!$A:$B,2,FALSE),VLOOKUP($A261,'SegEnds_NonXtal_Prot#'!$A:$AL,28,FALSE)-4,1)</f>
        <v>G</v>
      </c>
      <c r="AH261" s="49" t="str">
        <f>MID(VLOOKUP($A261,Seqs!$A:$B,2,FALSE),VLOOKUP($A261,'SegEnds_NonXtal_Prot#'!$A:$AL,28,FALSE),1)</f>
        <v>P</v>
      </c>
    </row>
    <row r="262" spans="1:34" s="2" customFormat="1" x14ac:dyDescent="0.2">
      <c r="A262" s="2" t="s">
        <v>253</v>
      </c>
      <c r="B262" s="2" t="str">
        <f>LOWER(VLOOKUP(A262,Xtal_Templ!A:B,2,FALSE))</f>
        <v>ptafr_human</v>
      </c>
      <c r="C262" s="2" t="str">
        <f>VLOOKUP(A262,Classification!A:D,2,FALSE)</f>
        <v>A</v>
      </c>
      <c r="D262" s="2" t="str">
        <f>IF(ISERROR(MATCH(A262,'SegEnds_Xtal_Prot#'!B:B, 0)), "NoXtal", "Xtal")</f>
        <v>NoXtal</v>
      </c>
      <c r="H262" s="4"/>
      <c r="S262" s="106"/>
      <c r="T262" s="4" t="s">
        <v>12</v>
      </c>
      <c r="V262" s="28" t="str">
        <f>MID(VLOOKUP($A262,Seqs!$A:$B,2,FALSE),VLOOKUP($A262,'SegEnds_NonXtal_Prot#'!A:AL,10,FALSE),1)</f>
        <v>D</v>
      </c>
      <c r="W262" s="49" t="str">
        <f>MID(VLOOKUP($A262,Seqs!$A:$B,2,FALSE),VLOOKUP($A262,'SegEnds_NonXtal_Prot#'!A:AL,10,FALSE)+6,1)</f>
        <v>C</v>
      </c>
      <c r="X262" s="49" t="str">
        <f>MID(VLOOKUP($A262,Seqs!$A:$B,2,FALSE),VLOOKUP($A262,'SegEnds_NonXtal_Prot#'!A:AL,10,FALSE)+7,1)</f>
        <v>L</v>
      </c>
      <c r="Y262" s="49" t="str">
        <f>MID(VLOOKUP($A262,Seqs!$A:$B,2,FALSE),VLOOKUP($A262,'SegEnds_NonXtal_Prot#'!A:AL,10,FALSE)+8,1)</f>
        <v>P</v>
      </c>
      <c r="Z262" s="49" t="str">
        <f>MID(VLOOKUP($A262,Seqs!$A:$B,2,FALSE),VLOOKUP($A262,'SegEnds_NonXtal_Prot#'!A:AL,10,FALSE)+9,1)</f>
        <v>F</v>
      </c>
      <c r="AA262" s="49" t="str">
        <f>MID(VLOOKUP($A262,Seqs!$A:$B,2,FALSE),VLOOKUP($A262,'SegEnds_NonXtal_Prot#'!A:AL,10,FALSE)+10,1)</f>
        <v>R</v>
      </c>
      <c r="AB262" s="28" t="str">
        <f>MID(VLOOKUP($A262,Seqs!$A:$B,2,FALSE),VLOOKUP($A262,'SegEnds_NonXtal_Prot#'!$A:$AL,22,FALSE)+6,1)</f>
        <v>G</v>
      </c>
      <c r="AC262" s="49" t="str">
        <f>MID(VLOOKUP($A262,Seqs!$A:$B,2,FALSE),VLOOKUP($A262,'SegEnds_NonXtal_Prot#'!$A:$AL,22,FALSE)+7,1)</f>
        <v>F</v>
      </c>
      <c r="AD262" s="49" t="str">
        <f>MID(VLOOKUP($A262,Seqs!$A:$B,2,FALSE),VLOOKUP($A262,'SegEnds_NonXtal_Prot#'!$A:$AL,22,FALSE)+8,1)</f>
        <v>L</v>
      </c>
      <c r="AE262" s="49" t="str">
        <f>MID(VLOOKUP($A262,Seqs!$A:$B,2,FALSE),VLOOKUP($A262,'SegEnds_NonXtal_Prot#'!$A:$AL,22,FALSE)+9,1)</f>
        <v>T</v>
      </c>
      <c r="AF262" s="49" t="str">
        <f>MID(VLOOKUP($A262,Seqs!$A:$B,2,FALSE),VLOOKUP($A262,'SegEnds_NonXtal_Prot#'!$A:$AL,22,FALSE)+10,1)</f>
        <v>M</v>
      </c>
      <c r="AG262" s="28" t="str">
        <f>MID(VLOOKUP($A262,Seqs!$A:$B,2,FALSE),VLOOKUP($A262,'SegEnds_NonXtal_Prot#'!$A:$AL,28,FALSE)-4,1)</f>
        <v>M</v>
      </c>
      <c r="AH262" s="49" t="str">
        <f>MID(VLOOKUP($A262,Seqs!$A:$B,2,FALSE),VLOOKUP($A262,'SegEnds_NonXtal_Prot#'!$A:$AL,28,FALSE),1)</f>
        <v>I</v>
      </c>
    </row>
    <row r="263" spans="1:34" s="2" customFormat="1" x14ac:dyDescent="0.2">
      <c r="A263" s="2" t="s">
        <v>272</v>
      </c>
      <c r="B263" s="2" t="str">
        <f>LOWER(VLOOKUP(A263,Xtal_Templ!A:B,2,FALSE))</f>
        <v>p2y12_human</v>
      </c>
      <c r="C263" s="2" t="str">
        <f>VLOOKUP(A263,Classification!A:D,2,FALSE)</f>
        <v>A</v>
      </c>
      <c r="D263" s="2" t="str">
        <f>IF(ISERROR(MATCH(A263,'SegEnds_Xtal_Prot#'!B:B, 0)), "NoXtal", "Xtal")</f>
        <v>NoXtal</v>
      </c>
      <c r="H263" s="4"/>
      <c r="N263" s="2" t="s">
        <v>14</v>
      </c>
      <c r="T263" s="4" t="s">
        <v>12</v>
      </c>
      <c r="V263" s="28" t="str">
        <f>MID(VLOOKUP($A263,Seqs!$A:$B,2,FALSE),VLOOKUP($A263,'SegEnds_NonXtal_Prot#'!A:AL,10,FALSE),1)</f>
        <v>D</v>
      </c>
      <c r="W263" s="49" t="str">
        <f>MID(VLOOKUP($A263,Seqs!$A:$B,2,FALSE),VLOOKUP($A263,'SegEnds_NonXtal_Prot#'!A:AL,10,FALSE)+6,1)</f>
        <v>T</v>
      </c>
      <c r="X263" s="49" t="str">
        <f>MID(VLOOKUP($A263,Seqs!$A:$B,2,FALSE),VLOOKUP($A263,'SegEnds_NonXtal_Prot#'!A:AL,10,FALSE)+7,1)</f>
        <v>F</v>
      </c>
      <c r="Y263" s="49" t="str">
        <f>MID(VLOOKUP($A263,Seqs!$A:$B,2,FALSE),VLOOKUP($A263,'SegEnds_NonXtal_Prot#'!A:AL,10,FALSE)+8,1)</f>
        <v>P</v>
      </c>
      <c r="Z263" s="49" t="str">
        <f>MID(VLOOKUP($A263,Seqs!$A:$B,2,FALSE),VLOOKUP($A263,'SegEnds_NonXtal_Prot#'!A:AL,10,FALSE)+9,1)</f>
        <v>F</v>
      </c>
      <c r="AA263" s="49" t="str">
        <f>MID(VLOOKUP($A263,Seqs!$A:$B,2,FALSE),VLOOKUP($A263,'SegEnds_NonXtal_Prot#'!A:AL,10,FALSE)+10,1)</f>
        <v>R</v>
      </c>
      <c r="AB263" s="28" t="str">
        <f>MID(VLOOKUP($A263,Seqs!$A:$B,2,FALSE),VLOOKUP($A263,'SegEnds_NonXtal_Prot#'!$A:$AL,22,FALSE)+6,1)</f>
        <v>L</v>
      </c>
      <c r="AC263" s="49" t="str">
        <f>MID(VLOOKUP($A263,Seqs!$A:$B,2,FALSE),VLOOKUP($A263,'SegEnds_NonXtal_Prot#'!$A:$AL,22,FALSE)+7,1)</f>
        <v>S</v>
      </c>
      <c r="AD263" s="49" t="str">
        <f>MID(VLOOKUP($A263,Seqs!$A:$B,2,FALSE),VLOOKUP($A263,'SegEnds_NonXtal_Prot#'!$A:$AL,22,FALSE)+8,1)</f>
        <v>L</v>
      </c>
      <c r="AE263" s="49" t="str">
        <f>MID(VLOOKUP($A263,Seqs!$A:$B,2,FALSE),VLOOKUP($A263,'SegEnds_NonXtal_Prot#'!$A:$AL,22,FALSE)+9,1)</f>
        <v>P</v>
      </c>
      <c r="AF263" s="49" t="str">
        <f>MID(VLOOKUP($A263,Seqs!$A:$B,2,FALSE),VLOOKUP($A263,'SegEnds_NonXtal_Prot#'!$A:$AL,22,FALSE)+10,1)</f>
        <v>N</v>
      </c>
      <c r="AG263" s="28" t="str">
        <f>MID(VLOOKUP($A263,Seqs!$A:$B,2,FALSE),VLOOKUP($A263,'SegEnds_NonXtal_Prot#'!$A:$AL,28,FALSE)-4,1)</f>
        <v>L</v>
      </c>
      <c r="AH263" s="49" t="str">
        <f>MID(VLOOKUP($A263,Seqs!$A:$B,2,FALSE),VLOOKUP($A263,'SegEnds_NonXtal_Prot#'!$A:$AL,28,FALSE),1)</f>
        <v>V</v>
      </c>
    </row>
    <row r="264" spans="1:34" s="2" customFormat="1" x14ac:dyDescent="0.2">
      <c r="A264" s="2" t="s">
        <v>307</v>
      </c>
      <c r="B264" s="2" t="str">
        <f>LOWER(VLOOKUP(A264,Xtal_Templ!A:B,2,FALSE))</f>
        <v>pd2r2_human</v>
      </c>
      <c r="C264" s="2" t="str">
        <f>VLOOKUP(A264,Classification!A:D,2,FALSE)</f>
        <v>A</v>
      </c>
      <c r="D264" s="2" t="str">
        <f>IF(ISERROR(MATCH(A264,'SegEnds_Xtal_Prot#'!B:B, 0)), "NoXtal", "Xtal")</f>
        <v>NoXtal</v>
      </c>
      <c r="H264" s="4"/>
      <c r="T264" s="4" t="s">
        <v>12</v>
      </c>
      <c r="V264" s="28" t="str">
        <f>MID(VLOOKUP($A264,Seqs!$A:$B,2,FALSE),VLOOKUP($A264,'SegEnds_NonXtal_Prot#'!A:AL,10,FALSE),1)</f>
        <v>D</v>
      </c>
      <c r="W264" s="49" t="str">
        <f>MID(VLOOKUP($A264,Seqs!$A:$B,2,FALSE),VLOOKUP($A264,'SegEnds_NonXtal_Prot#'!A:AL,10,FALSE)+6,1)</f>
        <v>G</v>
      </c>
      <c r="X264" s="49" t="str">
        <f>MID(VLOOKUP($A264,Seqs!$A:$B,2,FALSE),VLOOKUP($A264,'SegEnds_NonXtal_Prot#'!A:AL,10,FALSE)+7,1)</f>
        <v>H</v>
      </c>
      <c r="Y264" s="49" t="str">
        <f>MID(VLOOKUP($A264,Seqs!$A:$B,2,FALSE),VLOOKUP($A264,'SegEnds_NonXtal_Prot#'!A:AL,10,FALSE)+8,1)</f>
        <v>I</v>
      </c>
      <c r="Z264" s="49" t="str">
        <f>MID(VLOOKUP($A264,Seqs!$A:$B,2,FALSE),VLOOKUP($A264,'SegEnds_NonXtal_Prot#'!A:AL,10,FALSE)+9,1)</f>
        <v>I</v>
      </c>
      <c r="AA264" s="49" t="str">
        <f>MID(VLOOKUP($A264,Seqs!$A:$B,2,FALSE),VLOOKUP($A264,'SegEnds_NonXtal_Prot#'!A:AL,10,FALSE)+10,1)</f>
        <v>C</v>
      </c>
      <c r="AB264" s="28" t="str">
        <f>MID(VLOOKUP($A264,Seqs!$A:$B,2,FALSE),VLOOKUP($A264,'SegEnds_NonXtal_Prot#'!$A:$AL,22,FALSE)+6,1)</f>
        <v>R</v>
      </c>
      <c r="AC264" s="49" t="str">
        <f>MID(VLOOKUP($A264,Seqs!$A:$B,2,FALSE),VLOOKUP($A264,'SegEnds_NonXtal_Prot#'!$A:$AL,22,FALSE)+7,1)</f>
        <v>S</v>
      </c>
      <c r="AD264" s="49" t="str">
        <f>MID(VLOOKUP($A264,Seqs!$A:$B,2,FALSE),VLOOKUP($A264,'SegEnds_NonXtal_Prot#'!$A:$AL,22,FALSE)+8,1)</f>
        <v>I</v>
      </c>
      <c r="AE264" s="49" t="str">
        <f>MID(VLOOKUP($A264,Seqs!$A:$B,2,FALSE),VLOOKUP($A264,'SegEnds_NonXtal_Prot#'!$A:$AL,22,FALSE)+9,1)</f>
        <v>L</v>
      </c>
      <c r="AF264" s="49" t="str">
        <f>MID(VLOOKUP($A264,Seqs!$A:$B,2,FALSE),VLOOKUP($A264,'SegEnds_NonXtal_Prot#'!$A:$AL,22,FALSE)+10,1)</f>
        <v>E</v>
      </c>
      <c r="AG264" s="28" t="str">
        <f>MID(VLOOKUP($A264,Seqs!$A:$B,2,FALSE),VLOOKUP($A264,'SegEnds_NonXtal_Prot#'!$A:$AL,28,FALSE)-4,1)</f>
        <v>V</v>
      </c>
      <c r="AH264" s="49" t="str">
        <f>MID(VLOOKUP($A264,Seqs!$A:$B,2,FALSE),VLOOKUP($A264,'SegEnds_NonXtal_Prot#'!$A:$AL,28,FALSE),1)</f>
        <v>V</v>
      </c>
    </row>
    <row r="265" spans="1:34" s="2" customFormat="1" x14ac:dyDescent="0.2">
      <c r="A265" s="2" t="s">
        <v>352</v>
      </c>
      <c r="B265" s="2" t="str">
        <f>LOWER(VLOOKUP(A265,Xtal_Templ!A:B,2,FALSE))</f>
        <v>p2y12_human</v>
      </c>
      <c r="C265" s="2" t="str">
        <f>VLOOKUP(A265,Classification!A:D,2,FALSE)</f>
        <v>A</v>
      </c>
      <c r="D265" s="2" t="str">
        <f>IF(ISERROR(MATCH(A265,'SegEnds_Xtal_Prot#'!B:B, 0)), "NoXtal", "Xtal")</f>
        <v>Xtal</v>
      </c>
      <c r="H265" s="4"/>
      <c r="S265" s="2" t="s">
        <v>1328</v>
      </c>
      <c r="T265" s="4" t="s">
        <v>12</v>
      </c>
      <c r="V265" s="28" t="str">
        <f>MID(VLOOKUP($A265,Seqs!$A:$B,2,FALSE),VLOOKUP($A265,'SegEnds_NonXtal_Prot#'!A:AL,10,FALSE),1)</f>
        <v>D</v>
      </c>
      <c r="W265" s="49" t="str">
        <f>MID(VLOOKUP($A265,Seqs!$A:$B,2,FALSE),VLOOKUP($A265,'SegEnds_NonXtal_Prot#'!A:AL,10,FALSE)+6,1)</f>
        <v>T</v>
      </c>
      <c r="X265" s="49" t="str">
        <f>MID(VLOOKUP($A265,Seqs!$A:$B,2,FALSE),VLOOKUP($A265,'SegEnds_NonXtal_Prot#'!A:AL,10,FALSE)+7,1)</f>
        <v>F</v>
      </c>
      <c r="Y265" s="49" t="str">
        <f>MID(VLOOKUP($A265,Seqs!$A:$B,2,FALSE),VLOOKUP($A265,'SegEnds_NonXtal_Prot#'!A:AL,10,FALSE)+8,1)</f>
        <v>P</v>
      </c>
      <c r="Z265" s="49" t="str">
        <f>MID(VLOOKUP($A265,Seqs!$A:$B,2,FALSE),VLOOKUP($A265,'SegEnds_NonXtal_Prot#'!A:AL,10,FALSE)+9,1)</f>
        <v>F</v>
      </c>
      <c r="AA265" s="49" t="str">
        <f>MID(VLOOKUP($A265,Seqs!$A:$B,2,FALSE),VLOOKUP($A265,'SegEnds_NonXtal_Prot#'!A:AL,10,FALSE)+10,1)</f>
        <v>K</v>
      </c>
      <c r="AB265" s="28" t="str">
        <f>MID(VLOOKUP($A265,Seqs!$A:$B,2,FALSE),VLOOKUP($A265,'SegEnds_NonXtal_Prot#'!$A:$AL,22,FALSE)+6,1)</f>
        <v>L</v>
      </c>
      <c r="AC265" s="49" t="str">
        <f>MID(VLOOKUP($A265,Seqs!$A:$B,2,FALSE),VLOOKUP($A265,'SegEnds_NonXtal_Prot#'!$A:$AL,22,FALSE)+7,1)</f>
        <v>S</v>
      </c>
      <c r="AD265" s="49" t="str">
        <f>MID(VLOOKUP($A265,Seqs!$A:$B,2,FALSE),VLOOKUP($A265,'SegEnds_NonXtal_Prot#'!$A:$AL,22,FALSE)+8,1)</f>
        <v>L</v>
      </c>
      <c r="AE265" s="49" t="str">
        <f>MID(VLOOKUP($A265,Seqs!$A:$B,2,FALSE),VLOOKUP($A265,'SegEnds_NonXtal_Prot#'!$A:$AL,22,FALSE)+9,1)</f>
        <v>P</v>
      </c>
      <c r="AF265" s="49" t="str">
        <f>MID(VLOOKUP($A265,Seqs!$A:$B,2,FALSE),VLOOKUP($A265,'SegEnds_NonXtal_Prot#'!$A:$AL,22,FALSE)+10,1)</f>
        <v>N</v>
      </c>
      <c r="AG265" s="28" t="str">
        <f>MID(VLOOKUP($A265,Seqs!$A:$B,2,FALSE),VLOOKUP($A265,'SegEnds_NonXtal_Prot#'!$A:$AL,28,FALSE)-4,1)</f>
        <v>I</v>
      </c>
      <c r="AH265" s="49" t="str">
        <f>MID(VLOOKUP($A265,Seqs!$A:$B,2,FALSE),VLOOKUP($A265,'SegEnds_NonXtal_Prot#'!$A:$AL,28,FALSE),1)</f>
        <v>N</v>
      </c>
    </row>
    <row r="266" spans="1:34" s="2" customFormat="1" x14ac:dyDescent="0.2">
      <c r="A266" s="2" t="s">
        <v>353</v>
      </c>
      <c r="B266" s="2" t="str">
        <f>LOWER(VLOOKUP(A266,Xtal_Templ!A:B,2,FALSE))</f>
        <v>p2y12_human</v>
      </c>
      <c r="C266" s="2" t="str">
        <f>VLOOKUP(A266,Classification!A:D,2,FALSE)</f>
        <v>A</v>
      </c>
      <c r="D266" s="2" t="str">
        <f>IF(ISERROR(MATCH(A266,'SegEnds_Xtal_Prot#'!B:B, 0)), "NoXtal", "Xtal")</f>
        <v>NoXtal</v>
      </c>
      <c r="H266" s="4"/>
      <c r="S266" s="2" t="s">
        <v>1328</v>
      </c>
      <c r="T266" s="4" t="s">
        <v>12</v>
      </c>
      <c r="V266" s="28" t="str">
        <f>MID(VLOOKUP($A266,Seqs!$A:$B,2,FALSE),VLOOKUP($A266,'SegEnds_NonXtal_Prot#'!A:AL,10,FALSE),1)</f>
        <v>D</v>
      </c>
      <c r="W266" s="49" t="str">
        <f>MID(VLOOKUP($A266,Seqs!$A:$B,2,FALSE),VLOOKUP($A266,'SegEnds_NonXtal_Prot#'!A:AL,10,FALSE)+6,1)</f>
        <v>M</v>
      </c>
      <c r="X266" s="49" t="str">
        <f>MID(VLOOKUP($A266,Seqs!$A:$B,2,FALSE),VLOOKUP($A266,'SegEnds_NonXtal_Prot#'!A:AL,10,FALSE)+7,1)</f>
        <v>L</v>
      </c>
      <c r="Y266" s="49" t="str">
        <f>MID(VLOOKUP($A266,Seqs!$A:$B,2,FALSE),VLOOKUP($A266,'SegEnds_NonXtal_Prot#'!A:AL,10,FALSE)+8,1)</f>
        <v>P</v>
      </c>
      <c r="Z266" s="49" t="str">
        <f>MID(VLOOKUP($A266,Seqs!$A:$B,2,FALSE),VLOOKUP($A266,'SegEnds_NonXtal_Prot#'!A:AL,10,FALSE)+9,1)</f>
        <v>F</v>
      </c>
      <c r="AA266" s="49" t="str">
        <f>MID(VLOOKUP($A266,Seqs!$A:$B,2,FALSE),VLOOKUP($A266,'SegEnds_NonXtal_Prot#'!A:AL,10,FALSE)+10,1)</f>
        <v>K</v>
      </c>
      <c r="AB266" s="28" t="str">
        <f>MID(VLOOKUP($A266,Seqs!$A:$B,2,FALSE),VLOOKUP($A266,'SegEnds_NonXtal_Prot#'!$A:$AL,22,FALSE)+6,1)</f>
        <v>I</v>
      </c>
      <c r="AC266" s="49" t="str">
        <f>MID(VLOOKUP($A266,Seqs!$A:$B,2,FALSE),VLOOKUP($A266,'SegEnds_NonXtal_Prot#'!$A:$AL,22,FALSE)+7,1)</f>
        <v>S</v>
      </c>
      <c r="AD266" s="49" t="str">
        <f>MID(VLOOKUP($A266,Seqs!$A:$B,2,FALSE),VLOOKUP($A266,'SegEnds_NonXtal_Prot#'!$A:$AL,22,FALSE)+8,1)</f>
        <v>L</v>
      </c>
      <c r="AE266" s="49" t="str">
        <f>MID(VLOOKUP($A266,Seqs!$A:$B,2,FALSE),VLOOKUP($A266,'SegEnds_NonXtal_Prot#'!$A:$AL,22,FALSE)+9,1)</f>
        <v>P</v>
      </c>
      <c r="AF266" s="49" t="str">
        <f>MID(VLOOKUP($A266,Seqs!$A:$B,2,FALSE),VLOOKUP($A266,'SegEnds_NonXtal_Prot#'!$A:$AL,22,FALSE)+10,1)</f>
        <v>N</v>
      </c>
      <c r="AG266" s="28" t="str">
        <f>MID(VLOOKUP($A266,Seqs!$A:$B,2,FALSE),VLOOKUP($A266,'SegEnds_NonXtal_Prot#'!$A:$AL,28,FALSE)-4,1)</f>
        <v>I</v>
      </c>
      <c r="AH266" s="49" t="str">
        <f>MID(VLOOKUP($A266,Seqs!$A:$B,2,FALSE),VLOOKUP($A266,'SegEnds_NonXtal_Prot#'!$A:$AL,28,FALSE),1)</f>
        <v>V</v>
      </c>
    </row>
    <row r="267" spans="1:34" s="2" customFormat="1" x14ac:dyDescent="0.2">
      <c r="A267" s="2" t="s">
        <v>354</v>
      </c>
      <c r="B267" s="2" t="str">
        <f>LOWER(VLOOKUP(A267,Xtal_Templ!A:B,2,FALSE))</f>
        <v>p2y12_human</v>
      </c>
      <c r="C267" s="2" t="str">
        <f>VLOOKUP(A267,Classification!A:D,2,FALSE)</f>
        <v>A</v>
      </c>
      <c r="D267" s="2" t="str">
        <f>IF(ISERROR(MATCH(A267,'SegEnds_Xtal_Prot#'!B:B, 0)), "NoXtal", "Xtal")</f>
        <v>NoXtal</v>
      </c>
      <c r="H267" s="4"/>
      <c r="S267" s="2" t="s">
        <v>1328</v>
      </c>
      <c r="T267" s="4" t="s">
        <v>12</v>
      </c>
      <c r="V267" s="28" t="str">
        <f>MID(VLOOKUP($A267,Seqs!$A:$B,2,FALSE),VLOOKUP($A267,'SegEnds_NonXtal_Prot#'!A:AL,10,FALSE),1)</f>
        <v>D</v>
      </c>
      <c r="W267" s="49" t="str">
        <f>MID(VLOOKUP($A267,Seqs!$A:$B,2,FALSE),VLOOKUP($A267,'SegEnds_NonXtal_Prot#'!A:AL,10,FALSE)+6,1)</f>
        <v>T</v>
      </c>
      <c r="X267" s="49" t="str">
        <f>MID(VLOOKUP($A267,Seqs!$A:$B,2,FALSE),VLOOKUP($A267,'SegEnds_NonXtal_Prot#'!A:AL,10,FALSE)+7,1)</f>
        <v>F</v>
      </c>
      <c r="Y267" s="49" t="str">
        <f>MID(VLOOKUP($A267,Seqs!$A:$B,2,FALSE),VLOOKUP($A267,'SegEnds_NonXtal_Prot#'!A:AL,10,FALSE)+8,1)</f>
        <v>P</v>
      </c>
      <c r="Z267" s="49" t="str">
        <f>MID(VLOOKUP($A267,Seqs!$A:$B,2,FALSE),VLOOKUP($A267,'SegEnds_NonXtal_Prot#'!A:AL,10,FALSE)+9,1)</f>
        <v>F</v>
      </c>
      <c r="AA267" s="49" t="str">
        <f>MID(VLOOKUP($A267,Seqs!$A:$B,2,FALSE),VLOOKUP($A267,'SegEnds_NonXtal_Prot#'!A:AL,10,FALSE)+10,1)</f>
        <v>K</v>
      </c>
      <c r="AB267" s="28" t="str">
        <f>MID(VLOOKUP($A267,Seqs!$A:$B,2,FALSE),VLOOKUP($A267,'SegEnds_NonXtal_Prot#'!$A:$AL,22,FALSE)+6,1)</f>
        <v>L</v>
      </c>
      <c r="AC267" s="49" t="str">
        <f>MID(VLOOKUP($A267,Seqs!$A:$B,2,FALSE),VLOOKUP($A267,'SegEnds_NonXtal_Prot#'!$A:$AL,22,FALSE)+7,1)</f>
        <v>A</v>
      </c>
      <c r="AD267" s="49" t="str">
        <f>MID(VLOOKUP($A267,Seqs!$A:$B,2,FALSE),VLOOKUP($A267,'SegEnds_NonXtal_Prot#'!$A:$AL,22,FALSE)+8,1)</f>
        <v>V</v>
      </c>
      <c r="AE267" s="49" t="str">
        <f>MID(VLOOKUP($A267,Seqs!$A:$B,2,FALSE),VLOOKUP($A267,'SegEnds_NonXtal_Prot#'!$A:$AL,22,FALSE)+9,1)</f>
        <v>P</v>
      </c>
      <c r="AF267" s="49" t="str">
        <f>MID(VLOOKUP($A267,Seqs!$A:$B,2,FALSE),VLOOKUP($A267,'SegEnds_NonXtal_Prot#'!$A:$AL,22,FALSE)+10,1)</f>
        <v>N</v>
      </c>
      <c r="AG267" s="28" t="str">
        <f>MID(VLOOKUP($A267,Seqs!$A:$B,2,FALSE),VLOOKUP($A267,'SegEnds_NonXtal_Prot#'!$A:$AL,28,FALSE)-4,1)</f>
        <v>I</v>
      </c>
      <c r="AH267" s="49" t="str">
        <f>MID(VLOOKUP($A267,Seqs!$A:$B,2,FALSE),VLOOKUP($A267,'SegEnds_NonXtal_Prot#'!$A:$AL,28,FALSE),1)</f>
        <v>V</v>
      </c>
    </row>
    <row r="268" spans="1:34" s="2" customFormat="1" x14ac:dyDescent="0.2">
      <c r="A268" s="2" t="s">
        <v>364</v>
      </c>
      <c r="B268" s="2" t="str">
        <f>LOWER(VLOOKUP(A268,Xtal_Templ!A:B,2,FALSE))</f>
        <v>pe2r4_human</v>
      </c>
      <c r="C268" s="2" t="str">
        <f>VLOOKUP(A268,Classification!A:D,2,FALSE)</f>
        <v>A</v>
      </c>
      <c r="D268" s="2" t="str">
        <f>IF(ISERROR(MATCH(A268,'SegEnds_Xtal_Prot#'!B:B, 0)), "NoXtal", "Xtal")</f>
        <v>Xtal</v>
      </c>
      <c r="G268" s="2" t="s">
        <v>5</v>
      </c>
      <c r="H268" s="4"/>
      <c r="T268" s="4" t="s">
        <v>12</v>
      </c>
      <c r="V268" s="28" t="str">
        <f>MID(VLOOKUP($A268,Seqs!$A:$B,2,FALSE),VLOOKUP($A268,'SegEnds_NonXtal_Prot#'!A:AL,10,FALSE),1)</f>
        <v>D</v>
      </c>
      <c r="W268" s="49" t="str">
        <f>MID(VLOOKUP($A268,Seqs!$A:$B,2,FALSE),VLOOKUP($A268,'SegEnds_NonXtal_Prot#'!A:AL,10,FALSE)+6,1)</f>
        <v>L</v>
      </c>
      <c r="X268" s="49" t="str">
        <f>MID(VLOOKUP($A268,Seqs!$A:$B,2,FALSE),VLOOKUP($A268,'SegEnds_NonXtal_Prot#'!A:AL,10,FALSE)+7,1)</f>
        <v>V</v>
      </c>
      <c r="Y268" s="49" t="str">
        <f>MID(VLOOKUP($A268,Seqs!$A:$B,2,FALSE),VLOOKUP($A268,'SegEnds_NonXtal_Prot#'!A:AL,10,FALSE)+8,1)</f>
        <v>S</v>
      </c>
      <c r="Z268" s="49" t="str">
        <f>MID(VLOOKUP($A268,Seqs!$A:$B,2,FALSE),VLOOKUP($A268,'SegEnds_NonXtal_Prot#'!A:AL,10,FALSE)+9,1)</f>
        <v>P</v>
      </c>
      <c r="AA268" s="49" t="str">
        <f>MID(VLOOKUP($A268,Seqs!$A:$B,2,FALSE),VLOOKUP($A268,'SegEnds_NonXtal_Prot#'!A:AL,10,FALSE)+10,1)</f>
        <v>V</v>
      </c>
      <c r="AB268" s="28" t="str">
        <f>MID(VLOOKUP($A268,Seqs!$A:$B,2,FALSE),VLOOKUP($A268,'SegEnds_NonXtal_Prot#'!$A:$AL,22,FALSE)+6,1)</f>
        <v>F</v>
      </c>
      <c r="AC268" s="49" t="str">
        <f>MID(VLOOKUP($A268,Seqs!$A:$B,2,FALSE),VLOOKUP($A268,'SegEnds_NonXtal_Prot#'!$A:$AL,22,FALSE)+7,1)</f>
        <v>C</v>
      </c>
      <c r="AD268" s="49" t="str">
        <f>MID(VLOOKUP($A268,Seqs!$A:$B,2,FALSE),VLOOKUP($A268,'SegEnds_NonXtal_Prot#'!$A:$AL,22,FALSE)+8,1)</f>
        <v>A</v>
      </c>
      <c r="AE268" s="49" t="str">
        <f>MID(VLOOKUP($A268,Seqs!$A:$B,2,FALSE),VLOOKUP($A268,'SegEnds_NonXtal_Prot#'!$A:$AL,22,FALSE)+9,1)</f>
        <v>L</v>
      </c>
      <c r="AF268" s="49" t="str">
        <f>MID(VLOOKUP($A268,Seqs!$A:$B,2,FALSE),VLOOKUP($A268,'SegEnds_NonXtal_Prot#'!$A:$AL,22,FALSE)+10,1)</f>
        <v>P</v>
      </c>
      <c r="AG268" s="28" t="str">
        <f>MID(VLOOKUP($A268,Seqs!$A:$B,2,FALSE),VLOOKUP($A268,'SegEnds_NonXtal_Prot#'!$A:$AL,28,FALSE)-4,1)</f>
        <v>S</v>
      </c>
      <c r="AH268" s="49" t="str">
        <f>MID(VLOOKUP($A268,Seqs!$A:$B,2,FALSE),VLOOKUP($A268,'SegEnds_NonXtal_Prot#'!$A:$AL,28,FALSE),1)</f>
        <v>L</v>
      </c>
    </row>
    <row r="269" spans="1:34" s="2" customFormat="1" x14ac:dyDescent="0.2">
      <c r="A269" s="2" t="s">
        <v>365</v>
      </c>
      <c r="B269" s="2" t="str">
        <f>LOWER(VLOOKUP(A269,Xtal_Templ!A:B,2,FALSE))</f>
        <v>pe2r3_human</v>
      </c>
      <c r="C269" s="2" t="str">
        <f>VLOOKUP(A269,Classification!A:D,2,FALSE)</f>
        <v>A</v>
      </c>
      <c r="D269" s="2" t="str">
        <f>IF(ISERROR(MATCH(A269,'SegEnds_Xtal_Prot#'!B:B, 0)), "NoXtal", "Xtal")</f>
        <v>NoXtal</v>
      </c>
      <c r="H269" s="4"/>
      <c r="T269" s="4" t="s">
        <v>12</v>
      </c>
      <c r="V269" s="28" t="str">
        <f>MID(VLOOKUP($A269,Seqs!$A:$B,2,FALSE),VLOOKUP($A269,'SegEnds_NonXtal_Prot#'!A:AL,10,FALSE),1)</f>
        <v>D</v>
      </c>
      <c r="W269" s="49" t="str">
        <f>MID(VLOOKUP($A269,Seqs!$A:$B,2,FALSE),VLOOKUP($A269,'SegEnds_NonXtal_Prot#'!A:AL,10,FALSE)+6,1)</f>
        <v>I</v>
      </c>
      <c r="X269" s="49" t="str">
        <f>MID(VLOOKUP($A269,Seqs!$A:$B,2,FALSE),VLOOKUP($A269,'SegEnds_NonXtal_Prot#'!A:AL,10,FALSE)+7,1)</f>
        <v>N</v>
      </c>
      <c r="Y269" s="49" t="str">
        <f>MID(VLOOKUP($A269,Seqs!$A:$B,2,FALSE),VLOOKUP($A269,'SegEnds_NonXtal_Prot#'!A:AL,10,FALSE)+8,1)</f>
        <v>G</v>
      </c>
      <c r="Z269" s="49" t="str">
        <f>MID(VLOOKUP($A269,Seqs!$A:$B,2,FALSE),VLOOKUP($A269,'SegEnds_NonXtal_Prot#'!A:AL,10,FALSE)+9,1)</f>
        <v>A</v>
      </c>
      <c r="AA269" s="49" t="str">
        <f>MID(VLOOKUP($A269,Seqs!$A:$B,2,FALSE),VLOOKUP($A269,'SegEnds_NonXtal_Prot#'!A:AL,10,FALSE)+10,1)</f>
        <v>I</v>
      </c>
      <c r="AB269" s="28" t="str">
        <f>MID(VLOOKUP($A269,Seqs!$A:$B,2,FALSE),VLOOKUP($A269,'SegEnds_NonXtal_Prot#'!$A:$AL,22,FALSE)+6,1)</f>
        <v>I</v>
      </c>
      <c r="AC269" s="49" t="str">
        <f>MID(VLOOKUP($A269,Seqs!$A:$B,2,FALSE),VLOOKUP($A269,'SegEnds_NonXtal_Prot#'!$A:$AL,22,FALSE)+7,1)</f>
        <v>A</v>
      </c>
      <c r="AD269" s="49" t="str">
        <f>MID(VLOOKUP($A269,Seqs!$A:$B,2,FALSE),VLOOKUP($A269,'SegEnds_NonXtal_Prot#'!$A:$AL,22,FALSE)+8,1)</f>
        <v>L</v>
      </c>
      <c r="AE269" s="49" t="str">
        <f>MID(VLOOKUP($A269,Seqs!$A:$B,2,FALSE),VLOOKUP($A269,'SegEnds_NonXtal_Prot#'!$A:$AL,22,FALSE)+9,1)</f>
        <v>L</v>
      </c>
      <c r="AF269" s="49" t="str">
        <f>MID(VLOOKUP($A269,Seqs!$A:$B,2,FALSE),VLOOKUP($A269,'SegEnds_NonXtal_Prot#'!$A:$AL,22,FALSE)+10,1)</f>
        <v>P</v>
      </c>
      <c r="AG269" s="28" t="str">
        <f>MID(VLOOKUP($A269,Seqs!$A:$B,2,FALSE),VLOOKUP($A269,'SegEnds_NonXtal_Prot#'!$A:$AL,28,FALSE)-4,1)</f>
        <v>L</v>
      </c>
      <c r="AH269" s="49" t="str">
        <f>MID(VLOOKUP($A269,Seqs!$A:$B,2,FALSE),VLOOKUP($A269,'SegEnds_NonXtal_Prot#'!$A:$AL,28,FALSE),1)</f>
        <v>G</v>
      </c>
    </row>
    <row r="270" spans="1:34" s="2" customFormat="1" x14ac:dyDescent="0.2">
      <c r="A270" s="2" t="s">
        <v>371</v>
      </c>
      <c r="B270" s="2" t="str">
        <f>LOWER(VLOOKUP(A270,Xtal_Templ!A:B,2,FALSE))</f>
        <v>ptafr_human</v>
      </c>
      <c r="C270" s="2" t="str">
        <f>VLOOKUP(A270,Classification!A:D,2,FALSE)</f>
        <v>A</v>
      </c>
      <c r="D270" s="2" t="str">
        <f>IF(ISERROR(MATCH(A270,'SegEnds_Xtal_Prot#'!B:B, 0)), "NoXtal", "Xtal")</f>
        <v>Xtal</v>
      </c>
      <c r="H270" s="4"/>
      <c r="S270" s="2" t="s">
        <v>1328</v>
      </c>
      <c r="T270" s="4" t="s">
        <v>12</v>
      </c>
      <c r="V270" s="28" t="str">
        <f>MID(VLOOKUP($A270,Seqs!$A:$B,2,FALSE),VLOOKUP($A270,'SegEnds_NonXtal_Prot#'!A:AL,10,FALSE),1)</f>
        <v>D</v>
      </c>
      <c r="W270" s="49" t="str">
        <f>MID(VLOOKUP($A270,Seqs!$A:$B,2,FALSE),VLOOKUP($A270,'SegEnds_NonXtal_Prot#'!A:AL,10,FALSE)+6,1)</f>
        <v>T</v>
      </c>
      <c r="X270" s="49" t="str">
        <f>MID(VLOOKUP($A270,Seqs!$A:$B,2,FALSE),VLOOKUP($A270,'SegEnds_NonXtal_Prot#'!A:AL,10,FALSE)+7,1)</f>
        <v>L</v>
      </c>
      <c r="Y270" s="49" t="str">
        <f>MID(VLOOKUP($A270,Seqs!$A:$B,2,FALSE),VLOOKUP($A270,'SegEnds_NonXtal_Prot#'!A:AL,10,FALSE)+8,1)</f>
        <v>P</v>
      </c>
      <c r="Z270" s="49" t="str">
        <f>MID(VLOOKUP($A270,Seqs!$A:$B,2,FALSE),VLOOKUP($A270,'SegEnds_NonXtal_Prot#'!A:AL,10,FALSE)+9,1)</f>
        <v>L</v>
      </c>
      <c r="AA270" s="49" t="str">
        <f>MID(VLOOKUP($A270,Seqs!$A:$B,2,FALSE),VLOOKUP($A270,'SegEnds_NonXtal_Prot#'!A:AL,10,FALSE)+10,1)</f>
        <v>W</v>
      </c>
      <c r="AB270" s="28" t="str">
        <f>MID(VLOOKUP($A270,Seqs!$A:$B,2,FALSE),VLOOKUP($A270,'SegEnds_NonXtal_Prot#'!$A:$AL,22,FALSE)+6,1)</f>
        <v>A</v>
      </c>
      <c r="AC270" s="49" t="str">
        <f>MID(VLOOKUP($A270,Seqs!$A:$B,2,FALSE),VLOOKUP($A270,'SegEnds_NonXtal_Prot#'!$A:$AL,22,FALSE)+7,1)</f>
        <v>A</v>
      </c>
      <c r="AD270" s="49" t="str">
        <f>MID(VLOOKUP($A270,Seqs!$A:$B,2,FALSE),VLOOKUP($A270,'SegEnds_NonXtal_Prot#'!$A:$AL,22,FALSE)+8,1)</f>
        <v>S</v>
      </c>
      <c r="AE270" s="49" t="str">
        <f>MID(VLOOKUP($A270,Seqs!$A:$B,2,FALSE),VLOOKUP($A270,'SegEnds_NonXtal_Prot#'!$A:$AL,22,FALSE)+9,1)</f>
        <v>Y</v>
      </c>
      <c r="AF270" s="49" t="str">
        <f>MID(VLOOKUP($A270,Seqs!$A:$B,2,FALSE),VLOOKUP($A270,'SegEnds_NonXtal_Prot#'!$A:$AL,22,FALSE)+10,1)</f>
        <v>F</v>
      </c>
      <c r="AG270" s="28" t="str">
        <f>MID(VLOOKUP($A270,Seqs!$A:$B,2,FALSE),VLOOKUP($A270,'SegEnds_NonXtal_Prot#'!$A:$AL,28,FALSE)-4,1)</f>
        <v>S</v>
      </c>
      <c r="AH270" s="49" t="str">
        <f>MID(VLOOKUP($A270,Seqs!$A:$B,2,FALSE),VLOOKUP($A270,'SegEnds_NonXtal_Prot#'!$A:$AL,28,FALSE),1)</f>
        <v>V</v>
      </c>
    </row>
    <row r="271" spans="1:34" s="2" customFormat="1" x14ac:dyDescent="0.2">
      <c r="A271" s="2" t="s">
        <v>199</v>
      </c>
      <c r="B271" s="2" t="str">
        <f>LOWER(VLOOKUP(A271,Xtal_Templ!A:B,2,FALSE))</f>
        <v>par1_human</v>
      </c>
      <c r="C271" s="2" t="str">
        <f>VLOOKUP(A271,Classification!A:D,2,FALSE)</f>
        <v>A</v>
      </c>
      <c r="D271" s="2" t="str">
        <f>IF(ISERROR(MATCH(A271,'SegEnds_Xtal_Prot#'!B:B, 0)), "NoXtal", "Xtal")</f>
        <v>NoXtal</v>
      </c>
      <c r="H271" s="4"/>
      <c r="R271" s="2" t="s">
        <v>9</v>
      </c>
      <c r="S271" s="2" t="s">
        <v>1328</v>
      </c>
      <c r="T271" s="4" t="s">
        <v>12</v>
      </c>
      <c r="V271" s="28" t="str">
        <f>MID(VLOOKUP($A271,Seqs!$A:$B,2,FALSE),VLOOKUP($A271,'SegEnds_NonXtal_Prot#'!A:AL,10,FALSE),1)</f>
        <v>D</v>
      </c>
      <c r="W271" s="49" t="str">
        <f>MID(VLOOKUP($A271,Seqs!$A:$B,2,FALSE),VLOOKUP($A271,'SegEnds_NonXtal_Prot#'!A:AL,10,FALSE)+6,1)</f>
        <v>F</v>
      </c>
      <c r="X271" s="49" t="str">
        <f>MID(VLOOKUP($A271,Seqs!$A:$B,2,FALSE),VLOOKUP($A271,'SegEnds_NonXtal_Prot#'!A:AL,10,FALSE)+7,1)</f>
        <v>L</v>
      </c>
      <c r="Y271" s="49" t="str">
        <f>MID(VLOOKUP($A271,Seqs!$A:$B,2,FALSE),VLOOKUP($A271,'SegEnds_NonXtal_Prot#'!A:AL,10,FALSE)+8,1)</f>
        <v>P</v>
      </c>
      <c r="Z271" s="49" t="str">
        <f>MID(VLOOKUP($A271,Seqs!$A:$B,2,FALSE),VLOOKUP($A271,'SegEnds_NonXtal_Prot#'!A:AL,10,FALSE)+9,1)</f>
        <v>F</v>
      </c>
      <c r="AA271" s="49" t="str">
        <f>MID(VLOOKUP($A271,Seqs!$A:$B,2,FALSE),VLOOKUP($A271,'SegEnds_NonXtal_Prot#'!A:AL,10,FALSE)+10,1)</f>
        <v>R</v>
      </c>
      <c r="AB271" s="28" t="str">
        <f>MID(VLOOKUP($A271,Seqs!$A:$B,2,FALSE),VLOOKUP($A271,'SegEnds_NonXtal_Prot#'!$A:$AL,22,FALSE)+6,1)</f>
        <v>H</v>
      </c>
      <c r="AC271" s="49" t="str">
        <f>MID(VLOOKUP($A271,Seqs!$A:$B,2,FALSE),VLOOKUP($A271,'SegEnds_NonXtal_Prot#'!$A:$AL,22,FALSE)+7,1)</f>
        <v>C</v>
      </c>
      <c r="AD271" s="49" t="str">
        <f>MID(VLOOKUP($A271,Seqs!$A:$B,2,FALSE),VLOOKUP($A271,'SegEnds_NonXtal_Prot#'!$A:$AL,22,FALSE)+8,1)</f>
        <v>S</v>
      </c>
      <c r="AE271" s="49" t="str">
        <f>MID(VLOOKUP($A271,Seqs!$A:$B,2,FALSE),VLOOKUP($A271,'SegEnds_NonXtal_Prot#'!$A:$AL,22,FALSE)+9,1)</f>
        <v>V</v>
      </c>
      <c r="AF271" s="49" t="str">
        <f>MID(VLOOKUP($A271,Seqs!$A:$B,2,FALSE),VLOOKUP($A271,'SegEnds_NonXtal_Prot#'!$A:$AL,22,FALSE)+10,1)</f>
        <v>V</v>
      </c>
      <c r="AG271" s="28" t="str">
        <f>MID(VLOOKUP($A271,Seqs!$A:$B,2,FALSE),VLOOKUP($A271,'SegEnds_NonXtal_Prot#'!$A:$AL,28,FALSE)-4,1)</f>
        <v>L</v>
      </c>
      <c r="AH271" s="49" t="str">
        <f>MID(VLOOKUP($A271,Seqs!$A:$B,2,FALSE),VLOOKUP($A271,'SegEnds_NonXtal_Prot#'!$A:$AL,28,FALSE),1)</f>
        <v>P</v>
      </c>
    </row>
    <row r="272" spans="1:34" s="2" customFormat="1" x14ac:dyDescent="0.2">
      <c r="A272" s="2" t="s">
        <v>243</v>
      </c>
      <c r="B272" s="2" t="str">
        <f>LOWER(VLOOKUP(A272,Xtal_Templ!A:B,2,FALSE))</f>
        <v>oprk_human</v>
      </c>
      <c r="C272" s="2" t="str">
        <f>VLOOKUP(A272,Classification!A:D,2,FALSE)</f>
        <v>A</v>
      </c>
      <c r="D272" s="2" t="str">
        <f>IF(ISERROR(MATCH(A272,'SegEnds_Xtal_Prot#'!B:B, 0)), "NoXtal", "Xtal")</f>
        <v>NoXtal</v>
      </c>
      <c r="H272" s="4"/>
      <c r="R272" s="2" t="s">
        <v>9</v>
      </c>
      <c r="T272" s="4" t="s">
        <v>12</v>
      </c>
      <c r="V272" s="28" t="str">
        <f>MID(VLOOKUP($A272,Seqs!$A:$B,2,FALSE),VLOOKUP($A272,'SegEnds_NonXtal_Prot#'!A:AL,10,FALSE),1)</f>
        <v>D</v>
      </c>
      <c r="W272" s="49" t="str">
        <f>MID(VLOOKUP($A272,Seqs!$A:$B,2,FALSE),VLOOKUP($A272,'SegEnds_NonXtal_Prot#'!A:AL,10,FALSE)+6,1)</f>
        <v>S</v>
      </c>
      <c r="X272" s="49" t="str">
        <f>MID(VLOOKUP($A272,Seqs!$A:$B,2,FALSE),VLOOKUP($A272,'SegEnds_NonXtal_Prot#'!A:AL,10,FALSE)+7,1)</f>
        <v>L</v>
      </c>
      <c r="Y272" s="49" t="str">
        <f>MID(VLOOKUP($A272,Seqs!$A:$B,2,FALSE),VLOOKUP($A272,'SegEnds_NonXtal_Prot#'!A:AL,10,FALSE)+8,1)</f>
        <v>P</v>
      </c>
      <c r="Z272" s="49" t="str">
        <f>MID(VLOOKUP($A272,Seqs!$A:$B,2,FALSE),VLOOKUP($A272,'SegEnds_NonXtal_Prot#'!A:AL,10,FALSE)+9,1)</f>
        <v>T</v>
      </c>
      <c r="AA272" s="49" t="str">
        <f>MID(VLOOKUP($A272,Seqs!$A:$B,2,FALSE),VLOOKUP($A272,'SegEnds_NonXtal_Prot#'!A:AL,10,FALSE)+10,1)</f>
        <v>R</v>
      </c>
      <c r="AB272" s="28" t="str">
        <f>MID(VLOOKUP($A272,Seqs!$A:$B,2,FALSE),VLOOKUP($A272,'SegEnds_NonXtal_Prot#'!$A:$AL,22,FALSE)+6,1)</f>
        <v>V</v>
      </c>
      <c r="AC272" s="49" t="str">
        <f>MID(VLOOKUP($A272,Seqs!$A:$B,2,FALSE),VLOOKUP($A272,'SegEnds_NonXtal_Prot#'!$A:$AL,22,FALSE)+7,1)</f>
        <v>T</v>
      </c>
      <c r="AD272" s="49" t="str">
        <f>MID(VLOOKUP($A272,Seqs!$A:$B,2,FALSE),VLOOKUP($A272,'SegEnds_NonXtal_Prot#'!$A:$AL,22,FALSE)+8,1)</f>
        <v>L</v>
      </c>
      <c r="AE272" s="49" t="str">
        <f>MID(VLOOKUP($A272,Seqs!$A:$B,2,FALSE),VLOOKUP($A272,'SegEnds_NonXtal_Prot#'!$A:$AL,22,FALSE)+9,1)</f>
        <v>S</v>
      </c>
      <c r="AF272" s="49" t="str">
        <f>MID(VLOOKUP($A272,Seqs!$A:$B,2,FALSE),VLOOKUP($A272,'SegEnds_NonXtal_Prot#'!$A:$AL,22,FALSE)+10,1)</f>
        <v>V</v>
      </c>
      <c r="AG272" s="28" t="str">
        <f>MID(VLOOKUP($A272,Seqs!$A:$B,2,FALSE),VLOOKUP($A272,'SegEnds_NonXtal_Prot#'!$A:$AL,28,FALSE)-4,1)</f>
        <v>E</v>
      </c>
      <c r="AH272" s="49" t="str">
        <f>MID(VLOOKUP($A272,Seqs!$A:$B,2,FALSE),VLOOKUP($A272,'SegEnds_NonXtal_Prot#'!$A:$AL,28,FALSE),1)</f>
        <v>P</v>
      </c>
    </row>
    <row r="273" spans="1:34" s="2" customFormat="1" x14ac:dyDescent="0.2">
      <c r="A273" s="2" t="s">
        <v>254</v>
      </c>
      <c r="B273" s="2" t="str">
        <f>LOWER(VLOOKUP(A273,Xtal_Templ!A:B,2,FALSE))</f>
        <v>ccr2_human</v>
      </c>
      <c r="C273" s="2" t="str">
        <f>VLOOKUP(A273,Classification!A:D,2,FALSE)</f>
        <v>A</v>
      </c>
      <c r="D273" s="2" t="str">
        <f>IF(ISERROR(MATCH(A273,'SegEnds_Xtal_Prot#'!B:B, 0)), "NoXtal", "Xtal")</f>
        <v>NoXtal</v>
      </c>
      <c r="H273" s="4"/>
      <c r="R273" s="2" t="s">
        <v>9</v>
      </c>
      <c r="T273" s="4" t="s">
        <v>12</v>
      </c>
      <c r="V273" s="28" t="str">
        <f>MID(VLOOKUP($A273,Seqs!$A:$B,2,FALSE),VLOOKUP($A273,'SegEnds_NonXtal_Prot#'!A:AL,10,FALSE),1)</f>
        <v>D</v>
      </c>
      <c r="W273" s="49" t="str">
        <f>MID(VLOOKUP($A273,Seqs!$A:$B,2,FALSE),VLOOKUP($A273,'SegEnds_NonXtal_Prot#'!A:AL,10,FALSE)+6,1)</f>
        <v>T</v>
      </c>
      <c r="X273" s="49" t="str">
        <f>MID(VLOOKUP($A273,Seqs!$A:$B,2,FALSE),VLOOKUP($A273,'SegEnds_NonXtal_Prot#'!A:AL,10,FALSE)+7,1)</f>
        <v>L</v>
      </c>
      <c r="Y273" s="49" t="str">
        <f>MID(VLOOKUP($A273,Seqs!$A:$B,2,FALSE),VLOOKUP($A273,'SegEnds_NonXtal_Prot#'!A:AL,10,FALSE)+8,1)</f>
        <v>P</v>
      </c>
      <c r="Z273" s="49" t="str">
        <f>MID(VLOOKUP($A273,Seqs!$A:$B,2,FALSE),VLOOKUP($A273,'SegEnds_NonXtal_Prot#'!A:AL,10,FALSE)+9,1)</f>
        <v>F</v>
      </c>
      <c r="AA273" s="49" t="str">
        <f>MID(VLOOKUP($A273,Seqs!$A:$B,2,FALSE),VLOOKUP($A273,'SegEnds_NonXtal_Prot#'!A:AL,10,FALSE)+10,1)</f>
        <v>V</v>
      </c>
      <c r="AB273" s="28" t="str">
        <f>MID(VLOOKUP($A273,Seqs!$A:$B,2,FALSE),VLOOKUP($A273,'SegEnds_NonXtal_Prot#'!$A:$AL,22,FALSE)+6,1)</f>
        <v>S</v>
      </c>
      <c r="AC273" s="49" t="str">
        <f>MID(VLOOKUP($A273,Seqs!$A:$B,2,FALSE),VLOOKUP($A273,'SegEnds_NonXtal_Prot#'!$A:$AL,22,FALSE)+7,1)</f>
        <v>L</v>
      </c>
      <c r="AD273" s="49" t="str">
        <f>MID(VLOOKUP($A273,Seqs!$A:$B,2,FALSE),VLOOKUP($A273,'SegEnds_NonXtal_Prot#'!$A:$AL,22,FALSE)+8,1)</f>
        <v>V</v>
      </c>
      <c r="AE273" s="49" t="str">
        <f>MID(VLOOKUP($A273,Seqs!$A:$B,2,FALSE),VLOOKUP($A273,'SegEnds_NonXtal_Prot#'!$A:$AL,22,FALSE)+9,1)</f>
        <v>A</v>
      </c>
      <c r="AF273" s="49" t="str">
        <f>MID(VLOOKUP($A273,Seqs!$A:$B,2,FALSE),VLOOKUP($A273,'SegEnds_NonXtal_Prot#'!$A:$AL,22,FALSE)+10,1)</f>
        <v>R</v>
      </c>
      <c r="AG273" s="28" t="str">
        <f>MID(VLOOKUP($A273,Seqs!$A:$B,2,FALSE),VLOOKUP($A273,'SegEnds_NonXtal_Prot#'!$A:$AL,28,FALSE)-4,1)</f>
        <v>G</v>
      </c>
      <c r="AH273" s="49" t="str">
        <f>MID(VLOOKUP($A273,Seqs!$A:$B,2,FALSE),VLOOKUP($A273,'SegEnds_NonXtal_Prot#'!$A:$AL,28,FALSE),1)</f>
        <v>P</v>
      </c>
    </row>
    <row r="274" spans="1:34" s="2" customFormat="1" x14ac:dyDescent="0.2">
      <c r="A274" s="2" t="s">
        <v>258</v>
      </c>
      <c r="B274" s="2" t="str">
        <f>LOWER(VLOOKUP(A274,Xtal_Templ!A:B,2,FALSE))</f>
        <v>par1_human</v>
      </c>
      <c r="C274" s="2" t="str">
        <f>VLOOKUP(A274,Classification!A:D,2,FALSE)</f>
        <v>A</v>
      </c>
      <c r="D274" s="2" t="str">
        <f>IF(ISERROR(MATCH(A274,'SegEnds_Xtal_Prot#'!B:B, 0)), "NoXtal", "Xtal")</f>
        <v>NoXtal</v>
      </c>
      <c r="H274" s="4"/>
      <c r="R274" s="2" t="s">
        <v>9</v>
      </c>
      <c r="S274" s="2" t="s">
        <v>1328</v>
      </c>
      <c r="T274" s="4" t="s">
        <v>12</v>
      </c>
      <c r="V274" s="28" t="str">
        <f>MID(VLOOKUP($A274,Seqs!$A:$B,2,FALSE),VLOOKUP($A274,'SegEnds_NonXtal_Prot#'!A:AL,10,FALSE),1)</f>
        <v>D</v>
      </c>
      <c r="W274" s="49" t="str">
        <f>MID(VLOOKUP($A274,Seqs!$A:$B,2,FALSE),VLOOKUP($A274,'SegEnds_NonXtal_Prot#'!A:AL,10,FALSE)+6,1)</f>
        <v>F</v>
      </c>
      <c r="X274" s="49" t="str">
        <f>MID(VLOOKUP($A274,Seqs!$A:$B,2,FALSE),VLOOKUP($A274,'SegEnds_NonXtal_Prot#'!A:AL,10,FALSE)+7,1)</f>
        <v>L</v>
      </c>
      <c r="Y274" s="49" t="str">
        <f>MID(VLOOKUP($A274,Seqs!$A:$B,2,FALSE),VLOOKUP($A274,'SegEnds_NonXtal_Prot#'!A:AL,10,FALSE)+8,1)</f>
        <v>P</v>
      </c>
      <c r="Z274" s="49" t="str">
        <f>MID(VLOOKUP($A274,Seqs!$A:$B,2,FALSE),VLOOKUP($A274,'SegEnds_NonXtal_Prot#'!A:AL,10,FALSE)+9,1)</f>
        <v>F</v>
      </c>
      <c r="AA274" s="49" t="str">
        <f>MID(VLOOKUP($A274,Seqs!$A:$B,2,FALSE),VLOOKUP($A274,'SegEnds_NonXtal_Prot#'!A:AL,10,FALSE)+10,1)</f>
        <v>R</v>
      </c>
      <c r="AB274" s="28" t="str">
        <f>MID(VLOOKUP($A274,Seqs!$A:$B,2,FALSE),VLOOKUP($A274,'SegEnds_NonXtal_Prot#'!$A:$AL,22,FALSE)+6,1)</f>
        <v>H</v>
      </c>
      <c r="AC274" s="49" t="str">
        <f>MID(VLOOKUP($A274,Seqs!$A:$B,2,FALSE),VLOOKUP($A274,'SegEnds_NonXtal_Prot#'!$A:$AL,22,FALSE)+7,1)</f>
        <v>C</v>
      </c>
      <c r="AD274" s="49" t="str">
        <f>MID(VLOOKUP($A274,Seqs!$A:$B,2,FALSE),VLOOKUP($A274,'SegEnds_NonXtal_Prot#'!$A:$AL,22,FALSE)+8,1)</f>
        <v>S</v>
      </c>
      <c r="AE274" s="49" t="str">
        <f>MID(VLOOKUP($A274,Seqs!$A:$B,2,FALSE),VLOOKUP($A274,'SegEnds_NonXtal_Prot#'!$A:$AL,22,FALSE)+9,1)</f>
        <v>V</v>
      </c>
      <c r="AF274" s="49" t="str">
        <f>MID(VLOOKUP($A274,Seqs!$A:$B,2,FALSE),VLOOKUP($A274,'SegEnds_NonXtal_Prot#'!$A:$AL,22,FALSE)+10,1)</f>
        <v>V</v>
      </c>
      <c r="AG274" s="28" t="str">
        <f>MID(VLOOKUP($A274,Seqs!$A:$B,2,FALSE),VLOOKUP($A274,'SegEnds_NonXtal_Prot#'!$A:$AL,28,FALSE)-4,1)</f>
        <v>L</v>
      </c>
      <c r="AH274" s="49" t="str">
        <f>MID(VLOOKUP($A274,Seqs!$A:$B,2,FALSE),VLOOKUP($A274,'SegEnds_NonXtal_Prot#'!$A:$AL,28,FALSE),1)</f>
        <v>P</v>
      </c>
    </row>
    <row r="275" spans="1:34" s="2" customFormat="1" x14ac:dyDescent="0.2">
      <c r="A275" s="2" t="s">
        <v>261</v>
      </c>
      <c r="B275" s="2" t="str">
        <f>LOWER(VLOOKUP(A275,Xtal_Templ!A:B,2,FALSE))</f>
        <v>oprk_human</v>
      </c>
      <c r="C275" s="2" t="str">
        <f>VLOOKUP(A275,Classification!A:D,2,FALSE)</f>
        <v>A</v>
      </c>
      <c r="D275" s="2" t="str">
        <f>IF(ISERROR(MATCH(A275,'SegEnds_Xtal_Prot#'!B:B, 0)), "NoXtal", "Xtal")</f>
        <v>NoXtal</v>
      </c>
      <c r="H275" s="4"/>
      <c r="N275" s="2" t="s">
        <v>14</v>
      </c>
      <c r="R275" s="2" t="s">
        <v>9</v>
      </c>
      <c r="T275" s="4" t="s">
        <v>12</v>
      </c>
      <c r="V275" s="28" t="str">
        <f>MID(VLOOKUP($A275,Seqs!$A:$B,2,FALSE),VLOOKUP($A275,'SegEnds_NonXtal_Prot#'!A:AL,10,FALSE),1)</f>
        <v>D</v>
      </c>
      <c r="W275" s="49" t="str">
        <f>MID(VLOOKUP($A275,Seqs!$A:$B,2,FALSE),VLOOKUP($A275,'SegEnds_NonXtal_Prot#'!A:AL,10,FALSE)+6,1)</f>
        <v>S</v>
      </c>
      <c r="X275" s="49" t="str">
        <f>MID(VLOOKUP($A275,Seqs!$A:$B,2,FALSE),VLOOKUP($A275,'SegEnds_NonXtal_Prot#'!A:AL,10,FALSE)+7,1)</f>
        <v>L</v>
      </c>
      <c r="Y275" s="49" t="str">
        <f>MID(VLOOKUP($A275,Seqs!$A:$B,2,FALSE),VLOOKUP($A275,'SegEnds_NonXtal_Prot#'!A:AL,10,FALSE)+8,1)</f>
        <v>P</v>
      </c>
      <c r="Z275" s="49" t="str">
        <f>MID(VLOOKUP($A275,Seqs!$A:$B,2,FALSE),VLOOKUP($A275,'SegEnds_NonXtal_Prot#'!A:AL,10,FALSE)+9,1)</f>
        <v>F</v>
      </c>
      <c r="AA275" s="49" t="str">
        <f>MID(VLOOKUP($A275,Seqs!$A:$B,2,FALSE),VLOOKUP($A275,'SegEnds_NonXtal_Prot#'!A:AL,10,FALSE)+10,1)</f>
        <v>K</v>
      </c>
      <c r="AB275" s="28" t="str">
        <f>MID(VLOOKUP($A275,Seqs!$A:$B,2,FALSE),VLOOKUP($A275,'SegEnds_NonXtal_Prot#'!$A:$AL,22,FALSE)+6,1)</f>
        <v>G</v>
      </c>
      <c r="AC275" s="49" t="str">
        <f>MID(VLOOKUP($A275,Seqs!$A:$B,2,FALSE),VLOOKUP($A275,'SegEnds_NonXtal_Prot#'!$A:$AL,22,FALSE)+7,1)</f>
        <v>S</v>
      </c>
      <c r="AD275" s="49" t="str">
        <f>MID(VLOOKUP($A275,Seqs!$A:$B,2,FALSE),VLOOKUP($A275,'SegEnds_NonXtal_Prot#'!$A:$AL,22,FALSE)+8,1)</f>
        <v>I</v>
      </c>
      <c r="AE275" s="49" t="str">
        <f>MID(VLOOKUP($A275,Seqs!$A:$B,2,FALSE),VLOOKUP($A275,'SegEnds_NonXtal_Prot#'!$A:$AL,22,FALSE)+9,1)</f>
        <v>P</v>
      </c>
      <c r="AF275" s="49" t="str">
        <f>MID(VLOOKUP($A275,Seqs!$A:$B,2,FALSE),VLOOKUP($A275,'SegEnds_NonXtal_Prot#'!$A:$AL,22,FALSE)+10,1)</f>
        <v>I</v>
      </c>
      <c r="AG275" s="28" t="str">
        <f>MID(VLOOKUP($A275,Seqs!$A:$B,2,FALSE),VLOOKUP($A275,'SegEnds_NonXtal_Prot#'!$A:$AL,28,FALSE)-4,1)</f>
        <v>G</v>
      </c>
      <c r="AH275" s="49" t="str">
        <f>MID(VLOOKUP($A275,Seqs!$A:$B,2,FALSE),VLOOKUP($A275,'SegEnds_NonXtal_Prot#'!$A:$AL,28,FALSE),1)</f>
        <v>P</v>
      </c>
    </row>
    <row r="276" spans="1:34" s="2" customFormat="1" x14ac:dyDescent="0.2">
      <c r="A276" s="2" t="s">
        <v>302</v>
      </c>
      <c r="B276" s="2" t="str">
        <f>LOWER(VLOOKUP(A276,Xtal_Templ!A:B,2,FALSE))</f>
        <v>cxcr4_human</v>
      </c>
      <c r="C276" s="2" t="str">
        <f>VLOOKUP(A276,Classification!A:D,2,FALSE)</f>
        <v>A</v>
      </c>
      <c r="D276" s="2" t="str">
        <f>IF(ISERROR(MATCH(A276,'SegEnds_Xtal_Prot#'!B:B, 0)), "NoXtal", "Xtal")</f>
        <v>NoXtal</v>
      </c>
      <c r="H276" s="4"/>
      <c r="T276" s="4" t="s">
        <v>12</v>
      </c>
      <c r="V276" s="28" t="str">
        <f>MID(VLOOKUP($A276,Seqs!$A:$B,2,FALSE),VLOOKUP($A276,'SegEnds_NonXtal_Prot#'!A:AL,10,FALSE),1)</f>
        <v>D</v>
      </c>
      <c r="W276" s="49" t="str">
        <f>MID(VLOOKUP($A276,Seqs!$A:$B,2,FALSE),VLOOKUP($A276,'SegEnds_NonXtal_Prot#'!A:AL,10,FALSE)+6,1)</f>
        <v>C</v>
      </c>
      <c r="X276" s="49" t="str">
        <f>MID(VLOOKUP($A276,Seqs!$A:$B,2,FALSE),VLOOKUP($A276,'SegEnds_NonXtal_Prot#'!A:AL,10,FALSE)+7,1)</f>
        <v>H</v>
      </c>
      <c r="Y276" s="49" t="str">
        <f>MID(VLOOKUP($A276,Seqs!$A:$B,2,FALSE),VLOOKUP($A276,'SegEnds_NonXtal_Prot#'!A:AL,10,FALSE)+8,1)</f>
        <v>M</v>
      </c>
      <c r="Z276" s="49" t="str">
        <f>MID(VLOOKUP($A276,Seqs!$A:$B,2,FALSE),VLOOKUP($A276,'SegEnds_NonXtal_Prot#'!A:AL,10,FALSE)+9,1)</f>
        <v>V</v>
      </c>
      <c r="AA276" s="49" t="str">
        <f>MID(VLOOKUP($A276,Seqs!$A:$B,2,FALSE),VLOOKUP($A276,'SegEnds_NonXtal_Prot#'!A:AL,10,FALSE)+10,1)</f>
        <v>A</v>
      </c>
      <c r="AB276" s="28" t="str">
        <f>MID(VLOOKUP($A276,Seqs!$A:$B,2,FALSE),VLOOKUP($A276,'SegEnds_NonXtal_Prot#'!$A:$AL,22,FALSE)+6,1)</f>
        <v>L</v>
      </c>
      <c r="AC276" s="49" t="str">
        <f>MID(VLOOKUP($A276,Seqs!$A:$B,2,FALSE),VLOOKUP($A276,'SegEnds_NonXtal_Prot#'!$A:$AL,22,FALSE)+7,1)</f>
        <v>H</v>
      </c>
      <c r="AD276" s="49" t="str">
        <f>MID(VLOOKUP($A276,Seqs!$A:$B,2,FALSE),VLOOKUP($A276,'SegEnds_NonXtal_Prot#'!$A:$AL,22,FALSE)+8,1)</f>
        <v>L</v>
      </c>
      <c r="AE276" s="49" t="str">
        <f>MID(VLOOKUP($A276,Seqs!$A:$B,2,FALSE),VLOOKUP($A276,'SegEnds_NonXtal_Prot#'!$A:$AL,22,FALSE)+9,1)</f>
        <v>L</v>
      </c>
      <c r="AF276" s="49" t="str">
        <f>MID(VLOOKUP($A276,Seqs!$A:$B,2,FALSE),VLOOKUP($A276,'SegEnds_NonXtal_Prot#'!$A:$AL,22,FALSE)+10,1)</f>
        <v>L</v>
      </c>
      <c r="AG276" s="28" t="str">
        <f>MID(VLOOKUP($A276,Seqs!$A:$B,2,FALSE),VLOOKUP($A276,'SegEnds_NonXtal_Prot#'!$A:$AL,28,FALSE)-4,1)</f>
        <v>A</v>
      </c>
      <c r="AH276" s="49" t="str">
        <f>MID(VLOOKUP($A276,Seqs!$A:$B,2,FALSE),VLOOKUP($A276,'SegEnds_NonXtal_Prot#'!$A:$AL,28,FALSE),1)</f>
        <v>C</v>
      </c>
    </row>
    <row r="277" spans="1:34" s="2" customFormat="1" x14ac:dyDescent="0.2">
      <c r="A277" s="2" t="s">
        <v>349</v>
      </c>
      <c r="B277" s="2" t="str">
        <f>LOWER(VLOOKUP(A277,Xtal_Templ!A:B,2,FALSE))</f>
        <v>par1_human</v>
      </c>
      <c r="C277" s="2" t="str">
        <f>VLOOKUP(A277,Classification!A:D,2,FALSE)</f>
        <v>A</v>
      </c>
      <c r="D277" s="2" t="str">
        <f>IF(ISERROR(MATCH(A277,'SegEnds_Xtal_Prot#'!B:B, 0)), "NoXtal", "Xtal")</f>
        <v>NoXtal</v>
      </c>
      <c r="H277" s="4"/>
      <c r="R277" s="2" t="s">
        <v>9</v>
      </c>
      <c r="S277" s="2" t="s">
        <v>1328</v>
      </c>
      <c r="T277" s="4" t="s">
        <v>12</v>
      </c>
      <c r="V277" s="28" t="str">
        <f>MID(VLOOKUP($A277,Seqs!$A:$B,2,FALSE),VLOOKUP($A277,'SegEnds_NonXtal_Prot#'!A:AL,10,FALSE),1)</f>
        <v>D</v>
      </c>
      <c r="W277" s="49" t="str">
        <f>MID(VLOOKUP($A277,Seqs!$A:$B,2,FALSE),VLOOKUP($A277,'SegEnds_NonXtal_Prot#'!A:AL,10,FALSE)+6,1)</f>
        <v>V</v>
      </c>
      <c r="X277" s="49" t="str">
        <f>MID(VLOOKUP($A277,Seqs!$A:$B,2,FALSE),VLOOKUP($A277,'SegEnds_NonXtal_Prot#'!A:AL,10,FALSE)+7,1)</f>
        <v>L</v>
      </c>
      <c r="Y277" s="49" t="str">
        <f>MID(VLOOKUP($A277,Seqs!$A:$B,2,FALSE),VLOOKUP($A277,'SegEnds_NonXtal_Prot#'!A:AL,10,FALSE)+8,1)</f>
        <v>P</v>
      </c>
      <c r="Z277" s="49" t="str">
        <f>MID(VLOOKUP($A277,Seqs!$A:$B,2,FALSE),VLOOKUP($A277,'SegEnds_NonXtal_Prot#'!A:AL,10,FALSE)+9,1)</f>
        <v>F</v>
      </c>
      <c r="AA277" s="49" t="str">
        <f>MID(VLOOKUP($A277,Seqs!$A:$B,2,FALSE),VLOOKUP($A277,'SegEnds_NonXtal_Prot#'!A:AL,10,FALSE)+10,1)</f>
        <v>Q</v>
      </c>
      <c r="AB277" s="28" t="str">
        <f>MID(VLOOKUP($A277,Seqs!$A:$B,2,FALSE),VLOOKUP($A277,'SegEnds_NonXtal_Prot#'!$A:$AL,22,FALSE)+6,1)</f>
        <v>A</v>
      </c>
      <c r="AC277" s="49" t="str">
        <f>MID(VLOOKUP($A277,Seqs!$A:$B,2,FALSE),VLOOKUP($A277,'SegEnds_NonXtal_Prot#'!$A:$AL,22,FALSE)+7,1)</f>
        <v>L</v>
      </c>
      <c r="AD277" s="49" t="str">
        <f>MID(VLOOKUP($A277,Seqs!$A:$B,2,FALSE),VLOOKUP($A277,'SegEnds_NonXtal_Prot#'!$A:$AL,22,FALSE)+8,1)</f>
        <v>S</v>
      </c>
      <c r="AE277" s="49" t="str">
        <f>MID(VLOOKUP($A277,Seqs!$A:$B,2,FALSE),VLOOKUP($A277,'SegEnds_NonXtal_Prot#'!$A:$AL,22,FALSE)+9,1)</f>
        <v>P</v>
      </c>
      <c r="AF277" s="49" t="str">
        <f>MID(VLOOKUP($A277,Seqs!$A:$B,2,FALSE),VLOOKUP($A277,'SegEnds_NonXtal_Prot#'!$A:$AL,22,FALSE)+10,1)</f>
        <v>L</v>
      </c>
      <c r="AG277" s="28" t="str">
        <f>MID(VLOOKUP($A277,Seqs!$A:$B,2,FALSE),VLOOKUP($A277,'SegEnds_NonXtal_Prot#'!$A:$AL,28,FALSE)-4,1)</f>
        <v>L</v>
      </c>
      <c r="AH277" s="49" t="str">
        <f>MID(VLOOKUP($A277,Seqs!$A:$B,2,FALSE),VLOOKUP($A277,'SegEnds_NonXtal_Prot#'!$A:$AL,28,FALSE),1)</f>
        <v>P</v>
      </c>
    </row>
    <row r="278" spans="1:34" s="2" customFormat="1" x14ac:dyDescent="0.2">
      <c r="A278" s="2" t="s">
        <v>355</v>
      </c>
      <c r="B278" s="2" t="str">
        <f>LOWER(VLOOKUP(A278,Xtal_Templ!A:B,2,FALSE))</f>
        <v>par1_human</v>
      </c>
      <c r="C278" s="2" t="str">
        <f>VLOOKUP(A278,Classification!A:D,2,FALSE)</f>
        <v>A</v>
      </c>
      <c r="D278" s="2" t="str">
        <f>IF(ISERROR(MATCH(A278,'SegEnds_Xtal_Prot#'!B:B, 0)), "NoXtal", "Xtal")</f>
        <v>Xtal</v>
      </c>
      <c r="H278" s="4"/>
      <c r="N278" s="2" t="s">
        <v>14</v>
      </c>
      <c r="S278" s="2" t="s">
        <v>1328</v>
      </c>
      <c r="T278" s="4" t="s">
        <v>12</v>
      </c>
      <c r="V278" s="28" t="str">
        <f>MID(VLOOKUP($A278,Seqs!$A:$B,2,FALSE),VLOOKUP($A278,'SegEnds_NonXtal_Prot#'!A:AL,10,FALSE),1)</f>
        <v>D</v>
      </c>
      <c r="W278" s="49" t="str">
        <f>MID(VLOOKUP($A278,Seqs!$A:$B,2,FALSE),VLOOKUP($A278,'SegEnds_NonXtal_Prot#'!A:AL,10,FALSE)+6,1)</f>
        <v>V</v>
      </c>
      <c r="X278" s="49" t="str">
        <f>MID(VLOOKUP($A278,Seqs!$A:$B,2,FALSE),VLOOKUP($A278,'SegEnds_NonXtal_Prot#'!A:AL,10,FALSE)+7,1)</f>
        <v>L</v>
      </c>
      <c r="Y278" s="49" t="str">
        <f>MID(VLOOKUP($A278,Seqs!$A:$B,2,FALSE),VLOOKUP($A278,'SegEnds_NonXtal_Prot#'!A:AL,10,FALSE)+8,1)</f>
        <v>P</v>
      </c>
      <c r="Z278" s="49" t="str">
        <f>MID(VLOOKUP($A278,Seqs!$A:$B,2,FALSE),VLOOKUP($A278,'SegEnds_NonXtal_Prot#'!A:AL,10,FALSE)+9,1)</f>
        <v>F</v>
      </c>
      <c r="AA278" s="49" t="str">
        <f>MID(VLOOKUP($A278,Seqs!$A:$B,2,FALSE),VLOOKUP($A278,'SegEnds_NonXtal_Prot#'!A:AL,10,FALSE)+10,1)</f>
        <v>K</v>
      </c>
      <c r="AB278" s="28" t="str">
        <f>MID(VLOOKUP($A278,Seqs!$A:$B,2,FALSE),VLOOKUP($A278,'SegEnds_NonXtal_Prot#'!$A:$AL,22,FALSE)+6,1)</f>
        <v>G</v>
      </c>
      <c r="AC278" s="49" t="str">
        <f>MID(VLOOKUP($A278,Seqs!$A:$B,2,FALSE),VLOOKUP($A278,'SegEnds_NonXtal_Prot#'!$A:$AL,22,FALSE)+7,1)</f>
        <v>V</v>
      </c>
      <c r="AD278" s="49" t="str">
        <f>MID(VLOOKUP($A278,Seqs!$A:$B,2,FALSE),VLOOKUP($A278,'SegEnds_NonXtal_Prot#'!$A:$AL,22,FALSE)+8,1)</f>
        <v>V</v>
      </c>
      <c r="AE278" s="49" t="str">
        <f>MID(VLOOKUP($A278,Seqs!$A:$B,2,FALSE),VLOOKUP($A278,'SegEnds_NonXtal_Prot#'!$A:$AL,22,FALSE)+9,1)</f>
        <v>P</v>
      </c>
      <c r="AF278" s="49" t="str">
        <f>MID(VLOOKUP($A278,Seqs!$A:$B,2,FALSE),VLOOKUP($A278,'SegEnds_NonXtal_Prot#'!$A:$AL,22,FALSE)+10,1)</f>
        <v>L</v>
      </c>
      <c r="AG278" s="28" t="str">
        <f>MID(VLOOKUP($A278,Seqs!$A:$B,2,FALSE),VLOOKUP($A278,'SegEnds_NonXtal_Prot#'!$A:$AL,28,FALSE)-4,1)</f>
        <v>F</v>
      </c>
      <c r="AH278" s="49" t="str">
        <f>MID(VLOOKUP($A278,Seqs!$A:$B,2,FALSE),VLOOKUP($A278,'SegEnds_NonXtal_Prot#'!$A:$AL,28,FALSE),1)</f>
        <v>P</v>
      </c>
    </row>
    <row r="279" spans="1:34" s="2" customFormat="1" x14ac:dyDescent="0.2">
      <c r="A279" s="2" t="s">
        <v>356</v>
      </c>
      <c r="B279" s="2" t="str">
        <f>LOWER(VLOOKUP(A279,Xtal_Templ!A:B,2,FALSE))</f>
        <v>par2_human</v>
      </c>
      <c r="C279" s="2" t="str">
        <f>VLOOKUP(A279,Classification!A:D,2,FALSE)</f>
        <v>A</v>
      </c>
      <c r="D279" s="2" t="str">
        <f>IF(ISERROR(MATCH(A279,'SegEnds_Xtal_Prot#'!B:B, 0)), "NoXtal", "Xtal")</f>
        <v>Xtal</v>
      </c>
      <c r="H279" s="4"/>
      <c r="N279" s="2" t="s">
        <v>14</v>
      </c>
      <c r="R279" s="2" t="s">
        <v>9</v>
      </c>
      <c r="S279" s="2" t="s">
        <v>1328</v>
      </c>
      <c r="T279" s="4" t="s">
        <v>12</v>
      </c>
      <c r="V279" s="28" t="str">
        <f>MID(VLOOKUP($A279,Seqs!$A:$B,2,FALSE),VLOOKUP($A279,'SegEnds_NonXtal_Prot#'!A:AL,10,FALSE),1)</f>
        <v>D</v>
      </c>
      <c r="W279" s="49" t="str">
        <f>MID(VLOOKUP($A279,Seqs!$A:$B,2,FALSE),VLOOKUP($A279,'SegEnds_NonXtal_Prot#'!A:AL,10,FALSE)+6,1)</f>
        <v>W</v>
      </c>
      <c r="X279" s="49" t="str">
        <f>MID(VLOOKUP($A279,Seqs!$A:$B,2,FALSE),VLOOKUP($A279,'SegEnds_NonXtal_Prot#'!A:AL,10,FALSE)+7,1)</f>
        <v>F</v>
      </c>
      <c r="Y279" s="49" t="str">
        <f>MID(VLOOKUP($A279,Seqs!$A:$B,2,FALSE),VLOOKUP($A279,'SegEnds_NonXtal_Prot#'!A:AL,10,FALSE)+8,1)</f>
        <v>P</v>
      </c>
      <c r="Z279" s="49" t="str">
        <f>MID(VLOOKUP($A279,Seqs!$A:$B,2,FALSE),VLOOKUP($A279,'SegEnds_NonXtal_Prot#'!A:AL,10,FALSE)+9,1)</f>
        <v>L</v>
      </c>
      <c r="AA279" s="49" t="str">
        <f>MID(VLOOKUP($A279,Seqs!$A:$B,2,FALSE),VLOOKUP($A279,'SegEnds_NonXtal_Prot#'!A:AL,10,FALSE)+10,1)</f>
        <v>K</v>
      </c>
      <c r="AB279" s="28" t="str">
        <f>MID(VLOOKUP($A279,Seqs!$A:$B,2,FALSE),VLOOKUP($A279,'SegEnds_NonXtal_Prot#'!$A:$AL,22,FALSE)+6,1)</f>
        <v>V</v>
      </c>
      <c r="AC279" s="49" t="str">
        <f>MID(VLOOKUP($A279,Seqs!$A:$B,2,FALSE),VLOOKUP($A279,'SegEnds_NonXtal_Prot#'!$A:$AL,22,FALSE)+7,1)</f>
        <v>T</v>
      </c>
      <c r="AD279" s="49" t="str">
        <f>MID(VLOOKUP($A279,Seqs!$A:$B,2,FALSE),VLOOKUP($A279,'SegEnds_NonXtal_Prot#'!$A:$AL,22,FALSE)+8,1)</f>
        <v>I</v>
      </c>
      <c r="AE279" s="49" t="str">
        <f>MID(VLOOKUP($A279,Seqs!$A:$B,2,FALSE),VLOOKUP($A279,'SegEnds_NonXtal_Prot#'!$A:$AL,22,FALSE)+9,1)</f>
        <v>P</v>
      </c>
      <c r="AF279" s="49" t="str">
        <f>MID(VLOOKUP($A279,Seqs!$A:$B,2,FALSE),VLOOKUP($A279,'SegEnds_NonXtal_Prot#'!$A:$AL,22,FALSE)+10,1)</f>
        <v>L</v>
      </c>
      <c r="AG279" s="28" t="str">
        <f>MID(VLOOKUP($A279,Seqs!$A:$B,2,FALSE),VLOOKUP($A279,'SegEnds_NonXtal_Prot#'!$A:$AL,28,FALSE)-4,1)</f>
        <v>V</v>
      </c>
      <c r="AH279" s="49" t="str">
        <f>MID(VLOOKUP($A279,Seqs!$A:$B,2,FALSE),VLOOKUP($A279,'SegEnds_NonXtal_Prot#'!$A:$AL,28,FALSE),1)</f>
        <v>P</v>
      </c>
    </row>
    <row r="280" spans="1:34" s="2" customFormat="1" x14ac:dyDescent="0.2">
      <c r="A280" s="2" t="s">
        <v>357</v>
      </c>
      <c r="B280" s="2" t="str">
        <f>LOWER(VLOOKUP(A280,Xtal_Templ!A:B,2,FALSE))</f>
        <v>par2_human</v>
      </c>
      <c r="C280" s="2" t="str">
        <f>VLOOKUP(A280,Classification!A:D,2,FALSE)</f>
        <v>A</v>
      </c>
      <c r="D280" s="2" t="str">
        <f>IF(ISERROR(MATCH(A280,'SegEnds_Xtal_Prot#'!B:B, 0)), "NoXtal", "Xtal")</f>
        <v>NoXtal</v>
      </c>
      <c r="H280" s="4"/>
      <c r="N280" s="2" t="s">
        <v>14</v>
      </c>
      <c r="R280" s="2" t="s">
        <v>9</v>
      </c>
      <c r="S280" s="2" t="s">
        <v>1328</v>
      </c>
      <c r="T280" s="4" t="s">
        <v>12</v>
      </c>
      <c r="V280" s="28" t="str">
        <f>MID(VLOOKUP($A280,Seqs!$A:$B,2,FALSE),VLOOKUP($A280,'SegEnds_NonXtal_Prot#'!A:AL,10,FALSE),1)</f>
        <v>D</v>
      </c>
      <c r="W280" s="49" t="str">
        <f>MID(VLOOKUP($A280,Seqs!$A:$B,2,FALSE),VLOOKUP($A280,'SegEnds_NonXtal_Prot#'!A:AL,10,FALSE)+6,1)</f>
        <v>T</v>
      </c>
      <c r="X280" s="49" t="str">
        <f>MID(VLOOKUP($A280,Seqs!$A:$B,2,FALSE),VLOOKUP($A280,'SegEnds_NonXtal_Prot#'!A:AL,10,FALSE)+7,1)</f>
        <v>L</v>
      </c>
      <c r="Y280" s="49" t="str">
        <f>MID(VLOOKUP($A280,Seqs!$A:$B,2,FALSE),VLOOKUP($A280,'SegEnds_NonXtal_Prot#'!A:AL,10,FALSE)+8,1)</f>
        <v>P</v>
      </c>
      <c r="Z280" s="49" t="str">
        <f>MID(VLOOKUP($A280,Seqs!$A:$B,2,FALSE),VLOOKUP($A280,'SegEnds_NonXtal_Prot#'!A:AL,10,FALSE)+9,1)</f>
        <v>F</v>
      </c>
      <c r="AA280" s="49" t="str">
        <f>MID(VLOOKUP($A280,Seqs!$A:$B,2,FALSE),VLOOKUP($A280,'SegEnds_NonXtal_Prot#'!A:AL,10,FALSE)+10,1)</f>
        <v>K</v>
      </c>
      <c r="AB280" s="28" t="str">
        <f>MID(VLOOKUP($A280,Seqs!$A:$B,2,FALSE),VLOOKUP($A280,'SegEnds_NonXtal_Prot#'!$A:$AL,22,FALSE)+6,1)</f>
        <v>Y</v>
      </c>
      <c r="AC280" s="49" t="str">
        <f>MID(VLOOKUP($A280,Seqs!$A:$B,2,FALSE),VLOOKUP($A280,'SegEnds_NonXtal_Prot#'!$A:$AL,22,FALSE)+7,1)</f>
        <v>M</v>
      </c>
      <c r="AD280" s="49" t="str">
        <f>MID(VLOOKUP($A280,Seqs!$A:$B,2,FALSE),VLOOKUP($A280,'SegEnds_NonXtal_Prot#'!$A:$AL,22,FALSE)+8,1)</f>
        <v>L</v>
      </c>
      <c r="AE280" s="49" t="str">
        <f>MID(VLOOKUP($A280,Seqs!$A:$B,2,FALSE),VLOOKUP($A280,'SegEnds_NonXtal_Prot#'!$A:$AL,22,FALSE)+9,1)</f>
        <v>P</v>
      </c>
      <c r="AF280" s="49" t="str">
        <f>MID(VLOOKUP($A280,Seqs!$A:$B,2,FALSE),VLOOKUP($A280,'SegEnds_NonXtal_Prot#'!$A:$AL,22,FALSE)+10,1)</f>
        <v>F</v>
      </c>
      <c r="AG280" s="28" t="str">
        <f>MID(VLOOKUP($A280,Seqs!$A:$B,2,FALSE),VLOOKUP($A280,'SegEnds_NonXtal_Prot#'!$A:$AL,28,FALSE)-4,1)</f>
        <v>G</v>
      </c>
      <c r="AH280" s="49" t="str">
        <f>MID(VLOOKUP($A280,Seqs!$A:$B,2,FALSE),VLOOKUP($A280,'SegEnds_NonXtal_Prot#'!$A:$AL,28,FALSE),1)</f>
        <v>P</v>
      </c>
    </row>
    <row r="281" spans="1:34" s="2" customFormat="1" x14ac:dyDescent="0.2">
      <c r="A281" s="2" t="s">
        <v>358</v>
      </c>
      <c r="B281" s="2" t="str">
        <f>LOWER(VLOOKUP(A281,Xtal_Templ!A:B,2,FALSE))</f>
        <v>par2_human</v>
      </c>
      <c r="C281" s="2" t="str">
        <f>VLOOKUP(A281,Classification!A:D,2,FALSE)</f>
        <v>A</v>
      </c>
      <c r="D281" s="2" t="str">
        <f>IF(ISERROR(MATCH(A281,'SegEnds_Xtal_Prot#'!B:B, 0)), "NoXtal", "Xtal")</f>
        <v>NoXtal</v>
      </c>
      <c r="H281" s="4"/>
      <c r="N281" s="2" t="s">
        <v>14</v>
      </c>
      <c r="R281" s="2" t="s">
        <v>9</v>
      </c>
      <c r="S281" s="2" t="s">
        <v>1328</v>
      </c>
      <c r="T281" s="4" t="s">
        <v>12</v>
      </c>
      <c r="V281" s="28" t="str">
        <f>MID(VLOOKUP($A281,Seqs!$A:$B,2,FALSE),VLOOKUP($A281,'SegEnds_NonXtal_Prot#'!A:AL,10,FALSE),1)</f>
        <v>D</v>
      </c>
      <c r="W281" s="49" t="str">
        <f>MID(VLOOKUP($A281,Seqs!$A:$B,2,FALSE),VLOOKUP($A281,'SegEnds_NonXtal_Prot#'!A:AL,10,FALSE)+6,1)</f>
        <v>A</v>
      </c>
      <c r="X281" s="49" t="str">
        <f>MID(VLOOKUP($A281,Seqs!$A:$B,2,FALSE),VLOOKUP($A281,'SegEnds_NonXtal_Prot#'!A:AL,10,FALSE)+7,1)</f>
        <v>L</v>
      </c>
      <c r="Y281" s="49" t="str">
        <f>MID(VLOOKUP($A281,Seqs!$A:$B,2,FALSE),VLOOKUP($A281,'SegEnds_NonXtal_Prot#'!A:AL,10,FALSE)+8,1)</f>
        <v>P</v>
      </c>
      <c r="Z281" s="49" t="str">
        <f>MID(VLOOKUP($A281,Seqs!$A:$B,2,FALSE),VLOOKUP($A281,'SegEnds_NonXtal_Prot#'!A:AL,10,FALSE)+9,1)</f>
        <v>P</v>
      </c>
      <c r="AA281" s="49" t="str">
        <f>MID(VLOOKUP($A281,Seqs!$A:$B,2,FALSE),VLOOKUP($A281,'SegEnds_NonXtal_Prot#'!A:AL,10,FALSE)+10,1)</f>
        <v>R</v>
      </c>
      <c r="AB281" s="28" t="str">
        <f>MID(VLOOKUP($A281,Seqs!$A:$B,2,FALSE),VLOOKUP($A281,'SegEnds_NonXtal_Prot#'!$A:$AL,22,FALSE)+6,1)</f>
        <v>L</v>
      </c>
      <c r="AC281" s="49" t="str">
        <f>MID(VLOOKUP($A281,Seqs!$A:$B,2,FALSE),VLOOKUP($A281,'SegEnds_NonXtal_Prot#'!$A:$AL,22,FALSE)+7,1)</f>
        <v>A</v>
      </c>
      <c r="AD281" s="49" t="str">
        <f>MID(VLOOKUP($A281,Seqs!$A:$B,2,FALSE),VLOOKUP($A281,'SegEnds_NonXtal_Prot#'!$A:$AL,22,FALSE)+8,1)</f>
        <v>L</v>
      </c>
      <c r="AE281" s="49" t="str">
        <f>MID(VLOOKUP($A281,Seqs!$A:$B,2,FALSE),VLOOKUP($A281,'SegEnds_NonXtal_Prot#'!$A:$AL,22,FALSE)+9,1)</f>
        <v>P</v>
      </c>
      <c r="AF281" s="49" t="str">
        <f>MID(VLOOKUP($A281,Seqs!$A:$B,2,FALSE),VLOOKUP($A281,'SegEnds_NonXtal_Prot#'!$A:$AL,22,FALSE)+10,1)</f>
        <v>L</v>
      </c>
      <c r="AG281" s="28" t="str">
        <f>MID(VLOOKUP($A281,Seqs!$A:$B,2,FALSE),VLOOKUP($A281,'SegEnds_NonXtal_Prot#'!$A:$AL,28,FALSE)-4,1)</f>
        <v>G</v>
      </c>
      <c r="AH281" s="49" t="str">
        <f>MID(VLOOKUP($A281,Seqs!$A:$B,2,FALSE),VLOOKUP($A281,'SegEnds_NonXtal_Prot#'!$A:$AL,28,FALSE),1)</f>
        <v>P</v>
      </c>
    </row>
    <row r="282" spans="1:34" s="2" customFormat="1" x14ac:dyDescent="0.2">
      <c r="A282" s="2" t="s">
        <v>151</v>
      </c>
      <c r="B282" s="2" t="str">
        <f>LOWER(VLOOKUP(A282,Xtal_Templ!A:B,2,FALSE))</f>
        <v>s1pr1_human</v>
      </c>
      <c r="C282" s="2" t="str">
        <f>VLOOKUP(A282,Classification!A:D,2,FALSE)</f>
        <v>A</v>
      </c>
      <c r="D282" s="2" t="str">
        <f>IF(ISERROR(MATCH(A282,'SegEnds_Xtal_Prot#'!B:B, 0)), "NoXtal", "Xtal")</f>
        <v>NoXtal</v>
      </c>
      <c r="H282" s="4"/>
      <c r="T282" s="4" t="s">
        <v>12</v>
      </c>
      <c r="V282" s="28" t="str">
        <f>MID(VLOOKUP($A282,Seqs!$A:$B,2,FALSE),VLOOKUP($A282,'SegEnds_NonXtal_Prot#'!A:AL,10,FALSE),1)</f>
        <v>D</v>
      </c>
      <c r="W282" s="49" t="str">
        <f>MID(VLOOKUP($A282,Seqs!$A:$B,2,FALSE),VLOOKUP($A282,'SegEnds_NonXtal_Prot#'!A:AL,10,FALSE)+6,1)</f>
        <v>Y</v>
      </c>
      <c r="X282" s="49" t="str">
        <f>MID(VLOOKUP($A282,Seqs!$A:$B,2,FALSE),VLOOKUP($A282,'SegEnds_NonXtal_Prot#'!A:AL,10,FALSE)+7,1)</f>
        <v>K</v>
      </c>
      <c r="Y282" s="49" t="str">
        <f>MID(VLOOKUP($A282,Seqs!$A:$B,2,FALSE),VLOOKUP($A282,'SegEnds_NonXtal_Prot#'!A:AL,10,FALSE)+8,1)</f>
        <v>I</v>
      </c>
      <c r="Z282" s="49" t="str">
        <f>MID(VLOOKUP($A282,Seqs!$A:$B,2,FALSE),VLOOKUP($A282,'SegEnds_NonXtal_Prot#'!A:AL,10,FALSE)+9,1)</f>
        <v>L</v>
      </c>
      <c r="AA282" s="49" t="str">
        <f>MID(VLOOKUP($A282,Seqs!$A:$B,2,FALSE),VLOOKUP($A282,'SegEnds_NonXtal_Prot#'!A:AL,10,FALSE)+10,1)</f>
        <v>E</v>
      </c>
      <c r="AB282" s="28" t="str">
        <f>MID(VLOOKUP($A282,Seqs!$A:$B,2,FALSE),VLOOKUP($A282,'SegEnds_NonXtal_Prot#'!$A:$AL,22,FALSE)+6,1)</f>
        <v>T</v>
      </c>
      <c r="AC282" s="49" t="str">
        <f>MID(VLOOKUP($A282,Seqs!$A:$B,2,FALSE),VLOOKUP($A282,'SegEnds_NonXtal_Prot#'!$A:$AL,22,FALSE)+7,1)</f>
        <v>G</v>
      </c>
      <c r="AD282" s="49" t="str">
        <f>MID(VLOOKUP($A282,Seqs!$A:$B,2,FALSE),VLOOKUP($A282,'SegEnds_NonXtal_Prot#'!$A:$AL,22,FALSE)+8,1)</f>
        <v>I</v>
      </c>
      <c r="AE282" s="49" t="str">
        <f>MID(VLOOKUP($A282,Seqs!$A:$B,2,FALSE),VLOOKUP($A282,'SegEnds_NonXtal_Prot#'!$A:$AL,22,FALSE)+9,1)</f>
        <v>T</v>
      </c>
      <c r="AF282" s="49" t="str">
        <f>MID(VLOOKUP($A282,Seqs!$A:$B,2,FALSE),VLOOKUP($A282,'SegEnds_NonXtal_Prot#'!$A:$AL,22,FALSE)+10,1)</f>
        <v>M</v>
      </c>
      <c r="AG282" s="28" t="str">
        <f>MID(VLOOKUP($A282,Seqs!$A:$B,2,FALSE),VLOOKUP($A282,'SegEnds_NonXtal_Prot#'!$A:$AL,28,FALSE)-4,1)</f>
        <v>C</v>
      </c>
      <c r="AH282" s="49" t="str">
        <f>MID(VLOOKUP($A282,Seqs!$A:$B,2,FALSE),VLOOKUP($A282,'SegEnds_NonXtal_Prot#'!$A:$AL,28,FALSE),1)</f>
        <v>H</v>
      </c>
    </row>
    <row r="283" spans="1:34" s="2" customFormat="1" x14ac:dyDescent="0.2">
      <c r="A283" s="2" t="s">
        <v>213</v>
      </c>
      <c r="B283" s="2" t="str">
        <f>LOWER(VLOOKUP(A283,Xtal_Templ!A:B,2,FALSE))</f>
        <v>aa1r_human</v>
      </c>
      <c r="C283" s="2" t="str">
        <f>VLOOKUP(A283,Classification!A:D,2,FALSE)</f>
        <v>A</v>
      </c>
      <c r="D283" s="2" t="str">
        <f>IF(ISERROR(MATCH(A283,'SegEnds_Xtal_Prot#'!B:B, 0)), "NoXtal", "Xtal")</f>
        <v>NoXtal</v>
      </c>
      <c r="H283" s="4"/>
      <c r="R283" s="2" t="s">
        <v>9</v>
      </c>
      <c r="T283" s="4" t="s">
        <v>12</v>
      </c>
      <c r="V283" s="28" t="str">
        <f>MID(VLOOKUP($A283,Seqs!$A:$B,2,FALSE),VLOOKUP($A283,'SegEnds_NonXtal_Prot#'!A:AL,10,FALSE),1)</f>
        <v>D</v>
      </c>
      <c r="W283" s="49" t="str">
        <f>MID(VLOOKUP($A283,Seqs!$A:$B,2,FALSE),VLOOKUP($A283,'SegEnds_NonXtal_Prot#'!A:AL,10,FALSE)+6,1)</f>
        <v>A</v>
      </c>
      <c r="X283" s="49" t="str">
        <f>MID(VLOOKUP($A283,Seqs!$A:$B,2,FALSE),VLOOKUP($A283,'SegEnds_NonXtal_Prot#'!A:AL,10,FALSE)+7,1)</f>
        <v>I</v>
      </c>
      <c r="Y283" s="49" t="str">
        <f>MID(VLOOKUP($A283,Seqs!$A:$B,2,FALSE),VLOOKUP($A283,'SegEnds_NonXtal_Prot#'!A:AL,10,FALSE)+8,1)</f>
        <v>S</v>
      </c>
      <c r="Z283" s="49" t="str">
        <f>MID(VLOOKUP($A283,Seqs!$A:$B,2,FALSE),VLOOKUP($A283,'SegEnds_NonXtal_Prot#'!A:AL,10,FALSE)+9,1)</f>
        <v>G</v>
      </c>
      <c r="AA283" s="49" t="str">
        <f>MID(VLOOKUP($A283,Seqs!$A:$B,2,FALSE),VLOOKUP($A283,'SegEnds_NonXtal_Prot#'!A:AL,10,FALSE)+10,1)</f>
        <v>L</v>
      </c>
      <c r="AB283" s="28" t="str">
        <f>MID(VLOOKUP($A283,Seqs!$A:$B,2,FALSE),VLOOKUP($A283,'SegEnds_NonXtal_Prot#'!$A:$AL,22,FALSE)+6,1)</f>
        <v>I</v>
      </c>
      <c r="AC283" s="49" t="str">
        <f>MID(VLOOKUP($A283,Seqs!$A:$B,2,FALSE),VLOOKUP($A283,'SegEnds_NonXtal_Prot#'!$A:$AL,22,FALSE)+7,1)</f>
        <v>G</v>
      </c>
      <c r="AD283" s="49" t="str">
        <f>MID(VLOOKUP($A283,Seqs!$A:$B,2,FALSE),VLOOKUP($A283,'SegEnds_NonXtal_Prot#'!$A:$AL,22,FALSE)+8,1)</f>
        <v>F</v>
      </c>
      <c r="AE283" s="49" t="str">
        <f>MID(VLOOKUP($A283,Seqs!$A:$B,2,FALSE),VLOOKUP($A283,'SegEnds_NonXtal_Prot#'!$A:$AL,22,FALSE)+9,1)</f>
        <v>L</v>
      </c>
      <c r="AF283" s="49" t="str">
        <f>MID(VLOOKUP($A283,Seqs!$A:$B,2,FALSE),VLOOKUP($A283,'SegEnds_NonXtal_Prot#'!$A:$AL,22,FALSE)+10,1)</f>
        <v>P</v>
      </c>
      <c r="AG283" s="28" t="str">
        <f>MID(VLOOKUP($A283,Seqs!$A:$B,2,FALSE),VLOOKUP($A283,'SegEnds_NonXtal_Prot#'!$A:$AL,28,FALSE)-4,1)</f>
        <v>V</v>
      </c>
      <c r="AH283" s="49" t="str">
        <f>MID(VLOOKUP($A283,Seqs!$A:$B,2,FALSE),VLOOKUP($A283,'SegEnds_NonXtal_Prot#'!$A:$AL,28,FALSE),1)</f>
        <v>P</v>
      </c>
    </row>
    <row r="284" spans="1:34" s="2" customFormat="1" x14ac:dyDescent="0.2">
      <c r="A284" s="2" t="s">
        <v>238</v>
      </c>
      <c r="B284" s="2" t="str">
        <f>LOWER(VLOOKUP(A284,Xtal_Templ!A:B,2,FALSE))</f>
        <v>lpar1_human</v>
      </c>
      <c r="C284" s="2" t="str">
        <f>VLOOKUP(A284,Classification!A:D,2,FALSE)</f>
        <v>A</v>
      </c>
      <c r="D284" s="2" t="str">
        <f>IF(ISERROR(MATCH(A284,'SegEnds_Xtal_Prot#'!B:B, 0)), "NoXtal", "Xtal")</f>
        <v>NoXtal</v>
      </c>
      <c r="H284" s="4"/>
      <c r="T284" s="4" t="s">
        <v>12</v>
      </c>
      <c r="V284" s="28" t="str">
        <f>MID(VLOOKUP($A284,Seqs!$A:$B,2,FALSE),VLOOKUP($A284,'SegEnds_NonXtal_Prot#'!A:AL,10,FALSE),1)</f>
        <v>D</v>
      </c>
      <c r="W284" s="49" t="str">
        <f>MID(VLOOKUP($A284,Seqs!$A:$B,2,FALSE),VLOOKUP($A284,'SegEnds_NonXtal_Prot#'!A:AL,10,FALSE)+6,1)</f>
        <v>G</v>
      </c>
      <c r="X284" s="49" t="str">
        <f>MID(VLOOKUP($A284,Seqs!$A:$B,2,FALSE),VLOOKUP($A284,'SegEnds_NonXtal_Prot#'!A:AL,10,FALSE)+7,1)</f>
        <v>L</v>
      </c>
      <c r="Y284" s="49" t="str">
        <f>MID(VLOOKUP($A284,Seqs!$A:$B,2,FALSE),VLOOKUP($A284,'SegEnds_NonXtal_Prot#'!A:AL,10,FALSE)+8,1)</f>
        <v>I</v>
      </c>
      <c r="Z284" s="49" t="str">
        <f>MID(VLOOKUP($A284,Seqs!$A:$B,2,FALSE),VLOOKUP($A284,'SegEnds_NonXtal_Prot#'!A:AL,10,FALSE)+9,1)</f>
        <v>T</v>
      </c>
      <c r="AA284" s="49" t="str">
        <f>MID(VLOOKUP($A284,Seqs!$A:$B,2,FALSE),VLOOKUP($A284,'SegEnds_NonXtal_Prot#'!A:AL,10,FALSE)+10,1)</f>
        <v>N</v>
      </c>
      <c r="AB284" s="28" t="str">
        <f>MID(VLOOKUP($A284,Seqs!$A:$B,2,FALSE),VLOOKUP($A284,'SegEnds_NonXtal_Prot#'!$A:$AL,22,FALSE)+6,1)</f>
        <v>L</v>
      </c>
      <c r="AC284" s="49" t="str">
        <f>MID(VLOOKUP($A284,Seqs!$A:$B,2,FALSE),VLOOKUP($A284,'SegEnds_NonXtal_Prot#'!$A:$AL,22,FALSE)+7,1)</f>
        <v>G</v>
      </c>
      <c r="AD284" s="49" t="str">
        <f>MID(VLOOKUP($A284,Seqs!$A:$B,2,FALSE),VLOOKUP($A284,'SegEnds_NonXtal_Prot#'!$A:$AL,22,FALSE)+8,1)</f>
        <v>L</v>
      </c>
      <c r="AE284" s="49" t="str">
        <f>MID(VLOOKUP($A284,Seqs!$A:$B,2,FALSE),VLOOKUP($A284,'SegEnds_NonXtal_Prot#'!$A:$AL,22,FALSE)+9,1)</f>
        <v>L</v>
      </c>
      <c r="AF284" s="49" t="str">
        <f>MID(VLOOKUP($A284,Seqs!$A:$B,2,FALSE),VLOOKUP($A284,'SegEnds_NonXtal_Prot#'!$A:$AL,22,FALSE)+10,1)</f>
        <v>P</v>
      </c>
      <c r="AG284" s="28" t="str">
        <f>MID(VLOOKUP($A284,Seqs!$A:$B,2,FALSE),VLOOKUP($A284,'SegEnds_NonXtal_Prot#'!$A:$AL,28,FALSE)-4,1)</f>
        <v>S</v>
      </c>
      <c r="AH284" s="49" t="str">
        <f>MID(VLOOKUP($A284,Seqs!$A:$B,2,FALSE),VLOOKUP($A284,'SegEnds_NonXtal_Prot#'!$A:$AL,28,FALSE),1)</f>
        <v>M</v>
      </c>
    </row>
    <row r="285" spans="1:34" s="2" customFormat="1" x14ac:dyDescent="0.2">
      <c r="A285" s="2" t="s">
        <v>262</v>
      </c>
      <c r="B285" s="2" t="str">
        <f>LOWER(VLOOKUP(A285,Xtal_Templ!A:B,2,FALSE))</f>
        <v>s1pr1_human</v>
      </c>
      <c r="C285" s="2" t="str">
        <f>VLOOKUP(A285,Classification!A:D,2,FALSE)</f>
        <v>A</v>
      </c>
      <c r="D285" s="2" t="str">
        <f>IF(ISERROR(MATCH(A285,'SegEnds_Xtal_Prot#'!B:B, 0)), "NoXtal", "Xtal")</f>
        <v>NoXtal</v>
      </c>
      <c r="H285" s="4"/>
      <c r="T285" s="4" t="s">
        <v>12</v>
      </c>
      <c r="V285" s="28" t="str">
        <f>MID(VLOOKUP($A285,Seqs!$A:$B,2,FALSE),VLOOKUP($A285,'SegEnds_NonXtal_Prot#'!A:AL,10,FALSE),1)</f>
        <v>D</v>
      </c>
      <c r="W285" s="49" t="str">
        <f>MID(VLOOKUP($A285,Seqs!$A:$B,2,FALSE),VLOOKUP($A285,'SegEnds_NonXtal_Prot#'!A:AL,10,FALSE)+6,1)</f>
        <v>G</v>
      </c>
      <c r="X285" s="49" t="str">
        <f>MID(VLOOKUP($A285,Seqs!$A:$B,2,FALSE),VLOOKUP($A285,'SegEnds_NonXtal_Prot#'!A:AL,10,FALSE)+7,1)</f>
        <v>L</v>
      </c>
      <c r="Y285" s="49" t="str">
        <f>MID(VLOOKUP($A285,Seqs!$A:$B,2,FALSE),VLOOKUP($A285,'SegEnds_NonXtal_Prot#'!A:AL,10,FALSE)+8,1)</f>
        <v>I</v>
      </c>
      <c r="Z285" s="49" t="str">
        <f>MID(VLOOKUP($A285,Seqs!$A:$B,2,FALSE),VLOOKUP($A285,'SegEnds_NonXtal_Prot#'!A:AL,10,FALSE)+9,1)</f>
        <v>L</v>
      </c>
      <c r="AA285" s="49" t="str">
        <f>MID(VLOOKUP($A285,Seqs!$A:$B,2,FALSE),VLOOKUP($A285,'SegEnds_NonXtal_Prot#'!A:AL,10,FALSE)+10,1)</f>
        <v>H</v>
      </c>
      <c r="AB285" s="28" t="str">
        <f>MID(VLOOKUP($A285,Seqs!$A:$B,2,FALSE),VLOOKUP($A285,'SegEnds_NonXtal_Prot#'!$A:$AL,22,FALSE)+6,1)</f>
        <v>L</v>
      </c>
      <c r="AC285" s="49" t="str">
        <f>MID(VLOOKUP($A285,Seqs!$A:$B,2,FALSE),VLOOKUP($A285,'SegEnds_NonXtal_Prot#'!$A:$AL,22,FALSE)+7,1)</f>
        <v>G</v>
      </c>
      <c r="AD285" s="49" t="str">
        <f>MID(VLOOKUP($A285,Seqs!$A:$B,2,FALSE),VLOOKUP($A285,'SegEnds_NonXtal_Prot#'!$A:$AL,22,FALSE)+8,1)</f>
        <v>L</v>
      </c>
      <c r="AE285" s="49" t="str">
        <f>MID(VLOOKUP($A285,Seqs!$A:$B,2,FALSE),VLOOKUP($A285,'SegEnds_NonXtal_Prot#'!$A:$AL,22,FALSE)+9,1)</f>
        <v>L</v>
      </c>
      <c r="AF285" s="49" t="str">
        <f>MID(VLOOKUP($A285,Seqs!$A:$B,2,FALSE),VLOOKUP($A285,'SegEnds_NonXtal_Prot#'!$A:$AL,22,FALSE)+10,1)</f>
        <v>P</v>
      </c>
      <c r="AG285" s="28" t="str">
        <f>MID(VLOOKUP($A285,Seqs!$A:$B,2,FALSE),VLOOKUP($A285,'SegEnds_NonXtal_Prot#'!$A:$AL,28,FALSE)-4,1)</f>
        <v>A</v>
      </c>
      <c r="AH285" s="49" t="str">
        <f>MID(VLOOKUP($A285,Seqs!$A:$B,2,FALSE),VLOOKUP($A285,'SegEnds_NonXtal_Prot#'!$A:$AL,28,FALSE),1)</f>
        <v>V</v>
      </c>
    </row>
    <row r="286" spans="1:34" s="2" customFormat="1" x14ac:dyDescent="0.2">
      <c r="A286" s="2" t="s">
        <v>296</v>
      </c>
      <c r="B286" s="2" t="str">
        <f>LOWER(VLOOKUP(A286,Xtal_Templ!A:B,2,FALSE))</f>
        <v>lpar1_human</v>
      </c>
      <c r="C286" s="2" t="str">
        <f>VLOOKUP(A286,Classification!A:D,2,FALSE)</f>
        <v>A</v>
      </c>
      <c r="D286" s="2" t="str">
        <f>IF(ISERROR(MATCH(A286,'SegEnds_Xtal_Prot#'!B:B, 0)), "NoXtal", "Xtal")</f>
        <v>NoXtal</v>
      </c>
      <c r="H286" s="4"/>
      <c r="T286" s="4" t="s">
        <v>12</v>
      </c>
      <c r="V286" s="28" t="str">
        <f>MID(VLOOKUP($A286,Seqs!$A:$B,2,FALSE),VLOOKUP($A286,'SegEnds_NonXtal_Prot#'!A:AL,10,FALSE),1)</f>
        <v>D</v>
      </c>
      <c r="W286" s="49" t="str">
        <f>MID(VLOOKUP($A286,Seqs!$A:$B,2,FALSE),VLOOKUP($A286,'SegEnds_NonXtal_Prot#'!A:AL,10,FALSE)+6,1)</f>
        <v>S</v>
      </c>
      <c r="X286" s="49" t="str">
        <f>MID(VLOOKUP($A286,Seqs!$A:$B,2,FALSE),VLOOKUP($A286,'SegEnds_NonXtal_Prot#'!A:AL,10,FALSE)+7,1)</f>
        <v>N</v>
      </c>
      <c r="Y286" s="49" t="str">
        <f>MID(VLOOKUP($A286,Seqs!$A:$B,2,FALSE),VLOOKUP($A286,'SegEnds_NonXtal_Prot#'!A:AL,10,FALSE)+8,1)</f>
        <v>A</v>
      </c>
      <c r="Z286" s="49" t="str">
        <f>MID(VLOOKUP($A286,Seqs!$A:$B,2,FALSE),VLOOKUP($A286,'SegEnds_NonXtal_Prot#'!A:AL,10,FALSE)+9,1)</f>
        <v>L</v>
      </c>
      <c r="AA286" s="49" t="str">
        <f>MID(VLOOKUP($A286,Seqs!$A:$B,2,FALSE),VLOOKUP($A286,'SegEnds_NonXtal_Prot#'!A:AL,10,FALSE)+10,1)</f>
        <v>E</v>
      </c>
      <c r="AB286" s="28" t="str">
        <f>MID(VLOOKUP($A286,Seqs!$A:$B,2,FALSE),VLOOKUP($A286,'SegEnds_NonXtal_Prot#'!$A:$AL,22,FALSE)+6,1)</f>
        <v>C</v>
      </c>
      <c r="AC286" s="49" t="str">
        <f>MID(VLOOKUP($A286,Seqs!$A:$B,2,FALSE),VLOOKUP($A286,'SegEnds_NonXtal_Prot#'!$A:$AL,22,FALSE)+7,1)</f>
        <v>G</v>
      </c>
      <c r="AD286" s="49" t="str">
        <f>MID(VLOOKUP($A286,Seqs!$A:$B,2,FALSE),VLOOKUP($A286,'SegEnds_NonXtal_Prot#'!$A:$AL,22,FALSE)+8,1)</f>
        <v>V</v>
      </c>
      <c r="AE286" s="49" t="str">
        <f>MID(VLOOKUP($A286,Seqs!$A:$B,2,FALSE),VLOOKUP($A286,'SegEnds_NonXtal_Prot#'!$A:$AL,22,FALSE)+9,1)</f>
        <v>V</v>
      </c>
      <c r="AF286" s="49" t="str">
        <f>MID(VLOOKUP($A286,Seqs!$A:$B,2,FALSE),VLOOKUP($A286,'SegEnds_NonXtal_Prot#'!$A:$AL,22,FALSE)+10,1)</f>
        <v>F</v>
      </c>
      <c r="AG286" s="28" t="str">
        <f>MID(VLOOKUP($A286,Seqs!$A:$B,2,FALSE),VLOOKUP($A286,'SegEnds_NonXtal_Prot#'!$A:$AL,28,FALSE)-4,1)</f>
        <v>T</v>
      </c>
      <c r="AH286" s="49" t="str">
        <f>MID(VLOOKUP($A286,Seqs!$A:$B,2,FALSE),VLOOKUP($A286,'SegEnds_NonXtal_Prot#'!$A:$AL,28,FALSE),1)</f>
        <v>H</v>
      </c>
    </row>
    <row r="287" spans="1:34" s="2" customFormat="1" x14ac:dyDescent="0.2">
      <c r="A287" s="2" t="s">
        <v>297</v>
      </c>
      <c r="B287" s="2" t="str">
        <f>LOWER(VLOOKUP(A287,Xtal_Templ!A:B,2,FALSE))</f>
        <v>s1pr1_human</v>
      </c>
      <c r="C287" s="2" t="str">
        <f>VLOOKUP(A287,Classification!A:D,2,FALSE)</f>
        <v>A</v>
      </c>
      <c r="D287" s="2" t="str">
        <f>IF(ISERROR(MATCH(A287,'SegEnds_Xtal_Prot#'!B:B, 0)), "NoXtal", "Xtal")</f>
        <v>NoXtal</v>
      </c>
      <c r="H287" s="4"/>
      <c r="T287" s="4" t="s">
        <v>12</v>
      </c>
      <c r="V287" s="28" t="str">
        <f>MID(VLOOKUP($A287,Seqs!$A:$B,2,FALSE),VLOOKUP($A287,'SegEnds_NonXtal_Prot#'!A:AL,10,FALSE),1)</f>
        <v>D</v>
      </c>
      <c r="W287" s="49" t="str">
        <f>MID(VLOOKUP($A287,Seqs!$A:$B,2,FALSE),VLOOKUP($A287,'SegEnds_NonXtal_Prot#'!A:AL,10,FALSE)+6,1)</f>
        <v>S</v>
      </c>
      <c r="X287" s="49" t="str">
        <f>MID(VLOOKUP($A287,Seqs!$A:$B,2,FALSE),VLOOKUP($A287,'SegEnds_NonXtal_Prot#'!A:AL,10,FALSE)+7,1)</f>
        <v>N</v>
      </c>
      <c r="Y287" s="49" t="str">
        <f>MID(VLOOKUP($A287,Seqs!$A:$B,2,FALSE),VLOOKUP($A287,'SegEnds_NonXtal_Prot#'!A:AL,10,FALSE)+8,1)</f>
        <v>G</v>
      </c>
      <c r="Z287" s="49" t="str">
        <f>MID(VLOOKUP($A287,Seqs!$A:$B,2,FALSE),VLOOKUP($A287,'SegEnds_NonXtal_Prot#'!A:AL,10,FALSE)+9,1)</f>
        <v>S</v>
      </c>
      <c r="AA287" s="49" t="str">
        <f>MID(VLOOKUP($A287,Seqs!$A:$B,2,FALSE),VLOOKUP($A287,'SegEnds_NonXtal_Prot#'!A:AL,10,FALSE)+10,1)</f>
        <v>E</v>
      </c>
      <c r="AB287" s="28" t="str">
        <f>MID(VLOOKUP($A287,Seqs!$A:$B,2,FALSE),VLOOKUP($A287,'SegEnds_NonXtal_Prot#'!$A:$AL,22,FALSE)+6,1)</f>
        <v>S</v>
      </c>
      <c r="AC287" s="49" t="str">
        <f>MID(VLOOKUP($A287,Seqs!$A:$B,2,FALSE),VLOOKUP($A287,'SegEnds_NonXtal_Prot#'!$A:$AL,22,FALSE)+7,1)</f>
        <v>G</v>
      </c>
      <c r="AD287" s="49" t="str">
        <f>MID(VLOOKUP($A287,Seqs!$A:$B,2,FALSE),VLOOKUP($A287,'SegEnds_NonXtal_Prot#'!$A:$AL,22,FALSE)+8,1)</f>
        <v>I</v>
      </c>
      <c r="AE287" s="49" t="str">
        <f>MID(VLOOKUP($A287,Seqs!$A:$B,2,FALSE),VLOOKUP($A287,'SegEnds_NonXtal_Prot#'!$A:$AL,22,FALSE)+9,1)</f>
        <v>L</v>
      </c>
      <c r="AF287" s="49" t="str">
        <f>MID(VLOOKUP($A287,Seqs!$A:$B,2,FALSE),VLOOKUP($A287,'SegEnds_NonXtal_Prot#'!$A:$AL,22,FALSE)+10,1)</f>
        <v>F</v>
      </c>
      <c r="AG287" s="28" t="str">
        <f>MID(VLOOKUP($A287,Seqs!$A:$B,2,FALSE),VLOOKUP($A287,'SegEnds_NonXtal_Prot#'!$A:$AL,28,FALSE)-4,1)</f>
        <v>S</v>
      </c>
      <c r="AH287" s="49" t="str">
        <f>MID(VLOOKUP($A287,Seqs!$A:$B,2,FALSE),VLOOKUP($A287,'SegEnds_NonXtal_Prot#'!$A:$AL,28,FALSE),1)</f>
        <v>H</v>
      </c>
    </row>
    <row r="288" spans="1:34" s="2" customFormat="1" x14ac:dyDescent="0.2">
      <c r="A288" s="2" t="s">
        <v>309</v>
      </c>
      <c r="B288" s="2" t="str">
        <f>LOWER(VLOOKUP(A288,Xtal_Templ!A:B,2,FALSE))</f>
        <v>s1pr1_human</v>
      </c>
      <c r="C288" s="2" t="str">
        <f>VLOOKUP(A288,Classification!A:D,2,FALSE)</f>
        <v>A</v>
      </c>
      <c r="D288" s="2" t="str">
        <f>IF(ISERROR(MATCH(A288,'SegEnds_Xtal_Prot#'!B:B, 0)), "NoXtal", "Xtal")</f>
        <v>NoXtal</v>
      </c>
      <c r="H288" s="4"/>
      <c r="T288" s="4" t="s">
        <v>12</v>
      </c>
      <c r="V288" s="28" t="str">
        <f>MID(VLOOKUP($A288,Seqs!$A:$B,2,FALSE),VLOOKUP($A288,'SegEnds_NonXtal_Prot#'!A:AL,10,FALSE),1)</f>
        <v>D</v>
      </c>
      <c r="W288" s="49" t="str">
        <f>MID(VLOOKUP($A288,Seqs!$A:$B,2,FALSE),VLOOKUP($A288,'SegEnds_NonXtal_Prot#'!A:AL,10,FALSE)+6,1)</f>
        <v>S</v>
      </c>
      <c r="X288" s="49" t="str">
        <f>MID(VLOOKUP($A288,Seqs!$A:$B,2,FALSE),VLOOKUP($A288,'SegEnds_NonXtal_Prot#'!A:AL,10,FALSE)+7,1)</f>
        <v>N</v>
      </c>
      <c r="Y288" s="49" t="str">
        <f>MID(VLOOKUP($A288,Seqs!$A:$B,2,FALSE),VLOOKUP($A288,'SegEnds_NonXtal_Prot#'!A:AL,10,FALSE)+8,1)</f>
        <v>V</v>
      </c>
      <c r="Z288" s="49" t="str">
        <f>MID(VLOOKUP($A288,Seqs!$A:$B,2,FALSE),VLOOKUP($A288,'SegEnds_NonXtal_Prot#'!A:AL,10,FALSE)+9,1)</f>
        <v>L</v>
      </c>
      <c r="AA288" s="49" t="str">
        <f>MID(VLOOKUP($A288,Seqs!$A:$B,2,FALSE),VLOOKUP($A288,'SegEnds_NonXtal_Prot#'!A:AL,10,FALSE)+10,1)</f>
        <v>E</v>
      </c>
      <c r="AB288" s="28" t="str">
        <f>MID(VLOOKUP($A288,Seqs!$A:$B,2,FALSE),VLOOKUP($A288,'SegEnds_NonXtal_Prot#'!$A:$AL,22,FALSE)+6,1)</f>
        <v>F</v>
      </c>
      <c r="AC288" s="49" t="str">
        <f>MID(VLOOKUP($A288,Seqs!$A:$B,2,FALSE),VLOOKUP($A288,'SegEnds_NonXtal_Prot#'!$A:$AL,22,FALSE)+7,1)</f>
        <v>S</v>
      </c>
      <c r="AD288" s="49" t="str">
        <f>MID(VLOOKUP($A288,Seqs!$A:$B,2,FALSE),VLOOKUP($A288,'SegEnds_NonXtal_Prot#'!$A:$AL,22,FALSE)+8,1)</f>
        <v>T</v>
      </c>
      <c r="AE288" s="49" t="str">
        <f>MID(VLOOKUP($A288,Seqs!$A:$B,2,FALSE),VLOOKUP($A288,'SegEnds_NonXtal_Prot#'!$A:$AL,22,FALSE)+9,1)</f>
        <v>L</v>
      </c>
      <c r="AF288" s="49" t="str">
        <f>MID(VLOOKUP($A288,Seqs!$A:$B,2,FALSE),VLOOKUP($A288,'SegEnds_NonXtal_Prot#'!$A:$AL,22,FALSE)+10,1)</f>
        <v>F</v>
      </c>
      <c r="AG288" s="28" t="str">
        <f>MID(VLOOKUP($A288,Seqs!$A:$B,2,FALSE),VLOOKUP($A288,'SegEnds_NonXtal_Prot#'!$A:$AL,28,FALSE)-4,1)</f>
        <v>V</v>
      </c>
      <c r="AH288" s="49" t="str">
        <f>MID(VLOOKUP($A288,Seqs!$A:$B,2,FALSE),VLOOKUP($A288,'SegEnds_NonXtal_Prot#'!$A:$AL,28,FALSE),1)</f>
        <v>H</v>
      </c>
    </row>
    <row r="289" spans="1:34" s="2" customFormat="1" x14ac:dyDescent="0.2">
      <c r="A289" s="2" t="s">
        <v>363</v>
      </c>
      <c r="B289" s="2" t="str">
        <f>LOWER(VLOOKUP(A289,Xtal_Templ!A:B,2,FALSE))</f>
        <v>pe2r3_human</v>
      </c>
      <c r="C289" s="2" t="str">
        <f>VLOOKUP(A289,Classification!A:D,2,FALSE)</f>
        <v>A</v>
      </c>
      <c r="D289" s="2" t="str">
        <f>IF(ISERROR(MATCH(A289,'SegEnds_Xtal_Prot#'!B:B, 0)), "NoXtal", "Xtal")</f>
        <v>Xtal</v>
      </c>
      <c r="G289" s="2" t="s">
        <v>5</v>
      </c>
      <c r="H289" s="4"/>
      <c r="T289" s="4" t="s">
        <v>12</v>
      </c>
      <c r="V289" s="28" t="str">
        <f>MID(VLOOKUP($A289,Seqs!$A:$B,2,FALSE),VLOOKUP($A289,'SegEnds_NonXtal_Prot#'!A:AL,10,FALSE),1)</f>
        <v>D</v>
      </c>
      <c r="W289" s="49" t="str">
        <f>MID(VLOOKUP($A289,Seqs!$A:$B,2,FALSE),VLOOKUP($A289,'SegEnds_NonXtal_Prot#'!A:AL,10,FALSE)+6,1)</f>
        <v>L</v>
      </c>
      <c r="X289" s="49" t="str">
        <f>MID(VLOOKUP($A289,Seqs!$A:$B,2,FALSE),VLOOKUP($A289,'SegEnds_NonXtal_Prot#'!A:AL,10,FALSE)+7,1)</f>
        <v>T</v>
      </c>
      <c r="Y289" s="49" t="str">
        <f>MID(VLOOKUP($A289,Seqs!$A:$B,2,FALSE),VLOOKUP($A289,'SegEnds_NonXtal_Prot#'!A:AL,10,FALSE)+8,1)</f>
        <v>T</v>
      </c>
      <c r="Z289" s="49" t="str">
        <f>MID(VLOOKUP($A289,Seqs!$A:$B,2,FALSE),VLOOKUP($A289,'SegEnds_NonXtal_Prot#'!A:AL,10,FALSE)+9,1)</f>
        <v>P</v>
      </c>
      <c r="AA289" s="49" t="str">
        <f>MID(VLOOKUP($A289,Seqs!$A:$B,2,FALSE),VLOOKUP($A289,'SegEnds_NonXtal_Prot#'!A:AL,10,FALSE)+10,1)</f>
        <v>V</v>
      </c>
      <c r="AB289" s="28" t="str">
        <f>MID(VLOOKUP($A289,Seqs!$A:$B,2,FALSE),VLOOKUP($A289,'SegEnds_NonXtal_Prot#'!$A:$AL,22,FALSE)+6,1)</f>
        <v>F</v>
      </c>
      <c r="AC289" s="49" t="str">
        <f>MID(VLOOKUP($A289,Seqs!$A:$B,2,FALSE),VLOOKUP($A289,'SegEnds_NonXtal_Prot#'!$A:$AL,22,FALSE)+7,1)</f>
        <v>A</v>
      </c>
      <c r="AD289" s="49" t="str">
        <f>MID(VLOOKUP($A289,Seqs!$A:$B,2,FALSE),VLOOKUP($A289,'SegEnds_NonXtal_Prot#'!$A:$AL,22,FALSE)+8,1)</f>
        <v>L</v>
      </c>
      <c r="AE289" s="49" t="str">
        <f>MID(VLOOKUP($A289,Seqs!$A:$B,2,FALSE),VLOOKUP($A289,'SegEnds_NonXtal_Prot#'!$A:$AL,22,FALSE)+9,1)</f>
        <v>L</v>
      </c>
      <c r="AF289" s="49" t="str">
        <f>MID(VLOOKUP($A289,Seqs!$A:$B,2,FALSE),VLOOKUP($A289,'SegEnds_NonXtal_Prot#'!$A:$AL,22,FALSE)+10,1)</f>
        <v>P</v>
      </c>
      <c r="AG289" s="28" t="str">
        <f>MID(VLOOKUP($A289,Seqs!$A:$B,2,FALSE),VLOOKUP($A289,'SegEnds_NonXtal_Prot#'!$A:$AL,28,FALSE)-4,1)</f>
        <v>L</v>
      </c>
      <c r="AH289" s="49" t="str">
        <f>MID(VLOOKUP($A289,Seqs!$A:$B,2,FALSE),VLOOKUP($A289,'SegEnds_NonXtal_Prot#'!$A:$AL,28,FALSE),1)</f>
        <v>T</v>
      </c>
    </row>
    <row r="290" spans="1:34" s="2" customFormat="1" x14ac:dyDescent="0.2">
      <c r="A290" s="2" t="s">
        <v>104</v>
      </c>
      <c r="B290" s="2" t="str">
        <f>LOWER(VLOOKUP(A290,Xtal_Templ!A:B,2,FALSE))</f>
        <v>s1pr1_human</v>
      </c>
      <c r="C290" s="2" t="str">
        <f>VLOOKUP(A290,Classification!A:D,2,FALSE)</f>
        <v>A</v>
      </c>
      <c r="D290" s="2" t="str">
        <f>IF(ISERROR(MATCH(A290,'SegEnds_Xtal_Prot#'!B:B, 0)), "NoXtal", "Xtal")</f>
        <v>Xtal</v>
      </c>
      <c r="H290" s="4"/>
      <c r="I290" s="2" t="s">
        <v>21</v>
      </c>
      <c r="T290" s="4" t="s">
        <v>12</v>
      </c>
      <c r="V290" s="28" t="str">
        <f>MID(VLOOKUP($A290,Seqs!$A:$B,2,FALSE),VLOOKUP($A290,'SegEnds_NonXtal_Prot#'!A:AL,10,FALSE),1)</f>
        <v>D</v>
      </c>
      <c r="W290" s="49" t="str">
        <f>MID(VLOOKUP($A290,Seqs!$A:$B,2,FALSE),VLOOKUP($A290,'SegEnds_NonXtal_Prot#'!A:AL,10,FALSE)+6,1)</f>
        <v>A</v>
      </c>
      <c r="X290" s="49" t="str">
        <f>MID(VLOOKUP($A290,Seqs!$A:$B,2,FALSE),VLOOKUP($A290,'SegEnds_NonXtal_Prot#'!A:AL,10,FALSE)+7,1)</f>
        <v>Y</v>
      </c>
      <c r="Y290" s="49" t="str">
        <f>MID(VLOOKUP($A290,Seqs!$A:$B,2,FALSE),VLOOKUP($A290,'SegEnds_NonXtal_Prot#'!A:AL,10,FALSE)+8,1)</f>
        <v>T</v>
      </c>
      <c r="Z290" s="49" t="str">
        <f>MID(VLOOKUP($A290,Seqs!$A:$B,2,FALSE),VLOOKUP($A290,'SegEnds_NonXtal_Prot#'!A:AL,10,FALSE)+9,1)</f>
        <v>A</v>
      </c>
      <c r="AA290" s="49" t="str">
        <f>MID(VLOOKUP($A290,Seqs!$A:$B,2,FALSE),VLOOKUP($A290,'SegEnds_NonXtal_Prot#'!A:AL,10,FALSE)+10,1)</f>
        <v>N</v>
      </c>
      <c r="AB290" s="28" t="str">
        <f>MID(VLOOKUP($A290,Seqs!$A:$B,2,FALSE),VLOOKUP($A290,'SegEnds_NonXtal_Prot#'!$A:$AL,22,FALSE)+6,1)</f>
        <v>L</v>
      </c>
      <c r="AC290" s="49" t="str">
        <f>MID(VLOOKUP($A290,Seqs!$A:$B,2,FALSE),VLOOKUP($A290,'SegEnds_NonXtal_Prot#'!$A:$AL,22,FALSE)+7,1)</f>
        <v>G</v>
      </c>
      <c r="AD290" s="49" t="str">
        <f>MID(VLOOKUP($A290,Seqs!$A:$B,2,FALSE),VLOOKUP($A290,'SegEnds_NonXtal_Prot#'!$A:$AL,22,FALSE)+8,1)</f>
        <v>G</v>
      </c>
      <c r="AE290" s="49" t="str">
        <f>MID(VLOOKUP($A290,Seqs!$A:$B,2,FALSE),VLOOKUP($A290,'SegEnds_NonXtal_Prot#'!$A:$AL,22,FALSE)+9,1)</f>
        <v>L</v>
      </c>
      <c r="AF290" s="49" t="str">
        <f>MID(VLOOKUP($A290,Seqs!$A:$B,2,FALSE),VLOOKUP($A290,'SegEnds_NonXtal_Prot#'!$A:$AL,22,FALSE)+10,1)</f>
        <v>P</v>
      </c>
      <c r="AG290" s="28" t="str">
        <f>MID(VLOOKUP($A290,Seqs!$A:$B,2,FALSE),VLOOKUP($A290,'SegEnds_NonXtal_Prot#'!$A:$AL,28,FALSE)-4,1)</f>
        <v>V</v>
      </c>
      <c r="AH290" s="49" t="str">
        <f>MID(VLOOKUP($A290,Seqs!$A:$B,2,FALSE),VLOOKUP($A290,'SegEnds_NonXtal_Prot#'!$A:$AL,28,FALSE),1)</f>
        <v>L</v>
      </c>
    </row>
    <row r="291" spans="1:34" s="2" customFormat="1" x14ac:dyDescent="0.2">
      <c r="A291" s="2" t="s">
        <v>377</v>
      </c>
      <c r="B291" s="2" t="str">
        <f>LOWER(VLOOKUP(A291,Xtal_Templ!A:B,2,FALSE))</f>
        <v>s1pr1_human</v>
      </c>
      <c r="C291" s="2" t="str">
        <f>VLOOKUP(A291,Classification!A:D,2,FALSE)</f>
        <v>A</v>
      </c>
      <c r="D291" s="2" t="str">
        <f>IF(ISERROR(MATCH(A291,'SegEnds_Xtal_Prot#'!B:B, 0)), "NoXtal", "Xtal")</f>
        <v>NoXtal</v>
      </c>
      <c r="H291" s="4"/>
      <c r="I291" s="2" t="s">
        <v>21</v>
      </c>
      <c r="T291" s="4" t="s">
        <v>12</v>
      </c>
      <c r="V291" s="28" t="str">
        <f>MID(VLOOKUP($A291,Seqs!$A:$B,2,FALSE),VLOOKUP($A291,'SegEnds_NonXtal_Prot#'!A:AL,10,FALSE),1)</f>
        <v>D</v>
      </c>
      <c r="W291" s="49" t="str">
        <f>MID(VLOOKUP($A291,Seqs!$A:$B,2,FALSE),VLOOKUP($A291,'SegEnds_NonXtal_Prot#'!A:AL,10,FALSE)+6,1)</f>
        <v>A</v>
      </c>
      <c r="X291" s="49" t="str">
        <f>MID(VLOOKUP($A291,Seqs!$A:$B,2,FALSE),VLOOKUP($A291,'SegEnds_NonXtal_Prot#'!A:AL,10,FALSE)+7,1)</f>
        <v>F</v>
      </c>
      <c r="Y291" s="49" t="str">
        <f>MID(VLOOKUP($A291,Seqs!$A:$B,2,FALSE),VLOOKUP($A291,'SegEnds_NonXtal_Prot#'!A:AL,10,FALSE)+8,1)</f>
        <v>V</v>
      </c>
      <c r="Z291" s="49" t="str">
        <f>MID(VLOOKUP($A291,Seqs!$A:$B,2,FALSE),VLOOKUP($A291,'SegEnds_NonXtal_Prot#'!A:AL,10,FALSE)+9,1)</f>
        <v>A</v>
      </c>
      <c r="AA291" s="49" t="str">
        <f>MID(VLOOKUP($A291,Seqs!$A:$B,2,FALSE),VLOOKUP($A291,'SegEnds_NonXtal_Prot#'!A:AL,10,FALSE)+10,1)</f>
        <v>N</v>
      </c>
      <c r="AB291" s="28" t="str">
        <f>MID(VLOOKUP($A291,Seqs!$A:$B,2,FALSE),VLOOKUP($A291,'SegEnds_NonXtal_Prot#'!$A:$AL,22,FALSE)+6,1)</f>
        <v>L</v>
      </c>
      <c r="AC291" s="49" t="str">
        <f>MID(VLOOKUP($A291,Seqs!$A:$B,2,FALSE),VLOOKUP($A291,'SegEnds_NonXtal_Prot#'!$A:$AL,22,FALSE)+7,1)</f>
        <v>G</v>
      </c>
      <c r="AD291" s="49" t="str">
        <f>MID(VLOOKUP($A291,Seqs!$A:$B,2,FALSE),VLOOKUP($A291,'SegEnds_NonXtal_Prot#'!$A:$AL,22,FALSE)+8,1)</f>
        <v>G</v>
      </c>
      <c r="AE291" s="49" t="str">
        <f>MID(VLOOKUP($A291,Seqs!$A:$B,2,FALSE),VLOOKUP($A291,'SegEnds_NonXtal_Prot#'!$A:$AL,22,FALSE)+9,1)</f>
        <v>L</v>
      </c>
      <c r="AF291" s="49" t="str">
        <f>MID(VLOOKUP($A291,Seqs!$A:$B,2,FALSE),VLOOKUP($A291,'SegEnds_NonXtal_Prot#'!$A:$AL,22,FALSE)+10,1)</f>
        <v>P</v>
      </c>
      <c r="AG291" s="28" t="str">
        <f>MID(VLOOKUP($A291,Seqs!$A:$B,2,FALSE),VLOOKUP($A291,'SegEnds_NonXtal_Prot#'!$A:$AL,28,FALSE)-4,1)</f>
        <v>I</v>
      </c>
      <c r="AH291" s="49" t="str">
        <f>MID(VLOOKUP($A291,Seqs!$A:$B,2,FALSE),VLOOKUP($A291,'SegEnds_NonXtal_Prot#'!$A:$AL,28,FALSE),1)</f>
        <v>I</v>
      </c>
    </row>
    <row r="292" spans="1:34" s="2" customFormat="1" x14ac:dyDescent="0.2">
      <c r="A292" s="2" t="s">
        <v>378</v>
      </c>
      <c r="B292" s="2" t="str">
        <f>LOWER(VLOOKUP(A292,Xtal_Templ!A:B,2,FALSE))</f>
        <v>s1pr1_human</v>
      </c>
      <c r="C292" s="2" t="str">
        <f>VLOOKUP(A292,Classification!A:D,2,FALSE)</f>
        <v>A</v>
      </c>
      <c r="D292" s="2" t="str">
        <f>IF(ISERROR(MATCH(A292,'SegEnds_Xtal_Prot#'!B:B, 0)), "NoXtal", "Xtal")</f>
        <v>NoXtal</v>
      </c>
      <c r="H292" s="4"/>
      <c r="I292" s="2" t="s">
        <v>21</v>
      </c>
      <c r="T292" s="4" t="s">
        <v>12</v>
      </c>
      <c r="V292" s="28" t="str">
        <f>MID(VLOOKUP($A292,Seqs!$A:$B,2,FALSE),VLOOKUP($A292,'SegEnds_NonXtal_Prot#'!A:AL,10,FALSE),1)</f>
        <v>D</v>
      </c>
      <c r="W292" s="49" t="str">
        <f>MID(VLOOKUP($A292,Seqs!$A:$B,2,FALSE),VLOOKUP($A292,'SegEnds_NonXtal_Prot#'!A:AL,10,FALSE)+6,1)</f>
        <v>A</v>
      </c>
      <c r="X292" s="49" t="str">
        <f>MID(VLOOKUP($A292,Seqs!$A:$B,2,FALSE),VLOOKUP($A292,'SegEnds_NonXtal_Prot#'!A:AL,10,FALSE)+7,1)</f>
        <v>Y</v>
      </c>
      <c r="Y292" s="49" t="str">
        <f>MID(VLOOKUP($A292,Seqs!$A:$B,2,FALSE),VLOOKUP($A292,'SegEnds_NonXtal_Prot#'!A:AL,10,FALSE)+8,1)</f>
        <v>K</v>
      </c>
      <c r="Z292" s="49" t="str">
        <f>MID(VLOOKUP($A292,Seqs!$A:$B,2,FALSE),VLOOKUP($A292,'SegEnds_NonXtal_Prot#'!A:AL,10,FALSE)+9,1)</f>
        <v>V</v>
      </c>
      <c r="AA292" s="49" t="str">
        <f>MID(VLOOKUP($A292,Seqs!$A:$B,2,FALSE),VLOOKUP($A292,'SegEnds_NonXtal_Prot#'!A:AL,10,FALSE)+10,1)</f>
        <v>N</v>
      </c>
      <c r="AB292" s="28" t="str">
        <f>MID(VLOOKUP($A292,Seqs!$A:$B,2,FALSE),VLOOKUP($A292,'SegEnds_NonXtal_Prot#'!$A:$AL,22,FALSE)+6,1)</f>
        <v>L</v>
      </c>
      <c r="AC292" s="49" t="str">
        <f>MID(VLOOKUP($A292,Seqs!$A:$B,2,FALSE),VLOOKUP($A292,'SegEnds_NonXtal_Prot#'!$A:$AL,22,FALSE)+7,1)</f>
        <v>G</v>
      </c>
      <c r="AD292" s="49" t="str">
        <f>MID(VLOOKUP($A292,Seqs!$A:$B,2,FALSE),VLOOKUP($A292,'SegEnds_NonXtal_Prot#'!$A:$AL,22,FALSE)+8,1)</f>
        <v>A</v>
      </c>
      <c r="AE292" s="49" t="str">
        <f>MID(VLOOKUP($A292,Seqs!$A:$B,2,FALSE),VLOOKUP($A292,'SegEnds_NonXtal_Prot#'!$A:$AL,22,FALSE)+9,1)</f>
        <v>L</v>
      </c>
      <c r="AF292" s="49" t="str">
        <f>MID(VLOOKUP($A292,Seqs!$A:$B,2,FALSE),VLOOKUP($A292,'SegEnds_NonXtal_Prot#'!$A:$AL,22,FALSE)+10,1)</f>
        <v>P</v>
      </c>
      <c r="AG292" s="28" t="str">
        <f>MID(VLOOKUP($A292,Seqs!$A:$B,2,FALSE),VLOOKUP($A292,'SegEnds_NonXtal_Prot#'!$A:$AL,28,FALSE)-4,1)</f>
        <v>I</v>
      </c>
      <c r="AH292" s="49" t="str">
        <f>MID(VLOOKUP($A292,Seqs!$A:$B,2,FALSE),VLOOKUP($A292,'SegEnds_NonXtal_Prot#'!$A:$AL,28,FALSE),1)</f>
        <v>I</v>
      </c>
    </row>
    <row r="293" spans="1:34" s="2" customFormat="1" x14ac:dyDescent="0.2">
      <c r="A293" s="2" t="s">
        <v>379</v>
      </c>
      <c r="B293" s="2" t="str">
        <f>LOWER(VLOOKUP(A293,Xtal_Templ!A:B,2,FALSE))</f>
        <v>s1pr1_human</v>
      </c>
      <c r="C293" s="2" t="str">
        <f>VLOOKUP(A293,Classification!A:D,2,FALSE)</f>
        <v>A</v>
      </c>
      <c r="D293" s="2" t="str">
        <f>IF(ISERROR(MATCH(A293,'SegEnds_Xtal_Prot#'!B:B, 0)), "NoXtal", "Xtal")</f>
        <v>NoXtal</v>
      </c>
      <c r="H293" s="4"/>
      <c r="I293" s="2" t="s">
        <v>21</v>
      </c>
      <c r="T293" s="4" t="s">
        <v>12</v>
      </c>
      <c r="V293" s="28" t="str">
        <f>MID(VLOOKUP($A293,Seqs!$A:$B,2,FALSE),VLOOKUP($A293,'SegEnds_NonXtal_Prot#'!A:AL,10,FALSE),1)</f>
        <v>D</v>
      </c>
      <c r="W293" s="49" t="str">
        <f>MID(VLOOKUP($A293,Seqs!$A:$B,2,FALSE),VLOOKUP($A293,'SegEnds_NonXtal_Prot#'!A:AL,10,FALSE)+6,1)</f>
        <v>A</v>
      </c>
      <c r="X293" s="49" t="str">
        <f>MID(VLOOKUP($A293,Seqs!$A:$B,2,FALSE),VLOOKUP($A293,'SegEnds_NonXtal_Prot#'!A:AL,10,FALSE)+7,1)</f>
        <v>Y</v>
      </c>
      <c r="Y293" s="49" t="str">
        <f>MID(VLOOKUP($A293,Seqs!$A:$B,2,FALSE),VLOOKUP($A293,'SegEnds_NonXtal_Prot#'!A:AL,10,FALSE)+8,1)</f>
        <v>L</v>
      </c>
      <c r="Z293" s="49" t="str">
        <f>MID(VLOOKUP($A293,Seqs!$A:$B,2,FALSE),VLOOKUP($A293,'SegEnds_NonXtal_Prot#'!A:AL,10,FALSE)+9,1)</f>
        <v>A</v>
      </c>
      <c r="AA293" s="49" t="str">
        <f>MID(VLOOKUP($A293,Seqs!$A:$B,2,FALSE),VLOOKUP($A293,'SegEnds_NonXtal_Prot#'!A:AL,10,FALSE)+10,1)</f>
        <v>N</v>
      </c>
      <c r="AB293" s="28" t="str">
        <f>MID(VLOOKUP($A293,Seqs!$A:$B,2,FALSE),VLOOKUP($A293,'SegEnds_NonXtal_Prot#'!$A:$AL,22,FALSE)+6,1)</f>
        <v>L</v>
      </c>
      <c r="AC293" s="49" t="str">
        <f>MID(VLOOKUP($A293,Seqs!$A:$B,2,FALSE),VLOOKUP($A293,'SegEnds_NonXtal_Prot#'!$A:$AL,22,FALSE)+7,1)</f>
        <v>G</v>
      </c>
      <c r="AD293" s="49" t="str">
        <f>MID(VLOOKUP($A293,Seqs!$A:$B,2,FALSE),VLOOKUP($A293,'SegEnds_NonXtal_Prot#'!$A:$AL,22,FALSE)+8,1)</f>
        <v>M</v>
      </c>
      <c r="AE293" s="49" t="str">
        <f>MID(VLOOKUP($A293,Seqs!$A:$B,2,FALSE),VLOOKUP($A293,'SegEnds_NonXtal_Prot#'!$A:$AL,22,FALSE)+9,1)</f>
        <v>L</v>
      </c>
      <c r="AF293" s="49" t="str">
        <f>MID(VLOOKUP($A293,Seqs!$A:$B,2,FALSE),VLOOKUP($A293,'SegEnds_NonXtal_Prot#'!$A:$AL,22,FALSE)+10,1)</f>
        <v>P</v>
      </c>
      <c r="AG293" s="28" t="str">
        <f>MID(VLOOKUP($A293,Seqs!$A:$B,2,FALSE),VLOOKUP($A293,'SegEnds_NonXtal_Prot#'!$A:$AL,28,FALSE)-4,1)</f>
        <v>I</v>
      </c>
      <c r="AH293" s="49" t="str">
        <f>MID(VLOOKUP($A293,Seqs!$A:$B,2,FALSE),VLOOKUP($A293,'SegEnds_NonXtal_Prot#'!$A:$AL,28,FALSE),1)</f>
        <v>V</v>
      </c>
    </row>
    <row r="294" spans="1:34" s="2" customFormat="1" x14ac:dyDescent="0.2">
      <c r="A294" s="2" t="s">
        <v>380</v>
      </c>
      <c r="B294" s="2" t="str">
        <f>LOWER(VLOOKUP(A294,Xtal_Templ!A:B,2,FALSE))</f>
        <v>s1pr1_human</v>
      </c>
      <c r="C294" s="2" t="str">
        <f>VLOOKUP(A294,Classification!A:D,2,FALSE)</f>
        <v>A</v>
      </c>
      <c r="D294" s="2" t="str">
        <f>IF(ISERROR(MATCH(A294,'SegEnds_Xtal_Prot#'!B:B, 0)), "NoXtal", "Xtal")</f>
        <v>NoXtal</v>
      </c>
      <c r="H294" s="4"/>
      <c r="I294" s="2" t="s">
        <v>21</v>
      </c>
      <c r="T294" s="4" t="s">
        <v>12</v>
      </c>
      <c r="V294" s="28" t="str">
        <f>MID(VLOOKUP($A294,Seqs!$A:$B,2,FALSE),VLOOKUP($A294,'SegEnds_NonXtal_Prot#'!A:AL,10,FALSE),1)</f>
        <v>D</v>
      </c>
      <c r="W294" s="49" t="str">
        <f>MID(VLOOKUP($A294,Seqs!$A:$B,2,FALSE),VLOOKUP($A294,'SegEnds_NonXtal_Prot#'!A:AL,10,FALSE)+6,1)</f>
        <v>A</v>
      </c>
      <c r="X294" s="49" t="str">
        <f>MID(VLOOKUP($A294,Seqs!$A:$B,2,FALSE),VLOOKUP($A294,'SegEnds_NonXtal_Prot#'!A:AL,10,FALSE)+7,1)</f>
        <v>Y</v>
      </c>
      <c r="Y294" s="49" t="str">
        <f>MID(VLOOKUP($A294,Seqs!$A:$B,2,FALSE),VLOOKUP($A294,'SegEnds_NonXtal_Prot#'!A:AL,10,FALSE)+8,1)</f>
        <v>A</v>
      </c>
      <c r="Z294" s="49" t="str">
        <f>MID(VLOOKUP($A294,Seqs!$A:$B,2,FALSE),VLOOKUP($A294,'SegEnds_NonXtal_Prot#'!A:AL,10,FALSE)+9,1)</f>
        <v>A</v>
      </c>
      <c r="AA294" s="49" t="str">
        <f>MID(VLOOKUP($A294,Seqs!$A:$B,2,FALSE),VLOOKUP($A294,'SegEnds_NonXtal_Prot#'!A:AL,10,FALSE)+10,1)</f>
        <v>N</v>
      </c>
      <c r="AB294" s="28" t="str">
        <f>MID(VLOOKUP($A294,Seqs!$A:$B,2,FALSE),VLOOKUP($A294,'SegEnds_NonXtal_Prot#'!$A:$AL,22,FALSE)+6,1)</f>
        <v>L</v>
      </c>
      <c r="AC294" s="49" t="str">
        <f>MID(VLOOKUP($A294,Seqs!$A:$B,2,FALSE),VLOOKUP($A294,'SegEnds_NonXtal_Prot#'!$A:$AL,22,FALSE)+7,1)</f>
        <v>G</v>
      </c>
      <c r="AD294" s="49" t="str">
        <f>MID(VLOOKUP($A294,Seqs!$A:$B,2,FALSE),VLOOKUP($A294,'SegEnds_NonXtal_Prot#'!$A:$AL,22,FALSE)+8,1)</f>
        <v>L</v>
      </c>
      <c r="AE294" s="49" t="str">
        <f>MID(VLOOKUP($A294,Seqs!$A:$B,2,FALSE),VLOOKUP($A294,'SegEnds_NonXtal_Prot#'!$A:$AL,22,FALSE)+9,1)</f>
        <v>L</v>
      </c>
      <c r="AF294" s="49" t="str">
        <f>MID(VLOOKUP($A294,Seqs!$A:$B,2,FALSE),VLOOKUP($A294,'SegEnds_NonXtal_Prot#'!$A:$AL,22,FALSE)+10,1)</f>
        <v>P</v>
      </c>
      <c r="AG294" s="28" t="str">
        <f>MID(VLOOKUP($A294,Seqs!$A:$B,2,FALSE),VLOOKUP($A294,'SegEnds_NonXtal_Prot#'!$A:$AL,28,FALSE)-4,1)</f>
        <v>A</v>
      </c>
      <c r="AH294" s="49" t="str">
        <f>MID(VLOOKUP($A294,Seqs!$A:$B,2,FALSE),VLOOKUP($A294,'SegEnds_NonXtal_Prot#'!$A:$AL,28,FALSE),1)</f>
        <v>I</v>
      </c>
    </row>
    <row r="295" spans="1:34" s="2" customFormat="1" x14ac:dyDescent="0.2">
      <c r="A295" s="2" t="s">
        <v>473</v>
      </c>
      <c r="B295" s="2" t="str">
        <f>LOWER(VLOOKUP(A295,Xtal_Templ!A:B,2,FALSE))</f>
        <v>pe2r3_human</v>
      </c>
      <c r="C295" s="2" t="str">
        <f>VLOOKUP(A295,Classification!A:D,2,FALSE)</f>
        <v>A</v>
      </c>
      <c r="D295" s="2" t="str">
        <f>IF(ISERROR(MATCH(A295,'SegEnds_Xtal_Prot#'!B:B, 0)), "NoXtal", "Xtal")</f>
        <v>NoXtal</v>
      </c>
      <c r="H295" s="4"/>
      <c r="T295" s="4" t="s">
        <v>12</v>
      </c>
      <c r="V295" s="28" t="str">
        <f>MID(VLOOKUP($A295,Seqs!$A:$B,2,FALSE),VLOOKUP($A295,'SegEnds_NonXtal_Prot#'!A:AL,10,FALSE),1)</f>
        <v>D</v>
      </c>
      <c r="W295" s="49" t="str">
        <f>MID(VLOOKUP($A295,Seqs!$A:$B,2,FALSE),VLOOKUP($A295,'SegEnds_NonXtal_Prot#'!A:AL,10,FALSE)+6,1)</f>
        <v>V</v>
      </c>
      <c r="X295" s="49" t="str">
        <f>MID(VLOOKUP($A295,Seqs!$A:$B,2,FALSE),VLOOKUP($A295,'SegEnds_NonXtal_Prot#'!A:AL,10,FALSE)+7,1)</f>
        <v>T</v>
      </c>
      <c r="Y295" s="49" t="str">
        <f>MID(VLOOKUP($A295,Seqs!$A:$B,2,FALSE),VLOOKUP($A295,'SegEnds_NonXtal_Prot#'!A:AL,10,FALSE)+8,1)</f>
        <v>G</v>
      </c>
      <c r="Z295" s="49" t="str">
        <f>MID(VLOOKUP($A295,Seqs!$A:$B,2,FALSE),VLOOKUP($A295,'SegEnds_NonXtal_Prot#'!A:AL,10,FALSE)+9,1)</f>
        <v>T</v>
      </c>
      <c r="AA295" s="49" t="str">
        <f>MID(VLOOKUP($A295,Seqs!$A:$B,2,FALSE),VLOOKUP($A295,'SegEnds_NonXtal_Prot#'!A:AL,10,FALSE)+10,1)</f>
        <v>I</v>
      </c>
      <c r="AB295" s="28" t="str">
        <f>MID(VLOOKUP($A295,Seqs!$A:$B,2,FALSE),VLOOKUP($A295,'SegEnds_NonXtal_Prot#'!$A:$AL,22,FALSE)+6,1)</f>
        <v>L</v>
      </c>
      <c r="AC295" s="49" t="str">
        <f>MID(VLOOKUP($A295,Seqs!$A:$B,2,FALSE),VLOOKUP($A295,'SegEnds_NonXtal_Prot#'!$A:$AL,22,FALSE)+7,1)</f>
        <v>G</v>
      </c>
      <c r="AD295" s="49" t="str">
        <f>MID(VLOOKUP($A295,Seqs!$A:$B,2,FALSE),VLOOKUP($A295,'SegEnds_NonXtal_Prot#'!$A:$AL,22,FALSE)+8,1)</f>
        <v>L</v>
      </c>
      <c r="AE295" s="49" t="str">
        <f>MID(VLOOKUP($A295,Seqs!$A:$B,2,FALSE),VLOOKUP($A295,'SegEnds_NonXtal_Prot#'!$A:$AL,22,FALSE)+9,1)</f>
        <v>L</v>
      </c>
      <c r="AF295" s="49" t="str">
        <f>MID(VLOOKUP($A295,Seqs!$A:$B,2,FALSE),VLOOKUP($A295,'SegEnds_NonXtal_Prot#'!$A:$AL,22,FALSE)+10,1)</f>
        <v>P</v>
      </c>
      <c r="AG295" s="28" t="str">
        <f>MID(VLOOKUP($A295,Seqs!$A:$B,2,FALSE),VLOOKUP($A295,'SegEnds_NonXtal_Prot#'!$A:$AL,28,FALSE)-4,1)</f>
        <v>L</v>
      </c>
      <c r="AH295" s="49" t="str">
        <f>MID(VLOOKUP($A295,Seqs!$A:$B,2,FALSE),VLOOKUP($A295,'SegEnds_NonXtal_Prot#'!$A:$AL,28,FALSE),1)</f>
        <v>S</v>
      </c>
    </row>
    <row r="296" spans="1:34" s="2" customFormat="1" x14ac:dyDescent="0.2">
      <c r="A296" s="2" t="s">
        <v>221</v>
      </c>
      <c r="B296" s="2" t="str">
        <f>LOWER(VLOOKUP(A296,Xtal_Templ!A:B,2,FALSE))</f>
        <v>s1pr1_human</v>
      </c>
      <c r="C296" s="2" t="str">
        <f>VLOOKUP(A296,Classification!A:D,2,FALSE)</f>
        <v>A</v>
      </c>
      <c r="D296" s="2" t="str">
        <f>IF(ISERROR(MATCH(A296,'SegEnds_Xtal_Prot#'!B:B, 0)), "NoXtal", "Xtal")</f>
        <v>NoXtal</v>
      </c>
      <c r="H296" s="4"/>
      <c r="R296" s="2" t="s">
        <v>9</v>
      </c>
      <c r="T296" s="4" t="s">
        <v>12</v>
      </c>
      <c r="V296" s="28" t="str">
        <f>MID(VLOOKUP($A296,Seqs!$A:$B,2,FALSE),VLOOKUP($A296,'SegEnds_NonXtal_Prot#'!A:AL,10,FALSE),1)</f>
        <v>Q</v>
      </c>
      <c r="W296" s="49" t="str">
        <f>MID(VLOOKUP($A296,Seqs!$A:$B,2,FALSE),VLOOKUP($A296,'SegEnds_NonXtal_Prot#'!A:AL,10,FALSE)+6,1)</f>
        <v>S</v>
      </c>
      <c r="X296" s="49" t="str">
        <f>MID(VLOOKUP($A296,Seqs!$A:$B,2,FALSE),VLOOKUP($A296,'SegEnds_NonXtal_Prot#'!A:AL,10,FALSE)+7,1)</f>
        <v>M</v>
      </c>
      <c r="Y296" s="49" t="str">
        <f>MID(VLOOKUP($A296,Seqs!$A:$B,2,FALSE),VLOOKUP($A296,'SegEnds_NonXtal_Prot#'!A:AL,10,FALSE)+8,1)</f>
        <v>L</v>
      </c>
      <c r="Z296" s="49" t="str">
        <f>MID(VLOOKUP($A296,Seqs!$A:$B,2,FALSE),VLOOKUP($A296,'SegEnds_NonXtal_Prot#'!A:AL,10,FALSE)+9,1)</f>
        <v>V</v>
      </c>
      <c r="AA296" s="49" t="str">
        <f>MID(VLOOKUP($A296,Seqs!$A:$B,2,FALSE),VLOOKUP($A296,'SegEnds_NonXtal_Prot#'!A:AL,10,FALSE)+10,1)</f>
        <v>A</v>
      </c>
      <c r="AB296" s="28" t="str">
        <f>MID(VLOOKUP($A296,Seqs!$A:$B,2,FALSE),VLOOKUP($A296,'SegEnds_NonXtal_Prot#'!$A:$AL,22,FALSE)+6,1)</f>
        <v>L</v>
      </c>
      <c r="AC296" s="49" t="str">
        <f>MID(VLOOKUP($A296,Seqs!$A:$B,2,FALSE),VLOOKUP($A296,'SegEnds_NonXtal_Prot#'!$A:$AL,22,FALSE)+7,1)</f>
        <v>S</v>
      </c>
      <c r="AD296" s="49" t="str">
        <f>MID(VLOOKUP($A296,Seqs!$A:$B,2,FALSE),VLOOKUP($A296,'SegEnds_NonXtal_Prot#'!$A:$AL,22,FALSE)+8,1)</f>
        <v>A</v>
      </c>
      <c r="AE296" s="49" t="str">
        <f>MID(VLOOKUP($A296,Seqs!$A:$B,2,FALSE),VLOOKUP($A296,'SegEnds_NonXtal_Prot#'!$A:$AL,22,FALSE)+9,1)</f>
        <v>L</v>
      </c>
      <c r="AF296" s="49" t="str">
        <f>MID(VLOOKUP($A296,Seqs!$A:$B,2,FALSE),VLOOKUP($A296,'SegEnds_NonXtal_Prot#'!$A:$AL,22,FALSE)+10,1)</f>
        <v>P</v>
      </c>
      <c r="AG296" s="28" t="str">
        <f>MID(VLOOKUP($A296,Seqs!$A:$B,2,FALSE),VLOOKUP($A296,'SegEnds_NonXtal_Prot#'!$A:$AL,28,FALSE)-4,1)</f>
        <v>G</v>
      </c>
      <c r="AH296" s="49" t="str">
        <f>MID(VLOOKUP($A296,Seqs!$A:$B,2,FALSE),VLOOKUP($A296,'SegEnds_NonXtal_Prot#'!$A:$AL,28,FALSE),1)</f>
        <v>P</v>
      </c>
    </row>
    <row r="297" spans="1:34" s="2" customFormat="1" x14ac:dyDescent="0.2">
      <c r="A297" s="2" t="s">
        <v>924</v>
      </c>
      <c r="B297" s="2" t="str">
        <f>LOWER(VLOOKUP(A297,Xtal_Templ!A:B,2,FALSE))</f>
        <v>us28_hcmva</v>
      </c>
      <c r="C297" s="2" t="str">
        <f>VLOOKUP(A297,Classification!A:D,2,FALSE)</f>
        <v>A</v>
      </c>
      <c r="D297" s="2" t="str">
        <f>IF(ISERROR(MATCH(A297,'SegEnds_Xtal_Prot#'!B:B, 0)), "NoXtal", "Xtal")</f>
        <v>Xtal</v>
      </c>
      <c r="H297" s="4"/>
      <c r="N297" s="2" t="s">
        <v>14</v>
      </c>
      <c r="R297" s="2" t="s">
        <v>9</v>
      </c>
      <c r="T297" s="4" t="s">
        <v>12</v>
      </c>
      <c r="V297" s="28" t="str">
        <f>MID(VLOOKUP($A297,Seqs!$A:$B,2,FALSE),VLOOKUP($A297,'SegEnds_NonXtal_Prot#'!A:AL,10,FALSE),1)</f>
        <v>D</v>
      </c>
      <c r="W297" s="49" t="str">
        <f>MID(VLOOKUP($A297,Seqs!$A:$B,2,FALSE),VLOOKUP($A297,'SegEnds_NonXtal_Prot#'!A:AL,10,FALSE)+6,1)</f>
        <v>T</v>
      </c>
      <c r="X297" s="49" t="str">
        <f>MID(VLOOKUP($A297,Seqs!$A:$B,2,FALSE),VLOOKUP($A297,'SegEnds_NonXtal_Prot#'!A:AL,10,FALSE)+7,1)</f>
        <v>L</v>
      </c>
      <c r="Y297" s="49" t="str">
        <f>MID(VLOOKUP($A297,Seqs!$A:$B,2,FALSE),VLOOKUP($A297,'SegEnds_NonXtal_Prot#'!A:AL,10,FALSE)+8,1)</f>
        <v>P</v>
      </c>
      <c r="Z297" s="49" t="str">
        <f>MID(VLOOKUP($A297,Seqs!$A:$B,2,FALSE),VLOOKUP($A297,'SegEnds_NonXtal_Prot#'!A:AL,10,FALSE)+9,1)</f>
        <v>L</v>
      </c>
      <c r="AA297" s="49" t="str">
        <f>MID(VLOOKUP($A297,Seqs!$A:$B,2,FALSE),VLOOKUP($A297,'SegEnds_NonXtal_Prot#'!A:AL,10,FALSE)+10,1)</f>
        <v>W</v>
      </c>
      <c r="AB297" s="28" t="str">
        <f>MID(VLOOKUP($A297,Seqs!$A:$B,2,FALSE),VLOOKUP($A297,'SegEnds_NonXtal_Prot#'!$A:$AL,22,FALSE)+6,1)</f>
        <v>I</v>
      </c>
      <c r="AC297" s="49" t="str">
        <f>MID(VLOOKUP($A297,Seqs!$A:$B,2,FALSE),VLOOKUP($A297,'SegEnds_NonXtal_Prot#'!$A:$AL,22,FALSE)+7,1)</f>
        <v>A</v>
      </c>
      <c r="AD297" s="49" t="str">
        <f>MID(VLOOKUP($A297,Seqs!$A:$B,2,FALSE),VLOOKUP($A297,'SegEnds_NonXtal_Prot#'!$A:$AL,22,FALSE)+8,1)</f>
        <v>I</v>
      </c>
      <c r="AE297" s="49" t="str">
        <f>MID(VLOOKUP($A297,Seqs!$A:$B,2,FALSE),VLOOKUP($A297,'SegEnds_NonXtal_Prot#'!$A:$AL,22,FALSE)+9,1)</f>
        <v>P</v>
      </c>
      <c r="AF297" s="49" t="str">
        <f>MID(VLOOKUP($A297,Seqs!$A:$B,2,FALSE),VLOOKUP($A297,'SegEnds_NonXtal_Prot#'!$A:$AL,22,FALSE)+10,1)</f>
        <v>H</v>
      </c>
      <c r="AG297" s="28" t="str">
        <f>MID(VLOOKUP($A297,Seqs!$A:$B,2,FALSE),VLOOKUP($A297,'SegEnds_NonXtal_Prot#'!$A:$AL,28,FALSE)-4,1)</f>
        <v>A</v>
      </c>
      <c r="AH297" s="49" t="str">
        <f>MID(VLOOKUP($A297,Seqs!$A:$B,2,FALSE),VLOOKUP($A297,'SegEnds_NonXtal_Prot#'!$A:$AL,28,FALSE),1)</f>
        <v>P</v>
      </c>
    </row>
    <row r="298" spans="1:34" s="2" customFormat="1" x14ac:dyDescent="0.2">
      <c r="A298" s="2" t="s">
        <v>1524</v>
      </c>
      <c r="B298" s="2" t="str">
        <f>LOWER(VLOOKUP(A298,Xtal_Templ!A:B,2,FALSE))</f>
        <v>q80km9_hcmv</v>
      </c>
      <c r="C298" s="2" t="str">
        <f>VLOOKUP(A298,Classification!A:D,2,FALSE)</f>
        <v>A</v>
      </c>
      <c r="D298" s="2" t="str">
        <f>IF(ISERROR(MATCH(A298,'SegEnds_Xtal_Prot#'!B:B, 0)), "NoXtal", "Xtal")</f>
        <v>Xtal</v>
      </c>
      <c r="H298" s="4"/>
      <c r="N298" s="2" t="s">
        <v>14</v>
      </c>
      <c r="R298" s="2" t="s">
        <v>9</v>
      </c>
      <c r="T298" s="4" t="s">
        <v>12</v>
      </c>
      <c r="V298" s="28" t="str">
        <f>MID(VLOOKUP($A298,Seqs!$A:$B,2,FALSE),VLOOKUP($A298,'SegEnds_NonXtal_Prot#'!A:AL,10,FALSE),1)</f>
        <v>D</v>
      </c>
      <c r="W298" s="49" t="str">
        <f>MID(VLOOKUP($A298,Seqs!$A:$B,2,FALSE),VLOOKUP($A298,'SegEnds_NonXtal_Prot#'!A:AL,10,FALSE)+6,1)</f>
        <v>T</v>
      </c>
      <c r="X298" s="49" t="str">
        <f>MID(VLOOKUP($A298,Seqs!$A:$B,2,FALSE),VLOOKUP($A298,'SegEnds_NonXtal_Prot#'!A:AL,10,FALSE)+7,1)</f>
        <v>L</v>
      </c>
      <c r="Y298" s="49" t="str">
        <f>MID(VLOOKUP($A298,Seqs!$A:$B,2,FALSE),VLOOKUP($A298,'SegEnds_NonXtal_Prot#'!A:AL,10,FALSE)+8,1)</f>
        <v>P</v>
      </c>
      <c r="Z298" s="49" t="str">
        <f>MID(VLOOKUP($A298,Seqs!$A:$B,2,FALSE),VLOOKUP($A298,'SegEnds_NonXtal_Prot#'!A:AL,10,FALSE)+9,1)</f>
        <v>L</v>
      </c>
      <c r="AA298" s="49" t="str">
        <f>MID(VLOOKUP($A298,Seqs!$A:$B,2,FALSE),VLOOKUP($A298,'SegEnds_NonXtal_Prot#'!A:AL,10,FALSE)+10,1)</f>
        <v>W</v>
      </c>
      <c r="AB298" s="28" t="str">
        <f>MID(VLOOKUP($A298,Seqs!$A:$B,2,FALSE),VLOOKUP($A298,'SegEnds_NonXtal_Prot#'!$A:$AL,22,FALSE)+6,1)</f>
        <v>I</v>
      </c>
      <c r="AC298" s="49" t="str">
        <f>MID(VLOOKUP($A298,Seqs!$A:$B,2,FALSE),VLOOKUP($A298,'SegEnds_NonXtal_Prot#'!$A:$AL,22,FALSE)+7,1)</f>
        <v>A</v>
      </c>
      <c r="AD298" s="49" t="str">
        <f>MID(VLOOKUP($A298,Seqs!$A:$B,2,FALSE),VLOOKUP($A298,'SegEnds_NonXtal_Prot#'!$A:$AL,22,FALSE)+8,1)</f>
        <v>I</v>
      </c>
      <c r="AE298" s="49" t="str">
        <f>MID(VLOOKUP($A298,Seqs!$A:$B,2,FALSE),VLOOKUP($A298,'SegEnds_NonXtal_Prot#'!$A:$AL,22,FALSE)+9,1)</f>
        <v>P</v>
      </c>
      <c r="AF298" s="49" t="str">
        <f>MID(VLOOKUP($A298,Seqs!$A:$B,2,FALSE),VLOOKUP($A298,'SegEnds_NonXtal_Prot#'!$A:$AL,22,FALSE)+10,1)</f>
        <v>H</v>
      </c>
      <c r="AG298" s="28" t="str">
        <f>MID(VLOOKUP($A298,Seqs!$A:$B,2,FALSE),VLOOKUP($A298,'SegEnds_NonXtal_Prot#'!$A:$AL,28,FALSE)-4,1)</f>
        <v>A</v>
      </c>
      <c r="AH298" s="49" t="str">
        <f>MID(VLOOKUP($A298,Seqs!$A:$B,2,FALSE),VLOOKUP($A298,'SegEnds_NonXtal_Prot#'!$A:$AL,28,FALSE),1)</f>
        <v>P</v>
      </c>
    </row>
    <row r="299" spans="1:34" s="2" customFormat="1" x14ac:dyDescent="0.2">
      <c r="A299" s="2" t="s">
        <v>401</v>
      </c>
      <c r="B299" s="2" t="str">
        <f>LOWER(VLOOKUP(A299,Xtal_Templ!A:B,2,FALSE))</f>
        <v>calcr_human</v>
      </c>
      <c r="C299" s="2" t="str">
        <f>VLOOKUP(A299,Classification!A:D,2,FALSE)</f>
        <v>B1</v>
      </c>
      <c r="D299" s="2" t="str">
        <f>IF(ISERROR(MATCH(A299,'SegEnds_Xtal_Prot#'!B:B, 0)), "NoXtal", "Xtal")</f>
        <v>Xtal</v>
      </c>
      <c r="H299" s="4"/>
      <c r="J299" s="106" t="s">
        <v>25</v>
      </c>
      <c r="P299" s="2" t="s">
        <v>1329</v>
      </c>
      <c r="T299" s="4" t="s">
        <v>12</v>
      </c>
      <c r="V299" s="28" t="str">
        <f>MID(VLOOKUP($A299,Seqs!$A:$B,2,FALSE),VLOOKUP($A299,'SegEnds_NonXtal_Prot#'!A:AL,10,FALSE),1)</f>
        <v>Y</v>
      </c>
      <c r="W299" s="49" t="str">
        <f>MID(VLOOKUP($A299,Seqs!$A:$B,2,FALSE),VLOOKUP($A299,'SegEnds_NonXtal_Prot#'!A:AL,10,FALSE)+6,1)</f>
        <v>I</v>
      </c>
      <c r="X299" s="49" t="str">
        <f>MID(VLOOKUP($A299,Seqs!$A:$B,2,FALSE),VLOOKUP($A299,'SegEnds_NonXtal_Prot#'!A:AL,10,FALSE)+7,1)</f>
        <v>I</v>
      </c>
      <c r="Y299" s="49" t="str">
        <f>MID(VLOOKUP($A299,Seqs!$A:$B,2,FALSE),VLOOKUP($A299,'SegEnds_NonXtal_Prot#'!A:AL,10,FALSE)+8,1)</f>
        <v>I</v>
      </c>
      <c r="Z299" s="49" t="str">
        <f>MID(VLOOKUP($A299,Seqs!$A:$B,2,FALSE),VLOOKUP($A299,'SegEnds_NonXtal_Prot#'!A:AL,10,FALSE)+9,1)</f>
        <v>I</v>
      </c>
      <c r="AA299" s="49" t="str">
        <f>MID(VLOOKUP($A299,Seqs!$A:$B,2,FALSE),VLOOKUP($A299,'SegEnds_NonXtal_Prot#'!A:AL,10,FALSE)+10,1)</f>
        <v>H</v>
      </c>
      <c r="AB299" s="28" t="str">
        <f>MID(VLOOKUP($A299,Seqs!$A:$B,2,FALSE),VLOOKUP($A299,'SegEnds_NonXtal_Prot#'!$A:$AL,22,FALSE)+6,1)</f>
        <v>P</v>
      </c>
      <c r="AC299" s="49" t="str">
        <f>MID(VLOOKUP($A299,Seqs!$A:$B,2,FALSE),VLOOKUP($A299,'SegEnds_NonXtal_Prot#'!$A:$AL,22,FALSE)+7,1)</f>
        <v>T</v>
      </c>
      <c r="AD299" s="49" t="str">
        <f>MID(VLOOKUP($A299,Seqs!$A:$B,2,FALSE),VLOOKUP($A299,'SegEnds_NonXtal_Prot#'!$A:$AL,22,FALSE)+8,1)</f>
        <v>T</v>
      </c>
      <c r="AE299" s="49" t="str">
        <f>MID(VLOOKUP($A299,Seqs!$A:$B,2,FALSE),VLOOKUP($A299,'SegEnds_NonXtal_Prot#'!$A:$AL,22,FALSE)+9,1)</f>
        <v>I</v>
      </c>
      <c r="AF299" s="49" t="str">
        <f>MID(VLOOKUP($A299,Seqs!$A:$B,2,FALSE),VLOOKUP($A299,'SegEnds_NonXtal_Prot#'!$A:$AL,22,FALSE)+10,1)</f>
        <v>H</v>
      </c>
      <c r="AG299" s="28" t="str">
        <f>MID(VLOOKUP($A299,Seqs!$A:$B,2,FALSE),VLOOKUP($A299,'SegEnds_NonXtal_Prot#'!$A:$AL,28,FALSE)-4,1)</f>
        <v>P</v>
      </c>
      <c r="AH299" s="49" t="str">
        <f>MID(VLOOKUP($A299,Seqs!$A:$B,2,FALSE),VLOOKUP($A299,'SegEnds_NonXtal_Prot#'!$A:$AL,28,FALSE),1)</f>
        <v>A</v>
      </c>
    </row>
    <row r="300" spans="1:34" s="2" customFormat="1" x14ac:dyDescent="0.2">
      <c r="A300" s="2" t="s">
        <v>402</v>
      </c>
      <c r="B300" s="2" t="str">
        <f>LOWER(VLOOKUP(A300,Xtal_Templ!A:B,2,FALSE))</f>
        <v>calrl_human</v>
      </c>
      <c r="C300" s="2" t="str">
        <f>VLOOKUP(A300,Classification!A:D,2,FALSE)</f>
        <v>B1</v>
      </c>
      <c r="D300" s="2" t="str">
        <f>IF(ISERROR(MATCH(A300,'SegEnds_Xtal_Prot#'!B:B, 0)), "NoXtal", "Xtal")</f>
        <v>Xtal</v>
      </c>
      <c r="H300" s="4"/>
      <c r="J300" s="106" t="s">
        <v>25</v>
      </c>
      <c r="P300" s="2" t="s">
        <v>1329</v>
      </c>
      <c r="T300" s="4" t="s">
        <v>12</v>
      </c>
      <c r="V300" s="28" t="str">
        <f>MID(VLOOKUP($A300,Seqs!$A:$B,2,FALSE),VLOOKUP($A300,'SegEnds_NonXtal_Prot#'!A:AL,10,FALSE),1)</f>
        <v>F</v>
      </c>
      <c r="W300" s="49" t="str">
        <f>MID(VLOOKUP($A300,Seqs!$A:$B,2,FALSE),VLOOKUP($A300,'SegEnds_NonXtal_Prot#'!A:AL,10,FALSE)+6,1)</f>
        <v>V</v>
      </c>
      <c r="X300" s="49" t="str">
        <f>MID(VLOOKUP($A300,Seqs!$A:$B,2,FALSE),VLOOKUP($A300,'SegEnds_NonXtal_Prot#'!A:AL,10,FALSE)+7,1)</f>
        <v>T</v>
      </c>
      <c r="Y300" s="49" t="str">
        <f>MID(VLOOKUP($A300,Seqs!$A:$B,2,FALSE),VLOOKUP($A300,'SegEnds_NonXtal_Prot#'!A:AL,10,FALSE)+8,1)</f>
        <v>I</v>
      </c>
      <c r="Z300" s="49" t="str">
        <f>MID(VLOOKUP($A300,Seqs!$A:$B,2,FALSE),VLOOKUP($A300,'SegEnds_NonXtal_Prot#'!A:AL,10,FALSE)+9,1)</f>
        <v>I</v>
      </c>
      <c r="AA300" s="49" t="str">
        <f>MID(VLOOKUP($A300,Seqs!$A:$B,2,FALSE),VLOOKUP($A300,'SegEnds_NonXtal_Prot#'!A:AL,10,FALSE)+10,1)</f>
        <v>H</v>
      </c>
      <c r="AB300" s="28" t="str">
        <f>MID(VLOOKUP($A300,Seqs!$A:$B,2,FALSE),VLOOKUP($A300,'SegEnds_NonXtal_Prot#'!$A:$AL,22,FALSE)+6,1)</f>
        <v>P</v>
      </c>
      <c r="AC300" s="49" t="str">
        <f>MID(VLOOKUP($A300,Seqs!$A:$B,2,FALSE),VLOOKUP($A300,'SegEnds_NonXtal_Prot#'!$A:$AL,22,FALSE)+7,1)</f>
        <v>A</v>
      </c>
      <c r="AD300" s="49" t="str">
        <f>MID(VLOOKUP($A300,Seqs!$A:$B,2,FALSE),VLOOKUP($A300,'SegEnds_NonXtal_Prot#'!$A:$AL,22,FALSE)+8,1)</f>
        <v>C</v>
      </c>
      <c r="AE300" s="49" t="str">
        <f>MID(VLOOKUP($A300,Seqs!$A:$B,2,FALSE),VLOOKUP($A300,'SegEnds_NonXtal_Prot#'!$A:$AL,22,FALSE)+9,1)</f>
        <v>I</v>
      </c>
      <c r="AF300" s="49" t="str">
        <f>MID(VLOOKUP($A300,Seqs!$A:$B,2,FALSE),VLOOKUP($A300,'SegEnds_NonXtal_Prot#'!$A:$AL,22,FALSE)+10,1)</f>
        <v>H</v>
      </c>
      <c r="AG300" s="28" t="str">
        <f>MID(VLOOKUP($A300,Seqs!$A:$B,2,FALSE),VLOOKUP($A300,'SegEnds_NonXtal_Prot#'!$A:$AL,28,FALSE)-4,1)</f>
        <v>P</v>
      </c>
      <c r="AH300" s="49" t="str">
        <f>MID(VLOOKUP($A300,Seqs!$A:$B,2,FALSE),VLOOKUP($A300,'SegEnds_NonXtal_Prot#'!$A:$AL,28,FALSE),1)</f>
        <v>A</v>
      </c>
    </row>
    <row r="301" spans="1:34" s="2" customFormat="1" x14ac:dyDescent="0.2">
      <c r="A301" s="2" t="s">
        <v>38</v>
      </c>
      <c r="B301" s="2" t="str">
        <f>LOWER(VLOOKUP(A301,Xtal_Templ!A:B,2,FALSE))</f>
        <v>crfr1_human</v>
      </c>
      <c r="C301" s="2" t="str">
        <f>VLOOKUP(A301,Classification!A:D,2,FALSE)</f>
        <v>B1</v>
      </c>
      <c r="D301" s="2" t="str">
        <f>IF(ISERROR(MATCH(A301,'SegEnds_Xtal_Prot#'!B:B, 0)), "NoXtal", "Xtal")</f>
        <v>Xtal</v>
      </c>
      <c r="F301" s="49"/>
      <c r="H301" s="4"/>
      <c r="J301" s="52" t="s">
        <v>25</v>
      </c>
      <c r="K301" s="107"/>
      <c r="P301" s="2" t="s">
        <v>1329</v>
      </c>
      <c r="T301" s="4" t="s">
        <v>12</v>
      </c>
      <c r="V301" s="28" t="str">
        <f>MID(VLOOKUP($A301,Seqs!$A:$B,2,FALSE),VLOOKUP($A301,'SegEnds_NonXtal_Prot#'!A:AL,10,FALSE),1)</f>
        <v>F</v>
      </c>
      <c r="W301" s="49" t="str">
        <f>MID(VLOOKUP($A301,Seqs!$A:$B,2,FALSE),VLOOKUP($A301,'SegEnds_NonXtal_Prot#'!A:AL,10,FALSE)+6,1)</f>
        <v>T</v>
      </c>
      <c r="X301" s="49" t="str">
        <f>MID(VLOOKUP($A301,Seqs!$A:$B,2,FALSE),VLOOKUP($A301,'SegEnds_NonXtal_Prot#'!A:AL,10,FALSE)+7,1)</f>
        <v>W</v>
      </c>
      <c r="Y301" s="49" t="str">
        <f>MID(VLOOKUP($A301,Seqs!$A:$B,2,FALSE),VLOOKUP($A301,'SegEnds_NonXtal_Prot#'!A:AL,10,FALSE)+8,1)</f>
        <v>F</v>
      </c>
      <c r="Z301" s="49" t="str">
        <f>MID(VLOOKUP($A301,Seqs!$A:$B,2,FALSE),VLOOKUP($A301,'SegEnds_NonXtal_Prot#'!A:AL,10,FALSE)+9,1)</f>
        <v>V</v>
      </c>
      <c r="AA301" s="49" t="str">
        <f>MID(VLOOKUP($A301,Seqs!$A:$B,2,FALSE),VLOOKUP($A301,'SegEnds_NonXtal_Prot#'!A:AL,10,FALSE)+10,1)</f>
        <v>V</v>
      </c>
      <c r="AB301" s="28" t="str">
        <f>MID(VLOOKUP($A301,Seqs!$A:$B,2,FALSE),VLOOKUP($A301,'SegEnds_NonXtal_Prot#'!$A:$AL,22,FALSE)+6,1)</f>
        <v>I</v>
      </c>
      <c r="AC301" s="49" t="str">
        <f>MID(VLOOKUP($A301,Seqs!$A:$B,2,FALSE),VLOOKUP($A301,'SegEnds_NonXtal_Prot#'!$A:$AL,22,FALSE)+7,1)</f>
        <v>I</v>
      </c>
      <c r="AD301" s="49" t="str">
        <f>MID(VLOOKUP($A301,Seqs!$A:$B,2,FALSE),VLOOKUP($A301,'SegEnds_NonXtal_Prot#'!$A:$AL,22,FALSE)+8,1)</f>
        <v>V</v>
      </c>
      <c r="AE301" s="49" t="str">
        <f>MID(VLOOKUP($A301,Seqs!$A:$B,2,FALSE),VLOOKUP($A301,'SegEnds_NonXtal_Prot#'!$A:$AL,22,FALSE)+9,1)</f>
        <v>A</v>
      </c>
      <c r="AF301" s="49" t="str">
        <f>MID(VLOOKUP($A301,Seqs!$A:$B,2,FALSE),VLOOKUP($A301,'SegEnds_NonXtal_Prot#'!$A:$AL,22,FALSE)+10,1)</f>
        <v>W</v>
      </c>
      <c r="AG301" s="28" t="str">
        <f>MID(VLOOKUP($A301,Seqs!$A:$B,2,FALSE),VLOOKUP($A301,'SegEnds_NonXtal_Prot#'!$A:$AL,28,FALSE)-4,1)</f>
        <v>P</v>
      </c>
      <c r="AH301" s="49" t="str">
        <f>MID(VLOOKUP($A301,Seqs!$A:$B,2,FALSE),VLOOKUP($A301,'SegEnds_NonXtal_Prot#'!$A:$AL,28,FALSE),1)</f>
        <v>V</v>
      </c>
    </row>
    <row r="302" spans="1:34" s="2" customFormat="1" x14ac:dyDescent="0.2">
      <c r="A302" s="2" t="s">
        <v>403</v>
      </c>
      <c r="B302" s="2" t="str">
        <f>LOWER(VLOOKUP(A302,Xtal_Templ!A:B,2,FALSE))</f>
        <v>crfr1_human</v>
      </c>
      <c r="C302" s="2" t="str">
        <f>VLOOKUP(A302,Classification!A:D,2,FALSE)</f>
        <v>B1</v>
      </c>
      <c r="D302" s="2" t="str">
        <f>IF(ISERROR(MATCH(A302,'SegEnds_Xtal_Prot#'!B:B, 0)), "NoXtal", "Xtal")</f>
        <v>NoXtal</v>
      </c>
      <c r="F302" s="49"/>
      <c r="H302" s="4"/>
      <c r="J302" s="106" t="s">
        <v>25</v>
      </c>
      <c r="P302" s="2" t="s">
        <v>1329</v>
      </c>
      <c r="T302" s="4" t="s">
        <v>12</v>
      </c>
      <c r="V302" s="28" t="str">
        <f>MID(VLOOKUP($A302,Seqs!$A:$B,2,FALSE),VLOOKUP($A302,'SegEnds_NonXtal_Prot#'!A:AL,10,FALSE),1)</f>
        <v>F</v>
      </c>
      <c r="W302" s="49" t="str">
        <f>MID(VLOOKUP($A302,Seqs!$A:$B,2,FALSE),VLOOKUP($A302,'SegEnds_NonXtal_Prot#'!A:AL,10,FALSE)+6,1)</f>
        <v>M</v>
      </c>
      <c r="X302" s="49" t="str">
        <f>MID(VLOOKUP($A302,Seqs!$A:$B,2,FALSE),VLOOKUP($A302,'SegEnds_NonXtal_Prot#'!A:AL,10,FALSE)+7,1)</f>
        <v>W</v>
      </c>
      <c r="Y302" s="49" t="str">
        <f>MID(VLOOKUP($A302,Seqs!$A:$B,2,FALSE),VLOOKUP($A302,'SegEnds_NonXtal_Prot#'!A:AL,10,FALSE)+8,1)</f>
        <v>F</v>
      </c>
      <c r="Z302" s="49" t="str">
        <f>MID(VLOOKUP($A302,Seqs!$A:$B,2,FALSE),VLOOKUP($A302,'SegEnds_NonXtal_Prot#'!A:AL,10,FALSE)+9,1)</f>
        <v>L</v>
      </c>
      <c r="AA302" s="49" t="str">
        <f>MID(VLOOKUP($A302,Seqs!$A:$B,2,FALSE),VLOOKUP($A302,'SegEnds_NonXtal_Prot#'!A:AL,10,FALSE)+10,1)</f>
        <v>L</v>
      </c>
      <c r="AB302" s="28" t="str">
        <f>MID(VLOOKUP($A302,Seqs!$A:$B,2,FALSE),VLOOKUP($A302,'SegEnds_NonXtal_Prot#'!$A:$AL,22,FALSE)+6,1)</f>
        <v>I</v>
      </c>
      <c r="AC302" s="49" t="str">
        <f>MID(VLOOKUP($A302,Seqs!$A:$B,2,FALSE),VLOOKUP($A302,'SegEnds_NonXtal_Prot#'!$A:$AL,22,FALSE)+7,1)</f>
        <v>I</v>
      </c>
      <c r="AD302" s="49" t="str">
        <f>MID(VLOOKUP($A302,Seqs!$A:$B,2,FALSE),VLOOKUP($A302,'SegEnds_NonXtal_Prot#'!$A:$AL,22,FALSE)+8,1)</f>
        <v>V</v>
      </c>
      <c r="AE302" s="49" t="str">
        <f>MID(VLOOKUP($A302,Seqs!$A:$B,2,FALSE),VLOOKUP($A302,'SegEnds_NonXtal_Prot#'!$A:$AL,22,FALSE)+9,1)</f>
        <v>A</v>
      </c>
      <c r="AF302" s="49" t="str">
        <f>MID(VLOOKUP($A302,Seqs!$A:$B,2,FALSE),VLOOKUP($A302,'SegEnds_NonXtal_Prot#'!$A:$AL,22,FALSE)+10,1)</f>
        <v>W</v>
      </c>
      <c r="AG302" s="28" t="str">
        <f>MID(VLOOKUP($A302,Seqs!$A:$B,2,FALSE),VLOOKUP($A302,'SegEnds_NonXtal_Prot#'!$A:$AL,28,FALSE)-4,1)</f>
        <v>P</v>
      </c>
      <c r="AH302" s="49" t="str">
        <f>MID(VLOOKUP($A302,Seqs!$A:$B,2,FALSE),VLOOKUP($A302,'SegEnds_NonXtal_Prot#'!$A:$AL,28,FALSE),1)</f>
        <v>V</v>
      </c>
    </row>
    <row r="303" spans="1:34" s="2" customFormat="1" x14ac:dyDescent="0.2">
      <c r="A303" s="2" t="s">
        <v>404</v>
      </c>
      <c r="B303" s="2" t="str">
        <f>LOWER(VLOOKUP(A303,Xtal_Templ!A:B,2,FALSE))</f>
        <v>pth1r_human</v>
      </c>
      <c r="C303" s="2" t="str">
        <f>VLOOKUP(A303,Classification!A:D,2,FALSE)</f>
        <v>B1</v>
      </c>
      <c r="D303" s="2" t="str">
        <f>IF(ISERROR(MATCH(A303,'SegEnds_Xtal_Prot#'!B:B, 0)), "NoXtal", "Xtal")</f>
        <v>NoXtal</v>
      </c>
      <c r="H303" s="4"/>
      <c r="J303" s="106" t="s">
        <v>25</v>
      </c>
      <c r="P303" s="2" t="s">
        <v>1329</v>
      </c>
      <c r="T303" s="4" t="s">
        <v>12</v>
      </c>
      <c r="V303" s="28" t="str">
        <f>MID(VLOOKUP($A303,Seqs!$A:$B,2,FALSE),VLOOKUP($A303,'SegEnds_NonXtal_Prot#'!A:AL,10,FALSE),1)</f>
        <v>F</v>
      </c>
      <c r="W303" s="49" t="str">
        <f>MID(VLOOKUP($A303,Seqs!$A:$B,2,FALSE),VLOOKUP($A303,'SegEnds_NonXtal_Prot#'!A:AL,10,FALSE)+6,1)</f>
        <v>A</v>
      </c>
      <c r="X303" s="49" t="str">
        <f>MID(VLOOKUP($A303,Seqs!$A:$B,2,FALSE),VLOOKUP($A303,'SegEnds_NonXtal_Prot#'!A:AL,10,FALSE)+7,1)</f>
        <v>V</v>
      </c>
      <c r="Y303" s="49" t="str">
        <f>MID(VLOOKUP($A303,Seqs!$A:$B,2,FALSE),VLOOKUP($A303,'SegEnds_NonXtal_Prot#'!A:AL,10,FALSE)+8,1)</f>
        <v>F</v>
      </c>
      <c r="Z303" s="49" t="str">
        <f>MID(VLOOKUP($A303,Seqs!$A:$B,2,FALSE),VLOOKUP($A303,'SegEnds_NonXtal_Prot#'!A:AL,10,FALSE)+9,1)</f>
        <v>L</v>
      </c>
      <c r="AA303" s="49" t="str">
        <f>MID(VLOOKUP($A303,Seqs!$A:$B,2,FALSE),VLOOKUP($A303,'SegEnds_NonXtal_Prot#'!A:AL,10,FALSE)+10,1)</f>
        <v>K</v>
      </c>
      <c r="AB303" s="28" t="str">
        <f>MID(VLOOKUP($A303,Seqs!$A:$B,2,FALSE),VLOOKUP($A303,'SegEnds_NonXtal_Prot#'!$A:$AL,22,FALSE)+6,1)</f>
        <v>F</v>
      </c>
      <c r="AC303" s="49" t="str">
        <f>MID(VLOOKUP($A303,Seqs!$A:$B,2,FALSE),VLOOKUP($A303,'SegEnds_NonXtal_Prot#'!$A:$AL,22,FALSE)+7,1)</f>
        <v>T</v>
      </c>
      <c r="AD303" s="49" t="str">
        <f>MID(VLOOKUP($A303,Seqs!$A:$B,2,FALSE),VLOOKUP($A303,'SegEnds_NonXtal_Prot#'!$A:$AL,22,FALSE)+8,1)</f>
        <v>G</v>
      </c>
      <c r="AE303" s="49" t="str">
        <f>MID(VLOOKUP($A303,Seqs!$A:$B,2,FALSE),VLOOKUP($A303,'SegEnds_NonXtal_Prot#'!$A:$AL,22,FALSE)+9,1)</f>
        <v>T</v>
      </c>
      <c r="AF303" s="49" t="str">
        <f>MID(VLOOKUP($A303,Seqs!$A:$B,2,FALSE),VLOOKUP($A303,'SegEnds_NonXtal_Prot#'!$A:$AL,22,FALSE)+10,1)</f>
        <v>W</v>
      </c>
      <c r="AG303" s="28" t="str">
        <f>MID(VLOOKUP($A303,Seqs!$A:$B,2,FALSE),VLOOKUP($A303,'SegEnds_NonXtal_Prot#'!$A:$AL,28,FALSE)-4,1)</f>
        <v>P</v>
      </c>
      <c r="AH303" s="49" t="str">
        <f>MID(VLOOKUP($A303,Seqs!$A:$B,2,FALSE),VLOOKUP($A303,'SegEnds_NonXtal_Prot#'!$A:$AL,28,FALSE),1)</f>
        <v>S</v>
      </c>
    </row>
    <row r="304" spans="1:34" s="2" customFormat="1" x14ac:dyDescent="0.2">
      <c r="A304" s="2" t="s">
        <v>405</v>
      </c>
      <c r="B304" s="2" t="str">
        <f>LOWER(VLOOKUP(A304,Xtal_Templ!A:B,2,FALSE))</f>
        <v>glr_human</v>
      </c>
      <c r="C304" s="2" t="str">
        <f>VLOOKUP(A304,Classification!A:D,2,FALSE)</f>
        <v>B1</v>
      </c>
      <c r="D304" s="2" t="str">
        <f>IF(ISERROR(MATCH(A304,'SegEnds_Xtal_Prot#'!B:B, 0)), "NoXtal", "Xtal")</f>
        <v>NoXtal</v>
      </c>
      <c r="H304" s="4"/>
      <c r="J304" s="106" t="s">
        <v>25</v>
      </c>
      <c r="P304" s="2" t="s">
        <v>1329</v>
      </c>
      <c r="T304" s="4" t="s">
        <v>12</v>
      </c>
      <c r="V304" s="28" t="str">
        <f>MID(VLOOKUP($A304,Seqs!$A:$B,2,FALSE),VLOOKUP($A304,'SegEnds_NonXtal_Prot#'!A:AL,10,FALSE),1)</f>
        <v>F</v>
      </c>
      <c r="W304" s="49" t="str">
        <f>MID(VLOOKUP($A304,Seqs!$A:$B,2,FALSE),VLOOKUP($A304,'SegEnds_NonXtal_Prot#'!A:AL,10,FALSE)+6,1)</f>
        <v>A</v>
      </c>
      <c r="X304" s="49" t="str">
        <f>MID(VLOOKUP($A304,Seqs!$A:$B,2,FALSE),VLOOKUP($A304,'SegEnds_NonXtal_Prot#'!A:AL,10,FALSE)+7,1)</f>
        <v>I</v>
      </c>
      <c r="Y304" s="49" t="str">
        <f>MID(VLOOKUP($A304,Seqs!$A:$B,2,FALSE),VLOOKUP($A304,'SegEnds_NonXtal_Prot#'!A:AL,10,FALSE)+8,1)</f>
        <v>L</v>
      </c>
      <c r="Z304" s="49" t="str">
        <f>MID(VLOOKUP($A304,Seqs!$A:$B,2,FALSE),VLOOKUP($A304,'SegEnds_NonXtal_Prot#'!A:AL,10,FALSE)+9,1)</f>
        <v>S</v>
      </c>
      <c r="AA304" s="49" t="str">
        <f>MID(VLOOKUP($A304,Seqs!$A:$B,2,FALSE),VLOOKUP($A304,'SegEnds_NonXtal_Prot#'!A:AL,10,FALSE)+10,1)</f>
        <v>R</v>
      </c>
      <c r="AB304" s="28" t="str">
        <f>MID(VLOOKUP($A304,Seqs!$A:$B,2,FALSE),VLOOKUP($A304,'SegEnds_NonXtal_Prot#'!$A:$AL,22,FALSE)+6,1)</f>
        <v>F</v>
      </c>
      <c r="AC304" s="49" t="str">
        <f>MID(VLOOKUP($A304,Seqs!$A:$B,2,FALSE),VLOOKUP($A304,'SegEnds_NonXtal_Prot#'!$A:$AL,22,FALSE)+7,1)</f>
        <v>V</v>
      </c>
      <c r="AD304" s="49" t="str">
        <f>MID(VLOOKUP($A304,Seqs!$A:$B,2,FALSE),VLOOKUP($A304,'SegEnds_NonXtal_Prot#'!$A:$AL,22,FALSE)+8,1)</f>
        <v>I</v>
      </c>
      <c r="AE304" s="49" t="str">
        <f>MID(VLOOKUP($A304,Seqs!$A:$B,2,FALSE),VLOOKUP($A304,'SegEnds_NonXtal_Prot#'!$A:$AL,22,FALSE)+9,1)</f>
        <v>P</v>
      </c>
      <c r="AF304" s="49" t="str">
        <f>MID(VLOOKUP($A304,Seqs!$A:$B,2,FALSE),VLOOKUP($A304,'SegEnds_NonXtal_Prot#'!$A:$AL,22,FALSE)+10,1)</f>
        <v>W</v>
      </c>
      <c r="AG304" s="28" t="str">
        <f>MID(VLOOKUP($A304,Seqs!$A:$B,2,FALSE),VLOOKUP($A304,'SegEnds_NonXtal_Prot#'!$A:$AL,28,FALSE)-4,1)</f>
        <v>P</v>
      </c>
      <c r="AH304" s="49" t="str">
        <f>MID(VLOOKUP($A304,Seqs!$A:$B,2,FALSE),VLOOKUP($A304,'SegEnds_NonXtal_Prot#'!$A:$AL,28,FALSE),1)</f>
        <v>T</v>
      </c>
    </row>
    <row r="305" spans="1:34" s="2" customFormat="1" x14ac:dyDescent="0.2">
      <c r="A305" s="2" t="s">
        <v>406</v>
      </c>
      <c r="B305" s="2" t="str">
        <f>LOWER(VLOOKUP(A305,Xtal_Templ!A:B,2,FALSE))</f>
        <v>glp1r_human</v>
      </c>
      <c r="C305" s="2" t="str">
        <f>VLOOKUP(A305,Classification!A:D,2,FALSE)</f>
        <v>B1</v>
      </c>
      <c r="D305" s="2" t="str">
        <f>IF(ISERROR(MATCH(A305,'SegEnds_Xtal_Prot#'!B:B, 0)), "NoXtal", "Xtal")</f>
        <v>Xtal</v>
      </c>
      <c r="H305" s="4"/>
      <c r="J305" s="106" t="s">
        <v>25</v>
      </c>
      <c r="P305" s="2" t="s">
        <v>1329</v>
      </c>
      <c r="T305" s="4" t="s">
        <v>12</v>
      </c>
      <c r="V305" s="28" t="str">
        <f>MID(VLOOKUP($A305,Seqs!$A:$B,2,FALSE),VLOOKUP($A305,'SegEnds_NonXtal_Prot#'!A:AL,10,FALSE),1)</f>
        <v>F</v>
      </c>
      <c r="W305" s="49" t="str">
        <f>MID(VLOOKUP($A305,Seqs!$A:$B,2,FALSE),VLOOKUP($A305,'SegEnds_NonXtal_Prot#'!A:AL,10,FALSE)+6,1)</f>
        <v>S</v>
      </c>
      <c r="X305" s="49" t="str">
        <f>MID(VLOOKUP($A305,Seqs!$A:$B,2,FALSE),VLOOKUP($A305,'SegEnds_NonXtal_Prot#'!A:AL,10,FALSE)+7,1)</f>
        <v>V</v>
      </c>
      <c r="Y305" s="49" t="str">
        <f>MID(VLOOKUP($A305,Seqs!$A:$B,2,FALSE),VLOOKUP($A305,'SegEnds_NonXtal_Prot#'!A:AL,10,FALSE)+8,1)</f>
        <v>F</v>
      </c>
      <c r="Z305" s="49" t="str">
        <f>MID(VLOOKUP($A305,Seqs!$A:$B,2,FALSE),VLOOKUP($A305,'SegEnds_NonXtal_Prot#'!A:AL,10,FALSE)+9,1)</f>
        <v>I</v>
      </c>
      <c r="AA305" s="49" t="str">
        <f>MID(VLOOKUP($A305,Seqs!$A:$B,2,FALSE),VLOOKUP($A305,'SegEnds_NonXtal_Prot#'!A:AL,10,FALSE)+10,1)</f>
        <v>K</v>
      </c>
      <c r="AB305" s="28" t="str">
        <f>MID(VLOOKUP($A305,Seqs!$A:$B,2,FALSE),VLOOKUP($A305,'SegEnds_NonXtal_Prot#'!$A:$AL,22,FALSE)+6,1)</f>
        <v>F</v>
      </c>
      <c r="AC305" s="49" t="str">
        <f>MID(VLOOKUP($A305,Seqs!$A:$B,2,FALSE),VLOOKUP($A305,'SegEnds_NonXtal_Prot#'!$A:$AL,22,FALSE)+7,1)</f>
        <v>V</v>
      </c>
      <c r="AD305" s="49" t="str">
        <f>MID(VLOOKUP($A305,Seqs!$A:$B,2,FALSE),VLOOKUP($A305,'SegEnds_NonXtal_Prot#'!$A:$AL,22,FALSE)+8,1)</f>
        <v>V</v>
      </c>
      <c r="AE305" s="49" t="str">
        <f>MID(VLOOKUP($A305,Seqs!$A:$B,2,FALSE),VLOOKUP($A305,'SegEnds_NonXtal_Prot#'!$A:$AL,22,FALSE)+9,1)</f>
        <v>P</v>
      </c>
      <c r="AF305" s="49" t="str">
        <f>MID(VLOOKUP($A305,Seqs!$A:$B,2,FALSE),VLOOKUP($A305,'SegEnds_NonXtal_Prot#'!$A:$AL,22,FALSE)+10,1)</f>
        <v>W</v>
      </c>
      <c r="AG305" s="28" t="str">
        <f>MID(VLOOKUP($A305,Seqs!$A:$B,2,FALSE),VLOOKUP($A305,'SegEnds_NonXtal_Prot#'!$A:$AL,28,FALSE)-4,1)</f>
        <v>P</v>
      </c>
      <c r="AH305" s="49" t="str">
        <f>MID(VLOOKUP($A305,Seqs!$A:$B,2,FALSE),VLOOKUP($A305,'SegEnds_NonXtal_Prot#'!$A:$AL,28,FALSE),1)</f>
        <v>A</v>
      </c>
    </row>
    <row r="306" spans="1:34" s="2" customFormat="1" x14ac:dyDescent="0.2">
      <c r="A306" s="2" t="s">
        <v>407</v>
      </c>
      <c r="B306" s="2" t="str">
        <f>LOWER(VLOOKUP(A306,Xtal_Templ!A:B,2,FALSE))</f>
        <v>glr_human</v>
      </c>
      <c r="C306" s="2" t="str">
        <f>VLOOKUP(A306,Classification!A:D,2,FALSE)</f>
        <v>B1</v>
      </c>
      <c r="D306" s="2" t="str">
        <f>IF(ISERROR(MATCH(A306,'SegEnds_Xtal_Prot#'!B:B, 0)), "NoXtal", "Xtal")</f>
        <v>NoXtal</v>
      </c>
      <c r="H306" s="4"/>
      <c r="J306" s="106" t="s">
        <v>25</v>
      </c>
      <c r="P306" s="2" t="s">
        <v>1329</v>
      </c>
      <c r="T306" s="4" t="s">
        <v>12</v>
      </c>
      <c r="V306" s="28" t="str">
        <f>MID(VLOOKUP($A306,Seqs!$A:$B,2,FALSE),VLOOKUP($A306,'SegEnds_NonXtal_Prot#'!A:AL,10,FALSE),1)</f>
        <v>F</v>
      </c>
      <c r="W306" s="49" t="str">
        <f>MID(VLOOKUP($A306,Seqs!$A:$B,2,FALSE),VLOOKUP($A306,'SegEnds_NonXtal_Prot#'!A:AL,10,FALSE)+6,1)</f>
        <v>A</v>
      </c>
      <c r="X306" s="49" t="str">
        <f>MID(VLOOKUP($A306,Seqs!$A:$B,2,FALSE),VLOOKUP($A306,'SegEnds_NonXtal_Prot#'!A:AL,10,FALSE)+7,1)</f>
        <v>V</v>
      </c>
      <c r="Y306" s="49" t="str">
        <f>MID(VLOOKUP($A306,Seqs!$A:$B,2,FALSE),VLOOKUP($A306,'SegEnds_NonXtal_Prot#'!A:AL,10,FALSE)+8,1)</f>
        <v>L</v>
      </c>
      <c r="Z306" s="49" t="str">
        <f>MID(VLOOKUP($A306,Seqs!$A:$B,2,FALSE),VLOOKUP($A306,'SegEnds_NonXtal_Prot#'!A:AL,10,FALSE)+9,1)</f>
        <v>V</v>
      </c>
      <c r="AA306" s="49" t="str">
        <f>MID(VLOOKUP($A306,Seqs!$A:$B,2,FALSE),VLOOKUP($A306,'SegEnds_NonXtal_Prot#'!A:AL,10,FALSE)+10,1)</f>
        <v>K</v>
      </c>
      <c r="AB306" s="28" t="str">
        <f>MID(VLOOKUP($A306,Seqs!$A:$B,2,FALSE),VLOOKUP($A306,'SegEnds_NonXtal_Prot#'!$A:$AL,22,FALSE)+6,1)</f>
        <v>F</v>
      </c>
      <c r="AC306" s="49" t="str">
        <f>MID(VLOOKUP($A306,Seqs!$A:$B,2,FALSE),VLOOKUP($A306,'SegEnds_NonXtal_Prot#'!$A:$AL,22,FALSE)+7,1)</f>
        <v>V</v>
      </c>
      <c r="AD306" s="49" t="str">
        <f>MID(VLOOKUP($A306,Seqs!$A:$B,2,FALSE),VLOOKUP($A306,'SegEnds_NonXtal_Prot#'!$A:$AL,22,FALSE)+8,1)</f>
        <v>V</v>
      </c>
      <c r="AE306" s="49" t="str">
        <f>MID(VLOOKUP($A306,Seqs!$A:$B,2,FALSE),VLOOKUP($A306,'SegEnds_NonXtal_Prot#'!$A:$AL,22,FALSE)+9,1)</f>
        <v>P</v>
      </c>
      <c r="AF306" s="49" t="str">
        <f>MID(VLOOKUP($A306,Seqs!$A:$B,2,FALSE),VLOOKUP($A306,'SegEnds_NonXtal_Prot#'!$A:$AL,22,FALSE)+10,1)</f>
        <v>W</v>
      </c>
      <c r="AG306" s="28" t="str">
        <f>MID(VLOOKUP($A306,Seqs!$A:$B,2,FALSE),VLOOKUP($A306,'SegEnds_NonXtal_Prot#'!$A:$AL,28,FALSE)-4,1)</f>
        <v>P</v>
      </c>
      <c r="AH306" s="49" t="str">
        <f>MID(VLOOKUP($A306,Seqs!$A:$B,2,FALSE),VLOOKUP($A306,'SegEnds_NonXtal_Prot#'!$A:$AL,28,FALSE),1)</f>
        <v>C</v>
      </c>
    </row>
    <row r="307" spans="1:34" s="2" customFormat="1" x14ac:dyDescent="0.2">
      <c r="A307" s="2" t="s">
        <v>32</v>
      </c>
      <c r="B307" s="2" t="str">
        <f>LOWER(VLOOKUP(A307,Xtal_Templ!A:B,2,FALSE))</f>
        <v>glr_human</v>
      </c>
      <c r="C307" s="2" t="str">
        <f>VLOOKUP(A307,Classification!A:D,2,FALSE)</f>
        <v>B1</v>
      </c>
      <c r="D307" s="2" t="str">
        <f>IF(ISERROR(MATCH(A307,'SegEnds_Xtal_Prot#'!B:B, 0)), "NoXtal", "Xtal")</f>
        <v>Xtal</v>
      </c>
      <c r="H307" s="4"/>
      <c r="J307" s="106" t="s">
        <v>25</v>
      </c>
      <c r="P307" s="2" t="s">
        <v>1329</v>
      </c>
      <c r="T307" s="4" t="s">
        <v>12</v>
      </c>
      <c r="V307" s="28" t="str">
        <f>MID(VLOOKUP($A307,Seqs!$A:$B,2,FALSE),VLOOKUP($A307,'SegEnds_NonXtal_Prot#'!A:AL,10,FALSE),1)</f>
        <v>F</v>
      </c>
      <c r="W307" s="49" t="str">
        <f>MID(VLOOKUP($A307,Seqs!$A:$B,2,FALSE),VLOOKUP($A307,'SegEnds_NonXtal_Prot#'!A:AL,10,FALSE)+6,1)</f>
        <v>S</v>
      </c>
      <c r="X307" s="49" t="str">
        <f>MID(VLOOKUP($A307,Seqs!$A:$B,2,FALSE),VLOOKUP($A307,'SegEnds_NonXtal_Prot#'!A:AL,10,FALSE)+7,1)</f>
        <v>V</v>
      </c>
      <c r="Y307" s="49" t="str">
        <f>MID(VLOOKUP($A307,Seqs!$A:$B,2,FALSE),VLOOKUP($A307,'SegEnds_NonXtal_Prot#'!A:AL,10,FALSE)+8,1)</f>
        <v>L</v>
      </c>
      <c r="Z307" s="49" t="str">
        <f>MID(VLOOKUP($A307,Seqs!$A:$B,2,FALSE),VLOOKUP($A307,'SegEnds_NonXtal_Prot#'!A:AL,10,FALSE)+9,1)</f>
        <v>V</v>
      </c>
      <c r="AA307" s="49" t="str">
        <f>MID(VLOOKUP($A307,Seqs!$A:$B,2,FALSE),VLOOKUP($A307,'SegEnds_NonXtal_Prot#'!A:AL,10,FALSE)+10,1)</f>
        <v>I</v>
      </c>
      <c r="AB307" s="28" t="str">
        <f>MID(VLOOKUP($A307,Seqs!$A:$B,2,FALSE),VLOOKUP($A307,'SegEnds_NonXtal_Prot#'!$A:$AL,22,FALSE)+6,1)</f>
        <v>F</v>
      </c>
      <c r="AC307" s="49" t="str">
        <f>MID(VLOOKUP($A307,Seqs!$A:$B,2,FALSE),VLOOKUP($A307,'SegEnds_NonXtal_Prot#'!$A:$AL,22,FALSE)+7,1)</f>
        <v>V</v>
      </c>
      <c r="AD307" s="49" t="str">
        <f>MID(VLOOKUP($A307,Seqs!$A:$B,2,FALSE),VLOOKUP($A307,'SegEnds_NonXtal_Prot#'!$A:$AL,22,FALSE)+8,1)</f>
        <v>V</v>
      </c>
      <c r="AE307" s="49" t="str">
        <f>MID(VLOOKUP($A307,Seqs!$A:$B,2,FALSE),VLOOKUP($A307,'SegEnds_NonXtal_Prot#'!$A:$AL,22,FALSE)+9,1)</f>
        <v>P</v>
      </c>
      <c r="AF307" s="49" t="str">
        <f>MID(VLOOKUP($A307,Seqs!$A:$B,2,FALSE),VLOOKUP($A307,'SegEnds_NonXtal_Prot#'!$A:$AL,22,FALSE)+10,1)</f>
        <v>W</v>
      </c>
      <c r="AG307" s="28" t="str">
        <f>MID(VLOOKUP($A307,Seqs!$A:$B,2,FALSE),VLOOKUP($A307,'SegEnds_NonXtal_Prot#'!$A:$AL,28,FALSE)-4,1)</f>
        <v>P</v>
      </c>
      <c r="AH307" s="49" t="str">
        <f>MID(VLOOKUP($A307,Seqs!$A:$B,2,FALSE),VLOOKUP($A307,'SegEnds_NonXtal_Prot#'!$A:$AL,28,FALSE),1)</f>
        <v>A</v>
      </c>
    </row>
    <row r="308" spans="1:34" s="2" customFormat="1" x14ac:dyDescent="0.2">
      <c r="A308" s="2" t="s">
        <v>408</v>
      </c>
      <c r="B308" s="2" t="str">
        <f>LOWER(VLOOKUP(A308,Xtal_Templ!A:B,2,FALSE))</f>
        <v>pth1r_human</v>
      </c>
      <c r="C308" s="2" t="str">
        <f>VLOOKUP(A308,Classification!A:D,2,FALSE)</f>
        <v>B1</v>
      </c>
      <c r="D308" s="2" t="str">
        <f>IF(ISERROR(MATCH(A308,'SegEnds_Xtal_Prot#'!B:B, 0)), "NoXtal", "Xtal")</f>
        <v>NoXtal</v>
      </c>
      <c r="H308" s="4"/>
      <c r="J308" s="106" t="s">
        <v>25</v>
      </c>
      <c r="P308" s="2" t="s">
        <v>1329</v>
      </c>
      <c r="T308" s="4" t="s">
        <v>12</v>
      </c>
      <c r="V308" s="28" t="str">
        <f>MID(VLOOKUP($A308,Seqs!$A:$B,2,FALSE),VLOOKUP($A308,'SegEnds_NonXtal_Prot#'!A:AL,10,FALSE),1)</f>
        <v>F</v>
      </c>
      <c r="W308" s="49" t="str">
        <f>MID(VLOOKUP($A308,Seqs!$A:$B,2,FALSE),VLOOKUP($A308,'SegEnds_NonXtal_Prot#'!A:AL,10,FALSE)+6,1)</f>
        <v>S</v>
      </c>
      <c r="X308" s="49" t="str">
        <f>MID(VLOOKUP($A308,Seqs!$A:$B,2,FALSE),VLOOKUP($A308,'SegEnds_NonXtal_Prot#'!A:AL,10,FALSE)+7,1)</f>
        <v>V</v>
      </c>
      <c r="Y308" s="49" t="str">
        <f>MID(VLOOKUP($A308,Seqs!$A:$B,2,FALSE),VLOOKUP($A308,'SegEnds_NonXtal_Prot#'!A:AL,10,FALSE)+8,1)</f>
        <v>F</v>
      </c>
      <c r="Z308" s="49" t="str">
        <f>MID(VLOOKUP($A308,Seqs!$A:$B,2,FALSE),VLOOKUP($A308,'SegEnds_NonXtal_Prot#'!A:AL,10,FALSE)+9,1)</f>
        <v>I</v>
      </c>
      <c r="AA308" s="49" t="str">
        <f>MID(VLOOKUP($A308,Seqs!$A:$B,2,FALSE),VLOOKUP($A308,'SegEnds_NonXtal_Prot#'!A:AL,10,FALSE)+10,1)</f>
        <v>K</v>
      </c>
      <c r="AB308" s="28" t="str">
        <f>MID(VLOOKUP($A308,Seqs!$A:$B,2,FALSE),VLOOKUP($A308,'SegEnds_NonXtal_Prot#'!$A:$AL,22,FALSE)+6,1)</f>
        <v>C</v>
      </c>
      <c r="AC308" s="49" t="str">
        <f>MID(VLOOKUP($A308,Seqs!$A:$B,2,FALSE),VLOOKUP($A308,'SegEnds_NonXtal_Prot#'!$A:$AL,22,FALSE)+7,1)</f>
        <v>V</v>
      </c>
      <c r="AD308" s="49" t="str">
        <f>MID(VLOOKUP($A308,Seqs!$A:$B,2,FALSE),VLOOKUP($A308,'SegEnds_NonXtal_Prot#'!$A:$AL,22,FALSE)+8,1)</f>
        <v>T</v>
      </c>
      <c r="AE308" s="49" t="str">
        <f>MID(VLOOKUP($A308,Seqs!$A:$B,2,FALSE),VLOOKUP($A308,'SegEnds_NonXtal_Prot#'!$A:$AL,22,FALSE)+9,1)</f>
        <v>V</v>
      </c>
      <c r="AF308" s="49" t="str">
        <f>MID(VLOOKUP($A308,Seqs!$A:$B,2,FALSE),VLOOKUP($A308,'SegEnds_NonXtal_Prot#'!$A:$AL,22,FALSE)+10,1)</f>
        <v>W</v>
      </c>
      <c r="AG308" s="28" t="str">
        <f>MID(VLOOKUP($A308,Seqs!$A:$B,2,FALSE),VLOOKUP($A308,'SegEnds_NonXtal_Prot#'!$A:$AL,28,FALSE)-4,1)</f>
        <v>P</v>
      </c>
      <c r="AH308" s="49" t="str">
        <f>MID(VLOOKUP($A308,Seqs!$A:$B,2,FALSE),VLOOKUP($A308,'SegEnds_NonXtal_Prot#'!$A:$AL,28,FALSE),1)</f>
        <v>S</v>
      </c>
    </row>
    <row r="309" spans="1:34" s="2" customFormat="1" x14ac:dyDescent="0.2">
      <c r="A309" s="2" t="s">
        <v>409</v>
      </c>
      <c r="B309" s="2" t="str">
        <f>LOWER(VLOOKUP(A309,Xtal_Templ!A:B,2,FALSE))</f>
        <v>pth1r_human</v>
      </c>
      <c r="C309" s="2" t="str">
        <f>VLOOKUP(A309,Classification!A:D,2,FALSE)</f>
        <v>B1</v>
      </c>
      <c r="D309" s="2" t="str">
        <f>IF(ISERROR(MATCH(A309,'SegEnds_Xtal_Prot#'!B:B, 0)), "NoXtal", "Xtal")</f>
        <v>Xtal</v>
      </c>
      <c r="H309" s="4"/>
      <c r="J309" s="106" t="s">
        <v>25</v>
      </c>
      <c r="P309" s="2" t="s">
        <v>1329</v>
      </c>
      <c r="T309" s="4" t="s">
        <v>12</v>
      </c>
      <c r="V309" s="28" t="str">
        <f>MID(VLOOKUP($A309,Seqs!$A:$B,2,FALSE),VLOOKUP($A309,'SegEnds_NonXtal_Prot#'!A:AL,10,FALSE),1)</f>
        <v>F</v>
      </c>
      <c r="W309" s="49" t="str">
        <f>MID(VLOOKUP($A309,Seqs!$A:$B,2,FALSE),VLOOKUP($A309,'SegEnds_NonXtal_Prot#'!A:AL,10,FALSE)+6,1)</f>
        <v>S</v>
      </c>
      <c r="X309" s="49" t="str">
        <f>MID(VLOOKUP($A309,Seqs!$A:$B,2,FALSE),VLOOKUP($A309,'SegEnds_NonXtal_Prot#'!A:AL,10,FALSE)+7,1)</f>
        <v>I</v>
      </c>
      <c r="Y309" s="49" t="str">
        <f>MID(VLOOKUP($A309,Seqs!$A:$B,2,FALSE),VLOOKUP($A309,'SegEnds_NonXtal_Prot#'!A:AL,10,FALSE)+8,1)</f>
        <v>F</v>
      </c>
      <c r="Z309" s="49" t="str">
        <f>MID(VLOOKUP($A309,Seqs!$A:$B,2,FALSE),VLOOKUP($A309,'SegEnds_NonXtal_Prot#'!A:AL,10,FALSE)+9,1)</f>
        <v>V</v>
      </c>
      <c r="AA309" s="49" t="str">
        <f>MID(VLOOKUP($A309,Seqs!$A:$B,2,FALSE),VLOOKUP($A309,'SegEnds_NonXtal_Prot#'!A:AL,10,FALSE)+10,1)</f>
        <v>K</v>
      </c>
      <c r="AB309" s="28" t="str">
        <f>MID(VLOOKUP($A309,Seqs!$A:$B,2,FALSE),VLOOKUP($A309,'SegEnds_NonXtal_Prot#'!$A:$AL,22,FALSE)+6,1)</f>
        <v>F</v>
      </c>
      <c r="AC309" s="49" t="str">
        <f>MID(VLOOKUP($A309,Seqs!$A:$B,2,FALSE),VLOOKUP($A309,'SegEnds_NonXtal_Prot#'!$A:$AL,22,FALSE)+7,1)</f>
        <v>V</v>
      </c>
      <c r="AD309" s="49" t="str">
        <f>MID(VLOOKUP($A309,Seqs!$A:$B,2,FALSE),VLOOKUP($A309,'SegEnds_NonXtal_Prot#'!$A:$AL,22,FALSE)+8,1)</f>
        <v>A</v>
      </c>
      <c r="AE309" s="49" t="str">
        <f>MID(VLOOKUP($A309,Seqs!$A:$B,2,FALSE),VLOOKUP($A309,'SegEnds_NonXtal_Prot#'!$A:$AL,22,FALSE)+9,1)</f>
        <v>V</v>
      </c>
      <c r="AF309" s="49" t="str">
        <f>MID(VLOOKUP($A309,Seqs!$A:$B,2,FALSE),VLOOKUP($A309,'SegEnds_NonXtal_Prot#'!$A:$AL,22,FALSE)+10,1)</f>
        <v>W</v>
      </c>
      <c r="AG309" s="28" t="str">
        <f>MID(VLOOKUP($A309,Seqs!$A:$B,2,FALSE),VLOOKUP($A309,'SegEnds_NonXtal_Prot#'!$A:$AL,28,FALSE)-4,1)</f>
        <v>P</v>
      </c>
      <c r="AH309" s="49" t="str">
        <f>MID(VLOOKUP($A309,Seqs!$A:$B,2,FALSE),VLOOKUP($A309,'SegEnds_NonXtal_Prot#'!$A:$AL,28,FALSE),1)</f>
        <v>S</v>
      </c>
    </row>
    <row r="310" spans="1:34" s="2" customFormat="1" x14ac:dyDescent="0.2">
      <c r="A310" s="2" t="s">
        <v>410</v>
      </c>
      <c r="B310" s="2" t="str">
        <f>LOWER(VLOOKUP(A310,Xtal_Templ!A:B,2,FALSE))</f>
        <v>pth1r_human</v>
      </c>
      <c r="C310" s="2" t="str">
        <f>VLOOKUP(A310,Classification!A:D,2,FALSE)</f>
        <v>B1</v>
      </c>
      <c r="D310" s="2" t="str">
        <f>IF(ISERROR(MATCH(A310,'SegEnds_Xtal_Prot#'!B:B, 0)), "NoXtal", "Xtal")</f>
        <v>NoXtal</v>
      </c>
      <c r="H310" s="4"/>
      <c r="J310" s="106" t="s">
        <v>25</v>
      </c>
      <c r="P310" s="2" t="s">
        <v>1329</v>
      </c>
      <c r="T310" s="4" t="s">
        <v>12</v>
      </c>
      <c r="V310" s="28" t="str">
        <f>MID(VLOOKUP($A310,Seqs!$A:$B,2,FALSE),VLOOKUP($A310,'SegEnds_NonXtal_Prot#'!A:AL,10,FALSE),1)</f>
        <v>F</v>
      </c>
      <c r="W310" s="49" t="str">
        <f>MID(VLOOKUP($A310,Seqs!$A:$B,2,FALSE),VLOOKUP($A310,'SegEnds_NonXtal_Prot#'!A:AL,10,FALSE)+6,1)</f>
        <v>S</v>
      </c>
      <c r="X310" s="49" t="str">
        <f>MID(VLOOKUP($A310,Seqs!$A:$B,2,FALSE),VLOOKUP($A310,'SegEnds_NonXtal_Prot#'!A:AL,10,FALSE)+7,1)</f>
        <v>I</v>
      </c>
      <c r="Y310" s="49" t="str">
        <f>MID(VLOOKUP($A310,Seqs!$A:$B,2,FALSE),VLOOKUP($A310,'SegEnds_NonXtal_Prot#'!A:AL,10,FALSE)+8,1)</f>
        <v>F</v>
      </c>
      <c r="Z310" s="49" t="str">
        <f>MID(VLOOKUP($A310,Seqs!$A:$B,2,FALSE),VLOOKUP($A310,'SegEnds_NonXtal_Prot#'!A:AL,10,FALSE)+9,1)</f>
        <v>V</v>
      </c>
      <c r="AA310" s="49" t="str">
        <f>MID(VLOOKUP($A310,Seqs!$A:$B,2,FALSE),VLOOKUP($A310,'SegEnds_NonXtal_Prot#'!A:AL,10,FALSE)+10,1)</f>
        <v>K</v>
      </c>
      <c r="AB310" s="28" t="str">
        <f>MID(VLOOKUP($A310,Seqs!$A:$B,2,FALSE),VLOOKUP($A310,'SegEnds_NonXtal_Prot#'!$A:$AL,22,FALSE)+6,1)</f>
        <v>F</v>
      </c>
      <c r="AC310" s="49" t="str">
        <f>MID(VLOOKUP($A310,Seqs!$A:$B,2,FALSE),VLOOKUP($A310,'SegEnds_NonXtal_Prot#'!$A:$AL,22,FALSE)+7,1)</f>
        <v>V</v>
      </c>
      <c r="AD310" s="49" t="str">
        <f>MID(VLOOKUP($A310,Seqs!$A:$B,2,FALSE),VLOOKUP($A310,'SegEnds_NonXtal_Prot#'!$A:$AL,22,FALSE)+8,1)</f>
        <v>A</v>
      </c>
      <c r="AE310" s="49" t="str">
        <f>MID(VLOOKUP($A310,Seqs!$A:$B,2,FALSE),VLOOKUP($A310,'SegEnds_NonXtal_Prot#'!$A:$AL,22,FALSE)+9,1)</f>
        <v>A</v>
      </c>
      <c r="AF310" s="49" t="str">
        <f>MID(VLOOKUP($A310,Seqs!$A:$B,2,FALSE),VLOOKUP($A310,'SegEnds_NonXtal_Prot#'!$A:$AL,22,FALSE)+10,1)</f>
        <v>W</v>
      </c>
      <c r="AG310" s="28" t="str">
        <f>MID(VLOOKUP($A310,Seqs!$A:$B,2,FALSE),VLOOKUP($A310,'SegEnds_NonXtal_Prot#'!$A:$AL,28,FALSE)-4,1)</f>
        <v>P</v>
      </c>
      <c r="AH310" s="49" t="str">
        <f>MID(VLOOKUP($A310,Seqs!$A:$B,2,FALSE),VLOOKUP($A310,'SegEnds_NonXtal_Prot#'!$A:$AL,28,FALSE),1)</f>
        <v>A</v>
      </c>
    </row>
    <row r="311" spans="1:34" s="2" customFormat="1" x14ac:dyDescent="0.2">
      <c r="A311" s="2" t="s">
        <v>411</v>
      </c>
      <c r="B311" s="2" t="str">
        <f>LOWER(VLOOKUP(A311,Xtal_Templ!A:B,2,FALSE))</f>
        <v>pth1r_human</v>
      </c>
      <c r="C311" s="2" t="str">
        <f>VLOOKUP(A311,Classification!A:D,2,FALSE)</f>
        <v>B1</v>
      </c>
      <c r="D311" s="2" t="str">
        <f>IF(ISERROR(MATCH(A311,'SegEnds_Xtal_Prot#'!B:B, 0)), "NoXtal", "Xtal")</f>
        <v>NoXtal</v>
      </c>
      <c r="H311" s="4"/>
      <c r="J311" s="106" t="s">
        <v>25</v>
      </c>
      <c r="P311" s="2" t="s">
        <v>1329</v>
      </c>
      <c r="T311" s="4" t="s">
        <v>12</v>
      </c>
      <c r="V311" s="28" t="str">
        <f>MID(VLOOKUP($A311,Seqs!$A:$B,2,FALSE),VLOOKUP($A311,'SegEnds_NonXtal_Prot#'!A:AL,10,FALSE),1)</f>
        <v>F</v>
      </c>
      <c r="W311" s="49" t="str">
        <f>MID(VLOOKUP($A311,Seqs!$A:$B,2,FALSE),VLOOKUP($A311,'SegEnds_NonXtal_Prot#'!A:AL,10,FALSE)+6,1)</f>
        <v>S</v>
      </c>
      <c r="X311" s="49" t="str">
        <f>MID(VLOOKUP($A311,Seqs!$A:$B,2,FALSE),VLOOKUP($A311,'SegEnds_NonXtal_Prot#'!A:AL,10,FALSE)+7,1)</f>
        <v>N</v>
      </c>
      <c r="Y311" s="49" t="str">
        <f>MID(VLOOKUP($A311,Seqs!$A:$B,2,FALSE),VLOOKUP($A311,'SegEnds_NonXtal_Prot#'!A:AL,10,FALSE)+8,1)</f>
        <v>F</v>
      </c>
      <c r="Z311" s="49" t="str">
        <f>MID(VLOOKUP($A311,Seqs!$A:$B,2,FALSE),VLOOKUP($A311,'SegEnds_NonXtal_Prot#'!A:AL,10,FALSE)+9,1)</f>
        <v>I</v>
      </c>
      <c r="AA311" s="49" t="str">
        <f>MID(VLOOKUP($A311,Seqs!$A:$B,2,FALSE),VLOOKUP($A311,'SegEnds_NonXtal_Prot#'!A:AL,10,FALSE)+10,1)</f>
        <v>K</v>
      </c>
      <c r="AB311" s="28" t="str">
        <f>MID(VLOOKUP($A311,Seqs!$A:$B,2,FALSE),VLOOKUP($A311,'SegEnds_NonXtal_Prot#'!$A:$AL,22,FALSE)+6,1)</f>
        <v>F</v>
      </c>
      <c r="AC311" s="49" t="str">
        <f>MID(VLOOKUP($A311,Seqs!$A:$B,2,FALSE),VLOOKUP($A311,'SegEnds_NonXtal_Prot#'!$A:$AL,22,FALSE)+7,1)</f>
        <v>V</v>
      </c>
      <c r="AD311" s="49" t="str">
        <f>MID(VLOOKUP($A311,Seqs!$A:$B,2,FALSE),VLOOKUP($A311,'SegEnds_NonXtal_Prot#'!$A:$AL,22,FALSE)+8,1)</f>
        <v>A</v>
      </c>
      <c r="AE311" s="49" t="str">
        <f>MID(VLOOKUP($A311,Seqs!$A:$B,2,FALSE),VLOOKUP($A311,'SegEnds_NonXtal_Prot#'!$A:$AL,22,FALSE)+9,1)</f>
        <v>L</v>
      </c>
      <c r="AF311" s="49" t="str">
        <f>MID(VLOOKUP($A311,Seqs!$A:$B,2,FALSE),VLOOKUP($A311,'SegEnds_NonXtal_Prot#'!$A:$AL,22,FALSE)+10,1)</f>
        <v>W</v>
      </c>
      <c r="AG311" s="28" t="str">
        <f>MID(VLOOKUP($A311,Seqs!$A:$B,2,FALSE),VLOOKUP($A311,'SegEnds_NonXtal_Prot#'!$A:$AL,28,FALSE)-4,1)</f>
        <v>P</v>
      </c>
      <c r="AH311" s="49" t="str">
        <f>MID(VLOOKUP($A311,Seqs!$A:$B,2,FALSE),VLOOKUP($A311,'SegEnds_NonXtal_Prot#'!$A:$AL,28,FALSE),1)</f>
        <v>S</v>
      </c>
    </row>
    <row r="312" spans="1:34" s="2" customFormat="1" x14ac:dyDescent="0.2">
      <c r="A312" s="2" t="s">
        <v>412</v>
      </c>
      <c r="B312" s="2" t="str">
        <f>LOWER(VLOOKUP(A312,Xtal_Templ!A:B,2,FALSE))</f>
        <v>pth1r_human</v>
      </c>
      <c r="C312" s="2" t="str">
        <f>VLOOKUP(A312,Classification!A:D,2,FALSE)</f>
        <v>B1</v>
      </c>
      <c r="D312" s="2" t="str">
        <f>IF(ISERROR(MATCH(A312,'SegEnds_Xtal_Prot#'!B:B, 0)), "NoXtal", "Xtal")</f>
        <v>NoXtal</v>
      </c>
      <c r="H312" s="4"/>
      <c r="J312" s="106" t="s">
        <v>25</v>
      </c>
      <c r="P312" s="2" t="s">
        <v>1329</v>
      </c>
      <c r="T312" s="4" t="s">
        <v>12</v>
      </c>
      <c r="V312" s="28" t="str">
        <f>MID(VLOOKUP($A312,Seqs!$A:$B,2,FALSE),VLOOKUP($A312,'SegEnds_NonXtal_Prot#'!A:AL,10,FALSE),1)</f>
        <v>F</v>
      </c>
      <c r="W312" s="49" t="str">
        <f>MID(VLOOKUP($A312,Seqs!$A:$B,2,FALSE),VLOOKUP($A312,'SegEnds_NonXtal_Prot#'!A:AL,10,FALSE)+6,1)</f>
        <v>A</v>
      </c>
      <c r="X312" s="49" t="str">
        <f>MID(VLOOKUP($A312,Seqs!$A:$B,2,FALSE),VLOOKUP($A312,'SegEnds_NonXtal_Prot#'!A:AL,10,FALSE)+7,1)</f>
        <v>V</v>
      </c>
      <c r="Y312" s="49" t="str">
        <f>MID(VLOOKUP($A312,Seqs!$A:$B,2,FALSE),VLOOKUP($A312,'SegEnds_NonXtal_Prot#'!A:AL,10,FALSE)+8,1)</f>
        <v>F</v>
      </c>
      <c r="Z312" s="49" t="str">
        <f>MID(VLOOKUP($A312,Seqs!$A:$B,2,FALSE),VLOOKUP($A312,'SegEnds_NonXtal_Prot#'!A:AL,10,FALSE)+9,1)</f>
        <v>I</v>
      </c>
      <c r="AA312" s="49" t="str">
        <f>MID(VLOOKUP($A312,Seqs!$A:$B,2,FALSE),VLOOKUP($A312,'SegEnds_NonXtal_Prot#'!A:AL,10,FALSE)+10,1)</f>
        <v>K</v>
      </c>
      <c r="AB312" s="28" t="str">
        <f>MID(VLOOKUP($A312,Seqs!$A:$B,2,FALSE),VLOOKUP($A312,'SegEnds_NonXtal_Prot#'!$A:$AL,22,FALSE)+6,1)</f>
        <v>F</v>
      </c>
      <c r="AC312" s="49" t="str">
        <f>MID(VLOOKUP($A312,Seqs!$A:$B,2,FALSE),VLOOKUP($A312,'SegEnds_NonXtal_Prot#'!$A:$AL,22,FALSE)+7,1)</f>
        <v>T</v>
      </c>
      <c r="AD312" s="49" t="str">
        <f>MID(VLOOKUP($A312,Seqs!$A:$B,2,FALSE),VLOOKUP($A312,'SegEnds_NonXtal_Prot#'!$A:$AL,22,FALSE)+8,1)</f>
        <v>M</v>
      </c>
      <c r="AE312" s="49" t="str">
        <f>MID(VLOOKUP($A312,Seqs!$A:$B,2,FALSE),VLOOKUP($A312,'SegEnds_NonXtal_Prot#'!$A:$AL,22,FALSE)+9,1)</f>
        <v>V</v>
      </c>
      <c r="AF312" s="49" t="str">
        <f>MID(VLOOKUP($A312,Seqs!$A:$B,2,FALSE),VLOOKUP($A312,'SegEnds_NonXtal_Prot#'!$A:$AL,22,FALSE)+10,1)</f>
        <v>W</v>
      </c>
      <c r="AG312" s="28" t="str">
        <f>MID(VLOOKUP($A312,Seqs!$A:$B,2,FALSE),VLOOKUP($A312,'SegEnds_NonXtal_Prot#'!$A:$AL,28,FALSE)-4,1)</f>
        <v>P</v>
      </c>
      <c r="AH312" s="49" t="str">
        <f>MID(VLOOKUP($A312,Seqs!$A:$B,2,FALSE),VLOOKUP($A312,'SegEnds_NonXtal_Prot#'!$A:$AL,28,FALSE),1)</f>
        <v>S</v>
      </c>
    </row>
    <row r="313" spans="1:34" s="2" customFormat="1" x14ac:dyDescent="0.2">
      <c r="A313" s="2" t="s">
        <v>413</v>
      </c>
      <c r="B313" s="2" t="str">
        <f>LOWER(VLOOKUP(A313,Xtal_Templ!A:B,2,FALSE))</f>
        <v>pth1r_human</v>
      </c>
      <c r="C313" s="2" t="str">
        <f>VLOOKUP(A313,Classification!A:D,2,FALSE)</f>
        <v>B1</v>
      </c>
      <c r="D313" s="2" t="str">
        <f>IF(ISERROR(MATCH(A313,'SegEnds_Xtal_Prot#'!B:B, 0)), "NoXtal", "Xtal")</f>
        <v>NoXtal</v>
      </c>
      <c r="H313" s="4"/>
      <c r="J313" s="106" t="s">
        <v>25</v>
      </c>
      <c r="P313" s="2" t="s">
        <v>1329</v>
      </c>
      <c r="T313" s="4" t="s">
        <v>12</v>
      </c>
      <c r="V313" s="28" t="str">
        <f>MID(VLOOKUP($A313,Seqs!$A:$B,2,FALSE),VLOOKUP($A313,'SegEnds_NonXtal_Prot#'!A:AL,10,FALSE),1)</f>
        <v>F</v>
      </c>
      <c r="W313" s="49" t="str">
        <f>MID(VLOOKUP($A313,Seqs!$A:$B,2,FALSE),VLOOKUP($A313,'SegEnds_NonXtal_Prot#'!A:AL,10,FALSE)+6,1)</f>
        <v>S</v>
      </c>
      <c r="X313" s="49" t="str">
        <f>MID(VLOOKUP($A313,Seqs!$A:$B,2,FALSE),VLOOKUP($A313,'SegEnds_NonXtal_Prot#'!A:AL,10,FALSE)+7,1)</f>
        <v>V</v>
      </c>
      <c r="Y313" s="49" t="str">
        <f>MID(VLOOKUP($A313,Seqs!$A:$B,2,FALSE),VLOOKUP($A313,'SegEnds_NonXtal_Prot#'!A:AL,10,FALSE)+8,1)</f>
        <v>L</v>
      </c>
      <c r="Z313" s="49" t="str">
        <f>MID(VLOOKUP($A313,Seqs!$A:$B,2,FALSE),VLOOKUP($A313,'SegEnds_NonXtal_Prot#'!A:AL,10,FALSE)+9,1)</f>
        <v>V</v>
      </c>
      <c r="AA313" s="49" t="str">
        <f>MID(VLOOKUP($A313,Seqs!$A:$B,2,FALSE),VLOOKUP($A313,'SegEnds_NonXtal_Prot#'!A:AL,10,FALSE)+10,1)</f>
        <v>K</v>
      </c>
      <c r="AB313" s="28" t="str">
        <f>MID(VLOOKUP($A313,Seqs!$A:$B,2,FALSE),VLOOKUP($A313,'SegEnds_NonXtal_Prot#'!$A:$AL,22,FALSE)+6,1)</f>
        <v>C</v>
      </c>
      <c r="AC313" s="49" t="str">
        <f>MID(VLOOKUP($A313,Seqs!$A:$B,2,FALSE),VLOOKUP($A313,'SegEnds_NonXtal_Prot#'!$A:$AL,22,FALSE)+7,1)</f>
        <v>I</v>
      </c>
      <c r="AD313" s="49" t="str">
        <f>MID(VLOOKUP($A313,Seqs!$A:$B,2,FALSE),VLOOKUP($A313,'SegEnds_NonXtal_Prot#'!$A:$AL,22,FALSE)+8,1)</f>
        <v>G</v>
      </c>
      <c r="AE313" s="49" t="str">
        <f>MID(VLOOKUP($A313,Seqs!$A:$B,2,FALSE),VLOOKUP($A313,'SegEnds_NonXtal_Prot#'!$A:$AL,22,FALSE)+9,1)</f>
        <v>A</v>
      </c>
      <c r="AF313" s="49" t="str">
        <f>MID(VLOOKUP($A313,Seqs!$A:$B,2,FALSE),VLOOKUP($A313,'SegEnds_NonXtal_Prot#'!$A:$AL,22,FALSE)+10,1)</f>
        <v>W</v>
      </c>
      <c r="AG313" s="28" t="str">
        <f>MID(VLOOKUP($A313,Seqs!$A:$B,2,FALSE),VLOOKUP($A313,'SegEnds_NonXtal_Prot#'!$A:$AL,28,FALSE)-4,1)</f>
        <v>P</v>
      </c>
      <c r="AH313" s="49" t="str">
        <f>MID(VLOOKUP($A313,Seqs!$A:$B,2,FALSE),VLOOKUP($A313,'SegEnds_NonXtal_Prot#'!$A:$AL,28,FALSE),1)</f>
        <v>S</v>
      </c>
    </row>
    <row r="314" spans="1:34" s="2" customFormat="1" x14ac:dyDescent="0.2">
      <c r="A314" s="2" t="s">
        <v>1430</v>
      </c>
      <c r="B314" s="2" t="str">
        <f>LOWER(VLOOKUP(A314,Xtal_Templ!A:B,2,FALSE))</f>
        <v>g1sgd4_rabit</v>
      </c>
      <c r="C314" s="2" t="str">
        <f>VLOOKUP(A314,Classification!A:D,2,FALSE)</f>
        <v>B1</v>
      </c>
      <c r="D314" s="2" t="str">
        <f>IF(ISERROR(MATCH(A314,'SegEnds_Xtal_Prot#'!B:B, 0)), "NoXtal", "Xtal")</f>
        <v>Xtal</v>
      </c>
      <c r="H314" s="4"/>
      <c r="J314" s="106" t="s">
        <v>25</v>
      </c>
      <c r="P314" s="2" t="s">
        <v>1329</v>
      </c>
      <c r="T314" s="4" t="s">
        <v>12</v>
      </c>
      <c r="V314" s="28" t="str">
        <f>MID(VLOOKUP($A314,Seqs!$A:$B,2,FALSE),VLOOKUP($A314,'SegEnds_NonXtal_Prot#'!A:AL,10,FALSE),1)</f>
        <v>F</v>
      </c>
      <c r="W314" s="49" t="str">
        <f>MID(VLOOKUP($A314,Seqs!$A:$B,2,FALSE),VLOOKUP($A314,'SegEnds_NonXtal_Prot#'!A:AL,10,FALSE)+6,1)</f>
        <v>S</v>
      </c>
      <c r="X314" s="49" t="str">
        <f>MID(VLOOKUP($A314,Seqs!$A:$B,2,FALSE),VLOOKUP($A314,'SegEnds_NonXtal_Prot#'!A:AL,10,FALSE)+7,1)</f>
        <v>V</v>
      </c>
      <c r="Y314" s="49" t="str">
        <f>MID(VLOOKUP($A314,Seqs!$A:$B,2,FALSE),VLOOKUP($A314,'SegEnds_NonXtal_Prot#'!A:AL,10,FALSE)+8,1)</f>
        <v>F</v>
      </c>
      <c r="Z314" s="49" t="str">
        <f>MID(VLOOKUP($A314,Seqs!$A:$B,2,FALSE),VLOOKUP($A314,'SegEnds_NonXtal_Prot#'!A:AL,10,FALSE)+9,1)</f>
        <v>I</v>
      </c>
      <c r="AA314" s="49" t="str">
        <f>MID(VLOOKUP($A314,Seqs!$A:$B,2,FALSE),VLOOKUP($A314,'SegEnds_NonXtal_Prot#'!A:AL,10,FALSE)+10,1)</f>
        <v>K</v>
      </c>
      <c r="AB314" s="28" t="str">
        <f>MID(VLOOKUP($A314,Seqs!$A:$B,2,FALSE),VLOOKUP($A314,'SegEnds_NonXtal_Prot#'!$A:$AL,22,FALSE)+6,1)</f>
        <v>F</v>
      </c>
      <c r="AC314" s="49" t="str">
        <f>MID(VLOOKUP($A314,Seqs!$A:$B,2,FALSE),VLOOKUP($A314,'SegEnds_NonXtal_Prot#'!$A:$AL,22,FALSE)+7,1)</f>
        <v>V</v>
      </c>
      <c r="AD314" s="49" t="str">
        <f>MID(VLOOKUP($A314,Seqs!$A:$B,2,FALSE),VLOOKUP($A314,'SegEnds_NonXtal_Prot#'!$A:$AL,22,FALSE)+8,1)</f>
        <v>I</v>
      </c>
      <c r="AE314" s="49" t="str">
        <f>MID(VLOOKUP($A314,Seqs!$A:$B,2,FALSE),VLOOKUP($A314,'SegEnds_NonXtal_Prot#'!$A:$AL,22,FALSE)+9,1)</f>
        <v>P</v>
      </c>
      <c r="AF314" s="49" t="str">
        <f>MID(VLOOKUP($A314,Seqs!$A:$B,2,FALSE),VLOOKUP($A314,'SegEnds_NonXtal_Prot#'!$A:$AL,22,FALSE)+10,1)</f>
        <v>W</v>
      </c>
      <c r="AG314" s="28" t="str">
        <f>MID(VLOOKUP($A314,Seqs!$A:$B,2,FALSE),VLOOKUP($A314,'SegEnds_NonXtal_Prot#'!$A:$AL,28,FALSE)-4,1)</f>
        <v>P</v>
      </c>
      <c r="AH314" s="49" t="str">
        <f>MID(VLOOKUP($A314,Seqs!$A:$B,2,FALSE),VLOOKUP($A314,'SegEnds_NonXtal_Prot#'!$A:$AL,28,FALSE),1)</f>
        <v>A</v>
      </c>
    </row>
    <row r="315" spans="1:34" s="2" customFormat="1" x14ac:dyDescent="0.2">
      <c r="A315" s="2" t="s">
        <v>1177</v>
      </c>
      <c r="B315" s="2" t="str">
        <f>LOWER(VLOOKUP(A315,Xtal_Templ!A:B,2,FALSE))</f>
        <v>crfr1_human</v>
      </c>
      <c r="C315" s="2" t="str">
        <f>VLOOKUP(A315,Classification!A:D,2,FALSE)</f>
        <v>B2</v>
      </c>
      <c r="D315" s="2" t="str">
        <f>IF(ISERROR(MATCH(A315,'SegEnds_Xtal_Prot#'!B:B, 0)), "NoXtal", "Xtal")</f>
        <v>NoXtal</v>
      </c>
      <c r="H315" s="4"/>
      <c r="J315" s="106" t="s">
        <v>25</v>
      </c>
      <c r="T315" s="4" t="s">
        <v>12</v>
      </c>
      <c r="V315" s="28" t="str">
        <f>MID(VLOOKUP($A315,Seqs!$A:$B,2,FALSE),VLOOKUP($A315,'SegEnds_NonXtal_Prot#'!A:AL,10,FALSE),1)</f>
        <v>F</v>
      </c>
      <c r="W315" s="49" t="str">
        <f>MID(VLOOKUP($A315,Seqs!$A:$B,2,FALSE),VLOOKUP($A315,'SegEnds_NonXtal_Prot#'!A:AL,10,FALSE)+6,1)</f>
        <v>F</v>
      </c>
      <c r="X315" s="49" t="str">
        <f>MID(VLOOKUP($A315,Seqs!$A:$B,2,FALSE),VLOOKUP($A315,'SegEnds_NonXtal_Prot#'!A:AL,10,FALSE)+7,1)</f>
        <v>T</v>
      </c>
      <c r="Y315" s="49" t="str">
        <f>MID(VLOOKUP($A315,Seqs!$A:$B,2,FALSE),VLOOKUP($A315,'SegEnds_NonXtal_Prot#'!A:AL,10,FALSE)+8,1)</f>
        <v>V</v>
      </c>
      <c r="Z315" s="49" t="str">
        <f>MID(VLOOKUP($A315,Seqs!$A:$B,2,FALSE),VLOOKUP($A315,'SegEnds_NonXtal_Prot#'!A:AL,10,FALSE)+9,1)</f>
        <v>F</v>
      </c>
      <c r="AA315" s="49" t="str">
        <f>MID(VLOOKUP($A315,Seqs!$A:$B,2,FALSE),VLOOKUP($A315,'SegEnds_NonXtal_Prot#'!A:AL,10,FALSE)+10,1)</f>
        <v>A</v>
      </c>
      <c r="AB315" s="28" t="str">
        <f>MID(VLOOKUP($A315,Seqs!$A:$B,2,FALSE),VLOOKUP($A315,'SegEnds_NonXtal_Prot#'!$A:$AL,22,FALSE)+6,1)</f>
        <v>I</v>
      </c>
      <c r="AC315" s="49" t="str">
        <f>MID(VLOOKUP($A315,Seqs!$A:$B,2,FALSE),VLOOKUP($A315,'SegEnds_NonXtal_Prot#'!$A:$AL,22,FALSE)+7,1)</f>
        <v>C</v>
      </c>
      <c r="AD315" s="49" t="str">
        <f>MID(VLOOKUP($A315,Seqs!$A:$B,2,FALSE),VLOOKUP($A315,'SegEnds_NonXtal_Prot#'!$A:$AL,22,FALSE)+8,1)</f>
        <v>G</v>
      </c>
      <c r="AE315" s="49" t="str">
        <f>MID(VLOOKUP($A315,Seqs!$A:$B,2,FALSE),VLOOKUP($A315,'SegEnds_NonXtal_Prot#'!$A:$AL,22,FALSE)+9,1)</f>
        <v>V</v>
      </c>
      <c r="AF315" s="49" t="str">
        <f>MID(VLOOKUP($A315,Seqs!$A:$B,2,FALSE),VLOOKUP($A315,'SegEnds_NonXtal_Prot#'!$A:$AL,22,FALSE)+10,1)</f>
        <v>T</v>
      </c>
      <c r="AG315" s="28" t="str">
        <f>MID(VLOOKUP($A315,Seqs!$A:$B,2,FALSE),VLOOKUP($A315,'SegEnds_NonXtal_Prot#'!$A:$AL,28,FALSE)-4,1)</f>
        <v>P</v>
      </c>
      <c r="AH315" s="49" t="str">
        <f>MID(VLOOKUP($A315,Seqs!$A:$B,2,FALSE),VLOOKUP($A315,'SegEnds_NonXtal_Prot#'!$A:$AL,28,FALSE),1)</f>
        <v>I</v>
      </c>
    </row>
    <row r="316" spans="1:34" s="2" customFormat="1" x14ac:dyDescent="0.2">
      <c r="A316" s="2" t="s">
        <v>1178</v>
      </c>
      <c r="B316" s="2" t="str">
        <f>LOWER(VLOOKUP(A316,Xtal_Templ!A:B,2,FALSE))</f>
        <v>crfr1_human</v>
      </c>
      <c r="C316" s="2" t="str">
        <f>VLOOKUP(A316,Classification!A:D,2,FALSE)</f>
        <v>B2</v>
      </c>
      <c r="D316" s="2" t="str">
        <f>IF(ISERROR(MATCH(A316,'SegEnds_Xtal_Prot#'!B:B, 0)), "NoXtal", "Xtal")</f>
        <v>NoXtal</v>
      </c>
      <c r="H316" s="4"/>
      <c r="J316" s="106" t="s">
        <v>25</v>
      </c>
      <c r="T316" s="4" t="s">
        <v>12</v>
      </c>
      <c r="V316" s="28" t="str">
        <f>MID(VLOOKUP($A316,Seqs!$A:$B,2,FALSE),VLOOKUP($A316,'SegEnds_NonXtal_Prot#'!A:AL,10,FALSE),1)</f>
        <v>F</v>
      </c>
      <c r="W316" s="49" t="str">
        <f>MID(VLOOKUP($A316,Seqs!$A:$B,2,FALSE),VLOOKUP($A316,'SegEnds_NonXtal_Prot#'!A:AL,10,FALSE)+6,1)</f>
        <v>S</v>
      </c>
      <c r="X316" s="49" t="str">
        <f>MID(VLOOKUP($A316,Seqs!$A:$B,2,FALSE),VLOOKUP($A316,'SegEnds_NonXtal_Prot#'!A:AL,10,FALSE)+7,1)</f>
        <v>A</v>
      </c>
      <c r="Y316" s="49" t="str">
        <f>MID(VLOOKUP($A316,Seqs!$A:$B,2,FALSE),VLOOKUP($A316,'SegEnds_NonXtal_Prot#'!A:AL,10,FALSE)+8,1)</f>
        <v>V</v>
      </c>
      <c r="Z316" s="49" t="str">
        <f>MID(VLOOKUP($A316,Seqs!$A:$B,2,FALSE),VLOOKUP($A316,'SegEnds_NonXtal_Prot#'!A:AL,10,FALSE)+9,1)</f>
        <v>F</v>
      </c>
      <c r="AA316" s="49" t="str">
        <f>MID(VLOOKUP($A316,Seqs!$A:$B,2,FALSE),VLOOKUP($A316,'SegEnds_NonXtal_Prot#'!A:AL,10,FALSE)+10,1)</f>
        <v>A</v>
      </c>
      <c r="AB316" s="28" t="str">
        <f>MID(VLOOKUP($A316,Seqs!$A:$B,2,FALSE),VLOOKUP($A316,'SegEnds_NonXtal_Prot#'!$A:$AL,22,FALSE)+6,1)</f>
        <v>I</v>
      </c>
      <c r="AC316" s="49" t="str">
        <f>MID(VLOOKUP($A316,Seqs!$A:$B,2,FALSE),VLOOKUP($A316,'SegEnds_NonXtal_Prot#'!$A:$AL,22,FALSE)+7,1)</f>
        <v>C</v>
      </c>
      <c r="AD316" s="49" t="str">
        <f>MID(VLOOKUP($A316,Seqs!$A:$B,2,FALSE),VLOOKUP($A316,'SegEnds_NonXtal_Prot#'!$A:$AL,22,FALSE)+8,1)</f>
        <v>G</v>
      </c>
      <c r="AE316" s="49" t="str">
        <f>MID(VLOOKUP($A316,Seqs!$A:$B,2,FALSE),VLOOKUP($A316,'SegEnds_NonXtal_Prot#'!$A:$AL,22,FALSE)+9,1)</f>
        <v>I</v>
      </c>
      <c r="AF316" s="49" t="str">
        <f>MID(VLOOKUP($A316,Seqs!$A:$B,2,FALSE),VLOOKUP($A316,'SegEnds_NonXtal_Prot#'!$A:$AL,22,FALSE)+10,1)</f>
        <v>T</v>
      </c>
      <c r="AG316" s="28" t="str">
        <f>MID(VLOOKUP($A316,Seqs!$A:$B,2,FALSE),VLOOKUP($A316,'SegEnds_NonXtal_Prot#'!$A:$AL,28,FALSE)-4,1)</f>
        <v>P</v>
      </c>
      <c r="AH316" s="49" t="str">
        <f>MID(VLOOKUP($A316,Seqs!$A:$B,2,FALSE),VLOOKUP($A316,'SegEnds_NonXtal_Prot#'!$A:$AL,28,FALSE),1)</f>
        <v>I</v>
      </c>
    </row>
    <row r="317" spans="1:34" s="2" customFormat="1" x14ac:dyDescent="0.2">
      <c r="A317" s="2" t="s">
        <v>1179</v>
      </c>
      <c r="B317" s="2" t="str">
        <f>LOWER(VLOOKUP(A317,Xtal_Templ!A:B,2,FALSE))</f>
        <v>crfr1_human</v>
      </c>
      <c r="C317" s="2" t="str">
        <f>VLOOKUP(A317,Classification!A:D,2,FALSE)</f>
        <v>B2</v>
      </c>
      <c r="D317" s="2" t="str">
        <f>IF(ISERROR(MATCH(A317,'SegEnds_Xtal_Prot#'!B:B, 0)), "NoXtal", "Xtal")</f>
        <v>NoXtal</v>
      </c>
      <c r="H317" s="4"/>
      <c r="J317" s="106" t="s">
        <v>25</v>
      </c>
      <c r="T317" s="4" t="s">
        <v>12</v>
      </c>
      <c r="V317" s="28" t="str">
        <f>MID(VLOOKUP($A317,Seqs!$A:$B,2,FALSE),VLOOKUP($A317,'SegEnds_NonXtal_Prot#'!A:AL,10,FALSE),1)</f>
        <v>F</v>
      </c>
      <c r="W317" s="49" t="str">
        <f>MID(VLOOKUP($A317,Seqs!$A:$B,2,FALSE),VLOOKUP($A317,'SegEnds_NonXtal_Prot#'!A:AL,10,FALSE)+6,1)</f>
        <v>C</v>
      </c>
      <c r="X317" s="49" t="str">
        <f>MID(VLOOKUP($A317,Seqs!$A:$B,2,FALSE),VLOOKUP($A317,'SegEnds_NonXtal_Prot#'!A:AL,10,FALSE)+7,1)</f>
        <v>V</v>
      </c>
      <c r="Y317" s="49" t="str">
        <f>MID(VLOOKUP($A317,Seqs!$A:$B,2,FALSE),VLOOKUP($A317,'SegEnds_NonXtal_Prot#'!A:AL,10,FALSE)+8,1)</f>
        <v>V</v>
      </c>
      <c r="Z317" s="49" t="str">
        <f>MID(VLOOKUP($A317,Seqs!$A:$B,2,FALSE),VLOOKUP($A317,'SegEnds_NonXtal_Prot#'!A:AL,10,FALSE)+9,1)</f>
        <v>F</v>
      </c>
      <c r="AA317" s="49" t="str">
        <f>MID(VLOOKUP($A317,Seqs!$A:$B,2,FALSE),VLOOKUP($A317,'SegEnds_NonXtal_Prot#'!A:AL,10,FALSE)+10,1)</f>
        <v>V</v>
      </c>
      <c r="AB317" s="28" t="str">
        <f>MID(VLOOKUP($A317,Seqs!$A:$B,2,FALSE),VLOOKUP($A317,'SegEnds_NonXtal_Prot#'!$A:$AL,22,FALSE)+6,1)</f>
        <v>V</v>
      </c>
      <c r="AC317" s="49" t="str">
        <f>MID(VLOOKUP($A317,Seqs!$A:$B,2,FALSE),VLOOKUP($A317,'SegEnds_NonXtal_Prot#'!$A:$AL,22,FALSE)+7,1)</f>
        <v>C</v>
      </c>
      <c r="AD317" s="49" t="str">
        <f>MID(VLOOKUP($A317,Seqs!$A:$B,2,FALSE),VLOOKUP($A317,'SegEnds_NonXtal_Prot#'!$A:$AL,22,FALSE)+8,1)</f>
        <v>G</v>
      </c>
      <c r="AE317" s="49" t="str">
        <f>MID(VLOOKUP($A317,Seqs!$A:$B,2,FALSE),VLOOKUP($A317,'SegEnds_NonXtal_Prot#'!$A:$AL,22,FALSE)+9,1)</f>
        <v>I</v>
      </c>
      <c r="AF317" s="49" t="str">
        <f>MID(VLOOKUP($A317,Seqs!$A:$B,2,FALSE),VLOOKUP($A317,'SegEnds_NonXtal_Prot#'!$A:$AL,22,FALSE)+10,1)</f>
        <v>T</v>
      </c>
      <c r="AG317" s="28" t="str">
        <f>MID(VLOOKUP($A317,Seqs!$A:$B,2,FALSE),VLOOKUP($A317,'SegEnds_NonXtal_Prot#'!$A:$AL,28,FALSE)-4,1)</f>
        <v>P</v>
      </c>
      <c r="AH317" s="49" t="str">
        <f>MID(VLOOKUP($A317,Seqs!$A:$B,2,FALSE),VLOOKUP($A317,'SegEnds_NonXtal_Prot#'!$A:$AL,28,FALSE),1)</f>
        <v>I</v>
      </c>
    </row>
    <row r="318" spans="1:34" s="2" customFormat="1" x14ac:dyDescent="0.2">
      <c r="A318" s="2" t="s">
        <v>1180</v>
      </c>
      <c r="B318" s="2" t="str">
        <f>LOWER(VLOOKUP(A318,Xtal_Templ!A:B,2,FALSE))</f>
        <v>crfr1_human</v>
      </c>
      <c r="C318" s="2" t="str">
        <f>VLOOKUP(A318,Classification!A:D,2,FALSE)</f>
        <v>B2</v>
      </c>
      <c r="D318" s="2" t="str">
        <f>IF(ISERROR(MATCH(A318,'SegEnds_Xtal_Prot#'!B:B, 0)), "NoXtal", "Xtal")</f>
        <v>NoXtal</v>
      </c>
      <c r="H318" s="4"/>
      <c r="J318" s="106" t="s">
        <v>25</v>
      </c>
      <c r="T318" s="4" t="s">
        <v>12</v>
      </c>
      <c r="V318" s="28" t="str">
        <f>MID(VLOOKUP($A318,Seqs!$A:$B,2,FALSE),VLOOKUP($A318,'SegEnds_NonXtal_Prot#'!A:AL,10,FALSE),1)</f>
        <v>I</v>
      </c>
      <c r="W318" s="49" t="str">
        <f>MID(VLOOKUP($A318,Seqs!$A:$B,2,FALSE),VLOOKUP($A318,'SegEnds_NonXtal_Prot#'!A:AL,10,FALSE)+6,1)</f>
        <v>L</v>
      </c>
      <c r="X318" s="49" t="str">
        <f>MID(VLOOKUP($A318,Seqs!$A:$B,2,FALSE),VLOOKUP($A318,'SegEnds_NonXtal_Prot#'!A:AL,10,FALSE)+7,1)</f>
        <v>I</v>
      </c>
      <c r="Y318" s="49" t="str">
        <f>MID(VLOOKUP($A318,Seqs!$A:$B,2,FALSE),VLOOKUP($A318,'SegEnds_NonXtal_Prot#'!A:AL,10,FALSE)+8,1)</f>
        <v>L</v>
      </c>
      <c r="Z318" s="49" t="str">
        <f>MID(VLOOKUP($A318,Seqs!$A:$B,2,FALSE),VLOOKUP($A318,'SegEnds_NonXtal_Prot#'!A:AL,10,FALSE)+9,1)</f>
        <v>V</v>
      </c>
      <c r="AA318" s="49" t="str">
        <f>MID(VLOOKUP($A318,Seqs!$A:$B,2,FALSE),VLOOKUP($A318,'SegEnds_NonXtal_Prot#'!A:AL,10,FALSE)+10,1)</f>
        <v>G</v>
      </c>
      <c r="AB318" s="28" t="str">
        <f>MID(VLOOKUP($A318,Seqs!$A:$B,2,FALSE),VLOOKUP($A318,'SegEnds_NonXtal_Prot#'!$A:$AL,22,FALSE)+6,1)</f>
        <v>V</v>
      </c>
      <c r="AC318" s="49" t="str">
        <f>MID(VLOOKUP($A318,Seqs!$A:$B,2,FALSE),VLOOKUP($A318,'SegEnds_NonXtal_Prot#'!$A:$AL,22,FALSE)+7,1)</f>
        <v>V</v>
      </c>
      <c r="AD318" s="49" t="str">
        <f>MID(VLOOKUP($A318,Seqs!$A:$B,2,FALSE),VLOOKUP($A318,'SegEnds_NonXtal_Prot#'!$A:$AL,22,FALSE)+8,1)</f>
        <v>A</v>
      </c>
      <c r="AE318" s="49" t="str">
        <f>MID(VLOOKUP($A318,Seqs!$A:$B,2,FALSE),VLOOKUP($A318,'SegEnds_NonXtal_Prot#'!$A:$AL,22,FALSE)+9,1)</f>
        <v>V</v>
      </c>
      <c r="AF318" s="49" t="str">
        <f>MID(VLOOKUP($A318,Seqs!$A:$B,2,FALSE),VLOOKUP($A318,'SegEnds_NonXtal_Prot#'!$A:$AL,22,FALSE)+10,1)</f>
        <v>S</v>
      </c>
      <c r="AG318" s="28" t="str">
        <f>MID(VLOOKUP($A318,Seqs!$A:$B,2,FALSE),VLOOKUP($A318,'SegEnds_NonXtal_Prot#'!$A:$AL,28,FALSE)-4,1)</f>
        <v>P</v>
      </c>
      <c r="AH318" s="49" t="str">
        <f>MID(VLOOKUP($A318,Seqs!$A:$B,2,FALSE),VLOOKUP($A318,'SegEnds_NonXtal_Prot#'!$A:$AL,28,FALSE),1)</f>
        <v>I</v>
      </c>
    </row>
    <row r="319" spans="1:34" s="2" customFormat="1" x14ac:dyDescent="0.2">
      <c r="A319" s="2" t="s">
        <v>1181</v>
      </c>
      <c r="B319" s="2" t="str">
        <f>LOWER(VLOOKUP(A319,Xtal_Templ!A:B,2,FALSE))</f>
        <v>crfr1_human</v>
      </c>
      <c r="C319" s="2" t="str">
        <f>VLOOKUP(A319,Classification!A:D,2,FALSE)</f>
        <v>B2</v>
      </c>
      <c r="D319" s="2" t="str">
        <f>IF(ISERROR(MATCH(A319,'SegEnds_Xtal_Prot#'!B:B, 0)), "NoXtal", "Xtal")</f>
        <v>NoXtal</v>
      </c>
      <c r="H319" s="4"/>
      <c r="J319" s="106" t="s">
        <v>25</v>
      </c>
      <c r="T319" s="4" t="s">
        <v>12</v>
      </c>
      <c r="V319" s="28" t="str">
        <f>MID(VLOOKUP($A319,Seqs!$A:$B,2,FALSE),VLOOKUP($A319,'SegEnds_NonXtal_Prot#'!A:AL,10,FALSE),1)</f>
        <v>I</v>
      </c>
      <c r="W319" s="49" t="str">
        <f>MID(VLOOKUP($A319,Seqs!$A:$B,2,FALSE),VLOOKUP($A319,'SegEnds_NonXtal_Prot#'!A:AL,10,FALSE)+6,1)</f>
        <v>L</v>
      </c>
      <c r="X319" s="49" t="str">
        <f>MID(VLOOKUP($A319,Seqs!$A:$B,2,FALSE),VLOOKUP($A319,'SegEnds_NonXtal_Prot#'!A:AL,10,FALSE)+7,1)</f>
        <v>I</v>
      </c>
      <c r="Y319" s="49" t="str">
        <f>MID(VLOOKUP($A319,Seqs!$A:$B,2,FALSE),VLOOKUP($A319,'SegEnds_NonXtal_Prot#'!A:AL,10,FALSE)+8,1)</f>
        <v>L</v>
      </c>
      <c r="Z319" s="49" t="str">
        <f>MID(VLOOKUP($A319,Seqs!$A:$B,2,FALSE),VLOOKUP($A319,'SegEnds_NonXtal_Prot#'!A:AL,10,FALSE)+9,1)</f>
        <v>V</v>
      </c>
      <c r="AA319" s="49" t="str">
        <f>MID(VLOOKUP($A319,Seqs!$A:$B,2,FALSE),VLOOKUP($A319,'SegEnds_NonXtal_Prot#'!A:AL,10,FALSE)+10,1)</f>
        <v>G</v>
      </c>
      <c r="AB319" s="28" t="str">
        <f>MID(VLOOKUP($A319,Seqs!$A:$B,2,FALSE),VLOOKUP($A319,'SegEnds_NonXtal_Prot#'!$A:$AL,22,FALSE)+6,1)</f>
        <v>V</v>
      </c>
      <c r="AC319" s="49" t="str">
        <f>MID(VLOOKUP($A319,Seqs!$A:$B,2,FALSE),VLOOKUP($A319,'SegEnds_NonXtal_Prot#'!$A:$AL,22,FALSE)+7,1)</f>
        <v>V</v>
      </c>
      <c r="AD319" s="49" t="str">
        <f>MID(VLOOKUP($A319,Seqs!$A:$B,2,FALSE),VLOOKUP($A319,'SegEnds_NonXtal_Prot#'!$A:$AL,22,FALSE)+8,1)</f>
        <v>A</v>
      </c>
      <c r="AE319" s="49" t="str">
        <f>MID(VLOOKUP($A319,Seqs!$A:$B,2,FALSE),VLOOKUP($A319,'SegEnds_NonXtal_Prot#'!$A:$AL,22,FALSE)+9,1)</f>
        <v>T</v>
      </c>
      <c r="AF319" s="49" t="str">
        <f>MID(VLOOKUP($A319,Seqs!$A:$B,2,FALSE),VLOOKUP($A319,'SegEnds_NonXtal_Prot#'!$A:$AL,22,FALSE)+10,1)</f>
        <v>S</v>
      </c>
      <c r="AG319" s="28" t="str">
        <f>MID(VLOOKUP($A319,Seqs!$A:$B,2,FALSE),VLOOKUP($A319,'SegEnds_NonXtal_Prot#'!$A:$AL,28,FALSE)-4,1)</f>
        <v>P</v>
      </c>
      <c r="AH319" s="49" t="str">
        <f>MID(VLOOKUP($A319,Seqs!$A:$B,2,FALSE),VLOOKUP($A319,'SegEnds_NonXtal_Prot#'!$A:$AL,28,FALSE),1)</f>
        <v>V</v>
      </c>
    </row>
    <row r="320" spans="1:34" s="2" customFormat="1" x14ac:dyDescent="0.2">
      <c r="A320" s="2" t="s">
        <v>1182</v>
      </c>
      <c r="B320" s="2" t="str">
        <f>LOWER(VLOOKUP(A320,Xtal_Templ!A:B,2,FALSE))</f>
        <v>crfr1_human</v>
      </c>
      <c r="C320" s="2" t="str">
        <f>VLOOKUP(A320,Classification!A:D,2,FALSE)</f>
        <v>B2</v>
      </c>
      <c r="D320" s="2" t="str">
        <f>IF(ISERROR(MATCH(A320,'SegEnds_Xtal_Prot#'!B:B, 0)), "NoXtal", "Xtal")</f>
        <v>NoXtal</v>
      </c>
      <c r="H320" s="4"/>
      <c r="J320" s="106" t="s">
        <v>25</v>
      </c>
      <c r="T320" s="4" t="s">
        <v>12</v>
      </c>
      <c r="V320" s="28" t="str">
        <f>MID(VLOOKUP($A320,Seqs!$A:$B,2,FALSE),VLOOKUP($A320,'SegEnds_NonXtal_Prot#'!A:AL,10,FALSE),1)</f>
        <v>V</v>
      </c>
      <c r="W320" s="49" t="str">
        <f>MID(VLOOKUP($A320,Seqs!$A:$B,2,FALSE),VLOOKUP($A320,'SegEnds_NonXtal_Prot#'!A:AL,10,FALSE)+6,1)</f>
        <v>L</v>
      </c>
      <c r="X320" s="49" t="str">
        <f>MID(VLOOKUP($A320,Seqs!$A:$B,2,FALSE),VLOOKUP($A320,'SegEnds_NonXtal_Prot#'!A:AL,10,FALSE)+7,1)</f>
        <v>L</v>
      </c>
      <c r="Y320" s="49" t="str">
        <f>MID(VLOOKUP($A320,Seqs!$A:$B,2,FALSE),VLOOKUP($A320,'SegEnds_NonXtal_Prot#'!A:AL,10,FALSE)+8,1)</f>
        <v>L</v>
      </c>
      <c r="Z320" s="49" t="str">
        <f>MID(VLOOKUP($A320,Seqs!$A:$B,2,FALSE),VLOOKUP($A320,'SegEnds_NonXtal_Prot#'!A:AL,10,FALSE)+9,1)</f>
        <v>I</v>
      </c>
      <c r="AA320" s="49" t="str">
        <f>MID(VLOOKUP($A320,Seqs!$A:$B,2,FALSE),VLOOKUP($A320,'SegEnds_NonXtal_Prot#'!A:AL,10,FALSE)+10,1)</f>
        <v>S</v>
      </c>
      <c r="AB320" s="28" t="str">
        <f>MID(VLOOKUP($A320,Seqs!$A:$B,2,FALSE),VLOOKUP($A320,'SegEnds_NonXtal_Prot#'!$A:$AL,22,FALSE)+6,1)</f>
        <v>I</v>
      </c>
      <c r="AC320" s="49" t="str">
        <f>MID(VLOOKUP($A320,Seqs!$A:$B,2,FALSE),VLOOKUP($A320,'SegEnds_NonXtal_Prot#'!$A:$AL,22,FALSE)+7,1)</f>
        <v>C</v>
      </c>
      <c r="AD320" s="49" t="str">
        <f>MID(VLOOKUP($A320,Seqs!$A:$B,2,FALSE),VLOOKUP($A320,'SegEnds_NonXtal_Prot#'!$A:$AL,22,FALSE)+8,1)</f>
        <v>I</v>
      </c>
      <c r="AE320" s="49" t="str">
        <f>MID(VLOOKUP($A320,Seqs!$A:$B,2,FALSE),VLOOKUP($A320,'SegEnds_NonXtal_Prot#'!$A:$AL,22,FALSE)+9,1)</f>
        <v>I</v>
      </c>
      <c r="AF320" s="49" t="str">
        <f>MID(VLOOKUP($A320,Seqs!$A:$B,2,FALSE),VLOOKUP($A320,'SegEnds_NonXtal_Prot#'!$A:$AL,22,FALSE)+10,1)</f>
        <v>S</v>
      </c>
      <c r="AG320" s="28" t="str">
        <f>MID(VLOOKUP($A320,Seqs!$A:$B,2,FALSE),VLOOKUP($A320,'SegEnds_NonXtal_Prot#'!$A:$AL,28,FALSE)-4,1)</f>
        <v>P</v>
      </c>
      <c r="AH320" s="49" t="str">
        <f>MID(VLOOKUP($A320,Seqs!$A:$B,2,FALSE),VLOOKUP($A320,'SegEnds_NonXtal_Prot#'!$A:$AL,28,FALSE),1)</f>
        <v>V</v>
      </c>
    </row>
    <row r="321" spans="1:34" s="2" customFormat="1" x14ac:dyDescent="0.2">
      <c r="A321" s="2" t="s">
        <v>1183</v>
      </c>
      <c r="B321" s="2" t="str">
        <f>LOWER(VLOOKUP(A321,Xtal_Templ!A:B,2,FALSE))</f>
        <v>crfr1_human</v>
      </c>
      <c r="C321" s="2" t="str">
        <f>VLOOKUP(A321,Classification!A:D,2,FALSE)</f>
        <v>B2</v>
      </c>
      <c r="D321" s="2" t="str">
        <f>IF(ISERROR(MATCH(A321,'SegEnds_Xtal_Prot#'!B:B, 0)), "NoXtal", "Xtal")</f>
        <v>NoXtal</v>
      </c>
      <c r="H321" s="4"/>
      <c r="J321" s="106" t="s">
        <v>25</v>
      </c>
      <c r="T321" s="4" t="s">
        <v>12</v>
      </c>
      <c r="V321" s="28" t="str">
        <f>MID(VLOOKUP($A321,Seqs!$A:$B,2,FALSE),VLOOKUP($A321,'SegEnds_NonXtal_Prot#'!A:AL,10,FALSE),1)</f>
        <v>L</v>
      </c>
      <c r="W321" s="49" t="str">
        <f>MID(VLOOKUP($A321,Seqs!$A:$B,2,FALSE),VLOOKUP($A321,'SegEnds_NonXtal_Prot#'!A:AL,10,FALSE)+6,1)</f>
        <v>F</v>
      </c>
      <c r="X321" s="49" t="str">
        <f>MID(VLOOKUP($A321,Seqs!$A:$B,2,FALSE),VLOOKUP($A321,'SegEnds_NonXtal_Prot#'!A:AL,10,FALSE)+7,1)</f>
        <v>L</v>
      </c>
      <c r="Y321" s="49" t="str">
        <f>MID(VLOOKUP($A321,Seqs!$A:$B,2,FALSE),VLOOKUP($A321,'SegEnds_NonXtal_Prot#'!A:AL,10,FALSE)+8,1)</f>
        <v>M</v>
      </c>
      <c r="Z321" s="49" t="str">
        <f>MID(VLOOKUP($A321,Seqs!$A:$B,2,FALSE),VLOOKUP($A321,'SegEnds_NonXtal_Prot#'!A:AL,10,FALSE)+9,1)</f>
        <v>T</v>
      </c>
      <c r="AA321" s="49" t="str">
        <f>MID(VLOOKUP($A321,Seqs!$A:$B,2,FALSE),VLOOKUP($A321,'SegEnds_NonXtal_Prot#'!A:AL,10,FALSE)+10,1)</f>
        <v>S</v>
      </c>
      <c r="AB321" s="28" t="str">
        <f>MID(VLOOKUP($A321,Seqs!$A:$B,2,FALSE),VLOOKUP($A321,'SegEnds_NonXtal_Prot#'!$A:$AL,22,FALSE)+6,1)</f>
        <v>I</v>
      </c>
      <c r="AC321" s="49" t="str">
        <f>MID(VLOOKUP($A321,Seqs!$A:$B,2,FALSE),VLOOKUP($A321,'SegEnds_NonXtal_Prot#'!$A:$AL,22,FALSE)+7,1)</f>
        <v>V</v>
      </c>
      <c r="AD321" s="49" t="str">
        <f>MID(VLOOKUP($A321,Seqs!$A:$B,2,FALSE),VLOOKUP($A321,'SegEnds_NonXtal_Prot#'!$A:$AL,22,FALSE)+8,1)</f>
        <v>A</v>
      </c>
      <c r="AE321" s="49" t="str">
        <f>MID(VLOOKUP($A321,Seqs!$A:$B,2,FALSE),VLOOKUP($A321,'SegEnds_NonXtal_Prot#'!$A:$AL,22,FALSE)+9,1)</f>
        <v>V</v>
      </c>
      <c r="AF321" s="49" t="str">
        <f>MID(VLOOKUP($A321,Seqs!$A:$B,2,FALSE),VLOOKUP($A321,'SegEnds_NonXtal_Prot#'!$A:$AL,22,FALSE)+10,1)</f>
        <v>T</v>
      </c>
      <c r="AG321" s="28" t="str">
        <f>MID(VLOOKUP($A321,Seqs!$A:$B,2,FALSE),VLOOKUP($A321,'SegEnds_NonXtal_Prot#'!$A:$AL,28,FALSE)-4,1)</f>
        <v>P</v>
      </c>
      <c r="AH321" s="49" t="str">
        <f>MID(VLOOKUP($A321,Seqs!$A:$B,2,FALSE),VLOOKUP($A321,'SegEnds_NonXtal_Prot#'!$A:$AL,28,FALSE),1)</f>
        <v>V</v>
      </c>
    </row>
    <row r="322" spans="1:34" s="2" customFormat="1" x14ac:dyDescent="0.2">
      <c r="A322" s="2" t="s">
        <v>1184</v>
      </c>
      <c r="B322" s="2" t="str">
        <f>LOWER(VLOOKUP(A322,Xtal_Templ!A:B,2,FALSE))</f>
        <v>pth1r_human</v>
      </c>
      <c r="C322" s="2" t="str">
        <f>VLOOKUP(A322,Classification!A:D,2,FALSE)</f>
        <v>B2</v>
      </c>
      <c r="D322" s="2" t="str">
        <f>IF(ISERROR(MATCH(A322,'SegEnds_Xtal_Prot#'!B:B, 0)), "NoXtal", "Xtal")</f>
        <v>NoXtal</v>
      </c>
      <c r="H322" s="4"/>
      <c r="J322" s="106" t="s">
        <v>25</v>
      </c>
      <c r="T322" s="4" t="s">
        <v>12</v>
      </c>
      <c r="V322" s="28" t="str">
        <f>MID(VLOOKUP($A322,Seqs!$A:$B,2,FALSE),VLOOKUP($A322,'SegEnds_NonXtal_Prot#'!A:AL,10,FALSE),1)</f>
        <v>L</v>
      </c>
      <c r="W322" s="49" t="str">
        <f>MID(VLOOKUP($A322,Seqs!$A:$B,2,FALSE),VLOOKUP($A322,'SegEnds_NonXtal_Prot#'!A:AL,10,FALSE)+6,1)</f>
        <v>L</v>
      </c>
      <c r="X322" s="49" t="str">
        <f>MID(VLOOKUP($A322,Seqs!$A:$B,2,FALSE),VLOOKUP($A322,'SegEnds_NonXtal_Prot#'!A:AL,10,FALSE)+7,1)</f>
        <v>F</v>
      </c>
      <c r="Y322" s="49" t="str">
        <f>MID(VLOOKUP($A322,Seqs!$A:$B,2,FALSE),VLOOKUP($A322,'SegEnds_NonXtal_Prot#'!A:AL,10,FALSE)+8,1)</f>
        <v>L</v>
      </c>
      <c r="Z322" s="49" t="str">
        <f>MID(VLOOKUP($A322,Seqs!$A:$B,2,FALSE),VLOOKUP($A322,'SegEnds_NonXtal_Prot#'!A:AL,10,FALSE)+9,1)</f>
        <v>A</v>
      </c>
      <c r="AA322" s="49" t="str">
        <f>MID(VLOOKUP($A322,Seqs!$A:$B,2,FALSE),VLOOKUP($A322,'SegEnds_NonXtal_Prot#'!A:AL,10,FALSE)+10,1)</f>
        <v>G</v>
      </c>
      <c r="AB322" s="28" t="str">
        <f>MID(VLOOKUP($A322,Seqs!$A:$B,2,FALSE),VLOOKUP($A322,'SegEnds_NonXtal_Prot#'!$A:$AL,22,FALSE)+6,1)</f>
        <v>V</v>
      </c>
      <c r="AC322" s="49" t="str">
        <f>MID(VLOOKUP($A322,Seqs!$A:$B,2,FALSE),VLOOKUP($A322,'SegEnds_NonXtal_Prot#'!$A:$AL,22,FALSE)+7,1)</f>
        <v>V</v>
      </c>
      <c r="AD322" s="49" t="str">
        <f>MID(VLOOKUP($A322,Seqs!$A:$B,2,FALSE),VLOOKUP($A322,'SegEnds_NonXtal_Prot#'!$A:$AL,22,FALSE)+8,1)</f>
        <v>V</v>
      </c>
      <c r="AE322" s="49" t="str">
        <f>MID(VLOOKUP($A322,Seqs!$A:$B,2,FALSE),VLOOKUP($A322,'SegEnds_NonXtal_Prot#'!$A:$AL,22,FALSE)+9,1)</f>
        <v>I</v>
      </c>
      <c r="AF322" s="49" t="str">
        <f>MID(VLOOKUP($A322,Seqs!$A:$B,2,FALSE),VLOOKUP($A322,'SegEnds_NonXtal_Prot#'!$A:$AL,22,FALSE)+10,1)</f>
        <v>S</v>
      </c>
      <c r="AG322" s="28" t="str">
        <f>MID(VLOOKUP($A322,Seqs!$A:$B,2,FALSE),VLOOKUP($A322,'SegEnds_NonXtal_Prot#'!$A:$AL,28,FALSE)-4,1)</f>
        <v>P</v>
      </c>
      <c r="AH322" s="49" t="str">
        <f>MID(VLOOKUP($A322,Seqs!$A:$B,2,FALSE),VLOOKUP($A322,'SegEnds_NonXtal_Prot#'!$A:$AL,28,FALSE),1)</f>
        <v>V</v>
      </c>
    </row>
    <row r="323" spans="1:34" s="2" customFormat="1" x14ac:dyDescent="0.2">
      <c r="A323" s="2" t="s">
        <v>1185</v>
      </c>
      <c r="B323" s="2" t="str">
        <f>LOWER(VLOOKUP(A323,Xtal_Templ!A:B,2,FALSE))</f>
        <v>glp1r_human</v>
      </c>
      <c r="C323" s="2" t="str">
        <f>VLOOKUP(A323,Classification!A:D,2,FALSE)</f>
        <v>B2</v>
      </c>
      <c r="D323" s="2" t="str">
        <f>IF(ISERROR(MATCH(A323,'SegEnds_Xtal_Prot#'!B:B, 0)), "NoXtal", "Xtal")</f>
        <v>NoXtal</v>
      </c>
      <c r="H323" s="4"/>
      <c r="J323" s="106" t="s">
        <v>25</v>
      </c>
      <c r="T323" s="4" t="s">
        <v>12</v>
      </c>
      <c r="V323" s="28" t="str">
        <f>MID(VLOOKUP($A323,Seqs!$A:$B,2,FALSE),VLOOKUP($A323,'SegEnds_NonXtal_Prot#'!A:AL,10,FALSE),1)</f>
        <v>L</v>
      </c>
      <c r="W323" s="49" t="str">
        <f>MID(VLOOKUP($A323,Seqs!$A:$B,2,FALSE),VLOOKUP($A323,'SegEnds_NonXtal_Prot#'!A:AL,10,FALSE)+6,1)</f>
        <v>L</v>
      </c>
      <c r="X323" s="49" t="str">
        <f>MID(VLOOKUP($A323,Seqs!$A:$B,2,FALSE),VLOOKUP($A323,'SegEnds_NonXtal_Prot#'!A:AL,10,FALSE)+7,1)</f>
        <v>F</v>
      </c>
      <c r="Y323" s="49" t="str">
        <f>MID(VLOOKUP($A323,Seqs!$A:$B,2,FALSE),VLOOKUP($A323,'SegEnds_NonXtal_Prot#'!A:AL,10,FALSE)+8,1)</f>
        <v>L</v>
      </c>
      <c r="Z323" s="49" t="str">
        <f>MID(VLOOKUP($A323,Seqs!$A:$B,2,FALSE),VLOOKUP($A323,'SegEnds_NonXtal_Prot#'!A:AL,10,FALSE)+9,1)</f>
        <v>V</v>
      </c>
      <c r="AA323" s="49" t="str">
        <f>MID(VLOOKUP($A323,Seqs!$A:$B,2,FALSE),VLOOKUP($A323,'SegEnds_NonXtal_Prot#'!A:AL,10,FALSE)+10,1)</f>
        <v>A</v>
      </c>
      <c r="AB323" s="28" t="str">
        <f>MID(VLOOKUP($A323,Seqs!$A:$B,2,FALSE),VLOOKUP($A323,'SegEnds_NonXtal_Prot#'!$A:$AL,22,FALSE)+6,1)</f>
        <v>T</v>
      </c>
      <c r="AC323" s="49" t="str">
        <f>MID(VLOOKUP($A323,Seqs!$A:$B,2,FALSE),VLOOKUP($A323,'SegEnds_NonXtal_Prot#'!$A:$AL,22,FALSE)+7,1)</f>
        <v>V</v>
      </c>
      <c r="AD323" s="49" t="str">
        <f>MID(VLOOKUP($A323,Seqs!$A:$B,2,FALSE),VLOOKUP($A323,'SegEnds_NonXtal_Prot#'!$A:$AL,22,FALSE)+8,1)</f>
        <v>A</v>
      </c>
      <c r="AE323" s="49" t="str">
        <f>MID(VLOOKUP($A323,Seqs!$A:$B,2,FALSE),VLOOKUP($A323,'SegEnds_NonXtal_Prot#'!$A:$AL,22,FALSE)+9,1)</f>
        <v>I</v>
      </c>
      <c r="AF323" s="49" t="str">
        <f>MID(VLOOKUP($A323,Seqs!$A:$B,2,FALSE),VLOOKUP($A323,'SegEnds_NonXtal_Prot#'!$A:$AL,22,FALSE)+10,1)</f>
        <v>S</v>
      </c>
      <c r="AG323" s="28" t="str">
        <f>MID(VLOOKUP($A323,Seqs!$A:$B,2,FALSE),VLOOKUP($A323,'SegEnds_NonXtal_Prot#'!$A:$AL,28,FALSE)-4,1)</f>
        <v>P</v>
      </c>
      <c r="AH323" s="49" t="str">
        <f>MID(VLOOKUP($A323,Seqs!$A:$B,2,FALSE),VLOOKUP($A323,'SegEnds_NonXtal_Prot#'!$A:$AL,28,FALSE),1)</f>
        <v>I</v>
      </c>
    </row>
    <row r="324" spans="1:34" s="2" customFormat="1" x14ac:dyDescent="0.2">
      <c r="A324" s="2" t="s">
        <v>1186</v>
      </c>
      <c r="B324" s="2" t="str">
        <f>LOWER(VLOOKUP(A324,Xtal_Templ!A:B,2,FALSE))</f>
        <v>pth1r_human</v>
      </c>
      <c r="C324" s="2" t="str">
        <f>VLOOKUP(A324,Classification!A:D,2,FALSE)</f>
        <v>B2</v>
      </c>
      <c r="D324" s="2" t="str">
        <f>IF(ISERROR(MATCH(A324,'SegEnds_Xtal_Prot#'!B:B, 0)), "NoXtal", "Xtal")</f>
        <v>NoXtal</v>
      </c>
      <c r="H324" s="4"/>
      <c r="J324" s="106" t="s">
        <v>25</v>
      </c>
      <c r="T324" s="4" t="s">
        <v>12</v>
      </c>
      <c r="V324" s="28" t="str">
        <f>MID(VLOOKUP($A324,Seqs!$A:$B,2,FALSE),VLOOKUP($A324,'SegEnds_NonXtal_Prot#'!A:AL,10,FALSE),1)</f>
        <v>L</v>
      </c>
      <c r="W324" s="49" t="str">
        <f>MID(VLOOKUP($A324,Seqs!$A:$B,2,FALSE),VLOOKUP($A324,'SegEnds_NonXtal_Prot#'!A:AL,10,FALSE)+6,1)</f>
        <v>L</v>
      </c>
      <c r="X324" s="49" t="str">
        <f>MID(VLOOKUP($A324,Seqs!$A:$B,2,FALSE),VLOOKUP($A324,'SegEnds_NonXtal_Prot#'!A:AL,10,FALSE)+7,1)</f>
        <v>F</v>
      </c>
      <c r="Y324" s="49" t="str">
        <f>MID(VLOOKUP($A324,Seqs!$A:$B,2,FALSE),VLOOKUP($A324,'SegEnds_NonXtal_Prot#'!A:AL,10,FALSE)+8,1)</f>
        <v>L</v>
      </c>
      <c r="Z324" s="49" t="str">
        <f>MID(VLOOKUP($A324,Seqs!$A:$B,2,FALSE),VLOOKUP($A324,'SegEnds_NonXtal_Prot#'!A:AL,10,FALSE)+9,1)</f>
        <v>V</v>
      </c>
      <c r="AA324" s="49" t="str">
        <f>MID(VLOOKUP($A324,Seqs!$A:$B,2,FALSE),VLOOKUP($A324,'SegEnds_NonXtal_Prot#'!A:AL,10,FALSE)+10,1)</f>
        <v>G</v>
      </c>
      <c r="AB324" s="28" t="str">
        <f>MID(VLOOKUP($A324,Seqs!$A:$B,2,FALSE),VLOOKUP($A324,'SegEnds_NonXtal_Prot#'!$A:$AL,22,FALSE)+6,1)</f>
        <v>T</v>
      </c>
      <c r="AC324" s="49" t="str">
        <f>MID(VLOOKUP($A324,Seqs!$A:$B,2,FALSE),VLOOKUP($A324,'SegEnds_NonXtal_Prot#'!$A:$AL,22,FALSE)+7,1)</f>
        <v>V</v>
      </c>
      <c r="AD324" s="49" t="str">
        <f>MID(VLOOKUP($A324,Seqs!$A:$B,2,FALSE),VLOOKUP($A324,'SegEnds_NonXtal_Prot#'!$A:$AL,22,FALSE)+8,1)</f>
        <v>A</v>
      </c>
      <c r="AE324" s="49" t="str">
        <f>MID(VLOOKUP($A324,Seqs!$A:$B,2,FALSE),VLOOKUP($A324,'SegEnds_NonXtal_Prot#'!$A:$AL,22,FALSE)+9,1)</f>
        <v>I</v>
      </c>
      <c r="AF324" s="49" t="str">
        <f>MID(VLOOKUP($A324,Seqs!$A:$B,2,FALSE),VLOOKUP($A324,'SegEnds_NonXtal_Prot#'!$A:$AL,22,FALSE)+10,1)</f>
        <v>S</v>
      </c>
      <c r="AG324" s="28" t="str">
        <f>MID(VLOOKUP($A324,Seqs!$A:$B,2,FALSE),VLOOKUP($A324,'SegEnds_NonXtal_Prot#'!$A:$AL,28,FALSE)-4,1)</f>
        <v>P</v>
      </c>
      <c r="AH324" s="49" t="str">
        <f>MID(VLOOKUP($A324,Seqs!$A:$B,2,FALSE),VLOOKUP($A324,'SegEnds_NonXtal_Prot#'!$A:$AL,28,FALSE),1)</f>
        <v>I</v>
      </c>
    </row>
    <row r="325" spans="1:34" s="2" customFormat="1" x14ac:dyDescent="0.2">
      <c r="A325" s="2" t="s">
        <v>1187</v>
      </c>
      <c r="B325" s="2" t="str">
        <f>LOWER(VLOOKUP(A325,Xtal_Templ!A:B,2,FALSE))</f>
        <v>glp1r_human</v>
      </c>
      <c r="C325" s="2" t="str">
        <f>VLOOKUP(A325,Classification!A:D,2,FALSE)</f>
        <v>B2</v>
      </c>
      <c r="D325" s="2" t="str">
        <f>IF(ISERROR(MATCH(A325,'SegEnds_Xtal_Prot#'!B:B, 0)), "NoXtal", "Xtal")</f>
        <v>NoXtal</v>
      </c>
      <c r="H325" s="4"/>
      <c r="J325" s="106" t="s">
        <v>25</v>
      </c>
      <c r="T325" s="4" t="s">
        <v>12</v>
      </c>
      <c r="V325" s="28" t="str">
        <f>MID(VLOOKUP($A325,Seqs!$A:$B,2,FALSE),VLOOKUP($A325,'SegEnds_NonXtal_Prot#'!A:AL,10,FALSE),1)</f>
        <v>L</v>
      </c>
      <c r="W325" s="49" t="str">
        <f>MID(VLOOKUP($A325,Seqs!$A:$B,2,FALSE),VLOOKUP($A325,'SegEnds_NonXtal_Prot#'!A:AL,10,FALSE)+6,1)</f>
        <v>L</v>
      </c>
      <c r="X325" s="49" t="str">
        <f>MID(VLOOKUP($A325,Seqs!$A:$B,2,FALSE),VLOOKUP($A325,'SegEnds_NonXtal_Prot#'!A:AL,10,FALSE)+7,1)</f>
        <v>F</v>
      </c>
      <c r="Y325" s="49" t="str">
        <f>MID(VLOOKUP($A325,Seqs!$A:$B,2,FALSE),VLOOKUP($A325,'SegEnds_NonXtal_Prot#'!A:AL,10,FALSE)+8,1)</f>
        <v>L</v>
      </c>
      <c r="Z325" s="49" t="str">
        <f>MID(VLOOKUP($A325,Seqs!$A:$B,2,FALSE),VLOOKUP($A325,'SegEnds_NonXtal_Prot#'!A:AL,10,FALSE)+9,1)</f>
        <v>T</v>
      </c>
      <c r="AA325" s="49" t="str">
        <f>MID(VLOOKUP($A325,Seqs!$A:$B,2,FALSE),VLOOKUP($A325,'SegEnds_NonXtal_Prot#'!A:AL,10,FALSE)+10,1)</f>
        <v>G</v>
      </c>
      <c r="AB325" s="28" t="str">
        <f>MID(VLOOKUP($A325,Seqs!$A:$B,2,FALSE),VLOOKUP($A325,'SegEnds_NonXtal_Prot#'!$A:$AL,22,FALSE)+6,1)</f>
        <v>I</v>
      </c>
      <c r="AC325" s="49" t="str">
        <f>MID(VLOOKUP($A325,Seqs!$A:$B,2,FALSE),VLOOKUP($A325,'SegEnds_NonXtal_Prot#'!$A:$AL,22,FALSE)+7,1)</f>
        <v>I</v>
      </c>
      <c r="AD325" s="49" t="str">
        <f>MID(VLOOKUP($A325,Seqs!$A:$B,2,FALSE),VLOOKUP($A325,'SegEnds_NonXtal_Prot#'!$A:$AL,22,FALSE)+8,1)</f>
        <v>A</v>
      </c>
      <c r="AE325" s="49" t="str">
        <f>MID(VLOOKUP($A325,Seqs!$A:$B,2,FALSE),VLOOKUP($A325,'SegEnds_NonXtal_Prot#'!$A:$AL,22,FALSE)+9,1)</f>
        <v>V</v>
      </c>
      <c r="AF325" s="49" t="str">
        <f>MID(VLOOKUP($A325,Seqs!$A:$B,2,FALSE),VLOOKUP($A325,'SegEnds_NonXtal_Prot#'!$A:$AL,22,FALSE)+10,1)</f>
        <v>S</v>
      </c>
      <c r="AG325" s="28" t="str">
        <f>MID(VLOOKUP($A325,Seqs!$A:$B,2,FALSE),VLOOKUP($A325,'SegEnds_NonXtal_Prot#'!$A:$AL,28,FALSE)-4,1)</f>
        <v>P</v>
      </c>
      <c r="AH325" s="49" t="str">
        <f>MID(VLOOKUP($A325,Seqs!$A:$B,2,FALSE),VLOOKUP($A325,'SegEnds_NonXtal_Prot#'!$A:$AL,28,FALSE),1)</f>
        <v>I</v>
      </c>
    </row>
    <row r="326" spans="1:34" s="2" customFormat="1" x14ac:dyDescent="0.2">
      <c r="A326" s="2" t="s">
        <v>1188</v>
      </c>
      <c r="B326" s="2" t="str">
        <f>LOWER(VLOOKUP(A326,Xtal_Templ!A:B,2,FALSE))</f>
        <v>pth1r_human</v>
      </c>
      <c r="C326" s="2" t="str">
        <f>VLOOKUP(A326,Classification!A:D,2,FALSE)</f>
        <v>B2</v>
      </c>
      <c r="D326" s="2" t="str">
        <f>IF(ISERROR(MATCH(A326,'SegEnds_Xtal_Prot#'!B:B, 0)), "NoXtal", "Xtal")</f>
        <v>NoXtal</v>
      </c>
      <c r="H326" s="4"/>
      <c r="J326" s="106" t="s">
        <v>25</v>
      </c>
      <c r="T326" s="4" t="s">
        <v>12</v>
      </c>
      <c r="V326" s="28" t="str">
        <f>MID(VLOOKUP($A326,Seqs!$A:$B,2,FALSE),VLOOKUP($A326,'SegEnds_NonXtal_Prot#'!A:AL,10,FALSE),1)</f>
        <v>A</v>
      </c>
      <c r="W326" s="49" t="str">
        <f>MID(VLOOKUP($A326,Seqs!$A:$B,2,FALSE),VLOOKUP($A326,'SegEnds_NonXtal_Prot#'!A:AL,10,FALSE)+6,1)</f>
        <v>A</v>
      </c>
      <c r="X326" s="49" t="str">
        <f>MID(VLOOKUP($A326,Seqs!$A:$B,2,FALSE),VLOOKUP($A326,'SegEnds_NonXtal_Prot#'!A:AL,10,FALSE)+7,1)</f>
        <v>D</v>
      </c>
      <c r="Y326" s="49" t="str">
        <f>MID(VLOOKUP($A326,Seqs!$A:$B,2,FALSE),VLOOKUP($A326,'SegEnds_NonXtal_Prot#'!A:AL,10,FALSE)+8,1)</f>
        <v>V</v>
      </c>
      <c r="Z326" s="49" t="str">
        <f>MID(VLOOKUP($A326,Seqs!$A:$B,2,FALSE),VLOOKUP($A326,'SegEnds_NonXtal_Prot#'!A:AL,10,FALSE)+9,1)</f>
        <v>W</v>
      </c>
      <c r="AA326" s="49" t="str">
        <f>MID(VLOOKUP($A326,Seqs!$A:$B,2,FALSE),VLOOKUP($A326,'SegEnds_NonXtal_Prot#'!A:AL,10,FALSE)+10,1)</f>
        <v>F</v>
      </c>
      <c r="AB326" s="28" t="str">
        <f>MID(VLOOKUP($A326,Seqs!$A:$B,2,FALSE),VLOOKUP($A326,'SegEnds_NonXtal_Prot#'!$A:$AL,22,FALSE)+6,1)</f>
        <v>I</v>
      </c>
      <c r="AC326" s="49" t="str">
        <f>MID(VLOOKUP($A326,Seqs!$A:$B,2,FALSE),VLOOKUP($A326,'SegEnds_NonXtal_Prot#'!$A:$AL,22,FALSE)+7,1)</f>
        <v>S</v>
      </c>
      <c r="AD326" s="49" t="str">
        <f>MID(VLOOKUP($A326,Seqs!$A:$B,2,FALSE),VLOOKUP($A326,'SegEnds_NonXtal_Prot#'!$A:$AL,22,FALSE)+8,1)</f>
        <v>V</v>
      </c>
      <c r="AE326" s="49" t="str">
        <f>MID(VLOOKUP($A326,Seqs!$A:$B,2,FALSE),VLOOKUP($A326,'SegEnds_NonXtal_Prot#'!$A:$AL,22,FALSE)+9,1)</f>
        <v>I</v>
      </c>
      <c r="AF326" s="49" t="str">
        <f>MID(VLOOKUP($A326,Seqs!$A:$B,2,FALSE),VLOOKUP($A326,'SegEnds_NonXtal_Prot#'!$A:$AL,22,FALSE)+10,1)</f>
        <v>T</v>
      </c>
      <c r="AG326" s="28" t="str">
        <f>MID(VLOOKUP($A326,Seqs!$A:$B,2,FALSE),VLOOKUP($A326,'SegEnds_NonXtal_Prot#'!$A:$AL,28,FALSE)-4,1)</f>
        <v>P</v>
      </c>
      <c r="AH326" s="49" t="str">
        <f>MID(VLOOKUP($A326,Seqs!$A:$B,2,FALSE),VLOOKUP($A326,'SegEnds_NonXtal_Prot#'!$A:$AL,28,FALSE),1)</f>
        <v>I</v>
      </c>
    </row>
    <row r="327" spans="1:34" s="2" customFormat="1" x14ac:dyDescent="0.2">
      <c r="A327" s="2" t="s">
        <v>1189</v>
      </c>
      <c r="B327" s="2" t="str">
        <f>LOWER(VLOOKUP(A327,Xtal_Templ!A:B,2,FALSE))</f>
        <v>calrl_human</v>
      </c>
      <c r="C327" s="2" t="str">
        <f>VLOOKUP(A327,Classification!A:D,2,FALSE)</f>
        <v>B2</v>
      </c>
      <c r="D327" s="2" t="str">
        <f>IF(ISERROR(MATCH(A327,'SegEnds_Xtal_Prot#'!B:B, 0)), "NoXtal", "Xtal")</f>
        <v>NoXtal</v>
      </c>
      <c r="H327" s="4"/>
      <c r="J327" s="106" t="s">
        <v>25</v>
      </c>
      <c r="T327" s="4" t="s">
        <v>12</v>
      </c>
      <c r="V327" s="28" t="str">
        <f>MID(VLOOKUP($A327,Seqs!$A:$B,2,FALSE),VLOOKUP($A327,'SegEnds_NonXtal_Prot#'!A:AL,10,FALSE),1)</f>
        <v>A</v>
      </c>
      <c r="W327" s="49" t="str">
        <f>MID(VLOOKUP($A327,Seqs!$A:$B,2,FALSE),VLOOKUP($A327,'SegEnds_NonXtal_Prot#'!A:AL,10,FALSE)+6,1)</f>
        <v>A</v>
      </c>
      <c r="X327" s="49" t="str">
        <f>MID(VLOOKUP($A327,Seqs!$A:$B,2,FALSE),VLOOKUP($A327,'SegEnds_NonXtal_Prot#'!A:AL,10,FALSE)+7,1)</f>
        <v>D</v>
      </c>
      <c r="Y327" s="49" t="str">
        <f>MID(VLOOKUP($A327,Seqs!$A:$B,2,FALSE),VLOOKUP($A327,'SegEnds_NonXtal_Prot#'!A:AL,10,FALSE)+8,1)</f>
        <v>V</v>
      </c>
      <c r="Z327" s="49" t="str">
        <f>MID(VLOOKUP($A327,Seqs!$A:$B,2,FALSE),VLOOKUP($A327,'SegEnds_NonXtal_Prot#'!A:AL,10,FALSE)+9,1)</f>
        <v>W</v>
      </c>
      <c r="AA327" s="49" t="str">
        <f>MID(VLOOKUP($A327,Seqs!$A:$B,2,FALSE),VLOOKUP($A327,'SegEnds_NonXtal_Prot#'!A:AL,10,FALSE)+10,1)</f>
        <v>F</v>
      </c>
      <c r="AB327" s="28" t="str">
        <f>MID(VLOOKUP($A327,Seqs!$A:$B,2,FALSE),VLOOKUP($A327,'SegEnds_NonXtal_Prot#'!$A:$AL,22,FALSE)+6,1)</f>
        <v>I</v>
      </c>
      <c r="AC327" s="49" t="str">
        <f>MID(VLOOKUP($A327,Seqs!$A:$B,2,FALSE),VLOOKUP($A327,'SegEnds_NonXtal_Prot#'!$A:$AL,22,FALSE)+7,1)</f>
        <v>A</v>
      </c>
      <c r="AD327" s="49" t="str">
        <f>MID(VLOOKUP($A327,Seqs!$A:$B,2,FALSE),VLOOKUP($A327,'SegEnds_NonXtal_Prot#'!$A:$AL,22,FALSE)+8,1)</f>
        <v>A</v>
      </c>
      <c r="AE327" s="49" t="str">
        <f>MID(VLOOKUP($A327,Seqs!$A:$B,2,FALSE),VLOOKUP($A327,'SegEnds_NonXtal_Prot#'!$A:$AL,22,FALSE)+9,1)</f>
        <v>I</v>
      </c>
      <c r="AF327" s="49" t="str">
        <f>MID(VLOOKUP($A327,Seqs!$A:$B,2,FALSE),VLOOKUP($A327,'SegEnds_NonXtal_Prot#'!$A:$AL,22,FALSE)+10,1)</f>
        <v>T</v>
      </c>
      <c r="AG327" s="28" t="str">
        <f>MID(VLOOKUP($A327,Seqs!$A:$B,2,FALSE),VLOOKUP($A327,'SegEnds_NonXtal_Prot#'!$A:$AL,28,FALSE)-4,1)</f>
        <v>P</v>
      </c>
      <c r="AH327" s="49" t="str">
        <f>MID(VLOOKUP($A327,Seqs!$A:$B,2,FALSE),VLOOKUP($A327,'SegEnds_NonXtal_Prot#'!$A:$AL,28,FALSE),1)</f>
        <v>I</v>
      </c>
    </row>
    <row r="328" spans="1:34" s="2" customFormat="1" x14ac:dyDescent="0.2">
      <c r="A328" s="2" t="s">
        <v>1190</v>
      </c>
      <c r="B328" s="2" t="str">
        <f>LOWER(VLOOKUP(A328,Xtal_Templ!A:B,2,FALSE))</f>
        <v>calrl_human</v>
      </c>
      <c r="C328" s="2" t="str">
        <f>VLOOKUP(A328,Classification!A:D,2,FALSE)</f>
        <v>B2</v>
      </c>
      <c r="D328" s="2" t="str">
        <f>IF(ISERROR(MATCH(A328,'SegEnds_Xtal_Prot#'!B:B, 0)), "NoXtal", "Xtal")</f>
        <v>NoXtal</v>
      </c>
      <c r="H328" s="4"/>
      <c r="J328" s="106" t="s">
        <v>25</v>
      </c>
      <c r="T328" s="4" t="s">
        <v>12</v>
      </c>
      <c r="V328" s="28" t="str">
        <f>MID(VLOOKUP($A328,Seqs!$A:$B,2,FALSE),VLOOKUP($A328,'SegEnds_NonXtal_Prot#'!A:AL,10,FALSE),1)</f>
        <v>V</v>
      </c>
      <c r="W328" s="49" t="str">
        <f>MID(VLOOKUP($A328,Seqs!$A:$B,2,FALSE),VLOOKUP($A328,'SegEnds_NonXtal_Prot#'!A:AL,10,FALSE)+6,1)</f>
        <v>A</v>
      </c>
      <c r="X328" s="49" t="str">
        <f>MID(VLOOKUP($A328,Seqs!$A:$B,2,FALSE),VLOOKUP($A328,'SegEnds_NonXtal_Prot#'!A:AL,10,FALSE)+7,1)</f>
        <v>D</v>
      </c>
      <c r="Y328" s="49" t="str">
        <f>MID(VLOOKUP($A328,Seqs!$A:$B,2,FALSE),VLOOKUP($A328,'SegEnds_NonXtal_Prot#'!A:AL,10,FALSE)+8,1)</f>
        <v>T</v>
      </c>
      <c r="Z328" s="49" t="str">
        <f>MID(VLOOKUP($A328,Seqs!$A:$B,2,FALSE),VLOOKUP($A328,'SegEnds_NonXtal_Prot#'!A:AL,10,FALSE)+9,1)</f>
        <v>C</v>
      </c>
      <c r="AA328" s="49" t="str">
        <f>MID(VLOOKUP($A328,Seqs!$A:$B,2,FALSE),VLOOKUP($A328,'SegEnds_NonXtal_Prot#'!A:AL,10,FALSE)+10,1)</f>
        <v>F</v>
      </c>
      <c r="AB328" s="28" t="str">
        <f>MID(VLOOKUP($A328,Seqs!$A:$B,2,FALSE),VLOOKUP($A328,'SegEnds_NonXtal_Prot#'!$A:$AL,22,FALSE)+6,1)</f>
        <v>L</v>
      </c>
      <c r="AC328" s="49" t="str">
        <f>MID(VLOOKUP($A328,Seqs!$A:$B,2,FALSE),VLOOKUP($A328,'SegEnds_NonXtal_Prot#'!$A:$AL,22,FALSE)+7,1)</f>
        <v>A</v>
      </c>
      <c r="AD328" s="49" t="str">
        <f>MID(VLOOKUP($A328,Seqs!$A:$B,2,FALSE),VLOOKUP($A328,'SegEnds_NonXtal_Prot#'!$A:$AL,22,FALSE)+8,1)</f>
        <v>G</v>
      </c>
      <c r="AE328" s="49" t="str">
        <f>MID(VLOOKUP($A328,Seqs!$A:$B,2,FALSE),VLOOKUP($A328,'SegEnds_NonXtal_Prot#'!$A:$AL,22,FALSE)+9,1)</f>
        <v>V</v>
      </c>
      <c r="AF328" s="49" t="str">
        <f>MID(VLOOKUP($A328,Seqs!$A:$B,2,FALSE),VLOOKUP($A328,'SegEnds_NonXtal_Prot#'!$A:$AL,22,FALSE)+10,1)</f>
        <v>T</v>
      </c>
      <c r="AG328" s="28" t="str">
        <f>MID(VLOOKUP($A328,Seqs!$A:$B,2,FALSE),VLOOKUP($A328,'SegEnds_NonXtal_Prot#'!$A:$AL,28,FALSE)-4,1)</f>
        <v>P</v>
      </c>
      <c r="AH328" s="49" t="str">
        <f>MID(VLOOKUP($A328,Seqs!$A:$B,2,FALSE),VLOOKUP($A328,'SegEnds_NonXtal_Prot#'!$A:$AL,28,FALSE),1)</f>
        <v>I</v>
      </c>
    </row>
    <row r="329" spans="1:34" s="2" customFormat="1" x14ac:dyDescent="0.2">
      <c r="A329" s="2" t="s">
        <v>1191</v>
      </c>
      <c r="B329" s="2" t="str">
        <f>LOWER(VLOOKUP(A329,Xtal_Templ!A:B,2,FALSE))</f>
        <v>crfr1_human</v>
      </c>
      <c r="C329" s="2" t="str">
        <f>VLOOKUP(A329,Classification!A:D,2,FALSE)</f>
        <v>B2</v>
      </c>
      <c r="D329" s="2" t="str">
        <f>IF(ISERROR(MATCH(A329,'SegEnds_Xtal_Prot#'!B:B, 0)), "NoXtal", "Xtal")</f>
        <v>NoXtal</v>
      </c>
      <c r="H329" s="4"/>
      <c r="J329" s="106" t="s">
        <v>25</v>
      </c>
      <c r="T329" s="4" t="s">
        <v>12</v>
      </c>
      <c r="V329" s="28" t="str">
        <f>MID(VLOOKUP($A329,Seqs!$A:$B,2,FALSE),VLOOKUP($A329,'SegEnds_NonXtal_Prot#'!A:AL,10,FALSE),1)</f>
        <v>A</v>
      </c>
      <c r="W329" s="49" t="str">
        <f>MID(VLOOKUP($A329,Seqs!$A:$B,2,FALSE),VLOOKUP($A329,'SegEnds_NonXtal_Prot#'!A:AL,10,FALSE)+6,1)</f>
        <v>A</v>
      </c>
      <c r="X329" s="49" t="str">
        <f>MID(VLOOKUP($A329,Seqs!$A:$B,2,FALSE),VLOOKUP($A329,'SegEnds_NonXtal_Prot#'!A:AL,10,FALSE)+7,1)</f>
        <v>N</v>
      </c>
      <c r="Y329" s="49" t="str">
        <f>MID(VLOOKUP($A329,Seqs!$A:$B,2,FALSE),VLOOKUP($A329,'SegEnds_NonXtal_Prot#'!A:AL,10,FALSE)+8,1)</f>
        <v>V</v>
      </c>
      <c r="Z329" s="49" t="str">
        <f>MID(VLOOKUP($A329,Seqs!$A:$B,2,FALSE),VLOOKUP($A329,'SegEnds_NonXtal_Prot#'!A:AL,10,FALSE)+9,1)</f>
        <v>W</v>
      </c>
      <c r="AA329" s="49" t="str">
        <f>MID(VLOOKUP($A329,Seqs!$A:$B,2,FALSE),VLOOKUP($A329,'SegEnds_NonXtal_Prot#'!A:AL,10,FALSE)+10,1)</f>
        <v>F</v>
      </c>
      <c r="AB329" s="28" t="str">
        <f>MID(VLOOKUP($A329,Seqs!$A:$B,2,FALSE),VLOOKUP($A329,'SegEnds_NonXtal_Prot#'!$A:$AL,22,FALSE)+6,1)</f>
        <v>I</v>
      </c>
      <c r="AC329" s="49" t="str">
        <f>MID(VLOOKUP($A329,Seqs!$A:$B,2,FALSE),VLOOKUP($A329,'SegEnds_NonXtal_Prot#'!$A:$AL,22,FALSE)+7,1)</f>
        <v>A</v>
      </c>
      <c r="AD329" s="49" t="str">
        <f>MID(VLOOKUP($A329,Seqs!$A:$B,2,FALSE),VLOOKUP($A329,'SegEnds_NonXtal_Prot#'!$A:$AL,22,FALSE)+8,1)</f>
        <v>V</v>
      </c>
      <c r="AE329" s="49" t="str">
        <f>MID(VLOOKUP($A329,Seqs!$A:$B,2,FALSE),VLOOKUP($A329,'SegEnds_NonXtal_Prot#'!$A:$AL,22,FALSE)+9,1)</f>
        <v>T</v>
      </c>
      <c r="AF329" s="49" t="str">
        <f>MID(VLOOKUP($A329,Seqs!$A:$B,2,FALSE),VLOOKUP($A329,'SegEnds_NonXtal_Prot#'!$A:$AL,22,FALSE)+10,1)</f>
        <v>T</v>
      </c>
      <c r="AG329" s="28" t="str">
        <f>MID(VLOOKUP($A329,Seqs!$A:$B,2,FALSE),VLOOKUP($A329,'SegEnds_NonXtal_Prot#'!$A:$AL,28,FALSE)-4,1)</f>
        <v>P</v>
      </c>
      <c r="AH329" s="49" t="str">
        <f>MID(VLOOKUP($A329,Seqs!$A:$B,2,FALSE),VLOOKUP($A329,'SegEnds_NonXtal_Prot#'!$A:$AL,28,FALSE),1)</f>
        <v>I</v>
      </c>
    </row>
    <row r="330" spans="1:34" s="2" customFormat="1" x14ac:dyDescent="0.2">
      <c r="A330" s="2" t="s">
        <v>1192</v>
      </c>
      <c r="B330" s="2" t="str">
        <f>LOWER(VLOOKUP(A330,Xtal_Templ!A:B,2,FALSE))</f>
        <v>crfr1_human</v>
      </c>
      <c r="C330" s="2" t="str">
        <f>VLOOKUP(A330,Classification!A:D,2,FALSE)</f>
        <v>B2</v>
      </c>
      <c r="D330" s="2" t="str">
        <f>IF(ISERROR(MATCH(A330,'SegEnds_Xtal_Prot#'!B:B, 0)), "NoXtal", "Xtal")</f>
        <v>NoXtal</v>
      </c>
      <c r="H330" s="4"/>
      <c r="J330" s="106" t="s">
        <v>25</v>
      </c>
      <c r="T330" s="4" t="s">
        <v>12</v>
      </c>
      <c r="V330" s="28" t="str">
        <f>MID(VLOOKUP($A330,Seqs!$A:$B,2,FALSE),VLOOKUP($A330,'SegEnds_NonXtal_Prot#'!A:AL,10,FALSE),1)</f>
        <v>A</v>
      </c>
      <c r="W330" s="49" t="str">
        <f>MID(VLOOKUP($A330,Seqs!$A:$B,2,FALSE),VLOOKUP($A330,'SegEnds_NonXtal_Prot#'!A:AL,10,FALSE)+6,1)</f>
        <v>A</v>
      </c>
      <c r="X330" s="49" t="str">
        <f>MID(VLOOKUP($A330,Seqs!$A:$B,2,FALSE),VLOOKUP($A330,'SegEnds_NonXtal_Prot#'!A:AL,10,FALSE)+7,1)</f>
        <v>N</v>
      </c>
      <c r="Y330" s="49" t="str">
        <f>MID(VLOOKUP($A330,Seqs!$A:$B,2,FALSE),VLOOKUP($A330,'SegEnds_NonXtal_Prot#'!A:AL,10,FALSE)+8,1)</f>
        <v>T</v>
      </c>
      <c r="Z330" s="49" t="str">
        <f>MID(VLOOKUP($A330,Seqs!$A:$B,2,FALSE),VLOOKUP($A330,'SegEnds_NonXtal_Prot#'!A:AL,10,FALSE)+9,1)</f>
        <v>W</v>
      </c>
      <c r="AA330" s="49" t="str">
        <f>MID(VLOOKUP($A330,Seqs!$A:$B,2,FALSE),VLOOKUP($A330,'SegEnds_NonXtal_Prot#'!A:AL,10,FALSE)+10,1)</f>
        <v>F</v>
      </c>
      <c r="AB330" s="28" t="str">
        <f>MID(VLOOKUP($A330,Seqs!$A:$B,2,FALSE),VLOOKUP($A330,'SegEnds_NonXtal_Prot#'!$A:$AL,22,FALSE)+6,1)</f>
        <v>I</v>
      </c>
      <c r="AC330" s="49" t="str">
        <f>MID(VLOOKUP($A330,Seqs!$A:$B,2,FALSE),VLOOKUP($A330,'SegEnds_NonXtal_Prot#'!$A:$AL,22,FALSE)+7,1)</f>
        <v>S</v>
      </c>
      <c r="AD330" s="49" t="str">
        <f>MID(VLOOKUP($A330,Seqs!$A:$B,2,FALSE),VLOOKUP($A330,'SegEnds_NonXtal_Prot#'!$A:$AL,22,FALSE)+8,1)</f>
        <v>V</v>
      </c>
      <c r="AE330" s="49" t="str">
        <f>MID(VLOOKUP($A330,Seqs!$A:$B,2,FALSE),VLOOKUP($A330,'SegEnds_NonXtal_Prot#'!$A:$AL,22,FALSE)+9,1)</f>
        <v>I</v>
      </c>
      <c r="AF330" s="49" t="str">
        <f>MID(VLOOKUP($A330,Seqs!$A:$B,2,FALSE),VLOOKUP($A330,'SegEnds_NonXtal_Prot#'!$A:$AL,22,FALSE)+10,1)</f>
        <v>T</v>
      </c>
      <c r="AG330" s="28" t="str">
        <f>MID(VLOOKUP($A330,Seqs!$A:$B,2,FALSE),VLOOKUP($A330,'SegEnds_NonXtal_Prot#'!$A:$AL,28,FALSE)-4,1)</f>
        <v>P</v>
      </c>
      <c r="AH330" s="49" t="str">
        <f>MID(VLOOKUP($A330,Seqs!$A:$B,2,FALSE),VLOOKUP($A330,'SegEnds_NonXtal_Prot#'!$A:$AL,28,FALSE),1)</f>
        <v>I</v>
      </c>
    </row>
    <row r="331" spans="1:34" s="2" customFormat="1" x14ac:dyDescent="0.2">
      <c r="A331" s="2" t="s">
        <v>1193</v>
      </c>
      <c r="B331" s="2" t="str">
        <f>LOWER(VLOOKUP(A331,Xtal_Templ!A:B,2,FALSE))</f>
        <v>crfr1_human</v>
      </c>
      <c r="C331" s="2" t="str">
        <f>VLOOKUP(A331,Classification!A:D,2,FALSE)</f>
        <v>B2</v>
      </c>
      <c r="D331" s="2" t="str">
        <f>IF(ISERROR(MATCH(A331,'SegEnds_Xtal_Prot#'!B:B, 0)), "NoXtal", "Xtal")</f>
        <v>NoXtal</v>
      </c>
      <c r="H331" s="4"/>
      <c r="J331" s="106" t="s">
        <v>25</v>
      </c>
      <c r="T331" s="4" t="s">
        <v>12</v>
      </c>
      <c r="V331" s="28" t="str">
        <f>MID(VLOOKUP($A331,Seqs!$A:$B,2,FALSE),VLOOKUP($A331,'SegEnds_NonXtal_Prot#'!A:AL,10,FALSE),1)</f>
        <v>V</v>
      </c>
      <c r="W331" s="49" t="str">
        <f>MID(VLOOKUP($A331,Seqs!$A:$B,2,FALSE),VLOOKUP($A331,'SegEnds_NonXtal_Prot#'!A:AL,10,FALSE)+6,1)</f>
        <v>S</v>
      </c>
      <c r="X331" s="49" t="str">
        <f>MID(VLOOKUP($A331,Seqs!$A:$B,2,FALSE),VLOOKUP($A331,'SegEnds_NonXtal_Prot#'!A:AL,10,FALSE)+7,1)</f>
        <v>F</v>
      </c>
      <c r="Y331" s="49" t="str">
        <f>MID(VLOOKUP($A331,Seqs!$A:$B,2,FALSE),VLOOKUP($A331,'SegEnds_NonXtal_Prot#'!A:AL,10,FALSE)+8,1)</f>
        <v>L</v>
      </c>
      <c r="Z331" s="49" t="str">
        <f>MID(VLOOKUP($A331,Seqs!$A:$B,2,FALSE),VLOOKUP($A331,'SegEnds_NonXtal_Prot#'!A:AL,10,FALSE)+9,1)</f>
        <v>L</v>
      </c>
      <c r="AA331" s="49" t="str">
        <f>MID(VLOOKUP($A331,Seqs!$A:$B,2,FALSE),VLOOKUP($A331,'SegEnds_NonXtal_Prot#'!A:AL,10,FALSE)+10,1)</f>
        <v>S</v>
      </c>
      <c r="AB331" s="28" t="str">
        <f>MID(VLOOKUP($A331,Seqs!$A:$B,2,FALSE),VLOOKUP($A331,'SegEnds_NonXtal_Prot#'!$A:$AL,22,FALSE)+6,1)</f>
        <v>L</v>
      </c>
      <c r="AC331" s="49" t="str">
        <f>MID(VLOOKUP($A331,Seqs!$A:$B,2,FALSE),VLOOKUP($A331,'SegEnds_NonXtal_Prot#'!$A:$AL,22,FALSE)+7,1)</f>
        <v>V</v>
      </c>
      <c r="AD331" s="49" t="str">
        <f>MID(VLOOKUP($A331,Seqs!$A:$B,2,FALSE),VLOOKUP($A331,'SegEnds_NonXtal_Prot#'!$A:$AL,22,FALSE)+8,1)</f>
        <v>T</v>
      </c>
      <c r="AE331" s="49" t="str">
        <f>MID(VLOOKUP($A331,Seqs!$A:$B,2,FALSE),VLOOKUP($A331,'SegEnds_NonXtal_Prot#'!$A:$AL,22,FALSE)+9,1)</f>
        <v>L</v>
      </c>
      <c r="AF331" s="49" t="str">
        <f>MID(VLOOKUP($A331,Seqs!$A:$B,2,FALSE),VLOOKUP($A331,'SegEnds_NonXtal_Prot#'!$A:$AL,22,FALSE)+10,1)</f>
        <v>V</v>
      </c>
      <c r="AG331" s="28" t="str">
        <f>MID(VLOOKUP($A331,Seqs!$A:$B,2,FALSE),VLOOKUP($A331,'SegEnds_NonXtal_Prot#'!$A:$AL,28,FALSE)-4,1)</f>
        <v>L</v>
      </c>
      <c r="AH331" s="49" t="str">
        <f>MID(VLOOKUP($A331,Seqs!$A:$B,2,FALSE),VLOOKUP($A331,'SegEnds_NonXtal_Prot#'!$A:$AL,28,FALSE),1)</f>
        <v>V</v>
      </c>
    </row>
    <row r="332" spans="1:34" s="2" customFormat="1" x14ac:dyDescent="0.2">
      <c r="A332" s="2" t="s">
        <v>1194</v>
      </c>
      <c r="B332" s="2" t="str">
        <f>LOWER(VLOOKUP(A332,Xtal_Templ!A:B,2,FALSE))</f>
        <v>pth1r_human</v>
      </c>
      <c r="C332" s="2" t="str">
        <f>VLOOKUP(A332,Classification!A:D,2,FALSE)</f>
        <v>B2</v>
      </c>
      <c r="D332" s="2" t="str">
        <f>IF(ISERROR(MATCH(A332,'SegEnds_Xtal_Prot#'!B:B, 0)), "NoXtal", "Xtal")</f>
        <v>NoXtal</v>
      </c>
      <c r="H332" s="4"/>
      <c r="J332" s="106" t="s">
        <v>25</v>
      </c>
      <c r="T332" s="4" t="s">
        <v>12</v>
      </c>
      <c r="V332" s="28" t="str">
        <f>MID(VLOOKUP($A332,Seqs!$A:$B,2,FALSE),VLOOKUP($A332,'SegEnds_NonXtal_Prot#'!A:AL,10,FALSE),1)</f>
        <v>L</v>
      </c>
      <c r="W332" s="49" t="str">
        <f>MID(VLOOKUP($A332,Seqs!$A:$B,2,FALSE),VLOOKUP($A332,'SegEnds_NonXtal_Prot#'!A:AL,10,FALSE)+6,1)</f>
        <v>V</v>
      </c>
      <c r="X332" s="49" t="str">
        <f>MID(VLOOKUP($A332,Seqs!$A:$B,2,FALSE),VLOOKUP($A332,'SegEnds_NonXtal_Prot#'!A:AL,10,FALSE)+7,1)</f>
        <v>F</v>
      </c>
      <c r="Y332" s="49" t="str">
        <f>MID(VLOOKUP($A332,Seqs!$A:$B,2,FALSE),VLOOKUP($A332,'SegEnds_NonXtal_Prot#'!A:AL,10,FALSE)+8,1)</f>
        <v>L</v>
      </c>
      <c r="Z332" s="49" t="str">
        <f>MID(VLOOKUP($A332,Seqs!$A:$B,2,FALSE),VLOOKUP($A332,'SegEnds_NonXtal_Prot#'!A:AL,10,FALSE)+9,1)</f>
        <v>L</v>
      </c>
      <c r="AA332" s="49" t="str">
        <f>MID(VLOOKUP($A332,Seqs!$A:$B,2,FALSE),VLOOKUP($A332,'SegEnds_NonXtal_Prot#'!A:AL,10,FALSE)+10,1)</f>
        <v>D</v>
      </c>
      <c r="AB332" s="28" t="str">
        <f>MID(VLOOKUP($A332,Seqs!$A:$B,2,FALSE),VLOOKUP($A332,'SegEnds_NonXtal_Prot#'!$A:$AL,22,FALSE)+6,1)</f>
        <v>V</v>
      </c>
      <c r="AC332" s="49" t="str">
        <f>MID(VLOOKUP($A332,Seqs!$A:$B,2,FALSE),VLOOKUP($A332,'SegEnds_NonXtal_Prot#'!$A:$AL,22,FALSE)+7,1)</f>
        <v>V</v>
      </c>
      <c r="AD332" s="49" t="str">
        <f>MID(VLOOKUP($A332,Seqs!$A:$B,2,FALSE),VLOOKUP($A332,'SegEnds_NonXtal_Prot#'!$A:$AL,22,FALSE)+8,1)</f>
        <v>T</v>
      </c>
      <c r="AE332" s="49" t="str">
        <f>MID(VLOOKUP($A332,Seqs!$A:$B,2,FALSE),VLOOKUP($A332,'SegEnds_NonXtal_Prot#'!$A:$AL,22,FALSE)+9,1)</f>
        <v>I</v>
      </c>
      <c r="AF332" s="49" t="str">
        <f>MID(VLOOKUP($A332,Seqs!$A:$B,2,FALSE),VLOOKUP($A332,'SegEnds_NonXtal_Prot#'!$A:$AL,22,FALSE)+10,1)</f>
        <v>I</v>
      </c>
      <c r="AG332" s="28" t="str">
        <f>MID(VLOOKUP($A332,Seqs!$A:$B,2,FALSE),VLOOKUP($A332,'SegEnds_NonXtal_Prot#'!$A:$AL,28,FALSE)-4,1)</f>
        <v>Y</v>
      </c>
      <c r="AH332" s="49" t="str">
        <f>MID(VLOOKUP($A332,Seqs!$A:$B,2,FALSE),VLOOKUP($A332,'SegEnds_NonXtal_Prot#'!$A:$AL,28,FALSE),1)</f>
        <v>I</v>
      </c>
    </row>
    <row r="333" spans="1:34" s="2" customFormat="1" x14ac:dyDescent="0.2">
      <c r="A333" s="2" t="s">
        <v>1195</v>
      </c>
      <c r="B333" s="2" t="str">
        <f>LOWER(VLOOKUP(A333,Xtal_Templ!A:B,2,FALSE))</f>
        <v>pth1r_human</v>
      </c>
      <c r="C333" s="2" t="str">
        <f>VLOOKUP(A333,Classification!A:D,2,FALSE)</f>
        <v>B2</v>
      </c>
      <c r="D333" s="2" t="str">
        <f>IF(ISERROR(MATCH(A333,'SegEnds_Xtal_Prot#'!B:B, 0)), "NoXtal", "Xtal")</f>
        <v>NoXtal</v>
      </c>
      <c r="H333" s="4"/>
      <c r="J333" s="106" t="s">
        <v>25</v>
      </c>
      <c r="T333" s="4" t="s">
        <v>12</v>
      </c>
      <c r="V333" s="28" t="str">
        <f>MID(VLOOKUP($A333,Seqs!$A:$B,2,FALSE),VLOOKUP($A333,'SegEnds_NonXtal_Prot#'!A:AL,10,FALSE),1)</f>
        <v>L</v>
      </c>
      <c r="W333" s="49" t="str">
        <f>MID(VLOOKUP($A333,Seqs!$A:$B,2,FALSE),VLOOKUP($A333,'SegEnds_NonXtal_Prot#'!A:AL,10,FALSE)+6,1)</f>
        <v>A</v>
      </c>
      <c r="X333" s="49" t="str">
        <f>MID(VLOOKUP($A333,Seqs!$A:$B,2,FALSE),VLOOKUP($A333,'SegEnds_NonXtal_Prot#'!A:AL,10,FALSE)+7,1)</f>
        <v>F</v>
      </c>
      <c r="Y333" s="49" t="str">
        <f>MID(VLOOKUP($A333,Seqs!$A:$B,2,FALSE),VLOOKUP($A333,'SegEnds_NonXtal_Prot#'!A:AL,10,FALSE)+8,1)</f>
        <v>L</v>
      </c>
      <c r="Z333" s="49" t="str">
        <f>MID(VLOOKUP($A333,Seqs!$A:$B,2,FALSE),VLOOKUP($A333,'SegEnds_NonXtal_Prot#'!A:AL,10,FALSE)+9,1)</f>
        <v>V</v>
      </c>
      <c r="AA333" s="49" t="str">
        <f>MID(VLOOKUP($A333,Seqs!$A:$B,2,FALSE),VLOOKUP($A333,'SegEnds_NonXtal_Prot#'!A:AL,10,FALSE)+10,1)</f>
        <v>N</v>
      </c>
      <c r="AB333" s="28" t="str">
        <f>MID(VLOOKUP($A333,Seqs!$A:$B,2,FALSE),VLOOKUP($A333,'SegEnds_NonXtal_Prot#'!$A:$AL,22,FALSE)+6,1)</f>
        <v>M</v>
      </c>
      <c r="AC333" s="49" t="str">
        <f>MID(VLOOKUP($A333,Seqs!$A:$B,2,FALSE),VLOOKUP($A333,'SegEnds_NonXtal_Prot#'!$A:$AL,22,FALSE)+7,1)</f>
        <v>V</v>
      </c>
      <c r="AD333" s="49" t="str">
        <f>MID(VLOOKUP($A333,Seqs!$A:$B,2,FALSE),VLOOKUP($A333,'SegEnds_NonXtal_Prot#'!$A:$AL,22,FALSE)+8,1)</f>
        <v>I</v>
      </c>
      <c r="AE333" s="49" t="str">
        <f>MID(VLOOKUP($A333,Seqs!$A:$B,2,FALSE),VLOOKUP($A333,'SegEnds_NonXtal_Prot#'!$A:$AL,22,FALSE)+9,1)</f>
        <v>G</v>
      </c>
      <c r="AF333" s="49" t="str">
        <f>MID(VLOOKUP($A333,Seqs!$A:$B,2,FALSE),VLOOKUP($A333,'SegEnds_NonXtal_Prot#'!$A:$AL,22,FALSE)+10,1)</f>
        <v>T</v>
      </c>
      <c r="AG333" s="28" t="str">
        <f>MID(VLOOKUP($A333,Seqs!$A:$B,2,FALSE),VLOOKUP($A333,'SegEnds_NonXtal_Prot#'!$A:$AL,28,FALSE)-4,1)</f>
        <v>T</v>
      </c>
      <c r="AH333" s="49" t="str">
        <f>MID(VLOOKUP($A333,Seqs!$A:$B,2,FALSE),VLOOKUP($A333,'SegEnds_NonXtal_Prot#'!$A:$AL,28,FALSE),1)</f>
        <v>Y</v>
      </c>
    </row>
    <row r="334" spans="1:34" s="2" customFormat="1" x14ac:dyDescent="0.2">
      <c r="A334" s="2" t="s">
        <v>1196</v>
      </c>
      <c r="B334" s="2" t="str">
        <f>LOWER(VLOOKUP(A334,Xtal_Templ!A:B,2,FALSE))</f>
        <v>pth1r_human</v>
      </c>
      <c r="C334" s="2" t="str">
        <f>VLOOKUP(A334,Classification!A:D,2,FALSE)</f>
        <v>B2</v>
      </c>
      <c r="D334" s="2" t="str">
        <f>IF(ISERROR(MATCH(A334,'SegEnds_Xtal_Prot#'!B:B, 0)), "NoXtal", "Xtal")</f>
        <v>NoXtal</v>
      </c>
      <c r="H334" s="4"/>
      <c r="J334" s="106" t="s">
        <v>25</v>
      </c>
      <c r="T334" s="4" t="s">
        <v>12</v>
      </c>
      <c r="V334" s="28" t="str">
        <f>MID(VLOOKUP($A334,Seqs!$A:$B,2,FALSE),VLOOKUP($A334,'SegEnds_NonXtal_Prot#'!A:AL,10,FALSE),1)</f>
        <v>L</v>
      </c>
      <c r="W334" s="49" t="str">
        <f>MID(VLOOKUP($A334,Seqs!$A:$B,2,FALSE),VLOOKUP($A334,'SegEnds_NonXtal_Prot#'!A:AL,10,FALSE)+6,1)</f>
        <v>V</v>
      </c>
      <c r="X334" s="49" t="str">
        <f>MID(VLOOKUP($A334,Seqs!$A:$B,2,FALSE),VLOOKUP($A334,'SegEnds_NonXtal_Prot#'!A:AL,10,FALSE)+7,1)</f>
        <v>F</v>
      </c>
      <c r="Y334" s="49" t="str">
        <f>MID(VLOOKUP($A334,Seqs!$A:$B,2,FALSE),VLOOKUP($A334,'SegEnds_NonXtal_Prot#'!A:AL,10,FALSE)+8,1)</f>
        <v>L</v>
      </c>
      <c r="Z334" s="49" t="str">
        <f>MID(VLOOKUP($A334,Seqs!$A:$B,2,FALSE),VLOOKUP($A334,'SegEnds_NonXtal_Prot#'!A:AL,10,FALSE)+9,1)</f>
        <v>I</v>
      </c>
      <c r="AA334" s="49" t="str">
        <f>MID(VLOOKUP($A334,Seqs!$A:$B,2,FALSE),VLOOKUP($A334,'SegEnds_NonXtal_Prot#'!A:AL,10,FALSE)+10,1)</f>
        <v>N</v>
      </c>
      <c r="AB334" s="28" t="str">
        <f>MID(VLOOKUP($A334,Seqs!$A:$B,2,FALSE),VLOOKUP($A334,'SegEnds_NonXtal_Prot#'!$A:$AL,22,FALSE)+6,1)</f>
        <v>M</v>
      </c>
      <c r="AC334" s="49" t="str">
        <f>MID(VLOOKUP($A334,Seqs!$A:$B,2,FALSE),VLOOKUP($A334,'SegEnds_NonXtal_Prot#'!$A:$AL,22,FALSE)+7,1)</f>
        <v>V</v>
      </c>
      <c r="AD334" s="49" t="str">
        <f>MID(VLOOKUP($A334,Seqs!$A:$B,2,FALSE),VLOOKUP($A334,'SegEnds_NonXtal_Prot#'!$A:$AL,22,FALSE)+8,1)</f>
        <v>A</v>
      </c>
      <c r="AE334" s="49" t="str">
        <f>MID(VLOOKUP($A334,Seqs!$A:$B,2,FALSE),VLOOKUP($A334,'SegEnds_NonXtal_Prot#'!$A:$AL,22,FALSE)+9,1)</f>
        <v>I</v>
      </c>
      <c r="AF334" s="49" t="str">
        <f>MID(VLOOKUP($A334,Seqs!$A:$B,2,FALSE),VLOOKUP($A334,'SegEnds_NonXtal_Prot#'!$A:$AL,22,FALSE)+10,1)</f>
        <v>T</v>
      </c>
      <c r="AG334" s="28" t="str">
        <f>MID(VLOOKUP($A334,Seqs!$A:$B,2,FALSE),VLOOKUP($A334,'SegEnds_NonXtal_Prot#'!$A:$AL,28,FALSE)-4,1)</f>
        <v>Y</v>
      </c>
      <c r="AH334" s="49" t="str">
        <f>MID(VLOOKUP($A334,Seqs!$A:$B,2,FALSE),VLOOKUP($A334,'SegEnds_NonXtal_Prot#'!$A:$AL,28,FALSE),1)</f>
        <v>I</v>
      </c>
    </row>
    <row r="335" spans="1:34" s="2" customFormat="1" x14ac:dyDescent="0.2">
      <c r="A335" s="2" t="s">
        <v>1197</v>
      </c>
      <c r="B335" s="2" t="str">
        <f>LOWER(VLOOKUP(A335,Xtal_Templ!A:B,2,FALSE))</f>
        <v>pth1r_human</v>
      </c>
      <c r="C335" s="2" t="str">
        <f>VLOOKUP(A335,Classification!A:D,2,FALSE)</f>
        <v>B2</v>
      </c>
      <c r="D335" s="2" t="str">
        <f>IF(ISERROR(MATCH(A335,'SegEnds_Xtal_Prot#'!B:B, 0)), "NoXtal", "Xtal")</f>
        <v>NoXtal</v>
      </c>
      <c r="H335" s="4"/>
      <c r="J335" s="106" t="s">
        <v>25</v>
      </c>
      <c r="T335" s="4" t="s">
        <v>12</v>
      </c>
      <c r="V335" s="28" t="str">
        <f>MID(VLOOKUP($A335,Seqs!$A:$B,2,FALSE),VLOOKUP($A335,'SegEnds_NonXtal_Prot#'!A:AL,10,FALSE),1)</f>
        <v>V</v>
      </c>
      <c r="W335" s="49" t="str">
        <f>MID(VLOOKUP($A335,Seqs!$A:$B,2,FALSE),VLOOKUP($A335,'SegEnds_NonXtal_Prot#'!A:AL,10,FALSE)+6,1)</f>
        <v>A</v>
      </c>
      <c r="X335" s="49" t="str">
        <f>MID(VLOOKUP($A335,Seqs!$A:$B,2,FALSE),VLOOKUP($A335,'SegEnds_NonXtal_Prot#'!A:AL,10,FALSE)+7,1)</f>
        <v>F</v>
      </c>
      <c r="Y335" s="49" t="str">
        <f>MID(VLOOKUP($A335,Seqs!$A:$B,2,FALSE),VLOOKUP($A335,'SegEnds_NonXtal_Prot#'!A:AL,10,FALSE)+8,1)</f>
        <v>L</v>
      </c>
      <c r="Z335" s="49" t="str">
        <f>MID(VLOOKUP($A335,Seqs!$A:$B,2,FALSE),VLOOKUP($A335,'SegEnds_NonXtal_Prot#'!A:AL,10,FALSE)+9,1)</f>
        <v>L</v>
      </c>
      <c r="AA335" s="49" t="str">
        <f>MID(VLOOKUP($A335,Seqs!$A:$B,2,FALSE),VLOOKUP($A335,'SegEnds_NonXtal_Prot#'!A:AL,10,FALSE)+10,1)</f>
        <v>S</v>
      </c>
      <c r="AB335" s="28" t="str">
        <f>MID(VLOOKUP($A335,Seqs!$A:$B,2,FALSE),VLOOKUP($A335,'SegEnds_NonXtal_Prot#'!$A:$AL,22,FALSE)+6,1)</f>
        <v>L</v>
      </c>
      <c r="AC335" s="49" t="str">
        <f>MID(VLOOKUP($A335,Seqs!$A:$B,2,FALSE),VLOOKUP($A335,'SegEnds_NonXtal_Prot#'!$A:$AL,22,FALSE)+7,1)</f>
        <v>V</v>
      </c>
      <c r="AD335" s="49" t="str">
        <f>MID(VLOOKUP($A335,Seqs!$A:$B,2,FALSE),VLOOKUP($A335,'SegEnds_NonXtal_Prot#'!$A:$AL,22,FALSE)+8,1)</f>
        <v>L</v>
      </c>
      <c r="AE335" s="49" t="str">
        <f>MID(VLOOKUP($A335,Seqs!$A:$B,2,FALSE),VLOOKUP($A335,'SegEnds_NonXtal_Prot#'!$A:$AL,22,FALSE)+9,1)</f>
        <v>L</v>
      </c>
      <c r="AF335" s="49" t="str">
        <f>MID(VLOOKUP($A335,Seqs!$A:$B,2,FALSE),VLOOKUP($A335,'SegEnds_NonXtal_Prot#'!$A:$AL,22,FALSE)+10,1)</f>
        <v>S</v>
      </c>
      <c r="AG335" s="28" t="str">
        <f>MID(VLOOKUP($A335,Seqs!$A:$B,2,FALSE),VLOOKUP($A335,'SegEnds_NonXtal_Prot#'!$A:$AL,28,FALSE)-4,1)</f>
        <v>Y</v>
      </c>
      <c r="AH335" s="49" t="str">
        <f>MID(VLOOKUP($A335,Seqs!$A:$B,2,FALSE),VLOOKUP($A335,'SegEnds_NonXtal_Prot#'!$A:$AL,28,FALSE),1)</f>
        <v>T</v>
      </c>
    </row>
    <row r="336" spans="1:34" s="2" customFormat="1" x14ac:dyDescent="0.2">
      <c r="A336" s="2" t="s">
        <v>1198</v>
      </c>
      <c r="B336" s="2" t="str">
        <f>LOWER(VLOOKUP(A336,Xtal_Templ!A:B,2,FALSE))</f>
        <v>pth1r_human</v>
      </c>
      <c r="C336" s="2" t="str">
        <f>VLOOKUP(A336,Classification!A:D,2,FALSE)</f>
        <v>B2</v>
      </c>
      <c r="D336" s="2" t="str">
        <f>IF(ISERROR(MATCH(A336,'SegEnds_Xtal_Prot#'!B:B, 0)), "NoXtal", "Xtal")</f>
        <v>NoXtal</v>
      </c>
      <c r="H336" s="4"/>
      <c r="J336" s="106" t="s">
        <v>25</v>
      </c>
      <c r="T336" s="4" t="s">
        <v>12</v>
      </c>
      <c r="V336" s="28" t="str">
        <f>MID(VLOOKUP($A336,Seqs!$A:$B,2,FALSE),VLOOKUP($A336,'SegEnds_NonXtal_Prot#'!A:AL,10,FALSE),1)</f>
        <v>M</v>
      </c>
      <c r="W336" s="49" t="str">
        <f>MID(VLOOKUP($A336,Seqs!$A:$B,2,FALSE),VLOOKUP($A336,'SegEnds_NonXtal_Prot#'!A:AL,10,FALSE)+6,1)</f>
        <v>L</v>
      </c>
      <c r="X336" s="49" t="str">
        <f>MID(VLOOKUP($A336,Seqs!$A:$B,2,FALSE),VLOOKUP($A336,'SegEnds_NonXtal_Prot#'!A:AL,10,FALSE)+7,1)</f>
        <v>F</v>
      </c>
      <c r="Y336" s="49" t="str">
        <f>MID(VLOOKUP($A336,Seqs!$A:$B,2,FALSE),VLOOKUP($A336,'SegEnds_NonXtal_Prot#'!A:AL,10,FALSE)+8,1)</f>
        <v>V</v>
      </c>
      <c r="Z336" s="49" t="str">
        <f>MID(VLOOKUP($A336,Seqs!$A:$B,2,FALSE),VLOOKUP($A336,'SegEnds_NonXtal_Prot#'!A:AL,10,FALSE)+9,1)</f>
        <v>F</v>
      </c>
      <c r="AA336" s="49" t="str">
        <f>MID(VLOOKUP($A336,Seqs!$A:$B,2,FALSE),VLOOKUP($A336,'SegEnds_NonXtal_Prot#'!A:AL,10,FALSE)+10,1)</f>
        <v>G</v>
      </c>
      <c r="AB336" s="28" t="str">
        <f>MID(VLOOKUP($A336,Seqs!$A:$B,2,FALSE),VLOOKUP($A336,'SegEnds_NonXtal_Prot#'!$A:$AL,22,FALSE)+6,1)</f>
        <v>V</v>
      </c>
      <c r="AC336" s="49" t="str">
        <f>MID(VLOOKUP($A336,Seqs!$A:$B,2,FALSE),VLOOKUP($A336,'SegEnds_NonXtal_Prot#'!$A:$AL,22,FALSE)+7,1)</f>
        <v>V</v>
      </c>
      <c r="AD336" s="49" t="str">
        <f>MID(VLOOKUP($A336,Seqs!$A:$B,2,FALSE),VLOOKUP($A336,'SegEnds_NonXtal_Prot#'!$A:$AL,22,FALSE)+8,1)</f>
        <v>A</v>
      </c>
      <c r="AE336" s="49" t="str">
        <f>MID(VLOOKUP($A336,Seqs!$A:$B,2,FALSE),VLOOKUP($A336,'SegEnds_NonXtal_Prot#'!$A:$AL,22,FALSE)+9,1)</f>
        <v>I</v>
      </c>
      <c r="AF336" s="49" t="str">
        <f>MID(VLOOKUP($A336,Seqs!$A:$B,2,FALSE),VLOOKUP($A336,'SegEnds_NonXtal_Prot#'!$A:$AL,22,FALSE)+10,1)</f>
        <v>T</v>
      </c>
      <c r="AG336" s="28" t="str">
        <f>MID(VLOOKUP($A336,Seqs!$A:$B,2,FALSE),VLOOKUP($A336,'SegEnds_NonXtal_Prot#'!$A:$AL,28,FALSE)-4,1)</f>
        <v>P</v>
      </c>
      <c r="AH336" s="49" t="str">
        <f>MID(VLOOKUP($A336,Seqs!$A:$B,2,FALSE),VLOOKUP($A336,'SegEnds_NonXtal_Prot#'!$A:$AL,28,FALSE),1)</f>
        <v>I</v>
      </c>
    </row>
    <row r="337" spans="1:34" s="2" customFormat="1" x14ac:dyDescent="0.2">
      <c r="A337" s="2" t="s">
        <v>1199</v>
      </c>
      <c r="B337" s="2" t="str">
        <f>LOWER(VLOOKUP(A337,Xtal_Templ!A:B,2,FALSE))</f>
        <v>calcr_human</v>
      </c>
      <c r="C337" s="2" t="str">
        <f>VLOOKUP(A337,Classification!A:D,2,FALSE)</f>
        <v>B2</v>
      </c>
      <c r="D337" s="2" t="str">
        <f>IF(ISERROR(MATCH(A337,'SegEnds_Xtal_Prot#'!B:B, 0)), "NoXtal", "Xtal")</f>
        <v>NoXtal</v>
      </c>
      <c r="H337" s="4"/>
      <c r="J337" s="106" t="s">
        <v>25</v>
      </c>
      <c r="T337" s="4" t="s">
        <v>12</v>
      </c>
      <c r="V337" s="28" t="str">
        <f>MID(VLOOKUP($A337,Seqs!$A:$B,2,FALSE),VLOOKUP($A337,'SegEnds_NonXtal_Prot#'!A:AL,10,FALSE),1)</f>
        <v>L</v>
      </c>
      <c r="W337" s="49" t="str">
        <f>MID(VLOOKUP($A337,Seqs!$A:$B,2,FALSE),VLOOKUP($A337,'SegEnds_NonXtal_Prot#'!A:AL,10,FALSE)+6,1)</f>
        <v>L</v>
      </c>
      <c r="X337" s="49" t="str">
        <f>MID(VLOOKUP($A337,Seqs!$A:$B,2,FALSE),VLOOKUP($A337,'SegEnds_NonXtal_Prot#'!A:AL,10,FALSE)+7,1)</f>
        <v>F</v>
      </c>
      <c r="Y337" s="49" t="str">
        <f>MID(VLOOKUP($A337,Seqs!$A:$B,2,FALSE),VLOOKUP($A337,'SegEnds_NonXtal_Prot#'!A:AL,10,FALSE)+8,1)</f>
        <v>L</v>
      </c>
      <c r="Z337" s="49" t="str">
        <f>MID(VLOOKUP($A337,Seqs!$A:$B,2,FALSE),VLOOKUP($A337,'SegEnds_NonXtal_Prot#'!A:AL,10,FALSE)+9,1)</f>
        <v>V</v>
      </c>
      <c r="AA337" s="49" t="str">
        <f>MID(VLOOKUP($A337,Seqs!$A:$B,2,FALSE),VLOOKUP($A337,'SegEnds_NonXtal_Prot#'!A:AL,10,FALSE)+10,1)</f>
        <v>G</v>
      </c>
      <c r="AB337" s="28" t="str">
        <f>MID(VLOOKUP($A337,Seqs!$A:$B,2,FALSE),VLOOKUP($A337,'SegEnds_NonXtal_Prot#'!$A:$AL,22,FALSE)+6,1)</f>
        <v>V</v>
      </c>
      <c r="AC337" s="49" t="str">
        <f>MID(VLOOKUP($A337,Seqs!$A:$B,2,FALSE),VLOOKUP($A337,'SegEnds_NonXtal_Prot#'!$A:$AL,22,FALSE)+7,1)</f>
        <v>V</v>
      </c>
      <c r="AD337" s="49" t="str">
        <f>MID(VLOOKUP($A337,Seqs!$A:$B,2,FALSE),VLOOKUP($A337,'SegEnds_NonXtal_Prot#'!$A:$AL,22,FALSE)+8,1)</f>
        <v>G</v>
      </c>
      <c r="AE337" s="49" t="str">
        <f>MID(VLOOKUP($A337,Seqs!$A:$B,2,FALSE),VLOOKUP($A337,'SegEnds_NonXtal_Prot#'!$A:$AL,22,FALSE)+9,1)</f>
        <v>I</v>
      </c>
      <c r="AF337" s="49" t="str">
        <f>MID(VLOOKUP($A337,Seqs!$A:$B,2,FALSE),VLOOKUP($A337,'SegEnds_NonXtal_Prot#'!$A:$AL,22,FALSE)+10,1)</f>
        <v>A</v>
      </c>
      <c r="AG337" s="28" t="str">
        <f>MID(VLOOKUP($A337,Seqs!$A:$B,2,FALSE),VLOOKUP($A337,'SegEnds_NonXtal_Prot#'!$A:$AL,28,FALSE)-4,1)</f>
        <v>P</v>
      </c>
      <c r="AH337" s="49" t="str">
        <f>MID(VLOOKUP($A337,Seqs!$A:$B,2,FALSE),VLOOKUP($A337,'SegEnds_NonXtal_Prot#'!$A:$AL,28,FALSE),1)</f>
        <v>V</v>
      </c>
    </row>
    <row r="338" spans="1:34" s="2" customFormat="1" x14ac:dyDescent="0.2">
      <c r="A338" s="2" t="s">
        <v>1200</v>
      </c>
      <c r="B338" s="2" t="str">
        <f>LOWER(VLOOKUP(A338,Xtal_Templ!A:B,2,FALSE))</f>
        <v>calcr_human</v>
      </c>
      <c r="C338" s="2" t="str">
        <f>VLOOKUP(A338,Classification!A:D,2,FALSE)</f>
        <v>B2</v>
      </c>
      <c r="D338" s="2" t="str">
        <f>IF(ISERROR(MATCH(A338,'SegEnds_Xtal_Prot#'!B:B, 0)), "NoXtal", "Xtal")</f>
        <v>NoXtal</v>
      </c>
      <c r="H338" s="4"/>
      <c r="J338" s="106" t="s">
        <v>25</v>
      </c>
      <c r="T338" s="4" t="s">
        <v>12</v>
      </c>
      <c r="V338" s="28" t="str">
        <f>MID(VLOOKUP($A338,Seqs!$A:$B,2,FALSE),VLOOKUP($A338,'SegEnds_NonXtal_Prot#'!A:AL,10,FALSE),1)</f>
        <v>L</v>
      </c>
      <c r="W338" s="49" t="str">
        <f>MID(VLOOKUP($A338,Seqs!$A:$B,2,FALSE),VLOOKUP($A338,'SegEnds_NonXtal_Prot#'!A:AL,10,FALSE)+6,1)</f>
        <v>I</v>
      </c>
      <c r="X338" s="49" t="str">
        <f>MID(VLOOKUP($A338,Seqs!$A:$B,2,FALSE),VLOOKUP($A338,'SegEnds_NonXtal_Prot#'!A:AL,10,FALSE)+7,1)</f>
        <v>F</v>
      </c>
      <c r="Y338" s="49" t="str">
        <f>MID(VLOOKUP($A338,Seqs!$A:$B,2,FALSE),VLOOKUP($A338,'SegEnds_NonXtal_Prot#'!A:AL,10,FALSE)+8,1)</f>
        <v>L</v>
      </c>
      <c r="Z338" s="49" t="str">
        <f>MID(VLOOKUP($A338,Seqs!$A:$B,2,FALSE),VLOOKUP($A338,'SegEnds_NonXtal_Prot#'!A:AL,10,FALSE)+9,1)</f>
        <v>I</v>
      </c>
      <c r="AA338" s="49" t="str">
        <f>MID(VLOOKUP($A338,Seqs!$A:$B,2,FALSE),VLOOKUP($A338,'SegEnds_NonXtal_Prot#'!A:AL,10,FALSE)+10,1)</f>
        <v>G</v>
      </c>
      <c r="AB338" s="28" t="str">
        <f>MID(VLOOKUP($A338,Seqs!$A:$B,2,FALSE),VLOOKUP($A338,'SegEnds_NonXtal_Prot#'!$A:$AL,22,FALSE)+6,1)</f>
        <v>V</v>
      </c>
      <c r="AC338" s="49" t="str">
        <f>MID(VLOOKUP($A338,Seqs!$A:$B,2,FALSE),VLOOKUP($A338,'SegEnds_NonXtal_Prot#'!$A:$AL,22,FALSE)+7,1)</f>
        <v>V</v>
      </c>
      <c r="AD338" s="49" t="str">
        <f>MID(VLOOKUP($A338,Seqs!$A:$B,2,FALSE),VLOOKUP($A338,'SegEnds_NonXtal_Prot#'!$A:$AL,22,FALSE)+8,1)</f>
        <v>G</v>
      </c>
      <c r="AE338" s="49" t="str">
        <f>MID(VLOOKUP($A338,Seqs!$A:$B,2,FALSE),VLOOKUP($A338,'SegEnds_NonXtal_Prot#'!$A:$AL,22,FALSE)+9,1)</f>
        <v>V</v>
      </c>
      <c r="AF338" s="49" t="str">
        <f>MID(VLOOKUP($A338,Seqs!$A:$B,2,FALSE),VLOOKUP($A338,'SegEnds_NonXtal_Prot#'!$A:$AL,22,FALSE)+10,1)</f>
        <v>S</v>
      </c>
      <c r="AG338" s="28" t="str">
        <f>MID(VLOOKUP($A338,Seqs!$A:$B,2,FALSE),VLOOKUP($A338,'SegEnds_NonXtal_Prot#'!$A:$AL,28,FALSE)-4,1)</f>
        <v>P</v>
      </c>
      <c r="AH338" s="49" t="str">
        <f>MID(VLOOKUP($A338,Seqs!$A:$B,2,FALSE),VLOOKUP($A338,'SegEnds_NonXtal_Prot#'!$A:$AL,28,FALSE),1)</f>
        <v>I</v>
      </c>
    </row>
    <row r="339" spans="1:34" s="2" customFormat="1" x14ac:dyDescent="0.2">
      <c r="A339" s="2" t="s">
        <v>1201</v>
      </c>
      <c r="B339" s="2" t="str">
        <f>LOWER(VLOOKUP(A339,Xtal_Templ!A:B,2,FALSE))</f>
        <v>crfr1_human</v>
      </c>
      <c r="C339" s="2" t="str">
        <f>VLOOKUP(A339,Classification!A:D,2,FALSE)</f>
        <v>B2</v>
      </c>
      <c r="D339" s="2" t="str">
        <f>IF(ISERROR(MATCH(A339,'SegEnds_Xtal_Prot#'!B:B, 0)), "NoXtal", "Xtal")</f>
        <v>NoXtal</v>
      </c>
      <c r="H339" s="4"/>
      <c r="J339" s="106" t="s">
        <v>25</v>
      </c>
      <c r="T339" s="4" t="s">
        <v>12</v>
      </c>
      <c r="V339" s="28" t="str">
        <f>MID(VLOOKUP($A339,Seqs!$A:$B,2,FALSE),VLOOKUP($A339,'SegEnds_NonXtal_Prot#'!A:AL,10,FALSE),1)</f>
        <v>L</v>
      </c>
      <c r="W339" s="49" t="str">
        <f>MID(VLOOKUP($A339,Seqs!$A:$B,2,FALSE),VLOOKUP($A339,'SegEnds_NonXtal_Prot#'!A:AL,10,FALSE)+6,1)</f>
        <v>L</v>
      </c>
      <c r="X339" s="49" t="str">
        <f>MID(VLOOKUP($A339,Seqs!$A:$B,2,FALSE),VLOOKUP($A339,'SegEnds_NonXtal_Prot#'!A:AL,10,FALSE)+7,1)</f>
        <v>F</v>
      </c>
      <c r="Y339" s="49" t="str">
        <f>MID(VLOOKUP($A339,Seqs!$A:$B,2,FALSE),VLOOKUP($A339,'SegEnds_NonXtal_Prot#'!A:AL,10,FALSE)+8,1)</f>
        <v>L</v>
      </c>
      <c r="Z339" s="49" t="str">
        <f>MID(VLOOKUP($A339,Seqs!$A:$B,2,FALSE),VLOOKUP($A339,'SegEnds_NonXtal_Prot#'!A:AL,10,FALSE)+9,1)</f>
        <v>I</v>
      </c>
      <c r="AA339" s="49" t="str">
        <f>MID(VLOOKUP($A339,Seqs!$A:$B,2,FALSE),VLOOKUP($A339,'SegEnds_NonXtal_Prot#'!A:AL,10,FALSE)+10,1)</f>
        <v>G</v>
      </c>
      <c r="AB339" s="28" t="str">
        <f>MID(VLOOKUP($A339,Seqs!$A:$B,2,FALSE),VLOOKUP($A339,'SegEnds_NonXtal_Prot#'!$A:$AL,22,FALSE)+6,1)</f>
        <v>I</v>
      </c>
      <c r="AC339" s="49" t="str">
        <f>MID(VLOOKUP($A339,Seqs!$A:$B,2,FALSE),VLOOKUP($A339,'SegEnds_NonXtal_Prot#'!$A:$AL,22,FALSE)+7,1)</f>
        <v>V</v>
      </c>
      <c r="AD339" s="49" t="str">
        <f>MID(VLOOKUP($A339,Seqs!$A:$B,2,FALSE),VLOOKUP($A339,'SegEnds_NonXtal_Prot#'!$A:$AL,22,FALSE)+8,1)</f>
        <v>A</v>
      </c>
      <c r="AE339" s="49" t="str">
        <f>MID(VLOOKUP($A339,Seqs!$A:$B,2,FALSE),VLOOKUP($A339,'SegEnds_NonXtal_Prot#'!$A:$AL,22,FALSE)+9,1)</f>
        <v>V</v>
      </c>
      <c r="AF339" s="49" t="str">
        <f>MID(VLOOKUP($A339,Seqs!$A:$B,2,FALSE),VLOOKUP($A339,'SegEnds_NonXtal_Prot#'!$A:$AL,22,FALSE)+10,1)</f>
        <v>S</v>
      </c>
      <c r="AG339" s="28" t="str">
        <f>MID(VLOOKUP($A339,Seqs!$A:$B,2,FALSE),VLOOKUP($A339,'SegEnds_NonXtal_Prot#'!$A:$AL,28,FALSE)-4,1)</f>
        <v>P</v>
      </c>
      <c r="AH339" s="49" t="str">
        <f>MID(VLOOKUP($A339,Seqs!$A:$B,2,FALSE),VLOOKUP($A339,'SegEnds_NonXtal_Prot#'!$A:$AL,28,FALSE),1)</f>
        <v>I</v>
      </c>
    </row>
    <row r="340" spans="1:34" s="2" customFormat="1" x14ac:dyDescent="0.2">
      <c r="A340" s="2" t="s">
        <v>1202</v>
      </c>
      <c r="B340" s="2" t="str">
        <f>LOWER(VLOOKUP(A340,Xtal_Templ!A:B,2,FALSE))</f>
        <v>crfr1_human</v>
      </c>
      <c r="C340" s="2" t="str">
        <f>VLOOKUP(A340,Classification!A:D,2,FALSE)</f>
        <v>B2</v>
      </c>
      <c r="D340" s="2" t="str">
        <f>IF(ISERROR(MATCH(A340,'SegEnds_Xtal_Prot#'!B:B, 0)), "NoXtal", "Xtal")</f>
        <v>NoXtal</v>
      </c>
      <c r="H340" s="4"/>
      <c r="J340" s="106" t="s">
        <v>25</v>
      </c>
      <c r="T340" s="4" t="s">
        <v>12</v>
      </c>
      <c r="V340" s="28" t="str">
        <f>MID(VLOOKUP($A340,Seqs!$A:$B,2,FALSE),VLOOKUP($A340,'SegEnds_NonXtal_Prot#'!A:AL,10,FALSE),1)</f>
        <v>L</v>
      </c>
      <c r="W340" s="49" t="str">
        <f>MID(VLOOKUP($A340,Seqs!$A:$B,2,FALSE),VLOOKUP($A340,'SegEnds_NonXtal_Prot#'!A:AL,10,FALSE)+6,1)</f>
        <v>V</v>
      </c>
      <c r="X340" s="49" t="str">
        <f>MID(VLOOKUP($A340,Seqs!$A:$B,2,FALSE),VLOOKUP($A340,'SegEnds_NonXtal_Prot#'!A:AL,10,FALSE)+7,1)</f>
        <v>F</v>
      </c>
      <c r="Y340" s="49" t="str">
        <f>MID(VLOOKUP($A340,Seqs!$A:$B,2,FALSE),VLOOKUP($A340,'SegEnds_NonXtal_Prot#'!A:AL,10,FALSE)+8,1)</f>
        <v>L</v>
      </c>
      <c r="Z340" s="49" t="str">
        <f>MID(VLOOKUP($A340,Seqs!$A:$B,2,FALSE),VLOOKUP($A340,'SegEnds_NonXtal_Prot#'!A:AL,10,FALSE)+9,1)</f>
        <v>V</v>
      </c>
      <c r="AA340" s="49" t="str">
        <f>MID(VLOOKUP($A340,Seqs!$A:$B,2,FALSE),VLOOKUP($A340,'SegEnds_NonXtal_Prot#'!A:AL,10,FALSE)+10,1)</f>
        <v>G</v>
      </c>
      <c r="AB340" s="28" t="str">
        <f>MID(VLOOKUP($A340,Seqs!$A:$B,2,FALSE),VLOOKUP($A340,'SegEnds_NonXtal_Prot#'!$A:$AL,22,FALSE)+6,1)</f>
        <v>V</v>
      </c>
      <c r="AC340" s="49" t="str">
        <f>MID(VLOOKUP($A340,Seqs!$A:$B,2,FALSE),VLOOKUP($A340,'SegEnds_NonXtal_Prot#'!$A:$AL,22,FALSE)+7,1)</f>
        <v>V</v>
      </c>
      <c r="AD340" s="49" t="str">
        <f>MID(VLOOKUP($A340,Seqs!$A:$B,2,FALSE),VLOOKUP($A340,'SegEnds_NonXtal_Prot#'!$A:$AL,22,FALSE)+8,1)</f>
        <v>G</v>
      </c>
      <c r="AE340" s="49" t="str">
        <f>MID(VLOOKUP($A340,Seqs!$A:$B,2,FALSE),VLOOKUP($A340,'SegEnds_NonXtal_Prot#'!$A:$AL,22,FALSE)+9,1)</f>
        <v>F</v>
      </c>
      <c r="AF340" s="49" t="str">
        <f>MID(VLOOKUP($A340,Seqs!$A:$B,2,FALSE),VLOOKUP($A340,'SegEnds_NonXtal_Prot#'!$A:$AL,22,FALSE)+10,1)</f>
        <v>S</v>
      </c>
      <c r="AG340" s="28" t="str">
        <f>MID(VLOOKUP($A340,Seqs!$A:$B,2,FALSE),VLOOKUP($A340,'SegEnds_NonXtal_Prot#'!$A:$AL,28,FALSE)-4,1)</f>
        <v>P</v>
      </c>
      <c r="AH340" s="49" t="str">
        <f>MID(VLOOKUP($A340,Seqs!$A:$B,2,FALSE),VLOOKUP($A340,'SegEnds_NonXtal_Prot#'!$A:$AL,28,FALSE),1)</f>
        <v>I</v>
      </c>
    </row>
    <row r="341" spans="1:34" s="2" customFormat="1" x14ac:dyDescent="0.2">
      <c r="A341" s="2" t="s">
        <v>414</v>
      </c>
      <c r="B341" s="2" t="str">
        <f>LOWER(VLOOKUP(A341,Xtal_Templ!A:B,2,FALSE))</f>
        <v>crfr1_human</v>
      </c>
      <c r="C341" s="2" t="str">
        <f>VLOOKUP(A341,Classification!A:D,2,FALSE)</f>
        <v>B2</v>
      </c>
      <c r="D341" s="2" t="str">
        <f>IF(ISERROR(MATCH(A341,'SegEnds_Xtal_Prot#'!B:B, 0)), "NoXtal", "Xtal")</f>
        <v>NoXtal</v>
      </c>
      <c r="H341" s="4"/>
      <c r="J341" s="106" t="s">
        <v>25</v>
      </c>
      <c r="T341" s="4" t="s">
        <v>12</v>
      </c>
      <c r="V341" s="28" t="str">
        <f>MID(VLOOKUP($A341,Seqs!$A:$B,2,FALSE),VLOOKUP($A341,'SegEnds_NonXtal_Prot#'!A:AL,10,FALSE),1)</f>
        <v>I</v>
      </c>
      <c r="W341" s="49" t="str">
        <f>MID(VLOOKUP($A341,Seqs!$A:$B,2,FALSE),VLOOKUP($A341,'SegEnds_NonXtal_Prot#'!A:AL,10,FALSE)+6,1)</f>
        <v>L</v>
      </c>
      <c r="X341" s="49" t="str">
        <f>MID(VLOOKUP($A341,Seqs!$A:$B,2,FALSE),VLOOKUP($A341,'SegEnds_NonXtal_Prot#'!A:AL,10,FALSE)+7,1)</f>
        <v>I</v>
      </c>
      <c r="Y341" s="49" t="str">
        <f>MID(VLOOKUP($A341,Seqs!$A:$B,2,FALSE),VLOOKUP($A341,'SegEnds_NonXtal_Prot#'!A:AL,10,FALSE)+8,1)</f>
        <v>L</v>
      </c>
      <c r="Z341" s="49" t="str">
        <f>MID(VLOOKUP($A341,Seqs!$A:$B,2,FALSE),VLOOKUP($A341,'SegEnds_NonXtal_Prot#'!A:AL,10,FALSE)+9,1)</f>
        <v>I</v>
      </c>
      <c r="AA341" s="49" t="str">
        <f>MID(VLOOKUP($A341,Seqs!$A:$B,2,FALSE),VLOOKUP($A341,'SegEnds_NonXtal_Prot#'!A:AL,10,FALSE)+10,1)</f>
        <v>G</v>
      </c>
      <c r="AB341" s="28" t="str">
        <f>MID(VLOOKUP($A341,Seqs!$A:$B,2,FALSE),VLOOKUP($A341,'SegEnds_NonXtal_Prot#'!$A:$AL,22,FALSE)+6,1)</f>
        <v>V</v>
      </c>
      <c r="AC341" s="49" t="str">
        <f>MID(VLOOKUP($A341,Seqs!$A:$B,2,FALSE),VLOOKUP($A341,'SegEnds_NonXtal_Prot#'!$A:$AL,22,FALSE)+7,1)</f>
        <v>V</v>
      </c>
      <c r="AD341" s="49" t="str">
        <f>MID(VLOOKUP($A341,Seqs!$A:$B,2,FALSE),VLOOKUP($A341,'SegEnds_NonXtal_Prot#'!$A:$AL,22,FALSE)+8,1)</f>
        <v>A</v>
      </c>
      <c r="AE341" s="49" t="str">
        <f>MID(VLOOKUP($A341,Seqs!$A:$B,2,FALSE),VLOOKUP($A341,'SegEnds_NonXtal_Prot#'!$A:$AL,22,FALSE)+9,1)</f>
        <v>I</v>
      </c>
      <c r="AF341" s="49" t="str">
        <f>MID(VLOOKUP($A341,Seqs!$A:$B,2,FALSE),VLOOKUP($A341,'SegEnds_NonXtal_Prot#'!$A:$AL,22,FALSE)+10,1)</f>
        <v>S</v>
      </c>
      <c r="AG341" s="28" t="str">
        <f>MID(VLOOKUP($A341,Seqs!$A:$B,2,FALSE),VLOOKUP($A341,'SegEnds_NonXtal_Prot#'!$A:$AL,28,FALSE)-4,1)</f>
        <v>P</v>
      </c>
      <c r="AH341" s="49" t="str">
        <f>MID(VLOOKUP($A341,Seqs!$A:$B,2,FALSE),VLOOKUP($A341,'SegEnds_NonXtal_Prot#'!$A:$AL,28,FALSE),1)</f>
        <v>V</v>
      </c>
    </row>
    <row r="342" spans="1:34" s="2" customFormat="1" x14ac:dyDescent="0.2">
      <c r="A342" s="2" t="s">
        <v>418</v>
      </c>
      <c r="B342" s="2" t="str">
        <f>LOWER(VLOOKUP(A342,Xtal_Templ!A:B,2,FALSE))</f>
        <v>pth1r_human</v>
      </c>
      <c r="C342" s="2" t="str">
        <f>VLOOKUP(A342,Classification!A:D,2,FALSE)</f>
        <v>B2</v>
      </c>
      <c r="D342" s="2" t="str">
        <f>IF(ISERROR(MATCH(A342,'SegEnds_Xtal_Prot#'!B:B, 0)), "NoXtal", "Xtal")</f>
        <v>NoXtal</v>
      </c>
      <c r="H342" s="4"/>
      <c r="J342" s="106" t="s">
        <v>25</v>
      </c>
      <c r="T342" s="4" t="s">
        <v>12</v>
      </c>
      <c r="V342" s="28" t="str">
        <f>MID(VLOOKUP($A342,Seqs!$A:$B,2,FALSE),VLOOKUP($A342,'SegEnds_NonXtal_Prot#'!A:AL,10,FALSE),1)</f>
        <v>L</v>
      </c>
      <c r="W342" s="49" t="str">
        <f>MID(VLOOKUP($A342,Seqs!$A:$B,2,FALSE),VLOOKUP($A342,'SegEnds_NonXtal_Prot#'!A:AL,10,FALSE)+6,1)</f>
        <v>V</v>
      </c>
      <c r="X342" s="49" t="str">
        <f>MID(VLOOKUP($A342,Seqs!$A:$B,2,FALSE),VLOOKUP($A342,'SegEnds_NonXtal_Prot#'!A:AL,10,FALSE)+7,1)</f>
        <v>F</v>
      </c>
      <c r="Y342" s="49" t="str">
        <f>MID(VLOOKUP($A342,Seqs!$A:$B,2,FALSE),VLOOKUP($A342,'SegEnds_NonXtal_Prot#'!A:AL,10,FALSE)+8,1)</f>
        <v>V</v>
      </c>
      <c r="Z342" s="49" t="str">
        <f>MID(VLOOKUP($A342,Seqs!$A:$B,2,FALSE),VLOOKUP($A342,'SegEnds_NonXtal_Prot#'!A:AL,10,FALSE)+9,1)</f>
        <v>I</v>
      </c>
      <c r="AA342" s="49" t="str">
        <f>MID(VLOOKUP($A342,Seqs!$A:$B,2,FALSE),VLOOKUP($A342,'SegEnds_NonXtal_Prot#'!A:AL,10,FALSE)+10,1)</f>
        <v>G</v>
      </c>
      <c r="AB342" s="28" t="str">
        <f>MID(VLOOKUP($A342,Seqs!$A:$B,2,FALSE),VLOOKUP($A342,'SegEnds_NonXtal_Prot#'!$A:$AL,22,FALSE)+6,1)</f>
        <v>V</v>
      </c>
      <c r="AC342" s="49" t="str">
        <f>MID(VLOOKUP($A342,Seqs!$A:$B,2,FALSE),VLOOKUP($A342,'SegEnds_NonXtal_Prot#'!$A:$AL,22,FALSE)+7,1)</f>
        <v>T</v>
      </c>
      <c r="AD342" s="49" t="str">
        <f>MID(VLOOKUP($A342,Seqs!$A:$B,2,FALSE),VLOOKUP($A342,'SegEnds_NonXtal_Prot#'!$A:$AL,22,FALSE)+8,1)</f>
        <v>G</v>
      </c>
      <c r="AE342" s="49" t="str">
        <f>MID(VLOOKUP($A342,Seqs!$A:$B,2,FALSE),VLOOKUP($A342,'SegEnds_NonXtal_Prot#'!$A:$AL,22,FALSE)+9,1)</f>
        <v>L</v>
      </c>
      <c r="AF342" s="49" t="str">
        <f>MID(VLOOKUP($A342,Seqs!$A:$B,2,FALSE),VLOOKUP($A342,'SegEnds_NonXtal_Prot#'!$A:$AL,22,FALSE)+10,1)</f>
        <v>A</v>
      </c>
      <c r="AG342" s="28" t="str">
        <f>MID(VLOOKUP($A342,Seqs!$A:$B,2,FALSE),VLOOKUP($A342,'SegEnds_NonXtal_Prot#'!$A:$AL,28,FALSE)-4,1)</f>
        <v>P</v>
      </c>
      <c r="AH342" s="49" t="str">
        <f>MID(VLOOKUP($A342,Seqs!$A:$B,2,FALSE),VLOOKUP($A342,'SegEnds_NonXtal_Prot#'!$A:$AL,28,FALSE),1)</f>
        <v>V</v>
      </c>
    </row>
    <row r="343" spans="1:34" s="2" customFormat="1" x14ac:dyDescent="0.2">
      <c r="A343" s="2" t="s">
        <v>419</v>
      </c>
      <c r="B343" s="2" t="str">
        <f>LOWER(VLOOKUP(A343,Xtal_Templ!A:B,2,FALSE))</f>
        <v>calrl_human</v>
      </c>
      <c r="C343" s="2" t="str">
        <f>VLOOKUP(A343,Classification!A:D,2,FALSE)</f>
        <v>B2</v>
      </c>
      <c r="D343" s="2" t="str">
        <f>IF(ISERROR(MATCH(A343,'SegEnds_Xtal_Prot#'!B:B, 0)), "NoXtal", "Xtal")</f>
        <v>NoXtal</v>
      </c>
      <c r="H343" s="4"/>
      <c r="J343" s="106" t="s">
        <v>25</v>
      </c>
      <c r="T343" s="4" t="s">
        <v>12</v>
      </c>
      <c r="V343" s="28" t="str">
        <f>MID(VLOOKUP($A343,Seqs!$A:$B,2,FALSE),VLOOKUP($A343,'SegEnds_NonXtal_Prot#'!A:AL,10,FALSE),1)</f>
        <v>L</v>
      </c>
      <c r="W343" s="49" t="str">
        <f>MID(VLOOKUP($A343,Seqs!$A:$B,2,FALSE),VLOOKUP($A343,'SegEnds_NonXtal_Prot#'!A:AL,10,FALSE)+6,1)</f>
        <v>V</v>
      </c>
      <c r="X343" s="49" t="str">
        <f>MID(VLOOKUP($A343,Seqs!$A:$B,2,FALSE),VLOOKUP($A343,'SegEnds_NonXtal_Prot#'!A:AL,10,FALSE)+7,1)</f>
        <v>F</v>
      </c>
      <c r="Y343" s="49" t="str">
        <f>MID(VLOOKUP($A343,Seqs!$A:$B,2,FALSE),VLOOKUP($A343,'SegEnds_NonXtal_Prot#'!A:AL,10,FALSE)+8,1)</f>
        <v>L</v>
      </c>
      <c r="Z343" s="49" t="str">
        <f>MID(VLOOKUP($A343,Seqs!$A:$B,2,FALSE),VLOOKUP($A343,'SegEnds_NonXtal_Prot#'!A:AL,10,FALSE)+9,1)</f>
        <v>L</v>
      </c>
      <c r="AA343" s="49" t="str">
        <f>MID(VLOOKUP($A343,Seqs!$A:$B,2,FALSE),VLOOKUP($A343,'SegEnds_NonXtal_Prot#'!A:AL,10,FALSE)+10,1)</f>
        <v>G</v>
      </c>
      <c r="AB343" s="28" t="str">
        <f>MID(VLOOKUP($A343,Seqs!$A:$B,2,FALSE),VLOOKUP($A343,'SegEnds_NonXtal_Prot#'!$A:$AL,22,FALSE)+6,1)</f>
        <v>I</v>
      </c>
      <c r="AC343" s="49" t="str">
        <f>MID(VLOOKUP($A343,Seqs!$A:$B,2,FALSE),VLOOKUP($A343,'SegEnds_NonXtal_Prot#'!$A:$AL,22,FALSE)+7,1)</f>
        <v>T</v>
      </c>
      <c r="AD343" s="49" t="str">
        <f>MID(VLOOKUP($A343,Seqs!$A:$B,2,FALSE),VLOOKUP($A343,'SegEnds_NonXtal_Prot#'!$A:$AL,22,FALSE)+8,1)</f>
        <v>G</v>
      </c>
      <c r="AE343" s="49" t="str">
        <f>MID(VLOOKUP($A343,Seqs!$A:$B,2,FALSE),VLOOKUP($A343,'SegEnds_NonXtal_Prot#'!$A:$AL,22,FALSE)+9,1)</f>
        <v>L</v>
      </c>
      <c r="AF343" s="49" t="str">
        <f>MID(VLOOKUP($A343,Seqs!$A:$B,2,FALSE),VLOOKUP($A343,'SegEnds_NonXtal_Prot#'!$A:$AL,22,FALSE)+10,1)</f>
        <v>A</v>
      </c>
      <c r="AG343" s="28" t="str">
        <f>MID(VLOOKUP($A343,Seqs!$A:$B,2,FALSE),VLOOKUP($A343,'SegEnds_NonXtal_Prot#'!$A:$AL,28,FALSE)-4,1)</f>
        <v>P</v>
      </c>
      <c r="AH343" s="49" t="str">
        <f>MID(VLOOKUP($A343,Seqs!$A:$B,2,FALSE),VLOOKUP($A343,'SegEnds_NonXtal_Prot#'!$A:$AL,28,FALSE),1)</f>
        <v>A</v>
      </c>
    </row>
    <row r="344" spans="1:34" s="2" customFormat="1" x14ac:dyDescent="0.2">
      <c r="A344" s="2" t="s">
        <v>1423</v>
      </c>
      <c r="B344" s="2" t="str">
        <f>LOWER(VLOOKUP(A344,Xtal_Templ!A:B,2,FALSE))</f>
        <v>crfr1_human</v>
      </c>
      <c r="C344" s="2" t="str">
        <f>VLOOKUP(A344,Classification!A:D,2,FALSE)</f>
        <v>B2</v>
      </c>
      <c r="D344" s="2" t="str">
        <f>IF(ISERROR(MATCH(A344,'SegEnds_Xtal_Prot#'!B:B, 0)), "NoXtal", "Xtal")</f>
        <v>NoXtal</v>
      </c>
      <c r="H344" s="4"/>
      <c r="J344" s="106" t="s">
        <v>25</v>
      </c>
      <c r="T344" s="4" t="s">
        <v>12</v>
      </c>
      <c r="V344" s="28" t="str">
        <f>MID(VLOOKUP($A344,Seqs!$A:$B,2,FALSE),VLOOKUP($A344,'SegEnds_NonXtal_Prot#'!A:AL,10,FALSE),1)</f>
        <v>L</v>
      </c>
      <c r="W344" s="49" t="str">
        <f>MID(VLOOKUP($A344,Seqs!$A:$B,2,FALSE),VLOOKUP($A344,'SegEnds_NonXtal_Prot#'!A:AL,10,FALSE)+6,1)</f>
        <v>L</v>
      </c>
      <c r="X344" s="49" t="str">
        <f>MID(VLOOKUP($A344,Seqs!$A:$B,2,FALSE),VLOOKUP($A344,'SegEnds_NonXtal_Prot#'!A:AL,10,FALSE)+7,1)</f>
        <v>F</v>
      </c>
      <c r="Y344" s="49" t="str">
        <f>MID(VLOOKUP($A344,Seqs!$A:$B,2,FALSE),VLOOKUP($A344,'SegEnds_NonXtal_Prot#'!A:AL,10,FALSE)+8,1)</f>
        <v>L</v>
      </c>
      <c r="Z344" s="49" t="str">
        <f>MID(VLOOKUP($A344,Seqs!$A:$B,2,FALSE),VLOOKUP($A344,'SegEnds_NonXtal_Prot#'!A:AL,10,FALSE)+9,1)</f>
        <v>L</v>
      </c>
      <c r="AA344" s="49" t="str">
        <f>MID(VLOOKUP($A344,Seqs!$A:$B,2,FALSE),VLOOKUP($A344,'SegEnds_NonXtal_Prot#'!A:AL,10,FALSE)+10,1)</f>
        <v>D</v>
      </c>
      <c r="AB344" s="28" t="str">
        <f>MID(VLOOKUP($A344,Seqs!$A:$B,2,FALSE),VLOOKUP($A344,'SegEnds_NonXtal_Prot#'!$A:$AL,22,FALSE)+6,1)</f>
        <v>V</v>
      </c>
      <c r="AC344" s="49" t="str">
        <f>MID(VLOOKUP($A344,Seqs!$A:$B,2,FALSE),VLOOKUP($A344,'SegEnds_NonXtal_Prot#'!$A:$AL,22,FALSE)+7,1)</f>
        <v>V</v>
      </c>
      <c r="AD344" s="49" t="str">
        <f>MID(VLOOKUP($A344,Seqs!$A:$B,2,FALSE),VLOOKUP($A344,'SegEnds_NonXtal_Prot#'!$A:$AL,22,FALSE)+8,1)</f>
        <v>S</v>
      </c>
      <c r="AE344" s="49" t="str">
        <f>MID(VLOOKUP($A344,Seqs!$A:$B,2,FALSE),VLOOKUP($A344,'SegEnds_NonXtal_Prot#'!$A:$AL,22,FALSE)+9,1)</f>
        <v>V</v>
      </c>
      <c r="AF344" s="49" t="str">
        <f>MID(VLOOKUP($A344,Seqs!$A:$B,2,FALSE),VLOOKUP($A344,'SegEnds_NonXtal_Prot#'!$A:$AL,22,FALSE)+10,1)</f>
        <v>V</v>
      </c>
      <c r="AG344" s="28" t="str">
        <f>MID(VLOOKUP($A344,Seqs!$A:$B,2,FALSE),VLOOKUP($A344,'SegEnds_NonXtal_Prot#'!$A:$AL,28,FALSE)-4,1)</f>
        <v>Y</v>
      </c>
      <c r="AH344" s="49" t="str">
        <f>MID(VLOOKUP($A344,Seqs!$A:$B,2,FALSE),VLOOKUP($A344,'SegEnds_NonXtal_Prot#'!$A:$AL,28,FALSE),1)</f>
        <v>M</v>
      </c>
    </row>
    <row r="345" spans="1:34" s="2" customFormat="1" x14ac:dyDescent="0.2">
      <c r="A345" s="2" t="s">
        <v>442</v>
      </c>
      <c r="B345" s="2" t="str">
        <f>LOWER(VLOOKUP(A345,Xtal_Templ!A:B,2,FALSE))</f>
        <v>crfr1_human</v>
      </c>
      <c r="C345" s="2" t="str">
        <f>VLOOKUP(A345,Classification!A:D,2,FALSE)</f>
        <v>B2</v>
      </c>
      <c r="D345" s="2" t="str">
        <f>IF(ISERROR(MATCH(A345,'SegEnds_Xtal_Prot#'!B:B, 0)), "NoXtal", "Xtal")</f>
        <v>NoXtal</v>
      </c>
      <c r="H345" s="4"/>
      <c r="J345" s="106" t="s">
        <v>25</v>
      </c>
      <c r="T345" s="4" t="s">
        <v>12</v>
      </c>
      <c r="V345" s="28" t="str">
        <f>MID(VLOOKUP($A345,Seqs!$A:$B,2,FALSE),VLOOKUP($A345,'SegEnds_NonXtal_Prot#'!A:AL,10,FALSE),1)</f>
        <v>S</v>
      </c>
      <c r="W345" s="49" t="str">
        <f>MID(VLOOKUP($A345,Seqs!$A:$B,2,FALSE),VLOOKUP($A345,'SegEnds_NonXtal_Prot#'!A:AL,10,FALSE)+6,1)</f>
        <v>L</v>
      </c>
      <c r="X345" s="49" t="str">
        <f>MID(VLOOKUP($A345,Seqs!$A:$B,2,FALSE),VLOOKUP($A345,'SegEnds_NonXtal_Prot#'!A:AL,10,FALSE)+7,1)</f>
        <v>F</v>
      </c>
      <c r="Y345" s="49" t="str">
        <f>MID(VLOOKUP($A345,Seqs!$A:$B,2,FALSE),VLOOKUP($A345,'SegEnds_NonXtal_Prot#'!A:AL,10,FALSE)+8,1)</f>
        <v>L</v>
      </c>
      <c r="Z345" s="49" t="str">
        <f>MID(VLOOKUP($A345,Seqs!$A:$B,2,FALSE),VLOOKUP($A345,'SegEnds_NonXtal_Prot#'!A:AL,10,FALSE)+9,1)</f>
        <v>A</v>
      </c>
      <c r="AA345" s="49" t="str">
        <f>MID(VLOOKUP($A345,Seqs!$A:$B,2,FALSE),VLOOKUP($A345,'SegEnds_NonXtal_Prot#'!A:AL,10,FALSE)+10,1)</f>
        <v>S</v>
      </c>
      <c r="AB345" s="28" t="str">
        <f>MID(VLOOKUP($A345,Seqs!$A:$B,2,FALSE),VLOOKUP($A345,'SegEnds_NonXtal_Prot#'!$A:$AL,22,FALSE)+6,1)</f>
        <v>V</v>
      </c>
      <c r="AC345" s="49" t="str">
        <f>MID(VLOOKUP($A345,Seqs!$A:$B,2,FALSE),VLOOKUP($A345,'SegEnds_NonXtal_Prot#'!$A:$AL,22,FALSE)+7,1)</f>
        <v>V</v>
      </c>
      <c r="AD345" s="49" t="str">
        <f>MID(VLOOKUP($A345,Seqs!$A:$B,2,FALSE),VLOOKUP($A345,'SegEnds_NonXtal_Prot#'!$A:$AL,22,FALSE)+8,1)</f>
        <v>I</v>
      </c>
      <c r="AE345" s="49" t="str">
        <f>MID(VLOOKUP($A345,Seqs!$A:$B,2,FALSE),VLOOKUP($A345,'SegEnds_NonXtal_Prot#'!$A:$AL,22,FALSE)+9,1)</f>
        <v>L</v>
      </c>
      <c r="AF345" s="49" t="str">
        <f>MID(VLOOKUP($A345,Seqs!$A:$B,2,FALSE),VLOOKUP($A345,'SegEnds_NonXtal_Prot#'!$A:$AL,22,FALSE)+10,1)</f>
        <v>L</v>
      </c>
      <c r="AG345" s="28" t="str">
        <f>MID(VLOOKUP($A345,Seqs!$A:$B,2,FALSE),VLOOKUP($A345,'SegEnds_NonXtal_Prot#'!$A:$AL,28,FALSE)-4,1)</f>
        <v>P</v>
      </c>
      <c r="AH345" s="49" t="str">
        <f>MID(VLOOKUP($A345,Seqs!$A:$B,2,FALSE),VLOOKUP($A345,'SegEnds_NonXtal_Prot#'!$A:$AL,28,FALSE),1)</f>
        <v>L</v>
      </c>
    </row>
    <row r="346" spans="1:34" s="2" customFormat="1" x14ac:dyDescent="0.2">
      <c r="A346" s="2" t="s">
        <v>417</v>
      </c>
      <c r="B346" s="2" t="str">
        <f>LOWER(VLOOKUP(A346,Xtal_Templ!A:B,2,FALSE))</f>
        <v>glp1r_human</v>
      </c>
      <c r="C346" s="2" t="str">
        <f>VLOOKUP(A346,Classification!A:D,2,FALSE)</f>
        <v>B2</v>
      </c>
      <c r="D346" s="2" t="str">
        <f>IF(ISERROR(MATCH(A346,'SegEnds_Xtal_Prot#'!B:B, 0)), "NoXtal", "Xtal")</f>
        <v>NoXtal</v>
      </c>
      <c r="H346" s="4"/>
      <c r="J346" s="106" t="s">
        <v>25</v>
      </c>
      <c r="T346" s="4" t="s">
        <v>12</v>
      </c>
      <c r="V346" s="28" t="str">
        <f>MID(VLOOKUP($A346,Seqs!$A:$B,2,FALSE),VLOOKUP($A346,'SegEnds_NonXtal_Prot#'!A:AL,10,FALSE),1)</f>
        <v>L</v>
      </c>
      <c r="W346" s="49" t="str">
        <f>MID(VLOOKUP($A346,Seqs!$A:$B,2,FALSE),VLOOKUP($A346,'SegEnds_NonXtal_Prot#'!A:AL,10,FALSE)+6,1)</f>
        <v>I</v>
      </c>
      <c r="X346" s="49" t="str">
        <f>MID(VLOOKUP($A346,Seqs!$A:$B,2,FALSE),VLOOKUP($A346,'SegEnds_NonXtal_Prot#'!A:AL,10,FALSE)+7,1)</f>
        <v>F</v>
      </c>
      <c r="Y346" s="49" t="str">
        <f>MID(VLOOKUP($A346,Seqs!$A:$B,2,FALSE),VLOOKUP($A346,'SegEnds_NonXtal_Prot#'!A:AL,10,FALSE)+8,1)</f>
        <v>L</v>
      </c>
      <c r="Z346" s="49" t="str">
        <f>MID(VLOOKUP($A346,Seqs!$A:$B,2,FALSE),VLOOKUP($A346,'SegEnds_NonXtal_Prot#'!A:AL,10,FALSE)+9,1)</f>
        <v>A</v>
      </c>
      <c r="AA346" s="49" t="str">
        <f>MID(VLOOKUP($A346,Seqs!$A:$B,2,FALSE),VLOOKUP($A346,'SegEnds_NonXtal_Prot#'!A:AL,10,FALSE)+10,1)</f>
        <v>G</v>
      </c>
      <c r="AB346" s="28" t="str">
        <f>MID(VLOOKUP($A346,Seqs!$A:$B,2,FALSE),VLOOKUP($A346,'SegEnds_NonXtal_Prot#'!$A:$AL,22,FALSE)+6,1)</f>
        <v>I</v>
      </c>
      <c r="AC346" s="49" t="str">
        <f>MID(VLOOKUP($A346,Seqs!$A:$B,2,FALSE),VLOOKUP($A346,'SegEnds_NonXtal_Prot#'!$A:$AL,22,FALSE)+7,1)</f>
        <v>V</v>
      </c>
      <c r="AD346" s="49" t="str">
        <f>MID(VLOOKUP($A346,Seqs!$A:$B,2,FALSE),VLOOKUP($A346,'SegEnds_NonXtal_Prot#'!$A:$AL,22,FALSE)+8,1)</f>
        <v>G</v>
      </c>
      <c r="AE346" s="49" t="str">
        <f>MID(VLOOKUP($A346,Seqs!$A:$B,2,FALSE),VLOOKUP($A346,'SegEnds_NonXtal_Prot#'!$A:$AL,22,FALSE)+9,1)</f>
        <v>V</v>
      </c>
      <c r="AF346" s="49" t="str">
        <f>MID(VLOOKUP($A346,Seqs!$A:$B,2,FALSE),VLOOKUP($A346,'SegEnds_NonXtal_Prot#'!$A:$AL,22,FALSE)+10,1)</f>
        <v>S</v>
      </c>
      <c r="AG346" s="28" t="str">
        <f>MID(VLOOKUP($A346,Seqs!$A:$B,2,FALSE),VLOOKUP($A346,'SegEnds_NonXtal_Prot#'!$A:$AL,28,FALSE)-4,1)</f>
        <v>P</v>
      </c>
      <c r="AH346" s="49" t="str">
        <f>MID(VLOOKUP($A346,Seqs!$A:$B,2,FALSE),VLOOKUP($A346,'SegEnds_NonXtal_Prot#'!$A:$AL,28,FALSE),1)</f>
        <v>I</v>
      </c>
    </row>
    <row r="347" spans="1:34" s="2" customFormat="1" x14ac:dyDescent="0.2">
      <c r="A347" s="2" t="s">
        <v>420</v>
      </c>
      <c r="B347" s="2" t="str">
        <f>LOWER(VLOOKUP(A347,Xtal_Templ!A:B,2,FALSE))</f>
        <v>crfr1_human</v>
      </c>
      <c r="C347" s="2" t="str">
        <f>VLOOKUP(A347,Classification!A:D,2,FALSE)</f>
        <v>B2</v>
      </c>
      <c r="D347" s="2" t="str">
        <f>IF(ISERROR(MATCH(A347,'SegEnds_Xtal_Prot#'!B:B, 0)), "NoXtal", "Xtal")</f>
        <v>NoXtal</v>
      </c>
      <c r="H347" s="4"/>
      <c r="J347" s="106" t="s">
        <v>25</v>
      </c>
      <c r="T347" s="4" t="s">
        <v>12</v>
      </c>
      <c r="V347" s="28" t="str">
        <f>MID(VLOOKUP($A347,Seqs!$A:$B,2,FALSE),VLOOKUP($A347,'SegEnds_NonXtal_Prot#'!A:AL,10,FALSE),1)</f>
        <v>L</v>
      </c>
      <c r="W347" s="49" t="str">
        <f>MID(VLOOKUP($A347,Seqs!$A:$B,2,FALSE),VLOOKUP($A347,'SegEnds_NonXtal_Prot#'!A:AL,10,FALSE)+6,1)</f>
        <v>L</v>
      </c>
      <c r="X347" s="49" t="str">
        <f>MID(VLOOKUP($A347,Seqs!$A:$B,2,FALSE),VLOOKUP($A347,'SegEnds_NonXtal_Prot#'!A:AL,10,FALSE)+7,1)</f>
        <v>F</v>
      </c>
      <c r="Y347" s="49" t="str">
        <f>MID(VLOOKUP($A347,Seqs!$A:$B,2,FALSE),VLOOKUP($A347,'SegEnds_NonXtal_Prot#'!A:AL,10,FALSE)+8,1)</f>
        <v>L</v>
      </c>
      <c r="Z347" s="49" t="str">
        <f>MID(VLOOKUP($A347,Seqs!$A:$B,2,FALSE),VLOOKUP($A347,'SegEnds_NonXtal_Prot#'!A:AL,10,FALSE)+9,1)</f>
        <v>L</v>
      </c>
      <c r="AA347" s="49" t="str">
        <f>MID(VLOOKUP($A347,Seqs!$A:$B,2,FALSE),VLOOKUP($A347,'SegEnds_NonXtal_Prot#'!A:AL,10,FALSE)+10,1)</f>
        <v>G</v>
      </c>
      <c r="AB347" s="28" t="str">
        <f>MID(VLOOKUP($A347,Seqs!$A:$B,2,FALSE),VLOOKUP($A347,'SegEnds_NonXtal_Prot#'!$A:$AL,22,FALSE)+6,1)</f>
        <v>L</v>
      </c>
      <c r="AC347" s="49" t="str">
        <f>MID(VLOOKUP($A347,Seqs!$A:$B,2,FALSE),VLOOKUP($A347,'SegEnds_NonXtal_Prot#'!$A:$AL,22,FALSE)+7,1)</f>
        <v>L</v>
      </c>
      <c r="AD347" s="49" t="str">
        <f>MID(VLOOKUP($A347,Seqs!$A:$B,2,FALSE),VLOOKUP($A347,'SegEnds_NonXtal_Prot#'!$A:$AL,22,FALSE)+8,1)</f>
        <v>G</v>
      </c>
      <c r="AE347" s="49" t="str">
        <f>MID(VLOOKUP($A347,Seqs!$A:$B,2,FALSE),VLOOKUP($A347,'SegEnds_NonXtal_Prot#'!$A:$AL,22,FALSE)+9,1)</f>
        <v>L</v>
      </c>
      <c r="AF347" s="49" t="str">
        <f>MID(VLOOKUP($A347,Seqs!$A:$B,2,FALSE),VLOOKUP($A347,'SegEnds_NonXtal_Prot#'!$A:$AL,22,FALSE)+10,1)</f>
        <v>A</v>
      </c>
      <c r="AG347" s="28" t="str">
        <f>MID(VLOOKUP($A347,Seqs!$A:$B,2,FALSE),VLOOKUP($A347,'SegEnds_NonXtal_Prot#'!$A:$AL,28,FALSE)-4,1)</f>
        <v>P</v>
      </c>
      <c r="AH347" s="49" t="str">
        <f>MID(VLOOKUP($A347,Seqs!$A:$B,2,FALSE),VLOOKUP($A347,'SegEnds_NonXtal_Prot#'!$A:$AL,28,FALSE),1)</f>
        <v>V</v>
      </c>
    </row>
    <row r="348" spans="1:34" s="2" customFormat="1" x14ac:dyDescent="0.2">
      <c r="A348" s="2" t="s">
        <v>106</v>
      </c>
      <c r="B348" s="2" t="str">
        <f>LOWER(VLOOKUP(A348,Xtal_Templ!A:B,2,FALSE))</f>
        <v>grm5_human</v>
      </c>
      <c r="C348" s="2" t="str">
        <f>VLOOKUP(A348,Classification!A:D,2,FALSE)</f>
        <v>C</v>
      </c>
      <c r="D348" s="2" t="str">
        <f>IF(ISERROR(MATCH(A348,'SegEnds_Xtal_Prot#'!B:B, 0)), "NoXtal", "Xtal")</f>
        <v>NoXtal</v>
      </c>
      <c r="H348" s="4"/>
      <c r="U348" s="2" t="s">
        <v>1330</v>
      </c>
      <c r="V348" s="28" t="str">
        <f>MID(VLOOKUP($A348,Seqs!$A:$B,2,FALSE),VLOOKUP($A348,'SegEnds_NonXtal_Prot#'!A:AL,10,FALSE),1)</f>
        <v>C</v>
      </c>
      <c r="W348" s="49" t="str">
        <f>MID(VLOOKUP($A348,Seqs!$A:$B,2,FALSE),VLOOKUP($A348,'SegEnds_NonXtal_Prot#'!A:AL,10,FALSE)+6,1)</f>
        <v>A</v>
      </c>
      <c r="X348" s="49" t="str">
        <f>MID(VLOOKUP($A348,Seqs!$A:$B,2,FALSE),VLOOKUP($A348,'SegEnds_NonXtal_Prot#'!A:AL,10,FALSE)+7,1)</f>
        <v>V</v>
      </c>
      <c r="Y348" s="49" t="str">
        <f>MID(VLOOKUP($A348,Seqs!$A:$B,2,FALSE),VLOOKUP($A348,'SegEnds_NonXtal_Prot#'!A:AL,10,FALSE)+8,1)</f>
        <v>F</v>
      </c>
      <c r="Z348" s="49" t="str">
        <f>MID(VLOOKUP($A348,Seqs!$A:$B,2,FALSE),VLOOKUP($A348,'SegEnds_NonXtal_Prot#'!A:AL,10,FALSE)+9,1)</f>
        <v>P</v>
      </c>
      <c r="AA348" s="49" t="str">
        <f>MID(VLOOKUP($A348,Seqs!$A:$B,2,FALSE),VLOOKUP($A348,'SegEnds_NonXtal_Prot#'!A:AL,10,FALSE)+10,1)</f>
        <v>L</v>
      </c>
      <c r="AB348" s="28" t="str">
        <f>MID(VLOOKUP($A348,Seqs!$A:$B,2,FALSE),VLOOKUP($A348,'SegEnds_NonXtal_Prot#'!$A:$AL,22,FALSE)+6,1)</f>
        <v>T</v>
      </c>
      <c r="AC348" s="49" t="str">
        <f>MID(VLOOKUP($A348,Seqs!$A:$B,2,FALSE),VLOOKUP($A348,'SegEnds_NonXtal_Prot#'!$A:$AL,22,FALSE)+7,1)</f>
        <v>L</v>
      </c>
      <c r="AD348" s="49" t="str">
        <f>MID(VLOOKUP($A348,Seqs!$A:$B,2,FALSE),VLOOKUP($A348,'SegEnds_NonXtal_Prot#'!$A:$AL,22,FALSE)+8,1)</f>
        <v>A</v>
      </c>
      <c r="AE348" s="49" t="str">
        <f>MID(VLOOKUP($A348,Seqs!$A:$B,2,FALSE),VLOOKUP($A348,'SegEnds_NonXtal_Prot#'!$A:$AL,22,FALSE)+9,1)</f>
        <v>I</v>
      </c>
      <c r="AF348" s="49" t="str">
        <f>MID(VLOOKUP($A348,Seqs!$A:$B,2,FALSE),VLOOKUP($A348,'SegEnds_NonXtal_Prot#'!$A:$AL,22,FALSE)+10,1)</f>
        <v>W</v>
      </c>
      <c r="AG348" s="28" t="str">
        <f>MID(VLOOKUP($A348,Seqs!$A:$B,2,FALSE),VLOOKUP($A348,'SegEnds_NonXtal_Prot#'!$A:$AL,28,FALSE)-4,1)</f>
        <v>Y</v>
      </c>
      <c r="AH348" s="49" t="str">
        <f>MID(VLOOKUP($A348,Seqs!$A:$B,2,FALSE),VLOOKUP($A348,'SegEnds_NonXtal_Prot#'!$A:$AL,28,FALSE),1)</f>
        <v>L</v>
      </c>
    </row>
    <row r="349" spans="1:34" s="2" customFormat="1" x14ac:dyDescent="0.2">
      <c r="A349" s="2" t="s">
        <v>108</v>
      </c>
      <c r="B349" s="2" t="str">
        <f>LOWER(VLOOKUP(A349,Xtal_Templ!A:B,2,FALSE))</f>
        <v>grm1_human</v>
      </c>
      <c r="C349" s="2" t="str">
        <f>VLOOKUP(A349,Classification!A:D,2,FALSE)</f>
        <v>C</v>
      </c>
      <c r="D349" s="2" t="str">
        <f>IF(ISERROR(MATCH(A349,'SegEnds_Xtal_Prot#'!B:B, 0)), "NoXtal", "Xtal")</f>
        <v>NoXtal</v>
      </c>
      <c r="H349" s="4"/>
      <c r="U349" s="2" t="s">
        <v>1330</v>
      </c>
      <c r="V349" s="28" t="str">
        <f>MID(VLOOKUP($A349,Seqs!$A:$B,2,FALSE),VLOOKUP($A349,'SegEnds_NonXtal_Prot#'!A:AL,10,FALSE),1)</f>
        <v>S</v>
      </c>
      <c r="W349" s="49" t="str">
        <f>MID(VLOOKUP($A349,Seqs!$A:$B,2,FALSE),VLOOKUP($A349,'SegEnds_NonXtal_Prot#'!A:AL,10,FALSE)+6,1)</f>
        <v>S</v>
      </c>
      <c r="X349" s="49" t="str">
        <f>MID(VLOOKUP($A349,Seqs!$A:$B,2,FALSE),VLOOKUP($A349,'SegEnds_NonXtal_Prot#'!A:AL,10,FALSE)+7,1)</f>
        <v>A</v>
      </c>
      <c r="Y349" s="49" t="str">
        <f>MID(VLOOKUP($A349,Seqs!$A:$B,2,FALSE),VLOOKUP($A349,'SegEnds_NonXtal_Prot#'!A:AL,10,FALSE)+8,1)</f>
        <v>Y</v>
      </c>
      <c r="Z349" s="49" t="str">
        <f>MID(VLOOKUP($A349,Seqs!$A:$B,2,FALSE),VLOOKUP($A349,'SegEnds_NonXtal_Prot#'!A:AL,10,FALSE)+9,1)</f>
        <v>L</v>
      </c>
      <c r="AA349" s="49" t="str">
        <f>MID(VLOOKUP($A349,Seqs!$A:$B,2,FALSE),VLOOKUP($A349,'SegEnds_NonXtal_Prot#'!A:AL,10,FALSE)+10,1)</f>
        <v>F</v>
      </c>
      <c r="AB349" s="28" t="str">
        <f>MID(VLOOKUP($A349,Seqs!$A:$B,2,FALSE),VLOOKUP($A349,'SegEnds_NonXtal_Prot#'!$A:$AL,22,FALSE)+6,1)</f>
        <v>L</v>
      </c>
      <c r="AC349" s="49" t="str">
        <f>MID(VLOOKUP($A349,Seqs!$A:$B,2,FALSE),VLOOKUP($A349,'SegEnds_NonXtal_Prot#'!$A:$AL,22,FALSE)+7,1)</f>
        <v>L</v>
      </c>
      <c r="AD349" s="49" t="str">
        <f>MID(VLOOKUP($A349,Seqs!$A:$B,2,FALSE),VLOOKUP($A349,'SegEnds_NonXtal_Prot#'!$A:$AL,22,FALSE)+8,1)</f>
        <v>M</v>
      </c>
      <c r="AE349" s="49" t="str">
        <f>MID(VLOOKUP($A349,Seqs!$A:$B,2,FALSE),VLOOKUP($A349,'SegEnds_NonXtal_Prot#'!$A:$AL,22,FALSE)+9,1)</f>
        <v>T</v>
      </c>
      <c r="AF349" s="49" t="str">
        <f>MID(VLOOKUP($A349,Seqs!$A:$B,2,FALSE),VLOOKUP($A349,'SegEnds_NonXtal_Prot#'!$A:$AL,22,FALSE)+10,1)</f>
        <v>W</v>
      </c>
      <c r="AG349" s="28" t="str">
        <f>MID(VLOOKUP($A349,Seqs!$A:$B,2,FALSE),VLOOKUP($A349,'SegEnds_NonXtal_Prot#'!$A:$AL,28,FALSE)-4,1)</f>
        <v>C</v>
      </c>
      <c r="AH349" s="49" t="str">
        <f>MID(VLOOKUP($A349,Seqs!$A:$B,2,FALSE),VLOOKUP($A349,'SegEnds_NonXtal_Prot#'!$A:$AL,28,FALSE),1)</f>
        <v>L</v>
      </c>
    </row>
    <row r="350" spans="1:34" s="2" customFormat="1" x14ac:dyDescent="0.2">
      <c r="A350" s="2" t="s">
        <v>109</v>
      </c>
      <c r="B350" s="2" t="str">
        <f>LOWER(VLOOKUP(A350,Xtal_Templ!A:B,2,FALSE))</f>
        <v>grm1_human</v>
      </c>
      <c r="C350" s="2" t="str">
        <f>VLOOKUP(A350,Classification!A:D,2,FALSE)</f>
        <v>C</v>
      </c>
      <c r="D350" s="2" t="str">
        <f>IF(ISERROR(MATCH(A350,'SegEnds_Xtal_Prot#'!B:B, 0)), "NoXtal", "Xtal")</f>
        <v>NoXtal</v>
      </c>
      <c r="H350" s="4"/>
      <c r="U350" s="2" t="s">
        <v>1330</v>
      </c>
      <c r="V350" s="28" t="str">
        <f>MID(VLOOKUP($A350,Seqs!$A:$B,2,FALSE),VLOOKUP($A350,'SegEnds_NonXtal_Prot#'!A:AL,10,FALSE),1)</f>
        <v>S</v>
      </c>
      <c r="W350" s="49" t="str">
        <f>MID(VLOOKUP($A350,Seqs!$A:$B,2,FALSE),VLOOKUP($A350,'SegEnds_NonXtal_Prot#'!A:AL,10,FALSE)+6,1)</f>
        <v>P</v>
      </c>
      <c r="X350" s="49" t="str">
        <f>MID(VLOOKUP($A350,Seqs!$A:$B,2,FALSE),VLOOKUP($A350,'SegEnds_NonXtal_Prot#'!A:AL,10,FALSE)+7,1)</f>
        <v>V</v>
      </c>
      <c r="Y350" s="49" t="str">
        <f>MID(VLOOKUP($A350,Seqs!$A:$B,2,FALSE),VLOOKUP($A350,'SegEnds_NonXtal_Prot#'!A:AL,10,FALSE)+8,1)</f>
        <v>V</v>
      </c>
      <c r="Z350" s="49" t="str">
        <f>MID(VLOOKUP($A350,Seqs!$A:$B,2,FALSE),VLOOKUP($A350,'SegEnds_NonXtal_Prot#'!A:AL,10,FALSE)+9,1)</f>
        <v>I</v>
      </c>
      <c r="AA350" s="49" t="str">
        <f>MID(VLOOKUP($A350,Seqs!$A:$B,2,FALSE),VLOOKUP($A350,'SegEnds_NonXtal_Prot#'!A:AL,10,FALSE)+10,1)</f>
        <v>L</v>
      </c>
      <c r="AB350" s="28" t="str">
        <f>MID(VLOOKUP($A350,Seqs!$A:$B,2,FALSE),VLOOKUP($A350,'SegEnds_NonXtal_Prot#'!$A:$AL,22,FALSE)+6,1)</f>
        <v>L</v>
      </c>
      <c r="AC350" s="49" t="str">
        <f>MID(VLOOKUP($A350,Seqs!$A:$B,2,FALSE),VLOOKUP($A350,'SegEnds_NonXtal_Prot#'!$A:$AL,22,FALSE)+7,1)</f>
        <v>A</v>
      </c>
      <c r="AD350" s="49" t="str">
        <f>MID(VLOOKUP($A350,Seqs!$A:$B,2,FALSE),VLOOKUP($A350,'SegEnds_NonXtal_Prot#'!$A:$AL,22,FALSE)+8,1)</f>
        <v>V</v>
      </c>
      <c r="AE350" s="49" t="str">
        <f>MID(VLOOKUP($A350,Seqs!$A:$B,2,FALSE),VLOOKUP($A350,'SegEnds_NonXtal_Prot#'!$A:$AL,22,FALSE)+9,1)</f>
        <v>I</v>
      </c>
      <c r="AF350" s="49" t="str">
        <f>MID(VLOOKUP($A350,Seqs!$A:$B,2,FALSE),VLOOKUP($A350,'SegEnds_NonXtal_Prot#'!$A:$AL,22,FALSE)+10,1)</f>
        <v>L</v>
      </c>
      <c r="AG350" s="28" t="str">
        <f>MID(VLOOKUP($A350,Seqs!$A:$B,2,FALSE),VLOOKUP($A350,'SegEnds_NonXtal_Prot#'!$A:$AL,28,FALSE)-4,1)</f>
        <v>A</v>
      </c>
      <c r="AH350" s="49" t="str">
        <f>MID(VLOOKUP($A350,Seqs!$A:$B,2,FALSE),VLOOKUP($A350,'SegEnds_NonXtal_Prot#'!$A:$AL,28,FALSE),1)</f>
        <v>F</v>
      </c>
    </row>
    <row r="351" spans="1:34" s="2" customFormat="1" x14ac:dyDescent="0.2">
      <c r="A351" s="2" t="s">
        <v>110</v>
      </c>
      <c r="B351" s="2" t="str">
        <f>LOWER(VLOOKUP(A351,Xtal_Templ!A:B,2,FALSE))</f>
        <v>grm1_human</v>
      </c>
      <c r="C351" s="2" t="str">
        <f>VLOOKUP(A351,Classification!A:D,2,FALSE)</f>
        <v>C</v>
      </c>
      <c r="D351" s="2" t="str">
        <f>IF(ISERROR(MATCH(A351,'SegEnds_Xtal_Prot#'!B:B, 0)), "NoXtal", "Xtal")</f>
        <v>NoXtal</v>
      </c>
      <c r="H351" s="4"/>
      <c r="U351" s="2" t="s">
        <v>1330</v>
      </c>
      <c r="V351" s="28" t="str">
        <f>MID(VLOOKUP($A351,Seqs!$A:$B,2,FALSE),VLOOKUP($A351,'SegEnds_NonXtal_Prot#'!A:AL,10,FALSE),1)</f>
        <v>F</v>
      </c>
      <c r="W351" s="49" t="str">
        <f>MID(VLOOKUP($A351,Seqs!$A:$B,2,FALSE),VLOOKUP($A351,'SegEnds_NonXtal_Prot#'!A:AL,10,FALSE)+6,1)</f>
        <v>P</v>
      </c>
      <c r="X351" s="49" t="str">
        <f>MID(VLOOKUP($A351,Seqs!$A:$B,2,FALSE),VLOOKUP($A351,'SegEnds_NonXtal_Prot#'!A:AL,10,FALSE)+7,1)</f>
        <v>V</v>
      </c>
      <c r="Y351" s="49" t="str">
        <f>MID(VLOOKUP($A351,Seqs!$A:$B,2,FALSE),VLOOKUP($A351,'SegEnds_NonXtal_Prot#'!A:AL,10,FALSE)+8,1)</f>
        <v>F</v>
      </c>
      <c r="Z351" s="49" t="str">
        <f>MID(VLOOKUP($A351,Seqs!$A:$B,2,FALSE),VLOOKUP($A351,'SegEnds_NonXtal_Prot#'!A:AL,10,FALSE)+9,1)</f>
        <v>I</v>
      </c>
      <c r="AA351" s="49" t="str">
        <f>MID(VLOOKUP($A351,Seqs!$A:$B,2,FALSE),VLOOKUP($A351,'SegEnds_NonXtal_Prot#'!A:AL,10,FALSE)+10,1)</f>
        <v>L</v>
      </c>
      <c r="AB351" s="28" t="str">
        <f>MID(VLOOKUP($A351,Seqs!$A:$B,2,FALSE),VLOOKUP($A351,'SegEnds_NonXtal_Prot#'!$A:$AL,22,FALSE)+6,1)</f>
        <v>L</v>
      </c>
      <c r="AC351" s="49" t="str">
        <f>MID(VLOOKUP($A351,Seqs!$A:$B,2,FALSE),VLOOKUP($A351,'SegEnds_NonXtal_Prot#'!$A:$AL,22,FALSE)+7,1)</f>
        <v>G</v>
      </c>
      <c r="AD351" s="49" t="str">
        <f>MID(VLOOKUP($A351,Seqs!$A:$B,2,FALSE),VLOOKUP($A351,'SegEnds_NonXtal_Prot#'!$A:$AL,22,FALSE)+8,1)</f>
        <v>L</v>
      </c>
      <c r="AE351" s="49" t="str">
        <f>MID(VLOOKUP($A351,Seqs!$A:$B,2,FALSE),VLOOKUP($A351,'SegEnds_NonXtal_Prot#'!$A:$AL,22,FALSE)+9,1)</f>
        <v>L</v>
      </c>
      <c r="AF351" s="49" t="str">
        <f>MID(VLOOKUP($A351,Seqs!$A:$B,2,FALSE),VLOOKUP($A351,'SegEnds_NonXtal_Prot#'!$A:$AL,22,FALSE)+10,1)</f>
        <v>L</v>
      </c>
      <c r="AG351" s="28" t="str">
        <f>MID(VLOOKUP($A351,Seqs!$A:$B,2,FALSE),VLOOKUP($A351,'SegEnds_NonXtal_Prot#'!$A:$AL,28,FALSE)-4,1)</f>
        <v>A</v>
      </c>
      <c r="AH351" s="49" t="str">
        <f>MID(VLOOKUP($A351,Seqs!$A:$B,2,FALSE),VLOOKUP($A351,'SegEnds_NonXtal_Prot#'!$A:$AL,28,FALSE),1)</f>
        <v>L</v>
      </c>
    </row>
    <row r="352" spans="1:34" s="2" customFormat="1" x14ac:dyDescent="0.2">
      <c r="A352" s="2" t="s">
        <v>111</v>
      </c>
      <c r="B352" s="2" t="str">
        <f>LOWER(VLOOKUP(A352,Xtal_Templ!A:B,2,FALSE))</f>
        <v>grm1_human</v>
      </c>
      <c r="C352" s="2" t="str">
        <f>VLOOKUP(A352,Classification!A:D,2,FALSE)</f>
        <v>C</v>
      </c>
      <c r="D352" s="2" t="str">
        <f>IF(ISERROR(MATCH(A352,'SegEnds_Xtal_Prot#'!B:B, 0)), "NoXtal", "Xtal")</f>
        <v>NoXtal</v>
      </c>
      <c r="H352" s="4"/>
      <c r="U352" s="2" t="s">
        <v>1330</v>
      </c>
      <c r="V352" s="28" t="str">
        <f>MID(VLOOKUP($A352,Seqs!$A:$B,2,FALSE),VLOOKUP($A352,'SegEnds_NonXtal_Prot#'!A:AL,10,FALSE),1)</f>
        <v>T</v>
      </c>
      <c r="W352" s="49" t="str">
        <f>MID(VLOOKUP($A352,Seqs!$A:$B,2,FALSE),VLOOKUP($A352,'SegEnds_NonXtal_Prot#'!A:AL,10,FALSE)+6,1)</f>
        <v>L</v>
      </c>
      <c r="X352" s="49" t="str">
        <f>MID(VLOOKUP($A352,Seqs!$A:$B,2,FALSE),VLOOKUP($A352,'SegEnds_NonXtal_Prot#'!A:AL,10,FALSE)+7,1)</f>
        <v>T</v>
      </c>
      <c r="Y352" s="49" t="str">
        <f>MID(VLOOKUP($A352,Seqs!$A:$B,2,FALSE),VLOOKUP($A352,'SegEnds_NonXtal_Prot#'!A:AL,10,FALSE)+8,1)</f>
        <v>F</v>
      </c>
      <c r="Z352" s="49" t="str">
        <f>MID(VLOOKUP($A352,Seqs!$A:$B,2,FALSE),VLOOKUP($A352,'SegEnds_NonXtal_Prot#'!A:AL,10,FALSE)+9,1)</f>
        <v>A</v>
      </c>
      <c r="AA352" s="49" t="str">
        <f>MID(VLOOKUP($A352,Seqs!$A:$B,2,FALSE),VLOOKUP($A352,'SegEnds_NonXtal_Prot#'!A:AL,10,FALSE)+10,1)</f>
        <v>F</v>
      </c>
      <c r="AB352" s="28" t="str">
        <f>MID(VLOOKUP($A352,Seqs!$A:$B,2,FALSE),VLOOKUP($A352,'SegEnds_NonXtal_Prot#'!$A:$AL,22,FALSE)+6,1)</f>
        <v>I</v>
      </c>
      <c r="AC352" s="49" t="str">
        <f>MID(VLOOKUP($A352,Seqs!$A:$B,2,FALSE),VLOOKUP($A352,'SegEnds_NonXtal_Prot#'!$A:$AL,22,FALSE)+7,1)</f>
        <v>A</v>
      </c>
      <c r="AD352" s="49" t="str">
        <f>MID(VLOOKUP($A352,Seqs!$A:$B,2,FALSE),VLOOKUP($A352,'SegEnds_NonXtal_Prot#'!$A:$AL,22,FALSE)+8,1)</f>
        <v>V</v>
      </c>
      <c r="AE352" s="49" t="str">
        <f>MID(VLOOKUP($A352,Seqs!$A:$B,2,FALSE),VLOOKUP($A352,'SegEnds_NonXtal_Prot#'!$A:$AL,22,FALSE)+9,1)</f>
        <v>E</v>
      </c>
      <c r="AF352" s="49" t="str">
        <f>MID(VLOOKUP($A352,Seqs!$A:$B,2,FALSE),VLOOKUP($A352,'SegEnds_NonXtal_Prot#'!$A:$AL,22,FALSE)+10,1)</f>
        <v>W</v>
      </c>
      <c r="AG352" s="28" t="str">
        <f>MID(VLOOKUP($A352,Seqs!$A:$B,2,FALSE),VLOOKUP($A352,'SegEnds_NonXtal_Prot#'!$A:$AL,28,FALSE)-4,1)</f>
        <v>Y</v>
      </c>
      <c r="AH352" s="49" t="str">
        <f>MID(VLOOKUP($A352,Seqs!$A:$B,2,FALSE),VLOOKUP($A352,'SegEnds_NonXtal_Prot#'!$A:$AL,28,FALSE),1)</f>
        <v>L</v>
      </c>
    </row>
    <row r="353" spans="1:34" s="2" customFormat="1" x14ac:dyDescent="0.2">
      <c r="A353" s="2" t="s">
        <v>112</v>
      </c>
      <c r="B353" s="2" t="str">
        <f>LOWER(VLOOKUP(A353,Xtal_Templ!A:B,2,FALSE))</f>
        <v>grm1_human</v>
      </c>
      <c r="C353" s="2" t="str">
        <f>VLOOKUP(A353,Classification!A:D,2,FALSE)</f>
        <v>C</v>
      </c>
      <c r="D353" s="2" t="str">
        <f>IF(ISERROR(MATCH(A353,'SegEnds_Xtal_Prot#'!B:B, 0)), "NoXtal", "Xtal")</f>
        <v>NoXtal</v>
      </c>
      <c r="H353" s="4"/>
      <c r="U353" s="2" t="s">
        <v>1330</v>
      </c>
      <c r="V353" s="28" t="str">
        <f>MID(VLOOKUP($A353,Seqs!$A:$B,2,FALSE),VLOOKUP($A353,'SegEnds_NonXtal_Prot#'!A:AL,10,FALSE),1)</f>
        <v>T</v>
      </c>
      <c r="W353" s="49" t="str">
        <f>MID(VLOOKUP($A353,Seqs!$A:$B,2,FALSE),VLOOKUP($A353,'SegEnds_NonXtal_Prot#'!A:AL,10,FALSE)+6,1)</f>
        <v>L</v>
      </c>
      <c r="X353" s="49" t="str">
        <f>MID(VLOOKUP($A353,Seqs!$A:$B,2,FALSE),VLOOKUP($A353,'SegEnds_NonXtal_Prot#'!A:AL,10,FALSE)+7,1)</f>
        <v>V</v>
      </c>
      <c r="Y353" s="49" t="str">
        <f>MID(VLOOKUP($A353,Seqs!$A:$B,2,FALSE),VLOOKUP($A353,'SegEnds_NonXtal_Prot#'!A:AL,10,FALSE)+8,1)</f>
        <v>F</v>
      </c>
      <c r="Z353" s="49" t="str">
        <f>MID(VLOOKUP($A353,Seqs!$A:$B,2,FALSE),VLOOKUP($A353,'SegEnds_NonXtal_Prot#'!A:AL,10,FALSE)+9,1)</f>
        <v>A</v>
      </c>
      <c r="AA353" s="49" t="str">
        <f>MID(VLOOKUP($A353,Seqs!$A:$B,2,FALSE),VLOOKUP($A353,'SegEnds_NonXtal_Prot#'!A:AL,10,FALSE)+10,1)</f>
        <v>C</v>
      </c>
      <c r="AB353" s="28" t="str">
        <f>MID(VLOOKUP($A353,Seqs!$A:$B,2,FALSE),VLOOKUP($A353,'SegEnds_NonXtal_Prot#'!$A:$AL,22,FALSE)+6,1)</f>
        <v>I</v>
      </c>
      <c r="AC353" s="49" t="str">
        <f>MID(VLOOKUP($A353,Seqs!$A:$B,2,FALSE),VLOOKUP($A353,'SegEnds_NonXtal_Prot#'!$A:$AL,22,FALSE)+7,1)</f>
        <v>N</v>
      </c>
      <c r="AD353" s="49" t="str">
        <f>MID(VLOOKUP($A353,Seqs!$A:$B,2,FALSE),VLOOKUP($A353,'SegEnds_NonXtal_Prot#'!$A:$AL,22,FALSE)+8,1)</f>
        <v>T</v>
      </c>
      <c r="AE353" s="49" t="str">
        <f>MID(VLOOKUP($A353,Seqs!$A:$B,2,FALSE),VLOOKUP($A353,'SegEnds_NonXtal_Prot#'!$A:$AL,22,FALSE)+9,1)</f>
        <v>E</v>
      </c>
      <c r="AF353" s="49" t="str">
        <f>MID(VLOOKUP($A353,Seqs!$A:$B,2,FALSE),VLOOKUP($A353,'SegEnds_NonXtal_Prot#'!$A:$AL,22,FALSE)+10,1)</f>
        <v>W</v>
      </c>
      <c r="AG353" s="28" t="str">
        <f>MID(VLOOKUP($A353,Seqs!$A:$B,2,FALSE),VLOOKUP($A353,'SegEnds_NonXtal_Prot#'!$A:$AL,28,FALSE)-4,1)</f>
        <v>Y</v>
      </c>
      <c r="AH353" s="49" t="str">
        <f>MID(VLOOKUP($A353,Seqs!$A:$B,2,FALSE),VLOOKUP($A353,'SegEnds_NonXtal_Prot#'!$A:$AL,28,FALSE),1)</f>
        <v>L</v>
      </c>
    </row>
    <row r="354" spans="1:34" s="2" customFormat="1" x14ac:dyDescent="0.2">
      <c r="A354" s="2" t="s">
        <v>113</v>
      </c>
      <c r="B354" s="2" t="str">
        <f>LOWER(VLOOKUP(A354,Xtal_Templ!A:B,2,FALSE))</f>
        <v>grm1_human</v>
      </c>
      <c r="C354" s="2" t="str">
        <f>VLOOKUP(A354,Classification!A:D,2,FALSE)</f>
        <v>C</v>
      </c>
      <c r="D354" s="2" t="str">
        <f>IF(ISERROR(MATCH(A354,'SegEnds_Xtal_Prot#'!B:B, 0)), "NoXtal", "Xtal")</f>
        <v>NoXtal</v>
      </c>
      <c r="H354" s="4"/>
      <c r="U354" s="2" t="s">
        <v>1330</v>
      </c>
      <c r="V354" s="28" t="str">
        <f>MID(VLOOKUP($A354,Seqs!$A:$B,2,FALSE),VLOOKUP($A354,'SegEnds_NonXtal_Prot#'!A:AL,10,FALSE),1)</f>
        <v>V</v>
      </c>
      <c r="W354" s="49" t="str">
        <f>MID(VLOOKUP($A354,Seqs!$A:$B,2,FALSE),VLOOKUP($A354,'SegEnds_NonXtal_Prot#'!A:AL,10,FALSE)+6,1)</f>
        <v>L</v>
      </c>
      <c r="X354" s="49" t="str">
        <f>MID(VLOOKUP($A354,Seqs!$A:$B,2,FALSE),VLOOKUP($A354,'SegEnds_NonXtal_Prot#'!A:AL,10,FALSE)+7,1)</f>
        <v>A</v>
      </c>
      <c r="Y354" s="49" t="str">
        <f>MID(VLOOKUP($A354,Seqs!$A:$B,2,FALSE),VLOOKUP($A354,'SegEnds_NonXtal_Prot#'!A:AL,10,FALSE)+8,1)</f>
        <v>F</v>
      </c>
      <c r="Z354" s="49" t="str">
        <f>MID(VLOOKUP($A354,Seqs!$A:$B,2,FALSE),VLOOKUP($A354,'SegEnds_NonXtal_Prot#'!A:AL,10,FALSE)+9,1)</f>
        <v>A</v>
      </c>
      <c r="AA354" s="49" t="str">
        <f>MID(VLOOKUP($A354,Seqs!$A:$B,2,FALSE),VLOOKUP($A354,'SegEnds_NonXtal_Prot#'!A:AL,10,FALSE)+10,1)</f>
        <v>F</v>
      </c>
      <c r="AB354" s="28" t="str">
        <f>MID(VLOOKUP($A354,Seqs!$A:$B,2,FALSE),VLOOKUP($A354,'SegEnds_NonXtal_Prot#'!$A:$AL,22,FALSE)+6,1)</f>
        <v>I</v>
      </c>
      <c r="AC354" s="49" t="str">
        <f>MID(VLOOKUP($A354,Seqs!$A:$B,2,FALSE),VLOOKUP($A354,'SegEnds_NonXtal_Prot#'!$A:$AL,22,FALSE)+7,1)</f>
        <v>A</v>
      </c>
      <c r="AD354" s="49" t="str">
        <f>MID(VLOOKUP($A354,Seqs!$A:$B,2,FALSE),VLOOKUP($A354,'SegEnds_NonXtal_Prot#'!$A:$AL,22,FALSE)+8,1)</f>
        <v>T</v>
      </c>
      <c r="AE354" s="49" t="str">
        <f>MID(VLOOKUP($A354,Seqs!$A:$B,2,FALSE),VLOOKUP($A354,'SegEnds_NonXtal_Prot#'!$A:$AL,22,FALSE)+9,1)</f>
        <v>E</v>
      </c>
      <c r="AF354" s="49" t="str">
        <f>MID(VLOOKUP($A354,Seqs!$A:$B,2,FALSE),VLOOKUP($A354,'SegEnds_NonXtal_Prot#'!$A:$AL,22,FALSE)+10,1)</f>
        <v>Y</v>
      </c>
      <c r="AG354" s="28" t="str">
        <f>MID(VLOOKUP($A354,Seqs!$A:$B,2,FALSE),VLOOKUP($A354,'SegEnds_NonXtal_Prot#'!$A:$AL,28,FALSE)-4,1)</f>
        <v>Y</v>
      </c>
      <c r="AH354" s="49" t="str">
        <f>MID(VLOOKUP($A354,Seqs!$A:$B,2,FALSE),VLOOKUP($A354,'SegEnds_NonXtal_Prot#'!$A:$AL,28,FALSE),1)</f>
        <v>L</v>
      </c>
    </row>
    <row r="355" spans="1:34" s="2" customFormat="1" x14ac:dyDescent="0.2">
      <c r="A355" s="2" t="s">
        <v>114</v>
      </c>
      <c r="B355" s="2" t="str">
        <f>LOWER(VLOOKUP(A355,Xtal_Templ!A:B,2,FALSE))</f>
        <v>grm1_human</v>
      </c>
      <c r="C355" s="2" t="str">
        <f>VLOOKUP(A355,Classification!A:D,2,FALSE)</f>
        <v>C</v>
      </c>
      <c r="D355" s="2" t="str">
        <f>IF(ISERROR(MATCH(A355,'SegEnds_Xtal_Prot#'!B:B, 0)), "NoXtal", "Xtal")</f>
        <v>NoXtal</v>
      </c>
      <c r="H355" s="4"/>
      <c r="U355" s="2" t="s">
        <v>1330</v>
      </c>
      <c r="V355" s="28" t="str">
        <f>MID(VLOOKUP($A355,Seqs!$A:$B,2,FALSE),VLOOKUP($A355,'SegEnds_NonXtal_Prot#'!A:AL,10,FALSE),1)</f>
        <v>H</v>
      </c>
      <c r="W355" s="49" t="str">
        <f>MID(VLOOKUP($A355,Seqs!$A:$B,2,FALSE),VLOOKUP($A355,'SegEnds_NonXtal_Prot#'!A:AL,10,FALSE)+6,1)</f>
        <v>S</v>
      </c>
      <c r="X355" s="49" t="str">
        <f>MID(VLOOKUP($A355,Seqs!$A:$B,2,FALSE),VLOOKUP($A355,'SegEnds_NonXtal_Prot#'!A:AL,10,FALSE)+7,1)</f>
        <v>T</v>
      </c>
      <c r="Y355" s="49" t="str">
        <f>MID(VLOOKUP($A355,Seqs!$A:$B,2,FALSE),VLOOKUP($A355,'SegEnds_NonXtal_Prot#'!A:AL,10,FALSE)+8,1)</f>
        <v>S</v>
      </c>
      <c r="Z355" s="49" t="str">
        <f>MID(VLOOKUP($A355,Seqs!$A:$B,2,FALSE),VLOOKUP($A355,'SegEnds_NonXtal_Prot#'!A:AL,10,FALSE)+9,1)</f>
        <v>F</v>
      </c>
      <c r="AA355" s="49" t="str">
        <f>MID(VLOOKUP($A355,Seqs!$A:$B,2,FALSE),VLOOKUP($A355,'SegEnds_NonXtal_Prot#'!A:AL,10,FALSE)+10,1)</f>
        <v>F</v>
      </c>
      <c r="AB355" s="28" t="str">
        <f>MID(VLOOKUP($A355,Seqs!$A:$B,2,FALSE),VLOOKUP($A355,'SegEnds_NonXtal_Prot#'!$A:$AL,22,FALSE)+6,1)</f>
        <v>I</v>
      </c>
      <c r="AC355" s="49" t="str">
        <f>MID(VLOOKUP($A355,Seqs!$A:$B,2,FALSE),VLOOKUP($A355,'SegEnds_NonXtal_Prot#'!$A:$AL,22,FALSE)+7,1)</f>
        <v>C</v>
      </c>
      <c r="AD355" s="49" t="str">
        <f>MID(VLOOKUP($A355,Seqs!$A:$B,2,FALSE),VLOOKUP($A355,'SegEnds_NonXtal_Prot#'!$A:$AL,22,FALSE)+8,1)</f>
        <v>T</v>
      </c>
      <c r="AE355" s="49" t="str">
        <f>MID(VLOOKUP($A355,Seqs!$A:$B,2,FALSE),VLOOKUP($A355,'SegEnds_NonXtal_Prot#'!$A:$AL,22,FALSE)+9,1)</f>
        <v>L</v>
      </c>
      <c r="AF355" s="49" t="str">
        <f>MID(VLOOKUP($A355,Seqs!$A:$B,2,FALSE),VLOOKUP($A355,'SegEnds_NonXtal_Prot#'!$A:$AL,22,FALSE)+10,1)</f>
        <v>W</v>
      </c>
      <c r="AG355" s="28" t="str">
        <f>MID(VLOOKUP($A355,Seqs!$A:$B,2,FALSE),VLOOKUP($A355,'SegEnds_NonXtal_Prot#'!$A:$AL,28,FALSE)-4,1)</f>
        <v>Y</v>
      </c>
      <c r="AH355" s="49" t="str">
        <f>MID(VLOOKUP($A355,Seqs!$A:$B,2,FALSE),VLOOKUP($A355,'SegEnds_NonXtal_Prot#'!$A:$AL,28,FALSE),1)</f>
        <v>L</v>
      </c>
    </row>
    <row r="356" spans="1:34" s="2" customFormat="1" x14ac:dyDescent="0.2">
      <c r="A356" s="2" t="s">
        <v>40</v>
      </c>
      <c r="B356" s="2" t="str">
        <f>LOWER(VLOOKUP(A356,Xtal_Templ!A:B,2,FALSE))</f>
        <v>grm1_human</v>
      </c>
      <c r="C356" s="2" t="str">
        <f>VLOOKUP(A356,Classification!A:D,2,FALSE)</f>
        <v>C</v>
      </c>
      <c r="D356" s="2" t="str">
        <f>IF(ISERROR(MATCH(A356,'SegEnds_Xtal_Prot#'!B:B, 0)), "NoXtal", "Xtal")</f>
        <v>Xtal</v>
      </c>
      <c r="H356" s="4"/>
      <c r="U356" s="2" t="s">
        <v>1330</v>
      </c>
      <c r="V356" s="28" t="str">
        <f>MID(VLOOKUP($A356,Seqs!$A:$B,2,FALSE),VLOOKUP($A356,'SegEnds_NonXtal_Prot#'!A:AL,10,FALSE),1)</f>
        <v>I</v>
      </c>
      <c r="W356" s="49" t="str">
        <f>MID(VLOOKUP($A356,Seqs!$A:$B,2,FALSE),VLOOKUP($A356,'SegEnds_NonXtal_Prot#'!A:AL,10,FALSE)+6,1)</f>
        <v>C</v>
      </c>
      <c r="X356" s="49" t="str">
        <f>MID(VLOOKUP($A356,Seqs!$A:$B,2,FALSE),VLOOKUP($A356,'SegEnds_NonXtal_Prot#'!A:AL,10,FALSE)+7,1)</f>
        <v>P</v>
      </c>
      <c r="Y356" s="49" t="str">
        <f>MID(VLOOKUP($A356,Seqs!$A:$B,2,FALSE),VLOOKUP($A356,'SegEnds_NonXtal_Prot#'!A:AL,10,FALSE)+8,1)</f>
        <v>F</v>
      </c>
      <c r="Z356" s="49" t="str">
        <f>MID(VLOOKUP($A356,Seqs!$A:$B,2,FALSE),VLOOKUP($A356,'SegEnds_NonXtal_Prot#'!A:AL,10,FALSE)+9,1)</f>
        <v>T</v>
      </c>
      <c r="AA356" s="49" t="str">
        <f>MID(VLOOKUP($A356,Seqs!$A:$B,2,FALSE),VLOOKUP($A356,'SegEnds_NonXtal_Prot#'!A:AL,10,FALSE)+10,1)</f>
        <v>L</v>
      </c>
      <c r="AB356" s="28" t="str">
        <f>MID(VLOOKUP($A356,Seqs!$A:$B,2,FALSE),VLOOKUP($A356,'SegEnds_NonXtal_Prot#'!$A:$AL,22,FALSE)+6,1)</f>
        <v>L</v>
      </c>
      <c r="AC356" s="49" t="str">
        <f>MID(VLOOKUP($A356,Seqs!$A:$B,2,FALSE),VLOOKUP($A356,'SegEnds_NonXtal_Prot#'!$A:$AL,22,FALSE)+7,1)</f>
        <v>V</v>
      </c>
      <c r="AD356" s="49" t="str">
        <f>MID(VLOOKUP($A356,Seqs!$A:$B,2,FALSE),VLOOKUP($A356,'SegEnds_NonXtal_Prot#'!$A:$AL,22,FALSE)+8,1)</f>
        <v>V</v>
      </c>
      <c r="AE356" s="49" t="str">
        <f>MID(VLOOKUP($A356,Seqs!$A:$B,2,FALSE),VLOOKUP($A356,'SegEnds_NonXtal_Prot#'!$A:$AL,22,FALSE)+9,1)</f>
        <v>T</v>
      </c>
      <c r="AF356" s="49" t="str">
        <f>MID(VLOOKUP($A356,Seqs!$A:$B,2,FALSE),VLOOKUP($A356,'SegEnds_NonXtal_Prot#'!$A:$AL,22,FALSE)+10,1)</f>
        <v>L</v>
      </c>
      <c r="AG356" s="28" t="str">
        <f>MID(VLOOKUP($A356,Seqs!$A:$B,2,FALSE),VLOOKUP($A356,'SegEnds_NonXtal_Prot#'!$A:$AL,28,FALSE)-4,1)</f>
        <v>Y</v>
      </c>
      <c r="AH356" s="49" t="str">
        <f>MID(VLOOKUP($A356,Seqs!$A:$B,2,FALSE),VLOOKUP($A356,'SegEnds_NonXtal_Prot#'!$A:$AL,28,FALSE),1)</f>
        <v>L</v>
      </c>
    </row>
    <row r="357" spans="1:34" s="2" customFormat="1" x14ac:dyDescent="0.2">
      <c r="A357" s="2" t="s">
        <v>121</v>
      </c>
      <c r="B357" s="2" t="str">
        <f>LOWER(VLOOKUP(A357,Xtal_Templ!A:B,2,FALSE))</f>
        <v>grm1_human</v>
      </c>
      <c r="C357" s="2" t="str">
        <f>VLOOKUP(A357,Classification!A:D,2,FALSE)</f>
        <v>C</v>
      </c>
      <c r="D357" s="2" t="str">
        <f>IF(ISERROR(MATCH(A357,'SegEnds_Xtal_Prot#'!B:B, 0)), "NoXtal", "Xtal")</f>
        <v>NoXtal</v>
      </c>
      <c r="H357" s="4"/>
      <c r="U357" s="2" t="s">
        <v>1330</v>
      </c>
      <c r="V357" s="28" t="str">
        <f>MID(VLOOKUP($A357,Seqs!$A:$B,2,FALSE),VLOOKUP($A357,'SegEnds_NonXtal_Prot#'!A:AL,10,FALSE),1)</f>
        <v>V</v>
      </c>
      <c r="W357" s="49" t="str">
        <f>MID(VLOOKUP($A357,Seqs!$A:$B,2,FALSE),VLOOKUP($A357,'SegEnds_NonXtal_Prot#'!A:AL,10,FALSE)+6,1)</f>
        <v>L</v>
      </c>
      <c r="X357" s="49" t="str">
        <f>MID(VLOOKUP($A357,Seqs!$A:$B,2,FALSE),VLOOKUP($A357,'SegEnds_NonXtal_Prot#'!A:AL,10,FALSE)+7,1)</f>
        <v>T</v>
      </c>
      <c r="Y357" s="49" t="str">
        <f>MID(VLOOKUP($A357,Seqs!$A:$B,2,FALSE),VLOOKUP($A357,'SegEnds_NonXtal_Prot#'!A:AL,10,FALSE)+8,1)</f>
        <v>F</v>
      </c>
      <c r="Z357" s="49" t="str">
        <f>MID(VLOOKUP($A357,Seqs!$A:$B,2,FALSE),VLOOKUP($A357,'SegEnds_NonXtal_Prot#'!A:AL,10,FALSE)+9,1)</f>
        <v>A</v>
      </c>
      <c r="AA357" s="49" t="str">
        <f>MID(VLOOKUP($A357,Seqs!$A:$B,2,FALSE),VLOOKUP($A357,'SegEnds_NonXtal_Prot#'!A:AL,10,FALSE)+10,1)</f>
        <v>F</v>
      </c>
      <c r="AB357" s="28" t="str">
        <f>MID(VLOOKUP($A357,Seqs!$A:$B,2,FALSE),VLOOKUP($A357,'SegEnds_NonXtal_Prot#'!$A:$AL,22,FALSE)+6,1)</f>
        <v>I</v>
      </c>
      <c r="AC357" s="49" t="str">
        <f>MID(VLOOKUP($A357,Seqs!$A:$B,2,FALSE),VLOOKUP($A357,'SegEnds_NonXtal_Prot#'!$A:$AL,22,FALSE)+7,1)</f>
        <v>A</v>
      </c>
      <c r="AD357" s="49" t="str">
        <f>MID(VLOOKUP($A357,Seqs!$A:$B,2,FALSE),VLOOKUP($A357,'SegEnds_NonXtal_Prot#'!$A:$AL,22,FALSE)+8,1)</f>
        <v>I</v>
      </c>
      <c r="AE357" s="49" t="str">
        <f>MID(VLOOKUP($A357,Seqs!$A:$B,2,FALSE),VLOOKUP($A357,'SegEnds_NonXtal_Prot#'!$A:$AL,22,FALSE)+9,1)</f>
        <v>E</v>
      </c>
      <c r="AF357" s="49" t="str">
        <f>MID(VLOOKUP($A357,Seqs!$A:$B,2,FALSE),VLOOKUP($A357,'SegEnds_NonXtal_Prot#'!$A:$AL,22,FALSE)+10,1)</f>
        <v>Y</v>
      </c>
      <c r="AG357" s="28" t="str">
        <f>MID(VLOOKUP($A357,Seqs!$A:$B,2,FALSE),VLOOKUP($A357,'SegEnds_NonXtal_Prot#'!$A:$AL,28,FALSE)-4,1)</f>
        <v>Y</v>
      </c>
      <c r="AH357" s="49" t="str">
        <f>MID(VLOOKUP($A357,Seqs!$A:$B,2,FALSE),VLOOKUP($A357,'SegEnds_NonXtal_Prot#'!$A:$AL,28,FALSE),1)</f>
        <v>L</v>
      </c>
    </row>
    <row r="358" spans="1:34" s="2" customFormat="1" x14ac:dyDescent="0.2">
      <c r="A358" s="2" t="s">
        <v>122</v>
      </c>
      <c r="B358" s="2" t="str">
        <f>LOWER(VLOOKUP(A358,Xtal_Templ!A:B,2,FALSE))</f>
        <v>grm1_human</v>
      </c>
      <c r="C358" s="2" t="str">
        <f>VLOOKUP(A358,Classification!A:D,2,FALSE)</f>
        <v>C</v>
      </c>
      <c r="D358" s="2" t="str">
        <f>IF(ISERROR(MATCH(A358,'SegEnds_Xtal_Prot#'!B:B, 0)), "NoXtal", "Xtal")</f>
        <v>NoXtal</v>
      </c>
      <c r="H358" s="4"/>
      <c r="U358" s="2" t="s">
        <v>1330</v>
      </c>
      <c r="V358" s="28" t="str">
        <f>MID(VLOOKUP($A358,Seqs!$A:$B,2,FALSE),VLOOKUP($A358,'SegEnds_NonXtal_Prot#'!A:AL,10,FALSE),1)</f>
        <v>L</v>
      </c>
      <c r="W358" s="49" t="str">
        <f>MID(VLOOKUP($A358,Seqs!$A:$B,2,FALSE),VLOOKUP($A358,'SegEnds_NonXtal_Prot#'!A:AL,10,FALSE)+6,1)</f>
        <v>S</v>
      </c>
      <c r="X358" s="49" t="str">
        <f>MID(VLOOKUP($A358,Seqs!$A:$B,2,FALSE),VLOOKUP($A358,'SegEnds_NonXtal_Prot#'!A:AL,10,FALSE)+7,1)</f>
        <v>L</v>
      </c>
      <c r="Y358" s="49" t="str">
        <f>MID(VLOOKUP($A358,Seqs!$A:$B,2,FALSE),VLOOKUP($A358,'SegEnds_NonXtal_Prot#'!A:AL,10,FALSE)+8,1)</f>
        <v>Y</v>
      </c>
      <c r="Z358" s="49" t="str">
        <f>MID(VLOOKUP($A358,Seqs!$A:$B,2,FALSE),VLOOKUP($A358,'SegEnds_NonXtal_Prot#'!A:AL,10,FALSE)+9,1)</f>
        <v>G</v>
      </c>
      <c r="AA358" s="49" t="str">
        <f>MID(VLOOKUP($A358,Seqs!$A:$B,2,FALSE),VLOOKUP($A358,'SegEnds_NonXtal_Prot#'!A:AL,10,FALSE)+10,1)</f>
        <v>F</v>
      </c>
      <c r="AB358" s="28" t="str">
        <f>MID(VLOOKUP($A358,Seqs!$A:$B,2,FALSE),VLOOKUP($A358,'SegEnds_NonXtal_Prot#'!$A:$AL,22,FALSE)+6,1)</f>
        <v>I</v>
      </c>
      <c r="AC358" s="49" t="str">
        <f>MID(VLOOKUP($A358,Seqs!$A:$B,2,FALSE),VLOOKUP($A358,'SegEnds_NonXtal_Prot#'!$A:$AL,22,FALSE)+7,1)</f>
        <v>C</v>
      </c>
      <c r="AD358" s="49" t="str">
        <f>MID(VLOOKUP($A358,Seqs!$A:$B,2,FALSE),VLOOKUP($A358,'SegEnds_NonXtal_Prot#'!$A:$AL,22,FALSE)+8,1)</f>
        <v>L</v>
      </c>
      <c r="AE358" s="49" t="str">
        <f>MID(VLOOKUP($A358,Seqs!$A:$B,2,FALSE),VLOOKUP($A358,'SegEnds_NonXtal_Prot#'!$A:$AL,22,FALSE)+9,1)</f>
        <v>T</v>
      </c>
      <c r="AF358" s="49" t="str">
        <f>MID(VLOOKUP($A358,Seqs!$A:$B,2,FALSE),VLOOKUP($A358,'SegEnds_NonXtal_Prot#'!$A:$AL,22,FALSE)+10,1)</f>
        <v>W</v>
      </c>
      <c r="AG358" s="28" t="str">
        <f>MID(VLOOKUP($A358,Seqs!$A:$B,2,FALSE),VLOOKUP($A358,'SegEnds_NonXtal_Prot#'!$A:$AL,28,FALSE)-4,1)</f>
        <v>Y</v>
      </c>
      <c r="AH358" s="49" t="str">
        <f>MID(VLOOKUP($A358,Seqs!$A:$B,2,FALSE),VLOOKUP($A358,'SegEnds_NonXtal_Prot#'!$A:$AL,28,FALSE),1)</f>
        <v>L</v>
      </c>
    </row>
    <row r="359" spans="1:34" s="2" customFormat="1" x14ac:dyDescent="0.2">
      <c r="A359" s="2" t="s">
        <v>123</v>
      </c>
      <c r="B359" s="2" t="str">
        <f>LOWER(VLOOKUP(A359,Xtal_Templ!A:B,2,FALSE))</f>
        <v>grm1_human</v>
      </c>
      <c r="C359" s="2" t="str">
        <f>VLOOKUP(A359,Classification!A:D,2,FALSE)</f>
        <v>C</v>
      </c>
      <c r="D359" s="2" t="str">
        <f>IF(ISERROR(MATCH(A359,'SegEnds_Xtal_Prot#'!B:B, 0)), "NoXtal", "Xtal")</f>
        <v>NoXtal</v>
      </c>
      <c r="H359" s="4"/>
      <c r="U359" s="2" t="s">
        <v>1330</v>
      </c>
      <c r="V359" s="28" t="str">
        <f>MID(VLOOKUP($A359,Seqs!$A:$B,2,FALSE),VLOOKUP($A359,'SegEnds_NonXtal_Prot#'!A:AL,10,FALSE),1)</f>
        <v>L</v>
      </c>
      <c r="W359" s="49" t="str">
        <f>MID(VLOOKUP($A359,Seqs!$A:$B,2,FALSE),VLOOKUP($A359,'SegEnds_NonXtal_Prot#'!A:AL,10,FALSE)+6,1)</f>
        <v>V</v>
      </c>
      <c r="X359" s="49" t="str">
        <f>MID(VLOOKUP($A359,Seqs!$A:$B,2,FALSE),VLOOKUP($A359,'SegEnds_NonXtal_Prot#'!A:AL,10,FALSE)+7,1)</f>
        <v>V</v>
      </c>
      <c r="Y359" s="49" t="str">
        <f>MID(VLOOKUP($A359,Seqs!$A:$B,2,FALSE),VLOOKUP($A359,'SegEnds_NonXtal_Prot#'!A:AL,10,FALSE)+8,1)</f>
        <v>P</v>
      </c>
      <c r="Z359" s="49" t="str">
        <f>MID(VLOOKUP($A359,Seqs!$A:$B,2,FALSE),VLOOKUP($A359,'SegEnds_NonXtal_Prot#'!A:AL,10,FALSE)+9,1)</f>
        <v>V</v>
      </c>
      <c r="AA359" s="49" t="str">
        <f>MID(VLOOKUP($A359,Seqs!$A:$B,2,FALSE),VLOOKUP($A359,'SegEnds_NonXtal_Prot#'!A:AL,10,FALSE)+10,1)</f>
        <v>Y</v>
      </c>
      <c r="AB359" s="28" t="str">
        <f>MID(VLOOKUP($A359,Seqs!$A:$B,2,FALSE),VLOOKUP($A359,'SegEnds_NonXtal_Prot#'!$A:$AL,22,FALSE)+6,1)</f>
        <v>I</v>
      </c>
      <c r="AC359" s="49" t="str">
        <f>MID(VLOOKUP($A359,Seqs!$A:$B,2,FALSE),VLOOKUP($A359,'SegEnds_NonXtal_Prot#'!$A:$AL,22,FALSE)+7,1)</f>
        <v>V</v>
      </c>
      <c r="AD359" s="49" t="str">
        <f>MID(VLOOKUP($A359,Seqs!$A:$B,2,FALSE),VLOOKUP($A359,'SegEnds_NonXtal_Prot#'!$A:$AL,22,FALSE)+8,1)</f>
        <v>V</v>
      </c>
      <c r="AE359" s="49" t="str">
        <f>MID(VLOOKUP($A359,Seqs!$A:$B,2,FALSE),VLOOKUP($A359,'SegEnds_NonXtal_Prot#'!$A:$AL,22,FALSE)+9,1)</f>
        <v>I</v>
      </c>
      <c r="AF359" s="49" t="str">
        <f>MID(VLOOKUP($A359,Seqs!$A:$B,2,FALSE),VLOOKUP($A359,'SegEnds_NonXtal_Prot#'!$A:$AL,22,FALSE)+10,1)</f>
        <v>G</v>
      </c>
      <c r="AG359" s="28" t="str">
        <f>MID(VLOOKUP($A359,Seqs!$A:$B,2,FALSE),VLOOKUP($A359,'SegEnds_NonXtal_Prot#'!$A:$AL,28,FALSE)-4,1)</f>
        <v>L</v>
      </c>
      <c r="AH359" s="49" t="str">
        <f>MID(VLOOKUP($A359,Seqs!$A:$B,2,FALSE),VLOOKUP($A359,'SegEnds_NonXtal_Prot#'!$A:$AL,28,FALSE),1)</f>
        <v>L</v>
      </c>
    </row>
    <row r="360" spans="1:34" s="2" customFormat="1" x14ac:dyDescent="0.2">
      <c r="A360" s="2" t="s">
        <v>124</v>
      </c>
      <c r="B360" s="2" t="str">
        <f>LOWER(VLOOKUP(A360,Xtal_Templ!A:B,2,FALSE))</f>
        <v>grm1_human</v>
      </c>
      <c r="C360" s="2" t="str">
        <f>VLOOKUP(A360,Classification!A:D,2,FALSE)</f>
        <v>C</v>
      </c>
      <c r="D360" s="2" t="str">
        <f>IF(ISERROR(MATCH(A360,'SegEnds_Xtal_Prot#'!B:B, 0)), "NoXtal", "Xtal")</f>
        <v>NoXtal</v>
      </c>
      <c r="H360" s="4"/>
      <c r="U360" s="2" t="s">
        <v>1330</v>
      </c>
      <c r="V360" s="28" t="str">
        <f>MID(VLOOKUP($A360,Seqs!$A:$B,2,FALSE),VLOOKUP($A360,'SegEnds_NonXtal_Prot#'!A:AL,10,FALSE),1)</f>
        <v>L</v>
      </c>
      <c r="W360" s="49" t="str">
        <f>MID(VLOOKUP($A360,Seqs!$A:$B,2,FALSE),VLOOKUP($A360,'SegEnds_NonXtal_Prot#'!A:AL,10,FALSE)+6,1)</f>
        <v>S</v>
      </c>
      <c r="X360" s="49" t="str">
        <f>MID(VLOOKUP($A360,Seqs!$A:$B,2,FALSE),VLOOKUP($A360,'SegEnds_NonXtal_Prot#'!A:AL,10,FALSE)+7,1)</f>
        <v>V</v>
      </c>
      <c r="Y360" s="49" t="str">
        <f>MID(VLOOKUP($A360,Seqs!$A:$B,2,FALSE),VLOOKUP($A360,'SegEnds_NonXtal_Prot#'!A:AL,10,FALSE)+8,1)</f>
        <v>L</v>
      </c>
      <c r="Z360" s="49" t="str">
        <f>MID(VLOOKUP($A360,Seqs!$A:$B,2,FALSE),VLOOKUP($A360,'SegEnds_NonXtal_Prot#'!A:AL,10,FALSE)+9,1)</f>
        <v>L</v>
      </c>
      <c r="AA360" s="49" t="str">
        <f>MID(VLOOKUP($A360,Seqs!$A:$B,2,FALSE),VLOOKUP($A360,'SegEnds_NonXtal_Prot#'!A:AL,10,FALSE)+10,1)</f>
        <v>F</v>
      </c>
      <c r="AB360" s="28" t="str">
        <f>MID(VLOOKUP($A360,Seqs!$A:$B,2,FALSE),VLOOKUP($A360,'SegEnds_NonXtal_Prot#'!$A:$AL,22,FALSE)+6,1)</f>
        <v>L</v>
      </c>
      <c r="AC360" s="49" t="str">
        <f>MID(VLOOKUP($A360,Seqs!$A:$B,2,FALSE),VLOOKUP($A360,'SegEnds_NonXtal_Prot#'!$A:$AL,22,FALSE)+7,1)</f>
        <v>C</v>
      </c>
      <c r="AD360" s="49" t="str">
        <f>MID(VLOOKUP($A360,Seqs!$A:$B,2,FALSE),VLOOKUP($A360,'SegEnds_NonXtal_Prot#'!$A:$AL,22,FALSE)+8,1)</f>
        <v>T</v>
      </c>
      <c r="AE360" s="49" t="str">
        <f>MID(VLOOKUP($A360,Seqs!$A:$B,2,FALSE),VLOOKUP($A360,'SegEnds_NonXtal_Prot#'!$A:$AL,22,FALSE)+9,1)</f>
        <v>W</v>
      </c>
      <c r="AF360" s="49" t="str">
        <f>MID(VLOOKUP($A360,Seqs!$A:$B,2,FALSE),VLOOKUP($A360,'SegEnds_NonXtal_Prot#'!$A:$AL,22,FALSE)+10,1)</f>
        <v>Y</v>
      </c>
      <c r="AG360" s="28" t="str">
        <f>MID(VLOOKUP($A360,Seqs!$A:$B,2,FALSE),VLOOKUP($A360,'SegEnds_NonXtal_Prot#'!$A:$AL,28,FALSE)-4,1)</f>
        <v>T</v>
      </c>
      <c r="AH360" s="49" t="str">
        <f>MID(VLOOKUP($A360,Seqs!$A:$B,2,FALSE),VLOOKUP($A360,'SegEnds_NonXtal_Prot#'!$A:$AL,28,FALSE),1)</f>
        <v>L</v>
      </c>
    </row>
    <row r="361" spans="1:34" s="2" customFormat="1" x14ac:dyDescent="0.2">
      <c r="A361" s="2" t="s">
        <v>105</v>
      </c>
      <c r="B361" s="2" t="str">
        <f>LOWER(VLOOKUP(A361,Xtal_Templ!A:B,2,FALSE))</f>
        <v>grm5_human</v>
      </c>
      <c r="C361" s="2" t="str">
        <f>VLOOKUP(A361,Classification!A:D,2,FALSE)</f>
        <v>C</v>
      </c>
      <c r="D361" s="2" t="str">
        <f>IF(ISERROR(MATCH(A361,'SegEnds_Xtal_Prot#'!B:B, 0)), "NoXtal", "Xtal")</f>
        <v>NoXtal</v>
      </c>
      <c r="H361" s="4"/>
      <c r="U361" s="2" t="s">
        <v>1330</v>
      </c>
      <c r="V361" s="28" t="str">
        <f>MID(VLOOKUP($A361,Seqs!$A:$B,2,FALSE),VLOOKUP($A361,'SegEnds_NonXtal_Prot#'!A:AL,10,FALSE),1)</f>
        <v>L</v>
      </c>
      <c r="W361" s="49" t="str">
        <f>MID(VLOOKUP($A361,Seqs!$A:$B,2,FALSE),VLOOKUP($A361,'SegEnds_NonXtal_Prot#'!A:AL,10,FALSE)+6,1)</f>
        <v>S</v>
      </c>
      <c r="X361" s="49" t="str">
        <f>MID(VLOOKUP($A361,Seqs!$A:$B,2,FALSE),VLOOKUP($A361,'SegEnds_NonXtal_Prot#'!A:AL,10,FALSE)+7,1)</f>
        <v>S</v>
      </c>
      <c r="Y361" s="49" t="str">
        <f>MID(VLOOKUP($A361,Seqs!$A:$B,2,FALSE),VLOOKUP($A361,'SegEnds_NonXtal_Prot#'!A:AL,10,FALSE)+8,1)</f>
        <v>L</v>
      </c>
      <c r="Z361" s="49" t="str">
        <f>MID(VLOOKUP($A361,Seqs!$A:$B,2,FALSE),VLOOKUP($A361,'SegEnds_NonXtal_Prot#'!A:AL,10,FALSE)+9,1)</f>
        <v>F</v>
      </c>
      <c r="AA361" s="49" t="str">
        <f>MID(VLOOKUP($A361,Seqs!$A:$B,2,FALSE),VLOOKUP($A361,'SegEnds_NonXtal_Prot#'!A:AL,10,FALSE)+10,1)</f>
        <v>F</v>
      </c>
      <c r="AB361" s="28" t="str">
        <f>MID(VLOOKUP($A361,Seqs!$A:$B,2,FALSE),VLOOKUP($A361,'SegEnds_NonXtal_Prot#'!$A:$AL,22,FALSE)+6,1)</f>
        <v>I</v>
      </c>
      <c r="AC361" s="49" t="str">
        <f>MID(VLOOKUP($A361,Seqs!$A:$B,2,FALSE),VLOOKUP($A361,'SegEnds_NonXtal_Prot#'!$A:$AL,22,FALSE)+7,1)</f>
        <v>C</v>
      </c>
      <c r="AD361" s="49" t="str">
        <f>MID(VLOOKUP($A361,Seqs!$A:$B,2,FALSE),VLOOKUP($A361,'SegEnds_NonXtal_Prot#'!$A:$AL,22,FALSE)+8,1)</f>
        <v>V</v>
      </c>
      <c r="AE361" s="49" t="str">
        <f>MID(VLOOKUP($A361,Seqs!$A:$B,2,FALSE),VLOOKUP($A361,'SegEnds_NonXtal_Prot#'!$A:$AL,22,FALSE)+9,1)</f>
        <v>I</v>
      </c>
      <c r="AF361" s="49" t="str">
        <f>MID(VLOOKUP($A361,Seqs!$A:$B,2,FALSE),VLOOKUP($A361,'SegEnds_NonXtal_Prot#'!$A:$AL,22,FALSE)+10,1)</f>
        <v>W</v>
      </c>
      <c r="AG361" s="28" t="str">
        <f>MID(VLOOKUP($A361,Seqs!$A:$B,2,FALSE),VLOOKUP($A361,'SegEnds_NonXtal_Prot#'!$A:$AL,28,FALSE)-4,1)</f>
        <v>Y</v>
      </c>
      <c r="AH361" s="49" t="str">
        <f>MID(VLOOKUP($A361,Seqs!$A:$B,2,FALSE),VLOOKUP($A361,'SegEnds_NonXtal_Prot#'!$A:$AL,28,FALSE),1)</f>
        <v>L</v>
      </c>
    </row>
    <row r="362" spans="1:34" s="2" customFormat="1" x14ac:dyDescent="0.2">
      <c r="A362" s="2" t="s">
        <v>107</v>
      </c>
      <c r="B362" s="2" t="str">
        <f>LOWER(VLOOKUP(A362,Xtal_Templ!A:B,2,FALSE))</f>
        <v>grm5_human</v>
      </c>
      <c r="C362" s="2" t="str">
        <f>VLOOKUP(A362,Classification!A:D,2,FALSE)</f>
        <v>C</v>
      </c>
      <c r="D362" s="2" t="str">
        <f>IF(ISERROR(MATCH(A362,'SegEnds_Xtal_Prot#'!B:B, 0)), "NoXtal", "Xtal")</f>
        <v>NoXtal</v>
      </c>
      <c r="H362" s="4"/>
      <c r="U362" s="2" t="s">
        <v>1330</v>
      </c>
      <c r="V362" s="28" t="str">
        <f>MID(VLOOKUP($A362,Seqs!$A:$B,2,FALSE),VLOOKUP($A362,'SegEnds_NonXtal_Prot#'!A:AL,10,FALSE),1)</f>
        <v>G</v>
      </c>
      <c r="W362" s="49" t="str">
        <f>MID(VLOOKUP($A362,Seqs!$A:$B,2,FALSE),VLOOKUP($A362,'SegEnds_NonXtal_Prot#'!A:AL,10,FALSE)+6,1)</f>
        <v>S</v>
      </c>
      <c r="X362" s="49" t="str">
        <f>MID(VLOOKUP($A362,Seqs!$A:$B,2,FALSE),VLOOKUP($A362,'SegEnds_NonXtal_Prot#'!A:AL,10,FALSE)+7,1)</f>
        <v>I</v>
      </c>
      <c r="Y362" s="49" t="str">
        <f>MID(VLOOKUP($A362,Seqs!$A:$B,2,FALSE),VLOOKUP($A362,'SegEnds_NonXtal_Prot#'!A:AL,10,FALSE)+8,1)</f>
        <v>F</v>
      </c>
      <c r="Z362" s="49" t="str">
        <f>MID(VLOOKUP($A362,Seqs!$A:$B,2,FALSE),VLOOKUP($A362,'SegEnds_NonXtal_Prot#'!A:AL,10,FALSE)+9,1)</f>
        <v>L</v>
      </c>
      <c r="AA362" s="49" t="str">
        <f>MID(VLOOKUP($A362,Seqs!$A:$B,2,FALSE),VLOOKUP($A362,'SegEnds_NonXtal_Prot#'!A:AL,10,FALSE)+10,1)</f>
        <v>F</v>
      </c>
      <c r="AB362" s="28" t="str">
        <f>MID(VLOOKUP($A362,Seqs!$A:$B,2,FALSE),VLOOKUP($A362,'SegEnds_NonXtal_Prot#'!$A:$AL,22,FALSE)+6,1)</f>
        <v>I</v>
      </c>
      <c r="AC362" s="49" t="str">
        <f>MID(VLOOKUP($A362,Seqs!$A:$B,2,FALSE),VLOOKUP($A362,'SegEnds_NonXtal_Prot#'!$A:$AL,22,FALSE)+7,1)</f>
        <v>L</v>
      </c>
      <c r="AD362" s="49" t="str">
        <f>MID(VLOOKUP($A362,Seqs!$A:$B,2,FALSE),VLOOKUP($A362,'SegEnds_NonXtal_Prot#'!$A:$AL,22,FALSE)+8,1)</f>
        <v>I</v>
      </c>
      <c r="AE362" s="49" t="str">
        <f>MID(VLOOKUP($A362,Seqs!$A:$B,2,FALSE),VLOOKUP($A362,'SegEnds_NonXtal_Prot#'!$A:$AL,22,FALSE)+9,1)</f>
        <v>C</v>
      </c>
      <c r="AF362" s="49" t="str">
        <f>MID(VLOOKUP($A362,Seqs!$A:$B,2,FALSE),VLOOKUP($A362,'SegEnds_NonXtal_Prot#'!$A:$AL,22,FALSE)+10,1)</f>
        <v>W</v>
      </c>
      <c r="AG362" s="28" t="str">
        <f>MID(VLOOKUP($A362,Seqs!$A:$B,2,FALSE),VLOOKUP($A362,'SegEnds_NonXtal_Prot#'!$A:$AL,28,FALSE)-4,1)</f>
        <v>Y</v>
      </c>
      <c r="AH362" s="49" t="str">
        <f>MID(VLOOKUP($A362,Seqs!$A:$B,2,FALSE),VLOOKUP($A362,'SegEnds_NonXtal_Prot#'!$A:$AL,28,FALSE),1)</f>
        <v>L</v>
      </c>
    </row>
    <row r="363" spans="1:34" s="2" customFormat="1" x14ac:dyDescent="0.2">
      <c r="A363" s="2" t="s">
        <v>115</v>
      </c>
      <c r="B363" s="2" t="str">
        <f>LOWER(VLOOKUP(A363,Xtal_Templ!A:B,2,FALSE))</f>
        <v>grm1_human</v>
      </c>
      <c r="C363" s="2" t="str">
        <f>VLOOKUP(A363,Classification!A:D,2,FALSE)</f>
        <v>C</v>
      </c>
      <c r="D363" s="2" t="str">
        <f>IF(ISERROR(MATCH(A363,'SegEnds_Xtal_Prot#'!B:B, 0)), "NoXtal", "Xtal")</f>
        <v>NoXtal</v>
      </c>
      <c r="H363" s="4"/>
      <c r="U363" s="2" t="s">
        <v>1330</v>
      </c>
      <c r="V363" s="28" t="str">
        <f>MID(VLOOKUP($A363,Seqs!$A:$B,2,FALSE),VLOOKUP($A363,'SegEnds_NonXtal_Prot#'!A:AL,10,FALSE),1)</f>
        <v>V</v>
      </c>
      <c r="W363" s="49" t="str">
        <f>MID(VLOOKUP($A363,Seqs!$A:$B,2,FALSE),VLOOKUP($A363,'SegEnds_NonXtal_Prot#'!A:AL,10,FALSE)+6,1)</f>
        <v>M</v>
      </c>
      <c r="X363" s="49" t="str">
        <f>MID(VLOOKUP($A363,Seqs!$A:$B,2,FALSE),VLOOKUP($A363,'SegEnds_NonXtal_Prot#'!A:AL,10,FALSE)+7,1)</f>
        <v>T</v>
      </c>
      <c r="Y363" s="49" t="str">
        <f>MID(VLOOKUP($A363,Seqs!$A:$B,2,FALSE),VLOOKUP($A363,'SegEnds_NonXtal_Prot#'!A:AL,10,FALSE)+8,1)</f>
        <v>F</v>
      </c>
      <c r="Z363" s="49" t="str">
        <f>MID(VLOOKUP($A363,Seqs!$A:$B,2,FALSE),VLOOKUP($A363,'SegEnds_NonXtal_Prot#'!A:AL,10,FALSE)+9,1)</f>
        <v>I</v>
      </c>
      <c r="AA363" s="49" t="str">
        <f>MID(VLOOKUP($A363,Seqs!$A:$B,2,FALSE),VLOOKUP($A363,'SegEnds_NonXtal_Prot#'!A:AL,10,FALSE)+10,1)</f>
        <v>F</v>
      </c>
      <c r="AB363" s="28" t="str">
        <f>MID(VLOOKUP($A363,Seqs!$A:$B,2,FALSE),VLOOKUP($A363,'SegEnds_NonXtal_Prot#'!$A:$AL,22,FALSE)+6,1)</f>
        <v>I</v>
      </c>
      <c r="AC363" s="49" t="str">
        <f>MID(VLOOKUP($A363,Seqs!$A:$B,2,FALSE),VLOOKUP($A363,'SegEnds_NonXtal_Prot#'!$A:$AL,22,FALSE)+7,1)</f>
        <v>V</v>
      </c>
      <c r="AD363" s="49" t="str">
        <f>MID(VLOOKUP($A363,Seqs!$A:$B,2,FALSE),VLOOKUP($A363,'SegEnds_NonXtal_Prot#'!$A:$AL,22,FALSE)+8,1)</f>
        <v>V</v>
      </c>
      <c r="AE363" s="49" t="str">
        <f>MID(VLOOKUP($A363,Seqs!$A:$B,2,FALSE),VLOOKUP($A363,'SegEnds_NonXtal_Prot#'!$A:$AL,22,FALSE)+9,1)</f>
        <v>A</v>
      </c>
      <c r="AF363" s="49" t="str">
        <f>MID(VLOOKUP($A363,Seqs!$A:$B,2,FALSE),VLOOKUP($A363,'SegEnds_NonXtal_Prot#'!$A:$AL,22,FALSE)+10,1)</f>
        <v>W</v>
      </c>
      <c r="AG363" s="28" t="str">
        <f>MID(VLOOKUP($A363,Seqs!$A:$B,2,FALSE),VLOOKUP($A363,'SegEnds_NonXtal_Prot#'!$A:$AL,28,FALSE)-4,1)</f>
        <v>Y</v>
      </c>
      <c r="AH363" s="49" t="str">
        <f>MID(VLOOKUP($A363,Seqs!$A:$B,2,FALSE),VLOOKUP($A363,'SegEnds_NonXtal_Prot#'!$A:$AL,28,FALSE),1)</f>
        <v>L</v>
      </c>
    </row>
    <row r="364" spans="1:34" s="2" customFormat="1" x14ac:dyDescent="0.2">
      <c r="A364" s="2" t="s">
        <v>116</v>
      </c>
      <c r="B364" s="2" t="str">
        <f>LOWER(VLOOKUP(A364,Xtal_Templ!A:B,2,FALSE))</f>
        <v>grm5_human</v>
      </c>
      <c r="C364" s="2" t="str">
        <f>VLOOKUP(A364,Classification!A:D,2,FALSE)</f>
        <v>C</v>
      </c>
      <c r="D364" s="2" t="str">
        <f>IF(ISERROR(MATCH(A364,'SegEnds_Xtal_Prot#'!B:B, 0)), "NoXtal", "Xtal")</f>
        <v>NoXtal</v>
      </c>
      <c r="H364" s="4"/>
      <c r="U364" s="2" t="s">
        <v>1330</v>
      </c>
      <c r="V364" s="28" t="str">
        <f>MID(VLOOKUP($A364,Seqs!$A:$B,2,FALSE),VLOOKUP($A364,'SegEnds_NonXtal_Prot#'!A:AL,10,FALSE),1)</f>
        <v>V</v>
      </c>
      <c r="W364" s="49" t="str">
        <f>MID(VLOOKUP($A364,Seqs!$A:$B,2,FALSE),VLOOKUP($A364,'SegEnds_NonXtal_Prot#'!A:AL,10,FALSE)+6,1)</f>
        <v>M</v>
      </c>
      <c r="X364" s="49" t="str">
        <f>MID(VLOOKUP($A364,Seqs!$A:$B,2,FALSE),VLOOKUP($A364,'SegEnds_NonXtal_Prot#'!A:AL,10,FALSE)+7,1)</f>
        <v>T</v>
      </c>
      <c r="Y364" s="49" t="str">
        <f>MID(VLOOKUP($A364,Seqs!$A:$B,2,FALSE),VLOOKUP($A364,'SegEnds_NonXtal_Prot#'!A:AL,10,FALSE)+8,1)</f>
        <v>F</v>
      </c>
      <c r="Z364" s="49" t="str">
        <f>MID(VLOOKUP($A364,Seqs!$A:$B,2,FALSE),VLOOKUP($A364,'SegEnds_NonXtal_Prot#'!A:AL,10,FALSE)+9,1)</f>
        <v>F</v>
      </c>
      <c r="AA364" s="49" t="str">
        <f>MID(VLOOKUP($A364,Seqs!$A:$B,2,FALSE),VLOOKUP($A364,'SegEnds_NonXtal_Prot#'!A:AL,10,FALSE)+10,1)</f>
        <v>F</v>
      </c>
      <c r="AB364" s="28" t="str">
        <f>MID(VLOOKUP($A364,Seqs!$A:$B,2,FALSE),VLOOKUP($A364,'SegEnds_NonXtal_Prot#'!$A:$AL,22,FALSE)+6,1)</f>
        <v>M</v>
      </c>
      <c r="AC364" s="49" t="str">
        <f>MID(VLOOKUP($A364,Seqs!$A:$B,2,FALSE),VLOOKUP($A364,'SegEnds_NonXtal_Prot#'!$A:$AL,22,FALSE)+7,1)</f>
        <v>V</v>
      </c>
      <c r="AD364" s="49" t="str">
        <f>MID(VLOOKUP($A364,Seqs!$A:$B,2,FALSE),VLOOKUP($A364,'SegEnds_NonXtal_Prot#'!$A:$AL,22,FALSE)+8,1)</f>
        <v>S</v>
      </c>
      <c r="AE364" s="49" t="str">
        <f>MID(VLOOKUP($A364,Seqs!$A:$B,2,FALSE),VLOOKUP($A364,'SegEnds_NonXtal_Prot#'!$A:$AL,22,FALSE)+9,1)</f>
        <v>V</v>
      </c>
      <c r="AF364" s="49" t="str">
        <f>MID(VLOOKUP($A364,Seqs!$A:$B,2,FALSE),VLOOKUP($A364,'SegEnds_NonXtal_Prot#'!$A:$AL,22,FALSE)+10,1)</f>
        <v>W</v>
      </c>
      <c r="AG364" s="28" t="str">
        <f>MID(VLOOKUP($A364,Seqs!$A:$B,2,FALSE),VLOOKUP($A364,'SegEnds_NonXtal_Prot#'!$A:$AL,28,FALSE)-4,1)</f>
        <v>Y</v>
      </c>
      <c r="AH364" s="49" t="str">
        <f>MID(VLOOKUP($A364,Seqs!$A:$B,2,FALSE),VLOOKUP($A364,'SegEnds_NonXtal_Prot#'!$A:$AL,28,FALSE),1)</f>
        <v>L</v>
      </c>
    </row>
    <row r="365" spans="1:34" s="2" customFormat="1" x14ac:dyDescent="0.2">
      <c r="A365" s="2" t="s">
        <v>117</v>
      </c>
      <c r="B365" s="2" t="str">
        <f>LOWER(VLOOKUP(A365,Xtal_Templ!A:B,2,FALSE))</f>
        <v>grm5_human</v>
      </c>
      <c r="C365" s="2" t="str">
        <f>VLOOKUP(A365,Classification!A:D,2,FALSE)</f>
        <v>C</v>
      </c>
      <c r="D365" s="2" t="str">
        <f>IF(ISERROR(MATCH(A365,'SegEnds_Xtal_Prot#'!B:B, 0)), "NoXtal", "Xtal")</f>
        <v>NoXtal</v>
      </c>
      <c r="H365" s="4"/>
      <c r="U365" s="2" t="s">
        <v>1330</v>
      </c>
      <c r="V365" s="28" t="str">
        <f>MID(VLOOKUP($A365,Seqs!$A:$B,2,FALSE),VLOOKUP($A365,'SegEnds_NonXtal_Prot#'!A:AL,10,FALSE),1)</f>
        <v>I</v>
      </c>
      <c r="W365" s="49" t="str">
        <f>MID(VLOOKUP($A365,Seqs!$A:$B,2,FALSE),VLOOKUP($A365,'SegEnds_NonXtal_Prot#'!A:AL,10,FALSE)+6,1)</f>
        <v>T</v>
      </c>
      <c r="X365" s="49" t="str">
        <f>MID(VLOOKUP($A365,Seqs!$A:$B,2,FALSE),VLOOKUP($A365,'SegEnds_NonXtal_Prot#'!A:AL,10,FALSE)+7,1)</f>
        <v>T</v>
      </c>
      <c r="Y365" s="49" t="str">
        <f>MID(VLOOKUP($A365,Seqs!$A:$B,2,FALSE),VLOOKUP($A365,'SegEnds_NonXtal_Prot#'!A:AL,10,FALSE)+8,1)</f>
        <v>F</v>
      </c>
      <c r="Z365" s="49" t="str">
        <f>MID(VLOOKUP($A365,Seqs!$A:$B,2,FALSE),VLOOKUP($A365,'SegEnds_NonXtal_Prot#'!A:AL,10,FALSE)+9,1)</f>
        <v>L</v>
      </c>
      <c r="AA365" s="49" t="str">
        <f>MID(VLOOKUP($A365,Seqs!$A:$B,2,FALSE),VLOOKUP($A365,'SegEnds_NonXtal_Prot#'!A:AL,10,FALSE)+10,1)</f>
        <v>M</v>
      </c>
      <c r="AB365" s="28" t="str">
        <f>MID(VLOOKUP($A365,Seqs!$A:$B,2,FALSE),VLOOKUP($A365,'SegEnds_NonXtal_Prot#'!$A:$AL,22,FALSE)+6,1)</f>
        <v>G</v>
      </c>
      <c r="AC365" s="49" t="str">
        <f>MID(VLOOKUP($A365,Seqs!$A:$B,2,FALSE),VLOOKUP($A365,'SegEnds_NonXtal_Prot#'!$A:$AL,22,FALSE)+7,1)</f>
        <v>I</v>
      </c>
      <c r="AD365" s="49" t="str">
        <f>MID(VLOOKUP($A365,Seqs!$A:$B,2,FALSE),VLOOKUP($A365,'SegEnds_NonXtal_Prot#'!$A:$AL,22,FALSE)+8,1)</f>
        <v>C</v>
      </c>
      <c r="AE365" s="49" t="str">
        <f>MID(VLOOKUP($A365,Seqs!$A:$B,2,FALSE),VLOOKUP($A365,'SegEnds_NonXtal_Prot#'!$A:$AL,22,FALSE)+9,1)</f>
        <v>V</v>
      </c>
      <c r="AF365" s="49" t="str">
        <f>MID(VLOOKUP($A365,Seqs!$A:$B,2,FALSE),VLOOKUP($A365,'SegEnds_NonXtal_Prot#'!$A:$AL,22,FALSE)+10,1)</f>
        <v>W</v>
      </c>
      <c r="AG365" s="28" t="str">
        <f>MID(VLOOKUP($A365,Seqs!$A:$B,2,FALSE),VLOOKUP($A365,'SegEnds_NonXtal_Prot#'!$A:$AL,28,FALSE)-4,1)</f>
        <v>Y</v>
      </c>
      <c r="AH365" s="49" t="str">
        <f>MID(VLOOKUP($A365,Seqs!$A:$B,2,FALSE),VLOOKUP($A365,'SegEnds_NonXtal_Prot#'!$A:$AL,28,FALSE),1)</f>
        <v>L</v>
      </c>
    </row>
    <row r="366" spans="1:34" s="2" customFormat="1" x14ac:dyDescent="0.2">
      <c r="A366" s="2" t="s">
        <v>41</v>
      </c>
      <c r="B366" s="2" t="str">
        <f>LOWER(VLOOKUP(A366,Xtal_Templ!A:B,2,FALSE))</f>
        <v>grm5_human</v>
      </c>
      <c r="C366" s="2" t="str">
        <f>VLOOKUP(A366,Classification!A:D,2,FALSE)</f>
        <v>C</v>
      </c>
      <c r="D366" s="2" t="str">
        <f>IF(ISERROR(MATCH(A366,'SegEnds_Xtal_Prot#'!B:B, 0)), "NoXtal", "Xtal")</f>
        <v>Xtal</v>
      </c>
      <c r="H366" s="4"/>
      <c r="U366" s="2" t="s">
        <v>1330</v>
      </c>
      <c r="V366" s="28" t="str">
        <f>MID(VLOOKUP($A366,Seqs!$A:$B,2,FALSE),VLOOKUP($A366,'SegEnds_NonXtal_Prot#'!A:AL,10,FALSE),1)</f>
        <v>I</v>
      </c>
      <c r="W366" s="49" t="str">
        <f>MID(VLOOKUP($A366,Seqs!$A:$B,2,FALSE),VLOOKUP($A366,'SegEnds_NonXtal_Prot#'!A:AL,10,FALSE)+6,1)</f>
        <v>C</v>
      </c>
      <c r="X366" s="49" t="str">
        <f>MID(VLOOKUP($A366,Seqs!$A:$B,2,FALSE),VLOOKUP($A366,'SegEnds_NonXtal_Prot#'!A:AL,10,FALSE)+7,1)</f>
        <v>T</v>
      </c>
      <c r="Y366" s="49" t="str">
        <f>MID(VLOOKUP($A366,Seqs!$A:$B,2,FALSE),VLOOKUP($A366,'SegEnds_NonXtal_Prot#'!A:AL,10,FALSE)+8,1)</f>
        <v>F</v>
      </c>
      <c r="Z366" s="49" t="str">
        <f>MID(VLOOKUP($A366,Seqs!$A:$B,2,FALSE),VLOOKUP($A366,'SegEnds_NonXtal_Prot#'!A:AL,10,FALSE)+9,1)</f>
        <v>C</v>
      </c>
      <c r="AA366" s="49" t="str">
        <f>MID(VLOOKUP($A366,Seqs!$A:$B,2,FALSE),VLOOKUP($A366,'SegEnds_NonXtal_Prot#'!A:AL,10,FALSE)+10,1)</f>
        <v>L</v>
      </c>
      <c r="AB366" s="28" t="str">
        <f>MID(VLOOKUP($A366,Seqs!$A:$B,2,FALSE),VLOOKUP($A366,'SegEnds_NonXtal_Prot#'!$A:$AL,22,FALSE)+6,1)</f>
        <v>I</v>
      </c>
      <c r="AC366" s="49" t="str">
        <f>MID(VLOOKUP($A366,Seqs!$A:$B,2,FALSE),VLOOKUP($A366,'SegEnds_NonXtal_Prot#'!$A:$AL,22,FALSE)+7,1)</f>
        <v>I</v>
      </c>
      <c r="AD366" s="49" t="str">
        <f>MID(VLOOKUP($A366,Seqs!$A:$B,2,FALSE),VLOOKUP($A366,'SegEnds_NonXtal_Prot#'!$A:$AL,22,FALSE)+8,1)</f>
        <v>V</v>
      </c>
      <c r="AE366" s="49" t="str">
        <f>MID(VLOOKUP($A366,Seqs!$A:$B,2,FALSE),VLOOKUP($A366,'SegEnds_NonXtal_Prot#'!$A:$AL,22,FALSE)+9,1)</f>
        <v>A</v>
      </c>
      <c r="AF366" s="49" t="str">
        <f>MID(VLOOKUP($A366,Seqs!$A:$B,2,FALSE),VLOOKUP($A366,'SegEnds_NonXtal_Prot#'!$A:$AL,22,FALSE)+10,1)</f>
        <v>L</v>
      </c>
      <c r="AG366" s="28" t="str">
        <f>MID(VLOOKUP($A366,Seqs!$A:$B,2,FALSE),VLOOKUP($A366,'SegEnds_NonXtal_Prot#'!$A:$AL,28,FALSE)-4,1)</f>
        <v>Y</v>
      </c>
      <c r="AH366" s="49" t="str">
        <f>MID(VLOOKUP($A366,Seqs!$A:$B,2,FALSE),VLOOKUP($A366,'SegEnds_NonXtal_Prot#'!$A:$AL,28,FALSE),1)</f>
        <v>L</v>
      </c>
    </row>
    <row r="367" spans="1:34" s="2" customFormat="1" x14ac:dyDescent="0.2">
      <c r="A367" s="2" t="s">
        <v>118</v>
      </c>
      <c r="B367" s="2" t="str">
        <f>LOWER(VLOOKUP(A367,Xtal_Templ!A:B,2,FALSE))</f>
        <v>grm5_human</v>
      </c>
      <c r="C367" s="2" t="str">
        <f>VLOOKUP(A367,Classification!A:D,2,FALSE)</f>
        <v>C</v>
      </c>
      <c r="D367" s="2" t="str">
        <f>IF(ISERROR(MATCH(A367,'SegEnds_Xtal_Prot#'!B:B, 0)), "NoXtal", "Xtal")</f>
        <v>NoXtal</v>
      </c>
      <c r="H367" s="4"/>
      <c r="U367" s="2" t="s">
        <v>1330</v>
      </c>
      <c r="V367" s="28" t="str">
        <f>MID(VLOOKUP($A367,Seqs!$A:$B,2,FALSE),VLOOKUP($A367,'SegEnds_NonXtal_Prot#'!A:AL,10,FALSE),1)</f>
        <v>I</v>
      </c>
      <c r="W367" s="49" t="str">
        <f>MID(VLOOKUP($A367,Seqs!$A:$B,2,FALSE),VLOOKUP($A367,'SegEnds_NonXtal_Prot#'!A:AL,10,FALSE)+6,1)</f>
        <v>I</v>
      </c>
      <c r="X367" s="49" t="str">
        <f>MID(VLOOKUP($A367,Seqs!$A:$B,2,FALSE),VLOOKUP($A367,'SegEnds_NonXtal_Prot#'!A:AL,10,FALSE)+7,1)</f>
        <v>T</v>
      </c>
      <c r="Y367" s="49" t="str">
        <f>MID(VLOOKUP($A367,Seqs!$A:$B,2,FALSE),VLOOKUP($A367,'SegEnds_NonXtal_Prot#'!A:AL,10,FALSE)+8,1)</f>
        <v>F</v>
      </c>
      <c r="Z367" s="49" t="str">
        <f>MID(VLOOKUP($A367,Seqs!$A:$B,2,FALSE),VLOOKUP($A367,'SegEnds_NonXtal_Prot#'!A:AL,10,FALSE)+9,1)</f>
        <v>L</v>
      </c>
      <c r="AA367" s="49" t="str">
        <f>MID(VLOOKUP($A367,Seqs!$A:$B,2,FALSE),VLOOKUP($A367,'SegEnds_NonXtal_Prot#'!A:AL,10,FALSE)+10,1)</f>
        <v>M</v>
      </c>
      <c r="AB367" s="28" t="str">
        <f>MID(VLOOKUP($A367,Seqs!$A:$B,2,FALSE),VLOOKUP($A367,'SegEnds_NonXtal_Prot#'!$A:$AL,22,FALSE)+6,1)</f>
        <v>G</v>
      </c>
      <c r="AC367" s="49" t="str">
        <f>MID(VLOOKUP($A367,Seqs!$A:$B,2,FALSE),VLOOKUP($A367,'SegEnds_NonXtal_Prot#'!$A:$AL,22,FALSE)+7,1)</f>
        <v>M</v>
      </c>
      <c r="AD367" s="49" t="str">
        <f>MID(VLOOKUP($A367,Seqs!$A:$B,2,FALSE),VLOOKUP($A367,'SegEnds_NonXtal_Prot#'!$A:$AL,22,FALSE)+8,1)</f>
        <v>I</v>
      </c>
      <c r="AE367" s="49" t="str">
        <f>MID(VLOOKUP($A367,Seqs!$A:$B,2,FALSE),VLOOKUP($A367,'SegEnds_NonXtal_Prot#'!$A:$AL,22,FALSE)+9,1)</f>
        <v>A</v>
      </c>
      <c r="AF367" s="49" t="str">
        <f>MID(VLOOKUP($A367,Seqs!$A:$B,2,FALSE),VLOOKUP($A367,'SegEnds_NonXtal_Prot#'!$A:$AL,22,FALSE)+10,1)</f>
        <v>W</v>
      </c>
      <c r="AG367" s="28" t="str">
        <f>MID(VLOOKUP($A367,Seqs!$A:$B,2,FALSE),VLOOKUP($A367,'SegEnds_NonXtal_Prot#'!$A:$AL,28,FALSE)-4,1)</f>
        <v>Y</v>
      </c>
      <c r="AH367" s="49" t="str">
        <f>MID(VLOOKUP($A367,Seqs!$A:$B,2,FALSE),VLOOKUP($A367,'SegEnds_NonXtal_Prot#'!$A:$AL,28,FALSE),1)</f>
        <v>L</v>
      </c>
    </row>
    <row r="368" spans="1:34" s="2" customFormat="1" ht="17" customHeight="1" x14ac:dyDescent="0.2">
      <c r="A368" s="2" t="s">
        <v>119</v>
      </c>
      <c r="B368" s="2" t="str">
        <f>LOWER(VLOOKUP(A368,Xtal_Templ!A:B,2,FALSE))</f>
        <v>grm5_human</v>
      </c>
      <c r="C368" s="2" t="str">
        <f>VLOOKUP(A368,Classification!A:D,2,FALSE)</f>
        <v>C</v>
      </c>
      <c r="D368" s="2" t="str">
        <f>IF(ISERROR(MATCH(A368,'SegEnds_Xtal_Prot#'!B:B, 0)), "NoXtal", "Xtal")</f>
        <v>NoXtal</v>
      </c>
      <c r="H368" s="4"/>
      <c r="U368" s="2" t="s">
        <v>1330</v>
      </c>
      <c r="V368" s="28" t="str">
        <f>MID(VLOOKUP($A368,Seqs!$A:$B,2,FALSE),VLOOKUP($A368,'SegEnds_NonXtal_Prot#'!A:AL,10,FALSE),1)</f>
        <v>I</v>
      </c>
      <c r="W368" s="49" t="str">
        <f>MID(VLOOKUP($A368,Seqs!$A:$B,2,FALSE),VLOOKUP($A368,'SegEnds_NonXtal_Prot#'!A:AL,10,FALSE)+6,1)</f>
        <v>I</v>
      </c>
      <c r="X368" s="49" t="str">
        <f>MID(VLOOKUP($A368,Seqs!$A:$B,2,FALSE),VLOOKUP($A368,'SegEnds_NonXtal_Prot#'!A:AL,10,FALSE)+7,1)</f>
        <v>T</v>
      </c>
      <c r="Y368" s="49" t="str">
        <f>MID(VLOOKUP($A368,Seqs!$A:$B,2,FALSE),VLOOKUP($A368,'SegEnds_NonXtal_Prot#'!A:AL,10,FALSE)+8,1)</f>
        <v>F</v>
      </c>
      <c r="Z368" s="49" t="str">
        <f>MID(VLOOKUP($A368,Seqs!$A:$B,2,FALSE),VLOOKUP($A368,'SegEnds_NonXtal_Prot#'!A:AL,10,FALSE)+9,1)</f>
        <v>L</v>
      </c>
      <c r="AA368" s="49" t="str">
        <f>MID(VLOOKUP($A368,Seqs!$A:$B,2,FALSE),VLOOKUP($A368,'SegEnds_NonXtal_Prot#'!A:AL,10,FALSE)+10,1)</f>
        <v>M</v>
      </c>
      <c r="AB368" s="28" t="str">
        <f>MID(VLOOKUP($A368,Seqs!$A:$B,2,FALSE),VLOOKUP($A368,'SegEnds_NonXtal_Prot#'!$A:$AL,22,FALSE)+6,1)</f>
        <v>G</v>
      </c>
      <c r="AC368" s="49" t="str">
        <f>MID(VLOOKUP($A368,Seqs!$A:$B,2,FALSE),VLOOKUP($A368,'SegEnds_NonXtal_Prot#'!$A:$AL,22,FALSE)+7,1)</f>
        <v>V</v>
      </c>
      <c r="AD368" s="49" t="str">
        <f>MID(VLOOKUP($A368,Seqs!$A:$B,2,FALSE),VLOOKUP($A368,'SegEnds_NonXtal_Prot#'!$A:$AL,22,FALSE)+8,1)</f>
        <v>F</v>
      </c>
      <c r="AE368" s="49" t="str">
        <f>MID(VLOOKUP($A368,Seqs!$A:$B,2,FALSE),VLOOKUP($A368,'SegEnds_NonXtal_Prot#'!$A:$AL,22,FALSE)+9,1)</f>
        <v>I</v>
      </c>
      <c r="AF368" s="49" t="str">
        <f>MID(VLOOKUP($A368,Seqs!$A:$B,2,FALSE),VLOOKUP($A368,'SegEnds_NonXtal_Prot#'!$A:$AL,22,FALSE)+10,1)</f>
        <v>W</v>
      </c>
      <c r="AG368" s="28" t="str">
        <f>MID(VLOOKUP($A368,Seqs!$A:$B,2,FALSE),VLOOKUP($A368,'SegEnds_NonXtal_Prot#'!$A:$AL,28,FALSE)-4,1)</f>
        <v>Y</v>
      </c>
      <c r="AH368" s="49" t="str">
        <f>MID(VLOOKUP($A368,Seqs!$A:$B,2,FALSE),VLOOKUP($A368,'SegEnds_NonXtal_Prot#'!$A:$AL,28,FALSE),1)</f>
        <v>L</v>
      </c>
    </row>
    <row r="369" spans="1:34" s="2" customFormat="1" x14ac:dyDescent="0.2">
      <c r="A369" s="2" t="s">
        <v>120</v>
      </c>
      <c r="B369" s="2" t="str">
        <f>LOWER(VLOOKUP(A369,Xtal_Templ!A:B,2,FALSE))</f>
        <v>grm5_human</v>
      </c>
      <c r="C369" s="2" t="str">
        <f>VLOOKUP(A369,Classification!A:D,2,FALSE)</f>
        <v>C</v>
      </c>
      <c r="D369" s="2" t="str">
        <f>IF(ISERROR(MATCH(A369,'SegEnds_Xtal_Prot#'!B:B, 0)), "NoXtal", "Xtal")</f>
        <v>NoXtal</v>
      </c>
      <c r="H369" s="4"/>
      <c r="U369" s="2" t="s">
        <v>1330</v>
      </c>
      <c r="V369" s="28" t="str">
        <f>MID(VLOOKUP($A369,Seqs!$A:$B,2,FALSE),VLOOKUP($A369,'SegEnds_NonXtal_Prot#'!A:AL,10,FALSE),1)</f>
        <v>I</v>
      </c>
      <c r="W369" s="49" t="str">
        <f>MID(VLOOKUP($A369,Seqs!$A:$B,2,FALSE),VLOOKUP($A369,'SegEnds_NonXtal_Prot#'!A:AL,10,FALSE)+6,1)</f>
        <v>I</v>
      </c>
      <c r="X369" s="49" t="str">
        <f>MID(VLOOKUP($A369,Seqs!$A:$B,2,FALSE),VLOOKUP($A369,'SegEnds_NonXtal_Prot#'!A:AL,10,FALSE)+7,1)</f>
        <v>T</v>
      </c>
      <c r="Y369" s="49" t="str">
        <f>MID(VLOOKUP($A369,Seqs!$A:$B,2,FALSE),VLOOKUP($A369,'SegEnds_NonXtal_Prot#'!A:AL,10,FALSE)+8,1)</f>
        <v>F</v>
      </c>
      <c r="Z369" s="49" t="str">
        <f>MID(VLOOKUP($A369,Seqs!$A:$B,2,FALSE),VLOOKUP($A369,'SegEnds_NonXtal_Prot#'!A:AL,10,FALSE)+9,1)</f>
        <v>L</v>
      </c>
      <c r="AA369" s="49" t="str">
        <f>MID(VLOOKUP($A369,Seqs!$A:$B,2,FALSE),VLOOKUP($A369,'SegEnds_NonXtal_Prot#'!A:AL,10,FALSE)+10,1)</f>
        <v>M</v>
      </c>
      <c r="AB369" s="28" t="str">
        <f>MID(VLOOKUP($A369,Seqs!$A:$B,2,FALSE),VLOOKUP($A369,'SegEnds_NonXtal_Prot#'!$A:$AL,22,FALSE)+6,1)</f>
        <v>G</v>
      </c>
      <c r="AC369" s="49" t="str">
        <f>MID(VLOOKUP($A369,Seqs!$A:$B,2,FALSE),VLOOKUP($A369,'SegEnds_NonXtal_Prot#'!$A:$AL,22,FALSE)+7,1)</f>
        <v>V</v>
      </c>
      <c r="AD369" s="49" t="str">
        <f>MID(VLOOKUP($A369,Seqs!$A:$B,2,FALSE),VLOOKUP($A369,'SegEnds_NonXtal_Prot#'!$A:$AL,22,FALSE)+8,1)</f>
        <v>F</v>
      </c>
      <c r="AE369" s="49" t="str">
        <f>MID(VLOOKUP($A369,Seqs!$A:$B,2,FALSE),VLOOKUP($A369,'SegEnds_NonXtal_Prot#'!$A:$AL,22,FALSE)+9,1)</f>
        <v>V</v>
      </c>
      <c r="AF369" s="49" t="str">
        <f>MID(VLOOKUP($A369,Seqs!$A:$B,2,FALSE),VLOOKUP($A369,'SegEnds_NonXtal_Prot#'!$A:$AL,22,FALSE)+10,1)</f>
        <v>W</v>
      </c>
      <c r="AG369" s="28" t="str">
        <f>MID(VLOOKUP($A369,Seqs!$A:$B,2,FALSE),VLOOKUP($A369,'SegEnds_NonXtal_Prot#'!$A:$AL,28,FALSE)-4,1)</f>
        <v>Y</v>
      </c>
      <c r="AH369" s="49" t="str">
        <f>MID(VLOOKUP($A369,Seqs!$A:$B,2,FALSE),VLOOKUP($A369,'SegEnds_NonXtal_Prot#'!$A:$AL,28,FALSE),1)</f>
        <v>L</v>
      </c>
    </row>
    <row r="370" spans="1:34" s="2" customFormat="1" x14ac:dyDescent="0.2">
      <c r="A370" s="2" t="s">
        <v>446</v>
      </c>
      <c r="B370" s="2" t="str">
        <f>LOWER(VLOOKUP(A370,Xtal_Templ!A:B,2,FALSE))</f>
        <v>smo_human</v>
      </c>
      <c r="C370" s="2" t="str">
        <f>VLOOKUP(A370,Classification!A:D,2,FALSE)</f>
        <v>F</v>
      </c>
      <c r="D370" s="2" t="str">
        <f>IF(ISERROR(MATCH(A370,'SegEnds_Xtal_Prot#'!B:B, 0)), "NoXtal", "Xtal")</f>
        <v>NoXtal</v>
      </c>
      <c r="H370" s="4"/>
      <c r="P370" s="2" t="s">
        <v>1329</v>
      </c>
      <c r="V370" s="28" t="str">
        <f>MID(VLOOKUP($A370,Seqs!$A:$B,2,FALSE),VLOOKUP($A370,'SegEnds_NonXtal_Prot#'!A:AL,10,FALSE),1)</f>
        <v>G</v>
      </c>
      <c r="W370" s="49" t="str">
        <f>MID(VLOOKUP($A370,Seqs!$A:$B,2,FALSE),VLOOKUP($A370,'SegEnds_NonXtal_Prot#'!A:AL,10,FALSE)+6,1)</f>
        <v>A</v>
      </c>
      <c r="X370" s="49" t="str">
        <f>MID(VLOOKUP($A370,Seqs!$A:$B,2,FALSE),VLOOKUP($A370,'SegEnds_NonXtal_Prot#'!A:AL,10,FALSE)+7,1)</f>
        <v>V</v>
      </c>
      <c r="Y370" s="49" t="str">
        <f>MID(VLOOKUP($A370,Seqs!$A:$B,2,FALSE),VLOOKUP($A370,'SegEnds_NonXtal_Prot#'!A:AL,10,FALSE)+8,1)</f>
        <v>A</v>
      </c>
      <c r="Z370" s="49" t="str">
        <f>MID(VLOOKUP($A370,Seqs!$A:$B,2,FALSE),VLOOKUP($A370,'SegEnds_NonXtal_Prot#'!A:AL,10,FALSE)+9,1)</f>
        <v>Y</v>
      </c>
      <c r="AA370" s="49" t="str">
        <f>MID(VLOOKUP($A370,Seqs!$A:$B,2,FALSE),VLOOKUP($A370,'SegEnds_NonXtal_Prot#'!A:AL,10,FALSE)+10,1)</f>
        <v>I</v>
      </c>
      <c r="AB370" s="28" t="str">
        <f>MID(VLOOKUP($A370,Seqs!$A:$B,2,FALSE),VLOOKUP($A370,'SegEnds_NonXtal_Prot#'!$A:$AL,22,FALSE)+6,1)</f>
        <v>K</v>
      </c>
      <c r="AC370" s="49" t="str">
        <f>MID(VLOOKUP($A370,Seqs!$A:$B,2,FALSE),VLOOKUP($A370,'SegEnds_NonXtal_Prot#'!$A:$AL,22,FALSE)+7,1)</f>
        <v>T</v>
      </c>
      <c r="AD370" s="49" t="str">
        <f>MID(VLOOKUP($A370,Seqs!$A:$B,2,FALSE),VLOOKUP($A370,'SegEnds_NonXtal_Prot#'!$A:$AL,22,FALSE)+8,1)</f>
        <v>I</v>
      </c>
      <c r="AE370" s="49" t="str">
        <f>MID(VLOOKUP($A370,Seqs!$A:$B,2,FALSE),VLOOKUP($A370,'SegEnds_NonXtal_Prot#'!$A:$AL,22,FALSE)+9,1)</f>
        <v>T</v>
      </c>
      <c r="AF370" s="49" t="str">
        <f>MID(VLOOKUP($A370,Seqs!$A:$B,2,FALSE),VLOOKUP($A370,'SegEnds_NonXtal_Prot#'!$A:$AL,22,FALSE)+10,1)</f>
        <v>I</v>
      </c>
      <c r="AG370" s="28" t="str">
        <f>MID(VLOOKUP($A370,Seqs!$A:$B,2,FALSE),VLOOKUP($A370,'SegEnds_NonXtal_Prot#'!$A:$AL,28,FALSE)-4,1)</f>
        <v>P</v>
      </c>
      <c r="AH370" s="49" t="str">
        <f>MID(VLOOKUP($A370,Seqs!$A:$B,2,FALSE),VLOOKUP($A370,'SegEnds_NonXtal_Prot#'!$A:$AL,28,FALSE),1)</f>
        <v>Y</v>
      </c>
    </row>
    <row r="371" spans="1:34" s="2" customFormat="1" x14ac:dyDescent="0.2">
      <c r="A371" s="2" t="s">
        <v>447</v>
      </c>
      <c r="B371" s="2" t="str">
        <f>LOWER(VLOOKUP(A371,Xtal_Templ!A:B,2,FALSE))</f>
        <v>smo_human</v>
      </c>
      <c r="C371" s="2" t="str">
        <f>VLOOKUP(A371,Classification!A:D,2,FALSE)</f>
        <v>F</v>
      </c>
      <c r="D371" s="2" t="str">
        <f>IF(ISERROR(MATCH(A371,'SegEnds_Xtal_Prot#'!B:B, 0)), "NoXtal", "Xtal")</f>
        <v>NoXtal</v>
      </c>
      <c r="H371" s="4"/>
      <c r="P371" s="2" t="s">
        <v>1329</v>
      </c>
      <c r="V371" s="28" t="str">
        <f>MID(VLOOKUP($A371,Seqs!$A:$B,2,FALSE),VLOOKUP($A371,'SegEnds_NonXtal_Prot#'!A:AL,10,FALSE),1)</f>
        <v>M</v>
      </c>
      <c r="W371" s="49" t="str">
        <f>MID(VLOOKUP($A371,Seqs!$A:$B,2,FALSE),VLOOKUP($A371,'SegEnds_NonXtal_Prot#'!A:AL,10,FALSE)+6,1)</f>
        <v>S</v>
      </c>
      <c r="X371" s="49" t="str">
        <f>MID(VLOOKUP($A371,Seqs!$A:$B,2,FALSE),VLOOKUP($A371,'SegEnds_NonXtal_Prot#'!A:AL,10,FALSE)+7,1)</f>
        <v>V</v>
      </c>
      <c r="Y371" s="49" t="str">
        <f>MID(VLOOKUP($A371,Seqs!$A:$B,2,FALSE),VLOOKUP($A371,'SegEnds_NonXtal_Prot#'!A:AL,10,FALSE)+8,1)</f>
        <v>G</v>
      </c>
      <c r="Z371" s="49" t="str">
        <f>MID(VLOOKUP($A371,Seqs!$A:$B,2,FALSE),VLOOKUP($A371,'SegEnds_NonXtal_Prot#'!A:AL,10,FALSE)+9,1)</f>
        <v>Y</v>
      </c>
      <c r="AA371" s="49" t="str">
        <f>MID(VLOOKUP($A371,Seqs!$A:$B,2,FALSE),VLOOKUP($A371,'SegEnds_NonXtal_Prot#'!A:AL,10,FALSE)+10,1)</f>
        <v>L</v>
      </c>
      <c r="AB371" s="28" t="str">
        <f>MID(VLOOKUP($A371,Seqs!$A:$B,2,FALSE),VLOOKUP($A371,'SegEnds_NonXtal_Prot#'!$A:$AL,22,FALSE)+6,1)</f>
        <v>K</v>
      </c>
      <c r="AC371" s="49" t="str">
        <f>MID(VLOOKUP($A371,Seqs!$A:$B,2,FALSE),VLOOKUP($A371,'SegEnds_NonXtal_Prot#'!$A:$AL,22,FALSE)+7,1)</f>
        <v>T</v>
      </c>
      <c r="AD371" s="49" t="str">
        <f>MID(VLOOKUP($A371,Seqs!$A:$B,2,FALSE),VLOOKUP($A371,'SegEnds_NonXtal_Prot#'!$A:$AL,22,FALSE)+8,1)</f>
        <v>I</v>
      </c>
      <c r="AE371" s="49" t="str">
        <f>MID(VLOOKUP($A371,Seqs!$A:$B,2,FALSE),VLOOKUP($A371,'SegEnds_NonXtal_Prot#'!$A:$AL,22,FALSE)+9,1)</f>
        <v>L</v>
      </c>
      <c r="AF371" s="49" t="str">
        <f>MID(VLOOKUP($A371,Seqs!$A:$B,2,FALSE),VLOOKUP($A371,'SegEnds_NonXtal_Prot#'!$A:$AL,22,FALSE)+10,1)</f>
        <v>I</v>
      </c>
      <c r="AG371" s="28" t="str">
        <f>MID(VLOOKUP($A371,Seqs!$A:$B,2,FALSE),VLOOKUP($A371,'SegEnds_NonXtal_Prot#'!$A:$AL,28,FALSE)-4,1)</f>
        <v>P</v>
      </c>
      <c r="AH371" s="49" t="str">
        <f>MID(VLOOKUP($A371,Seqs!$A:$B,2,FALSE),VLOOKUP($A371,'SegEnds_NonXtal_Prot#'!$A:$AL,28,FALSE),1)</f>
        <v>Y</v>
      </c>
    </row>
    <row r="372" spans="1:34" s="2" customFormat="1" x14ac:dyDescent="0.2">
      <c r="A372" s="2" t="s">
        <v>448</v>
      </c>
      <c r="B372" s="2" t="str">
        <f>LOWER(VLOOKUP(A372,Xtal_Templ!A:B,2,FALSE))</f>
        <v>smo_human</v>
      </c>
      <c r="C372" s="2" t="str">
        <f>VLOOKUP(A372,Classification!A:D,2,FALSE)</f>
        <v>F</v>
      </c>
      <c r="D372" s="2" t="str">
        <f>IF(ISERROR(MATCH(A372,'SegEnds_Xtal_Prot#'!B:B, 0)), "NoXtal", "Xtal")</f>
        <v>NoXtal</v>
      </c>
      <c r="H372" s="4"/>
      <c r="P372" s="2" t="s">
        <v>1329</v>
      </c>
      <c r="V372" s="28" t="str">
        <f>MID(VLOOKUP($A372,Seqs!$A:$B,2,FALSE),VLOOKUP($A372,'SegEnds_NonXtal_Prot#'!A:AL,10,FALSE),1)</f>
        <v>G</v>
      </c>
      <c r="W372" s="49" t="str">
        <f>MID(VLOOKUP($A372,Seqs!$A:$B,2,FALSE),VLOOKUP($A372,'SegEnds_NonXtal_Prot#'!A:AL,10,FALSE)+6,1)</f>
        <v>S</v>
      </c>
      <c r="X372" s="49" t="str">
        <f>MID(VLOOKUP($A372,Seqs!$A:$B,2,FALSE),VLOOKUP($A372,'SegEnds_NonXtal_Prot#'!A:AL,10,FALSE)+7,1)</f>
        <v>V</v>
      </c>
      <c r="Y372" s="49" t="str">
        <f>MID(VLOOKUP($A372,Seqs!$A:$B,2,FALSE),VLOOKUP($A372,'SegEnds_NonXtal_Prot#'!A:AL,10,FALSE)+8,1)</f>
        <v>A</v>
      </c>
      <c r="Z372" s="49" t="str">
        <f>MID(VLOOKUP($A372,Seqs!$A:$B,2,FALSE),VLOOKUP($A372,'SegEnds_NonXtal_Prot#'!A:AL,10,FALSE)+9,1)</f>
        <v>Y</v>
      </c>
      <c r="AA372" s="49" t="str">
        <f>MID(VLOOKUP($A372,Seqs!$A:$B,2,FALSE),VLOOKUP($A372,'SegEnds_NonXtal_Prot#'!A:AL,10,FALSE)+10,1)</f>
        <v>I</v>
      </c>
      <c r="AB372" s="28" t="str">
        <f>MID(VLOOKUP($A372,Seqs!$A:$B,2,FALSE),VLOOKUP($A372,'SegEnds_NonXtal_Prot#'!$A:$AL,22,FALSE)+6,1)</f>
        <v>K</v>
      </c>
      <c r="AC372" s="49" t="str">
        <f>MID(VLOOKUP($A372,Seqs!$A:$B,2,FALSE),VLOOKUP($A372,'SegEnds_NonXtal_Prot#'!$A:$AL,22,FALSE)+7,1)</f>
        <v>T</v>
      </c>
      <c r="AD372" s="49" t="str">
        <f>MID(VLOOKUP($A372,Seqs!$A:$B,2,FALSE),VLOOKUP($A372,'SegEnds_NonXtal_Prot#'!$A:$AL,22,FALSE)+8,1)</f>
        <v>I</v>
      </c>
      <c r="AE372" s="49" t="str">
        <f>MID(VLOOKUP($A372,Seqs!$A:$B,2,FALSE),VLOOKUP($A372,'SegEnds_NonXtal_Prot#'!$A:$AL,22,FALSE)+9,1)</f>
        <v>T</v>
      </c>
      <c r="AF372" s="49" t="str">
        <f>MID(VLOOKUP($A372,Seqs!$A:$B,2,FALSE),VLOOKUP($A372,'SegEnds_NonXtal_Prot#'!$A:$AL,22,FALSE)+10,1)</f>
        <v>I</v>
      </c>
      <c r="AG372" s="28" t="str">
        <f>MID(VLOOKUP($A372,Seqs!$A:$B,2,FALSE),VLOOKUP($A372,'SegEnds_NonXtal_Prot#'!$A:$AL,28,FALSE)-4,1)</f>
        <v>P</v>
      </c>
      <c r="AH372" s="49" t="str">
        <f>MID(VLOOKUP($A372,Seqs!$A:$B,2,FALSE),VLOOKUP($A372,'SegEnds_NonXtal_Prot#'!$A:$AL,28,FALSE),1)</f>
        <v>Y</v>
      </c>
    </row>
    <row r="373" spans="1:34" s="2" customFormat="1" x14ac:dyDescent="0.2">
      <c r="A373" s="2" t="s">
        <v>449</v>
      </c>
      <c r="B373" s="2" t="str">
        <f>LOWER(VLOOKUP(A373,Xtal_Templ!A:B,2,FALSE))</f>
        <v>smo_human</v>
      </c>
      <c r="C373" s="2" t="str">
        <f>VLOOKUP(A373,Classification!A:D,2,FALSE)</f>
        <v>F</v>
      </c>
      <c r="D373" s="2" t="str">
        <f>IF(ISERROR(MATCH(A373,'SegEnds_Xtal_Prot#'!B:B, 0)), "NoXtal", "Xtal")</f>
        <v>NoXtal</v>
      </c>
      <c r="H373" s="4"/>
      <c r="P373" s="2" t="s">
        <v>1329</v>
      </c>
      <c r="V373" s="28" t="str">
        <f>MID(VLOOKUP($A373,Seqs!$A:$B,2,FALSE),VLOOKUP($A373,'SegEnds_NonXtal_Prot#'!A:AL,10,FALSE),1)</f>
        <v>V</v>
      </c>
      <c r="W373" s="49" t="str">
        <f>MID(VLOOKUP($A373,Seqs!$A:$B,2,FALSE),VLOOKUP($A373,'SegEnds_NonXtal_Prot#'!A:AL,10,FALSE)+6,1)</f>
        <v>S</v>
      </c>
      <c r="X373" s="49" t="str">
        <f>MID(VLOOKUP($A373,Seqs!$A:$B,2,FALSE),VLOOKUP($A373,'SegEnds_NonXtal_Prot#'!A:AL,10,FALSE)+7,1)</f>
        <v>L</v>
      </c>
      <c r="Y373" s="49" t="str">
        <f>MID(VLOOKUP($A373,Seqs!$A:$B,2,FALSE),VLOOKUP($A373,'SegEnds_NonXtal_Prot#'!A:AL,10,FALSE)+8,1)</f>
        <v>I</v>
      </c>
      <c r="Z373" s="49" t="str">
        <f>MID(VLOOKUP($A373,Seqs!$A:$B,2,FALSE),VLOOKUP($A373,'SegEnds_NonXtal_Prot#'!A:AL,10,FALSE)+9,1)</f>
        <v>F</v>
      </c>
      <c r="AA373" s="49" t="str">
        <f>MID(VLOOKUP($A373,Seqs!$A:$B,2,FALSE),VLOOKUP($A373,'SegEnds_NonXtal_Prot#'!A:AL,10,FALSE)+10,1)</f>
        <v>F</v>
      </c>
      <c r="AB373" s="28" t="str">
        <f>MID(VLOOKUP($A373,Seqs!$A:$B,2,FALSE),VLOOKUP($A373,'SegEnds_NonXtal_Prot#'!$A:$AL,22,FALSE)+6,1)</f>
        <v>L</v>
      </c>
      <c r="AC373" s="49" t="str">
        <f>MID(VLOOKUP($A373,Seqs!$A:$B,2,FALSE),VLOOKUP($A373,'SegEnds_NonXtal_Prot#'!$A:$AL,22,FALSE)+7,1)</f>
        <v>T</v>
      </c>
      <c r="AD373" s="49" t="str">
        <f>MID(VLOOKUP($A373,Seqs!$A:$B,2,FALSE),VLOOKUP($A373,'SegEnds_NonXtal_Prot#'!$A:$AL,22,FALSE)+8,1)</f>
        <v>I</v>
      </c>
      <c r="AE373" s="49" t="str">
        <f>MID(VLOOKUP($A373,Seqs!$A:$B,2,FALSE),VLOOKUP($A373,'SegEnds_NonXtal_Prot#'!$A:$AL,22,FALSE)+9,1)</f>
        <v>I</v>
      </c>
      <c r="AF373" s="49" t="str">
        <f>MID(VLOOKUP($A373,Seqs!$A:$B,2,FALSE),VLOOKUP($A373,'SegEnds_NonXtal_Prot#'!$A:$AL,22,FALSE)+10,1)</f>
        <v>L</v>
      </c>
      <c r="AG373" s="28" t="str">
        <f>MID(VLOOKUP($A373,Seqs!$A:$B,2,FALSE),VLOOKUP($A373,'SegEnds_NonXtal_Prot#'!$A:$AL,28,FALSE)-4,1)</f>
        <v>P</v>
      </c>
      <c r="AH373" s="49" t="str">
        <f>MID(VLOOKUP($A373,Seqs!$A:$B,2,FALSE),VLOOKUP($A373,'SegEnds_NonXtal_Prot#'!$A:$AL,28,FALSE),1)</f>
        <v>Y</v>
      </c>
    </row>
    <row r="374" spans="1:34" s="2" customFormat="1" x14ac:dyDescent="0.2">
      <c r="A374" s="2" t="s">
        <v>450</v>
      </c>
      <c r="B374" s="2" t="str">
        <f>LOWER(VLOOKUP(A374,Xtal_Templ!A:B,2,FALSE))</f>
        <v>smo_human</v>
      </c>
      <c r="C374" s="2" t="str">
        <f>VLOOKUP(A374,Classification!A:D,2,FALSE)</f>
        <v>F</v>
      </c>
      <c r="D374" s="2" t="str">
        <f>IF(ISERROR(MATCH(A374,'SegEnds_Xtal_Prot#'!B:B, 0)), "NoXtal", "Xtal")</f>
        <v>NoXtal</v>
      </c>
      <c r="H374" s="4"/>
      <c r="P374" s="2" t="s">
        <v>1329</v>
      </c>
      <c r="V374" s="28" t="str">
        <f>MID(VLOOKUP($A374,Seqs!$A:$B,2,FALSE),VLOOKUP($A374,'SegEnds_NonXtal_Prot#'!A:AL,10,FALSE),1)</f>
        <v>M</v>
      </c>
      <c r="W374" s="49" t="str">
        <f>MID(VLOOKUP($A374,Seqs!$A:$B,2,FALSE),VLOOKUP($A374,'SegEnds_NonXtal_Prot#'!A:AL,10,FALSE)+6,1)</f>
        <v>S</v>
      </c>
      <c r="X374" s="49" t="str">
        <f>MID(VLOOKUP($A374,Seqs!$A:$B,2,FALSE),VLOOKUP($A374,'SegEnds_NonXtal_Prot#'!A:AL,10,FALSE)+7,1)</f>
        <v>I</v>
      </c>
      <c r="Y374" s="49" t="str">
        <f>MID(VLOOKUP($A374,Seqs!$A:$B,2,FALSE),VLOOKUP($A374,'SegEnds_NonXtal_Prot#'!A:AL,10,FALSE)+8,1)</f>
        <v>A</v>
      </c>
      <c r="Z374" s="49" t="str">
        <f>MID(VLOOKUP($A374,Seqs!$A:$B,2,FALSE),VLOOKUP($A374,'SegEnds_NonXtal_Prot#'!A:AL,10,FALSE)+9,1)</f>
        <v>Y</v>
      </c>
      <c r="AA374" s="49" t="str">
        <f>MID(VLOOKUP($A374,Seqs!$A:$B,2,FALSE),VLOOKUP($A374,'SegEnds_NonXtal_Prot#'!A:AL,10,FALSE)+10,1)</f>
        <v>I</v>
      </c>
      <c r="AB374" s="28" t="str">
        <f>MID(VLOOKUP($A374,Seqs!$A:$B,2,FALSE),VLOOKUP($A374,'SegEnds_NonXtal_Prot#'!$A:$AL,22,FALSE)+6,1)</f>
        <v>K</v>
      </c>
      <c r="AC374" s="49" t="str">
        <f>MID(VLOOKUP($A374,Seqs!$A:$B,2,FALSE),VLOOKUP($A374,'SegEnds_NonXtal_Prot#'!$A:$AL,22,FALSE)+7,1)</f>
        <v>T</v>
      </c>
      <c r="AD374" s="49" t="str">
        <f>MID(VLOOKUP($A374,Seqs!$A:$B,2,FALSE),VLOOKUP($A374,'SegEnds_NonXtal_Prot#'!$A:$AL,22,FALSE)+8,1)</f>
        <v>I</v>
      </c>
      <c r="AE374" s="49" t="str">
        <f>MID(VLOOKUP($A374,Seqs!$A:$B,2,FALSE),VLOOKUP($A374,'SegEnds_NonXtal_Prot#'!$A:$AL,22,FALSE)+9,1)</f>
        <v>V</v>
      </c>
      <c r="AF374" s="49" t="str">
        <f>MID(VLOOKUP($A374,Seqs!$A:$B,2,FALSE),VLOOKUP($A374,'SegEnds_NonXtal_Prot#'!$A:$AL,22,FALSE)+10,1)</f>
        <v>I</v>
      </c>
      <c r="AG374" s="28" t="str">
        <f>MID(VLOOKUP($A374,Seqs!$A:$B,2,FALSE),VLOOKUP($A374,'SegEnds_NonXtal_Prot#'!$A:$AL,28,FALSE)-4,1)</f>
        <v>P</v>
      </c>
      <c r="AH374" s="49" t="str">
        <f>MID(VLOOKUP($A374,Seqs!$A:$B,2,FALSE),VLOOKUP($A374,'SegEnds_NonXtal_Prot#'!$A:$AL,28,FALSE),1)</f>
        <v>Y</v>
      </c>
    </row>
    <row r="375" spans="1:34" s="2" customFormat="1" x14ac:dyDescent="0.2">
      <c r="A375" s="2" t="s">
        <v>451</v>
      </c>
      <c r="B375" s="2" t="str">
        <f>LOWER(VLOOKUP(A375,Xtal_Templ!A:B,2,FALSE))</f>
        <v>smo_human</v>
      </c>
      <c r="C375" s="2" t="str">
        <f>VLOOKUP(A375,Classification!A:D,2,FALSE)</f>
        <v>F</v>
      </c>
      <c r="D375" s="2" t="str">
        <f>IF(ISERROR(MATCH(A375,'SegEnds_Xtal_Prot#'!B:B, 0)), "NoXtal", "Xtal")</f>
        <v>NoXtal</v>
      </c>
      <c r="H375" s="4"/>
      <c r="P375" s="2" t="s">
        <v>1329</v>
      </c>
      <c r="V375" s="28" t="str">
        <f>MID(VLOOKUP($A375,Seqs!$A:$B,2,FALSE),VLOOKUP($A375,'SegEnds_NonXtal_Prot#'!A:AL,10,FALSE),1)</f>
        <v>A</v>
      </c>
      <c r="W375" s="49" t="str">
        <f>MID(VLOOKUP($A375,Seqs!$A:$B,2,FALSE),VLOOKUP($A375,'SegEnds_NonXtal_Prot#'!A:AL,10,FALSE)+6,1)</f>
        <v>S</v>
      </c>
      <c r="X375" s="49" t="str">
        <f>MID(VLOOKUP($A375,Seqs!$A:$B,2,FALSE),VLOOKUP($A375,'SegEnds_NonXtal_Prot#'!A:AL,10,FALSE)+7,1)</f>
        <v>L</v>
      </c>
      <c r="Y375" s="49" t="str">
        <f>MID(VLOOKUP($A375,Seqs!$A:$B,2,FALSE),VLOOKUP($A375,'SegEnds_NonXtal_Prot#'!A:AL,10,FALSE)+8,1)</f>
        <v>G</v>
      </c>
      <c r="Z375" s="49" t="str">
        <f>MID(VLOOKUP($A375,Seqs!$A:$B,2,FALSE),VLOOKUP($A375,'SegEnds_NonXtal_Prot#'!A:AL,10,FALSE)+9,1)</f>
        <v>F</v>
      </c>
      <c r="AA375" s="49" t="str">
        <f>MID(VLOOKUP($A375,Seqs!$A:$B,2,FALSE),VLOOKUP($A375,'SegEnds_NonXtal_Prot#'!A:AL,10,FALSE)+10,1)</f>
        <v>L</v>
      </c>
      <c r="AB375" s="28" t="str">
        <f>MID(VLOOKUP($A375,Seqs!$A:$B,2,FALSE),VLOOKUP($A375,'SegEnds_NonXtal_Prot#'!$A:$AL,22,FALSE)+6,1)</f>
        <v>K</v>
      </c>
      <c r="AC375" s="49" t="str">
        <f>MID(VLOOKUP($A375,Seqs!$A:$B,2,FALSE),VLOOKUP($A375,'SegEnds_NonXtal_Prot#'!$A:$AL,22,FALSE)+7,1)</f>
        <v>S</v>
      </c>
      <c r="AD375" s="49" t="str">
        <f>MID(VLOOKUP($A375,Seqs!$A:$B,2,FALSE),VLOOKUP($A375,'SegEnds_NonXtal_Prot#'!$A:$AL,22,FALSE)+8,1)</f>
        <v>I</v>
      </c>
      <c r="AE375" s="49" t="str">
        <f>MID(VLOOKUP($A375,Seqs!$A:$B,2,FALSE),VLOOKUP($A375,'SegEnds_NonXtal_Prot#'!$A:$AL,22,FALSE)+9,1)</f>
        <v>T</v>
      </c>
      <c r="AF375" s="49" t="str">
        <f>MID(VLOOKUP($A375,Seqs!$A:$B,2,FALSE),VLOOKUP($A375,'SegEnds_NonXtal_Prot#'!$A:$AL,22,FALSE)+10,1)</f>
        <v>A</v>
      </c>
      <c r="AG375" s="28" t="str">
        <f>MID(VLOOKUP($A375,Seqs!$A:$B,2,FALSE),VLOOKUP($A375,'SegEnds_NonXtal_Prot#'!$A:$AL,28,FALSE)-4,1)</f>
        <v>P</v>
      </c>
      <c r="AH375" s="49" t="str">
        <f>MID(VLOOKUP($A375,Seqs!$A:$B,2,FALSE),VLOOKUP($A375,'SegEnds_NonXtal_Prot#'!$A:$AL,28,FALSE),1)</f>
        <v>Y</v>
      </c>
    </row>
    <row r="376" spans="1:34" s="2" customFormat="1" x14ac:dyDescent="0.2">
      <c r="A376" s="2" t="s">
        <v>452</v>
      </c>
      <c r="B376" s="2" t="str">
        <f>LOWER(VLOOKUP(A376,Xtal_Templ!A:B,2,FALSE))</f>
        <v>smo_human</v>
      </c>
      <c r="C376" s="2" t="str">
        <f>VLOOKUP(A376,Classification!A:D,2,FALSE)</f>
        <v>F</v>
      </c>
      <c r="D376" s="2" t="str">
        <f>IF(ISERROR(MATCH(A376,'SegEnds_Xtal_Prot#'!B:B, 0)), "NoXtal", "Xtal")</f>
        <v>NoXtal</v>
      </c>
      <c r="H376" s="4"/>
      <c r="P376" s="2" t="s">
        <v>1329</v>
      </c>
      <c r="V376" s="28" t="str">
        <f>MID(VLOOKUP($A376,Seqs!$A:$B,2,FALSE),VLOOKUP($A376,'SegEnds_NonXtal_Prot#'!A:AL,10,FALSE),1)</f>
        <v>V</v>
      </c>
      <c r="W376" s="49" t="str">
        <f>MID(VLOOKUP($A376,Seqs!$A:$B,2,FALSE),VLOOKUP($A376,'SegEnds_NonXtal_Prot#'!A:AL,10,FALSE)+6,1)</f>
        <v>S</v>
      </c>
      <c r="X376" s="49" t="str">
        <f>MID(VLOOKUP($A376,Seqs!$A:$B,2,FALSE),VLOOKUP($A376,'SegEnds_NonXtal_Prot#'!A:AL,10,FALSE)+7,1)</f>
        <v>L</v>
      </c>
      <c r="Y376" s="49" t="str">
        <f>MID(VLOOKUP($A376,Seqs!$A:$B,2,FALSE),VLOOKUP($A376,'SegEnds_NonXtal_Prot#'!A:AL,10,FALSE)+8,1)</f>
        <v>M</v>
      </c>
      <c r="Z376" s="49" t="str">
        <f>MID(VLOOKUP($A376,Seqs!$A:$B,2,FALSE),VLOOKUP($A376,'SegEnds_NonXtal_Prot#'!A:AL,10,FALSE)+9,1)</f>
        <v>Y</v>
      </c>
      <c r="AA376" s="49" t="str">
        <f>MID(VLOOKUP($A376,Seqs!$A:$B,2,FALSE),VLOOKUP($A376,'SegEnds_NonXtal_Prot#'!A:AL,10,FALSE)+10,1)</f>
        <v>F</v>
      </c>
      <c r="AB376" s="28" t="str">
        <f>MID(VLOOKUP($A376,Seqs!$A:$B,2,FALSE),VLOOKUP($A376,'SegEnds_NonXtal_Prot#'!$A:$AL,22,FALSE)+6,1)</f>
        <v>L</v>
      </c>
      <c r="AC376" s="49" t="str">
        <f>MID(VLOOKUP($A376,Seqs!$A:$B,2,FALSE),VLOOKUP($A376,'SegEnds_NonXtal_Prot#'!$A:$AL,22,FALSE)+7,1)</f>
        <v>T</v>
      </c>
      <c r="AD376" s="49" t="str">
        <f>MID(VLOOKUP($A376,Seqs!$A:$B,2,FALSE),VLOOKUP($A376,'SegEnds_NonXtal_Prot#'!$A:$AL,22,FALSE)+8,1)</f>
        <v>V</v>
      </c>
      <c r="AE376" s="49" t="str">
        <f>MID(VLOOKUP($A376,Seqs!$A:$B,2,FALSE),VLOOKUP($A376,'SegEnds_NonXtal_Prot#'!$A:$AL,22,FALSE)+9,1)</f>
        <v>M</v>
      </c>
      <c r="AF376" s="49" t="str">
        <f>MID(VLOOKUP($A376,Seqs!$A:$B,2,FALSE),VLOOKUP($A376,'SegEnds_NonXtal_Prot#'!$A:$AL,22,FALSE)+10,1)</f>
        <v>L</v>
      </c>
      <c r="AG376" s="28" t="str">
        <f>MID(VLOOKUP($A376,Seqs!$A:$B,2,FALSE),VLOOKUP($A376,'SegEnds_NonXtal_Prot#'!$A:$AL,28,FALSE)-4,1)</f>
        <v>P</v>
      </c>
      <c r="AH376" s="49" t="str">
        <f>MID(VLOOKUP($A376,Seqs!$A:$B,2,FALSE),VLOOKUP($A376,'SegEnds_NonXtal_Prot#'!$A:$AL,28,FALSE),1)</f>
        <v>C</v>
      </c>
    </row>
    <row r="377" spans="1:34" s="2" customFormat="1" x14ac:dyDescent="0.2">
      <c r="A377" s="2" t="s">
        <v>453</v>
      </c>
      <c r="B377" s="2" t="str">
        <f>LOWER(VLOOKUP(A377,Xtal_Templ!A:B,2,FALSE))</f>
        <v>smo_human</v>
      </c>
      <c r="C377" s="2" t="str">
        <f>VLOOKUP(A377,Classification!A:D,2,FALSE)</f>
        <v>F</v>
      </c>
      <c r="D377" s="2" t="str">
        <f>IF(ISERROR(MATCH(A377,'SegEnds_Xtal_Prot#'!B:B, 0)), "NoXtal", "Xtal")</f>
        <v>NoXtal</v>
      </c>
      <c r="H377" s="4"/>
      <c r="P377" s="2" t="s">
        <v>1329</v>
      </c>
      <c r="V377" s="28" t="str">
        <f>MID(VLOOKUP($A377,Seqs!$A:$B,2,FALSE),VLOOKUP($A377,'SegEnds_NonXtal_Prot#'!A:AL,10,FALSE),1)</f>
        <v>G</v>
      </c>
      <c r="W377" s="49" t="str">
        <f>MID(VLOOKUP($A377,Seqs!$A:$B,2,FALSE),VLOOKUP($A377,'SegEnds_NonXtal_Prot#'!A:AL,10,FALSE)+6,1)</f>
        <v>A</v>
      </c>
      <c r="X377" s="49" t="str">
        <f>MID(VLOOKUP($A377,Seqs!$A:$B,2,FALSE),VLOOKUP($A377,'SegEnds_NonXtal_Prot#'!A:AL,10,FALSE)+7,1)</f>
        <v>V</v>
      </c>
      <c r="Y377" s="49" t="str">
        <f>MID(VLOOKUP($A377,Seqs!$A:$B,2,FALSE),VLOOKUP($A377,'SegEnds_NonXtal_Prot#'!A:AL,10,FALSE)+8,1)</f>
        <v>A</v>
      </c>
      <c r="Z377" s="49" t="str">
        <f>MID(VLOOKUP($A377,Seqs!$A:$B,2,FALSE),VLOOKUP($A377,'SegEnds_NonXtal_Prot#'!A:AL,10,FALSE)+9,1)</f>
        <v>H</v>
      </c>
      <c r="AA377" s="49" t="str">
        <f>MID(VLOOKUP($A377,Seqs!$A:$B,2,FALSE),VLOOKUP($A377,'SegEnds_NonXtal_Prot#'!A:AL,10,FALSE)+10,1)</f>
        <v>V</v>
      </c>
      <c r="AB377" s="28" t="str">
        <f>MID(VLOOKUP($A377,Seqs!$A:$B,2,FALSE),VLOOKUP($A377,'SegEnds_NonXtal_Prot#'!$A:$AL,22,FALSE)+6,1)</f>
        <v>K</v>
      </c>
      <c r="AC377" s="49" t="str">
        <f>MID(VLOOKUP($A377,Seqs!$A:$B,2,FALSE),VLOOKUP($A377,'SegEnds_NonXtal_Prot#'!$A:$AL,22,FALSE)+7,1)</f>
        <v>T</v>
      </c>
      <c r="AD377" s="49" t="str">
        <f>MID(VLOOKUP($A377,Seqs!$A:$B,2,FALSE),VLOOKUP($A377,'SegEnds_NonXtal_Prot#'!$A:$AL,22,FALSE)+8,1)</f>
        <v>I</v>
      </c>
      <c r="AE377" s="49" t="str">
        <f>MID(VLOOKUP($A377,Seqs!$A:$B,2,FALSE),VLOOKUP($A377,'SegEnds_NonXtal_Prot#'!$A:$AL,22,FALSE)+9,1)</f>
        <v>T</v>
      </c>
      <c r="AF377" s="49" t="str">
        <f>MID(VLOOKUP($A377,Seqs!$A:$B,2,FALSE),VLOOKUP($A377,'SegEnds_NonXtal_Prot#'!$A:$AL,22,FALSE)+10,1)</f>
        <v>I</v>
      </c>
      <c r="AG377" s="28" t="str">
        <f>MID(VLOOKUP($A377,Seqs!$A:$B,2,FALSE),VLOOKUP($A377,'SegEnds_NonXtal_Prot#'!$A:$AL,28,FALSE)-4,1)</f>
        <v>P</v>
      </c>
      <c r="AH377" s="49" t="str">
        <f>MID(VLOOKUP($A377,Seqs!$A:$B,2,FALSE),VLOOKUP($A377,'SegEnds_NonXtal_Prot#'!$A:$AL,28,FALSE),1)</f>
        <v>Y</v>
      </c>
    </row>
    <row r="378" spans="1:34" s="2" customFormat="1" x14ac:dyDescent="0.2">
      <c r="A378" s="2" t="s">
        <v>454</v>
      </c>
      <c r="B378" s="2" t="str">
        <f>LOWER(VLOOKUP(A378,Xtal_Templ!A:B,2,FALSE))</f>
        <v>smo_human</v>
      </c>
      <c r="C378" s="2" t="str">
        <f>VLOOKUP(A378,Classification!A:D,2,FALSE)</f>
        <v>F</v>
      </c>
      <c r="D378" s="2" t="str">
        <f>IF(ISERROR(MATCH(A378,'SegEnds_Xtal_Prot#'!B:B, 0)), "NoXtal", "Xtal")</f>
        <v>NoXtal</v>
      </c>
      <c r="H378" s="4"/>
      <c r="P378" s="2" t="s">
        <v>1329</v>
      </c>
      <c r="V378" s="28" t="str">
        <f>MID(VLOOKUP($A378,Seqs!$A:$B,2,FALSE),VLOOKUP($A378,'SegEnds_NonXtal_Prot#'!A:AL,10,FALSE),1)</f>
        <v>A</v>
      </c>
      <c r="W378" s="49" t="str">
        <f>MID(VLOOKUP($A378,Seqs!$A:$B,2,FALSE),VLOOKUP($A378,'SegEnds_NonXtal_Prot#'!A:AL,10,FALSE)+6,1)</f>
        <v>S</v>
      </c>
      <c r="X378" s="49" t="str">
        <f>MID(VLOOKUP($A378,Seqs!$A:$B,2,FALSE),VLOOKUP($A378,'SegEnds_NonXtal_Prot#'!A:AL,10,FALSE)+7,1)</f>
        <v>V</v>
      </c>
      <c r="Y378" s="49" t="str">
        <f>MID(VLOOKUP($A378,Seqs!$A:$B,2,FALSE),VLOOKUP($A378,'SegEnds_NonXtal_Prot#'!A:AL,10,FALSE)+8,1)</f>
        <v>G</v>
      </c>
      <c r="Z378" s="49" t="str">
        <f>MID(VLOOKUP($A378,Seqs!$A:$B,2,FALSE),VLOOKUP($A378,'SegEnds_NonXtal_Prot#'!A:AL,10,FALSE)+9,1)</f>
        <v>Y</v>
      </c>
      <c r="AA378" s="49" t="str">
        <f>MID(VLOOKUP($A378,Seqs!$A:$B,2,FALSE),VLOOKUP($A378,'SegEnds_NonXtal_Prot#'!A:AL,10,FALSE)+10,1)</f>
        <v>L</v>
      </c>
      <c r="AB378" s="28" t="str">
        <f>MID(VLOOKUP($A378,Seqs!$A:$B,2,FALSE),VLOOKUP($A378,'SegEnds_NonXtal_Prot#'!$A:$AL,22,FALSE)+6,1)</f>
        <v>K</v>
      </c>
      <c r="AC378" s="49" t="str">
        <f>MID(VLOOKUP($A378,Seqs!$A:$B,2,FALSE),VLOOKUP($A378,'SegEnds_NonXtal_Prot#'!$A:$AL,22,FALSE)+7,1)</f>
        <v>S</v>
      </c>
      <c r="AD378" s="49" t="str">
        <f>MID(VLOOKUP($A378,Seqs!$A:$B,2,FALSE),VLOOKUP($A378,'SegEnds_NonXtal_Prot#'!$A:$AL,22,FALSE)+8,1)</f>
        <v>I</v>
      </c>
      <c r="AE378" s="49" t="str">
        <f>MID(VLOOKUP($A378,Seqs!$A:$B,2,FALSE),VLOOKUP($A378,'SegEnds_NonXtal_Prot#'!$A:$AL,22,FALSE)+9,1)</f>
        <v>A</v>
      </c>
      <c r="AF378" s="49" t="str">
        <f>MID(VLOOKUP($A378,Seqs!$A:$B,2,FALSE),VLOOKUP($A378,'SegEnds_NonXtal_Prot#'!$A:$AL,22,FALSE)+10,1)</f>
        <v>V</v>
      </c>
      <c r="AG378" s="28" t="str">
        <f>MID(VLOOKUP($A378,Seqs!$A:$B,2,FALSE),VLOOKUP($A378,'SegEnds_NonXtal_Prot#'!$A:$AL,28,FALSE)-4,1)</f>
        <v>P</v>
      </c>
      <c r="AH378" s="49" t="str">
        <f>MID(VLOOKUP($A378,Seqs!$A:$B,2,FALSE),VLOOKUP($A378,'SegEnds_NonXtal_Prot#'!$A:$AL,28,FALSE),1)</f>
        <v>Y</v>
      </c>
    </row>
    <row r="379" spans="1:34" s="2" customFormat="1" x14ac:dyDescent="0.2">
      <c r="A379" s="2" t="s">
        <v>455</v>
      </c>
      <c r="B379" s="2" t="str">
        <f>LOWER(VLOOKUP(A379,Xtal_Templ!A:B,2,FALSE))</f>
        <v>smo_human</v>
      </c>
      <c r="C379" s="2" t="str">
        <f>VLOOKUP(A379,Classification!A:D,2,FALSE)</f>
        <v>F</v>
      </c>
      <c r="D379" s="2" t="str">
        <f>IF(ISERROR(MATCH(A379,'SegEnds_Xtal_Prot#'!B:B, 0)), "NoXtal", "Xtal")</f>
        <v>NoXtal</v>
      </c>
      <c r="H379" s="4"/>
      <c r="P379" s="2" t="s">
        <v>1329</v>
      </c>
      <c r="V379" s="28" t="str">
        <f>MID(VLOOKUP($A379,Seqs!$A:$B,2,FALSE),VLOOKUP($A379,'SegEnds_NonXtal_Prot#'!A:AL,10,FALSE),1)</f>
        <v>M</v>
      </c>
      <c r="W379" s="49" t="str">
        <f>MID(VLOOKUP($A379,Seqs!$A:$B,2,FALSE),VLOOKUP($A379,'SegEnds_NonXtal_Prot#'!A:AL,10,FALSE)+6,1)</f>
        <v>S</v>
      </c>
      <c r="X379" s="49" t="str">
        <f>MID(VLOOKUP($A379,Seqs!$A:$B,2,FALSE),VLOOKUP($A379,'SegEnds_NonXtal_Prot#'!A:AL,10,FALSE)+7,1)</f>
        <v>L</v>
      </c>
      <c r="Y379" s="49" t="str">
        <f>MID(VLOOKUP($A379,Seqs!$A:$B,2,FALSE),VLOOKUP($A379,'SegEnds_NonXtal_Prot#'!A:AL,10,FALSE)+8,1)</f>
        <v>A</v>
      </c>
      <c r="Z379" s="49" t="str">
        <f>MID(VLOOKUP($A379,Seqs!$A:$B,2,FALSE),VLOOKUP($A379,'SegEnds_NonXtal_Prot#'!A:AL,10,FALSE)+9,1)</f>
        <v>F</v>
      </c>
      <c r="AA379" s="49" t="str">
        <f>MID(VLOOKUP($A379,Seqs!$A:$B,2,FALSE),VLOOKUP($A379,'SegEnds_NonXtal_Prot#'!A:AL,10,FALSE)+10,1)</f>
        <v>L</v>
      </c>
      <c r="AB379" s="28" t="str">
        <f>MID(VLOOKUP($A379,Seqs!$A:$B,2,FALSE),VLOOKUP($A379,'SegEnds_NonXtal_Prot#'!$A:$AL,22,FALSE)+6,1)</f>
        <v>K</v>
      </c>
      <c r="AC379" s="49" t="str">
        <f>MID(VLOOKUP($A379,Seqs!$A:$B,2,FALSE),VLOOKUP($A379,'SegEnds_NonXtal_Prot#'!$A:$AL,22,FALSE)+7,1)</f>
        <v>T</v>
      </c>
      <c r="AD379" s="49" t="str">
        <f>MID(VLOOKUP($A379,Seqs!$A:$B,2,FALSE),VLOOKUP($A379,'SegEnds_NonXtal_Prot#'!$A:$AL,22,FALSE)+8,1)</f>
        <v>I</v>
      </c>
      <c r="AE379" s="49" t="str">
        <f>MID(VLOOKUP($A379,Seqs!$A:$B,2,FALSE),VLOOKUP($A379,'SegEnds_NonXtal_Prot#'!$A:$AL,22,FALSE)+9,1)</f>
        <v>V</v>
      </c>
      <c r="AF379" s="49" t="str">
        <f>MID(VLOOKUP($A379,Seqs!$A:$B,2,FALSE),VLOOKUP($A379,'SegEnds_NonXtal_Prot#'!$A:$AL,22,FALSE)+10,1)</f>
        <v>I</v>
      </c>
      <c r="AG379" s="28" t="str">
        <f>MID(VLOOKUP($A379,Seqs!$A:$B,2,FALSE),VLOOKUP($A379,'SegEnds_NonXtal_Prot#'!$A:$AL,28,FALSE)-4,1)</f>
        <v>P</v>
      </c>
      <c r="AH379" s="49" t="str">
        <f>MID(VLOOKUP($A379,Seqs!$A:$B,2,FALSE),VLOOKUP($A379,'SegEnds_NonXtal_Prot#'!$A:$AL,28,FALSE),1)</f>
        <v>Y</v>
      </c>
    </row>
    <row r="380" spans="1:34" s="2" customFormat="1" x14ac:dyDescent="0.2">
      <c r="A380" s="2" t="s">
        <v>33</v>
      </c>
      <c r="B380" s="2" t="str">
        <f>LOWER(VLOOKUP(A380,Xtal_Templ!A:B,2,FALSE))</f>
        <v>smo_human</v>
      </c>
      <c r="C380" s="2" t="str">
        <f>VLOOKUP(A380,Classification!A:D,2,FALSE)</f>
        <v>F</v>
      </c>
      <c r="D380" s="2" t="str">
        <f>IF(ISERROR(MATCH(A380,'SegEnds_Xtal_Prot#'!B:B, 0)), "NoXtal", "Xtal")</f>
        <v>Xtal</v>
      </c>
      <c r="H380" s="4"/>
      <c r="P380" s="2" t="s">
        <v>1329</v>
      </c>
      <c r="V380" s="28" t="str">
        <f>MID(VLOOKUP($A380,Seqs!$A:$B,2,FALSE),VLOOKUP($A380,'SegEnds_NonXtal_Prot#'!A:AL,10,FALSE),1)</f>
        <v>A</v>
      </c>
      <c r="W380" s="49" t="str">
        <f>MID(VLOOKUP($A380,Seqs!$A:$B,2,FALSE),VLOOKUP($A380,'SegEnds_NonXtal_Prot#'!A:AL,10,FALSE)+6,1)</f>
        <v>S</v>
      </c>
      <c r="X380" s="49" t="str">
        <f>MID(VLOOKUP($A380,Seqs!$A:$B,2,FALSE),VLOOKUP($A380,'SegEnds_NonXtal_Prot#'!A:AL,10,FALSE)+7,1)</f>
        <v>I</v>
      </c>
      <c r="Y380" s="49" t="str">
        <f>MID(VLOOKUP($A380,Seqs!$A:$B,2,FALSE),VLOOKUP($A380,'SegEnds_NonXtal_Prot#'!A:AL,10,FALSE)+8,1)</f>
        <v>G</v>
      </c>
      <c r="Z380" s="49" t="str">
        <f>MID(VLOOKUP($A380,Seqs!$A:$B,2,FALSE),VLOOKUP($A380,'SegEnds_NonXtal_Prot#'!A:AL,10,FALSE)+9,1)</f>
        <v>W</v>
      </c>
      <c r="AA380" s="49" t="str">
        <f>MID(VLOOKUP($A380,Seqs!$A:$B,2,FALSE),VLOOKUP($A380,'SegEnds_NonXtal_Prot#'!A:AL,10,FALSE)+10,1)</f>
        <v>L</v>
      </c>
      <c r="AB380" s="28" t="str">
        <f>MID(VLOOKUP($A380,Seqs!$A:$B,2,FALSE),VLOOKUP($A380,'SegEnds_NonXtal_Prot#'!$A:$AL,22,FALSE)+6,1)</f>
        <v>L</v>
      </c>
      <c r="AC380" s="49" t="str">
        <f>MID(VLOOKUP($A380,Seqs!$A:$B,2,FALSE),VLOOKUP($A380,'SegEnds_NonXtal_Prot#'!$A:$AL,22,FALSE)+7,1)</f>
        <v>T</v>
      </c>
      <c r="AD380" s="49" t="str">
        <f>MID(VLOOKUP($A380,Seqs!$A:$B,2,FALSE),VLOOKUP($A380,'SegEnds_NonXtal_Prot#'!$A:$AL,22,FALSE)+8,1)</f>
        <v>V</v>
      </c>
      <c r="AE380" s="49" t="str">
        <f>MID(VLOOKUP($A380,Seqs!$A:$B,2,FALSE),VLOOKUP($A380,'SegEnds_NonXtal_Prot#'!$A:$AL,22,FALSE)+9,1)</f>
        <v>A</v>
      </c>
      <c r="AF380" s="49" t="str">
        <f>MID(VLOOKUP($A380,Seqs!$A:$B,2,FALSE),VLOOKUP($A380,'SegEnds_NonXtal_Prot#'!$A:$AL,22,FALSE)+10,1)</f>
        <v>I</v>
      </c>
      <c r="AG380" s="28" t="str">
        <f>MID(VLOOKUP($A380,Seqs!$A:$B,2,FALSE),VLOOKUP($A380,'SegEnds_NonXtal_Prot#'!$A:$AL,28,FALSE)-4,1)</f>
        <v>P</v>
      </c>
      <c r="AH380" s="49" t="str">
        <f>MID(VLOOKUP($A380,Seqs!$A:$B,2,FALSE),VLOOKUP($A380,'SegEnds_NonXtal_Prot#'!$A:$AL,28,FALSE),1)</f>
        <v>V</v>
      </c>
    </row>
    <row r="381" spans="1:34" s="2" customFormat="1" x14ac:dyDescent="0.2">
      <c r="A381" s="2" t="s">
        <v>1510</v>
      </c>
      <c r="B381" s="2" t="str">
        <f>LOWER(VLOOKUP(A381,Xtal_Templ!A:B,2,FALSE))</f>
        <v>q98sw5_xenla</v>
      </c>
      <c r="C381" s="2" t="str">
        <f>VLOOKUP(A381,Classification!A:D,2,FALSE)</f>
        <v>F</v>
      </c>
      <c r="D381" s="2" t="str">
        <f>IF(ISERROR(MATCH(A381,'SegEnds_Xtal_Prot#'!B:B, 0)), "NoXtal", "Xtal")</f>
        <v>Xtal</v>
      </c>
      <c r="H381" s="4"/>
      <c r="P381" s="2" t="s">
        <v>1329</v>
      </c>
      <c r="V381" s="28" t="str">
        <f>MID(VLOOKUP($A381,Seqs!$A:$B,2,FALSE),VLOOKUP($A381,'SegEnds_NonXtal_Prot#'!A:AL,10,FALSE),1)</f>
        <v>A</v>
      </c>
      <c r="W381" s="49" t="str">
        <f>MID(VLOOKUP($A381,Seqs!$A:$B,2,FALSE),VLOOKUP($A381,'SegEnds_NonXtal_Prot#'!A:AL,10,FALSE)+6,1)</f>
        <v>S</v>
      </c>
      <c r="X381" s="49" t="str">
        <f>MID(VLOOKUP($A381,Seqs!$A:$B,2,FALSE),VLOOKUP($A381,'SegEnds_NonXtal_Prot#'!A:AL,10,FALSE)+7,1)</f>
        <v>I</v>
      </c>
      <c r="Y381" s="49" t="str">
        <f>MID(VLOOKUP($A381,Seqs!$A:$B,2,FALSE),VLOOKUP($A381,'SegEnds_NonXtal_Prot#'!A:AL,10,FALSE)+8,1)</f>
        <v>G</v>
      </c>
      <c r="Z381" s="49" t="str">
        <f>MID(VLOOKUP($A381,Seqs!$A:$B,2,FALSE),VLOOKUP($A381,'SegEnds_NonXtal_Prot#'!A:AL,10,FALSE)+9,1)</f>
        <v>W</v>
      </c>
      <c r="AA381" s="49" t="str">
        <f>MID(VLOOKUP($A381,Seqs!$A:$B,2,FALSE),VLOOKUP($A381,'SegEnds_NonXtal_Prot#'!A:AL,10,FALSE)+10,1)</f>
        <v>L</v>
      </c>
      <c r="AB381" s="28" t="str">
        <f>MID(VLOOKUP($A381,Seqs!$A:$B,2,FALSE),VLOOKUP($A381,'SegEnds_NonXtal_Prot#'!$A:$AL,22,FALSE)+6,1)</f>
        <v>L</v>
      </c>
      <c r="AC381" s="49" t="str">
        <f>MID(VLOOKUP($A381,Seqs!$A:$B,2,FALSE),VLOOKUP($A381,'SegEnds_NonXtal_Prot#'!$A:$AL,22,FALSE)+7,1)</f>
        <v>T</v>
      </c>
      <c r="AD381" s="49" t="str">
        <f>MID(VLOOKUP($A381,Seqs!$A:$B,2,FALSE),VLOOKUP($A381,'SegEnds_NonXtal_Prot#'!$A:$AL,22,FALSE)+8,1)</f>
        <v>V</v>
      </c>
      <c r="AE381" s="49" t="str">
        <f>MID(VLOOKUP($A381,Seqs!$A:$B,2,FALSE),VLOOKUP($A381,'SegEnds_NonXtal_Prot#'!$A:$AL,22,FALSE)+9,1)</f>
        <v>A</v>
      </c>
      <c r="AF381" s="49" t="str">
        <f>MID(VLOOKUP($A381,Seqs!$A:$B,2,FALSE),VLOOKUP($A381,'SegEnds_NonXtal_Prot#'!$A:$AL,22,FALSE)+10,1)</f>
        <v>I</v>
      </c>
      <c r="AG381" s="28" t="str">
        <f>MID(VLOOKUP($A381,Seqs!$A:$B,2,FALSE),VLOOKUP($A381,'SegEnds_NonXtal_Prot#'!$A:$AL,28,FALSE)-4,1)</f>
        <v>P</v>
      </c>
      <c r="AH381" s="49" t="str">
        <f>MID(VLOOKUP($A381,Seqs!$A:$B,2,FALSE),VLOOKUP($A381,'SegEnds_NonXtal_Prot#'!$A:$AL,28,FALSE),1)</f>
        <v>V</v>
      </c>
    </row>
    <row r="382" spans="1:34" s="2" customFormat="1" x14ac:dyDescent="0.2">
      <c r="A382" s="2" t="s">
        <v>485</v>
      </c>
      <c r="B382" s="2" t="str">
        <f>LOWER(VLOOKUP(A382,Xtal_Templ!A:B,2,FALSE))</f>
        <v>aa2ar_human</v>
      </c>
      <c r="C382" s="2" t="str">
        <f>VLOOKUP(A382,Classification!A:D,2,FALSE)</f>
        <v>O</v>
      </c>
      <c r="D382" s="2" t="str">
        <f>IF(ISERROR(MATCH(A382,'SegEnds_Xtal_Prot#'!B:B, 0)), "NoXtal", "Xtal")</f>
        <v>NoXtal</v>
      </c>
      <c r="H382" s="4"/>
      <c r="V382" s="28" t="str">
        <f>MID(VLOOKUP($A382,Seqs!$A:$B,2,FALSE),VLOOKUP($A382,'SegEnds_NonXtal_Prot#'!A:AL,10,FALSE),1)</f>
        <v>D</v>
      </c>
      <c r="W382" s="49" t="str">
        <f>MID(VLOOKUP($A382,Seqs!$A:$B,2,FALSE),VLOOKUP($A382,'SegEnds_NonXtal_Prot#'!A:AL,10,FALSE)+6,1)</f>
        <v>G</v>
      </c>
      <c r="X382" s="49" t="str">
        <f>MID(VLOOKUP($A382,Seqs!$A:$B,2,FALSE),VLOOKUP($A382,'SegEnds_NonXtal_Prot#'!A:AL,10,FALSE)+7,1)</f>
        <v>M</v>
      </c>
      <c r="Y382" s="49" t="str">
        <f>MID(VLOOKUP($A382,Seqs!$A:$B,2,FALSE),VLOOKUP($A382,'SegEnds_NonXtal_Prot#'!A:AL,10,FALSE)+8,1)</f>
        <v>V</v>
      </c>
      <c r="Z382" s="49" t="str">
        <f>MID(VLOOKUP($A382,Seqs!$A:$B,2,FALSE),VLOOKUP($A382,'SegEnds_NonXtal_Prot#'!A:AL,10,FALSE)+9,1)</f>
        <v>I</v>
      </c>
      <c r="AA382" s="49" t="str">
        <f>MID(VLOOKUP($A382,Seqs!$A:$B,2,FALSE),VLOOKUP($A382,'SegEnds_NonXtal_Prot#'!A:AL,10,FALSE)+10,1)</f>
        <v>R</v>
      </c>
      <c r="AB382" s="28" t="str">
        <f>MID(VLOOKUP($A382,Seqs!$A:$B,2,FALSE),VLOOKUP($A382,'SegEnds_NonXtal_Prot#'!$A:$AL,22,FALSE)+6,1)</f>
        <v>L</v>
      </c>
      <c r="AC382" s="49" t="str">
        <f>MID(VLOOKUP($A382,Seqs!$A:$B,2,FALSE),VLOOKUP($A382,'SegEnds_NonXtal_Prot#'!$A:$AL,22,FALSE)+7,1)</f>
        <v>C</v>
      </c>
      <c r="AD382" s="49" t="str">
        <f>MID(VLOOKUP($A382,Seqs!$A:$B,2,FALSE),VLOOKUP($A382,'SegEnds_NonXtal_Prot#'!$A:$AL,22,FALSE)+8,1)</f>
        <v>V</v>
      </c>
      <c r="AE382" s="49" t="str">
        <f>MID(VLOOKUP($A382,Seqs!$A:$B,2,FALSE),VLOOKUP($A382,'SegEnds_NonXtal_Prot#'!$A:$AL,22,FALSE)+9,1)</f>
        <v>E</v>
      </c>
      <c r="AF382" s="49" t="str">
        <f>MID(VLOOKUP($A382,Seqs!$A:$B,2,FALSE),VLOOKUP($A382,'SegEnds_NonXtal_Prot#'!$A:$AL,22,FALSE)+10,1)</f>
        <v>G</v>
      </c>
      <c r="AG382" s="28" t="str">
        <f>MID(VLOOKUP($A382,Seqs!$A:$B,2,FALSE),VLOOKUP($A382,'SegEnds_NonXtal_Prot#'!$A:$AL,28,FALSE)-4,1)</f>
        <v>T</v>
      </c>
      <c r="AH382" s="49" t="str">
        <f>MID(VLOOKUP($A382,Seqs!$A:$B,2,FALSE),VLOOKUP($A382,'SegEnds_NonXtal_Prot#'!$A:$AL,28,FALSE),1)</f>
        <v>P</v>
      </c>
    </row>
    <row r="383" spans="1:34" s="2" customFormat="1" x14ac:dyDescent="0.2">
      <c r="A383" s="2" t="s">
        <v>481</v>
      </c>
      <c r="B383" s="2" t="str">
        <f>LOWER(VLOOKUP(A383,Xtal_Templ!A:B,2,FALSE))</f>
        <v>agtr1_human</v>
      </c>
      <c r="C383" s="2" t="str">
        <f>VLOOKUP(A383,Classification!A:D,2,FALSE)</f>
        <v>O</v>
      </c>
      <c r="D383" s="2" t="str">
        <f>IF(ISERROR(MATCH(A383,'SegEnds_Xtal_Prot#'!B:B, 0)), "NoXtal", "Xtal")</f>
        <v>NoXtal</v>
      </c>
      <c r="H383" s="4"/>
      <c r="V383" s="28" t="str">
        <f>MID(VLOOKUP($A383,Seqs!$A:$B,2,FALSE),VLOOKUP($A383,'SegEnds_NonXtal_Prot#'!A:AL,10,FALSE),1)</f>
        <v>A</v>
      </c>
      <c r="W383" s="49" t="str">
        <f>MID(VLOOKUP($A383,Seqs!$A:$B,2,FALSE),VLOOKUP($A383,'SegEnds_NonXtal_Prot#'!A:AL,10,FALSE)+6,1)</f>
        <v>F</v>
      </c>
      <c r="X383" s="49" t="str">
        <f>MID(VLOOKUP($A383,Seqs!$A:$B,2,FALSE),VLOOKUP($A383,'SegEnds_NonXtal_Prot#'!A:AL,10,FALSE)+7,1)</f>
        <v>S</v>
      </c>
      <c r="Y383" s="49" t="str">
        <f>MID(VLOOKUP($A383,Seqs!$A:$B,2,FALSE),VLOOKUP($A383,'SegEnds_NonXtal_Prot#'!A:AL,10,FALSE)+8,1)</f>
        <v>F</v>
      </c>
      <c r="Z383" s="49" t="str">
        <f>MID(VLOOKUP($A383,Seqs!$A:$B,2,FALSE),VLOOKUP($A383,'SegEnds_NonXtal_Prot#'!A:AL,10,FALSE)+9,1)</f>
        <v>Y</v>
      </c>
      <c r="AA383" s="49" t="str">
        <f>MID(VLOOKUP($A383,Seqs!$A:$B,2,FALSE),VLOOKUP($A383,'SegEnds_NonXtal_Prot#'!A:AL,10,FALSE)+10,1)</f>
        <v>F</v>
      </c>
      <c r="AB383" s="28" t="str">
        <f>MID(VLOOKUP($A383,Seqs!$A:$B,2,FALSE),VLOOKUP($A383,'SegEnds_NonXtal_Prot#'!$A:$AL,22,FALSE)+6,1)</f>
        <v>A</v>
      </c>
      <c r="AC383" s="49" t="str">
        <f>MID(VLOOKUP($A383,Seqs!$A:$B,2,FALSE),VLOOKUP($A383,'SegEnds_NonXtal_Prot#'!$A:$AL,22,FALSE)+7,1)</f>
        <v>A</v>
      </c>
      <c r="AD383" s="49" t="str">
        <f>MID(VLOOKUP($A383,Seqs!$A:$B,2,FALSE),VLOOKUP($A383,'SegEnds_NonXtal_Prot#'!$A:$AL,22,FALSE)+8,1)</f>
        <v>C</v>
      </c>
      <c r="AE383" s="49" t="str">
        <f>MID(VLOOKUP($A383,Seqs!$A:$B,2,FALSE),VLOOKUP($A383,'SegEnds_NonXtal_Prot#'!$A:$AL,22,FALSE)+9,1)</f>
        <v>L</v>
      </c>
      <c r="AF383" s="49" t="str">
        <f>MID(VLOOKUP($A383,Seqs!$A:$B,2,FALSE),VLOOKUP($A383,'SegEnds_NonXtal_Prot#'!$A:$AL,22,FALSE)+10,1)</f>
        <v>C</v>
      </c>
      <c r="AG383" s="28" t="str">
        <f>MID(VLOOKUP($A383,Seqs!$A:$B,2,FALSE),VLOOKUP($A383,'SegEnds_NonXtal_Prot#'!$A:$AL,28,FALSE)-4,1)</f>
        <v>L</v>
      </c>
      <c r="AH383" s="49" t="str">
        <f>MID(VLOOKUP($A383,Seqs!$A:$B,2,FALSE),VLOOKUP($A383,'SegEnds_NonXtal_Prot#'!$A:$AL,28,FALSE),1)</f>
        <v>L</v>
      </c>
    </row>
    <row r="384" spans="1:34" s="2" customFormat="1" x14ac:dyDescent="0.2">
      <c r="A384" s="2" t="s">
        <v>484</v>
      </c>
      <c r="B384" s="2" t="str">
        <f>LOWER(VLOOKUP(A384,Xtal_Templ!A:B,2,FALSE))</f>
        <v>pe2r4_human</v>
      </c>
      <c r="C384" s="2" t="str">
        <f>VLOOKUP(A384,Classification!A:D,2,FALSE)</f>
        <v>O</v>
      </c>
      <c r="D384" s="2" t="str">
        <f>IF(ISERROR(MATCH(A384,'SegEnds_Xtal_Prot#'!B:B, 0)), "NoXtal", "Xtal")</f>
        <v>NoXtal</v>
      </c>
      <c r="H384" s="4"/>
      <c r="V384" s="28" t="str">
        <f>MID(VLOOKUP($A384,Seqs!$A:$B,2,FALSE),VLOOKUP($A384,'SegEnds_NonXtal_Prot#'!A:AL,10,FALSE),1)</f>
        <v>A</v>
      </c>
      <c r="W384" s="49" t="str">
        <f>MID(VLOOKUP($A384,Seqs!$A:$B,2,FALSE),VLOOKUP($A384,'SegEnds_NonXtal_Prot#'!A:AL,10,FALSE)+6,1)</f>
        <v>M</v>
      </c>
      <c r="X384" s="49" t="str">
        <f>MID(VLOOKUP($A384,Seqs!$A:$B,2,FALSE),VLOOKUP($A384,'SegEnds_NonXtal_Prot#'!A:AL,10,FALSE)+7,1)</f>
        <v>T</v>
      </c>
      <c r="Y384" s="49" t="str">
        <f>MID(VLOOKUP($A384,Seqs!$A:$B,2,FALSE),VLOOKUP($A384,'SegEnds_NonXtal_Prot#'!A:AL,10,FALSE)+8,1)</f>
        <v>V</v>
      </c>
      <c r="Z384" s="49" t="str">
        <f>MID(VLOOKUP($A384,Seqs!$A:$B,2,FALSE),VLOOKUP($A384,'SegEnds_NonXtal_Prot#'!A:AL,10,FALSE)+9,1)</f>
        <v>S</v>
      </c>
      <c r="AA384" s="49" t="str">
        <f>MID(VLOOKUP($A384,Seqs!$A:$B,2,FALSE),VLOOKUP($A384,'SegEnds_NonXtal_Prot#'!A:AL,10,FALSE)+10,1)</f>
        <v>T</v>
      </c>
      <c r="AB384" s="28" t="str">
        <f>MID(VLOOKUP($A384,Seqs!$A:$B,2,FALSE),VLOOKUP($A384,'SegEnds_NonXtal_Prot#'!$A:$AL,22,FALSE)+6,1)</f>
        <v>L</v>
      </c>
      <c r="AC384" s="49" t="str">
        <f>MID(VLOOKUP($A384,Seqs!$A:$B,2,FALSE),VLOOKUP($A384,'SegEnds_NonXtal_Prot#'!$A:$AL,22,FALSE)+7,1)</f>
        <v>S</v>
      </c>
      <c r="AD384" s="49" t="str">
        <f>MID(VLOOKUP($A384,Seqs!$A:$B,2,FALSE),VLOOKUP($A384,'SegEnds_NonXtal_Prot#'!$A:$AL,22,FALSE)+8,1)</f>
        <v>A</v>
      </c>
      <c r="AE384" s="49" t="str">
        <f>MID(VLOOKUP($A384,Seqs!$A:$B,2,FALSE),VLOOKUP($A384,'SegEnds_NonXtal_Prot#'!$A:$AL,22,FALSE)+9,1)</f>
        <v>E</v>
      </c>
      <c r="AF384" s="49" t="str">
        <f>MID(VLOOKUP($A384,Seqs!$A:$B,2,FALSE),VLOOKUP($A384,'SegEnds_NonXtal_Prot#'!$A:$AL,22,FALSE)+10,1)</f>
        <v>D</v>
      </c>
      <c r="AG384" s="28" t="str">
        <f>MID(VLOOKUP($A384,Seqs!$A:$B,2,FALSE),VLOOKUP($A384,'SegEnds_NonXtal_Prot#'!$A:$AL,28,FALSE)-4,1)</f>
        <v>F</v>
      </c>
      <c r="AH384" s="49" t="str">
        <f>MID(VLOOKUP($A384,Seqs!$A:$B,2,FALSE),VLOOKUP($A384,'SegEnds_NonXtal_Prot#'!$A:$AL,28,FALSE),1)</f>
        <v>S</v>
      </c>
    </row>
    <row r="385" spans="1:34" s="2" customFormat="1" x14ac:dyDescent="0.2">
      <c r="A385" s="2" t="s">
        <v>486</v>
      </c>
      <c r="B385" s="2" t="str">
        <f>LOWER(VLOOKUP(A385,Xtal_Templ!A:B,2,FALSE))</f>
        <v>5ht2c_human</v>
      </c>
      <c r="C385" s="2" t="str">
        <f>VLOOKUP(A385,Classification!A:D,2,FALSE)</f>
        <v>O</v>
      </c>
      <c r="D385" s="2" t="str">
        <f>IF(ISERROR(MATCH(A385,'SegEnds_Xtal_Prot#'!B:B, 0)), "NoXtal", "Xtal")</f>
        <v>NoXtal</v>
      </c>
      <c r="H385" s="4"/>
      <c r="V385" s="28" t="str">
        <f>MID(VLOOKUP($A385,Seqs!$A:$B,2,FALSE),VLOOKUP($A385,'SegEnds_NonXtal_Prot#'!A:AL,10,FALSE),1)</f>
        <v>D</v>
      </c>
      <c r="W385" s="49" t="str">
        <f>MID(VLOOKUP($A385,Seqs!$A:$B,2,FALSE),VLOOKUP($A385,'SegEnds_NonXtal_Prot#'!A:AL,10,FALSE)+6,1)</f>
        <v>S</v>
      </c>
      <c r="X385" s="49" t="str">
        <f>MID(VLOOKUP($A385,Seqs!$A:$B,2,FALSE),VLOOKUP($A385,'SegEnds_NonXtal_Prot#'!A:AL,10,FALSE)+7,1)</f>
        <v>Y</v>
      </c>
      <c r="Y385" s="49" t="str">
        <f>MID(VLOOKUP($A385,Seqs!$A:$B,2,FALSE),VLOOKUP($A385,'SegEnds_NonXtal_Prot#'!A:AL,10,FALSE)+8,1)</f>
        <v>F</v>
      </c>
      <c r="Z385" s="49" t="str">
        <f>MID(VLOOKUP($A385,Seqs!$A:$B,2,FALSE),VLOOKUP($A385,'SegEnds_NonXtal_Prot#'!A:AL,10,FALSE)+9,1)</f>
        <v>Y</v>
      </c>
      <c r="AA385" s="49" t="str">
        <f>MID(VLOOKUP($A385,Seqs!$A:$B,2,FALSE),VLOOKUP($A385,'SegEnds_NonXtal_Prot#'!A:AL,10,FALSE)+10,1)</f>
        <v>G</v>
      </c>
      <c r="AB385" s="28" t="str">
        <f>MID(VLOOKUP($A385,Seqs!$A:$B,2,FALSE),VLOOKUP($A385,'SegEnds_NonXtal_Prot#'!$A:$AL,22,FALSE)+6,1)</f>
        <v>A</v>
      </c>
      <c r="AC385" s="49" t="str">
        <f>MID(VLOOKUP($A385,Seqs!$A:$B,2,FALSE),VLOOKUP($A385,'SegEnds_NonXtal_Prot#'!$A:$AL,22,FALSE)+7,1)</f>
        <v>L</v>
      </c>
      <c r="AD385" s="49" t="str">
        <f>MID(VLOOKUP($A385,Seqs!$A:$B,2,FALSE),VLOOKUP($A385,'SegEnds_NonXtal_Prot#'!$A:$AL,22,FALSE)+8,1)</f>
        <v>K</v>
      </c>
      <c r="AE385" s="49" t="str">
        <f>MID(VLOOKUP($A385,Seqs!$A:$B,2,FALSE),VLOOKUP($A385,'SegEnds_NonXtal_Prot#'!$A:$AL,22,FALSE)+9,1)</f>
        <v>K</v>
      </c>
      <c r="AF385" s="49" t="str">
        <f>MID(VLOOKUP($A385,Seqs!$A:$B,2,FALSE),VLOOKUP($A385,'SegEnds_NonXtal_Prot#'!$A:$AL,22,FALSE)+10,1)</f>
        <v>I</v>
      </c>
      <c r="AG385" s="28" t="str">
        <f>MID(VLOOKUP($A385,Seqs!$A:$B,2,FALSE),VLOOKUP($A385,'SegEnds_NonXtal_Prot#'!$A:$AL,28,FALSE)-4,1)</f>
        <v>D</v>
      </c>
      <c r="AH385" s="49" t="str">
        <f>MID(VLOOKUP($A385,Seqs!$A:$B,2,FALSE),VLOOKUP($A385,'SegEnds_NonXtal_Prot#'!$A:$AL,28,FALSE),1)</f>
        <v>K</v>
      </c>
    </row>
    <row r="386" spans="1:34" s="2" customFormat="1" x14ac:dyDescent="0.2">
      <c r="A386" s="2" t="s">
        <v>482</v>
      </c>
      <c r="B386" s="2" t="str">
        <f>LOWER(VLOOKUP(A386,Xtal_Templ!A:B,2,FALSE))</f>
        <v>ccr9_human</v>
      </c>
      <c r="C386" s="2" t="str">
        <f>VLOOKUP(A386,Classification!A:D,2,FALSE)</f>
        <v>O</v>
      </c>
      <c r="D386" s="2" t="str">
        <f>IF(ISERROR(MATCH(A386,'SegEnds_Xtal_Prot#'!B:B, 0)), "NoXtal", "Xtal")</f>
        <v>NoXtal</v>
      </c>
      <c r="H386" s="4"/>
      <c r="V386" s="28" t="str">
        <f>MID(VLOOKUP($A386,Seqs!$A:$B,2,FALSE),VLOOKUP($A386,'SegEnds_NonXtal_Prot#'!A:AL,10,FALSE),1)</f>
        <v>W</v>
      </c>
      <c r="W386" s="49" t="str">
        <f>MID(VLOOKUP($A386,Seqs!$A:$B,2,FALSE),VLOOKUP($A386,'SegEnds_NonXtal_Prot#'!A:AL,10,FALSE)+6,1)</f>
        <v>K</v>
      </c>
      <c r="X386" s="49" t="str">
        <f>MID(VLOOKUP($A386,Seqs!$A:$B,2,FALSE),VLOOKUP($A386,'SegEnds_NonXtal_Prot#'!A:AL,10,FALSE)+7,1)</f>
        <v>R</v>
      </c>
      <c r="Y386" s="49" t="str">
        <f>MID(VLOOKUP($A386,Seqs!$A:$B,2,FALSE),VLOOKUP($A386,'SegEnds_NonXtal_Prot#'!A:AL,10,FALSE)+8,1)</f>
        <v>R</v>
      </c>
      <c r="Z386" s="49" t="str">
        <f>MID(VLOOKUP($A386,Seqs!$A:$B,2,FALSE),VLOOKUP($A386,'SegEnds_NonXtal_Prot#'!A:AL,10,FALSE)+9,1)</f>
        <v>N</v>
      </c>
      <c r="AA386" s="49" t="str">
        <f>MID(VLOOKUP($A386,Seqs!$A:$B,2,FALSE),VLOOKUP($A386,'SegEnds_NonXtal_Prot#'!A:AL,10,FALSE)+10,1)</f>
        <v>D</v>
      </c>
      <c r="AB386" s="28" t="str">
        <f>MID(VLOOKUP($A386,Seqs!$A:$B,2,FALSE),VLOOKUP($A386,'SegEnds_NonXtal_Prot#'!$A:$AL,22,FALSE)+6,1)</f>
        <v>Y</v>
      </c>
      <c r="AC386" s="49" t="str">
        <f>MID(VLOOKUP($A386,Seqs!$A:$B,2,FALSE),VLOOKUP($A386,'SegEnds_NonXtal_Prot#'!$A:$AL,22,FALSE)+7,1)</f>
        <v>G</v>
      </c>
      <c r="AD386" s="49" t="str">
        <f>MID(VLOOKUP($A386,Seqs!$A:$B,2,FALSE),VLOOKUP($A386,'SegEnds_NonXtal_Prot#'!$A:$AL,22,FALSE)+8,1)</f>
        <v>L</v>
      </c>
      <c r="AE386" s="49" t="str">
        <f>MID(VLOOKUP($A386,Seqs!$A:$B,2,FALSE),VLOOKUP($A386,'SegEnds_NonXtal_Prot#'!$A:$AL,22,FALSE)+9,1)</f>
        <v>W</v>
      </c>
      <c r="AF386" s="49" t="str">
        <f>MID(VLOOKUP($A386,Seqs!$A:$B,2,FALSE),VLOOKUP($A386,'SegEnds_NonXtal_Prot#'!$A:$AL,22,FALSE)+10,1)</f>
        <v>K</v>
      </c>
      <c r="AG386" s="28" t="str">
        <f>MID(VLOOKUP($A386,Seqs!$A:$B,2,FALSE),VLOOKUP($A386,'SegEnds_NonXtal_Prot#'!$A:$AL,28,FALSE)-4,1)</f>
        <v>A</v>
      </c>
      <c r="AH386" s="49" t="str">
        <f>MID(VLOOKUP($A386,Seqs!$A:$B,2,FALSE),VLOOKUP($A386,'SegEnds_NonXtal_Prot#'!$A:$AL,28,FALSE),1)</f>
        <v>P</v>
      </c>
    </row>
    <row r="387" spans="1:34" s="2" customFormat="1" x14ac:dyDescent="0.2">
      <c r="A387" s="2" t="s">
        <v>472</v>
      </c>
      <c r="B387" s="2" t="str">
        <f>LOWER(VLOOKUP(A387,Xtal_Templ!A:B,2,FALSE))</f>
        <v>oprk_human</v>
      </c>
      <c r="C387" s="2" t="str">
        <f>VLOOKUP(A387,Classification!A:D,2,FALSE)</f>
        <v>T</v>
      </c>
      <c r="D387" s="2" t="str">
        <f>IF(ISERROR(MATCH(A387,'SegEnds_Xtal_Prot#'!B:B, 0)), "NoXtal", "Xtal")</f>
        <v>NoXtal</v>
      </c>
      <c r="H387" s="4"/>
      <c r="V387" s="28" t="str">
        <f>MID(VLOOKUP($A387,Seqs!$A:$B,2,FALSE),VLOOKUP($A387,'SegEnds_NonXtal_Prot#'!A:AL,10,FALSE),1)</f>
        <v>R</v>
      </c>
      <c r="W387" s="49" t="str">
        <f>MID(VLOOKUP($A387,Seqs!$A:$B,2,FALSE),VLOOKUP($A387,'SegEnds_NonXtal_Prot#'!A:AL,10,FALSE)+6,1)</f>
        <v>V</v>
      </c>
      <c r="X387" s="49" t="str">
        <f>MID(VLOOKUP($A387,Seqs!$A:$B,2,FALSE),VLOOKUP($A387,'SegEnds_NonXtal_Prot#'!A:AL,10,FALSE)+7,1)</f>
        <v>V</v>
      </c>
      <c r="Y387" s="49" t="str">
        <f>MID(VLOOKUP($A387,Seqs!$A:$B,2,FALSE),VLOOKUP($A387,'SegEnds_NonXtal_Prot#'!A:AL,10,FALSE)+8,1)</f>
        <v>M</v>
      </c>
      <c r="Z387" s="49" t="str">
        <f>MID(VLOOKUP($A387,Seqs!$A:$B,2,FALSE),VLOOKUP($A387,'SegEnds_NonXtal_Prot#'!A:AL,10,FALSE)+9,1)</f>
        <v>G</v>
      </c>
      <c r="AA387" s="49" t="str">
        <f>MID(VLOOKUP($A387,Seqs!$A:$B,2,FALSE),VLOOKUP($A387,'SegEnds_NonXtal_Prot#'!A:AL,10,FALSE)+10,1)</f>
        <v>K</v>
      </c>
      <c r="AB387" s="28" t="str">
        <f>MID(VLOOKUP($A387,Seqs!$A:$B,2,FALSE),VLOOKUP($A387,'SegEnds_NonXtal_Prot#'!$A:$AL,22,FALSE)+6,1)</f>
        <v>S</v>
      </c>
      <c r="AC387" s="49" t="str">
        <f>MID(VLOOKUP($A387,Seqs!$A:$B,2,FALSE),VLOOKUP($A387,'SegEnds_NonXtal_Prot#'!$A:$AL,22,FALSE)+7,1)</f>
        <v>F</v>
      </c>
      <c r="AD387" s="49" t="str">
        <f>MID(VLOOKUP($A387,Seqs!$A:$B,2,FALSE),VLOOKUP($A387,'SegEnds_NonXtal_Prot#'!$A:$AL,22,FALSE)+8,1)</f>
        <v>T</v>
      </c>
      <c r="AE387" s="49" t="str">
        <f>MID(VLOOKUP($A387,Seqs!$A:$B,2,FALSE),VLOOKUP($A387,'SegEnds_NonXtal_Prot#'!$A:$AL,22,FALSE)+9,1)</f>
        <v>T</v>
      </c>
      <c r="AF387" s="49" t="str">
        <f>MID(VLOOKUP($A387,Seqs!$A:$B,2,FALSE),VLOOKUP($A387,'SegEnds_NonXtal_Prot#'!$A:$AL,22,FALSE)+10,1)</f>
        <v>I</v>
      </c>
      <c r="AG387" s="28" t="str">
        <f>MID(VLOOKUP($A387,Seqs!$A:$B,2,FALSE),VLOOKUP($A387,'SegEnds_NonXtal_Prot#'!$A:$AL,28,FALSE)-4,1)</f>
        <v>T</v>
      </c>
      <c r="AH387" s="49" t="str">
        <f>MID(VLOOKUP($A387,Seqs!$A:$B,2,FALSE),VLOOKUP($A387,'SegEnds_NonXtal_Prot#'!$A:$AL,28,FALSE),1)</f>
        <v>P</v>
      </c>
    </row>
    <row r="388" spans="1:34" s="2" customFormat="1" x14ac:dyDescent="0.2">
      <c r="A388" s="2" t="s">
        <v>457</v>
      </c>
      <c r="B388" s="2" t="str">
        <f>LOWER(VLOOKUP(A388,Xtal_Templ!A:B,2,FALSE))</f>
        <v>apj_human</v>
      </c>
      <c r="C388" s="2" t="str">
        <f>VLOOKUP(A388,Classification!A:D,2,FALSE)</f>
        <v>T</v>
      </c>
      <c r="D388" s="2" t="str">
        <f>IF(ISERROR(MATCH(A388,'SegEnds_Xtal_Prot#'!B:B, 0)), "NoXtal", "Xtal")</f>
        <v>NoXtal</v>
      </c>
      <c r="H388" s="4"/>
      <c r="V388" s="28" t="str">
        <f>MID(VLOOKUP($A388,Seqs!$A:$B,2,FALSE),VLOOKUP($A388,'SegEnds_NonXtal_Prot#'!A:AL,10,FALSE),1)</f>
        <v>R</v>
      </c>
      <c r="W388" s="49" t="str">
        <f>MID(VLOOKUP($A388,Seqs!$A:$B,2,FALSE),VLOOKUP($A388,'SegEnds_NonXtal_Prot#'!A:AL,10,FALSE)+6,1)</f>
        <v>E</v>
      </c>
      <c r="X388" s="49" t="str">
        <f>MID(VLOOKUP($A388,Seqs!$A:$B,2,FALSE),VLOOKUP($A388,'SegEnds_NonXtal_Prot#'!A:AL,10,FALSE)+7,1)</f>
        <v>I</v>
      </c>
      <c r="Y388" s="49" t="str">
        <f>MID(VLOOKUP($A388,Seqs!$A:$B,2,FALSE),VLOOKUP($A388,'SegEnds_NonXtal_Prot#'!A:AL,10,FALSE)+8,1)</f>
        <v>L</v>
      </c>
      <c r="Z388" s="49" t="str">
        <f>MID(VLOOKUP($A388,Seqs!$A:$B,2,FALSE),VLOOKUP($A388,'SegEnds_NonXtal_Prot#'!A:AL,10,FALSE)+9,1)</f>
        <v>V</v>
      </c>
      <c r="AA388" s="49" t="str">
        <f>MID(VLOOKUP($A388,Seqs!$A:$B,2,FALSE),VLOOKUP($A388,'SegEnds_NonXtal_Prot#'!A:AL,10,FALSE)+10,1)</f>
        <v>S</v>
      </c>
      <c r="AB388" s="28" t="str">
        <f>MID(VLOOKUP($A388,Seqs!$A:$B,2,FALSE),VLOOKUP($A388,'SegEnds_NonXtal_Prot#'!$A:$AL,22,FALSE)+6,1)</f>
        <v>F</v>
      </c>
      <c r="AC388" s="49" t="str">
        <f>MID(VLOOKUP($A388,Seqs!$A:$B,2,FALSE),VLOOKUP($A388,'SegEnds_NonXtal_Prot#'!$A:$AL,22,FALSE)+7,1)</f>
        <v>L</v>
      </c>
      <c r="AD388" s="49" t="str">
        <f>MID(VLOOKUP($A388,Seqs!$A:$B,2,FALSE),VLOOKUP($A388,'SegEnds_NonXtal_Prot#'!$A:$AL,22,FALSE)+8,1)</f>
        <v>N</v>
      </c>
      <c r="AE388" s="49" t="str">
        <f>MID(VLOOKUP($A388,Seqs!$A:$B,2,FALSE),VLOOKUP($A388,'SegEnds_NonXtal_Prot#'!$A:$AL,22,FALSE)+9,1)</f>
        <v>L</v>
      </c>
      <c r="AF388" s="49" t="str">
        <f>MID(VLOOKUP($A388,Seqs!$A:$B,2,FALSE),VLOOKUP($A388,'SegEnds_NonXtal_Prot#'!$A:$AL,22,FALSE)+10,1)</f>
        <v>I</v>
      </c>
      <c r="AG388" s="28" t="str">
        <f>MID(VLOOKUP($A388,Seqs!$A:$B,2,FALSE),VLOOKUP($A388,'SegEnds_NonXtal_Prot#'!$A:$AL,28,FALSE)-4,1)</f>
        <v>F</v>
      </c>
      <c r="AH388" s="49" t="str">
        <f>MID(VLOOKUP($A388,Seqs!$A:$B,2,FALSE),VLOOKUP($A388,'SegEnds_NonXtal_Prot#'!$A:$AL,28,FALSE),1)</f>
        <v>P</v>
      </c>
    </row>
    <row r="389" spans="1:34" s="2" customFormat="1" x14ac:dyDescent="0.2">
      <c r="A389" s="2" t="s">
        <v>476</v>
      </c>
      <c r="B389" s="2" t="str">
        <f>LOWER(VLOOKUP(A389,Xtal_Templ!A:B,2,FALSE))</f>
        <v>5ht1b_human</v>
      </c>
      <c r="C389" s="2" t="str">
        <f>VLOOKUP(A389,Classification!A:D,2,FALSE)</f>
        <v>T</v>
      </c>
      <c r="D389" s="2" t="str">
        <f>IF(ISERROR(MATCH(A389,'SegEnds_Xtal_Prot#'!B:B, 0)), "NoXtal", "Xtal")</f>
        <v>NoXtal</v>
      </c>
      <c r="H389" s="4"/>
      <c r="V389" s="28" t="str">
        <f>MID(VLOOKUP($A389,Seqs!$A:$B,2,FALSE),VLOOKUP($A389,'SegEnds_NonXtal_Prot#'!A:AL,10,FALSE),1)</f>
        <v>R</v>
      </c>
      <c r="W389" s="49" t="str">
        <f>MID(VLOOKUP($A389,Seqs!$A:$B,2,FALSE),VLOOKUP($A389,'SegEnds_NonXtal_Prot#'!A:AL,10,FALSE)+6,1)</f>
        <v>L</v>
      </c>
      <c r="X389" s="49" t="str">
        <f>MID(VLOOKUP($A389,Seqs!$A:$B,2,FALSE),VLOOKUP($A389,'SegEnds_NonXtal_Prot#'!A:AL,10,FALSE)+7,1)</f>
        <v>F</v>
      </c>
      <c r="Y389" s="49" t="str">
        <f>MID(VLOOKUP($A389,Seqs!$A:$B,2,FALSE),VLOOKUP($A389,'SegEnds_NonXtal_Prot#'!A:AL,10,FALSE)+8,1)</f>
        <v>L</v>
      </c>
      <c r="Z389" s="49" t="str">
        <f>MID(VLOOKUP($A389,Seqs!$A:$B,2,FALSE),VLOOKUP($A389,'SegEnds_NonXtal_Prot#'!A:AL,10,FALSE)+9,1)</f>
        <v>V</v>
      </c>
      <c r="AA389" s="49" t="str">
        <f>MID(VLOOKUP($A389,Seqs!$A:$B,2,FALSE),VLOOKUP($A389,'SegEnds_NonXtal_Prot#'!A:AL,10,FALSE)+10,1)</f>
        <v>N</v>
      </c>
      <c r="AB389" s="28" t="str">
        <f>MID(VLOOKUP($A389,Seqs!$A:$B,2,FALSE),VLOOKUP($A389,'SegEnds_NonXtal_Prot#'!$A:$AL,22,FALSE)+6,1)</f>
        <v>A</v>
      </c>
      <c r="AC389" s="49" t="str">
        <f>MID(VLOOKUP($A389,Seqs!$A:$B,2,FALSE),VLOOKUP($A389,'SegEnds_NonXtal_Prot#'!$A:$AL,22,FALSE)+7,1)</f>
        <v>F</v>
      </c>
      <c r="AD389" s="49" t="str">
        <f>MID(VLOOKUP($A389,Seqs!$A:$B,2,FALSE),VLOOKUP($A389,'SegEnds_NonXtal_Prot#'!$A:$AL,22,FALSE)+8,1)</f>
        <v>T</v>
      </c>
      <c r="AE389" s="49" t="str">
        <f>MID(VLOOKUP($A389,Seqs!$A:$B,2,FALSE),VLOOKUP($A389,'SegEnds_NonXtal_Prot#'!$A:$AL,22,FALSE)+9,1)</f>
        <v>T</v>
      </c>
      <c r="AF389" s="49" t="str">
        <f>MID(VLOOKUP($A389,Seqs!$A:$B,2,FALSE),VLOOKUP($A389,'SegEnds_NonXtal_Prot#'!$A:$AL,22,FALSE)+10,1)</f>
        <v>C</v>
      </c>
      <c r="AG389" s="28" t="str">
        <f>MID(VLOOKUP($A389,Seqs!$A:$B,2,FALSE),VLOOKUP($A389,'SegEnds_NonXtal_Prot#'!$A:$AL,28,FALSE)-4,1)</f>
        <v>S</v>
      </c>
      <c r="AH389" s="49" t="str">
        <f>MID(VLOOKUP($A389,Seqs!$A:$B,2,FALSE),VLOOKUP($A389,'SegEnds_NonXtal_Prot#'!$A:$AL,28,FALSE),1)</f>
        <v>Q</v>
      </c>
    </row>
    <row r="390" spans="1:34" s="2" customFormat="1" x14ac:dyDescent="0.2">
      <c r="A390" s="2" t="s">
        <v>465</v>
      </c>
      <c r="B390" s="2" t="str">
        <f>LOWER(VLOOKUP(A390,Xtal_Templ!A:B,2,FALSE))</f>
        <v>agtr1_human</v>
      </c>
      <c r="C390" s="2" t="str">
        <f>VLOOKUP(A390,Classification!A:D,2,FALSE)</f>
        <v>T</v>
      </c>
      <c r="D390" s="2" t="str">
        <f>IF(ISERROR(MATCH(A390,'SegEnds_Xtal_Prot#'!B:B, 0)), "NoXtal", "Xtal")</f>
        <v>NoXtal</v>
      </c>
      <c r="H390" s="4"/>
      <c r="V390" s="28" t="str">
        <f>MID(VLOOKUP($A390,Seqs!$A:$B,2,FALSE),VLOOKUP($A390,'SegEnds_NonXtal_Prot#'!A:AL,10,FALSE),1)</f>
        <v>R</v>
      </c>
      <c r="W390" s="49" t="str">
        <f>MID(VLOOKUP($A390,Seqs!$A:$B,2,FALSE),VLOOKUP($A390,'SegEnds_NonXtal_Prot#'!A:AL,10,FALSE)+6,1)</f>
        <v>L</v>
      </c>
      <c r="X390" s="49" t="str">
        <f>MID(VLOOKUP($A390,Seqs!$A:$B,2,FALSE),VLOOKUP($A390,'SegEnds_NonXtal_Prot#'!A:AL,10,FALSE)+7,1)</f>
        <v>M</v>
      </c>
      <c r="Y390" s="49" t="str">
        <f>MID(VLOOKUP($A390,Seqs!$A:$B,2,FALSE),VLOOKUP($A390,'SegEnds_NonXtal_Prot#'!A:AL,10,FALSE)+8,1)</f>
        <v>M</v>
      </c>
      <c r="Z390" s="49" t="str">
        <f>MID(VLOOKUP($A390,Seqs!$A:$B,2,FALSE),VLOOKUP($A390,'SegEnds_NonXtal_Prot#'!A:AL,10,FALSE)+9,1)</f>
        <v>L</v>
      </c>
      <c r="AA390" s="49" t="str">
        <f>MID(VLOOKUP($A390,Seqs!$A:$B,2,FALSE),VLOOKUP($A390,'SegEnds_NonXtal_Prot#'!A:AL,10,FALSE)+10,1)</f>
        <v>E</v>
      </c>
      <c r="AB390" s="28" t="str">
        <f>MID(VLOOKUP($A390,Seqs!$A:$B,2,FALSE),VLOOKUP($A390,'SegEnds_NonXtal_Prot#'!$A:$AL,22,FALSE)+6,1)</f>
        <v>F</v>
      </c>
      <c r="AC390" s="49" t="str">
        <f>MID(VLOOKUP($A390,Seqs!$A:$B,2,FALSE),VLOOKUP($A390,'SegEnds_NonXtal_Prot#'!$A:$AL,22,FALSE)+7,1)</f>
        <v>S</v>
      </c>
      <c r="AD390" s="49" t="str">
        <f>MID(VLOOKUP($A390,Seqs!$A:$B,2,FALSE),VLOOKUP($A390,'SegEnds_NonXtal_Prot#'!$A:$AL,22,FALSE)+8,1)</f>
        <v>H</v>
      </c>
      <c r="AE390" s="49" t="str">
        <f>MID(VLOOKUP($A390,Seqs!$A:$B,2,FALSE),VLOOKUP($A390,'SegEnds_NonXtal_Prot#'!$A:$AL,22,FALSE)+9,1)</f>
        <v>S</v>
      </c>
      <c r="AF390" s="49" t="str">
        <f>MID(VLOOKUP($A390,Seqs!$A:$B,2,FALSE),VLOOKUP($A390,'SegEnds_NonXtal_Prot#'!$A:$AL,22,FALSE)+10,1)</f>
        <v>M</v>
      </c>
      <c r="AG390" s="28" t="str">
        <f>MID(VLOOKUP($A390,Seqs!$A:$B,2,FALSE),VLOOKUP($A390,'SegEnds_NonXtal_Prot#'!$A:$AL,28,FALSE)-4,1)</f>
        <v>G</v>
      </c>
      <c r="AH390" s="49" t="str">
        <f>MID(VLOOKUP($A390,Seqs!$A:$B,2,FALSE),VLOOKUP($A390,'SegEnds_NonXtal_Prot#'!$A:$AL,28,FALSE),1)</f>
        <v>P</v>
      </c>
    </row>
    <row r="391" spans="1:34" s="2" customFormat="1" x14ac:dyDescent="0.2">
      <c r="A391" s="2" t="s">
        <v>460</v>
      </c>
      <c r="B391" s="2" t="str">
        <f>LOWER(VLOOKUP(A391,Xtal_Templ!A:B,2,FALSE))</f>
        <v>5ht2c_human</v>
      </c>
      <c r="C391" s="2" t="str">
        <f>VLOOKUP(A391,Classification!A:D,2,FALSE)</f>
        <v>T</v>
      </c>
      <c r="D391" s="2" t="str">
        <f>IF(ISERROR(MATCH(A391,'SegEnds_Xtal_Prot#'!B:B, 0)), "NoXtal", "Xtal")</f>
        <v>NoXtal</v>
      </c>
      <c r="H391" s="4"/>
      <c r="V391" s="28" t="str">
        <f>MID(VLOOKUP($A391,Seqs!$A:$B,2,FALSE),VLOOKUP($A391,'SegEnds_NonXtal_Prot#'!A:AL,10,FALSE),1)</f>
        <v>R</v>
      </c>
      <c r="W391" s="49" t="str">
        <f>MID(VLOOKUP($A391,Seqs!$A:$B,2,FALSE),VLOOKUP($A391,'SegEnds_NonXtal_Prot#'!A:AL,10,FALSE)+6,1)</f>
        <v>V</v>
      </c>
      <c r="X391" s="49" t="str">
        <f>MID(VLOOKUP($A391,Seqs!$A:$B,2,FALSE),VLOOKUP($A391,'SegEnds_NonXtal_Prot#'!A:AL,10,FALSE)+7,1)</f>
        <v>M</v>
      </c>
      <c r="Y391" s="49" t="str">
        <f>MID(VLOOKUP($A391,Seqs!$A:$B,2,FALSE),VLOOKUP($A391,'SegEnds_NonXtal_Prot#'!A:AL,10,FALSE)+8,1)</f>
        <v>L</v>
      </c>
      <c r="Z391" s="49" t="str">
        <f>MID(VLOOKUP($A391,Seqs!$A:$B,2,FALSE),VLOOKUP($A391,'SegEnds_NonXtal_Prot#'!A:AL,10,FALSE)+9,1)</f>
        <v>F</v>
      </c>
      <c r="AA391" s="49" t="str">
        <f>MID(VLOOKUP($A391,Seqs!$A:$B,2,FALSE),VLOOKUP($A391,'SegEnds_NonXtal_Prot#'!A:AL,10,FALSE)+10,1)</f>
        <v>L</v>
      </c>
      <c r="AB391" s="28" t="str">
        <f>MID(VLOOKUP($A391,Seqs!$A:$B,2,FALSE),VLOOKUP($A391,'SegEnds_NonXtal_Prot#'!$A:$AL,22,FALSE)+6,1)</f>
        <v>I</v>
      </c>
      <c r="AC391" s="49" t="str">
        <f>MID(VLOOKUP($A391,Seqs!$A:$B,2,FALSE),VLOOKUP($A391,'SegEnds_NonXtal_Prot#'!$A:$AL,22,FALSE)+7,1)</f>
        <v>C</v>
      </c>
      <c r="AD391" s="49" t="str">
        <f>MID(VLOOKUP($A391,Seqs!$A:$B,2,FALSE),VLOOKUP($A391,'SegEnds_NonXtal_Prot#'!$A:$AL,22,FALSE)+8,1)</f>
        <v>N</v>
      </c>
      <c r="AE391" s="49" t="str">
        <f>MID(VLOOKUP($A391,Seqs!$A:$B,2,FALSE),VLOOKUP($A391,'SegEnds_NonXtal_Prot#'!$A:$AL,22,FALSE)+9,1)</f>
        <v>L</v>
      </c>
      <c r="AF391" s="49" t="str">
        <f>MID(VLOOKUP($A391,Seqs!$A:$B,2,FALSE),VLOOKUP($A391,'SegEnds_NonXtal_Prot#'!$A:$AL,22,FALSE)+10,1)</f>
        <v>A</v>
      </c>
      <c r="AG391" s="28" t="str">
        <f>MID(VLOOKUP($A391,Seqs!$A:$B,2,FALSE),VLOOKUP($A391,'SegEnds_NonXtal_Prot#'!$A:$AL,28,FALSE)-4,1)</f>
        <v>A</v>
      </c>
      <c r="AH391" s="49" t="str">
        <f>MID(VLOOKUP($A391,Seqs!$A:$B,2,FALSE),VLOOKUP($A391,'SegEnds_NonXtal_Prot#'!$A:$AL,28,FALSE),1)</f>
        <v>P</v>
      </c>
    </row>
    <row r="392" spans="1:34" s="2" customFormat="1" x14ac:dyDescent="0.2">
      <c r="A392" s="2" t="s">
        <v>461</v>
      </c>
      <c r="B392" s="2" t="str">
        <f>LOWER(VLOOKUP(A392,Xtal_Templ!A:B,2,FALSE))</f>
        <v>5ht2c_human</v>
      </c>
      <c r="C392" s="2" t="str">
        <f>VLOOKUP(A392,Classification!A:D,2,FALSE)</f>
        <v>T</v>
      </c>
      <c r="D392" s="2" t="str">
        <f>IF(ISERROR(MATCH(A392,'SegEnds_Xtal_Prot#'!B:B, 0)), "NoXtal", "Xtal")</f>
        <v>NoXtal</v>
      </c>
      <c r="H392" s="4"/>
      <c r="V392" s="28" t="str">
        <f>MID(VLOOKUP($A392,Seqs!$A:$B,2,FALSE),VLOOKUP($A392,'SegEnds_NonXtal_Prot#'!A:AL,10,FALSE),1)</f>
        <v>R</v>
      </c>
      <c r="W392" s="49" t="str">
        <f>MID(VLOOKUP($A392,Seqs!$A:$B,2,FALSE),VLOOKUP($A392,'SegEnds_NonXtal_Prot#'!A:AL,10,FALSE)+6,1)</f>
        <v>V</v>
      </c>
      <c r="X392" s="49" t="str">
        <f>MID(VLOOKUP($A392,Seqs!$A:$B,2,FALSE),VLOOKUP($A392,'SegEnds_NonXtal_Prot#'!A:AL,10,FALSE)+7,1)</f>
        <v>I</v>
      </c>
      <c r="Y392" s="49" t="str">
        <f>MID(VLOOKUP($A392,Seqs!$A:$B,2,FALSE),VLOOKUP($A392,'SegEnds_NonXtal_Prot#'!A:AL,10,FALSE)+8,1)</f>
        <v>L</v>
      </c>
      <c r="Z392" s="49" t="str">
        <f>MID(VLOOKUP($A392,Seqs!$A:$B,2,FALSE),VLOOKUP($A392,'SegEnds_NonXtal_Prot#'!A:AL,10,FALSE)+9,1)</f>
        <v>L</v>
      </c>
      <c r="AA392" s="49" t="str">
        <f>MID(VLOOKUP($A392,Seqs!$A:$B,2,FALSE),VLOOKUP($A392,'SegEnds_NonXtal_Prot#'!A:AL,10,FALSE)+10,1)</f>
        <v>H</v>
      </c>
      <c r="AB392" s="28" t="str">
        <f>MID(VLOOKUP($A392,Seqs!$A:$B,2,FALSE),VLOOKUP($A392,'SegEnds_NonXtal_Prot#'!$A:$AL,22,FALSE)+6,1)</f>
        <v>V</v>
      </c>
      <c r="AC392" s="49" t="str">
        <f>MID(VLOOKUP($A392,Seqs!$A:$B,2,FALSE),VLOOKUP($A392,'SegEnds_NonXtal_Prot#'!$A:$AL,22,FALSE)+7,1)</f>
        <v>C</v>
      </c>
      <c r="AD392" s="49" t="str">
        <f>MID(VLOOKUP($A392,Seqs!$A:$B,2,FALSE),VLOOKUP($A392,'SegEnds_NonXtal_Prot#'!$A:$AL,22,FALSE)+8,1)</f>
        <v>H</v>
      </c>
      <c r="AE392" s="49" t="str">
        <f>MID(VLOOKUP($A392,Seqs!$A:$B,2,FALSE),VLOOKUP($A392,'SegEnds_NonXtal_Prot#'!$A:$AL,22,FALSE)+9,1)</f>
        <v>L</v>
      </c>
      <c r="AF392" s="49" t="str">
        <f>MID(VLOOKUP($A392,Seqs!$A:$B,2,FALSE),VLOOKUP($A392,'SegEnds_NonXtal_Prot#'!$A:$AL,22,FALSE)+10,1)</f>
        <v>V</v>
      </c>
      <c r="AG392" s="28" t="str">
        <f>MID(VLOOKUP($A392,Seqs!$A:$B,2,FALSE),VLOOKUP($A392,'SegEnds_NonXtal_Prot#'!$A:$AL,28,FALSE)-4,1)</f>
        <v>A</v>
      </c>
      <c r="AH392" s="49" t="str">
        <f>MID(VLOOKUP($A392,Seqs!$A:$B,2,FALSE),VLOOKUP($A392,'SegEnds_NonXtal_Prot#'!$A:$AL,28,FALSE),1)</f>
        <v>P</v>
      </c>
    </row>
    <row r="393" spans="1:34" s="2" customFormat="1" x14ac:dyDescent="0.2">
      <c r="A393" s="2" t="s">
        <v>462</v>
      </c>
      <c r="B393" s="2" t="str">
        <f>LOWER(VLOOKUP(A393,Xtal_Templ!A:B,2,FALSE))</f>
        <v>5ht2c_human</v>
      </c>
      <c r="C393" s="2" t="str">
        <f>VLOOKUP(A393,Classification!A:D,2,FALSE)</f>
        <v>T</v>
      </c>
      <c r="D393" s="2" t="str">
        <f>IF(ISERROR(MATCH(A393,'SegEnds_Xtal_Prot#'!B:B, 0)), "NoXtal", "Xtal")</f>
        <v>NoXtal</v>
      </c>
      <c r="H393" s="4"/>
      <c r="V393" s="28" t="str">
        <f>MID(VLOOKUP($A393,Seqs!$A:$B,2,FALSE),VLOOKUP($A393,'SegEnds_NonXtal_Prot#'!A:AL,10,FALSE),1)</f>
        <v>R</v>
      </c>
      <c r="W393" s="49" t="str">
        <f>MID(VLOOKUP($A393,Seqs!$A:$B,2,FALSE),VLOOKUP($A393,'SegEnds_NonXtal_Prot#'!A:AL,10,FALSE)+6,1)</f>
        <v>V</v>
      </c>
      <c r="X393" s="49" t="str">
        <f>MID(VLOOKUP($A393,Seqs!$A:$B,2,FALSE),VLOOKUP($A393,'SegEnds_NonXtal_Prot#'!A:AL,10,FALSE)+7,1)</f>
        <v>L</v>
      </c>
      <c r="Y393" s="49" t="str">
        <f>MID(VLOOKUP($A393,Seqs!$A:$B,2,FALSE),VLOOKUP($A393,'SegEnds_NonXtal_Prot#'!A:AL,10,FALSE)+8,1)</f>
        <v>L</v>
      </c>
      <c r="Z393" s="49" t="str">
        <f>MID(VLOOKUP($A393,Seqs!$A:$B,2,FALSE),VLOOKUP($A393,'SegEnds_NonXtal_Prot#'!A:AL,10,FALSE)+9,1)</f>
        <v>L</v>
      </c>
      <c r="AA393" s="49" t="str">
        <f>MID(VLOOKUP($A393,Seqs!$A:$B,2,FALSE),VLOOKUP($A393,'SegEnds_NonXtal_Prot#'!A:AL,10,FALSE)+10,1)</f>
        <v>H</v>
      </c>
      <c r="AB393" s="28" t="str">
        <f>MID(VLOOKUP($A393,Seqs!$A:$B,2,FALSE),VLOOKUP($A393,'SegEnds_NonXtal_Prot#'!$A:$AL,22,FALSE)+6,1)</f>
        <v>V</v>
      </c>
      <c r="AC393" s="49" t="str">
        <f>MID(VLOOKUP($A393,Seqs!$A:$B,2,FALSE),VLOOKUP($A393,'SegEnds_NonXtal_Prot#'!$A:$AL,22,FALSE)+7,1)</f>
        <v>C</v>
      </c>
      <c r="AD393" s="49" t="str">
        <f>MID(VLOOKUP($A393,Seqs!$A:$B,2,FALSE),VLOOKUP($A393,'SegEnds_NonXtal_Prot#'!$A:$AL,22,FALSE)+8,1)</f>
        <v>H</v>
      </c>
      <c r="AE393" s="49" t="str">
        <f>MID(VLOOKUP($A393,Seqs!$A:$B,2,FALSE),VLOOKUP($A393,'SegEnds_NonXtal_Prot#'!$A:$AL,22,FALSE)+9,1)</f>
        <v>L</v>
      </c>
      <c r="AF393" s="49" t="str">
        <f>MID(VLOOKUP($A393,Seqs!$A:$B,2,FALSE),VLOOKUP($A393,'SegEnds_NonXtal_Prot#'!$A:$AL,22,FALSE)+10,1)</f>
        <v>F</v>
      </c>
      <c r="AG393" s="28" t="str">
        <f>MID(VLOOKUP($A393,Seqs!$A:$B,2,FALSE),VLOOKUP($A393,'SegEnds_NonXtal_Prot#'!$A:$AL,28,FALSE)-4,1)</f>
        <v>A</v>
      </c>
      <c r="AH393" s="49" t="str">
        <f>MID(VLOOKUP($A393,Seqs!$A:$B,2,FALSE),VLOOKUP($A393,'SegEnds_NonXtal_Prot#'!$A:$AL,28,FALSE),1)</f>
        <v>P</v>
      </c>
    </row>
    <row r="394" spans="1:34" s="2" customFormat="1" x14ac:dyDescent="0.2">
      <c r="A394" s="2" t="s">
        <v>463</v>
      </c>
      <c r="B394" s="2" t="str">
        <f>LOWER(VLOOKUP(A394,Xtal_Templ!A:B,2,FALSE))</f>
        <v>drd2_human</v>
      </c>
      <c r="C394" s="2" t="str">
        <f>VLOOKUP(A394,Classification!A:D,2,FALSE)</f>
        <v>T</v>
      </c>
      <c r="D394" s="2" t="str">
        <f>IF(ISERROR(MATCH(A394,'SegEnds_Xtal_Prot#'!B:B, 0)), "NoXtal", "Xtal")</f>
        <v>NoXtal</v>
      </c>
      <c r="H394" s="4"/>
      <c r="V394" s="28" t="str">
        <f>MID(VLOOKUP($A394,Seqs!$A:$B,2,FALSE),VLOOKUP($A394,'SegEnds_NonXtal_Prot#'!A:AL,10,FALSE),1)</f>
        <v>R</v>
      </c>
      <c r="W394" s="49" t="str">
        <f>MID(VLOOKUP($A394,Seqs!$A:$B,2,FALSE),VLOOKUP($A394,'SegEnds_NonXtal_Prot#'!A:AL,10,FALSE)+6,1)</f>
        <v>V</v>
      </c>
      <c r="X394" s="49" t="str">
        <f>MID(VLOOKUP($A394,Seqs!$A:$B,2,FALSE),VLOOKUP($A394,'SegEnds_NonXtal_Prot#'!A:AL,10,FALSE)+7,1)</f>
        <v>L</v>
      </c>
      <c r="Y394" s="49" t="str">
        <f>MID(VLOOKUP($A394,Seqs!$A:$B,2,FALSE),VLOOKUP($A394,'SegEnds_NonXtal_Prot#'!A:AL,10,FALSE)+8,1)</f>
        <v>L</v>
      </c>
      <c r="Z394" s="49" t="str">
        <f>MID(VLOOKUP($A394,Seqs!$A:$B,2,FALSE),VLOOKUP($A394,'SegEnds_NonXtal_Prot#'!A:AL,10,FALSE)+9,1)</f>
        <v>L</v>
      </c>
      <c r="AA394" s="49" t="str">
        <f>MID(VLOOKUP($A394,Seqs!$A:$B,2,FALSE),VLOOKUP($A394,'SegEnds_NonXtal_Prot#'!A:AL,10,FALSE)+10,1)</f>
        <v>N</v>
      </c>
      <c r="AB394" s="28" t="str">
        <f>MID(VLOOKUP($A394,Seqs!$A:$B,2,FALSE),VLOOKUP($A394,'SegEnds_NonXtal_Prot#'!$A:$AL,22,FALSE)+6,1)</f>
        <v>A</v>
      </c>
      <c r="AC394" s="49" t="str">
        <f>MID(VLOOKUP($A394,Seqs!$A:$B,2,FALSE),VLOOKUP($A394,'SegEnds_NonXtal_Prot#'!$A:$AL,22,FALSE)+7,1)</f>
        <v>C</v>
      </c>
      <c r="AD394" s="49" t="str">
        <f>MID(VLOOKUP($A394,Seqs!$A:$B,2,FALSE),VLOOKUP($A394,'SegEnds_NonXtal_Prot#'!$A:$AL,22,FALSE)+8,1)</f>
        <v>Q</v>
      </c>
      <c r="AE394" s="49" t="str">
        <f>MID(VLOOKUP($A394,Seqs!$A:$B,2,FALSE),VLOOKUP($A394,'SegEnds_NonXtal_Prot#'!$A:$AL,22,FALSE)+9,1)</f>
        <v>L</v>
      </c>
      <c r="AF394" s="49" t="str">
        <f>MID(VLOOKUP($A394,Seqs!$A:$B,2,FALSE),VLOOKUP($A394,'SegEnds_NonXtal_Prot#'!$A:$AL,22,FALSE)+10,1)</f>
        <v>F</v>
      </c>
      <c r="AG394" s="28" t="str">
        <f>MID(VLOOKUP($A394,Seqs!$A:$B,2,FALSE),VLOOKUP($A394,'SegEnds_NonXtal_Prot#'!$A:$AL,28,FALSE)-4,1)</f>
        <v>G</v>
      </c>
      <c r="AH394" s="49" t="str">
        <f>MID(VLOOKUP($A394,Seqs!$A:$B,2,FALSE),VLOOKUP($A394,'SegEnds_NonXtal_Prot#'!$A:$AL,28,FALSE),1)</f>
        <v>P</v>
      </c>
    </row>
    <row r="395" spans="1:34" s="2" customFormat="1" x14ac:dyDescent="0.2">
      <c r="A395" s="2" t="s">
        <v>464</v>
      </c>
      <c r="B395" s="2" t="str">
        <f>LOWER(VLOOKUP(A395,Xtal_Templ!A:B,2,FALSE))</f>
        <v>agtr1_human</v>
      </c>
      <c r="C395" s="2" t="str">
        <f>VLOOKUP(A395,Classification!A:D,2,FALSE)</f>
        <v>T</v>
      </c>
      <c r="D395" s="2" t="str">
        <f>IF(ISERROR(MATCH(A395,'SegEnds_Xtal_Prot#'!B:B, 0)), "NoXtal", "Xtal")</f>
        <v>NoXtal</v>
      </c>
      <c r="H395" s="4"/>
      <c r="V395" s="28" t="str">
        <f>MID(VLOOKUP($A395,Seqs!$A:$B,2,FALSE),VLOOKUP($A395,'SegEnds_NonXtal_Prot#'!A:AL,10,FALSE),1)</f>
        <v>R</v>
      </c>
      <c r="W395" s="49" t="str">
        <f>MID(VLOOKUP($A395,Seqs!$A:$B,2,FALSE),VLOOKUP($A395,'SegEnds_NonXtal_Prot#'!A:AL,10,FALSE)+6,1)</f>
        <v>L</v>
      </c>
      <c r="X395" s="49" t="str">
        <f>MID(VLOOKUP($A395,Seqs!$A:$B,2,FALSE),VLOOKUP($A395,'SegEnds_NonXtal_Prot#'!A:AL,10,FALSE)+7,1)</f>
        <v>L</v>
      </c>
      <c r="Y395" s="49" t="str">
        <f>MID(VLOOKUP($A395,Seqs!$A:$B,2,FALSE),VLOOKUP($A395,'SegEnds_NonXtal_Prot#'!A:AL,10,FALSE)+8,1)</f>
        <v>F</v>
      </c>
      <c r="Z395" s="49" t="str">
        <f>MID(VLOOKUP($A395,Seqs!$A:$B,2,FALSE),VLOOKUP($A395,'SegEnds_NonXtal_Prot#'!A:AL,10,FALSE)+9,1)</f>
        <v>L</v>
      </c>
      <c r="AA395" s="49" t="str">
        <f>MID(VLOOKUP($A395,Seqs!$A:$B,2,FALSE),VLOOKUP($A395,'SegEnds_NonXtal_Prot#'!A:AL,10,FALSE)+10,1)</f>
        <v>S</v>
      </c>
      <c r="AB395" s="28" t="str">
        <f>MID(VLOOKUP($A395,Seqs!$A:$B,2,FALSE),VLOOKUP($A395,'SegEnds_NonXtal_Prot#'!$A:$AL,22,FALSE)+6,1)</f>
        <v>C</v>
      </c>
      <c r="AC395" s="49" t="str">
        <f>MID(VLOOKUP($A395,Seqs!$A:$B,2,FALSE),VLOOKUP($A395,'SegEnds_NonXtal_Prot#'!$A:$AL,22,FALSE)+7,1)</f>
        <v>I</v>
      </c>
      <c r="AD395" s="49" t="str">
        <f>MID(VLOOKUP($A395,Seqs!$A:$B,2,FALSE),VLOOKUP($A395,'SegEnds_NonXtal_Prot#'!$A:$AL,22,FALSE)+8,1)</f>
        <v>C</v>
      </c>
      <c r="AE395" s="49" t="str">
        <f>MID(VLOOKUP($A395,Seqs!$A:$B,2,FALSE),VLOOKUP($A395,'SegEnds_NonXtal_Prot#'!$A:$AL,22,FALSE)+9,1)</f>
        <v>T</v>
      </c>
      <c r="AF395" s="49" t="str">
        <f>MID(VLOOKUP($A395,Seqs!$A:$B,2,FALSE),VLOOKUP($A395,'SegEnds_NonXtal_Prot#'!$A:$AL,22,FALSE)+10,1)</f>
        <v>V</v>
      </c>
      <c r="AG395" s="28" t="str">
        <f>MID(VLOOKUP($A395,Seqs!$A:$B,2,FALSE),VLOOKUP($A395,'SegEnds_NonXtal_Prot#'!$A:$AL,28,FALSE)-4,1)</f>
        <v>W</v>
      </c>
      <c r="AH395" s="49" t="str">
        <f>MID(VLOOKUP($A395,Seqs!$A:$B,2,FALSE),VLOOKUP($A395,'SegEnds_NonXtal_Prot#'!$A:$AL,28,FALSE),1)</f>
        <v>P</v>
      </c>
    </row>
    <row r="396" spans="1:34" s="2" customFormat="1" x14ac:dyDescent="0.2">
      <c r="A396" s="2" t="s">
        <v>467</v>
      </c>
      <c r="B396" s="2" t="str">
        <f>LOWER(VLOOKUP(A396,Xtal_Templ!A:B,2,FALSE))</f>
        <v>drd2_human</v>
      </c>
      <c r="C396" s="2" t="str">
        <f>VLOOKUP(A396,Classification!A:D,2,FALSE)</f>
        <v>T</v>
      </c>
      <c r="D396" s="2" t="str">
        <f>IF(ISERROR(MATCH(A396,'SegEnds_Xtal_Prot#'!B:B, 0)), "NoXtal", "Xtal")</f>
        <v>NoXtal</v>
      </c>
      <c r="H396" s="4"/>
      <c r="V396" s="28" t="str">
        <f>MID(VLOOKUP($A396,Seqs!$A:$B,2,FALSE),VLOOKUP($A396,'SegEnds_NonXtal_Prot#'!A:AL,10,FALSE),1)</f>
        <v>R</v>
      </c>
      <c r="W396" s="49" t="str">
        <f>MID(VLOOKUP($A396,Seqs!$A:$B,2,FALSE),VLOOKUP($A396,'SegEnds_NonXtal_Prot#'!A:AL,10,FALSE)+6,1)</f>
        <v>V</v>
      </c>
      <c r="X396" s="49" t="str">
        <f>MID(VLOOKUP($A396,Seqs!$A:$B,2,FALSE),VLOOKUP($A396,'SegEnds_NonXtal_Prot#'!A:AL,10,FALSE)+7,1)</f>
        <v>G</v>
      </c>
      <c r="Y396" s="49" t="str">
        <f>MID(VLOOKUP($A396,Seqs!$A:$B,2,FALSE),VLOOKUP($A396,'SegEnds_NonXtal_Prot#'!A:AL,10,FALSE)+8,1)</f>
        <v>T</v>
      </c>
      <c r="Z396" s="49" t="str">
        <f>MID(VLOOKUP($A396,Seqs!$A:$B,2,FALSE),VLOOKUP($A396,'SegEnds_NonXtal_Prot#'!A:AL,10,FALSE)+9,1)</f>
        <v>V</v>
      </c>
      <c r="AA396" s="49" t="str">
        <f>MID(VLOOKUP($A396,Seqs!$A:$B,2,FALSE),VLOOKUP($A396,'SegEnds_NonXtal_Prot#'!A:AL,10,FALSE)+10,1)</f>
        <v>H</v>
      </c>
      <c r="AB396" s="28" t="str">
        <f>MID(VLOOKUP($A396,Seqs!$A:$B,2,FALSE),VLOOKUP($A396,'SegEnds_NonXtal_Prot#'!$A:$AL,22,FALSE)+6,1)</f>
        <v>F</v>
      </c>
      <c r="AC396" s="49" t="str">
        <f>MID(VLOOKUP($A396,Seqs!$A:$B,2,FALSE),VLOOKUP($A396,'SegEnds_NonXtal_Prot#'!$A:$AL,22,FALSE)+7,1)</f>
        <v>I</v>
      </c>
      <c r="AD396" s="49" t="str">
        <f>MID(VLOOKUP($A396,Seqs!$A:$B,2,FALSE),VLOOKUP($A396,'SegEnds_NonXtal_Prot#'!$A:$AL,22,FALSE)+8,1)</f>
        <v>I</v>
      </c>
      <c r="AE396" s="49" t="str">
        <f>MID(VLOOKUP($A396,Seqs!$A:$B,2,FALSE),VLOOKUP($A396,'SegEnds_NonXtal_Prot#'!$A:$AL,22,FALSE)+9,1)</f>
        <v>T</v>
      </c>
      <c r="AF396" s="49" t="str">
        <f>MID(VLOOKUP($A396,Seqs!$A:$B,2,FALSE),VLOOKUP($A396,'SegEnds_NonXtal_Prot#'!$A:$AL,22,FALSE)+10,1)</f>
        <v>L</v>
      </c>
      <c r="AG396" s="28" t="str">
        <f>MID(VLOOKUP($A396,Seqs!$A:$B,2,FALSE),VLOOKUP($A396,'SegEnds_NonXtal_Prot#'!$A:$AL,28,FALSE)-4,1)</f>
        <v>I</v>
      </c>
      <c r="AH396" s="49" t="str">
        <f>MID(VLOOKUP($A396,Seqs!$A:$B,2,FALSE),VLOOKUP($A396,'SegEnds_NonXtal_Prot#'!$A:$AL,28,FALSE),1)</f>
        <v>P</v>
      </c>
    </row>
    <row r="397" spans="1:34" s="2" customFormat="1" x14ac:dyDescent="0.2">
      <c r="A397" s="2" t="s">
        <v>468</v>
      </c>
      <c r="B397" s="2" t="str">
        <f>LOWER(VLOOKUP(A397,Xtal_Templ!A:B,2,FALSE))</f>
        <v>hrh1_human</v>
      </c>
      <c r="C397" s="2" t="str">
        <f>VLOOKUP(A397,Classification!A:D,2,FALSE)</f>
        <v>T</v>
      </c>
      <c r="D397" s="2" t="str">
        <f>IF(ISERROR(MATCH(A397,'SegEnds_Xtal_Prot#'!B:B, 0)), "NoXtal", "Xtal")</f>
        <v>NoXtal</v>
      </c>
      <c r="H397" s="4"/>
      <c r="V397" s="28" t="str">
        <f>MID(VLOOKUP($A397,Seqs!$A:$B,2,FALSE),VLOOKUP($A397,'SegEnds_NonXtal_Prot#'!A:AL,10,FALSE),1)</f>
        <v>T</v>
      </c>
      <c r="W397" s="49" t="str">
        <f>MID(VLOOKUP($A397,Seqs!$A:$B,2,FALSE),VLOOKUP($A397,'SegEnds_NonXtal_Prot#'!A:AL,10,FALSE)+6,1)</f>
        <v>V</v>
      </c>
      <c r="X397" s="49" t="str">
        <f>MID(VLOOKUP($A397,Seqs!$A:$B,2,FALSE),VLOOKUP($A397,'SegEnds_NonXtal_Prot#'!A:AL,10,FALSE)+7,1)</f>
        <v>I</v>
      </c>
      <c r="Y397" s="49" t="str">
        <f>MID(VLOOKUP($A397,Seqs!$A:$B,2,FALSE),VLOOKUP($A397,'SegEnds_NonXtal_Prot#'!A:AL,10,FALSE)+8,1)</f>
        <v>L</v>
      </c>
      <c r="Z397" s="49" t="str">
        <f>MID(VLOOKUP($A397,Seqs!$A:$B,2,FALSE),VLOOKUP($A397,'SegEnds_NonXtal_Prot#'!A:AL,10,FALSE)+9,1)</f>
        <v>F</v>
      </c>
      <c r="AA397" s="49" t="str">
        <f>MID(VLOOKUP($A397,Seqs!$A:$B,2,FALSE),VLOOKUP($A397,'SegEnds_NonXtal_Prot#'!A:AL,10,FALSE)+10,1)</f>
        <v>D</v>
      </c>
      <c r="AB397" s="28" t="str">
        <f>MID(VLOOKUP($A397,Seqs!$A:$B,2,FALSE),VLOOKUP($A397,'SegEnds_NonXtal_Prot#'!$A:$AL,22,FALSE)+6,1)</f>
        <v>I</v>
      </c>
      <c r="AC397" s="49" t="str">
        <f>MID(VLOOKUP($A397,Seqs!$A:$B,2,FALSE),VLOOKUP($A397,'SegEnds_NonXtal_Prot#'!$A:$AL,22,FALSE)+7,1)</f>
        <v>F</v>
      </c>
      <c r="AD397" s="49" t="str">
        <f>MID(VLOOKUP($A397,Seqs!$A:$B,2,FALSE),VLOOKUP($A397,'SegEnds_NonXtal_Prot#'!$A:$AL,22,FALSE)+8,1)</f>
        <v>D</v>
      </c>
      <c r="AE397" s="49" t="str">
        <f>MID(VLOOKUP($A397,Seqs!$A:$B,2,FALSE),VLOOKUP($A397,'SegEnds_NonXtal_Prot#'!$A:$AL,22,FALSE)+9,1)</f>
        <v>S</v>
      </c>
      <c r="AF397" s="49" t="str">
        <f>MID(VLOOKUP($A397,Seqs!$A:$B,2,FALSE),VLOOKUP($A397,'SegEnds_NonXtal_Prot#'!$A:$AL,22,FALSE)+10,1)</f>
        <v>L</v>
      </c>
      <c r="AG397" s="28" t="str">
        <f>MID(VLOOKUP($A397,Seqs!$A:$B,2,FALSE),VLOOKUP($A397,'SegEnds_NonXtal_Prot#'!$A:$AL,28,FALSE)-4,1)</f>
        <v>T</v>
      </c>
      <c r="AH397" s="49" t="str">
        <f>MID(VLOOKUP($A397,Seqs!$A:$B,2,FALSE),VLOOKUP($A397,'SegEnds_NonXtal_Prot#'!$A:$AL,28,FALSE),1)</f>
        <v>P</v>
      </c>
    </row>
    <row r="398" spans="1:34" s="2" customFormat="1" x14ac:dyDescent="0.2">
      <c r="A398" s="2" t="s">
        <v>469</v>
      </c>
      <c r="B398" s="2" t="str">
        <f>LOWER(VLOOKUP(A398,Xtal_Templ!A:B,2,FALSE))</f>
        <v>drd2_human</v>
      </c>
      <c r="C398" s="2" t="str">
        <f>VLOOKUP(A398,Classification!A:D,2,FALSE)</f>
        <v>T</v>
      </c>
      <c r="D398" s="2" t="str">
        <f>IF(ISERROR(MATCH(A398,'SegEnds_Xtal_Prot#'!B:B, 0)), "NoXtal", "Xtal")</f>
        <v>NoXtal</v>
      </c>
      <c r="H398" s="4"/>
      <c r="V398" s="28" t="str">
        <f>MID(VLOOKUP($A398,Seqs!$A:$B,2,FALSE),VLOOKUP($A398,'SegEnds_NonXtal_Prot#'!A:AL,10,FALSE),1)</f>
        <v>R</v>
      </c>
      <c r="W398" s="49" t="str">
        <f>MID(VLOOKUP($A398,Seqs!$A:$B,2,FALSE),VLOOKUP($A398,'SegEnds_NonXtal_Prot#'!A:AL,10,FALSE)+6,1)</f>
        <v>V</v>
      </c>
      <c r="X398" s="49" t="str">
        <f>MID(VLOOKUP($A398,Seqs!$A:$B,2,FALSE),VLOOKUP($A398,'SegEnds_NonXtal_Prot#'!A:AL,10,FALSE)+7,1)</f>
        <v>L</v>
      </c>
      <c r="Y398" s="49" t="str">
        <f>MID(VLOOKUP($A398,Seqs!$A:$B,2,FALSE),VLOOKUP($A398,'SegEnds_NonXtal_Prot#'!A:AL,10,FALSE)+8,1)</f>
        <v>L</v>
      </c>
      <c r="Z398" s="49" t="str">
        <f>MID(VLOOKUP($A398,Seqs!$A:$B,2,FALSE),VLOOKUP($A398,'SegEnds_NonXtal_Prot#'!A:AL,10,FALSE)+9,1)</f>
        <v>L</v>
      </c>
      <c r="AA398" s="49" t="str">
        <f>MID(VLOOKUP($A398,Seqs!$A:$B,2,FALSE),VLOOKUP($A398,'SegEnds_NonXtal_Prot#'!A:AL,10,FALSE)+10,1)</f>
        <v>N</v>
      </c>
      <c r="AB398" s="28" t="str">
        <f>MID(VLOOKUP($A398,Seqs!$A:$B,2,FALSE),VLOOKUP($A398,'SegEnds_NonXtal_Prot#'!$A:$AL,22,FALSE)+6,1)</f>
        <v>A</v>
      </c>
      <c r="AC398" s="49" t="str">
        <f>MID(VLOOKUP($A398,Seqs!$A:$B,2,FALSE),VLOOKUP($A398,'SegEnds_NonXtal_Prot#'!$A:$AL,22,FALSE)+7,1)</f>
        <v>C</v>
      </c>
      <c r="AD398" s="49" t="str">
        <f>MID(VLOOKUP($A398,Seqs!$A:$B,2,FALSE),VLOOKUP($A398,'SegEnds_NonXtal_Prot#'!$A:$AL,22,FALSE)+8,1)</f>
        <v>H</v>
      </c>
      <c r="AE398" s="49" t="str">
        <f>MID(VLOOKUP($A398,Seqs!$A:$B,2,FALSE),VLOOKUP($A398,'SegEnds_NonXtal_Prot#'!$A:$AL,22,FALSE)+9,1)</f>
        <v>L</v>
      </c>
      <c r="AF398" s="49" t="str">
        <f>MID(VLOOKUP($A398,Seqs!$A:$B,2,FALSE),VLOOKUP($A398,'SegEnds_NonXtal_Prot#'!$A:$AL,22,FALSE)+10,1)</f>
        <v>F</v>
      </c>
      <c r="AG398" s="28" t="str">
        <f>MID(VLOOKUP($A398,Seqs!$A:$B,2,FALSE),VLOOKUP($A398,'SegEnds_NonXtal_Prot#'!$A:$AL,28,FALSE)-4,1)</f>
        <v>A</v>
      </c>
      <c r="AH398" s="49" t="str">
        <f>MID(VLOOKUP($A398,Seqs!$A:$B,2,FALSE),VLOOKUP($A398,'SegEnds_NonXtal_Prot#'!$A:$AL,28,FALSE),1)</f>
        <v>P</v>
      </c>
    </row>
    <row r="399" spans="1:34" s="2" customFormat="1" x14ac:dyDescent="0.2">
      <c r="A399" s="2" t="s">
        <v>930</v>
      </c>
      <c r="B399" s="2" t="str">
        <f>LOWER(VLOOKUP(A399,Xtal_Templ!A:B,2,FALSE))</f>
        <v>5ht2c_human</v>
      </c>
      <c r="C399" s="2" t="str">
        <f>VLOOKUP(A399,Classification!A:D,2,FALSE)</f>
        <v>T</v>
      </c>
      <c r="D399" s="2" t="str">
        <f>IF(ISERROR(MATCH(A399,'SegEnds_Xtal_Prot#'!B:B, 0)), "NoXtal", "Xtal")</f>
        <v>NoXtal</v>
      </c>
      <c r="H399" s="4"/>
      <c r="V399" s="28" t="str">
        <f>MID(VLOOKUP($A399,Seqs!$A:$B,2,FALSE),VLOOKUP($A399,'SegEnds_NonXtal_Prot#'!A:AL,10,FALSE),1)</f>
        <v>R</v>
      </c>
      <c r="W399" s="49" t="str">
        <f>MID(VLOOKUP($A399,Seqs!$A:$B,2,FALSE),VLOOKUP($A399,'SegEnds_NonXtal_Prot#'!A:AL,10,FALSE)+6,1)</f>
        <v>V</v>
      </c>
      <c r="X399" s="49" t="str">
        <f>MID(VLOOKUP($A399,Seqs!$A:$B,2,FALSE),VLOOKUP($A399,'SegEnds_NonXtal_Prot#'!A:AL,10,FALSE)+7,1)</f>
        <v>L</v>
      </c>
      <c r="Y399" s="49" t="str">
        <f>MID(VLOOKUP($A399,Seqs!$A:$B,2,FALSE),VLOOKUP($A399,'SegEnds_NonXtal_Prot#'!A:AL,10,FALSE)+8,1)</f>
        <v>L</v>
      </c>
      <c r="Z399" s="49" t="str">
        <f>MID(VLOOKUP($A399,Seqs!$A:$B,2,FALSE),VLOOKUP($A399,'SegEnds_NonXtal_Prot#'!A:AL,10,FALSE)+9,1)</f>
        <v>L</v>
      </c>
      <c r="AA399" s="49" t="str">
        <f>MID(VLOOKUP($A399,Seqs!$A:$B,2,FALSE),VLOOKUP($A399,'SegEnds_NonXtal_Prot#'!A:AL,10,FALSE)+10,1)</f>
        <v>N</v>
      </c>
      <c r="AB399" s="28" t="str">
        <f>MID(VLOOKUP($A399,Seqs!$A:$B,2,FALSE),VLOOKUP($A399,'SegEnds_NonXtal_Prot#'!$A:$AL,22,FALSE)+6,1)</f>
        <v>A</v>
      </c>
      <c r="AC399" s="49" t="str">
        <f>MID(VLOOKUP($A399,Seqs!$A:$B,2,FALSE),VLOOKUP($A399,'SegEnds_NonXtal_Prot#'!$A:$AL,22,FALSE)+7,1)</f>
        <v>C</v>
      </c>
      <c r="AD399" s="49" t="str">
        <f>MID(VLOOKUP($A399,Seqs!$A:$B,2,FALSE),VLOOKUP($A399,'SegEnds_NonXtal_Prot#'!$A:$AL,22,FALSE)+8,1)</f>
        <v>H</v>
      </c>
      <c r="AE399" s="49" t="str">
        <f>MID(VLOOKUP($A399,Seqs!$A:$B,2,FALSE),VLOOKUP($A399,'SegEnds_NonXtal_Prot#'!$A:$AL,22,FALSE)+9,1)</f>
        <v>L</v>
      </c>
      <c r="AF399" s="49" t="str">
        <f>MID(VLOOKUP($A399,Seqs!$A:$B,2,FALSE),VLOOKUP($A399,'SegEnds_NonXtal_Prot#'!$A:$AL,22,FALSE)+10,1)</f>
        <v>F</v>
      </c>
      <c r="AG399" s="28" t="str">
        <f>MID(VLOOKUP($A399,Seqs!$A:$B,2,FALSE),VLOOKUP($A399,'SegEnds_NonXtal_Prot#'!$A:$AL,28,FALSE)-4,1)</f>
        <v>A</v>
      </c>
      <c r="AH399" s="49" t="str">
        <f>MID(VLOOKUP($A399,Seqs!$A:$B,2,FALSE),VLOOKUP($A399,'SegEnds_NonXtal_Prot#'!$A:$AL,28,FALSE),1)</f>
        <v>P</v>
      </c>
    </row>
    <row r="400" spans="1:34" s="2" customFormat="1" x14ac:dyDescent="0.2">
      <c r="A400" s="2" t="s">
        <v>470</v>
      </c>
      <c r="B400" s="2" t="str">
        <f>LOWER(VLOOKUP(A400,Xtal_Templ!A:B,2,FALSE))</f>
        <v>5ht2c_human</v>
      </c>
      <c r="C400" s="2" t="str">
        <f>VLOOKUP(A400,Classification!A:D,2,FALSE)</f>
        <v>T</v>
      </c>
      <c r="D400" s="2" t="str">
        <f>IF(ISERROR(MATCH(A400,'SegEnds_Xtal_Prot#'!B:B, 0)), "NoXtal", "Xtal")</f>
        <v>NoXtal</v>
      </c>
      <c r="H400" s="4"/>
      <c r="V400" s="28" t="str">
        <f>MID(VLOOKUP($A400,Seqs!$A:$B,2,FALSE),VLOOKUP($A400,'SegEnds_NonXtal_Prot#'!A:AL,10,FALSE),1)</f>
        <v>R</v>
      </c>
      <c r="W400" s="49" t="str">
        <f>MID(VLOOKUP($A400,Seqs!$A:$B,2,FALSE),VLOOKUP($A400,'SegEnds_NonXtal_Prot#'!A:AL,10,FALSE)+6,1)</f>
        <v>V</v>
      </c>
      <c r="X400" s="49" t="str">
        <f>MID(VLOOKUP($A400,Seqs!$A:$B,2,FALSE),VLOOKUP($A400,'SegEnds_NonXtal_Prot#'!A:AL,10,FALSE)+7,1)</f>
        <v>L</v>
      </c>
      <c r="Y400" s="49" t="str">
        <f>MID(VLOOKUP($A400,Seqs!$A:$B,2,FALSE),VLOOKUP($A400,'SegEnds_NonXtal_Prot#'!A:AL,10,FALSE)+8,1)</f>
        <v>V</v>
      </c>
      <c r="Z400" s="49" t="str">
        <f>MID(VLOOKUP($A400,Seqs!$A:$B,2,FALSE),VLOOKUP($A400,'SegEnds_NonXtal_Prot#'!A:AL,10,FALSE)+9,1)</f>
        <v>L</v>
      </c>
      <c r="AA400" s="49" t="str">
        <f>MID(VLOOKUP($A400,Seqs!$A:$B,2,FALSE),VLOOKUP($A400,'SegEnds_NonXtal_Prot#'!A:AL,10,FALSE)+10,1)</f>
        <v>N</v>
      </c>
      <c r="AB400" s="28" t="str">
        <f>MID(VLOOKUP($A400,Seqs!$A:$B,2,FALSE),VLOOKUP($A400,'SegEnds_NonXtal_Prot#'!$A:$AL,22,FALSE)+6,1)</f>
        <v>V</v>
      </c>
      <c r="AC400" s="49" t="str">
        <f>MID(VLOOKUP($A400,Seqs!$A:$B,2,FALSE),VLOOKUP($A400,'SegEnds_NonXtal_Prot#'!$A:$AL,22,FALSE)+7,1)</f>
        <v>C</v>
      </c>
      <c r="AD400" s="49" t="str">
        <f>MID(VLOOKUP($A400,Seqs!$A:$B,2,FALSE),VLOOKUP($A400,'SegEnds_NonXtal_Prot#'!$A:$AL,22,FALSE)+8,1)</f>
        <v>H</v>
      </c>
      <c r="AE400" s="49" t="str">
        <f>MID(VLOOKUP($A400,Seqs!$A:$B,2,FALSE),VLOOKUP($A400,'SegEnds_NonXtal_Prot#'!$A:$AL,22,FALSE)+9,1)</f>
        <v>L</v>
      </c>
      <c r="AF400" s="49" t="str">
        <f>MID(VLOOKUP($A400,Seqs!$A:$B,2,FALSE),VLOOKUP($A400,'SegEnds_NonXtal_Prot#'!$A:$AL,22,FALSE)+10,1)</f>
        <v>F</v>
      </c>
      <c r="AG400" s="28" t="str">
        <f>MID(VLOOKUP($A400,Seqs!$A:$B,2,FALSE),VLOOKUP($A400,'SegEnds_NonXtal_Prot#'!$A:$AL,28,FALSE)-4,1)</f>
        <v>A</v>
      </c>
      <c r="AH400" s="49" t="str">
        <f>MID(VLOOKUP($A400,Seqs!$A:$B,2,FALSE),VLOOKUP($A400,'SegEnds_NonXtal_Prot#'!$A:$AL,28,FALSE),1)</f>
        <v>P</v>
      </c>
    </row>
    <row r="401" spans="1:34" s="2" customFormat="1" x14ac:dyDescent="0.2">
      <c r="A401" s="2" t="s">
        <v>471</v>
      </c>
      <c r="B401" s="2" t="str">
        <f>LOWER(VLOOKUP(A401,Xtal_Templ!A:B,2,FALSE))</f>
        <v>drd2_human</v>
      </c>
      <c r="C401" s="2" t="str">
        <f>VLOOKUP(A401,Classification!A:D,2,FALSE)</f>
        <v>T</v>
      </c>
      <c r="D401" s="2" t="str">
        <f>IF(ISERROR(MATCH(A401,'SegEnds_Xtal_Prot#'!B:B, 0)), "NoXtal", "Xtal")</f>
        <v>NoXtal</v>
      </c>
      <c r="H401" s="4"/>
      <c r="V401" s="28" t="str">
        <f>MID(VLOOKUP($A401,Seqs!$A:$B,2,FALSE),VLOOKUP($A401,'SegEnds_NonXtal_Prot#'!A:AL,10,FALSE),1)</f>
        <v>R</v>
      </c>
      <c r="W401" s="49" t="str">
        <f>MID(VLOOKUP($A401,Seqs!$A:$B,2,FALSE),VLOOKUP($A401,'SegEnds_NonXtal_Prot#'!A:AL,10,FALSE)+6,1)</f>
        <v>A</v>
      </c>
      <c r="X401" s="49" t="str">
        <f>MID(VLOOKUP($A401,Seqs!$A:$B,2,FALSE),VLOOKUP($A401,'SegEnds_NonXtal_Prot#'!A:AL,10,FALSE)+7,1)</f>
        <v>L</v>
      </c>
      <c r="Y401" s="49" t="str">
        <f>MID(VLOOKUP($A401,Seqs!$A:$B,2,FALSE),VLOOKUP($A401,'SegEnds_NonXtal_Prot#'!A:AL,10,FALSE)+8,1)</f>
        <v>L</v>
      </c>
      <c r="Z401" s="49" t="str">
        <f>MID(VLOOKUP($A401,Seqs!$A:$B,2,FALSE),VLOOKUP($A401,'SegEnds_NonXtal_Prot#'!A:AL,10,FALSE)+9,1)</f>
        <v>L</v>
      </c>
      <c r="AA401" s="49" t="str">
        <f>MID(VLOOKUP($A401,Seqs!$A:$B,2,FALSE),VLOOKUP($A401,'SegEnds_NonXtal_Prot#'!A:AL,10,FALSE)+10,1)</f>
        <v>N</v>
      </c>
      <c r="AB401" s="28" t="str">
        <f>MID(VLOOKUP($A401,Seqs!$A:$B,2,FALSE),VLOOKUP($A401,'SegEnds_NonXtal_Prot#'!$A:$AL,22,FALSE)+6,1)</f>
        <v>V</v>
      </c>
      <c r="AC401" s="49" t="str">
        <f>MID(VLOOKUP($A401,Seqs!$A:$B,2,FALSE),VLOOKUP($A401,'SegEnds_NonXtal_Prot#'!$A:$AL,22,FALSE)+7,1)</f>
        <v>C</v>
      </c>
      <c r="AD401" s="49" t="str">
        <f>MID(VLOOKUP($A401,Seqs!$A:$B,2,FALSE),VLOOKUP($A401,'SegEnds_NonXtal_Prot#'!$A:$AL,22,FALSE)+8,1)</f>
        <v>H</v>
      </c>
      <c r="AE401" s="49" t="str">
        <f>MID(VLOOKUP($A401,Seqs!$A:$B,2,FALSE),VLOOKUP($A401,'SegEnds_NonXtal_Prot#'!$A:$AL,22,FALSE)+9,1)</f>
        <v>L</v>
      </c>
      <c r="AF401" s="49" t="str">
        <f>MID(VLOOKUP($A401,Seqs!$A:$B,2,FALSE),VLOOKUP($A401,'SegEnds_NonXtal_Prot#'!$A:$AL,22,FALSE)+10,1)</f>
        <v>L</v>
      </c>
      <c r="AG401" s="28" t="str">
        <f>MID(VLOOKUP($A401,Seqs!$A:$B,2,FALSE),VLOOKUP($A401,'SegEnds_NonXtal_Prot#'!$A:$AL,28,FALSE)-4,1)</f>
        <v>W</v>
      </c>
      <c r="AH401" s="49" t="str">
        <f>MID(VLOOKUP($A401,Seqs!$A:$B,2,FALSE),VLOOKUP($A401,'SegEnds_NonXtal_Prot#'!$A:$AL,28,FALSE),1)</f>
        <v>P</v>
      </c>
    </row>
    <row r="402" spans="1:34" s="2" customFormat="1" x14ac:dyDescent="0.2">
      <c r="A402" s="2" t="s">
        <v>475</v>
      </c>
      <c r="B402" s="2" t="str">
        <f>LOWER(VLOOKUP(A402,Xtal_Templ!A:B,2,FALSE))</f>
        <v>agtr1_human</v>
      </c>
      <c r="C402" s="2" t="str">
        <f>VLOOKUP(A402,Classification!A:D,2,FALSE)</f>
        <v>T</v>
      </c>
      <c r="D402" s="2" t="str">
        <f>IF(ISERROR(MATCH(A402,'SegEnds_Xtal_Prot#'!B:B, 0)), "NoXtal", "Xtal")</f>
        <v>NoXtal</v>
      </c>
      <c r="H402" s="4"/>
      <c r="V402" s="28" t="str">
        <f>MID(VLOOKUP($A402,Seqs!$A:$B,2,FALSE),VLOOKUP($A402,'SegEnds_NonXtal_Prot#'!A:AL,10,FALSE),1)</f>
        <v>R</v>
      </c>
      <c r="W402" s="49" t="str">
        <f>MID(VLOOKUP($A402,Seqs!$A:$B,2,FALSE),VLOOKUP($A402,'SegEnds_NonXtal_Prot#'!A:AL,10,FALSE)+6,1)</f>
        <v>I</v>
      </c>
      <c r="X402" s="49" t="str">
        <f>MID(VLOOKUP($A402,Seqs!$A:$B,2,FALSE),VLOOKUP($A402,'SegEnds_NonXtal_Prot#'!A:AL,10,FALSE)+7,1)</f>
        <v>I</v>
      </c>
      <c r="Y402" s="49" t="str">
        <f>MID(VLOOKUP($A402,Seqs!$A:$B,2,FALSE),VLOOKUP($A402,'SegEnds_NonXtal_Prot#'!A:AL,10,FALSE)+8,1)</f>
        <v>L</v>
      </c>
      <c r="Z402" s="49" t="str">
        <f>MID(VLOOKUP($A402,Seqs!$A:$B,2,FALSE),VLOOKUP($A402,'SegEnds_NonXtal_Prot#'!A:AL,10,FALSE)+9,1)</f>
        <v>T</v>
      </c>
      <c r="AA402" s="49" t="str">
        <f>MID(VLOOKUP($A402,Seqs!$A:$B,2,FALSE),VLOOKUP($A402,'SegEnds_NonXtal_Prot#'!A:AL,10,FALSE)+10,1)</f>
        <v>D</v>
      </c>
      <c r="AB402" s="28" t="str">
        <f>MID(VLOOKUP($A402,Seqs!$A:$B,2,FALSE),VLOOKUP($A402,'SegEnds_NonXtal_Prot#'!$A:$AL,22,FALSE)+6,1)</f>
        <v>C</v>
      </c>
      <c r="AC402" s="49" t="str">
        <f>MID(VLOOKUP($A402,Seqs!$A:$B,2,FALSE),VLOOKUP($A402,'SegEnds_NonXtal_Prot#'!$A:$AL,22,FALSE)+7,1)</f>
        <v>G</v>
      </c>
      <c r="AD402" s="49" t="str">
        <f>MID(VLOOKUP($A402,Seqs!$A:$B,2,FALSE),VLOOKUP($A402,'SegEnds_NonXtal_Prot#'!$A:$AL,22,FALSE)+8,1)</f>
        <v>S</v>
      </c>
      <c r="AE402" s="49" t="str">
        <f>MID(VLOOKUP($A402,Seqs!$A:$B,2,FALSE),VLOOKUP($A402,'SegEnds_NonXtal_Prot#'!$A:$AL,22,FALSE)+9,1)</f>
        <v>T</v>
      </c>
      <c r="AF402" s="49" t="str">
        <f>MID(VLOOKUP($A402,Seqs!$A:$B,2,FALSE),VLOOKUP($A402,'SegEnds_NonXtal_Prot#'!$A:$AL,22,FALSE)+10,1)</f>
        <v>A</v>
      </c>
      <c r="AG402" s="28" t="str">
        <f>MID(VLOOKUP($A402,Seqs!$A:$B,2,FALSE),VLOOKUP($A402,'SegEnds_NonXtal_Prot#'!$A:$AL,28,FALSE)-4,1)</f>
        <v>W</v>
      </c>
      <c r="AH402" s="49" t="str">
        <f>MID(VLOOKUP($A402,Seqs!$A:$B,2,FALSE),VLOOKUP($A402,'SegEnds_NonXtal_Prot#'!$A:$AL,28,FALSE),1)</f>
        <v>P</v>
      </c>
    </row>
    <row r="403" spans="1:34" s="2" customFormat="1" x14ac:dyDescent="0.2">
      <c r="A403" s="2" t="s">
        <v>478</v>
      </c>
      <c r="B403" s="2" t="str">
        <f>LOWER(VLOOKUP(A403,Xtal_Templ!A:B,2,FALSE))</f>
        <v>drd2_human</v>
      </c>
      <c r="C403" s="2" t="str">
        <f>VLOOKUP(A403,Classification!A:D,2,FALSE)</f>
        <v>T</v>
      </c>
      <c r="D403" s="2" t="str">
        <f>IF(ISERROR(MATCH(A403,'SegEnds_Xtal_Prot#'!B:B, 0)), "NoXtal", "Xtal")</f>
        <v>NoXtal</v>
      </c>
      <c r="H403" s="4"/>
      <c r="V403" s="28" t="str">
        <f>MID(VLOOKUP($A403,Seqs!$A:$B,2,FALSE),VLOOKUP($A403,'SegEnds_NonXtal_Prot#'!A:AL,10,FALSE),1)</f>
        <v>R</v>
      </c>
      <c r="W403" s="49" t="str">
        <f>MID(VLOOKUP($A403,Seqs!$A:$B,2,FALSE),VLOOKUP($A403,'SegEnds_NonXtal_Prot#'!A:AL,10,FALSE)+6,1)</f>
        <v>V</v>
      </c>
      <c r="X403" s="49" t="str">
        <f>MID(VLOOKUP($A403,Seqs!$A:$B,2,FALSE),VLOOKUP($A403,'SegEnds_NonXtal_Prot#'!A:AL,10,FALSE)+7,1)</f>
        <v>I</v>
      </c>
      <c r="Y403" s="49" t="str">
        <f>MID(VLOOKUP($A403,Seqs!$A:$B,2,FALSE),VLOOKUP($A403,'SegEnds_NonXtal_Prot#'!A:AL,10,FALSE)+8,1)</f>
        <v>L</v>
      </c>
      <c r="Z403" s="49" t="str">
        <f>MID(VLOOKUP($A403,Seqs!$A:$B,2,FALSE),VLOOKUP($A403,'SegEnds_NonXtal_Prot#'!A:AL,10,FALSE)+9,1)</f>
        <v>L</v>
      </c>
      <c r="AA403" s="49" t="str">
        <f>MID(VLOOKUP($A403,Seqs!$A:$B,2,FALSE),VLOOKUP($A403,'SegEnds_NonXtal_Prot#'!A:AL,10,FALSE)+10,1)</f>
        <v>D</v>
      </c>
      <c r="AB403" s="28" t="str">
        <f>MID(VLOOKUP($A403,Seqs!$A:$B,2,FALSE),VLOOKUP($A403,'SegEnds_NonXtal_Prot#'!$A:$AL,22,FALSE)+6,1)</f>
        <v>V</v>
      </c>
      <c r="AC403" s="49" t="str">
        <f>MID(VLOOKUP($A403,Seqs!$A:$B,2,FALSE),VLOOKUP($A403,'SegEnds_NonXtal_Prot#'!$A:$AL,22,FALSE)+7,1)</f>
        <v>F</v>
      </c>
      <c r="AD403" s="49" t="str">
        <f>MID(VLOOKUP($A403,Seqs!$A:$B,2,FALSE),VLOOKUP($A403,'SegEnds_NonXtal_Prot#'!$A:$AL,22,FALSE)+8,1)</f>
        <v>I</v>
      </c>
      <c r="AE403" s="49" t="str">
        <f>MID(VLOOKUP($A403,Seqs!$A:$B,2,FALSE),VLOOKUP($A403,'SegEnds_NonXtal_Prot#'!$A:$AL,22,FALSE)+9,1)</f>
        <v>S</v>
      </c>
      <c r="AF403" s="49" t="str">
        <f>MID(VLOOKUP($A403,Seqs!$A:$B,2,FALSE),VLOOKUP($A403,'SegEnds_NonXtal_Prot#'!$A:$AL,22,FALSE)+10,1)</f>
        <v>L</v>
      </c>
      <c r="AG403" s="28" t="str">
        <f>MID(VLOOKUP($A403,Seqs!$A:$B,2,FALSE),VLOOKUP($A403,'SegEnds_NonXtal_Prot#'!$A:$AL,28,FALSE)-4,1)</f>
        <v>A</v>
      </c>
      <c r="AH403" s="49" t="str">
        <f>MID(VLOOKUP($A403,Seqs!$A:$B,2,FALSE),VLOOKUP($A403,'SegEnds_NonXtal_Prot#'!$A:$AL,28,FALSE),1)</f>
        <v>P</v>
      </c>
    </row>
    <row r="404" spans="1:34" s="2" customFormat="1" x14ac:dyDescent="0.2">
      <c r="A404" s="2" t="s">
        <v>479</v>
      </c>
      <c r="B404" s="2" t="str">
        <f>LOWER(VLOOKUP(A404,Xtal_Templ!A:B,2,FALSE))</f>
        <v>drd2_human</v>
      </c>
      <c r="C404" s="2" t="str">
        <f>VLOOKUP(A404,Classification!A:D,2,FALSE)</f>
        <v>T</v>
      </c>
      <c r="D404" s="2" t="str">
        <f>IF(ISERROR(MATCH(A404,'SegEnds_Xtal_Prot#'!B:B, 0)), "NoXtal", "Xtal")</f>
        <v>NoXtal</v>
      </c>
      <c r="H404" s="4"/>
      <c r="V404" s="28" t="str">
        <f>MID(VLOOKUP($A404,Seqs!$A:$B,2,FALSE),VLOOKUP($A404,'SegEnds_NonXtal_Prot#'!A:AL,10,FALSE),1)</f>
        <v>R</v>
      </c>
      <c r="W404" s="49" t="str">
        <f>MID(VLOOKUP($A404,Seqs!$A:$B,2,FALSE),VLOOKUP($A404,'SegEnds_NonXtal_Prot#'!A:AL,10,FALSE)+6,1)</f>
        <v>V</v>
      </c>
      <c r="X404" s="49" t="str">
        <f>MID(VLOOKUP($A404,Seqs!$A:$B,2,FALSE),VLOOKUP($A404,'SegEnds_NonXtal_Prot#'!A:AL,10,FALSE)+7,1)</f>
        <v>M</v>
      </c>
      <c r="Y404" s="49" t="str">
        <f>MID(VLOOKUP($A404,Seqs!$A:$B,2,FALSE),VLOOKUP($A404,'SegEnds_NonXtal_Prot#'!A:AL,10,FALSE)+8,1)</f>
        <v>V</v>
      </c>
      <c r="Z404" s="49" t="str">
        <f>MID(VLOOKUP($A404,Seqs!$A:$B,2,FALSE),VLOOKUP($A404,'SegEnds_NonXtal_Prot#'!A:AL,10,FALSE)+9,1)</f>
        <v>V</v>
      </c>
      <c r="AA404" s="49" t="str">
        <f>MID(VLOOKUP($A404,Seqs!$A:$B,2,FALSE),VLOOKUP($A404,'SegEnds_NonXtal_Prot#'!A:AL,10,FALSE)+10,1)</f>
        <v>N</v>
      </c>
      <c r="AB404" s="28" t="str">
        <f>MID(VLOOKUP($A404,Seqs!$A:$B,2,FALSE),VLOOKUP($A404,'SegEnds_NonXtal_Prot#'!$A:$AL,22,FALSE)+6,1)</f>
        <v>L</v>
      </c>
      <c r="AC404" s="49" t="str">
        <f>MID(VLOOKUP($A404,Seqs!$A:$B,2,FALSE),VLOOKUP($A404,'SegEnds_NonXtal_Prot#'!$A:$AL,22,FALSE)+7,1)</f>
        <v>L</v>
      </c>
      <c r="AD404" s="49" t="str">
        <f>MID(VLOOKUP($A404,Seqs!$A:$B,2,FALSE),VLOOKUP($A404,'SegEnds_NonXtal_Prot#'!$A:$AL,22,FALSE)+8,1)</f>
        <v>V</v>
      </c>
      <c r="AE404" s="49" t="str">
        <f>MID(VLOOKUP($A404,Seqs!$A:$B,2,FALSE),VLOOKUP($A404,'SegEnds_NonXtal_Prot#'!$A:$AL,22,FALSE)+9,1)</f>
        <v>S</v>
      </c>
      <c r="AF404" s="49" t="str">
        <f>MID(VLOOKUP($A404,Seqs!$A:$B,2,FALSE),VLOOKUP($A404,'SegEnds_NonXtal_Prot#'!$A:$AL,22,FALSE)+10,1)</f>
        <v>L</v>
      </c>
      <c r="AG404" s="28" t="str">
        <f>MID(VLOOKUP($A404,Seqs!$A:$B,2,FALSE),VLOOKUP($A404,'SegEnds_NonXtal_Prot#'!$A:$AL,28,FALSE)-4,1)</f>
        <v>F</v>
      </c>
      <c r="AH404" s="49" t="str">
        <f>MID(VLOOKUP($A404,Seqs!$A:$B,2,FALSE),VLOOKUP($A404,'SegEnds_NonXtal_Prot#'!$A:$AL,28,FALSE),1)</f>
        <v>P</v>
      </c>
    </row>
    <row r="405" spans="1:34" s="2" customFormat="1" x14ac:dyDescent="0.2">
      <c r="A405" s="2" t="s">
        <v>480</v>
      </c>
      <c r="B405" s="2" t="str">
        <f>LOWER(VLOOKUP(A405,Xtal_Templ!A:B,2,FALSE))</f>
        <v>agtr1_human</v>
      </c>
      <c r="C405" s="2" t="str">
        <f>VLOOKUP(A405,Classification!A:D,2,FALSE)</f>
        <v>T</v>
      </c>
      <c r="D405" s="2" t="str">
        <f>IF(ISERROR(MATCH(A405,'SegEnds_Xtal_Prot#'!B:B, 0)), "NoXtal", "Xtal")</f>
        <v>NoXtal</v>
      </c>
      <c r="H405" s="4"/>
      <c r="V405" s="28" t="str">
        <f>MID(VLOOKUP($A405,Seqs!$A:$B,2,FALSE),VLOOKUP($A405,'SegEnds_NonXtal_Prot#'!A:AL,10,FALSE),1)</f>
        <v>R</v>
      </c>
      <c r="W405" s="49" t="str">
        <f>MID(VLOOKUP($A405,Seqs!$A:$B,2,FALSE),VLOOKUP($A405,'SegEnds_NonXtal_Prot#'!A:AL,10,FALSE)+6,1)</f>
        <v>V</v>
      </c>
      <c r="X405" s="49" t="str">
        <f>MID(VLOOKUP($A405,Seqs!$A:$B,2,FALSE),VLOOKUP($A405,'SegEnds_NonXtal_Prot#'!A:AL,10,FALSE)+7,1)</f>
        <v>I</v>
      </c>
      <c r="Y405" s="49" t="str">
        <f>MID(VLOOKUP($A405,Seqs!$A:$B,2,FALSE),VLOOKUP($A405,'SegEnds_NonXtal_Prot#'!A:AL,10,FALSE)+8,1)</f>
        <v>S</v>
      </c>
      <c r="Z405" s="49" t="str">
        <f>MID(VLOOKUP($A405,Seqs!$A:$B,2,FALSE),VLOOKUP($A405,'SegEnds_NonXtal_Prot#'!A:AL,10,FALSE)+9,1)</f>
        <v>L</v>
      </c>
      <c r="AA405" s="49" t="str">
        <f>MID(VLOOKUP($A405,Seqs!$A:$B,2,FALSE),VLOOKUP($A405,'SegEnds_NonXtal_Prot#'!A:AL,10,FALSE)+10,1)</f>
        <v>D</v>
      </c>
      <c r="AB405" s="28" t="str">
        <f>MID(VLOOKUP($A405,Seqs!$A:$B,2,FALSE),VLOOKUP($A405,'SegEnds_NonXtal_Prot#'!$A:$AL,22,FALSE)+6,1)</f>
        <v>L</v>
      </c>
      <c r="AC405" s="49" t="str">
        <f>MID(VLOOKUP($A405,Seqs!$A:$B,2,FALSE),VLOOKUP($A405,'SegEnds_NonXtal_Prot#'!$A:$AL,22,FALSE)+7,1)</f>
        <v>I</v>
      </c>
      <c r="AD405" s="49" t="str">
        <f>MID(VLOOKUP($A405,Seqs!$A:$B,2,FALSE),VLOOKUP($A405,'SegEnds_NonXtal_Prot#'!$A:$AL,22,FALSE)+8,1)</f>
        <v>I</v>
      </c>
      <c r="AE405" s="49" t="str">
        <f>MID(VLOOKUP($A405,Seqs!$A:$B,2,FALSE),VLOOKUP($A405,'SegEnds_NonXtal_Prot#'!$A:$AL,22,FALSE)+9,1)</f>
        <v>S</v>
      </c>
      <c r="AF405" s="49" t="str">
        <f>MID(VLOOKUP($A405,Seqs!$A:$B,2,FALSE),VLOOKUP($A405,'SegEnds_NonXtal_Prot#'!$A:$AL,22,FALSE)+10,1)</f>
        <v>V</v>
      </c>
      <c r="AG405" s="28" t="str">
        <f>MID(VLOOKUP($A405,Seqs!$A:$B,2,FALSE),VLOOKUP($A405,'SegEnds_NonXtal_Prot#'!$A:$AL,28,FALSE)-4,1)</f>
        <v>G</v>
      </c>
      <c r="AH405" s="49" t="str">
        <f>MID(VLOOKUP($A405,Seqs!$A:$B,2,FALSE),VLOOKUP($A405,'SegEnds_NonXtal_Prot#'!$A:$AL,28,FALSE),1)</f>
        <v>P</v>
      </c>
    </row>
    <row r="406" spans="1:34" s="2" customFormat="1" x14ac:dyDescent="0.2">
      <c r="A406" s="2" t="s">
        <v>466</v>
      </c>
      <c r="B406" s="2" t="str">
        <f>LOWER(VLOOKUP(A406,Xtal_Templ!A:B,2,FALSE))</f>
        <v>cxcr4_human</v>
      </c>
      <c r="C406" s="2" t="str">
        <f>VLOOKUP(A406,Classification!A:D,2,FALSE)</f>
        <v>T</v>
      </c>
      <c r="D406" s="2" t="str">
        <f>IF(ISERROR(MATCH(A406,'SegEnds_Xtal_Prot#'!B:B, 0)), "NoXtal", "Xtal")</f>
        <v>NoXtal</v>
      </c>
      <c r="H406" s="4"/>
      <c r="V406" s="28" t="str">
        <f>MID(VLOOKUP($A406,Seqs!$A:$B,2,FALSE),VLOOKUP($A406,'SegEnds_NonXtal_Prot#'!A:AL,10,FALSE),1)</f>
        <v>R</v>
      </c>
      <c r="W406" s="49" t="str">
        <f>MID(VLOOKUP($A406,Seqs!$A:$B,2,FALSE),VLOOKUP($A406,'SegEnds_NonXtal_Prot#'!A:AL,10,FALSE)+6,1)</f>
        <v>W</v>
      </c>
      <c r="X406" s="49" t="str">
        <f>MID(VLOOKUP($A406,Seqs!$A:$B,2,FALSE),VLOOKUP($A406,'SegEnds_NonXtal_Prot#'!A:AL,10,FALSE)+7,1)</f>
        <v>M</v>
      </c>
      <c r="Y406" s="49" t="str">
        <f>MID(VLOOKUP($A406,Seqs!$A:$B,2,FALSE),VLOOKUP($A406,'SegEnds_NonXtal_Prot#'!A:AL,10,FALSE)+8,1)</f>
        <v>M</v>
      </c>
      <c r="Z406" s="49" t="str">
        <f>MID(VLOOKUP($A406,Seqs!$A:$B,2,FALSE),VLOOKUP($A406,'SegEnds_NonXtal_Prot#'!A:AL,10,FALSE)+9,1)</f>
        <v>L</v>
      </c>
      <c r="AA406" s="49" t="str">
        <f>MID(VLOOKUP($A406,Seqs!$A:$B,2,FALSE),VLOOKUP($A406,'SegEnds_NonXtal_Prot#'!A:AL,10,FALSE)+10,1)</f>
        <v>E</v>
      </c>
      <c r="AB406" s="28" t="str">
        <f>MID(VLOOKUP($A406,Seqs!$A:$B,2,FALSE),VLOOKUP($A406,'SegEnds_NonXtal_Prot#'!$A:$AL,22,FALSE)+6,1)</f>
        <v>L</v>
      </c>
      <c r="AC406" s="49" t="str">
        <f>MID(VLOOKUP($A406,Seqs!$A:$B,2,FALSE),VLOOKUP($A406,'SegEnds_NonXtal_Prot#'!$A:$AL,22,FALSE)+7,1)</f>
        <v>S</v>
      </c>
      <c r="AD406" s="49" t="str">
        <f>MID(VLOOKUP($A406,Seqs!$A:$B,2,FALSE),VLOOKUP($A406,'SegEnds_NonXtal_Prot#'!$A:$AL,22,FALSE)+8,1)</f>
        <v>F</v>
      </c>
      <c r="AE406" s="49" t="str">
        <f>MID(VLOOKUP($A406,Seqs!$A:$B,2,FALSE),VLOOKUP($A406,'SegEnds_NonXtal_Prot#'!$A:$AL,22,FALSE)+9,1)</f>
        <v>S</v>
      </c>
      <c r="AF406" s="49" t="str">
        <f>MID(VLOOKUP($A406,Seqs!$A:$B,2,FALSE),VLOOKUP($A406,'SegEnds_NonXtal_Prot#'!$A:$AL,22,FALSE)+10,1)</f>
        <v>F</v>
      </c>
      <c r="AG406" s="28" t="str">
        <f>MID(VLOOKUP($A406,Seqs!$A:$B,2,FALSE),VLOOKUP($A406,'SegEnds_NonXtal_Prot#'!$A:$AL,28,FALSE)-4,1)</f>
        <v>G</v>
      </c>
      <c r="AH406" s="49" t="str">
        <f>MID(VLOOKUP($A406,Seqs!$A:$B,2,FALSE),VLOOKUP($A406,'SegEnds_NonXtal_Prot#'!$A:$AL,28,FALSE),1)</f>
        <v>P</v>
      </c>
    </row>
    <row r="407" spans="1:34" s="2" customFormat="1" x14ac:dyDescent="0.2">
      <c r="A407" s="2" t="s">
        <v>474</v>
      </c>
      <c r="B407" s="2" t="str">
        <f>LOWER(VLOOKUP(A407,Xtal_Templ!A:B,2,FALSE))</f>
        <v>cxcr4_human</v>
      </c>
      <c r="C407" s="2" t="str">
        <f>VLOOKUP(A407,Classification!A:D,2,FALSE)</f>
        <v>T</v>
      </c>
      <c r="D407" s="2" t="str">
        <f>IF(ISERROR(MATCH(A407,'SegEnds_Xtal_Prot#'!B:B, 0)), "NoXtal", "Xtal")</f>
        <v>NoXtal</v>
      </c>
      <c r="H407" s="4"/>
      <c r="V407" s="28" t="str">
        <f>MID(VLOOKUP($A407,Seqs!$A:$B,2,FALSE),VLOOKUP($A407,'SegEnds_NonXtal_Prot#'!A:AL,10,FALSE),1)</f>
        <v>R</v>
      </c>
      <c r="W407" s="49" t="str">
        <f>MID(VLOOKUP($A407,Seqs!$A:$B,2,FALSE),VLOOKUP($A407,'SegEnds_NonXtal_Prot#'!A:AL,10,FALSE)+6,1)</f>
        <v>F</v>
      </c>
      <c r="X407" s="49" t="str">
        <f>MID(VLOOKUP($A407,Seqs!$A:$B,2,FALSE),VLOOKUP($A407,'SegEnds_NonXtal_Prot#'!A:AL,10,FALSE)+7,1)</f>
        <v>I</v>
      </c>
      <c r="Y407" s="49" t="str">
        <f>MID(VLOOKUP($A407,Seqs!$A:$B,2,FALSE),VLOOKUP($A407,'SegEnds_NonXtal_Prot#'!A:AL,10,FALSE)+8,1)</f>
        <v>F</v>
      </c>
      <c r="Z407" s="49" t="str">
        <f>MID(VLOOKUP($A407,Seqs!$A:$B,2,FALSE),VLOOKUP($A407,'SegEnds_NonXtal_Prot#'!A:AL,10,FALSE)+9,1)</f>
        <v>Y</v>
      </c>
      <c r="AA407" s="49" t="str">
        <f>MID(VLOOKUP($A407,Seqs!$A:$B,2,FALSE),VLOOKUP($A407,'SegEnds_NonXtal_Prot#'!A:AL,10,FALSE)+10,1)</f>
        <v>V</v>
      </c>
      <c r="AB407" s="28" t="str">
        <f>MID(VLOOKUP($A407,Seqs!$A:$B,2,FALSE),VLOOKUP($A407,'SegEnds_NonXtal_Prot#'!$A:$AL,22,FALSE)+6,1)</f>
        <v>S</v>
      </c>
      <c r="AC407" s="49" t="str">
        <f>MID(VLOOKUP($A407,Seqs!$A:$B,2,FALSE),VLOOKUP($A407,'SegEnds_NonXtal_Prot#'!$A:$AL,22,FALSE)+7,1)</f>
        <v>M</v>
      </c>
      <c r="AD407" s="49" t="str">
        <f>MID(VLOOKUP($A407,Seqs!$A:$B,2,FALSE),VLOOKUP($A407,'SegEnds_NonXtal_Prot#'!$A:$AL,22,FALSE)+8,1)</f>
        <v>I</v>
      </c>
      <c r="AE407" s="49" t="str">
        <f>MID(VLOOKUP($A407,Seqs!$A:$B,2,FALSE),VLOOKUP($A407,'SegEnds_NonXtal_Prot#'!$A:$AL,22,FALSE)+9,1)</f>
        <v>C</v>
      </c>
      <c r="AF407" s="49" t="str">
        <f>MID(VLOOKUP($A407,Seqs!$A:$B,2,FALSE),VLOOKUP($A407,'SegEnds_NonXtal_Prot#'!$A:$AL,22,FALSE)+10,1)</f>
        <v>V</v>
      </c>
      <c r="AG407" s="28" t="str">
        <f>MID(VLOOKUP($A407,Seqs!$A:$B,2,FALSE),VLOOKUP($A407,'SegEnds_NonXtal_Prot#'!$A:$AL,28,FALSE)-4,1)</f>
        <v>E</v>
      </c>
      <c r="AH407" s="49" t="str">
        <f>MID(VLOOKUP($A407,Seqs!$A:$B,2,FALSE),VLOOKUP($A407,'SegEnds_NonXtal_Prot#'!$A:$AL,28,FALSE),1)</f>
        <v>P</v>
      </c>
    </row>
    <row r="408" spans="1:34" s="2" customFormat="1" x14ac:dyDescent="0.2">
      <c r="A408" s="2" t="s">
        <v>459</v>
      </c>
      <c r="B408" s="2" t="str">
        <f>LOWER(VLOOKUP(A408,Xtal_Templ!A:B,2,FALSE))</f>
        <v>pd2r2_human</v>
      </c>
      <c r="C408" s="2" t="str">
        <f>VLOOKUP(A408,Classification!A:D,2,FALSE)</f>
        <v>T</v>
      </c>
      <c r="D408" s="2" t="str">
        <f>IF(ISERROR(MATCH(A408,'SegEnds_Xtal_Prot#'!B:B, 0)), "NoXtal", "Xtal")</f>
        <v>NoXtal</v>
      </c>
      <c r="H408" s="4"/>
      <c r="V408" s="28" t="str">
        <f>MID(VLOOKUP($A408,Seqs!$A:$B,2,FALSE),VLOOKUP($A408,'SegEnds_NonXtal_Prot#'!A:AL,10,FALSE),1)</f>
        <v>R</v>
      </c>
      <c r="W408" s="49" t="str">
        <f>MID(VLOOKUP($A408,Seqs!$A:$B,2,FALSE),VLOOKUP($A408,'SegEnds_NonXtal_Prot#'!A:AL,10,FALSE)+6,1)</f>
        <v>A</v>
      </c>
      <c r="X408" s="49" t="str">
        <f>MID(VLOOKUP($A408,Seqs!$A:$B,2,FALSE),VLOOKUP($A408,'SegEnds_NonXtal_Prot#'!A:AL,10,FALSE)+7,1)</f>
        <v>S</v>
      </c>
      <c r="Y408" s="49" t="str">
        <f>MID(VLOOKUP($A408,Seqs!$A:$B,2,FALSE),VLOOKUP($A408,'SegEnds_NonXtal_Prot#'!A:AL,10,FALSE)+8,1)</f>
        <v>M</v>
      </c>
      <c r="Z408" s="49" t="str">
        <f>MID(VLOOKUP($A408,Seqs!$A:$B,2,FALSE),VLOOKUP($A408,'SegEnds_NonXtal_Prot#'!A:AL,10,FALSE)+9,1)</f>
        <v>L</v>
      </c>
      <c r="AA408" s="49" t="str">
        <f>MID(VLOOKUP($A408,Seqs!$A:$B,2,FALSE),VLOOKUP($A408,'SegEnds_NonXtal_Prot#'!A:AL,10,FALSE)+10,1)</f>
        <v>N</v>
      </c>
      <c r="AB408" s="28" t="str">
        <f>MID(VLOOKUP($A408,Seqs!$A:$B,2,FALSE),VLOOKUP($A408,'SegEnds_NonXtal_Prot#'!$A:$AL,22,FALSE)+6,1)</f>
        <v>C</v>
      </c>
      <c r="AC408" s="49" t="str">
        <f>MID(VLOOKUP($A408,Seqs!$A:$B,2,FALSE),VLOOKUP($A408,'SegEnds_NonXtal_Prot#'!$A:$AL,22,FALSE)+7,1)</f>
        <v>V</v>
      </c>
      <c r="AD408" s="49" t="str">
        <f>MID(VLOOKUP($A408,Seqs!$A:$B,2,FALSE),VLOOKUP($A408,'SegEnds_NonXtal_Prot#'!$A:$AL,22,FALSE)+8,1)</f>
        <v>T</v>
      </c>
      <c r="AE408" s="49" t="str">
        <f>MID(VLOOKUP($A408,Seqs!$A:$B,2,FALSE),VLOOKUP($A408,'SegEnds_NonXtal_Prot#'!$A:$AL,22,FALSE)+9,1)</f>
        <v>I</v>
      </c>
      <c r="AF408" s="49" t="str">
        <f>MID(VLOOKUP($A408,Seqs!$A:$B,2,FALSE),VLOOKUP($A408,'SegEnds_NonXtal_Prot#'!$A:$AL,22,FALSE)+10,1)</f>
        <v>I</v>
      </c>
      <c r="AG408" s="28" t="str">
        <f>MID(VLOOKUP($A408,Seqs!$A:$B,2,FALSE),VLOOKUP($A408,'SegEnds_NonXtal_Prot#'!$A:$AL,28,FALSE)-4,1)</f>
        <v>A</v>
      </c>
      <c r="AH408" s="49" t="str">
        <f>MID(VLOOKUP($A408,Seqs!$A:$B,2,FALSE),VLOOKUP($A408,'SegEnds_NonXtal_Prot#'!$A:$AL,28,FALSE),1)</f>
        <v>P</v>
      </c>
    </row>
    <row r="409" spans="1:34" s="2" customFormat="1" x14ac:dyDescent="0.2">
      <c r="A409" s="2" t="s">
        <v>458</v>
      </c>
      <c r="B409" s="2" t="str">
        <f>LOWER(VLOOKUP(A409,Xtal_Templ!A:B,2,FALSE))</f>
        <v>5ht2c_human</v>
      </c>
      <c r="C409" s="2" t="str">
        <f>VLOOKUP(A409,Classification!A:D,2,FALSE)</f>
        <v>T</v>
      </c>
      <c r="D409" s="2" t="str">
        <f>IF(ISERROR(MATCH(A409,'SegEnds_Xtal_Prot#'!B:B, 0)), "NoXtal", "Xtal")</f>
        <v>NoXtal</v>
      </c>
      <c r="H409" s="4"/>
      <c r="V409" s="28" t="str">
        <f>MID(VLOOKUP($A409,Seqs!$A:$B,2,FALSE),VLOOKUP($A409,'SegEnds_NonXtal_Prot#'!A:AL,10,FALSE),1)</f>
        <v>R</v>
      </c>
      <c r="W409" s="49" t="str">
        <f>MID(VLOOKUP($A409,Seqs!$A:$B,2,FALSE),VLOOKUP($A409,'SegEnds_NonXtal_Prot#'!A:AL,10,FALSE)+6,1)</f>
        <v>L</v>
      </c>
      <c r="X409" s="49" t="str">
        <f>MID(VLOOKUP($A409,Seqs!$A:$B,2,FALSE),VLOOKUP($A409,'SegEnds_NonXtal_Prot#'!A:AL,10,FALSE)+7,1)</f>
        <v>I</v>
      </c>
      <c r="Y409" s="49" t="str">
        <f>MID(VLOOKUP($A409,Seqs!$A:$B,2,FALSE),VLOOKUP($A409,'SegEnds_NonXtal_Prot#'!A:AL,10,FALSE)+8,1)</f>
        <v>F</v>
      </c>
      <c r="Z409" s="49" t="str">
        <f>MID(VLOOKUP($A409,Seqs!$A:$B,2,FALSE),VLOOKUP($A409,'SegEnds_NonXtal_Prot#'!A:AL,10,FALSE)+9,1)</f>
        <v>G</v>
      </c>
      <c r="AA409" s="49" t="str">
        <f>MID(VLOOKUP($A409,Seqs!$A:$B,2,FALSE),VLOOKUP($A409,'SegEnds_NonXtal_Prot#'!A:AL,10,FALSE)+10,1)</f>
        <v>S</v>
      </c>
      <c r="AB409" s="28" t="str">
        <f>MID(VLOOKUP($A409,Seqs!$A:$B,2,FALSE),VLOOKUP($A409,'SegEnds_NonXtal_Prot#'!$A:$AL,22,FALSE)+6,1)</f>
        <v>F</v>
      </c>
      <c r="AC409" s="49" t="str">
        <f>MID(VLOOKUP($A409,Seqs!$A:$B,2,FALSE),VLOOKUP($A409,'SegEnds_NonXtal_Prot#'!$A:$AL,22,FALSE)+7,1)</f>
        <v>L</v>
      </c>
      <c r="AD409" s="49" t="str">
        <f>MID(VLOOKUP($A409,Seqs!$A:$B,2,FALSE),VLOOKUP($A409,'SegEnds_NonXtal_Prot#'!$A:$AL,22,FALSE)+8,1)</f>
        <v>N</v>
      </c>
      <c r="AE409" s="49" t="str">
        <f>MID(VLOOKUP($A409,Seqs!$A:$B,2,FALSE),VLOOKUP($A409,'SegEnds_NonXtal_Prot#'!$A:$AL,22,FALSE)+9,1)</f>
        <v>I</v>
      </c>
      <c r="AF409" s="49" t="str">
        <f>MID(VLOOKUP($A409,Seqs!$A:$B,2,FALSE),VLOOKUP($A409,'SegEnds_NonXtal_Prot#'!$A:$AL,22,FALSE)+10,1)</f>
        <v>A</v>
      </c>
      <c r="AG409" s="28" t="str">
        <f>MID(VLOOKUP($A409,Seqs!$A:$B,2,FALSE),VLOOKUP($A409,'SegEnds_NonXtal_Prot#'!$A:$AL,28,FALSE)-4,1)</f>
        <v>F</v>
      </c>
      <c r="AH409" s="49" t="str">
        <f>MID(VLOOKUP($A409,Seqs!$A:$B,2,FALSE),VLOOKUP($A409,'SegEnds_NonXtal_Prot#'!$A:$AL,28,FALSE),1)</f>
        <v>P</v>
      </c>
    </row>
    <row r="410" spans="1:34" s="2" customFormat="1" x14ac:dyDescent="0.2">
      <c r="A410" s="2" t="s">
        <v>456</v>
      </c>
      <c r="B410" s="2" t="str">
        <f>LOWER(VLOOKUP(A410,Xtal_Templ!A:B,2,FALSE))</f>
        <v>drd2_human</v>
      </c>
      <c r="C410" s="2" t="str">
        <f>VLOOKUP(A410,Classification!A:D,2,FALSE)</f>
        <v>T</v>
      </c>
      <c r="D410" s="2" t="str">
        <f>IF(ISERROR(MATCH(A410,'SegEnds_Xtal_Prot#'!B:B, 0)), "NoXtal", "Xtal")</f>
        <v>NoXtal</v>
      </c>
      <c r="H410" s="4"/>
      <c r="V410" s="28" t="str">
        <f>MID(VLOOKUP($A410,Seqs!$A:$B,2,FALSE),VLOOKUP($A410,'SegEnds_NonXtal_Prot#'!A:AL,10,FALSE),1)</f>
        <v>R</v>
      </c>
      <c r="W410" s="49" t="str">
        <f>MID(VLOOKUP($A410,Seqs!$A:$B,2,FALSE),VLOOKUP($A410,'SegEnds_NonXtal_Prot#'!A:AL,10,FALSE)+6,1)</f>
        <v>I</v>
      </c>
      <c r="X410" s="49" t="str">
        <f>MID(VLOOKUP($A410,Seqs!$A:$B,2,FALSE),VLOOKUP($A410,'SegEnds_NonXtal_Prot#'!A:AL,10,FALSE)+7,1)</f>
        <v>I</v>
      </c>
      <c r="Y410" s="49" t="str">
        <f>MID(VLOOKUP($A410,Seqs!$A:$B,2,FALSE),VLOOKUP($A410,'SegEnds_NonXtal_Prot#'!A:AL,10,FALSE)+8,1)</f>
        <v>I</v>
      </c>
      <c r="Z410" s="49" t="str">
        <f>MID(VLOOKUP($A410,Seqs!$A:$B,2,FALSE),VLOOKUP($A410,'SegEnds_NonXtal_Prot#'!A:AL,10,FALSE)+9,1)</f>
        <v>T</v>
      </c>
      <c r="AA410" s="49" t="str">
        <f>MID(VLOOKUP($A410,Seqs!$A:$B,2,FALSE),VLOOKUP($A410,'SegEnds_NonXtal_Prot#'!A:AL,10,FALSE)+10,1)</f>
        <v>D</v>
      </c>
      <c r="AB410" s="28" t="str">
        <f>MID(VLOOKUP($A410,Seqs!$A:$B,2,FALSE),VLOOKUP($A410,'SegEnds_NonXtal_Prot#'!$A:$AL,22,FALSE)+6,1)</f>
        <v>L</v>
      </c>
      <c r="AC410" s="49" t="str">
        <f>MID(VLOOKUP($A410,Seqs!$A:$B,2,FALSE),VLOOKUP($A410,'SegEnds_NonXtal_Prot#'!$A:$AL,22,FALSE)+7,1)</f>
        <v>L</v>
      </c>
      <c r="AD410" s="49" t="str">
        <f>MID(VLOOKUP($A410,Seqs!$A:$B,2,FALSE),VLOOKUP($A410,'SegEnds_NonXtal_Prot#'!$A:$AL,22,FALSE)+8,1)</f>
        <v>N</v>
      </c>
      <c r="AE410" s="49" t="str">
        <f>MID(VLOOKUP($A410,Seqs!$A:$B,2,FALSE),VLOOKUP($A410,'SegEnds_NonXtal_Prot#'!$A:$AL,22,FALSE)+9,1)</f>
        <v>F</v>
      </c>
      <c r="AF410" s="49" t="str">
        <f>MID(VLOOKUP($A410,Seqs!$A:$B,2,FALSE),VLOOKUP($A410,'SegEnds_NonXtal_Prot#'!$A:$AL,22,FALSE)+10,1)</f>
        <v>A</v>
      </c>
      <c r="AG410" s="28" t="str">
        <f>MID(VLOOKUP($A410,Seqs!$A:$B,2,FALSE),VLOOKUP($A410,'SegEnds_NonXtal_Prot#'!$A:$AL,28,FALSE)-4,1)</f>
        <v>G</v>
      </c>
      <c r="AH410" s="49" t="str">
        <f>MID(VLOOKUP($A410,Seqs!$A:$B,2,FALSE),VLOOKUP($A410,'SegEnds_NonXtal_Prot#'!$A:$AL,28,FALSE),1)</f>
        <v>F</v>
      </c>
    </row>
    <row r="411" spans="1:34" s="2" customFormat="1" x14ac:dyDescent="0.2">
      <c r="A411" s="2" t="s">
        <v>477</v>
      </c>
      <c r="B411" s="2" t="str">
        <f>LOWER(VLOOKUP(A411,Xtal_Templ!A:B,2,FALSE))</f>
        <v>hrh1_human</v>
      </c>
      <c r="C411" s="2" t="str">
        <f>VLOOKUP(A411,Classification!A:D,2,FALSE)</f>
        <v>T</v>
      </c>
      <c r="D411" s="2" t="str">
        <f>IF(ISERROR(MATCH(A411,'SegEnds_Xtal_Prot#'!B:B, 0)), "NoXtal", "Xtal")</f>
        <v>NoXtal</v>
      </c>
      <c r="H411" s="4"/>
      <c r="V411" s="28" t="str">
        <f>MID(VLOOKUP($A411,Seqs!$A:$B,2,FALSE),VLOOKUP($A411,'SegEnds_NonXtal_Prot#'!A:AL,10,FALSE),1)</f>
        <v>R</v>
      </c>
      <c r="W411" s="49" t="str">
        <f>MID(VLOOKUP($A411,Seqs!$A:$B,2,FALSE),VLOOKUP($A411,'SegEnds_NonXtal_Prot#'!A:AL,10,FALSE)+6,1)</f>
        <v>L</v>
      </c>
      <c r="X411" s="49" t="str">
        <f>MID(VLOOKUP($A411,Seqs!$A:$B,2,FALSE),VLOOKUP($A411,'SegEnds_NonXtal_Prot#'!A:AL,10,FALSE)+7,1)</f>
        <v>I</v>
      </c>
      <c r="Y411" s="49" t="str">
        <f>MID(VLOOKUP($A411,Seqs!$A:$B,2,FALSE),VLOOKUP($A411,'SegEnds_NonXtal_Prot#'!A:AL,10,FALSE)+8,1)</f>
        <v>I</v>
      </c>
      <c r="Z411" s="49" t="str">
        <f>MID(VLOOKUP($A411,Seqs!$A:$B,2,FALSE),VLOOKUP($A411,'SegEnds_NonXtal_Prot#'!A:AL,10,FALSE)+9,1)</f>
        <v>L</v>
      </c>
      <c r="AA411" s="49" t="str">
        <f>MID(VLOOKUP($A411,Seqs!$A:$B,2,FALSE),VLOOKUP($A411,'SegEnds_NonXtal_Prot#'!A:AL,10,FALSE)+10,1)</f>
        <v>D</v>
      </c>
      <c r="AB411" s="28" t="str">
        <f>MID(VLOOKUP($A411,Seqs!$A:$B,2,FALSE),VLOOKUP($A411,'SegEnds_NonXtal_Prot#'!$A:$AL,22,FALSE)+6,1)</f>
        <v>L</v>
      </c>
      <c r="AC411" s="49" t="str">
        <f>MID(VLOOKUP($A411,Seqs!$A:$B,2,FALSE),VLOOKUP($A411,'SegEnds_NonXtal_Prot#'!$A:$AL,22,FALSE)+7,1)</f>
        <v>L</v>
      </c>
      <c r="AD411" s="49" t="str">
        <f>MID(VLOOKUP($A411,Seqs!$A:$B,2,FALSE),VLOOKUP($A411,'SegEnds_NonXtal_Prot#'!$A:$AL,22,FALSE)+8,1)</f>
        <v>L</v>
      </c>
      <c r="AE411" s="49" t="str">
        <f>MID(VLOOKUP($A411,Seqs!$A:$B,2,FALSE),VLOOKUP($A411,'SegEnds_NonXtal_Prot#'!$A:$AL,22,FALSE)+9,1)</f>
        <v>T</v>
      </c>
      <c r="AF411" s="49" t="str">
        <f>MID(VLOOKUP($A411,Seqs!$A:$B,2,FALSE),VLOOKUP($A411,'SegEnds_NonXtal_Prot#'!$A:$AL,22,FALSE)+10,1)</f>
        <v>V</v>
      </c>
      <c r="AG411" s="28" t="str">
        <f>MID(VLOOKUP($A411,Seqs!$A:$B,2,FALSE),VLOOKUP($A411,'SegEnds_NonXtal_Prot#'!$A:$AL,28,FALSE)-4,1)</f>
        <v>G</v>
      </c>
      <c r="AH411" s="49" t="str">
        <f>MID(VLOOKUP($A411,Seqs!$A:$B,2,FALSE),VLOOKUP($A411,'SegEnds_NonXtal_Prot#'!$A:$AL,28,FALSE),1)</f>
        <v>P</v>
      </c>
    </row>
    <row r="412" spans="1:34" s="2" customFormat="1" x14ac:dyDescent="0.2">
      <c r="H412" s="4"/>
      <c r="V412" s="28"/>
      <c r="W412" s="49"/>
      <c r="X412" s="49"/>
      <c r="Y412" s="49"/>
      <c r="Z412" s="49"/>
      <c r="AA412" s="49"/>
      <c r="AB412" s="28"/>
      <c r="AC412" s="49"/>
      <c r="AD412" s="49"/>
      <c r="AE412" s="49"/>
      <c r="AG412" s="16"/>
    </row>
    <row r="413" spans="1:34" s="2" customFormat="1" x14ac:dyDescent="0.2">
      <c r="H413" s="4"/>
      <c r="V413" s="28"/>
      <c r="W413" s="49"/>
      <c r="X413" s="49"/>
      <c r="Y413" s="49"/>
      <c r="Z413" s="49"/>
      <c r="AA413" s="49"/>
      <c r="AB413" s="28"/>
      <c r="AC413" s="49"/>
      <c r="AD413" s="49"/>
      <c r="AE413" s="49"/>
      <c r="AG413" s="16"/>
    </row>
    <row r="414" spans="1:34" s="2" customFormat="1" x14ac:dyDescent="0.2">
      <c r="H414" s="4"/>
      <c r="V414" s="28"/>
      <c r="W414" s="49"/>
      <c r="X414" s="49"/>
      <c r="Y414" s="49"/>
      <c r="Z414" s="49"/>
      <c r="AA414" s="49"/>
      <c r="AB414" s="28"/>
      <c r="AC414" s="49"/>
      <c r="AD414" s="49"/>
      <c r="AE414" s="49"/>
      <c r="AG414" s="16"/>
    </row>
  </sheetData>
  <sortState ref="A2:AG406">
    <sortCondition ref="C2:C406"/>
    <sortCondition ref="B2:B406"/>
    <sortCondition ref="A2:A406"/>
  </sortState>
  <customSheetViews>
    <customSheetView guid="{3E3401AF-8459-8641-BD70-AD04F80E86ED}" scale="120">
      <pane ySplit="1" topLeftCell="A7" activePane="bottomLeft" state="frozenSplit"/>
      <selection pane="bottomLeft" activeCell="A28" sqref="A1:A1048576"/>
      <pageMargins left="0.7" right="0.7" top="0.75" bottom="0.75" header="0.3" footer="0.3"/>
      <pageSetup paperSize="9" orientation="portrait" horizontalDpi="0" verticalDpi="0"/>
    </customSheetView>
  </customSheetViews>
  <conditionalFormatting sqref="AE1:AF1048576">
    <cfRule type="cellIs" dxfId="7" priority="4" operator="equal">
      <formula>"P"</formula>
    </cfRule>
  </conditionalFormatting>
  <conditionalFormatting sqref="AC1:AC1048576">
    <cfRule type="cellIs" dxfId="6" priority="2" operator="equal">
      <formula>"W"</formula>
    </cfRule>
    <cfRule type="cellIs" dxfId="5" priority="3" operator="equal">
      <formula>"G"</formula>
    </cfRule>
  </conditionalFormatting>
  <conditionalFormatting sqref="AG2:AH411">
    <cfRule type="cellIs" dxfId="4" priority="1" operator="equal">
      <formula>"P"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M413"/>
  <sheetViews>
    <sheetView workbookViewId="0">
      <pane ySplit="1" topLeftCell="A81" activePane="bottomLeft" state="frozenSplit"/>
      <selection pane="bottomLeft" activeCell="A103" sqref="A1:A1048576"/>
    </sheetView>
  </sheetViews>
  <sheetFormatPr baseColWidth="10" defaultColWidth="11.1640625" defaultRowHeight="16" x14ac:dyDescent="0.2"/>
  <cols>
    <col min="1" max="1" width="11.83203125" customWidth="1"/>
    <col min="3" max="3" width="7.5" customWidth="1"/>
  </cols>
  <sheetData>
    <row r="1" spans="1:5" s="21" customFormat="1" x14ac:dyDescent="0.2">
      <c r="A1" s="21" t="s">
        <v>31</v>
      </c>
      <c r="B1" s="21" t="s">
        <v>1157</v>
      </c>
      <c r="C1" s="21" t="s">
        <v>1227</v>
      </c>
      <c r="D1" s="21" t="s">
        <v>1205</v>
      </c>
      <c r="E1" s="21" t="s">
        <v>932</v>
      </c>
    </row>
    <row r="2" spans="1:5" x14ac:dyDescent="0.2">
      <c r="A2" t="s">
        <v>468</v>
      </c>
      <c r="B2" t="s">
        <v>563</v>
      </c>
      <c r="C2" t="str">
        <f>IF(ISERROR(MATCH(A2,'SegEnds_Xtal_Prot#'!B:B, 0)), "NoXtal", "Xtal")</f>
        <v>NoXtal</v>
      </c>
      <c r="D2" t="str">
        <f t="shared" ref="D2:D66" si="0">MID(A2,FIND("_",A2)+1,LEN(A2)-FIND("_",A2))</f>
        <v>human</v>
      </c>
      <c r="E2" t="str">
        <f>VLOOKUP(A2,Classification!A:B,2,FALSE)</f>
        <v>T</v>
      </c>
    </row>
    <row r="3" spans="1:5" x14ac:dyDescent="0.2">
      <c r="A3" t="s">
        <v>469</v>
      </c>
      <c r="B3" t="s">
        <v>594</v>
      </c>
      <c r="C3" t="str">
        <f>IF(ISERROR(MATCH(A3,'SegEnds_Xtal_Prot#'!B:B, 0)), "NoXtal", "Xtal")</f>
        <v>NoXtal</v>
      </c>
      <c r="D3" t="str">
        <f t="shared" si="0"/>
        <v>human</v>
      </c>
      <c r="E3" t="str">
        <f>VLOOKUP(A3,Classification!A:B,2,FALSE)</f>
        <v>T</v>
      </c>
    </row>
    <row r="4" spans="1:5" x14ac:dyDescent="0.2">
      <c r="A4" t="s">
        <v>930</v>
      </c>
      <c r="B4" t="s">
        <v>611</v>
      </c>
      <c r="C4" t="str">
        <f>IF(ISERROR(MATCH(A4,'SegEnds_Xtal_Prot#'!B:B, 0)), "NoXtal", "Xtal")</f>
        <v>NoXtal</v>
      </c>
      <c r="D4" t="str">
        <f t="shared" si="0"/>
        <v>human</v>
      </c>
      <c r="E4" t="str">
        <f>VLOOKUP(A4,Classification!A:B,2,FALSE)</f>
        <v>T</v>
      </c>
    </row>
    <row r="5" spans="1:5" x14ac:dyDescent="0.2">
      <c r="A5" t="s">
        <v>467</v>
      </c>
      <c r="B5" t="s">
        <v>644</v>
      </c>
      <c r="C5" t="str">
        <f>IF(ISERROR(MATCH(A5,'SegEnds_Xtal_Prot#'!B:B, 0)), "NoXtal", "Xtal")</f>
        <v>NoXtal</v>
      </c>
      <c r="D5" t="str">
        <f t="shared" si="0"/>
        <v>human</v>
      </c>
      <c r="E5" t="str">
        <f>VLOOKUP(A5,Classification!A:B,2,FALSE)</f>
        <v>T</v>
      </c>
    </row>
    <row r="6" spans="1:5" x14ac:dyDescent="0.2">
      <c r="A6" t="s">
        <v>474</v>
      </c>
      <c r="B6" t="s">
        <v>697</v>
      </c>
      <c r="C6" t="str">
        <f>IF(ISERROR(MATCH(A6,'SegEnds_Xtal_Prot#'!B:B, 0)), "NoXtal", "Xtal")</f>
        <v>NoXtal</v>
      </c>
      <c r="D6" t="str">
        <f t="shared" si="0"/>
        <v>human</v>
      </c>
      <c r="E6" t="str">
        <f>VLOOKUP(A6,Classification!A:B,2,FALSE)</f>
        <v>T</v>
      </c>
    </row>
    <row r="7" spans="1:5" x14ac:dyDescent="0.2">
      <c r="A7" t="s">
        <v>475</v>
      </c>
      <c r="B7" t="s">
        <v>698</v>
      </c>
      <c r="C7" t="str">
        <f>IF(ISERROR(MATCH(A7,'SegEnds_Xtal_Prot#'!B:B, 0)), "NoXtal", "Xtal")</f>
        <v>NoXtal</v>
      </c>
      <c r="D7" t="str">
        <f t="shared" si="0"/>
        <v>human</v>
      </c>
      <c r="E7" t="str">
        <f>VLOOKUP(A7,Classification!A:B,2,FALSE)</f>
        <v>T</v>
      </c>
    </row>
    <row r="8" spans="1:5" x14ac:dyDescent="0.2">
      <c r="A8" t="s">
        <v>476</v>
      </c>
      <c r="B8" t="s">
        <v>699</v>
      </c>
      <c r="C8" t="str">
        <f>IF(ISERROR(MATCH(A8,'SegEnds_Xtal_Prot#'!B:B, 0)), "NoXtal", "Xtal")</f>
        <v>NoXtal</v>
      </c>
      <c r="D8" t="str">
        <f t="shared" si="0"/>
        <v>human</v>
      </c>
      <c r="E8" t="str">
        <f>VLOOKUP(A8,Classification!A:B,2,FALSE)</f>
        <v>T</v>
      </c>
    </row>
    <row r="9" spans="1:5" x14ac:dyDescent="0.2">
      <c r="A9" t="s">
        <v>477</v>
      </c>
      <c r="B9" t="s">
        <v>700</v>
      </c>
      <c r="C9" t="str">
        <f>IF(ISERROR(MATCH(A9,'SegEnds_Xtal_Prot#'!B:B, 0)), "NoXtal", "Xtal")</f>
        <v>NoXtal</v>
      </c>
      <c r="D9" t="str">
        <f t="shared" si="0"/>
        <v>human</v>
      </c>
      <c r="E9" t="str">
        <f>VLOOKUP(A9,Classification!A:B,2,FALSE)</f>
        <v>T</v>
      </c>
    </row>
    <row r="10" spans="1:5" x14ac:dyDescent="0.2">
      <c r="A10" t="s">
        <v>478</v>
      </c>
      <c r="B10" t="s">
        <v>701</v>
      </c>
      <c r="C10" t="str">
        <f>IF(ISERROR(MATCH(A10,'SegEnds_Xtal_Prot#'!B:B, 0)), "NoXtal", "Xtal")</f>
        <v>NoXtal</v>
      </c>
      <c r="D10" t="str">
        <f t="shared" si="0"/>
        <v>human</v>
      </c>
      <c r="E10" t="str">
        <f>VLOOKUP(A10,Classification!A:B,2,FALSE)</f>
        <v>T</v>
      </c>
    </row>
    <row r="11" spans="1:5" x14ac:dyDescent="0.2">
      <c r="A11" t="s">
        <v>479</v>
      </c>
      <c r="B11" t="s">
        <v>702</v>
      </c>
      <c r="C11" t="str">
        <f>IF(ISERROR(MATCH(A11,'SegEnds_Xtal_Prot#'!B:B, 0)), "NoXtal", "Xtal")</f>
        <v>NoXtal</v>
      </c>
      <c r="D11" t="str">
        <f t="shared" si="0"/>
        <v>human</v>
      </c>
      <c r="E11" t="str">
        <f>VLOOKUP(A11,Classification!A:B,2,FALSE)</f>
        <v>T</v>
      </c>
    </row>
    <row r="12" spans="1:5" x14ac:dyDescent="0.2">
      <c r="A12" t="s">
        <v>480</v>
      </c>
      <c r="B12" t="s">
        <v>703</v>
      </c>
      <c r="C12" t="str">
        <f>IF(ISERROR(MATCH(A12,'SegEnds_Xtal_Prot#'!B:B, 0)), "NoXtal", "Xtal")</f>
        <v>NoXtal</v>
      </c>
      <c r="D12" t="str">
        <f t="shared" si="0"/>
        <v>human</v>
      </c>
      <c r="E12" t="str">
        <f>VLOOKUP(A12,Classification!A:B,2,FALSE)</f>
        <v>T</v>
      </c>
    </row>
    <row r="13" spans="1:5" x14ac:dyDescent="0.2">
      <c r="A13" t="s">
        <v>456</v>
      </c>
      <c r="B13" t="s">
        <v>704</v>
      </c>
      <c r="C13" t="str">
        <f>IF(ISERROR(MATCH(A13,'SegEnds_Xtal_Prot#'!B:B, 0)), "NoXtal", "Xtal")</f>
        <v>NoXtal</v>
      </c>
      <c r="D13" t="str">
        <f t="shared" si="0"/>
        <v>human</v>
      </c>
      <c r="E13" t="str">
        <f>VLOOKUP(A13,Classification!A:B,2,FALSE)</f>
        <v>T</v>
      </c>
    </row>
    <row r="14" spans="1:5" x14ac:dyDescent="0.2">
      <c r="A14" t="s">
        <v>457</v>
      </c>
      <c r="B14" t="s">
        <v>705</v>
      </c>
      <c r="C14" t="str">
        <f>IF(ISERROR(MATCH(A14,'SegEnds_Xtal_Prot#'!B:B, 0)), "NoXtal", "Xtal")</f>
        <v>NoXtal</v>
      </c>
      <c r="D14" t="str">
        <f t="shared" si="0"/>
        <v>human</v>
      </c>
      <c r="E14" t="str">
        <f>VLOOKUP(A14,Classification!A:B,2,FALSE)</f>
        <v>T</v>
      </c>
    </row>
    <row r="15" spans="1:5" x14ac:dyDescent="0.2">
      <c r="A15" t="s">
        <v>458</v>
      </c>
      <c r="B15" t="s">
        <v>706</v>
      </c>
      <c r="C15" t="str">
        <f>IF(ISERROR(MATCH(A15,'SegEnds_Xtal_Prot#'!B:B, 0)), "NoXtal", "Xtal")</f>
        <v>NoXtal</v>
      </c>
      <c r="D15" t="str">
        <f t="shared" si="0"/>
        <v>human</v>
      </c>
      <c r="E15" t="str">
        <f>VLOOKUP(A15,Classification!A:B,2,FALSE)</f>
        <v>T</v>
      </c>
    </row>
    <row r="16" spans="1:5" x14ac:dyDescent="0.2">
      <c r="A16" t="s">
        <v>459</v>
      </c>
      <c r="B16" t="s">
        <v>707</v>
      </c>
      <c r="C16" t="str">
        <f>IF(ISERROR(MATCH(A16,'SegEnds_Xtal_Prot#'!B:B, 0)), "NoXtal", "Xtal")</f>
        <v>NoXtal</v>
      </c>
      <c r="D16" t="str">
        <f t="shared" si="0"/>
        <v>human</v>
      </c>
      <c r="E16" t="str">
        <f>VLOOKUP(A16,Classification!A:B,2,FALSE)</f>
        <v>T</v>
      </c>
    </row>
    <row r="17" spans="1:5" x14ac:dyDescent="0.2">
      <c r="A17" t="s">
        <v>460</v>
      </c>
      <c r="B17" t="s">
        <v>708</v>
      </c>
      <c r="C17" t="str">
        <f>IF(ISERROR(MATCH(A17,'SegEnds_Xtal_Prot#'!B:B, 0)), "NoXtal", "Xtal")</f>
        <v>NoXtal</v>
      </c>
      <c r="D17" t="str">
        <f t="shared" si="0"/>
        <v>human</v>
      </c>
      <c r="E17" t="str">
        <f>VLOOKUP(A17,Classification!A:B,2,FALSE)</f>
        <v>T</v>
      </c>
    </row>
    <row r="18" spans="1:5" x14ac:dyDescent="0.2">
      <c r="A18" t="s">
        <v>461</v>
      </c>
      <c r="B18" t="s">
        <v>709</v>
      </c>
      <c r="C18" t="str">
        <f>IF(ISERROR(MATCH(A18,'SegEnds_Xtal_Prot#'!B:B, 0)), "NoXtal", "Xtal")</f>
        <v>NoXtal</v>
      </c>
      <c r="D18" t="str">
        <f t="shared" si="0"/>
        <v>human</v>
      </c>
      <c r="E18" t="str">
        <f>VLOOKUP(A18,Classification!A:B,2,FALSE)</f>
        <v>T</v>
      </c>
    </row>
    <row r="19" spans="1:5" x14ac:dyDescent="0.2">
      <c r="A19" t="s">
        <v>462</v>
      </c>
      <c r="B19" t="s">
        <v>710</v>
      </c>
      <c r="C19" t="str">
        <f>IF(ISERROR(MATCH(A19,'SegEnds_Xtal_Prot#'!B:B, 0)), "NoXtal", "Xtal")</f>
        <v>NoXtal</v>
      </c>
      <c r="D19" t="str">
        <f t="shared" si="0"/>
        <v>human</v>
      </c>
      <c r="E19" t="str">
        <f>VLOOKUP(A19,Classification!A:B,2,FALSE)</f>
        <v>T</v>
      </c>
    </row>
    <row r="20" spans="1:5" x14ac:dyDescent="0.2">
      <c r="A20" t="s">
        <v>463</v>
      </c>
      <c r="B20" t="s">
        <v>711</v>
      </c>
      <c r="C20" t="str">
        <f>IF(ISERROR(MATCH(A20,'SegEnds_Xtal_Prot#'!B:B, 0)), "NoXtal", "Xtal")</f>
        <v>NoXtal</v>
      </c>
      <c r="D20" t="str">
        <f t="shared" si="0"/>
        <v>human</v>
      </c>
      <c r="E20" t="str">
        <f>VLOOKUP(A20,Classification!A:B,2,FALSE)</f>
        <v>T</v>
      </c>
    </row>
    <row r="21" spans="1:5" x14ac:dyDescent="0.2">
      <c r="A21" t="s">
        <v>464</v>
      </c>
      <c r="B21" t="s">
        <v>712</v>
      </c>
      <c r="C21" t="str">
        <f>IF(ISERROR(MATCH(A21,'SegEnds_Xtal_Prot#'!B:B, 0)), "NoXtal", "Xtal")</f>
        <v>NoXtal</v>
      </c>
      <c r="D21" t="str">
        <f t="shared" si="0"/>
        <v>human</v>
      </c>
      <c r="E21" t="str">
        <f>VLOOKUP(A21,Classification!A:B,2,FALSE)</f>
        <v>T</v>
      </c>
    </row>
    <row r="22" spans="1:5" x14ac:dyDescent="0.2">
      <c r="A22" t="s">
        <v>465</v>
      </c>
      <c r="B22" t="s">
        <v>713</v>
      </c>
      <c r="C22" t="str">
        <f>IF(ISERROR(MATCH(A22,'SegEnds_Xtal_Prot#'!B:B, 0)), "NoXtal", "Xtal")</f>
        <v>NoXtal</v>
      </c>
      <c r="D22" t="str">
        <f t="shared" si="0"/>
        <v>human</v>
      </c>
      <c r="E22" t="str">
        <f>VLOOKUP(A22,Classification!A:B,2,FALSE)</f>
        <v>T</v>
      </c>
    </row>
    <row r="23" spans="1:5" x14ac:dyDescent="0.2">
      <c r="A23" t="s">
        <v>466</v>
      </c>
      <c r="B23" t="s">
        <v>714</v>
      </c>
      <c r="C23" t="str">
        <f>IF(ISERROR(MATCH(A23,'SegEnds_Xtal_Prot#'!B:B, 0)), "NoXtal", "Xtal")</f>
        <v>NoXtal</v>
      </c>
      <c r="D23" t="str">
        <f t="shared" si="0"/>
        <v>human</v>
      </c>
      <c r="E23" t="str">
        <f>VLOOKUP(A23,Classification!A:B,2,FALSE)</f>
        <v>T</v>
      </c>
    </row>
    <row r="24" spans="1:5" x14ac:dyDescent="0.2">
      <c r="A24" t="s">
        <v>470</v>
      </c>
      <c r="B24" t="s">
        <v>715</v>
      </c>
      <c r="C24" t="str">
        <f>IF(ISERROR(MATCH(A24,'SegEnds_Xtal_Prot#'!B:B, 0)), "NoXtal", "Xtal")</f>
        <v>NoXtal</v>
      </c>
      <c r="D24" t="str">
        <f t="shared" si="0"/>
        <v>human</v>
      </c>
      <c r="E24" t="str">
        <f>VLOOKUP(A24,Classification!A:B,2,FALSE)</f>
        <v>T</v>
      </c>
    </row>
    <row r="25" spans="1:5" x14ac:dyDescent="0.2">
      <c r="A25" t="s">
        <v>471</v>
      </c>
      <c r="B25" t="s">
        <v>716</v>
      </c>
      <c r="C25" t="str">
        <f>IF(ISERROR(MATCH(A25,'SegEnds_Xtal_Prot#'!B:B, 0)), "NoXtal", "Xtal")</f>
        <v>NoXtal</v>
      </c>
      <c r="D25" t="str">
        <f t="shared" si="0"/>
        <v>human</v>
      </c>
      <c r="E25" t="str">
        <f>VLOOKUP(A25,Classification!A:B,2,FALSE)</f>
        <v>T</v>
      </c>
    </row>
    <row r="26" spans="1:5" x14ac:dyDescent="0.2">
      <c r="A26" t="s">
        <v>472</v>
      </c>
      <c r="B26" t="s">
        <v>717</v>
      </c>
      <c r="C26" t="str">
        <f>IF(ISERROR(MATCH(A26,'SegEnds_Xtal_Prot#'!B:B, 0)), "NoXtal", "Xtal")</f>
        <v>NoXtal</v>
      </c>
      <c r="D26" t="str">
        <f t="shared" si="0"/>
        <v>human</v>
      </c>
      <c r="E26" t="str">
        <f>VLOOKUP(A26,Classification!A:B,2,FALSE)</f>
        <v>T</v>
      </c>
    </row>
    <row r="27" spans="1:5" x14ac:dyDescent="0.2">
      <c r="A27" t="s">
        <v>482</v>
      </c>
      <c r="B27" t="s">
        <v>878</v>
      </c>
      <c r="C27" t="str">
        <f>IF(ISERROR(MATCH(A27,'SegEnds_Xtal_Prot#'!B:B, 0)), "NoXtal", "Xtal")</f>
        <v>NoXtal</v>
      </c>
      <c r="D27" t="str">
        <f t="shared" si="0"/>
        <v>human</v>
      </c>
      <c r="E27" t="str">
        <f>VLOOKUP(A27,Classification!A:B,2,FALSE)</f>
        <v>O</v>
      </c>
    </row>
    <row r="28" spans="1:5" x14ac:dyDescent="0.2">
      <c r="A28" t="s">
        <v>481</v>
      </c>
      <c r="B28" t="s">
        <v>879</v>
      </c>
      <c r="C28" t="str">
        <f>IF(ISERROR(MATCH(A28,'SegEnds_Xtal_Prot#'!B:B, 0)), "NoXtal", "Xtal")</f>
        <v>NoXtal</v>
      </c>
      <c r="D28" t="str">
        <f t="shared" si="0"/>
        <v>human</v>
      </c>
      <c r="E28" t="str">
        <f>VLOOKUP(A28,Classification!A:B,2,FALSE)</f>
        <v>O</v>
      </c>
    </row>
    <row r="29" spans="1:5" x14ac:dyDescent="0.2">
      <c r="A29" t="s">
        <v>483</v>
      </c>
      <c r="B29" t="s">
        <v>880</v>
      </c>
      <c r="C29" t="str">
        <f>IF(ISERROR(MATCH(A29,'SegEnds_Xtal_Prot#'!B:B, 0)), "NoXtal", "Xtal")</f>
        <v>NoXtal</v>
      </c>
      <c r="D29" t="str">
        <f t="shared" si="0"/>
        <v>human</v>
      </c>
      <c r="E29" t="str">
        <f>VLOOKUP(A29,Classification!A:B,2,FALSE)</f>
        <v>O</v>
      </c>
    </row>
    <row r="30" spans="1:5" x14ac:dyDescent="0.2">
      <c r="A30" t="s">
        <v>484</v>
      </c>
      <c r="B30" t="s">
        <v>881</v>
      </c>
      <c r="C30" t="str">
        <f>IF(ISERROR(MATCH(A30,'SegEnds_Xtal_Prot#'!B:B, 0)), "NoXtal", "Xtal")</f>
        <v>NoXtal</v>
      </c>
      <c r="D30" t="str">
        <f t="shared" si="0"/>
        <v>human</v>
      </c>
      <c r="E30" t="str">
        <f>VLOOKUP(A30,Classification!A:B,2,FALSE)</f>
        <v>O</v>
      </c>
    </row>
    <row r="31" spans="1:5" x14ac:dyDescent="0.2">
      <c r="A31" t="s">
        <v>485</v>
      </c>
      <c r="B31" t="s">
        <v>882</v>
      </c>
      <c r="C31" t="str">
        <f>IF(ISERROR(MATCH(A31,'SegEnds_Xtal_Prot#'!B:B, 0)), "NoXtal", "Xtal")</f>
        <v>NoXtal</v>
      </c>
      <c r="D31" t="str">
        <f t="shared" si="0"/>
        <v>human</v>
      </c>
      <c r="E31" t="str">
        <f>VLOOKUP(A31,Classification!A:B,2,FALSE)</f>
        <v>O</v>
      </c>
    </row>
    <row r="32" spans="1:5" x14ac:dyDescent="0.2">
      <c r="A32" t="s">
        <v>486</v>
      </c>
      <c r="B32" t="s">
        <v>883</v>
      </c>
      <c r="C32" t="str">
        <f>IF(ISERROR(MATCH(A32,'SegEnds_Xtal_Prot#'!B:B, 0)), "NoXtal", "Xtal")</f>
        <v>NoXtal</v>
      </c>
      <c r="D32" t="str">
        <f t="shared" si="0"/>
        <v>human</v>
      </c>
      <c r="E32" t="str">
        <f>VLOOKUP(A32,Classification!A:B,2,FALSE)</f>
        <v>O</v>
      </c>
    </row>
    <row r="33" spans="1:5" x14ac:dyDescent="0.2">
      <c r="A33" t="s">
        <v>33</v>
      </c>
      <c r="B33" t="s">
        <v>877</v>
      </c>
      <c r="C33" t="str">
        <f>IF(ISERROR(MATCH(A33,'SegEnds_Xtal_Prot#'!B:B, 0)), "NoXtal", "Xtal")</f>
        <v>Xtal</v>
      </c>
      <c r="D33" t="str">
        <f t="shared" si="0"/>
        <v>human</v>
      </c>
      <c r="E33" t="str">
        <f>VLOOKUP(A33,Classification!A:B,2,FALSE)</f>
        <v>F</v>
      </c>
    </row>
    <row r="34" spans="1:5" x14ac:dyDescent="0.2">
      <c r="A34" t="s">
        <v>446</v>
      </c>
      <c r="B34" t="s">
        <v>867</v>
      </c>
      <c r="C34" t="str">
        <f>IF(ISERROR(MATCH(A34,'SegEnds_Xtal_Prot#'!B:B, 0)), "NoXtal", "Xtal")</f>
        <v>NoXtal</v>
      </c>
      <c r="D34" t="str">
        <f t="shared" si="0"/>
        <v>human</v>
      </c>
      <c r="E34" t="str">
        <f>VLOOKUP(A34,Classification!A:B,2,FALSE)</f>
        <v>F</v>
      </c>
    </row>
    <row r="35" spans="1:5" x14ac:dyDescent="0.2">
      <c r="A35" t="s">
        <v>448</v>
      </c>
      <c r="B35" t="s">
        <v>868</v>
      </c>
      <c r="C35" t="str">
        <f>IF(ISERROR(MATCH(A35,'SegEnds_Xtal_Prot#'!B:B, 0)), "NoXtal", "Xtal")</f>
        <v>NoXtal</v>
      </c>
      <c r="D35" t="str">
        <f t="shared" si="0"/>
        <v>human</v>
      </c>
      <c r="E35" t="str">
        <f>VLOOKUP(A35,Classification!A:B,2,FALSE)</f>
        <v>F</v>
      </c>
    </row>
    <row r="36" spans="1:5" x14ac:dyDescent="0.2">
      <c r="A36" t="s">
        <v>449</v>
      </c>
      <c r="B36" t="s">
        <v>869</v>
      </c>
      <c r="C36" t="str">
        <f>IF(ISERROR(MATCH(A36,'SegEnds_Xtal_Prot#'!B:B, 0)), "NoXtal", "Xtal")</f>
        <v>NoXtal</v>
      </c>
      <c r="D36" t="str">
        <f t="shared" si="0"/>
        <v>human</v>
      </c>
      <c r="E36" t="str">
        <f>VLOOKUP(A36,Classification!A:B,2,FALSE)</f>
        <v>F</v>
      </c>
    </row>
    <row r="37" spans="1:5" x14ac:dyDescent="0.2">
      <c r="A37" t="s">
        <v>450</v>
      </c>
      <c r="B37" t="s">
        <v>870</v>
      </c>
      <c r="C37" t="str">
        <f>IF(ISERROR(MATCH(A37,'SegEnds_Xtal_Prot#'!B:B, 0)), "NoXtal", "Xtal")</f>
        <v>NoXtal</v>
      </c>
      <c r="D37" t="str">
        <f t="shared" si="0"/>
        <v>human</v>
      </c>
      <c r="E37" t="str">
        <f>VLOOKUP(A37,Classification!A:B,2,FALSE)</f>
        <v>F</v>
      </c>
    </row>
    <row r="38" spans="1:5" x14ac:dyDescent="0.2">
      <c r="A38" t="s">
        <v>451</v>
      </c>
      <c r="B38" t="s">
        <v>871</v>
      </c>
      <c r="C38" t="str">
        <f>IF(ISERROR(MATCH(A38,'SegEnds_Xtal_Prot#'!B:B, 0)), "NoXtal", "Xtal")</f>
        <v>NoXtal</v>
      </c>
      <c r="D38" t="str">
        <f t="shared" si="0"/>
        <v>human</v>
      </c>
      <c r="E38" t="str">
        <f>VLOOKUP(A38,Classification!A:B,2,FALSE)</f>
        <v>F</v>
      </c>
    </row>
    <row r="39" spans="1:5" x14ac:dyDescent="0.2">
      <c r="A39" t="s">
        <v>452</v>
      </c>
      <c r="B39" t="s">
        <v>872</v>
      </c>
      <c r="C39" t="str">
        <f>IF(ISERROR(MATCH(A39,'SegEnds_Xtal_Prot#'!B:B, 0)), "NoXtal", "Xtal")</f>
        <v>NoXtal</v>
      </c>
      <c r="D39" t="str">
        <f t="shared" si="0"/>
        <v>human</v>
      </c>
      <c r="E39" t="str">
        <f>VLOOKUP(A39,Classification!A:B,2,FALSE)</f>
        <v>F</v>
      </c>
    </row>
    <row r="40" spans="1:5" x14ac:dyDescent="0.2">
      <c r="A40" t="s">
        <v>453</v>
      </c>
      <c r="B40" t="s">
        <v>873</v>
      </c>
      <c r="C40" t="str">
        <f>IF(ISERROR(MATCH(A40,'SegEnds_Xtal_Prot#'!B:B, 0)), "NoXtal", "Xtal")</f>
        <v>NoXtal</v>
      </c>
      <c r="D40" t="str">
        <f t="shared" si="0"/>
        <v>human</v>
      </c>
      <c r="E40" t="str">
        <f>VLOOKUP(A40,Classification!A:B,2,FALSE)</f>
        <v>F</v>
      </c>
    </row>
    <row r="41" spans="1:5" x14ac:dyDescent="0.2">
      <c r="A41" t="s">
        <v>454</v>
      </c>
      <c r="B41" t="s">
        <v>874</v>
      </c>
      <c r="C41" t="str">
        <f>IF(ISERROR(MATCH(A41,'SegEnds_Xtal_Prot#'!B:B, 0)), "NoXtal", "Xtal")</f>
        <v>NoXtal</v>
      </c>
      <c r="D41" t="str">
        <f t="shared" si="0"/>
        <v>human</v>
      </c>
      <c r="E41" t="str">
        <f>VLOOKUP(A41,Classification!A:B,2,FALSE)</f>
        <v>F</v>
      </c>
    </row>
    <row r="42" spans="1:5" x14ac:dyDescent="0.2">
      <c r="A42" t="s">
        <v>455</v>
      </c>
      <c r="B42" t="s">
        <v>875</v>
      </c>
      <c r="C42" t="str">
        <f>IF(ISERROR(MATCH(A42,'SegEnds_Xtal_Prot#'!B:B, 0)), "NoXtal", "Xtal")</f>
        <v>NoXtal</v>
      </c>
      <c r="D42" t="str">
        <f t="shared" si="0"/>
        <v>human</v>
      </c>
      <c r="E42" t="str">
        <f>VLOOKUP(A42,Classification!A:B,2,FALSE)</f>
        <v>F</v>
      </c>
    </row>
    <row r="43" spans="1:5" x14ac:dyDescent="0.2">
      <c r="A43" t="s">
        <v>447</v>
      </c>
      <c r="B43" t="s">
        <v>876</v>
      </c>
      <c r="C43" t="str">
        <f>IF(ISERROR(MATCH(A43,'SegEnds_Xtal_Prot#'!B:B, 0)), "NoXtal", "Xtal")</f>
        <v>NoXtal</v>
      </c>
      <c r="D43" t="str">
        <f t="shared" si="0"/>
        <v>human</v>
      </c>
      <c r="E43" t="str">
        <f>VLOOKUP(A43,Classification!A:B,2,FALSE)</f>
        <v>F</v>
      </c>
    </row>
    <row r="44" spans="1:5" ht="17" x14ac:dyDescent="0.25">
      <c r="A44" s="122" t="s">
        <v>1510</v>
      </c>
      <c r="B44" s="121" t="s">
        <v>1512</v>
      </c>
      <c r="C44" t="s">
        <v>1508</v>
      </c>
      <c r="D44" t="str">
        <f t="shared" si="0"/>
        <v>xenla</v>
      </c>
      <c r="E44" t="str">
        <f>VLOOKUP(A44,Classification!A:B,2,FALSE)</f>
        <v>F</v>
      </c>
    </row>
    <row r="45" spans="1:5" ht="17" x14ac:dyDescent="0.25">
      <c r="A45" t="s">
        <v>40</v>
      </c>
      <c r="B45" s="121" t="s">
        <v>850</v>
      </c>
      <c r="C45" t="str">
        <f>IF(ISERROR(MATCH(A45,'SegEnds_Xtal_Prot#'!B:B, 0)), "NoXtal", "Xtal")</f>
        <v>Xtal</v>
      </c>
      <c r="D45" t="str">
        <f t="shared" si="0"/>
        <v>human</v>
      </c>
      <c r="E45" t="str">
        <f>VLOOKUP(A45,Classification!A:B,2,FALSE)</f>
        <v>C</v>
      </c>
    </row>
    <row r="46" spans="1:5" ht="17" x14ac:dyDescent="0.25">
      <c r="A46" t="s">
        <v>41</v>
      </c>
      <c r="B46" s="121" t="s">
        <v>854</v>
      </c>
      <c r="C46" t="str">
        <f>IF(ISERROR(MATCH(A46,'SegEnds_Xtal_Prot#'!B:B, 0)), "NoXtal", "Xtal")</f>
        <v>Xtal</v>
      </c>
      <c r="D46" t="str">
        <f t="shared" si="0"/>
        <v>human</v>
      </c>
      <c r="E46" t="str">
        <f>VLOOKUP(A46,Classification!A:B,2,FALSE)</f>
        <v>C</v>
      </c>
    </row>
    <row r="47" spans="1:5" x14ac:dyDescent="0.2">
      <c r="A47" t="s">
        <v>111</v>
      </c>
      <c r="B47" t="s">
        <v>845</v>
      </c>
      <c r="C47" t="str">
        <f>IF(ISERROR(MATCH(A47,'SegEnds_Xtal_Prot#'!B:B, 0)), "NoXtal", "Xtal")</f>
        <v>NoXtal</v>
      </c>
      <c r="D47" t="str">
        <f t="shared" si="0"/>
        <v>human</v>
      </c>
      <c r="E47" t="str">
        <f>VLOOKUP(A47,Classification!A:B,2,FALSE)</f>
        <v>C</v>
      </c>
    </row>
    <row r="48" spans="1:5" x14ac:dyDescent="0.2">
      <c r="A48" t="s">
        <v>106</v>
      </c>
      <c r="B48" t="s">
        <v>846</v>
      </c>
      <c r="C48" t="str">
        <f>IF(ISERROR(MATCH(A48,'SegEnds_Xtal_Prot#'!B:B, 0)), "NoXtal", "Xtal")</f>
        <v>NoXtal</v>
      </c>
      <c r="D48" t="str">
        <f t="shared" si="0"/>
        <v>human</v>
      </c>
      <c r="E48" t="str">
        <f>VLOOKUP(A48,Classification!A:B,2,FALSE)</f>
        <v>C</v>
      </c>
    </row>
    <row r="49" spans="1:5" x14ac:dyDescent="0.2">
      <c r="A49" t="s">
        <v>105</v>
      </c>
      <c r="B49" t="s">
        <v>847</v>
      </c>
      <c r="C49" t="str">
        <f>IF(ISERROR(MATCH(A49,'SegEnds_Xtal_Prot#'!B:B, 0)), "NoXtal", "Xtal")</f>
        <v>NoXtal</v>
      </c>
      <c r="D49" t="str">
        <f t="shared" si="0"/>
        <v>human</v>
      </c>
      <c r="E49" t="str">
        <f>VLOOKUP(A49,Classification!A:B,2,FALSE)</f>
        <v>C</v>
      </c>
    </row>
    <row r="50" spans="1:5" x14ac:dyDescent="0.2">
      <c r="A50" t="s">
        <v>114</v>
      </c>
      <c r="B50" t="s">
        <v>848</v>
      </c>
      <c r="C50" t="str">
        <f>IF(ISERROR(MATCH(A50,'SegEnds_Xtal_Prot#'!B:B, 0)), "NoXtal", "Xtal")</f>
        <v>NoXtal</v>
      </c>
      <c r="D50" t="str">
        <f t="shared" si="0"/>
        <v>human</v>
      </c>
      <c r="E50" t="str">
        <f>VLOOKUP(A50,Classification!A:B,2,FALSE)</f>
        <v>C</v>
      </c>
    </row>
    <row r="51" spans="1:5" x14ac:dyDescent="0.2">
      <c r="A51" t="s">
        <v>107</v>
      </c>
      <c r="B51" t="s">
        <v>849</v>
      </c>
      <c r="C51" t="str">
        <f>IF(ISERROR(MATCH(A51,'SegEnds_Xtal_Prot#'!B:B, 0)), "NoXtal", "Xtal")</f>
        <v>NoXtal</v>
      </c>
      <c r="D51" t="str">
        <f t="shared" si="0"/>
        <v>human</v>
      </c>
      <c r="E51" t="str">
        <f>VLOOKUP(A51,Classification!A:B,2,FALSE)</f>
        <v>C</v>
      </c>
    </row>
    <row r="52" spans="1:5" x14ac:dyDescent="0.2">
      <c r="A52" t="s">
        <v>115</v>
      </c>
      <c r="B52" t="s">
        <v>851</v>
      </c>
      <c r="C52" t="str">
        <f>IF(ISERROR(MATCH(A52,'SegEnds_Xtal_Prot#'!B:B, 0)), "NoXtal", "Xtal")</f>
        <v>NoXtal</v>
      </c>
      <c r="D52" t="str">
        <f t="shared" si="0"/>
        <v>human</v>
      </c>
      <c r="E52" t="str">
        <f>VLOOKUP(A52,Classification!A:B,2,FALSE)</f>
        <v>C</v>
      </c>
    </row>
    <row r="53" spans="1:5" x14ac:dyDescent="0.2">
      <c r="A53" t="s">
        <v>116</v>
      </c>
      <c r="B53" t="s">
        <v>852</v>
      </c>
      <c r="C53" t="str">
        <f>IF(ISERROR(MATCH(A53,'SegEnds_Xtal_Prot#'!B:B, 0)), "NoXtal", "Xtal")</f>
        <v>NoXtal</v>
      </c>
      <c r="D53" t="str">
        <f t="shared" si="0"/>
        <v>human</v>
      </c>
      <c r="E53" t="str">
        <f>VLOOKUP(A53,Classification!A:B,2,FALSE)</f>
        <v>C</v>
      </c>
    </row>
    <row r="54" spans="1:5" x14ac:dyDescent="0.2">
      <c r="A54" t="s">
        <v>117</v>
      </c>
      <c r="B54" t="s">
        <v>853</v>
      </c>
      <c r="C54" t="str">
        <f>IF(ISERROR(MATCH(A54,'SegEnds_Xtal_Prot#'!B:B, 0)), "NoXtal", "Xtal")</f>
        <v>NoXtal</v>
      </c>
      <c r="D54" t="str">
        <f t="shared" si="0"/>
        <v>human</v>
      </c>
      <c r="E54" t="str">
        <f>VLOOKUP(A54,Classification!A:B,2,FALSE)</f>
        <v>C</v>
      </c>
    </row>
    <row r="55" spans="1:5" x14ac:dyDescent="0.2">
      <c r="A55" t="s">
        <v>118</v>
      </c>
      <c r="B55" t="s">
        <v>855</v>
      </c>
      <c r="C55" t="str">
        <f>IF(ISERROR(MATCH(A55,'SegEnds_Xtal_Prot#'!B:B, 0)), "NoXtal", "Xtal")</f>
        <v>NoXtal</v>
      </c>
      <c r="D55" t="str">
        <f t="shared" si="0"/>
        <v>human</v>
      </c>
      <c r="E55" t="str">
        <f>VLOOKUP(A55,Classification!A:B,2,FALSE)</f>
        <v>C</v>
      </c>
    </row>
    <row r="56" spans="1:5" x14ac:dyDescent="0.2">
      <c r="A56" t="s">
        <v>119</v>
      </c>
      <c r="B56" t="s">
        <v>856</v>
      </c>
      <c r="C56" t="str">
        <f>IF(ISERROR(MATCH(A56,'SegEnds_Xtal_Prot#'!B:B, 0)), "NoXtal", "Xtal")</f>
        <v>NoXtal</v>
      </c>
      <c r="D56" t="str">
        <f t="shared" si="0"/>
        <v>human</v>
      </c>
      <c r="E56" t="str">
        <f>VLOOKUP(A56,Classification!A:B,2,FALSE)</f>
        <v>C</v>
      </c>
    </row>
    <row r="57" spans="1:5" x14ac:dyDescent="0.2">
      <c r="A57" t="s">
        <v>120</v>
      </c>
      <c r="B57" t="s">
        <v>857</v>
      </c>
      <c r="C57" t="str">
        <f>IF(ISERROR(MATCH(A57,'SegEnds_Xtal_Prot#'!B:B, 0)), "NoXtal", "Xtal")</f>
        <v>NoXtal</v>
      </c>
      <c r="D57" t="str">
        <f t="shared" si="0"/>
        <v>human</v>
      </c>
      <c r="E57" t="str">
        <f>VLOOKUP(A57,Classification!A:B,2,FALSE)</f>
        <v>C</v>
      </c>
    </row>
    <row r="58" spans="1:5" x14ac:dyDescent="0.2">
      <c r="A58" t="s">
        <v>122</v>
      </c>
      <c r="B58" t="s">
        <v>858</v>
      </c>
      <c r="C58" t="str">
        <f>IF(ISERROR(MATCH(A58,'SegEnds_Xtal_Prot#'!B:B, 0)), "NoXtal", "Xtal")</f>
        <v>NoXtal</v>
      </c>
      <c r="D58" t="str">
        <f t="shared" si="0"/>
        <v>human</v>
      </c>
      <c r="E58" t="str">
        <f>VLOOKUP(A58,Classification!A:B,2,FALSE)</f>
        <v>C</v>
      </c>
    </row>
    <row r="59" spans="1:5" x14ac:dyDescent="0.2">
      <c r="A59" t="s">
        <v>123</v>
      </c>
      <c r="B59" t="s">
        <v>859</v>
      </c>
      <c r="C59" t="str">
        <f>IF(ISERROR(MATCH(A59,'SegEnds_Xtal_Prot#'!B:B, 0)), "NoXtal", "Xtal")</f>
        <v>NoXtal</v>
      </c>
      <c r="D59" t="str">
        <f t="shared" si="0"/>
        <v>human</v>
      </c>
      <c r="E59" t="str">
        <f>VLOOKUP(A59,Classification!A:B,2,FALSE)</f>
        <v>C</v>
      </c>
    </row>
    <row r="60" spans="1:5" x14ac:dyDescent="0.2">
      <c r="A60" t="s">
        <v>124</v>
      </c>
      <c r="B60" t="s">
        <v>860</v>
      </c>
      <c r="C60" t="str">
        <f>IF(ISERROR(MATCH(A60,'SegEnds_Xtal_Prot#'!B:B, 0)), "NoXtal", "Xtal")</f>
        <v>NoXtal</v>
      </c>
      <c r="D60" t="str">
        <f t="shared" si="0"/>
        <v>human</v>
      </c>
      <c r="E60" t="str">
        <f>VLOOKUP(A60,Classification!A:B,2,FALSE)</f>
        <v>C</v>
      </c>
    </row>
    <row r="61" spans="1:5" x14ac:dyDescent="0.2">
      <c r="A61" t="s">
        <v>108</v>
      </c>
      <c r="B61" t="s">
        <v>861</v>
      </c>
      <c r="C61" t="str">
        <f>IF(ISERROR(MATCH(A61,'SegEnds_Xtal_Prot#'!B:B, 0)), "NoXtal", "Xtal")</f>
        <v>NoXtal</v>
      </c>
      <c r="D61" t="str">
        <f t="shared" si="0"/>
        <v>human</v>
      </c>
      <c r="E61" t="str">
        <f>VLOOKUP(A61,Classification!A:B,2,FALSE)</f>
        <v>C</v>
      </c>
    </row>
    <row r="62" spans="1:5" x14ac:dyDescent="0.2">
      <c r="A62" t="s">
        <v>109</v>
      </c>
      <c r="B62" t="s">
        <v>862</v>
      </c>
      <c r="C62" t="str">
        <f>IF(ISERROR(MATCH(A62,'SegEnds_Xtal_Prot#'!B:B, 0)), "NoXtal", "Xtal")</f>
        <v>NoXtal</v>
      </c>
      <c r="D62" t="str">
        <f t="shared" si="0"/>
        <v>human</v>
      </c>
      <c r="E62" t="str">
        <f>VLOOKUP(A62,Classification!A:B,2,FALSE)</f>
        <v>C</v>
      </c>
    </row>
    <row r="63" spans="1:5" x14ac:dyDescent="0.2">
      <c r="A63" t="s">
        <v>110</v>
      </c>
      <c r="B63" t="s">
        <v>863</v>
      </c>
      <c r="C63" t="str">
        <f>IF(ISERROR(MATCH(A63,'SegEnds_Xtal_Prot#'!B:B, 0)), "NoXtal", "Xtal")</f>
        <v>NoXtal</v>
      </c>
      <c r="D63" t="str">
        <f t="shared" si="0"/>
        <v>human</v>
      </c>
      <c r="E63" t="str">
        <f>VLOOKUP(A63,Classification!A:B,2,FALSE)</f>
        <v>C</v>
      </c>
    </row>
    <row r="64" spans="1:5" x14ac:dyDescent="0.2">
      <c r="A64" t="s">
        <v>121</v>
      </c>
      <c r="B64" t="s">
        <v>864</v>
      </c>
      <c r="C64" t="str">
        <f>IF(ISERROR(MATCH(A64,'SegEnds_Xtal_Prot#'!B:B, 0)), "NoXtal", "Xtal")</f>
        <v>NoXtal</v>
      </c>
      <c r="D64" t="str">
        <f t="shared" si="0"/>
        <v>human</v>
      </c>
      <c r="E64" t="str">
        <f>VLOOKUP(A64,Classification!A:B,2,FALSE)</f>
        <v>C</v>
      </c>
    </row>
    <row r="65" spans="1:5" x14ac:dyDescent="0.2">
      <c r="A65" t="s">
        <v>112</v>
      </c>
      <c r="B65" t="s">
        <v>865</v>
      </c>
      <c r="C65" t="str">
        <f>IF(ISERROR(MATCH(A65,'SegEnds_Xtal_Prot#'!B:B, 0)), "NoXtal", "Xtal")</f>
        <v>NoXtal</v>
      </c>
      <c r="D65" t="str">
        <f t="shared" si="0"/>
        <v>human</v>
      </c>
      <c r="E65" t="str">
        <f>VLOOKUP(A65,Classification!A:B,2,FALSE)</f>
        <v>C</v>
      </c>
    </row>
    <row r="66" spans="1:5" x14ac:dyDescent="0.2">
      <c r="A66" t="s">
        <v>113</v>
      </c>
      <c r="B66" t="s">
        <v>866</v>
      </c>
      <c r="C66" t="str">
        <f>IF(ISERROR(MATCH(A66,'SegEnds_Xtal_Prot#'!B:B, 0)), "NoXtal", "Xtal")</f>
        <v>NoXtal</v>
      </c>
      <c r="D66" t="str">
        <f t="shared" si="0"/>
        <v>human</v>
      </c>
      <c r="E66" t="str">
        <f>VLOOKUP(A66,Classification!A:B,2,FALSE)</f>
        <v>C</v>
      </c>
    </row>
    <row r="67" spans="1:5" x14ac:dyDescent="0.2">
      <c r="A67" t="s">
        <v>1177</v>
      </c>
      <c r="B67" t="s">
        <v>812</v>
      </c>
      <c r="C67" t="str">
        <f>IF(ISERROR(MATCH(A67,'SegEnds_Xtal_Prot#'!B:B, 0)), "NoXtal", "Xtal")</f>
        <v>NoXtal</v>
      </c>
      <c r="D67" t="str">
        <f t="shared" ref="D67:D134" si="1">MID(A67,FIND("_",A67)+1,LEN(A67)-FIND("_",A67))</f>
        <v>human</v>
      </c>
      <c r="E67" t="str">
        <f>VLOOKUP(A67,Classification!A:B,2,FALSE)</f>
        <v>B2</v>
      </c>
    </row>
    <row r="68" spans="1:5" x14ac:dyDescent="0.2">
      <c r="A68" t="s">
        <v>1178</v>
      </c>
      <c r="B68" t="s">
        <v>813</v>
      </c>
      <c r="C68" t="str">
        <f>IF(ISERROR(MATCH(A68,'SegEnds_Xtal_Prot#'!B:B, 0)), "NoXtal", "Xtal")</f>
        <v>NoXtal</v>
      </c>
      <c r="D68" t="str">
        <f t="shared" si="1"/>
        <v>human</v>
      </c>
      <c r="E68" t="str">
        <f>VLOOKUP(A68,Classification!A:B,2,FALSE)</f>
        <v>B2</v>
      </c>
    </row>
    <row r="69" spans="1:5" x14ac:dyDescent="0.2">
      <c r="A69" t="s">
        <v>1179</v>
      </c>
      <c r="B69" t="s">
        <v>814</v>
      </c>
      <c r="C69" t="str">
        <f>IF(ISERROR(MATCH(A69,'SegEnds_Xtal_Prot#'!B:B, 0)), "NoXtal", "Xtal")</f>
        <v>NoXtal</v>
      </c>
      <c r="D69" t="str">
        <f t="shared" si="1"/>
        <v>human</v>
      </c>
      <c r="E69" t="str">
        <f>VLOOKUP(A69,Classification!A:B,2,FALSE)</f>
        <v>B2</v>
      </c>
    </row>
    <row r="70" spans="1:5" x14ac:dyDescent="0.2">
      <c r="A70" t="s">
        <v>414</v>
      </c>
      <c r="B70" t="s">
        <v>815</v>
      </c>
      <c r="C70" t="str">
        <f>IF(ISERROR(MATCH(A70,'SegEnds_Xtal_Prot#'!B:B, 0)), "NoXtal", "Xtal")</f>
        <v>NoXtal</v>
      </c>
      <c r="D70" t="str">
        <f t="shared" si="1"/>
        <v>human</v>
      </c>
      <c r="E70" t="str">
        <f>VLOOKUP(A70,Classification!A:B,2,FALSE)</f>
        <v>B2</v>
      </c>
    </row>
    <row r="71" spans="1:5" x14ac:dyDescent="0.2">
      <c r="A71" t="s">
        <v>1180</v>
      </c>
      <c r="B71" t="s">
        <v>816</v>
      </c>
      <c r="C71" t="str">
        <f>IF(ISERROR(MATCH(A71,'SegEnds_Xtal_Prot#'!B:B, 0)), "NoXtal", "Xtal")</f>
        <v>NoXtal</v>
      </c>
      <c r="D71" t="str">
        <f t="shared" si="1"/>
        <v>human</v>
      </c>
      <c r="E71" t="str">
        <f>VLOOKUP(A71,Classification!A:B,2,FALSE)</f>
        <v>B2</v>
      </c>
    </row>
    <row r="72" spans="1:5" x14ac:dyDescent="0.2">
      <c r="A72" t="s">
        <v>1181</v>
      </c>
      <c r="B72" t="s">
        <v>817</v>
      </c>
      <c r="C72" t="str">
        <f>IF(ISERROR(MATCH(A72,'SegEnds_Xtal_Prot#'!B:B, 0)), "NoXtal", "Xtal")</f>
        <v>NoXtal</v>
      </c>
      <c r="D72" t="str">
        <f t="shared" si="1"/>
        <v>human</v>
      </c>
      <c r="E72" t="str">
        <f>VLOOKUP(A72,Classification!A:B,2,FALSE)</f>
        <v>B2</v>
      </c>
    </row>
    <row r="73" spans="1:5" x14ac:dyDescent="0.2">
      <c r="A73" t="s">
        <v>418</v>
      </c>
      <c r="B73" t="s">
        <v>818</v>
      </c>
      <c r="C73" t="str">
        <f>IF(ISERROR(MATCH(A73,'SegEnds_Xtal_Prot#'!B:B, 0)), "NoXtal", "Xtal")</f>
        <v>NoXtal</v>
      </c>
      <c r="D73" t="str">
        <f t="shared" si="1"/>
        <v>human</v>
      </c>
      <c r="E73" t="str">
        <f>VLOOKUP(A73,Classification!A:B,2,FALSE)</f>
        <v>B2</v>
      </c>
    </row>
    <row r="74" spans="1:5" x14ac:dyDescent="0.2">
      <c r="A74" t="s">
        <v>419</v>
      </c>
      <c r="B74" t="s">
        <v>819</v>
      </c>
      <c r="C74" t="str">
        <f>IF(ISERROR(MATCH(A74,'SegEnds_Xtal_Prot#'!B:B, 0)), "NoXtal", "Xtal")</f>
        <v>NoXtal</v>
      </c>
      <c r="D74" t="str">
        <f t="shared" si="1"/>
        <v>human</v>
      </c>
      <c r="E74" t="str">
        <f>VLOOKUP(A74,Classification!A:B,2,FALSE)</f>
        <v>B2</v>
      </c>
    </row>
    <row r="75" spans="1:5" x14ac:dyDescent="0.2">
      <c r="A75" t="s">
        <v>420</v>
      </c>
      <c r="B75" t="s">
        <v>820</v>
      </c>
      <c r="C75" t="str">
        <f>IF(ISERROR(MATCH(A75,'SegEnds_Xtal_Prot#'!B:B, 0)), "NoXtal", "Xtal")</f>
        <v>NoXtal</v>
      </c>
      <c r="D75" t="str">
        <f t="shared" si="1"/>
        <v>human</v>
      </c>
      <c r="E75" t="str">
        <f>VLOOKUP(A75,Classification!A:B,2,FALSE)</f>
        <v>B2</v>
      </c>
    </row>
    <row r="76" spans="1:5" x14ac:dyDescent="0.2">
      <c r="A76" t="s">
        <v>1182</v>
      </c>
      <c r="B76" t="s">
        <v>821</v>
      </c>
      <c r="C76" t="str">
        <f>IF(ISERROR(MATCH(A76,'SegEnds_Xtal_Prot#'!B:B, 0)), "NoXtal", "Xtal")</f>
        <v>NoXtal</v>
      </c>
      <c r="D76" t="str">
        <f t="shared" si="1"/>
        <v>human</v>
      </c>
      <c r="E76" t="str">
        <f>VLOOKUP(A76,Classification!A:B,2,FALSE)</f>
        <v>B2</v>
      </c>
    </row>
    <row r="77" spans="1:5" x14ac:dyDescent="0.2">
      <c r="A77" t="s">
        <v>1183</v>
      </c>
      <c r="B77" t="s">
        <v>822</v>
      </c>
      <c r="C77" t="str">
        <f>IF(ISERROR(MATCH(A77,'SegEnds_Xtal_Prot#'!B:B, 0)), "NoXtal", "Xtal")</f>
        <v>NoXtal</v>
      </c>
      <c r="D77" t="str">
        <f t="shared" si="1"/>
        <v>human</v>
      </c>
      <c r="E77" t="str">
        <f>VLOOKUP(A77,Classification!A:B,2,FALSE)</f>
        <v>B2</v>
      </c>
    </row>
    <row r="78" spans="1:5" x14ac:dyDescent="0.2">
      <c r="A78" t="s">
        <v>1184</v>
      </c>
      <c r="B78" t="s">
        <v>823</v>
      </c>
      <c r="C78" t="str">
        <f>IF(ISERROR(MATCH(A78,'SegEnds_Xtal_Prot#'!B:B, 0)), "NoXtal", "Xtal")</f>
        <v>NoXtal</v>
      </c>
      <c r="D78" t="str">
        <f t="shared" si="1"/>
        <v>human</v>
      </c>
      <c r="E78" t="str">
        <f>VLOOKUP(A78,Classification!A:B,2,FALSE)</f>
        <v>B2</v>
      </c>
    </row>
    <row r="79" spans="1:5" x14ac:dyDescent="0.2">
      <c r="A79" t="s">
        <v>1185</v>
      </c>
      <c r="B79" t="s">
        <v>824</v>
      </c>
      <c r="C79" t="str">
        <f>IF(ISERROR(MATCH(A79,'SegEnds_Xtal_Prot#'!B:B, 0)), "NoXtal", "Xtal")</f>
        <v>NoXtal</v>
      </c>
      <c r="D79" t="str">
        <f t="shared" si="1"/>
        <v>human</v>
      </c>
      <c r="E79" t="str">
        <f>VLOOKUP(A79,Classification!A:B,2,FALSE)</f>
        <v>B2</v>
      </c>
    </row>
    <row r="80" spans="1:5" x14ac:dyDescent="0.2">
      <c r="A80" t="s">
        <v>1186</v>
      </c>
      <c r="B80" t="s">
        <v>825</v>
      </c>
      <c r="C80" t="str">
        <f>IF(ISERROR(MATCH(A80,'SegEnds_Xtal_Prot#'!B:B, 0)), "NoXtal", "Xtal")</f>
        <v>NoXtal</v>
      </c>
      <c r="D80" t="str">
        <f t="shared" si="1"/>
        <v>human</v>
      </c>
      <c r="E80" t="str">
        <f>VLOOKUP(A80,Classification!A:B,2,FALSE)</f>
        <v>B2</v>
      </c>
    </row>
    <row r="81" spans="1:5" x14ac:dyDescent="0.2">
      <c r="A81" t="s">
        <v>1187</v>
      </c>
      <c r="B81" t="s">
        <v>826</v>
      </c>
      <c r="C81" t="str">
        <f>IF(ISERROR(MATCH(A81,'SegEnds_Xtal_Prot#'!B:B, 0)), "NoXtal", "Xtal")</f>
        <v>NoXtal</v>
      </c>
      <c r="D81" t="str">
        <f t="shared" si="1"/>
        <v>human</v>
      </c>
      <c r="E81" t="str">
        <f>VLOOKUP(A81,Classification!A:B,2,FALSE)</f>
        <v>B2</v>
      </c>
    </row>
    <row r="82" spans="1:5" x14ac:dyDescent="0.2">
      <c r="A82" t="s">
        <v>417</v>
      </c>
      <c r="B82" t="s">
        <v>827</v>
      </c>
      <c r="C82" t="str">
        <f>IF(ISERROR(MATCH(A82,'SegEnds_Xtal_Prot#'!B:B, 0)), "NoXtal", "Xtal")</f>
        <v>NoXtal</v>
      </c>
      <c r="D82" t="str">
        <f t="shared" si="1"/>
        <v>human</v>
      </c>
      <c r="E82" t="str">
        <f>VLOOKUP(A82,Classification!A:B,2,FALSE)</f>
        <v>B2</v>
      </c>
    </row>
    <row r="83" spans="1:5" x14ac:dyDescent="0.2">
      <c r="A83" t="s">
        <v>1188</v>
      </c>
      <c r="B83" t="s">
        <v>828</v>
      </c>
      <c r="C83" t="str">
        <f>IF(ISERROR(MATCH(A83,'SegEnds_Xtal_Prot#'!B:B, 0)), "NoXtal", "Xtal")</f>
        <v>NoXtal</v>
      </c>
      <c r="D83" t="str">
        <f t="shared" si="1"/>
        <v>human</v>
      </c>
      <c r="E83" t="str">
        <f>VLOOKUP(A83,Classification!A:B,2,FALSE)</f>
        <v>B2</v>
      </c>
    </row>
    <row r="84" spans="1:5" x14ac:dyDescent="0.2">
      <c r="A84" t="s">
        <v>1189</v>
      </c>
      <c r="B84" t="s">
        <v>829</v>
      </c>
      <c r="C84" t="str">
        <f>IF(ISERROR(MATCH(A84,'SegEnds_Xtal_Prot#'!B:B, 0)), "NoXtal", "Xtal")</f>
        <v>NoXtal</v>
      </c>
      <c r="D84" t="str">
        <f t="shared" si="1"/>
        <v>human</v>
      </c>
      <c r="E84" t="str">
        <f>VLOOKUP(A84,Classification!A:B,2,FALSE)</f>
        <v>B2</v>
      </c>
    </row>
    <row r="85" spans="1:5" x14ac:dyDescent="0.2">
      <c r="A85" t="s">
        <v>1190</v>
      </c>
      <c r="B85" t="s">
        <v>830</v>
      </c>
      <c r="C85" t="str">
        <f>IF(ISERROR(MATCH(A85,'SegEnds_Xtal_Prot#'!B:B, 0)), "NoXtal", "Xtal")</f>
        <v>NoXtal</v>
      </c>
      <c r="D85" t="str">
        <f t="shared" si="1"/>
        <v>human</v>
      </c>
      <c r="E85" t="str">
        <f>VLOOKUP(A85,Classification!A:B,2,FALSE)</f>
        <v>B2</v>
      </c>
    </row>
    <row r="86" spans="1:5" x14ac:dyDescent="0.2">
      <c r="A86" t="s">
        <v>1191</v>
      </c>
      <c r="B86" t="s">
        <v>831</v>
      </c>
      <c r="C86" t="str">
        <f>IF(ISERROR(MATCH(A86,'SegEnds_Xtal_Prot#'!B:B, 0)), "NoXtal", "Xtal")</f>
        <v>NoXtal</v>
      </c>
      <c r="D86" t="str">
        <f t="shared" si="1"/>
        <v>human</v>
      </c>
      <c r="E86" t="str">
        <f>VLOOKUP(A86,Classification!A:B,2,FALSE)</f>
        <v>B2</v>
      </c>
    </row>
    <row r="87" spans="1:5" x14ac:dyDescent="0.2">
      <c r="A87" t="s">
        <v>1192</v>
      </c>
      <c r="B87" t="s">
        <v>832</v>
      </c>
      <c r="C87" t="str">
        <f>IF(ISERROR(MATCH(A87,'SegEnds_Xtal_Prot#'!B:B, 0)), "NoXtal", "Xtal")</f>
        <v>NoXtal</v>
      </c>
      <c r="D87" t="str">
        <f t="shared" si="1"/>
        <v>human</v>
      </c>
      <c r="E87" t="str">
        <f>VLOOKUP(A87,Classification!A:B,2,FALSE)</f>
        <v>B2</v>
      </c>
    </row>
    <row r="88" spans="1:5" x14ac:dyDescent="0.2">
      <c r="A88" t="s">
        <v>1193</v>
      </c>
      <c r="B88" t="s">
        <v>833</v>
      </c>
      <c r="C88" t="str">
        <f>IF(ISERROR(MATCH(A88,'SegEnds_Xtal_Prot#'!B:B, 0)), "NoXtal", "Xtal")</f>
        <v>NoXtal</v>
      </c>
      <c r="D88" t="str">
        <f t="shared" si="1"/>
        <v>human</v>
      </c>
      <c r="E88" t="str">
        <f>VLOOKUP(A88,Classification!A:B,2,FALSE)</f>
        <v>B2</v>
      </c>
    </row>
    <row r="89" spans="1:5" x14ac:dyDescent="0.2">
      <c r="A89" t="s">
        <v>1194</v>
      </c>
      <c r="B89" t="s">
        <v>834</v>
      </c>
      <c r="C89" t="str">
        <f>IF(ISERROR(MATCH(A89,'SegEnds_Xtal_Prot#'!B:B, 0)), "NoXtal", "Xtal")</f>
        <v>NoXtal</v>
      </c>
      <c r="D89" t="str">
        <f t="shared" si="1"/>
        <v>human</v>
      </c>
      <c r="E89" t="str">
        <f>VLOOKUP(A89,Classification!A:B,2,FALSE)</f>
        <v>B2</v>
      </c>
    </row>
    <row r="90" spans="1:5" x14ac:dyDescent="0.2">
      <c r="A90" t="s">
        <v>1195</v>
      </c>
      <c r="B90" t="s">
        <v>835</v>
      </c>
      <c r="C90" t="str">
        <f>IF(ISERROR(MATCH(A90,'SegEnds_Xtal_Prot#'!B:B, 0)), "NoXtal", "Xtal")</f>
        <v>NoXtal</v>
      </c>
      <c r="D90" t="str">
        <f t="shared" si="1"/>
        <v>human</v>
      </c>
      <c r="E90" t="str">
        <f>VLOOKUP(A90,Classification!A:B,2,FALSE)</f>
        <v>B2</v>
      </c>
    </row>
    <row r="91" spans="1:5" x14ac:dyDescent="0.2">
      <c r="A91" t="s">
        <v>1196</v>
      </c>
      <c r="B91" t="s">
        <v>836</v>
      </c>
      <c r="C91" t="str">
        <f>IF(ISERROR(MATCH(A91,'SegEnds_Xtal_Prot#'!B:B, 0)), "NoXtal", "Xtal")</f>
        <v>NoXtal</v>
      </c>
      <c r="D91" t="str">
        <f t="shared" si="1"/>
        <v>human</v>
      </c>
      <c r="E91" t="str">
        <f>VLOOKUP(A91,Classification!A:B,2,FALSE)</f>
        <v>B2</v>
      </c>
    </row>
    <row r="92" spans="1:5" x14ac:dyDescent="0.2">
      <c r="A92" t="s">
        <v>1197</v>
      </c>
      <c r="B92" t="s">
        <v>837</v>
      </c>
      <c r="C92" t="str">
        <f>IF(ISERROR(MATCH(A92,'SegEnds_Xtal_Prot#'!B:B, 0)), "NoXtal", "Xtal")</f>
        <v>NoXtal</v>
      </c>
      <c r="D92" t="str">
        <f t="shared" si="1"/>
        <v>human</v>
      </c>
      <c r="E92" t="str">
        <f>VLOOKUP(A92,Classification!A:B,2,FALSE)</f>
        <v>B2</v>
      </c>
    </row>
    <row r="93" spans="1:5" x14ac:dyDescent="0.2">
      <c r="A93" t="s">
        <v>1423</v>
      </c>
      <c r="B93" t="s">
        <v>838</v>
      </c>
      <c r="C93" t="str">
        <f>IF(ISERROR(MATCH(A93,'SegEnds_Xtal_Prot#'!B:B, 0)), "NoXtal", "Xtal")</f>
        <v>NoXtal</v>
      </c>
      <c r="D93" t="str">
        <f t="shared" si="1"/>
        <v>human</v>
      </c>
      <c r="E93" t="str">
        <f>VLOOKUP(A93,Classification!A:B,2,FALSE)</f>
        <v>B2</v>
      </c>
    </row>
    <row r="94" spans="1:5" x14ac:dyDescent="0.2">
      <c r="A94" t="s">
        <v>1198</v>
      </c>
      <c r="B94" t="s">
        <v>839</v>
      </c>
      <c r="C94" t="str">
        <f>IF(ISERROR(MATCH(A94,'SegEnds_Xtal_Prot#'!B:B, 0)), "NoXtal", "Xtal")</f>
        <v>NoXtal</v>
      </c>
      <c r="D94" t="str">
        <f t="shared" si="1"/>
        <v>human</v>
      </c>
      <c r="E94" t="str">
        <f>VLOOKUP(A94,Classification!A:B,2,FALSE)</f>
        <v>B2</v>
      </c>
    </row>
    <row r="95" spans="1:5" x14ac:dyDescent="0.2">
      <c r="A95" t="s">
        <v>1199</v>
      </c>
      <c r="B95" t="s">
        <v>840</v>
      </c>
      <c r="C95" t="str">
        <f>IF(ISERROR(MATCH(A95,'SegEnds_Xtal_Prot#'!B:B, 0)), "NoXtal", "Xtal")</f>
        <v>NoXtal</v>
      </c>
      <c r="D95" t="str">
        <f t="shared" si="1"/>
        <v>human</v>
      </c>
      <c r="E95" t="str">
        <f>VLOOKUP(A95,Classification!A:B,2,FALSE)</f>
        <v>B2</v>
      </c>
    </row>
    <row r="96" spans="1:5" x14ac:dyDescent="0.2">
      <c r="A96" t="s">
        <v>1200</v>
      </c>
      <c r="B96" t="s">
        <v>841</v>
      </c>
      <c r="C96" t="str">
        <f>IF(ISERROR(MATCH(A96,'SegEnds_Xtal_Prot#'!B:B, 0)), "NoXtal", "Xtal")</f>
        <v>NoXtal</v>
      </c>
      <c r="D96" t="str">
        <f t="shared" si="1"/>
        <v>human</v>
      </c>
      <c r="E96" t="str">
        <f>VLOOKUP(A96,Classification!A:B,2,FALSE)</f>
        <v>B2</v>
      </c>
    </row>
    <row r="97" spans="1:5" x14ac:dyDescent="0.2">
      <c r="A97" t="s">
        <v>1201</v>
      </c>
      <c r="B97" t="s">
        <v>842</v>
      </c>
      <c r="C97" t="str">
        <f>IF(ISERROR(MATCH(A97,'SegEnds_Xtal_Prot#'!B:B, 0)), "NoXtal", "Xtal")</f>
        <v>NoXtal</v>
      </c>
      <c r="D97" t="str">
        <f t="shared" si="1"/>
        <v>human</v>
      </c>
      <c r="E97" t="str">
        <f>VLOOKUP(A97,Classification!A:B,2,FALSE)</f>
        <v>B2</v>
      </c>
    </row>
    <row r="98" spans="1:5" x14ac:dyDescent="0.2">
      <c r="A98" t="s">
        <v>1202</v>
      </c>
      <c r="B98" t="s">
        <v>843</v>
      </c>
      <c r="C98" t="str">
        <f>IF(ISERROR(MATCH(A98,'SegEnds_Xtal_Prot#'!B:B, 0)), "NoXtal", "Xtal")</f>
        <v>NoXtal</v>
      </c>
      <c r="D98" t="str">
        <f t="shared" si="1"/>
        <v>human</v>
      </c>
      <c r="E98" t="str">
        <f>VLOOKUP(A98,Classification!A:B,2,FALSE)</f>
        <v>B2</v>
      </c>
    </row>
    <row r="99" spans="1:5" x14ac:dyDescent="0.2">
      <c r="A99" t="s">
        <v>442</v>
      </c>
      <c r="B99" t="s">
        <v>844</v>
      </c>
      <c r="C99" t="str">
        <f>IF(ISERROR(MATCH(A99,'SegEnds_Xtal_Prot#'!B:B, 0)), "NoXtal", "Xtal")</f>
        <v>NoXtal</v>
      </c>
      <c r="D99" t="str">
        <f t="shared" si="1"/>
        <v>human</v>
      </c>
      <c r="E99" t="str">
        <f>VLOOKUP(A99,Classification!A:B,2,FALSE)</f>
        <v>B2</v>
      </c>
    </row>
    <row r="100" spans="1:5" x14ac:dyDescent="0.2">
      <c r="A100" t="s">
        <v>38</v>
      </c>
      <c r="B100" t="s">
        <v>1332</v>
      </c>
      <c r="C100" t="str">
        <f>IF(ISERROR(MATCH(A100,'SegEnds_Xtal_Prot#'!B:B, 0)), "NoXtal", "Xtal")</f>
        <v>Xtal</v>
      </c>
      <c r="D100" t="str">
        <f t="shared" si="1"/>
        <v>human</v>
      </c>
      <c r="E100" t="str">
        <f>VLOOKUP(A100,Classification!A:B,2,FALSE)</f>
        <v>B1</v>
      </c>
    </row>
    <row r="101" spans="1:5" x14ac:dyDescent="0.2">
      <c r="A101" t="s">
        <v>32</v>
      </c>
      <c r="B101" t="s">
        <v>805</v>
      </c>
      <c r="C101" t="str">
        <f>IF(ISERROR(MATCH(A101,'SegEnds_Xtal_Prot#'!B:B, 0)), "NoXtal", "Xtal")</f>
        <v>Xtal</v>
      </c>
      <c r="D101" t="str">
        <f t="shared" si="1"/>
        <v>human</v>
      </c>
      <c r="E101" t="str">
        <f>VLOOKUP(A101,Classification!A:B,2,FALSE)</f>
        <v>B1</v>
      </c>
    </row>
    <row r="102" spans="1:5" x14ac:dyDescent="0.2">
      <c r="A102" t="s">
        <v>401</v>
      </c>
      <c r="B102" t="s">
        <v>1410</v>
      </c>
      <c r="C102" t="str">
        <f>IF(ISERROR(MATCH(A102,'SegEnds_Xtal_Prot#'!B:B, 0)), "NoXtal", "Xtal")</f>
        <v>Xtal</v>
      </c>
      <c r="D102" t="str">
        <f t="shared" si="1"/>
        <v>human</v>
      </c>
      <c r="E102" t="str">
        <f>VLOOKUP(A102,Classification!A:B,2,FALSE)</f>
        <v>B1</v>
      </c>
    </row>
    <row r="103" spans="1:5" x14ac:dyDescent="0.2">
      <c r="A103" t="s">
        <v>402</v>
      </c>
      <c r="B103" t="s">
        <v>799</v>
      </c>
      <c r="C103" t="str">
        <f>IF(ISERROR(MATCH(A103,'SegEnds_Xtal_Prot#'!B:B, 0)), "NoXtal", "Xtal")</f>
        <v>Xtal</v>
      </c>
      <c r="D103" t="str">
        <f t="shared" si="1"/>
        <v>human</v>
      </c>
      <c r="E103" t="str">
        <f>VLOOKUP(A103,Classification!A:B,2,FALSE)</f>
        <v>B1</v>
      </c>
    </row>
    <row r="104" spans="1:5" x14ac:dyDescent="0.2">
      <c r="A104" t="s">
        <v>403</v>
      </c>
      <c r="B104" t="s">
        <v>800</v>
      </c>
      <c r="C104" t="str">
        <f>IF(ISERROR(MATCH(A104,'SegEnds_Xtal_Prot#'!B:B, 0)), "NoXtal", "Xtal")</f>
        <v>NoXtal</v>
      </c>
      <c r="D104" t="str">
        <f t="shared" si="1"/>
        <v>human</v>
      </c>
      <c r="E104" t="str">
        <f>VLOOKUP(A104,Classification!A:B,2,FALSE)</f>
        <v>B1</v>
      </c>
    </row>
    <row r="105" spans="1:5" x14ac:dyDescent="0.2">
      <c r="A105" t="s">
        <v>404</v>
      </c>
      <c r="B105" t="s">
        <v>801</v>
      </c>
      <c r="C105" t="str">
        <f>IF(ISERROR(MATCH(A105,'SegEnds_Xtal_Prot#'!B:B, 0)), "NoXtal", "Xtal")</f>
        <v>NoXtal</v>
      </c>
      <c r="D105" t="str">
        <f t="shared" si="1"/>
        <v>human</v>
      </c>
      <c r="E105" t="str">
        <f>VLOOKUP(A105,Classification!A:B,2,FALSE)</f>
        <v>B1</v>
      </c>
    </row>
    <row r="106" spans="1:5" x14ac:dyDescent="0.2">
      <c r="A106" t="s">
        <v>405</v>
      </c>
      <c r="B106" t="s">
        <v>802</v>
      </c>
      <c r="C106" t="str">
        <f>IF(ISERROR(MATCH(A106,'SegEnds_Xtal_Prot#'!B:B, 0)), "NoXtal", "Xtal")</f>
        <v>NoXtal</v>
      </c>
      <c r="D106" t="str">
        <f t="shared" si="1"/>
        <v>human</v>
      </c>
      <c r="E106" t="str">
        <f>VLOOKUP(A106,Classification!A:B,2,FALSE)</f>
        <v>B1</v>
      </c>
    </row>
    <row r="107" spans="1:5" x14ac:dyDescent="0.2">
      <c r="A107" t="s">
        <v>406</v>
      </c>
      <c r="B107" t="s">
        <v>803</v>
      </c>
      <c r="C107" t="str">
        <f>IF(ISERROR(MATCH(A107,'SegEnds_Xtal_Prot#'!B:B, 0)), "NoXtal", "Xtal")</f>
        <v>Xtal</v>
      </c>
      <c r="D107" t="str">
        <f t="shared" si="1"/>
        <v>human</v>
      </c>
      <c r="E107" t="str">
        <f>VLOOKUP(A107,Classification!A:B,2,FALSE)</f>
        <v>B1</v>
      </c>
    </row>
    <row r="108" spans="1:5" x14ac:dyDescent="0.2">
      <c r="A108" t="s">
        <v>407</v>
      </c>
      <c r="B108" t="s">
        <v>804</v>
      </c>
      <c r="C108" t="str">
        <f>IF(ISERROR(MATCH(A108,'SegEnds_Xtal_Prot#'!B:B, 0)), "NoXtal", "Xtal")</f>
        <v>NoXtal</v>
      </c>
      <c r="D108" t="str">
        <f t="shared" si="1"/>
        <v>human</v>
      </c>
      <c r="E108" t="str">
        <f>VLOOKUP(A108,Classification!A:B,2,FALSE)</f>
        <v>B1</v>
      </c>
    </row>
    <row r="109" spans="1:5" x14ac:dyDescent="0.2">
      <c r="A109" t="s">
        <v>411</v>
      </c>
      <c r="B109" t="s">
        <v>806</v>
      </c>
      <c r="C109" t="str">
        <f>IF(ISERROR(MATCH(A109,'SegEnds_Xtal_Prot#'!B:B, 0)), "NoXtal", "Xtal")</f>
        <v>NoXtal</v>
      </c>
      <c r="D109" t="str">
        <f t="shared" si="1"/>
        <v>human</v>
      </c>
      <c r="E109" t="str">
        <f>VLOOKUP(A109,Classification!A:B,2,FALSE)</f>
        <v>B1</v>
      </c>
    </row>
    <row r="110" spans="1:5" x14ac:dyDescent="0.2">
      <c r="A110" t="s">
        <v>409</v>
      </c>
      <c r="B110" t="s">
        <v>807</v>
      </c>
      <c r="C110" t="str">
        <f>IF(ISERROR(MATCH(A110,'SegEnds_Xtal_Prot#'!B:B, 0)), "NoXtal", "Xtal")</f>
        <v>Xtal</v>
      </c>
      <c r="D110" t="str">
        <f t="shared" si="1"/>
        <v>human</v>
      </c>
      <c r="E110" t="str">
        <f>VLOOKUP(A110,Classification!A:B,2,FALSE)</f>
        <v>B1</v>
      </c>
    </row>
    <row r="111" spans="1:5" x14ac:dyDescent="0.2">
      <c r="A111" t="s">
        <v>410</v>
      </c>
      <c r="B111" t="s">
        <v>808</v>
      </c>
      <c r="C111" t="str">
        <f>IF(ISERROR(MATCH(A111,'SegEnds_Xtal_Prot#'!B:B, 0)), "NoXtal", "Xtal")</f>
        <v>NoXtal</v>
      </c>
      <c r="D111" t="str">
        <f t="shared" si="1"/>
        <v>human</v>
      </c>
      <c r="E111" t="str">
        <f>VLOOKUP(A111,Classification!A:B,2,FALSE)</f>
        <v>B1</v>
      </c>
    </row>
    <row r="112" spans="1:5" x14ac:dyDescent="0.2">
      <c r="A112" t="s">
        <v>408</v>
      </c>
      <c r="B112" t="s">
        <v>809</v>
      </c>
      <c r="C112" t="str">
        <f>IF(ISERROR(MATCH(A112,'SegEnds_Xtal_Prot#'!B:B, 0)), "NoXtal", "Xtal")</f>
        <v>NoXtal</v>
      </c>
      <c r="D112" t="str">
        <f t="shared" si="1"/>
        <v>human</v>
      </c>
      <c r="E112" t="str">
        <f>VLOOKUP(A112,Classification!A:B,2,FALSE)</f>
        <v>B1</v>
      </c>
    </row>
    <row r="113" spans="1:13" x14ac:dyDescent="0.2">
      <c r="A113" t="s">
        <v>412</v>
      </c>
      <c r="B113" t="s">
        <v>810</v>
      </c>
      <c r="C113" t="str">
        <f>IF(ISERROR(MATCH(A113,'SegEnds_Xtal_Prot#'!B:B, 0)), "NoXtal", "Xtal")</f>
        <v>NoXtal</v>
      </c>
      <c r="D113" t="str">
        <f t="shared" si="1"/>
        <v>human</v>
      </c>
      <c r="E113" t="str">
        <f>VLOOKUP(A113,Classification!A:B,2,FALSE)</f>
        <v>B1</v>
      </c>
    </row>
    <row r="114" spans="1:13" x14ac:dyDescent="0.2">
      <c r="A114" t="s">
        <v>413</v>
      </c>
      <c r="B114" t="s">
        <v>811</v>
      </c>
      <c r="C114" t="str">
        <f>IF(ISERROR(MATCH(A114,'SegEnds_Xtal_Prot#'!B:B, 0)), "NoXtal", "Xtal")</f>
        <v>NoXtal</v>
      </c>
      <c r="D114" t="str">
        <f t="shared" si="1"/>
        <v>human</v>
      </c>
      <c r="E114" t="str">
        <f>VLOOKUP(A114,Classification!A:B,2,FALSE)</f>
        <v>B1</v>
      </c>
    </row>
    <row r="115" spans="1:13" x14ac:dyDescent="0.2">
      <c r="A115" t="s">
        <v>1430</v>
      </c>
      <c r="B115" t="s">
        <v>1429</v>
      </c>
      <c r="C115" t="str">
        <f>IF(ISERROR(MATCH(A115,'SegEnds_Xtal_Prot#'!B:B, 0)), "NoXtal", "Xtal")</f>
        <v>Xtal</v>
      </c>
      <c r="D115" t="str">
        <f>MID(A115,FIND("_",A115)+1,LEN(A115)-FIND("_",A115))</f>
        <v>rabit</v>
      </c>
      <c r="E115" t="str">
        <f>VLOOKUP(A115,Classification!A:B,2,FALSE)</f>
        <v>B1</v>
      </c>
    </row>
    <row r="116" spans="1:13" x14ac:dyDescent="0.2">
      <c r="A116" t="s">
        <v>912</v>
      </c>
      <c r="B116" t="s">
        <v>913</v>
      </c>
      <c r="C116" t="str">
        <f>IF(ISERROR(MATCH(A116,'SegEnds_Xtal_Prot#'!B:B, 0)), "NoXtal", "Xtal")</f>
        <v>Xtal</v>
      </c>
      <c r="D116" t="str">
        <f t="shared" si="1"/>
        <v>melga</v>
      </c>
      <c r="E116" t="str">
        <f>VLOOKUP(A116,Classification!A:B,2,FALSE)</f>
        <v>A</v>
      </c>
    </row>
    <row r="117" spans="1:13" x14ac:dyDescent="0.2">
      <c r="A117" t="s">
        <v>916</v>
      </c>
      <c r="B117" t="s">
        <v>917</v>
      </c>
      <c r="C117" t="str">
        <f>IF(ISERROR(MATCH(A117,'SegEnds_Xtal_Prot#'!B:B, 0)), "NoXtal", "Xtal")</f>
        <v>Xtal</v>
      </c>
      <c r="D117" t="str">
        <f t="shared" si="1"/>
        <v>mouse</v>
      </c>
      <c r="E117" t="str">
        <f>VLOOKUP(A117,Classification!A:B,2,FALSE)</f>
        <v>A</v>
      </c>
    </row>
    <row r="118" spans="1:13" x14ac:dyDescent="0.2">
      <c r="A118" t="s">
        <v>918</v>
      </c>
      <c r="B118" t="s">
        <v>919</v>
      </c>
      <c r="C118" t="str">
        <f>IF(ISERROR(MATCH(A118,'SegEnds_Xtal_Prot#'!B:B, 0)), "NoXtal", "Xtal")</f>
        <v>Xtal</v>
      </c>
      <c r="D118" t="str">
        <f t="shared" si="1"/>
        <v>mouse</v>
      </c>
      <c r="E118" t="str">
        <f>VLOOKUP(A118,Classification!A:B,2,FALSE)</f>
        <v>A</v>
      </c>
    </row>
    <row r="119" spans="1:13" ht="17" x14ac:dyDescent="0.25">
      <c r="A119" t="s">
        <v>910</v>
      </c>
      <c r="B119" t="s">
        <v>911</v>
      </c>
      <c r="C119" t="str">
        <f>IF(ISERROR(MATCH(A119,'SegEnds_Xtal_Prot#'!B:B, 0)), "NoXtal", "Xtal")</f>
        <v>Xtal</v>
      </c>
      <c r="D119" t="str">
        <f t="shared" si="1"/>
        <v>rat</v>
      </c>
      <c r="E119" t="str">
        <f>VLOOKUP(A119,Classification!A:B,2,FALSE)</f>
        <v>A</v>
      </c>
      <c r="M119" s="121"/>
    </row>
    <row r="120" spans="1:13" ht="17" x14ac:dyDescent="0.25">
      <c r="A120" t="s">
        <v>914</v>
      </c>
      <c r="B120" t="s">
        <v>915</v>
      </c>
      <c r="C120" t="str">
        <f>IF(ISERROR(MATCH(A120,'SegEnds_Xtal_Prot#'!B:B, 0)), "NoXtal", "Xtal")</f>
        <v>Xtal</v>
      </c>
      <c r="D120" t="str">
        <f t="shared" si="1"/>
        <v>rat</v>
      </c>
      <c r="E120" t="str">
        <f>VLOOKUP(A120,Classification!A:B,2,FALSE)</f>
        <v>A</v>
      </c>
      <c r="M120" s="121"/>
    </row>
    <row r="121" spans="1:13" ht="17" x14ac:dyDescent="0.25">
      <c r="A121" t="s">
        <v>922</v>
      </c>
      <c r="B121" t="s">
        <v>923</v>
      </c>
      <c r="C121" t="str">
        <f>IF(ISERROR(MATCH(A121,'SegEnds_Xtal_Prot#'!B:B, 0)), "NoXtal", "Xtal")</f>
        <v>Xtal</v>
      </c>
      <c r="D121" t="str">
        <f t="shared" si="1"/>
        <v>todpa</v>
      </c>
      <c r="E121" t="str">
        <f>VLOOKUP(A121,Classification!A:B,2,FALSE)</f>
        <v>A</v>
      </c>
      <c r="M121" s="121"/>
    </row>
    <row r="122" spans="1:13" ht="17" x14ac:dyDescent="0.25">
      <c r="A122" t="s">
        <v>920</v>
      </c>
      <c r="B122" t="s">
        <v>921</v>
      </c>
      <c r="C122" t="str">
        <f>IF(ISERROR(MATCH(A122,'SegEnds_Xtal_Prot#'!B:B, 0)), "NoXtal", "Xtal")</f>
        <v>Xtal</v>
      </c>
      <c r="D122" t="str">
        <f t="shared" si="1"/>
        <v>bovin</v>
      </c>
      <c r="E122" t="str">
        <f>VLOOKUP(A122,Classification!A:B,2,FALSE)</f>
        <v>A</v>
      </c>
      <c r="M122" s="121"/>
    </row>
    <row r="123" spans="1:13" ht="17" x14ac:dyDescent="0.25">
      <c r="A123" t="s">
        <v>1451</v>
      </c>
      <c r="B123" t="s">
        <v>1452</v>
      </c>
      <c r="C123" t="str">
        <f>IF(ISERROR(MATCH(A123,'SegEnds_Xtal_Prot#'!B:B, 0)), "NoXtal", "Xtal")</f>
        <v>Xtal</v>
      </c>
      <c r="D123" t="str">
        <f t="shared" si="1"/>
        <v>danre</v>
      </c>
      <c r="E123" t="str">
        <f>VLOOKUP(A123,Classification!A:B,2,FALSE)</f>
        <v>A</v>
      </c>
      <c r="M123" s="121"/>
    </row>
    <row r="124" spans="1:13" ht="17" x14ac:dyDescent="0.25">
      <c r="A124" t="s">
        <v>1524</v>
      </c>
      <c r="B124" t="s">
        <v>1525</v>
      </c>
      <c r="C124" t="str">
        <f>IF(ISERROR(MATCH(A124,'SegEnds_Xtal_Prot#'!B:B, 0)), "NoXtal", "Xtal")</f>
        <v>Xtal</v>
      </c>
      <c r="D124" t="str">
        <f>MID(A124,FIND("_",A124)+1,LEN(A124)-FIND("_",A124))</f>
        <v>hcmv</v>
      </c>
      <c r="E124" t="str">
        <f>VLOOKUP(A124,Classification!A:B,2,FALSE)</f>
        <v>A</v>
      </c>
      <c r="M124" s="121"/>
    </row>
    <row r="125" spans="1:13" ht="17" x14ac:dyDescent="0.25">
      <c r="A125" t="s">
        <v>1463</v>
      </c>
      <c r="B125" t="s">
        <v>1465</v>
      </c>
      <c r="C125" t="str">
        <f>IF(ISERROR(MATCH(A125,'SegEnds_Xtal_Prot#'!B:B, 0)), "NoXtal", "Xtal")</f>
        <v>Xtal</v>
      </c>
      <c r="D125" t="str">
        <f>MID(A125,FIND("_",A125)+1,LEN(A125)-FIND("_",A125))</f>
        <v>cavpo</v>
      </c>
      <c r="E125" t="str">
        <f>VLOOKUP(A125,Classification!A:B,2,FALSE)</f>
        <v>A</v>
      </c>
      <c r="M125" s="121"/>
    </row>
    <row r="126" spans="1:13" x14ac:dyDescent="0.2">
      <c r="A126" t="s">
        <v>924</v>
      </c>
      <c r="B126" t="s">
        <v>925</v>
      </c>
      <c r="C126" t="str">
        <f>IF(ISERROR(MATCH(A126,'SegEnds_Xtal_Prot#'!B:B, 0)), "NoXtal", "Xtal")</f>
        <v>Xtal</v>
      </c>
      <c r="D126" t="str">
        <f t="shared" si="1"/>
        <v>hcmva</v>
      </c>
      <c r="E126" t="str">
        <f>VLOOKUP(A126,Classification!A:B,2,FALSE)</f>
        <v>A</v>
      </c>
    </row>
    <row r="127" spans="1:13" x14ac:dyDescent="0.2">
      <c r="A127" t="s">
        <v>34</v>
      </c>
      <c r="B127" t="s">
        <v>488</v>
      </c>
      <c r="C127" t="str">
        <f>IF(ISERROR(MATCH(A127,'SegEnds_Xtal_Prot#'!B:B, 0)), "NoXtal", "Xtal")</f>
        <v>Xtal</v>
      </c>
      <c r="D127" t="str">
        <f t="shared" si="1"/>
        <v>human</v>
      </c>
      <c r="E127" t="str">
        <f>VLOOKUP(A127,Classification!A:B,2,FALSE)</f>
        <v>A</v>
      </c>
    </row>
    <row r="128" spans="1:13" x14ac:dyDescent="0.2">
      <c r="A128" t="s">
        <v>35</v>
      </c>
      <c r="B128" t="s">
        <v>493</v>
      </c>
      <c r="C128" t="str">
        <f>IF(ISERROR(MATCH(A128,'SegEnds_Xtal_Prot#'!B:B, 0)), "NoXtal", "Xtal")</f>
        <v>Xtal</v>
      </c>
      <c r="D128" t="str">
        <f t="shared" si="1"/>
        <v>human</v>
      </c>
      <c r="E128" t="str">
        <f>VLOOKUP(A128,Classification!A:B,2,FALSE)</f>
        <v>A</v>
      </c>
    </row>
    <row r="129" spans="1:5" x14ac:dyDescent="0.2">
      <c r="A129" t="s">
        <v>146</v>
      </c>
      <c r="B129" t="s">
        <v>499</v>
      </c>
      <c r="C129" t="str">
        <f>IF(ISERROR(MATCH(A129,'SegEnds_Xtal_Prot#'!B:B, 0)), "NoXtal", "Xtal")</f>
        <v>Xtal</v>
      </c>
      <c r="D129" t="str">
        <f t="shared" si="1"/>
        <v>human</v>
      </c>
      <c r="E129" t="str">
        <f>VLOOKUP(A129,Classification!A:B,2,FALSE)</f>
        <v>A</v>
      </c>
    </row>
    <row r="130" spans="1:5" x14ac:dyDescent="0.2">
      <c r="A130" t="s">
        <v>147</v>
      </c>
      <c r="B130" t="s">
        <v>500</v>
      </c>
      <c r="C130" t="str">
        <f>IF(ISERROR(MATCH(A130,'SegEnds_Xtal_Prot#'!B:B, 0)), "NoXtal", "Xtal")</f>
        <v>Xtal</v>
      </c>
      <c r="D130" t="str">
        <f t="shared" si="1"/>
        <v>human</v>
      </c>
      <c r="E130" t="str">
        <f>VLOOKUP(A130,Classification!A:B,2,FALSE)</f>
        <v>A</v>
      </c>
    </row>
    <row r="131" spans="1:5" x14ac:dyDescent="0.2">
      <c r="A131" t="s">
        <v>149</v>
      </c>
      <c r="B131" t="s">
        <v>503</v>
      </c>
      <c r="C131" t="str">
        <f>IF(ISERROR(MATCH(A131,'SegEnds_Xtal_Prot#'!B:B, 0)), "NoXtal", "Xtal")</f>
        <v>Xtal</v>
      </c>
      <c r="D131" t="str">
        <f t="shared" si="1"/>
        <v>human</v>
      </c>
      <c r="E131" t="str">
        <f>VLOOKUP(A131,Classification!A:B,2,FALSE)</f>
        <v>A</v>
      </c>
    </row>
    <row r="132" spans="1:5" x14ac:dyDescent="0.2">
      <c r="A132" t="s">
        <v>126</v>
      </c>
      <c r="B132" t="s">
        <v>512</v>
      </c>
      <c r="C132" t="str">
        <f>IF(ISERROR(MATCH(A132,'SegEnds_Xtal_Prot#'!B:B, 0)), "NoXtal", "Xtal")</f>
        <v>Xtal</v>
      </c>
      <c r="D132" t="str">
        <f t="shared" si="1"/>
        <v>human</v>
      </c>
      <c r="E132" t="str">
        <f>VLOOKUP(A132,Classification!A:B,2,FALSE)</f>
        <v>A</v>
      </c>
    </row>
    <row r="133" spans="1:5" x14ac:dyDescent="0.2">
      <c r="A133" t="s">
        <v>192</v>
      </c>
      <c r="B133" t="s">
        <v>515</v>
      </c>
      <c r="C133" t="str">
        <f>IF(ISERROR(MATCH(A133,'SegEnds_Xtal_Prot#'!B:B, 0)), "NoXtal", "Xtal")</f>
        <v>Xtal</v>
      </c>
      <c r="D133" t="str">
        <f t="shared" si="1"/>
        <v>human</v>
      </c>
      <c r="E133" t="str">
        <f>VLOOKUP(A133,Classification!A:B,2,FALSE)</f>
        <v>A</v>
      </c>
    </row>
    <row r="134" spans="1:5" x14ac:dyDescent="0.2">
      <c r="A134" t="s">
        <v>278</v>
      </c>
      <c r="B134" t="s">
        <v>518</v>
      </c>
      <c r="C134" t="str">
        <f>IF(ISERROR(MATCH(A134,'SegEnds_Xtal_Prot#'!B:B, 0)), "NoXtal", "Xtal")</f>
        <v>Xtal</v>
      </c>
      <c r="D134" t="str">
        <f t="shared" si="1"/>
        <v>human</v>
      </c>
      <c r="E134" t="str">
        <f>VLOOKUP(A134,Classification!A:B,2,FALSE)</f>
        <v>A</v>
      </c>
    </row>
    <row r="135" spans="1:5" x14ac:dyDescent="0.2">
      <c r="A135" t="s">
        <v>158</v>
      </c>
      <c r="B135" t="s">
        <v>523</v>
      </c>
      <c r="C135" t="str">
        <f>IF(ISERROR(MATCH(A135,'SegEnds_Xtal_Prot#'!B:B, 0)), "NoXtal", "Xtal")</f>
        <v>Xtal</v>
      </c>
      <c r="D135" t="str">
        <f t="shared" ref="D135:D198" si="2">MID(A135,FIND("_",A135)+1,LEN(A135)-FIND("_",A135))</f>
        <v>human</v>
      </c>
      <c r="E135" t="str">
        <f>VLOOKUP(A135,Classification!A:B,2,FALSE)</f>
        <v>A</v>
      </c>
    </row>
    <row r="136" spans="1:5" x14ac:dyDescent="0.2">
      <c r="A136" t="s">
        <v>335</v>
      </c>
      <c r="B136" t="s">
        <v>571</v>
      </c>
      <c r="C136" t="str">
        <f>IF(ISERROR(MATCH(A136,'SegEnds_Xtal_Prot#'!B:B, 0)), "NoXtal", "Xtal")</f>
        <v>Xtal</v>
      </c>
      <c r="D136" t="str">
        <f t="shared" si="2"/>
        <v>human</v>
      </c>
      <c r="E136" t="str">
        <f>VLOOKUP(A136,Classification!A:B,2,FALSE)</f>
        <v>A</v>
      </c>
    </row>
    <row r="137" spans="1:5" x14ac:dyDescent="0.2">
      <c r="A137" t="s">
        <v>336</v>
      </c>
      <c r="B137" t="s">
        <v>572</v>
      </c>
      <c r="C137" t="str">
        <f>IF(ISERROR(MATCH(A137,'SegEnds_Xtal_Prot#'!B:B, 0)), "NoXtal", "Xtal")</f>
        <v>Xtal</v>
      </c>
      <c r="D137" t="str">
        <f t="shared" si="2"/>
        <v>human</v>
      </c>
      <c r="E137" t="str">
        <f>VLOOKUP(A137,Classification!A:B,2,FALSE)</f>
        <v>A</v>
      </c>
    </row>
    <row r="138" spans="1:5" x14ac:dyDescent="0.2">
      <c r="A138" t="s">
        <v>1174</v>
      </c>
      <c r="B138" t="s">
        <v>574</v>
      </c>
      <c r="C138" t="str">
        <f>IF(ISERROR(MATCH(A138,'SegEnds_Xtal_Prot#'!B:B, 0)), "NoXtal", "Xtal")</f>
        <v>Xtal</v>
      </c>
      <c r="D138" t="str">
        <f t="shared" si="2"/>
        <v>human</v>
      </c>
      <c r="E138" t="str">
        <f>VLOOKUP(A138,Classification!A:B,2,FALSE)</f>
        <v>A</v>
      </c>
    </row>
    <row r="139" spans="1:5" x14ac:dyDescent="0.2">
      <c r="A139" t="s">
        <v>1175</v>
      </c>
      <c r="B139" t="s">
        <v>575</v>
      </c>
      <c r="C139" t="str">
        <f>IF(ISERROR(MATCH(A139,'SegEnds_Xtal_Prot#'!B:B, 0)), "NoXtal", "Xtal")</f>
        <v>Xtal</v>
      </c>
      <c r="D139" t="str">
        <f t="shared" si="2"/>
        <v>human</v>
      </c>
      <c r="E139" t="str">
        <f>VLOOKUP(A139,Classification!A:B,2,FALSE)</f>
        <v>A</v>
      </c>
    </row>
    <row r="140" spans="1:5" x14ac:dyDescent="0.2">
      <c r="A140" t="s">
        <v>1176</v>
      </c>
      <c r="B140" t="s">
        <v>576</v>
      </c>
      <c r="C140" t="str">
        <f>IF(ISERROR(MATCH(A140,'SegEnds_Xtal_Prot#'!B:B, 0)), "NoXtal", "Xtal")</f>
        <v>Xtal</v>
      </c>
      <c r="D140" t="str">
        <f t="shared" si="2"/>
        <v>human</v>
      </c>
      <c r="E140" t="str">
        <f>VLOOKUP(A140,Classification!A:B,2,FALSE)</f>
        <v>A</v>
      </c>
    </row>
    <row r="141" spans="1:5" x14ac:dyDescent="0.2">
      <c r="A141" t="s">
        <v>355</v>
      </c>
      <c r="B141" t="s">
        <v>579</v>
      </c>
      <c r="C141" t="str">
        <f>IF(ISERROR(MATCH(A141,'SegEnds_Xtal_Prot#'!B:B, 0)), "NoXtal", "Xtal")</f>
        <v>Xtal</v>
      </c>
      <c r="D141" t="str">
        <f t="shared" si="2"/>
        <v>human</v>
      </c>
      <c r="E141" t="str">
        <f>VLOOKUP(A141,Classification!A:B,2,FALSE)</f>
        <v>A</v>
      </c>
    </row>
    <row r="142" spans="1:5" x14ac:dyDescent="0.2">
      <c r="A142" t="s">
        <v>173</v>
      </c>
      <c r="B142" t="s">
        <v>607</v>
      </c>
      <c r="C142" t="str">
        <f>IF(ISERROR(MATCH(A142,'SegEnds_Xtal_Prot#'!B:B, 0)), "NoXtal", "Xtal")</f>
        <v>Xtal</v>
      </c>
      <c r="D142" t="str">
        <f t="shared" si="2"/>
        <v>human</v>
      </c>
      <c r="E142" t="str">
        <f>VLOOKUP(A142,Classification!A:B,2,FALSE)</f>
        <v>A</v>
      </c>
    </row>
    <row r="143" spans="1:5" x14ac:dyDescent="0.2">
      <c r="A143" t="s">
        <v>1172</v>
      </c>
      <c r="B143" t="s">
        <v>617</v>
      </c>
      <c r="C143" t="str">
        <f>IF(ISERROR(MATCH(A143,'SegEnds_Xtal_Prot#'!B:B, 0)), "NoXtal", "Xtal")</f>
        <v>Xtal</v>
      </c>
      <c r="D143" t="str">
        <f t="shared" si="2"/>
        <v>human</v>
      </c>
      <c r="E143" t="str">
        <f>VLOOKUP(A143,Classification!A:B,2,FALSE)</f>
        <v>A</v>
      </c>
    </row>
    <row r="144" spans="1:5" x14ac:dyDescent="0.2">
      <c r="A144" t="s">
        <v>1173</v>
      </c>
      <c r="B144" t="s">
        <v>633</v>
      </c>
      <c r="C144" t="str">
        <f>IF(ISERROR(MATCH(A144,'SegEnds_Xtal_Prot#'!B:B, 0)), "NoXtal", "Xtal")</f>
        <v>Xtal</v>
      </c>
      <c r="D144" t="str">
        <f t="shared" si="2"/>
        <v>human</v>
      </c>
      <c r="E144" t="str">
        <f>VLOOKUP(A144,Classification!A:B,2,FALSE)</f>
        <v>A</v>
      </c>
    </row>
    <row r="145" spans="1:5" x14ac:dyDescent="0.2">
      <c r="A145" t="s">
        <v>103</v>
      </c>
      <c r="B145" t="s">
        <v>643</v>
      </c>
      <c r="C145" t="str">
        <f>IF(ISERROR(MATCH(A145,'SegEnds_Xtal_Prot#'!B:B, 0)), "NoXtal", "Xtal")</f>
        <v>Xtal</v>
      </c>
      <c r="D145" t="str">
        <f t="shared" si="2"/>
        <v>human</v>
      </c>
      <c r="E145" t="str">
        <f>VLOOKUP(A145,Classification!A:B,2,FALSE)</f>
        <v>A</v>
      </c>
    </row>
    <row r="146" spans="1:5" x14ac:dyDescent="0.2">
      <c r="A146" t="s">
        <v>104</v>
      </c>
      <c r="B146" t="s">
        <v>649</v>
      </c>
      <c r="C146" t="str">
        <f>IF(ISERROR(MATCH(A146,'SegEnds_Xtal_Prot#'!B:B, 0)), "NoXtal", "Xtal")</f>
        <v>Xtal</v>
      </c>
      <c r="D146" t="str">
        <f t="shared" si="2"/>
        <v>human</v>
      </c>
      <c r="E146" t="str">
        <f>VLOOKUP(A146,Classification!A:B,2,FALSE)</f>
        <v>A</v>
      </c>
    </row>
    <row r="147" spans="1:5" x14ac:dyDescent="0.2">
      <c r="A147" t="s">
        <v>139</v>
      </c>
      <c r="B147" t="s">
        <v>672</v>
      </c>
      <c r="C147" t="str">
        <f>IF(ISERROR(MATCH(A147,'SegEnds_Xtal_Prot#'!B:B, 0)), "NoXtal", "Xtal")</f>
        <v>Xtal</v>
      </c>
      <c r="D147" t="str">
        <f t="shared" si="2"/>
        <v>human</v>
      </c>
      <c r="E147" t="str">
        <f>VLOOKUP(A147,Classification!A:B,2,FALSE)</f>
        <v>A</v>
      </c>
    </row>
    <row r="148" spans="1:5" x14ac:dyDescent="0.2">
      <c r="A148" t="s">
        <v>345</v>
      </c>
      <c r="B148" t="s">
        <v>675</v>
      </c>
      <c r="C148" t="str">
        <f>IF(ISERROR(MATCH(A148,'SegEnds_Xtal_Prot#'!B:B, 0)), "NoXtal", "Xtal")</f>
        <v>Xtal</v>
      </c>
      <c r="D148" t="str">
        <f t="shared" si="2"/>
        <v>human</v>
      </c>
      <c r="E148" t="str">
        <f>VLOOKUP(A148,Classification!A:B,2,FALSE)</f>
        <v>A</v>
      </c>
    </row>
    <row r="149" spans="1:5" x14ac:dyDescent="0.2">
      <c r="A149" t="s">
        <v>352</v>
      </c>
      <c r="B149" t="s">
        <v>680</v>
      </c>
      <c r="C149" t="str">
        <f>IF(ISERROR(MATCH(A149,'SegEnds_Xtal_Prot#'!B:B, 0)), "NoXtal", "Xtal")</f>
        <v>Xtal</v>
      </c>
      <c r="D149" t="str">
        <f t="shared" si="2"/>
        <v>human</v>
      </c>
      <c r="E149" t="str">
        <f>VLOOKUP(A149,Classification!A:B,2,FALSE)</f>
        <v>A</v>
      </c>
    </row>
    <row r="150" spans="1:5" x14ac:dyDescent="0.2">
      <c r="A150" t="s">
        <v>339</v>
      </c>
      <c r="B150" t="s">
        <v>690</v>
      </c>
      <c r="C150" t="str">
        <f>IF(ISERROR(MATCH(A150,'SegEnds_Xtal_Prot#'!B:B, 0)), "NoXtal", "Xtal")</f>
        <v>Xtal</v>
      </c>
      <c r="D150" t="str">
        <f t="shared" si="2"/>
        <v>human</v>
      </c>
      <c r="E150" t="str">
        <f>VLOOKUP(A150,Classification!A:B,2,FALSE)</f>
        <v>A</v>
      </c>
    </row>
    <row r="151" spans="1:5" x14ac:dyDescent="0.2">
      <c r="A151" t="s">
        <v>128</v>
      </c>
      <c r="B151" t="s">
        <v>487</v>
      </c>
      <c r="C151" t="str">
        <f>IF(ISERROR(MATCH(A151,'SegEnds_Xtal_Prot#'!B:B, 0)), "NoXtal", "Xtal")</f>
        <v>NoXtal</v>
      </c>
      <c r="D151" t="str">
        <f t="shared" si="2"/>
        <v>human</v>
      </c>
      <c r="E151" t="str">
        <f>VLOOKUP(A151,Classification!A:B,2,FALSE)</f>
        <v>A</v>
      </c>
    </row>
    <row r="152" spans="1:5" x14ac:dyDescent="0.2">
      <c r="A152" t="s">
        <v>129</v>
      </c>
      <c r="B152" t="s">
        <v>489</v>
      </c>
      <c r="C152" t="str">
        <f>IF(ISERROR(MATCH(A152,'SegEnds_Xtal_Prot#'!B:B, 0)), "NoXtal", "Xtal")</f>
        <v>NoXtal</v>
      </c>
      <c r="D152" t="str">
        <f t="shared" si="2"/>
        <v>human</v>
      </c>
      <c r="E152" t="str">
        <f>VLOOKUP(A152,Classification!A:B,2,FALSE)</f>
        <v>A</v>
      </c>
    </row>
    <row r="153" spans="1:5" x14ac:dyDescent="0.2">
      <c r="A153" t="s">
        <v>130</v>
      </c>
      <c r="B153" t="s">
        <v>490</v>
      </c>
      <c r="C153" t="str">
        <f>IF(ISERROR(MATCH(A153,'SegEnds_Xtal_Prot#'!B:B, 0)), "NoXtal", "Xtal")</f>
        <v>NoXtal</v>
      </c>
      <c r="D153" t="str">
        <f t="shared" si="2"/>
        <v>human</v>
      </c>
      <c r="E153" t="str">
        <f>VLOOKUP(A153,Classification!A:B,2,FALSE)</f>
        <v>A</v>
      </c>
    </row>
    <row r="154" spans="1:5" x14ac:dyDescent="0.2">
      <c r="A154" t="s">
        <v>131</v>
      </c>
      <c r="B154" t="s">
        <v>491</v>
      </c>
      <c r="C154" t="str">
        <f>IF(ISERROR(MATCH(A154,'SegEnds_Xtal_Prot#'!B:B, 0)), "NoXtal", "Xtal")</f>
        <v>NoXtal</v>
      </c>
      <c r="D154" t="str">
        <f t="shared" si="2"/>
        <v>human</v>
      </c>
      <c r="E154" t="str">
        <f>VLOOKUP(A154,Classification!A:B,2,FALSE)</f>
        <v>A</v>
      </c>
    </row>
    <row r="155" spans="1:5" x14ac:dyDescent="0.2">
      <c r="A155" t="s">
        <v>132</v>
      </c>
      <c r="B155" t="s">
        <v>492</v>
      </c>
      <c r="C155" t="str">
        <f>IF(ISERROR(MATCH(A155,'SegEnds_Xtal_Prot#'!B:B, 0)), "NoXtal", "Xtal")</f>
        <v>NoXtal</v>
      </c>
      <c r="D155" t="str">
        <f t="shared" si="2"/>
        <v>human</v>
      </c>
      <c r="E155" t="str">
        <f>VLOOKUP(A155,Classification!A:B,2,FALSE)</f>
        <v>A</v>
      </c>
    </row>
    <row r="156" spans="1:5" x14ac:dyDescent="0.2">
      <c r="A156" t="s">
        <v>133</v>
      </c>
      <c r="B156" t="s">
        <v>494</v>
      </c>
      <c r="C156" t="str">
        <f>IF(ISERROR(MATCH(A156,'SegEnds_Xtal_Prot#'!B:B, 0)), "NoXtal", "Xtal")</f>
        <v>Xtal</v>
      </c>
      <c r="D156" t="str">
        <f t="shared" si="2"/>
        <v>human</v>
      </c>
      <c r="E156" t="str">
        <f>VLOOKUP(A156,Classification!A:B,2,FALSE)</f>
        <v>A</v>
      </c>
    </row>
    <row r="157" spans="1:5" x14ac:dyDescent="0.2">
      <c r="A157" t="s">
        <v>134</v>
      </c>
      <c r="B157" t="s">
        <v>495</v>
      </c>
      <c r="C157" t="str">
        <f>IF(ISERROR(MATCH(A157,'SegEnds_Xtal_Prot#'!B:B, 0)), "NoXtal", "Xtal")</f>
        <v>NoXtal</v>
      </c>
      <c r="D157" t="str">
        <f t="shared" si="2"/>
        <v>human</v>
      </c>
      <c r="E157" t="str">
        <f>VLOOKUP(A157,Classification!A:B,2,FALSE)</f>
        <v>A</v>
      </c>
    </row>
    <row r="158" spans="1:5" x14ac:dyDescent="0.2">
      <c r="A158" t="s">
        <v>135</v>
      </c>
      <c r="B158" t="s">
        <v>496</v>
      </c>
      <c r="C158" t="str">
        <f>IF(ISERROR(MATCH(A158,'SegEnds_Xtal_Prot#'!B:B, 0)), "NoXtal", "Xtal")</f>
        <v>NoXtal</v>
      </c>
      <c r="D158" t="str">
        <f t="shared" si="2"/>
        <v>human</v>
      </c>
      <c r="E158" t="str">
        <f>VLOOKUP(A158,Classification!A:B,2,FALSE)</f>
        <v>A</v>
      </c>
    </row>
    <row r="159" spans="1:5" x14ac:dyDescent="0.2">
      <c r="A159" t="s">
        <v>136</v>
      </c>
      <c r="B159" t="s">
        <v>497</v>
      </c>
      <c r="C159" t="str">
        <f>IF(ISERROR(MATCH(A159,'SegEnds_Xtal_Prot#'!B:B, 0)), "NoXtal", "Xtal")</f>
        <v>NoXtal</v>
      </c>
      <c r="D159" t="str">
        <f t="shared" si="2"/>
        <v>human</v>
      </c>
      <c r="E159" t="str">
        <f>VLOOKUP(A159,Classification!A:B,2,FALSE)</f>
        <v>A</v>
      </c>
    </row>
    <row r="160" spans="1:5" x14ac:dyDescent="0.2">
      <c r="A160" t="s">
        <v>137</v>
      </c>
      <c r="B160" t="s">
        <v>498</v>
      </c>
      <c r="C160" t="str">
        <f>IF(ISERROR(MATCH(A160,'SegEnds_Xtal_Prot#'!B:B, 0)), "NoXtal", "Xtal")</f>
        <v>NoXtal</v>
      </c>
      <c r="D160" t="str">
        <f t="shared" si="2"/>
        <v>human</v>
      </c>
      <c r="E160" t="str">
        <f>VLOOKUP(A160,Classification!A:B,2,FALSE)</f>
        <v>A</v>
      </c>
    </row>
    <row r="161" spans="1:5" x14ac:dyDescent="0.2">
      <c r="A161" t="s">
        <v>191</v>
      </c>
      <c r="B161" t="s">
        <v>501</v>
      </c>
      <c r="C161" t="str">
        <f>IF(ISERROR(MATCH(A161,'SegEnds_Xtal_Prot#'!B:B, 0)), "NoXtal", "Xtal")</f>
        <v>Xtal</v>
      </c>
      <c r="D161" t="str">
        <f t="shared" si="2"/>
        <v>human</v>
      </c>
      <c r="E161" t="str">
        <f>VLOOKUP(A161,Classification!A:B,2,FALSE)</f>
        <v>A</v>
      </c>
    </row>
    <row r="162" spans="1:5" x14ac:dyDescent="0.2">
      <c r="A162" t="s">
        <v>148</v>
      </c>
      <c r="B162" t="s">
        <v>502</v>
      </c>
      <c r="C162" t="str">
        <f>IF(ISERROR(MATCH(A162,'SegEnds_Xtal_Prot#'!B:B, 0)), "NoXtal", "Xtal")</f>
        <v>NoXtal</v>
      </c>
      <c r="D162" t="str">
        <f t="shared" si="2"/>
        <v>human</v>
      </c>
      <c r="E162" t="str">
        <f>VLOOKUP(A162,Classification!A:B,2,FALSE)</f>
        <v>A</v>
      </c>
    </row>
    <row r="163" spans="1:5" x14ac:dyDescent="0.2">
      <c r="A163" t="s">
        <v>150</v>
      </c>
      <c r="B163" t="s">
        <v>504</v>
      </c>
      <c r="C163" t="str">
        <f>IF(ISERROR(MATCH(A163,'SegEnds_Xtal_Prot#'!B:B, 0)), "NoXtal", "Xtal")</f>
        <v>NoXtal</v>
      </c>
      <c r="D163" t="str">
        <f t="shared" si="2"/>
        <v>human</v>
      </c>
      <c r="E163" t="str">
        <f>VLOOKUP(A163,Classification!A:B,2,FALSE)</f>
        <v>A</v>
      </c>
    </row>
    <row r="164" spans="1:5" x14ac:dyDescent="0.2">
      <c r="A164" t="s">
        <v>152</v>
      </c>
      <c r="B164" t="s">
        <v>505</v>
      </c>
      <c r="C164" t="str">
        <f>IF(ISERROR(MATCH(A164,'SegEnds_Xtal_Prot#'!B:B, 0)), "NoXtal", "Xtal")</f>
        <v>NoXtal</v>
      </c>
      <c r="D164" t="str">
        <f t="shared" si="2"/>
        <v>human</v>
      </c>
      <c r="E164" t="str">
        <f>VLOOKUP(A164,Classification!A:B,2,FALSE)</f>
        <v>A</v>
      </c>
    </row>
    <row r="165" spans="1:5" x14ac:dyDescent="0.2">
      <c r="A165" t="s">
        <v>153</v>
      </c>
      <c r="B165" t="s">
        <v>506</v>
      </c>
      <c r="C165" t="str">
        <f>IF(ISERROR(MATCH(A165,'SegEnds_Xtal_Prot#'!B:B, 0)), "NoXtal", "Xtal")</f>
        <v>NoXtal</v>
      </c>
      <c r="D165" t="str">
        <f t="shared" si="2"/>
        <v>human</v>
      </c>
      <c r="E165" t="str">
        <f>VLOOKUP(A165,Classification!A:B,2,FALSE)</f>
        <v>A</v>
      </c>
    </row>
    <row r="166" spans="1:5" x14ac:dyDescent="0.2">
      <c r="A166" t="s">
        <v>154</v>
      </c>
      <c r="B166" t="s">
        <v>507</v>
      </c>
      <c r="C166" t="str">
        <f>IF(ISERROR(MATCH(A166,'SegEnds_Xtal_Prot#'!B:B, 0)), "NoXtal", "Xtal")</f>
        <v>NoXtal</v>
      </c>
      <c r="D166" t="str">
        <f t="shared" si="2"/>
        <v>human</v>
      </c>
      <c r="E166" t="str">
        <f>VLOOKUP(A166,Classification!A:B,2,FALSE)</f>
        <v>A</v>
      </c>
    </row>
    <row r="167" spans="1:5" x14ac:dyDescent="0.2">
      <c r="A167" t="s">
        <v>155</v>
      </c>
      <c r="B167" t="s">
        <v>508</v>
      </c>
      <c r="C167" t="str">
        <f>IF(ISERROR(MATCH(A167,'SegEnds_Xtal_Prot#'!B:B, 0)), "NoXtal", "Xtal")</f>
        <v>NoXtal</v>
      </c>
      <c r="D167" t="str">
        <f t="shared" si="2"/>
        <v>human</v>
      </c>
      <c r="E167" t="str">
        <f>VLOOKUP(A167,Classification!A:B,2,FALSE)</f>
        <v>A</v>
      </c>
    </row>
    <row r="168" spans="1:5" x14ac:dyDescent="0.2">
      <c r="A168" t="s">
        <v>156</v>
      </c>
      <c r="B168" t="s">
        <v>509</v>
      </c>
      <c r="C168" t="str">
        <f>IF(ISERROR(MATCH(A168,'SegEnds_Xtal_Prot#'!B:B, 0)), "NoXtal", "Xtal")</f>
        <v>NoXtal</v>
      </c>
      <c r="D168" t="str">
        <f t="shared" si="2"/>
        <v>human</v>
      </c>
      <c r="E168" t="str">
        <f>VLOOKUP(A168,Classification!A:B,2,FALSE)</f>
        <v>A</v>
      </c>
    </row>
    <row r="169" spans="1:5" x14ac:dyDescent="0.2">
      <c r="A169" t="s">
        <v>157</v>
      </c>
      <c r="B169" t="s">
        <v>510</v>
      </c>
      <c r="C169" t="str">
        <f>IF(ISERROR(MATCH(A169,'SegEnds_Xtal_Prot#'!B:B, 0)), "NoXtal", "Xtal")</f>
        <v>NoXtal</v>
      </c>
      <c r="D169" t="str">
        <f t="shared" si="2"/>
        <v>human</v>
      </c>
      <c r="E169" t="str">
        <f>VLOOKUP(A169,Classification!A:B,2,FALSE)</f>
        <v>A</v>
      </c>
    </row>
    <row r="170" spans="1:5" x14ac:dyDescent="0.2">
      <c r="A170" t="s">
        <v>125</v>
      </c>
      <c r="B170" t="s">
        <v>511</v>
      </c>
      <c r="C170" t="str">
        <f>IF(ISERROR(MATCH(A170,'SegEnds_Xtal_Prot#'!B:B, 0)), "NoXtal", "Xtal")</f>
        <v>NoXtal</v>
      </c>
      <c r="D170" t="str">
        <f t="shared" si="2"/>
        <v>human</v>
      </c>
      <c r="E170" t="str">
        <f>VLOOKUP(A170,Classification!A:B,2,FALSE)</f>
        <v>A</v>
      </c>
    </row>
    <row r="171" spans="1:5" x14ac:dyDescent="0.2">
      <c r="A171" t="s">
        <v>102</v>
      </c>
      <c r="B171" t="s">
        <v>513</v>
      </c>
      <c r="C171" t="str">
        <f>IF(ISERROR(MATCH(A171,'SegEnds_Xtal_Prot#'!B:B, 0)), "NoXtal", "Xtal")</f>
        <v>NoXtal</v>
      </c>
      <c r="D171" t="str">
        <f t="shared" si="2"/>
        <v>human</v>
      </c>
      <c r="E171" t="str">
        <f>VLOOKUP(A171,Classification!A:B,2,FALSE)</f>
        <v>A</v>
      </c>
    </row>
    <row r="172" spans="1:5" x14ac:dyDescent="0.2">
      <c r="A172" t="s">
        <v>190</v>
      </c>
      <c r="B172" t="s">
        <v>514</v>
      </c>
      <c r="C172" t="str">
        <f>IF(ISERROR(MATCH(A172,'SegEnds_Xtal_Prot#'!B:B, 0)), "NoXtal", "Xtal")</f>
        <v>NoXtal</v>
      </c>
      <c r="D172" t="str">
        <f t="shared" si="2"/>
        <v>human</v>
      </c>
      <c r="E172" t="str">
        <f>VLOOKUP(A172,Classification!A:B,2,FALSE)</f>
        <v>A</v>
      </c>
    </row>
    <row r="173" spans="1:5" x14ac:dyDescent="0.2">
      <c r="A173" t="s">
        <v>193</v>
      </c>
      <c r="B173" t="s">
        <v>516</v>
      </c>
      <c r="C173" t="str">
        <f>IF(ISERROR(MATCH(A173,'SegEnds_Xtal_Prot#'!B:B, 0)), "NoXtal", "Xtal")</f>
        <v>Xtal</v>
      </c>
      <c r="D173" t="str">
        <f t="shared" si="2"/>
        <v>human</v>
      </c>
      <c r="E173" t="str">
        <f>VLOOKUP(A173,Classification!A:B,2,FALSE)</f>
        <v>A</v>
      </c>
    </row>
    <row r="174" spans="1:5" x14ac:dyDescent="0.2">
      <c r="A174" t="s">
        <v>194</v>
      </c>
      <c r="B174" t="s">
        <v>517</v>
      </c>
      <c r="C174" t="str">
        <f>IF(ISERROR(MATCH(A174,'SegEnds_Xtal_Prot#'!B:B, 0)), "NoXtal", "Xtal")</f>
        <v>NoXtal</v>
      </c>
      <c r="D174" t="str">
        <f t="shared" si="2"/>
        <v>human</v>
      </c>
      <c r="E174" t="str">
        <f>VLOOKUP(A174,Classification!A:B,2,FALSE)</f>
        <v>A</v>
      </c>
    </row>
    <row r="175" spans="1:5" x14ac:dyDescent="0.2">
      <c r="A175" t="s">
        <v>279</v>
      </c>
      <c r="B175" t="s">
        <v>519</v>
      </c>
      <c r="C175" t="str">
        <f>IF(ISERROR(MATCH(A175,'SegEnds_Xtal_Prot#'!B:B, 0)), "NoXtal", "Xtal")</f>
        <v>NoXtal</v>
      </c>
      <c r="D175" t="str">
        <f t="shared" si="2"/>
        <v>human</v>
      </c>
      <c r="E175" t="str">
        <f>VLOOKUP(A175,Classification!A:B,2,FALSE)</f>
        <v>A</v>
      </c>
    </row>
    <row r="176" spans="1:5" x14ac:dyDescent="0.2">
      <c r="A176" t="s">
        <v>280</v>
      </c>
      <c r="B176" t="s">
        <v>520</v>
      </c>
      <c r="C176" t="str">
        <f>IF(ISERROR(MATCH(A176,'SegEnds_Xtal_Prot#'!B:B, 0)), "NoXtal", "Xtal")</f>
        <v>NoXtal</v>
      </c>
      <c r="D176" t="str">
        <f t="shared" si="2"/>
        <v>human</v>
      </c>
      <c r="E176" t="str">
        <f>VLOOKUP(A176,Classification!A:B,2,FALSE)</f>
        <v>A</v>
      </c>
    </row>
    <row r="177" spans="1:5" x14ac:dyDescent="0.2">
      <c r="A177" t="s">
        <v>281</v>
      </c>
      <c r="B177" t="s">
        <v>521</v>
      </c>
      <c r="C177" t="str">
        <f>IF(ISERROR(MATCH(A177,'SegEnds_Xtal_Prot#'!B:B, 0)), "NoXtal", "Xtal")</f>
        <v>NoXtal</v>
      </c>
      <c r="D177" t="str">
        <f t="shared" si="2"/>
        <v>human</v>
      </c>
      <c r="E177" t="str">
        <f>VLOOKUP(A177,Classification!A:B,2,FALSE)</f>
        <v>A</v>
      </c>
    </row>
    <row r="178" spans="1:5" x14ac:dyDescent="0.2">
      <c r="A178" t="s">
        <v>387</v>
      </c>
      <c r="B178" t="s">
        <v>522</v>
      </c>
      <c r="C178" t="str">
        <f>IF(ISERROR(MATCH(A178,'SegEnds_Xtal_Prot#'!B:B, 0)), "NoXtal", "Xtal")</f>
        <v>NoXtal</v>
      </c>
      <c r="D178" t="str">
        <f t="shared" si="2"/>
        <v>human</v>
      </c>
      <c r="E178" t="str">
        <f>VLOOKUP(A178,Classification!A:B,2,FALSE)</f>
        <v>A</v>
      </c>
    </row>
    <row r="179" spans="1:5" x14ac:dyDescent="0.2">
      <c r="A179" t="s">
        <v>159</v>
      </c>
      <c r="B179" t="s">
        <v>524</v>
      </c>
      <c r="C179" t="str">
        <f>IF(ISERROR(MATCH(A179,'SegEnds_Xtal_Prot#'!B:B, 0)), "NoXtal", "Xtal")</f>
        <v>Xtal</v>
      </c>
      <c r="D179" t="str">
        <f t="shared" si="2"/>
        <v>human</v>
      </c>
      <c r="E179" t="str">
        <f>VLOOKUP(A179,Classification!A:B,2,FALSE)</f>
        <v>A</v>
      </c>
    </row>
    <row r="180" spans="1:5" x14ac:dyDescent="0.2">
      <c r="A180" t="s">
        <v>160</v>
      </c>
      <c r="B180" t="s">
        <v>525</v>
      </c>
      <c r="C180" t="str">
        <f>IF(ISERROR(MATCH(A180,'SegEnds_Xtal_Prot#'!B:B, 0)), "NoXtal", "Xtal")</f>
        <v>Xtal</v>
      </c>
      <c r="D180" t="str">
        <f t="shared" si="2"/>
        <v>human</v>
      </c>
      <c r="E180" t="str">
        <f>VLOOKUP(A180,Classification!A:B,2,FALSE)</f>
        <v>A</v>
      </c>
    </row>
    <row r="181" spans="1:5" x14ac:dyDescent="0.2">
      <c r="A181" t="s">
        <v>317</v>
      </c>
      <c r="B181" t="s">
        <v>526</v>
      </c>
      <c r="C181" t="str">
        <f>IF(ISERROR(MATCH(A181,'SegEnds_Xtal_Prot#'!B:B, 0)), "NoXtal", "Xtal")</f>
        <v>NoXtal</v>
      </c>
      <c r="D181" t="str">
        <f t="shared" si="2"/>
        <v>human</v>
      </c>
      <c r="E181" t="str">
        <f>VLOOKUP(A181,Classification!A:B,2,FALSE)</f>
        <v>A</v>
      </c>
    </row>
    <row r="182" spans="1:5" x14ac:dyDescent="0.2">
      <c r="A182" t="s">
        <v>274</v>
      </c>
      <c r="B182" t="s">
        <v>527</v>
      </c>
      <c r="C182" t="str">
        <f>IF(ISERROR(MATCH(A182,'SegEnds_Xtal_Prot#'!B:B, 0)), "NoXtal", "Xtal")</f>
        <v>NoXtal</v>
      </c>
      <c r="D182" t="str">
        <f t="shared" si="2"/>
        <v>human</v>
      </c>
      <c r="E182" t="str">
        <f>VLOOKUP(A182,Classification!A:B,2,FALSE)</f>
        <v>A</v>
      </c>
    </row>
    <row r="183" spans="1:5" x14ac:dyDescent="0.2">
      <c r="A183" t="s">
        <v>163</v>
      </c>
      <c r="B183" t="s">
        <v>528</v>
      </c>
      <c r="C183" t="str">
        <f>IF(ISERROR(MATCH(A183,'SegEnds_Xtal_Prot#'!B:B, 0)), "NoXtal", "Xtal")</f>
        <v>NoXtal</v>
      </c>
      <c r="D183" t="str">
        <f t="shared" si="2"/>
        <v>human</v>
      </c>
      <c r="E183" t="str">
        <f>VLOOKUP(A183,Classification!A:B,2,FALSE)</f>
        <v>A</v>
      </c>
    </row>
    <row r="184" spans="1:5" x14ac:dyDescent="0.2">
      <c r="A184" t="s">
        <v>161</v>
      </c>
      <c r="B184" t="s">
        <v>529</v>
      </c>
      <c r="C184" t="str">
        <f>IF(ISERROR(MATCH(A184,'SegEnds_Xtal_Prot#'!B:B, 0)), "NoXtal", "Xtal")</f>
        <v>NoXtal</v>
      </c>
      <c r="D184" t="str">
        <f t="shared" si="2"/>
        <v>human</v>
      </c>
      <c r="E184" t="str">
        <f>VLOOKUP(A184,Classification!A:B,2,FALSE)</f>
        <v>A</v>
      </c>
    </row>
    <row r="185" spans="1:5" x14ac:dyDescent="0.2">
      <c r="A185" t="s">
        <v>162</v>
      </c>
      <c r="B185" t="s">
        <v>530</v>
      </c>
      <c r="C185" t="str">
        <f>IF(ISERROR(MATCH(A185,'SegEnds_Xtal_Prot#'!B:B, 0)), "NoXtal", "Xtal")</f>
        <v>NoXtal</v>
      </c>
      <c r="D185" t="str">
        <f t="shared" si="2"/>
        <v>human</v>
      </c>
      <c r="E185" t="str">
        <f>VLOOKUP(A185,Classification!A:B,2,FALSE)</f>
        <v>A</v>
      </c>
    </row>
    <row r="186" spans="1:5" x14ac:dyDescent="0.2">
      <c r="A186" t="s">
        <v>167</v>
      </c>
      <c r="B186" t="s">
        <v>531</v>
      </c>
      <c r="C186" t="str">
        <f>IF(ISERROR(MATCH(A186,'SegEnds_Xtal_Prot#'!B:B, 0)), "NoXtal", "Xtal")</f>
        <v>NoXtal</v>
      </c>
      <c r="D186" t="str">
        <f t="shared" si="2"/>
        <v>human</v>
      </c>
      <c r="E186" t="str">
        <f>VLOOKUP(A186,Classification!A:B,2,FALSE)</f>
        <v>A</v>
      </c>
    </row>
    <row r="187" spans="1:5" x14ac:dyDescent="0.2">
      <c r="A187" t="s">
        <v>208</v>
      </c>
      <c r="B187" t="s">
        <v>532</v>
      </c>
      <c r="C187" t="str">
        <f>IF(ISERROR(MATCH(A187,'SegEnds_Xtal_Prot#'!B:B, 0)), "NoXtal", "Xtal")</f>
        <v>NoXtal</v>
      </c>
      <c r="D187" t="str">
        <f t="shared" si="2"/>
        <v>human</v>
      </c>
      <c r="E187" t="str">
        <f>VLOOKUP(A187,Classification!A:B,2,FALSE)</f>
        <v>A</v>
      </c>
    </row>
    <row r="188" spans="1:5" x14ac:dyDescent="0.2">
      <c r="A188" t="s">
        <v>164</v>
      </c>
      <c r="B188" t="s">
        <v>533</v>
      </c>
      <c r="C188" t="str">
        <f>IF(ISERROR(MATCH(A188,'SegEnds_Xtal_Prot#'!B:B, 0)), "NoXtal", "Xtal")</f>
        <v>NoXtal</v>
      </c>
      <c r="D188" t="str">
        <f t="shared" si="2"/>
        <v>human</v>
      </c>
      <c r="E188" t="str">
        <f>VLOOKUP(A188,Classification!A:B,2,FALSE)</f>
        <v>A</v>
      </c>
    </row>
    <row r="189" spans="1:5" x14ac:dyDescent="0.2">
      <c r="A189" t="s">
        <v>165</v>
      </c>
      <c r="B189" t="s">
        <v>534</v>
      </c>
      <c r="C189" t="str">
        <f>IF(ISERROR(MATCH(A189,'SegEnds_Xtal_Prot#'!B:B, 0)), "NoXtal", "Xtal")</f>
        <v>Xtal</v>
      </c>
      <c r="D189" t="str">
        <f t="shared" si="2"/>
        <v>human</v>
      </c>
      <c r="E189" t="str">
        <f>VLOOKUP(A189,Classification!A:B,2,FALSE)</f>
        <v>A</v>
      </c>
    </row>
    <row r="190" spans="1:5" x14ac:dyDescent="0.2">
      <c r="A190" t="s">
        <v>166</v>
      </c>
      <c r="B190" t="s">
        <v>535</v>
      </c>
      <c r="C190" t="str">
        <f>IF(ISERROR(MATCH(A190,'SegEnds_Xtal_Prot#'!B:B, 0)), "NoXtal", "Xtal")</f>
        <v>NoXtal</v>
      </c>
      <c r="D190" t="str">
        <f t="shared" si="2"/>
        <v>human</v>
      </c>
      <c r="E190" t="str">
        <f>VLOOKUP(A190,Classification!A:B,2,FALSE)</f>
        <v>A</v>
      </c>
    </row>
    <row r="191" spans="1:5" x14ac:dyDescent="0.2">
      <c r="A191" t="s">
        <v>195</v>
      </c>
      <c r="B191" t="s">
        <v>536</v>
      </c>
      <c r="C191" t="str">
        <f>IF(ISERROR(MATCH(A191,'SegEnds_Xtal_Prot#'!B:B, 0)), "NoXtal", "Xtal")</f>
        <v>NoXtal</v>
      </c>
      <c r="D191" t="str">
        <f t="shared" si="2"/>
        <v>human</v>
      </c>
      <c r="E191" t="str">
        <f>VLOOKUP(A191,Classification!A:B,2,FALSE)</f>
        <v>A</v>
      </c>
    </row>
    <row r="192" spans="1:5" x14ac:dyDescent="0.2">
      <c r="A192" t="s">
        <v>196</v>
      </c>
      <c r="B192" t="s">
        <v>537</v>
      </c>
      <c r="C192" t="str">
        <f>IF(ISERROR(MATCH(A192,'SegEnds_Xtal_Prot#'!B:B, 0)), "NoXtal", "Xtal")</f>
        <v>Xtal</v>
      </c>
      <c r="D192" t="str">
        <f t="shared" si="2"/>
        <v>human</v>
      </c>
      <c r="E192" t="str">
        <f>VLOOKUP(A192,Classification!A:B,2,FALSE)</f>
        <v>A</v>
      </c>
    </row>
    <row r="193" spans="1:5" x14ac:dyDescent="0.2">
      <c r="A193" t="s">
        <v>201</v>
      </c>
      <c r="B193" t="s">
        <v>538</v>
      </c>
      <c r="C193" t="str">
        <f>IF(ISERROR(MATCH(A193,'SegEnds_Xtal_Prot#'!B:B, 0)), "NoXtal", "Xtal")</f>
        <v>NoXtal</v>
      </c>
      <c r="D193" t="str">
        <f t="shared" si="2"/>
        <v>human</v>
      </c>
      <c r="E193" t="str">
        <f>VLOOKUP(A193,Classification!A:B,2,FALSE)</f>
        <v>A</v>
      </c>
    </row>
    <row r="194" spans="1:5" x14ac:dyDescent="0.2">
      <c r="A194" t="s">
        <v>202</v>
      </c>
      <c r="B194" t="s">
        <v>539</v>
      </c>
      <c r="C194" t="str">
        <f>IF(ISERROR(MATCH(A194,'SegEnds_Xtal_Prot#'!B:B, 0)), "NoXtal", "Xtal")</f>
        <v>NoXtal</v>
      </c>
      <c r="D194" t="str">
        <f t="shared" si="2"/>
        <v>human</v>
      </c>
      <c r="E194" t="str">
        <f>VLOOKUP(A194,Classification!A:B,2,FALSE)</f>
        <v>A</v>
      </c>
    </row>
    <row r="195" spans="1:5" x14ac:dyDescent="0.2">
      <c r="A195" t="s">
        <v>203</v>
      </c>
      <c r="B195" t="s">
        <v>540</v>
      </c>
      <c r="C195" t="str">
        <f>IF(ISERROR(MATCH(A195,'SegEnds_Xtal_Prot#'!B:B, 0)), "NoXtal", "Xtal")</f>
        <v>NoXtal</v>
      </c>
      <c r="D195" t="str">
        <f t="shared" si="2"/>
        <v>human</v>
      </c>
      <c r="E195" t="str">
        <f>VLOOKUP(A195,Classification!A:B,2,FALSE)</f>
        <v>A</v>
      </c>
    </row>
    <row r="196" spans="1:5" x14ac:dyDescent="0.2">
      <c r="A196" t="s">
        <v>205</v>
      </c>
      <c r="B196" t="s">
        <v>541</v>
      </c>
      <c r="C196" t="str">
        <f>IF(ISERROR(MATCH(A196,'SegEnds_Xtal_Prot#'!B:B, 0)), "NoXtal", "Xtal")</f>
        <v>NoXtal</v>
      </c>
      <c r="D196" t="str">
        <f t="shared" si="2"/>
        <v>human</v>
      </c>
      <c r="E196" t="str">
        <f>VLOOKUP(A196,Classification!A:B,2,FALSE)</f>
        <v>A</v>
      </c>
    </row>
    <row r="197" spans="1:5" x14ac:dyDescent="0.2">
      <c r="A197" t="s">
        <v>206</v>
      </c>
      <c r="B197" t="s">
        <v>542</v>
      </c>
      <c r="C197" t="str">
        <f>IF(ISERROR(MATCH(A197,'SegEnds_Xtal_Prot#'!B:B, 0)), "NoXtal", "Xtal")</f>
        <v>NoXtal</v>
      </c>
      <c r="D197" t="str">
        <f t="shared" si="2"/>
        <v>human</v>
      </c>
      <c r="E197" t="str">
        <f>VLOOKUP(A197,Classification!A:B,2,FALSE)</f>
        <v>A</v>
      </c>
    </row>
    <row r="198" spans="1:5" x14ac:dyDescent="0.2">
      <c r="A198" t="s">
        <v>207</v>
      </c>
      <c r="B198" t="s">
        <v>543</v>
      </c>
      <c r="C198" t="str">
        <f>IF(ISERROR(MATCH(A198,'SegEnds_Xtal_Prot#'!B:B, 0)), "NoXtal", "Xtal")</f>
        <v>NoXtal</v>
      </c>
      <c r="D198" t="str">
        <f t="shared" si="2"/>
        <v>human</v>
      </c>
      <c r="E198" t="str">
        <f>VLOOKUP(A198,Classification!A:B,2,FALSE)</f>
        <v>A</v>
      </c>
    </row>
    <row r="199" spans="1:5" x14ac:dyDescent="0.2">
      <c r="A199" t="s">
        <v>209</v>
      </c>
      <c r="B199" t="s">
        <v>544</v>
      </c>
      <c r="C199" t="str">
        <f>IF(ISERROR(MATCH(A199,'SegEnds_Xtal_Prot#'!B:B, 0)), "NoXtal", "Xtal")</f>
        <v>NoXtal</v>
      </c>
      <c r="D199" t="str">
        <f t="shared" ref="D199:D262" si="3">MID(A199,FIND("_",A199)+1,LEN(A199)-FIND("_",A199))</f>
        <v>human</v>
      </c>
      <c r="E199" t="str">
        <f>VLOOKUP(A199,Classification!A:B,2,FALSE)</f>
        <v>A</v>
      </c>
    </row>
    <row r="200" spans="1:5" x14ac:dyDescent="0.2">
      <c r="A200" t="s">
        <v>210</v>
      </c>
      <c r="B200" t="s">
        <v>545</v>
      </c>
      <c r="C200" t="str">
        <f>IF(ISERROR(MATCH(A200,'SegEnds_Xtal_Prot#'!B:B, 0)), "NoXtal", "Xtal")</f>
        <v>NoXtal</v>
      </c>
      <c r="D200" t="str">
        <f t="shared" si="3"/>
        <v>human</v>
      </c>
      <c r="E200" t="str">
        <f>VLOOKUP(A200,Classification!A:B,2,FALSE)</f>
        <v>A</v>
      </c>
    </row>
    <row r="201" spans="1:5" x14ac:dyDescent="0.2">
      <c r="A201" t="s">
        <v>211</v>
      </c>
      <c r="B201" t="s">
        <v>546</v>
      </c>
      <c r="C201" t="str">
        <f>IF(ISERROR(MATCH(A201,'SegEnds_Xtal_Prot#'!B:B, 0)), "NoXtal", "Xtal")</f>
        <v>NoXtal</v>
      </c>
      <c r="D201" t="str">
        <f t="shared" si="3"/>
        <v>human</v>
      </c>
      <c r="E201" t="str">
        <f>VLOOKUP(A201,Classification!A:B,2,FALSE)</f>
        <v>A</v>
      </c>
    </row>
    <row r="202" spans="1:5" x14ac:dyDescent="0.2">
      <c r="A202" t="s">
        <v>282</v>
      </c>
      <c r="B202" t="s">
        <v>547</v>
      </c>
      <c r="C202" t="str">
        <f>IF(ISERROR(MATCH(A202,'SegEnds_Xtal_Prot#'!B:B, 0)), "NoXtal", "Xtal")</f>
        <v>NoXtal</v>
      </c>
      <c r="D202" t="str">
        <f t="shared" si="3"/>
        <v>human</v>
      </c>
      <c r="E202" t="str">
        <f>VLOOKUP(A202,Classification!A:B,2,FALSE)</f>
        <v>A</v>
      </c>
    </row>
    <row r="203" spans="1:5" x14ac:dyDescent="0.2">
      <c r="A203" t="s">
        <v>299</v>
      </c>
      <c r="B203" t="s">
        <v>548</v>
      </c>
      <c r="C203" t="str">
        <f>IF(ISERROR(MATCH(A203,'SegEnds_Xtal_Prot#'!B:B, 0)), "NoXtal", "Xtal")</f>
        <v>NoXtal</v>
      </c>
      <c r="D203" t="str">
        <f t="shared" si="3"/>
        <v>human</v>
      </c>
      <c r="E203" t="str">
        <f>VLOOKUP(A203,Classification!A:B,2,FALSE)</f>
        <v>A</v>
      </c>
    </row>
    <row r="204" spans="1:5" x14ac:dyDescent="0.2">
      <c r="A204" t="s">
        <v>300</v>
      </c>
      <c r="B204" t="s">
        <v>549</v>
      </c>
      <c r="C204" t="str">
        <f>IF(ISERROR(MATCH(A204,'SegEnds_Xtal_Prot#'!B:B, 0)), "NoXtal", "Xtal")</f>
        <v>NoXtal</v>
      </c>
      <c r="D204" t="str">
        <f t="shared" si="3"/>
        <v>human</v>
      </c>
      <c r="E204" t="str">
        <f>VLOOKUP(A204,Classification!A:B,2,FALSE)</f>
        <v>A</v>
      </c>
    </row>
    <row r="205" spans="1:5" x14ac:dyDescent="0.2">
      <c r="A205" t="s">
        <v>309</v>
      </c>
      <c r="B205" t="s">
        <v>550</v>
      </c>
      <c r="C205" t="str">
        <f>IF(ISERROR(MATCH(A205,'SegEnds_Xtal_Prot#'!B:B, 0)), "NoXtal", "Xtal")</f>
        <v>NoXtal</v>
      </c>
      <c r="D205" t="str">
        <f t="shared" si="3"/>
        <v>human</v>
      </c>
      <c r="E205" t="str">
        <f>VLOOKUP(A205,Classification!A:B,2,FALSE)</f>
        <v>A</v>
      </c>
    </row>
    <row r="206" spans="1:5" x14ac:dyDescent="0.2">
      <c r="A206" t="s">
        <v>151</v>
      </c>
      <c r="B206" t="s">
        <v>551</v>
      </c>
      <c r="C206" t="str">
        <f>IF(ISERROR(MATCH(A206,'SegEnds_Xtal_Prot#'!B:B, 0)), "NoXtal", "Xtal")</f>
        <v>NoXtal</v>
      </c>
      <c r="D206" t="str">
        <f t="shared" si="3"/>
        <v>human</v>
      </c>
      <c r="E206" t="str">
        <f>VLOOKUP(A206,Classification!A:B,2,FALSE)</f>
        <v>A</v>
      </c>
    </row>
    <row r="207" spans="1:5" x14ac:dyDescent="0.2">
      <c r="A207" t="s">
        <v>296</v>
      </c>
      <c r="B207" t="s">
        <v>552</v>
      </c>
      <c r="C207" t="str">
        <f>IF(ISERROR(MATCH(A207,'SegEnds_Xtal_Prot#'!B:B, 0)), "NoXtal", "Xtal")</f>
        <v>NoXtal</v>
      </c>
      <c r="D207" t="str">
        <f t="shared" si="3"/>
        <v>human</v>
      </c>
      <c r="E207" t="str">
        <f>VLOOKUP(A207,Classification!A:B,2,FALSE)</f>
        <v>A</v>
      </c>
    </row>
    <row r="208" spans="1:5" x14ac:dyDescent="0.2">
      <c r="A208" t="s">
        <v>297</v>
      </c>
      <c r="B208" t="s">
        <v>553</v>
      </c>
      <c r="C208" t="str">
        <f>IF(ISERROR(MATCH(A208,'SegEnds_Xtal_Prot#'!B:B, 0)), "NoXtal", "Xtal")</f>
        <v>NoXtal</v>
      </c>
      <c r="D208" t="str">
        <f t="shared" si="3"/>
        <v>human</v>
      </c>
      <c r="E208" t="str">
        <f>VLOOKUP(A208,Classification!A:B,2,FALSE)</f>
        <v>A</v>
      </c>
    </row>
    <row r="209" spans="1:5" x14ac:dyDescent="0.2">
      <c r="A209" t="s">
        <v>298</v>
      </c>
      <c r="B209" t="s">
        <v>554</v>
      </c>
      <c r="C209" t="str">
        <f>IF(ISERROR(MATCH(A209,'SegEnds_Xtal_Prot#'!B:B, 0)), "NoXtal", "Xtal")</f>
        <v>NoXtal</v>
      </c>
      <c r="D209" t="str">
        <f t="shared" si="3"/>
        <v>human</v>
      </c>
      <c r="E209" t="str">
        <f>VLOOKUP(A209,Classification!A:B,2,FALSE)</f>
        <v>A</v>
      </c>
    </row>
    <row r="210" spans="1:5" x14ac:dyDescent="0.2">
      <c r="A210" t="s">
        <v>310</v>
      </c>
      <c r="B210" t="s">
        <v>555</v>
      </c>
      <c r="C210" t="str">
        <f>IF(ISERROR(MATCH(A210,'SegEnds_Xtal_Prot#'!B:B, 0)), "NoXtal", "Xtal")</f>
        <v>NoXtal</v>
      </c>
      <c r="D210" t="str">
        <f t="shared" si="3"/>
        <v>human</v>
      </c>
      <c r="E210" t="str">
        <f>VLOOKUP(A210,Classification!A:B,2,FALSE)</f>
        <v>A</v>
      </c>
    </row>
    <row r="211" spans="1:5" x14ac:dyDescent="0.2">
      <c r="A211" t="s">
        <v>318</v>
      </c>
      <c r="B211" t="s">
        <v>556</v>
      </c>
      <c r="C211" t="str">
        <f>IF(ISERROR(MATCH(A211,'SegEnds_Xtal_Prot#'!B:B, 0)), "NoXtal", "Xtal")</f>
        <v>NoXtal</v>
      </c>
      <c r="D211" t="str">
        <f t="shared" si="3"/>
        <v>human</v>
      </c>
      <c r="E211" t="str">
        <f>VLOOKUP(A211,Classification!A:B,2,FALSE)</f>
        <v>A</v>
      </c>
    </row>
    <row r="212" spans="1:5" x14ac:dyDescent="0.2">
      <c r="A212" t="s">
        <v>319</v>
      </c>
      <c r="B212" t="s">
        <v>557</v>
      </c>
      <c r="C212" t="str">
        <f>IF(ISERROR(MATCH(A212,'SegEnds_Xtal_Prot#'!B:B, 0)), "NoXtal", "Xtal")</f>
        <v>NoXtal</v>
      </c>
      <c r="D212" t="str">
        <f t="shared" si="3"/>
        <v>human</v>
      </c>
      <c r="E212" t="str">
        <f>VLOOKUP(A212,Classification!A:B,2,FALSE)</f>
        <v>A</v>
      </c>
    </row>
    <row r="213" spans="1:5" x14ac:dyDescent="0.2">
      <c r="A213" t="s">
        <v>322</v>
      </c>
      <c r="B213" t="s">
        <v>558</v>
      </c>
      <c r="C213" t="str">
        <f>IF(ISERROR(MATCH(A213,'SegEnds_Xtal_Prot#'!B:B, 0)), "NoXtal", "Xtal")</f>
        <v>NoXtal</v>
      </c>
      <c r="D213" t="str">
        <f t="shared" si="3"/>
        <v>human</v>
      </c>
      <c r="E213" t="str">
        <f>VLOOKUP(A213,Classification!A:B,2,FALSE)</f>
        <v>A</v>
      </c>
    </row>
    <row r="214" spans="1:5" x14ac:dyDescent="0.2">
      <c r="A214" t="s">
        <v>323</v>
      </c>
      <c r="B214" t="s">
        <v>559</v>
      </c>
      <c r="C214" t="str">
        <f>IF(ISERROR(MATCH(A214,'SegEnds_Xtal_Prot#'!B:B, 0)), "NoXtal", "Xtal")</f>
        <v>NoXtal</v>
      </c>
      <c r="D214" t="str">
        <f t="shared" si="3"/>
        <v>human</v>
      </c>
      <c r="E214" t="str">
        <f>VLOOKUP(A214,Classification!A:B,2,FALSE)</f>
        <v>A</v>
      </c>
    </row>
    <row r="215" spans="1:5" x14ac:dyDescent="0.2">
      <c r="A215" t="s">
        <v>324</v>
      </c>
      <c r="B215" t="s">
        <v>560</v>
      </c>
      <c r="C215" t="str">
        <f>IF(ISERROR(MATCH(A215,'SegEnds_Xtal_Prot#'!B:B, 0)), "NoXtal", "Xtal")</f>
        <v>NoXtal</v>
      </c>
      <c r="D215" t="str">
        <f t="shared" si="3"/>
        <v>human</v>
      </c>
      <c r="E215" t="str">
        <f>VLOOKUP(A215,Classification!A:B,2,FALSE)</f>
        <v>A</v>
      </c>
    </row>
    <row r="216" spans="1:5" x14ac:dyDescent="0.2">
      <c r="A216" t="s">
        <v>320</v>
      </c>
      <c r="B216" t="s">
        <v>561</v>
      </c>
      <c r="C216" t="str">
        <f>IF(ISERROR(MATCH(A216,'SegEnds_Xtal_Prot#'!B:B, 0)), "NoXtal", "Xtal")</f>
        <v>NoXtal</v>
      </c>
      <c r="D216" t="str">
        <f t="shared" si="3"/>
        <v>human</v>
      </c>
      <c r="E216" t="str">
        <f>VLOOKUP(A216,Classification!A:B,2,FALSE)</f>
        <v>A</v>
      </c>
    </row>
    <row r="217" spans="1:5" x14ac:dyDescent="0.2">
      <c r="A217" t="s">
        <v>321</v>
      </c>
      <c r="B217" t="s">
        <v>562</v>
      </c>
      <c r="C217" t="str">
        <f>IF(ISERROR(MATCH(A217,'SegEnds_Xtal_Prot#'!B:B, 0)), "NoXtal", "Xtal")</f>
        <v>NoXtal</v>
      </c>
      <c r="D217" t="str">
        <f t="shared" si="3"/>
        <v>human</v>
      </c>
      <c r="E217" t="str">
        <f>VLOOKUP(A217,Classification!A:B,2,FALSE)</f>
        <v>A</v>
      </c>
    </row>
    <row r="218" spans="1:5" x14ac:dyDescent="0.2">
      <c r="A218" t="s">
        <v>325</v>
      </c>
      <c r="B218" t="s">
        <v>564</v>
      </c>
      <c r="C218" t="str">
        <f>IF(ISERROR(MATCH(A218,'SegEnds_Xtal_Prot#'!B:B, 0)), "NoXtal", "Xtal")</f>
        <v>Xtal</v>
      </c>
      <c r="D218" t="str">
        <f t="shared" si="3"/>
        <v>human</v>
      </c>
      <c r="E218" t="str">
        <f>VLOOKUP(A218,Classification!A:B,2,FALSE)</f>
        <v>A</v>
      </c>
    </row>
    <row r="219" spans="1:5" x14ac:dyDescent="0.2">
      <c r="A219" t="s">
        <v>326</v>
      </c>
      <c r="B219" t="s">
        <v>565</v>
      </c>
      <c r="C219" t="str">
        <f>IF(ISERROR(MATCH(A219,'SegEnds_Xtal_Prot#'!B:B, 0)), "NoXtal", "Xtal")</f>
        <v>NoXtal</v>
      </c>
      <c r="D219" t="str">
        <f t="shared" si="3"/>
        <v>human</v>
      </c>
      <c r="E219" t="str">
        <f>VLOOKUP(A219,Classification!A:B,2,FALSE)</f>
        <v>A</v>
      </c>
    </row>
    <row r="220" spans="1:5" x14ac:dyDescent="0.2">
      <c r="A220" t="s">
        <v>327</v>
      </c>
      <c r="B220" t="s">
        <v>566</v>
      </c>
      <c r="C220" t="str">
        <f>IF(ISERROR(MATCH(A220,'SegEnds_Xtal_Prot#'!B:B, 0)), "NoXtal", "Xtal")</f>
        <v>NoXtal</v>
      </c>
      <c r="D220" t="str">
        <f t="shared" si="3"/>
        <v>human</v>
      </c>
      <c r="E220" t="str">
        <f>VLOOKUP(A220,Classification!A:B,2,FALSE)</f>
        <v>A</v>
      </c>
    </row>
    <row r="221" spans="1:5" x14ac:dyDescent="0.2">
      <c r="A221" t="s">
        <v>328</v>
      </c>
      <c r="B221" t="s">
        <v>567</v>
      </c>
      <c r="C221" t="str">
        <f>IF(ISERROR(MATCH(A221,'SegEnds_Xtal_Prot#'!B:B, 0)), "NoXtal", "Xtal")</f>
        <v>NoXtal</v>
      </c>
      <c r="D221" t="str">
        <f t="shared" si="3"/>
        <v>human</v>
      </c>
      <c r="E221" t="str">
        <f>VLOOKUP(A221,Classification!A:B,2,FALSE)</f>
        <v>A</v>
      </c>
    </row>
    <row r="222" spans="1:5" x14ac:dyDescent="0.2">
      <c r="A222" t="s">
        <v>329</v>
      </c>
      <c r="B222" t="s">
        <v>568</v>
      </c>
      <c r="C222" t="str">
        <f>IF(ISERROR(MATCH(A222,'SegEnds_Xtal_Prot#'!B:B, 0)), "NoXtal", "Xtal")</f>
        <v>NoXtal</v>
      </c>
      <c r="D222" t="str">
        <f t="shared" si="3"/>
        <v>human</v>
      </c>
      <c r="E222" t="str">
        <f>VLOOKUP(A222,Classification!A:B,2,FALSE)</f>
        <v>A</v>
      </c>
    </row>
    <row r="223" spans="1:5" x14ac:dyDescent="0.2">
      <c r="A223" t="s">
        <v>127</v>
      </c>
      <c r="B223" t="s">
        <v>569</v>
      </c>
      <c r="C223" t="str">
        <f>IF(ISERROR(MATCH(A223,'SegEnds_Xtal_Prot#'!B:B, 0)), "NoXtal", "Xtal")</f>
        <v>NoXtal</v>
      </c>
      <c r="D223" t="str">
        <f t="shared" si="3"/>
        <v>human</v>
      </c>
      <c r="E223" t="str">
        <f>VLOOKUP(A223,Classification!A:B,2,FALSE)</f>
        <v>A</v>
      </c>
    </row>
    <row r="224" spans="1:5" x14ac:dyDescent="0.2">
      <c r="A224" t="s">
        <v>330</v>
      </c>
      <c r="B224" t="s">
        <v>570</v>
      </c>
      <c r="C224" t="str">
        <f>IF(ISERROR(MATCH(A224,'SegEnds_Xtal_Prot#'!B:B, 0)), "NoXtal", "Xtal")</f>
        <v>NoXtal</v>
      </c>
      <c r="D224" t="str">
        <f t="shared" si="3"/>
        <v>human</v>
      </c>
      <c r="E224" t="str">
        <f>VLOOKUP(A224,Classification!A:B,2,FALSE)</f>
        <v>A</v>
      </c>
    </row>
    <row r="225" spans="1:5" x14ac:dyDescent="0.2">
      <c r="A225" t="s">
        <v>337</v>
      </c>
      <c r="B225" t="s">
        <v>573</v>
      </c>
      <c r="C225" t="str">
        <f>IF(ISERROR(MATCH(A225,'SegEnds_Xtal_Prot#'!B:B, 0)), "NoXtal", "Xtal")</f>
        <v>NoXtal</v>
      </c>
      <c r="D225" t="str">
        <f t="shared" si="3"/>
        <v>human</v>
      </c>
      <c r="E225" t="str">
        <f>VLOOKUP(A225,Classification!A:B,2,FALSE)</f>
        <v>A</v>
      </c>
    </row>
    <row r="226" spans="1:5" x14ac:dyDescent="0.2">
      <c r="A226" t="s">
        <v>372</v>
      </c>
      <c r="B226" t="s">
        <v>577</v>
      </c>
      <c r="C226" t="str">
        <f>IF(ISERROR(MATCH(A226,'SegEnds_Xtal_Prot#'!B:B, 0)), "NoXtal", "Xtal")</f>
        <v>NoXtal</v>
      </c>
      <c r="D226" t="str">
        <f t="shared" si="3"/>
        <v>human</v>
      </c>
      <c r="E226" t="str">
        <f>VLOOKUP(A226,Classification!A:B,2,FALSE)</f>
        <v>A</v>
      </c>
    </row>
    <row r="227" spans="1:5" x14ac:dyDescent="0.2">
      <c r="A227" t="s">
        <v>369</v>
      </c>
      <c r="B227" t="s">
        <v>578</v>
      </c>
      <c r="C227" t="str">
        <f>IF(ISERROR(MATCH(A227,'SegEnds_Xtal_Prot#'!B:B, 0)), "NoXtal", "Xtal")</f>
        <v>NoXtal</v>
      </c>
      <c r="D227" t="str">
        <f t="shared" si="3"/>
        <v>human</v>
      </c>
      <c r="E227" t="str">
        <f>VLOOKUP(A227,Classification!A:B,2,FALSE)</f>
        <v>A</v>
      </c>
    </row>
    <row r="228" spans="1:5" x14ac:dyDescent="0.2">
      <c r="A228" t="s">
        <v>356</v>
      </c>
      <c r="B228" t="s">
        <v>580</v>
      </c>
      <c r="C228" t="str">
        <f>IF(ISERROR(MATCH(A228,'SegEnds_Xtal_Prot#'!B:B, 0)), "NoXtal", "Xtal")</f>
        <v>Xtal</v>
      </c>
      <c r="D228" t="str">
        <f t="shared" si="3"/>
        <v>human</v>
      </c>
      <c r="E228" t="str">
        <f>VLOOKUP(A228,Classification!A:B,2,FALSE)</f>
        <v>A</v>
      </c>
    </row>
    <row r="229" spans="1:5" x14ac:dyDescent="0.2">
      <c r="A229" t="s">
        <v>357</v>
      </c>
      <c r="B229" t="s">
        <v>581</v>
      </c>
      <c r="C229" t="str">
        <f>IF(ISERROR(MATCH(A229,'SegEnds_Xtal_Prot#'!B:B, 0)), "NoXtal", "Xtal")</f>
        <v>NoXtal</v>
      </c>
      <c r="D229" t="str">
        <f t="shared" si="3"/>
        <v>human</v>
      </c>
      <c r="E229" t="str">
        <f>VLOOKUP(A229,Classification!A:B,2,FALSE)</f>
        <v>A</v>
      </c>
    </row>
    <row r="230" spans="1:5" x14ac:dyDescent="0.2">
      <c r="A230" t="s">
        <v>358</v>
      </c>
      <c r="B230" t="s">
        <v>582</v>
      </c>
      <c r="C230" t="str">
        <f>IF(ISERROR(MATCH(A230,'SegEnds_Xtal_Prot#'!B:B, 0)), "NoXtal", "Xtal")</f>
        <v>NoXtal</v>
      </c>
      <c r="D230" t="str">
        <f t="shared" si="3"/>
        <v>human</v>
      </c>
      <c r="E230" t="str">
        <f>VLOOKUP(A230,Classification!A:B,2,FALSE)</f>
        <v>A</v>
      </c>
    </row>
    <row r="231" spans="1:5" x14ac:dyDescent="0.2">
      <c r="A231" t="s">
        <v>375</v>
      </c>
      <c r="B231" t="s">
        <v>583</v>
      </c>
      <c r="C231" t="str">
        <f>IF(ISERROR(MATCH(A231,'SegEnds_Xtal_Prot#'!B:B, 0)), "NoXtal", "Xtal")</f>
        <v>NoXtal</v>
      </c>
      <c r="D231" t="str">
        <f t="shared" si="3"/>
        <v>human</v>
      </c>
      <c r="E231" t="str">
        <f>VLOOKUP(A231,Classification!A:B,2,FALSE)</f>
        <v>A</v>
      </c>
    </row>
    <row r="232" spans="1:5" x14ac:dyDescent="0.2">
      <c r="A232" t="s">
        <v>376</v>
      </c>
      <c r="B232" t="s">
        <v>584</v>
      </c>
      <c r="C232" t="str">
        <f>IF(ISERROR(MATCH(A232,'SegEnds_Xtal_Prot#'!B:B, 0)), "NoXtal", "Xtal")</f>
        <v>NoXtal</v>
      </c>
      <c r="D232" t="str">
        <f t="shared" si="3"/>
        <v>human</v>
      </c>
      <c r="E232" t="str">
        <f>VLOOKUP(A232,Classification!A:B,2,FALSE)</f>
        <v>A</v>
      </c>
    </row>
    <row r="233" spans="1:5" x14ac:dyDescent="0.2">
      <c r="A233" t="s">
        <v>373</v>
      </c>
      <c r="B233" t="s">
        <v>585</v>
      </c>
      <c r="C233" t="str">
        <f>IF(ISERROR(MATCH(A233,'SegEnds_Xtal_Prot#'!B:B, 0)), "NoXtal", "Xtal")</f>
        <v>NoXtal</v>
      </c>
      <c r="D233" t="str">
        <f t="shared" si="3"/>
        <v>human</v>
      </c>
      <c r="E233" t="str">
        <f>VLOOKUP(A233,Classification!A:B,2,FALSE)</f>
        <v>A</v>
      </c>
    </row>
    <row r="234" spans="1:5" x14ac:dyDescent="0.2">
      <c r="A234" t="s">
        <v>374</v>
      </c>
      <c r="B234" t="s">
        <v>586</v>
      </c>
      <c r="C234" t="str">
        <f>IF(ISERROR(MATCH(A234,'SegEnds_Xtal_Prot#'!B:B, 0)), "NoXtal", "Xtal")</f>
        <v>NoXtal</v>
      </c>
      <c r="D234" t="str">
        <f t="shared" si="3"/>
        <v>human</v>
      </c>
      <c r="E234" t="str">
        <f>VLOOKUP(A234,Classification!A:B,2,FALSE)</f>
        <v>A</v>
      </c>
    </row>
    <row r="235" spans="1:5" x14ac:dyDescent="0.2">
      <c r="A235" t="s">
        <v>381</v>
      </c>
      <c r="B235" t="s">
        <v>587</v>
      </c>
      <c r="C235" t="str">
        <f>IF(ISERROR(MATCH(A235,'SegEnds_Xtal_Prot#'!B:B, 0)), "NoXtal", "Xtal")</f>
        <v>NoXtal</v>
      </c>
      <c r="D235" t="str">
        <f t="shared" si="3"/>
        <v>human</v>
      </c>
      <c r="E235" t="str">
        <f>VLOOKUP(A235,Classification!A:B,2,FALSE)</f>
        <v>A</v>
      </c>
    </row>
    <row r="236" spans="1:5" x14ac:dyDescent="0.2">
      <c r="A236" t="s">
        <v>382</v>
      </c>
      <c r="B236" t="s">
        <v>588</v>
      </c>
      <c r="C236" t="str">
        <f>IF(ISERROR(MATCH(A236,'SegEnds_Xtal_Prot#'!B:B, 0)), "NoXtal", "Xtal")</f>
        <v>NoXtal</v>
      </c>
      <c r="D236" t="str">
        <f t="shared" si="3"/>
        <v>human</v>
      </c>
      <c r="E236" t="str">
        <f>VLOOKUP(A236,Classification!A:B,2,FALSE)</f>
        <v>A</v>
      </c>
    </row>
    <row r="237" spans="1:5" x14ac:dyDescent="0.2">
      <c r="A237" t="s">
        <v>383</v>
      </c>
      <c r="B237" t="s">
        <v>589</v>
      </c>
      <c r="C237" t="str">
        <f>IF(ISERROR(MATCH(A237,'SegEnds_Xtal_Prot#'!B:B, 0)), "NoXtal", "Xtal")</f>
        <v>NoXtal</v>
      </c>
      <c r="D237" t="str">
        <f t="shared" si="3"/>
        <v>human</v>
      </c>
      <c r="E237" t="str">
        <f>VLOOKUP(A237,Classification!A:B,2,FALSE)</f>
        <v>A</v>
      </c>
    </row>
    <row r="238" spans="1:5" x14ac:dyDescent="0.2">
      <c r="A238" t="s">
        <v>384</v>
      </c>
      <c r="B238" t="s">
        <v>590</v>
      </c>
      <c r="C238" t="str">
        <f>IF(ISERROR(MATCH(A238,'SegEnds_Xtal_Prot#'!B:B, 0)), "NoXtal", "Xtal")</f>
        <v>NoXtal</v>
      </c>
      <c r="D238" t="str">
        <f t="shared" si="3"/>
        <v>human</v>
      </c>
      <c r="E238" t="str">
        <f>VLOOKUP(A238,Classification!A:B,2,FALSE)</f>
        <v>A</v>
      </c>
    </row>
    <row r="239" spans="1:5" x14ac:dyDescent="0.2">
      <c r="A239" t="s">
        <v>385</v>
      </c>
      <c r="B239" t="s">
        <v>591</v>
      </c>
      <c r="C239" t="str">
        <f>IF(ISERROR(MATCH(A239,'SegEnds_Xtal_Prot#'!B:B, 0)), "NoXtal", "Xtal")</f>
        <v>NoXtal</v>
      </c>
      <c r="D239" t="str">
        <f t="shared" si="3"/>
        <v>human</v>
      </c>
      <c r="E239" t="str">
        <f>VLOOKUP(A239,Classification!A:B,2,FALSE)</f>
        <v>A</v>
      </c>
    </row>
    <row r="240" spans="1:5" x14ac:dyDescent="0.2">
      <c r="A240" t="s">
        <v>314</v>
      </c>
      <c r="B240" t="s">
        <v>592</v>
      </c>
      <c r="C240" t="str">
        <f>IF(ISERROR(MATCH(A240,'SegEnds_Xtal_Prot#'!B:B, 0)), "NoXtal", "Xtal")</f>
        <v>Xtal</v>
      </c>
      <c r="D240" t="str">
        <f t="shared" si="3"/>
        <v>human</v>
      </c>
      <c r="E240" t="str">
        <f>VLOOKUP(A240,Classification!A:B,2,FALSE)</f>
        <v>A</v>
      </c>
    </row>
    <row r="241" spans="1:5" x14ac:dyDescent="0.2">
      <c r="A241" t="s">
        <v>315</v>
      </c>
      <c r="B241" t="s">
        <v>593</v>
      </c>
      <c r="C241" t="str">
        <f>IF(ISERROR(MATCH(A241,'SegEnds_Xtal_Prot#'!B:B, 0)), "NoXtal", "Xtal")</f>
        <v>NoXtal</v>
      </c>
      <c r="D241" t="str">
        <f t="shared" si="3"/>
        <v>human</v>
      </c>
      <c r="E241" t="str">
        <f>VLOOKUP(A241,Classification!A:B,2,FALSE)</f>
        <v>A</v>
      </c>
    </row>
    <row r="242" spans="1:5" x14ac:dyDescent="0.2">
      <c r="A242" t="s">
        <v>316</v>
      </c>
      <c r="B242" t="s">
        <v>595</v>
      </c>
      <c r="C242" t="str">
        <f>IF(ISERROR(MATCH(A242,'SegEnds_Xtal_Prot#'!B:B, 0)), "NoXtal", "Xtal")</f>
        <v>NoXtal</v>
      </c>
      <c r="D242" t="str">
        <f t="shared" si="3"/>
        <v>human</v>
      </c>
      <c r="E242" t="str">
        <f>VLOOKUP(A242,Classification!A:B,2,FALSE)</f>
        <v>A</v>
      </c>
    </row>
    <row r="243" spans="1:5" x14ac:dyDescent="0.2">
      <c r="A243" t="s">
        <v>394</v>
      </c>
      <c r="B243" t="s">
        <v>596</v>
      </c>
      <c r="C243" t="str">
        <f>IF(ISERROR(MATCH(A243,'SegEnds_Xtal_Prot#'!B:B, 0)), "NoXtal", "Xtal")</f>
        <v>NoXtal</v>
      </c>
      <c r="D243" t="str">
        <f t="shared" si="3"/>
        <v>human</v>
      </c>
      <c r="E243" t="str">
        <f>VLOOKUP(A243,Classification!A:B,2,FALSE)</f>
        <v>A</v>
      </c>
    </row>
    <row r="244" spans="1:5" x14ac:dyDescent="0.2">
      <c r="A244" t="s">
        <v>396</v>
      </c>
      <c r="B244" t="s">
        <v>597</v>
      </c>
      <c r="C244" t="str">
        <f>IF(ISERROR(MATCH(A244,'SegEnds_Xtal_Prot#'!B:B, 0)), "NoXtal", "Xtal")</f>
        <v>NoXtal</v>
      </c>
      <c r="D244" t="str">
        <f t="shared" si="3"/>
        <v>human</v>
      </c>
      <c r="E244" t="str">
        <f>VLOOKUP(A244,Classification!A:B,2,FALSE)</f>
        <v>A</v>
      </c>
    </row>
    <row r="245" spans="1:5" x14ac:dyDescent="0.2">
      <c r="A245" t="s">
        <v>397</v>
      </c>
      <c r="B245" t="s">
        <v>598</v>
      </c>
      <c r="C245" t="str">
        <f>IF(ISERROR(MATCH(A245,'SegEnds_Xtal_Prot#'!B:B, 0)), "NoXtal", "Xtal")</f>
        <v>NoXtal</v>
      </c>
      <c r="D245" t="str">
        <f t="shared" si="3"/>
        <v>human</v>
      </c>
      <c r="E245" t="str">
        <f>VLOOKUP(A245,Classification!A:B,2,FALSE)</f>
        <v>A</v>
      </c>
    </row>
    <row r="246" spans="1:5" x14ac:dyDescent="0.2">
      <c r="A246" t="s">
        <v>398</v>
      </c>
      <c r="B246" t="s">
        <v>599</v>
      </c>
      <c r="C246" t="str">
        <f>IF(ISERROR(MATCH(A246,'SegEnds_Xtal_Prot#'!B:B, 0)), "NoXtal", "Xtal")</f>
        <v>NoXtal</v>
      </c>
      <c r="D246" t="str">
        <f t="shared" si="3"/>
        <v>human</v>
      </c>
      <c r="E246" t="str">
        <f>VLOOKUP(A246,Classification!A:B,2,FALSE)</f>
        <v>A</v>
      </c>
    </row>
    <row r="247" spans="1:5" x14ac:dyDescent="0.2">
      <c r="A247" t="s">
        <v>399</v>
      </c>
      <c r="B247" t="s">
        <v>600</v>
      </c>
      <c r="C247" t="str">
        <f>IF(ISERROR(MATCH(A247,'SegEnds_Xtal_Prot#'!B:B, 0)), "NoXtal", "Xtal")</f>
        <v>NoXtal</v>
      </c>
      <c r="D247" t="str">
        <f t="shared" si="3"/>
        <v>human</v>
      </c>
      <c r="E247" t="str">
        <f>VLOOKUP(A247,Classification!A:B,2,FALSE)</f>
        <v>A</v>
      </c>
    </row>
    <row r="248" spans="1:5" x14ac:dyDescent="0.2">
      <c r="A248" t="s">
        <v>344</v>
      </c>
      <c r="B248" t="s">
        <v>601</v>
      </c>
      <c r="C248" t="str">
        <f>IF(ISERROR(MATCH(A248,'SegEnds_Xtal_Prot#'!B:B, 0)), "NoXtal", "Xtal")</f>
        <v>NoXtal</v>
      </c>
      <c r="D248" t="str">
        <f t="shared" si="3"/>
        <v>human</v>
      </c>
      <c r="E248" t="str">
        <f>VLOOKUP(A248,Classification!A:B,2,FALSE)</f>
        <v>A</v>
      </c>
    </row>
    <row r="249" spans="1:5" x14ac:dyDescent="0.2">
      <c r="A249" t="s">
        <v>181</v>
      </c>
      <c r="B249" t="s">
        <v>602</v>
      </c>
      <c r="C249" t="str">
        <f>IF(ISERROR(MATCH(A249,'SegEnds_Xtal_Prot#'!B:B, 0)), "NoXtal", "Xtal")</f>
        <v>NoXtal</v>
      </c>
      <c r="D249" t="str">
        <f t="shared" si="3"/>
        <v>human</v>
      </c>
      <c r="E249" t="str">
        <f>VLOOKUP(A249,Classification!A:B,2,FALSE)</f>
        <v>A</v>
      </c>
    </row>
    <row r="250" spans="1:5" x14ac:dyDescent="0.2">
      <c r="A250" t="s">
        <v>168</v>
      </c>
      <c r="B250" t="s">
        <v>603</v>
      </c>
      <c r="C250" t="str">
        <f>IF(ISERROR(MATCH(A250,'SegEnds_Xtal_Prot#'!B:B, 0)), "NoXtal", "Xtal")</f>
        <v>NoXtal</v>
      </c>
      <c r="D250" t="str">
        <f t="shared" si="3"/>
        <v>human</v>
      </c>
      <c r="E250" t="str">
        <f>VLOOKUP(A250,Classification!A:B,2,FALSE)</f>
        <v>A</v>
      </c>
    </row>
    <row r="251" spans="1:5" x14ac:dyDescent="0.2">
      <c r="A251" t="s">
        <v>170</v>
      </c>
      <c r="B251" t="s">
        <v>604</v>
      </c>
      <c r="C251" t="str">
        <f>IF(ISERROR(MATCH(A251,'SegEnds_Xtal_Prot#'!B:B, 0)), "NoXtal", "Xtal")</f>
        <v>Xtal</v>
      </c>
      <c r="D251" t="str">
        <f t="shared" si="3"/>
        <v>human</v>
      </c>
      <c r="E251" t="str">
        <f>VLOOKUP(A251,Classification!A:B,2,FALSE)</f>
        <v>A</v>
      </c>
    </row>
    <row r="252" spans="1:5" x14ac:dyDescent="0.2">
      <c r="A252" t="s">
        <v>171</v>
      </c>
      <c r="B252" t="s">
        <v>605</v>
      </c>
      <c r="C252" t="str">
        <f>IF(ISERROR(MATCH(A252,'SegEnds_Xtal_Prot#'!B:B, 0)), "NoXtal", "Xtal")</f>
        <v>NoXtal</v>
      </c>
      <c r="D252" t="str">
        <f t="shared" si="3"/>
        <v>human</v>
      </c>
      <c r="E252" t="str">
        <f>VLOOKUP(A252,Classification!A:B,2,FALSE)</f>
        <v>A</v>
      </c>
    </row>
    <row r="253" spans="1:5" x14ac:dyDescent="0.2">
      <c r="A253" t="s">
        <v>172</v>
      </c>
      <c r="B253" t="s">
        <v>606</v>
      </c>
      <c r="C253" t="str">
        <f>IF(ISERROR(MATCH(A253,'SegEnds_Xtal_Prot#'!B:B, 0)), "NoXtal", "Xtal")</f>
        <v>NoXtal</v>
      </c>
      <c r="D253" t="str">
        <f t="shared" si="3"/>
        <v>human</v>
      </c>
      <c r="E253" t="str">
        <f>VLOOKUP(A253,Classification!A:B,2,FALSE)</f>
        <v>A</v>
      </c>
    </row>
    <row r="254" spans="1:5" x14ac:dyDescent="0.2">
      <c r="A254" t="s">
        <v>174</v>
      </c>
      <c r="B254" t="s">
        <v>608</v>
      </c>
      <c r="C254" t="str">
        <f>IF(ISERROR(MATCH(A254,'SegEnds_Xtal_Prot#'!B:B, 0)), "NoXtal", "Xtal")</f>
        <v>NoXtal</v>
      </c>
      <c r="D254" t="str">
        <f t="shared" si="3"/>
        <v>human</v>
      </c>
      <c r="E254" t="str">
        <f>VLOOKUP(A254,Classification!A:B,2,FALSE)</f>
        <v>A</v>
      </c>
    </row>
    <row r="255" spans="1:5" x14ac:dyDescent="0.2">
      <c r="A255" t="s">
        <v>175</v>
      </c>
      <c r="B255" t="s">
        <v>609</v>
      </c>
      <c r="C255" t="str">
        <f>IF(ISERROR(MATCH(A255,'SegEnds_Xtal_Prot#'!B:B, 0)), "NoXtal", "Xtal")</f>
        <v>NoXtal</v>
      </c>
      <c r="D255" t="str">
        <f t="shared" si="3"/>
        <v>human</v>
      </c>
      <c r="E255" t="str">
        <f>VLOOKUP(A255,Classification!A:B,2,FALSE)</f>
        <v>A</v>
      </c>
    </row>
    <row r="256" spans="1:5" x14ac:dyDescent="0.2">
      <c r="A256" t="s">
        <v>176</v>
      </c>
      <c r="B256" t="s">
        <v>610</v>
      </c>
      <c r="C256" t="str">
        <f>IF(ISERROR(MATCH(A256,'SegEnds_Xtal_Prot#'!B:B, 0)), "NoXtal", "Xtal")</f>
        <v>NoXtal</v>
      </c>
      <c r="D256" t="str">
        <f t="shared" si="3"/>
        <v>human</v>
      </c>
      <c r="E256" t="str">
        <f>VLOOKUP(A256,Classification!A:B,2,FALSE)</f>
        <v>A</v>
      </c>
    </row>
    <row r="257" spans="1:5" x14ac:dyDescent="0.2">
      <c r="A257" t="s">
        <v>177</v>
      </c>
      <c r="B257" t="s">
        <v>612</v>
      </c>
      <c r="C257" t="str">
        <f>IF(ISERROR(MATCH(A257,'SegEnds_Xtal_Prot#'!B:B, 0)), "NoXtal", "Xtal")</f>
        <v>Xtal</v>
      </c>
      <c r="D257" t="str">
        <f t="shared" si="3"/>
        <v>human</v>
      </c>
      <c r="E257" t="str">
        <f>VLOOKUP(A257,Classification!A:B,2,FALSE)</f>
        <v>A</v>
      </c>
    </row>
    <row r="258" spans="1:5" x14ac:dyDescent="0.2">
      <c r="A258" t="s">
        <v>169</v>
      </c>
      <c r="B258" t="s">
        <v>613</v>
      </c>
      <c r="C258" t="str">
        <f>IF(ISERROR(MATCH(A258,'SegEnds_Xtal_Prot#'!B:B, 0)), "NoXtal", "Xtal")</f>
        <v>NoXtal</v>
      </c>
      <c r="D258" t="str">
        <f t="shared" si="3"/>
        <v>human</v>
      </c>
      <c r="E258" t="str">
        <f>VLOOKUP(A258,Classification!A:B,2,FALSE)</f>
        <v>A</v>
      </c>
    </row>
    <row r="259" spans="1:5" x14ac:dyDescent="0.2">
      <c r="A259" t="s">
        <v>185</v>
      </c>
      <c r="B259" t="s">
        <v>614</v>
      </c>
      <c r="C259" t="str">
        <f>IF(ISERROR(MATCH(A259,'SegEnds_Xtal_Prot#'!B:B, 0)), "NoXtal", "Xtal")</f>
        <v>NoXtal</v>
      </c>
      <c r="D259" t="str">
        <f t="shared" si="3"/>
        <v>human</v>
      </c>
      <c r="E259" t="str">
        <f>VLOOKUP(A259,Classification!A:B,2,FALSE)</f>
        <v>A</v>
      </c>
    </row>
    <row r="260" spans="1:5" x14ac:dyDescent="0.2">
      <c r="A260" t="s">
        <v>186</v>
      </c>
      <c r="B260" t="s">
        <v>615</v>
      </c>
      <c r="C260" t="str">
        <f>IF(ISERROR(MATCH(A260,'SegEnds_Xtal_Prot#'!B:B, 0)), "NoXtal", "Xtal")</f>
        <v>NoXtal</v>
      </c>
      <c r="D260" t="str">
        <f t="shared" si="3"/>
        <v>human</v>
      </c>
      <c r="E260" t="str">
        <f>VLOOKUP(A260,Classification!A:B,2,FALSE)</f>
        <v>A</v>
      </c>
    </row>
    <row r="261" spans="1:5" x14ac:dyDescent="0.2">
      <c r="A261" t="s">
        <v>187</v>
      </c>
      <c r="B261" t="s">
        <v>616</v>
      </c>
      <c r="C261" t="str">
        <f>IF(ISERROR(MATCH(A261,'SegEnds_Xtal_Prot#'!B:B, 0)), "NoXtal", "Xtal")</f>
        <v>NoXtal</v>
      </c>
      <c r="D261" t="str">
        <f t="shared" si="3"/>
        <v>human</v>
      </c>
      <c r="E261" t="str">
        <f>VLOOKUP(A261,Classification!A:B,2,FALSE)</f>
        <v>A</v>
      </c>
    </row>
    <row r="262" spans="1:5" x14ac:dyDescent="0.2">
      <c r="A262" t="s">
        <v>188</v>
      </c>
      <c r="B262" t="s">
        <v>618</v>
      </c>
      <c r="C262" t="str">
        <f>IF(ISERROR(MATCH(A262,'SegEnds_Xtal_Prot#'!B:B, 0)), "NoXtal", "Xtal")</f>
        <v>NoXtal</v>
      </c>
      <c r="D262" t="str">
        <f t="shared" si="3"/>
        <v>human</v>
      </c>
      <c r="E262" t="str">
        <f>VLOOKUP(A262,Classification!A:B,2,FALSE)</f>
        <v>A</v>
      </c>
    </row>
    <row r="263" spans="1:5" x14ac:dyDescent="0.2">
      <c r="A263" t="s">
        <v>189</v>
      </c>
      <c r="B263" t="s">
        <v>619</v>
      </c>
      <c r="C263" t="str">
        <f>IF(ISERROR(MATCH(A263,'SegEnds_Xtal_Prot#'!B:B, 0)), "NoXtal", "Xtal")</f>
        <v>NoXtal</v>
      </c>
      <c r="D263" t="str">
        <f t="shared" ref="D263:D326" si="4">MID(A263,FIND("_",A263)+1,LEN(A263)-FIND("_",A263))</f>
        <v>human</v>
      </c>
      <c r="E263" t="str">
        <f>VLOOKUP(A263,Classification!A:B,2,FALSE)</f>
        <v>A</v>
      </c>
    </row>
    <row r="264" spans="1:5" x14ac:dyDescent="0.2">
      <c r="A264" t="s">
        <v>184</v>
      </c>
      <c r="B264" t="s">
        <v>620</v>
      </c>
      <c r="C264" t="str">
        <f>IF(ISERROR(MATCH(A264,'SegEnds_Xtal_Prot#'!B:B, 0)), "NoXtal", "Xtal")</f>
        <v>NoXtal</v>
      </c>
      <c r="D264" t="str">
        <f t="shared" si="4"/>
        <v>human</v>
      </c>
      <c r="E264" t="str">
        <f>VLOOKUP(A264,Classification!A:B,2,FALSE)</f>
        <v>A</v>
      </c>
    </row>
    <row r="265" spans="1:5" x14ac:dyDescent="0.2">
      <c r="A265" t="s">
        <v>400</v>
      </c>
      <c r="B265" t="s">
        <v>621</v>
      </c>
      <c r="C265" t="str">
        <f>IF(ISERROR(MATCH(A265,'SegEnds_Xtal_Prot#'!B:B, 0)), "NoXtal", "Xtal")</f>
        <v>NoXtal</v>
      </c>
      <c r="D265" t="str">
        <f t="shared" si="4"/>
        <v>human</v>
      </c>
      <c r="E265" t="str">
        <f>VLOOKUP(A265,Classification!A:B,2,FALSE)</f>
        <v>A</v>
      </c>
    </row>
    <row r="266" spans="1:5" x14ac:dyDescent="0.2">
      <c r="A266" t="s">
        <v>142</v>
      </c>
      <c r="B266" t="s">
        <v>622</v>
      </c>
      <c r="C266" t="str">
        <f>IF(ISERROR(MATCH(A266,'SegEnds_Xtal_Prot#'!B:B, 0)), "NoXtal", "Xtal")</f>
        <v>NoXtal</v>
      </c>
      <c r="D266" t="str">
        <f t="shared" si="4"/>
        <v>human</v>
      </c>
      <c r="E266" t="str">
        <f>VLOOKUP(A266,Classification!A:B,2,FALSE)</f>
        <v>A</v>
      </c>
    </row>
    <row r="267" spans="1:5" x14ac:dyDescent="0.2">
      <c r="A267" t="s">
        <v>143</v>
      </c>
      <c r="B267" t="s">
        <v>623</v>
      </c>
      <c r="C267" t="str">
        <f>IF(ISERROR(MATCH(A267,'SegEnds_Xtal_Prot#'!B:B, 0)), "NoXtal", "Xtal")</f>
        <v>NoXtal</v>
      </c>
      <c r="D267" t="str">
        <f t="shared" si="4"/>
        <v>human</v>
      </c>
      <c r="E267" t="str">
        <f>VLOOKUP(A267,Classification!A:B,2,FALSE)</f>
        <v>A</v>
      </c>
    </row>
    <row r="268" spans="1:5" x14ac:dyDescent="0.2">
      <c r="A268" t="s">
        <v>144</v>
      </c>
      <c r="B268" t="s">
        <v>624</v>
      </c>
      <c r="C268" t="str">
        <f>IF(ISERROR(MATCH(A268,'SegEnds_Xtal_Prot#'!B:B, 0)), "NoXtal", "Xtal")</f>
        <v>NoXtal</v>
      </c>
      <c r="D268" t="str">
        <f t="shared" si="4"/>
        <v>human</v>
      </c>
      <c r="E268" t="str">
        <f>VLOOKUP(A268,Classification!A:B,2,FALSE)</f>
        <v>A</v>
      </c>
    </row>
    <row r="269" spans="1:5" x14ac:dyDescent="0.2">
      <c r="A269" t="s">
        <v>145</v>
      </c>
      <c r="B269" t="s">
        <v>625</v>
      </c>
      <c r="C269" t="str">
        <f>IF(ISERROR(MATCH(A269,'SegEnds_Xtal_Prot#'!B:B, 0)), "NoXtal", "Xtal")</f>
        <v>NoXtal</v>
      </c>
      <c r="D269" t="str">
        <f t="shared" si="4"/>
        <v>human</v>
      </c>
      <c r="E269" t="str">
        <f>VLOOKUP(A269,Classification!A:B,2,FALSE)</f>
        <v>A</v>
      </c>
    </row>
    <row r="270" spans="1:5" x14ac:dyDescent="0.2">
      <c r="A270" t="s">
        <v>178</v>
      </c>
      <c r="B270" t="s">
        <v>626</v>
      </c>
      <c r="C270" t="str">
        <f>IF(ISERROR(MATCH(A270,'SegEnds_Xtal_Prot#'!B:B, 0)), "NoXtal", "Xtal")</f>
        <v>NoXtal</v>
      </c>
      <c r="D270" t="str">
        <f t="shared" si="4"/>
        <v>human</v>
      </c>
      <c r="E270" t="str">
        <f>VLOOKUP(A270,Classification!A:B,2,FALSE)</f>
        <v>A</v>
      </c>
    </row>
    <row r="271" spans="1:5" x14ac:dyDescent="0.2">
      <c r="A271" t="s">
        <v>204</v>
      </c>
      <c r="B271" t="s">
        <v>627</v>
      </c>
      <c r="C271" t="str">
        <f>IF(ISERROR(MATCH(A271,'SegEnds_Xtal_Prot#'!B:B, 0)), "NoXtal", "Xtal")</f>
        <v>NoXtal</v>
      </c>
      <c r="D271" t="str">
        <f t="shared" si="4"/>
        <v>human</v>
      </c>
      <c r="E271" t="str">
        <f>VLOOKUP(A271,Classification!A:B,2,FALSE)</f>
        <v>A</v>
      </c>
    </row>
    <row r="272" spans="1:5" x14ac:dyDescent="0.2">
      <c r="A272" t="s">
        <v>286</v>
      </c>
      <c r="B272" t="s">
        <v>628</v>
      </c>
      <c r="C272" t="str">
        <f>IF(ISERROR(MATCH(A272,'SegEnds_Xtal_Prot#'!B:B, 0)), "NoXtal", "Xtal")</f>
        <v>NoXtal</v>
      </c>
      <c r="D272" t="str">
        <f t="shared" si="4"/>
        <v>human</v>
      </c>
      <c r="E272" t="str">
        <f>VLOOKUP(A272,Classification!A:B,2,FALSE)</f>
        <v>A</v>
      </c>
    </row>
    <row r="273" spans="1:5" x14ac:dyDescent="0.2">
      <c r="A273" t="s">
        <v>291</v>
      </c>
      <c r="B273" t="s">
        <v>629</v>
      </c>
      <c r="C273" t="str">
        <f>IF(ISERROR(MATCH(A273,'SegEnds_Xtal_Prot#'!B:B, 0)), "NoXtal", "Xtal")</f>
        <v>NoXtal</v>
      </c>
      <c r="D273" t="str">
        <f t="shared" si="4"/>
        <v>human</v>
      </c>
      <c r="E273" t="str">
        <f>VLOOKUP(A273,Classification!A:B,2,FALSE)</f>
        <v>A</v>
      </c>
    </row>
    <row r="274" spans="1:5" x14ac:dyDescent="0.2">
      <c r="A274" t="s">
        <v>395</v>
      </c>
      <c r="B274" t="s">
        <v>630</v>
      </c>
      <c r="C274" t="str">
        <f>IF(ISERROR(MATCH(A274,'SegEnds_Xtal_Prot#'!B:B, 0)), "NoXtal", "Xtal")</f>
        <v>NoXtal</v>
      </c>
      <c r="D274" t="str">
        <f t="shared" si="4"/>
        <v>human</v>
      </c>
      <c r="E274" t="str">
        <f>VLOOKUP(A274,Classification!A:B,2,FALSE)</f>
        <v>A</v>
      </c>
    </row>
    <row r="275" spans="1:5" x14ac:dyDescent="0.2">
      <c r="A275" t="s">
        <v>367</v>
      </c>
      <c r="B275" t="s">
        <v>631</v>
      </c>
      <c r="C275" t="str">
        <f>IF(ISERROR(MATCH(A275,'SegEnds_Xtal_Prot#'!B:B, 0)), "NoXtal", "Xtal")</f>
        <v>NoXtal</v>
      </c>
      <c r="D275" t="str">
        <f t="shared" si="4"/>
        <v>human</v>
      </c>
      <c r="E275" t="str">
        <f>VLOOKUP(A275,Classification!A:B,2,FALSE)</f>
        <v>A</v>
      </c>
    </row>
    <row r="276" spans="1:5" x14ac:dyDescent="0.2">
      <c r="A276" t="s">
        <v>368</v>
      </c>
      <c r="B276" t="s">
        <v>632</v>
      </c>
      <c r="C276" t="str">
        <f>IF(ISERROR(MATCH(A276,'SegEnds_Xtal_Prot#'!B:B, 0)), "NoXtal", "Xtal")</f>
        <v>NoXtal</v>
      </c>
      <c r="D276" t="str">
        <f t="shared" si="4"/>
        <v>human</v>
      </c>
      <c r="E276" t="str">
        <f>VLOOKUP(A276,Classification!A:B,2,FALSE)</f>
        <v>A</v>
      </c>
    </row>
    <row r="277" spans="1:5" x14ac:dyDescent="0.2">
      <c r="A277" t="s">
        <v>198</v>
      </c>
      <c r="B277" t="s">
        <v>634</v>
      </c>
      <c r="C277" t="str">
        <f>IF(ISERROR(MATCH(A277,'SegEnds_Xtal_Prot#'!B:B, 0)), "NoXtal", "Xtal")</f>
        <v>NoXtal</v>
      </c>
      <c r="D277" t="str">
        <f t="shared" si="4"/>
        <v>human</v>
      </c>
      <c r="E277" t="str">
        <f>VLOOKUP(A277,Classification!A:B,2,FALSE)</f>
        <v>A</v>
      </c>
    </row>
    <row r="278" spans="1:5" x14ac:dyDescent="0.2">
      <c r="A278" t="s">
        <v>199</v>
      </c>
      <c r="B278" t="s">
        <v>635</v>
      </c>
      <c r="C278" t="str">
        <f>IF(ISERROR(MATCH(A278,'SegEnds_Xtal_Prot#'!B:B, 0)), "NoXtal", "Xtal")</f>
        <v>NoXtal</v>
      </c>
      <c r="D278" t="str">
        <f t="shared" si="4"/>
        <v>human</v>
      </c>
      <c r="E278" t="str">
        <f>VLOOKUP(A278,Classification!A:B,2,FALSE)</f>
        <v>A</v>
      </c>
    </row>
    <row r="279" spans="1:5" x14ac:dyDescent="0.2">
      <c r="A279" t="s">
        <v>200</v>
      </c>
      <c r="B279" t="s">
        <v>636</v>
      </c>
      <c r="C279" t="str">
        <f>IF(ISERROR(MATCH(A279,'SegEnds_Xtal_Prot#'!B:B, 0)), "NoXtal", "Xtal")</f>
        <v>NoXtal</v>
      </c>
      <c r="D279" t="str">
        <f t="shared" si="4"/>
        <v>human</v>
      </c>
      <c r="E279" t="str">
        <f>VLOOKUP(A279,Classification!A:B,2,FALSE)</f>
        <v>A</v>
      </c>
    </row>
    <row r="280" spans="1:5" x14ac:dyDescent="0.2">
      <c r="A280" t="s">
        <v>258</v>
      </c>
      <c r="B280" t="s">
        <v>637</v>
      </c>
      <c r="C280" t="str">
        <f>IF(ISERROR(MATCH(A280,'SegEnds_Xtal_Prot#'!B:B, 0)), "NoXtal", "Xtal")</f>
        <v>NoXtal</v>
      </c>
      <c r="D280" t="str">
        <f t="shared" si="4"/>
        <v>human</v>
      </c>
      <c r="E280" t="str">
        <f>VLOOKUP(A280,Classification!A:B,2,FALSE)</f>
        <v>A</v>
      </c>
    </row>
    <row r="281" spans="1:5" x14ac:dyDescent="0.2">
      <c r="A281" t="s">
        <v>292</v>
      </c>
      <c r="B281" t="s">
        <v>638</v>
      </c>
      <c r="C281" t="str">
        <f>IF(ISERROR(MATCH(A281,'SegEnds_Xtal_Prot#'!B:B, 0)), "NoXtal", "Xtal")</f>
        <v>NoXtal</v>
      </c>
      <c r="D281" t="str">
        <f t="shared" si="4"/>
        <v>human</v>
      </c>
      <c r="E281" t="str">
        <f>VLOOKUP(A281,Classification!A:B,2,FALSE)</f>
        <v>A</v>
      </c>
    </row>
    <row r="282" spans="1:5" x14ac:dyDescent="0.2">
      <c r="A282" t="s">
        <v>293</v>
      </c>
      <c r="B282" t="s">
        <v>639</v>
      </c>
      <c r="C282" t="str">
        <f>IF(ISERROR(MATCH(A282,'SegEnds_Xtal_Prot#'!B:B, 0)), "NoXtal", "Xtal")</f>
        <v>NoXtal</v>
      </c>
      <c r="D282" t="str">
        <f t="shared" si="4"/>
        <v>human</v>
      </c>
      <c r="E282" t="str">
        <f>VLOOKUP(A282,Classification!A:B,2,FALSE)</f>
        <v>A</v>
      </c>
    </row>
    <row r="283" spans="1:5" x14ac:dyDescent="0.2">
      <c r="A283" t="s">
        <v>179</v>
      </c>
      <c r="B283" t="s">
        <v>640</v>
      </c>
      <c r="C283" t="str">
        <f>IF(ISERROR(MATCH(A283,'SegEnds_Xtal_Prot#'!B:B, 0)), "NoXtal", "Xtal")</f>
        <v>NoXtal</v>
      </c>
      <c r="D283" t="str">
        <f t="shared" si="4"/>
        <v>human</v>
      </c>
      <c r="E283" t="str">
        <f>VLOOKUP(A283,Classification!A:B,2,FALSE)</f>
        <v>A</v>
      </c>
    </row>
    <row r="284" spans="1:5" x14ac:dyDescent="0.2">
      <c r="A284" t="s">
        <v>180</v>
      </c>
      <c r="B284" t="s">
        <v>641</v>
      </c>
      <c r="C284" t="str">
        <f>IF(ISERROR(MATCH(A284,'SegEnds_Xtal_Prot#'!B:B, 0)), "NoXtal", "Xtal")</f>
        <v>NoXtal</v>
      </c>
      <c r="D284" t="str">
        <f t="shared" si="4"/>
        <v>human</v>
      </c>
      <c r="E284" t="str">
        <f>VLOOKUP(A284,Classification!A:B,2,FALSE)</f>
        <v>A</v>
      </c>
    </row>
    <row r="285" spans="1:5" x14ac:dyDescent="0.2">
      <c r="A285" t="s">
        <v>342</v>
      </c>
      <c r="B285" t="s">
        <v>642</v>
      </c>
      <c r="C285" t="str">
        <f>IF(ISERROR(MATCH(A285,'SegEnds_Xtal_Prot#'!B:B, 0)), "NoXtal", "Xtal")</f>
        <v>NoXtal</v>
      </c>
      <c r="D285" t="str">
        <f t="shared" si="4"/>
        <v>human</v>
      </c>
      <c r="E285" t="str">
        <f>VLOOKUP(A285,Classification!A:B,2,FALSE)</f>
        <v>A</v>
      </c>
    </row>
    <row r="286" spans="1:5" x14ac:dyDescent="0.2">
      <c r="A286" t="s">
        <v>287</v>
      </c>
      <c r="B286" t="s">
        <v>645</v>
      </c>
      <c r="C286" t="str">
        <f>IF(ISERROR(MATCH(A286,'SegEnds_Xtal_Prot#'!B:B, 0)), "NoXtal", "Xtal")</f>
        <v>NoXtal</v>
      </c>
      <c r="D286" t="str">
        <f t="shared" si="4"/>
        <v>human</v>
      </c>
      <c r="E286" t="str">
        <f>VLOOKUP(A286,Classification!A:B,2,FALSE)</f>
        <v>A</v>
      </c>
    </row>
    <row r="287" spans="1:5" x14ac:dyDescent="0.2">
      <c r="A287" t="s">
        <v>288</v>
      </c>
      <c r="B287" t="s">
        <v>646</v>
      </c>
      <c r="C287" t="str">
        <f>IF(ISERROR(MATCH(A287,'SegEnds_Xtal_Prot#'!B:B, 0)), "NoXtal", "Xtal")</f>
        <v>NoXtal</v>
      </c>
      <c r="D287" t="str">
        <f t="shared" si="4"/>
        <v>human</v>
      </c>
      <c r="E287" t="str">
        <f>VLOOKUP(A287,Classification!A:B,2,FALSE)</f>
        <v>A</v>
      </c>
    </row>
    <row r="288" spans="1:5" x14ac:dyDescent="0.2">
      <c r="A288" t="s">
        <v>289</v>
      </c>
      <c r="B288" t="s">
        <v>647</v>
      </c>
      <c r="C288" t="str">
        <f>IF(ISERROR(MATCH(A288,'SegEnds_Xtal_Prot#'!B:B, 0)), "NoXtal", "Xtal")</f>
        <v>NoXtal</v>
      </c>
      <c r="D288" t="str">
        <f t="shared" si="4"/>
        <v>human</v>
      </c>
      <c r="E288" t="str">
        <f>VLOOKUP(A288,Classification!A:B,2,FALSE)</f>
        <v>A</v>
      </c>
    </row>
    <row r="289" spans="1:5" x14ac:dyDescent="0.2">
      <c r="A289" t="s">
        <v>290</v>
      </c>
      <c r="B289" t="s">
        <v>648</v>
      </c>
      <c r="C289" t="str">
        <f>IF(ISERROR(MATCH(A289,'SegEnds_Xtal_Prot#'!B:B, 0)), "NoXtal", "Xtal")</f>
        <v>NoXtal</v>
      </c>
      <c r="D289" t="str">
        <f t="shared" si="4"/>
        <v>human</v>
      </c>
      <c r="E289" t="str">
        <f>VLOOKUP(A289,Classification!A:B,2,FALSE)</f>
        <v>A</v>
      </c>
    </row>
    <row r="290" spans="1:5" x14ac:dyDescent="0.2">
      <c r="A290" t="s">
        <v>377</v>
      </c>
      <c r="B290" t="s">
        <v>650</v>
      </c>
      <c r="C290" t="str">
        <f>IF(ISERROR(MATCH(A290,'SegEnds_Xtal_Prot#'!B:B, 0)), "NoXtal", "Xtal")</f>
        <v>NoXtal</v>
      </c>
      <c r="D290" t="str">
        <f t="shared" si="4"/>
        <v>human</v>
      </c>
      <c r="E290" t="str">
        <f>VLOOKUP(A290,Classification!A:B,2,FALSE)</f>
        <v>A</v>
      </c>
    </row>
    <row r="291" spans="1:5" x14ac:dyDescent="0.2">
      <c r="A291" t="s">
        <v>378</v>
      </c>
      <c r="B291" t="s">
        <v>651</v>
      </c>
      <c r="C291" t="str">
        <f>IF(ISERROR(MATCH(A291,'SegEnds_Xtal_Prot#'!B:B, 0)), "NoXtal", "Xtal")</f>
        <v>NoXtal</v>
      </c>
      <c r="D291" t="str">
        <f t="shared" si="4"/>
        <v>human</v>
      </c>
      <c r="E291" t="str">
        <f>VLOOKUP(A291,Classification!A:B,2,FALSE)</f>
        <v>A</v>
      </c>
    </row>
    <row r="292" spans="1:5" x14ac:dyDescent="0.2">
      <c r="A292" t="s">
        <v>379</v>
      </c>
      <c r="B292" t="s">
        <v>652</v>
      </c>
      <c r="C292" t="str">
        <f>IF(ISERROR(MATCH(A292,'SegEnds_Xtal_Prot#'!B:B, 0)), "NoXtal", "Xtal")</f>
        <v>NoXtal</v>
      </c>
      <c r="D292" t="str">
        <f t="shared" si="4"/>
        <v>human</v>
      </c>
      <c r="E292" t="str">
        <f>VLOOKUP(A292,Classification!A:B,2,FALSE)</f>
        <v>A</v>
      </c>
    </row>
    <row r="293" spans="1:5" x14ac:dyDescent="0.2">
      <c r="A293" t="s">
        <v>380</v>
      </c>
      <c r="B293" t="s">
        <v>653</v>
      </c>
      <c r="C293" t="str">
        <f>IF(ISERROR(MATCH(A293,'SegEnds_Xtal_Prot#'!B:B, 0)), "NoXtal", "Xtal")</f>
        <v>NoXtal</v>
      </c>
      <c r="D293" t="str">
        <f t="shared" si="4"/>
        <v>human</v>
      </c>
      <c r="E293" t="str">
        <f>VLOOKUP(A293,Classification!A:B,2,FALSE)</f>
        <v>A</v>
      </c>
    </row>
    <row r="294" spans="1:5" x14ac:dyDescent="0.2">
      <c r="A294" t="s">
        <v>182</v>
      </c>
      <c r="B294" t="s">
        <v>654</v>
      </c>
      <c r="C294" t="str">
        <f>IF(ISERROR(MATCH(A294,'SegEnds_Xtal_Prot#'!B:B, 0)), "NoXtal", "Xtal")</f>
        <v>Xtal</v>
      </c>
      <c r="D294" t="str">
        <f t="shared" si="4"/>
        <v>human</v>
      </c>
      <c r="E294" t="str">
        <f>VLOOKUP(A294,Classification!A:B,2,FALSE)</f>
        <v>A</v>
      </c>
    </row>
    <row r="295" spans="1:5" x14ac:dyDescent="0.2">
      <c r="A295" t="s">
        <v>183</v>
      </c>
      <c r="B295" t="s">
        <v>655</v>
      </c>
      <c r="C295" t="str">
        <f>IF(ISERROR(MATCH(A295,'SegEnds_Xtal_Prot#'!B:B, 0)), "NoXtal", "Xtal")</f>
        <v>NoXtal</v>
      </c>
      <c r="D295" t="str">
        <f t="shared" si="4"/>
        <v>human</v>
      </c>
      <c r="E295" t="str">
        <f>VLOOKUP(A295,Classification!A:B,2,FALSE)</f>
        <v>A</v>
      </c>
    </row>
    <row r="296" spans="1:5" x14ac:dyDescent="0.2">
      <c r="A296" t="s">
        <v>241</v>
      </c>
      <c r="B296" t="s">
        <v>656</v>
      </c>
      <c r="C296" t="str">
        <f>IF(ISERROR(MATCH(A296,'SegEnds_Xtal_Prot#'!B:B, 0)), "NoXtal", "Xtal")</f>
        <v>NoXtal</v>
      </c>
      <c r="D296" t="str">
        <f t="shared" si="4"/>
        <v>human</v>
      </c>
      <c r="E296" t="str">
        <f>VLOOKUP(A296,Classification!A:B,2,FALSE)</f>
        <v>A</v>
      </c>
    </row>
    <row r="297" spans="1:5" x14ac:dyDescent="0.2">
      <c r="A297" t="s">
        <v>261</v>
      </c>
      <c r="B297" t="s">
        <v>657</v>
      </c>
      <c r="C297" t="str">
        <f>IF(ISERROR(MATCH(A297,'SegEnds_Xtal_Prot#'!B:B, 0)), "NoXtal", "Xtal")</f>
        <v>NoXtal</v>
      </c>
      <c r="D297" t="str">
        <f t="shared" si="4"/>
        <v>human</v>
      </c>
      <c r="E297" t="str">
        <f>VLOOKUP(A297,Classification!A:B,2,FALSE)</f>
        <v>A</v>
      </c>
    </row>
    <row r="298" spans="1:5" x14ac:dyDescent="0.2">
      <c r="A298" t="s">
        <v>213</v>
      </c>
      <c r="B298" t="s">
        <v>658</v>
      </c>
      <c r="C298" t="str">
        <f>IF(ISERROR(MATCH(A298,'SegEnds_Xtal_Prot#'!B:B, 0)), "NoXtal", "Xtal")</f>
        <v>NoXtal</v>
      </c>
      <c r="D298" t="str">
        <f t="shared" si="4"/>
        <v>human</v>
      </c>
      <c r="E298" t="str">
        <f>VLOOKUP(A298,Classification!A:B,2,FALSE)</f>
        <v>A</v>
      </c>
    </row>
    <row r="299" spans="1:5" x14ac:dyDescent="0.2">
      <c r="A299" t="s">
        <v>371</v>
      </c>
      <c r="B299" t="s">
        <v>659</v>
      </c>
      <c r="C299" t="str">
        <f>IF(ISERROR(MATCH(A299,'SegEnds_Xtal_Prot#'!B:B, 0)), "NoXtal", "Xtal")</f>
        <v>Xtal</v>
      </c>
      <c r="D299" t="str">
        <f t="shared" si="4"/>
        <v>human</v>
      </c>
      <c r="E299" t="str">
        <f>VLOOKUP(A299,Classification!A:B,2,FALSE)</f>
        <v>A</v>
      </c>
    </row>
    <row r="300" spans="1:5" x14ac:dyDescent="0.2">
      <c r="A300" t="s">
        <v>359</v>
      </c>
      <c r="B300" t="s">
        <v>660</v>
      </c>
      <c r="C300" t="str">
        <f>IF(ISERROR(MATCH(A300,'SegEnds_Xtal_Prot#'!B:B, 0)), "NoXtal", "Xtal")</f>
        <v>NoXtal</v>
      </c>
      <c r="D300" t="str">
        <f t="shared" si="4"/>
        <v>human</v>
      </c>
      <c r="E300" t="str">
        <f>VLOOKUP(A300,Classification!A:B,2,FALSE)</f>
        <v>A</v>
      </c>
    </row>
    <row r="301" spans="1:5" x14ac:dyDescent="0.2">
      <c r="A301" t="s">
        <v>360</v>
      </c>
      <c r="B301" t="s">
        <v>661</v>
      </c>
      <c r="C301" t="str">
        <f>IF(ISERROR(MATCH(A301,'SegEnds_Xtal_Prot#'!B:B, 0)), "NoXtal", "Xtal")</f>
        <v>Xtal</v>
      </c>
      <c r="D301" t="str">
        <f t="shared" si="4"/>
        <v>human</v>
      </c>
      <c r="E301" t="str">
        <f>VLOOKUP(A301,Classification!A:B,2,FALSE)</f>
        <v>A</v>
      </c>
    </row>
    <row r="302" spans="1:5" x14ac:dyDescent="0.2">
      <c r="A302" t="s">
        <v>361</v>
      </c>
      <c r="B302" t="s">
        <v>662</v>
      </c>
      <c r="C302" t="str">
        <f>IF(ISERROR(MATCH(A302,'SegEnds_Xtal_Prot#'!B:B, 0)), "NoXtal", "Xtal")</f>
        <v>NoXtal</v>
      </c>
      <c r="D302" t="str">
        <f t="shared" si="4"/>
        <v>human</v>
      </c>
      <c r="E302" t="str">
        <f>VLOOKUP(A302,Classification!A:B,2,FALSE)</f>
        <v>A</v>
      </c>
    </row>
    <row r="303" spans="1:5" x14ac:dyDescent="0.2">
      <c r="A303" t="s">
        <v>362</v>
      </c>
      <c r="B303" t="s">
        <v>663</v>
      </c>
      <c r="C303" t="str">
        <f>IF(ISERROR(MATCH(A303,'SegEnds_Xtal_Prot#'!B:B, 0)), "NoXtal", "Xtal")</f>
        <v>NoXtal</v>
      </c>
      <c r="D303" t="str">
        <f t="shared" si="4"/>
        <v>human</v>
      </c>
      <c r="E303" t="str">
        <f>VLOOKUP(A303,Classification!A:B,2,FALSE)</f>
        <v>A</v>
      </c>
    </row>
    <row r="304" spans="1:5" x14ac:dyDescent="0.2">
      <c r="A304" t="s">
        <v>363</v>
      </c>
      <c r="B304" t="s">
        <v>664</v>
      </c>
      <c r="C304" t="str">
        <f>IF(ISERROR(MATCH(A304,'SegEnds_Xtal_Prot#'!B:B, 0)), "NoXtal", "Xtal")</f>
        <v>Xtal</v>
      </c>
      <c r="D304" t="str">
        <f t="shared" si="4"/>
        <v>human</v>
      </c>
      <c r="E304" t="str">
        <f>VLOOKUP(A304,Classification!A:B,2,FALSE)</f>
        <v>A</v>
      </c>
    </row>
    <row r="305" spans="1:5" x14ac:dyDescent="0.2">
      <c r="A305" t="s">
        <v>364</v>
      </c>
      <c r="B305" t="s">
        <v>665</v>
      </c>
      <c r="C305" t="str">
        <f>IF(ISERROR(MATCH(A305,'SegEnds_Xtal_Prot#'!B:B, 0)), "NoXtal", "Xtal")</f>
        <v>Xtal</v>
      </c>
      <c r="D305" t="str">
        <f t="shared" si="4"/>
        <v>human</v>
      </c>
      <c r="E305" t="str">
        <f>VLOOKUP(A305,Classification!A:B,2,FALSE)</f>
        <v>A</v>
      </c>
    </row>
    <row r="306" spans="1:5" x14ac:dyDescent="0.2">
      <c r="A306" t="s">
        <v>365</v>
      </c>
      <c r="B306" t="s">
        <v>666</v>
      </c>
      <c r="C306" t="str">
        <f>IF(ISERROR(MATCH(A306,'SegEnds_Xtal_Prot#'!B:B, 0)), "NoXtal", "Xtal")</f>
        <v>NoXtal</v>
      </c>
      <c r="D306" t="str">
        <f t="shared" si="4"/>
        <v>human</v>
      </c>
      <c r="E306" t="str">
        <f>VLOOKUP(A306,Classification!A:B,2,FALSE)</f>
        <v>A</v>
      </c>
    </row>
    <row r="307" spans="1:5" x14ac:dyDescent="0.2">
      <c r="A307" t="s">
        <v>366</v>
      </c>
      <c r="B307" t="s">
        <v>667</v>
      </c>
      <c r="C307" t="str">
        <f>IF(ISERROR(MATCH(A307,'SegEnds_Xtal_Prot#'!B:B, 0)), "NoXtal", "Xtal")</f>
        <v>NoXtal</v>
      </c>
      <c r="D307" t="str">
        <f t="shared" si="4"/>
        <v>human</v>
      </c>
      <c r="E307" t="str">
        <f>VLOOKUP(A307,Classification!A:B,2,FALSE)</f>
        <v>A</v>
      </c>
    </row>
    <row r="308" spans="1:5" x14ac:dyDescent="0.2">
      <c r="A308" t="s">
        <v>473</v>
      </c>
      <c r="B308" t="s">
        <v>668</v>
      </c>
      <c r="C308" t="str">
        <f>IF(ISERROR(MATCH(A308,'SegEnds_Xtal_Prot#'!B:B, 0)), "NoXtal", "Xtal")</f>
        <v>NoXtal</v>
      </c>
      <c r="D308" t="str">
        <f t="shared" si="4"/>
        <v>human</v>
      </c>
      <c r="E308" t="str">
        <f>VLOOKUP(A308,Classification!A:B,2,FALSE)</f>
        <v>A</v>
      </c>
    </row>
    <row r="309" spans="1:5" x14ac:dyDescent="0.2">
      <c r="A309" t="s">
        <v>311</v>
      </c>
      <c r="B309" t="s">
        <v>669</v>
      </c>
      <c r="C309" t="str">
        <f>IF(ISERROR(MATCH(A309,'SegEnds_Xtal_Prot#'!B:B, 0)), "NoXtal", "Xtal")</f>
        <v>NoXtal</v>
      </c>
      <c r="D309" t="str">
        <f t="shared" si="4"/>
        <v>human</v>
      </c>
      <c r="E309" t="str">
        <f>VLOOKUP(A309,Classification!A:B,2,FALSE)</f>
        <v>A</v>
      </c>
    </row>
    <row r="310" spans="1:5" x14ac:dyDescent="0.2">
      <c r="A310" t="s">
        <v>312</v>
      </c>
      <c r="B310" t="s">
        <v>670</v>
      </c>
      <c r="C310" t="str">
        <f>IF(ISERROR(MATCH(A310,'SegEnds_Xtal_Prot#'!B:B, 0)), "NoXtal", "Xtal")</f>
        <v>NoXtal</v>
      </c>
      <c r="D310" t="str">
        <f t="shared" si="4"/>
        <v>human</v>
      </c>
      <c r="E310" t="str">
        <f>VLOOKUP(A310,Classification!A:B,2,FALSE)</f>
        <v>A</v>
      </c>
    </row>
    <row r="311" spans="1:5" x14ac:dyDescent="0.2">
      <c r="A311" t="s">
        <v>138</v>
      </c>
      <c r="B311" t="s">
        <v>671</v>
      </c>
      <c r="C311" t="str">
        <f>IF(ISERROR(MATCH(A311,'SegEnds_Xtal_Prot#'!B:B, 0)), "NoXtal", "Xtal")</f>
        <v>Xtal</v>
      </c>
      <c r="D311" t="str">
        <f t="shared" si="4"/>
        <v>human</v>
      </c>
      <c r="E311" t="str">
        <f>VLOOKUP(A311,Classification!A:B,2,FALSE)</f>
        <v>A</v>
      </c>
    </row>
    <row r="312" spans="1:5" x14ac:dyDescent="0.2">
      <c r="A312" t="s">
        <v>140</v>
      </c>
      <c r="B312" t="s">
        <v>673</v>
      </c>
      <c r="C312" t="str">
        <f>IF(ISERROR(MATCH(A312,'SegEnds_Xtal_Prot#'!B:B, 0)), "NoXtal", "Xtal")</f>
        <v>NoXtal</v>
      </c>
      <c r="D312" t="str">
        <f t="shared" si="4"/>
        <v>human</v>
      </c>
      <c r="E312" t="str">
        <f>VLOOKUP(A312,Classification!A:B,2,FALSE)</f>
        <v>A</v>
      </c>
    </row>
    <row r="313" spans="1:5" x14ac:dyDescent="0.2">
      <c r="A313" t="s">
        <v>141</v>
      </c>
      <c r="B313" t="s">
        <v>674</v>
      </c>
      <c r="C313" t="str">
        <f>IF(ISERROR(MATCH(A313,'SegEnds_Xtal_Prot#'!B:B, 0)), "NoXtal", "Xtal")</f>
        <v>NoXtal</v>
      </c>
      <c r="D313" t="str">
        <f t="shared" si="4"/>
        <v>human</v>
      </c>
      <c r="E313" t="str">
        <f>VLOOKUP(A313,Classification!A:B,2,FALSE)</f>
        <v>A</v>
      </c>
    </row>
    <row r="314" spans="1:5" x14ac:dyDescent="0.2">
      <c r="A314" t="s">
        <v>346</v>
      </c>
      <c r="B314" t="s">
        <v>676</v>
      </c>
      <c r="C314" t="str">
        <f>IF(ISERROR(MATCH(A314,'SegEnds_Xtal_Prot#'!B:B, 0)), "NoXtal", "Xtal")</f>
        <v>NoXtal</v>
      </c>
      <c r="D314" t="str">
        <f t="shared" si="4"/>
        <v>human</v>
      </c>
      <c r="E314" t="str">
        <f>VLOOKUP(A314,Classification!A:B,2,FALSE)</f>
        <v>A</v>
      </c>
    </row>
    <row r="315" spans="1:5" x14ac:dyDescent="0.2">
      <c r="A315" t="s">
        <v>347</v>
      </c>
      <c r="B315" t="s">
        <v>677</v>
      </c>
      <c r="C315" t="str">
        <f>IF(ISERROR(MATCH(A315,'SegEnds_Xtal_Prot#'!B:B, 0)), "NoXtal", "Xtal")</f>
        <v>NoXtal</v>
      </c>
      <c r="D315" t="str">
        <f t="shared" si="4"/>
        <v>human</v>
      </c>
      <c r="E315" t="str">
        <f>VLOOKUP(A315,Classification!A:B,2,FALSE)</f>
        <v>A</v>
      </c>
    </row>
    <row r="316" spans="1:5" x14ac:dyDescent="0.2">
      <c r="A316" t="s">
        <v>348</v>
      </c>
      <c r="B316" t="s">
        <v>678</v>
      </c>
      <c r="C316" t="str">
        <f>IF(ISERROR(MATCH(A316,'SegEnds_Xtal_Prot#'!B:B, 0)), "NoXtal", "Xtal")</f>
        <v>NoXtal</v>
      </c>
      <c r="D316" t="str">
        <f t="shared" si="4"/>
        <v>human</v>
      </c>
      <c r="E316" t="str">
        <f>VLOOKUP(A316,Classification!A:B,2,FALSE)</f>
        <v>A</v>
      </c>
    </row>
    <row r="317" spans="1:5" x14ac:dyDescent="0.2">
      <c r="A317" t="s">
        <v>351</v>
      </c>
      <c r="B317" t="s">
        <v>679</v>
      </c>
      <c r="C317" t="str">
        <f>IF(ISERROR(MATCH(A317,'SegEnds_Xtal_Prot#'!B:B, 0)), "NoXtal", "Xtal")</f>
        <v>NoXtal</v>
      </c>
      <c r="D317" t="str">
        <f t="shared" si="4"/>
        <v>human</v>
      </c>
      <c r="E317" t="str">
        <f>VLOOKUP(A317,Classification!A:B,2,FALSE)</f>
        <v>A</v>
      </c>
    </row>
    <row r="318" spans="1:5" x14ac:dyDescent="0.2">
      <c r="A318" t="s">
        <v>353</v>
      </c>
      <c r="B318" t="s">
        <v>681</v>
      </c>
      <c r="C318" t="str">
        <f>IF(ISERROR(MATCH(A318,'SegEnds_Xtal_Prot#'!B:B, 0)), "NoXtal", "Xtal")</f>
        <v>NoXtal</v>
      </c>
      <c r="D318" t="str">
        <f t="shared" si="4"/>
        <v>human</v>
      </c>
      <c r="E318" t="str">
        <f>VLOOKUP(A318,Classification!A:B,2,FALSE)</f>
        <v>A</v>
      </c>
    </row>
    <row r="319" spans="1:5" x14ac:dyDescent="0.2">
      <c r="A319" t="s">
        <v>354</v>
      </c>
      <c r="B319" t="s">
        <v>682</v>
      </c>
      <c r="C319" t="str">
        <f>IF(ISERROR(MATCH(A319,'SegEnds_Xtal_Prot#'!B:B, 0)), "NoXtal", "Xtal")</f>
        <v>NoXtal</v>
      </c>
      <c r="D319" t="str">
        <f t="shared" si="4"/>
        <v>human</v>
      </c>
      <c r="E319" t="str">
        <f>VLOOKUP(A319,Classification!A:B,2,FALSE)</f>
        <v>A</v>
      </c>
    </row>
    <row r="320" spans="1:5" x14ac:dyDescent="0.2">
      <c r="A320" t="s">
        <v>235</v>
      </c>
      <c r="B320" t="s">
        <v>683</v>
      </c>
      <c r="C320" t="str">
        <f>IF(ISERROR(MATCH(A320,'SegEnds_Xtal_Prot#'!B:B, 0)), "NoXtal", "Xtal")</f>
        <v>NoXtal</v>
      </c>
      <c r="D320" t="str">
        <f t="shared" si="4"/>
        <v>human</v>
      </c>
      <c r="E320" t="str">
        <f>VLOOKUP(A320,Classification!A:B,2,FALSE)</f>
        <v>A</v>
      </c>
    </row>
    <row r="321" spans="1:5" x14ac:dyDescent="0.2">
      <c r="A321" t="s">
        <v>236</v>
      </c>
      <c r="B321" t="s">
        <v>684</v>
      </c>
      <c r="C321" t="str">
        <f>IF(ISERROR(MATCH(A321,'SegEnds_Xtal_Prot#'!B:B, 0)), "NoXtal", "Xtal")</f>
        <v>NoXtal</v>
      </c>
      <c r="D321" t="str">
        <f t="shared" si="4"/>
        <v>human</v>
      </c>
      <c r="E321" t="str">
        <f>VLOOKUP(A321,Classification!A:B,2,FALSE)</f>
        <v>A</v>
      </c>
    </row>
    <row r="322" spans="1:5" x14ac:dyDescent="0.2">
      <c r="A322" t="s">
        <v>275</v>
      </c>
      <c r="B322" t="s">
        <v>685</v>
      </c>
      <c r="C322" t="str">
        <f>IF(ISERROR(MATCH(A322,'SegEnds_Xtal_Prot#'!B:B, 0)), "NoXtal", "Xtal")</f>
        <v>NoXtal</v>
      </c>
      <c r="D322" t="str">
        <f t="shared" si="4"/>
        <v>human</v>
      </c>
      <c r="E322" t="str">
        <f>VLOOKUP(A322,Classification!A:B,2,FALSE)</f>
        <v>A</v>
      </c>
    </row>
    <row r="323" spans="1:5" x14ac:dyDescent="0.2">
      <c r="A323" t="s">
        <v>276</v>
      </c>
      <c r="B323" t="s">
        <v>686</v>
      </c>
      <c r="C323" t="str">
        <f>IF(ISERROR(MATCH(A323,'SegEnds_Xtal_Prot#'!B:B, 0)), "NoXtal", "Xtal")</f>
        <v>NoXtal</v>
      </c>
      <c r="D323" t="str">
        <f t="shared" si="4"/>
        <v>human</v>
      </c>
      <c r="E323" t="str">
        <f>VLOOKUP(A323,Classification!A:B,2,FALSE)</f>
        <v>A</v>
      </c>
    </row>
    <row r="324" spans="1:5" x14ac:dyDescent="0.2">
      <c r="A324" t="s">
        <v>277</v>
      </c>
      <c r="B324" t="s">
        <v>687</v>
      </c>
      <c r="C324" t="str">
        <f>IF(ISERROR(MATCH(A324,'SegEnds_Xtal_Prot#'!B:B, 0)), "NoXtal", "Xtal")</f>
        <v>NoXtal</v>
      </c>
      <c r="D324" t="str">
        <f t="shared" si="4"/>
        <v>human</v>
      </c>
      <c r="E324" t="str">
        <f>VLOOKUP(A324,Classification!A:B,2,FALSE)</f>
        <v>A</v>
      </c>
    </row>
    <row r="325" spans="1:5" x14ac:dyDescent="0.2">
      <c r="A325" t="s">
        <v>343</v>
      </c>
      <c r="B325" t="s">
        <v>688</v>
      </c>
      <c r="C325" t="str">
        <f>IF(ISERROR(MATCH(A325,'SegEnds_Xtal_Prot#'!B:B, 0)), "NoXtal", "Xtal")</f>
        <v>NoXtal</v>
      </c>
      <c r="D325" t="str">
        <f t="shared" si="4"/>
        <v>human</v>
      </c>
      <c r="E325" t="str">
        <f>VLOOKUP(A325,Classification!A:B,2,FALSE)</f>
        <v>A</v>
      </c>
    </row>
    <row r="326" spans="1:5" x14ac:dyDescent="0.2">
      <c r="A326" t="s">
        <v>386</v>
      </c>
      <c r="B326" t="s">
        <v>689</v>
      </c>
      <c r="C326" t="str">
        <f>IF(ISERROR(MATCH(A326,'SegEnds_Xtal_Prot#'!B:B, 0)), "NoXtal", "Xtal")</f>
        <v>NoXtal</v>
      </c>
      <c r="D326" t="str">
        <f t="shared" si="4"/>
        <v>human</v>
      </c>
      <c r="E326" t="str">
        <f>VLOOKUP(A326,Classification!A:B,2,FALSE)</f>
        <v>A</v>
      </c>
    </row>
    <row r="327" spans="1:5" x14ac:dyDescent="0.2">
      <c r="A327" t="s">
        <v>333</v>
      </c>
      <c r="B327" t="s">
        <v>691</v>
      </c>
      <c r="C327" t="str">
        <f>IF(ISERROR(MATCH(A327,'SegEnds_Xtal_Prot#'!B:B, 0)), "NoXtal", "Xtal")</f>
        <v>NoXtal</v>
      </c>
      <c r="D327" t="str">
        <f t="shared" ref="D327:D390" si="5">MID(A327,FIND("_",A327)+1,LEN(A327)-FIND("_",A327))</f>
        <v>human</v>
      </c>
      <c r="E327" t="str">
        <f>VLOOKUP(A327,Classification!A:B,2,FALSE)</f>
        <v>A</v>
      </c>
    </row>
    <row r="328" spans="1:5" x14ac:dyDescent="0.2">
      <c r="A328" t="s">
        <v>332</v>
      </c>
      <c r="B328" t="s">
        <v>692</v>
      </c>
      <c r="C328" t="str">
        <f>IF(ISERROR(MATCH(A328,'SegEnds_Xtal_Prot#'!B:B, 0)), "NoXtal", "Xtal")</f>
        <v>NoXtal</v>
      </c>
      <c r="D328" t="str">
        <f t="shared" si="5"/>
        <v>human</v>
      </c>
      <c r="E328" t="str">
        <f>VLOOKUP(A328,Classification!A:B,2,FALSE)</f>
        <v>A</v>
      </c>
    </row>
    <row r="329" spans="1:5" x14ac:dyDescent="0.2">
      <c r="A329" t="s">
        <v>334</v>
      </c>
      <c r="B329" t="s">
        <v>693</v>
      </c>
      <c r="C329" t="str">
        <f>IF(ISERROR(MATCH(A329,'SegEnds_Xtal_Prot#'!B:B, 0)), "NoXtal", "Xtal")</f>
        <v>NoXtal</v>
      </c>
      <c r="D329" t="str">
        <f t="shared" si="5"/>
        <v>human</v>
      </c>
      <c r="E329" t="str">
        <f>VLOOKUP(A329,Classification!A:B,2,FALSE)</f>
        <v>A</v>
      </c>
    </row>
    <row r="330" spans="1:5" x14ac:dyDescent="0.2">
      <c r="A330" t="s">
        <v>338</v>
      </c>
      <c r="B330" t="s">
        <v>694</v>
      </c>
      <c r="C330" t="str">
        <f>IF(ISERROR(MATCH(A330,'SegEnds_Xtal_Prot#'!B:B, 0)), "NoXtal", "Xtal")</f>
        <v>NoXtal</v>
      </c>
      <c r="D330" t="str">
        <f t="shared" si="5"/>
        <v>human</v>
      </c>
      <c r="E330" t="str">
        <f>VLOOKUP(A330,Classification!A:B,2,FALSE)</f>
        <v>A</v>
      </c>
    </row>
    <row r="331" spans="1:5" x14ac:dyDescent="0.2">
      <c r="A331" t="s">
        <v>340</v>
      </c>
      <c r="B331" t="s">
        <v>695</v>
      </c>
      <c r="C331" t="str">
        <f>IF(ISERROR(MATCH(A331,'SegEnds_Xtal_Prot#'!B:B, 0)), "NoXtal", "Xtal")</f>
        <v>NoXtal</v>
      </c>
      <c r="D331" t="str">
        <f t="shared" si="5"/>
        <v>human</v>
      </c>
      <c r="E331" t="str">
        <f>VLOOKUP(A331,Classification!A:B,2,FALSE)</f>
        <v>A</v>
      </c>
    </row>
    <row r="332" spans="1:5" x14ac:dyDescent="0.2">
      <c r="A332" t="s">
        <v>341</v>
      </c>
      <c r="B332" t="s">
        <v>696</v>
      </c>
      <c r="C332" t="str">
        <f>IF(ISERROR(MATCH(A332,'SegEnds_Xtal_Prot#'!B:B, 0)), "NoXtal", "Xtal")</f>
        <v>NoXtal</v>
      </c>
      <c r="D332" t="str">
        <f t="shared" si="5"/>
        <v>human</v>
      </c>
      <c r="E332" t="str">
        <f>VLOOKUP(A332,Classification!A:B,2,FALSE)</f>
        <v>A</v>
      </c>
    </row>
    <row r="333" spans="1:5" x14ac:dyDescent="0.2">
      <c r="A333" t="s">
        <v>237</v>
      </c>
      <c r="B333" t="s">
        <v>718</v>
      </c>
      <c r="C333" t="str">
        <f>IF(ISERROR(MATCH(A333,'SegEnds_Xtal_Prot#'!B:B, 0)), "NoXtal", "Xtal")</f>
        <v>NoXtal</v>
      </c>
      <c r="D333" t="str">
        <f t="shared" si="5"/>
        <v>human</v>
      </c>
      <c r="E333" t="str">
        <f>VLOOKUP(A333,Classification!A:B,2,FALSE)</f>
        <v>A</v>
      </c>
    </row>
    <row r="334" spans="1:5" x14ac:dyDescent="0.2">
      <c r="A334" t="s">
        <v>249</v>
      </c>
      <c r="B334" t="s">
        <v>719</v>
      </c>
      <c r="C334" t="str">
        <f>IF(ISERROR(MATCH(A334,'SegEnds_Xtal_Prot#'!B:B, 0)), "NoXtal", "Xtal")</f>
        <v>NoXtal</v>
      </c>
      <c r="D334" t="str">
        <f t="shared" si="5"/>
        <v>human</v>
      </c>
      <c r="E334" t="str">
        <f>VLOOKUP(A334,Classification!A:B,2,FALSE)</f>
        <v>A</v>
      </c>
    </row>
    <row r="335" spans="1:5" x14ac:dyDescent="0.2">
      <c r="A335" t="s">
        <v>257</v>
      </c>
      <c r="B335" t="s">
        <v>720</v>
      </c>
      <c r="C335" t="str">
        <f>IF(ISERROR(MATCH(A335,'SegEnds_Xtal_Prot#'!B:B, 0)), "NoXtal", "Xtal")</f>
        <v>NoXtal</v>
      </c>
      <c r="D335" t="str">
        <f t="shared" si="5"/>
        <v>human</v>
      </c>
      <c r="E335" t="str">
        <f>VLOOKUP(A335,Classification!A:B,2,FALSE)</f>
        <v>A</v>
      </c>
    </row>
    <row r="336" spans="1:5" x14ac:dyDescent="0.2">
      <c r="A336" t="s">
        <v>262</v>
      </c>
      <c r="B336" t="s">
        <v>721</v>
      </c>
      <c r="C336" t="str">
        <f>IF(ISERROR(MATCH(A336,'SegEnds_Xtal_Prot#'!B:B, 0)), "NoXtal", "Xtal")</f>
        <v>NoXtal</v>
      </c>
      <c r="D336" t="str">
        <f t="shared" si="5"/>
        <v>human</v>
      </c>
      <c r="E336" t="str">
        <f>VLOOKUP(A336,Classification!A:B,2,FALSE)</f>
        <v>A</v>
      </c>
    </row>
    <row r="337" spans="1:5" x14ac:dyDescent="0.2">
      <c r="A337" t="s">
        <v>238</v>
      </c>
      <c r="B337" t="s">
        <v>722</v>
      </c>
      <c r="C337" t="str">
        <f>IF(ISERROR(MATCH(A337,'SegEnds_Xtal_Prot#'!B:B, 0)), "NoXtal", "Xtal")</f>
        <v>NoXtal</v>
      </c>
      <c r="D337" t="str">
        <f t="shared" si="5"/>
        <v>human</v>
      </c>
      <c r="E337" t="str">
        <f>VLOOKUP(A337,Classification!A:B,2,FALSE)</f>
        <v>A</v>
      </c>
    </row>
    <row r="338" spans="1:5" x14ac:dyDescent="0.2">
      <c r="A338" t="s">
        <v>239</v>
      </c>
      <c r="B338" t="s">
        <v>723</v>
      </c>
      <c r="C338" t="str">
        <f>IF(ISERROR(MATCH(A338,'SegEnds_Xtal_Prot#'!B:B, 0)), "NoXtal", "Xtal")</f>
        <v>NoXtal</v>
      </c>
      <c r="D338" t="str">
        <f t="shared" si="5"/>
        <v>human</v>
      </c>
      <c r="E338" t="str">
        <f>VLOOKUP(A338,Classification!A:B,2,FALSE)</f>
        <v>A</v>
      </c>
    </row>
    <row r="339" spans="1:5" x14ac:dyDescent="0.2">
      <c r="A339" t="s">
        <v>240</v>
      </c>
      <c r="B339" t="s">
        <v>724</v>
      </c>
      <c r="C339" t="str">
        <f>IF(ISERROR(MATCH(A339,'SegEnds_Xtal_Prot#'!B:B, 0)), "NoXtal", "Xtal")</f>
        <v>NoXtal</v>
      </c>
      <c r="D339" t="str">
        <f t="shared" si="5"/>
        <v>human</v>
      </c>
      <c r="E339" t="str">
        <f>VLOOKUP(A339,Classification!A:B,2,FALSE)</f>
        <v>A</v>
      </c>
    </row>
    <row r="340" spans="1:5" x14ac:dyDescent="0.2">
      <c r="A340" t="s">
        <v>242</v>
      </c>
      <c r="B340" t="s">
        <v>725</v>
      </c>
      <c r="C340" t="str">
        <f>IF(ISERROR(MATCH(A340,'SegEnds_Xtal_Prot#'!B:B, 0)), "NoXtal", "Xtal")</f>
        <v>NoXtal</v>
      </c>
      <c r="D340" t="str">
        <f t="shared" si="5"/>
        <v>human</v>
      </c>
      <c r="E340" t="str">
        <f>VLOOKUP(A340,Classification!A:B,2,FALSE)</f>
        <v>A</v>
      </c>
    </row>
    <row r="341" spans="1:5" x14ac:dyDescent="0.2">
      <c r="A341" t="s">
        <v>243</v>
      </c>
      <c r="B341" t="s">
        <v>726</v>
      </c>
      <c r="C341" t="str">
        <f>IF(ISERROR(MATCH(A341,'SegEnds_Xtal_Prot#'!B:B, 0)), "NoXtal", "Xtal")</f>
        <v>NoXtal</v>
      </c>
      <c r="D341" t="str">
        <f t="shared" si="5"/>
        <v>human</v>
      </c>
      <c r="E341" t="str">
        <f>VLOOKUP(A341,Classification!A:B,2,FALSE)</f>
        <v>A</v>
      </c>
    </row>
    <row r="342" spans="1:5" x14ac:dyDescent="0.2">
      <c r="A342" t="s">
        <v>244</v>
      </c>
      <c r="B342" t="s">
        <v>727</v>
      </c>
      <c r="C342" t="str">
        <f>IF(ISERROR(MATCH(A342,'SegEnds_Xtal_Prot#'!B:B, 0)), "NoXtal", "Xtal")</f>
        <v>NoXtal</v>
      </c>
      <c r="D342" t="str">
        <f t="shared" si="5"/>
        <v>human</v>
      </c>
      <c r="E342" t="str">
        <f>VLOOKUP(A342,Classification!A:B,2,FALSE)</f>
        <v>A</v>
      </c>
    </row>
    <row r="343" spans="1:5" x14ac:dyDescent="0.2">
      <c r="A343" t="s">
        <v>245</v>
      </c>
      <c r="B343" t="s">
        <v>728</v>
      </c>
      <c r="C343" t="str">
        <f>IF(ISERROR(MATCH(A343,'SegEnds_Xtal_Prot#'!B:B, 0)), "NoXtal", "Xtal")</f>
        <v>NoXtal</v>
      </c>
      <c r="D343" t="str">
        <f t="shared" si="5"/>
        <v>human</v>
      </c>
      <c r="E343" t="str">
        <f>VLOOKUP(A343,Classification!A:B,2,FALSE)</f>
        <v>A</v>
      </c>
    </row>
    <row r="344" spans="1:5" x14ac:dyDescent="0.2">
      <c r="A344" t="s">
        <v>246</v>
      </c>
      <c r="B344" t="s">
        <v>729</v>
      </c>
      <c r="C344" t="str">
        <f>IF(ISERROR(MATCH(A344,'SegEnds_Xtal_Prot#'!B:B, 0)), "NoXtal", "Xtal")</f>
        <v>NoXtal</v>
      </c>
      <c r="D344" t="str">
        <f t="shared" si="5"/>
        <v>human</v>
      </c>
      <c r="E344" t="str">
        <f>VLOOKUP(A344,Classification!A:B,2,FALSE)</f>
        <v>A</v>
      </c>
    </row>
    <row r="345" spans="1:5" x14ac:dyDescent="0.2">
      <c r="A345" t="s">
        <v>247</v>
      </c>
      <c r="B345" t="s">
        <v>730</v>
      </c>
      <c r="C345" t="str">
        <f>IF(ISERROR(MATCH(A345,'SegEnds_Xtal_Prot#'!B:B, 0)), "NoXtal", "Xtal")</f>
        <v>NoXtal</v>
      </c>
      <c r="D345" t="str">
        <f t="shared" si="5"/>
        <v>human</v>
      </c>
      <c r="E345" t="str">
        <f>VLOOKUP(A345,Classification!A:B,2,FALSE)</f>
        <v>A</v>
      </c>
    </row>
    <row r="346" spans="1:5" x14ac:dyDescent="0.2">
      <c r="A346" t="s">
        <v>248</v>
      </c>
      <c r="B346" t="s">
        <v>731</v>
      </c>
      <c r="C346" t="str">
        <f>IF(ISERROR(MATCH(A346,'SegEnds_Xtal_Prot#'!B:B, 0)), "NoXtal", "Xtal")</f>
        <v>NoXtal</v>
      </c>
      <c r="D346" t="str">
        <f t="shared" si="5"/>
        <v>human</v>
      </c>
      <c r="E346" t="str">
        <f>VLOOKUP(A346,Classification!A:B,2,FALSE)</f>
        <v>A</v>
      </c>
    </row>
    <row r="347" spans="1:5" x14ac:dyDescent="0.2">
      <c r="A347" t="s">
        <v>250</v>
      </c>
      <c r="B347" t="s">
        <v>732</v>
      </c>
      <c r="C347" t="str">
        <f>IF(ISERROR(MATCH(A347,'SegEnds_Xtal_Prot#'!B:B, 0)), "NoXtal", "Xtal")</f>
        <v>NoXtal</v>
      </c>
      <c r="D347" t="str">
        <f t="shared" si="5"/>
        <v>human</v>
      </c>
      <c r="E347" t="str">
        <f>VLOOKUP(A347,Classification!A:B,2,FALSE)</f>
        <v>A</v>
      </c>
    </row>
    <row r="348" spans="1:5" x14ac:dyDescent="0.2">
      <c r="A348" t="s">
        <v>251</v>
      </c>
      <c r="B348" t="s">
        <v>733</v>
      </c>
      <c r="C348" t="str">
        <f>IF(ISERROR(MATCH(A348,'SegEnds_Xtal_Prot#'!B:B, 0)), "NoXtal", "Xtal")</f>
        <v>NoXtal</v>
      </c>
      <c r="D348" t="str">
        <f t="shared" si="5"/>
        <v>human</v>
      </c>
      <c r="E348" t="str">
        <f>VLOOKUP(A348,Classification!A:B,2,FALSE)</f>
        <v>A</v>
      </c>
    </row>
    <row r="349" spans="1:5" x14ac:dyDescent="0.2">
      <c r="A349" t="s">
        <v>252</v>
      </c>
      <c r="B349" t="s">
        <v>734</v>
      </c>
      <c r="C349" t="str">
        <f>IF(ISERROR(MATCH(A349,'SegEnds_Xtal_Prot#'!B:B, 0)), "NoXtal", "Xtal")</f>
        <v>NoXtal</v>
      </c>
      <c r="D349" t="str">
        <f t="shared" si="5"/>
        <v>human</v>
      </c>
      <c r="E349" t="str">
        <f>VLOOKUP(A349,Classification!A:B,2,FALSE)</f>
        <v>A</v>
      </c>
    </row>
    <row r="350" spans="1:5" x14ac:dyDescent="0.2">
      <c r="A350" t="s">
        <v>253</v>
      </c>
      <c r="B350" t="s">
        <v>735</v>
      </c>
      <c r="C350" t="str">
        <f>IF(ISERROR(MATCH(A350,'SegEnds_Xtal_Prot#'!B:B, 0)), "NoXtal", "Xtal")</f>
        <v>NoXtal</v>
      </c>
      <c r="D350" t="str">
        <f t="shared" si="5"/>
        <v>human</v>
      </c>
      <c r="E350" t="str">
        <f>VLOOKUP(A350,Classification!A:B,2,FALSE)</f>
        <v>A</v>
      </c>
    </row>
    <row r="351" spans="1:5" x14ac:dyDescent="0.2">
      <c r="A351" t="s">
        <v>254</v>
      </c>
      <c r="B351" t="s">
        <v>736</v>
      </c>
      <c r="C351" t="str">
        <f>IF(ISERROR(MATCH(A351,'SegEnds_Xtal_Prot#'!B:B, 0)), "NoXtal", "Xtal")</f>
        <v>NoXtal</v>
      </c>
      <c r="D351" t="str">
        <f t="shared" si="5"/>
        <v>human</v>
      </c>
      <c r="E351" t="str">
        <f>VLOOKUP(A351,Classification!A:B,2,FALSE)</f>
        <v>A</v>
      </c>
    </row>
    <row r="352" spans="1:5" x14ac:dyDescent="0.2">
      <c r="A352" t="s">
        <v>255</v>
      </c>
      <c r="B352" t="s">
        <v>737</v>
      </c>
      <c r="C352" t="str">
        <f>IF(ISERROR(MATCH(A352,'SegEnds_Xtal_Prot#'!B:B, 0)), "NoXtal", "Xtal")</f>
        <v>NoXtal</v>
      </c>
      <c r="D352" t="str">
        <f t="shared" si="5"/>
        <v>human</v>
      </c>
      <c r="E352" t="str">
        <f>VLOOKUP(A352,Classification!A:B,2,FALSE)</f>
        <v>A</v>
      </c>
    </row>
    <row r="353" spans="1:5" x14ac:dyDescent="0.2">
      <c r="A353" t="s">
        <v>197</v>
      </c>
      <c r="B353" t="s">
        <v>738</v>
      </c>
      <c r="C353" t="str">
        <f>IF(ISERROR(MATCH(A353,'SegEnds_Xtal_Prot#'!B:B, 0)), "NoXtal", "Xtal")</f>
        <v>NoXtal</v>
      </c>
      <c r="D353" t="str">
        <f t="shared" si="5"/>
        <v>human</v>
      </c>
      <c r="E353" t="str">
        <f>VLOOKUP(A353,Classification!A:B,2,FALSE)</f>
        <v>A</v>
      </c>
    </row>
    <row r="354" spans="1:5" x14ac:dyDescent="0.2">
      <c r="A354" t="s">
        <v>256</v>
      </c>
      <c r="B354" t="s">
        <v>739</v>
      </c>
      <c r="C354" t="str">
        <f>IF(ISERROR(MATCH(A354,'SegEnds_Xtal_Prot#'!B:B, 0)), "NoXtal", "Xtal")</f>
        <v>NoXtal</v>
      </c>
      <c r="D354" t="str">
        <f t="shared" si="5"/>
        <v>human</v>
      </c>
      <c r="E354" t="str">
        <f>VLOOKUP(A354,Classification!A:B,2,FALSE)</f>
        <v>A</v>
      </c>
    </row>
    <row r="355" spans="1:5" x14ac:dyDescent="0.2">
      <c r="A355" t="s">
        <v>259</v>
      </c>
      <c r="B355" t="s">
        <v>740</v>
      </c>
      <c r="C355" t="str">
        <f>IF(ISERROR(MATCH(A355,'SegEnds_Xtal_Prot#'!B:B, 0)), "NoXtal", "Xtal")</f>
        <v>NoXtal</v>
      </c>
      <c r="D355" t="str">
        <f t="shared" si="5"/>
        <v>human</v>
      </c>
      <c r="E355" t="str">
        <f>VLOOKUP(A355,Classification!A:B,2,FALSE)</f>
        <v>A</v>
      </c>
    </row>
    <row r="356" spans="1:5" x14ac:dyDescent="0.2">
      <c r="A356" t="s">
        <v>313</v>
      </c>
      <c r="B356" t="s">
        <v>741</v>
      </c>
      <c r="C356" t="str">
        <f>IF(ISERROR(MATCH(A356,'SegEnds_Xtal_Prot#'!B:B, 0)), "NoXtal", "Xtal")</f>
        <v>NoXtal</v>
      </c>
      <c r="D356" t="str">
        <f t="shared" si="5"/>
        <v>human</v>
      </c>
      <c r="E356" t="str">
        <f>VLOOKUP(A356,Classification!A:B,2,FALSE)</f>
        <v>A</v>
      </c>
    </row>
    <row r="357" spans="1:5" x14ac:dyDescent="0.2">
      <c r="A357" t="s">
        <v>260</v>
      </c>
      <c r="B357" t="s">
        <v>742</v>
      </c>
      <c r="C357" t="str">
        <f>IF(ISERROR(MATCH(A357,'SegEnds_Xtal_Prot#'!B:B, 0)), "NoXtal", "Xtal")</f>
        <v>NoXtal</v>
      </c>
      <c r="D357" t="str">
        <f t="shared" si="5"/>
        <v>human</v>
      </c>
      <c r="E357" t="str">
        <f>VLOOKUP(A357,Classification!A:B,2,FALSE)</f>
        <v>A</v>
      </c>
    </row>
    <row r="358" spans="1:5" x14ac:dyDescent="0.2">
      <c r="A358" t="s">
        <v>263</v>
      </c>
      <c r="B358" t="s">
        <v>743</v>
      </c>
      <c r="C358" t="str">
        <f>IF(ISERROR(MATCH(A358,'SegEnds_Xtal_Prot#'!B:B, 0)), "NoXtal", "Xtal")</f>
        <v>NoXtal</v>
      </c>
      <c r="D358" t="str">
        <f t="shared" si="5"/>
        <v>human</v>
      </c>
      <c r="E358" t="str">
        <f>VLOOKUP(A358,Classification!A:B,2,FALSE)</f>
        <v>A</v>
      </c>
    </row>
    <row r="359" spans="1:5" x14ac:dyDescent="0.2">
      <c r="A359" t="s">
        <v>264</v>
      </c>
      <c r="B359" t="s">
        <v>744</v>
      </c>
      <c r="C359" t="str">
        <f>IF(ISERROR(MATCH(A359,'SegEnds_Xtal_Prot#'!B:B, 0)), "NoXtal", "Xtal")</f>
        <v>NoXtal</v>
      </c>
      <c r="D359" t="str">
        <f t="shared" si="5"/>
        <v>human</v>
      </c>
      <c r="E359" t="str">
        <f>VLOOKUP(A359,Classification!A:B,2,FALSE)</f>
        <v>A</v>
      </c>
    </row>
    <row r="360" spans="1:5" x14ac:dyDescent="0.2">
      <c r="A360" t="s">
        <v>265</v>
      </c>
      <c r="B360" t="s">
        <v>745</v>
      </c>
      <c r="C360" t="str">
        <f>IF(ISERROR(MATCH(A360,'SegEnds_Xtal_Prot#'!B:B, 0)), "NoXtal", "Xtal")</f>
        <v>NoXtal</v>
      </c>
      <c r="D360" t="str">
        <f t="shared" si="5"/>
        <v>human</v>
      </c>
      <c r="E360" t="str">
        <f>VLOOKUP(A360,Classification!A:B,2,FALSE)</f>
        <v>A</v>
      </c>
    </row>
    <row r="361" spans="1:5" x14ac:dyDescent="0.2">
      <c r="A361" t="s">
        <v>370</v>
      </c>
      <c r="B361" t="s">
        <v>746</v>
      </c>
      <c r="C361" t="str">
        <f>IF(ISERROR(MATCH(A361,'SegEnds_Xtal_Prot#'!B:B, 0)), "NoXtal", "Xtal")</f>
        <v>NoXtal</v>
      </c>
      <c r="D361" t="str">
        <f t="shared" si="5"/>
        <v>human</v>
      </c>
      <c r="E361" t="str">
        <f>VLOOKUP(A361,Classification!A:B,2,FALSE)</f>
        <v>A</v>
      </c>
    </row>
    <row r="362" spans="1:5" x14ac:dyDescent="0.2">
      <c r="A362" t="s">
        <v>331</v>
      </c>
      <c r="B362" t="s">
        <v>747</v>
      </c>
      <c r="C362" t="str">
        <f>IF(ISERROR(MATCH(A362,'SegEnds_Xtal_Prot#'!B:B, 0)), "NoXtal", "Xtal")</f>
        <v>NoXtal</v>
      </c>
      <c r="D362" t="str">
        <f t="shared" si="5"/>
        <v>human</v>
      </c>
      <c r="E362" t="str">
        <f>VLOOKUP(A362,Classification!A:B,2,FALSE)</f>
        <v>A</v>
      </c>
    </row>
    <row r="363" spans="1:5" x14ac:dyDescent="0.2">
      <c r="A363" t="s">
        <v>266</v>
      </c>
      <c r="B363" t="s">
        <v>748</v>
      </c>
      <c r="C363" t="str">
        <f>IF(ISERROR(MATCH(A363,'SegEnds_Xtal_Prot#'!B:B, 0)), "NoXtal", "Xtal")</f>
        <v>NoXtal</v>
      </c>
      <c r="D363" t="str">
        <f t="shared" si="5"/>
        <v>human</v>
      </c>
      <c r="E363" t="str">
        <f>VLOOKUP(A363,Classification!A:B,2,FALSE)</f>
        <v>A</v>
      </c>
    </row>
    <row r="364" spans="1:5" x14ac:dyDescent="0.2">
      <c r="A364" t="s">
        <v>267</v>
      </c>
      <c r="B364" t="s">
        <v>749</v>
      </c>
      <c r="C364" t="str">
        <f>IF(ISERROR(MATCH(A364,'SegEnds_Xtal_Prot#'!B:B, 0)), "NoXtal", "Xtal")</f>
        <v>NoXtal</v>
      </c>
      <c r="D364" t="str">
        <f t="shared" si="5"/>
        <v>human</v>
      </c>
      <c r="E364" t="str">
        <f>VLOOKUP(A364,Classification!A:B,2,FALSE)</f>
        <v>A</v>
      </c>
    </row>
    <row r="365" spans="1:5" x14ac:dyDescent="0.2">
      <c r="A365" t="s">
        <v>268</v>
      </c>
      <c r="B365" t="s">
        <v>750</v>
      </c>
      <c r="C365" t="str">
        <f>IF(ISERROR(MATCH(A365,'SegEnds_Xtal_Prot#'!B:B, 0)), "NoXtal", "Xtal")</f>
        <v>NoXtal</v>
      </c>
      <c r="D365" t="str">
        <f t="shared" si="5"/>
        <v>human</v>
      </c>
      <c r="E365" t="str">
        <f>VLOOKUP(A365,Classification!A:B,2,FALSE)</f>
        <v>A</v>
      </c>
    </row>
    <row r="366" spans="1:5" x14ac:dyDescent="0.2">
      <c r="A366" t="s">
        <v>269</v>
      </c>
      <c r="B366" t="s">
        <v>751</v>
      </c>
      <c r="C366" t="str">
        <f>IF(ISERROR(MATCH(A366,'SegEnds_Xtal_Prot#'!B:B, 0)), "NoXtal", "Xtal")</f>
        <v>NoXtal</v>
      </c>
      <c r="D366" t="str">
        <f t="shared" si="5"/>
        <v>human</v>
      </c>
      <c r="E366" t="str">
        <f>VLOOKUP(A366,Classification!A:B,2,FALSE)</f>
        <v>A</v>
      </c>
    </row>
    <row r="367" spans="1:5" x14ac:dyDescent="0.2">
      <c r="A367" t="s">
        <v>270</v>
      </c>
      <c r="B367" t="s">
        <v>752</v>
      </c>
      <c r="C367" t="str">
        <f>IF(ISERROR(MATCH(A367,'SegEnds_Xtal_Prot#'!B:B, 0)), "NoXtal", "Xtal")</f>
        <v>NoXtal</v>
      </c>
      <c r="D367" t="str">
        <f t="shared" si="5"/>
        <v>human</v>
      </c>
      <c r="E367" t="str">
        <f>VLOOKUP(A367,Classification!A:B,2,FALSE)</f>
        <v>A</v>
      </c>
    </row>
    <row r="368" spans="1:5" x14ac:dyDescent="0.2">
      <c r="A368" t="s">
        <v>271</v>
      </c>
      <c r="B368" t="s">
        <v>753</v>
      </c>
      <c r="C368" t="str">
        <f>IF(ISERROR(MATCH(A368,'SegEnds_Xtal_Prot#'!B:B, 0)), "NoXtal", "Xtal")</f>
        <v>NoXtal</v>
      </c>
      <c r="D368" t="str">
        <f t="shared" si="5"/>
        <v>human</v>
      </c>
      <c r="E368" t="str">
        <f>VLOOKUP(A368,Classification!A:B,2,FALSE)</f>
        <v>A</v>
      </c>
    </row>
    <row r="369" spans="1:5" x14ac:dyDescent="0.2">
      <c r="A369" t="s">
        <v>272</v>
      </c>
      <c r="B369" t="s">
        <v>754</v>
      </c>
      <c r="C369" t="str">
        <f>IF(ISERROR(MATCH(A369,'SegEnds_Xtal_Prot#'!B:B, 0)), "NoXtal", "Xtal")</f>
        <v>NoXtal</v>
      </c>
      <c r="D369" t="str">
        <f t="shared" si="5"/>
        <v>human</v>
      </c>
      <c r="E369" t="str">
        <f>VLOOKUP(A369,Classification!A:B,2,FALSE)</f>
        <v>A</v>
      </c>
    </row>
    <row r="370" spans="1:5" x14ac:dyDescent="0.2">
      <c r="A370" t="s">
        <v>273</v>
      </c>
      <c r="B370" t="s">
        <v>755</v>
      </c>
      <c r="C370" t="str">
        <f>IF(ISERROR(MATCH(A370,'SegEnds_Xtal_Prot#'!B:B, 0)), "NoXtal", "Xtal")</f>
        <v>NoXtal</v>
      </c>
      <c r="D370" t="str">
        <f t="shared" si="5"/>
        <v>human</v>
      </c>
      <c r="E370" t="str">
        <f>VLOOKUP(A370,Classification!A:B,2,FALSE)</f>
        <v>A</v>
      </c>
    </row>
    <row r="371" spans="1:5" x14ac:dyDescent="0.2">
      <c r="A371" t="s">
        <v>212</v>
      </c>
      <c r="B371" t="s">
        <v>756</v>
      </c>
      <c r="C371" t="str">
        <f>IF(ISERROR(MATCH(A371,'SegEnds_Xtal_Prot#'!B:B, 0)), "NoXtal", "Xtal")</f>
        <v>NoXtal</v>
      </c>
      <c r="D371" t="str">
        <f t="shared" si="5"/>
        <v>human</v>
      </c>
      <c r="E371" t="str">
        <f>VLOOKUP(A371,Classification!A:B,2,FALSE)</f>
        <v>A</v>
      </c>
    </row>
    <row r="372" spans="1:5" x14ac:dyDescent="0.2">
      <c r="A372" t="s">
        <v>214</v>
      </c>
      <c r="B372" t="s">
        <v>757</v>
      </c>
      <c r="C372" t="str">
        <f>IF(ISERROR(MATCH(A372,'SegEnds_Xtal_Prot#'!B:B, 0)), "NoXtal", "Xtal")</f>
        <v>NoXtal</v>
      </c>
      <c r="D372" t="str">
        <f t="shared" si="5"/>
        <v>human</v>
      </c>
      <c r="E372" t="str">
        <f>VLOOKUP(A372,Classification!A:B,2,FALSE)</f>
        <v>A</v>
      </c>
    </row>
    <row r="373" spans="1:5" x14ac:dyDescent="0.2">
      <c r="A373" t="s">
        <v>215</v>
      </c>
      <c r="B373" t="s">
        <v>758</v>
      </c>
      <c r="C373" t="str">
        <f>IF(ISERROR(MATCH(A373,'SegEnds_Xtal_Prot#'!B:B, 0)), "NoXtal", "Xtal")</f>
        <v>NoXtal</v>
      </c>
      <c r="D373" t="str">
        <f t="shared" si="5"/>
        <v>human</v>
      </c>
      <c r="E373" t="str">
        <f>VLOOKUP(A373,Classification!A:B,2,FALSE)</f>
        <v>A</v>
      </c>
    </row>
    <row r="374" spans="1:5" x14ac:dyDescent="0.2">
      <c r="A374" t="s">
        <v>216</v>
      </c>
      <c r="B374" t="s">
        <v>759</v>
      </c>
      <c r="C374" t="str">
        <f>IF(ISERROR(MATCH(A374,'SegEnds_Xtal_Prot#'!B:B, 0)), "NoXtal", "Xtal")</f>
        <v>NoXtal</v>
      </c>
      <c r="D374" t="str">
        <f t="shared" si="5"/>
        <v>human</v>
      </c>
      <c r="E374" t="str">
        <f>VLOOKUP(A374,Classification!A:B,2,FALSE)</f>
        <v>A</v>
      </c>
    </row>
    <row r="375" spans="1:5" x14ac:dyDescent="0.2">
      <c r="A375" t="s">
        <v>217</v>
      </c>
      <c r="B375" t="s">
        <v>760</v>
      </c>
      <c r="C375" t="str">
        <f>IF(ISERROR(MATCH(A375,'SegEnds_Xtal_Prot#'!B:B, 0)), "NoXtal", "Xtal")</f>
        <v>NoXtal</v>
      </c>
      <c r="D375" t="str">
        <f t="shared" si="5"/>
        <v>human</v>
      </c>
      <c r="E375" t="str">
        <f>VLOOKUP(A375,Classification!A:B,2,FALSE)</f>
        <v>A</v>
      </c>
    </row>
    <row r="376" spans="1:5" x14ac:dyDescent="0.2">
      <c r="A376" t="s">
        <v>218</v>
      </c>
      <c r="B376" t="s">
        <v>761</v>
      </c>
      <c r="C376" t="str">
        <f>IF(ISERROR(MATCH(A376,'SegEnds_Xtal_Prot#'!B:B, 0)), "NoXtal", "Xtal")</f>
        <v>NoXtal</v>
      </c>
      <c r="D376" t="str">
        <f t="shared" si="5"/>
        <v>human</v>
      </c>
      <c r="E376" t="str">
        <f>VLOOKUP(A376,Classification!A:B,2,FALSE)</f>
        <v>A</v>
      </c>
    </row>
    <row r="377" spans="1:5" x14ac:dyDescent="0.2">
      <c r="A377" t="s">
        <v>219</v>
      </c>
      <c r="B377" t="s">
        <v>762</v>
      </c>
      <c r="C377" t="str">
        <f>IF(ISERROR(MATCH(A377,'SegEnds_Xtal_Prot#'!B:B, 0)), "NoXtal", "Xtal")</f>
        <v>NoXtal</v>
      </c>
      <c r="D377" t="str">
        <f t="shared" si="5"/>
        <v>human</v>
      </c>
      <c r="E377" t="str">
        <f>VLOOKUP(A377,Classification!A:B,2,FALSE)</f>
        <v>A</v>
      </c>
    </row>
    <row r="378" spans="1:5" x14ac:dyDescent="0.2">
      <c r="A378" t="s">
        <v>220</v>
      </c>
      <c r="B378" t="s">
        <v>763</v>
      </c>
      <c r="C378" t="str">
        <f>IF(ISERROR(MATCH(A378,'SegEnds_Xtal_Prot#'!B:B, 0)), "NoXtal", "Xtal")</f>
        <v>NoXtal</v>
      </c>
      <c r="D378" t="str">
        <f t="shared" si="5"/>
        <v>human</v>
      </c>
      <c r="E378" t="str">
        <f>VLOOKUP(A378,Classification!A:B,2,FALSE)</f>
        <v>A</v>
      </c>
    </row>
    <row r="379" spans="1:5" x14ac:dyDescent="0.2">
      <c r="A379" t="s">
        <v>221</v>
      </c>
      <c r="B379" t="s">
        <v>764</v>
      </c>
      <c r="C379" t="str">
        <f>IF(ISERROR(MATCH(A379,'SegEnds_Xtal_Prot#'!B:B, 0)), "NoXtal", "Xtal")</f>
        <v>NoXtal</v>
      </c>
      <c r="D379" t="str">
        <f t="shared" si="5"/>
        <v>human</v>
      </c>
      <c r="E379" t="str">
        <f>VLOOKUP(A379,Classification!A:B,2,FALSE)</f>
        <v>A</v>
      </c>
    </row>
    <row r="380" spans="1:5" x14ac:dyDescent="0.2">
      <c r="A380" t="s">
        <v>222</v>
      </c>
      <c r="B380" t="s">
        <v>765</v>
      </c>
      <c r="C380" t="str">
        <f>IF(ISERROR(MATCH(A380,'SegEnds_Xtal_Prot#'!B:B, 0)), "NoXtal", "Xtal")</f>
        <v>NoXtal</v>
      </c>
      <c r="D380" t="str">
        <f t="shared" si="5"/>
        <v>human</v>
      </c>
      <c r="E380" t="str">
        <f>VLOOKUP(A380,Classification!A:B,2,FALSE)</f>
        <v>A</v>
      </c>
    </row>
    <row r="381" spans="1:5" x14ac:dyDescent="0.2">
      <c r="A381" t="s">
        <v>223</v>
      </c>
      <c r="B381" t="s">
        <v>766</v>
      </c>
      <c r="C381" t="str">
        <f>IF(ISERROR(MATCH(A381,'SegEnds_Xtal_Prot#'!B:B, 0)), "NoXtal", "Xtal")</f>
        <v>NoXtal</v>
      </c>
      <c r="D381" t="str">
        <f t="shared" si="5"/>
        <v>human</v>
      </c>
      <c r="E381" t="str">
        <f>VLOOKUP(A381,Classification!A:B,2,FALSE)</f>
        <v>A</v>
      </c>
    </row>
    <row r="382" spans="1:5" x14ac:dyDescent="0.2">
      <c r="A382" t="s">
        <v>224</v>
      </c>
      <c r="B382" t="s">
        <v>767</v>
      </c>
      <c r="C382" t="str">
        <f>IF(ISERROR(MATCH(A382,'SegEnds_Xtal_Prot#'!B:B, 0)), "NoXtal", "Xtal")</f>
        <v>NoXtal</v>
      </c>
      <c r="D382" t="str">
        <f t="shared" si="5"/>
        <v>human</v>
      </c>
      <c r="E382" t="str">
        <f>VLOOKUP(A382,Classification!A:B,2,FALSE)</f>
        <v>A</v>
      </c>
    </row>
    <row r="383" spans="1:5" x14ac:dyDescent="0.2">
      <c r="A383" t="s">
        <v>225</v>
      </c>
      <c r="B383" t="s">
        <v>768</v>
      </c>
      <c r="C383" t="str">
        <f>IF(ISERROR(MATCH(A383,'SegEnds_Xtal_Prot#'!B:B, 0)), "NoXtal", "Xtal")</f>
        <v>NoXtal</v>
      </c>
      <c r="D383" t="str">
        <f t="shared" si="5"/>
        <v>human</v>
      </c>
      <c r="E383" t="str">
        <f>VLOOKUP(A383,Classification!A:B,2,FALSE)</f>
        <v>A</v>
      </c>
    </row>
    <row r="384" spans="1:5" x14ac:dyDescent="0.2">
      <c r="A384" t="s">
        <v>226</v>
      </c>
      <c r="B384" t="s">
        <v>769</v>
      </c>
      <c r="C384" t="str">
        <f>IF(ISERROR(MATCH(A384,'SegEnds_Xtal_Prot#'!B:B, 0)), "NoXtal", "Xtal")</f>
        <v>NoXtal</v>
      </c>
      <c r="D384" t="str">
        <f t="shared" si="5"/>
        <v>human</v>
      </c>
      <c r="E384" t="str">
        <f>VLOOKUP(A384,Classification!A:B,2,FALSE)</f>
        <v>A</v>
      </c>
    </row>
    <row r="385" spans="1:5" x14ac:dyDescent="0.2">
      <c r="A385" t="s">
        <v>227</v>
      </c>
      <c r="B385" t="s">
        <v>770</v>
      </c>
      <c r="C385" t="str">
        <f>IF(ISERROR(MATCH(A385,'SegEnds_Xtal_Prot#'!B:B, 0)), "NoXtal", "Xtal")</f>
        <v>NoXtal</v>
      </c>
      <c r="D385" t="str">
        <f t="shared" si="5"/>
        <v>human</v>
      </c>
      <c r="E385" t="str">
        <f>VLOOKUP(A385,Classification!A:B,2,FALSE)</f>
        <v>A</v>
      </c>
    </row>
    <row r="386" spans="1:5" x14ac:dyDescent="0.2">
      <c r="A386" t="s">
        <v>228</v>
      </c>
      <c r="B386" t="s">
        <v>771</v>
      </c>
      <c r="C386" t="str">
        <f>IF(ISERROR(MATCH(A386,'SegEnds_Xtal_Prot#'!B:B, 0)), "NoXtal", "Xtal")</f>
        <v>NoXtal</v>
      </c>
      <c r="D386" t="str">
        <f t="shared" si="5"/>
        <v>human</v>
      </c>
      <c r="E386" t="str">
        <f>VLOOKUP(A386,Classification!A:B,2,FALSE)</f>
        <v>A</v>
      </c>
    </row>
    <row r="387" spans="1:5" x14ac:dyDescent="0.2">
      <c r="A387" t="s">
        <v>229</v>
      </c>
      <c r="B387" t="s">
        <v>772</v>
      </c>
      <c r="C387" t="str">
        <f>IF(ISERROR(MATCH(A387,'SegEnds_Xtal_Prot#'!B:B, 0)), "NoXtal", "Xtal")</f>
        <v>NoXtal</v>
      </c>
      <c r="D387" t="str">
        <f t="shared" si="5"/>
        <v>human</v>
      </c>
      <c r="E387" t="str">
        <f>VLOOKUP(A387,Classification!A:B,2,FALSE)</f>
        <v>A</v>
      </c>
    </row>
    <row r="388" spans="1:5" x14ac:dyDescent="0.2">
      <c r="A388" t="s">
        <v>230</v>
      </c>
      <c r="B388" t="s">
        <v>773</v>
      </c>
      <c r="C388" t="str">
        <f>IF(ISERROR(MATCH(A388,'SegEnds_Xtal_Prot#'!B:B, 0)), "NoXtal", "Xtal")</f>
        <v>NoXtal</v>
      </c>
      <c r="D388" t="str">
        <f t="shared" si="5"/>
        <v>human</v>
      </c>
      <c r="E388" t="str">
        <f>VLOOKUP(A388,Classification!A:B,2,FALSE)</f>
        <v>A</v>
      </c>
    </row>
    <row r="389" spans="1:5" x14ac:dyDescent="0.2">
      <c r="A389" t="s">
        <v>231</v>
      </c>
      <c r="B389" t="s">
        <v>774</v>
      </c>
      <c r="C389" t="str">
        <f>IF(ISERROR(MATCH(A389,'SegEnds_Xtal_Prot#'!B:B, 0)), "NoXtal", "Xtal")</f>
        <v>NoXtal</v>
      </c>
      <c r="D389" t="str">
        <f t="shared" si="5"/>
        <v>human</v>
      </c>
      <c r="E389" t="str">
        <f>VLOOKUP(A389,Classification!A:B,2,FALSE)</f>
        <v>A</v>
      </c>
    </row>
    <row r="390" spans="1:5" x14ac:dyDescent="0.2">
      <c r="A390" t="s">
        <v>232</v>
      </c>
      <c r="B390" t="s">
        <v>775</v>
      </c>
      <c r="C390" t="str">
        <f>IF(ISERROR(MATCH(A390,'SegEnds_Xtal_Prot#'!B:B, 0)), "NoXtal", "Xtal")</f>
        <v>NoXtal</v>
      </c>
      <c r="D390" t="str">
        <f t="shared" si="5"/>
        <v>human</v>
      </c>
      <c r="E390" t="str">
        <f>VLOOKUP(A390,Classification!A:B,2,FALSE)</f>
        <v>A</v>
      </c>
    </row>
    <row r="391" spans="1:5" x14ac:dyDescent="0.2">
      <c r="A391" t="s">
        <v>233</v>
      </c>
      <c r="B391" t="s">
        <v>776</v>
      </c>
      <c r="C391" t="str">
        <f>IF(ISERROR(MATCH(A391,'SegEnds_Xtal_Prot#'!B:B, 0)), "NoXtal", "Xtal")</f>
        <v>NoXtal</v>
      </c>
      <c r="D391" t="str">
        <f t="shared" ref="D391:D413" si="6">MID(A391,FIND("_",A391)+1,LEN(A391)-FIND("_",A391))</f>
        <v>human</v>
      </c>
      <c r="E391" t="str">
        <f>VLOOKUP(A391,Classification!A:B,2,FALSE)</f>
        <v>A</v>
      </c>
    </row>
    <row r="392" spans="1:5" x14ac:dyDescent="0.2">
      <c r="A392" t="s">
        <v>234</v>
      </c>
      <c r="B392" t="s">
        <v>777</v>
      </c>
      <c r="C392" t="str">
        <f>IF(ISERROR(MATCH(A392,'SegEnds_Xtal_Prot#'!B:B, 0)), "NoXtal", "Xtal")</f>
        <v>NoXtal</v>
      </c>
      <c r="D392" t="str">
        <f t="shared" si="6"/>
        <v>human</v>
      </c>
      <c r="E392" t="str">
        <f>VLOOKUP(A392,Classification!A:B,2,FALSE)</f>
        <v>A</v>
      </c>
    </row>
    <row r="393" spans="1:5" x14ac:dyDescent="0.2">
      <c r="A393" t="s">
        <v>283</v>
      </c>
      <c r="B393" t="s">
        <v>778</v>
      </c>
      <c r="C393" t="str">
        <f>IF(ISERROR(MATCH(A393,'SegEnds_Xtal_Prot#'!B:B, 0)), "NoXtal", "Xtal")</f>
        <v>NoXtal</v>
      </c>
      <c r="D393" t="str">
        <f t="shared" si="6"/>
        <v>human</v>
      </c>
      <c r="E393" t="str">
        <f>VLOOKUP(A393,Classification!A:B,2,FALSE)</f>
        <v>A</v>
      </c>
    </row>
    <row r="394" spans="1:5" x14ac:dyDescent="0.2">
      <c r="A394" t="s">
        <v>284</v>
      </c>
      <c r="B394" t="s">
        <v>779</v>
      </c>
      <c r="C394" t="str">
        <f>IF(ISERROR(MATCH(A394,'SegEnds_Xtal_Prot#'!B:B, 0)), "NoXtal", "Xtal")</f>
        <v>NoXtal</v>
      </c>
      <c r="D394" t="str">
        <f t="shared" si="6"/>
        <v>human</v>
      </c>
      <c r="E394" t="str">
        <f>VLOOKUP(A394,Classification!A:B,2,FALSE)</f>
        <v>A</v>
      </c>
    </row>
    <row r="395" spans="1:5" x14ac:dyDescent="0.2">
      <c r="A395" t="s">
        <v>285</v>
      </c>
      <c r="B395" t="s">
        <v>780</v>
      </c>
      <c r="C395" t="str">
        <f>IF(ISERROR(MATCH(A395,'SegEnds_Xtal_Prot#'!B:B, 0)), "NoXtal", "Xtal")</f>
        <v>NoXtal</v>
      </c>
      <c r="D395" t="str">
        <f t="shared" si="6"/>
        <v>human</v>
      </c>
      <c r="E395" t="str">
        <f>VLOOKUP(A395,Classification!A:B,2,FALSE)</f>
        <v>A</v>
      </c>
    </row>
    <row r="396" spans="1:5" x14ac:dyDescent="0.2">
      <c r="A396" t="s">
        <v>294</v>
      </c>
      <c r="B396" t="s">
        <v>781</v>
      </c>
      <c r="C396" t="str">
        <f>IF(ISERROR(MATCH(A396,'SegEnds_Xtal_Prot#'!B:B, 0)), "NoXtal", "Xtal")</f>
        <v>NoXtal</v>
      </c>
      <c r="D396" t="str">
        <f t="shared" si="6"/>
        <v>human</v>
      </c>
      <c r="E396" t="str">
        <f>VLOOKUP(A396,Classification!A:B,2,FALSE)</f>
        <v>A</v>
      </c>
    </row>
    <row r="397" spans="1:5" x14ac:dyDescent="0.2">
      <c r="A397" t="s">
        <v>295</v>
      </c>
      <c r="B397" t="s">
        <v>782</v>
      </c>
      <c r="C397" t="str">
        <f>IF(ISERROR(MATCH(A397,'SegEnds_Xtal_Prot#'!B:B, 0)), "NoXtal", "Xtal")</f>
        <v>NoXtal</v>
      </c>
      <c r="D397" t="str">
        <f t="shared" si="6"/>
        <v>human</v>
      </c>
      <c r="E397" t="str">
        <f>VLOOKUP(A397,Classification!A:B,2,FALSE)</f>
        <v>A</v>
      </c>
    </row>
    <row r="398" spans="1:5" x14ac:dyDescent="0.2">
      <c r="A398" t="s">
        <v>301</v>
      </c>
      <c r="B398" t="s">
        <v>783</v>
      </c>
      <c r="C398" t="str">
        <f>IF(ISERROR(MATCH(A398,'SegEnds_Xtal_Prot#'!B:B, 0)), "NoXtal", "Xtal")</f>
        <v>NoXtal</v>
      </c>
      <c r="D398" t="str">
        <f t="shared" si="6"/>
        <v>human</v>
      </c>
      <c r="E398" t="str">
        <f>VLOOKUP(A398,Classification!A:B,2,FALSE)</f>
        <v>A</v>
      </c>
    </row>
    <row r="399" spans="1:5" x14ac:dyDescent="0.2">
      <c r="A399" t="s">
        <v>302</v>
      </c>
      <c r="B399" t="s">
        <v>784</v>
      </c>
      <c r="C399" t="str">
        <f>IF(ISERROR(MATCH(A399,'SegEnds_Xtal_Prot#'!B:B, 0)), "NoXtal", "Xtal")</f>
        <v>NoXtal</v>
      </c>
      <c r="D399" t="str">
        <f t="shared" si="6"/>
        <v>human</v>
      </c>
      <c r="E399" t="str">
        <f>VLOOKUP(A399,Classification!A:B,2,FALSE)</f>
        <v>A</v>
      </c>
    </row>
    <row r="400" spans="1:5" x14ac:dyDescent="0.2">
      <c r="A400" t="s">
        <v>303</v>
      </c>
      <c r="B400" t="s">
        <v>785</v>
      </c>
      <c r="C400" t="str">
        <f>IF(ISERROR(MATCH(A400,'SegEnds_Xtal_Prot#'!B:B, 0)), "NoXtal", "Xtal")</f>
        <v>NoXtal</v>
      </c>
      <c r="D400" t="str">
        <f t="shared" si="6"/>
        <v>human</v>
      </c>
      <c r="E400" t="str">
        <f>VLOOKUP(A400,Classification!A:B,2,FALSE)</f>
        <v>A</v>
      </c>
    </row>
    <row r="401" spans="1:5" x14ac:dyDescent="0.2">
      <c r="A401" t="s">
        <v>304</v>
      </c>
      <c r="B401" t="s">
        <v>786</v>
      </c>
      <c r="C401" t="str">
        <f>IF(ISERROR(MATCH(A401,'SegEnds_Xtal_Prot#'!B:B, 0)), "NoXtal", "Xtal")</f>
        <v>NoXtal</v>
      </c>
      <c r="D401" t="str">
        <f t="shared" si="6"/>
        <v>human</v>
      </c>
      <c r="E401" t="str">
        <f>VLOOKUP(A401,Classification!A:B,2,FALSE)</f>
        <v>A</v>
      </c>
    </row>
    <row r="402" spans="1:5" x14ac:dyDescent="0.2">
      <c r="A402" t="s">
        <v>305</v>
      </c>
      <c r="B402" t="s">
        <v>787</v>
      </c>
      <c r="C402" t="str">
        <f>IF(ISERROR(MATCH(A402,'SegEnds_Xtal_Prot#'!B:B, 0)), "NoXtal", "Xtal")</f>
        <v>NoXtal</v>
      </c>
      <c r="D402" t="str">
        <f t="shared" si="6"/>
        <v>human</v>
      </c>
      <c r="E402" t="str">
        <f>VLOOKUP(A402,Classification!A:B,2,FALSE)</f>
        <v>A</v>
      </c>
    </row>
    <row r="403" spans="1:5" x14ac:dyDescent="0.2">
      <c r="A403" t="s">
        <v>306</v>
      </c>
      <c r="B403" t="s">
        <v>788</v>
      </c>
      <c r="C403" t="str">
        <f>IF(ISERROR(MATCH(A403,'SegEnds_Xtal_Prot#'!B:B, 0)), "NoXtal", "Xtal")</f>
        <v>NoXtal</v>
      </c>
      <c r="D403" t="str">
        <f t="shared" si="6"/>
        <v>human</v>
      </c>
      <c r="E403" t="str">
        <f>VLOOKUP(A403,Classification!A:B,2,FALSE)</f>
        <v>A</v>
      </c>
    </row>
    <row r="404" spans="1:5" x14ac:dyDescent="0.2">
      <c r="A404" t="s">
        <v>307</v>
      </c>
      <c r="B404" t="s">
        <v>789</v>
      </c>
      <c r="C404" t="str">
        <f>IF(ISERROR(MATCH(A404,'SegEnds_Xtal_Prot#'!B:B, 0)), "NoXtal", "Xtal")</f>
        <v>NoXtal</v>
      </c>
      <c r="D404" t="str">
        <f t="shared" si="6"/>
        <v>human</v>
      </c>
      <c r="E404" t="str">
        <f>VLOOKUP(A404,Classification!A:B,2,FALSE)</f>
        <v>A</v>
      </c>
    </row>
    <row r="405" spans="1:5" x14ac:dyDescent="0.2">
      <c r="A405" t="s">
        <v>308</v>
      </c>
      <c r="B405" t="s">
        <v>790</v>
      </c>
      <c r="C405" t="str">
        <f>IF(ISERROR(MATCH(A405,'SegEnds_Xtal_Prot#'!B:B, 0)), "NoXtal", "Xtal")</f>
        <v>NoXtal</v>
      </c>
      <c r="D405" t="str">
        <f t="shared" si="6"/>
        <v>human</v>
      </c>
      <c r="E405" t="str">
        <f>VLOOKUP(A405,Classification!A:B,2,FALSE)</f>
        <v>A</v>
      </c>
    </row>
    <row r="406" spans="1:5" x14ac:dyDescent="0.2">
      <c r="A406" t="s">
        <v>349</v>
      </c>
      <c r="B406" t="s">
        <v>791</v>
      </c>
      <c r="C406" t="str">
        <f>IF(ISERROR(MATCH(A406,'SegEnds_Xtal_Prot#'!B:B, 0)), "NoXtal", "Xtal")</f>
        <v>NoXtal</v>
      </c>
      <c r="D406" t="str">
        <f t="shared" si="6"/>
        <v>human</v>
      </c>
      <c r="E406" t="str">
        <f>VLOOKUP(A406,Classification!A:B,2,FALSE)</f>
        <v>A</v>
      </c>
    </row>
    <row r="407" spans="1:5" x14ac:dyDescent="0.2">
      <c r="A407" t="s">
        <v>350</v>
      </c>
      <c r="B407" t="s">
        <v>792</v>
      </c>
      <c r="C407" t="str">
        <f>IF(ISERROR(MATCH(A407,'SegEnds_Xtal_Prot#'!B:B, 0)), "NoXtal", "Xtal")</f>
        <v>NoXtal</v>
      </c>
      <c r="D407" t="str">
        <f t="shared" si="6"/>
        <v>human</v>
      </c>
      <c r="E407" t="str">
        <f>VLOOKUP(A407,Classification!A:B,2,FALSE)</f>
        <v>A</v>
      </c>
    </row>
    <row r="408" spans="1:5" x14ac:dyDescent="0.2">
      <c r="A408" t="s">
        <v>388</v>
      </c>
      <c r="B408" t="s">
        <v>793</v>
      </c>
      <c r="C408" t="str">
        <f>IF(ISERROR(MATCH(A408,'SegEnds_Xtal_Prot#'!B:B, 0)), "NoXtal", "Xtal")</f>
        <v>NoXtal</v>
      </c>
      <c r="D408" t="str">
        <f t="shared" si="6"/>
        <v>human</v>
      </c>
      <c r="E408" t="str">
        <f>VLOOKUP(A408,Classification!A:B,2,FALSE)</f>
        <v>A</v>
      </c>
    </row>
    <row r="409" spans="1:5" x14ac:dyDescent="0.2">
      <c r="A409" t="s">
        <v>389</v>
      </c>
      <c r="B409" t="s">
        <v>794</v>
      </c>
      <c r="C409" t="str">
        <f>IF(ISERROR(MATCH(A409,'SegEnds_Xtal_Prot#'!B:B, 0)), "NoXtal", "Xtal")</f>
        <v>NoXtal</v>
      </c>
      <c r="D409" t="str">
        <f t="shared" si="6"/>
        <v>human</v>
      </c>
      <c r="E409" t="str">
        <f>VLOOKUP(A409,Classification!A:B,2,FALSE)</f>
        <v>A</v>
      </c>
    </row>
    <row r="410" spans="1:5" x14ac:dyDescent="0.2">
      <c r="A410" t="s">
        <v>390</v>
      </c>
      <c r="B410" t="s">
        <v>795</v>
      </c>
      <c r="C410" t="str">
        <f>IF(ISERROR(MATCH(A410,'SegEnds_Xtal_Prot#'!B:B, 0)), "NoXtal", "Xtal")</f>
        <v>NoXtal</v>
      </c>
      <c r="D410" t="str">
        <f t="shared" si="6"/>
        <v>human</v>
      </c>
      <c r="E410" t="str">
        <f>VLOOKUP(A410,Classification!A:B,2,FALSE)</f>
        <v>A</v>
      </c>
    </row>
    <row r="411" spans="1:5" x14ac:dyDescent="0.2">
      <c r="A411" t="s">
        <v>391</v>
      </c>
      <c r="B411" t="s">
        <v>796</v>
      </c>
      <c r="C411" t="str">
        <f>IF(ISERROR(MATCH(A411,'SegEnds_Xtal_Prot#'!B:B, 0)), "NoXtal", "Xtal")</f>
        <v>NoXtal</v>
      </c>
      <c r="D411" t="str">
        <f t="shared" si="6"/>
        <v>human</v>
      </c>
      <c r="E411" t="str">
        <f>VLOOKUP(A411,Classification!A:B,2,FALSE)</f>
        <v>A</v>
      </c>
    </row>
    <row r="412" spans="1:5" x14ac:dyDescent="0.2">
      <c r="A412" t="s">
        <v>392</v>
      </c>
      <c r="B412" t="s">
        <v>797</v>
      </c>
      <c r="C412" t="str">
        <f>IF(ISERROR(MATCH(A412,'SegEnds_Xtal_Prot#'!B:B, 0)), "NoXtal", "Xtal")</f>
        <v>NoXtal</v>
      </c>
      <c r="D412" t="str">
        <f t="shared" si="6"/>
        <v>human</v>
      </c>
      <c r="E412" t="str">
        <f>VLOOKUP(A412,Classification!A:B,2,FALSE)</f>
        <v>A</v>
      </c>
    </row>
    <row r="413" spans="1:5" x14ac:dyDescent="0.2">
      <c r="A413" t="s">
        <v>393</v>
      </c>
      <c r="B413" t="s">
        <v>798</v>
      </c>
      <c r="C413" t="str">
        <f>IF(ISERROR(MATCH(A413,'SegEnds_Xtal_Prot#'!B:B, 0)), "NoXtal", "Xtal")</f>
        <v>NoXtal</v>
      </c>
      <c r="D413" t="str">
        <f t="shared" si="6"/>
        <v>human</v>
      </c>
      <c r="E413" t="str">
        <f>VLOOKUP(A413,Classification!A:B,2,FALSE)</f>
        <v>A</v>
      </c>
    </row>
  </sheetData>
  <sortState ref="A2:E408">
    <sortCondition descending="1" ref="E2:E408"/>
  </sortState>
  <customSheetViews>
    <customSheetView guid="{3E3401AF-8459-8641-BD70-AD04F80E86ED}">
      <pane ySplit="1" topLeftCell="A4" activePane="bottomLeft" state="frozenSplit"/>
      <selection pane="bottomLeft" activeCell="K33" sqref="K33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406"/>
  <sheetViews>
    <sheetView zoomScale="135" zoomScaleNormal="135" zoomScalePageLayoutView="135" workbookViewId="0">
      <pane ySplit="1" topLeftCell="A2" activePane="bottomLeft" state="frozenSplit"/>
      <selection pane="bottomLeft" activeCell="S2" sqref="S2"/>
    </sheetView>
  </sheetViews>
  <sheetFormatPr baseColWidth="10" defaultColWidth="10.83203125" defaultRowHeight="16" x14ac:dyDescent="0.2"/>
  <cols>
    <col min="1" max="1" width="11.6640625" style="1" customWidth="1"/>
    <col min="2" max="2" width="14.5" style="1" customWidth="1"/>
    <col min="3" max="3" width="5.6640625" style="5" customWidth="1"/>
    <col min="4" max="4" width="2.6640625" style="4" customWidth="1"/>
    <col min="5" max="5" width="5.83203125" style="5" bestFit="1" customWidth="1"/>
    <col min="6" max="6" width="4.83203125" style="5" customWidth="1"/>
    <col min="7" max="7" width="3.83203125" style="4" customWidth="1"/>
    <col min="8" max="8" width="4.83203125" style="4" customWidth="1"/>
    <col min="9" max="9" width="4.5" style="4" customWidth="1"/>
    <col min="10" max="10" width="4.83203125" style="4" customWidth="1"/>
    <col min="11" max="11" width="3.83203125" style="4" customWidth="1"/>
    <col min="12" max="12" width="4.83203125" style="4" customWidth="1"/>
    <col min="13" max="13" width="4.5" style="4" customWidth="1"/>
    <col min="14" max="17" width="4.83203125" style="4" customWidth="1"/>
    <col min="18" max="18" width="5.1640625" style="5" bestFit="1" customWidth="1"/>
    <col min="19" max="19" width="5.1640625" style="1" customWidth="1"/>
    <col min="20" max="20" width="5.1640625" style="1" bestFit="1" customWidth="1"/>
    <col min="21" max="21" width="4.1640625" style="1" bestFit="1" customWidth="1"/>
    <col min="22" max="22" width="5.1640625" style="1" bestFit="1" customWidth="1"/>
    <col min="23" max="23" width="4.1640625" style="1" bestFit="1" customWidth="1"/>
    <col min="24" max="24" width="5.1640625" style="1" bestFit="1" customWidth="1"/>
    <col min="25" max="25" width="5.1640625" style="1" customWidth="1"/>
    <col min="26" max="29" width="5.1640625" style="1" bestFit="1" customWidth="1"/>
    <col min="30" max="30" width="5.1640625" style="5" bestFit="1" customWidth="1"/>
    <col min="31" max="31" width="5.1640625" style="1" customWidth="1"/>
    <col min="32" max="32" width="5.1640625" style="1" bestFit="1" customWidth="1"/>
    <col min="33" max="33" width="4.1640625" style="1" bestFit="1" customWidth="1"/>
    <col min="34" max="34" width="5.1640625" style="1" bestFit="1" customWidth="1"/>
    <col min="35" max="35" width="4.1640625" style="1" bestFit="1" customWidth="1"/>
    <col min="36" max="36" width="5.1640625" style="1" bestFit="1" customWidth="1"/>
    <col min="37" max="37" width="5.1640625" style="1" customWidth="1"/>
    <col min="38" max="38" width="5.6640625" style="1" bestFit="1" customWidth="1"/>
    <col min="39" max="41" width="5.1640625" style="1" bestFit="1" customWidth="1"/>
    <col min="42" max="42" width="4.6640625" style="5" bestFit="1" customWidth="1"/>
    <col min="43" max="43" width="5.1640625" style="4" bestFit="1" customWidth="1"/>
    <col min="44" max="44" width="4.6640625" style="4" bestFit="1" customWidth="1"/>
    <col min="45" max="45" width="5.6640625" style="4" bestFit="1" customWidth="1"/>
    <col min="46" max="46" width="4.6640625" style="4" bestFit="1" customWidth="1"/>
    <col min="47" max="47" width="5.1640625" style="4" bestFit="1" customWidth="1"/>
    <col min="48" max="48" width="4.6640625" style="4" bestFit="1" customWidth="1"/>
    <col min="49" max="49" width="5.6640625" style="4" bestFit="1" customWidth="1"/>
    <col min="50" max="53" width="4.6640625" style="4" bestFit="1" customWidth="1"/>
    <col min="54" max="16384" width="10.83203125" style="1"/>
  </cols>
  <sheetData>
    <row r="1" spans="1:53" s="7" customFormat="1" x14ac:dyDescent="0.2">
      <c r="A1" s="8" t="s">
        <v>31</v>
      </c>
      <c r="B1" s="8" t="s">
        <v>1226</v>
      </c>
      <c r="C1" s="31" t="s">
        <v>1227</v>
      </c>
      <c r="D1" s="30" t="s">
        <v>99</v>
      </c>
      <c r="E1" s="26" t="s">
        <v>1225</v>
      </c>
      <c r="F1" s="26" t="s">
        <v>3</v>
      </c>
      <c r="G1" s="30" t="s">
        <v>1209</v>
      </c>
      <c r="H1" s="30" t="s">
        <v>4</v>
      </c>
      <c r="I1" s="30" t="s">
        <v>1211</v>
      </c>
      <c r="J1" s="30" t="s">
        <v>6</v>
      </c>
      <c r="K1" s="30" t="s">
        <v>1210</v>
      </c>
      <c r="L1" s="30" t="s">
        <v>7</v>
      </c>
      <c r="M1" s="30" t="s">
        <v>1212</v>
      </c>
      <c r="N1" s="30" t="s">
        <v>8</v>
      </c>
      <c r="O1" s="30" t="s">
        <v>10</v>
      </c>
      <c r="P1" s="30" t="s">
        <v>11</v>
      </c>
      <c r="Q1" s="30" t="s">
        <v>1208</v>
      </c>
      <c r="R1" s="26" t="s">
        <v>1061</v>
      </c>
      <c r="S1" s="8" t="s">
        <v>1078</v>
      </c>
      <c r="T1" s="8" t="s">
        <v>1063</v>
      </c>
      <c r="U1" s="8" t="s">
        <v>1080</v>
      </c>
      <c r="V1" s="8" t="s">
        <v>1065</v>
      </c>
      <c r="W1" s="8" t="s">
        <v>1093</v>
      </c>
      <c r="X1" s="8" t="s">
        <v>1067</v>
      </c>
      <c r="Y1" s="8" t="s">
        <v>1096</v>
      </c>
      <c r="Z1" s="8" t="s">
        <v>1069</v>
      </c>
      <c r="AA1" s="8" t="s">
        <v>1071</v>
      </c>
      <c r="AB1" s="8" t="s">
        <v>1073</v>
      </c>
      <c r="AC1" s="8" t="s">
        <v>1075</v>
      </c>
      <c r="AD1" s="26" t="s">
        <v>1062</v>
      </c>
      <c r="AE1" s="8" t="s">
        <v>1079</v>
      </c>
      <c r="AF1" s="8" t="s">
        <v>1064</v>
      </c>
      <c r="AG1" s="8" t="s">
        <v>1081</v>
      </c>
      <c r="AH1" s="8" t="s">
        <v>1066</v>
      </c>
      <c r="AI1" s="8" t="s">
        <v>1094</v>
      </c>
      <c r="AJ1" s="8" t="s">
        <v>1068</v>
      </c>
      <c r="AK1" s="8" t="s">
        <v>1097</v>
      </c>
      <c r="AL1" s="8" t="s">
        <v>1070</v>
      </c>
      <c r="AM1" s="8" t="s">
        <v>1072</v>
      </c>
      <c r="AN1" s="8" t="s">
        <v>1074</v>
      </c>
      <c r="AO1" s="8" t="s">
        <v>1076</v>
      </c>
      <c r="AP1" s="26" t="s">
        <v>1213</v>
      </c>
      <c r="AQ1" s="30" t="s">
        <v>1214</v>
      </c>
      <c r="AR1" s="30" t="s">
        <v>1215</v>
      </c>
      <c r="AS1" s="30" t="s">
        <v>1216</v>
      </c>
      <c r="AT1" s="30" t="s">
        <v>1217</v>
      </c>
      <c r="AU1" s="30" t="s">
        <v>1218</v>
      </c>
      <c r="AV1" s="30" t="s">
        <v>1219</v>
      </c>
      <c r="AW1" s="30" t="s">
        <v>1220</v>
      </c>
      <c r="AX1" s="30" t="s">
        <v>1221</v>
      </c>
      <c r="AY1" s="30" t="s">
        <v>1222</v>
      </c>
      <c r="AZ1" s="30" t="s">
        <v>1223</v>
      </c>
      <c r="BA1" s="30" t="s">
        <v>1224</v>
      </c>
    </row>
    <row r="2" spans="1:53" x14ac:dyDescent="0.2">
      <c r="A2" s="1" t="str">
        <f>'SegEnds_NonXtal_Prot#'!A5</f>
        <v>npsr1_human</v>
      </c>
      <c r="B2" s="1" t="str">
        <f t="shared" ref="B2:B65" si="0">F2&amp;H2&amp;J2&amp;L2&amp;N2&amp;O2&amp;P2&amp;Q2</f>
        <v>TEQLITLWVLFVFTIVGNSVVLFSTWRRSRMTFFVTQLAITDSFTGLVNILTDINWRFTGPDLVCRVVRYLQVVLLYASTYVLVSLSIDRYHAIVYGEKQARVLIVIAWSLSFLFSIPTLIIFGKRWTPYMTIVAFLVYFIPLTIISIMYGIVIRTIWIKSKTYETVIGLISKAKIKAIKYSIIIILAFICCWSPYFLFDILDNFNTQERFYASVIIQNLPALNSAINPLIYCVFSSSISFPCREQRSQ</v>
      </c>
      <c r="C2" s="29" t="str">
        <f>IF(ISERROR(MATCH(A2,'SegEnds_Xtal_Prot#'!B:B, 0)), "NoXtal", "Xtal")</f>
        <v>NoXtal</v>
      </c>
      <c r="D2" s="4" t="str">
        <f>VLOOKUP(A2,Classification!A:D,2,FALSE)</f>
        <v>A</v>
      </c>
      <c r="E2" s="5" t="str">
        <f>VLOOKUP(A2,Seqs!A:B,2,FALSE)</f>
        <v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v>
      </c>
      <c r="F2" s="5" t="str">
        <f t="shared" ref="F2:F65" si="1">IFERROR(MID($E2,R2,(AP2+1)),"")</f>
        <v>TEQLITLWVLFVFTIVGNSVVLFSTWRR</v>
      </c>
      <c r="G2" s="4" t="str">
        <f t="shared" ref="G2:G65" si="2">IFERROR(MID($E2,S2,(AQ2+1)),"")</f>
        <v/>
      </c>
      <c r="H2" s="4" t="str">
        <f t="shared" ref="H2:H65" si="3">IFERROR(MID($E2,T2,(AR2+1)),"")</f>
        <v>SRMTFFVTQLAITDSFTGLVNILTDINWRFTG</v>
      </c>
      <c r="I2" s="4" t="str">
        <f t="shared" ref="I2:I65" si="4">IFERROR(MID($E2,U2,(AS2+1)),"")</f>
        <v>DFTA</v>
      </c>
      <c r="J2" s="4" t="str">
        <f t="shared" ref="J2:J65" si="5">IFERROR(MID($E2,V2,(AT2+1)),"")</f>
        <v>PDLVCRVVRYLQVVLLYASTYVLVSLSIDRYHAIVY</v>
      </c>
      <c r="K2" s="4" t="str">
        <f t="shared" ref="K2:K65" si="6">IFERROR(MID($E2,W2,(AU2+1)),"")</f>
        <v>PMKF</v>
      </c>
      <c r="L2" s="4" t="str">
        <f t="shared" ref="L2:L65" si="7">IFERROR(MID($E2,X2,(AV2+1)),"")</f>
        <v>GEKQARVLIVIAWSLSFLFSIPTLIIFGKR</v>
      </c>
      <c r="M2" s="4" t="str">
        <f t="shared" ref="M2:M65" si="8">IFERROR(MID($E2,Y2,(AW2+1)),"")</f>
        <v>CWA</v>
      </c>
      <c r="N2" s="4" t="str">
        <f t="shared" ref="N2:N65" si="9">IFERROR(MID($E2,Z2,(AX2+1)),"")</f>
        <v>WTPYMTIVAFLVYFIPLTIISIMYGIVIRTIWIKSKTYETVI</v>
      </c>
      <c r="O2" s="4" t="str">
        <f t="shared" ref="O2:O65" si="10">IFERROR(MID($E2,AA2,(AY2+1)),"")</f>
        <v>GLISKAKIKAIKYSIIIILAFICCWSPYFLFDILDNFN</v>
      </c>
      <c r="P2" s="4" t="str">
        <f t="shared" ref="P2:P65" si="11">IFERROR(MID($E2,AB2,(AZ2+1)),"")</f>
        <v>TQERFYASVIIQNLPALNSAINPLIYCVF</v>
      </c>
      <c r="Q2" s="4" t="str">
        <f t="shared" ref="Q2:Q65" si="12">IFERROR(MID($E2,AC2,(BA2+1)),"")</f>
        <v>SSSISFPCREQRSQ</v>
      </c>
      <c r="R2" s="5">
        <f>VLOOKUP($A2,'SegEnds_NonXtal_Prot#'!$A:$AL,3,FALSE)</f>
        <v>50</v>
      </c>
      <c r="S2" s="5" t="str">
        <f>VLOOKUP($A2,'SegEnds_NonXtal_Prot#'!$A:$AL,6,FALSE)</f>
        <v>-</v>
      </c>
      <c r="T2" s="5">
        <f>VLOOKUP($A2,'SegEnds_NonXtal_Prot#'!$A:$AL,9,FALSE)</f>
        <v>81</v>
      </c>
      <c r="U2" s="5">
        <f>VLOOKUP($A2,'SegEnds_NonXtal_Prot#'!$A:$AL,12,FALSE)</f>
        <v>113</v>
      </c>
      <c r="V2" s="5">
        <f>VLOOKUP($A2,'SegEnds_NonXtal_Prot#'!$A:$AL,15,FALSE)</f>
        <v>117</v>
      </c>
      <c r="W2" s="5">
        <f>VLOOKUP($A2,'SegEnds_NonXtal_Prot#'!$A:$AL,18,FALSE)</f>
        <v>153</v>
      </c>
      <c r="X2" s="5">
        <f>VLOOKUP($A2,'SegEnds_NonXtal_Prot#'!$A:$AL,21,FALSE)</f>
        <v>159</v>
      </c>
      <c r="Y2" s="5">
        <f>VLOOKUP($A2,'SegEnds_NonXtal_Prot#'!$A:$AL,24,FALSE)</f>
        <v>197</v>
      </c>
      <c r="Z2" s="5">
        <f>VLOOKUP($A2,'SegEnds_NonXtal_Prot#'!$A:$AL,27,FALSE)</f>
        <v>207</v>
      </c>
      <c r="AA2" s="5">
        <f>VLOOKUP($A2,'SegEnds_NonXtal_Prot#'!$A:$AL,30,FALSE)</f>
        <v>263</v>
      </c>
      <c r="AB2" s="5">
        <f>VLOOKUP($A2,'SegEnds_NonXtal_Prot#'!$A:$AL,33,FALSE)</f>
        <v>305</v>
      </c>
      <c r="AC2" s="5">
        <f>VLOOKUP($A2,'SegEnds_NonXtal_Prot#'!$A:$AL,36,FALSE)</f>
        <v>334</v>
      </c>
      <c r="AD2" s="5">
        <f>VLOOKUP($A2,'SegEnds_NonXtal_Prot#'!$A:$AL,5,FALSE)</f>
        <v>77</v>
      </c>
      <c r="AE2" s="5" t="str">
        <f>VLOOKUP($A2,'SegEnds_NonXtal_Prot#'!$A:$AL,8,FALSE)</f>
        <v>-</v>
      </c>
      <c r="AF2" s="5">
        <f>VLOOKUP($A2,'SegEnds_NonXtal_Prot#'!$A:$AL,11,FALSE)</f>
        <v>112</v>
      </c>
      <c r="AG2" s="5">
        <f>VLOOKUP($A2,'SegEnds_NonXtal_Prot#'!$A:$AL,14,FALSE)</f>
        <v>116</v>
      </c>
      <c r="AH2" s="5">
        <f>VLOOKUP($A2,'SegEnds_NonXtal_Prot#'!$A:$AL,17,FALSE)</f>
        <v>152</v>
      </c>
      <c r="AI2" s="5">
        <f>VLOOKUP($A2,'SegEnds_NonXtal_Prot#'!$A:$AL,20,FALSE)</f>
        <v>156</v>
      </c>
      <c r="AJ2" s="5">
        <f>VLOOKUP($A2,'SegEnds_NonXtal_Prot#'!$A:$AL,23,FALSE)</f>
        <v>188</v>
      </c>
      <c r="AK2" s="5">
        <f>VLOOKUP($A2,'SegEnds_NonXtal_Prot#'!$A:$AL,26,FALSE)</f>
        <v>199</v>
      </c>
      <c r="AL2" s="5">
        <f>VLOOKUP($A2,'SegEnds_NonXtal_Prot#'!$A:$AL,29,FALSE)</f>
        <v>248</v>
      </c>
      <c r="AM2" s="5">
        <f>VLOOKUP($A2,'SegEnds_NonXtal_Prot#'!$A:$AL,32,FALSE)</f>
        <v>300</v>
      </c>
      <c r="AN2" s="5">
        <f>VLOOKUP($A2,'SegEnds_NonXtal_Prot#'!$A:$AL,35,FALSE)</f>
        <v>333</v>
      </c>
      <c r="AO2" s="5">
        <f>VLOOKUP($A2,'SegEnds_NonXtal_Prot#'!$A:$AL,38,FALSE)</f>
        <v>347</v>
      </c>
      <c r="AP2" s="5">
        <f t="shared" ref="AP2:AP65" si="13">IFERROR(AD2-R2,"-")</f>
        <v>27</v>
      </c>
      <c r="AQ2" s="4" t="str">
        <f t="shared" ref="AQ2:AQ65" si="14">IFERROR(AE2-S2,"-")</f>
        <v>-</v>
      </c>
      <c r="AR2" s="4">
        <f t="shared" ref="AR2:AR65" si="15">IFERROR(AF2-T2,"-")</f>
        <v>31</v>
      </c>
      <c r="AS2" s="4">
        <f t="shared" ref="AS2:AS65" si="16">IFERROR(AG2-U2,"-")</f>
        <v>3</v>
      </c>
      <c r="AT2" s="4">
        <f t="shared" ref="AT2:AT65" si="17">IFERROR(AH2-V2,"-")</f>
        <v>35</v>
      </c>
      <c r="AU2" s="4">
        <f t="shared" ref="AU2:AU65" si="18">IFERROR(AI2-W2,"-")</f>
        <v>3</v>
      </c>
      <c r="AV2" s="4">
        <f t="shared" ref="AV2:AV65" si="19">IFERROR(AJ2-X2,"-")</f>
        <v>29</v>
      </c>
      <c r="AW2" s="4">
        <f t="shared" ref="AW2:AW65" si="20">IFERROR(AK2-Y2,"-")</f>
        <v>2</v>
      </c>
      <c r="AX2" s="4">
        <f t="shared" ref="AX2:AX65" si="21">IFERROR(AL2-Z2,"-")</f>
        <v>41</v>
      </c>
      <c r="AY2" s="4">
        <f t="shared" ref="AY2:AY65" si="22">IFERROR(AM2-AA2,"-")</f>
        <v>37</v>
      </c>
      <c r="AZ2" s="4">
        <f t="shared" ref="AZ2:AZ65" si="23">IFERROR(AN2-AB2,"-")</f>
        <v>28</v>
      </c>
      <c r="BA2" s="4">
        <f t="shared" ref="BA2:BA65" si="24">IFERROR(AO2-AC2,"-")</f>
        <v>13</v>
      </c>
    </row>
    <row r="3" spans="1:53" x14ac:dyDescent="0.2">
      <c r="A3" s="1" t="str">
        <f>'SegEnds_NonXtal_Prot#'!A12</f>
        <v>gp139_human</v>
      </c>
      <c r="B3" s="1" t="str">
        <f t="shared" si="0"/>
        <v>FVPVVYYSLLLCLGLPANILTVIILSQLKSSYNYLLALAAADILVLFFIVFVDFLLEDFMQMPQVPDKIIEVLEFSSIHTSIWITVPLTIDRYIAVCHSYPARTRKVIVSVYITCFLTSIPYYWWPNIHHVLIWIHCFTVYLVPCSIFFILNSIIVYKLRRKRLRGYSTGKTTAILFTITSIFATLWAPRIIMILYHLYGRWLVHIMSDIANMLALLNTAINFFLYCFISKRFRTMAAATLKA</v>
      </c>
      <c r="C3" s="29" t="str">
        <f>IF(ISERROR(MATCH(A3,'SegEnds_Xtal_Prot#'!B:B, 0)), "NoXtal", "Xtal")</f>
        <v>NoXtal</v>
      </c>
      <c r="D3" s="4" t="str">
        <f>VLOOKUP(A3,Classification!A:D,2,FALSE)</f>
        <v>A</v>
      </c>
      <c r="E3" s="5" t="str">
        <f>VLOOKUP(A3,Seqs!A:B,2,FALSE)</f>
        <v>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</v>
      </c>
      <c r="F3" s="5" t="str">
        <f t="shared" si="1"/>
        <v>FVPVVYYSLLLCLGLPANILTVIILSQL</v>
      </c>
      <c r="G3" s="4" t="str">
        <f t="shared" si="2"/>
        <v/>
      </c>
      <c r="H3" s="4" t="str">
        <f t="shared" si="3"/>
        <v>KSSYNYLLALAAADILVLFFIVFVDFLLEDF</v>
      </c>
      <c r="I3" s="4" t="str">
        <f t="shared" si="4"/>
        <v/>
      </c>
      <c r="J3" s="4" t="str">
        <f t="shared" si="5"/>
        <v>MQMPQVPDKIIEVLEFSSIHTSIWITVPLTIDRYIAVCH</v>
      </c>
      <c r="K3" s="4" t="str">
        <f t="shared" si="6"/>
        <v>PLKYHTV</v>
      </c>
      <c r="L3" s="4" t="str">
        <f t="shared" si="7"/>
        <v>SYPARTRKVIVSVYITCFLTSIPYYWWPNI</v>
      </c>
      <c r="M3" s="4" t="str">
        <f t="shared" si="8"/>
        <v/>
      </c>
      <c r="N3" s="4" t="str">
        <f t="shared" si="9"/>
        <v>HHVLIWIHCFTVYLVPCSIFFILNSIIVYKLRRK</v>
      </c>
      <c r="O3" s="4" t="str">
        <f t="shared" si="10"/>
        <v>RLRGYSTGKTTAILFTITSIFATLWAPRIIMILYHLYG</v>
      </c>
      <c r="P3" s="4" t="str">
        <f t="shared" si="11"/>
        <v>RWLVHIMSDIANMLALLNTAINFFLYCFI</v>
      </c>
      <c r="Q3" s="4" t="str">
        <f t="shared" si="12"/>
        <v>SKRFRTMAAATLKA</v>
      </c>
      <c r="R3" s="5">
        <f>VLOOKUP($A3,'SegEnds_NonXtal_Prot#'!$A:$AL,3,FALSE)</f>
        <v>27</v>
      </c>
      <c r="S3" s="5" t="str">
        <f>VLOOKUP($A3,'SegEnds_NonXtal_Prot#'!$A:$AL,6,FALSE)</f>
        <v>-</v>
      </c>
      <c r="T3" s="5">
        <f>VLOOKUP($A3,'SegEnds_NonXtal_Prot#'!$A:$AL,9,FALSE)</f>
        <v>60</v>
      </c>
      <c r="U3" s="5" t="str">
        <f>VLOOKUP($A3,'SegEnds_NonXtal_Prot#'!$A:$AL,12,FALSE)</f>
        <v>-</v>
      </c>
      <c r="V3" s="5">
        <f>VLOOKUP($A3,'SegEnds_NonXtal_Prot#'!$A:$AL,15,FALSE)</f>
        <v>94</v>
      </c>
      <c r="W3" s="5">
        <f>VLOOKUP($A3,'SegEnds_NonXtal_Prot#'!$A:$AL,18,FALSE)</f>
        <v>133</v>
      </c>
      <c r="X3" s="5">
        <f>VLOOKUP($A3,'SegEnds_NonXtal_Prot#'!$A:$AL,21,FALSE)</f>
        <v>140</v>
      </c>
      <c r="Y3" s="5" t="str">
        <f>VLOOKUP($A3,'SegEnds_NonXtal_Prot#'!$A:$AL,24,FALSE)</f>
        <v>-</v>
      </c>
      <c r="Z3" s="5">
        <f>VLOOKUP($A3,'SegEnds_NonXtal_Prot#'!$A:$AL,27,FALSE)</f>
        <v>180</v>
      </c>
      <c r="AA3" s="5">
        <f>VLOOKUP($A3,'SegEnds_NonXtal_Prot#'!$A:$AL,30,FALSE)</f>
        <v>217</v>
      </c>
      <c r="AB3" s="5">
        <f>VLOOKUP($A3,'SegEnds_NonXtal_Prot#'!$A:$AL,33,FALSE)</f>
        <v>260</v>
      </c>
      <c r="AC3" s="5">
        <f>VLOOKUP($A3,'SegEnds_NonXtal_Prot#'!$A:$AL,36,FALSE)</f>
        <v>289</v>
      </c>
      <c r="AD3" s="5">
        <f>VLOOKUP($A3,'SegEnds_NonXtal_Prot#'!$A:$AL,5,FALSE)</f>
        <v>54</v>
      </c>
      <c r="AE3" s="5" t="str">
        <f>VLOOKUP($A3,'SegEnds_NonXtal_Prot#'!$A:$AL,8,FALSE)</f>
        <v>-</v>
      </c>
      <c r="AF3" s="5">
        <f>VLOOKUP($A3,'SegEnds_NonXtal_Prot#'!$A:$AL,11,FALSE)</f>
        <v>90</v>
      </c>
      <c r="AG3" s="5" t="str">
        <f>VLOOKUP($A3,'SegEnds_NonXtal_Prot#'!$A:$AL,14,FALSE)</f>
        <v>-</v>
      </c>
      <c r="AH3" s="5">
        <f>VLOOKUP($A3,'SegEnds_NonXtal_Prot#'!$A:$AL,17,FALSE)</f>
        <v>132</v>
      </c>
      <c r="AI3" s="5">
        <f>VLOOKUP($A3,'SegEnds_NonXtal_Prot#'!$A:$AL,20,FALSE)</f>
        <v>139</v>
      </c>
      <c r="AJ3" s="5">
        <f>VLOOKUP($A3,'SegEnds_NonXtal_Prot#'!$A:$AL,23,FALSE)</f>
        <v>169</v>
      </c>
      <c r="AK3" s="5" t="str">
        <f>VLOOKUP($A3,'SegEnds_NonXtal_Prot#'!$A:$AL,26,FALSE)</f>
        <v>-</v>
      </c>
      <c r="AL3" s="5">
        <f>VLOOKUP($A3,'SegEnds_NonXtal_Prot#'!$A:$AL,29,FALSE)</f>
        <v>213</v>
      </c>
      <c r="AM3" s="5">
        <f>VLOOKUP($A3,'SegEnds_NonXtal_Prot#'!$A:$AL,32,FALSE)</f>
        <v>254</v>
      </c>
      <c r="AN3" s="5">
        <f>VLOOKUP($A3,'SegEnds_NonXtal_Prot#'!$A:$AL,35,FALSE)</f>
        <v>288</v>
      </c>
      <c r="AO3" s="5">
        <f>VLOOKUP($A3,'SegEnds_NonXtal_Prot#'!$A:$AL,38,FALSE)</f>
        <v>302</v>
      </c>
      <c r="AP3" s="5">
        <f t="shared" si="13"/>
        <v>27</v>
      </c>
      <c r="AQ3" s="4" t="str">
        <f t="shared" si="14"/>
        <v>-</v>
      </c>
      <c r="AR3" s="4">
        <f t="shared" si="15"/>
        <v>30</v>
      </c>
      <c r="AS3" s="4" t="str">
        <f t="shared" si="16"/>
        <v>-</v>
      </c>
      <c r="AT3" s="4">
        <f t="shared" si="17"/>
        <v>38</v>
      </c>
      <c r="AU3" s="4">
        <f t="shared" si="18"/>
        <v>6</v>
      </c>
      <c r="AV3" s="4">
        <f t="shared" si="19"/>
        <v>29</v>
      </c>
      <c r="AW3" s="4" t="str">
        <f t="shared" si="20"/>
        <v>-</v>
      </c>
      <c r="AX3" s="4">
        <f t="shared" si="21"/>
        <v>33</v>
      </c>
      <c r="AY3" s="4">
        <f t="shared" si="22"/>
        <v>37</v>
      </c>
      <c r="AZ3" s="4">
        <f t="shared" si="23"/>
        <v>28</v>
      </c>
      <c r="BA3" s="4">
        <f t="shared" si="24"/>
        <v>13</v>
      </c>
    </row>
    <row r="4" spans="1:53" x14ac:dyDescent="0.2">
      <c r="A4" s="1" t="str">
        <f>'SegEnds_NonXtal_Prot#'!A28</f>
        <v>par2_human</v>
      </c>
      <c r="B4" s="1" t="str">
        <f t="shared" si="0"/>
        <v>GKLTTVFLPIVYTIVFVVGLPSNGMALWVFLFRHPAVIYMANLALADLLSVIWFPLKIAYHIHGEALCNVLIGFFYGNMYCSILFMTCLSVQRYWVIVNKANIAIGISLAIWLLILLVTIPLYVLVGDMFNYFLSLAIGVFLFPAFLTASAYVLMIRMLRSSENSEKKRKRAIKLIVTVLAMYLICFTPSNLLLVVHYFLIQSHVYALYIVALCLSTLNSCIDPFVYYFVSHDFRDHAKNALLCR</v>
      </c>
      <c r="C4" s="29" t="str">
        <f>IF(ISERROR(MATCH(A4,'SegEnds_Xtal_Prot#'!B:B, 0)), "NoXtal", "Xtal")</f>
        <v>Xtal</v>
      </c>
      <c r="D4" s="4" t="str">
        <f>VLOOKUP(A4,Classification!A:D,2,FALSE)</f>
        <v>A</v>
      </c>
      <c r="E4" s="5" t="str">
        <f>VLOOKUP(A4,Seqs!A:B,2,FALSE)</f>
        <v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v>
      </c>
      <c r="F4" s="5" t="str">
        <f t="shared" si="1"/>
        <v>GKLTTVFLPIVYTIVFVVGLPSNGMALWVFLFR</v>
      </c>
      <c r="G4" s="4" t="str">
        <f t="shared" si="2"/>
        <v/>
      </c>
      <c r="H4" s="4" t="str">
        <f t="shared" si="3"/>
        <v>HPAVIYMANLALADLLSVIWFPLKIAYHIH</v>
      </c>
      <c r="I4" s="4" t="str">
        <f t="shared" si="4"/>
        <v>NWIY</v>
      </c>
      <c r="J4" s="4" t="str">
        <f t="shared" si="5"/>
        <v>GEALCNVLIGFFYGNMYCSILFMTCLSVQRYWVIVN</v>
      </c>
      <c r="K4" s="4" t="str">
        <f t="shared" si="6"/>
        <v>PMGHSRK</v>
      </c>
      <c r="L4" s="4" t="str">
        <f t="shared" si="7"/>
        <v>KANIAIGISLAIWLLILLVTIPLYV</v>
      </c>
      <c r="M4" s="4" t="str">
        <f t="shared" si="8"/>
        <v>CHD</v>
      </c>
      <c r="N4" s="4" t="str">
        <f t="shared" si="9"/>
        <v>LVGDMFNYFLSLAIGVFLFPAFLTASAYVLMIRMLRSS</v>
      </c>
      <c r="O4" s="4" t="str">
        <f t="shared" si="10"/>
        <v>ENSEKKRKRAIKLIVTVLAMYLICFTPSNLLLVVHYFLI</v>
      </c>
      <c r="P4" s="4" t="str">
        <f t="shared" si="11"/>
        <v>QSHVYALYIVALCLSTLNSCIDPFVYYFV</v>
      </c>
      <c r="Q4" s="4" t="str">
        <f t="shared" si="12"/>
        <v>SHDFRDHAKNALLCR</v>
      </c>
      <c r="R4" s="5">
        <f>VLOOKUP($A4,'SegEnds_NonXtal_Prot#'!$A:$AL,3,FALSE)</f>
        <v>71</v>
      </c>
      <c r="S4" s="5" t="str">
        <f>VLOOKUP($A4,'SegEnds_NonXtal_Prot#'!$A:$AL,6,FALSE)</f>
        <v>-</v>
      </c>
      <c r="T4" s="5">
        <f>VLOOKUP($A4,'SegEnds_NonXtal_Prot#'!$A:$AL,9,FALSE)</f>
        <v>108</v>
      </c>
      <c r="U4" s="5">
        <f>VLOOKUP($A4,'SegEnds_NonXtal_Prot#'!$A:$AL,12,FALSE)</f>
        <v>140</v>
      </c>
      <c r="V4" s="5">
        <f>VLOOKUP($A4,'SegEnds_NonXtal_Prot#'!$A:$AL,15,FALSE)</f>
        <v>144</v>
      </c>
      <c r="W4" s="5">
        <f>VLOOKUP($A4,'SegEnds_NonXtal_Prot#'!$A:$AL,18,FALSE)</f>
        <v>180</v>
      </c>
      <c r="X4" s="5">
        <f>VLOOKUP($A4,'SegEnds_NonXtal_Prot#'!$A:$AL,21,FALSE)</f>
        <v>187</v>
      </c>
      <c r="Y4" s="5">
        <f>VLOOKUP($A4,'SegEnds_NonXtal_Prot#'!$A:$AL,24,FALSE)</f>
        <v>226</v>
      </c>
      <c r="Z4" s="5">
        <f>VLOOKUP($A4,'SegEnds_NonXtal_Prot#'!$A:$AL,27,FALSE)</f>
        <v>235</v>
      </c>
      <c r="AA4" s="5">
        <f>VLOOKUP($A4,'SegEnds_NonXtal_Prot#'!$A:$AL,30,FALSE)</f>
        <v>276</v>
      </c>
      <c r="AB4" s="5">
        <f>VLOOKUP($A4,'SegEnds_NonXtal_Prot#'!$A:$AL,33,FALSE)</f>
        <v>319</v>
      </c>
      <c r="AC4" s="5">
        <f>VLOOKUP($A4,'SegEnds_NonXtal_Prot#'!$A:$AL,36,FALSE)</f>
        <v>348</v>
      </c>
      <c r="AD4" s="5">
        <f>VLOOKUP($A4,'SegEnds_NonXtal_Prot#'!$A:$AL,5,FALSE)</f>
        <v>103</v>
      </c>
      <c r="AE4" s="5" t="str">
        <f>VLOOKUP($A4,'SegEnds_NonXtal_Prot#'!$A:$AL,8,FALSE)</f>
        <v>-</v>
      </c>
      <c r="AF4" s="5">
        <f>VLOOKUP($A4,'SegEnds_NonXtal_Prot#'!$A:$AL,11,FALSE)</f>
        <v>137</v>
      </c>
      <c r="AG4" s="5">
        <f>VLOOKUP($A4,'SegEnds_NonXtal_Prot#'!$A:$AL,14,FALSE)</f>
        <v>143</v>
      </c>
      <c r="AH4" s="5">
        <f>VLOOKUP($A4,'SegEnds_NonXtal_Prot#'!$A:$AL,17,FALSE)</f>
        <v>179</v>
      </c>
      <c r="AI4" s="5">
        <f>VLOOKUP($A4,'SegEnds_NonXtal_Prot#'!$A:$AL,20,FALSE)</f>
        <v>186</v>
      </c>
      <c r="AJ4" s="5">
        <f>VLOOKUP($A4,'SegEnds_NonXtal_Prot#'!$A:$AL,23,FALSE)</f>
        <v>211</v>
      </c>
      <c r="AK4" s="5">
        <f>VLOOKUP($A4,'SegEnds_NonXtal_Prot#'!$A:$AL,26,FALSE)</f>
        <v>228</v>
      </c>
      <c r="AL4" s="5">
        <f>VLOOKUP($A4,'SegEnds_NonXtal_Prot#'!$A:$AL,29,FALSE)</f>
        <v>272</v>
      </c>
      <c r="AM4" s="5">
        <f>VLOOKUP($A4,'SegEnds_NonXtal_Prot#'!$A:$AL,32,FALSE)</f>
        <v>314</v>
      </c>
      <c r="AN4" s="5">
        <f>VLOOKUP($A4,'SegEnds_NonXtal_Prot#'!$A:$AL,35,FALSE)</f>
        <v>347</v>
      </c>
      <c r="AO4" s="5">
        <f>VLOOKUP($A4,'SegEnds_NonXtal_Prot#'!$A:$AL,38,FALSE)</f>
        <v>362</v>
      </c>
      <c r="AP4" s="5">
        <f t="shared" si="13"/>
        <v>32</v>
      </c>
      <c r="AQ4" s="4" t="str">
        <f t="shared" si="14"/>
        <v>-</v>
      </c>
      <c r="AR4" s="4">
        <f t="shared" si="15"/>
        <v>29</v>
      </c>
      <c r="AS4" s="4">
        <f t="shared" si="16"/>
        <v>3</v>
      </c>
      <c r="AT4" s="4">
        <f t="shared" si="17"/>
        <v>35</v>
      </c>
      <c r="AU4" s="4">
        <f t="shared" si="18"/>
        <v>6</v>
      </c>
      <c r="AV4" s="4">
        <f t="shared" si="19"/>
        <v>24</v>
      </c>
      <c r="AW4" s="4">
        <f t="shared" si="20"/>
        <v>2</v>
      </c>
      <c r="AX4" s="4">
        <f t="shared" si="21"/>
        <v>37</v>
      </c>
      <c r="AY4" s="4">
        <f t="shared" si="22"/>
        <v>38</v>
      </c>
      <c r="AZ4" s="4">
        <f t="shared" si="23"/>
        <v>28</v>
      </c>
      <c r="BA4" s="4">
        <f t="shared" si="24"/>
        <v>14</v>
      </c>
    </row>
    <row r="5" spans="1:53" x14ac:dyDescent="0.2">
      <c r="A5" s="1" t="str">
        <f>'SegEnds_NonXtal_Prot#'!A31</f>
        <v>s1pr1_human</v>
      </c>
      <c r="B5" s="1" t="str">
        <f t="shared" si="0"/>
        <v>ENSIKLTSVVFILICCFIILENIFVLLTIWKTRPMYYFIGNLALSDLLAGVAYTANLLLTPAQWFLREGSMFVALSASVFSLLAIAIERYITMLKNNFRLFLLISACWVISLILGGLPIMGHKHYILFCTTVFTLLLLSIVILYCRIYSLVRTRSRRLTSRSSEKSLALLKTVIIVLSVFIACWAPLFILLLLDVGCDILFRAEYFLVLAVLNSGTNPIIYTLTNKEMRRAFIRIMS</v>
      </c>
      <c r="C5" s="29" t="str">
        <f>IF(ISERROR(MATCH(A5,'SegEnds_Xtal_Prot#'!B:B, 0)), "NoXtal", "Xtal")</f>
        <v>Xtal</v>
      </c>
      <c r="D5" s="4" t="str">
        <f>VLOOKUP(A5,Classification!A:D,2,FALSE)</f>
        <v>A</v>
      </c>
      <c r="E5" s="5" t="str">
        <f>VLOOKUP(A5,Seqs!A:B,2,FALSE)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F5" s="5" t="str">
        <f t="shared" si="1"/>
        <v>ENSIKLTSVVFILICCFIILENIFVLLTIWKT</v>
      </c>
      <c r="G5" s="4" t="str">
        <f t="shared" si="2"/>
        <v>KKFH</v>
      </c>
      <c r="H5" s="4" t="str">
        <f t="shared" si="3"/>
        <v>RPMYYFIGNLALSDLLAGVAYTANLLL</v>
      </c>
      <c r="I5" s="4" t="str">
        <f t="shared" si="4"/>
        <v>GATTYKL</v>
      </c>
      <c r="J5" s="4" t="str">
        <f t="shared" si="5"/>
        <v>TPAQWFLREGSMFVALSASVFSLLAIAIERYITMLK</v>
      </c>
      <c r="K5" s="4" t="str">
        <f t="shared" si="6"/>
        <v>MKLHNGS</v>
      </c>
      <c r="L5" s="4" t="str">
        <f t="shared" si="7"/>
        <v>NNFRLFLLISACWVISLILGGLPIMG</v>
      </c>
      <c r="M5" s="4" t="str">
        <f t="shared" si="8"/>
        <v/>
      </c>
      <c r="N5" s="4" t="str">
        <f t="shared" si="9"/>
        <v>HKHYILFCTTVFTLLLLSIVILYCRIYSLVRTRSRRLT</v>
      </c>
      <c r="O5" s="4" t="str">
        <f t="shared" si="10"/>
        <v>SRSSEKSLALLKTVIIVLSVFIACWAPLFILLLLDVGC</v>
      </c>
      <c r="P5" s="4" t="str">
        <f t="shared" si="11"/>
        <v>DILFRAEYFLVLAVLNSGTNPIIYTLT</v>
      </c>
      <c r="Q5" s="4" t="str">
        <f t="shared" si="12"/>
        <v>NKEMRRAFIRIMS</v>
      </c>
      <c r="R5" s="5">
        <f>VLOOKUP($A5,'SegEnds_NonXtal_Prot#'!$A:$AL,3,FALSE)</f>
        <v>42</v>
      </c>
      <c r="S5" s="5">
        <f>VLOOKUP($A5,'SegEnds_NonXtal_Prot#'!$A:$AL,6,FALSE)</f>
        <v>74</v>
      </c>
      <c r="T5" s="5">
        <f>VLOOKUP($A5,'SegEnds_NonXtal_Prot#'!$A:$AL,9,FALSE)</f>
        <v>78</v>
      </c>
      <c r="U5" s="5">
        <f>VLOOKUP($A5,'SegEnds_NonXtal_Prot#'!$A:$AL,12,FALSE)</f>
        <v>106</v>
      </c>
      <c r="V5" s="5">
        <f>VLOOKUP($A5,'SegEnds_NonXtal_Prot#'!$A:$AL,15,FALSE)</f>
        <v>113</v>
      </c>
      <c r="W5" s="5">
        <f>VLOOKUP($A5,'SegEnds_NonXtal_Prot#'!$A:$AL,18,FALSE)</f>
        <v>149</v>
      </c>
      <c r="X5" s="5">
        <f>VLOOKUP($A5,'SegEnds_NonXtal_Prot#'!$A:$AL,21,FALSE)</f>
        <v>156</v>
      </c>
      <c r="Y5" s="5" t="str">
        <f>VLOOKUP($A5,'SegEnds_NonXtal_Prot#'!$A:$AL,24,FALSE)</f>
        <v>-</v>
      </c>
      <c r="Z5" s="5">
        <f>VLOOKUP($A5,'SegEnds_NonXtal_Prot#'!$A:$AL,27,FALSE)</f>
        <v>199</v>
      </c>
      <c r="AA5" s="5">
        <f>VLOOKUP($A5,'SegEnds_NonXtal_Prot#'!$A:$AL,30,FALSE)</f>
        <v>245</v>
      </c>
      <c r="AB5" s="5">
        <f>VLOOKUP($A5,'SegEnds_NonXtal_Prot#'!$A:$AL,33,FALSE)</f>
        <v>288</v>
      </c>
      <c r="AC5" s="5">
        <f>VLOOKUP($A5,'SegEnds_NonXtal_Prot#'!$A:$AL,36,FALSE)</f>
        <v>315</v>
      </c>
      <c r="AD5" s="5">
        <f>VLOOKUP($A5,'SegEnds_NonXtal_Prot#'!$A:$AL,5,FALSE)</f>
        <v>73</v>
      </c>
      <c r="AE5" s="5">
        <f>VLOOKUP($A5,'SegEnds_NonXtal_Prot#'!$A:$AL,8,FALSE)</f>
        <v>77</v>
      </c>
      <c r="AF5" s="5">
        <f>VLOOKUP($A5,'SegEnds_NonXtal_Prot#'!$A:$AL,11,FALSE)</f>
        <v>104</v>
      </c>
      <c r="AG5" s="5">
        <f>VLOOKUP($A5,'SegEnds_NonXtal_Prot#'!$A:$AL,14,FALSE)</f>
        <v>112</v>
      </c>
      <c r="AH5" s="5">
        <f>VLOOKUP($A5,'SegEnds_NonXtal_Prot#'!$A:$AL,17,FALSE)</f>
        <v>148</v>
      </c>
      <c r="AI5" s="5">
        <f>VLOOKUP($A5,'SegEnds_NonXtal_Prot#'!$A:$AL,20,FALSE)</f>
        <v>155</v>
      </c>
      <c r="AJ5" s="5">
        <f>VLOOKUP($A5,'SegEnds_NonXtal_Prot#'!$A:$AL,23,FALSE)</f>
        <v>181</v>
      </c>
      <c r="AK5" s="5" t="str">
        <f>VLOOKUP($A5,'SegEnds_NonXtal_Prot#'!$A:$AL,26,FALSE)</f>
        <v>-</v>
      </c>
      <c r="AL5" s="5">
        <f>VLOOKUP($A5,'SegEnds_NonXtal_Prot#'!$A:$AL,29,FALSE)</f>
        <v>236</v>
      </c>
      <c r="AM5" s="5">
        <f>VLOOKUP($A5,'SegEnds_NonXtal_Prot#'!$A:$AL,32,FALSE)</f>
        <v>282</v>
      </c>
      <c r="AN5" s="5">
        <f>VLOOKUP($A5,'SegEnds_NonXtal_Prot#'!$A:$AL,35,FALSE)</f>
        <v>314</v>
      </c>
      <c r="AO5" s="5">
        <f>VLOOKUP($A5,'SegEnds_NonXtal_Prot#'!$A:$AL,38,FALSE)</f>
        <v>327</v>
      </c>
      <c r="AP5" s="5">
        <f t="shared" si="13"/>
        <v>31</v>
      </c>
      <c r="AQ5" s="4">
        <f t="shared" si="14"/>
        <v>3</v>
      </c>
      <c r="AR5" s="4">
        <f t="shared" si="15"/>
        <v>26</v>
      </c>
      <c r="AS5" s="4">
        <f t="shared" si="16"/>
        <v>6</v>
      </c>
      <c r="AT5" s="4">
        <f t="shared" si="17"/>
        <v>35</v>
      </c>
      <c r="AU5" s="4">
        <f t="shared" si="18"/>
        <v>6</v>
      </c>
      <c r="AV5" s="4">
        <f t="shared" si="19"/>
        <v>25</v>
      </c>
      <c r="AW5" s="4" t="str">
        <f t="shared" si="20"/>
        <v>-</v>
      </c>
      <c r="AX5" s="4">
        <f t="shared" si="21"/>
        <v>37</v>
      </c>
      <c r="AY5" s="4">
        <f t="shared" si="22"/>
        <v>37</v>
      </c>
      <c r="AZ5" s="4">
        <f t="shared" si="23"/>
        <v>26</v>
      </c>
      <c r="BA5" s="4">
        <f t="shared" si="24"/>
        <v>12</v>
      </c>
    </row>
    <row r="6" spans="1:53" x14ac:dyDescent="0.2">
      <c r="A6" s="1" t="str">
        <f>'SegEnds_NonXtal_Prot#'!A48</f>
        <v>5ht6r_human</v>
      </c>
      <c r="B6" s="1" t="str">
        <f t="shared" si="0"/>
        <v>GWVAAALCVVIALTAAANSLLIALICTQNTSNFFLVSLFTSDLMVGLVVMPPAMLNALYGARGLCLLWTAFDVMCCSASILNLCLISLDRYLLILSTPLRALALVLGAWSLAALASFLPLLLGWHESLPFVLVASGLTFFLPSGAICFTYCRILLAARKQAVQVASLTTKHSRKALKASLTLGILLGMFFVTWLPFFVANIVQAVCPGLFDVLTWLGYCNSTMNPIIYPLFMRDFKRALGRFLPC</v>
      </c>
      <c r="C6" s="29" t="str">
        <f>IF(ISERROR(MATCH(A6,'SegEnds_Xtal_Prot#'!B:B, 0)), "NoXtal", "Xtal")</f>
        <v>NoXtal</v>
      </c>
      <c r="D6" s="4" t="str">
        <f>VLOOKUP(A6,Classification!A:D,2,FALSE)</f>
        <v>A</v>
      </c>
      <c r="E6" s="5" t="str">
        <f>VLOOKUP(A6,Seqs!A:B,2,FALSE)</f>
        <v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v>
      </c>
      <c r="F6" s="5" t="str">
        <f t="shared" si="1"/>
        <v>GWVAAALCVVIALTAAANSLLIALICTQ</v>
      </c>
      <c r="G6" s="4" t="str">
        <f t="shared" si="2"/>
        <v>PALR</v>
      </c>
      <c r="H6" s="4" t="str">
        <f t="shared" si="3"/>
        <v>NTSNFFLVSLFTSDLMVGLVVMPPAMLNALYG</v>
      </c>
      <c r="I6" s="4" t="str">
        <f t="shared" si="4"/>
        <v>RWVL</v>
      </c>
      <c r="J6" s="4" t="str">
        <f t="shared" si="5"/>
        <v>ARGLCLLWTAFDVMCCSASILNLCLISLDRYLLILS</v>
      </c>
      <c r="K6" s="4" t="str">
        <f t="shared" si="6"/>
        <v>PLRYKLRM</v>
      </c>
      <c r="L6" s="4" t="str">
        <f t="shared" si="7"/>
        <v>TPLRALALVLGAWSLAALASFLPLLLGWHE</v>
      </c>
      <c r="M6" s="4" t="str">
        <f t="shared" si="8"/>
        <v>CRL</v>
      </c>
      <c r="N6" s="4" t="str">
        <f t="shared" si="9"/>
        <v>SLPFVLVASGLTFFLPSGAICFTYCRILLAARKQAVQVASLT</v>
      </c>
      <c r="O6" s="4" t="str">
        <f t="shared" si="10"/>
        <v>TKHSRKALKASLTLGILLGMFFVTWLPFFVANIVQAVC</v>
      </c>
      <c r="P6" s="4" t="str">
        <f t="shared" si="11"/>
        <v>PGLFDVLTWLGYCNSTMNPIIYPLF</v>
      </c>
      <c r="Q6" s="4" t="str">
        <f t="shared" si="12"/>
        <v>MRDFKRALGRFLPC</v>
      </c>
      <c r="R6" s="5">
        <f>VLOOKUP($A6,'SegEnds_NonXtal_Prot#'!$A:$AL,3,FALSE)</f>
        <v>27</v>
      </c>
      <c r="S6" s="5">
        <f>VLOOKUP($A6,'SegEnds_NonXtal_Prot#'!$A:$AL,6,FALSE)</f>
        <v>55</v>
      </c>
      <c r="T6" s="5">
        <f>VLOOKUP($A6,'SegEnds_NonXtal_Prot#'!$A:$AL,9,FALSE)</f>
        <v>59</v>
      </c>
      <c r="U6" s="5">
        <f>VLOOKUP($A6,'SegEnds_NonXtal_Prot#'!$A:$AL,12,FALSE)</f>
        <v>91</v>
      </c>
      <c r="V6" s="5">
        <f>VLOOKUP($A6,'SegEnds_NonXtal_Prot#'!$A:$AL,15,FALSE)</f>
        <v>95</v>
      </c>
      <c r="W6" s="5">
        <f>VLOOKUP($A6,'SegEnds_NonXtal_Prot#'!$A:$AL,18,FALSE)</f>
        <v>131</v>
      </c>
      <c r="X6" s="5">
        <f>VLOOKUP($A6,'SegEnds_NonXtal_Prot#'!$A:$AL,21,FALSE)</f>
        <v>139</v>
      </c>
      <c r="Y6" s="5">
        <f>VLOOKUP($A6,'SegEnds_NonXtal_Prot#'!$A:$AL,24,FALSE)</f>
        <v>180</v>
      </c>
      <c r="Z6" s="5">
        <f>VLOOKUP($A6,'SegEnds_NonXtal_Prot#'!$A:$AL,27,FALSE)</f>
        <v>185</v>
      </c>
      <c r="AA6" s="5">
        <f>VLOOKUP($A6,'SegEnds_NonXtal_Prot#'!$A:$AL,30,FALSE)</f>
        <v>257</v>
      </c>
      <c r="AB6" s="5">
        <f>VLOOKUP($A6,'SegEnds_NonXtal_Prot#'!$A:$AL,33,FALSE)</f>
        <v>299</v>
      </c>
      <c r="AC6" s="5">
        <f>VLOOKUP($A6,'SegEnds_NonXtal_Prot#'!$A:$AL,36,FALSE)</f>
        <v>324</v>
      </c>
      <c r="AD6" s="5">
        <f>VLOOKUP($A6,'SegEnds_NonXtal_Prot#'!$A:$AL,5,FALSE)</f>
        <v>54</v>
      </c>
      <c r="AE6" s="5">
        <f>VLOOKUP($A6,'SegEnds_NonXtal_Prot#'!$A:$AL,8,FALSE)</f>
        <v>58</v>
      </c>
      <c r="AF6" s="5">
        <f>VLOOKUP($A6,'SegEnds_NonXtal_Prot#'!$A:$AL,11,FALSE)</f>
        <v>90</v>
      </c>
      <c r="AG6" s="5">
        <f>VLOOKUP($A6,'SegEnds_NonXtal_Prot#'!$A:$AL,14,FALSE)</f>
        <v>94</v>
      </c>
      <c r="AH6" s="5">
        <f>VLOOKUP($A6,'SegEnds_NonXtal_Prot#'!$A:$AL,17,FALSE)</f>
        <v>130</v>
      </c>
      <c r="AI6" s="5">
        <f>VLOOKUP($A6,'SegEnds_NonXtal_Prot#'!$A:$AL,20,FALSE)</f>
        <v>138</v>
      </c>
      <c r="AJ6" s="5">
        <f>VLOOKUP($A6,'SegEnds_NonXtal_Prot#'!$A:$AL,23,FALSE)</f>
        <v>168</v>
      </c>
      <c r="AK6" s="5">
        <f>VLOOKUP($A6,'SegEnds_NonXtal_Prot#'!$A:$AL,26,FALSE)</f>
        <v>182</v>
      </c>
      <c r="AL6" s="5">
        <f>VLOOKUP($A6,'SegEnds_NonXtal_Prot#'!$A:$AL,29,FALSE)</f>
        <v>226</v>
      </c>
      <c r="AM6" s="5">
        <f>VLOOKUP($A6,'SegEnds_NonXtal_Prot#'!$A:$AL,32,FALSE)</f>
        <v>294</v>
      </c>
      <c r="AN6" s="5">
        <f>VLOOKUP($A6,'SegEnds_NonXtal_Prot#'!$A:$AL,35,FALSE)</f>
        <v>323</v>
      </c>
      <c r="AO6" s="5">
        <f>VLOOKUP($A6,'SegEnds_NonXtal_Prot#'!$A:$AL,38,FALSE)</f>
        <v>337</v>
      </c>
      <c r="AP6" s="5">
        <f t="shared" si="13"/>
        <v>27</v>
      </c>
      <c r="AQ6" s="4">
        <f t="shared" si="14"/>
        <v>3</v>
      </c>
      <c r="AR6" s="4">
        <f t="shared" si="15"/>
        <v>31</v>
      </c>
      <c r="AS6" s="4">
        <f t="shared" si="16"/>
        <v>3</v>
      </c>
      <c r="AT6" s="4">
        <f t="shared" si="17"/>
        <v>35</v>
      </c>
      <c r="AU6" s="4">
        <f t="shared" si="18"/>
        <v>7</v>
      </c>
      <c r="AV6" s="4">
        <f t="shared" si="19"/>
        <v>29</v>
      </c>
      <c r="AW6" s="4">
        <f t="shared" si="20"/>
        <v>2</v>
      </c>
      <c r="AX6" s="4">
        <f t="shared" si="21"/>
        <v>41</v>
      </c>
      <c r="AY6" s="4">
        <f t="shared" si="22"/>
        <v>37</v>
      </c>
      <c r="AZ6" s="4">
        <f t="shared" si="23"/>
        <v>24</v>
      </c>
      <c r="BA6" s="4">
        <f t="shared" si="24"/>
        <v>13</v>
      </c>
    </row>
    <row r="7" spans="1:53" x14ac:dyDescent="0.2">
      <c r="A7" s="1" t="str">
        <f>'SegEnds_NonXtal_Prot#'!A49</f>
        <v>5ht7r_human</v>
      </c>
      <c r="B7" s="1" t="str">
        <f t="shared" si="0"/>
        <v>GRVEKVVIGSILTLITLLTIAGNCLVVISVCFVQPSNYLIVSLALADLSVAVAVMPFVSVTDLIGGHFFCNVFIAMDVMCCTASIMTLCVISIDRYLGITRNGKCMAKMILSVWLLSASITLPPLFGDFGYTIYSTAVAFYIPMSVMLFMYYQIYKAARKSAAKHKFPGISIFKREQKAATTLGIIVGAFTVCWLPFFLLSTARPFICSCIPLWVERTFLWLGYANSLINPFIYAFFNRDLRTTYRSLL</v>
      </c>
      <c r="C7" s="29" t="str">
        <f>IF(ISERROR(MATCH(A7,'SegEnds_Xtal_Prot#'!B:B, 0)), "NoXtal", "Xtal")</f>
        <v>NoXtal</v>
      </c>
      <c r="D7" s="4" t="str">
        <f>VLOOKUP(A7,Classification!A:D,2,FALSE)</f>
        <v>A</v>
      </c>
      <c r="E7" s="5" t="str">
        <f>VLOOKUP(A7,Seqs!A:B,2,FALSE)</f>
        <v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v>
      </c>
      <c r="F7" s="5" t="str">
        <f t="shared" si="1"/>
        <v>GRVEKVVIGSILTLITLLTIAGNCLVVISVCFV</v>
      </c>
      <c r="G7" s="4" t="str">
        <f t="shared" si="2"/>
        <v>KKLR</v>
      </c>
      <c r="H7" s="4" t="str">
        <f t="shared" si="3"/>
        <v>QPSNYLIVSLALADLSVAVAVMPFVSVTDLIG</v>
      </c>
      <c r="I7" s="4" t="str">
        <f t="shared" si="4"/>
        <v>KWIF</v>
      </c>
      <c r="J7" s="4" t="str">
        <f t="shared" si="5"/>
        <v>GHFFCNVFIAMDVMCCTASIMTLCVISIDRYLGITR</v>
      </c>
      <c r="K7" s="4" t="str">
        <f t="shared" si="6"/>
        <v>PLTYPVRQ</v>
      </c>
      <c r="L7" s="4" t="str">
        <f t="shared" si="7"/>
        <v>NGKCMAKMILSVWLLSASITLPPLFG</v>
      </c>
      <c r="M7" s="4" t="str">
        <f t="shared" si="8"/>
        <v>CLI</v>
      </c>
      <c r="N7" s="4" t="str">
        <f t="shared" si="9"/>
        <v>DFGYTIYSTAVAFYIPMSVMLFMYYQIYKAARKSAAKHKFPG</v>
      </c>
      <c r="O7" s="4" t="str">
        <f t="shared" si="10"/>
        <v>ISIFKREQKAATTLGIIVGAFTVCWLPFFLLSTARPFI</v>
      </c>
      <c r="P7" s="4" t="str">
        <f t="shared" si="11"/>
        <v>CSCIPLWVERTFLWLGYANSLINPFIYAFF</v>
      </c>
      <c r="Q7" s="4" t="str">
        <f t="shared" si="12"/>
        <v>NRDLRTTYRSLL</v>
      </c>
      <c r="R7" s="5">
        <f>VLOOKUP($A7,'SegEnds_NonXtal_Prot#'!$A:$AL,3,FALSE)</f>
        <v>77</v>
      </c>
      <c r="S7" s="5">
        <f>VLOOKUP($A7,'SegEnds_NonXtal_Prot#'!$A:$AL,6,FALSE)</f>
        <v>110</v>
      </c>
      <c r="T7" s="5">
        <f>VLOOKUP($A7,'SegEnds_NonXtal_Prot#'!$A:$AL,9,FALSE)</f>
        <v>114</v>
      </c>
      <c r="U7" s="5">
        <f>VLOOKUP($A7,'SegEnds_NonXtal_Prot#'!$A:$AL,12,FALSE)</f>
        <v>147</v>
      </c>
      <c r="V7" s="5">
        <f>VLOOKUP($A7,'SegEnds_NonXtal_Prot#'!$A:$AL,15,FALSE)</f>
        <v>151</v>
      </c>
      <c r="W7" s="5">
        <f>VLOOKUP($A7,'SegEnds_NonXtal_Prot#'!$A:$AL,18,FALSE)</f>
        <v>187</v>
      </c>
      <c r="X7" s="5">
        <f>VLOOKUP($A7,'SegEnds_NonXtal_Prot#'!$A:$AL,21,FALSE)</f>
        <v>195</v>
      </c>
      <c r="Y7" s="5">
        <f>VLOOKUP($A7,'SegEnds_NonXtal_Prot#'!$A:$AL,24,FALSE)</f>
        <v>231</v>
      </c>
      <c r="Z7" s="5">
        <f>VLOOKUP($A7,'SegEnds_NonXtal_Prot#'!$A:$AL,27,FALSE)</f>
        <v>236</v>
      </c>
      <c r="AA7" s="5">
        <f>VLOOKUP($A7,'SegEnds_NonXtal_Prot#'!$A:$AL,30,FALSE)</f>
        <v>316</v>
      </c>
      <c r="AB7" s="5">
        <f>VLOOKUP($A7,'SegEnds_NonXtal_Prot#'!$A:$AL,33,FALSE)</f>
        <v>358</v>
      </c>
      <c r="AC7" s="5">
        <f>VLOOKUP($A7,'SegEnds_NonXtal_Prot#'!$A:$AL,36,FALSE)</f>
        <v>388</v>
      </c>
      <c r="AD7" s="5">
        <f>VLOOKUP($A7,'SegEnds_NonXtal_Prot#'!$A:$AL,5,FALSE)</f>
        <v>109</v>
      </c>
      <c r="AE7" s="5">
        <f>VLOOKUP($A7,'SegEnds_NonXtal_Prot#'!$A:$AL,8,FALSE)</f>
        <v>113</v>
      </c>
      <c r="AF7" s="5">
        <f>VLOOKUP($A7,'SegEnds_NonXtal_Prot#'!$A:$AL,11,FALSE)</f>
        <v>145</v>
      </c>
      <c r="AG7" s="5">
        <f>VLOOKUP($A7,'SegEnds_NonXtal_Prot#'!$A:$AL,14,FALSE)</f>
        <v>150</v>
      </c>
      <c r="AH7" s="5">
        <f>VLOOKUP($A7,'SegEnds_NonXtal_Prot#'!$A:$AL,17,FALSE)</f>
        <v>186</v>
      </c>
      <c r="AI7" s="5">
        <f>VLOOKUP($A7,'SegEnds_NonXtal_Prot#'!$A:$AL,20,FALSE)</f>
        <v>194</v>
      </c>
      <c r="AJ7" s="5">
        <f>VLOOKUP($A7,'SegEnds_NonXtal_Prot#'!$A:$AL,23,FALSE)</f>
        <v>220</v>
      </c>
      <c r="AK7" s="5">
        <f>VLOOKUP($A7,'SegEnds_NonXtal_Prot#'!$A:$AL,26,FALSE)</f>
        <v>233</v>
      </c>
      <c r="AL7" s="5">
        <f>VLOOKUP($A7,'SegEnds_NonXtal_Prot#'!$A:$AL,29,FALSE)</f>
        <v>277</v>
      </c>
      <c r="AM7" s="5">
        <f>VLOOKUP($A7,'SegEnds_NonXtal_Prot#'!$A:$AL,32,FALSE)</f>
        <v>353</v>
      </c>
      <c r="AN7" s="5">
        <f>VLOOKUP($A7,'SegEnds_NonXtal_Prot#'!$A:$AL,35,FALSE)</f>
        <v>387</v>
      </c>
      <c r="AO7" s="5">
        <f>VLOOKUP($A7,'SegEnds_NonXtal_Prot#'!$A:$AL,38,FALSE)</f>
        <v>399</v>
      </c>
      <c r="AP7" s="5">
        <f t="shared" si="13"/>
        <v>32</v>
      </c>
      <c r="AQ7" s="4">
        <f t="shared" si="14"/>
        <v>3</v>
      </c>
      <c r="AR7" s="4">
        <f t="shared" si="15"/>
        <v>31</v>
      </c>
      <c r="AS7" s="4">
        <f t="shared" si="16"/>
        <v>3</v>
      </c>
      <c r="AT7" s="4">
        <f t="shared" si="17"/>
        <v>35</v>
      </c>
      <c r="AU7" s="4">
        <f t="shared" si="18"/>
        <v>7</v>
      </c>
      <c r="AV7" s="4">
        <f t="shared" si="19"/>
        <v>25</v>
      </c>
      <c r="AW7" s="4">
        <f t="shared" si="20"/>
        <v>2</v>
      </c>
      <c r="AX7" s="4">
        <f t="shared" si="21"/>
        <v>41</v>
      </c>
      <c r="AY7" s="4">
        <f t="shared" si="22"/>
        <v>37</v>
      </c>
      <c r="AZ7" s="4">
        <f t="shared" si="23"/>
        <v>29</v>
      </c>
      <c r="BA7" s="4">
        <f t="shared" si="24"/>
        <v>11</v>
      </c>
    </row>
    <row r="8" spans="1:53" x14ac:dyDescent="0.2">
      <c r="A8" s="1" t="str">
        <f>'SegEnds_NonXtal_Prot#'!A113</f>
        <v>gasr_human</v>
      </c>
      <c r="B8" s="1" t="str">
        <f t="shared" si="0"/>
        <v>ELAIRITLYAVIFLMSVGGNMLIIVVLGLSTVTNAFLLSLAVSDLLLAVACMPFTLLPNLMGGTVICKAVSYLMGVSVSVSTLSLVAIALERYSAICRTRSHAARVIVATWLLSGLLMVPYPVYTRVRQTWSVLLLLLLFFIPGVVMAVAYGLISRELYLGLRFDGDSDQAKLLAKKRVVRMLLVIVVLFFLCWLPVYSANTWRAFDRALSGAPISFIHLLSYASACVNPLVYCFMHRRFRQACLETC</v>
      </c>
      <c r="C8" s="29" t="str">
        <f>IF(ISERROR(MATCH(A8,'SegEnds_Xtal_Prot#'!B:B, 0)), "NoXtal", "Xtal")</f>
        <v>NoXtal</v>
      </c>
      <c r="D8" s="4" t="str">
        <f>VLOOKUP(A8,Classification!A:D,2,FALSE)</f>
        <v>A</v>
      </c>
      <c r="E8" s="5" t="str">
        <f>VLOOKUP(A8,Seqs!A:B,2,FALSE)</f>
        <v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v>
      </c>
      <c r="F8" s="5" t="str">
        <f t="shared" si="1"/>
        <v>ELAIRITLYAVIFLMSVGGNMLIIVVLGLS</v>
      </c>
      <c r="G8" s="4" t="str">
        <f t="shared" si="2"/>
        <v>RRLR</v>
      </c>
      <c r="H8" s="4" t="str">
        <f t="shared" si="3"/>
        <v>TVTNAFLLSLAVSDLLLAVACMPFTLLPNLMG</v>
      </c>
      <c r="I8" s="4" t="str">
        <f t="shared" si="4"/>
        <v>TFIF</v>
      </c>
      <c r="J8" s="4" t="str">
        <f t="shared" si="5"/>
        <v>GTVICKAVSYLMGVSVSVSTLSLVAIALERYSAICR</v>
      </c>
      <c r="K8" s="4" t="str">
        <f t="shared" si="6"/>
        <v>PLQARVWQ</v>
      </c>
      <c r="L8" s="4" t="str">
        <f t="shared" si="7"/>
        <v>TRSHAARVIVATWLLSGLLMVPYPVYT</v>
      </c>
      <c r="M8" s="4" t="str">
        <f t="shared" si="8"/>
        <v>CVH</v>
      </c>
      <c r="N8" s="4" t="str">
        <f t="shared" si="9"/>
        <v>RVRQTWSVLLLLLLFFIPGVVMAVAYGLISRELYLGLRFDGDSD</v>
      </c>
      <c r="O8" s="4" t="str">
        <f t="shared" si="10"/>
        <v>QAKLLAKKRVVRMLLVIVVLFFLCWLPVYSANTWRAFD</v>
      </c>
      <c r="P8" s="4" t="str">
        <f t="shared" si="11"/>
        <v>RALSGAPISFIHLLSYASACVNPLVYCFM</v>
      </c>
      <c r="Q8" s="4" t="str">
        <f t="shared" si="12"/>
        <v>HRRFRQACLETC</v>
      </c>
      <c r="R8" s="5">
        <f>VLOOKUP($A8,'SegEnds_NonXtal_Prot#'!$A:$AL,3,FALSE)</f>
        <v>53</v>
      </c>
      <c r="S8" s="5">
        <f>VLOOKUP($A8,'SegEnds_NonXtal_Prot#'!$A:$AL,6,FALSE)</f>
        <v>83</v>
      </c>
      <c r="T8" s="5">
        <f>VLOOKUP($A8,'SegEnds_NonXtal_Prot#'!$A:$AL,9,FALSE)</f>
        <v>87</v>
      </c>
      <c r="U8" s="5">
        <f>VLOOKUP($A8,'SegEnds_NonXtal_Prot#'!$A:$AL,12,FALSE)</f>
        <v>119</v>
      </c>
      <c r="V8" s="5">
        <f>VLOOKUP($A8,'SegEnds_NonXtal_Prot#'!$A:$AL,15,FALSE)</f>
        <v>123</v>
      </c>
      <c r="W8" s="5">
        <f>VLOOKUP($A8,'SegEnds_NonXtal_Prot#'!$A:$AL,18,FALSE)</f>
        <v>159</v>
      </c>
      <c r="X8" s="5">
        <f>VLOOKUP($A8,'SegEnds_NonXtal_Prot#'!$A:$AL,21,FALSE)</f>
        <v>167</v>
      </c>
      <c r="Y8" s="5">
        <f>VLOOKUP($A8,'SegEnds_NonXtal_Prot#'!$A:$AL,24,FALSE)</f>
        <v>205</v>
      </c>
      <c r="Z8" s="5">
        <f>VLOOKUP($A8,'SegEnds_NonXtal_Prot#'!$A:$AL,27,FALSE)</f>
        <v>213</v>
      </c>
      <c r="AA8" s="5">
        <f>VLOOKUP($A8,'SegEnds_NonXtal_Prot#'!$A:$AL,30,FALSE)</f>
        <v>322</v>
      </c>
      <c r="AB8" s="5">
        <f>VLOOKUP($A8,'SegEnds_NonXtal_Prot#'!$A:$AL,33,FALSE)</f>
        <v>365</v>
      </c>
      <c r="AC8" s="5">
        <f>VLOOKUP($A8,'SegEnds_NonXtal_Prot#'!$A:$AL,36,FALSE)</f>
        <v>394</v>
      </c>
      <c r="AD8" s="5">
        <f>VLOOKUP($A8,'SegEnds_NonXtal_Prot#'!$A:$AL,5,FALSE)</f>
        <v>82</v>
      </c>
      <c r="AE8" s="5">
        <f>VLOOKUP($A8,'SegEnds_NonXtal_Prot#'!$A:$AL,8,FALSE)</f>
        <v>86</v>
      </c>
      <c r="AF8" s="5">
        <f>VLOOKUP($A8,'SegEnds_NonXtal_Prot#'!$A:$AL,11,FALSE)</f>
        <v>118</v>
      </c>
      <c r="AG8" s="5">
        <f>VLOOKUP($A8,'SegEnds_NonXtal_Prot#'!$A:$AL,14,FALSE)</f>
        <v>122</v>
      </c>
      <c r="AH8" s="5">
        <f>VLOOKUP($A8,'SegEnds_NonXtal_Prot#'!$A:$AL,17,FALSE)</f>
        <v>158</v>
      </c>
      <c r="AI8" s="5">
        <f>VLOOKUP($A8,'SegEnds_NonXtal_Prot#'!$A:$AL,20,FALSE)</f>
        <v>166</v>
      </c>
      <c r="AJ8" s="5">
        <f>VLOOKUP($A8,'SegEnds_NonXtal_Prot#'!$A:$AL,23,FALSE)</f>
        <v>193</v>
      </c>
      <c r="AK8" s="5">
        <f>VLOOKUP($A8,'SegEnds_NonXtal_Prot#'!$A:$AL,26,FALSE)</f>
        <v>207</v>
      </c>
      <c r="AL8" s="5">
        <f>VLOOKUP($A8,'SegEnds_NonXtal_Prot#'!$A:$AL,29,FALSE)</f>
        <v>256</v>
      </c>
      <c r="AM8" s="5">
        <f>VLOOKUP($A8,'SegEnds_NonXtal_Prot#'!$A:$AL,32,FALSE)</f>
        <v>359</v>
      </c>
      <c r="AN8" s="5">
        <f>VLOOKUP($A8,'SegEnds_NonXtal_Prot#'!$A:$AL,35,FALSE)</f>
        <v>393</v>
      </c>
      <c r="AO8" s="5">
        <f>VLOOKUP($A8,'SegEnds_NonXtal_Prot#'!$A:$AL,38,FALSE)</f>
        <v>405</v>
      </c>
      <c r="AP8" s="5">
        <f t="shared" si="13"/>
        <v>29</v>
      </c>
      <c r="AQ8" s="4">
        <f t="shared" si="14"/>
        <v>3</v>
      </c>
      <c r="AR8" s="4">
        <f t="shared" si="15"/>
        <v>31</v>
      </c>
      <c r="AS8" s="4">
        <f t="shared" si="16"/>
        <v>3</v>
      </c>
      <c r="AT8" s="4">
        <f t="shared" si="17"/>
        <v>35</v>
      </c>
      <c r="AU8" s="4">
        <f t="shared" si="18"/>
        <v>7</v>
      </c>
      <c r="AV8" s="4">
        <f t="shared" si="19"/>
        <v>26</v>
      </c>
      <c r="AW8" s="4">
        <f t="shared" si="20"/>
        <v>2</v>
      </c>
      <c r="AX8" s="4">
        <f t="shared" si="21"/>
        <v>43</v>
      </c>
      <c r="AY8" s="4">
        <f t="shared" si="22"/>
        <v>37</v>
      </c>
      <c r="AZ8" s="4">
        <f t="shared" si="23"/>
        <v>28</v>
      </c>
      <c r="BA8" s="4">
        <f t="shared" si="24"/>
        <v>11</v>
      </c>
    </row>
    <row r="9" spans="1:53" x14ac:dyDescent="0.2">
      <c r="A9" s="1" t="str">
        <f>'SegEnds_NonXtal_Prot#'!A123</f>
        <v>gp171_human</v>
      </c>
      <c r="B9" s="1" t="str">
        <f t="shared" si="0"/>
        <v>VYKDLEPFTYFFYLVFLVGIIGSCFATWAFIQKRCVSIYLINLLTADFLLTLALPVKIVVDLGWKLKIFHCQVTACLIYINMYLSIIFLAFVSIDRCLQLTHEPGFAKMISTVVWLMVLLIMVPNMMIPEFGRNWHLLTNFICVAIFLNFSAIILISNCLVIRQLYRNYPNVKKALINILLVTTGYIICFVPYHIVRIPYTLSQTEDCSTRISLFKAKEATLLLAVSNLCFDPILYYHLSKAFRSKVTET</v>
      </c>
      <c r="C9" s="29" t="str">
        <f>IF(ISERROR(MATCH(A9,'SegEnds_Xtal_Prot#'!B:B, 0)), "NoXtal", "Xtal")</f>
        <v>NoXtal</v>
      </c>
      <c r="D9" s="4" t="str">
        <f>VLOOKUP(A9,Classification!A:D,2,FALSE)</f>
        <v>A</v>
      </c>
      <c r="E9" s="5" t="str">
        <f>VLOOKUP(A9,Seqs!A:B,2,FALSE)</f>
        <v>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</v>
      </c>
      <c r="F9" s="5" t="str">
        <f t="shared" si="1"/>
        <v>VYKDLEPFTYFFYLVFLVGIIGSCFATWAFIQK</v>
      </c>
      <c r="G9" s="4" t="str">
        <f t="shared" si="2"/>
        <v/>
      </c>
      <c r="H9" s="4" t="str">
        <f t="shared" si="3"/>
        <v>RCVSIYLINLLTADFLLTLALPVKIVVDLG</v>
      </c>
      <c r="I9" s="4" t="str">
        <f t="shared" si="4"/>
        <v/>
      </c>
      <c r="J9" s="4" t="str">
        <f t="shared" si="5"/>
        <v>WKLKIFHCQVTACLIYINMYLSIIFLAFVSIDRCLQLTH</v>
      </c>
      <c r="K9" s="4" t="str">
        <f t="shared" si="6"/>
        <v>SCKIYRIQ</v>
      </c>
      <c r="L9" s="4" t="str">
        <f t="shared" si="7"/>
        <v>EPGFAKMISTVVWLMVLLIMVPNMMIP</v>
      </c>
      <c r="M9" s="4" t="str">
        <f t="shared" si="8"/>
        <v>CME</v>
      </c>
      <c r="N9" s="4" t="str">
        <f t="shared" si="9"/>
        <v>EFGRNWHLLTNFICVAIFLNFSAIILISNCLVIRQLYR</v>
      </c>
      <c r="O9" s="4" t="str">
        <f t="shared" si="10"/>
        <v>NYPNVKKALINILLVTTGYIICFVPYHIVRIPYTLSQTE</v>
      </c>
      <c r="P9" s="4" t="str">
        <f t="shared" si="11"/>
        <v>DCSTRISLFKAKEATLLLAVSNLCFDPILYYHL</v>
      </c>
      <c r="Q9" s="4" t="str">
        <f t="shared" si="12"/>
        <v>SKAFRSKVTET</v>
      </c>
      <c r="R9" s="5">
        <f>VLOOKUP($A9,'SegEnds_NonXtal_Prot#'!$A:$AL,3,FALSE)</f>
        <v>10</v>
      </c>
      <c r="S9" s="5" t="str">
        <f>VLOOKUP($A9,'SegEnds_NonXtal_Prot#'!$A:$AL,6,FALSE)</f>
        <v>-</v>
      </c>
      <c r="T9" s="5">
        <f>VLOOKUP($A9,'SegEnds_NonXtal_Prot#'!$A:$AL,9,FALSE)</f>
        <v>47</v>
      </c>
      <c r="U9" s="5" t="str">
        <f>VLOOKUP($A9,'SegEnds_NonXtal_Prot#'!$A:$AL,12,FALSE)</f>
        <v>-</v>
      </c>
      <c r="V9" s="5">
        <f>VLOOKUP($A9,'SegEnds_NonXtal_Prot#'!$A:$AL,15,FALSE)</f>
        <v>80</v>
      </c>
      <c r="W9" s="5">
        <f>VLOOKUP($A9,'SegEnds_NonXtal_Prot#'!$A:$AL,18,FALSE)</f>
        <v>119</v>
      </c>
      <c r="X9" s="5">
        <f>VLOOKUP($A9,'SegEnds_NonXtal_Prot#'!$A:$AL,21,FALSE)</f>
        <v>127</v>
      </c>
      <c r="Y9" s="5">
        <f>VLOOKUP($A9,'SegEnds_NonXtal_Prot#'!$A:$AL,24,FALSE)</f>
        <v>165</v>
      </c>
      <c r="Z9" s="5">
        <f>VLOOKUP($A9,'SegEnds_NonXtal_Prot#'!$A:$AL,27,FALSE)</f>
        <v>171</v>
      </c>
      <c r="AA9" s="5">
        <f>VLOOKUP($A9,'SegEnds_NonXtal_Prot#'!$A:$AL,30,FALSE)</f>
        <v>214</v>
      </c>
      <c r="AB9" s="5">
        <f>VLOOKUP($A9,'SegEnds_NonXtal_Prot#'!$A:$AL,33,FALSE)</f>
        <v>256</v>
      </c>
      <c r="AC9" s="5">
        <f>VLOOKUP($A9,'SegEnds_NonXtal_Prot#'!$A:$AL,36,FALSE)</f>
        <v>289</v>
      </c>
      <c r="AD9" s="5">
        <f>VLOOKUP($A9,'SegEnds_NonXtal_Prot#'!$A:$AL,5,FALSE)</f>
        <v>42</v>
      </c>
      <c r="AE9" s="5" t="str">
        <f>VLOOKUP($A9,'SegEnds_NonXtal_Prot#'!$A:$AL,8,FALSE)</f>
        <v>-</v>
      </c>
      <c r="AF9" s="5">
        <f>VLOOKUP($A9,'SegEnds_NonXtal_Prot#'!$A:$AL,11,FALSE)</f>
        <v>76</v>
      </c>
      <c r="AG9" s="5" t="str">
        <f>VLOOKUP($A9,'SegEnds_NonXtal_Prot#'!$A:$AL,14,FALSE)</f>
        <v>-</v>
      </c>
      <c r="AH9" s="5">
        <f>VLOOKUP($A9,'SegEnds_NonXtal_Prot#'!$A:$AL,17,FALSE)</f>
        <v>118</v>
      </c>
      <c r="AI9" s="5">
        <f>VLOOKUP($A9,'SegEnds_NonXtal_Prot#'!$A:$AL,20,FALSE)</f>
        <v>126</v>
      </c>
      <c r="AJ9" s="5">
        <f>VLOOKUP($A9,'SegEnds_NonXtal_Prot#'!$A:$AL,23,FALSE)</f>
        <v>153</v>
      </c>
      <c r="AK9" s="5">
        <f>VLOOKUP($A9,'SegEnds_NonXtal_Prot#'!$A:$AL,26,FALSE)</f>
        <v>167</v>
      </c>
      <c r="AL9" s="5">
        <f>VLOOKUP($A9,'SegEnds_NonXtal_Prot#'!$A:$AL,29,FALSE)</f>
        <v>208</v>
      </c>
      <c r="AM9" s="5">
        <f>VLOOKUP($A9,'SegEnds_NonXtal_Prot#'!$A:$AL,32,FALSE)</f>
        <v>252</v>
      </c>
      <c r="AN9" s="5">
        <f>VLOOKUP($A9,'SegEnds_NonXtal_Prot#'!$A:$AL,35,FALSE)</f>
        <v>288</v>
      </c>
      <c r="AO9" s="5">
        <f>VLOOKUP($A9,'SegEnds_NonXtal_Prot#'!$A:$AL,38,FALSE)</f>
        <v>299</v>
      </c>
      <c r="AP9" s="5">
        <f t="shared" si="13"/>
        <v>32</v>
      </c>
      <c r="AQ9" s="4" t="str">
        <f t="shared" si="14"/>
        <v>-</v>
      </c>
      <c r="AR9" s="4">
        <f t="shared" si="15"/>
        <v>29</v>
      </c>
      <c r="AS9" s="4" t="str">
        <f t="shared" si="16"/>
        <v>-</v>
      </c>
      <c r="AT9" s="4">
        <f t="shared" si="17"/>
        <v>38</v>
      </c>
      <c r="AU9" s="4">
        <f t="shared" si="18"/>
        <v>7</v>
      </c>
      <c r="AV9" s="4">
        <f t="shared" si="19"/>
        <v>26</v>
      </c>
      <c r="AW9" s="4">
        <f t="shared" si="20"/>
        <v>2</v>
      </c>
      <c r="AX9" s="4">
        <f t="shared" si="21"/>
        <v>37</v>
      </c>
      <c r="AY9" s="4">
        <f t="shared" si="22"/>
        <v>38</v>
      </c>
      <c r="AZ9" s="4">
        <f t="shared" si="23"/>
        <v>32</v>
      </c>
      <c r="BA9" s="4">
        <f t="shared" si="24"/>
        <v>10</v>
      </c>
    </row>
    <row r="10" spans="1:53" x14ac:dyDescent="0.2">
      <c r="A10" s="1" t="str">
        <f>'SegEnds_NonXtal_Prot#'!A124</f>
        <v>gp173_human</v>
      </c>
      <c r="B10" s="1" t="str">
        <f t="shared" si="0"/>
        <v>AYVKLVLLGLIMCVSLAGNAILSLLVLKEKAPYYFLLDLCLADGIRSAVCFPFVLASVRHSALSCKIVAFMAVLFCFHAAFMLFCISVTRYMAIAHTLWTCAAVICMAWTLSVAMAFPPVFDVVQMVPAISQNWTFHGPGATGQAAANWIAGFGRGPMPPTLLLLGMDEVKGEKQLGRMFYAITLLFLLLWSPYIVACYWRVFVPHRYLATAVWMSFAQAAVNPIVCFLLNKDLKKCLRTHA</v>
      </c>
      <c r="C10" s="29" t="str">
        <f>IF(ISERROR(MATCH(A10,'SegEnds_Xtal_Prot#'!B:B, 0)), "NoXtal", "Xtal")</f>
        <v>NoXtal</v>
      </c>
      <c r="D10" s="4" t="str">
        <f>VLOOKUP(A10,Classification!A:D,2,FALSE)</f>
        <v>A</v>
      </c>
      <c r="E10" s="5" t="str">
        <f>VLOOKUP(A10,Seqs!A:B,2,FALSE)</f>
        <v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v>
      </c>
      <c r="F10" s="5" t="str">
        <f t="shared" si="1"/>
        <v>AYVKLVLLGLIMCVSLAGNAILSLLVLKE</v>
      </c>
      <c r="G10" s="4" t="str">
        <f t="shared" si="2"/>
        <v>RALH</v>
      </c>
      <c r="H10" s="4" t="str">
        <f t="shared" si="3"/>
        <v>KAPYYFLLDLCLADGIRSAVCFPFVLASVRH</v>
      </c>
      <c r="I10" s="4" t="str">
        <f t="shared" si="4"/>
        <v>SWTF</v>
      </c>
      <c r="J10" s="4" t="str">
        <f t="shared" si="5"/>
        <v>SALSCKIVAFMAVLFCFHAAFMLFCISVTRYMAIAH</v>
      </c>
      <c r="K10" s="4" t="str">
        <f t="shared" si="6"/>
        <v>HRFYAKRM</v>
      </c>
      <c r="L10" s="4" t="str">
        <f t="shared" si="7"/>
        <v>TLWTCAAVICMAWTLSVAMAFPPVFDV</v>
      </c>
      <c r="M10" s="4" t="str">
        <f t="shared" si="8"/>
        <v>CIF</v>
      </c>
      <c r="N10" s="4" t="str">
        <f t="shared" si="9"/>
        <v>VQMVPAISQNWTFHGPGATGQAAANWIAGFGRGPMPPTLL</v>
      </c>
      <c r="O10" s="4" t="str">
        <f t="shared" si="10"/>
        <v>LLGMDEVKGEKQLGRMFYAITLLFLLLWSPYIVACYWRVFV</v>
      </c>
      <c r="P10" s="4" t="str">
        <f t="shared" si="11"/>
        <v>PHRYLATAVWMSFAQAAVNPIVCFLL</v>
      </c>
      <c r="Q10" s="4" t="str">
        <f t="shared" si="12"/>
        <v>NKDLKKCLRTHA</v>
      </c>
      <c r="R10" s="5">
        <f>VLOOKUP($A10,'SegEnds_NonXtal_Prot#'!$A:$AL,3,FALSE)</f>
        <v>22</v>
      </c>
      <c r="S10" s="5">
        <f>VLOOKUP($A10,'SegEnds_NonXtal_Prot#'!$A:$AL,6,FALSE)</f>
        <v>51</v>
      </c>
      <c r="T10" s="5">
        <f>VLOOKUP($A10,'SegEnds_NonXtal_Prot#'!$A:$AL,9,FALSE)</f>
        <v>55</v>
      </c>
      <c r="U10" s="5">
        <f>VLOOKUP($A10,'SegEnds_NonXtal_Prot#'!$A:$AL,12,FALSE)</f>
        <v>88</v>
      </c>
      <c r="V10" s="5">
        <f>VLOOKUP($A10,'SegEnds_NonXtal_Prot#'!$A:$AL,15,FALSE)</f>
        <v>92</v>
      </c>
      <c r="W10" s="5">
        <f>VLOOKUP($A10,'SegEnds_NonXtal_Prot#'!$A:$AL,18,FALSE)</f>
        <v>128</v>
      </c>
      <c r="X10" s="5">
        <f>VLOOKUP($A10,'SegEnds_NonXtal_Prot#'!$A:$AL,21,FALSE)</f>
        <v>136</v>
      </c>
      <c r="Y10" s="5">
        <f>VLOOKUP($A10,'SegEnds_NonXtal_Prot#'!$A:$AL,24,FALSE)</f>
        <v>174</v>
      </c>
      <c r="Z10" s="5">
        <f>VLOOKUP($A10,'SegEnds_NonXtal_Prot#'!$A:$AL,27,FALSE)</f>
        <v>220</v>
      </c>
      <c r="AA10" s="5">
        <f>VLOOKUP($A10,'SegEnds_NonXtal_Prot#'!$A:$AL,30,FALSE)</f>
        <v>272</v>
      </c>
      <c r="AB10" s="5">
        <f>VLOOKUP($A10,'SegEnds_NonXtal_Prot#'!$A:$AL,33,FALSE)</f>
        <v>318</v>
      </c>
      <c r="AC10" s="5">
        <f>VLOOKUP($A10,'SegEnds_NonXtal_Prot#'!$A:$AL,36,FALSE)</f>
        <v>344</v>
      </c>
      <c r="AD10" s="5">
        <f>VLOOKUP($A10,'SegEnds_NonXtal_Prot#'!$A:$AL,5,FALSE)</f>
        <v>50</v>
      </c>
      <c r="AE10" s="5">
        <f>VLOOKUP($A10,'SegEnds_NonXtal_Prot#'!$A:$AL,8,FALSE)</f>
        <v>54</v>
      </c>
      <c r="AF10" s="5">
        <f>VLOOKUP($A10,'SegEnds_NonXtal_Prot#'!$A:$AL,11,FALSE)</f>
        <v>85</v>
      </c>
      <c r="AG10" s="5">
        <f>VLOOKUP($A10,'SegEnds_NonXtal_Prot#'!$A:$AL,14,FALSE)</f>
        <v>91</v>
      </c>
      <c r="AH10" s="5">
        <f>VLOOKUP($A10,'SegEnds_NonXtal_Prot#'!$A:$AL,17,FALSE)</f>
        <v>127</v>
      </c>
      <c r="AI10" s="5">
        <f>VLOOKUP($A10,'SegEnds_NonXtal_Prot#'!$A:$AL,20,FALSE)</f>
        <v>135</v>
      </c>
      <c r="AJ10" s="5">
        <f>VLOOKUP($A10,'SegEnds_NonXtal_Prot#'!$A:$AL,23,FALSE)</f>
        <v>162</v>
      </c>
      <c r="AK10" s="5">
        <f>VLOOKUP($A10,'SegEnds_NonXtal_Prot#'!$A:$AL,26,FALSE)</f>
        <v>176</v>
      </c>
      <c r="AL10" s="5">
        <f>VLOOKUP($A10,'SegEnds_NonXtal_Prot#'!$A:$AL,29,FALSE)</f>
        <v>259</v>
      </c>
      <c r="AM10" s="5">
        <f>VLOOKUP($A10,'SegEnds_NonXtal_Prot#'!$A:$AL,32,FALSE)</f>
        <v>312</v>
      </c>
      <c r="AN10" s="5">
        <f>VLOOKUP($A10,'SegEnds_NonXtal_Prot#'!$A:$AL,35,FALSE)</f>
        <v>343</v>
      </c>
      <c r="AO10" s="5">
        <f>VLOOKUP($A10,'SegEnds_NonXtal_Prot#'!$A:$AL,38,FALSE)</f>
        <v>355</v>
      </c>
      <c r="AP10" s="5">
        <f t="shared" si="13"/>
        <v>28</v>
      </c>
      <c r="AQ10" s="4">
        <f t="shared" si="14"/>
        <v>3</v>
      </c>
      <c r="AR10" s="4">
        <f t="shared" si="15"/>
        <v>30</v>
      </c>
      <c r="AS10" s="4">
        <f t="shared" si="16"/>
        <v>3</v>
      </c>
      <c r="AT10" s="4">
        <f t="shared" si="17"/>
        <v>35</v>
      </c>
      <c r="AU10" s="4">
        <f t="shared" si="18"/>
        <v>7</v>
      </c>
      <c r="AV10" s="4">
        <f t="shared" si="19"/>
        <v>26</v>
      </c>
      <c r="AW10" s="4">
        <f t="shared" si="20"/>
        <v>2</v>
      </c>
      <c r="AX10" s="4">
        <f t="shared" si="21"/>
        <v>39</v>
      </c>
      <c r="AY10" s="4">
        <f t="shared" si="22"/>
        <v>40</v>
      </c>
      <c r="AZ10" s="4">
        <f t="shared" si="23"/>
        <v>25</v>
      </c>
      <c r="BA10" s="4">
        <f t="shared" si="24"/>
        <v>11</v>
      </c>
    </row>
    <row r="11" spans="1:53" x14ac:dyDescent="0.2">
      <c r="A11" s="1" t="str">
        <f>'SegEnds_NonXtal_Prot#'!A125</f>
        <v>gp182_human</v>
      </c>
      <c r="B11" s="1" t="str">
        <f t="shared" si="0"/>
        <v>VVLFALYLAMFVVGLVENLLVICVNWRGGLMNLYILNMAIADLGIVLSLPVWMLEVTLDGSFSCRFTHYFYFVNMYSSIFFLVCLSVDRYVTLTSQHRVRRAMCAGIWVLSAIIPLPEVVHITYSTWALAVALSTTILGFLLPFPLITVFNVLTACRLRQPSRRHCLLLCAYVAVFVMCWLPYHVTLLLLTLHGTHHCHLVHLLYFFYDVIDCFSMLHCVINPILYNFLSPHFRGRLLNAVVHY</v>
      </c>
      <c r="C11" s="29" t="str">
        <f>IF(ISERROR(MATCH(A11,'SegEnds_Xtal_Prot#'!B:B, 0)), "NoXtal", "Xtal")</f>
        <v>NoXtal</v>
      </c>
      <c r="D11" s="4" t="str">
        <f>VLOOKUP(A11,Classification!A:D,2,FALSE)</f>
        <v>A</v>
      </c>
      <c r="E11" s="5" t="str">
        <f>VLOOKUP(A11,Seqs!A:B,2,FALSE)</f>
        <v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v>
      </c>
      <c r="F11" s="5" t="str">
        <f t="shared" si="1"/>
        <v>VVLFALYLAMFVVGLVENLLVICVNWRG</v>
      </c>
      <c r="G11" s="4" t="str">
        <f t="shared" si="2"/>
        <v>SGRA</v>
      </c>
      <c r="H11" s="4" t="str">
        <f t="shared" si="3"/>
        <v>GLMNLYILNMAIADLGIVLSLPVWMLEVTLD</v>
      </c>
      <c r="I11" s="4" t="str">
        <f t="shared" si="4"/>
        <v>TWLW</v>
      </c>
      <c r="J11" s="4" t="str">
        <f t="shared" si="5"/>
        <v>GSFSCRFTHYFYFVNMYSSIFFLVCLSVDRYVTLTS</v>
      </c>
      <c r="K11" s="4" t="str">
        <f t="shared" si="6"/>
        <v>ASPSWQRY</v>
      </c>
      <c r="L11" s="4" t="str">
        <f t="shared" si="7"/>
        <v>QHRVRRAMCAGIWVLSAIIPLPEVVHI</v>
      </c>
      <c r="M11" s="4" t="str">
        <f t="shared" si="8"/>
        <v>CLF</v>
      </c>
      <c r="N11" s="4" t="str">
        <f t="shared" si="9"/>
        <v>TYSTWALAVALSTTILGFLLPFPLITVFNVLTACRLRQP</v>
      </c>
      <c r="O11" s="4" t="str">
        <f t="shared" si="10"/>
        <v>SRRHCLLLCAYVAVFVMCWLPYHVTLLLLTLHGTH</v>
      </c>
      <c r="P11" s="4" t="str">
        <f t="shared" si="11"/>
        <v>HCHLVHLLYFFYDVIDCFSMLHCVINPILYNFL</v>
      </c>
      <c r="Q11" s="4" t="str">
        <f t="shared" si="12"/>
        <v>SPHFRGRLLNAVVHY</v>
      </c>
      <c r="R11" s="5">
        <f>VLOOKUP($A11,'SegEnds_NonXtal_Prot#'!$A:$AL,3,FALSE)</f>
        <v>54</v>
      </c>
      <c r="S11" s="5">
        <f>VLOOKUP($A11,'SegEnds_NonXtal_Prot#'!$A:$AL,6,FALSE)</f>
        <v>82</v>
      </c>
      <c r="T11" s="5">
        <f>VLOOKUP($A11,'SegEnds_NonXtal_Prot#'!$A:$AL,9,FALSE)</f>
        <v>86</v>
      </c>
      <c r="U11" s="5">
        <f>VLOOKUP($A11,'SegEnds_NonXtal_Prot#'!$A:$AL,12,FALSE)</f>
        <v>118</v>
      </c>
      <c r="V11" s="5">
        <f>VLOOKUP($A11,'SegEnds_NonXtal_Prot#'!$A:$AL,15,FALSE)</f>
        <v>122</v>
      </c>
      <c r="W11" s="5">
        <f>VLOOKUP($A11,'SegEnds_NonXtal_Prot#'!$A:$AL,18,FALSE)</f>
        <v>158</v>
      </c>
      <c r="X11" s="5">
        <f>VLOOKUP($A11,'SegEnds_NonXtal_Prot#'!$A:$AL,21,FALSE)</f>
        <v>166</v>
      </c>
      <c r="Y11" s="5">
        <f>VLOOKUP($A11,'SegEnds_NonXtal_Prot#'!$A:$AL,24,FALSE)</f>
        <v>202</v>
      </c>
      <c r="Z11" s="5">
        <f>VLOOKUP($A11,'SegEnds_NonXtal_Prot#'!$A:$AL,27,FALSE)</f>
        <v>210</v>
      </c>
      <c r="AA11" s="5">
        <f>VLOOKUP($A11,'SegEnds_NonXtal_Prot#'!$A:$AL,30,FALSE)</f>
        <v>253</v>
      </c>
      <c r="AB11" s="5">
        <f>VLOOKUP($A11,'SegEnds_NonXtal_Prot#'!$A:$AL,33,FALSE)</f>
        <v>291</v>
      </c>
      <c r="AC11" s="5">
        <f>VLOOKUP($A11,'SegEnds_NonXtal_Prot#'!$A:$AL,36,FALSE)</f>
        <v>324</v>
      </c>
      <c r="AD11" s="5">
        <f>VLOOKUP($A11,'SegEnds_NonXtal_Prot#'!$A:$AL,5,FALSE)</f>
        <v>81</v>
      </c>
      <c r="AE11" s="5">
        <f>VLOOKUP($A11,'SegEnds_NonXtal_Prot#'!$A:$AL,8,FALSE)</f>
        <v>85</v>
      </c>
      <c r="AF11" s="5">
        <f>VLOOKUP($A11,'SegEnds_NonXtal_Prot#'!$A:$AL,11,FALSE)</f>
        <v>116</v>
      </c>
      <c r="AG11" s="5">
        <f>VLOOKUP($A11,'SegEnds_NonXtal_Prot#'!$A:$AL,14,FALSE)</f>
        <v>121</v>
      </c>
      <c r="AH11" s="5">
        <f>VLOOKUP($A11,'SegEnds_NonXtal_Prot#'!$A:$AL,17,FALSE)</f>
        <v>157</v>
      </c>
      <c r="AI11" s="5">
        <f>VLOOKUP($A11,'SegEnds_NonXtal_Prot#'!$A:$AL,20,FALSE)</f>
        <v>165</v>
      </c>
      <c r="AJ11" s="5">
        <f>VLOOKUP($A11,'SegEnds_NonXtal_Prot#'!$A:$AL,23,FALSE)</f>
        <v>192</v>
      </c>
      <c r="AK11" s="5">
        <f>VLOOKUP($A11,'SegEnds_NonXtal_Prot#'!$A:$AL,26,FALSE)</f>
        <v>204</v>
      </c>
      <c r="AL11" s="5">
        <f>VLOOKUP($A11,'SegEnds_NonXtal_Prot#'!$A:$AL,29,FALSE)</f>
        <v>248</v>
      </c>
      <c r="AM11" s="5">
        <f>VLOOKUP($A11,'SegEnds_NonXtal_Prot#'!$A:$AL,32,FALSE)</f>
        <v>287</v>
      </c>
      <c r="AN11" s="5">
        <f>VLOOKUP($A11,'SegEnds_NonXtal_Prot#'!$A:$AL,35,FALSE)</f>
        <v>323</v>
      </c>
      <c r="AO11" s="5">
        <f>VLOOKUP($A11,'SegEnds_NonXtal_Prot#'!$A:$AL,38,FALSE)</f>
        <v>338</v>
      </c>
      <c r="AP11" s="5">
        <f t="shared" si="13"/>
        <v>27</v>
      </c>
      <c r="AQ11" s="4">
        <f t="shared" si="14"/>
        <v>3</v>
      </c>
      <c r="AR11" s="4">
        <f t="shared" si="15"/>
        <v>30</v>
      </c>
      <c r="AS11" s="4">
        <f t="shared" si="16"/>
        <v>3</v>
      </c>
      <c r="AT11" s="4">
        <f t="shared" si="17"/>
        <v>35</v>
      </c>
      <c r="AU11" s="4">
        <f t="shared" si="18"/>
        <v>7</v>
      </c>
      <c r="AV11" s="4">
        <f t="shared" si="19"/>
        <v>26</v>
      </c>
      <c r="AW11" s="4">
        <f t="shared" si="20"/>
        <v>2</v>
      </c>
      <c r="AX11" s="4">
        <f t="shared" si="21"/>
        <v>38</v>
      </c>
      <c r="AY11" s="4">
        <f t="shared" si="22"/>
        <v>34</v>
      </c>
      <c r="AZ11" s="4">
        <f t="shared" si="23"/>
        <v>32</v>
      </c>
      <c r="BA11" s="4">
        <f t="shared" si="24"/>
        <v>14</v>
      </c>
    </row>
    <row r="12" spans="1:53" x14ac:dyDescent="0.2">
      <c r="A12" s="1" t="str">
        <f>'SegEnds_NonXtal_Prot#'!A148</f>
        <v>gpr55_human</v>
      </c>
      <c r="B12" s="1" t="str">
        <f t="shared" si="0"/>
        <v>LMKTLQFAVHIPTFVLGLLLNLLAIHGFSTFAATSIYMINLAVFDLLLVLSLPFKMVLSQVLCTLVECLYFVSMYGSVFTICFISMDRFLAIRYSPRKIFGICCTIWVLVWTGSIPIYSFHSDDTWSAKVFFPLEVFGFLLPMGIMGFCCSRSIHILLGRTQDWVQQKACIYSIAASLAVFVVSFLPVHLGFFLQFLVRNSECRAKQSISFFLQLSMCFSNVNCCLDVFCYYFVIKEFRMNIRAHRP</v>
      </c>
      <c r="C12" s="29" t="str">
        <f>IF(ISERROR(MATCH(A12,'SegEnds_Xtal_Prot#'!B:B, 0)), "NoXtal", "Xtal")</f>
        <v>NoXtal</v>
      </c>
      <c r="D12" s="4" t="str">
        <f>VLOOKUP(A12,Classification!A:D,2,FALSE)</f>
        <v>A</v>
      </c>
      <c r="E12" s="5" t="str">
        <f>VLOOKUP(A12,Seqs!A:B,2,FALSE)</f>
        <v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v>
      </c>
      <c r="F12" s="5" t="str">
        <f t="shared" si="1"/>
        <v>LMKTLQFAVHIPTFVLGLLLNLLAIHGFSTF</v>
      </c>
      <c r="G12" s="4" t="str">
        <f t="shared" si="2"/>
        <v/>
      </c>
      <c r="H12" s="4" t="str">
        <f t="shared" si="3"/>
        <v>AATSIYMINLAVFDLLLVLSLPFKMVLSQV</v>
      </c>
      <c r="I12" s="4" t="str">
        <f t="shared" si="4"/>
        <v/>
      </c>
      <c r="J12" s="4" t="str">
        <f t="shared" si="5"/>
        <v>LCTLVECLYFVSMYGSVFTICFISMDRFLAIRY</v>
      </c>
      <c r="K12" s="4" t="str">
        <f t="shared" si="6"/>
        <v>PLLVSHLR</v>
      </c>
      <c r="L12" s="4" t="str">
        <f t="shared" si="7"/>
        <v>SPRKIFGICCTIWVLVWTGSIPIYSFH</v>
      </c>
      <c r="M12" s="4" t="str">
        <f t="shared" si="8"/>
        <v>CFH</v>
      </c>
      <c r="N12" s="4" t="str">
        <f t="shared" si="9"/>
        <v>SDDTWSAKVFFPLEVFGFLLPMGIMGFCCSRSIHILLGR</v>
      </c>
      <c r="O12" s="4" t="str">
        <f t="shared" si="10"/>
        <v>TQDWVQQKACIYSIAASLAVFVVSFLPVHLGFFLQFLVRNS</v>
      </c>
      <c r="P12" s="4" t="str">
        <f t="shared" si="11"/>
        <v>ECRAKQSISFFLQLSMCFSNVNCCLDVFCYYFV</v>
      </c>
      <c r="Q12" s="4" t="str">
        <f t="shared" si="12"/>
        <v>IKEFRMNIRAHRP</v>
      </c>
      <c r="R12" s="5">
        <f>VLOOKUP($A12,'SegEnds_NonXtal_Prot#'!$A:$AL,3,FALSE)</f>
        <v>18</v>
      </c>
      <c r="S12" s="5" t="str">
        <f>VLOOKUP($A12,'SegEnds_NonXtal_Prot#'!$A:$AL,6,FALSE)</f>
        <v>-</v>
      </c>
      <c r="T12" s="5">
        <f>VLOOKUP($A12,'SegEnds_NonXtal_Prot#'!$A:$AL,9,FALSE)</f>
        <v>57</v>
      </c>
      <c r="U12" s="5" t="str">
        <f>VLOOKUP($A12,'SegEnds_NonXtal_Prot#'!$A:$AL,12,FALSE)</f>
        <v>-</v>
      </c>
      <c r="V12" s="5">
        <f>VLOOKUP($A12,'SegEnds_NonXtal_Prot#'!$A:$AL,15,FALSE)</f>
        <v>93</v>
      </c>
      <c r="W12" s="5">
        <f>VLOOKUP($A12,'SegEnds_NonXtal_Prot#'!$A:$AL,18,FALSE)</f>
        <v>126</v>
      </c>
      <c r="X12" s="5">
        <f>VLOOKUP($A12,'SegEnds_NonXtal_Prot#'!$A:$AL,21,FALSE)</f>
        <v>134</v>
      </c>
      <c r="Y12" s="5">
        <f>VLOOKUP($A12,'SegEnds_NonXtal_Prot#'!$A:$AL,24,FALSE)</f>
        <v>168</v>
      </c>
      <c r="Z12" s="5">
        <f>VLOOKUP($A12,'SegEnds_NonXtal_Prot#'!$A:$AL,27,FALSE)</f>
        <v>173</v>
      </c>
      <c r="AA12" s="5">
        <f>VLOOKUP($A12,'SegEnds_NonXtal_Prot#'!$A:$AL,30,FALSE)</f>
        <v>215</v>
      </c>
      <c r="AB12" s="5">
        <f>VLOOKUP($A12,'SegEnds_NonXtal_Prot#'!$A:$AL,33,FALSE)</f>
        <v>259</v>
      </c>
      <c r="AC12" s="5">
        <f>VLOOKUP($A12,'SegEnds_NonXtal_Prot#'!$A:$AL,36,FALSE)</f>
        <v>292</v>
      </c>
      <c r="AD12" s="5">
        <f>VLOOKUP($A12,'SegEnds_NonXtal_Prot#'!$A:$AL,5,FALSE)</f>
        <v>48</v>
      </c>
      <c r="AE12" s="5" t="str">
        <f>VLOOKUP($A12,'SegEnds_NonXtal_Prot#'!$A:$AL,8,FALSE)</f>
        <v>-</v>
      </c>
      <c r="AF12" s="5">
        <f>VLOOKUP($A12,'SegEnds_NonXtal_Prot#'!$A:$AL,11,FALSE)</f>
        <v>86</v>
      </c>
      <c r="AG12" s="5" t="str">
        <f>VLOOKUP($A12,'SegEnds_NonXtal_Prot#'!$A:$AL,14,FALSE)</f>
        <v>-</v>
      </c>
      <c r="AH12" s="5">
        <f>VLOOKUP($A12,'SegEnds_NonXtal_Prot#'!$A:$AL,17,FALSE)</f>
        <v>125</v>
      </c>
      <c r="AI12" s="5">
        <f>VLOOKUP($A12,'SegEnds_NonXtal_Prot#'!$A:$AL,20,FALSE)</f>
        <v>133</v>
      </c>
      <c r="AJ12" s="5">
        <f>VLOOKUP($A12,'SegEnds_NonXtal_Prot#'!$A:$AL,23,FALSE)</f>
        <v>160</v>
      </c>
      <c r="AK12" s="5">
        <f>VLOOKUP($A12,'SegEnds_NonXtal_Prot#'!$A:$AL,26,FALSE)</f>
        <v>170</v>
      </c>
      <c r="AL12" s="5">
        <f>VLOOKUP($A12,'SegEnds_NonXtal_Prot#'!$A:$AL,29,FALSE)</f>
        <v>211</v>
      </c>
      <c r="AM12" s="5">
        <f>VLOOKUP($A12,'SegEnds_NonXtal_Prot#'!$A:$AL,32,FALSE)</f>
        <v>255</v>
      </c>
      <c r="AN12" s="5">
        <f>VLOOKUP($A12,'SegEnds_NonXtal_Prot#'!$A:$AL,35,FALSE)</f>
        <v>291</v>
      </c>
      <c r="AO12" s="5">
        <f>VLOOKUP($A12,'SegEnds_NonXtal_Prot#'!$A:$AL,38,FALSE)</f>
        <v>304</v>
      </c>
      <c r="AP12" s="5">
        <f t="shared" si="13"/>
        <v>30</v>
      </c>
      <c r="AQ12" s="4" t="str">
        <f t="shared" si="14"/>
        <v>-</v>
      </c>
      <c r="AR12" s="4">
        <f t="shared" si="15"/>
        <v>29</v>
      </c>
      <c r="AS12" s="4" t="str">
        <f t="shared" si="16"/>
        <v>-</v>
      </c>
      <c r="AT12" s="4">
        <f t="shared" si="17"/>
        <v>32</v>
      </c>
      <c r="AU12" s="4">
        <f t="shared" si="18"/>
        <v>7</v>
      </c>
      <c r="AV12" s="4">
        <f t="shared" si="19"/>
        <v>26</v>
      </c>
      <c r="AW12" s="4">
        <f t="shared" si="20"/>
        <v>2</v>
      </c>
      <c r="AX12" s="4">
        <f t="shared" si="21"/>
        <v>38</v>
      </c>
      <c r="AY12" s="4">
        <f t="shared" si="22"/>
        <v>40</v>
      </c>
      <c r="AZ12" s="4">
        <f t="shared" si="23"/>
        <v>32</v>
      </c>
      <c r="BA12" s="4">
        <f t="shared" si="24"/>
        <v>12</v>
      </c>
    </row>
    <row r="13" spans="1:53" x14ac:dyDescent="0.2">
      <c r="A13" s="1" t="str">
        <f>'SegEnds_NonXtal_Prot#'!A159</f>
        <v>hcar2_human</v>
      </c>
      <c r="B13" s="1" t="str">
        <f t="shared" si="0"/>
        <v>FIVKVLPPVLGLEFIFGLLGNGLALWIFCFHKSSRIFLFNLAVADFLLIICLPFLMDNYVRRGDIPCRLMLFMLAMNRQGSIIFLTVVAVDRYFRVVHSNRTAAIISCLLWGITIGLTVHLLKKKFSICHTFQWHEAMFLLEFFLPLGIILFCSARIIWSLRQRHAKIKRAITFIMVVAIVFVICFLPSVVVRIRIFWLLHTNCEVYRSVDLAFFITLSFTYMNSMLDPVVYYFSSPSFPNFFSTLIN</v>
      </c>
      <c r="C13" s="29" t="str">
        <f>IF(ISERROR(MATCH(A13,'SegEnds_Xtal_Prot#'!B:B, 0)), "NoXtal", "Xtal")</f>
        <v>NoXtal</v>
      </c>
      <c r="D13" s="4" t="str">
        <f>VLOOKUP(A13,Classification!A:D,2,FALSE)</f>
        <v>A</v>
      </c>
      <c r="E13" s="5" t="str">
        <f>VLOOKUP(A13,Seqs!A:B,2,FALSE)</f>
        <v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v>
      </c>
      <c r="F13" s="5" t="str">
        <f t="shared" si="1"/>
        <v>FIVKVLPPVLGLEFIFGLLGNGLALWIFCFH</v>
      </c>
      <c r="G13" s="4" t="str">
        <f t="shared" si="2"/>
        <v/>
      </c>
      <c r="H13" s="4" t="str">
        <f t="shared" si="3"/>
        <v>KSSRIFLFNLAVADFLLIICLPFLMDNYVRR</v>
      </c>
      <c r="I13" s="4" t="str">
        <f t="shared" si="4"/>
        <v>DWKF</v>
      </c>
      <c r="J13" s="4" t="str">
        <f t="shared" si="5"/>
        <v>GDIPCRLMLFMLAMNRQGSIIFLTVVAVDRYFRVVH</v>
      </c>
      <c r="K13" s="4" t="str">
        <f t="shared" si="6"/>
        <v>PHHALNKI</v>
      </c>
      <c r="L13" s="4" t="str">
        <f t="shared" si="7"/>
        <v>SNRTAAIISCLLWGITIGLTVHLLKKK</v>
      </c>
      <c r="M13" s="4" t="str">
        <f t="shared" si="8"/>
        <v>CSS</v>
      </c>
      <c r="N13" s="4" t="str">
        <f t="shared" si="9"/>
        <v>FSICHTFQWHEAMFLLEFFLPLGIILFCSARIIWSLRQ</v>
      </c>
      <c r="O13" s="4" t="str">
        <f t="shared" si="10"/>
        <v>RHAKIKRAITFIMVVAIVFVICFLPSVVVRIRIFWLLHT</v>
      </c>
      <c r="P13" s="4" t="str">
        <f t="shared" si="11"/>
        <v>NCEVYRSVDLAFFITLSFTYMNSMLDPVVYYFS</v>
      </c>
      <c r="Q13" s="4" t="str">
        <f t="shared" si="12"/>
        <v>SPSFPNFFSTLIN</v>
      </c>
      <c r="R13" s="5">
        <f>VLOOKUP($A13,'SegEnds_NonXtal_Prot#'!$A:$AL,3,FALSE)</f>
        <v>25</v>
      </c>
      <c r="S13" s="5" t="str">
        <f>VLOOKUP($A13,'SegEnds_NonXtal_Prot#'!$A:$AL,6,FALSE)</f>
        <v>-</v>
      </c>
      <c r="T13" s="5">
        <f>VLOOKUP($A13,'SegEnds_NonXtal_Prot#'!$A:$AL,9,FALSE)</f>
        <v>60</v>
      </c>
      <c r="U13" s="5">
        <f>VLOOKUP($A13,'SegEnds_NonXtal_Prot#'!$A:$AL,12,FALSE)</f>
        <v>92</v>
      </c>
      <c r="V13" s="5">
        <f>VLOOKUP($A13,'SegEnds_NonXtal_Prot#'!$A:$AL,15,FALSE)</f>
        <v>96</v>
      </c>
      <c r="W13" s="5">
        <f>VLOOKUP($A13,'SegEnds_NonXtal_Prot#'!$A:$AL,18,FALSE)</f>
        <v>132</v>
      </c>
      <c r="X13" s="5">
        <f>VLOOKUP($A13,'SegEnds_NonXtal_Prot#'!$A:$AL,21,FALSE)</f>
        <v>140</v>
      </c>
      <c r="Y13" s="5">
        <f>VLOOKUP($A13,'SegEnds_NonXtal_Prot#'!$A:$AL,24,FALSE)</f>
        <v>177</v>
      </c>
      <c r="Z13" s="5">
        <f>VLOOKUP($A13,'SegEnds_NonXtal_Prot#'!$A:$AL,27,FALSE)</f>
        <v>180</v>
      </c>
      <c r="AA13" s="5">
        <f>VLOOKUP($A13,'SegEnds_NonXtal_Prot#'!$A:$AL,30,FALSE)</f>
        <v>222</v>
      </c>
      <c r="AB13" s="5">
        <f>VLOOKUP($A13,'SegEnds_NonXtal_Prot#'!$A:$AL,33,FALSE)</f>
        <v>265</v>
      </c>
      <c r="AC13" s="5">
        <f>VLOOKUP($A13,'SegEnds_NonXtal_Prot#'!$A:$AL,36,FALSE)</f>
        <v>298</v>
      </c>
      <c r="AD13" s="5">
        <f>VLOOKUP($A13,'SegEnds_NonXtal_Prot#'!$A:$AL,5,FALSE)</f>
        <v>55</v>
      </c>
      <c r="AE13" s="5" t="str">
        <f>VLOOKUP($A13,'SegEnds_NonXtal_Prot#'!$A:$AL,8,FALSE)</f>
        <v>-</v>
      </c>
      <c r="AF13" s="5">
        <f>VLOOKUP($A13,'SegEnds_NonXtal_Prot#'!$A:$AL,11,FALSE)</f>
        <v>90</v>
      </c>
      <c r="AG13" s="5">
        <f>VLOOKUP($A13,'SegEnds_NonXtal_Prot#'!$A:$AL,14,FALSE)</f>
        <v>95</v>
      </c>
      <c r="AH13" s="5">
        <f>VLOOKUP($A13,'SegEnds_NonXtal_Prot#'!$A:$AL,17,FALSE)</f>
        <v>131</v>
      </c>
      <c r="AI13" s="5">
        <f>VLOOKUP($A13,'SegEnds_NonXtal_Prot#'!$A:$AL,20,FALSE)</f>
        <v>139</v>
      </c>
      <c r="AJ13" s="5">
        <f>VLOOKUP($A13,'SegEnds_NonXtal_Prot#'!$A:$AL,23,FALSE)</f>
        <v>166</v>
      </c>
      <c r="AK13" s="5">
        <f>VLOOKUP($A13,'SegEnds_NonXtal_Prot#'!$A:$AL,26,FALSE)</f>
        <v>179</v>
      </c>
      <c r="AL13" s="5">
        <f>VLOOKUP($A13,'SegEnds_NonXtal_Prot#'!$A:$AL,29,FALSE)</f>
        <v>217</v>
      </c>
      <c r="AM13" s="5">
        <f>VLOOKUP($A13,'SegEnds_NonXtal_Prot#'!$A:$AL,32,FALSE)</f>
        <v>260</v>
      </c>
      <c r="AN13" s="5">
        <f>VLOOKUP($A13,'SegEnds_NonXtal_Prot#'!$A:$AL,35,FALSE)</f>
        <v>297</v>
      </c>
      <c r="AO13" s="5">
        <f>VLOOKUP($A13,'SegEnds_NonXtal_Prot#'!$A:$AL,38,FALSE)</f>
        <v>310</v>
      </c>
      <c r="AP13" s="5">
        <f t="shared" si="13"/>
        <v>30</v>
      </c>
      <c r="AQ13" s="4" t="str">
        <f t="shared" si="14"/>
        <v>-</v>
      </c>
      <c r="AR13" s="4">
        <f t="shared" si="15"/>
        <v>30</v>
      </c>
      <c r="AS13" s="4">
        <f t="shared" si="16"/>
        <v>3</v>
      </c>
      <c r="AT13" s="4">
        <f t="shared" si="17"/>
        <v>35</v>
      </c>
      <c r="AU13" s="4">
        <f t="shared" si="18"/>
        <v>7</v>
      </c>
      <c r="AV13" s="4">
        <f t="shared" si="19"/>
        <v>26</v>
      </c>
      <c r="AW13" s="4">
        <f t="shared" si="20"/>
        <v>2</v>
      </c>
      <c r="AX13" s="4">
        <f t="shared" si="21"/>
        <v>37</v>
      </c>
      <c r="AY13" s="4">
        <f t="shared" si="22"/>
        <v>38</v>
      </c>
      <c r="AZ13" s="4">
        <f t="shared" si="23"/>
        <v>32</v>
      </c>
      <c r="BA13" s="4">
        <f t="shared" si="24"/>
        <v>12</v>
      </c>
    </row>
    <row r="14" spans="1:53" x14ac:dyDescent="0.2">
      <c r="A14" s="1" t="str">
        <f>'SegEnds_NonXtal_Prot#'!A172</f>
        <v>lt4r2_human</v>
      </c>
      <c r="B14" s="1" t="str">
        <f t="shared" si="0"/>
        <v>RATGTAFLLLAALLGLPGNGFVVWSLAGWGRPLAATLVLHLALADGAVLLLTPLFVAFLTRGQAGCKAVYYVCALSMYASVLLTGLLSLQRCLAVTRSPALARRLLLAVWLAALLLAVPAAVYRAAAHLSLETLTAFVLPFGLMLGCYSVTLARLRGSGRHGARVGRLVSAIVLAFGLLWAPYHAVNLLQAVAALALAKLGGAGQAARAGTTALAFFSSSVNPVLYVFTAGDLLPRAGPRFLTRLFE</v>
      </c>
      <c r="C14" s="29" t="str">
        <f>IF(ISERROR(MATCH(A14,'SegEnds_Xtal_Prot#'!B:B, 0)), "NoXtal", "Xtal")</f>
        <v>NoXtal</v>
      </c>
      <c r="D14" s="4" t="str">
        <f>VLOOKUP(A14,Classification!A:D,2,FALSE)</f>
        <v>A</v>
      </c>
      <c r="E14" s="5" t="str">
        <f>VLOOKUP(A14,Seqs!A:B,2,FALSE)</f>
        <v>MAPSHRASQVGFCPTPERPLWRLPPTCRPRR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</v>
      </c>
      <c r="F14" s="5" t="str">
        <f t="shared" si="1"/>
        <v>RATGTAFLLLAALLGLPGNGFVVWSLAGW</v>
      </c>
      <c r="G14" s="4" t="str">
        <f t="shared" si="2"/>
        <v>RPAR</v>
      </c>
      <c r="H14" s="4" t="str">
        <f t="shared" si="3"/>
        <v>GRPLAATLVLHLALADGAVLLLTPLFVAFLTR</v>
      </c>
      <c r="I14" s="4" t="str">
        <f t="shared" si="4"/>
        <v>AWPL</v>
      </c>
      <c r="J14" s="4" t="str">
        <f t="shared" si="5"/>
        <v>GQAGCKAVYYVCALSMYASVLLTGLLSLQRCLAVTR</v>
      </c>
      <c r="K14" s="4" t="str">
        <f t="shared" si="6"/>
        <v>PFLAPRLR</v>
      </c>
      <c r="L14" s="4" t="str">
        <f t="shared" si="7"/>
        <v>SPALARRLLLAVWLAALLLAVPAAVYR</v>
      </c>
      <c r="M14" s="4" t="str">
        <f t="shared" si="8"/>
        <v>CHP</v>
      </c>
      <c r="N14" s="4" t="str">
        <f t="shared" si="9"/>
        <v>AAAHLSLETLTAFVLPFGLMLGCYSVTLARLRG</v>
      </c>
      <c r="O14" s="4" t="str">
        <f t="shared" si="10"/>
        <v>SGRHGARVGRLVSAIVLAFGLLWAPYHAVNLLQAVAALA</v>
      </c>
      <c r="P14" s="4" t="str">
        <f t="shared" si="11"/>
        <v>LAKLGGAGQAARAGTTALAFFSSSVNPVLYVFT</v>
      </c>
      <c r="Q14" s="4" t="str">
        <f t="shared" si="12"/>
        <v>AGDLLPRAGPRFLTRLFE</v>
      </c>
      <c r="R14" s="5">
        <f>VLOOKUP($A14,'SegEnds_NonXtal_Prot#'!$A:$AL,3,FALSE)</f>
        <v>51</v>
      </c>
      <c r="S14" s="5">
        <f>VLOOKUP($A14,'SegEnds_NonXtal_Prot#'!$A:$AL,6,FALSE)</f>
        <v>80</v>
      </c>
      <c r="T14" s="5">
        <f>VLOOKUP($A14,'SegEnds_NonXtal_Prot#'!$A:$AL,9,FALSE)</f>
        <v>84</v>
      </c>
      <c r="U14" s="5">
        <f>VLOOKUP($A14,'SegEnds_NonXtal_Prot#'!$A:$AL,12,FALSE)</f>
        <v>117</v>
      </c>
      <c r="V14" s="5">
        <f>VLOOKUP($A14,'SegEnds_NonXtal_Prot#'!$A:$AL,15,FALSE)</f>
        <v>121</v>
      </c>
      <c r="W14" s="5">
        <f>VLOOKUP($A14,'SegEnds_NonXtal_Prot#'!$A:$AL,18,FALSE)</f>
        <v>157</v>
      </c>
      <c r="X14" s="5">
        <f>VLOOKUP($A14,'SegEnds_NonXtal_Prot#'!$A:$AL,21,FALSE)</f>
        <v>165</v>
      </c>
      <c r="Y14" s="5">
        <f>VLOOKUP($A14,'SegEnds_NonXtal_Prot#'!$A:$AL,24,FALSE)</f>
        <v>202</v>
      </c>
      <c r="Z14" s="5">
        <f>VLOOKUP($A14,'SegEnds_NonXtal_Prot#'!$A:$AL,27,FALSE)</f>
        <v>209</v>
      </c>
      <c r="AA14" s="5">
        <f>VLOOKUP($A14,'SegEnds_NonXtal_Prot#'!$A:$AL,30,FALSE)</f>
        <v>246</v>
      </c>
      <c r="AB14" s="5">
        <f>VLOOKUP($A14,'SegEnds_NonXtal_Prot#'!$A:$AL,33,FALSE)</f>
        <v>290</v>
      </c>
      <c r="AC14" s="5">
        <f>VLOOKUP($A14,'SegEnds_NonXtal_Prot#'!$A:$AL,36,FALSE)</f>
        <v>323</v>
      </c>
      <c r="AD14" s="5">
        <f>VLOOKUP($A14,'SegEnds_NonXtal_Prot#'!$A:$AL,5,FALSE)</f>
        <v>79</v>
      </c>
      <c r="AE14" s="5">
        <f>VLOOKUP($A14,'SegEnds_NonXtal_Prot#'!$A:$AL,8,FALSE)</f>
        <v>83</v>
      </c>
      <c r="AF14" s="5">
        <f>VLOOKUP($A14,'SegEnds_NonXtal_Prot#'!$A:$AL,11,FALSE)</f>
        <v>115</v>
      </c>
      <c r="AG14" s="5">
        <f>VLOOKUP($A14,'SegEnds_NonXtal_Prot#'!$A:$AL,14,FALSE)</f>
        <v>120</v>
      </c>
      <c r="AH14" s="5">
        <f>VLOOKUP($A14,'SegEnds_NonXtal_Prot#'!$A:$AL,17,FALSE)</f>
        <v>156</v>
      </c>
      <c r="AI14" s="5">
        <f>VLOOKUP($A14,'SegEnds_NonXtal_Prot#'!$A:$AL,20,FALSE)</f>
        <v>164</v>
      </c>
      <c r="AJ14" s="5">
        <f>VLOOKUP($A14,'SegEnds_NonXtal_Prot#'!$A:$AL,23,FALSE)</f>
        <v>191</v>
      </c>
      <c r="AK14" s="5">
        <f>VLOOKUP($A14,'SegEnds_NonXtal_Prot#'!$A:$AL,26,FALSE)</f>
        <v>204</v>
      </c>
      <c r="AL14" s="5">
        <f>VLOOKUP($A14,'SegEnds_NonXtal_Prot#'!$A:$AL,29,FALSE)</f>
        <v>241</v>
      </c>
      <c r="AM14" s="5">
        <f>VLOOKUP($A14,'SegEnds_NonXtal_Prot#'!$A:$AL,32,FALSE)</f>
        <v>284</v>
      </c>
      <c r="AN14" s="5">
        <f>VLOOKUP($A14,'SegEnds_NonXtal_Prot#'!$A:$AL,35,FALSE)</f>
        <v>322</v>
      </c>
      <c r="AO14" s="5">
        <f>VLOOKUP($A14,'SegEnds_NonXtal_Prot#'!$A:$AL,38,FALSE)</f>
        <v>340</v>
      </c>
      <c r="AP14" s="5">
        <f t="shared" si="13"/>
        <v>28</v>
      </c>
      <c r="AQ14" s="4">
        <f t="shared" si="14"/>
        <v>3</v>
      </c>
      <c r="AR14" s="4">
        <f t="shared" si="15"/>
        <v>31</v>
      </c>
      <c r="AS14" s="4">
        <f t="shared" si="16"/>
        <v>3</v>
      </c>
      <c r="AT14" s="4">
        <f t="shared" si="17"/>
        <v>35</v>
      </c>
      <c r="AU14" s="4">
        <f t="shared" si="18"/>
        <v>7</v>
      </c>
      <c r="AV14" s="4">
        <f t="shared" si="19"/>
        <v>26</v>
      </c>
      <c r="AW14" s="4">
        <f t="shared" si="20"/>
        <v>2</v>
      </c>
      <c r="AX14" s="4">
        <f t="shared" si="21"/>
        <v>32</v>
      </c>
      <c r="AY14" s="4">
        <f t="shared" si="22"/>
        <v>38</v>
      </c>
      <c r="AZ14" s="4">
        <f t="shared" si="23"/>
        <v>32</v>
      </c>
      <c r="BA14" s="4">
        <f t="shared" si="24"/>
        <v>17</v>
      </c>
    </row>
    <row r="15" spans="1:53" x14ac:dyDescent="0.2">
      <c r="A15" s="1" t="str">
        <f>'SegEnds_NonXtal_Prot#'!A180</f>
        <v>mrgrd_human</v>
      </c>
      <c r="B15" s="1" t="str">
        <f t="shared" si="0"/>
        <v>HTAYLVLSSLAMFTCLCGMAGNSMVIWLLGFRNPFCIYILNLAAADLLFLFSMASTLSLETQTDKVHELMKRLMYFAYTVGLSLLTAISTQRCLSVLFPRHLSAWVCGLLWTLCLLMNGLTSSFCDRCFRVDMVQAALIMGVLTPVMTLSSLTLFVWVRRSSQRQPTRLFVVVLASVLVFLICSLPLSIYWFVLYWLQVLCFSLSRLSSSVSSSANPVIYFLVGSRRSHRLPT</v>
      </c>
      <c r="C15" s="29" t="str">
        <f>IF(ISERROR(MATCH(A15,'SegEnds_Xtal_Prot#'!B:B, 0)), "NoXtal", "Xtal")</f>
        <v>NoXtal</v>
      </c>
      <c r="D15" s="4" t="str">
        <f>VLOOKUP(A15,Classification!A:D,2,FALSE)</f>
        <v>A</v>
      </c>
      <c r="E15" s="5" t="str">
        <f>VLOOKUP(A15,Seqs!A:B,2,FALSE)</f>
        <v>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</v>
      </c>
      <c r="F15" s="5" t="str">
        <f t="shared" si="1"/>
        <v>HTAYLVLSSLAMFTCLCGMAGNSMVIWLLGFR</v>
      </c>
      <c r="G15" s="4" t="str">
        <f t="shared" si="2"/>
        <v/>
      </c>
      <c r="H15" s="4" t="str">
        <f t="shared" si="3"/>
        <v>NPFCIYILNLAAADLLFLFSMASTLSLETQ</v>
      </c>
      <c r="I15" s="4" t="str">
        <f t="shared" si="4"/>
        <v/>
      </c>
      <c r="J15" s="4" t="str">
        <f t="shared" si="5"/>
        <v>TDKVHELMKRLMYFAYTVGLSLLTAISTQRCLSVLF</v>
      </c>
      <c r="K15" s="4" t="str">
        <f t="shared" si="6"/>
        <v>PIWFKCHR</v>
      </c>
      <c r="L15" s="4" t="str">
        <f t="shared" si="7"/>
        <v>PRHLSAWVCGLLWTLCLLMNGLTSSFC</v>
      </c>
      <c r="M15" s="4" t="str">
        <f t="shared" si="8"/>
        <v/>
      </c>
      <c r="N15" s="4" t="str">
        <f t="shared" si="9"/>
        <v>DRCFRVDMVQAALIMGVLTPVMTLSSLTLFVWVRRSSQ</v>
      </c>
      <c r="O15" s="4" t="str">
        <f t="shared" si="10"/>
        <v>RQPTRLFVVVLASVLVFLICSLPLSIYWFVLYWL</v>
      </c>
      <c r="P15" s="4" t="str">
        <f t="shared" si="11"/>
        <v>QVLCFSLSRLSSSVSSSANPVIYFLV</v>
      </c>
      <c r="Q15" s="4" t="str">
        <f t="shared" si="12"/>
        <v>GSRRSHRLPT</v>
      </c>
      <c r="R15" s="5">
        <f>VLOOKUP($A15,'SegEnds_NonXtal_Prot#'!$A:$AL,3,FALSE)</f>
        <v>24</v>
      </c>
      <c r="S15" s="5" t="str">
        <f>VLOOKUP($A15,'SegEnds_NonXtal_Prot#'!$A:$AL,6,FALSE)</f>
        <v>-</v>
      </c>
      <c r="T15" s="5">
        <f>VLOOKUP($A15,'SegEnds_NonXtal_Prot#'!$A:$AL,9,FALSE)</f>
        <v>59</v>
      </c>
      <c r="U15" s="5" t="str">
        <f>VLOOKUP($A15,'SegEnds_NonXtal_Prot#'!$A:$AL,12,FALSE)</f>
        <v>-</v>
      </c>
      <c r="V15" s="5">
        <f>VLOOKUP($A15,'SegEnds_NonXtal_Prot#'!$A:$AL,15,FALSE)</f>
        <v>94</v>
      </c>
      <c r="W15" s="5">
        <f>VLOOKUP($A15,'SegEnds_NonXtal_Prot#'!$A:$AL,18,FALSE)</f>
        <v>130</v>
      </c>
      <c r="X15" s="5">
        <f>VLOOKUP($A15,'SegEnds_NonXtal_Prot#'!$A:$AL,21,FALSE)</f>
        <v>138</v>
      </c>
      <c r="Y15" s="5" t="str">
        <f>VLOOKUP($A15,'SegEnds_NonXtal_Prot#'!$A:$AL,24,FALSE)</f>
        <v>-</v>
      </c>
      <c r="Z15" s="5">
        <f>VLOOKUP($A15,'SegEnds_NonXtal_Prot#'!$A:$AL,27,FALSE)</f>
        <v>173</v>
      </c>
      <c r="AA15" s="5">
        <f>VLOOKUP($A15,'SegEnds_NonXtal_Prot#'!$A:$AL,30,FALSE)</f>
        <v>214</v>
      </c>
      <c r="AB15" s="5">
        <f>VLOOKUP($A15,'SegEnds_NonXtal_Prot#'!$A:$AL,33,FALSE)</f>
        <v>254</v>
      </c>
      <c r="AC15" s="5">
        <f>VLOOKUP($A15,'SegEnds_NonXtal_Prot#'!$A:$AL,36,FALSE)</f>
        <v>280</v>
      </c>
      <c r="AD15" s="5">
        <f>VLOOKUP($A15,'SegEnds_NonXtal_Prot#'!$A:$AL,5,FALSE)</f>
        <v>55</v>
      </c>
      <c r="AE15" s="5" t="str">
        <f>VLOOKUP($A15,'SegEnds_NonXtal_Prot#'!$A:$AL,8,FALSE)</f>
        <v>-</v>
      </c>
      <c r="AF15" s="5">
        <f>VLOOKUP($A15,'SegEnds_NonXtal_Prot#'!$A:$AL,11,FALSE)</f>
        <v>88</v>
      </c>
      <c r="AG15" s="5" t="str">
        <f>VLOOKUP($A15,'SegEnds_NonXtal_Prot#'!$A:$AL,14,FALSE)</f>
        <v>-</v>
      </c>
      <c r="AH15" s="5">
        <f>VLOOKUP($A15,'SegEnds_NonXtal_Prot#'!$A:$AL,17,FALSE)</f>
        <v>129</v>
      </c>
      <c r="AI15" s="5">
        <f>VLOOKUP($A15,'SegEnds_NonXtal_Prot#'!$A:$AL,20,FALSE)</f>
        <v>137</v>
      </c>
      <c r="AJ15" s="5">
        <f>VLOOKUP($A15,'SegEnds_NonXtal_Prot#'!$A:$AL,23,FALSE)</f>
        <v>164</v>
      </c>
      <c r="AK15" s="5" t="str">
        <f>VLOOKUP($A15,'SegEnds_NonXtal_Prot#'!$A:$AL,26,FALSE)</f>
        <v>-</v>
      </c>
      <c r="AL15" s="5">
        <f>VLOOKUP($A15,'SegEnds_NonXtal_Prot#'!$A:$AL,29,FALSE)</f>
        <v>210</v>
      </c>
      <c r="AM15" s="5">
        <f>VLOOKUP($A15,'SegEnds_NonXtal_Prot#'!$A:$AL,32,FALSE)</f>
        <v>247</v>
      </c>
      <c r="AN15" s="5">
        <f>VLOOKUP($A15,'SegEnds_NonXtal_Prot#'!$A:$AL,35,FALSE)</f>
        <v>279</v>
      </c>
      <c r="AO15" s="5">
        <f>VLOOKUP($A15,'SegEnds_NonXtal_Prot#'!$A:$AL,38,FALSE)</f>
        <v>289</v>
      </c>
      <c r="AP15" s="5">
        <f t="shared" si="13"/>
        <v>31</v>
      </c>
      <c r="AQ15" s="4" t="str">
        <f t="shared" si="14"/>
        <v>-</v>
      </c>
      <c r="AR15" s="4">
        <f t="shared" si="15"/>
        <v>29</v>
      </c>
      <c r="AS15" s="4" t="str">
        <f t="shared" si="16"/>
        <v>-</v>
      </c>
      <c r="AT15" s="4">
        <f t="shared" si="17"/>
        <v>35</v>
      </c>
      <c r="AU15" s="4">
        <f t="shared" si="18"/>
        <v>7</v>
      </c>
      <c r="AV15" s="4">
        <f t="shared" si="19"/>
        <v>26</v>
      </c>
      <c r="AW15" s="4" t="str">
        <f t="shared" si="20"/>
        <v>-</v>
      </c>
      <c r="AX15" s="4">
        <f t="shared" si="21"/>
        <v>37</v>
      </c>
      <c r="AY15" s="4">
        <f t="shared" si="22"/>
        <v>33</v>
      </c>
      <c r="AZ15" s="4">
        <f t="shared" si="23"/>
        <v>25</v>
      </c>
      <c r="BA15" s="4">
        <f t="shared" si="24"/>
        <v>9</v>
      </c>
    </row>
    <row r="16" spans="1:53" x14ac:dyDescent="0.2">
      <c r="A16" s="1" t="str">
        <f>'SegEnds_NonXtal_Prot#'!A183</f>
        <v>mrgrg_human</v>
      </c>
      <c r="B16" s="1" t="str">
        <f t="shared" si="0"/>
        <v>DSVVFYLTLIVGLGGPVGNGLVLWNLGFRGPFSIYLLHLAAADFLFLSCRVGFSVAQDTLYFVLTFLWFAVGLWLLAAFSVERCLSDLFPRHASAVLCALVWTPTLPAVPLPANACRNSACPLVCPRYHVASVTWFLVLARVAWTAGVVLFVWVTCCSRPRLYGIVLGALLLLFFCGLPSVFYWSLQPLLPVFSPLATLLACVNSSSKPLIYSGLGRQPGKREPLRSVLRRAL</v>
      </c>
      <c r="C16" s="29" t="str">
        <f>IF(ISERROR(MATCH(A16,'SegEnds_Xtal_Prot#'!B:B, 0)), "NoXtal", "Xtal")</f>
        <v>NoXtal</v>
      </c>
      <c r="D16" s="4" t="str">
        <f>VLOOKUP(A16,Classification!A:D,2,FALSE)</f>
        <v>A</v>
      </c>
      <c r="E16" s="5" t="str">
        <f>VLOOKUP(A16,Seqs!A:B,2,FALSE)</f>
        <v>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</v>
      </c>
      <c r="F16" s="5" t="str">
        <f t="shared" si="1"/>
        <v>DSVVFYLTLIVGLGGPVGNGLVLWNLGFR</v>
      </c>
      <c r="G16" s="4" t="str">
        <f t="shared" si="2"/>
        <v/>
      </c>
      <c r="H16" s="4" t="str">
        <f t="shared" si="3"/>
        <v>GPFSIYLLHLAAADFLFLSCRVGFSVA</v>
      </c>
      <c r="I16" s="4" t="str">
        <f t="shared" si="4"/>
        <v/>
      </c>
      <c r="J16" s="4" t="str">
        <f t="shared" si="5"/>
        <v>QDTLYFVLTFLWFAVGLWLLAAFSVERCLSDLF</v>
      </c>
      <c r="K16" s="4" t="str">
        <f t="shared" si="6"/>
        <v>PACYQGCR</v>
      </c>
      <c r="L16" s="4" t="str">
        <f t="shared" si="7"/>
        <v>PRHASAVLCALVWTPTLPAVPLPANAC</v>
      </c>
      <c r="M16" s="4" t="str">
        <f t="shared" si="8"/>
        <v/>
      </c>
      <c r="N16" s="4" t="str">
        <f t="shared" si="9"/>
        <v>RNSACPLVCPRYHVASVTWFLVLARVAWTAGVVLFVWVTCCS</v>
      </c>
      <c r="O16" s="4" t="str">
        <f t="shared" si="10"/>
        <v>RPRLYGIVLGALLLLFFCGLPSVFYWSLQPLL</v>
      </c>
      <c r="P16" s="4" t="str">
        <f t="shared" si="11"/>
        <v>PVFSPLATLLACVNSSSKPLIYSGL</v>
      </c>
      <c r="Q16" s="4" t="str">
        <f t="shared" si="12"/>
        <v>GRQPGKREPLRSVLRRAL</v>
      </c>
      <c r="R16" s="5">
        <f>VLOOKUP($A16,'SegEnds_NonXtal_Prot#'!$A:$AL,3,FALSE)</f>
        <v>12</v>
      </c>
      <c r="S16" s="5" t="str">
        <f>VLOOKUP($A16,'SegEnds_NonXtal_Prot#'!$A:$AL,6,FALSE)</f>
        <v>-</v>
      </c>
      <c r="T16" s="5">
        <f>VLOOKUP($A16,'SegEnds_NonXtal_Prot#'!$A:$AL,9,FALSE)</f>
        <v>44</v>
      </c>
      <c r="U16" s="5" t="str">
        <f>VLOOKUP($A16,'SegEnds_NonXtal_Prot#'!$A:$AL,12,FALSE)</f>
        <v>-</v>
      </c>
      <c r="V16" s="5">
        <f>VLOOKUP($A16,'SegEnds_NonXtal_Prot#'!$A:$AL,15,FALSE)</f>
        <v>77</v>
      </c>
      <c r="W16" s="5">
        <f>VLOOKUP($A16,'SegEnds_NonXtal_Prot#'!$A:$AL,18,FALSE)</f>
        <v>110</v>
      </c>
      <c r="X16" s="5">
        <f>VLOOKUP($A16,'SegEnds_NonXtal_Prot#'!$A:$AL,21,FALSE)</f>
        <v>118</v>
      </c>
      <c r="Y16" s="5" t="str">
        <f>VLOOKUP($A16,'SegEnds_NonXtal_Prot#'!$A:$AL,24,FALSE)</f>
        <v>-</v>
      </c>
      <c r="Z16" s="5">
        <f>VLOOKUP($A16,'SegEnds_NonXtal_Prot#'!$A:$AL,27,FALSE)</f>
        <v>148</v>
      </c>
      <c r="AA16" s="5">
        <f>VLOOKUP($A16,'SegEnds_NonXtal_Prot#'!$A:$AL,30,FALSE)</f>
        <v>193</v>
      </c>
      <c r="AB16" s="5">
        <f>VLOOKUP($A16,'SegEnds_NonXtal_Prot#'!$A:$AL,33,FALSE)</f>
        <v>229</v>
      </c>
      <c r="AC16" s="5">
        <f>VLOOKUP($A16,'SegEnds_NonXtal_Prot#'!$A:$AL,36,FALSE)</f>
        <v>254</v>
      </c>
      <c r="AD16" s="5">
        <f>VLOOKUP($A16,'SegEnds_NonXtal_Prot#'!$A:$AL,5,FALSE)</f>
        <v>40</v>
      </c>
      <c r="AE16" s="5" t="str">
        <f>VLOOKUP($A16,'SegEnds_NonXtal_Prot#'!$A:$AL,8,FALSE)</f>
        <v>-</v>
      </c>
      <c r="AF16" s="5">
        <f>VLOOKUP($A16,'SegEnds_NonXtal_Prot#'!$A:$AL,11,FALSE)</f>
        <v>70</v>
      </c>
      <c r="AG16" s="5" t="str">
        <f>VLOOKUP($A16,'SegEnds_NonXtal_Prot#'!$A:$AL,14,FALSE)</f>
        <v>-</v>
      </c>
      <c r="AH16" s="5">
        <f>VLOOKUP($A16,'SegEnds_NonXtal_Prot#'!$A:$AL,17,FALSE)</f>
        <v>109</v>
      </c>
      <c r="AI16" s="5">
        <f>VLOOKUP($A16,'SegEnds_NonXtal_Prot#'!$A:$AL,20,FALSE)</f>
        <v>117</v>
      </c>
      <c r="AJ16" s="5">
        <f>VLOOKUP($A16,'SegEnds_NonXtal_Prot#'!$A:$AL,23,FALSE)</f>
        <v>144</v>
      </c>
      <c r="AK16" s="5" t="str">
        <f>VLOOKUP($A16,'SegEnds_NonXtal_Prot#'!$A:$AL,26,FALSE)</f>
        <v>-</v>
      </c>
      <c r="AL16" s="5">
        <f>VLOOKUP($A16,'SegEnds_NonXtal_Prot#'!$A:$AL,29,FALSE)</f>
        <v>189</v>
      </c>
      <c r="AM16" s="5">
        <f>VLOOKUP($A16,'SegEnds_NonXtal_Prot#'!$A:$AL,32,FALSE)</f>
        <v>224</v>
      </c>
      <c r="AN16" s="5">
        <f>VLOOKUP($A16,'SegEnds_NonXtal_Prot#'!$A:$AL,35,FALSE)</f>
        <v>253</v>
      </c>
      <c r="AO16" s="5">
        <f>VLOOKUP($A16,'SegEnds_NonXtal_Prot#'!$A:$AL,38,FALSE)</f>
        <v>271</v>
      </c>
      <c r="AP16" s="5">
        <f t="shared" si="13"/>
        <v>28</v>
      </c>
      <c r="AQ16" s="4" t="str">
        <f t="shared" si="14"/>
        <v>-</v>
      </c>
      <c r="AR16" s="4">
        <f t="shared" si="15"/>
        <v>26</v>
      </c>
      <c r="AS16" s="4" t="str">
        <f t="shared" si="16"/>
        <v>-</v>
      </c>
      <c r="AT16" s="4">
        <f t="shared" si="17"/>
        <v>32</v>
      </c>
      <c r="AU16" s="4">
        <f t="shared" si="18"/>
        <v>7</v>
      </c>
      <c r="AV16" s="4">
        <f t="shared" si="19"/>
        <v>26</v>
      </c>
      <c r="AW16" s="4" t="str">
        <f t="shared" si="20"/>
        <v>-</v>
      </c>
      <c r="AX16" s="4">
        <f t="shared" si="21"/>
        <v>41</v>
      </c>
      <c r="AY16" s="4">
        <f t="shared" si="22"/>
        <v>31</v>
      </c>
      <c r="AZ16" s="4">
        <f t="shared" si="23"/>
        <v>24</v>
      </c>
      <c r="BA16" s="4">
        <f t="shared" si="24"/>
        <v>17</v>
      </c>
    </row>
    <row r="17" spans="1:53" x14ac:dyDescent="0.2">
      <c r="A17" s="1" t="str">
        <f>'SegEnds_NonXtal_Prot#'!A190</f>
        <v>mtr1a_human</v>
      </c>
      <c r="B17" s="1" t="str">
        <f t="shared" si="0"/>
        <v>PSWLASALACVLIFTIVVDILGNLLVILSVYRNNAGNIFVVSLAVADLVVAIYPYPLVLMSIFNNGYLHCQVSGFLMGLSVIGSIFNITGIAINRYCYICHSSKNSLCYVLLIWLLTLAAVLPNLRAGSSAYTIAVVVFHFLVPMIIVIFCYLRIWILVLQVRQRVPKLKPQDFRNFVTMFVVFVLFAICWAPLNFIGLAVASDPRIPEWLFVASYYMAYFNSCLNAIIYGLLNQNFRKEYRRII</v>
      </c>
      <c r="C17" s="29" t="str">
        <f>IF(ISERROR(MATCH(A17,'SegEnds_Xtal_Prot#'!B:B, 0)), "NoXtal", "Xtal")</f>
        <v>NoXtal</v>
      </c>
      <c r="D17" s="4" t="str">
        <f>VLOOKUP(A17,Classification!A:D,2,FALSE)</f>
        <v>A</v>
      </c>
      <c r="E17" s="5" t="str">
        <f>VLOOKUP(A17,Seqs!A:B,2,FALSE)</f>
        <v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v>
      </c>
      <c r="F17" s="5" t="str">
        <f t="shared" si="1"/>
        <v>PSWLASALACVLIFTIVVDILGNLLVILSVYRN</v>
      </c>
      <c r="G17" s="4" t="str">
        <f t="shared" si="2"/>
        <v>KKLR</v>
      </c>
      <c r="H17" s="4" t="str">
        <f t="shared" si="3"/>
        <v>NAGNIFVVSLAVADLVVAIYPYPLVLMSIFNN</v>
      </c>
      <c r="I17" s="4" t="str">
        <f t="shared" si="4"/>
        <v>GWNL</v>
      </c>
      <c r="J17" s="4" t="str">
        <f t="shared" si="5"/>
        <v>GYLHCQVSGFLMGLSVIGSIFNITGIAINRYCYICH</v>
      </c>
      <c r="K17" s="4" t="str">
        <f t="shared" si="6"/>
        <v>SLKYDKLY</v>
      </c>
      <c r="L17" s="4" t="str">
        <f t="shared" si="7"/>
        <v>SSKNSLCYVLLIWLLTLAAVLPNLRAG</v>
      </c>
      <c r="M17" s="4" t="str">
        <f t="shared" si="8"/>
        <v>CTF</v>
      </c>
      <c r="N17" s="4" t="str">
        <f t="shared" si="9"/>
        <v>SSAYTIAVVVFHFLVPMIIVIFCYLRIWILVLQVRQRV</v>
      </c>
      <c r="O17" s="4" t="str">
        <f t="shared" si="10"/>
        <v>PKLKPQDFRNFVTMFVVFVLFAICWAPLNFIGLAVASD</v>
      </c>
      <c r="P17" s="4" t="str">
        <f t="shared" si="11"/>
        <v>PRIPEWLFVASYYMAYFNSCLNAIIYGLL</v>
      </c>
      <c r="Q17" s="4" t="str">
        <f t="shared" si="12"/>
        <v>NQNFRKEYRRII</v>
      </c>
      <c r="R17" s="5">
        <f>VLOOKUP($A17,'SegEnds_NonXtal_Prot#'!$A:$AL,3,FALSE)</f>
        <v>23</v>
      </c>
      <c r="S17" s="5">
        <f>VLOOKUP($A17,'SegEnds_NonXtal_Prot#'!$A:$AL,6,FALSE)</f>
        <v>56</v>
      </c>
      <c r="T17" s="5">
        <f>VLOOKUP($A17,'SegEnds_NonXtal_Prot#'!$A:$AL,9,FALSE)</f>
        <v>60</v>
      </c>
      <c r="U17" s="5">
        <f>VLOOKUP($A17,'SegEnds_NonXtal_Prot#'!$A:$AL,12,FALSE)</f>
        <v>92</v>
      </c>
      <c r="V17" s="5">
        <f>VLOOKUP($A17,'SegEnds_NonXtal_Prot#'!$A:$AL,15,FALSE)</f>
        <v>96</v>
      </c>
      <c r="W17" s="5">
        <f>VLOOKUP($A17,'SegEnds_NonXtal_Prot#'!$A:$AL,18,FALSE)</f>
        <v>132</v>
      </c>
      <c r="X17" s="5">
        <f>VLOOKUP($A17,'SegEnds_NonXtal_Prot#'!$A:$AL,21,FALSE)</f>
        <v>140</v>
      </c>
      <c r="Y17" s="5">
        <f>VLOOKUP($A17,'SegEnds_NonXtal_Prot#'!$A:$AL,24,FALSE)</f>
        <v>177</v>
      </c>
      <c r="Z17" s="5">
        <f>VLOOKUP($A17,'SegEnds_NonXtal_Prot#'!$A:$AL,27,FALSE)</f>
        <v>184</v>
      </c>
      <c r="AA17" s="5">
        <f>VLOOKUP($A17,'SegEnds_NonXtal_Prot#'!$A:$AL,30,FALSE)</f>
        <v>227</v>
      </c>
      <c r="AB17" s="5">
        <f>VLOOKUP($A17,'SegEnds_NonXtal_Prot#'!$A:$AL,33,FALSE)</f>
        <v>270</v>
      </c>
      <c r="AC17" s="5">
        <f>VLOOKUP($A17,'SegEnds_NonXtal_Prot#'!$A:$AL,36,FALSE)</f>
        <v>299</v>
      </c>
      <c r="AD17" s="5">
        <f>VLOOKUP($A17,'SegEnds_NonXtal_Prot#'!$A:$AL,5,FALSE)</f>
        <v>55</v>
      </c>
      <c r="AE17" s="5">
        <f>VLOOKUP($A17,'SegEnds_NonXtal_Prot#'!$A:$AL,8,FALSE)</f>
        <v>59</v>
      </c>
      <c r="AF17" s="5">
        <f>VLOOKUP($A17,'SegEnds_NonXtal_Prot#'!$A:$AL,11,FALSE)</f>
        <v>91</v>
      </c>
      <c r="AG17" s="5">
        <f>VLOOKUP($A17,'SegEnds_NonXtal_Prot#'!$A:$AL,14,FALSE)</f>
        <v>95</v>
      </c>
      <c r="AH17" s="5">
        <f>VLOOKUP($A17,'SegEnds_NonXtal_Prot#'!$A:$AL,17,FALSE)</f>
        <v>131</v>
      </c>
      <c r="AI17" s="5">
        <f>VLOOKUP($A17,'SegEnds_NonXtal_Prot#'!$A:$AL,20,FALSE)</f>
        <v>139</v>
      </c>
      <c r="AJ17" s="5">
        <f>VLOOKUP($A17,'SegEnds_NonXtal_Prot#'!$A:$AL,23,FALSE)</f>
        <v>166</v>
      </c>
      <c r="AK17" s="5">
        <f>VLOOKUP($A17,'SegEnds_NonXtal_Prot#'!$A:$AL,26,FALSE)</f>
        <v>179</v>
      </c>
      <c r="AL17" s="5">
        <f>VLOOKUP($A17,'SegEnds_NonXtal_Prot#'!$A:$AL,29,FALSE)</f>
        <v>221</v>
      </c>
      <c r="AM17" s="5">
        <f>VLOOKUP($A17,'SegEnds_NonXtal_Prot#'!$A:$AL,32,FALSE)</f>
        <v>264</v>
      </c>
      <c r="AN17" s="5">
        <f>VLOOKUP($A17,'SegEnds_NonXtal_Prot#'!$A:$AL,35,FALSE)</f>
        <v>298</v>
      </c>
      <c r="AO17" s="5">
        <f>VLOOKUP($A17,'SegEnds_NonXtal_Prot#'!$A:$AL,38,FALSE)</f>
        <v>310</v>
      </c>
      <c r="AP17" s="5">
        <f t="shared" si="13"/>
        <v>32</v>
      </c>
      <c r="AQ17" s="4">
        <f t="shared" si="14"/>
        <v>3</v>
      </c>
      <c r="AR17" s="4">
        <f t="shared" si="15"/>
        <v>31</v>
      </c>
      <c r="AS17" s="4">
        <f t="shared" si="16"/>
        <v>3</v>
      </c>
      <c r="AT17" s="4">
        <f t="shared" si="17"/>
        <v>35</v>
      </c>
      <c r="AU17" s="4">
        <f t="shared" si="18"/>
        <v>7</v>
      </c>
      <c r="AV17" s="4">
        <f t="shared" si="19"/>
        <v>26</v>
      </c>
      <c r="AW17" s="4">
        <f t="shared" si="20"/>
        <v>2</v>
      </c>
      <c r="AX17" s="4">
        <f t="shared" si="21"/>
        <v>37</v>
      </c>
      <c r="AY17" s="4">
        <f t="shared" si="22"/>
        <v>37</v>
      </c>
      <c r="AZ17" s="4">
        <f t="shared" si="23"/>
        <v>28</v>
      </c>
      <c r="BA17" s="4">
        <f t="shared" si="24"/>
        <v>11</v>
      </c>
    </row>
    <row r="18" spans="1:53" x14ac:dyDescent="0.2">
      <c r="A18" s="1" t="str">
        <f>'SegEnds_NonXtal_Prot#'!A200</f>
        <v>opn4_human</v>
      </c>
      <c r="B18" s="1" t="str">
        <f t="shared" si="0"/>
        <v>DHAHYTLGTVILLVGLTGMLGNLTVIYTFCRSTPANMFIINLAVSDFLMSFTQAPVFFTSSLYKGETGCEFYAFCGALFGISSMITLTAIALDRYLVITRSKRRAAFVLLGVWLYALAWSLPPFFAVRAYTMLLCCFVFFLPLLIIIYCYIFIFRAIRETGRALQTLWQRQRLQSECKMAKIMLLVILLFVLSWAPYSAVALVAFAGTPYMSSVPAVIAKASAIHNPIIYAITHPKYRVAIAQHLP</v>
      </c>
      <c r="C18" s="29" t="str">
        <f>IF(ISERROR(MATCH(A18,'SegEnds_Xtal_Prot#'!B:B, 0)), "NoXtal", "Xtal")</f>
        <v>NoXtal</v>
      </c>
      <c r="D18" s="4" t="str">
        <f>VLOOKUP(A18,Classification!A:D,2,FALSE)</f>
        <v>A</v>
      </c>
      <c r="E18" s="5" t="str">
        <f>VLOOKUP(A18,Seqs!A:B,2,FALSE)</f>
        <v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v>
      </c>
      <c r="F18" s="5" t="str">
        <f t="shared" si="1"/>
        <v>DHAHYTLGTVILLVGLTGMLGNLTVIYTFCRS</v>
      </c>
      <c r="G18" s="4" t="str">
        <f t="shared" si="2"/>
        <v>RSLR</v>
      </c>
      <c r="H18" s="4" t="str">
        <f t="shared" si="3"/>
        <v>TPANMFIINLAVSDFLMSFTQAPVFFTSSLYK</v>
      </c>
      <c r="I18" s="4" t="str">
        <f t="shared" si="4"/>
        <v>QWLF</v>
      </c>
      <c r="J18" s="4" t="str">
        <f t="shared" si="5"/>
        <v>GETGCEFYAFCGALFGISSMITLTAIALDRYLVITR</v>
      </c>
      <c r="K18" s="4" t="str">
        <f t="shared" si="6"/>
        <v>PLATFGVA</v>
      </c>
      <c r="L18" s="4" t="str">
        <f t="shared" si="7"/>
        <v>SKRRAAFVLLGVWLYALAWSLPPFF</v>
      </c>
      <c r="M18" s="4" t="str">
        <f t="shared" si="8"/>
        <v>CSW</v>
      </c>
      <c r="N18" s="4" t="str">
        <f t="shared" si="9"/>
        <v>AVRAYTMLLCCFVFFLPLLIIIYCYIFIFRAIRETGRALQT</v>
      </c>
      <c r="O18" s="4" t="str">
        <f t="shared" si="10"/>
        <v>LWQRQRLQSECKMAKIMLLVILLFVLSWAPYSAVALVAFAG</v>
      </c>
      <c r="P18" s="4" t="str">
        <f t="shared" si="11"/>
        <v>TPYMSSVPAVIAKASAIHNPIIYAIT</v>
      </c>
      <c r="Q18" s="4" t="str">
        <f t="shared" si="12"/>
        <v>HPKYRVAIAQHLP</v>
      </c>
      <c r="R18" s="5">
        <f>VLOOKUP($A18,'SegEnds_NonXtal_Prot#'!$A:$AL,3,FALSE)</f>
        <v>67</v>
      </c>
      <c r="S18" s="5">
        <f>VLOOKUP($A18,'SegEnds_NonXtal_Prot#'!$A:$AL,6,FALSE)</f>
        <v>99</v>
      </c>
      <c r="T18" s="5">
        <f>VLOOKUP($A18,'SegEnds_NonXtal_Prot#'!$A:$AL,9,FALSE)</f>
        <v>103</v>
      </c>
      <c r="U18" s="5">
        <f>VLOOKUP($A18,'SegEnds_NonXtal_Prot#'!$A:$AL,12,FALSE)</f>
        <v>135</v>
      </c>
      <c r="V18" s="5">
        <f>VLOOKUP($A18,'SegEnds_NonXtal_Prot#'!$A:$AL,15,FALSE)</f>
        <v>139</v>
      </c>
      <c r="W18" s="5">
        <f>VLOOKUP($A18,'SegEnds_NonXtal_Prot#'!$A:$AL,18,FALSE)</f>
        <v>175</v>
      </c>
      <c r="X18" s="5">
        <f>VLOOKUP($A18,'SegEnds_NonXtal_Prot#'!$A:$AL,21,FALSE)</f>
        <v>183</v>
      </c>
      <c r="Y18" s="5">
        <f>VLOOKUP($A18,'SegEnds_NonXtal_Prot#'!$A:$AL,24,FALSE)</f>
        <v>221</v>
      </c>
      <c r="Z18" s="5">
        <f>VLOOKUP($A18,'SegEnds_NonXtal_Prot#'!$A:$AL,27,FALSE)</f>
        <v>231</v>
      </c>
      <c r="AA18" s="5">
        <f>VLOOKUP($A18,'SegEnds_NonXtal_Prot#'!$A:$AL,30,FALSE)</f>
        <v>282</v>
      </c>
      <c r="AB18" s="5">
        <f>VLOOKUP($A18,'SegEnds_NonXtal_Prot#'!$A:$AL,33,FALSE)</f>
        <v>328</v>
      </c>
      <c r="AC18" s="5">
        <f>VLOOKUP($A18,'SegEnds_NonXtal_Prot#'!$A:$AL,36,FALSE)</f>
        <v>354</v>
      </c>
      <c r="AD18" s="5">
        <f>VLOOKUP($A18,'SegEnds_NonXtal_Prot#'!$A:$AL,5,FALSE)</f>
        <v>98</v>
      </c>
      <c r="AE18" s="5">
        <f>VLOOKUP($A18,'SegEnds_NonXtal_Prot#'!$A:$AL,8,FALSE)</f>
        <v>102</v>
      </c>
      <c r="AF18" s="5">
        <f>VLOOKUP($A18,'SegEnds_NonXtal_Prot#'!$A:$AL,11,FALSE)</f>
        <v>134</v>
      </c>
      <c r="AG18" s="5">
        <f>VLOOKUP($A18,'SegEnds_NonXtal_Prot#'!$A:$AL,14,FALSE)</f>
        <v>138</v>
      </c>
      <c r="AH18" s="5">
        <f>VLOOKUP($A18,'SegEnds_NonXtal_Prot#'!$A:$AL,17,FALSE)</f>
        <v>174</v>
      </c>
      <c r="AI18" s="5">
        <f>VLOOKUP($A18,'SegEnds_NonXtal_Prot#'!$A:$AL,20,FALSE)</f>
        <v>182</v>
      </c>
      <c r="AJ18" s="5">
        <f>VLOOKUP($A18,'SegEnds_NonXtal_Prot#'!$A:$AL,23,FALSE)</f>
        <v>207</v>
      </c>
      <c r="AK18" s="5">
        <f>VLOOKUP($A18,'SegEnds_NonXtal_Prot#'!$A:$AL,26,FALSE)</f>
        <v>223</v>
      </c>
      <c r="AL18" s="5">
        <f>VLOOKUP($A18,'SegEnds_NonXtal_Prot#'!$A:$AL,29,FALSE)</f>
        <v>271</v>
      </c>
      <c r="AM18" s="5">
        <f>VLOOKUP($A18,'SegEnds_NonXtal_Prot#'!$A:$AL,32,FALSE)</f>
        <v>322</v>
      </c>
      <c r="AN18" s="5">
        <f>VLOOKUP($A18,'SegEnds_NonXtal_Prot#'!$A:$AL,35,FALSE)</f>
        <v>353</v>
      </c>
      <c r="AO18" s="5">
        <f>VLOOKUP($A18,'SegEnds_NonXtal_Prot#'!$A:$AL,38,FALSE)</f>
        <v>366</v>
      </c>
      <c r="AP18" s="5">
        <f t="shared" si="13"/>
        <v>31</v>
      </c>
      <c r="AQ18" s="4">
        <f t="shared" si="14"/>
        <v>3</v>
      </c>
      <c r="AR18" s="4">
        <f t="shared" si="15"/>
        <v>31</v>
      </c>
      <c r="AS18" s="4">
        <f t="shared" si="16"/>
        <v>3</v>
      </c>
      <c r="AT18" s="4">
        <f t="shared" si="17"/>
        <v>35</v>
      </c>
      <c r="AU18" s="4">
        <f t="shared" si="18"/>
        <v>7</v>
      </c>
      <c r="AV18" s="4">
        <f t="shared" si="19"/>
        <v>24</v>
      </c>
      <c r="AW18" s="4">
        <f t="shared" si="20"/>
        <v>2</v>
      </c>
      <c r="AX18" s="4">
        <f t="shared" si="21"/>
        <v>40</v>
      </c>
      <c r="AY18" s="4">
        <f t="shared" si="22"/>
        <v>40</v>
      </c>
      <c r="AZ18" s="4">
        <f t="shared" si="23"/>
        <v>25</v>
      </c>
      <c r="BA18" s="4">
        <f t="shared" si="24"/>
        <v>12</v>
      </c>
    </row>
    <row r="19" spans="1:53" x14ac:dyDescent="0.2">
      <c r="A19" s="1" t="str">
        <f>'SegEnds_NonXtal_Prot#'!A203</f>
        <v>oprk_human</v>
      </c>
      <c r="B19" s="1" t="str">
        <f t="shared" si="0"/>
        <v>AIPVIITAVYSVVFVVGLVGNSLVMFVIIRYTATNIYIFNLALADALVTTTMPFQSTVYLMGDVLCKIVISIDYYNMFTSIFTLTMMSVDRYIAVCHTPLKAKIINICIWLLSSSVGISAIVLGDYSWWDLFMKICVFIFAFVIPVLIIIVCYTLMILRLKSVSREKDRNLRRITRLVLVVVAVFVVCWTPIHIFILVEALGSTAALSSYYFCIALGYTNSSLNPILYAFLDENFKRCFRDFCF</v>
      </c>
      <c r="C19" s="29" t="str">
        <f>IF(ISERROR(MATCH(A19,'SegEnds_Xtal_Prot#'!B:B, 0)), "NoXtal", "Xtal")</f>
        <v>Xtal</v>
      </c>
      <c r="D19" s="4" t="str">
        <f>VLOOKUP(A19,Classification!A:D,2,FALSE)</f>
        <v>A</v>
      </c>
      <c r="E19" s="5" t="str">
        <f>VLOOKUP(A19,Seqs!A:B,2,FALSE)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F19" s="5" t="str">
        <f t="shared" si="1"/>
        <v>AIPVIITAVYSVVFVVGLVGNSLVMFVIIRY</v>
      </c>
      <c r="G19" s="4" t="str">
        <f t="shared" si="2"/>
        <v>TKMK</v>
      </c>
      <c r="H19" s="4" t="str">
        <f t="shared" si="3"/>
        <v>TATNIYIFNLALADALVTTTMPFQSTVYLM</v>
      </c>
      <c r="I19" s="4" t="str">
        <f t="shared" si="4"/>
        <v>SWPF</v>
      </c>
      <c r="J19" s="4" t="str">
        <f t="shared" si="5"/>
        <v>GDVLCKIVISIDYYNMFTSIFTLTMMSVDRYIAVCH</v>
      </c>
      <c r="K19" s="4" t="str">
        <f t="shared" si="6"/>
        <v>PVKALDFR</v>
      </c>
      <c r="L19" s="4" t="str">
        <f t="shared" si="7"/>
        <v>TPLKAKIINICIWLLSSSVGISAIVLG</v>
      </c>
      <c r="M19" s="4" t="str">
        <f t="shared" si="8"/>
        <v>CSL</v>
      </c>
      <c r="N19" s="4" t="str">
        <f t="shared" si="9"/>
        <v>DYSWWDLFMKICVFIFAFVIPVLIIIVCYTLMILRLKSV</v>
      </c>
      <c r="O19" s="4" t="str">
        <f t="shared" si="10"/>
        <v>SREKDRNLRRITRLVLVVVAVFVVCWTPIHIFILVEALG</v>
      </c>
      <c r="P19" s="4" t="str">
        <f t="shared" si="11"/>
        <v>STAALSSYYFCIALGYTNSSLNPILYAFL</v>
      </c>
      <c r="Q19" s="4" t="str">
        <f t="shared" si="12"/>
        <v>DENFKRCFRDFCF</v>
      </c>
      <c r="R19" s="5">
        <f>VLOOKUP($A19,'SegEnds_NonXtal_Prot#'!$A:$AL,3,FALSE)</f>
        <v>57</v>
      </c>
      <c r="S19" s="5">
        <f>VLOOKUP($A19,'SegEnds_NonXtal_Prot#'!$A:$AL,6,FALSE)</f>
        <v>88</v>
      </c>
      <c r="T19" s="5">
        <f>VLOOKUP($A19,'SegEnds_NonXtal_Prot#'!$A:$AL,9,FALSE)</f>
        <v>92</v>
      </c>
      <c r="U19" s="5">
        <f>VLOOKUP($A19,'SegEnds_NonXtal_Prot#'!$A:$AL,12,FALSE)</f>
        <v>123</v>
      </c>
      <c r="V19" s="5">
        <f>VLOOKUP($A19,'SegEnds_NonXtal_Prot#'!$A:$AL,15,FALSE)</f>
        <v>127</v>
      </c>
      <c r="W19" s="5">
        <f>VLOOKUP($A19,'SegEnds_NonXtal_Prot#'!$A:$AL,18,FALSE)</f>
        <v>163</v>
      </c>
      <c r="X19" s="5">
        <f>VLOOKUP($A19,'SegEnds_NonXtal_Prot#'!$A:$AL,21,FALSE)</f>
        <v>171</v>
      </c>
      <c r="Y19" s="5">
        <f>VLOOKUP($A19,'SegEnds_NonXtal_Prot#'!$A:$AL,24,FALSE)</f>
        <v>210</v>
      </c>
      <c r="Z19" s="5">
        <f>VLOOKUP($A19,'SegEnds_NonXtal_Prot#'!$A:$AL,27,FALSE)</f>
        <v>218</v>
      </c>
      <c r="AA19" s="5">
        <f>VLOOKUP($A19,'SegEnds_NonXtal_Prot#'!$A:$AL,30,FALSE)</f>
        <v>262</v>
      </c>
      <c r="AB19" s="5">
        <f>VLOOKUP($A19,'SegEnds_NonXtal_Prot#'!$A:$AL,33,FALSE)</f>
        <v>305</v>
      </c>
      <c r="AC19" s="5">
        <f>VLOOKUP($A19,'SegEnds_NonXtal_Prot#'!$A:$AL,36,FALSE)</f>
        <v>334</v>
      </c>
      <c r="AD19" s="5">
        <f>VLOOKUP($A19,'SegEnds_NonXtal_Prot#'!$A:$AL,5,FALSE)</f>
        <v>87</v>
      </c>
      <c r="AE19" s="5">
        <f>VLOOKUP($A19,'SegEnds_NonXtal_Prot#'!$A:$AL,8,FALSE)</f>
        <v>91</v>
      </c>
      <c r="AF19" s="5">
        <f>VLOOKUP($A19,'SegEnds_NonXtal_Prot#'!$A:$AL,11,FALSE)</f>
        <v>121</v>
      </c>
      <c r="AG19" s="5">
        <f>VLOOKUP($A19,'SegEnds_NonXtal_Prot#'!$A:$AL,14,FALSE)</f>
        <v>126</v>
      </c>
      <c r="AH19" s="5">
        <f>VLOOKUP($A19,'SegEnds_NonXtal_Prot#'!$A:$AL,17,FALSE)</f>
        <v>162</v>
      </c>
      <c r="AI19" s="5">
        <f>VLOOKUP($A19,'SegEnds_NonXtal_Prot#'!$A:$AL,20,FALSE)</f>
        <v>170</v>
      </c>
      <c r="AJ19" s="5">
        <f>VLOOKUP($A19,'SegEnds_NonXtal_Prot#'!$A:$AL,23,FALSE)</f>
        <v>197</v>
      </c>
      <c r="AK19" s="5">
        <f>VLOOKUP($A19,'SegEnds_NonXtal_Prot#'!$A:$AL,26,FALSE)</f>
        <v>212</v>
      </c>
      <c r="AL19" s="5">
        <f>VLOOKUP($A19,'SegEnds_NonXtal_Prot#'!$A:$AL,29,FALSE)</f>
        <v>256</v>
      </c>
      <c r="AM19" s="5">
        <f>VLOOKUP($A19,'SegEnds_NonXtal_Prot#'!$A:$AL,32,FALSE)</f>
        <v>300</v>
      </c>
      <c r="AN19" s="5">
        <f>VLOOKUP($A19,'SegEnds_NonXtal_Prot#'!$A:$AL,35,FALSE)</f>
        <v>333</v>
      </c>
      <c r="AO19" s="5">
        <f>VLOOKUP($A19,'SegEnds_NonXtal_Prot#'!$A:$AL,38,FALSE)</f>
        <v>346</v>
      </c>
      <c r="AP19" s="5">
        <f t="shared" si="13"/>
        <v>30</v>
      </c>
      <c r="AQ19" s="4">
        <f t="shared" si="14"/>
        <v>3</v>
      </c>
      <c r="AR19" s="4">
        <f t="shared" si="15"/>
        <v>29</v>
      </c>
      <c r="AS19" s="4">
        <f t="shared" si="16"/>
        <v>3</v>
      </c>
      <c r="AT19" s="4">
        <f t="shared" si="17"/>
        <v>35</v>
      </c>
      <c r="AU19" s="4">
        <f t="shared" si="18"/>
        <v>7</v>
      </c>
      <c r="AV19" s="4">
        <f t="shared" si="19"/>
        <v>26</v>
      </c>
      <c r="AW19" s="4">
        <f t="shared" si="20"/>
        <v>2</v>
      </c>
      <c r="AX19" s="4">
        <f t="shared" si="21"/>
        <v>38</v>
      </c>
      <c r="AY19" s="4">
        <f t="shared" si="22"/>
        <v>38</v>
      </c>
      <c r="AZ19" s="4">
        <f t="shared" si="23"/>
        <v>28</v>
      </c>
      <c r="BA19" s="4">
        <f t="shared" si="24"/>
        <v>12</v>
      </c>
    </row>
    <row r="20" spans="1:53" x14ac:dyDescent="0.2">
      <c r="A20" s="1" t="str">
        <f>'SegEnds_NonXtal_Prot#'!A204</f>
        <v>oprm_human</v>
      </c>
      <c r="B20" s="1" t="str">
        <f t="shared" si="0"/>
        <v>MITAITIMALYSIVCVVGLFGNFLVMYVIVRYTATNIYIFNLALADALATSTLPFQSVNYLMGTILCKIVISIDYYNMFTSIFTLCTMSVDRYIAVCHTPRNAKIINVCNWILSSAIGLPVMFMATWYWENLLKICVFIFAFIMPVLIITVCYGLMILRLKSVSKEKDRNLRRITRMVLVVVAVFIVCWTPIHIYVIIKALVTTFQTVSWHFCIALGYTNSCLNPVLYAFLDENFKRCFREFCI</v>
      </c>
      <c r="C20" s="29" t="str">
        <f>IF(ISERROR(MATCH(A20,'SegEnds_Xtal_Prot#'!B:B, 0)), "NoXtal", "Xtal")</f>
        <v>NoXtal</v>
      </c>
      <c r="D20" s="4" t="str">
        <f>VLOOKUP(A20,Classification!A:D,2,FALSE)</f>
        <v>A</v>
      </c>
      <c r="E20" s="5" t="str">
        <f>VLOOKUP(A20,Seqs!A:B,2,FALSE)</f>
        <v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v>
      </c>
      <c r="F20" s="5" t="str">
        <f t="shared" si="1"/>
        <v>MITAITIMALYSIVCVVGLFGNFLVMYVIVRY</v>
      </c>
      <c r="G20" s="4" t="str">
        <f t="shared" si="2"/>
        <v>TKMK</v>
      </c>
      <c r="H20" s="4" t="str">
        <f t="shared" si="3"/>
        <v>TATNIYIFNLALADALATSTLPFQSVNYLM</v>
      </c>
      <c r="I20" s="4" t="str">
        <f t="shared" si="4"/>
        <v>TWPF</v>
      </c>
      <c r="J20" s="4" t="str">
        <f t="shared" si="5"/>
        <v>GTILCKIVISIDYYNMFTSIFTLCTMSVDRYIAVCH</v>
      </c>
      <c r="K20" s="4" t="str">
        <f t="shared" si="6"/>
        <v>PVKALDFR</v>
      </c>
      <c r="L20" s="4" t="str">
        <f t="shared" si="7"/>
        <v>TPRNAKIINVCNWILSSAIGLPVMFMA</v>
      </c>
      <c r="M20" s="4" t="str">
        <f t="shared" si="8"/>
        <v>CTL</v>
      </c>
      <c r="N20" s="4" t="str">
        <f t="shared" si="9"/>
        <v>TWYWENLLKICVFIFAFIMPVLIITVCYGLMILRLKSV</v>
      </c>
      <c r="O20" s="4" t="str">
        <f t="shared" si="10"/>
        <v>SKEKDRNLRRITRMVLVVVAVFIVCWTPIHIYVIIKALV</v>
      </c>
      <c r="P20" s="4" t="str">
        <f t="shared" si="11"/>
        <v>TTFQTVSWHFCIALGYTNSCLNPVLYAFL</v>
      </c>
      <c r="Q20" s="4" t="str">
        <f t="shared" si="12"/>
        <v>DENFKRCFREFCI</v>
      </c>
      <c r="R20" s="5">
        <f>VLOOKUP($A20,'SegEnds_NonXtal_Prot#'!$A:$AL,3,FALSE)</f>
        <v>67</v>
      </c>
      <c r="S20" s="5">
        <f>VLOOKUP($A20,'SegEnds_NonXtal_Prot#'!$A:$AL,6,FALSE)</f>
        <v>99</v>
      </c>
      <c r="T20" s="5">
        <f>VLOOKUP($A20,'SegEnds_NonXtal_Prot#'!$A:$AL,9,FALSE)</f>
        <v>103</v>
      </c>
      <c r="U20" s="5">
        <f>VLOOKUP($A20,'SegEnds_NonXtal_Prot#'!$A:$AL,12,FALSE)</f>
        <v>134</v>
      </c>
      <c r="V20" s="5">
        <f>VLOOKUP($A20,'SegEnds_NonXtal_Prot#'!$A:$AL,15,FALSE)</f>
        <v>138</v>
      </c>
      <c r="W20" s="5">
        <f>VLOOKUP($A20,'SegEnds_NonXtal_Prot#'!$A:$AL,18,FALSE)</f>
        <v>174</v>
      </c>
      <c r="X20" s="5">
        <f>VLOOKUP($A20,'SegEnds_NonXtal_Prot#'!$A:$AL,21,FALSE)</f>
        <v>182</v>
      </c>
      <c r="Y20" s="5">
        <f>VLOOKUP($A20,'SegEnds_NonXtal_Prot#'!$A:$AL,24,FALSE)</f>
        <v>219</v>
      </c>
      <c r="Z20" s="5">
        <f>VLOOKUP($A20,'SegEnds_NonXtal_Prot#'!$A:$AL,27,FALSE)</f>
        <v>227</v>
      </c>
      <c r="AA20" s="5">
        <f>VLOOKUP($A20,'SegEnds_NonXtal_Prot#'!$A:$AL,30,FALSE)</f>
        <v>270</v>
      </c>
      <c r="AB20" s="5">
        <f>VLOOKUP($A20,'SegEnds_NonXtal_Prot#'!$A:$AL,33,FALSE)</f>
        <v>313</v>
      </c>
      <c r="AC20" s="5">
        <f>VLOOKUP($A20,'SegEnds_NonXtal_Prot#'!$A:$AL,36,FALSE)</f>
        <v>342</v>
      </c>
      <c r="AD20" s="5">
        <f>VLOOKUP($A20,'SegEnds_NonXtal_Prot#'!$A:$AL,5,FALSE)</f>
        <v>98</v>
      </c>
      <c r="AE20" s="5">
        <f>VLOOKUP($A20,'SegEnds_NonXtal_Prot#'!$A:$AL,8,FALSE)</f>
        <v>102</v>
      </c>
      <c r="AF20" s="5">
        <f>VLOOKUP($A20,'SegEnds_NonXtal_Prot#'!$A:$AL,11,FALSE)</f>
        <v>132</v>
      </c>
      <c r="AG20" s="5">
        <f>VLOOKUP($A20,'SegEnds_NonXtal_Prot#'!$A:$AL,14,FALSE)</f>
        <v>137</v>
      </c>
      <c r="AH20" s="5">
        <f>VLOOKUP($A20,'SegEnds_NonXtal_Prot#'!$A:$AL,17,FALSE)</f>
        <v>173</v>
      </c>
      <c r="AI20" s="5">
        <f>VLOOKUP($A20,'SegEnds_NonXtal_Prot#'!$A:$AL,20,FALSE)</f>
        <v>181</v>
      </c>
      <c r="AJ20" s="5">
        <f>VLOOKUP($A20,'SegEnds_NonXtal_Prot#'!$A:$AL,23,FALSE)</f>
        <v>208</v>
      </c>
      <c r="AK20" s="5">
        <f>VLOOKUP($A20,'SegEnds_NonXtal_Prot#'!$A:$AL,26,FALSE)</f>
        <v>221</v>
      </c>
      <c r="AL20" s="5">
        <f>VLOOKUP($A20,'SegEnds_NonXtal_Prot#'!$A:$AL,29,FALSE)</f>
        <v>264</v>
      </c>
      <c r="AM20" s="5">
        <f>VLOOKUP($A20,'SegEnds_NonXtal_Prot#'!$A:$AL,32,FALSE)</f>
        <v>308</v>
      </c>
      <c r="AN20" s="5">
        <f>VLOOKUP($A20,'SegEnds_NonXtal_Prot#'!$A:$AL,35,FALSE)</f>
        <v>341</v>
      </c>
      <c r="AO20" s="5">
        <f>VLOOKUP($A20,'SegEnds_NonXtal_Prot#'!$A:$AL,38,FALSE)</f>
        <v>354</v>
      </c>
      <c r="AP20" s="5">
        <f t="shared" si="13"/>
        <v>31</v>
      </c>
      <c r="AQ20" s="4">
        <f t="shared" si="14"/>
        <v>3</v>
      </c>
      <c r="AR20" s="4">
        <f t="shared" si="15"/>
        <v>29</v>
      </c>
      <c r="AS20" s="4">
        <f t="shared" si="16"/>
        <v>3</v>
      </c>
      <c r="AT20" s="4">
        <f t="shared" si="17"/>
        <v>35</v>
      </c>
      <c r="AU20" s="4">
        <f t="shared" si="18"/>
        <v>7</v>
      </c>
      <c r="AV20" s="4">
        <f t="shared" si="19"/>
        <v>26</v>
      </c>
      <c r="AW20" s="4">
        <f t="shared" si="20"/>
        <v>2</v>
      </c>
      <c r="AX20" s="4">
        <f t="shared" si="21"/>
        <v>37</v>
      </c>
      <c r="AY20" s="4">
        <f t="shared" si="22"/>
        <v>38</v>
      </c>
      <c r="AZ20" s="4">
        <f t="shared" si="23"/>
        <v>28</v>
      </c>
      <c r="BA20" s="4">
        <f t="shared" si="24"/>
        <v>12</v>
      </c>
    </row>
    <row r="21" spans="1:53" x14ac:dyDescent="0.2">
      <c r="A21" s="1" t="str">
        <f>'SegEnds_NonXtal_Prot#'!A205</f>
        <v>oprm_mouse</v>
      </c>
      <c r="B21" s="1" t="str">
        <f t="shared" si="0"/>
        <v>MVTAITIMALYSIVCVVGLFGNFLVMYVIVRYTATNIYIFNLALADALATSTLPFQSVNYLMGNILCKIVISIDYYNMFTSIFTLCTMSVDRYIAVCHTPRNAKIVNVCNWILSSAIGLPVMFMATWYWENLLKICVFIFAFIMPVLIITVCYGLMILRLKSVSKEKDRNLRRITRMVLVVVAVFIVCWTPIHIYVIIKALITTFQTVSWHFCIALGYTNSCLNPVLYAFLDENFKRCFREFCI</v>
      </c>
      <c r="C21" s="29" t="str">
        <f>IF(ISERROR(MATCH(A21,'SegEnds_Xtal_Prot#'!B:B, 0)), "NoXtal", "Xtal")</f>
        <v>Xtal</v>
      </c>
      <c r="D21" s="4" t="str">
        <f>VLOOKUP(A21,Classification!A:D,2,FALSE)</f>
        <v>A</v>
      </c>
      <c r="E21" s="5" t="str">
        <f>VLOOKUP(A21,Seqs!A:B,2,FALSE)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F21" s="5" t="str">
        <f t="shared" si="1"/>
        <v>MVTAITIMALYSIVCVVGLFGNFLVMYVIVRY</v>
      </c>
      <c r="G21" s="4" t="str">
        <f t="shared" si="2"/>
        <v>TKMK</v>
      </c>
      <c r="H21" s="4" t="str">
        <f t="shared" si="3"/>
        <v>TATNIYIFNLALADALATSTLPFQSVNYLM</v>
      </c>
      <c r="I21" s="4" t="str">
        <f t="shared" si="4"/>
        <v>TWPF</v>
      </c>
      <c r="J21" s="4" t="str">
        <f t="shared" si="5"/>
        <v>GNILCKIVISIDYYNMFTSIFTLCTMSVDRYIAVCH</v>
      </c>
      <c r="K21" s="4" t="str">
        <f t="shared" si="6"/>
        <v>PVKALDFR</v>
      </c>
      <c r="L21" s="4" t="str">
        <f t="shared" si="7"/>
        <v>TPRNAKIVNVCNWILSSAIGLPVMFMA</v>
      </c>
      <c r="M21" s="4" t="str">
        <f t="shared" si="8"/>
        <v>CTL</v>
      </c>
      <c r="N21" s="4" t="str">
        <f t="shared" si="9"/>
        <v>TWYWENLLKICVFIFAFIMPVLIITVCYGLMILRLKSV</v>
      </c>
      <c r="O21" s="4" t="str">
        <f t="shared" si="10"/>
        <v>SKEKDRNLRRITRMVLVVVAVFIVCWTPIHIYVIIKALI</v>
      </c>
      <c r="P21" s="4" t="str">
        <f t="shared" si="11"/>
        <v>TTFQTVSWHFCIALGYTNSCLNPVLYAFL</v>
      </c>
      <c r="Q21" s="4" t="str">
        <f t="shared" si="12"/>
        <v>DENFKRCFREFCI</v>
      </c>
      <c r="R21" s="5">
        <f>VLOOKUP($A21,'SegEnds_NonXtal_Prot#'!$A:$AL,3,FALSE)</f>
        <v>65</v>
      </c>
      <c r="S21" s="5">
        <f>VLOOKUP($A21,'SegEnds_NonXtal_Prot#'!$A:$AL,6,FALSE)</f>
        <v>97</v>
      </c>
      <c r="T21" s="5">
        <f>VLOOKUP($A21,'SegEnds_NonXtal_Prot#'!$A:$AL,9,FALSE)</f>
        <v>101</v>
      </c>
      <c r="U21" s="5">
        <f>VLOOKUP($A21,'SegEnds_NonXtal_Prot#'!$A:$AL,12,FALSE)</f>
        <v>132</v>
      </c>
      <c r="V21" s="5">
        <f>VLOOKUP($A21,'SegEnds_NonXtal_Prot#'!$A:$AL,15,FALSE)</f>
        <v>136</v>
      </c>
      <c r="W21" s="5">
        <f>VLOOKUP($A21,'SegEnds_NonXtal_Prot#'!$A:$AL,18,FALSE)</f>
        <v>172</v>
      </c>
      <c r="X21" s="5">
        <f>VLOOKUP($A21,'SegEnds_NonXtal_Prot#'!$A:$AL,21,FALSE)</f>
        <v>180</v>
      </c>
      <c r="Y21" s="5">
        <f>VLOOKUP($A21,'SegEnds_NonXtal_Prot#'!$A:$AL,24,FALSE)</f>
        <v>217</v>
      </c>
      <c r="Z21" s="5">
        <f>VLOOKUP($A21,'SegEnds_NonXtal_Prot#'!$A:$AL,27,FALSE)</f>
        <v>225</v>
      </c>
      <c r="AA21" s="5">
        <f>VLOOKUP($A21,'SegEnds_NonXtal_Prot#'!$A:$AL,30,FALSE)</f>
        <v>268</v>
      </c>
      <c r="AB21" s="5">
        <f>VLOOKUP($A21,'SegEnds_NonXtal_Prot#'!$A:$AL,33,FALSE)</f>
        <v>311</v>
      </c>
      <c r="AC21" s="5">
        <f>VLOOKUP($A21,'SegEnds_NonXtal_Prot#'!$A:$AL,36,FALSE)</f>
        <v>340</v>
      </c>
      <c r="AD21" s="5">
        <f>VLOOKUP($A21,'SegEnds_NonXtal_Prot#'!$A:$AL,5,FALSE)</f>
        <v>96</v>
      </c>
      <c r="AE21" s="5">
        <f>VLOOKUP($A21,'SegEnds_NonXtal_Prot#'!$A:$AL,8,FALSE)</f>
        <v>100</v>
      </c>
      <c r="AF21" s="5">
        <f>VLOOKUP($A21,'SegEnds_NonXtal_Prot#'!$A:$AL,11,FALSE)</f>
        <v>130</v>
      </c>
      <c r="AG21" s="5">
        <f>VLOOKUP($A21,'SegEnds_NonXtal_Prot#'!$A:$AL,14,FALSE)</f>
        <v>135</v>
      </c>
      <c r="AH21" s="5">
        <f>VLOOKUP($A21,'SegEnds_NonXtal_Prot#'!$A:$AL,17,FALSE)</f>
        <v>171</v>
      </c>
      <c r="AI21" s="5">
        <f>VLOOKUP($A21,'SegEnds_NonXtal_Prot#'!$A:$AL,20,FALSE)</f>
        <v>179</v>
      </c>
      <c r="AJ21" s="5">
        <f>VLOOKUP($A21,'SegEnds_NonXtal_Prot#'!$A:$AL,23,FALSE)</f>
        <v>206</v>
      </c>
      <c r="AK21" s="5">
        <f>VLOOKUP($A21,'SegEnds_NonXtal_Prot#'!$A:$AL,26,FALSE)</f>
        <v>219</v>
      </c>
      <c r="AL21" s="5">
        <f>VLOOKUP($A21,'SegEnds_NonXtal_Prot#'!$A:$AL,29,FALSE)</f>
        <v>262</v>
      </c>
      <c r="AM21" s="5">
        <f>VLOOKUP($A21,'SegEnds_NonXtal_Prot#'!$A:$AL,32,FALSE)</f>
        <v>306</v>
      </c>
      <c r="AN21" s="5">
        <f>VLOOKUP($A21,'SegEnds_NonXtal_Prot#'!$A:$AL,35,FALSE)</f>
        <v>339</v>
      </c>
      <c r="AO21" s="5">
        <f>VLOOKUP($A21,'SegEnds_NonXtal_Prot#'!$A:$AL,38,FALSE)</f>
        <v>352</v>
      </c>
      <c r="AP21" s="5">
        <f t="shared" si="13"/>
        <v>31</v>
      </c>
      <c r="AQ21" s="4">
        <f t="shared" si="14"/>
        <v>3</v>
      </c>
      <c r="AR21" s="4">
        <f t="shared" si="15"/>
        <v>29</v>
      </c>
      <c r="AS21" s="4">
        <f t="shared" si="16"/>
        <v>3</v>
      </c>
      <c r="AT21" s="4">
        <f t="shared" si="17"/>
        <v>35</v>
      </c>
      <c r="AU21" s="4">
        <f t="shared" si="18"/>
        <v>7</v>
      </c>
      <c r="AV21" s="4">
        <f t="shared" si="19"/>
        <v>26</v>
      </c>
      <c r="AW21" s="4">
        <f t="shared" si="20"/>
        <v>2</v>
      </c>
      <c r="AX21" s="4">
        <f t="shared" si="21"/>
        <v>37</v>
      </c>
      <c r="AY21" s="4">
        <f t="shared" si="22"/>
        <v>38</v>
      </c>
      <c r="AZ21" s="4">
        <f t="shared" si="23"/>
        <v>28</v>
      </c>
      <c r="BA21" s="4">
        <f t="shared" si="24"/>
        <v>12</v>
      </c>
    </row>
    <row r="22" spans="1:53" x14ac:dyDescent="0.2">
      <c r="A22" s="1" t="str">
        <f>'SegEnds_NonXtal_Prot#'!A214</f>
        <v>p2y11_human</v>
      </c>
      <c r="B22" s="1" t="str">
        <f t="shared" si="0"/>
        <v>FQGDFLWPILVVEFLVAVASNGLALYRFSIRHPAVVFSVQLAVSDLLCALTLPPLAAYLYPGEAACRLERFLFTCNLLGSVIFITCISLNRYLGIVHRPKHAWAVSAAGWVLAALLAMPTLSFSLAAYRAYSLVLAGLGCGLPLLLTLAAYGALGRAVLRTVAEKLRVAALVASGVALYASSYVPYHIMRVLNVDARRRTAALELGPYVGYQVMRGLMPLAFCVHPLLYMAAVPSLGCCCRHCPG</v>
      </c>
      <c r="C22" s="29" t="str">
        <f>IF(ISERROR(MATCH(A22,'SegEnds_Xtal_Prot#'!B:B, 0)), "NoXtal", "Xtal")</f>
        <v>NoXtal</v>
      </c>
      <c r="D22" s="4" t="str">
        <f>VLOOKUP(A22,Classification!A:D,2,FALSE)</f>
        <v>A</v>
      </c>
      <c r="E22" s="5" t="str">
        <f>VLOOKUP(A22,Seqs!A:B,2,FALSE)</f>
        <v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v>
      </c>
      <c r="F22" s="5" t="str">
        <f t="shared" si="1"/>
        <v>FQGDFLWPILVVEFLVAVASNGLALYRFSIR</v>
      </c>
      <c r="G22" s="4" t="str">
        <f t="shared" si="2"/>
        <v/>
      </c>
      <c r="H22" s="4" t="str">
        <f t="shared" si="3"/>
        <v>HPAVVFSVQLAVSDLLCALTLPPLAAYLYP</v>
      </c>
      <c r="I22" s="4" t="str">
        <f t="shared" si="4"/>
        <v>HWRY</v>
      </c>
      <c r="J22" s="4" t="str">
        <f t="shared" si="5"/>
        <v>GEAACRLERFLFTCNLLGSVIFITCISLNRYLGIVH</v>
      </c>
      <c r="K22" s="4" t="str">
        <f t="shared" si="6"/>
        <v>PFFARSHL</v>
      </c>
      <c r="L22" s="4" t="str">
        <f t="shared" si="7"/>
        <v>RPKHAWAVSAAGWVLAALLAMPTLSFS</v>
      </c>
      <c r="M22" s="4" t="str">
        <f t="shared" si="8"/>
        <v>CLG</v>
      </c>
      <c r="N22" s="4" t="str">
        <f t="shared" si="9"/>
        <v>LAAYRAYSLVLAGLGCGLPLLLTLAAYGALGRAVLR</v>
      </c>
      <c r="O22" s="4" t="str">
        <f t="shared" si="10"/>
        <v>TVAEKLRVAALVASGVALYASSYVPYHIMRVLNVDARRR</v>
      </c>
      <c r="P22" s="4" t="str">
        <f t="shared" si="11"/>
        <v>TAALELGPYVGYQVMRGLMPLAFCVHPLLYMAA</v>
      </c>
      <c r="Q22" s="4" t="str">
        <f t="shared" si="12"/>
        <v>VPSLGCCCRHCPG</v>
      </c>
      <c r="R22" s="5">
        <f>VLOOKUP($A22,'SegEnds_NonXtal_Prot#'!$A:$AL,3,FALSE)</f>
        <v>26</v>
      </c>
      <c r="S22" s="5" t="str">
        <f>VLOOKUP($A22,'SegEnds_NonXtal_Prot#'!$A:$AL,6,FALSE)</f>
        <v>-</v>
      </c>
      <c r="T22" s="5">
        <f>VLOOKUP($A22,'SegEnds_NonXtal_Prot#'!$A:$AL,9,FALSE)</f>
        <v>62</v>
      </c>
      <c r="U22" s="5">
        <f>VLOOKUP($A22,'SegEnds_NonXtal_Prot#'!$A:$AL,12,FALSE)</f>
        <v>94</v>
      </c>
      <c r="V22" s="5">
        <f>VLOOKUP($A22,'SegEnds_NonXtal_Prot#'!$A:$AL,15,FALSE)</f>
        <v>98</v>
      </c>
      <c r="W22" s="5">
        <f>VLOOKUP($A22,'SegEnds_NonXtal_Prot#'!$A:$AL,18,FALSE)</f>
        <v>134</v>
      </c>
      <c r="X22" s="5">
        <f>VLOOKUP($A22,'SegEnds_NonXtal_Prot#'!$A:$AL,21,FALSE)</f>
        <v>142</v>
      </c>
      <c r="Y22" s="5">
        <f>VLOOKUP($A22,'SegEnds_NonXtal_Prot#'!$A:$AL,24,FALSE)</f>
        <v>191</v>
      </c>
      <c r="Z22" s="5">
        <f>VLOOKUP($A22,'SegEnds_NonXtal_Prot#'!$A:$AL,27,FALSE)</f>
        <v>199</v>
      </c>
      <c r="AA22" s="5">
        <f>VLOOKUP($A22,'SegEnds_NonXtal_Prot#'!$A:$AL,30,FALSE)</f>
        <v>239</v>
      </c>
      <c r="AB22" s="5">
        <f>VLOOKUP($A22,'SegEnds_NonXtal_Prot#'!$A:$AL,33,FALSE)</f>
        <v>292</v>
      </c>
      <c r="AC22" s="5">
        <f>VLOOKUP($A22,'SegEnds_NonXtal_Prot#'!$A:$AL,36,FALSE)</f>
        <v>325</v>
      </c>
      <c r="AD22" s="5">
        <f>VLOOKUP($A22,'SegEnds_NonXtal_Prot#'!$A:$AL,5,FALSE)</f>
        <v>56</v>
      </c>
      <c r="AE22" s="5" t="str">
        <f>VLOOKUP($A22,'SegEnds_NonXtal_Prot#'!$A:$AL,8,FALSE)</f>
        <v>-</v>
      </c>
      <c r="AF22" s="5">
        <f>VLOOKUP($A22,'SegEnds_NonXtal_Prot#'!$A:$AL,11,FALSE)</f>
        <v>91</v>
      </c>
      <c r="AG22" s="5">
        <f>VLOOKUP($A22,'SegEnds_NonXtal_Prot#'!$A:$AL,14,FALSE)</f>
        <v>97</v>
      </c>
      <c r="AH22" s="5">
        <f>VLOOKUP($A22,'SegEnds_NonXtal_Prot#'!$A:$AL,17,FALSE)</f>
        <v>133</v>
      </c>
      <c r="AI22" s="5">
        <f>VLOOKUP($A22,'SegEnds_NonXtal_Prot#'!$A:$AL,20,FALSE)</f>
        <v>141</v>
      </c>
      <c r="AJ22" s="5">
        <f>VLOOKUP($A22,'SegEnds_NonXtal_Prot#'!$A:$AL,23,FALSE)</f>
        <v>168</v>
      </c>
      <c r="AK22" s="5">
        <f>VLOOKUP($A22,'SegEnds_NonXtal_Prot#'!$A:$AL,26,FALSE)</f>
        <v>193</v>
      </c>
      <c r="AL22" s="5">
        <f>VLOOKUP($A22,'SegEnds_NonXtal_Prot#'!$A:$AL,29,FALSE)</f>
        <v>234</v>
      </c>
      <c r="AM22" s="5">
        <f>VLOOKUP($A22,'SegEnds_NonXtal_Prot#'!$A:$AL,32,FALSE)</f>
        <v>277</v>
      </c>
      <c r="AN22" s="5">
        <f>VLOOKUP($A22,'SegEnds_NonXtal_Prot#'!$A:$AL,35,FALSE)</f>
        <v>324</v>
      </c>
      <c r="AO22" s="5">
        <f>VLOOKUP($A22,'SegEnds_NonXtal_Prot#'!$A:$AL,38,FALSE)</f>
        <v>337</v>
      </c>
      <c r="AP22" s="5">
        <f t="shared" si="13"/>
        <v>30</v>
      </c>
      <c r="AQ22" s="4" t="str">
        <f t="shared" si="14"/>
        <v>-</v>
      </c>
      <c r="AR22" s="4">
        <f t="shared" si="15"/>
        <v>29</v>
      </c>
      <c r="AS22" s="4">
        <f t="shared" si="16"/>
        <v>3</v>
      </c>
      <c r="AT22" s="4">
        <f t="shared" si="17"/>
        <v>35</v>
      </c>
      <c r="AU22" s="4">
        <f t="shared" si="18"/>
        <v>7</v>
      </c>
      <c r="AV22" s="4">
        <f t="shared" si="19"/>
        <v>26</v>
      </c>
      <c r="AW22" s="4">
        <f t="shared" si="20"/>
        <v>2</v>
      </c>
      <c r="AX22" s="4">
        <f t="shared" si="21"/>
        <v>35</v>
      </c>
      <c r="AY22" s="4">
        <f t="shared" si="22"/>
        <v>38</v>
      </c>
      <c r="AZ22" s="4">
        <f t="shared" si="23"/>
        <v>32</v>
      </c>
      <c r="BA22" s="4">
        <f t="shared" si="24"/>
        <v>12</v>
      </c>
    </row>
    <row r="23" spans="1:53" x14ac:dyDescent="0.2">
      <c r="A23" s="1" t="str">
        <f>'SegEnds_NonXtal_Prot#'!A215</f>
        <v>p2y12_human</v>
      </c>
      <c r="B23" s="1" t="str">
        <f t="shared" si="0"/>
        <v>YKITQVLFPLLYTVLFFVGLITNGLAMRIFFQISNFIIFLKNTVISDLLMILTFPFKILSDAKGPLRTFVCQVTSVIFYFTMYISISFLGLITIDRYQKTTRNLLGAKILSVVIWAFMFLLSLPNMILTEFGLVWHEIVNYICQVIFWINFLIVIVCYTLITKELYRSYVRTPRKKVNVKVFIIIAVFFICFVPFHFARIPYTLSQTRDCTAENTLFYVKESTLWLTSLNACLDPFIYFFLCKSFRNSLISM</v>
      </c>
      <c r="C23" s="29" t="str">
        <f>IF(ISERROR(MATCH(A23,'SegEnds_Xtal_Prot#'!B:B, 0)), "NoXtal", "Xtal")</f>
        <v>Xtal</v>
      </c>
      <c r="D23" s="4" t="str">
        <f>VLOOKUP(A23,Classification!A:D,2,FALSE)</f>
        <v>A</v>
      </c>
      <c r="E23" s="5" t="str">
        <f>VLOOKUP(A23,Seqs!A:B,2,FALSE)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F23" s="5" t="str">
        <f t="shared" si="1"/>
        <v>YKITQVLFPLLYTVLFFVGLITNGLAMRIFFQI</v>
      </c>
      <c r="G23" s="4" t="str">
        <f t="shared" si="2"/>
        <v/>
      </c>
      <c r="H23" s="4" t="str">
        <f t="shared" si="3"/>
        <v>SNFIIFLKNTVISDLLMILTFPFKILSDAK</v>
      </c>
      <c r="I23" s="4" t="str">
        <f t="shared" si="4"/>
        <v/>
      </c>
      <c r="J23" s="4" t="str">
        <f t="shared" si="5"/>
        <v>GPLRTFVCQVTSVIFYFTMYISISFLGLITIDRYQKTTR</v>
      </c>
      <c r="K23" s="4" t="str">
        <f t="shared" si="6"/>
        <v>PFKTSNPK</v>
      </c>
      <c r="L23" s="4" t="str">
        <f t="shared" si="7"/>
        <v>NLLGAKILSVVIWAFMFLLSLPNMILT</v>
      </c>
      <c r="M23" s="4" t="str">
        <f t="shared" si="8"/>
        <v>CSF</v>
      </c>
      <c r="N23" s="4" t="str">
        <f t="shared" si="9"/>
        <v>EFGLVWHEIVNYICQVIFWINFLIVIVCYTLITKELYRSYVRT</v>
      </c>
      <c r="O23" s="4" t="str">
        <f t="shared" si="10"/>
        <v>PRKKVNVKVFIIIAVFFICFVPFHFARIPYTLSQTR</v>
      </c>
      <c r="P23" s="4" t="str">
        <f t="shared" si="11"/>
        <v>DCTAENTLFYVKESTLWLTSLNACLDPFIYFFL</v>
      </c>
      <c r="Q23" s="4" t="str">
        <f t="shared" si="12"/>
        <v>CKSFRNSLISM</v>
      </c>
      <c r="R23" s="5">
        <f>VLOOKUP($A23,'SegEnds_NonXtal_Prot#'!$A:$AL,3,FALSE)</f>
        <v>21</v>
      </c>
      <c r="S23" s="5" t="str">
        <f>VLOOKUP($A23,'SegEnds_NonXtal_Prot#'!$A:$AL,6,FALSE)</f>
        <v>-</v>
      </c>
      <c r="T23" s="5">
        <f>VLOOKUP($A23,'SegEnds_NonXtal_Prot#'!$A:$AL,9,FALSE)</f>
        <v>57</v>
      </c>
      <c r="U23" s="5" t="str">
        <f>VLOOKUP($A23,'SegEnds_NonXtal_Prot#'!$A:$AL,12,FALSE)</f>
        <v>-</v>
      </c>
      <c r="V23" s="5">
        <f>VLOOKUP($A23,'SegEnds_NonXtal_Prot#'!$A:$AL,15,FALSE)</f>
        <v>90</v>
      </c>
      <c r="W23" s="5">
        <f>VLOOKUP($A23,'SegEnds_NonXtal_Prot#'!$A:$AL,18,FALSE)</f>
        <v>129</v>
      </c>
      <c r="X23" s="5">
        <f>VLOOKUP($A23,'SegEnds_NonXtal_Prot#'!$A:$AL,21,FALSE)</f>
        <v>137</v>
      </c>
      <c r="Y23" s="5">
        <f>VLOOKUP($A23,'SegEnds_NonXtal_Prot#'!$A:$AL,24,FALSE)</f>
        <v>175</v>
      </c>
      <c r="Z23" s="5">
        <f>VLOOKUP($A23,'SegEnds_NonXtal_Prot#'!$A:$AL,27,FALSE)</f>
        <v>181</v>
      </c>
      <c r="AA23" s="5">
        <f>VLOOKUP($A23,'SegEnds_NonXtal_Prot#'!$A:$AL,30,FALSE)</f>
        <v>230</v>
      </c>
      <c r="AB23" s="5">
        <f>VLOOKUP($A23,'SegEnds_NonXtal_Prot#'!$A:$AL,33,FALSE)</f>
        <v>269</v>
      </c>
      <c r="AC23" s="5">
        <f>VLOOKUP($A23,'SegEnds_NonXtal_Prot#'!$A:$AL,36,FALSE)</f>
        <v>302</v>
      </c>
      <c r="AD23" s="5">
        <f>VLOOKUP($A23,'SegEnds_NonXtal_Prot#'!$A:$AL,5,FALSE)</f>
        <v>53</v>
      </c>
      <c r="AE23" s="5" t="str">
        <f>VLOOKUP($A23,'SegEnds_NonXtal_Prot#'!$A:$AL,8,FALSE)</f>
        <v>-</v>
      </c>
      <c r="AF23" s="5">
        <f>VLOOKUP($A23,'SegEnds_NonXtal_Prot#'!$A:$AL,11,FALSE)</f>
        <v>86</v>
      </c>
      <c r="AG23" s="5" t="str">
        <f>VLOOKUP($A23,'SegEnds_NonXtal_Prot#'!$A:$AL,14,FALSE)</f>
        <v>-</v>
      </c>
      <c r="AH23" s="5">
        <f>VLOOKUP($A23,'SegEnds_NonXtal_Prot#'!$A:$AL,17,FALSE)</f>
        <v>128</v>
      </c>
      <c r="AI23" s="5">
        <f>VLOOKUP($A23,'SegEnds_NonXtal_Prot#'!$A:$AL,20,FALSE)</f>
        <v>136</v>
      </c>
      <c r="AJ23" s="5">
        <f>VLOOKUP($A23,'SegEnds_NonXtal_Prot#'!$A:$AL,23,FALSE)</f>
        <v>163</v>
      </c>
      <c r="AK23" s="5">
        <f>VLOOKUP($A23,'SegEnds_NonXtal_Prot#'!$A:$AL,26,FALSE)</f>
        <v>177</v>
      </c>
      <c r="AL23" s="5">
        <f>VLOOKUP($A23,'SegEnds_NonXtal_Prot#'!$A:$AL,29,FALSE)</f>
        <v>223</v>
      </c>
      <c r="AM23" s="5">
        <f>VLOOKUP($A23,'SegEnds_NonXtal_Prot#'!$A:$AL,32,FALSE)</f>
        <v>265</v>
      </c>
      <c r="AN23" s="5">
        <f>VLOOKUP($A23,'SegEnds_NonXtal_Prot#'!$A:$AL,35,FALSE)</f>
        <v>301</v>
      </c>
      <c r="AO23" s="5">
        <f>VLOOKUP($A23,'SegEnds_NonXtal_Prot#'!$A:$AL,38,FALSE)</f>
        <v>312</v>
      </c>
      <c r="AP23" s="5">
        <f t="shared" si="13"/>
        <v>32</v>
      </c>
      <c r="AQ23" s="4" t="str">
        <f t="shared" si="14"/>
        <v>-</v>
      </c>
      <c r="AR23" s="4">
        <f t="shared" si="15"/>
        <v>29</v>
      </c>
      <c r="AS23" s="4" t="str">
        <f t="shared" si="16"/>
        <v>-</v>
      </c>
      <c r="AT23" s="4">
        <f t="shared" si="17"/>
        <v>38</v>
      </c>
      <c r="AU23" s="4">
        <f t="shared" si="18"/>
        <v>7</v>
      </c>
      <c r="AV23" s="4">
        <f t="shared" si="19"/>
        <v>26</v>
      </c>
      <c r="AW23" s="4">
        <f t="shared" si="20"/>
        <v>2</v>
      </c>
      <c r="AX23" s="4">
        <f t="shared" si="21"/>
        <v>42</v>
      </c>
      <c r="AY23" s="4">
        <f t="shared" si="22"/>
        <v>35</v>
      </c>
      <c r="AZ23" s="4">
        <f t="shared" si="23"/>
        <v>32</v>
      </c>
      <c r="BA23" s="4">
        <f t="shared" si="24"/>
        <v>10</v>
      </c>
    </row>
    <row r="24" spans="1:53" x14ac:dyDescent="0.2">
      <c r="A24" s="1" t="str">
        <f>'SegEnds_NonXtal_Prot#'!A228</f>
        <v>pi2r_human</v>
      </c>
      <c r="B24" s="1" t="str">
        <f t="shared" si="0"/>
        <v>SVGPATSTLMFVAGVVGNGLALGILSSAFAVLVTGLAATDLLGTSFLSPAVFVAYARARGGPALCDAFAFAMTFFGLASMLILFAMAVERCLALSHGPRCARLALPAIYAFCVLFCALPLLGQPGGAAFSLAYAGLVALLVAAIFLCNGSVTLSLCRMYRQQKRHPRPRTGEDEVDHLILLALMTVVMAVCSLPLTIRCFTQAVASEMGDLLAFRFYAFNPILDPWVFILFRKAVFQRLKLWVCC</v>
      </c>
      <c r="C24" s="29" t="str">
        <f>IF(ISERROR(MATCH(A24,'SegEnds_Xtal_Prot#'!B:B, 0)), "NoXtal", "Xtal")</f>
        <v>NoXtal</v>
      </c>
      <c r="D24" s="4" t="str">
        <f>VLOOKUP(A24,Classification!A:D,2,FALSE)</f>
        <v>A</v>
      </c>
      <c r="E24" s="5" t="str">
        <f>VLOOKUP(A24,Seqs!A:B,2,FALSE)</f>
        <v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v>
      </c>
      <c r="F24" s="5" t="str">
        <f t="shared" si="1"/>
        <v>SVGPATSTLMFVAGVVGNGLALGILS</v>
      </c>
      <c r="G24" s="4" t="str">
        <f t="shared" si="2"/>
        <v/>
      </c>
      <c r="H24" s="4" t="str">
        <f t="shared" si="3"/>
        <v>SAFAVLVTGLAATDLLGTSFLSPAVFVAYAR</v>
      </c>
      <c r="I24" s="4" t="str">
        <f t="shared" si="4"/>
        <v/>
      </c>
      <c r="J24" s="4" t="str">
        <f t="shared" si="5"/>
        <v>ARGGPALCDAFAFAMTFFGLASMLILFAMAVERCLALSH</v>
      </c>
      <c r="K24" s="4" t="str">
        <f t="shared" si="6"/>
        <v>PYLYAQLD</v>
      </c>
      <c r="L24" s="4" t="str">
        <f t="shared" si="7"/>
        <v>GPRCARLALPAIYAFCVLFCALPLLG</v>
      </c>
      <c r="M24" s="4" t="str">
        <f t="shared" si="8"/>
        <v>CFL</v>
      </c>
      <c r="N24" s="4" t="str">
        <f t="shared" si="9"/>
        <v>QPGGAAFSLAYAGLVALLVAAIFLCNGSVTLSLCRMYRQQKRH</v>
      </c>
      <c r="O24" s="4" t="str">
        <f t="shared" si="10"/>
        <v>PRPRTGEDEVDHLILLALMTVVMAVCSLPLTIRCFTQAVA</v>
      </c>
      <c r="P24" s="4" t="str">
        <f t="shared" si="11"/>
        <v>SEMGDLLAFRFYAFNPILDPWVFILF</v>
      </c>
      <c r="Q24" s="4" t="str">
        <f t="shared" si="12"/>
        <v>RKAVFQRLKLWVCC</v>
      </c>
      <c r="R24" s="5">
        <f>VLOOKUP($A24,'SegEnds_NonXtal_Prot#'!$A:$AL,3,FALSE)</f>
        <v>14</v>
      </c>
      <c r="S24" s="5" t="str">
        <f>VLOOKUP($A24,'SegEnds_NonXtal_Prot#'!$A:$AL,6,FALSE)</f>
        <v>-</v>
      </c>
      <c r="T24" s="5">
        <f>VLOOKUP($A24,'SegEnds_NonXtal_Prot#'!$A:$AL,9,FALSE)</f>
        <v>47</v>
      </c>
      <c r="U24" s="5" t="str">
        <f>VLOOKUP($A24,'SegEnds_NonXtal_Prot#'!$A:$AL,12,FALSE)</f>
        <v>-</v>
      </c>
      <c r="V24" s="5">
        <f>VLOOKUP($A24,'SegEnds_NonXtal_Prot#'!$A:$AL,15,FALSE)</f>
        <v>85</v>
      </c>
      <c r="W24" s="5">
        <f>VLOOKUP($A24,'SegEnds_NonXtal_Prot#'!$A:$AL,18,FALSE)</f>
        <v>124</v>
      </c>
      <c r="X24" s="5">
        <f>VLOOKUP($A24,'SegEnds_NonXtal_Prot#'!$A:$AL,21,FALSE)</f>
        <v>132</v>
      </c>
      <c r="Y24" s="5">
        <f>VLOOKUP($A24,'SegEnds_NonXtal_Prot#'!$A:$AL,24,FALSE)</f>
        <v>170</v>
      </c>
      <c r="Z24" s="5">
        <f>VLOOKUP($A24,'SegEnds_NonXtal_Prot#'!$A:$AL,27,FALSE)</f>
        <v>178</v>
      </c>
      <c r="AA24" s="5">
        <f>VLOOKUP($A24,'SegEnds_NonXtal_Prot#'!$A:$AL,30,FALSE)</f>
        <v>226</v>
      </c>
      <c r="AB24" s="5">
        <f>VLOOKUP($A24,'SegEnds_NonXtal_Prot#'!$A:$AL,33,FALSE)</f>
        <v>270</v>
      </c>
      <c r="AC24" s="5">
        <f>VLOOKUP($A24,'SegEnds_NonXtal_Prot#'!$A:$AL,36,FALSE)</f>
        <v>296</v>
      </c>
      <c r="AD24" s="5">
        <f>VLOOKUP($A24,'SegEnds_NonXtal_Prot#'!$A:$AL,5,FALSE)</f>
        <v>39</v>
      </c>
      <c r="AE24" s="5" t="str">
        <f>VLOOKUP($A24,'SegEnds_NonXtal_Prot#'!$A:$AL,8,FALSE)</f>
        <v>-</v>
      </c>
      <c r="AF24" s="5">
        <f>VLOOKUP($A24,'SegEnds_NonXtal_Prot#'!$A:$AL,11,FALSE)</f>
        <v>77</v>
      </c>
      <c r="AG24" s="5" t="str">
        <f>VLOOKUP($A24,'SegEnds_NonXtal_Prot#'!$A:$AL,14,FALSE)</f>
        <v>-</v>
      </c>
      <c r="AH24" s="5">
        <f>VLOOKUP($A24,'SegEnds_NonXtal_Prot#'!$A:$AL,17,FALSE)</f>
        <v>123</v>
      </c>
      <c r="AI24" s="5">
        <f>VLOOKUP($A24,'SegEnds_NonXtal_Prot#'!$A:$AL,20,FALSE)</f>
        <v>131</v>
      </c>
      <c r="AJ24" s="5">
        <f>VLOOKUP($A24,'SegEnds_NonXtal_Prot#'!$A:$AL,23,FALSE)</f>
        <v>157</v>
      </c>
      <c r="AK24" s="5">
        <f>VLOOKUP($A24,'SegEnds_NonXtal_Prot#'!$A:$AL,26,FALSE)</f>
        <v>172</v>
      </c>
      <c r="AL24" s="5">
        <f>VLOOKUP($A24,'SegEnds_NonXtal_Prot#'!$A:$AL,29,FALSE)</f>
        <v>220</v>
      </c>
      <c r="AM24" s="5">
        <f>VLOOKUP($A24,'SegEnds_NonXtal_Prot#'!$A:$AL,32,FALSE)</f>
        <v>265</v>
      </c>
      <c r="AN24" s="5">
        <f>VLOOKUP($A24,'SegEnds_NonXtal_Prot#'!$A:$AL,35,FALSE)</f>
        <v>295</v>
      </c>
      <c r="AO24" s="5">
        <f>VLOOKUP($A24,'SegEnds_NonXtal_Prot#'!$A:$AL,38,FALSE)</f>
        <v>309</v>
      </c>
      <c r="AP24" s="5">
        <f t="shared" si="13"/>
        <v>25</v>
      </c>
      <c r="AQ24" s="4" t="str">
        <f t="shared" si="14"/>
        <v>-</v>
      </c>
      <c r="AR24" s="4">
        <f t="shared" si="15"/>
        <v>30</v>
      </c>
      <c r="AS24" s="4" t="str">
        <f t="shared" si="16"/>
        <v>-</v>
      </c>
      <c r="AT24" s="4">
        <f t="shared" si="17"/>
        <v>38</v>
      </c>
      <c r="AU24" s="4">
        <f t="shared" si="18"/>
        <v>7</v>
      </c>
      <c r="AV24" s="4">
        <f t="shared" si="19"/>
        <v>25</v>
      </c>
      <c r="AW24" s="4">
        <f t="shared" si="20"/>
        <v>2</v>
      </c>
      <c r="AX24" s="4">
        <f t="shared" si="21"/>
        <v>42</v>
      </c>
      <c r="AY24" s="4">
        <f t="shared" si="22"/>
        <v>39</v>
      </c>
      <c r="AZ24" s="4">
        <f t="shared" si="23"/>
        <v>25</v>
      </c>
      <c r="BA24" s="4">
        <f t="shared" si="24"/>
        <v>13</v>
      </c>
    </row>
    <row r="25" spans="1:53" x14ac:dyDescent="0.2">
      <c r="A25" s="1" t="str">
        <f>'SegEnds_NonXtal_Prot#'!A247</f>
        <v>taar9_human</v>
      </c>
      <c r="B25" s="1" t="str">
        <f t="shared" si="0"/>
        <v>SPGPRSILYAVLGFGAVLAAFGNLLVMIAILHFTPTNFLIASLACADFLVGVTVMPFSTVRSVESGDSYCKFHTCFDTSFCFASLFHLCCISVDRYIAVTDTVSVSGICIVLSWFFSVTYSFSIFYTLNQNWVLLCFLLFFIPNVAMVFIYSKIFLVAKHQARKIESSYKERVAKRERKAAKTLGIAMAAFLVSWLPYLVDAVIDAYMPPYVYEILVWCVYYNSAMNPLIYAFFYQWFGKAIKLIV</v>
      </c>
      <c r="C25" s="29" t="str">
        <f>IF(ISERROR(MATCH(A25,'SegEnds_Xtal_Prot#'!B:B, 0)), "NoXtal", "Xtal")</f>
        <v>NoXtal</v>
      </c>
      <c r="D25" s="4" t="str">
        <f>VLOOKUP(A25,Classification!A:D,2,FALSE)</f>
        <v>A</v>
      </c>
      <c r="E25" s="5" t="str">
        <f>VLOOKUP(A25,Seqs!A:B,2,FALSE)</f>
        <v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v>
      </c>
      <c r="F25" s="5" t="str">
        <f t="shared" si="1"/>
        <v>SPGPRSILYAVLGFGAVLAAFGNLLVMIAILHF</v>
      </c>
      <c r="G25" s="4" t="str">
        <f t="shared" si="2"/>
        <v>KQLH</v>
      </c>
      <c r="H25" s="4" t="str">
        <f t="shared" si="3"/>
        <v>TPTNFLIASLACADFLVGVTVMPFSTVRSVES</v>
      </c>
      <c r="I25" s="4" t="str">
        <f t="shared" si="4"/>
        <v>CWYF</v>
      </c>
      <c r="J25" s="4" t="str">
        <f t="shared" si="5"/>
        <v>GDSYCKFHTCFDTSFCFASLFHLCCISVDRYIAVTD</v>
      </c>
      <c r="K25" s="4" t="str">
        <f t="shared" si="6"/>
        <v>PLTYPTKF</v>
      </c>
      <c r="L25" s="4" t="str">
        <f t="shared" si="7"/>
        <v>TVSVSGICIVLSWFFSVTYSFSIFYT</v>
      </c>
      <c r="M25" s="4" t="str">
        <f t="shared" si="8"/>
        <v>CQA</v>
      </c>
      <c r="N25" s="4" t="str">
        <f t="shared" si="9"/>
        <v>LNQNWVLLCFLLFFIPNVAMVFIYSKIFLVAKHQARKIES</v>
      </c>
      <c r="O25" s="4" t="str">
        <f t="shared" si="10"/>
        <v>SYKERVAKRERKAAKTLGIAMAAFLVSWLPYLVDAVIDAYM</v>
      </c>
      <c r="P25" s="4" t="str">
        <f t="shared" si="11"/>
        <v>PPYVYEILVWCVYYNSAMNPLIYAFF</v>
      </c>
      <c r="Q25" s="4" t="str">
        <f t="shared" si="12"/>
        <v>YQWFGKAIKLIV</v>
      </c>
      <c r="R25" s="5">
        <f>VLOOKUP($A25,'SegEnds_NonXtal_Prot#'!$A:$AL,3,FALSE)</f>
        <v>28</v>
      </c>
      <c r="S25" s="5">
        <f>VLOOKUP($A25,'SegEnds_NonXtal_Prot#'!$A:$AL,6,FALSE)</f>
        <v>61</v>
      </c>
      <c r="T25" s="5">
        <f>VLOOKUP($A25,'SegEnds_NonXtal_Prot#'!$A:$AL,9,FALSE)</f>
        <v>65</v>
      </c>
      <c r="U25" s="5">
        <f>VLOOKUP($A25,'SegEnds_NonXtal_Prot#'!$A:$AL,12,FALSE)</f>
        <v>97</v>
      </c>
      <c r="V25" s="5">
        <f>VLOOKUP($A25,'SegEnds_NonXtal_Prot#'!$A:$AL,15,FALSE)</f>
        <v>101</v>
      </c>
      <c r="W25" s="5">
        <f>VLOOKUP($A25,'SegEnds_NonXtal_Prot#'!$A:$AL,18,FALSE)</f>
        <v>137</v>
      </c>
      <c r="X25" s="5">
        <f>VLOOKUP($A25,'SegEnds_NonXtal_Prot#'!$A:$AL,21,FALSE)</f>
        <v>145</v>
      </c>
      <c r="Y25" s="5">
        <f>VLOOKUP($A25,'SegEnds_NonXtal_Prot#'!$A:$AL,24,FALSE)</f>
        <v>190</v>
      </c>
      <c r="Z25" s="5">
        <f>VLOOKUP($A25,'SegEnds_NonXtal_Prot#'!$A:$AL,27,FALSE)</f>
        <v>194</v>
      </c>
      <c r="AA25" s="5">
        <f>VLOOKUP($A25,'SegEnds_NonXtal_Prot#'!$A:$AL,30,FALSE)</f>
        <v>244</v>
      </c>
      <c r="AB25" s="5">
        <f>VLOOKUP($A25,'SegEnds_NonXtal_Prot#'!$A:$AL,33,FALSE)</f>
        <v>289</v>
      </c>
      <c r="AC25" s="5">
        <f>VLOOKUP($A25,'SegEnds_NonXtal_Prot#'!$A:$AL,36,FALSE)</f>
        <v>315</v>
      </c>
      <c r="AD25" s="5">
        <f>VLOOKUP($A25,'SegEnds_NonXtal_Prot#'!$A:$AL,5,FALSE)</f>
        <v>60</v>
      </c>
      <c r="AE25" s="5">
        <f>VLOOKUP($A25,'SegEnds_NonXtal_Prot#'!$A:$AL,8,FALSE)</f>
        <v>64</v>
      </c>
      <c r="AF25" s="5">
        <f>VLOOKUP($A25,'SegEnds_NonXtal_Prot#'!$A:$AL,11,FALSE)</f>
        <v>96</v>
      </c>
      <c r="AG25" s="5">
        <f>VLOOKUP($A25,'SegEnds_NonXtal_Prot#'!$A:$AL,14,FALSE)</f>
        <v>100</v>
      </c>
      <c r="AH25" s="5">
        <f>VLOOKUP($A25,'SegEnds_NonXtal_Prot#'!$A:$AL,17,FALSE)</f>
        <v>136</v>
      </c>
      <c r="AI25" s="5">
        <f>VLOOKUP($A25,'SegEnds_NonXtal_Prot#'!$A:$AL,20,FALSE)</f>
        <v>144</v>
      </c>
      <c r="AJ25" s="5">
        <f>VLOOKUP($A25,'SegEnds_NonXtal_Prot#'!$A:$AL,23,FALSE)</f>
        <v>170</v>
      </c>
      <c r="AK25" s="5">
        <f>VLOOKUP($A25,'SegEnds_NonXtal_Prot#'!$A:$AL,26,FALSE)</f>
        <v>192</v>
      </c>
      <c r="AL25" s="5">
        <f>VLOOKUP($A25,'SegEnds_NonXtal_Prot#'!$A:$AL,29,FALSE)</f>
        <v>233</v>
      </c>
      <c r="AM25" s="5">
        <f>VLOOKUP($A25,'SegEnds_NonXtal_Prot#'!$A:$AL,32,FALSE)</f>
        <v>284</v>
      </c>
      <c r="AN25" s="5">
        <f>VLOOKUP($A25,'SegEnds_NonXtal_Prot#'!$A:$AL,35,FALSE)</f>
        <v>314</v>
      </c>
      <c r="AO25" s="5">
        <f>VLOOKUP($A25,'SegEnds_NonXtal_Prot#'!$A:$AL,38,FALSE)</f>
        <v>326</v>
      </c>
      <c r="AP25" s="5">
        <f t="shared" si="13"/>
        <v>32</v>
      </c>
      <c r="AQ25" s="4">
        <f t="shared" si="14"/>
        <v>3</v>
      </c>
      <c r="AR25" s="4">
        <f t="shared" si="15"/>
        <v>31</v>
      </c>
      <c r="AS25" s="4">
        <f t="shared" si="16"/>
        <v>3</v>
      </c>
      <c r="AT25" s="4">
        <f t="shared" si="17"/>
        <v>35</v>
      </c>
      <c r="AU25" s="4">
        <f t="shared" si="18"/>
        <v>7</v>
      </c>
      <c r="AV25" s="4">
        <f t="shared" si="19"/>
        <v>25</v>
      </c>
      <c r="AW25" s="4">
        <f t="shared" si="20"/>
        <v>2</v>
      </c>
      <c r="AX25" s="4">
        <f t="shared" si="21"/>
        <v>39</v>
      </c>
      <c r="AY25" s="4">
        <f t="shared" si="22"/>
        <v>40</v>
      </c>
      <c r="AZ25" s="4">
        <f t="shared" si="23"/>
        <v>25</v>
      </c>
      <c r="BA25" s="4">
        <f t="shared" si="24"/>
        <v>11</v>
      </c>
    </row>
    <row r="26" spans="1:53" x14ac:dyDescent="0.2">
      <c r="A26" s="1" t="str">
        <f>'SegEnds_NonXtal_Prot#'!A253</f>
        <v>drd2_human</v>
      </c>
      <c r="B26" s="1" t="str">
        <f t="shared" si="0"/>
        <v>RPHYNYYATLLTLLIAVIVFGNVLVCMAVSRETTTNYLIVSLAVADLLVATLVMPWVVYLEVVGSRIHCDIFVTLDVMMCTASILNLCAISIDRYTAVAMSKRRVTVMISIVWVLSFTISCPLLFNPAFVVYSSIVSFYVPFIVTLLVYIKIYIVLRRRRKRVNTKKLSQQKEKKATQMLAIVLGVFIICWLPFFITHILNIHCPPVLYSAFTWLGYVNSAVNPIIYTTFNIEFRKAFLKILH</v>
      </c>
      <c r="C26" s="29" t="str">
        <f>IF(ISERROR(MATCH(A26,'SegEnds_Xtal_Prot#'!B:B, 0)), "NoXtal", "Xtal")</f>
        <v>Xtal</v>
      </c>
      <c r="D26" s="4" t="str">
        <f>VLOOKUP(A26,Classification!A:D,2,FALSE)</f>
        <v>A</v>
      </c>
      <c r="E26" s="5" t="str">
        <f>VLOOKUP(A26,Seqs!A:B,2,FALSE)</f>
        <v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v>
      </c>
      <c r="F26" s="5" t="str">
        <f t="shared" si="1"/>
        <v>RPHYNYYATLLTLLIAVIVFGNVLVCMAVSRE</v>
      </c>
      <c r="G26" s="4" t="str">
        <f t="shared" si="2"/>
        <v>KALQ</v>
      </c>
      <c r="H26" s="4" t="str">
        <f t="shared" si="3"/>
        <v>TTTNYLIVSLAVADLLVATLVMPWVVYLEVVG</v>
      </c>
      <c r="I26" s="4" t="str">
        <f t="shared" si="4"/>
        <v>EWKF</v>
      </c>
      <c r="J26" s="4" t="str">
        <f t="shared" si="5"/>
        <v>SRIHCDIFVTLDVMMCTASILNLCAISIDRYTAVAM</v>
      </c>
      <c r="K26" s="4" t="str">
        <f t="shared" si="6"/>
        <v>PMLYNTRYS</v>
      </c>
      <c r="L26" s="4" t="str">
        <f t="shared" si="7"/>
        <v>SKRRVTVMISIVWVLSFTISCPLLF</v>
      </c>
      <c r="M26" s="4" t="str">
        <f t="shared" si="8"/>
        <v>CII</v>
      </c>
      <c r="N26" s="4" t="str">
        <f t="shared" si="9"/>
        <v>NPAFVVYSSIVSFYVPFIVTLLVYIKIYIVLRRRRKRVNTK</v>
      </c>
      <c r="O26" s="4" t="str">
        <f t="shared" si="10"/>
        <v>KLSQQKEKKATQMLAIVLGVFIICWLPFFITHILNIHC</v>
      </c>
      <c r="P26" s="4" t="str">
        <f t="shared" si="11"/>
        <v>PPVLYSAFTWLGYVNSAVNPIIYTTF</v>
      </c>
      <c r="Q26" s="4" t="str">
        <f t="shared" si="12"/>
        <v>NIEFRKAFLKILH</v>
      </c>
      <c r="R26" s="5">
        <f>VLOOKUP($A26,'SegEnds_NonXtal_Prot#'!$A:$AL,3,FALSE)</f>
        <v>31</v>
      </c>
      <c r="S26" s="5">
        <f>VLOOKUP($A26,'SegEnds_NonXtal_Prot#'!$A:$AL,6,FALSE)</f>
        <v>63</v>
      </c>
      <c r="T26" s="5">
        <f>VLOOKUP($A26,'SegEnds_NonXtal_Prot#'!$A:$AL,9,FALSE)</f>
        <v>67</v>
      </c>
      <c r="U26" s="5">
        <f>VLOOKUP($A26,'SegEnds_NonXtal_Prot#'!$A:$AL,12,FALSE)</f>
        <v>99</v>
      </c>
      <c r="V26" s="5">
        <f>VLOOKUP($A26,'SegEnds_NonXtal_Prot#'!$A:$AL,15,FALSE)</f>
        <v>103</v>
      </c>
      <c r="W26" s="5">
        <f>VLOOKUP($A26,'SegEnds_NonXtal_Prot#'!$A:$AL,18,FALSE)</f>
        <v>139</v>
      </c>
      <c r="X26" s="5">
        <f>VLOOKUP($A26,'SegEnds_NonXtal_Prot#'!$A:$AL,21,FALSE)</f>
        <v>148</v>
      </c>
      <c r="Y26" s="5">
        <f>VLOOKUP($A26,'SegEnds_NonXtal_Prot#'!$A:$AL,24,FALSE)</f>
        <v>182</v>
      </c>
      <c r="Z26" s="5">
        <f>VLOOKUP($A26,'SegEnds_NonXtal_Prot#'!$A:$AL,27,FALSE)</f>
        <v>186</v>
      </c>
      <c r="AA26" s="5">
        <f>VLOOKUP($A26,'SegEnds_NonXtal_Prot#'!$A:$AL,30,FALSE)</f>
        <v>362</v>
      </c>
      <c r="AB26" s="5">
        <f>VLOOKUP($A26,'SegEnds_NonXtal_Prot#'!$A:$AL,33,FALSE)</f>
        <v>404</v>
      </c>
      <c r="AC26" s="5">
        <f>VLOOKUP($A26,'SegEnds_NonXtal_Prot#'!$A:$AL,36,FALSE)</f>
        <v>430</v>
      </c>
      <c r="AD26" s="5">
        <f>VLOOKUP($A26,'SegEnds_NonXtal_Prot#'!$A:$AL,5,FALSE)</f>
        <v>62</v>
      </c>
      <c r="AE26" s="5">
        <f>VLOOKUP($A26,'SegEnds_NonXtal_Prot#'!$A:$AL,8,FALSE)</f>
        <v>66</v>
      </c>
      <c r="AF26" s="5">
        <f>VLOOKUP($A26,'SegEnds_NonXtal_Prot#'!$A:$AL,11,FALSE)</f>
        <v>98</v>
      </c>
      <c r="AG26" s="5">
        <f>VLOOKUP($A26,'SegEnds_NonXtal_Prot#'!$A:$AL,14,FALSE)</f>
        <v>102</v>
      </c>
      <c r="AH26" s="5">
        <f>VLOOKUP($A26,'SegEnds_NonXtal_Prot#'!$A:$AL,17,FALSE)</f>
        <v>138</v>
      </c>
      <c r="AI26" s="5">
        <f>VLOOKUP($A26,'SegEnds_NonXtal_Prot#'!$A:$AL,20,FALSE)</f>
        <v>147</v>
      </c>
      <c r="AJ26" s="5">
        <f>VLOOKUP($A26,'SegEnds_NonXtal_Prot#'!$A:$AL,23,FALSE)</f>
        <v>172</v>
      </c>
      <c r="AK26" s="5">
        <f>VLOOKUP($A26,'SegEnds_NonXtal_Prot#'!$A:$AL,26,FALSE)</f>
        <v>184</v>
      </c>
      <c r="AL26" s="5">
        <f>VLOOKUP($A26,'SegEnds_NonXtal_Prot#'!$A:$AL,29,FALSE)</f>
        <v>226</v>
      </c>
      <c r="AM26" s="5">
        <f>VLOOKUP($A26,'SegEnds_NonXtal_Prot#'!$A:$AL,32,FALSE)</f>
        <v>399</v>
      </c>
      <c r="AN26" s="5">
        <f>VLOOKUP($A26,'SegEnds_NonXtal_Prot#'!$A:$AL,35,FALSE)</f>
        <v>429</v>
      </c>
      <c r="AO26" s="5">
        <f>VLOOKUP($A26,'SegEnds_NonXtal_Prot#'!$A:$AL,38,FALSE)</f>
        <v>442</v>
      </c>
      <c r="AP26" s="5">
        <f t="shared" si="13"/>
        <v>31</v>
      </c>
      <c r="AQ26" s="4">
        <f t="shared" si="14"/>
        <v>3</v>
      </c>
      <c r="AR26" s="4">
        <f t="shared" si="15"/>
        <v>31</v>
      </c>
      <c r="AS26" s="4">
        <f t="shared" si="16"/>
        <v>3</v>
      </c>
      <c r="AT26" s="4">
        <f t="shared" si="17"/>
        <v>35</v>
      </c>
      <c r="AU26" s="4">
        <f t="shared" si="18"/>
        <v>8</v>
      </c>
      <c r="AV26" s="4">
        <f t="shared" si="19"/>
        <v>24</v>
      </c>
      <c r="AW26" s="4">
        <f t="shared" si="20"/>
        <v>2</v>
      </c>
      <c r="AX26" s="4">
        <f t="shared" si="21"/>
        <v>40</v>
      </c>
      <c r="AY26" s="4">
        <f t="shared" si="22"/>
        <v>37</v>
      </c>
      <c r="AZ26" s="4">
        <f t="shared" si="23"/>
        <v>25</v>
      </c>
      <c r="BA26" s="4">
        <f t="shared" si="24"/>
        <v>12</v>
      </c>
    </row>
    <row r="27" spans="1:53" x14ac:dyDescent="0.2">
      <c r="A27" s="1" t="str">
        <f>'SegEnds_NonXtal_Prot#'!A264</f>
        <v>ackr3_human</v>
      </c>
      <c r="B27" s="1" t="str">
        <f t="shared" si="0"/>
        <v>VLLYTLSFIYIFIFVIGMIANSVVVWVNIQAYDTHCYILNLAIADLWVVLTIPVWVVSLVQGELTCKVTHLIFSINLFGSIFFLTCMSVDRYLSITYKKMVRRVVCILVWLLAFCVSLPDTYYLWLIGMELVSVVLGFAVPFSIIAVFYFLLARAISASKHSSRKIIFSYVVVFLVCWLPYHVAVLLDIFSILHTCRLEHALFTALHVTQCLSLVHCCVNPVLYSFINRNYRYELMKAFIFK</v>
      </c>
      <c r="C27" s="29" t="str">
        <f>IF(ISERROR(MATCH(A27,'SegEnds_Xtal_Prot#'!B:B, 0)), "NoXtal", "Xtal")</f>
        <v>NoXtal</v>
      </c>
      <c r="D27" s="4" t="str">
        <f>VLOOKUP(A27,Classification!A:D,2,FALSE)</f>
        <v>A</v>
      </c>
      <c r="E27" s="5" t="str">
        <f>VLOOKUP(A27,Seqs!A:B,2,FALSE)</f>
        <v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v>
      </c>
      <c r="F27" s="5" t="str">
        <f t="shared" si="1"/>
        <v>VLLYTLSFIYIFIFVIGMIANSVVVWVNIQA</v>
      </c>
      <c r="G27" s="4" t="str">
        <f t="shared" si="2"/>
        <v>KTTG</v>
      </c>
      <c r="H27" s="4" t="str">
        <f t="shared" si="3"/>
        <v>YDTHCYILNLAIADLWVVLTIPVWVVSLVQ</v>
      </c>
      <c r="I27" s="4" t="str">
        <f t="shared" si="4"/>
        <v>QWPM</v>
      </c>
      <c r="J27" s="4" t="str">
        <f t="shared" si="5"/>
        <v>GELTCKVTHLIFSINLFGSIFFLTCMSVDRYLSITY</v>
      </c>
      <c r="K27" s="4" t="str">
        <f t="shared" si="6"/>
        <v/>
      </c>
      <c r="L27" s="4" t="str">
        <f t="shared" si="7"/>
        <v>KKMVRRVVCILVWLLAFCVSLPDTYYL</v>
      </c>
      <c r="M27" s="4" t="str">
        <f t="shared" si="8"/>
        <v>CRS</v>
      </c>
      <c r="N27" s="4" t="str">
        <f t="shared" si="9"/>
        <v>WLIGMELVSVVLGFAVPFSIIAVFYFLLARAISAS</v>
      </c>
      <c r="O27" s="4" t="str">
        <f t="shared" si="10"/>
        <v>KHSSRKIIFSYVVVFLVCWLPYHVAVLLDIFSILH</v>
      </c>
      <c r="P27" s="4" t="str">
        <f t="shared" si="11"/>
        <v>TCRLEHALFTALHVTQCLSLVHCCVNPVLYSFI</v>
      </c>
      <c r="Q27" s="4" t="str">
        <f t="shared" si="12"/>
        <v>NRNYRYELMKAFIFK</v>
      </c>
      <c r="R27" s="5">
        <f>VLOOKUP($A27,'SegEnds_NonXtal_Prot#'!$A:$AL,3,FALSE)</f>
        <v>42</v>
      </c>
      <c r="S27" s="5">
        <f>VLOOKUP($A27,'SegEnds_NonXtal_Prot#'!$A:$AL,6,FALSE)</f>
        <v>73</v>
      </c>
      <c r="T27" s="5">
        <f>VLOOKUP($A27,'SegEnds_NonXtal_Prot#'!$A:$AL,9,FALSE)</f>
        <v>77</v>
      </c>
      <c r="U27" s="5">
        <f>VLOOKUP($A27,'SegEnds_NonXtal_Prot#'!$A:$AL,12,FALSE)</f>
        <v>109</v>
      </c>
      <c r="V27" s="5">
        <f>VLOOKUP($A27,'SegEnds_NonXtal_Prot#'!$A:$AL,15,FALSE)</f>
        <v>113</v>
      </c>
      <c r="W27" s="5" t="str">
        <f>VLOOKUP($A27,'SegEnds_NonXtal_Prot#'!$A:$AL,18,FALSE)</f>
        <v>-</v>
      </c>
      <c r="X27" s="5">
        <f>VLOOKUP($A27,'SegEnds_NonXtal_Prot#'!$A:$AL,21,FALSE)</f>
        <v>157</v>
      </c>
      <c r="Y27" s="5">
        <f>VLOOKUP($A27,'SegEnds_NonXtal_Prot#'!$A:$AL,24,FALSE)</f>
        <v>196</v>
      </c>
      <c r="Z27" s="5">
        <f>VLOOKUP($A27,'SegEnds_NonXtal_Prot#'!$A:$AL,27,FALSE)</f>
        <v>208</v>
      </c>
      <c r="AA27" s="5">
        <f>VLOOKUP($A27,'SegEnds_NonXtal_Prot#'!$A:$AL,30,FALSE)</f>
        <v>247</v>
      </c>
      <c r="AB27" s="5">
        <f>VLOOKUP($A27,'SegEnds_NonXtal_Prot#'!$A:$AL,33,FALSE)</f>
        <v>286</v>
      </c>
      <c r="AC27" s="5">
        <f>VLOOKUP($A27,'SegEnds_NonXtal_Prot#'!$A:$AL,36,FALSE)</f>
        <v>319</v>
      </c>
      <c r="AD27" s="5">
        <f>VLOOKUP($A27,'SegEnds_NonXtal_Prot#'!$A:$AL,5,FALSE)</f>
        <v>72</v>
      </c>
      <c r="AE27" s="5">
        <f>VLOOKUP($A27,'SegEnds_NonXtal_Prot#'!$A:$AL,8,FALSE)</f>
        <v>76</v>
      </c>
      <c r="AF27" s="5">
        <f>VLOOKUP($A27,'SegEnds_NonXtal_Prot#'!$A:$AL,11,FALSE)</f>
        <v>106</v>
      </c>
      <c r="AG27" s="5">
        <f>VLOOKUP($A27,'SegEnds_NonXtal_Prot#'!$A:$AL,14,FALSE)</f>
        <v>112</v>
      </c>
      <c r="AH27" s="5">
        <f>VLOOKUP($A27,'SegEnds_NonXtal_Prot#'!$A:$AL,17,FALSE)</f>
        <v>148</v>
      </c>
      <c r="AI27" s="5" t="str">
        <f>VLOOKUP($A27,'SegEnds_NonXtal_Prot#'!$A:$AL,20,FALSE)</f>
        <v>-</v>
      </c>
      <c r="AJ27" s="5">
        <f>VLOOKUP($A27,'SegEnds_NonXtal_Prot#'!$A:$AL,23,FALSE)</f>
        <v>183</v>
      </c>
      <c r="AK27" s="5">
        <f>VLOOKUP($A27,'SegEnds_NonXtal_Prot#'!$A:$AL,26,FALSE)</f>
        <v>198</v>
      </c>
      <c r="AL27" s="5">
        <f>VLOOKUP($A27,'SegEnds_NonXtal_Prot#'!$A:$AL,29,FALSE)</f>
        <v>242</v>
      </c>
      <c r="AM27" s="5">
        <f>VLOOKUP($A27,'SegEnds_NonXtal_Prot#'!$A:$AL,32,FALSE)</f>
        <v>281</v>
      </c>
      <c r="AN27" s="5">
        <f>VLOOKUP($A27,'SegEnds_NonXtal_Prot#'!$A:$AL,35,FALSE)</f>
        <v>318</v>
      </c>
      <c r="AO27" s="5">
        <f>VLOOKUP($A27,'SegEnds_NonXtal_Prot#'!$A:$AL,38,FALSE)</f>
        <v>333</v>
      </c>
      <c r="AP27" s="5">
        <f t="shared" si="13"/>
        <v>30</v>
      </c>
      <c r="AQ27" s="4">
        <f t="shared" si="14"/>
        <v>3</v>
      </c>
      <c r="AR27" s="4">
        <f t="shared" si="15"/>
        <v>29</v>
      </c>
      <c r="AS27" s="4">
        <f t="shared" si="16"/>
        <v>3</v>
      </c>
      <c r="AT27" s="4">
        <f t="shared" si="17"/>
        <v>35</v>
      </c>
      <c r="AU27" s="4" t="str">
        <f t="shared" si="18"/>
        <v>-</v>
      </c>
      <c r="AV27" s="4">
        <f t="shared" si="19"/>
        <v>26</v>
      </c>
      <c r="AW27" s="4">
        <f t="shared" si="20"/>
        <v>2</v>
      </c>
      <c r="AX27" s="4">
        <f t="shared" si="21"/>
        <v>34</v>
      </c>
      <c r="AY27" s="4">
        <f t="shared" si="22"/>
        <v>34</v>
      </c>
      <c r="AZ27" s="4">
        <f t="shared" si="23"/>
        <v>32</v>
      </c>
      <c r="BA27" s="4">
        <f t="shared" si="24"/>
        <v>14</v>
      </c>
    </row>
    <row r="28" spans="1:53" x14ac:dyDescent="0.2">
      <c r="A28" s="1" t="str">
        <f>'SegEnds_NonXtal_Prot#'!A278</f>
        <v>gpr75_human</v>
      </c>
      <c r="B28" s="1" t="str">
        <f t="shared" si="0"/>
        <v>TATLVTCTFLLAVIFCLGSYGNFIVFLSFFDPTNFDFMILNLSFCDLFICGVTAPMFTFVLFFSSIPDAFCFTFHLTSSGFIIMSLKTVAVIALHRLRMVLGSFPCTVLLTLLLWATSFTLATLATLKGKAILSLYVVDFTFCVAVVSVSYIMIAQTLRKNAQVRKCPPNLSTAKDSKAVVTCVIIVLSVLVCCLPLGISLVQVVLSLYQFELFGFTLIFFKSGLNPFIYSRNSAGLRRKVLWCLQ</v>
      </c>
      <c r="C28" s="29" t="str">
        <f>IF(ISERROR(MATCH(A28,'SegEnds_Xtal_Prot#'!B:B, 0)), "NoXtal", "Xtal")</f>
        <v>NoXtal</v>
      </c>
      <c r="D28" s="4" t="str">
        <f>VLOOKUP(A28,Classification!A:D,2,FALSE)</f>
        <v>A</v>
      </c>
      <c r="E28" s="5" t="str">
        <f>VLOOKUP(A28,Seqs!A:B,2,FALSE)</f>
        <v>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</v>
      </c>
      <c r="F28" s="5" t="str">
        <f t="shared" si="1"/>
        <v>TATLVTCTFLLAVIFCLGSYGNFIVFLSFFDP</v>
      </c>
      <c r="G28" s="4" t="str">
        <f t="shared" si="2"/>
        <v>RKFR</v>
      </c>
      <c r="H28" s="4" t="str">
        <f t="shared" si="3"/>
        <v>TNFDFMILNLSFCDLFICGVTAPMFTFVLFF</v>
      </c>
      <c r="I28" s="4" t="str">
        <f t="shared" si="4"/>
        <v/>
      </c>
      <c r="J28" s="4" t="str">
        <f t="shared" si="5"/>
        <v>SSIPDAFCFTFHLTSSGFIIMSLKTVAVIALHRLRMVLG</v>
      </c>
      <c r="K28" s="4" t="str">
        <f t="shared" si="6"/>
        <v/>
      </c>
      <c r="L28" s="4" t="str">
        <f t="shared" si="7"/>
        <v>SFPCTVLLTLLLWATSFTLATLATL</v>
      </c>
      <c r="M28" s="4" t="str">
        <f t="shared" si="8"/>
        <v>CLP</v>
      </c>
      <c r="N28" s="4" t="str">
        <f t="shared" si="9"/>
        <v>KGKAILSLYVVDFTFCVAVVSVSYIMIAQTLRKNAQVRKCPP</v>
      </c>
      <c r="O28" s="4" t="str">
        <f t="shared" si="10"/>
        <v>NLSTAKDSKAVVTCVIIVLSVLVCCLPLGISLVQVVLS</v>
      </c>
      <c r="P28" s="4" t="str">
        <f t="shared" si="11"/>
        <v>LYQFELFGFTLIFFKSGLNPFIYSRN</v>
      </c>
      <c r="Q28" s="4" t="str">
        <f t="shared" si="12"/>
        <v>SAGLRRKVLWCLQ</v>
      </c>
      <c r="R28" s="5">
        <f>VLOOKUP($A28,'SegEnds_NonXtal_Prot#'!$A:$AL,3,FALSE)</f>
        <v>39</v>
      </c>
      <c r="S28" s="5">
        <f>VLOOKUP($A28,'SegEnds_NonXtal_Prot#'!$A:$AL,6,FALSE)</f>
        <v>73</v>
      </c>
      <c r="T28" s="5">
        <f>VLOOKUP($A28,'SegEnds_NonXtal_Prot#'!$A:$AL,9,FALSE)</f>
        <v>77</v>
      </c>
      <c r="U28" s="5" t="str">
        <f>VLOOKUP($A28,'SegEnds_NonXtal_Prot#'!$A:$AL,12,FALSE)</f>
        <v>-</v>
      </c>
      <c r="V28" s="5">
        <f>VLOOKUP($A28,'SegEnds_NonXtal_Prot#'!$A:$AL,15,FALSE)</f>
        <v>111</v>
      </c>
      <c r="W28" s="5" t="str">
        <f>VLOOKUP($A28,'SegEnds_NonXtal_Prot#'!$A:$AL,18,FALSE)</f>
        <v>-</v>
      </c>
      <c r="X28" s="5">
        <f>VLOOKUP($A28,'SegEnds_NonXtal_Prot#'!$A:$AL,21,FALSE)</f>
        <v>157</v>
      </c>
      <c r="Y28" s="5">
        <f>VLOOKUP($A28,'SegEnds_NonXtal_Prot#'!$A:$AL,24,FALSE)</f>
        <v>189</v>
      </c>
      <c r="Z28" s="5">
        <f>VLOOKUP($A28,'SegEnds_NonXtal_Prot#'!$A:$AL,27,FALSE)</f>
        <v>199</v>
      </c>
      <c r="AA28" s="5">
        <f>VLOOKUP($A28,'SegEnds_NonXtal_Prot#'!$A:$AL,30,FALSE)</f>
        <v>310</v>
      </c>
      <c r="AB28" s="5">
        <f>VLOOKUP($A28,'SegEnds_NonXtal_Prot#'!$A:$AL,33,FALSE)</f>
        <v>354</v>
      </c>
      <c r="AC28" s="5">
        <f>VLOOKUP($A28,'SegEnds_NonXtal_Prot#'!$A:$AL,36,FALSE)</f>
        <v>380</v>
      </c>
      <c r="AD28" s="5">
        <f>VLOOKUP($A28,'SegEnds_NonXtal_Prot#'!$A:$AL,5,FALSE)</f>
        <v>70</v>
      </c>
      <c r="AE28" s="5">
        <f>VLOOKUP($A28,'SegEnds_NonXtal_Prot#'!$A:$AL,8,FALSE)</f>
        <v>76</v>
      </c>
      <c r="AF28" s="5">
        <f>VLOOKUP($A28,'SegEnds_NonXtal_Prot#'!$A:$AL,11,FALSE)</f>
        <v>107</v>
      </c>
      <c r="AG28" s="5" t="str">
        <f>VLOOKUP($A28,'SegEnds_NonXtal_Prot#'!$A:$AL,14,FALSE)</f>
        <v>-</v>
      </c>
      <c r="AH28" s="5">
        <f>VLOOKUP($A28,'SegEnds_NonXtal_Prot#'!$A:$AL,17,FALSE)</f>
        <v>149</v>
      </c>
      <c r="AI28" s="5" t="str">
        <f>VLOOKUP($A28,'SegEnds_NonXtal_Prot#'!$A:$AL,20,FALSE)</f>
        <v>-</v>
      </c>
      <c r="AJ28" s="5">
        <f>VLOOKUP($A28,'SegEnds_NonXtal_Prot#'!$A:$AL,23,FALSE)</f>
        <v>181</v>
      </c>
      <c r="AK28" s="5">
        <f>VLOOKUP($A28,'SegEnds_NonXtal_Prot#'!$A:$AL,26,FALSE)</f>
        <v>191</v>
      </c>
      <c r="AL28" s="5">
        <f>VLOOKUP($A28,'SegEnds_NonXtal_Prot#'!$A:$AL,29,FALSE)</f>
        <v>240</v>
      </c>
      <c r="AM28" s="5">
        <f>VLOOKUP($A28,'SegEnds_NonXtal_Prot#'!$A:$AL,32,FALSE)</f>
        <v>347</v>
      </c>
      <c r="AN28" s="5">
        <f>VLOOKUP($A28,'SegEnds_NonXtal_Prot#'!$A:$AL,35,FALSE)</f>
        <v>379</v>
      </c>
      <c r="AO28" s="5">
        <f>VLOOKUP($A28,'SegEnds_NonXtal_Prot#'!$A:$AL,38,FALSE)</f>
        <v>392</v>
      </c>
      <c r="AP28" s="5">
        <f t="shared" si="13"/>
        <v>31</v>
      </c>
      <c r="AQ28" s="4">
        <f t="shared" si="14"/>
        <v>3</v>
      </c>
      <c r="AR28" s="4">
        <f t="shared" si="15"/>
        <v>30</v>
      </c>
      <c r="AS28" s="4" t="str">
        <f t="shared" si="16"/>
        <v>-</v>
      </c>
      <c r="AT28" s="4">
        <f t="shared" si="17"/>
        <v>38</v>
      </c>
      <c r="AU28" s="4" t="str">
        <f t="shared" si="18"/>
        <v>-</v>
      </c>
      <c r="AV28" s="4">
        <f t="shared" si="19"/>
        <v>24</v>
      </c>
      <c r="AW28" s="4">
        <f t="shared" si="20"/>
        <v>2</v>
      </c>
      <c r="AX28" s="4">
        <f t="shared" si="21"/>
        <v>41</v>
      </c>
      <c r="AY28" s="4">
        <f t="shared" si="22"/>
        <v>37</v>
      </c>
      <c r="AZ28" s="4">
        <f t="shared" si="23"/>
        <v>25</v>
      </c>
      <c r="BA28" s="4">
        <f t="shared" si="24"/>
        <v>12</v>
      </c>
    </row>
    <row r="29" spans="1:53" x14ac:dyDescent="0.2">
      <c r="A29" s="1" t="str">
        <f>'SegEnds_NonXtal_Prot#'!A295</f>
        <v>pkr2_human</v>
      </c>
      <c r="B29" s="1" t="str">
        <f t="shared" si="0"/>
        <v>AKIVIGIALAGIMLVCGIGNFVFIAALTRYNLTNLLIANLAISDFLVAIICCPFEMDYYVVRGHVLCASVNYLRTVSLYVSTNALLAIAIDRYLAIVHNYQTASFLIALVWMVSILIAIPSAYFALYYKSYFLFIFGVEFVGPVVTMTLCYARISRELWFKAVPGFQIRKRLRCRRKTVLVLMCILTAYVLCWAPFYGFTIVRDFFEKHYLTAFYVVECIAMSNSMINTVCFVTVNNTMKYFKKMML</v>
      </c>
      <c r="C29" s="29" t="str">
        <f>IF(ISERROR(MATCH(A29,'SegEnds_Xtal_Prot#'!B:B, 0)), "NoXtal", "Xtal")</f>
        <v>NoXtal</v>
      </c>
      <c r="D29" s="4" t="str">
        <f>VLOOKUP(A29,Classification!A:D,2,FALSE)</f>
        <v>A</v>
      </c>
      <c r="E29" s="5" t="str">
        <f>VLOOKUP(A29,Seqs!A:B,2,FALSE)</f>
        <v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v>
      </c>
      <c r="F29" s="5" t="str">
        <f t="shared" si="1"/>
        <v>AKIVIGIALAGIMLVCGIGNFVFIAALTRY</v>
      </c>
      <c r="G29" s="4" t="str">
        <f t="shared" si="2"/>
        <v>KKLR</v>
      </c>
      <c r="H29" s="4" t="str">
        <f t="shared" si="3"/>
        <v>NLTNLLIANLAISDFLVAIICCPFEMDYYVVR</v>
      </c>
      <c r="I29" s="4" t="str">
        <f t="shared" si="4"/>
        <v>SWEH</v>
      </c>
      <c r="J29" s="4" t="str">
        <f t="shared" si="5"/>
        <v>GHVLCASVNYLRTVSLYVSTNALLAIAIDRYLAIVH</v>
      </c>
      <c r="K29" s="4" t="str">
        <f t="shared" si="6"/>
        <v/>
      </c>
      <c r="L29" s="4" t="str">
        <f t="shared" si="7"/>
        <v>NYQTASFLIALVWMVSILIAIPSAYFA</v>
      </c>
      <c r="M29" s="4" t="str">
        <f t="shared" si="8"/>
        <v>CGQ</v>
      </c>
      <c r="N29" s="4" t="str">
        <f t="shared" si="9"/>
        <v>LYYKSYFLFIFGVEFVGPVVTMTLCYARISRELWFKAVPGF</v>
      </c>
      <c r="O29" s="4" t="str">
        <f t="shared" si="10"/>
        <v>QIRKRLRCRRKTVLVLMCILTAYVLCWAPFYGFTIVRDFF</v>
      </c>
      <c r="P29" s="4" t="str">
        <f t="shared" si="11"/>
        <v>EKHYLTAFYVVECIAMSNSMINTVCFVTV</v>
      </c>
      <c r="Q29" s="4" t="str">
        <f t="shared" si="12"/>
        <v>NNTMKYFKKMML</v>
      </c>
      <c r="R29" s="5">
        <f>VLOOKUP($A29,'SegEnds_NonXtal_Prot#'!$A:$AL,3,FALSE)</f>
        <v>52</v>
      </c>
      <c r="S29" s="5">
        <f>VLOOKUP($A29,'SegEnds_NonXtal_Prot#'!$A:$AL,6,FALSE)</f>
        <v>82</v>
      </c>
      <c r="T29" s="5">
        <f>VLOOKUP($A29,'SegEnds_NonXtal_Prot#'!$A:$AL,9,FALSE)</f>
        <v>86</v>
      </c>
      <c r="U29" s="5">
        <f>VLOOKUP($A29,'SegEnds_NonXtal_Prot#'!$A:$AL,12,FALSE)</f>
        <v>120</v>
      </c>
      <c r="V29" s="5">
        <f>VLOOKUP($A29,'SegEnds_NonXtal_Prot#'!$A:$AL,15,FALSE)</f>
        <v>124</v>
      </c>
      <c r="W29" s="5" t="str">
        <f>VLOOKUP($A29,'SegEnds_NonXtal_Prot#'!$A:$AL,18,FALSE)</f>
        <v>-</v>
      </c>
      <c r="X29" s="5">
        <f>VLOOKUP($A29,'SegEnds_NonXtal_Prot#'!$A:$AL,21,FALSE)</f>
        <v>166</v>
      </c>
      <c r="Y29" s="5">
        <f>VLOOKUP($A29,'SegEnds_NonXtal_Prot#'!$A:$AL,24,FALSE)</f>
        <v>208</v>
      </c>
      <c r="Z29" s="5">
        <f>VLOOKUP($A29,'SegEnds_NonXtal_Prot#'!$A:$AL,27,FALSE)</f>
        <v>218</v>
      </c>
      <c r="AA29" s="5">
        <f>VLOOKUP($A29,'SegEnds_NonXtal_Prot#'!$A:$AL,30,FALSE)</f>
        <v>262</v>
      </c>
      <c r="AB29" s="5">
        <f>VLOOKUP($A29,'SegEnds_NonXtal_Prot#'!$A:$AL,33,FALSE)</f>
        <v>308</v>
      </c>
      <c r="AC29" s="5">
        <f>VLOOKUP($A29,'SegEnds_NonXtal_Prot#'!$A:$AL,36,FALSE)</f>
        <v>338</v>
      </c>
      <c r="AD29" s="5">
        <f>VLOOKUP($A29,'SegEnds_NonXtal_Prot#'!$A:$AL,5,FALSE)</f>
        <v>81</v>
      </c>
      <c r="AE29" s="5">
        <f>VLOOKUP($A29,'SegEnds_NonXtal_Prot#'!$A:$AL,8,FALSE)</f>
        <v>85</v>
      </c>
      <c r="AF29" s="5">
        <f>VLOOKUP($A29,'SegEnds_NonXtal_Prot#'!$A:$AL,11,FALSE)</f>
        <v>117</v>
      </c>
      <c r="AG29" s="5">
        <f>VLOOKUP($A29,'SegEnds_NonXtal_Prot#'!$A:$AL,14,FALSE)</f>
        <v>123</v>
      </c>
      <c r="AH29" s="5">
        <f>VLOOKUP($A29,'SegEnds_NonXtal_Prot#'!$A:$AL,17,FALSE)</f>
        <v>159</v>
      </c>
      <c r="AI29" s="5" t="str">
        <f>VLOOKUP($A29,'SegEnds_NonXtal_Prot#'!$A:$AL,20,FALSE)</f>
        <v>-</v>
      </c>
      <c r="AJ29" s="5">
        <f>VLOOKUP($A29,'SegEnds_NonXtal_Prot#'!$A:$AL,23,FALSE)</f>
        <v>192</v>
      </c>
      <c r="AK29" s="5">
        <f>VLOOKUP($A29,'SegEnds_NonXtal_Prot#'!$A:$AL,26,FALSE)</f>
        <v>210</v>
      </c>
      <c r="AL29" s="5">
        <f>VLOOKUP($A29,'SegEnds_NonXtal_Prot#'!$A:$AL,29,FALSE)</f>
        <v>258</v>
      </c>
      <c r="AM29" s="5">
        <f>VLOOKUP($A29,'SegEnds_NonXtal_Prot#'!$A:$AL,32,FALSE)</f>
        <v>301</v>
      </c>
      <c r="AN29" s="5">
        <f>VLOOKUP($A29,'SegEnds_NonXtal_Prot#'!$A:$AL,35,FALSE)</f>
        <v>336</v>
      </c>
      <c r="AO29" s="5">
        <f>VLOOKUP($A29,'SegEnds_NonXtal_Prot#'!$A:$AL,38,FALSE)</f>
        <v>349</v>
      </c>
      <c r="AP29" s="5">
        <f t="shared" si="13"/>
        <v>29</v>
      </c>
      <c r="AQ29" s="4">
        <f t="shared" si="14"/>
        <v>3</v>
      </c>
      <c r="AR29" s="4">
        <f t="shared" si="15"/>
        <v>31</v>
      </c>
      <c r="AS29" s="4">
        <f t="shared" si="16"/>
        <v>3</v>
      </c>
      <c r="AT29" s="4">
        <f t="shared" si="17"/>
        <v>35</v>
      </c>
      <c r="AU29" s="4" t="str">
        <f t="shared" si="18"/>
        <v>-</v>
      </c>
      <c r="AV29" s="4">
        <f t="shared" si="19"/>
        <v>26</v>
      </c>
      <c r="AW29" s="4">
        <f t="shared" si="20"/>
        <v>2</v>
      </c>
      <c r="AX29" s="4">
        <f t="shared" si="21"/>
        <v>40</v>
      </c>
      <c r="AY29" s="4">
        <f t="shared" si="22"/>
        <v>39</v>
      </c>
      <c r="AZ29" s="4">
        <f t="shared" si="23"/>
        <v>28</v>
      </c>
      <c r="BA29" s="4">
        <f t="shared" si="24"/>
        <v>11</v>
      </c>
    </row>
    <row r="30" spans="1:53" x14ac:dyDescent="0.2">
      <c r="A30" s="1" t="str">
        <f>'SegEnds_NonXtal_Prot#'!A321</f>
        <v>agrd2_human</v>
      </c>
      <c r="B30" s="1" t="str">
        <f t="shared" si="0"/>
        <v>YEVQRGPEEESLLRTLSFVGCGVSFCALTTTFLLFLVASERTTVHKNLTFSLASAEGFLMTSEWAVACVAVTVAMHFLFLVAFSWMLVEGLLLWRKVVAPGMRLYHATGWGVPVGIVAVTLAMLPHDYHTNAIWAFVGPVLFVLTANTCILARVVMITVSSAKPVLVLLPVLGLTWLAGILVHLAWAYAAVGLNSIQGLYIFLVYAACNEEVRSALQRMAEKKVA</v>
      </c>
      <c r="C30" s="29" t="str">
        <f>IF(ISERROR(MATCH(A30,'SegEnds_Xtal_Prot#'!B:B, 0)), "NoXtal", "Xtal")</f>
        <v>NoXtal</v>
      </c>
      <c r="D30" s="4" t="str">
        <f>VLOOKUP(A30,Classification!A:D,2,FALSE)</f>
        <v>B2</v>
      </c>
      <c r="E30" s="5" t="str">
        <f>VLOOKUP(A30,Seqs!A:B,2,FALSE)</f>
        <v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v>
      </c>
      <c r="F30" s="5" t="str">
        <f t="shared" si="1"/>
        <v>YEVQRGPEEESLLRTLSFVGCGVSFCALTTTFLLFLVA</v>
      </c>
      <c r="G30" s="4" t="str">
        <f t="shared" si="2"/>
        <v/>
      </c>
      <c r="H30" s="4" t="str">
        <f t="shared" si="3"/>
        <v>SERTTVHKNLTFSLASAEGFLMTSEWA</v>
      </c>
      <c r="I30" s="4" t="str">
        <f t="shared" si="4"/>
        <v/>
      </c>
      <c r="J30" s="4" t="str">
        <f t="shared" si="5"/>
        <v>VACVAVTVAMHFLFLVAFSWMLVEGLLLWRKVVA</v>
      </c>
      <c r="K30" s="4" t="str">
        <f t="shared" si="6"/>
        <v/>
      </c>
      <c r="L30" s="4" t="str">
        <f t="shared" si="7"/>
        <v>PGMRLYHATGWGVPVGIVAVTLAMLPHDY</v>
      </c>
      <c r="M30" s="4" t="str">
        <f t="shared" si="8"/>
        <v>CWL</v>
      </c>
      <c r="N30" s="4" t="str">
        <f t="shared" si="9"/>
        <v>HTNAIWAFVGPVLFVLTANTCILARVVMITVSSA</v>
      </c>
      <c r="O30" s="4" t="str">
        <f t="shared" si="10"/>
        <v>KPVLVLLPVLGLTWLAGILVHL</v>
      </c>
      <c r="P30" s="4" t="str">
        <f t="shared" si="11"/>
        <v>AWAYAAVGLNSIQGLYIFLVYAAC</v>
      </c>
      <c r="Q30" s="4" t="str">
        <f t="shared" si="12"/>
        <v>NEEVRSALQRMAEKKVA</v>
      </c>
      <c r="R30" s="5">
        <f>VLOOKUP($A30,'SegEnds_NonXtal_Prot#'!$A:$AL,3,FALSE)</f>
        <v>646</v>
      </c>
      <c r="S30" s="5" t="str">
        <f>VLOOKUP($A30,'SegEnds_NonXtal_Prot#'!$A:$AL,6,FALSE)</f>
        <v>-</v>
      </c>
      <c r="T30" s="5">
        <f>VLOOKUP($A30,'SegEnds_NonXtal_Prot#'!$A:$AL,9,FALSE)</f>
        <v>688</v>
      </c>
      <c r="U30" s="5" t="str">
        <f>VLOOKUP($A30,'SegEnds_NonXtal_Prot#'!$A:$AL,12,FALSE)</f>
        <v>-</v>
      </c>
      <c r="V30" s="5">
        <f>VLOOKUP($A30,'SegEnds_NonXtal_Prot#'!$A:$AL,15,FALSE)</f>
        <v>719</v>
      </c>
      <c r="W30" s="5" t="str">
        <f>VLOOKUP($A30,'SegEnds_NonXtal_Prot#'!$A:$AL,18,FALSE)</f>
        <v>-</v>
      </c>
      <c r="X30" s="5">
        <f>VLOOKUP($A30,'SegEnds_NonXtal_Prot#'!$A:$AL,21,FALSE)</f>
        <v>759</v>
      </c>
      <c r="Y30" s="5">
        <f>VLOOKUP($A30,'SegEnds_NonXtal_Prot#'!$A:$AL,24,FALSE)</f>
        <v>793</v>
      </c>
      <c r="Z30" s="5">
        <f>VLOOKUP($A30,'SegEnds_NonXtal_Prot#'!$A:$AL,27,FALSE)</f>
        <v>798</v>
      </c>
      <c r="AA30" s="5">
        <f>VLOOKUP($A30,'SegEnds_NonXtal_Prot#'!$A:$AL,30,FALSE)</f>
        <v>857</v>
      </c>
      <c r="AB30" s="5">
        <f>VLOOKUP($A30,'SegEnds_NonXtal_Prot#'!$A:$AL,33,FALSE)</f>
        <v>881</v>
      </c>
      <c r="AC30" s="5">
        <f>VLOOKUP($A30,'SegEnds_NonXtal_Prot#'!$A:$AL,36,FALSE)</f>
        <v>905</v>
      </c>
      <c r="AD30" s="5">
        <f>VLOOKUP($A30,'SegEnds_NonXtal_Prot#'!$A:$AL,5,FALSE)</f>
        <v>683</v>
      </c>
      <c r="AE30" s="5" t="str">
        <f>VLOOKUP($A30,'SegEnds_NonXtal_Prot#'!$A:$AL,8,FALSE)</f>
        <v>-</v>
      </c>
      <c r="AF30" s="5">
        <f>VLOOKUP($A30,'SegEnds_NonXtal_Prot#'!$A:$AL,11,FALSE)</f>
        <v>714</v>
      </c>
      <c r="AG30" s="5" t="str">
        <f>VLOOKUP($A30,'SegEnds_NonXtal_Prot#'!$A:$AL,14,FALSE)</f>
        <v>-</v>
      </c>
      <c r="AH30" s="5">
        <f>VLOOKUP($A30,'SegEnds_NonXtal_Prot#'!$A:$AL,17,FALSE)</f>
        <v>752</v>
      </c>
      <c r="AI30" s="5" t="str">
        <f>VLOOKUP($A30,'SegEnds_NonXtal_Prot#'!$A:$AL,20,FALSE)</f>
        <v>-</v>
      </c>
      <c r="AJ30" s="5">
        <f>VLOOKUP($A30,'SegEnds_NonXtal_Prot#'!$A:$AL,23,FALSE)</f>
        <v>787</v>
      </c>
      <c r="AK30" s="5">
        <f>VLOOKUP($A30,'SegEnds_NonXtal_Prot#'!$A:$AL,26,FALSE)</f>
        <v>795</v>
      </c>
      <c r="AL30" s="5">
        <f>VLOOKUP($A30,'SegEnds_NonXtal_Prot#'!$A:$AL,29,FALSE)</f>
        <v>831</v>
      </c>
      <c r="AM30" s="5">
        <f>VLOOKUP($A30,'SegEnds_NonXtal_Prot#'!$A:$AL,32,FALSE)</f>
        <v>878</v>
      </c>
      <c r="AN30" s="5">
        <f>VLOOKUP($A30,'SegEnds_NonXtal_Prot#'!$A:$AL,35,FALSE)</f>
        <v>904</v>
      </c>
      <c r="AO30" s="5">
        <f>VLOOKUP($A30,'SegEnds_NonXtal_Prot#'!$A:$AL,38,FALSE)</f>
        <v>921</v>
      </c>
      <c r="AP30" s="5">
        <f t="shared" si="13"/>
        <v>37</v>
      </c>
      <c r="AQ30" s="4" t="str">
        <f t="shared" si="14"/>
        <v>-</v>
      </c>
      <c r="AR30" s="4">
        <f t="shared" si="15"/>
        <v>26</v>
      </c>
      <c r="AS30" s="4" t="str">
        <f t="shared" si="16"/>
        <v>-</v>
      </c>
      <c r="AT30" s="4">
        <f t="shared" si="17"/>
        <v>33</v>
      </c>
      <c r="AU30" s="4" t="str">
        <f t="shared" si="18"/>
        <v>-</v>
      </c>
      <c r="AV30" s="4">
        <f t="shared" si="19"/>
        <v>28</v>
      </c>
      <c r="AW30" s="4">
        <f t="shared" si="20"/>
        <v>2</v>
      </c>
      <c r="AX30" s="4">
        <f t="shared" si="21"/>
        <v>33</v>
      </c>
      <c r="AY30" s="4">
        <f t="shared" si="22"/>
        <v>21</v>
      </c>
      <c r="AZ30" s="4">
        <f t="shared" si="23"/>
        <v>23</v>
      </c>
      <c r="BA30" s="4">
        <f t="shared" si="24"/>
        <v>16</v>
      </c>
    </row>
    <row r="31" spans="1:53" x14ac:dyDescent="0.2">
      <c r="A31" s="1" t="str">
        <f>'SegEnds_NonXtal_Prot#'!A327</f>
        <v>agrf2_human</v>
      </c>
      <c r="B31" s="1" t="str">
        <f t="shared" si="0"/>
        <v>ILMSPHILESLILTYITYVGLGISICSLILCLSIEVLVEITYLRHVCIVNIAATLLMADVWFIVAKGCVAATFFVHFFYLSVFFWMLAKALLILYGIMILVASLFSVGYGCPLAIAAITVAATEPGMTKALLAFVIPALAIVVVNLITVTLVIVKTQRAAKNIAILTPLLGLTWGFGVATVISLAFHIIFSLLNAFQVSPDASDQVQS</v>
      </c>
      <c r="C31" s="29" t="str">
        <f>IF(ISERROR(MATCH(A31,'SegEnds_Xtal_Prot#'!B:B, 0)), "NoXtal", "Xtal")</f>
        <v>NoXtal</v>
      </c>
      <c r="D31" s="4" t="str">
        <f>VLOOKUP(A31,Classification!A:D,2,FALSE)</f>
        <v>B2</v>
      </c>
      <c r="E31" s="5" t="str">
        <f>VLOOKUP(A31,Seqs!A:B,2,FALSE)</f>
        <v>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</v>
      </c>
      <c r="F31" s="5" t="str">
        <f t="shared" si="1"/>
        <v>ILMSPHILESLILTYITYVGLGISICSLILCLSIEVLV</v>
      </c>
      <c r="G31" s="4" t="str">
        <f t="shared" si="2"/>
        <v/>
      </c>
      <c r="H31" s="4" t="str">
        <f t="shared" si="3"/>
        <v>EITYLRHVCIVNIAATLLMADVWFIVA</v>
      </c>
      <c r="I31" s="4" t="str">
        <f t="shared" si="4"/>
        <v/>
      </c>
      <c r="J31" s="4" t="str">
        <f t="shared" si="5"/>
        <v>KGCVAATFFVHFFYLSVFFWMLAKALLILYGIMI</v>
      </c>
      <c r="K31" s="4" t="str">
        <f t="shared" si="6"/>
        <v/>
      </c>
      <c r="L31" s="4" t="str">
        <f t="shared" si="7"/>
        <v>LVASLFSVGYGCPLAIAAITVAATEPG</v>
      </c>
      <c r="M31" s="4" t="str">
        <f t="shared" si="8"/>
        <v>CWL</v>
      </c>
      <c r="N31" s="4" t="str">
        <f t="shared" si="9"/>
        <v>MTKALLAFVIPALAIVVVNLITVTLVIVKTQRAA</v>
      </c>
      <c r="O31" s="4" t="str">
        <f t="shared" si="10"/>
        <v>KNIAILTPLLGLTWGFGVATVI</v>
      </c>
      <c r="P31" s="4" t="str">
        <f t="shared" si="11"/>
        <v>SLAFHIIFSLLNAFQVSPDASDQVQS</v>
      </c>
      <c r="Q31" s="4" t="str">
        <f t="shared" si="12"/>
        <v/>
      </c>
      <c r="R31" s="5">
        <f>VLOOKUP($A31,'SegEnds_NonXtal_Prot#'!$A:$AL,3,FALSE)</f>
        <v>434</v>
      </c>
      <c r="S31" s="5" t="str">
        <f>VLOOKUP($A31,'SegEnds_NonXtal_Prot#'!$A:$AL,6,FALSE)</f>
        <v>-</v>
      </c>
      <c r="T31" s="5">
        <f>VLOOKUP($A31,'SegEnds_NonXtal_Prot#'!$A:$AL,9,FALSE)</f>
        <v>479</v>
      </c>
      <c r="U31" s="5" t="str">
        <f>VLOOKUP($A31,'SegEnds_NonXtal_Prot#'!$A:$AL,12,FALSE)</f>
        <v>-</v>
      </c>
      <c r="V31" s="5">
        <f>VLOOKUP($A31,'SegEnds_NonXtal_Prot#'!$A:$AL,15,FALSE)</f>
        <v>516</v>
      </c>
      <c r="W31" s="5" t="str">
        <f>VLOOKUP($A31,'SegEnds_NonXtal_Prot#'!$A:$AL,18,FALSE)</f>
        <v>-</v>
      </c>
      <c r="X31" s="5">
        <f>VLOOKUP($A31,'SegEnds_NonXtal_Prot#'!$A:$AL,21,FALSE)</f>
        <v>559</v>
      </c>
      <c r="Y31" s="5">
        <f>VLOOKUP($A31,'SegEnds_NonXtal_Prot#'!$A:$AL,24,FALSE)</f>
        <v>594</v>
      </c>
      <c r="Z31" s="5">
        <f>VLOOKUP($A31,'SegEnds_NonXtal_Prot#'!$A:$AL,27,FALSE)</f>
        <v>600</v>
      </c>
      <c r="AA31" s="5">
        <f>VLOOKUP($A31,'SegEnds_NonXtal_Prot#'!$A:$AL,30,FALSE)</f>
        <v>650</v>
      </c>
      <c r="AB31" s="5">
        <f>VLOOKUP($A31,'SegEnds_NonXtal_Prot#'!$A:$AL,33,FALSE)</f>
        <v>675</v>
      </c>
      <c r="AC31" s="5" t="str">
        <f>VLOOKUP($A31,'SegEnds_NonXtal_Prot#'!$A:$AL,36,FALSE)</f>
        <v>-</v>
      </c>
      <c r="AD31" s="5">
        <f>VLOOKUP($A31,'SegEnds_NonXtal_Prot#'!$A:$AL,5,FALSE)</f>
        <v>471</v>
      </c>
      <c r="AE31" s="5" t="str">
        <f>VLOOKUP($A31,'SegEnds_NonXtal_Prot#'!$A:$AL,8,FALSE)</f>
        <v>-</v>
      </c>
      <c r="AF31" s="5">
        <f>VLOOKUP($A31,'SegEnds_NonXtal_Prot#'!$A:$AL,11,FALSE)</f>
        <v>505</v>
      </c>
      <c r="AG31" s="5" t="str">
        <f>VLOOKUP($A31,'SegEnds_NonXtal_Prot#'!$A:$AL,14,FALSE)</f>
        <v>-</v>
      </c>
      <c r="AH31" s="5">
        <f>VLOOKUP($A31,'SegEnds_NonXtal_Prot#'!$A:$AL,17,FALSE)</f>
        <v>549</v>
      </c>
      <c r="AI31" s="5" t="str">
        <f>VLOOKUP($A31,'SegEnds_NonXtal_Prot#'!$A:$AL,20,FALSE)</f>
        <v>-</v>
      </c>
      <c r="AJ31" s="5">
        <f>VLOOKUP($A31,'SegEnds_NonXtal_Prot#'!$A:$AL,23,FALSE)</f>
        <v>585</v>
      </c>
      <c r="AK31" s="5">
        <f>VLOOKUP($A31,'SegEnds_NonXtal_Prot#'!$A:$AL,26,FALSE)</f>
        <v>596</v>
      </c>
      <c r="AL31" s="5">
        <f>VLOOKUP($A31,'SegEnds_NonXtal_Prot#'!$A:$AL,29,FALSE)</f>
        <v>633</v>
      </c>
      <c r="AM31" s="5">
        <f>VLOOKUP($A31,'SegEnds_NonXtal_Prot#'!$A:$AL,32,FALSE)</f>
        <v>671</v>
      </c>
      <c r="AN31" s="5">
        <f>VLOOKUP($A31,'SegEnds_NonXtal_Prot#'!$A:$AL,35,FALSE)</f>
        <v>700</v>
      </c>
      <c r="AO31" s="5" t="str">
        <f>VLOOKUP($A31,'SegEnds_NonXtal_Prot#'!$A:$AL,38,FALSE)</f>
        <v>-</v>
      </c>
      <c r="AP31" s="5">
        <f t="shared" si="13"/>
        <v>37</v>
      </c>
      <c r="AQ31" s="4" t="str">
        <f t="shared" si="14"/>
        <v>-</v>
      </c>
      <c r="AR31" s="4">
        <f t="shared" si="15"/>
        <v>26</v>
      </c>
      <c r="AS31" s="4" t="str">
        <f t="shared" si="16"/>
        <v>-</v>
      </c>
      <c r="AT31" s="4">
        <f t="shared" si="17"/>
        <v>33</v>
      </c>
      <c r="AU31" s="4" t="str">
        <f t="shared" si="18"/>
        <v>-</v>
      </c>
      <c r="AV31" s="4">
        <f t="shared" si="19"/>
        <v>26</v>
      </c>
      <c r="AW31" s="4">
        <f t="shared" si="20"/>
        <v>2</v>
      </c>
      <c r="AX31" s="4">
        <f t="shared" si="21"/>
        <v>33</v>
      </c>
      <c r="AY31" s="4">
        <f t="shared" si="22"/>
        <v>21</v>
      </c>
      <c r="AZ31" s="4">
        <f t="shared" si="23"/>
        <v>25</v>
      </c>
      <c r="BA31" s="4" t="str">
        <f t="shared" si="24"/>
        <v>-</v>
      </c>
    </row>
    <row r="32" spans="1:53" x14ac:dyDescent="0.2">
      <c r="A32" s="1" t="str">
        <f>'SegEnds_NonXtal_Prot#'!A347</f>
        <v>gpr98_human</v>
      </c>
      <c r="B32" s="1" t="str">
        <f t="shared" si="0"/>
        <v>VYARTDNLSSYNEAFFTSGFICISGLCLAVLSHIFCARMFAAKLLTHMMAASLGTQILFLASAYAESCSAMAAVTHYLYLCQFSWMLIQSVNFWYVLVMRRYLLFFLLSWGLPAFVVILLIVILKGIYYAALFTAALVPLTCLVVVFVVFIHAYQVKPQWKATNAAEIPLILYLFALISVTWLWGGLHFWMLVLFVIFNSLQGLYVFMVYFILHNQMCCPMKASYTVEMN</v>
      </c>
      <c r="C32" s="29" t="str">
        <f>IF(ISERROR(MATCH(A32,'SegEnds_Xtal_Prot#'!B:B, 0)), "NoXtal", "Xtal")</f>
        <v>NoXtal</v>
      </c>
      <c r="D32" s="4" t="str">
        <f>VLOOKUP(A32,Classification!A:D,2,FALSE)</f>
        <v>B2</v>
      </c>
      <c r="E32" s="5" t="str">
        <f>VLOOKUP(A32,Seqs!A:B,2,FALSE)</f>
        <v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v>
      </c>
      <c r="F32" s="5" t="str">
        <f t="shared" si="1"/>
        <v>VYARTDNLSSYNEAFFTSGFICISGLCLAVLSHIFCAR</v>
      </c>
      <c r="G32" s="4" t="str">
        <f t="shared" si="2"/>
        <v/>
      </c>
      <c r="H32" s="4" t="str">
        <f t="shared" si="3"/>
        <v>MFAAKLLTHMMAASLGTQILFLASAYA</v>
      </c>
      <c r="I32" s="4" t="str">
        <f t="shared" si="4"/>
        <v/>
      </c>
      <c r="J32" s="4" t="str">
        <f t="shared" si="5"/>
        <v>ESCSAMAAVTHYLYLCQFSWMLIQSVNFWYVLVM</v>
      </c>
      <c r="K32" s="4" t="str">
        <f t="shared" si="6"/>
        <v/>
      </c>
      <c r="L32" s="4" t="str">
        <f t="shared" si="7"/>
        <v>RRYLLFFLLSWGLPAFVVILLIVILKGIY</v>
      </c>
      <c r="M32" s="4" t="str">
        <f t="shared" si="8"/>
        <v>CFI</v>
      </c>
      <c r="N32" s="4" t="str">
        <f t="shared" si="9"/>
        <v>YAALFTAALVPLTCLVVVFVVFIHAYQVKPQWKA</v>
      </c>
      <c r="O32" s="4" t="str">
        <f t="shared" si="10"/>
        <v>TNAAEIPLILYLFALISVTWLWGGL</v>
      </c>
      <c r="P32" s="4" t="str">
        <f t="shared" si="11"/>
        <v>HFWMLVLFVIFNSLQGLYVFMVYFIL</v>
      </c>
      <c r="Q32" s="4" t="str">
        <f t="shared" si="12"/>
        <v>HNQMCCPMKASYTVEMN</v>
      </c>
      <c r="R32" s="5">
        <f>VLOOKUP($A32,'SegEnds_NonXtal_Prot#'!$A:$AL,3,FALSE)</f>
        <v>5895</v>
      </c>
      <c r="S32" s="5" t="str">
        <f>VLOOKUP($A32,'SegEnds_NonXtal_Prot#'!$A:$AL,6,FALSE)</f>
        <v>-</v>
      </c>
      <c r="T32" s="5">
        <f>VLOOKUP($A32,'SegEnds_NonXtal_Prot#'!$A:$AL,9,FALSE)</f>
        <v>5935</v>
      </c>
      <c r="U32" s="5" t="str">
        <f>VLOOKUP($A32,'SegEnds_NonXtal_Prot#'!$A:$AL,12,FALSE)</f>
        <v>-</v>
      </c>
      <c r="V32" s="5">
        <f>VLOOKUP($A32,'SegEnds_NonXtal_Prot#'!$A:$AL,15,FALSE)</f>
        <v>5968</v>
      </c>
      <c r="W32" s="5" t="str">
        <f>VLOOKUP($A32,'SegEnds_NonXtal_Prot#'!$A:$AL,18,FALSE)</f>
        <v>-</v>
      </c>
      <c r="X32" s="5">
        <f>VLOOKUP($A32,'SegEnds_NonXtal_Prot#'!$A:$AL,21,FALSE)</f>
        <v>6008</v>
      </c>
      <c r="Y32" s="5">
        <f>VLOOKUP($A32,'SegEnds_NonXtal_Prot#'!$A:$AL,24,FALSE)</f>
        <v>6052</v>
      </c>
      <c r="Z32" s="5">
        <f>VLOOKUP($A32,'SegEnds_NonXtal_Prot#'!$A:$AL,27,FALSE)</f>
        <v>6058</v>
      </c>
      <c r="AA32" s="5">
        <f>VLOOKUP($A32,'SegEnds_NonXtal_Prot#'!$A:$AL,30,FALSE)</f>
        <v>6100</v>
      </c>
      <c r="AB32" s="5">
        <f>VLOOKUP($A32,'SegEnds_NonXtal_Prot#'!$A:$AL,33,FALSE)</f>
        <v>6130</v>
      </c>
      <c r="AC32" s="5">
        <f>VLOOKUP($A32,'SegEnds_NonXtal_Prot#'!$A:$AL,36,FALSE)</f>
        <v>6156</v>
      </c>
      <c r="AD32" s="5">
        <f>VLOOKUP($A32,'SegEnds_NonXtal_Prot#'!$A:$AL,5,FALSE)</f>
        <v>5932</v>
      </c>
      <c r="AE32" s="5" t="str">
        <f>VLOOKUP($A32,'SegEnds_NonXtal_Prot#'!$A:$AL,8,FALSE)</f>
        <v>-</v>
      </c>
      <c r="AF32" s="5">
        <f>VLOOKUP($A32,'SegEnds_NonXtal_Prot#'!$A:$AL,11,FALSE)</f>
        <v>5961</v>
      </c>
      <c r="AG32" s="5" t="str">
        <f>VLOOKUP($A32,'SegEnds_NonXtal_Prot#'!$A:$AL,14,FALSE)</f>
        <v>-</v>
      </c>
      <c r="AH32" s="5">
        <f>VLOOKUP($A32,'SegEnds_NonXtal_Prot#'!$A:$AL,17,FALSE)</f>
        <v>6001</v>
      </c>
      <c r="AI32" s="5" t="str">
        <f>VLOOKUP($A32,'SegEnds_NonXtal_Prot#'!$A:$AL,20,FALSE)</f>
        <v>-</v>
      </c>
      <c r="AJ32" s="5">
        <f>VLOOKUP($A32,'SegEnds_NonXtal_Prot#'!$A:$AL,23,FALSE)</f>
        <v>6036</v>
      </c>
      <c r="AK32" s="5">
        <f>VLOOKUP($A32,'SegEnds_NonXtal_Prot#'!$A:$AL,26,FALSE)</f>
        <v>6054</v>
      </c>
      <c r="AL32" s="5">
        <f>VLOOKUP($A32,'SegEnds_NonXtal_Prot#'!$A:$AL,29,FALSE)</f>
        <v>6091</v>
      </c>
      <c r="AM32" s="5">
        <f>VLOOKUP($A32,'SegEnds_NonXtal_Prot#'!$A:$AL,32,FALSE)</f>
        <v>6124</v>
      </c>
      <c r="AN32" s="5">
        <f>VLOOKUP($A32,'SegEnds_NonXtal_Prot#'!$A:$AL,35,FALSE)</f>
        <v>6155</v>
      </c>
      <c r="AO32" s="5">
        <f>VLOOKUP($A32,'SegEnds_NonXtal_Prot#'!$A:$AL,38,FALSE)</f>
        <v>6172</v>
      </c>
      <c r="AP32" s="5">
        <f t="shared" si="13"/>
        <v>37</v>
      </c>
      <c r="AQ32" s="4" t="str">
        <f t="shared" si="14"/>
        <v>-</v>
      </c>
      <c r="AR32" s="4">
        <f t="shared" si="15"/>
        <v>26</v>
      </c>
      <c r="AS32" s="4" t="str">
        <f t="shared" si="16"/>
        <v>-</v>
      </c>
      <c r="AT32" s="4">
        <f t="shared" si="17"/>
        <v>33</v>
      </c>
      <c r="AU32" s="4" t="str">
        <f t="shared" si="18"/>
        <v>-</v>
      </c>
      <c r="AV32" s="4">
        <f t="shared" si="19"/>
        <v>28</v>
      </c>
      <c r="AW32" s="4">
        <f t="shared" si="20"/>
        <v>2</v>
      </c>
      <c r="AX32" s="4">
        <f t="shared" si="21"/>
        <v>33</v>
      </c>
      <c r="AY32" s="4">
        <f t="shared" si="22"/>
        <v>24</v>
      </c>
      <c r="AZ32" s="4">
        <f t="shared" si="23"/>
        <v>25</v>
      </c>
      <c r="BA32" s="4">
        <f t="shared" si="24"/>
        <v>16</v>
      </c>
    </row>
    <row r="33" spans="1:53" x14ac:dyDescent="0.2">
      <c r="A33" s="1" t="str">
        <f>'SegEnds_NonXtal_Prot#'!A358</f>
        <v>grm1_human</v>
      </c>
      <c r="B33" s="1" t="str">
        <f t="shared" si="0"/>
        <v>IESIIAIAFSCLGILVTLFVTLIFVLYSRELCYIILAGIFLGYVCPFTLITTSCYLQRLLVGLSSAMCYSALVTKTNRIARILSAWAQVIIASILISVQLTLVVTLIIMESNLGVVAPLGYNGLLIMSCTYYAFKTEAKYIAFTMYTTCIIWLAFVPIYFGYKIITTCFAVSLSVTVALGCMFTPKMYIIIAKPERNVRSAFTTS</v>
      </c>
      <c r="C33" s="29" t="str">
        <f>IF(ISERROR(MATCH(A33,'SegEnds_Xtal_Prot#'!B:B, 0)), "NoXtal", "Xtal")</f>
        <v>Xtal</v>
      </c>
      <c r="D33" s="4" t="str">
        <f>VLOOKUP(A33,Classification!A:D,2,FALSE)</f>
        <v>C</v>
      </c>
      <c r="E33" s="5" t="str">
        <f>VLOOKUP(A33,Seqs!A:B,2,FALSE)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F33" s="5" t="str">
        <f t="shared" si="1"/>
        <v>IESIIAIAFSCLGILVTLFVTLIFVLY</v>
      </c>
      <c r="G33" s="4" t="str">
        <f t="shared" si="2"/>
        <v>TPVVKSS</v>
      </c>
      <c r="H33" s="4" t="str">
        <f t="shared" si="3"/>
        <v>SRELCYIILAGIFLGYVCPFTLI</v>
      </c>
      <c r="I33" s="4" t="str">
        <f t="shared" si="4"/>
        <v/>
      </c>
      <c r="J33" s="4" t="str">
        <f t="shared" si="5"/>
        <v>TTSCYLQRLLVGLSSAMCYSALVTKTNRIARIL</v>
      </c>
      <c r="K33" s="4" t="str">
        <f t="shared" si="6"/>
        <v/>
      </c>
      <c r="L33" s="4" t="str">
        <f t="shared" si="7"/>
        <v>SAWAQVIIASILISVQLTLVVTLIIME</v>
      </c>
      <c r="M33" s="4" t="str">
        <f t="shared" si="8"/>
        <v>CNT</v>
      </c>
      <c r="N33" s="4" t="str">
        <f t="shared" si="9"/>
        <v>SNLGVVAPLGYNGLLIMSCTYYAFKT</v>
      </c>
      <c r="O33" s="4" t="str">
        <f t="shared" si="10"/>
        <v>EAKYIAFTMYTTCIIWLAFVPIYFG</v>
      </c>
      <c r="P33" s="4" t="str">
        <f t="shared" si="11"/>
        <v>YKIITTCFAVSLSVTVALGCMFTPKMYIIIAK</v>
      </c>
      <c r="Q33" s="4" t="str">
        <f t="shared" si="12"/>
        <v>PERNVRSAFTTS</v>
      </c>
      <c r="R33" s="5">
        <f>VLOOKUP($A33,'SegEnds_NonXtal_Prot#'!$A:$AL,3,FALSE)</f>
        <v>591</v>
      </c>
      <c r="S33" s="5">
        <f>VLOOKUP($A33,'SegEnds_NonXtal_Prot#'!$A:$AL,6,FALSE)</f>
        <v>620</v>
      </c>
      <c r="T33" s="5">
        <f>VLOOKUP($A33,'SegEnds_NonXtal_Prot#'!$A:$AL,9,FALSE)</f>
        <v>627</v>
      </c>
      <c r="U33" s="5" t="str">
        <f>VLOOKUP($A33,'SegEnds_NonXtal_Prot#'!$A:$AL,12,FALSE)</f>
        <v>-</v>
      </c>
      <c r="V33" s="5">
        <f>VLOOKUP($A33,'SegEnds_NonXtal_Prot#'!$A:$AL,15,FALSE)</f>
        <v>654</v>
      </c>
      <c r="W33" s="5" t="str">
        <f>VLOOKUP($A33,'SegEnds_NonXtal_Prot#'!$A:$AL,18,FALSE)</f>
        <v>-</v>
      </c>
      <c r="X33" s="5">
        <f>VLOOKUP($A33,'SegEnds_NonXtal_Prot#'!$A:$AL,21,FALSE)</f>
        <v>702</v>
      </c>
      <c r="Y33" s="5">
        <f>VLOOKUP($A33,'SegEnds_NonXtal_Prot#'!$A:$AL,24,FALSE)</f>
        <v>746</v>
      </c>
      <c r="Z33" s="5">
        <f>VLOOKUP($A33,'SegEnds_NonXtal_Prot#'!$A:$AL,27,FALSE)</f>
        <v>749</v>
      </c>
      <c r="AA33" s="5">
        <f>VLOOKUP($A33,'SegEnds_NonXtal_Prot#'!$A:$AL,30,FALSE)</f>
        <v>783</v>
      </c>
      <c r="AB33" s="5">
        <f>VLOOKUP($A33,'SegEnds_NonXtal_Prot#'!$A:$AL,33,FALSE)</f>
        <v>810</v>
      </c>
      <c r="AC33" s="5">
        <f>VLOOKUP($A33,'SegEnds_NonXtal_Prot#'!$A:$AL,36,FALSE)</f>
        <v>842</v>
      </c>
      <c r="AD33" s="5">
        <f>VLOOKUP($A33,'SegEnds_NonXtal_Prot#'!$A:$AL,5,FALSE)</f>
        <v>617</v>
      </c>
      <c r="AE33" s="5">
        <f>VLOOKUP($A33,'SegEnds_NonXtal_Prot#'!$A:$AL,8,FALSE)</f>
        <v>626</v>
      </c>
      <c r="AF33" s="5">
        <f>VLOOKUP($A33,'SegEnds_NonXtal_Prot#'!$A:$AL,11,FALSE)</f>
        <v>649</v>
      </c>
      <c r="AG33" s="5" t="str">
        <f>VLOOKUP($A33,'SegEnds_NonXtal_Prot#'!$A:$AL,14,FALSE)</f>
        <v>-</v>
      </c>
      <c r="AH33" s="5">
        <f>VLOOKUP($A33,'SegEnds_NonXtal_Prot#'!$A:$AL,17,FALSE)</f>
        <v>686</v>
      </c>
      <c r="AI33" s="5" t="str">
        <f>VLOOKUP($A33,'SegEnds_NonXtal_Prot#'!$A:$AL,20,FALSE)</f>
        <v>-</v>
      </c>
      <c r="AJ33" s="5">
        <f>VLOOKUP($A33,'SegEnds_NonXtal_Prot#'!$A:$AL,23,FALSE)</f>
        <v>728</v>
      </c>
      <c r="AK33" s="5">
        <f>VLOOKUP($A33,'SegEnds_NonXtal_Prot#'!$A:$AL,26,FALSE)</f>
        <v>748</v>
      </c>
      <c r="AL33" s="5">
        <f>VLOOKUP($A33,'SegEnds_NonXtal_Prot#'!$A:$AL,29,FALSE)</f>
        <v>774</v>
      </c>
      <c r="AM33" s="5">
        <f>VLOOKUP($A33,'SegEnds_NonXtal_Prot#'!$A:$AL,32,FALSE)</f>
        <v>807</v>
      </c>
      <c r="AN33" s="5">
        <f>VLOOKUP($A33,'SegEnds_NonXtal_Prot#'!$A:$AL,35,FALSE)</f>
        <v>841</v>
      </c>
      <c r="AO33" s="5">
        <f>VLOOKUP($A33,'SegEnds_NonXtal_Prot#'!$A:$AL,38,FALSE)</f>
        <v>853</v>
      </c>
      <c r="AP33" s="5">
        <f t="shared" si="13"/>
        <v>26</v>
      </c>
      <c r="AQ33" s="4">
        <f t="shared" si="14"/>
        <v>6</v>
      </c>
      <c r="AR33" s="4">
        <f t="shared" si="15"/>
        <v>22</v>
      </c>
      <c r="AS33" s="4" t="str">
        <f t="shared" si="16"/>
        <v>-</v>
      </c>
      <c r="AT33" s="4">
        <f t="shared" si="17"/>
        <v>32</v>
      </c>
      <c r="AU33" s="4" t="str">
        <f t="shared" si="18"/>
        <v>-</v>
      </c>
      <c r="AV33" s="4">
        <f t="shared" si="19"/>
        <v>26</v>
      </c>
      <c r="AW33" s="4">
        <f t="shared" si="20"/>
        <v>2</v>
      </c>
      <c r="AX33" s="4">
        <f t="shared" si="21"/>
        <v>25</v>
      </c>
      <c r="AY33" s="4">
        <f t="shared" si="22"/>
        <v>24</v>
      </c>
      <c r="AZ33" s="4">
        <f t="shared" si="23"/>
        <v>31</v>
      </c>
      <c r="BA33" s="4">
        <f t="shared" si="24"/>
        <v>11</v>
      </c>
    </row>
    <row r="34" spans="1:53" x14ac:dyDescent="0.2">
      <c r="A34" s="1" t="str">
        <f>'SegEnds_NonXtal_Prot#'!A366</f>
        <v>rai3_human</v>
      </c>
      <c r="B34" s="1" t="str">
        <f t="shared" si="0"/>
        <v>AWGIVLETVATAGVVTSVAFMLTLPILNRRKMLPTQFLFLLGVLGIFGLTFAFIGSTGPTRFFLFGILFSICFSCLLAHAVSLTKLVSLLVILGLAVGFSLVQDVIAIEYIVLTRNEDFVLLLTYVLFLMALTFLMSSFTHGAHIYLTMLLSIAIWVAWITLLMLWDDTILSSALAANGWVFLLAYVSPEFWLLTKQNPMDYPVEDAFCK</v>
      </c>
      <c r="C34" s="29" t="str">
        <f>IF(ISERROR(MATCH(A34,'SegEnds_Xtal_Prot#'!B:B, 0)), "NoXtal", "Xtal")</f>
        <v>NoXtal</v>
      </c>
      <c r="D34" s="4" t="str">
        <f>VLOOKUP(A34,Classification!A:D,2,FALSE)</f>
        <v>C</v>
      </c>
      <c r="E34" s="5" t="str">
        <f>VLOOKUP(A34,Seqs!A:B,2,FALSE)</f>
        <v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v>
      </c>
      <c r="F34" s="5" t="str">
        <f t="shared" si="1"/>
        <v>AWGIVLETVATAGVVTSVAFMLTLPIL</v>
      </c>
      <c r="G34" s="4" t="str">
        <f t="shared" si="2"/>
        <v>VCKVQDS</v>
      </c>
      <c r="H34" s="4" t="str">
        <f t="shared" si="3"/>
        <v>NRRKMLPTQFLFLLGVLGIFGLTFAFI</v>
      </c>
      <c r="I34" s="4" t="str">
        <f t="shared" si="4"/>
        <v/>
      </c>
      <c r="J34" s="4" t="str">
        <f t="shared" si="5"/>
        <v>GSTGPTRFFLFGILFSICFSCLLAHAVSLTKLV</v>
      </c>
      <c r="K34" s="4" t="str">
        <f t="shared" si="6"/>
        <v/>
      </c>
      <c r="L34" s="4" t="str">
        <f t="shared" si="7"/>
        <v>SLLVILGLAVGFSLVQDVIAIEYIVLT</v>
      </c>
      <c r="M34" s="4" t="str">
        <f t="shared" si="8"/>
        <v/>
      </c>
      <c r="N34" s="4" t="str">
        <f t="shared" si="9"/>
        <v>RNEDFVLLLTYVLFLMALTFLMSSFT</v>
      </c>
      <c r="O34" s="4" t="str">
        <f t="shared" si="10"/>
        <v>HGAHIYLTMLLSIAIWVAWITLLML</v>
      </c>
      <c r="P34" s="4" t="str">
        <f t="shared" si="11"/>
        <v>WDDTILSSALAANGWVFLLAYVSPEFWLLTKQ</v>
      </c>
      <c r="Q34" s="4" t="str">
        <f t="shared" si="12"/>
        <v>NPMDYPVEDAFCK</v>
      </c>
      <c r="R34" s="5">
        <f>VLOOKUP($A34,'SegEnds_NonXtal_Prot#'!$A:$AL,3,FALSE)</f>
        <v>26</v>
      </c>
      <c r="S34" s="5">
        <f>VLOOKUP($A34,'SegEnds_NonXtal_Prot#'!$A:$AL,6,FALSE)</f>
        <v>53</v>
      </c>
      <c r="T34" s="5">
        <f>VLOOKUP($A34,'SegEnds_NonXtal_Prot#'!$A:$AL,9,FALSE)</f>
        <v>60</v>
      </c>
      <c r="U34" s="5" t="str">
        <f>VLOOKUP($A34,'SegEnds_NonXtal_Prot#'!$A:$AL,12,FALSE)</f>
        <v>-</v>
      </c>
      <c r="V34" s="5">
        <f>VLOOKUP($A34,'SegEnds_NonXtal_Prot#'!$A:$AL,15,FALSE)</f>
        <v>91</v>
      </c>
      <c r="W34" s="5" t="str">
        <f>VLOOKUP($A34,'SegEnds_NonXtal_Prot#'!$A:$AL,18,FALSE)</f>
        <v>-</v>
      </c>
      <c r="X34" s="5">
        <f>VLOOKUP($A34,'SegEnds_NonXtal_Prot#'!$A:$AL,21,FALSE)</f>
        <v>130</v>
      </c>
      <c r="Y34" s="5" t="str">
        <f>VLOOKUP($A34,'SegEnds_NonXtal_Prot#'!$A:$AL,24,FALSE)</f>
        <v>-</v>
      </c>
      <c r="Z34" s="5">
        <f>VLOOKUP($A34,'SegEnds_NonXtal_Prot#'!$A:$AL,27,FALSE)</f>
        <v>173</v>
      </c>
      <c r="AA34" s="5">
        <f>VLOOKUP($A34,'SegEnds_NonXtal_Prot#'!$A:$AL,30,FALSE)</f>
        <v>209</v>
      </c>
      <c r="AB34" s="5">
        <f>VLOOKUP($A34,'SegEnds_NonXtal_Prot#'!$A:$AL,33,FALSE)</f>
        <v>240</v>
      </c>
      <c r="AC34" s="5">
        <f>VLOOKUP($A34,'SegEnds_NonXtal_Prot#'!$A:$AL,36,FALSE)</f>
        <v>273</v>
      </c>
      <c r="AD34" s="5">
        <f>VLOOKUP($A34,'SegEnds_NonXtal_Prot#'!$A:$AL,5,FALSE)</f>
        <v>52</v>
      </c>
      <c r="AE34" s="5">
        <f>VLOOKUP($A34,'SegEnds_NonXtal_Prot#'!$A:$AL,8,FALSE)</f>
        <v>59</v>
      </c>
      <c r="AF34" s="5">
        <f>VLOOKUP($A34,'SegEnds_NonXtal_Prot#'!$A:$AL,11,FALSE)</f>
        <v>86</v>
      </c>
      <c r="AG34" s="5" t="str">
        <f>VLOOKUP($A34,'SegEnds_NonXtal_Prot#'!$A:$AL,14,FALSE)</f>
        <v>-</v>
      </c>
      <c r="AH34" s="5">
        <f>VLOOKUP($A34,'SegEnds_NonXtal_Prot#'!$A:$AL,17,FALSE)</f>
        <v>123</v>
      </c>
      <c r="AI34" s="5" t="str">
        <f>VLOOKUP($A34,'SegEnds_NonXtal_Prot#'!$A:$AL,20,FALSE)</f>
        <v>-</v>
      </c>
      <c r="AJ34" s="5">
        <f>VLOOKUP($A34,'SegEnds_NonXtal_Prot#'!$A:$AL,23,FALSE)</f>
        <v>156</v>
      </c>
      <c r="AK34" s="5" t="str">
        <f>VLOOKUP($A34,'SegEnds_NonXtal_Prot#'!$A:$AL,26,FALSE)</f>
        <v>-</v>
      </c>
      <c r="AL34" s="5">
        <f>VLOOKUP($A34,'SegEnds_NonXtal_Prot#'!$A:$AL,29,FALSE)</f>
        <v>198</v>
      </c>
      <c r="AM34" s="5">
        <f>VLOOKUP($A34,'SegEnds_NonXtal_Prot#'!$A:$AL,32,FALSE)</f>
        <v>233</v>
      </c>
      <c r="AN34" s="5">
        <f>VLOOKUP($A34,'SegEnds_NonXtal_Prot#'!$A:$AL,35,FALSE)</f>
        <v>271</v>
      </c>
      <c r="AO34" s="5">
        <f>VLOOKUP($A34,'SegEnds_NonXtal_Prot#'!$A:$AL,38,FALSE)</f>
        <v>285</v>
      </c>
      <c r="AP34" s="5">
        <f t="shared" si="13"/>
        <v>26</v>
      </c>
      <c r="AQ34" s="4">
        <f t="shared" si="14"/>
        <v>6</v>
      </c>
      <c r="AR34" s="4">
        <f t="shared" si="15"/>
        <v>26</v>
      </c>
      <c r="AS34" s="4" t="str">
        <f t="shared" si="16"/>
        <v>-</v>
      </c>
      <c r="AT34" s="4">
        <f t="shared" si="17"/>
        <v>32</v>
      </c>
      <c r="AU34" s="4" t="str">
        <f t="shared" si="18"/>
        <v>-</v>
      </c>
      <c r="AV34" s="4">
        <f t="shared" si="19"/>
        <v>26</v>
      </c>
      <c r="AW34" s="4" t="str">
        <f t="shared" si="20"/>
        <v>-</v>
      </c>
      <c r="AX34" s="4">
        <f t="shared" si="21"/>
        <v>25</v>
      </c>
      <c r="AY34" s="4">
        <f t="shared" si="22"/>
        <v>24</v>
      </c>
      <c r="AZ34" s="4">
        <f t="shared" si="23"/>
        <v>31</v>
      </c>
      <c r="BA34" s="4">
        <f t="shared" si="24"/>
        <v>12</v>
      </c>
    </row>
    <row r="35" spans="1:53" x14ac:dyDescent="0.2">
      <c r="A35" s="1" t="str">
        <f>'SegEnds_NonXtal_Prot#'!A370</f>
        <v>fzd1_human</v>
      </c>
      <c r="B35" s="1" t="str">
        <f t="shared" si="0"/>
        <v>GPEELRFSRTWIGIWSVLCCASTLFTVLTYLVDYPERPIIFLSGCYTAVAVAYIAGFEGCTILFMMLYFFSMASSIWWVILSLTWFLAAGMKWGIEANSQYFHLAAWAVPAIKTITILALNVDALRGFVLAPLFVYLFIGTSFLLAGFVSLFRIRTIMTEKLEKLMVRIGVFSVLYTVPATIVIACYFYEQAFRDQWERSWVAQSCKSYAIPCDFTVFMIKYLMTLIVGITSGFWIWSGKTLNSWRKFYTRLT</v>
      </c>
      <c r="C35" s="29" t="str">
        <f>IF(ISERROR(MATCH(A35,'SegEnds_Xtal_Prot#'!B:B, 0)), "NoXtal", "Xtal")</f>
        <v>NoXtal</v>
      </c>
      <c r="D35" s="4" t="str">
        <f>VLOOKUP(A35,Classification!A:D,2,FALSE)</f>
        <v>F</v>
      </c>
      <c r="E35" s="5" t="str">
        <f>VLOOKUP(A35,Seqs!A:B,2,FALSE)</f>
        <v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v>
      </c>
      <c r="F35" s="5" t="str">
        <f t="shared" si="1"/>
        <v>GPEELRFSRTWIGIWSVLCCASTLFTVLTYLVD</v>
      </c>
      <c r="G35" s="4" t="str">
        <f t="shared" si="2"/>
        <v>MRRFS</v>
      </c>
      <c r="H35" s="4" t="str">
        <f t="shared" si="3"/>
        <v>YPERPIIFLSGCYTAVAVAYIAGF</v>
      </c>
      <c r="I35" s="4" t="str">
        <f t="shared" si="4"/>
        <v/>
      </c>
      <c r="J35" s="4" t="str">
        <f t="shared" si="5"/>
        <v>EGCTILFMMLYFFSMASSIWWVILSLTWFLAAGMKWG</v>
      </c>
      <c r="K35" s="4" t="str">
        <f t="shared" si="6"/>
        <v/>
      </c>
      <c r="L35" s="4" t="str">
        <f t="shared" si="7"/>
        <v>IEANSQYFHLAAWAVPAIKTITILAL</v>
      </c>
      <c r="M35" s="4" t="str">
        <f t="shared" si="8"/>
        <v>CFV</v>
      </c>
      <c r="N35" s="4" t="str">
        <f t="shared" si="9"/>
        <v>NVDALRGFVLAPLFVYLFIGTSFLLAGFVSLFRIRTIM</v>
      </c>
      <c r="O35" s="4" t="str">
        <f t="shared" si="10"/>
        <v>TEKLEKLMVRIGVFSVLYTVPATIVIACYFYEQAFRDQWERSWVAQSCKSYAIPC</v>
      </c>
      <c r="P35" s="4" t="str">
        <f t="shared" si="11"/>
        <v>DFTVFMIKYLMTLIVGITSGFWIW</v>
      </c>
      <c r="Q35" s="4" t="str">
        <f t="shared" si="12"/>
        <v>SGKTLNSWRKFYTRLT</v>
      </c>
      <c r="R35" s="5">
        <f>VLOOKUP($A35,'SegEnds_NonXtal_Prot#'!$A:$AL,3,FALSE)</f>
        <v>312</v>
      </c>
      <c r="S35" s="5">
        <f>VLOOKUP($A35,'SegEnds_NonXtal_Prot#'!$A:$AL,6,FALSE)</f>
        <v>345</v>
      </c>
      <c r="T35" s="5">
        <f>VLOOKUP($A35,'SegEnds_NonXtal_Prot#'!$A:$AL,9,FALSE)</f>
        <v>350</v>
      </c>
      <c r="U35" s="5" t="str">
        <f>VLOOKUP($A35,'SegEnds_NonXtal_Prot#'!$A:$AL,12,FALSE)</f>
        <v>-</v>
      </c>
      <c r="V35" s="5">
        <f>VLOOKUP($A35,'SegEnds_NonXtal_Prot#'!$A:$AL,15,FALSE)</f>
        <v>400</v>
      </c>
      <c r="W35" s="5" t="str">
        <f>VLOOKUP($A35,'SegEnds_NonXtal_Prot#'!$A:$AL,18,FALSE)</f>
        <v>-</v>
      </c>
      <c r="X35" s="5">
        <f>VLOOKUP($A35,'SegEnds_NonXtal_Prot#'!$A:$AL,21,FALSE)</f>
        <v>440</v>
      </c>
      <c r="Y35" s="5">
        <f>VLOOKUP($A35,'SegEnds_NonXtal_Prot#'!$A:$AL,24,FALSE)</f>
        <v>477</v>
      </c>
      <c r="Z35" s="5">
        <f>VLOOKUP($A35,'SegEnds_NonXtal_Prot#'!$A:$AL,27,FALSE)</f>
        <v>483</v>
      </c>
      <c r="AA35" s="5">
        <f>VLOOKUP($A35,'SegEnds_NonXtal_Prot#'!$A:$AL,30,FALSE)</f>
        <v>527</v>
      </c>
      <c r="AB35" s="5">
        <f>VLOOKUP($A35,'SegEnds_NonXtal_Prot#'!$A:$AL,33,FALSE)</f>
        <v>599</v>
      </c>
      <c r="AC35" s="5">
        <f>VLOOKUP($A35,'SegEnds_NonXtal_Prot#'!$A:$AL,36,FALSE)</f>
        <v>623</v>
      </c>
      <c r="AD35" s="5">
        <f>VLOOKUP($A35,'SegEnds_NonXtal_Prot#'!$A:$AL,5,FALSE)</f>
        <v>344</v>
      </c>
      <c r="AE35" s="5">
        <f>VLOOKUP($A35,'SegEnds_NonXtal_Prot#'!$A:$AL,8,FALSE)</f>
        <v>349</v>
      </c>
      <c r="AF35" s="5">
        <f>VLOOKUP($A35,'SegEnds_NonXtal_Prot#'!$A:$AL,11,FALSE)</f>
        <v>373</v>
      </c>
      <c r="AG35" s="5" t="str">
        <f>VLOOKUP($A35,'SegEnds_NonXtal_Prot#'!$A:$AL,14,FALSE)</f>
        <v>-</v>
      </c>
      <c r="AH35" s="5">
        <f>VLOOKUP($A35,'SegEnds_NonXtal_Prot#'!$A:$AL,17,FALSE)</f>
        <v>436</v>
      </c>
      <c r="AI35" s="5" t="str">
        <f>VLOOKUP($A35,'SegEnds_NonXtal_Prot#'!$A:$AL,20,FALSE)</f>
        <v>-</v>
      </c>
      <c r="AJ35" s="5">
        <f>VLOOKUP($A35,'SegEnds_NonXtal_Prot#'!$A:$AL,23,FALSE)</f>
        <v>465</v>
      </c>
      <c r="AK35" s="5">
        <f>VLOOKUP($A35,'SegEnds_NonXtal_Prot#'!$A:$AL,26,FALSE)</f>
        <v>479</v>
      </c>
      <c r="AL35" s="5">
        <f>VLOOKUP($A35,'SegEnds_NonXtal_Prot#'!$A:$AL,29,FALSE)</f>
        <v>520</v>
      </c>
      <c r="AM35" s="5">
        <f>VLOOKUP($A35,'SegEnds_NonXtal_Prot#'!$A:$AL,32,FALSE)</f>
        <v>581</v>
      </c>
      <c r="AN35" s="5">
        <f>VLOOKUP($A35,'SegEnds_NonXtal_Prot#'!$A:$AL,35,FALSE)</f>
        <v>622</v>
      </c>
      <c r="AO35" s="5">
        <f>VLOOKUP($A35,'SegEnds_NonXtal_Prot#'!$A:$AL,38,FALSE)</f>
        <v>638</v>
      </c>
      <c r="AP35" s="5">
        <f t="shared" si="13"/>
        <v>32</v>
      </c>
      <c r="AQ35" s="4">
        <f t="shared" si="14"/>
        <v>4</v>
      </c>
      <c r="AR35" s="4">
        <f t="shared" si="15"/>
        <v>23</v>
      </c>
      <c r="AS35" s="4" t="str">
        <f t="shared" si="16"/>
        <v>-</v>
      </c>
      <c r="AT35" s="4">
        <f t="shared" si="17"/>
        <v>36</v>
      </c>
      <c r="AU35" s="4" t="str">
        <f t="shared" si="18"/>
        <v>-</v>
      </c>
      <c r="AV35" s="4">
        <f t="shared" si="19"/>
        <v>25</v>
      </c>
      <c r="AW35" s="4">
        <f t="shared" si="20"/>
        <v>2</v>
      </c>
      <c r="AX35" s="4">
        <f t="shared" si="21"/>
        <v>37</v>
      </c>
      <c r="AY35" s="4">
        <f t="shared" si="22"/>
        <v>54</v>
      </c>
      <c r="AZ35" s="4">
        <f t="shared" si="23"/>
        <v>23</v>
      </c>
      <c r="BA35" s="4">
        <f t="shared" si="24"/>
        <v>15</v>
      </c>
    </row>
    <row r="36" spans="1:53" x14ac:dyDescent="0.2">
      <c r="A36" s="1" t="str">
        <f>'SegEnds_NonXtal_Prot#'!A387</f>
        <v>t2r10_human</v>
      </c>
      <c r="B36" s="1" t="str">
        <f t="shared" si="0"/>
        <v>EGIFIFVVVSESVFGVLGNGFIGLVNCIDCASTIGFILTGLAISRIFLIWIIITDGFIQIFSSGNLIEYISYFWVIGNQSSMWFATSLSIFYFLKIANSRTNMVLPFMIVFLLISSLLNFAYIYKSEYFIKQILLNLGVIFFFTLSLITCIFLIISLWRHNRQMSNTEAHVKAMKVLISFIILFILYFIGMAIEISCNKLLLMFGMTTTAIYPWGHSFILILGNSKLKQASLRVLQQ</v>
      </c>
      <c r="C36" s="29" t="str">
        <f>IF(ISERROR(MATCH(A36,'SegEnds_Xtal_Prot#'!B:B, 0)), "NoXtal", "Xtal")</f>
        <v>NoXtal</v>
      </c>
      <c r="D36" s="4" t="str">
        <f>VLOOKUP(A36,Classification!A:D,2,FALSE)</f>
        <v>T</v>
      </c>
      <c r="E36" s="5" t="str">
        <f>VLOOKUP(A36,Seqs!A:B,2,FALSE)</f>
        <v>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</v>
      </c>
      <c r="F36" s="5" t="str">
        <f t="shared" si="1"/>
        <v>EGIFIFVVVSESVFGVLGNGFIGLVNCIDCA</v>
      </c>
      <c r="G36" s="4" t="str">
        <f t="shared" si="2"/>
        <v>KNKL</v>
      </c>
      <c r="H36" s="4" t="str">
        <f t="shared" si="3"/>
        <v>STIGFILTGLAISRIFLIWIIITDGFIQIFS</v>
      </c>
      <c r="I36" s="4" t="str">
        <f t="shared" si="4"/>
        <v/>
      </c>
      <c r="J36" s="4" t="str">
        <f t="shared" si="5"/>
        <v>SGNLIEYISYFWVIGNQSSMWFATSLSIFYFLKIAN</v>
      </c>
      <c r="K36" s="4" t="str">
        <f t="shared" si="6"/>
        <v>NYIFLWLK</v>
      </c>
      <c r="L36" s="4" t="str">
        <f t="shared" si="7"/>
        <v>SRTNMVLPFMIVFLLISSLLNFAYI</v>
      </c>
      <c r="M36" s="4" t="str">
        <f t="shared" si="8"/>
        <v/>
      </c>
      <c r="N36" s="4" t="str">
        <f t="shared" si="9"/>
        <v>YKSEYFIKQILLNLGVIFFFTLSLITCIFLIISLWRHNRQM</v>
      </c>
      <c r="O36" s="4" t="str">
        <f t="shared" si="10"/>
        <v>SNTEAHVKAMKVLISFIILFILYFIGMAIEISC</v>
      </c>
      <c r="P36" s="4" t="str">
        <f t="shared" si="11"/>
        <v>NKLLLMFGMTTTAIYPWGHSFILILG</v>
      </c>
      <c r="Q36" s="4" t="str">
        <f t="shared" si="12"/>
        <v>NSKLKQASLRVLQQ</v>
      </c>
      <c r="R36" s="5">
        <f>VLOOKUP($A36,'SegEnds_NonXtal_Prot#'!$A:$AL,3,FALSE)</f>
        <v>6</v>
      </c>
      <c r="S36" s="5">
        <f>VLOOKUP($A36,'SegEnds_NonXtal_Prot#'!$A:$AL,6,FALSE)</f>
        <v>37</v>
      </c>
      <c r="T36" s="5">
        <f>VLOOKUP($A36,'SegEnds_NonXtal_Prot#'!$A:$AL,9,FALSE)</f>
        <v>41</v>
      </c>
      <c r="U36" s="5" t="str">
        <f>VLOOKUP($A36,'SegEnds_NonXtal_Prot#'!$A:$AL,12,FALSE)</f>
        <v>-</v>
      </c>
      <c r="V36" s="5">
        <f>VLOOKUP($A36,'SegEnds_NonXtal_Prot#'!$A:$AL,15,FALSE)</f>
        <v>77</v>
      </c>
      <c r="W36" s="5">
        <f>VLOOKUP($A36,'SegEnds_NonXtal_Prot#'!$A:$AL,18,FALSE)</f>
        <v>115</v>
      </c>
      <c r="X36" s="5">
        <f>VLOOKUP($A36,'SegEnds_NonXtal_Prot#'!$A:$AL,21,FALSE)</f>
        <v>123</v>
      </c>
      <c r="Y36" s="5" t="str">
        <f>VLOOKUP($A36,'SegEnds_NonXtal_Prot#'!$A:$AL,24,FALSE)</f>
        <v>-</v>
      </c>
      <c r="Z36" s="5">
        <f>VLOOKUP($A36,'SegEnds_NonXtal_Prot#'!$A:$AL,27,FALSE)</f>
        <v>167</v>
      </c>
      <c r="AA36" s="5">
        <f>VLOOKUP($A36,'SegEnds_NonXtal_Prot#'!$A:$AL,30,FALSE)</f>
        <v>217</v>
      </c>
      <c r="AB36" s="5">
        <f>VLOOKUP($A36,'SegEnds_NonXtal_Prot#'!$A:$AL,33,FALSE)</f>
        <v>255</v>
      </c>
      <c r="AC36" s="5">
        <f>VLOOKUP($A36,'SegEnds_NonXtal_Prot#'!$A:$AL,36,FALSE)</f>
        <v>281</v>
      </c>
      <c r="AD36" s="5">
        <f>VLOOKUP($A36,'SegEnds_NonXtal_Prot#'!$A:$AL,5,FALSE)</f>
        <v>36</v>
      </c>
      <c r="AE36" s="5">
        <f>VLOOKUP($A36,'SegEnds_NonXtal_Prot#'!$A:$AL,8,FALSE)</f>
        <v>40</v>
      </c>
      <c r="AF36" s="5">
        <f>VLOOKUP($A36,'SegEnds_NonXtal_Prot#'!$A:$AL,11,FALSE)</f>
        <v>71</v>
      </c>
      <c r="AG36" s="5" t="str">
        <f>VLOOKUP($A36,'SegEnds_NonXtal_Prot#'!$A:$AL,14,FALSE)</f>
        <v>-</v>
      </c>
      <c r="AH36" s="5">
        <f>VLOOKUP($A36,'SegEnds_NonXtal_Prot#'!$A:$AL,17,FALSE)</f>
        <v>112</v>
      </c>
      <c r="AI36" s="5">
        <f>VLOOKUP($A36,'SegEnds_NonXtal_Prot#'!$A:$AL,20,FALSE)</f>
        <v>122</v>
      </c>
      <c r="AJ36" s="5">
        <f>VLOOKUP($A36,'SegEnds_NonXtal_Prot#'!$A:$AL,23,FALSE)</f>
        <v>147</v>
      </c>
      <c r="AK36" s="5" t="str">
        <f>VLOOKUP($A36,'SegEnds_NonXtal_Prot#'!$A:$AL,26,FALSE)</f>
        <v>-</v>
      </c>
      <c r="AL36" s="5">
        <f>VLOOKUP($A36,'SegEnds_NonXtal_Prot#'!$A:$AL,29,FALSE)</f>
        <v>207</v>
      </c>
      <c r="AM36" s="5">
        <f>VLOOKUP($A36,'SegEnds_NonXtal_Prot#'!$A:$AL,32,FALSE)</f>
        <v>249</v>
      </c>
      <c r="AN36" s="5">
        <f>VLOOKUP($A36,'SegEnds_NonXtal_Prot#'!$A:$AL,35,FALSE)</f>
        <v>280</v>
      </c>
      <c r="AO36" s="5">
        <f>VLOOKUP($A36,'SegEnds_NonXtal_Prot#'!$A:$AL,38,FALSE)</f>
        <v>294</v>
      </c>
      <c r="AP36" s="5">
        <f t="shared" si="13"/>
        <v>30</v>
      </c>
      <c r="AQ36" s="4">
        <f t="shared" si="14"/>
        <v>3</v>
      </c>
      <c r="AR36" s="4">
        <f t="shared" si="15"/>
        <v>30</v>
      </c>
      <c r="AS36" s="4" t="str">
        <f t="shared" si="16"/>
        <v>-</v>
      </c>
      <c r="AT36" s="4">
        <f t="shared" si="17"/>
        <v>35</v>
      </c>
      <c r="AU36" s="4">
        <f t="shared" si="18"/>
        <v>7</v>
      </c>
      <c r="AV36" s="4">
        <f t="shared" si="19"/>
        <v>24</v>
      </c>
      <c r="AW36" s="4" t="str">
        <f t="shared" si="20"/>
        <v>-</v>
      </c>
      <c r="AX36" s="4">
        <f t="shared" si="21"/>
        <v>40</v>
      </c>
      <c r="AY36" s="4">
        <f t="shared" si="22"/>
        <v>32</v>
      </c>
      <c r="AZ36" s="4">
        <f t="shared" si="23"/>
        <v>25</v>
      </c>
      <c r="BA36" s="4">
        <f t="shared" si="24"/>
        <v>13</v>
      </c>
    </row>
    <row r="37" spans="1:53" x14ac:dyDescent="0.2">
      <c r="A37" s="1" t="str">
        <f>'SegEnds_NonXtal_Prot#'!A396</f>
        <v>t2r39_human</v>
      </c>
      <c r="B37" s="1" t="str">
        <f t="shared" si="0"/>
        <v>ITLILAVLLAEYLIGIIANGFIMAIHAAEWVVSTSGRILVFLSVSRIALQSLMMLEITISSTFYSEDAVYYAFKISFIFLNFCSLWFAAWLSFFYFVKIANWRITGLIPWLLWLSVFISFSHSMFCINSEINVVGLAFFFNLGIVTPLIMFILTATLLILSLKRHTLHMPSMEAHMGAIKAISYFLILYIFNAVALFIYLSNNSLWNNLCQIIMAAYPASHSILLIQDNPGLRRAWKRLQLR</v>
      </c>
      <c r="C37" s="29" t="str">
        <f>IF(ISERROR(MATCH(A37,'SegEnds_Xtal_Prot#'!B:B, 0)), "NoXtal", "Xtal")</f>
        <v>NoXtal</v>
      </c>
      <c r="D37" s="4" t="str">
        <f>VLOOKUP(A37,Classification!A:D,2,FALSE)</f>
        <v>T</v>
      </c>
      <c r="E37" s="5" t="str">
        <f>VLOOKUP(A37,Seqs!A:B,2,FALSE)</f>
        <v>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</v>
      </c>
      <c r="F37" s="5" t="str">
        <f t="shared" si="1"/>
        <v>ITLILAVLLAEYLIGIIANGFIMAIHAAEWV</v>
      </c>
      <c r="G37" s="4" t="str">
        <f t="shared" si="2"/>
        <v>QNKA</v>
      </c>
      <c r="H37" s="4" t="str">
        <f t="shared" si="3"/>
        <v>VSTSGRILVFLSVSRIALQSLMMLEITISST</v>
      </c>
      <c r="I37" s="4" t="str">
        <f t="shared" si="4"/>
        <v/>
      </c>
      <c r="J37" s="4" t="str">
        <f t="shared" si="5"/>
        <v>FYSEDAVYYAFKISFIFLNFCSLWFAAWLSFFYFVKIAN</v>
      </c>
      <c r="K37" s="4" t="str">
        <f t="shared" si="6"/>
        <v>YPLFLKLR</v>
      </c>
      <c r="L37" s="4" t="str">
        <f t="shared" si="7"/>
        <v>WRITGLIPWLLWLSVFISFSHSMFCIN</v>
      </c>
      <c r="M37" s="4" t="str">
        <f t="shared" si="8"/>
        <v/>
      </c>
      <c r="N37" s="4" t="str">
        <f t="shared" si="9"/>
        <v>SEINVVGLAFFFNLGIVTPLIMFILTATLLILSLKRHTLHM</v>
      </c>
      <c r="O37" s="4" t="str">
        <f t="shared" si="10"/>
        <v>PSMEAHMGAIKAISYFLILYIFNAVALFIYLSN</v>
      </c>
      <c r="P37" s="4" t="str">
        <f t="shared" si="11"/>
        <v>NSLWNNLCQIIMAAYPASHSILLIQD</v>
      </c>
      <c r="Q37" s="4" t="str">
        <f t="shared" si="12"/>
        <v>NPGLRRAWKRLQLR</v>
      </c>
      <c r="R37" s="5">
        <f>VLOOKUP($A37,'SegEnds_NonXtal_Prot#'!$A:$AL,3,FALSE)</f>
        <v>34</v>
      </c>
      <c r="S37" s="5">
        <f>VLOOKUP($A37,'SegEnds_NonXtal_Prot#'!$A:$AL,6,FALSE)</f>
        <v>65</v>
      </c>
      <c r="T37" s="5">
        <f>VLOOKUP($A37,'SegEnds_NonXtal_Prot#'!$A:$AL,9,FALSE)</f>
        <v>69</v>
      </c>
      <c r="U37" s="5" t="str">
        <f>VLOOKUP($A37,'SegEnds_NonXtal_Prot#'!$A:$AL,12,FALSE)</f>
        <v>-</v>
      </c>
      <c r="V37" s="5">
        <f>VLOOKUP($A37,'SegEnds_NonXtal_Prot#'!$A:$AL,15,FALSE)</f>
        <v>103</v>
      </c>
      <c r="W37" s="5">
        <f>VLOOKUP($A37,'SegEnds_NonXtal_Prot#'!$A:$AL,18,FALSE)</f>
        <v>144</v>
      </c>
      <c r="X37" s="5">
        <f>VLOOKUP($A37,'SegEnds_NonXtal_Prot#'!$A:$AL,21,FALSE)</f>
        <v>152</v>
      </c>
      <c r="Y37" s="5" t="str">
        <f>VLOOKUP($A37,'SegEnds_NonXtal_Prot#'!$A:$AL,24,FALSE)</f>
        <v>-</v>
      </c>
      <c r="Z37" s="5">
        <f>VLOOKUP($A37,'SegEnds_NonXtal_Prot#'!$A:$AL,27,FALSE)</f>
        <v>202</v>
      </c>
      <c r="AA37" s="5">
        <f>VLOOKUP($A37,'SegEnds_NonXtal_Prot#'!$A:$AL,30,FALSE)</f>
        <v>252</v>
      </c>
      <c r="AB37" s="5">
        <f>VLOOKUP($A37,'SegEnds_NonXtal_Prot#'!$A:$AL,33,FALSE)</f>
        <v>289</v>
      </c>
      <c r="AC37" s="5">
        <f>VLOOKUP($A37,'SegEnds_NonXtal_Prot#'!$A:$AL,36,FALSE)</f>
        <v>315</v>
      </c>
      <c r="AD37" s="5">
        <f>VLOOKUP($A37,'SegEnds_NonXtal_Prot#'!$A:$AL,5,FALSE)</f>
        <v>64</v>
      </c>
      <c r="AE37" s="5">
        <f>VLOOKUP($A37,'SegEnds_NonXtal_Prot#'!$A:$AL,8,FALSE)</f>
        <v>68</v>
      </c>
      <c r="AF37" s="5">
        <f>VLOOKUP($A37,'SegEnds_NonXtal_Prot#'!$A:$AL,11,FALSE)</f>
        <v>99</v>
      </c>
      <c r="AG37" s="5" t="str">
        <f>VLOOKUP($A37,'SegEnds_NonXtal_Prot#'!$A:$AL,14,FALSE)</f>
        <v>-</v>
      </c>
      <c r="AH37" s="5">
        <f>VLOOKUP($A37,'SegEnds_NonXtal_Prot#'!$A:$AL,17,FALSE)</f>
        <v>141</v>
      </c>
      <c r="AI37" s="5">
        <f>VLOOKUP($A37,'SegEnds_NonXtal_Prot#'!$A:$AL,20,FALSE)</f>
        <v>151</v>
      </c>
      <c r="AJ37" s="5">
        <f>VLOOKUP($A37,'SegEnds_NonXtal_Prot#'!$A:$AL,23,FALSE)</f>
        <v>178</v>
      </c>
      <c r="AK37" s="5" t="str">
        <f>VLOOKUP($A37,'SegEnds_NonXtal_Prot#'!$A:$AL,26,FALSE)</f>
        <v>-</v>
      </c>
      <c r="AL37" s="5">
        <f>VLOOKUP($A37,'SegEnds_NonXtal_Prot#'!$A:$AL,29,FALSE)</f>
        <v>242</v>
      </c>
      <c r="AM37" s="5">
        <f>VLOOKUP($A37,'SegEnds_NonXtal_Prot#'!$A:$AL,32,FALSE)</f>
        <v>284</v>
      </c>
      <c r="AN37" s="5">
        <f>VLOOKUP($A37,'SegEnds_NonXtal_Prot#'!$A:$AL,35,FALSE)</f>
        <v>314</v>
      </c>
      <c r="AO37" s="5">
        <f>VLOOKUP($A37,'SegEnds_NonXtal_Prot#'!$A:$AL,38,FALSE)</f>
        <v>328</v>
      </c>
      <c r="AP37" s="5">
        <f t="shared" si="13"/>
        <v>30</v>
      </c>
      <c r="AQ37" s="4">
        <f t="shared" si="14"/>
        <v>3</v>
      </c>
      <c r="AR37" s="4">
        <f t="shared" si="15"/>
        <v>30</v>
      </c>
      <c r="AS37" s="4" t="str">
        <f t="shared" si="16"/>
        <v>-</v>
      </c>
      <c r="AT37" s="4">
        <f t="shared" si="17"/>
        <v>38</v>
      </c>
      <c r="AU37" s="4">
        <f t="shared" si="18"/>
        <v>7</v>
      </c>
      <c r="AV37" s="4">
        <f t="shared" si="19"/>
        <v>26</v>
      </c>
      <c r="AW37" s="4" t="str">
        <f t="shared" si="20"/>
        <v>-</v>
      </c>
      <c r="AX37" s="4">
        <f t="shared" si="21"/>
        <v>40</v>
      </c>
      <c r="AY37" s="4">
        <f t="shared" si="22"/>
        <v>32</v>
      </c>
      <c r="AZ37" s="4">
        <f t="shared" si="23"/>
        <v>25</v>
      </c>
      <c r="BA37" s="4">
        <f t="shared" si="24"/>
        <v>13</v>
      </c>
    </row>
    <row r="38" spans="1:53" x14ac:dyDescent="0.2">
      <c r="A38" s="1" t="str">
        <f>'SegEnds_NonXtal_Prot#'!A402</f>
        <v>t2r46_human</v>
      </c>
      <c r="B38" s="1" t="str">
        <f t="shared" si="0"/>
        <v>PIIFSILIVVTFVIGNFANGFIALVNSIEWFISFADQILTALAVSRVGLLWVLVLNWYATELSIEVRITAYNVWAVINHFSNWLATSLSIFYLLKIANRRVKSVVLVILLGPLLFLVCHLFVINMNQIRSAMYLSNTTVTILANLVPFTLTLISFLLLICSLCKHLKKMPSMKVHIKALQTVTSFLLLCAIYFLSIIMSVWSNKPVFMFCEAIAFSYPSTHPFILIWGNKKLKQTFLSVLWH</v>
      </c>
      <c r="C38" s="29" t="str">
        <f>IF(ISERROR(MATCH(A38,'SegEnds_Xtal_Prot#'!B:B, 0)), "NoXtal", "Xtal")</f>
        <v>NoXtal</v>
      </c>
      <c r="D38" s="4" t="str">
        <f>VLOOKUP(A38,Classification!A:D,2,FALSE)</f>
        <v>T</v>
      </c>
      <c r="E38" s="5" t="str">
        <f>VLOOKUP(A38,Seqs!A:B,2,FALSE)</f>
        <v>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</v>
      </c>
      <c r="F38" s="5" t="str">
        <f t="shared" si="1"/>
        <v>PIIFSILIVVTFVIGNFANGFIALVNSIEWF</v>
      </c>
      <c r="G38" s="4" t="str">
        <f t="shared" si="2"/>
        <v>KRQK</v>
      </c>
      <c r="H38" s="4" t="str">
        <f t="shared" si="3"/>
        <v>ISFADQILTALAVSRVGLLWVLVLNWYATEL</v>
      </c>
      <c r="I38" s="4" t="str">
        <f t="shared" si="4"/>
        <v/>
      </c>
      <c r="J38" s="4" t="str">
        <f t="shared" si="5"/>
        <v>SIEVRITAYNVWAVINHFSNWLATSLSIFYLLKIAN</v>
      </c>
      <c r="K38" s="4" t="str">
        <f t="shared" si="6"/>
        <v>NLIFLHLK</v>
      </c>
      <c r="L38" s="4" t="str">
        <f t="shared" si="7"/>
        <v>RRVKSVVLVILLGPLLFLVCHLFVINMNQI</v>
      </c>
      <c r="M38" s="4" t="str">
        <f t="shared" si="8"/>
        <v/>
      </c>
      <c r="N38" s="4" t="str">
        <f t="shared" si="9"/>
        <v>RSAMYLSNTTVTILANLVPFTLTLISFLLLICSLCKHLKKM</v>
      </c>
      <c r="O38" s="4" t="str">
        <f t="shared" si="10"/>
        <v>PSMKVHIKALQTVTSFLLLCAIYFLSIIMSVWS</v>
      </c>
      <c r="P38" s="4" t="str">
        <f t="shared" si="11"/>
        <v>NKPVFMFCEAIAFSYPSTHPFILIWG</v>
      </c>
      <c r="Q38" s="4" t="str">
        <f t="shared" si="12"/>
        <v>NKKLKQTFLSVLWH</v>
      </c>
      <c r="R38" s="5">
        <f>VLOOKUP($A38,'SegEnds_NonXtal_Prot#'!$A:$AL,3,FALSE)</f>
        <v>6</v>
      </c>
      <c r="S38" s="5">
        <f>VLOOKUP($A38,'SegEnds_NonXtal_Prot#'!$A:$AL,6,FALSE)</f>
        <v>37</v>
      </c>
      <c r="T38" s="5">
        <f>VLOOKUP($A38,'SegEnds_NonXtal_Prot#'!$A:$AL,9,FALSE)</f>
        <v>41</v>
      </c>
      <c r="U38" s="5" t="str">
        <f>VLOOKUP($A38,'SegEnds_NonXtal_Prot#'!$A:$AL,12,FALSE)</f>
        <v>-</v>
      </c>
      <c r="V38" s="5">
        <f>VLOOKUP($A38,'SegEnds_NonXtal_Prot#'!$A:$AL,15,FALSE)</f>
        <v>77</v>
      </c>
      <c r="W38" s="5">
        <f>VLOOKUP($A38,'SegEnds_NonXtal_Prot#'!$A:$AL,18,FALSE)</f>
        <v>115</v>
      </c>
      <c r="X38" s="5">
        <f>VLOOKUP($A38,'SegEnds_NonXtal_Prot#'!$A:$AL,21,FALSE)</f>
        <v>123</v>
      </c>
      <c r="Y38" s="5" t="str">
        <f>VLOOKUP($A38,'SegEnds_NonXtal_Prot#'!$A:$AL,24,FALSE)</f>
        <v>-</v>
      </c>
      <c r="Z38" s="5">
        <f>VLOOKUP($A38,'SegEnds_NonXtal_Prot#'!$A:$AL,27,FALSE)</f>
        <v>169</v>
      </c>
      <c r="AA38" s="5">
        <f>VLOOKUP($A38,'SegEnds_NonXtal_Prot#'!$A:$AL,30,FALSE)</f>
        <v>219</v>
      </c>
      <c r="AB38" s="5">
        <f>VLOOKUP($A38,'SegEnds_NonXtal_Prot#'!$A:$AL,33,FALSE)</f>
        <v>257</v>
      </c>
      <c r="AC38" s="5">
        <f>VLOOKUP($A38,'SegEnds_NonXtal_Prot#'!$A:$AL,36,FALSE)</f>
        <v>283</v>
      </c>
      <c r="AD38" s="5">
        <f>VLOOKUP($A38,'SegEnds_NonXtal_Prot#'!$A:$AL,5,FALSE)</f>
        <v>36</v>
      </c>
      <c r="AE38" s="5">
        <f>VLOOKUP($A38,'SegEnds_NonXtal_Prot#'!$A:$AL,8,FALSE)</f>
        <v>40</v>
      </c>
      <c r="AF38" s="5">
        <f>VLOOKUP($A38,'SegEnds_NonXtal_Prot#'!$A:$AL,11,FALSE)</f>
        <v>71</v>
      </c>
      <c r="AG38" s="5" t="str">
        <f>VLOOKUP($A38,'SegEnds_NonXtal_Prot#'!$A:$AL,14,FALSE)</f>
        <v>-</v>
      </c>
      <c r="AH38" s="5">
        <f>VLOOKUP($A38,'SegEnds_NonXtal_Prot#'!$A:$AL,17,FALSE)</f>
        <v>112</v>
      </c>
      <c r="AI38" s="5">
        <f>VLOOKUP($A38,'SegEnds_NonXtal_Prot#'!$A:$AL,20,FALSE)</f>
        <v>122</v>
      </c>
      <c r="AJ38" s="5">
        <f>VLOOKUP($A38,'SegEnds_NonXtal_Prot#'!$A:$AL,23,FALSE)</f>
        <v>152</v>
      </c>
      <c r="AK38" s="5" t="str">
        <f>VLOOKUP($A38,'SegEnds_NonXtal_Prot#'!$A:$AL,26,FALSE)</f>
        <v>-</v>
      </c>
      <c r="AL38" s="5">
        <f>VLOOKUP($A38,'SegEnds_NonXtal_Prot#'!$A:$AL,29,FALSE)</f>
        <v>209</v>
      </c>
      <c r="AM38" s="5">
        <f>VLOOKUP($A38,'SegEnds_NonXtal_Prot#'!$A:$AL,32,FALSE)</f>
        <v>251</v>
      </c>
      <c r="AN38" s="5">
        <f>VLOOKUP($A38,'SegEnds_NonXtal_Prot#'!$A:$AL,35,FALSE)</f>
        <v>282</v>
      </c>
      <c r="AO38" s="5">
        <f>VLOOKUP($A38,'SegEnds_NonXtal_Prot#'!$A:$AL,38,FALSE)</f>
        <v>296</v>
      </c>
      <c r="AP38" s="5">
        <f t="shared" si="13"/>
        <v>30</v>
      </c>
      <c r="AQ38" s="4">
        <f t="shared" si="14"/>
        <v>3</v>
      </c>
      <c r="AR38" s="4">
        <f t="shared" si="15"/>
        <v>30</v>
      </c>
      <c r="AS38" s="4" t="str">
        <f t="shared" si="16"/>
        <v>-</v>
      </c>
      <c r="AT38" s="4">
        <f t="shared" si="17"/>
        <v>35</v>
      </c>
      <c r="AU38" s="4">
        <f t="shared" si="18"/>
        <v>7</v>
      </c>
      <c r="AV38" s="4">
        <f t="shared" si="19"/>
        <v>29</v>
      </c>
      <c r="AW38" s="4" t="str">
        <f t="shared" si="20"/>
        <v>-</v>
      </c>
      <c r="AX38" s="4">
        <f t="shared" si="21"/>
        <v>40</v>
      </c>
      <c r="AY38" s="4">
        <f t="shared" si="22"/>
        <v>32</v>
      </c>
      <c r="AZ38" s="4">
        <f t="shared" si="23"/>
        <v>25</v>
      </c>
      <c r="BA38" s="4">
        <f t="shared" si="24"/>
        <v>13</v>
      </c>
    </row>
    <row r="39" spans="1:53" x14ac:dyDescent="0.2">
      <c r="A39" s="1" t="str">
        <f>'SegEnds_NonXtal_Prot#'!A2</f>
        <v>gnrhr_human</v>
      </c>
      <c r="B39" s="1" t="str">
        <f t="shared" si="0"/>
        <v>KIRVTVTFFLFLLSATFNASFLLKLQKWRMKLLLKHLTLANLLETLIVMPLDGMWNIGELLCKVLSYLKLFSMYAPAFMMVVISLDRSLAITRNSKVGQSMVGLAWILSSVFAGPQLYIFSQWWHQAFYNFFTFSCLFIIPLFIMLICNAKIIFTLTRVLHQDPHQSKNNIPRARLKTLKMTVAFATSFTVCWTPYYVLGIWYWFDNRLSDPVNHFFFLFAFLNPCFDPLIYGYF</v>
      </c>
      <c r="C39" s="29" t="str">
        <f>IF(ISERROR(MATCH(A39,'SegEnds_Xtal_Prot#'!B:B, 0)), "NoXtal", "Xtal")</f>
        <v>NoXtal</v>
      </c>
      <c r="D39" s="4" t="str">
        <f>VLOOKUP(A39,Classification!A:D,2,FALSE)</f>
        <v>A</v>
      </c>
      <c r="E39" s="5" t="str">
        <f>VLOOKUP(A39,Seqs!A:B,2,FALSE)</f>
        <v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v>
      </c>
      <c r="F39" s="5" t="str">
        <f t="shared" si="1"/>
        <v>KIRVTVTFFLFLLSATFNASFLLKLQKW</v>
      </c>
      <c r="G39" s="4" t="str">
        <f t="shared" si="2"/>
        <v>KKLS</v>
      </c>
      <c r="H39" s="4" t="str">
        <f t="shared" si="3"/>
        <v>RMKLLLKHLTLANLLETLIVMPLDGMWNI</v>
      </c>
      <c r="I39" s="4" t="str">
        <f t="shared" si="4"/>
        <v>QWYA</v>
      </c>
      <c r="J39" s="4" t="str">
        <f t="shared" si="5"/>
        <v>GELLCKVLSYLKLFSMYAPAFMMVVISLDRSLAITR</v>
      </c>
      <c r="K39" s="4" t="str">
        <f t="shared" si="6"/>
        <v>PLAL</v>
      </c>
      <c r="L39" s="4" t="str">
        <f t="shared" si="7"/>
        <v>NSKVGQSMVGLAWILSSVFAGPQLYIF</v>
      </c>
      <c r="M39" s="4" t="str">
        <f t="shared" si="8"/>
        <v>CSF</v>
      </c>
      <c r="N39" s="4" t="str">
        <f t="shared" si="9"/>
        <v>SQWWHQAFYNFFTFSCLFIIPLFIMLICNAKIIFTLTRVLHQDPH</v>
      </c>
      <c r="O39" s="4" t="str">
        <f t="shared" si="10"/>
        <v>QSKNNIPRARLKTLKMTVAFATSFTVCWTPYYVLGIWYWFD</v>
      </c>
      <c r="P39" s="4" t="str">
        <f t="shared" si="11"/>
        <v>NRLSDPVNHFFFLFAFLNPCFDPLIYGYF</v>
      </c>
      <c r="Q39" s="4" t="str">
        <f t="shared" si="12"/>
        <v/>
      </c>
      <c r="R39" s="5">
        <f>VLOOKUP($A39,'SegEnds_NonXtal_Prot#'!$A:$AL,3,FALSE)</f>
        <v>36</v>
      </c>
      <c r="S39" s="5">
        <f>VLOOKUP($A39,'SegEnds_NonXtal_Prot#'!$A:$AL,6,FALSE)</f>
        <v>71</v>
      </c>
      <c r="T39" s="5">
        <f>VLOOKUP($A39,'SegEnds_NonXtal_Prot#'!$A:$AL,9,FALSE)</f>
        <v>75</v>
      </c>
      <c r="U39" s="5">
        <f>VLOOKUP($A39,'SegEnds_NonXtal_Prot#'!$A:$AL,12,FALSE)</f>
        <v>106</v>
      </c>
      <c r="V39" s="5">
        <f>VLOOKUP($A39,'SegEnds_NonXtal_Prot#'!$A:$AL,15,FALSE)</f>
        <v>110</v>
      </c>
      <c r="W39" s="5">
        <f>VLOOKUP($A39,'SegEnds_NonXtal_Prot#'!$A:$AL,18,FALSE)</f>
        <v>146</v>
      </c>
      <c r="X39" s="5">
        <f>VLOOKUP($A39,'SegEnds_NonXtal_Prot#'!$A:$AL,21,FALSE)</f>
        <v>152</v>
      </c>
      <c r="Y39" s="5">
        <f>VLOOKUP($A39,'SegEnds_NonXtal_Prot#'!$A:$AL,24,FALSE)</f>
        <v>200</v>
      </c>
      <c r="Z39" s="5">
        <f>VLOOKUP($A39,'SegEnds_NonXtal_Prot#'!$A:$AL,27,FALSE)</f>
        <v>203</v>
      </c>
      <c r="AA39" s="5">
        <f>VLOOKUP($A39,'SegEnds_NonXtal_Prot#'!$A:$AL,30,FALSE)</f>
        <v>253</v>
      </c>
      <c r="AB39" s="5">
        <f>VLOOKUP($A39,'SegEnds_NonXtal_Prot#'!$A:$AL,33,FALSE)</f>
        <v>298</v>
      </c>
      <c r="AC39" s="5" t="str">
        <f>VLOOKUP($A39,'SegEnds_NonXtal_Prot#'!$A:$AL,36,FALSE)</f>
        <v>-</v>
      </c>
      <c r="AD39" s="5">
        <f>VLOOKUP($A39,'SegEnds_NonXtal_Prot#'!$A:$AL,5,FALSE)</f>
        <v>63</v>
      </c>
      <c r="AE39" s="5">
        <f>VLOOKUP($A39,'SegEnds_NonXtal_Prot#'!$A:$AL,8,FALSE)</f>
        <v>74</v>
      </c>
      <c r="AF39" s="5">
        <f>VLOOKUP($A39,'SegEnds_NonXtal_Prot#'!$A:$AL,11,FALSE)</f>
        <v>103</v>
      </c>
      <c r="AG39" s="5">
        <f>VLOOKUP($A39,'SegEnds_NonXtal_Prot#'!$A:$AL,14,FALSE)</f>
        <v>109</v>
      </c>
      <c r="AH39" s="5">
        <f>VLOOKUP($A39,'SegEnds_NonXtal_Prot#'!$A:$AL,17,FALSE)</f>
        <v>145</v>
      </c>
      <c r="AI39" s="5">
        <f>VLOOKUP($A39,'SegEnds_NonXtal_Prot#'!$A:$AL,20,FALSE)</f>
        <v>149</v>
      </c>
      <c r="AJ39" s="5">
        <f>VLOOKUP($A39,'SegEnds_NonXtal_Prot#'!$A:$AL,23,FALSE)</f>
        <v>178</v>
      </c>
      <c r="AK39" s="5">
        <f>VLOOKUP($A39,'SegEnds_NonXtal_Prot#'!$A:$AL,26,FALSE)</f>
        <v>202</v>
      </c>
      <c r="AL39" s="5">
        <f>VLOOKUP($A39,'SegEnds_NonXtal_Prot#'!$A:$AL,29,FALSE)</f>
        <v>247</v>
      </c>
      <c r="AM39" s="5">
        <f>VLOOKUP($A39,'SegEnds_NonXtal_Prot#'!$A:$AL,32,FALSE)</f>
        <v>293</v>
      </c>
      <c r="AN39" s="5">
        <f>VLOOKUP($A39,'SegEnds_NonXtal_Prot#'!$A:$AL,35,FALSE)</f>
        <v>326</v>
      </c>
      <c r="AO39" s="5" t="str">
        <f>VLOOKUP($A39,'SegEnds_NonXtal_Prot#'!$A:$AL,38,FALSE)</f>
        <v>-</v>
      </c>
      <c r="AP39" s="5">
        <f t="shared" si="13"/>
        <v>27</v>
      </c>
      <c r="AQ39" s="4">
        <f t="shared" si="14"/>
        <v>3</v>
      </c>
      <c r="AR39" s="4">
        <f t="shared" si="15"/>
        <v>28</v>
      </c>
      <c r="AS39" s="4">
        <f t="shared" si="16"/>
        <v>3</v>
      </c>
      <c r="AT39" s="4">
        <f t="shared" si="17"/>
        <v>35</v>
      </c>
      <c r="AU39" s="4">
        <f t="shared" si="18"/>
        <v>3</v>
      </c>
      <c r="AV39" s="4">
        <f t="shared" si="19"/>
        <v>26</v>
      </c>
      <c r="AW39" s="4">
        <f t="shared" si="20"/>
        <v>2</v>
      </c>
      <c r="AX39" s="4">
        <f t="shared" si="21"/>
        <v>44</v>
      </c>
      <c r="AY39" s="4">
        <f t="shared" si="22"/>
        <v>40</v>
      </c>
      <c r="AZ39" s="4">
        <f t="shared" si="23"/>
        <v>28</v>
      </c>
      <c r="BA39" s="4" t="str">
        <f t="shared" si="24"/>
        <v>-</v>
      </c>
    </row>
    <row r="40" spans="1:53" x14ac:dyDescent="0.2">
      <c r="A40" s="1" t="str">
        <f>'SegEnds_NonXtal_Prot#'!A3</f>
        <v>gpr19_human</v>
      </c>
      <c r="B40" s="1" t="str">
        <f t="shared" si="0"/>
        <v>EVATASIFFGILWLFSIFGNSLVCLVIHRSSTTNYFVVSMACADLLISVASTPFVLLQFTTGGSATCKVVRYFQYLTPGVQIYVLLSICIDRFYTIVYSREKAKKMIAASWVFDAGFVTPVLFFYWEGTAYTVIHFLVGFVIPSVLIILFYQKVIKYIWRIGTDGRTMNIVPRTKVKTIKMFLILNLLFLLSWLPFHVAQLWHPHESSLVFTAITWISFSSSASKPTLYSIYNANFRRGMKETF</v>
      </c>
      <c r="C40" s="29" t="str">
        <f>IF(ISERROR(MATCH(A40,'SegEnds_Xtal_Prot#'!B:B, 0)), "NoXtal", "Xtal")</f>
        <v>NoXtal</v>
      </c>
      <c r="D40" s="4" t="str">
        <f>VLOOKUP(A40,Classification!A:D,2,FALSE)</f>
        <v>A</v>
      </c>
      <c r="E40" s="5" t="str">
        <f>VLOOKUP(A40,Seqs!A:B,2,FALSE)</f>
        <v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v>
      </c>
      <c r="F40" s="5" t="str">
        <f t="shared" si="1"/>
        <v>EVATASIFFGILWLFSIFGNSLVCLVIHRS</v>
      </c>
      <c r="G40" s="4" t="str">
        <f t="shared" si="2"/>
        <v>RRTQ</v>
      </c>
      <c r="H40" s="4" t="str">
        <f t="shared" si="3"/>
        <v>STTNYFVVSMACADLLISVASTPFVLLQFTTG</v>
      </c>
      <c r="I40" s="4" t="str">
        <f t="shared" si="4"/>
        <v>RWTL</v>
      </c>
      <c r="J40" s="4" t="str">
        <f t="shared" si="5"/>
        <v>GSATCKVVRYFQYLTPGVQIYVLLSICIDRFYTIVY</v>
      </c>
      <c r="K40" s="4" t="str">
        <f t="shared" si="6"/>
        <v>PLSF</v>
      </c>
      <c r="L40" s="4" t="str">
        <f t="shared" si="7"/>
        <v>SREKAKKMIAASWVFDAGFVTPVLFFY</v>
      </c>
      <c r="M40" s="4" t="str">
        <f t="shared" si="8"/>
        <v>CNY</v>
      </c>
      <c r="N40" s="4" t="str">
        <f t="shared" si="9"/>
        <v>WEGTAYTVIHFLVGFVIPSVLIILFYQKVIKYIWRIGTDGR</v>
      </c>
      <c r="O40" s="4" t="str">
        <f t="shared" si="10"/>
        <v>TMNIVPRTKVKTIKMFLILNLLFLLSWLPFHVAQLWHPHE</v>
      </c>
      <c r="P40" s="4" t="str">
        <f t="shared" si="11"/>
        <v>SSLVFTAITWISFSSSASKPTLYSIY</v>
      </c>
      <c r="Q40" s="4" t="str">
        <f t="shared" si="12"/>
        <v>NANFRRGMKETF</v>
      </c>
      <c r="R40" s="5">
        <f>VLOOKUP($A40,'SegEnds_NonXtal_Prot#'!$A:$AL,3,FALSE)</f>
        <v>64</v>
      </c>
      <c r="S40" s="5">
        <f>VLOOKUP($A40,'SegEnds_NonXtal_Prot#'!$A:$AL,6,FALSE)</f>
        <v>94</v>
      </c>
      <c r="T40" s="5">
        <f>VLOOKUP($A40,'SegEnds_NonXtal_Prot#'!$A:$AL,9,FALSE)</f>
        <v>98</v>
      </c>
      <c r="U40" s="5">
        <f>VLOOKUP($A40,'SegEnds_NonXtal_Prot#'!$A:$AL,12,FALSE)</f>
        <v>130</v>
      </c>
      <c r="V40" s="5">
        <f>VLOOKUP($A40,'SegEnds_NonXtal_Prot#'!$A:$AL,15,FALSE)</f>
        <v>134</v>
      </c>
      <c r="W40" s="5">
        <f>VLOOKUP($A40,'SegEnds_NonXtal_Prot#'!$A:$AL,18,FALSE)</f>
        <v>170</v>
      </c>
      <c r="X40" s="5">
        <f>VLOOKUP($A40,'SegEnds_NonXtal_Prot#'!$A:$AL,21,FALSE)</f>
        <v>176</v>
      </c>
      <c r="Y40" s="5">
        <f>VLOOKUP($A40,'SegEnds_NonXtal_Prot#'!$A:$AL,24,FALSE)</f>
        <v>210</v>
      </c>
      <c r="Z40" s="5">
        <f>VLOOKUP($A40,'SegEnds_NonXtal_Prot#'!$A:$AL,27,FALSE)</f>
        <v>218</v>
      </c>
      <c r="AA40" s="5">
        <f>VLOOKUP($A40,'SegEnds_NonXtal_Prot#'!$A:$AL,30,FALSE)</f>
        <v>263</v>
      </c>
      <c r="AB40" s="5">
        <f>VLOOKUP($A40,'SegEnds_NonXtal_Prot#'!$A:$AL,33,FALSE)</f>
        <v>308</v>
      </c>
      <c r="AC40" s="5">
        <f>VLOOKUP($A40,'SegEnds_NonXtal_Prot#'!$A:$AL,36,FALSE)</f>
        <v>334</v>
      </c>
      <c r="AD40" s="5">
        <f>VLOOKUP($A40,'SegEnds_NonXtal_Prot#'!$A:$AL,5,FALSE)</f>
        <v>93</v>
      </c>
      <c r="AE40" s="5">
        <f>VLOOKUP($A40,'SegEnds_NonXtal_Prot#'!$A:$AL,8,FALSE)</f>
        <v>97</v>
      </c>
      <c r="AF40" s="5">
        <f>VLOOKUP($A40,'SegEnds_NonXtal_Prot#'!$A:$AL,11,FALSE)</f>
        <v>129</v>
      </c>
      <c r="AG40" s="5">
        <f>VLOOKUP($A40,'SegEnds_NonXtal_Prot#'!$A:$AL,14,FALSE)</f>
        <v>133</v>
      </c>
      <c r="AH40" s="5">
        <f>VLOOKUP($A40,'SegEnds_NonXtal_Prot#'!$A:$AL,17,FALSE)</f>
        <v>169</v>
      </c>
      <c r="AI40" s="5">
        <f>VLOOKUP($A40,'SegEnds_NonXtal_Prot#'!$A:$AL,20,FALSE)</f>
        <v>173</v>
      </c>
      <c r="AJ40" s="5">
        <f>VLOOKUP($A40,'SegEnds_NonXtal_Prot#'!$A:$AL,23,FALSE)</f>
        <v>202</v>
      </c>
      <c r="AK40" s="5">
        <f>VLOOKUP($A40,'SegEnds_NonXtal_Prot#'!$A:$AL,26,FALSE)</f>
        <v>212</v>
      </c>
      <c r="AL40" s="5">
        <f>VLOOKUP($A40,'SegEnds_NonXtal_Prot#'!$A:$AL,29,FALSE)</f>
        <v>258</v>
      </c>
      <c r="AM40" s="5">
        <f>VLOOKUP($A40,'SegEnds_NonXtal_Prot#'!$A:$AL,32,FALSE)</f>
        <v>302</v>
      </c>
      <c r="AN40" s="5">
        <f>VLOOKUP($A40,'SegEnds_NonXtal_Prot#'!$A:$AL,35,FALSE)</f>
        <v>333</v>
      </c>
      <c r="AO40" s="5">
        <f>VLOOKUP($A40,'SegEnds_NonXtal_Prot#'!$A:$AL,38,FALSE)</f>
        <v>345</v>
      </c>
      <c r="AP40" s="5">
        <f t="shared" si="13"/>
        <v>29</v>
      </c>
      <c r="AQ40" s="4">
        <f t="shared" si="14"/>
        <v>3</v>
      </c>
      <c r="AR40" s="4">
        <f t="shared" si="15"/>
        <v>31</v>
      </c>
      <c r="AS40" s="4">
        <f t="shared" si="16"/>
        <v>3</v>
      </c>
      <c r="AT40" s="4">
        <f t="shared" si="17"/>
        <v>35</v>
      </c>
      <c r="AU40" s="4">
        <f t="shared" si="18"/>
        <v>3</v>
      </c>
      <c r="AV40" s="4">
        <f t="shared" si="19"/>
        <v>26</v>
      </c>
      <c r="AW40" s="4">
        <f t="shared" si="20"/>
        <v>2</v>
      </c>
      <c r="AX40" s="4">
        <f t="shared" si="21"/>
        <v>40</v>
      </c>
      <c r="AY40" s="4">
        <f t="shared" si="22"/>
        <v>39</v>
      </c>
      <c r="AZ40" s="4">
        <f t="shared" si="23"/>
        <v>25</v>
      </c>
      <c r="BA40" s="4">
        <f t="shared" si="24"/>
        <v>11</v>
      </c>
    </row>
    <row r="41" spans="1:53" x14ac:dyDescent="0.2">
      <c r="A41" s="1" t="str">
        <f>'SegEnds_NonXtal_Prot#'!A4</f>
        <v>gpr22_human</v>
      </c>
      <c r="B41" s="1" t="str">
        <f t="shared" si="0"/>
        <v>SLTGFLMLEIVLGLGSNLTVLVLYCMKNSVSNIITMNLHVLDVIICVGCIPLTIVILLLTALICCFHEACVSFASVSTAINVFAITLDRYDISVKTMGRAVMLMISIWIFSFFSFLIPFIEGMYYHLLVQIPIFFFTVVVMLITYTKILQALNIRIGTRFSRERRERQKRVFRMSLLIISTFLLCWTPISVLNTTILCLLVKLRLCFLVMAYGTTIFHPLLYAFTRQKFQKVLKSKMK</v>
      </c>
      <c r="C41" s="29" t="str">
        <f>IF(ISERROR(MATCH(A41,'SegEnds_Xtal_Prot#'!B:B, 0)), "NoXtal", "Xtal")</f>
        <v>NoXtal</v>
      </c>
      <c r="D41" s="4" t="str">
        <f>VLOOKUP(A41,Classification!A:D,2,FALSE)</f>
        <v>A</v>
      </c>
      <c r="E41" s="5" t="str">
        <f>VLOOKUP(A41,Seqs!A:B,2,FALSE)</f>
        <v>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</v>
      </c>
      <c r="F41" s="5" t="str">
        <f t="shared" si="1"/>
        <v>SLTGFLMLEIVLGLGSNLTVLVLYCMK</v>
      </c>
      <c r="G41" s="4" t="str">
        <f t="shared" si="2"/>
        <v>SNLI</v>
      </c>
      <c r="H41" s="4" t="str">
        <f t="shared" si="3"/>
        <v>NSVSNIITMNLHVLDVIICVGCIPLTIVILLL</v>
      </c>
      <c r="I41" s="4" t="str">
        <f t="shared" si="4"/>
        <v/>
      </c>
      <c r="J41" s="4" t="str">
        <f t="shared" si="5"/>
        <v>TALICCFHEACVSFASVSTAINVFAITLDRYDISVK</v>
      </c>
      <c r="K41" s="4" t="str">
        <f t="shared" si="6"/>
        <v>PANR</v>
      </c>
      <c r="L41" s="4" t="str">
        <f t="shared" si="7"/>
        <v>TMGRAVMLMISIWIFSFFSFLIPFIE</v>
      </c>
      <c r="M41" s="4" t="str">
        <f t="shared" si="8"/>
        <v>CVS</v>
      </c>
      <c r="N41" s="4" t="str">
        <f t="shared" si="9"/>
        <v>GMYYHLLVQIPIFFFTVVVMLITYTKILQALNIRIGTRFS</v>
      </c>
      <c r="O41" s="4" t="str">
        <f t="shared" si="10"/>
        <v>RERRERQKRVFRMSLLIISTFLLCWTPISVLNTTILCL</v>
      </c>
      <c r="P41" s="4" t="str">
        <f t="shared" si="11"/>
        <v>LVKLRLCFLVMAYGTTIFHPLLYAFT</v>
      </c>
      <c r="Q41" s="4" t="str">
        <f t="shared" si="12"/>
        <v>RQKFQKVLKSKMK</v>
      </c>
      <c r="R41" s="5">
        <f>VLOOKUP($A41,'SegEnds_NonXtal_Prot#'!$A:$AL,3,FALSE)</f>
        <v>43</v>
      </c>
      <c r="S41" s="5">
        <f>VLOOKUP($A41,'SegEnds_NonXtal_Prot#'!$A:$AL,6,FALSE)</f>
        <v>70</v>
      </c>
      <c r="T41" s="5">
        <f>VLOOKUP($A41,'SegEnds_NonXtal_Prot#'!$A:$AL,9,FALSE)</f>
        <v>74</v>
      </c>
      <c r="U41" s="5" t="str">
        <f>VLOOKUP($A41,'SegEnds_NonXtal_Prot#'!$A:$AL,12,FALSE)</f>
        <v>-</v>
      </c>
      <c r="V41" s="5">
        <f>VLOOKUP($A41,'SegEnds_NonXtal_Prot#'!$A:$AL,15,FALSE)</f>
        <v>111</v>
      </c>
      <c r="W41" s="5">
        <f>VLOOKUP($A41,'SegEnds_NonXtal_Prot#'!$A:$AL,18,FALSE)</f>
        <v>147</v>
      </c>
      <c r="X41" s="5">
        <f>VLOOKUP($A41,'SegEnds_NonXtal_Prot#'!$A:$AL,21,FALSE)</f>
        <v>153</v>
      </c>
      <c r="Y41" s="5">
        <f>VLOOKUP($A41,'SegEnds_NonXtal_Prot#'!$A:$AL,24,FALSE)</f>
        <v>197</v>
      </c>
      <c r="Z41" s="5">
        <f>VLOOKUP($A41,'SegEnds_NonXtal_Prot#'!$A:$AL,27,FALSE)</f>
        <v>208</v>
      </c>
      <c r="AA41" s="5">
        <f>VLOOKUP($A41,'SegEnds_NonXtal_Prot#'!$A:$AL,30,FALSE)</f>
        <v>302</v>
      </c>
      <c r="AB41" s="5">
        <f>VLOOKUP($A41,'SegEnds_NonXtal_Prot#'!$A:$AL,33,FALSE)</f>
        <v>345</v>
      </c>
      <c r="AC41" s="5">
        <f>VLOOKUP($A41,'SegEnds_NonXtal_Prot#'!$A:$AL,36,FALSE)</f>
        <v>371</v>
      </c>
      <c r="AD41" s="5">
        <f>VLOOKUP($A41,'SegEnds_NonXtal_Prot#'!$A:$AL,5,FALSE)</f>
        <v>69</v>
      </c>
      <c r="AE41" s="5">
        <f>VLOOKUP($A41,'SegEnds_NonXtal_Prot#'!$A:$AL,8,FALSE)</f>
        <v>73</v>
      </c>
      <c r="AF41" s="5">
        <f>VLOOKUP($A41,'SegEnds_NonXtal_Prot#'!$A:$AL,11,FALSE)</f>
        <v>105</v>
      </c>
      <c r="AG41" s="5" t="str">
        <f>VLOOKUP($A41,'SegEnds_NonXtal_Prot#'!$A:$AL,14,FALSE)</f>
        <v>-</v>
      </c>
      <c r="AH41" s="5">
        <f>VLOOKUP($A41,'SegEnds_NonXtal_Prot#'!$A:$AL,17,FALSE)</f>
        <v>146</v>
      </c>
      <c r="AI41" s="5">
        <f>VLOOKUP($A41,'SegEnds_NonXtal_Prot#'!$A:$AL,20,FALSE)</f>
        <v>150</v>
      </c>
      <c r="AJ41" s="5">
        <f>VLOOKUP($A41,'SegEnds_NonXtal_Prot#'!$A:$AL,23,FALSE)</f>
        <v>178</v>
      </c>
      <c r="AK41" s="5">
        <f>VLOOKUP($A41,'SegEnds_NonXtal_Prot#'!$A:$AL,26,FALSE)</f>
        <v>199</v>
      </c>
      <c r="AL41" s="5">
        <f>VLOOKUP($A41,'SegEnds_NonXtal_Prot#'!$A:$AL,29,FALSE)</f>
        <v>247</v>
      </c>
      <c r="AM41" s="5">
        <f>VLOOKUP($A41,'SegEnds_NonXtal_Prot#'!$A:$AL,32,FALSE)</f>
        <v>339</v>
      </c>
      <c r="AN41" s="5">
        <f>VLOOKUP($A41,'SegEnds_NonXtal_Prot#'!$A:$AL,35,FALSE)</f>
        <v>370</v>
      </c>
      <c r="AO41" s="5">
        <f>VLOOKUP($A41,'SegEnds_NonXtal_Prot#'!$A:$AL,38,FALSE)</f>
        <v>383</v>
      </c>
      <c r="AP41" s="5">
        <f t="shared" si="13"/>
        <v>26</v>
      </c>
      <c r="AQ41" s="4">
        <f t="shared" si="14"/>
        <v>3</v>
      </c>
      <c r="AR41" s="4">
        <f t="shared" si="15"/>
        <v>31</v>
      </c>
      <c r="AS41" s="4" t="str">
        <f t="shared" si="16"/>
        <v>-</v>
      </c>
      <c r="AT41" s="4">
        <f t="shared" si="17"/>
        <v>35</v>
      </c>
      <c r="AU41" s="4">
        <f t="shared" si="18"/>
        <v>3</v>
      </c>
      <c r="AV41" s="4">
        <f t="shared" si="19"/>
        <v>25</v>
      </c>
      <c r="AW41" s="4">
        <f t="shared" si="20"/>
        <v>2</v>
      </c>
      <c r="AX41" s="4">
        <f t="shared" si="21"/>
        <v>39</v>
      </c>
      <c r="AY41" s="4">
        <f t="shared" si="22"/>
        <v>37</v>
      </c>
      <c r="AZ41" s="4">
        <f t="shared" si="23"/>
        <v>25</v>
      </c>
      <c r="BA41" s="4">
        <f t="shared" si="24"/>
        <v>12</v>
      </c>
    </row>
    <row r="42" spans="1:53" x14ac:dyDescent="0.2">
      <c r="A42" s="1" t="str">
        <f>'SegEnds_NonXtal_Prot#'!A6</f>
        <v>ox1r_human</v>
      </c>
      <c r="B42" s="1" t="str">
        <f t="shared" si="0"/>
        <v>EWVLIAAYVAVFVVALVGNTLVCLAVWRNTVTNYFIVNLSLADVLVTAICLPASLLVDITGHALCKVIPYLQAVSVSVAVLTLSFIALDRWYAICHTARRARGSILGIWAVSLAIMVPQAAVMDLYPKIYHSCFFIVTYLAPLGLMAMAYFQIFRKLWGRQIPFLAEVKQMRARRKTAKMLMVVLLVFALCYLPISVLNVLKRVFREAVYACFTFSHWLVYANSAANPIIYNFLSGKFREQFKAAF</v>
      </c>
      <c r="C42" s="29" t="str">
        <f>IF(ISERROR(MATCH(A42,'SegEnds_Xtal_Prot#'!B:B, 0)), "NoXtal", "Xtal")</f>
        <v>Xtal</v>
      </c>
      <c r="D42" s="4" t="str">
        <f>VLOOKUP(A42,Classification!A:D,2,FALSE)</f>
        <v>A</v>
      </c>
      <c r="E42" s="5" t="str">
        <f>VLOOKUP(A42,Seqs!A:B,2,FALSE)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F42" s="5" t="str">
        <f t="shared" si="1"/>
        <v>EWVLIAAYVAVFVVALVGNTLVCLAVWRN</v>
      </c>
      <c r="G42" s="4" t="str">
        <f t="shared" si="2"/>
        <v>HHMR</v>
      </c>
      <c r="H42" s="4" t="str">
        <f t="shared" si="3"/>
        <v>TVTNYFIVNLSLADVLVTAICLPASLLVDIT</v>
      </c>
      <c r="I42" s="4" t="str">
        <f t="shared" si="4"/>
        <v>SWLF</v>
      </c>
      <c r="J42" s="4" t="str">
        <f t="shared" si="5"/>
        <v>GHALCKVIPYLQAVSVSVAVLTLSFIALDRWYAICH</v>
      </c>
      <c r="K42" s="4" t="str">
        <f t="shared" si="6"/>
        <v>PLLF</v>
      </c>
      <c r="L42" s="4" t="str">
        <f t="shared" si="7"/>
        <v>TARRARGSILGIWAVSLAIMVPQAAVM</v>
      </c>
      <c r="M42" s="4" t="str">
        <f t="shared" si="8"/>
        <v>CDE</v>
      </c>
      <c r="N42" s="4" t="str">
        <f t="shared" si="9"/>
        <v>DLYPKIYHSCFFIVTYLAPLGLMAMAYFQIFRKLWGRQIP</v>
      </c>
      <c r="O42" s="4" t="str">
        <f t="shared" si="10"/>
        <v>FLAEVKQMRARRKTAKMLMVVLLVFALCYLPISVLNVLKRVF</v>
      </c>
      <c r="P42" s="4" t="str">
        <f t="shared" si="11"/>
        <v>REAVYACFTFSHWLVYANSAANPIIYNFL</v>
      </c>
      <c r="Q42" s="4" t="str">
        <f t="shared" si="12"/>
        <v>SGKFREQFKAAF</v>
      </c>
      <c r="R42" s="5">
        <f>VLOOKUP($A42,'SegEnds_NonXtal_Prot#'!$A:$AL,3,FALSE)</f>
        <v>46</v>
      </c>
      <c r="S42" s="5">
        <f>VLOOKUP($A42,'SegEnds_NonXtal_Prot#'!$A:$AL,6,FALSE)</f>
        <v>75</v>
      </c>
      <c r="T42" s="5">
        <f>VLOOKUP($A42,'SegEnds_NonXtal_Prot#'!$A:$AL,9,FALSE)</f>
        <v>79</v>
      </c>
      <c r="U42" s="5">
        <f>VLOOKUP($A42,'SegEnds_NonXtal_Prot#'!$A:$AL,12,FALSE)</f>
        <v>111</v>
      </c>
      <c r="V42" s="5">
        <f>VLOOKUP($A42,'SegEnds_NonXtal_Prot#'!$A:$AL,15,FALSE)</f>
        <v>115</v>
      </c>
      <c r="W42" s="5">
        <f>VLOOKUP($A42,'SegEnds_NonXtal_Prot#'!$A:$AL,18,FALSE)</f>
        <v>151</v>
      </c>
      <c r="X42" s="5">
        <f>VLOOKUP($A42,'SegEnds_NonXtal_Prot#'!$A:$AL,21,FALSE)</f>
        <v>157</v>
      </c>
      <c r="Y42" s="5">
        <f>VLOOKUP($A42,'SegEnds_NonXtal_Prot#'!$A:$AL,24,FALSE)</f>
        <v>202</v>
      </c>
      <c r="Z42" s="5">
        <f>VLOOKUP($A42,'SegEnds_NonXtal_Prot#'!$A:$AL,27,FALSE)</f>
        <v>209</v>
      </c>
      <c r="AA42" s="5">
        <f>VLOOKUP($A42,'SegEnds_NonXtal_Prot#'!$A:$AL,30,FALSE)</f>
        <v>283</v>
      </c>
      <c r="AB42" s="5">
        <f>VLOOKUP($A42,'SegEnds_NonXtal_Prot#'!$A:$AL,33,FALSE)</f>
        <v>333</v>
      </c>
      <c r="AC42" s="5">
        <f>VLOOKUP($A42,'SegEnds_NonXtal_Prot#'!$A:$AL,36,FALSE)</f>
        <v>362</v>
      </c>
      <c r="AD42" s="5">
        <f>VLOOKUP($A42,'SegEnds_NonXtal_Prot#'!$A:$AL,5,FALSE)</f>
        <v>74</v>
      </c>
      <c r="AE42" s="5">
        <f>VLOOKUP($A42,'SegEnds_NonXtal_Prot#'!$A:$AL,8,FALSE)</f>
        <v>78</v>
      </c>
      <c r="AF42" s="5">
        <f>VLOOKUP($A42,'SegEnds_NonXtal_Prot#'!$A:$AL,11,FALSE)</f>
        <v>109</v>
      </c>
      <c r="AG42" s="5">
        <f>VLOOKUP($A42,'SegEnds_NonXtal_Prot#'!$A:$AL,14,FALSE)</f>
        <v>114</v>
      </c>
      <c r="AH42" s="5">
        <f>VLOOKUP($A42,'SegEnds_NonXtal_Prot#'!$A:$AL,17,FALSE)</f>
        <v>150</v>
      </c>
      <c r="AI42" s="5">
        <f>VLOOKUP($A42,'SegEnds_NonXtal_Prot#'!$A:$AL,20,FALSE)</f>
        <v>154</v>
      </c>
      <c r="AJ42" s="5">
        <f>VLOOKUP($A42,'SegEnds_NonXtal_Prot#'!$A:$AL,23,FALSE)</f>
        <v>183</v>
      </c>
      <c r="AK42" s="5">
        <f>VLOOKUP($A42,'SegEnds_NonXtal_Prot#'!$A:$AL,26,FALSE)</f>
        <v>204</v>
      </c>
      <c r="AL42" s="5">
        <f>VLOOKUP($A42,'SegEnds_NonXtal_Prot#'!$A:$AL,29,FALSE)</f>
        <v>248</v>
      </c>
      <c r="AM42" s="5">
        <f>VLOOKUP($A42,'SegEnds_NonXtal_Prot#'!$A:$AL,32,FALSE)</f>
        <v>324</v>
      </c>
      <c r="AN42" s="5">
        <f>VLOOKUP($A42,'SegEnds_NonXtal_Prot#'!$A:$AL,35,FALSE)</f>
        <v>361</v>
      </c>
      <c r="AO42" s="5">
        <f>VLOOKUP($A42,'SegEnds_NonXtal_Prot#'!$A:$AL,38,FALSE)</f>
        <v>373</v>
      </c>
      <c r="AP42" s="5">
        <f t="shared" si="13"/>
        <v>28</v>
      </c>
      <c r="AQ42" s="4">
        <f t="shared" si="14"/>
        <v>3</v>
      </c>
      <c r="AR42" s="4">
        <f t="shared" si="15"/>
        <v>30</v>
      </c>
      <c r="AS42" s="4">
        <f t="shared" si="16"/>
        <v>3</v>
      </c>
      <c r="AT42" s="4">
        <f t="shared" si="17"/>
        <v>35</v>
      </c>
      <c r="AU42" s="4">
        <f t="shared" si="18"/>
        <v>3</v>
      </c>
      <c r="AV42" s="4">
        <f t="shared" si="19"/>
        <v>26</v>
      </c>
      <c r="AW42" s="4">
        <f t="shared" si="20"/>
        <v>2</v>
      </c>
      <c r="AX42" s="4">
        <f t="shared" si="21"/>
        <v>39</v>
      </c>
      <c r="AY42" s="4">
        <f t="shared" si="22"/>
        <v>41</v>
      </c>
      <c r="AZ42" s="4">
        <f t="shared" si="23"/>
        <v>28</v>
      </c>
      <c r="BA42" s="4">
        <f t="shared" si="24"/>
        <v>11</v>
      </c>
    </row>
    <row r="43" spans="1:53" x14ac:dyDescent="0.2">
      <c r="A43" s="1" t="str">
        <f>'SegEnds_NonXtal_Prot#'!A7</f>
        <v>ox2r_human</v>
      </c>
      <c r="B43" s="1" t="str">
        <f t="shared" si="0"/>
        <v>YEWVLIAGYIIVFVVALIGNVLVCVAVWKNTVTNYFIVNLSLADVLVTITCLPATLVVDITEGQSLCKVIPYLQTVSVSVSVLTLSCIALDRWYAICHTAKRARNSIVIIWIVSCIIMIPQAIVMIYPKMYHICFFLVTYMAPLCLMVLAYLQIFRKLWCRQIPVAAEIKQIRARRKTARMLMIVLLVFAICYLPISILNVLKRVFDRETVYAWFTFSHWLVYANSAANPIIYNFLSGKFREEFKAAF</v>
      </c>
      <c r="C43" s="29" t="str">
        <f>IF(ISERROR(MATCH(A43,'SegEnds_Xtal_Prot#'!B:B, 0)), "NoXtal", "Xtal")</f>
        <v>Xtal</v>
      </c>
      <c r="D43" s="4" t="str">
        <f>VLOOKUP(A43,Classification!A:D,2,FALSE)</f>
        <v>A</v>
      </c>
      <c r="E43" s="5" t="str">
        <f>VLOOKUP(A43,Seqs!A:B,2,FALSE)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F43" s="5" t="str">
        <f t="shared" si="1"/>
        <v>YEWVLIAGYIIVFVVALIGNVLVCVAVWKN</v>
      </c>
      <c r="G43" s="4" t="str">
        <f t="shared" si="2"/>
        <v>HHMR</v>
      </c>
      <c r="H43" s="4" t="str">
        <f t="shared" si="3"/>
        <v>TVTNYFIVNLSLADVLVTITCLPATLVVDITE</v>
      </c>
      <c r="I43" s="4" t="str">
        <f t="shared" si="4"/>
        <v>TWFF</v>
      </c>
      <c r="J43" s="4" t="str">
        <f t="shared" si="5"/>
        <v>GQSLCKVIPYLQTVSVSVSVLTLSCIALDRWYAICH</v>
      </c>
      <c r="K43" s="4" t="str">
        <f t="shared" si="6"/>
        <v>PLMF</v>
      </c>
      <c r="L43" s="4" t="str">
        <f t="shared" si="7"/>
        <v>TAKRARNSIVIIWIVSCIIMIPQAIVM</v>
      </c>
      <c r="M43" s="4" t="str">
        <f t="shared" si="8"/>
        <v>CDE</v>
      </c>
      <c r="N43" s="4" t="str">
        <f t="shared" si="9"/>
        <v>IYPKMYHICFFLVTYMAPLCLMVLAYLQIFRKLWCRQIP</v>
      </c>
      <c r="O43" s="4" t="str">
        <f t="shared" si="10"/>
        <v>VAAEIKQIRARRKTARMLMIVLLVFAICYLPISILNVLKRVF</v>
      </c>
      <c r="P43" s="4" t="str">
        <f t="shared" si="11"/>
        <v>DRETVYAWFTFSHWLVYANSAANPIIYNFL</v>
      </c>
      <c r="Q43" s="4" t="str">
        <f t="shared" si="12"/>
        <v>SGKFREEFKAAF</v>
      </c>
      <c r="R43" s="5">
        <f>VLOOKUP($A43,'SegEnds_NonXtal_Prot#'!$A:$AL,3,FALSE)</f>
        <v>53</v>
      </c>
      <c r="S43" s="5">
        <f>VLOOKUP($A43,'SegEnds_NonXtal_Prot#'!$A:$AL,6,FALSE)</f>
        <v>83</v>
      </c>
      <c r="T43" s="5">
        <f>VLOOKUP($A43,'SegEnds_NonXtal_Prot#'!$A:$AL,9,FALSE)</f>
        <v>87</v>
      </c>
      <c r="U43" s="5">
        <f>VLOOKUP($A43,'SegEnds_NonXtal_Prot#'!$A:$AL,12,FALSE)</f>
        <v>119</v>
      </c>
      <c r="V43" s="5">
        <f>VLOOKUP($A43,'SegEnds_NonXtal_Prot#'!$A:$AL,15,FALSE)</f>
        <v>123</v>
      </c>
      <c r="W43" s="5">
        <f>VLOOKUP($A43,'SegEnds_NonXtal_Prot#'!$A:$AL,18,FALSE)</f>
        <v>159</v>
      </c>
      <c r="X43" s="5">
        <f>VLOOKUP($A43,'SegEnds_NonXtal_Prot#'!$A:$AL,21,FALSE)</f>
        <v>165</v>
      </c>
      <c r="Y43" s="5">
        <f>VLOOKUP($A43,'SegEnds_NonXtal_Prot#'!$A:$AL,24,FALSE)</f>
        <v>210</v>
      </c>
      <c r="Z43" s="5">
        <f>VLOOKUP($A43,'SegEnds_NonXtal_Prot#'!$A:$AL,27,FALSE)</f>
        <v>218</v>
      </c>
      <c r="AA43" s="5">
        <f>VLOOKUP($A43,'SegEnds_NonXtal_Prot#'!$A:$AL,30,FALSE)</f>
        <v>289</v>
      </c>
      <c r="AB43" s="5">
        <f>VLOOKUP($A43,'SegEnds_NonXtal_Prot#'!$A:$AL,33,FALSE)</f>
        <v>338</v>
      </c>
      <c r="AC43" s="5">
        <f>VLOOKUP($A43,'SegEnds_NonXtal_Prot#'!$A:$AL,36,FALSE)</f>
        <v>368</v>
      </c>
      <c r="AD43" s="5">
        <f>VLOOKUP($A43,'SegEnds_NonXtal_Prot#'!$A:$AL,5,FALSE)</f>
        <v>82</v>
      </c>
      <c r="AE43" s="5">
        <f>VLOOKUP($A43,'SegEnds_NonXtal_Prot#'!$A:$AL,8,FALSE)</f>
        <v>86</v>
      </c>
      <c r="AF43" s="5">
        <f>VLOOKUP($A43,'SegEnds_NonXtal_Prot#'!$A:$AL,11,FALSE)</f>
        <v>118</v>
      </c>
      <c r="AG43" s="5">
        <f>VLOOKUP($A43,'SegEnds_NonXtal_Prot#'!$A:$AL,14,FALSE)</f>
        <v>122</v>
      </c>
      <c r="AH43" s="5">
        <f>VLOOKUP($A43,'SegEnds_NonXtal_Prot#'!$A:$AL,17,FALSE)</f>
        <v>158</v>
      </c>
      <c r="AI43" s="5">
        <f>VLOOKUP($A43,'SegEnds_NonXtal_Prot#'!$A:$AL,20,FALSE)</f>
        <v>162</v>
      </c>
      <c r="AJ43" s="5">
        <f>VLOOKUP($A43,'SegEnds_NonXtal_Prot#'!$A:$AL,23,FALSE)</f>
        <v>191</v>
      </c>
      <c r="AK43" s="5">
        <f>VLOOKUP($A43,'SegEnds_NonXtal_Prot#'!$A:$AL,26,FALSE)</f>
        <v>212</v>
      </c>
      <c r="AL43" s="5">
        <f>VLOOKUP($A43,'SegEnds_NonXtal_Prot#'!$A:$AL,29,FALSE)</f>
        <v>256</v>
      </c>
      <c r="AM43" s="5">
        <f>VLOOKUP($A43,'SegEnds_NonXtal_Prot#'!$A:$AL,32,FALSE)</f>
        <v>330</v>
      </c>
      <c r="AN43" s="5">
        <f>VLOOKUP($A43,'SegEnds_NonXtal_Prot#'!$A:$AL,35,FALSE)</f>
        <v>367</v>
      </c>
      <c r="AO43" s="5">
        <f>VLOOKUP($A43,'SegEnds_NonXtal_Prot#'!$A:$AL,38,FALSE)</f>
        <v>379</v>
      </c>
      <c r="AP43" s="5">
        <f t="shared" si="13"/>
        <v>29</v>
      </c>
      <c r="AQ43" s="4">
        <f t="shared" si="14"/>
        <v>3</v>
      </c>
      <c r="AR43" s="4">
        <f t="shared" si="15"/>
        <v>31</v>
      </c>
      <c r="AS43" s="4">
        <f t="shared" si="16"/>
        <v>3</v>
      </c>
      <c r="AT43" s="4">
        <f t="shared" si="17"/>
        <v>35</v>
      </c>
      <c r="AU43" s="4">
        <f t="shared" si="18"/>
        <v>3</v>
      </c>
      <c r="AV43" s="4">
        <f t="shared" si="19"/>
        <v>26</v>
      </c>
      <c r="AW43" s="4">
        <f t="shared" si="20"/>
        <v>2</v>
      </c>
      <c r="AX43" s="4">
        <f t="shared" si="21"/>
        <v>38</v>
      </c>
      <c r="AY43" s="4">
        <f t="shared" si="22"/>
        <v>41</v>
      </c>
      <c r="AZ43" s="4">
        <f t="shared" si="23"/>
        <v>29</v>
      </c>
      <c r="BA43" s="4">
        <f t="shared" si="24"/>
        <v>11</v>
      </c>
    </row>
    <row r="44" spans="1:53" x14ac:dyDescent="0.2">
      <c r="A44" s="1" t="str">
        <f>'SegEnds_NonXtal_Prot#'!A8</f>
        <v>prlhr_human</v>
      </c>
      <c r="B44" s="1" t="str">
        <f t="shared" si="0"/>
        <v>LKGLIVLLYSVVVVVGLVGNCLLVLVIARVNVTNFLIGNLALSDVLMCTACVPLTLAYAFEPGGGLCHLVFFLQPVTVYVSVFTLTTIAVDRYVVLVHSLRLSAYAVLAIWALSAVLALPAAVHTRQRQLYAWGLLLVTYLLPLLVILLSYVRVSVKLRNRVVPGCQADWDRARRRRTFCLLVVIVVVFAVCWLPLHVFNLLRDLDPYAFGLVQLLCHWLAMSSACYNPFIYAWLHDSFREELRKLL</v>
      </c>
      <c r="C44" s="29" t="str">
        <f>IF(ISERROR(MATCH(A44,'SegEnds_Xtal_Prot#'!B:B, 0)), "NoXtal", "Xtal")</f>
        <v>NoXtal</v>
      </c>
      <c r="D44" s="4" t="str">
        <f>VLOOKUP(A44,Classification!A:D,2,FALSE)</f>
        <v>A</v>
      </c>
      <c r="E44" s="5" t="str">
        <f>VLOOKUP(A44,Seqs!A:B,2,FALSE)</f>
        <v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v>
      </c>
      <c r="F44" s="5" t="str">
        <f t="shared" si="1"/>
        <v>LKGLIVLLYSVVVVVGLVGNCLLVLVIARV</v>
      </c>
      <c r="G44" s="4" t="str">
        <f t="shared" si="2"/>
        <v>RRLH</v>
      </c>
      <c r="H44" s="4" t="str">
        <f t="shared" si="3"/>
        <v>NVTNFLIGNLALSDVLMCTACVPLTLAYAFEP</v>
      </c>
      <c r="I44" s="4" t="str">
        <f t="shared" si="4"/>
        <v>GWVF</v>
      </c>
      <c r="J44" s="4" t="str">
        <f t="shared" si="5"/>
        <v>GGGLCHLVFFLQPVTVYVSVFTLTTIAVDRYVVLVH</v>
      </c>
      <c r="K44" s="4" t="str">
        <f t="shared" si="6"/>
        <v>PLRR</v>
      </c>
      <c r="L44" s="4" t="str">
        <f t="shared" si="7"/>
        <v>SLRLSAYAVLAIWALSAVLALPAAVHT</v>
      </c>
      <c r="M44" s="4" t="str">
        <f t="shared" si="8"/>
        <v>CEE</v>
      </c>
      <c r="N44" s="4" t="str">
        <f t="shared" si="9"/>
        <v>RQRQLYAWGLLLVTYLLPLLVILLSYVRVSVKLRNRVVPGC</v>
      </c>
      <c r="O44" s="4" t="str">
        <f t="shared" si="10"/>
        <v>QADWDRARRRRTFCLLVVIVVVFAVCWLPLHVFNLLRDLD</v>
      </c>
      <c r="P44" s="4" t="str">
        <f t="shared" si="11"/>
        <v>PYAFGLVQLLCHWLAMSSACYNPFIYAWL</v>
      </c>
      <c r="Q44" s="4" t="str">
        <f t="shared" si="12"/>
        <v>HDSFREELRKLL</v>
      </c>
      <c r="R44" s="5">
        <f>VLOOKUP($A44,'SegEnds_NonXtal_Prot#'!$A:$AL,3,FALSE)</f>
        <v>59</v>
      </c>
      <c r="S44" s="5">
        <f>VLOOKUP($A44,'SegEnds_NonXtal_Prot#'!$A:$AL,6,FALSE)</f>
        <v>89</v>
      </c>
      <c r="T44" s="5">
        <f>VLOOKUP($A44,'SegEnds_NonXtal_Prot#'!$A:$AL,9,FALSE)</f>
        <v>93</v>
      </c>
      <c r="U44" s="5">
        <f>VLOOKUP($A44,'SegEnds_NonXtal_Prot#'!$A:$AL,12,FALSE)</f>
        <v>126</v>
      </c>
      <c r="V44" s="5">
        <f>VLOOKUP($A44,'SegEnds_NonXtal_Prot#'!$A:$AL,15,FALSE)</f>
        <v>130</v>
      </c>
      <c r="W44" s="5">
        <f>VLOOKUP($A44,'SegEnds_NonXtal_Prot#'!$A:$AL,18,FALSE)</f>
        <v>166</v>
      </c>
      <c r="X44" s="5">
        <f>VLOOKUP($A44,'SegEnds_NonXtal_Prot#'!$A:$AL,21,FALSE)</f>
        <v>172</v>
      </c>
      <c r="Y44" s="5">
        <f>VLOOKUP($A44,'SegEnds_NonXtal_Prot#'!$A:$AL,24,FALSE)</f>
        <v>211</v>
      </c>
      <c r="Z44" s="5">
        <f>VLOOKUP($A44,'SegEnds_NonXtal_Prot#'!$A:$AL,27,FALSE)</f>
        <v>220</v>
      </c>
      <c r="AA44" s="5">
        <f>VLOOKUP($A44,'SegEnds_NonXtal_Prot#'!$A:$AL,30,FALSE)</f>
        <v>265</v>
      </c>
      <c r="AB44" s="5">
        <f>VLOOKUP($A44,'SegEnds_NonXtal_Prot#'!$A:$AL,33,FALSE)</f>
        <v>310</v>
      </c>
      <c r="AC44" s="5">
        <f>VLOOKUP($A44,'SegEnds_NonXtal_Prot#'!$A:$AL,36,FALSE)</f>
        <v>339</v>
      </c>
      <c r="AD44" s="5">
        <f>VLOOKUP($A44,'SegEnds_NonXtal_Prot#'!$A:$AL,5,FALSE)</f>
        <v>88</v>
      </c>
      <c r="AE44" s="5">
        <f>VLOOKUP($A44,'SegEnds_NonXtal_Prot#'!$A:$AL,8,FALSE)</f>
        <v>92</v>
      </c>
      <c r="AF44" s="5">
        <f>VLOOKUP($A44,'SegEnds_NonXtal_Prot#'!$A:$AL,11,FALSE)</f>
        <v>124</v>
      </c>
      <c r="AG44" s="5">
        <f>VLOOKUP($A44,'SegEnds_NonXtal_Prot#'!$A:$AL,14,FALSE)</f>
        <v>129</v>
      </c>
      <c r="AH44" s="5">
        <f>VLOOKUP($A44,'SegEnds_NonXtal_Prot#'!$A:$AL,17,FALSE)</f>
        <v>165</v>
      </c>
      <c r="AI44" s="5">
        <f>VLOOKUP($A44,'SegEnds_NonXtal_Prot#'!$A:$AL,20,FALSE)</f>
        <v>169</v>
      </c>
      <c r="AJ44" s="5">
        <f>VLOOKUP($A44,'SegEnds_NonXtal_Prot#'!$A:$AL,23,FALSE)</f>
        <v>198</v>
      </c>
      <c r="AK44" s="5">
        <f>VLOOKUP($A44,'SegEnds_NonXtal_Prot#'!$A:$AL,26,FALSE)</f>
        <v>213</v>
      </c>
      <c r="AL44" s="5">
        <f>VLOOKUP($A44,'SegEnds_NonXtal_Prot#'!$A:$AL,29,FALSE)</f>
        <v>260</v>
      </c>
      <c r="AM44" s="5">
        <f>VLOOKUP($A44,'SegEnds_NonXtal_Prot#'!$A:$AL,32,FALSE)</f>
        <v>304</v>
      </c>
      <c r="AN44" s="5">
        <f>VLOOKUP($A44,'SegEnds_NonXtal_Prot#'!$A:$AL,35,FALSE)</f>
        <v>338</v>
      </c>
      <c r="AO44" s="5">
        <f>VLOOKUP($A44,'SegEnds_NonXtal_Prot#'!$A:$AL,38,FALSE)</f>
        <v>350</v>
      </c>
      <c r="AP44" s="5">
        <f t="shared" si="13"/>
        <v>29</v>
      </c>
      <c r="AQ44" s="4">
        <f t="shared" si="14"/>
        <v>3</v>
      </c>
      <c r="AR44" s="4">
        <f t="shared" si="15"/>
        <v>31</v>
      </c>
      <c r="AS44" s="4">
        <f t="shared" si="16"/>
        <v>3</v>
      </c>
      <c r="AT44" s="4">
        <f t="shared" si="17"/>
        <v>35</v>
      </c>
      <c r="AU44" s="4">
        <f t="shared" si="18"/>
        <v>3</v>
      </c>
      <c r="AV44" s="4">
        <f t="shared" si="19"/>
        <v>26</v>
      </c>
      <c r="AW44" s="4">
        <f t="shared" si="20"/>
        <v>2</v>
      </c>
      <c r="AX44" s="4">
        <f t="shared" si="21"/>
        <v>40</v>
      </c>
      <c r="AY44" s="4">
        <f t="shared" si="22"/>
        <v>39</v>
      </c>
      <c r="AZ44" s="4">
        <f t="shared" si="23"/>
        <v>28</v>
      </c>
      <c r="BA44" s="4">
        <f t="shared" si="24"/>
        <v>11</v>
      </c>
    </row>
    <row r="45" spans="1:53" x14ac:dyDescent="0.2">
      <c r="A45" s="1" t="str">
        <f>'SegEnds_NonXtal_Prot#'!A9</f>
        <v>agtr2_human</v>
      </c>
      <c r="B45" s="1" t="str">
        <f t="shared" si="0"/>
        <v>DAIPILYYIIFVIGFLVNIVVVTLFCCQVSSIYIFNLAVADLLLLATLPLWATYYSYGPVMCKVFGSFLTLNMFASIFFITCMSVDRYQSVIYNPWQASYIVPLVWCMACLSSLPTFYFRKYAQWSAGIALMKNILGFIIPLIFIATCYFGIRKHLLKTGKNRITRDQVLKMAAAVVLAFIICWLPFHVLTFLDALAWMGSCEVIAVIDLALPFAILLGFTNSCVNPFLYCFVGNRFQQKLRSVFRVP</v>
      </c>
      <c r="C45" s="29" t="str">
        <f>IF(ISERROR(MATCH(A45,'SegEnds_Xtal_Prot#'!B:B, 0)), "NoXtal", "Xtal")</f>
        <v>Xtal</v>
      </c>
      <c r="D45" s="4" t="str">
        <f>VLOOKUP(A45,Classification!A:D,2,FALSE)</f>
        <v>A</v>
      </c>
      <c r="E45" s="5" t="str">
        <f>VLOOKUP(A45,Seqs!A:B,2,FALSE)</f>
        <v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v>
      </c>
      <c r="F45" s="5" t="str">
        <f t="shared" si="1"/>
        <v>DAIPILYYIIFVIGFLVNIVVVTLFCCQ</v>
      </c>
      <c r="G45" s="4" t="str">
        <f t="shared" si="2"/>
        <v/>
      </c>
      <c r="H45" s="4" t="str">
        <f t="shared" si="3"/>
        <v>VSSIYIFNLAVADLLLLATLPLWATYYSY</v>
      </c>
      <c r="I45" s="4" t="str">
        <f t="shared" si="4"/>
        <v>DWLF</v>
      </c>
      <c r="J45" s="4" t="str">
        <f t="shared" si="5"/>
        <v>GPVMCKVFGSFLTLNMFASIFFITCMSVDRYQSVIY</v>
      </c>
      <c r="K45" s="4" t="str">
        <f t="shared" si="6"/>
        <v>PFLSQRR</v>
      </c>
      <c r="L45" s="4" t="str">
        <f t="shared" si="7"/>
        <v>NPWQASYIVPLVWCMACLSSLPTFYFR</v>
      </c>
      <c r="M45" s="4" t="str">
        <f t="shared" si="8"/>
        <v>CIM</v>
      </c>
      <c r="N45" s="4" t="str">
        <f t="shared" si="9"/>
        <v>KYAQWSAGIALMKNILGFIIPLIFIATCYFGIRKHLLKT</v>
      </c>
      <c r="O45" s="4" t="str">
        <f t="shared" si="10"/>
        <v>GKNRITRDQVLKMAAAVVLAFIICWLPFHVLTFLDALAWMG</v>
      </c>
      <c r="P45" s="4" t="str">
        <f t="shared" si="11"/>
        <v>SCEVIAVIDLALPFAILLGFTNSCVNPFLYCFV</v>
      </c>
      <c r="Q45" s="4" t="str">
        <f t="shared" si="12"/>
        <v>GNRFQQKLRSVFRVP</v>
      </c>
      <c r="R45" s="5">
        <f>VLOOKUP($A45,'SegEnds_NonXtal_Prot#'!$A:$AL,3,FALSE)</f>
        <v>45</v>
      </c>
      <c r="S45" s="5" t="str">
        <f>VLOOKUP($A45,'SegEnds_NonXtal_Prot#'!$A:$AL,6,FALSE)</f>
        <v>-</v>
      </c>
      <c r="T45" s="5">
        <f>VLOOKUP($A45,'SegEnds_NonXtal_Prot#'!$A:$AL,9,FALSE)</f>
        <v>78</v>
      </c>
      <c r="U45" s="5">
        <f>VLOOKUP($A45,'SegEnds_NonXtal_Prot#'!$A:$AL,12,FALSE)</f>
        <v>109</v>
      </c>
      <c r="V45" s="5">
        <f>VLOOKUP($A45,'SegEnds_NonXtal_Prot#'!$A:$AL,15,FALSE)</f>
        <v>113</v>
      </c>
      <c r="W45" s="5">
        <f>VLOOKUP($A45,'SegEnds_NonXtal_Prot#'!$A:$AL,18,FALSE)</f>
        <v>149</v>
      </c>
      <c r="X45" s="5">
        <f>VLOOKUP($A45,'SegEnds_NonXtal_Prot#'!$A:$AL,21,FALSE)</f>
        <v>156</v>
      </c>
      <c r="Y45" s="5">
        <f>VLOOKUP($A45,'SegEnds_NonXtal_Prot#'!$A:$AL,24,FALSE)</f>
        <v>195</v>
      </c>
      <c r="Z45" s="5">
        <f>VLOOKUP($A45,'SegEnds_NonXtal_Prot#'!$A:$AL,27,FALSE)</f>
        <v>203</v>
      </c>
      <c r="AA45" s="5">
        <f>VLOOKUP($A45,'SegEnds_NonXtal_Prot#'!$A:$AL,30,FALSE)</f>
        <v>245</v>
      </c>
      <c r="AB45" s="5">
        <f>VLOOKUP($A45,'SegEnds_NonXtal_Prot#'!$A:$AL,33,FALSE)</f>
        <v>289</v>
      </c>
      <c r="AC45" s="5">
        <f>VLOOKUP($A45,'SegEnds_NonXtal_Prot#'!$A:$AL,36,FALSE)</f>
        <v>322</v>
      </c>
      <c r="AD45" s="5">
        <f>VLOOKUP($A45,'SegEnds_NonXtal_Prot#'!$A:$AL,5,FALSE)</f>
        <v>72</v>
      </c>
      <c r="AE45" s="5" t="str">
        <f>VLOOKUP($A45,'SegEnds_NonXtal_Prot#'!$A:$AL,8,FALSE)</f>
        <v>-</v>
      </c>
      <c r="AF45" s="5">
        <f>VLOOKUP($A45,'SegEnds_NonXtal_Prot#'!$A:$AL,11,FALSE)</f>
        <v>106</v>
      </c>
      <c r="AG45" s="5">
        <f>VLOOKUP($A45,'SegEnds_NonXtal_Prot#'!$A:$AL,14,FALSE)</f>
        <v>112</v>
      </c>
      <c r="AH45" s="5">
        <f>VLOOKUP($A45,'SegEnds_NonXtal_Prot#'!$A:$AL,17,FALSE)</f>
        <v>148</v>
      </c>
      <c r="AI45" s="5">
        <f>VLOOKUP($A45,'SegEnds_NonXtal_Prot#'!$A:$AL,20,FALSE)</f>
        <v>155</v>
      </c>
      <c r="AJ45" s="5">
        <f>VLOOKUP($A45,'SegEnds_NonXtal_Prot#'!$A:$AL,23,FALSE)</f>
        <v>182</v>
      </c>
      <c r="AK45" s="5">
        <f>VLOOKUP($A45,'SegEnds_NonXtal_Prot#'!$A:$AL,26,FALSE)</f>
        <v>197</v>
      </c>
      <c r="AL45" s="5">
        <f>VLOOKUP($A45,'SegEnds_NonXtal_Prot#'!$A:$AL,29,FALSE)</f>
        <v>241</v>
      </c>
      <c r="AM45" s="5">
        <f>VLOOKUP($A45,'SegEnds_NonXtal_Prot#'!$A:$AL,32,FALSE)</f>
        <v>285</v>
      </c>
      <c r="AN45" s="5">
        <f>VLOOKUP($A45,'SegEnds_NonXtal_Prot#'!$A:$AL,35,FALSE)</f>
        <v>321</v>
      </c>
      <c r="AO45" s="5">
        <f>VLOOKUP($A45,'SegEnds_NonXtal_Prot#'!$A:$AL,38,FALSE)</f>
        <v>336</v>
      </c>
      <c r="AP45" s="5">
        <f t="shared" si="13"/>
        <v>27</v>
      </c>
      <c r="AQ45" s="4" t="str">
        <f t="shared" si="14"/>
        <v>-</v>
      </c>
      <c r="AR45" s="4">
        <f t="shared" si="15"/>
        <v>28</v>
      </c>
      <c r="AS45" s="4">
        <f t="shared" si="16"/>
        <v>3</v>
      </c>
      <c r="AT45" s="4">
        <f t="shared" si="17"/>
        <v>35</v>
      </c>
      <c r="AU45" s="4">
        <f t="shared" si="18"/>
        <v>6</v>
      </c>
      <c r="AV45" s="4">
        <f t="shared" si="19"/>
        <v>26</v>
      </c>
      <c r="AW45" s="4">
        <f t="shared" si="20"/>
        <v>2</v>
      </c>
      <c r="AX45" s="4">
        <f t="shared" si="21"/>
        <v>38</v>
      </c>
      <c r="AY45" s="4">
        <f t="shared" si="22"/>
        <v>40</v>
      </c>
      <c r="AZ45" s="4">
        <f t="shared" si="23"/>
        <v>32</v>
      </c>
      <c r="BA45" s="4">
        <f t="shared" si="24"/>
        <v>14</v>
      </c>
    </row>
    <row r="46" spans="1:53" x14ac:dyDescent="0.2">
      <c r="A46" s="1" t="str">
        <f>'SegEnds_NonXtal_Prot#'!A10</f>
        <v>cxcr1_human</v>
      </c>
      <c r="B46" s="1" t="str">
        <f t="shared" si="0"/>
        <v>TETLNKYVVIIAYALVFLLSLLGNSLVMLVILYSSVTDVYLLNLALADLLFALTLPIWAASKVNGTFLCKVVSLLKEVNFYSGILLLACISVDRYLAIVHKRHLVKFVCLGCWGLSMNLSLPFFLFRTAKWRMVLRILPHTFGFIVPLFVMLFCYGFTLRTLFKAKHRAMRVIFAVVLIFLLCWLPYNLVLLADTLMRTQSCERRNNIGRALDATEILGFLHSCLNPIIYAFIGQNFRHGFLKIL</v>
      </c>
      <c r="C46" s="29" t="str">
        <f>IF(ISERROR(MATCH(A46,'SegEnds_Xtal_Prot#'!B:B, 0)), "NoXtal", "Xtal")</f>
        <v>NoXtal</v>
      </c>
      <c r="D46" s="4" t="str">
        <f>VLOOKUP(A46,Classification!A:D,2,FALSE)</f>
        <v>A</v>
      </c>
      <c r="E46" s="5" t="str">
        <f>VLOOKUP(A46,Seqs!A:B,2,FALSE)</f>
        <v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v>
      </c>
      <c r="F46" s="5" t="str">
        <f t="shared" si="1"/>
        <v>TETLNKYVVIIAYALVFLLSLLGNSLVMLVILYS</v>
      </c>
      <c r="G46" s="4" t="str">
        <f t="shared" si="2"/>
        <v>RVGR</v>
      </c>
      <c r="H46" s="4" t="str">
        <f t="shared" si="3"/>
        <v>SVTDVYLLNLALADLLFALTLPIWAASKVN</v>
      </c>
      <c r="I46" s="4" t="str">
        <f t="shared" si="4"/>
        <v>GWIF</v>
      </c>
      <c r="J46" s="4" t="str">
        <f t="shared" si="5"/>
        <v>GTFLCKVVSLLKEVNFYSGILLLACISVDRYLAIVH</v>
      </c>
      <c r="K46" s="4" t="str">
        <f t="shared" si="6"/>
        <v>ATRTLTQ</v>
      </c>
      <c r="L46" s="4" t="str">
        <f t="shared" si="7"/>
        <v>KRHLVKFVCLGCWGLSMNLSLPFFLFR</v>
      </c>
      <c r="M46" s="4" t="str">
        <f t="shared" si="8"/>
        <v>CYE</v>
      </c>
      <c r="N46" s="4" t="str">
        <f t="shared" si="9"/>
        <v>TAKWRMVLRILPHTFGFIVPLFVMLFCYGFTLRTLFKA</v>
      </c>
      <c r="O46" s="4" t="str">
        <f t="shared" si="10"/>
        <v>KHRAMRVIFAVVLIFLLCWLPYNLVLLADTLMRTQ</v>
      </c>
      <c r="P46" s="4" t="str">
        <f t="shared" si="11"/>
        <v>SCERRNNIGRALDATEILGFLHSCLNPIIYAFI</v>
      </c>
      <c r="Q46" s="4" t="str">
        <f t="shared" si="12"/>
        <v>GQNFRHGFLKIL</v>
      </c>
      <c r="R46" s="5">
        <f>VLOOKUP($A46,'SegEnds_NonXtal_Prot#'!$A:$AL,3,FALSE)</f>
        <v>34</v>
      </c>
      <c r="S46" s="5">
        <f>VLOOKUP($A46,'SegEnds_NonXtal_Prot#'!$A:$AL,6,FALSE)</f>
        <v>68</v>
      </c>
      <c r="T46" s="5">
        <f>VLOOKUP($A46,'SegEnds_NonXtal_Prot#'!$A:$AL,9,FALSE)</f>
        <v>72</v>
      </c>
      <c r="U46" s="5">
        <f>VLOOKUP($A46,'SegEnds_NonXtal_Prot#'!$A:$AL,12,FALSE)</f>
        <v>102</v>
      </c>
      <c r="V46" s="5">
        <f>VLOOKUP($A46,'SegEnds_NonXtal_Prot#'!$A:$AL,15,FALSE)</f>
        <v>106</v>
      </c>
      <c r="W46" s="5">
        <f>VLOOKUP($A46,'SegEnds_NonXtal_Prot#'!$A:$AL,18,FALSE)</f>
        <v>142</v>
      </c>
      <c r="X46" s="5">
        <f>VLOOKUP($A46,'SegEnds_NonXtal_Prot#'!$A:$AL,21,FALSE)</f>
        <v>149</v>
      </c>
      <c r="Y46" s="5">
        <f>VLOOKUP($A46,'SegEnds_NonXtal_Prot#'!$A:$AL,24,FALSE)</f>
        <v>187</v>
      </c>
      <c r="Z46" s="5">
        <f>VLOOKUP($A46,'SegEnds_NonXtal_Prot#'!$A:$AL,27,FALSE)</f>
        <v>195</v>
      </c>
      <c r="AA46" s="5">
        <f>VLOOKUP($A46,'SegEnds_NonXtal_Prot#'!$A:$AL,30,FALSE)</f>
        <v>237</v>
      </c>
      <c r="AB46" s="5">
        <f>VLOOKUP($A46,'SegEnds_NonXtal_Prot#'!$A:$AL,33,FALSE)</f>
        <v>276</v>
      </c>
      <c r="AC46" s="5">
        <f>VLOOKUP($A46,'SegEnds_NonXtal_Prot#'!$A:$AL,36,FALSE)</f>
        <v>309</v>
      </c>
      <c r="AD46" s="5">
        <f>VLOOKUP($A46,'SegEnds_NonXtal_Prot#'!$A:$AL,5,FALSE)</f>
        <v>67</v>
      </c>
      <c r="AE46" s="5">
        <f>VLOOKUP($A46,'SegEnds_NonXtal_Prot#'!$A:$AL,8,FALSE)</f>
        <v>71</v>
      </c>
      <c r="AF46" s="5">
        <f>VLOOKUP($A46,'SegEnds_NonXtal_Prot#'!$A:$AL,11,FALSE)</f>
        <v>101</v>
      </c>
      <c r="AG46" s="5">
        <f>VLOOKUP($A46,'SegEnds_NonXtal_Prot#'!$A:$AL,14,FALSE)</f>
        <v>105</v>
      </c>
      <c r="AH46" s="5">
        <f>VLOOKUP($A46,'SegEnds_NonXtal_Prot#'!$A:$AL,17,FALSE)</f>
        <v>141</v>
      </c>
      <c r="AI46" s="5">
        <f>VLOOKUP($A46,'SegEnds_NonXtal_Prot#'!$A:$AL,20,FALSE)</f>
        <v>148</v>
      </c>
      <c r="AJ46" s="5">
        <f>VLOOKUP($A46,'SegEnds_NonXtal_Prot#'!$A:$AL,23,FALSE)</f>
        <v>175</v>
      </c>
      <c r="AK46" s="5">
        <f>VLOOKUP($A46,'SegEnds_NonXtal_Prot#'!$A:$AL,26,FALSE)</f>
        <v>189</v>
      </c>
      <c r="AL46" s="5">
        <f>VLOOKUP($A46,'SegEnds_NonXtal_Prot#'!$A:$AL,29,FALSE)</f>
        <v>232</v>
      </c>
      <c r="AM46" s="5">
        <f>VLOOKUP($A46,'SegEnds_NonXtal_Prot#'!$A:$AL,32,FALSE)</f>
        <v>271</v>
      </c>
      <c r="AN46" s="5">
        <f>VLOOKUP($A46,'SegEnds_NonXtal_Prot#'!$A:$AL,35,FALSE)</f>
        <v>308</v>
      </c>
      <c r="AO46" s="5">
        <f>VLOOKUP($A46,'SegEnds_NonXtal_Prot#'!$A:$AL,38,FALSE)</f>
        <v>320</v>
      </c>
      <c r="AP46" s="5">
        <f t="shared" si="13"/>
        <v>33</v>
      </c>
      <c r="AQ46" s="4">
        <f t="shared" si="14"/>
        <v>3</v>
      </c>
      <c r="AR46" s="4">
        <f t="shared" si="15"/>
        <v>29</v>
      </c>
      <c r="AS46" s="4">
        <f t="shared" si="16"/>
        <v>3</v>
      </c>
      <c r="AT46" s="4">
        <f t="shared" si="17"/>
        <v>35</v>
      </c>
      <c r="AU46" s="4">
        <f t="shared" si="18"/>
        <v>6</v>
      </c>
      <c r="AV46" s="4">
        <f t="shared" si="19"/>
        <v>26</v>
      </c>
      <c r="AW46" s="4">
        <f t="shared" si="20"/>
        <v>2</v>
      </c>
      <c r="AX46" s="4">
        <f t="shared" si="21"/>
        <v>37</v>
      </c>
      <c r="AY46" s="4">
        <f t="shared" si="22"/>
        <v>34</v>
      </c>
      <c r="AZ46" s="4">
        <f t="shared" si="23"/>
        <v>32</v>
      </c>
      <c r="BA46" s="4">
        <f t="shared" si="24"/>
        <v>11</v>
      </c>
    </row>
    <row r="47" spans="1:53" x14ac:dyDescent="0.2">
      <c r="A47" s="1" t="str">
        <f>'SegEnds_NonXtal_Prot#'!A11</f>
        <v>cxcr2_human</v>
      </c>
      <c r="B47" s="1" t="str">
        <f t="shared" si="0"/>
        <v>SLEINKYFVVIIYALVFLLSLLGNSLVMLVILYSSVTDVYLLNLALADLLFALTLPIWAASKVNGTFLCKVVSLLKEVNFYSGILLLACISVDRYLAIVHKRYLVKFICLSIWGLSLLLALPVLLFRNWRMLLRILPQSFGFIVPLLIMLFCYGFTLRTLFKAKHRAMRVIFAVVLIFLLCWLPYNLVLLADTLMRTQTCERRNHIDRALDATEILGILHSCLNPLIYAFIGQKFRHGLLKILAIHGLISKD</v>
      </c>
      <c r="C47" s="29" t="str">
        <f>IF(ISERROR(MATCH(A47,'SegEnds_Xtal_Prot#'!B:B, 0)), "NoXtal", "Xtal")</f>
        <v>NoXtal</v>
      </c>
      <c r="D47" s="4" t="str">
        <f>VLOOKUP(A47,Classification!A:D,2,FALSE)</f>
        <v>A</v>
      </c>
      <c r="E47" s="5" t="str">
        <f>VLOOKUP(A47,Seqs!A:B,2,FALSE)</f>
        <v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v>
      </c>
      <c r="F47" s="5" t="str">
        <f t="shared" si="1"/>
        <v>SLEINKYFVVIIYALVFLLSLLGNSLVMLVILYS</v>
      </c>
      <c r="G47" s="4" t="str">
        <f t="shared" si="2"/>
        <v>RVGR</v>
      </c>
      <c r="H47" s="4" t="str">
        <f t="shared" si="3"/>
        <v>SVTDVYLLNLALADLLFALTLPIWAASKVN</v>
      </c>
      <c r="I47" s="4" t="str">
        <f t="shared" si="4"/>
        <v>GWIF</v>
      </c>
      <c r="J47" s="4" t="str">
        <f t="shared" si="5"/>
        <v>GTFLCKVVSLLKEVNFYSGILLLACISVDRYLAIVH</v>
      </c>
      <c r="K47" s="4" t="str">
        <f t="shared" si="6"/>
        <v>ATRTLTQ</v>
      </c>
      <c r="L47" s="4" t="str">
        <f t="shared" si="7"/>
        <v>KRYLVKFICLSIWGLSLLLALPVLLFR</v>
      </c>
      <c r="M47" s="4" t="str">
        <f t="shared" si="8"/>
        <v>CYE</v>
      </c>
      <c r="N47" s="4" t="str">
        <f t="shared" si="9"/>
        <v>NWRMLLRILPQSFGFIVPLLIMLFCYGFTLRTLFKA</v>
      </c>
      <c r="O47" s="4" t="str">
        <f t="shared" si="10"/>
        <v>KHRAMRVIFAVVLIFLLCWLPYNLVLLADTLMRTQ</v>
      </c>
      <c r="P47" s="4" t="str">
        <f t="shared" si="11"/>
        <v>TCERRNHIDRALDATEILGILHSCLNPLIYAFI</v>
      </c>
      <c r="Q47" s="4" t="str">
        <f t="shared" si="12"/>
        <v>GQKFRHGLLKILAIHGLISKD</v>
      </c>
      <c r="R47" s="5">
        <f>VLOOKUP($A47,'SegEnds_NonXtal_Prot#'!$A:$AL,3,FALSE)</f>
        <v>43</v>
      </c>
      <c r="S47" s="5">
        <f>VLOOKUP($A47,'SegEnds_NonXtal_Prot#'!$A:$AL,6,FALSE)</f>
        <v>77</v>
      </c>
      <c r="T47" s="5">
        <f>VLOOKUP($A47,'SegEnds_NonXtal_Prot#'!$A:$AL,9,FALSE)</f>
        <v>81</v>
      </c>
      <c r="U47" s="5">
        <f>VLOOKUP($A47,'SegEnds_NonXtal_Prot#'!$A:$AL,12,FALSE)</f>
        <v>111</v>
      </c>
      <c r="V47" s="5">
        <f>VLOOKUP($A47,'SegEnds_NonXtal_Prot#'!$A:$AL,15,FALSE)</f>
        <v>115</v>
      </c>
      <c r="W47" s="5">
        <f>VLOOKUP($A47,'SegEnds_NonXtal_Prot#'!$A:$AL,18,FALSE)</f>
        <v>151</v>
      </c>
      <c r="X47" s="5">
        <f>VLOOKUP($A47,'SegEnds_NonXtal_Prot#'!$A:$AL,21,FALSE)</f>
        <v>158</v>
      </c>
      <c r="Y47" s="5">
        <f>VLOOKUP($A47,'SegEnds_NonXtal_Prot#'!$A:$AL,24,FALSE)</f>
        <v>196</v>
      </c>
      <c r="Z47" s="5">
        <f>VLOOKUP($A47,'SegEnds_NonXtal_Prot#'!$A:$AL,27,FALSE)</f>
        <v>206</v>
      </c>
      <c r="AA47" s="5">
        <f>VLOOKUP($A47,'SegEnds_NonXtal_Prot#'!$A:$AL,30,FALSE)</f>
        <v>246</v>
      </c>
      <c r="AB47" s="5">
        <f>VLOOKUP($A47,'SegEnds_NonXtal_Prot#'!$A:$AL,33,FALSE)</f>
        <v>285</v>
      </c>
      <c r="AC47" s="5">
        <f>VLOOKUP($A47,'SegEnds_NonXtal_Prot#'!$A:$AL,36,FALSE)</f>
        <v>318</v>
      </c>
      <c r="AD47" s="5">
        <f>VLOOKUP($A47,'SegEnds_NonXtal_Prot#'!$A:$AL,5,FALSE)</f>
        <v>76</v>
      </c>
      <c r="AE47" s="5">
        <f>VLOOKUP($A47,'SegEnds_NonXtal_Prot#'!$A:$AL,8,FALSE)</f>
        <v>80</v>
      </c>
      <c r="AF47" s="5">
        <f>VLOOKUP($A47,'SegEnds_NonXtal_Prot#'!$A:$AL,11,FALSE)</f>
        <v>110</v>
      </c>
      <c r="AG47" s="5">
        <f>VLOOKUP($A47,'SegEnds_NonXtal_Prot#'!$A:$AL,14,FALSE)</f>
        <v>114</v>
      </c>
      <c r="AH47" s="5">
        <f>VLOOKUP($A47,'SegEnds_NonXtal_Prot#'!$A:$AL,17,FALSE)</f>
        <v>150</v>
      </c>
      <c r="AI47" s="5">
        <f>VLOOKUP($A47,'SegEnds_NonXtal_Prot#'!$A:$AL,20,FALSE)</f>
        <v>157</v>
      </c>
      <c r="AJ47" s="5">
        <f>VLOOKUP($A47,'SegEnds_NonXtal_Prot#'!$A:$AL,23,FALSE)</f>
        <v>184</v>
      </c>
      <c r="AK47" s="5">
        <f>VLOOKUP($A47,'SegEnds_NonXtal_Prot#'!$A:$AL,26,FALSE)</f>
        <v>198</v>
      </c>
      <c r="AL47" s="5">
        <f>VLOOKUP($A47,'SegEnds_NonXtal_Prot#'!$A:$AL,29,FALSE)</f>
        <v>241</v>
      </c>
      <c r="AM47" s="5">
        <f>VLOOKUP($A47,'SegEnds_NonXtal_Prot#'!$A:$AL,32,FALSE)</f>
        <v>280</v>
      </c>
      <c r="AN47" s="5">
        <f>VLOOKUP($A47,'SegEnds_NonXtal_Prot#'!$A:$AL,35,FALSE)</f>
        <v>317</v>
      </c>
      <c r="AO47" s="5">
        <f>VLOOKUP($A47,'SegEnds_NonXtal_Prot#'!$A:$AL,38,FALSE)</f>
        <v>338</v>
      </c>
      <c r="AP47" s="5">
        <f t="shared" si="13"/>
        <v>33</v>
      </c>
      <c r="AQ47" s="4">
        <f t="shared" si="14"/>
        <v>3</v>
      </c>
      <c r="AR47" s="4">
        <f t="shared" si="15"/>
        <v>29</v>
      </c>
      <c r="AS47" s="4">
        <f t="shared" si="16"/>
        <v>3</v>
      </c>
      <c r="AT47" s="4">
        <f t="shared" si="17"/>
        <v>35</v>
      </c>
      <c r="AU47" s="4">
        <f t="shared" si="18"/>
        <v>6</v>
      </c>
      <c r="AV47" s="4">
        <f t="shared" si="19"/>
        <v>26</v>
      </c>
      <c r="AW47" s="4">
        <f t="shared" si="20"/>
        <v>2</v>
      </c>
      <c r="AX47" s="4">
        <f t="shared" si="21"/>
        <v>35</v>
      </c>
      <c r="AY47" s="4">
        <f t="shared" si="22"/>
        <v>34</v>
      </c>
      <c r="AZ47" s="4">
        <f t="shared" si="23"/>
        <v>32</v>
      </c>
      <c r="BA47" s="4">
        <f t="shared" si="24"/>
        <v>20</v>
      </c>
    </row>
    <row r="48" spans="1:53" x14ac:dyDescent="0.2">
      <c r="A48" s="1" t="str">
        <f>'SegEnds_NonXtal_Prot#'!A13</f>
        <v>gp142_human</v>
      </c>
      <c r="B48" s="1" t="str">
        <f t="shared" si="0"/>
        <v>CVAGVIPVIYYSVLLGLGLPVSLLTAVALARLRPSYYYLLALTASDIIIQVVIVFAGFLLQGARQVPQAVVRTANILEFAANHASVWIAILLTVDRYTALCHSSPGRTRRAIAAVLSAALLTGIPFYDEVLKWAHCLTVYFIPCGVFLVTNSAIIHRLRRLQPRVGKSTAILLGITTLFTLLWAPRVFVMLYHMYVDWRVHLALDVANMVAMLHTAANFGLYCFVSKTFRATVRQVIH</v>
      </c>
      <c r="C48" s="29" t="str">
        <f>IF(ISERROR(MATCH(A48,'SegEnds_Xtal_Prot#'!B:B, 0)), "NoXtal", "Xtal")</f>
        <v>NoXtal</v>
      </c>
      <c r="D48" s="4" t="str">
        <f>VLOOKUP(A48,Classification!A:D,2,FALSE)</f>
        <v>A</v>
      </c>
      <c r="E48" s="5" t="str">
        <f>VLOOKUP(A48,Seqs!A:B,2,FALSE)</f>
        <v>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</v>
      </c>
      <c r="F48" s="5" t="str">
        <f t="shared" si="1"/>
        <v>CVAGVIPVIYYSVLLGLGLPVSLLTAVALARL</v>
      </c>
      <c r="G48" s="4" t="str">
        <f t="shared" si="2"/>
        <v/>
      </c>
      <c r="H48" s="4" t="str">
        <f t="shared" si="3"/>
        <v>RPSYYYLLALTASDIIIQVVIVFAGFLLQGA</v>
      </c>
      <c r="I48" s="4" t="str">
        <f t="shared" si="4"/>
        <v/>
      </c>
      <c r="J48" s="4" t="str">
        <f t="shared" si="5"/>
        <v>RQVPQAVVRTANILEFAANHASVWIAILLTVDRYTALCH</v>
      </c>
      <c r="K48" s="4" t="str">
        <f t="shared" si="6"/>
        <v>PLHHRAA</v>
      </c>
      <c r="L48" s="4" t="str">
        <f t="shared" si="7"/>
        <v>SSPGRTRRAIAAVLSAALLTGIPFY</v>
      </c>
      <c r="M48" s="4" t="str">
        <f t="shared" si="8"/>
        <v/>
      </c>
      <c r="N48" s="4" t="str">
        <f t="shared" si="9"/>
        <v>DEVLKWAHCLTVYFIPCGVFLVTNSAIIHRLRR</v>
      </c>
      <c r="O48" s="4" t="str">
        <f t="shared" si="10"/>
        <v>LQPRVGKSTAILLGITTLFTLLWAPRVFVMLYHMYV</v>
      </c>
      <c r="P48" s="4" t="str">
        <f t="shared" si="11"/>
        <v>DWRVHLALDVANMVAMLHTAANFGLYCFV</v>
      </c>
      <c r="Q48" s="4" t="str">
        <f t="shared" si="12"/>
        <v>SKTFRATVRQVIH</v>
      </c>
      <c r="R48" s="5">
        <f>VLOOKUP($A48,'SegEnds_NonXtal_Prot#'!$A:$AL,3,FALSE)</f>
        <v>153</v>
      </c>
      <c r="S48" s="5" t="str">
        <f>VLOOKUP($A48,'SegEnds_NonXtal_Prot#'!$A:$AL,6,FALSE)</f>
        <v>-</v>
      </c>
      <c r="T48" s="5">
        <f>VLOOKUP($A48,'SegEnds_NonXtal_Prot#'!$A:$AL,9,FALSE)</f>
        <v>190</v>
      </c>
      <c r="U48" s="5" t="str">
        <f>VLOOKUP($A48,'SegEnds_NonXtal_Prot#'!$A:$AL,12,FALSE)</f>
        <v>-</v>
      </c>
      <c r="V48" s="5">
        <f>VLOOKUP($A48,'SegEnds_NonXtal_Prot#'!$A:$AL,15,FALSE)</f>
        <v>224</v>
      </c>
      <c r="W48" s="5">
        <f>VLOOKUP($A48,'SegEnds_NonXtal_Prot#'!$A:$AL,18,FALSE)</f>
        <v>263</v>
      </c>
      <c r="X48" s="5">
        <f>VLOOKUP($A48,'SegEnds_NonXtal_Prot#'!$A:$AL,21,FALSE)</f>
        <v>270</v>
      </c>
      <c r="Y48" s="5" t="str">
        <f>VLOOKUP($A48,'SegEnds_NonXtal_Prot#'!$A:$AL,24,FALSE)</f>
        <v>-</v>
      </c>
      <c r="Z48" s="5">
        <f>VLOOKUP($A48,'SegEnds_NonXtal_Prot#'!$A:$AL,27,FALSE)</f>
        <v>310</v>
      </c>
      <c r="AA48" s="5">
        <f>VLOOKUP($A48,'SegEnds_NonXtal_Prot#'!$A:$AL,30,FALSE)</f>
        <v>348</v>
      </c>
      <c r="AB48" s="5">
        <f>VLOOKUP($A48,'SegEnds_NonXtal_Prot#'!$A:$AL,33,FALSE)</f>
        <v>389</v>
      </c>
      <c r="AC48" s="5">
        <f>VLOOKUP($A48,'SegEnds_NonXtal_Prot#'!$A:$AL,36,FALSE)</f>
        <v>418</v>
      </c>
      <c r="AD48" s="5">
        <f>VLOOKUP($A48,'SegEnds_NonXtal_Prot#'!$A:$AL,5,FALSE)</f>
        <v>184</v>
      </c>
      <c r="AE48" s="5" t="str">
        <f>VLOOKUP($A48,'SegEnds_NonXtal_Prot#'!$A:$AL,8,FALSE)</f>
        <v>-</v>
      </c>
      <c r="AF48" s="5">
        <f>VLOOKUP($A48,'SegEnds_NonXtal_Prot#'!$A:$AL,11,FALSE)</f>
        <v>220</v>
      </c>
      <c r="AG48" s="5" t="str">
        <f>VLOOKUP($A48,'SegEnds_NonXtal_Prot#'!$A:$AL,14,FALSE)</f>
        <v>-</v>
      </c>
      <c r="AH48" s="5">
        <f>VLOOKUP($A48,'SegEnds_NonXtal_Prot#'!$A:$AL,17,FALSE)</f>
        <v>262</v>
      </c>
      <c r="AI48" s="5">
        <f>VLOOKUP($A48,'SegEnds_NonXtal_Prot#'!$A:$AL,20,FALSE)</f>
        <v>269</v>
      </c>
      <c r="AJ48" s="5">
        <f>VLOOKUP($A48,'SegEnds_NonXtal_Prot#'!$A:$AL,23,FALSE)</f>
        <v>294</v>
      </c>
      <c r="AK48" s="5" t="str">
        <f>VLOOKUP($A48,'SegEnds_NonXtal_Prot#'!$A:$AL,26,FALSE)</f>
        <v>-</v>
      </c>
      <c r="AL48" s="5">
        <f>VLOOKUP($A48,'SegEnds_NonXtal_Prot#'!$A:$AL,29,FALSE)</f>
        <v>342</v>
      </c>
      <c r="AM48" s="5">
        <f>VLOOKUP($A48,'SegEnds_NonXtal_Prot#'!$A:$AL,32,FALSE)</f>
        <v>383</v>
      </c>
      <c r="AN48" s="5">
        <f>VLOOKUP($A48,'SegEnds_NonXtal_Prot#'!$A:$AL,35,FALSE)</f>
        <v>417</v>
      </c>
      <c r="AO48" s="5">
        <f>VLOOKUP($A48,'SegEnds_NonXtal_Prot#'!$A:$AL,38,FALSE)</f>
        <v>430</v>
      </c>
      <c r="AP48" s="5">
        <f t="shared" si="13"/>
        <v>31</v>
      </c>
      <c r="AQ48" s="4" t="str">
        <f t="shared" si="14"/>
        <v>-</v>
      </c>
      <c r="AR48" s="4">
        <f t="shared" si="15"/>
        <v>30</v>
      </c>
      <c r="AS48" s="4" t="str">
        <f t="shared" si="16"/>
        <v>-</v>
      </c>
      <c r="AT48" s="4">
        <f t="shared" si="17"/>
        <v>38</v>
      </c>
      <c r="AU48" s="4">
        <f t="shared" si="18"/>
        <v>6</v>
      </c>
      <c r="AV48" s="4">
        <f t="shared" si="19"/>
        <v>24</v>
      </c>
      <c r="AW48" s="4" t="str">
        <f t="shared" si="20"/>
        <v>-</v>
      </c>
      <c r="AX48" s="4">
        <f t="shared" si="21"/>
        <v>32</v>
      </c>
      <c r="AY48" s="4">
        <f t="shared" si="22"/>
        <v>35</v>
      </c>
      <c r="AZ48" s="4">
        <f t="shared" si="23"/>
        <v>28</v>
      </c>
      <c r="BA48" s="4">
        <f t="shared" si="24"/>
        <v>12</v>
      </c>
    </row>
    <row r="49" spans="1:53" x14ac:dyDescent="0.2">
      <c r="A49" s="1" t="str">
        <f>'SegEnds_NonXtal_Prot#'!A14</f>
        <v>gp151_human</v>
      </c>
      <c r="B49" s="1" t="str">
        <f t="shared" si="0"/>
        <v>TIIPALLVAVCLVGFVGNLCVIGILLHNSMIHSLILNLSLADLSLLLFSAPIRATAYSGWFVCKSSDWFIHTCMAAKSLTIVVVAKVCFMYASDHNYTIWSVLVAIWTVASLLPLPEWFFSVAEEFMSMFGKLYPLLAFGLPLFFASFYFWRAYDQCKKRNLRNQIRSKQVTVMLLSIAIISALLWLPEWVAWLWVWHLPAPPQGFIALSQVLMFSISSANPLIFLVMSEEFREGLKGVWKWM</v>
      </c>
      <c r="C49" s="29" t="str">
        <f>IF(ISERROR(MATCH(A49,'SegEnds_Xtal_Prot#'!B:B, 0)), "NoXtal", "Xtal")</f>
        <v>NoXtal</v>
      </c>
      <c r="D49" s="4" t="str">
        <f>VLOOKUP(A49,Classification!A:D,2,FALSE)</f>
        <v>A</v>
      </c>
      <c r="E49" s="5" t="str">
        <f>VLOOKUP(A49,Seqs!A:B,2,FALSE)</f>
        <v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v>
      </c>
      <c r="F49" s="5" t="str">
        <f t="shared" si="1"/>
        <v>TIIPALLVAVCLVGFVGNLCVIGILLHN</v>
      </c>
      <c r="G49" s="4" t="str">
        <f t="shared" si="2"/>
        <v/>
      </c>
      <c r="H49" s="4" t="str">
        <f t="shared" si="3"/>
        <v>SMIHSLILNLSLADLSLLLFSAPIRATAYS</v>
      </c>
      <c r="I49" s="4" t="str">
        <f t="shared" si="4"/>
        <v>VWDL</v>
      </c>
      <c r="J49" s="4" t="str">
        <f t="shared" si="5"/>
        <v>GWFVCKSSDWFIHTCMAAKSLTIVVVAKVCFMYASD</v>
      </c>
      <c r="K49" s="4" t="str">
        <f t="shared" si="6"/>
        <v>PAKQVSI</v>
      </c>
      <c r="L49" s="4" t="str">
        <f t="shared" si="7"/>
        <v>HNYTIWSVLVAIWTVASLLPLPEWFFS</v>
      </c>
      <c r="M49" s="4" t="str">
        <f t="shared" si="8"/>
        <v>CLV</v>
      </c>
      <c r="N49" s="4" t="str">
        <f t="shared" si="9"/>
        <v>VAEEFMSMFGKLYPLLAFGLPLFFASFYFWRAYDQCKKR</v>
      </c>
      <c r="O49" s="4" t="str">
        <f t="shared" si="10"/>
        <v>NLRNQIRSKQVTVMLLSIAIISALLWLPEWVAWLWVWHL</v>
      </c>
      <c r="P49" s="4" t="str">
        <f t="shared" si="11"/>
        <v>PAPPQGFIALSQVLMFSISSANPLIFLVM</v>
      </c>
      <c r="Q49" s="4" t="str">
        <f t="shared" si="12"/>
        <v>SEEFREGLKGVWKWM</v>
      </c>
      <c r="R49" s="5">
        <f>VLOOKUP($A49,'SegEnds_NonXtal_Prot#'!$A:$AL,3,FALSE)</f>
        <v>37</v>
      </c>
      <c r="S49" s="5" t="str">
        <f>VLOOKUP($A49,'SegEnds_NonXtal_Prot#'!$A:$AL,6,FALSE)</f>
        <v>-</v>
      </c>
      <c r="T49" s="5">
        <f>VLOOKUP($A49,'SegEnds_NonXtal_Prot#'!$A:$AL,9,FALSE)</f>
        <v>71</v>
      </c>
      <c r="U49" s="5">
        <f>VLOOKUP($A49,'SegEnds_NonXtal_Prot#'!$A:$AL,12,FALSE)</f>
        <v>103</v>
      </c>
      <c r="V49" s="5">
        <f>VLOOKUP($A49,'SegEnds_NonXtal_Prot#'!$A:$AL,15,FALSE)</f>
        <v>107</v>
      </c>
      <c r="W49" s="5">
        <f>VLOOKUP($A49,'SegEnds_NonXtal_Prot#'!$A:$AL,18,FALSE)</f>
        <v>143</v>
      </c>
      <c r="X49" s="5">
        <f>VLOOKUP($A49,'SegEnds_NonXtal_Prot#'!$A:$AL,21,FALSE)</f>
        <v>150</v>
      </c>
      <c r="Y49" s="5">
        <f>VLOOKUP($A49,'SegEnds_NonXtal_Prot#'!$A:$AL,24,FALSE)</f>
        <v>187</v>
      </c>
      <c r="Z49" s="5">
        <f>VLOOKUP($A49,'SegEnds_NonXtal_Prot#'!$A:$AL,27,FALSE)</f>
        <v>194</v>
      </c>
      <c r="AA49" s="5">
        <f>VLOOKUP($A49,'SegEnds_NonXtal_Prot#'!$A:$AL,30,FALSE)</f>
        <v>238</v>
      </c>
      <c r="AB49" s="5">
        <f>VLOOKUP($A49,'SegEnds_NonXtal_Prot#'!$A:$AL,33,FALSE)</f>
        <v>281</v>
      </c>
      <c r="AC49" s="5">
        <f>VLOOKUP($A49,'SegEnds_NonXtal_Prot#'!$A:$AL,36,FALSE)</f>
        <v>310</v>
      </c>
      <c r="AD49" s="5">
        <f>VLOOKUP($A49,'SegEnds_NonXtal_Prot#'!$A:$AL,5,FALSE)</f>
        <v>64</v>
      </c>
      <c r="AE49" s="5" t="str">
        <f>VLOOKUP($A49,'SegEnds_NonXtal_Prot#'!$A:$AL,8,FALSE)</f>
        <v>-</v>
      </c>
      <c r="AF49" s="5">
        <f>VLOOKUP($A49,'SegEnds_NonXtal_Prot#'!$A:$AL,11,FALSE)</f>
        <v>100</v>
      </c>
      <c r="AG49" s="5">
        <f>VLOOKUP($A49,'SegEnds_NonXtal_Prot#'!$A:$AL,14,FALSE)</f>
        <v>106</v>
      </c>
      <c r="AH49" s="5">
        <f>VLOOKUP($A49,'SegEnds_NonXtal_Prot#'!$A:$AL,17,FALSE)</f>
        <v>142</v>
      </c>
      <c r="AI49" s="5">
        <f>VLOOKUP($A49,'SegEnds_NonXtal_Prot#'!$A:$AL,20,FALSE)</f>
        <v>149</v>
      </c>
      <c r="AJ49" s="5">
        <f>VLOOKUP($A49,'SegEnds_NonXtal_Prot#'!$A:$AL,23,FALSE)</f>
        <v>176</v>
      </c>
      <c r="AK49" s="5">
        <f>VLOOKUP($A49,'SegEnds_NonXtal_Prot#'!$A:$AL,26,FALSE)</f>
        <v>189</v>
      </c>
      <c r="AL49" s="5">
        <f>VLOOKUP($A49,'SegEnds_NonXtal_Prot#'!$A:$AL,29,FALSE)</f>
        <v>232</v>
      </c>
      <c r="AM49" s="5">
        <f>VLOOKUP($A49,'SegEnds_NonXtal_Prot#'!$A:$AL,32,FALSE)</f>
        <v>276</v>
      </c>
      <c r="AN49" s="5">
        <f>VLOOKUP($A49,'SegEnds_NonXtal_Prot#'!$A:$AL,35,FALSE)</f>
        <v>309</v>
      </c>
      <c r="AO49" s="5">
        <f>VLOOKUP($A49,'SegEnds_NonXtal_Prot#'!$A:$AL,38,FALSE)</f>
        <v>324</v>
      </c>
      <c r="AP49" s="5">
        <f t="shared" si="13"/>
        <v>27</v>
      </c>
      <c r="AQ49" s="4" t="str">
        <f t="shared" si="14"/>
        <v>-</v>
      </c>
      <c r="AR49" s="4">
        <f t="shared" si="15"/>
        <v>29</v>
      </c>
      <c r="AS49" s="4">
        <f t="shared" si="16"/>
        <v>3</v>
      </c>
      <c r="AT49" s="4">
        <f t="shared" si="17"/>
        <v>35</v>
      </c>
      <c r="AU49" s="4">
        <f t="shared" si="18"/>
        <v>6</v>
      </c>
      <c r="AV49" s="4">
        <f t="shared" si="19"/>
        <v>26</v>
      </c>
      <c r="AW49" s="4">
        <f t="shared" si="20"/>
        <v>2</v>
      </c>
      <c r="AX49" s="4">
        <f t="shared" si="21"/>
        <v>38</v>
      </c>
      <c r="AY49" s="4">
        <f t="shared" si="22"/>
        <v>38</v>
      </c>
      <c r="AZ49" s="4">
        <f t="shared" si="23"/>
        <v>28</v>
      </c>
      <c r="BA49" s="4">
        <f t="shared" si="24"/>
        <v>14</v>
      </c>
    </row>
    <row r="50" spans="1:53" x14ac:dyDescent="0.2">
      <c r="A50" s="1" t="str">
        <f>'SegEnds_NonXtal_Prot#'!A15</f>
        <v>gp174_human</v>
      </c>
      <c r="B50" s="1" t="str">
        <f t="shared" si="0"/>
        <v>FRYFIYAVTYTVILVPGLIGNILALWVFYGYKRAVIFMINLAIADLLQVLSLPLRIFYYLNGPGLCMFCFYLKYVNMYASIYFLVCISVRRFWFLMYKQKYDLYISIAGWLIICLACVLFPLLRLAQSVVMMTIGELIGFVTPLLIVLYCTWKTVLSLQDKAQDLGEKQKALKMILTCAGVFLICFAPYHFSFPLDFLVKSNSCLARRVILIFHSVALCLASLNSCLDPVIYYFSTNEFRRRLSRQDL</v>
      </c>
      <c r="C50" s="29" t="str">
        <f>IF(ISERROR(MATCH(A50,'SegEnds_Xtal_Prot#'!B:B, 0)), "NoXtal", "Xtal")</f>
        <v>NoXtal</v>
      </c>
      <c r="D50" s="4" t="str">
        <f>VLOOKUP(A50,Classification!A:D,2,FALSE)</f>
        <v>A</v>
      </c>
      <c r="E50" s="5" t="str">
        <f>VLOOKUP(A50,Seqs!A:B,2,FALSE)</f>
        <v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v>
      </c>
      <c r="F50" s="5" t="str">
        <f t="shared" si="1"/>
        <v>FRYFIYAVTYTVILVPGLIGNILALWVFYGY</v>
      </c>
      <c r="G50" s="4" t="str">
        <f t="shared" si="2"/>
        <v/>
      </c>
      <c r="H50" s="4" t="str">
        <f t="shared" si="3"/>
        <v>KRAVIFMINLAIADLLQVLSLPLRIFYYLN</v>
      </c>
      <c r="I50" s="4" t="str">
        <f t="shared" si="4"/>
        <v>DWPF</v>
      </c>
      <c r="J50" s="4" t="str">
        <f t="shared" si="5"/>
        <v>GPGLCMFCFYLKYVNMYASIYFLVCISVRRFWFLMY</v>
      </c>
      <c r="K50" s="4" t="str">
        <f t="shared" si="6"/>
        <v>PFRFHDC</v>
      </c>
      <c r="L50" s="4" t="str">
        <f t="shared" si="7"/>
        <v>KQKYDLYISIAGWLIICLACVLFPLLR</v>
      </c>
      <c r="M50" s="4" t="str">
        <f t="shared" si="8"/>
        <v>CFV</v>
      </c>
      <c r="N50" s="4" t="str">
        <f t="shared" si="9"/>
        <v>LAQSVVMMTIGELIGFVTPLLIVLYCTWKTVLSLQDK</v>
      </c>
      <c r="O50" s="4" t="str">
        <f t="shared" si="10"/>
        <v>AQDLGEKQKALKMILTCAGVFLICFAPYHFSFPLDFLVKSN</v>
      </c>
      <c r="P50" s="4" t="str">
        <f t="shared" si="11"/>
        <v>SCLARRVILIFHSVALCLASLNSCLDPVIYYFS</v>
      </c>
      <c r="Q50" s="4" t="str">
        <f t="shared" si="12"/>
        <v>TNEFRRRLSRQDL</v>
      </c>
      <c r="R50" s="5">
        <f>VLOOKUP($A50,'SegEnds_NonXtal_Prot#'!$A:$AL,3,FALSE)</f>
        <v>17</v>
      </c>
      <c r="S50" s="5" t="str">
        <f>VLOOKUP($A50,'SegEnds_NonXtal_Prot#'!$A:$AL,6,FALSE)</f>
        <v>-</v>
      </c>
      <c r="T50" s="5">
        <f>VLOOKUP($A50,'SegEnds_NonXtal_Prot#'!$A:$AL,9,FALSE)</f>
        <v>52</v>
      </c>
      <c r="U50" s="5">
        <f>VLOOKUP($A50,'SegEnds_NonXtal_Prot#'!$A:$AL,12,FALSE)</f>
        <v>83</v>
      </c>
      <c r="V50" s="5">
        <f>VLOOKUP($A50,'SegEnds_NonXtal_Prot#'!$A:$AL,15,FALSE)</f>
        <v>87</v>
      </c>
      <c r="W50" s="5">
        <f>VLOOKUP($A50,'SegEnds_NonXtal_Prot#'!$A:$AL,18,FALSE)</f>
        <v>123</v>
      </c>
      <c r="X50" s="5">
        <f>VLOOKUP($A50,'SegEnds_NonXtal_Prot#'!$A:$AL,21,FALSE)</f>
        <v>130</v>
      </c>
      <c r="Y50" s="5">
        <f>VLOOKUP($A50,'SegEnds_NonXtal_Prot#'!$A:$AL,24,FALSE)</f>
        <v>168</v>
      </c>
      <c r="Z50" s="5">
        <f>VLOOKUP($A50,'SegEnds_NonXtal_Prot#'!$A:$AL,27,FALSE)</f>
        <v>179</v>
      </c>
      <c r="AA50" s="5">
        <f>VLOOKUP($A50,'SegEnds_NonXtal_Prot#'!$A:$AL,30,FALSE)</f>
        <v>219</v>
      </c>
      <c r="AB50" s="5">
        <f>VLOOKUP($A50,'SegEnds_NonXtal_Prot#'!$A:$AL,33,FALSE)</f>
        <v>263</v>
      </c>
      <c r="AC50" s="5">
        <f>VLOOKUP($A50,'SegEnds_NonXtal_Prot#'!$A:$AL,36,FALSE)</f>
        <v>296</v>
      </c>
      <c r="AD50" s="5">
        <f>VLOOKUP($A50,'SegEnds_NonXtal_Prot#'!$A:$AL,5,FALSE)</f>
        <v>47</v>
      </c>
      <c r="AE50" s="5" t="str">
        <f>VLOOKUP($A50,'SegEnds_NonXtal_Prot#'!$A:$AL,8,FALSE)</f>
        <v>-</v>
      </c>
      <c r="AF50" s="5">
        <f>VLOOKUP($A50,'SegEnds_NonXtal_Prot#'!$A:$AL,11,FALSE)</f>
        <v>81</v>
      </c>
      <c r="AG50" s="5">
        <f>VLOOKUP($A50,'SegEnds_NonXtal_Prot#'!$A:$AL,14,FALSE)</f>
        <v>86</v>
      </c>
      <c r="AH50" s="5">
        <f>VLOOKUP($A50,'SegEnds_NonXtal_Prot#'!$A:$AL,17,FALSE)</f>
        <v>122</v>
      </c>
      <c r="AI50" s="5">
        <f>VLOOKUP($A50,'SegEnds_NonXtal_Prot#'!$A:$AL,20,FALSE)</f>
        <v>129</v>
      </c>
      <c r="AJ50" s="5">
        <f>VLOOKUP($A50,'SegEnds_NonXtal_Prot#'!$A:$AL,23,FALSE)</f>
        <v>156</v>
      </c>
      <c r="AK50" s="5">
        <f>VLOOKUP($A50,'SegEnds_NonXtal_Prot#'!$A:$AL,26,FALSE)</f>
        <v>170</v>
      </c>
      <c r="AL50" s="5">
        <f>VLOOKUP($A50,'SegEnds_NonXtal_Prot#'!$A:$AL,29,FALSE)</f>
        <v>215</v>
      </c>
      <c r="AM50" s="5">
        <f>VLOOKUP($A50,'SegEnds_NonXtal_Prot#'!$A:$AL,32,FALSE)</f>
        <v>259</v>
      </c>
      <c r="AN50" s="5">
        <f>VLOOKUP($A50,'SegEnds_NonXtal_Prot#'!$A:$AL,35,FALSE)</f>
        <v>295</v>
      </c>
      <c r="AO50" s="5">
        <f>VLOOKUP($A50,'SegEnds_NonXtal_Prot#'!$A:$AL,38,FALSE)</f>
        <v>308</v>
      </c>
      <c r="AP50" s="5">
        <f t="shared" si="13"/>
        <v>30</v>
      </c>
      <c r="AQ50" s="4" t="str">
        <f t="shared" si="14"/>
        <v>-</v>
      </c>
      <c r="AR50" s="4">
        <f t="shared" si="15"/>
        <v>29</v>
      </c>
      <c r="AS50" s="4">
        <f t="shared" si="16"/>
        <v>3</v>
      </c>
      <c r="AT50" s="4">
        <f t="shared" si="17"/>
        <v>35</v>
      </c>
      <c r="AU50" s="4">
        <f t="shared" si="18"/>
        <v>6</v>
      </c>
      <c r="AV50" s="4">
        <f t="shared" si="19"/>
        <v>26</v>
      </c>
      <c r="AW50" s="4">
        <f t="shared" si="20"/>
        <v>2</v>
      </c>
      <c r="AX50" s="4">
        <f t="shared" si="21"/>
        <v>36</v>
      </c>
      <c r="AY50" s="4">
        <f t="shared" si="22"/>
        <v>40</v>
      </c>
      <c r="AZ50" s="4">
        <f t="shared" si="23"/>
        <v>32</v>
      </c>
      <c r="BA50" s="4">
        <f t="shared" si="24"/>
        <v>12</v>
      </c>
    </row>
    <row r="51" spans="1:53" x14ac:dyDescent="0.2">
      <c r="A51" s="1" t="str">
        <f>'SegEnds_NonXtal_Prot#'!A16</f>
        <v>lpar1_human</v>
      </c>
      <c r="B51" s="1" t="str">
        <f t="shared" si="0"/>
        <v>TVSKLVMGLGITVCIFIMLANLLVMVAIYVNFPIYYLMANLAAADFFAGLAYFYLMFNTVSTWLLRQGLIDTSLTASVANLLAIAIERHITVFRSNRRVVVVIVVIWTMAIVMGAIPSVGSDSYLVFWAIFNLVTFVVMVVLYAHIFGYVRQRTMRMSGPRRNRDTMMSLLKTVVIVLGAFIICWTPGLVLLLLDVCCDVLAYEKFFLLLAEFNSAMNPIIYSYRDKEMSATFRQILC</v>
      </c>
      <c r="C51" s="29" t="str">
        <f>IF(ISERROR(MATCH(A51,'SegEnds_Xtal_Prot#'!B:B, 0)), "NoXtal", "Xtal")</f>
        <v>Xtal</v>
      </c>
      <c r="D51" s="4" t="str">
        <f>VLOOKUP(A51,Classification!A:D,2,FALSE)</f>
        <v>A</v>
      </c>
      <c r="E51" s="5" t="str">
        <f>VLOOKUP(A51,Seqs!A:B,2,FALSE)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F51" s="5" t="str">
        <f t="shared" si="1"/>
        <v>TVSKLVMGLGITVCIFIMLANLLVMVAIYVN</v>
      </c>
      <c r="G51" s="4" t="str">
        <f t="shared" si="2"/>
        <v>RRFH</v>
      </c>
      <c r="H51" s="4" t="str">
        <f t="shared" si="3"/>
        <v>FPIYYLMANLAAADFFAGLAYFYLMFN</v>
      </c>
      <c r="I51" s="4" t="str">
        <f t="shared" si="4"/>
        <v>GPNTRRL</v>
      </c>
      <c r="J51" s="4" t="str">
        <f t="shared" si="5"/>
        <v>TVSTWLLRQGLIDTSLTASVANLLAIAIERHITVFR</v>
      </c>
      <c r="K51" s="4" t="str">
        <f t="shared" si="6"/>
        <v>MQLHTRM</v>
      </c>
      <c r="L51" s="4" t="str">
        <f t="shared" si="7"/>
        <v>SNRRVVVVIVVIWTMAIVMGAIPSVG</v>
      </c>
      <c r="M51" s="4" t="str">
        <f t="shared" si="8"/>
        <v/>
      </c>
      <c r="N51" s="4" t="str">
        <f t="shared" si="9"/>
        <v>SDSYLVFWAIFNLVTFVVMVVLYAHIFGYVRQRTMRMS</v>
      </c>
      <c r="O51" s="4" t="str">
        <f t="shared" si="10"/>
        <v>GPRRNRDTMMSLLKTVVIVLGAFIICWTPGLVLLLLDVCC</v>
      </c>
      <c r="P51" s="4" t="str">
        <f t="shared" si="11"/>
        <v>DVLAYEKFFLLLAEFNSAMNPIIYSYR</v>
      </c>
      <c r="Q51" s="4" t="str">
        <f t="shared" si="12"/>
        <v>DKEMSATFRQILC</v>
      </c>
      <c r="R51" s="5">
        <f>VLOOKUP($A51,'SegEnds_NonXtal_Prot#'!$A:$AL,3,FALSE)</f>
        <v>47</v>
      </c>
      <c r="S51" s="5">
        <f>VLOOKUP($A51,'SegEnds_NonXtal_Prot#'!$A:$AL,6,FALSE)</f>
        <v>78</v>
      </c>
      <c r="T51" s="5">
        <f>VLOOKUP($A51,'SegEnds_NonXtal_Prot#'!$A:$AL,9,FALSE)</f>
        <v>82</v>
      </c>
      <c r="U51" s="5">
        <f>VLOOKUP($A51,'SegEnds_NonXtal_Prot#'!$A:$AL,12,FALSE)</f>
        <v>110</v>
      </c>
      <c r="V51" s="5">
        <f>VLOOKUP($A51,'SegEnds_NonXtal_Prot#'!$A:$AL,15,FALSE)</f>
        <v>117</v>
      </c>
      <c r="W51" s="5">
        <f>VLOOKUP($A51,'SegEnds_NonXtal_Prot#'!$A:$AL,18,FALSE)</f>
        <v>153</v>
      </c>
      <c r="X51" s="5">
        <f>VLOOKUP($A51,'SegEnds_NonXtal_Prot#'!$A:$AL,21,FALSE)</f>
        <v>160</v>
      </c>
      <c r="Y51" s="5" t="str">
        <f>VLOOKUP($A51,'SegEnds_NonXtal_Prot#'!$A:$AL,24,FALSE)</f>
        <v>-</v>
      </c>
      <c r="Z51" s="5">
        <f>VLOOKUP($A51,'SegEnds_NonXtal_Prot#'!$A:$AL,27,FALSE)</f>
        <v>203</v>
      </c>
      <c r="AA51" s="5">
        <f>VLOOKUP($A51,'SegEnds_NonXtal_Prot#'!$A:$AL,30,FALSE)</f>
        <v>245</v>
      </c>
      <c r="AB51" s="5">
        <f>VLOOKUP($A51,'SegEnds_NonXtal_Prot#'!$A:$AL,33,FALSE)</f>
        <v>288</v>
      </c>
      <c r="AC51" s="5">
        <f>VLOOKUP($A51,'SegEnds_NonXtal_Prot#'!$A:$AL,36,FALSE)</f>
        <v>315</v>
      </c>
      <c r="AD51" s="5">
        <f>VLOOKUP($A51,'SegEnds_NonXtal_Prot#'!$A:$AL,5,FALSE)</f>
        <v>77</v>
      </c>
      <c r="AE51" s="5">
        <f>VLOOKUP($A51,'SegEnds_NonXtal_Prot#'!$A:$AL,8,FALSE)</f>
        <v>81</v>
      </c>
      <c r="AF51" s="5">
        <f>VLOOKUP($A51,'SegEnds_NonXtal_Prot#'!$A:$AL,11,FALSE)</f>
        <v>108</v>
      </c>
      <c r="AG51" s="5">
        <f>VLOOKUP($A51,'SegEnds_NonXtal_Prot#'!$A:$AL,14,FALSE)</f>
        <v>116</v>
      </c>
      <c r="AH51" s="5">
        <f>VLOOKUP($A51,'SegEnds_NonXtal_Prot#'!$A:$AL,17,FALSE)</f>
        <v>152</v>
      </c>
      <c r="AI51" s="5">
        <f>VLOOKUP($A51,'SegEnds_NonXtal_Prot#'!$A:$AL,20,FALSE)</f>
        <v>159</v>
      </c>
      <c r="AJ51" s="5">
        <f>VLOOKUP($A51,'SegEnds_NonXtal_Prot#'!$A:$AL,23,FALSE)</f>
        <v>185</v>
      </c>
      <c r="AK51" s="5" t="str">
        <f>VLOOKUP($A51,'SegEnds_NonXtal_Prot#'!$A:$AL,26,FALSE)</f>
        <v>-</v>
      </c>
      <c r="AL51" s="5">
        <f>VLOOKUP($A51,'SegEnds_NonXtal_Prot#'!$A:$AL,29,FALSE)</f>
        <v>240</v>
      </c>
      <c r="AM51" s="5">
        <f>VLOOKUP($A51,'SegEnds_NonXtal_Prot#'!$A:$AL,32,FALSE)</f>
        <v>284</v>
      </c>
      <c r="AN51" s="5">
        <f>VLOOKUP($A51,'SegEnds_NonXtal_Prot#'!$A:$AL,35,FALSE)</f>
        <v>314</v>
      </c>
      <c r="AO51" s="5">
        <f>VLOOKUP($A51,'SegEnds_NonXtal_Prot#'!$A:$AL,38,FALSE)</f>
        <v>327</v>
      </c>
      <c r="AP51" s="5">
        <f t="shared" si="13"/>
        <v>30</v>
      </c>
      <c r="AQ51" s="4">
        <f t="shared" si="14"/>
        <v>3</v>
      </c>
      <c r="AR51" s="4">
        <f t="shared" si="15"/>
        <v>26</v>
      </c>
      <c r="AS51" s="4">
        <f t="shared" si="16"/>
        <v>6</v>
      </c>
      <c r="AT51" s="4">
        <f t="shared" si="17"/>
        <v>35</v>
      </c>
      <c r="AU51" s="4">
        <f t="shared" si="18"/>
        <v>6</v>
      </c>
      <c r="AV51" s="4">
        <f t="shared" si="19"/>
        <v>25</v>
      </c>
      <c r="AW51" s="4" t="str">
        <f t="shared" si="20"/>
        <v>-</v>
      </c>
      <c r="AX51" s="4">
        <f t="shared" si="21"/>
        <v>37</v>
      </c>
      <c r="AY51" s="4">
        <f t="shared" si="22"/>
        <v>39</v>
      </c>
      <c r="AZ51" s="4">
        <f t="shared" si="23"/>
        <v>26</v>
      </c>
      <c r="BA51" s="4">
        <f t="shared" si="24"/>
        <v>12</v>
      </c>
    </row>
    <row r="52" spans="1:53" x14ac:dyDescent="0.2">
      <c r="A52" s="1" t="str">
        <f>'SegEnds_NonXtal_Prot#'!A17</f>
        <v>lpar2_human</v>
      </c>
      <c r="B52" s="1" t="str">
        <f t="shared" si="0"/>
        <v>PKDVVVVALGLTVSVLVLLTNLLVIAAIASNQPIYYLLGNLAAADLFAGVAYLFLMFHSLEGWFLRQGLLDTSLTASVATLLAIAVERHRSVMAPRGRVVMLIVGVWVAALGLGLLPAHSSRSYLAVWALSSLLVFLLMVAVYTRIFFYVRRRVQRMACHPRYRETTLSLVKTVVIILGAFVVCWTPGQVVLLLDGLGNVLAVEKYFLLLAEANSLVNAAVYSCRDAEMRRTFRRLLC</v>
      </c>
      <c r="C52" s="29" t="str">
        <f>IF(ISERROR(MATCH(A52,'SegEnds_Xtal_Prot#'!B:B, 0)), "NoXtal", "Xtal")</f>
        <v>NoXtal</v>
      </c>
      <c r="D52" s="4" t="str">
        <f>VLOOKUP(A52,Classification!A:D,2,FALSE)</f>
        <v>A</v>
      </c>
      <c r="E52" s="5" t="str">
        <f>VLOOKUP(A52,Seqs!A:B,2,FALSE)</f>
        <v>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</v>
      </c>
      <c r="F52" s="5" t="str">
        <f t="shared" si="1"/>
        <v>PKDVVVVALGLTVSVLVLLTNLLVIAAIASN</v>
      </c>
      <c r="G52" s="4" t="str">
        <f t="shared" si="2"/>
        <v>RRFH</v>
      </c>
      <c r="H52" s="4" t="str">
        <f t="shared" si="3"/>
        <v>QPIYYLLGNLAAADLFAGVAYLFLMFH</v>
      </c>
      <c r="I52" s="4" t="str">
        <f t="shared" si="4"/>
        <v>GPRTARL</v>
      </c>
      <c r="J52" s="4" t="str">
        <f t="shared" si="5"/>
        <v>SLEGWFLRQGLLDTSLTASVATLLAIAVERHRSVMA</v>
      </c>
      <c r="K52" s="4" t="str">
        <f t="shared" si="6"/>
        <v>VQLHSRL</v>
      </c>
      <c r="L52" s="4" t="str">
        <f t="shared" si="7"/>
        <v>PRGRVVMLIVGVWVAALGLGLLPAHS</v>
      </c>
      <c r="M52" s="4" t="str">
        <f t="shared" si="8"/>
        <v/>
      </c>
      <c r="N52" s="4" t="str">
        <f t="shared" si="9"/>
        <v>SRSYLAVWALSSLLVFLLMVAVYTRIFFYVRRRVQRMA</v>
      </c>
      <c r="O52" s="4" t="str">
        <f t="shared" si="10"/>
        <v>CHPRYRETTLSLVKTVVIILGAFVVCWTPGQVVLLLDGLG</v>
      </c>
      <c r="P52" s="4" t="str">
        <f t="shared" si="11"/>
        <v>NVLAVEKYFLLLAEANSLVNAAVYSCR</v>
      </c>
      <c r="Q52" s="4" t="str">
        <f t="shared" si="12"/>
        <v>DAEMRRTFRRLLC</v>
      </c>
      <c r="R52" s="5">
        <f>VLOOKUP($A52,'SegEnds_NonXtal_Prot#'!$A:$AL,3,FALSE)</f>
        <v>30</v>
      </c>
      <c r="S52" s="5">
        <f>VLOOKUP($A52,'SegEnds_NonXtal_Prot#'!$A:$AL,6,FALSE)</f>
        <v>61</v>
      </c>
      <c r="T52" s="5">
        <f>VLOOKUP($A52,'SegEnds_NonXtal_Prot#'!$A:$AL,9,FALSE)</f>
        <v>65</v>
      </c>
      <c r="U52" s="5">
        <f>VLOOKUP($A52,'SegEnds_NonXtal_Prot#'!$A:$AL,12,FALSE)</f>
        <v>93</v>
      </c>
      <c r="V52" s="5">
        <f>VLOOKUP($A52,'SegEnds_NonXtal_Prot#'!$A:$AL,15,FALSE)</f>
        <v>100</v>
      </c>
      <c r="W52" s="5">
        <f>VLOOKUP($A52,'SegEnds_NonXtal_Prot#'!$A:$AL,18,FALSE)</f>
        <v>136</v>
      </c>
      <c r="X52" s="5">
        <f>VLOOKUP($A52,'SegEnds_NonXtal_Prot#'!$A:$AL,21,FALSE)</f>
        <v>143</v>
      </c>
      <c r="Y52" s="5" t="str">
        <f>VLOOKUP($A52,'SegEnds_NonXtal_Prot#'!$A:$AL,24,FALSE)</f>
        <v>-</v>
      </c>
      <c r="Z52" s="5">
        <f>VLOOKUP($A52,'SegEnds_NonXtal_Prot#'!$A:$AL,27,FALSE)</f>
        <v>186</v>
      </c>
      <c r="AA52" s="5">
        <f>VLOOKUP($A52,'SegEnds_NonXtal_Prot#'!$A:$AL,30,FALSE)</f>
        <v>228</v>
      </c>
      <c r="AB52" s="5">
        <f>VLOOKUP($A52,'SegEnds_NonXtal_Prot#'!$A:$AL,33,FALSE)</f>
        <v>272</v>
      </c>
      <c r="AC52" s="5">
        <f>VLOOKUP($A52,'SegEnds_NonXtal_Prot#'!$A:$AL,36,FALSE)</f>
        <v>299</v>
      </c>
      <c r="AD52" s="5">
        <f>VLOOKUP($A52,'SegEnds_NonXtal_Prot#'!$A:$AL,5,FALSE)</f>
        <v>60</v>
      </c>
      <c r="AE52" s="5">
        <f>VLOOKUP($A52,'SegEnds_NonXtal_Prot#'!$A:$AL,8,FALSE)</f>
        <v>64</v>
      </c>
      <c r="AF52" s="5">
        <f>VLOOKUP($A52,'SegEnds_NonXtal_Prot#'!$A:$AL,11,FALSE)</f>
        <v>91</v>
      </c>
      <c r="AG52" s="5">
        <f>VLOOKUP($A52,'SegEnds_NonXtal_Prot#'!$A:$AL,14,FALSE)</f>
        <v>99</v>
      </c>
      <c r="AH52" s="5">
        <f>VLOOKUP($A52,'SegEnds_NonXtal_Prot#'!$A:$AL,17,FALSE)</f>
        <v>135</v>
      </c>
      <c r="AI52" s="5">
        <f>VLOOKUP($A52,'SegEnds_NonXtal_Prot#'!$A:$AL,20,FALSE)</f>
        <v>142</v>
      </c>
      <c r="AJ52" s="5">
        <f>VLOOKUP($A52,'SegEnds_NonXtal_Prot#'!$A:$AL,23,FALSE)</f>
        <v>168</v>
      </c>
      <c r="AK52" s="5" t="str">
        <f>VLOOKUP($A52,'SegEnds_NonXtal_Prot#'!$A:$AL,26,FALSE)</f>
        <v>-</v>
      </c>
      <c r="AL52" s="5">
        <f>VLOOKUP($A52,'SegEnds_NonXtal_Prot#'!$A:$AL,29,FALSE)</f>
        <v>223</v>
      </c>
      <c r="AM52" s="5">
        <f>VLOOKUP($A52,'SegEnds_NonXtal_Prot#'!$A:$AL,32,FALSE)</f>
        <v>267</v>
      </c>
      <c r="AN52" s="5">
        <f>VLOOKUP($A52,'SegEnds_NonXtal_Prot#'!$A:$AL,35,FALSE)</f>
        <v>298</v>
      </c>
      <c r="AO52" s="5">
        <f>VLOOKUP($A52,'SegEnds_NonXtal_Prot#'!$A:$AL,38,FALSE)</f>
        <v>311</v>
      </c>
      <c r="AP52" s="5">
        <f t="shared" si="13"/>
        <v>30</v>
      </c>
      <c r="AQ52" s="4">
        <f t="shared" si="14"/>
        <v>3</v>
      </c>
      <c r="AR52" s="4">
        <f t="shared" si="15"/>
        <v>26</v>
      </c>
      <c r="AS52" s="4">
        <f t="shared" si="16"/>
        <v>6</v>
      </c>
      <c r="AT52" s="4">
        <f t="shared" si="17"/>
        <v>35</v>
      </c>
      <c r="AU52" s="4">
        <f t="shared" si="18"/>
        <v>6</v>
      </c>
      <c r="AV52" s="4">
        <f t="shared" si="19"/>
        <v>25</v>
      </c>
      <c r="AW52" s="4" t="str">
        <f t="shared" si="20"/>
        <v>-</v>
      </c>
      <c r="AX52" s="4">
        <f t="shared" si="21"/>
        <v>37</v>
      </c>
      <c r="AY52" s="4">
        <f t="shared" si="22"/>
        <v>39</v>
      </c>
      <c r="AZ52" s="4">
        <f t="shared" si="23"/>
        <v>26</v>
      </c>
      <c r="BA52" s="4">
        <f t="shared" si="24"/>
        <v>12</v>
      </c>
    </row>
    <row r="53" spans="1:53" x14ac:dyDescent="0.2">
      <c r="A53" s="1" t="str">
        <f>'SegEnds_NonXtal_Prot#'!A18</f>
        <v>lpar3_human</v>
      </c>
      <c r="B53" s="1" t="str">
        <f t="shared" si="0"/>
        <v>TKLVIVLCVGTFFCLFIFFSNSLVIAAVIKNFPFYYLLANLAAADFFAGIAYVFLMFNTVNRWFLRQGLLDSSLTASLTNLLVIAVERHMSIMRTKKRVTLLILLVWAIAIFMGAVPTLGSRSYLVFWTVSNLMAFLIMVVVYLRIYVYVKRKTNVLSGSISRRRTPMKLMKTVMTVLGAFVVCWTPGLVVLLLDGLNGVQHVKRWFLLLALLNSVVNPIIYSYKDEDMYGTMKKMIC</v>
      </c>
      <c r="C53" s="29" t="str">
        <f>IF(ISERROR(MATCH(A53,'SegEnds_Xtal_Prot#'!B:B, 0)), "NoXtal", "Xtal")</f>
        <v>NoXtal</v>
      </c>
      <c r="D53" s="4" t="str">
        <f>VLOOKUP(A53,Classification!A:D,2,FALSE)</f>
        <v>A</v>
      </c>
      <c r="E53" s="5" t="str">
        <f>VLOOKUP(A53,Seqs!A:B,2,FALSE)</f>
        <v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</v>
      </c>
      <c r="F53" s="5" t="str">
        <f t="shared" si="1"/>
        <v>TKLVIVLCVGTFFCLFIFFSNSLVIAAVIKN</v>
      </c>
      <c r="G53" s="4" t="str">
        <f t="shared" si="2"/>
        <v>RKFH</v>
      </c>
      <c r="H53" s="4" t="str">
        <f t="shared" si="3"/>
        <v>FPFYYLLANLAAADFFAGIAYVFLMFN</v>
      </c>
      <c r="I53" s="4" t="str">
        <f t="shared" si="4"/>
        <v>GPVSKTL</v>
      </c>
      <c r="J53" s="4" t="str">
        <f t="shared" si="5"/>
        <v>TVNRWFLRQGLLDSSLTASLTNLLVIAVERHMSIMR</v>
      </c>
      <c r="K53" s="4" t="str">
        <f t="shared" si="6"/>
        <v>MRVHSNL</v>
      </c>
      <c r="L53" s="4" t="str">
        <f t="shared" si="7"/>
        <v>TKKRVTLLILLVWAIAIFMGAVPTLG</v>
      </c>
      <c r="M53" s="4" t="str">
        <f t="shared" si="8"/>
        <v/>
      </c>
      <c r="N53" s="4" t="str">
        <f t="shared" si="9"/>
        <v>SRSYLVFWTVSNLMAFLIMVVVYLRIYVYVKRKTNVLS</v>
      </c>
      <c r="O53" s="4" t="str">
        <f t="shared" si="10"/>
        <v>GSISRRRTPMKLMKTVMTVLGAFVVCWTPGLVVLLLDGLN</v>
      </c>
      <c r="P53" s="4" t="str">
        <f t="shared" si="11"/>
        <v>GVQHVKRWFLLLALLNSVVNPIIYSYK</v>
      </c>
      <c r="Q53" s="4" t="str">
        <f t="shared" si="12"/>
        <v>DEDMYGTMKKMIC</v>
      </c>
      <c r="R53" s="5">
        <f>VLOOKUP($A53,'SegEnds_NonXtal_Prot#'!$A:$AL,3,FALSE)</f>
        <v>28</v>
      </c>
      <c r="S53" s="5">
        <f>VLOOKUP($A53,'SegEnds_NonXtal_Prot#'!$A:$AL,6,FALSE)</f>
        <v>59</v>
      </c>
      <c r="T53" s="5">
        <f>VLOOKUP($A53,'SegEnds_NonXtal_Prot#'!$A:$AL,9,FALSE)</f>
        <v>63</v>
      </c>
      <c r="U53" s="5">
        <f>VLOOKUP($A53,'SegEnds_NonXtal_Prot#'!$A:$AL,12,FALSE)</f>
        <v>91</v>
      </c>
      <c r="V53" s="5">
        <f>VLOOKUP($A53,'SegEnds_NonXtal_Prot#'!$A:$AL,15,FALSE)</f>
        <v>98</v>
      </c>
      <c r="W53" s="5">
        <f>VLOOKUP($A53,'SegEnds_NonXtal_Prot#'!$A:$AL,18,FALSE)</f>
        <v>134</v>
      </c>
      <c r="X53" s="5">
        <f>VLOOKUP($A53,'SegEnds_NonXtal_Prot#'!$A:$AL,21,FALSE)</f>
        <v>141</v>
      </c>
      <c r="Y53" s="5" t="str">
        <f>VLOOKUP($A53,'SegEnds_NonXtal_Prot#'!$A:$AL,24,FALSE)</f>
        <v>-</v>
      </c>
      <c r="Z53" s="5">
        <f>VLOOKUP($A53,'SegEnds_NonXtal_Prot#'!$A:$AL,27,FALSE)</f>
        <v>184</v>
      </c>
      <c r="AA53" s="5">
        <f>VLOOKUP($A53,'SegEnds_NonXtal_Prot#'!$A:$AL,30,FALSE)</f>
        <v>226</v>
      </c>
      <c r="AB53" s="5">
        <f>VLOOKUP($A53,'SegEnds_NonXtal_Prot#'!$A:$AL,33,FALSE)</f>
        <v>270</v>
      </c>
      <c r="AC53" s="5">
        <f>VLOOKUP($A53,'SegEnds_NonXtal_Prot#'!$A:$AL,36,FALSE)</f>
        <v>297</v>
      </c>
      <c r="AD53" s="5">
        <f>VLOOKUP($A53,'SegEnds_NonXtal_Prot#'!$A:$AL,5,FALSE)</f>
        <v>58</v>
      </c>
      <c r="AE53" s="5">
        <f>VLOOKUP($A53,'SegEnds_NonXtal_Prot#'!$A:$AL,8,FALSE)</f>
        <v>62</v>
      </c>
      <c r="AF53" s="5">
        <f>VLOOKUP($A53,'SegEnds_NonXtal_Prot#'!$A:$AL,11,FALSE)</f>
        <v>89</v>
      </c>
      <c r="AG53" s="5">
        <f>VLOOKUP($A53,'SegEnds_NonXtal_Prot#'!$A:$AL,14,FALSE)</f>
        <v>97</v>
      </c>
      <c r="AH53" s="5">
        <f>VLOOKUP($A53,'SegEnds_NonXtal_Prot#'!$A:$AL,17,FALSE)</f>
        <v>133</v>
      </c>
      <c r="AI53" s="5">
        <f>VLOOKUP($A53,'SegEnds_NonXtal_Prot#'!$A:$AL,20,FALSE)</f>
        <v>140</v>
      </c>
      <c r="AJ53" s="5">
        <f>VLOOKUP($A53,'SegEnds_NonXtal_Prot#'!$A:$AL,23,FALSE)</f>
        <v>166</v>
      </c>
      <c r="AK53" s="5" t="str">
        <f>VLOOKUP($A53,'SegEnds_NonXtal_Prot#'!$A:$AL,26,FALSE)</f>
        <v>-</v>
      </c>
      <c r="AL53" s="5">
        <f>VLOOKUP($A53,'SegEnds_NonXtal_Prot#'!$A:$AL,29,FALSE)</f>
        <v>221</v>
      </c>
      <c r="AM53" s="5">
        <f>VLOOKUP($A53,'SegEnds_NonXtal_Prot#'!$A:$AL,32,FALSE)</f>
        <v>265</v>
      </c>
      <c r="AN53" s="5">
        <f>VLOOKUP($A53,'SegEnds_NonXtal_Prot#'!$A:$AL,35,FALSE)</f>
        <v>296</v>
      </c>
      <c r="AO53" s="5">
        <f>VLOOKUP($A53,'SegEnds_NonXtal_Prot#'!$A:$AL,38,FALSE)</f>
        <v>309</v>
      </c>
      <c r="AP53" s="5">
        <f t="shared" si="13"/>
        <v>30</v>
      </c>
      <c r="AQ53" s="4">
        <f t="shared" si="14"/>
        <v>3</v>
      </c>
      <c r="AR53" s="4">
        <f t="shared" si="15"/>
        <v>26</v>
      </c>
      <c r="AS53" s="4">
        <f t="shared" si="16"/>
        <v>6</v>
      </c>
      <c r="AT53" s="4">
        <f t="shared" si="17"/>
        <v>35</v>
      </c>
      <c r="AU53" s="4">
        <f t="shared" si="18"/>
        <v>6</v>
      </c>
      <c r="AV53" s="4">
        <f t="shared" si="19"/>
        <v>25</v>
      </c>
      <c r="AW53" s="4" t="str">
        <f t="shared" si="20"/>
        <v>-</v>
      </c>
      <c r="AX53" s="4">
        <f t="shared" si="21"/>
        <v>37</v>
      </c>
      <c r="AY53" s="4">
        <f t="shared" si="22"/>
        <v>39</v>
      </c>
      <c r="AZ53" s="4">
        <f t="shared" si="23"/>
        <v>26</v>
      </c>
      <c r="BA53" s="4">
        <f t="shared" si="24"/>
        <v>12</v>
      </c>
    </row>
    <row r="54" spans="1:53" x14ac:dyDescent="0.2">
      <c r="A54" s="1" t="str">
        <f>'SegEnds_NonXtal_Prot#'!A21</f>
        <v>opn5_human</v>
      </c>
      <c r="B54" s="1" t="str">
        <f t="shared" si="0"/>
        <v>SWEADLVAGFYLTIIGILSTFGNGYVLYMSSRRPAEIMTINLAVCDLGISVVGKPFTIISCFCHGWIGCRWYGWAGFFFGCGSLITMTAVSLDRYLKICYKRKHAYICLAAIWAYASFWTTMPLVGGQVFILNILFFCLLLPTAVIVFSYVKIIAKVKSSSKEVARIHSSHVLEMKLTKVAMLICAGFLIAWIPYAVVSVWSAFGPIQLSVVPTLLAKSAAMYNPIIYQVIDYKFACCQTGGLK</v>
      </c>
      <c r="C54" s="29" t="str">
        <f>IF(ISERROR(MATCH(A54,'SegEnds_Xtal_Prot#'!B:B, 0)), "NoXtal", "Xtal")</f>
        <v>NoXtal</v>
      </c>
      <c r="D54" s="4" t="str">
        <f>VLOOKUP(A54,Classification!A:D,2,FALSE)</f>
        <v>A</v>
      </c>
      <c r="E54" s="5" t="str">
        <f>VLOOKUP(A54,Seqs!A:B,2,FALSE)</f>
        <v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v>
      </c>
      <c r="F54" s="5" t="str">
        <f t="shared" si="1"/>
        <v>SWEADLVAGFYLTIIGILSTFGNGYVLYMSSRR</v>
      </c>
      <c r="G54" s="4" t="str">
        <f t="shared" si="2"/>
        <v>KKLR</v>
      </c>
      <c r="H54" s="4" t="str">
        <f t="shared" si="3"/>
        <v>PAEIMTINLAVCDLGISVVGKPFTIISCFCH</v>
      </c>
      <c r="I54" s="4" t="str">
        <f t="shared" si="4"/>
        <v>RWVF</v>
      </c>
      <c r="J54" s="4" t="str">
        <f t="shared" si="5"/>
        <v>GWIGCRWYGWAGFFFGCGSLITMTAVSLDRYLKICY</v>
      </c>
      <c r="K54" s="4" t="str">
        <f t="shared" si="6"/>
        <v>LSYGVWL</v>
      </c>
      <c r="L54" s="4" t="str">
        <f t="shared" si="7"/>
        <v>KRKHAYICLAAIWAYASFWTTMPLV</v>
      </c>
      <c r="M54" s="4" t="str">
        <f t="shared" si="8"/>
        <v>CTL</v>
      </c>
      <c r="N54" s="4" t="str">
        <f t="shared" si="9"/>
        <v>GGQVFILNILFFCLLLPTAVIVFSYVKIIAKVKSSSKEVA</v>
      </c>
      <c r="O54" s="4" t="str">
        <f t="shared" si="10"/>
        <v>RIHSSHVLEMKLTKVAMLICAGFLIAWIPYAVVSVWSAFG</v>
      </c>
      <c r="P54" s="4" t="str">
        <f t="shared" si="11"/>
        <v>PIQLSVVPTLLAKSAAMYNPIIYQVI</v>
      </c>
      <c r="Q54" s="4" t="str">
        <f t="shared" si="12"/>
        <v>DYKFACCQTGGLK</v>
      </c>
      <c r="R54" s="5">
        <f>VLOOKUP($A54,'SegEnds_NonXtal_Prot#'!$A:$AL,3,FALSE)</f>
        <v>29</v>
      </c>
      <c r="S54" s="5">
        <f>VLOOKUP($A54,'SegEnds_NonXtal_Prot#'!$A:$AL,6,FALSE)</f>
        <v>63</v>
      </c>
      <c r="T54" s="5">
        <f>VLOOKUP($A54,'SegEnds_NonXtal_Prot#'!$A:$AL,9,FALSE)</f>
        <v>67</v>
      </c>
      <c r="U54" s="5">
        <f>VLOOKUP($A54,'SegEnds_NonXtal_Prot#'!$A:$AL,12,FALSE)</f>
        <v>98</v>
      </c>
      <c r="V54" s="5">
        <f>VLOOKUP($A54,'SegEnds_NonXtal_Prot#'!$A:$AL,15,FALSE)</f>
        <v>102</v>
      </c>
      <c r="W54" s="5">
        <f>VLOOKUP($A54,'SegEnds_NonXtal_Prot#'!$A:$AL,18,FALSE)</f>
        <v>138</v>
      </c>
      <c r="X54" s="5">
        <f>VLOOKUP($A54,'SegEnds_NonXtal_Prot#'!$A:$AL,21,FALSE)</f>
        <v>145</v>
      </c>
      <c r="Y54" s="5">
        <f>VLOOKUP($A54,'SegEnds_NonXtal_Prot#'!$A:$AL,24,FALSE)</f>
        <v>183</v>
      </c>
      <c r="Z54" s="5">
        <f>VLOOKUP($A54,'SegEnds_NonXtal_Prot#'!$A:$AL,27,FALSE)</f>
        <v>195</v>
      </c>
      <c r="AA54" s="5">
        <f>VLOOKUP($A54,'SegEnds_NonXtal_Prot#'!$A:$AL,30,FALSE)</f>
        <v>239</v>
      </c>
      <c r="AB54" s="5">
        <f>VLOOKUP($A54,'SegEnds_NonXtal_Prot#'!$A:$AL,33,FALSE)</f>
        <v>284</v>
      </c>
      <c r="AC54" s="5">
        <f>VLOOKUP($A54,'SegEnds_NonXtal_Prot#'!$A:$AL,36,FALSE)</f>
        <v>310</v>
      </c>
      <c r="AD54" s="5">
        <f>VLOOKUP($A54,'SegEnds_NonXtal_Prot#'!$A:$AL,5,FALSE)</f>
        <v>61</v>
      </c>
      <c r="AE54" s="5">
        <f>VLOOKUP($A54,'SegEnds_NonXtal_Prot#'!$A:$AL,8,FALSE)</f>
        <v>66</v>
      </c>
      <c r="AF54" s="5">
        <f>VLOOKUP($A54,'SegEnds_NonXtal_Prot#'!$A:$AL,11,FALSE)</f>
        <v>97</v>
      </c>
      <c r="AG54" s="5">
        <f>VLOOKUP($A54,'SegEnds_NonXtal_Prot#'!$A:$AL,14,FALSE)</f>
        <v>101</v>
      </c>
      <c r="AH54" s="5">
        <f>VLOOKUP($A54,'SegEnds_NonXtal_Prot#'!$A:$AL,17,FALSE)</f>
        <v>137</v>
      </c>
      <c r="AI54" s="5">
        <f>VLOOKUP($A54,'SegEnds_NonXtal_Prot#'!$A:$AL,20,FALSE)</f>
        <v>144</v>
      </c>
      <c r="AJ54" s="5">
        <f>VLOOKUP($A54,'SegEnds_NonXtal_Prot#'!$A:$AL,23,FALSE)</f>
        <v>169</v>
      </c>
      <c r="AK54" s="5">
        <f>VLOOKUP($A54,'SegEnds_NonXtal_Prot#'!$A:$AL,26,FALSE)</f>
        <v>185</v>
      </c>
      <c r="AL54" s="5">
        <f>VLOOKUP($A54,'SegEnds_NonXtal_Prot#'!$A:$AL,29,FALSE)</f>
        <v>234</v>
      </c>
      <c r="AM54" s="5">
        <f>VLOOKUP($A54,'SegEnds_NonXtal_Prot#'!$A:$AL,32,FALSE)</f>
        <v>278</v>
      </c>
      <c r="AN54" s="5">
        <f>VLOOKUP($A54,'SegEnds_NonXtal_Prot#'!$A:$AL,35,FALSE)</f>
        <v>309</v>
      </c>
      <c r="AO54" s="5">
        <f>VLOOKUP($A54,'SegEnds_NonXtal_Prot#'!$A:$AL,38,FALSE)</f>
        <v>322</v>
      </c>
      <c r="AP54" s="5">
        <f t="shared" si="13"/>
        <v>32</v>
      </c>
      <c r="AQ54" s="4">
        <f t="shared" si="14"/>
        <v>3</v>
      </c>
      <c r="AR54" s="4">
        <f t="shared" si="15"/>
        <v>30</v>
      </c>
      <c r="AS54" s="4">
        <f t="shared" si="16"/>
        <v>3</v>
      </c>
      <c r="AT54" s="4">
        <f t="shared" si="17"/>
        <v>35</v>
      </c>
      <c r="AU54" s="4">
        <f t="shared" si="18"/>
        <v>6</v>
      </c>
      <c r="AV54" s="4">
        <f t="shared" si="19"/>
        <v>24</v>
      </c>
      <c r="AW54" s="4">
        <f t="shared" si="20"/>
        <v>2</v>
      </c>
      <c r="AX54" s="4">
        <f t="shared" si="21"/>
        <v>39</v>
      </c>
      <c r="AY54" s="4">
        <f t="shared" si="22"/>
        <v>39</v>
      </c>
      <c r="AZ54" s="4">
        <f t="shared" si="23"/>
        <v>25</v>
      </c>
      <c r="BA54" s="4">
        <f t="shared" si="24"/>
        <v>12</v>
      </c>
    </row>
    <row r="55" spans="1:53" x14ac:dyDescent="0.2">
      <c r="A55" s="1" t="str">
        <f>'SegEnds_NonXtal_Prot#'!A22</f>
        <v>opsb_human</v>
      </c>
      <c r="B55" s="1" t="str">
        <f t="shared" si="0"/>
        <v>VWAFYLQAAFMGTVFLIGFPLNAMVLVATLRYQPLNYILVNVSFGGFLLCIFSVFPVFVASCNGRHVCALEGFLGTVAGLVTGWSLAFLAFERYIVICKSSKHALTVVLATWTIGIGVSIPPFFRSESYTWFLFIFCFIVPLSLICFSYTQLLRALKAVAAQQATTQKAEREVSRMVVVMVGSFCVCYVPYAAFAMYMVNNDLRLVTIPSFFSKSACIYNPIIYCFMNKQFQACIMKMVC</v>
      </c>
      <c r="C55" s="29" t="str">
        <f>IF(ISERROR(MATCH(A55,'SegEnds_Xtal_Prot#'!B:B, 0)), "NoXtal", "Xtal")</f>
        <v>NoXtal</v>
      </c>
      <c r="D55" s="4" t="str">
        <f>VLOOKUP(A55,Classification!A:D,2,FALSE)</f>
        <v>A</v>
      </c>
      <c r="E55" s="5" t="str">
        <f>VLOOKUP(A55,Seqs!A:B,2,FALSE)</f>
        <v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v>
      </c>
      <c r="F55" s="5" t="str">
        <f t="shared" si="1"/>
        <v>VWAFYLQAAFMGTVFLIGFPLNAMVLVATLRY</v>
      </c>
      <c r="G55" s="4" t="str">
        <f t="shared" si="2"/>
        <v>KKLR</v>
      </c>
      <c r="H55" s="4" t="str">
        <f t="shared" si="3"/>
        <v>QPLNYILVNVSFGGFLLCIFSVFPVFVASCN</v>
      </c>
      <c r="I55" s="4" t="str">
        <f t="shared" si="4"/>
        <v>YFVF</v>
      </c>
      <c r="J55" s="4" t="str">
        <f t="shared" si="5"/>
        <v>GRHVCALEGFLGTVAGLVTGWSLAFLAFERYIVICK</v>
      </c>
      <c r="K55" s="4" t="str">
        <f t="shared" si="6"/>
        <v>PFGNFRF</v>
      </c>
      <c r="L55" s="4" t="str">
        <f t="shared" si="7"/>
        <v>SSKHALTVVLATWTIGIGVSIPPFF</v>
      </c>
      <c r="M55" s="4" t="str">
        <f t="shared" si="8"/>
        <v>CGP</v>
      </c>
      <c r="N55" s="4" t="str">
        <f t="shared" si="9"/>
        <v>RSESYTWFLFIFCFIVPLSLICFSYTQLLRALKAVAAQQ</v>
      </c>
      <c r="O55" s="4" t="str">
        <f t="shared" si="10"/>
        <v>ATTQKAEREVSRMVVVMVGSFCVCYVPYAAFAMYMVNN</v>
      </c>
      <c r="P55" s="4" t="str">
        <f t="shared" si="11"/>
        <v>DLRLVTIPSFFSKSACIYNPIIYCFM</v>
      </c>
      <c r="Q55" s="4" t="str">
        <f t="shared" si="12"/>
        <v>NKQFQACIMKMVC</v>
      </c>
      <c r="R55" s="5">
        <f>VLOOKUP($A55,'SegEnds_NonXtal_Prot#'!$A:$AL,3,FALSE)</f>
        <v>31</v>
      </c>
      <c r="S55" s="5">
        <f>VLOOKUP($A55,'SegEnds_NonXtal_Prot#'!$A:$AL,6,FALSE)</f>
        <v>63</v>
      </c>
      <c r="T55" s="5">
        <f>VLOOKUP($A55,'SegEnds_NonXtal_Prot#'!$A:$AL,9,FALSE)</f>
        <v>67</v>
      </c>
      <c r="U55" s="5">
        <f>VLOOKUP($A55,'SegEnds_NonXtal_Prot#'!$A:$AL,12,FALSE)</f>
        <v>99</v>
      </c>
      <c r="V55" s="5">
        <f>VLOOKUP($A55,'SegEnds_NonXtal_Prot#'!$A:$AL,15,FALSE)</f>
        <v>103</v>
      </c>
      <c r="W55" s="5">
        <f>VLOOKUP($A55,'SegEnds_NonXtal_Prot#'!$A:$AL,18,FALSE)</f>
        <v>139</v>
      </c>
      <c r="X55" s="5">
        <f>VLOOKUP($A55,'SegEnds_NonXtal_Prot#'!$A:$AL,21,FALSE)</f>
        <v>146</v>
      </c>
      <c r="Y55" s="5">
        <f>VLOOKUP($A55,'SegEnds_NonXtal_Prot#'!$A:$AL,24,FALSE)</f>
        <v>184</v>
      </c>
      <c r="Z55" s="5">
        <f>VLOOKUP($A55,'SegEnds_NonXtal_Prot#'!$A:$AL,27,FALSE)</f>
        <v>196</v>
      </c>
      <c r="AA55" s="5">
        <f>VLOOKUP($A55,'SegEnds_NonXtal_Prot#'!$A:$AL,30,FALSE)</f>
        <v>238</v>
      </c>
      <c r="AB55" s="5">
        <f>VLOOKUP($A55,'SegEnds_NonXtal_Prot#'!$A:$AL,33,FALSE)</f>
        <v>281</v>
      </c>
      <c r="AC55" s="5">
        <f>VLOOKUP($A55,'SegEnds_NonXtal_Prot#'!$A:$AL,36,FALSE)</f>
        <v>307</v>
      </c>
      <c r="AD55" s="5">
        <f>VLOOKUP($A55,'SegEnds_NonXtal_Prot#'!$A:$AL,5,FALSE)</f>
        <v>62</v>
      </c>
      <c r="AE55" s="5">
        <f>VLOOKUP($A55,'SegEnds_NonXtal_Prot#'!$A:$AL,8,FALSE)</f>
        <v>66</v>
      </c>
      <c r="AF55" s="5">
        <f>VLOOKUP($A55,'SegEnds_NonXtal_Prot#'!$A:$AL,11,FALSE)</f>
        <v>97</v>
      </c>
      <c r="AG55" s="5">
        <f>VLOOKUP($A55,'SegEnds_NonXtal_Prot#'!$A:$AL,14,FALSE)</f>
        <v>102</v>
      </c>
      <c r="AH55" s="5">
        <f>VLOOKUP($A55,'SegEnds_NonXtal_Prot#'!$A:$AL,17,FALSE)</f>
        <v>138</v>
      </c>
      <c r="AI55" s="5">
        <f>VLOOKUP($A55,'SegEnds_NonXtal_Prot#'!$A:$AL,20,FALSE)</f>
        <v>145</v>
      </c>
      <c r="AJ55" s="5">
        <f>VLOOKUP($A55,'SegEnds_NonXtal_Prot#'!$A:$AL,23,FALSE)</f>
        <v>170</v>
      </c>
      <c r="AK55" s="5">
        <f>VLOOKUP($A55,'SegEnds_NonXtal_Prot#'!$A:$AL,26,FALSE)</f>
        <v>186</v>
      </c>
      <c r="AL55" s="5">
        <f>VLOOKUP($A55,'SegEnds_NonXtal_Prot#'!$A:$AL,29,FALSE)</f>
        <v>234</v>
      </c>
      <c r="AM55" s="5">
        <f>VLOOKUP($A55,'SegEnds_NonXtal_Prot#'!$A:$AL,32,FALSE)</f>
        <v>275</v>
      </c>
      <c r="AN55" s="5">
        <f>VLOOKUP($A55,'SegEnds_NonXtal_Prot#'!$A:$AL,35,FALSE)</f>
        <v>306</v>
      </c>
      <c r="AO55" s="5">
        <f>VLOOKUP($A55,'SegEnds_NonXtal_Prot#'!$A:$AL,38,FALSE)</f>
        <v>319</v>
      </c>
      <c r="AP55" s="5">
        <f t="shared" si="13"/>
        <v>31</v>
      </c>
      <c r="AQ55" s="4">
        <f t="shared" si="14"/>
        <v>3</v>
      </c>
      <c r="AR55" s="4">
        <f t="shared" si="15"/>
        <v>30</v>
      </c>
      <c r="AS55" s="4">
        <f t="shared" si="16"/>
        <v>3</v>
      </c>
      <c r="AT55" s="4">
        <f t="shared" si="17"/>
        <v>35</v>
      </c>
      <c r="AU55" s="4">
        <f t="shared" si="18"/>
        <v>6</v>
      </c>
      <c r="AV55" s="4">
        <f t="shared" si="19"/>
        <v>24</v>
      </c>
      <c r="AW55" s="4">
        <f t="shared" si="20"/>
        <v>2</v>
      </c>
      <c r="AX55" s="4">
        <f t="shared" si="21"/>
        <v>38</v>
      </c>
      <c r="AY55" s="4">
        <f t="shared" si="22"/>
        <v>37</v>
      </c>
      <c r="AZ55" s="4">
        <f t="shared" si="23"/>
        <v>25</v>
      </c>
      <c r="BA55" s="4">
        <f t="shared" si="24"/>
        <v>12</v>
      </c>
    </row>
    <row r="56" spans="1:53" x14ac:dyDescent="0.2">
      <c r="A56" s="1" t="str">
        <f>'SegEnds_NonXtal_Prot#'!A23</f>
        <v>opsd_bovin</v>
      </c>
      <c r="B56" s="1" t="str">
        <f t="shared" si="0"/>
        <v>EPWQFSMLAAYMFLLIMLGFPINFLTLYVTVQHTPLNYILLNLAVADLFMVFGGFTTTLYTSLHGPTGCNLEGFFATLGGEIALWSLVVLAIERYVVVCKGENHAIMGVAFTWVMALACAAPPLVNNESFVIYMFVVHFIIPLIVIFFCYGQLVFTVKEAAAQQATTQKAEKEVTRMVIIMVIAFLICWLPYAGVAFYIFTHGPIFMTIPAFFAKTSAVYNPVIYIMMNKQFRNCMVTTLC</v>
      </c>
      <c r="C56" s="29" t="str">
        <f>IF(ISERROR(MATCH(A56,'SegEnds_Xtal_Prot#'!B:B, 0)), "NoXtal", "Xtal")</f>
        <v>Xtal</v>
      </c>
      <c r="D56" s="4" t="str">
        <f>VLOOKUP(A56,Classification!A:D,2,FALSE)</f>
        <v>A</v>
      </c>
      <c r="E56" s="5" t="str">
        <f>VLOOKUP(A56,Seqs!A:B,2,FALSE)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F56" s="5" t="str">
        <f t="shared" si="1"/>
        <v>EPWQFSMLAAYMFLLIMLGFPINFLTLYVTVQH</v>
      </c>
      <c r="G56" s="4" t="str">
        <f t="shared" si="2"/>
        <v>KKLR</v>
      </c>
      <c r="H56" s="4" t="str">
        <f t="shared" si="3"/>
        <v>TPLNYILLNLAVADLFMVFGGFTTTLYTSLH</v>
      </c>
      <c r="I56" s="4" t="str">
        <f t="shared" si="4"/>
        <v>YFVF</v>
      </c>
      <c r="J56" s="4" t="str">
        <f t="shared" si="5"/>
        <v>GPTGCNLEGFFATLGGEIALWSLVVLAIERYVVVCK</v>
      </c>
      <c r="K56" s="4" t="str">
        <f t="shared" si="6"/>
        <v>PMSNFRF</v>
      </c>
      <c r="L56" s="4" t="str">
        <f t="shared" si="7"/>
        <v>GENHAIMGVAFTWVMALACAAPPLV</v>
      </c>
      <c r="M56" s="4" t="str">
        <f t="shared" si="8"/>
        <v>CGI</v>
      </c>
      <c r="N56" s="4" t="str">
        <f t="shared" si="9"/>
        <v>NNESFVIYMFVVHFIIPLIVIFFCYGQLVFTVKEAAAQQ</v>
      </c>
      <c r="O56" s="4" t="str">
        <f t="shared" si="10"/>
        <v>ATTQKAEKEVTRMVIIMVIAFLICWLPYAGVAFYIFTH</v>
      </c>
      <c r="P56" s="4" t="str">
        <f t="shared" si="11"/>
        <v>GPIFMTIPAFFAKTSAVYNPVIYIMM</v>
      </c>
      <c r="Q56" s="4" t="str">
        <f t="shared" si="12"/>
        <v>NKQFRNCMVTTLC</v>
      </c>
      <c r="R56" s="5">
        <f>VLOOKUP($A56,'SegEnds_NonXtal_Prot#'!$A:$AL,3,FALSE)</f>
        <v>33</v>
      </c>
      <c r="S56" s="5">
        <f>VLOOKUP($A56,'SegEnds_NonXtal_Prot#'!$A:$AL,6,FALSE)</f>
        <v>66</v>
      </c>
      <c r="T56" s="5">
        <f>VLOOKUP($A56,'SegEnds_NonXtal_Prot#'!$A:$AL,9,FALSE)</f>
        <v>70</v>
      </c>
      <c r="U56" s="5">
        <f>VLOOKUP($A56,'SegEnds_NonXtal_Prot#'!$A:$AL,12,FALSE)</f>
        <v>102</v>
      </c>
      <c r="V56" s="5">
        <f>VLOOKUP($A56,'SegEnds_NonXtal_Prot#'!$A:$AL,15,FALSE)</f>
        <v>106</v>
      </c>
      <c r="W56" s="5">
        <f>VLOOKUP($A56,'SegEnds_NonXtal_Prot#'!$A:$AL,18,FALSE)</f>
        <v>142</v>
      </c>
      <c r="X56" s="5">
        <f>VLOOKUP($A56,'SegEnds_NonXtal_Prot#'!$A:$AL,21,FALSE)</f>
        <v>149</v>
      </c>
      <c r="Y56" s="5">
        <f>VLOOKUP($A56,'SegEnds_NonXtal_Prot#'!$A:$AL,24,FALSE)</f>
        <v>187</v>
      </c>
      <c r="Z56" s="5">
        <f>VLOOKUP($A56,'SegEnds_NonXtal_Prot#'!$A:$AL,27,FALSE)</f>
        <v>199</v>
      </c>
      <c r="AA56" s="5">
        <f>VLOOKUP($A56,'SegEnds_NonXtal_Prot#'!$A:$AL,30,FALSE)</f>
        <v>241</v>
      </c>
      <c r="AB56" s="5">
        <f>VLOOKUP($A56,'SegEnds_NonXtal_Prot#'!$A:$AL,33,FALSE)</f>
        <v>284</v>
      </c>
      <c r="AC56" s="5">
        <f>VLOOKUP($A56,'SegEnds_NonXtal_Prot#'!$A:$AL,36,FALSE)</f>
        <v>310</v>
      </c>
      <c r="AD56" s="5">
        <f>VLOOKUP($A56,'SegEnds_NonXtal_Prot#'!$A:$AL,5,FALSE)</f>
        <v>65</v>
      </c>
      <c r="AE56" s="5">
        <f>VLOOKUP($A56,'SegEnds_NonXtal_Prot#'!$A:$AL,8,FALSE)</f>
        <v>69</v>
      </c>
      <c r="AF56" s="5">
        <f>VLOOKUP($A56,'SegEnds_NonXtal_Prot#'!$A:$AL,11,FALSE)</f>
        <v>100</v>
      </c>
      <c r="AG56" s="5">
        <f>VLOOKUP($A56,'SegEnds_NonXtal_Prot#'!$A:$AL,14,FALSE)</f>
        <v>105</v>
      </c>
      <c r="AH56" s="5">
        <f>VLOOKUP($A56,'SegEnds_NonXtal_Prot#'!$A:$AL,17,FALSE)</f>
        <v>141</v>
      </c>
      <c r="AI56" s="5">
        <f>VLOOKUP($A56,'SegEnds_NonXtal_Prot#'!$A:$AL,20,FALSE)</f>
        <v>148</v>
      </c>
      <c r="AJ56" s="5">
        <f>VLOOKUP($A56,'SegEnds_NonXtal_Prot#'!$A:$AL,23,FALSE)</f>
        <v>173</v>
      </c>
      <c r="AK56" s="5">
        <f>VLOOKUP($A56,'SegEnds_NonXtal_Prot#'!$A:$AL,26,FALSE)</f>
        <v>189</v>
      </c>
      <c r="AL56" s="5">
        <f>VLOOKUP($A56,'SegEnds_NonXtal_Prot#'!$A:$AL,29,FALSE)</f>
        <v>237</v>
      </c>
      <c r="AM56" s="5">
        <f>VLOOKUP($A56,'SegEnds_NonXtal_Prot#'!$A:$AL,32,FALSE)</f>
        <v>278</v>
      </c>
      <c r="AN56" s="5">
        <f>VLOOKUP($A56,'SegEnds_NonXtal_Prot#'!$A:$AL,35,FALSE)</f>
        <v>309</v>
      </c>
      <c r="AO56" s="5">
        <f>VLOOKUP($A56,'SegEnds_NonXtal_Prot#'!$A:$AL,38,FALSE)</f>
        <v>322</v>
      </c>
      <c r="AP56" s="5">
        <f t="shared" si="13"/>
        <v>32</v>
      </c>
      <c r="AQ56" s="4">
        <f t="shared" si="14"/>
        <v>3</v>
      </c>
      <c r="AR56" s="4">
        <f t="shared" si="15"/>
        <v>30</v>
      </c>
      <c r="AS56" s="4">
        <f t="shared" si="16"/>
        <v>3</v>
      </c>
      <c r="AT56" s="4">
        <f t="shared" si="17"/>
        <v>35</v>
      </c>
      <c r="AU56" s="4">
        <f t="shared" si="18"/>
        <v>6</v>
      </c>
      <c r="AV56" s="4">
        <f t="shared" si="19"/>
        <v>24</v>
      </c>
      <c r="AW56" s="4">
        <f t="shared" si="20"/>
        <v>2</v>
      </c>
      <c r="AX56" s="4">
        <f t="shared" si="21"/>
        <v>38</v>
      </c>
      <c r="AY56" s="4">
        <f t="shared" si="22"/>
        <v>37</v>
      </c>
      <c r="AZ56" s="4">
        <f t="shared" si="23"/>
        <v>25</v>
      </c>
      <c r="BA56" s="4">
        <f t="shared" si="24"/>
        <v>12</v>
      </c>
    </row>
    <row r="57" spans="1:53" x14ac:dyDescent="0.2">
      <c r="A57" s="1" t="str">
        <f>'SegEnds_NonXtal_Prot#'!A24</f>
        <v>opsd_human</v>
      </c>
      <c r="B57" s="1" t="str">
        <f t="shared" si="0"/>
        <v>PWQFSMLAAYMFLLIVLGFPINFLTLYVTVQHTPLNYILLNLAVADLFMVLGGFTSTLYTSLHGPTGCNLEGFFATLGGEIALWSLVVLAIERYVVVCKGENHAIMGVAFTWVMALACAAPPLANNESFVIYMFVVHFTIPMIIIFFCYGQLVFTVKEAAAQQATTQKAEKEVTRMVIIMVIAFLICWVPYASVAFYIFTHGPIFMTIPAFFAKSAAIYNPVIYIMMNKQFRNCMLTTIC</v>
      </c>
      <c r="C57" s="29" t="str">
        <f>IF(ISERROR(MATCH(A57,'SegEnds_Xtal_Prot#'!B:B, 0)), "NoXtal", "Xtal")</f>
        <v>Xtal</v>
      </c>
      <c r="D57" s="4" t="str">
        <f>VLOOKUP(A57,Classification!A:D,2,FALSE)</f>
        <v>A</v>
      </c>
      <c r="E57" s="5" t="str">
        <f>VLOOKUP(A57,Seqs!A:B,2,FALSE)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F57" s="5" t="str">
        <f t="shared" si="1"/>
        <v>PWQFSMLAAYMFLLIVLGFPINFLTLYVTVQH</v>
      </c>
      <c r="G57" s="4" t="str">
        <f t="shared" si="2"/>
        <v>KKLR</v>
      </c>
      <c r="H57" s="4" t="str">
        <f t="shared" si="3"/>
        <v>TPLNYILLNLAVADLFMVLGGFTSTLYTSLH</v>
      </c>
      <c r="I57" s="4" t="str">
        <f t="shared" si="4"/>
        <v>YFVF</v>
      </c>
      <c r="J57" s="4" t="str">
        <f t="shared" si="5"/>
        <v>GPTGCNLEGFFATLGGEIALWSLVVLAIERYVVVCK</v>
      </c>
      <c r="K57" s="4" t="str">
        <f t="shared" si="6"/>
        <v>PMSNFRF</v>
      </c>
      <c r="L57" s="4" t="str">
        <f t="shared" si="7"/>
        <v>GENHAIMGVAFTWVMALACAAPPLA</v>
      </c>
      <c r="M57" s="4" t="str">
        <f t="shared" si="8"/>
        <v>CGI</v>
      </c>
      <c r="N57" s="4" t="str">
        <f t="shared" si="9"/>
        <v>NNESFVIYMFVVHFTIPMIIIFFCYGQLVFTVKEAAAQQ</v>
      </c>
      <c r="O57" s="4" t="str">
        <f t="shared" si="10"/>
        <v>ATTQKAEKEVTRMVIIMVIAFLICWVPYASVAFYIFTH</v>
      </c>
      <c r="P57" s="4" t="str">
        <f t="shared" si="11"/>
        <v>GPIFMTIPAFFAKSAAIYNPVIYIMM</v>
      </c>
      <c r="Q57" s="4" t="str">
        <f t="shared" si="12"/>
        <v>NKQFRNCMLTTIC</v>
      </c>
      <c r="R57" s="5">
        <f>VLOOKUP($A57,'SegEnds_NonXtal_Prot#'!$A:$AL,3,FALSE)</f>
        <v>34</v>
      </c>
      <c r="S57" s="5">
        <f>VLOOKUP($A57,'SegEnds_NonXtal_Prot#'!$A:$AL,6,FALSE)</f>
        <v>66</v>
      </c>
      <c r="T57" s="5">
        <f>VLOOKUP($A57,'SegEnds_NonXtal_Prot#'!$A:$AL,9,FALSE)</f>
        <v>70</v>
      </c>
      <c r="U57" s="5">
        <f>VLOOKUP($A57,'SegEnds_NonXtal_Prot#'!$A:$AL,12,FALSE)</f>
        <v>102</v>
      </c>
      <c r="V57" s="5">
        <f>VLOOKUP($A57,'SegEnds_NonXtal_Prot#'!$A:$AL,15,FALSE)</f>
        <v>106</v>
      </c>
      <c r="W57" s="5">
        <f>VLOOKUP($A57,'SegEnds_NonXtal_Prot#'!$A:$AL,18,FALSE)</f>
        <v>142</v>
      </c>
      <c r="X57" s="5">
        <f>VLOOKUP($A57,'SegEnds_NonXtal_Prot#'!$A:$AL,21,FALSE)</f>
        <v>149</v>
      </c>
      <c r="Y57" s="5">
        <f>VLOOKUP($A57,'SegEnds_NonXtal_Prot#'!$A:$AL,24,FALSE)</f>
        <v>187</v>
      </c>
      <c r="Z57" s="5">
        <f>VLOOKUP($A57,'SegEnds_NonXtal_Prot#'!$A:$AL,27,FALSE)</f>
        <v>199</v>
      </c>
      <c r="AA57" s="5">
        <f>VLOOKUP($A57,'SegEnds_NonXtal_Prot#'!$A:$AL,30,FALSE)</f>
        <v>241</v>
      </c>
      <c r="AB57" s="5">
        <f>VLOOKUP($A57,'SegEnds_NonXtal_Prot#'!$A:$AL,33,FALSE)</f>
        <v>284</v>
      </c>
      <c r="AC57" s="5">
        <f>VLOOKUP($A57,'SegEnds_NonXtal_Prot#'!$A:$AL,36,FALSE)</f>
        <v>310</v>
      </c>
      <c r="AD57" s="5">
        <f>VLOOKUP($A57,'SegEnds_NonXtal_Prot#'!$A:$AL,5,FALSE)</f>
        <v>65</v>
      </c>
      <c r="AE57" s="5">
        <f>VLOOKUP($A57,'SegEnds_NonXtal_Prot#'!$A:$AL,8,FALSE)</f>
        <v>69</v>
      </c>
      <c r="AF57" s="5">
        <f>VLOOKUP($A57,'SegEnds_NonXtal_Prot#'!$A:$AL,11,FALSE)</f>
        <v>100</v>
      </c>
      <c r="AG57" s="5">
        <f>VLOOKUP($A57,'SegEnds_NonXtal_Prot#'!$A:$AL,14,FALSE)</f>
        <v>105</v>
      </c>
      <c r="AH57" s="5">
        <f>VLOOKUP($A57,'SegEnds_NonXtal_Prot#'!$A:$AL,17,FALSE)</f>
        <v>141</v>
      </c>
      <c r="AI57" s="5">
        <f>VLOOKUP($A57,'SegEnds_NonXtal_Prot#'!$A:$AL,20,FALSE)</f>
        <v>148</v>
      </c>
      <c r="AJ57" s="5">
        <f>VLOOKUP($A57,'SegEnds_NonXtal_Prot#'!$A:$AL,23,FALSE)</f>
        <v>173</v>
      </c>
      <c r="AK57" s="5">
        <f>VLOOKUP($A57,'SegEnds_NonXtal_Prot#'!$A:$AL,26,FALSE)</f>
        <v>189</v>
      </c>
      <c r="AL57" s="5">
        <f>VLOOKUP($A57,'SegEnds_NonXtal_Prot#'!$A:$AL,29,FALSE)</f>
        <v>237</v>
      </c>
      <c r="AM57" s="5">
        <f>VLOOKUP($A57,'SegEnds_NonXtal_Prot#'!$A:$AL,32,FALSE)</f>
        <v>278</v>
      </c>
      <c r="AN57" s="5">
        <f>VLOOKUP($A57,'SegEnds_NonXtal_Prot#'!$A:$AL,35,FALSE)</f>
        <v>309</v>
      </c>
      <c r="AO57" s="5">
        <f>VLOOKUP($A57,'SegEnds_NonXtal_Prot#'!$A:$AL,38,FALSE)</f>
        <v>322</v>
      </c>
      <c r="AP57" s="5">
        <f t="shared" si="13"/>
        <v>31</v>
      </c>
      <c r="AQ57" s="4">
        <f t="shared" si="14"/>
        <v>3</v>
      </c>
      <c r="AR57" s="4">
        <f t="shared" si="15"/>
        <v>30</v>
      </c>
      <c r="AS57" s="4">
        <f t="shared" si="16"/>
        <v>3</v>
      </c>
      <c r="AT57" s="4">
        <f t="shared" si="17"/>
        <v>35</v>
      </c>
      <c r="AU57" s="4">
        <f t="shared" si="18"/>
        <v>6</v>
      </c>
      <c r="AV57" s="4">
        <f t="shared" si="19"/>
        <v>24</v>
      </c>
      <c r="AW57" s="4">
        <f t="shared" si="20"/>
        <v>2</v>
      </c>
      <c r="AX57" s="4">
        <f t="shared" si="21"/>
        <v>38</v>
      </c>
      <c r="AY57" s="4">
        <f t="shared" si="22"/>
        <v>37</v>
      </c>
      <c r="AZ57" s="4">
        <f t="shared" si="23"/>
        <v>25</v>
      </c>
      <c r="BA57" s="4">
        <f t="shared" si="24"/>
        <v>12</v>
      </c>
    </row>
    <row r="58" spans="1:53" x14ac:dyDescent="0.2">
      <c r="A58" s="1" t="str">
        <f>'SegEnds_NonXtal_Prot#'!A25</f>
        <v>opsg_human</v>
      </c>
      <c r="B58" s="1" t="str">
        <f t="shared" si="0"/>
        <v>RWVYHLTSVWMIFVVIASVFTNGLVLAATMKFHPLNWILVNLAVADLAETVIASTISVVNQVYGHPMCVLEGYTVSLCGITGLWSLAIISWERWMVVCKDAKLAIVGIAFSWIWAAVWTAPPIFGVQSYMIVLMVTCCITPLSIIVLCYLQVWLAIRAVAKQQESTQKAEKEVTRMVVVMVLAFCFCWGPYAFFACFAAANHPLMAALPAFFAKSATIYNPVIYVFMNRQFRNCILQLFG</v>
      </c>
      <c r="C58" s="29" t="str">
        <f>IF(ISERROR(MATCH(A58,'SegEnds_Xtal_Prot#'!B:B, 0)), "NoXtal", "Xtal")</f>
        <v>NoXtal</v>
      </c>
      <c r="D58" s="4" t="str">
        <f>VLOOKUP(A58,Classification!A:D,2,FALSE)</f>
        <v>A</v>
      </c>
      <c r="E58" s="5" t="str">
        <f>VLOOKUP(A58,Seqs!A:B,2,FALSE)</f>
        <v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v>
      </c>
      <c r="F58" s="5" t="str">
        <f t="shared" si="1"/>
        <v>RWVYHLTSVWMIFVVIASVFTNGLVLAATMKF</v>
      </c>
      <c r="G58" s="4" t="str">
        <f t="shared" si="2"/>
        <v>KKLR</v>
      </c>
      <c r="H58" s="4" t="str">
        <f t="shared" si="3"/>
        <v>HPLNWILVNLAVADLAETVIASTISVVNQVY</v>
      </c>
      <c r="I58" s="4" t="str">
        <f t="shared" si="4"/>
        <v>YFVL</v>
      </c>
      <c r="J58" s="4" t="str">
        <f t="shared" si="5"/>
        <v>GHPMCVLEGYTVSLCGITGLWSLAIISWERWMVVCK</v>
      </c>
      <c r="K58" s="4" t="str">
        <f t="shared" si="6"/>
        <v>PFGNVRF</v>
      </c>
      <c r="L58" s="4" t="str">
        <f t="shared" si="7"/>
        <v>DAKLAIVGIAFSWIWAAVWTAPPIF</v>
      </c>
      <c r="M58" s="4" t="str">
        <f t="shared" si="8"/>
        <v>CGP</v>
      </c>
      <c r="N58" s="4" t="str">
        <f t="shared" si="9"/>
        <v>GVQSYMIVLMVTCCITPLSIIVLCYLQVWLAIRAVAKQQ</v>
      </c>
      <c r="O58" s="4" t="str">
        <f t="shared" si="10"/>
        <v>ESTQKAEKEVTRMVVVMVLAFCFCWGPYAFFACFAAAN</v>
      </c>
      <c r="P58" s="4" t="str">
        <f t="shared" si="11"/>
        <v>HPLMAALPAFFAKSATIYNPVIYVFM</v>
      </c>
      <c r="Q58" s="4" t="str">
        <f t="shared" si="12"/>
        <v>NRQFRNCILQLFG</v>
      </c>
      <c r="R58" s="5">
        <f>VLOOKUP($A58,'SegEnds_NonXtal_Prot#'!$A:$AL,3,FALSE)</f>
        <v>50</v>
      </c>
      <c r="S58" s="5">
        <f>VLOOKUP($A58,'SegEnds_NonXtal_Prot#'!$A:$AL,6,FALSE)</f>
        <v>82</v>
      </c>
      <c r="T58" s="5">
        <f>VLOOKUP($A58,'SegEnds_NonXtal_Prot#'!$A:$AL,9,FALSE)</f>
        <v>86</v>
      </c>
      <c r="U58" s="5">
        <f>VLOOKUP($A58,'SegEnds_NonXtal_Prot#'!$A:$AL,12,FALSE)</f>
        <v>118</v>
      </c>
      <c r="V58" s="5">
        <f>VLOOKUP($A58,'SegEnds_NonXtal_Prot#'!$A:$AL,15,FALSE)</f>
        <v>122</v>
      </c>
      <c r="W58" s="5">
        <f>VLOOKUP($A58,'SegEnds_NonXtal_Prot#'!$A:$AL,18,FALSE)</f>
        <v>158</v>
      </c>
      <c r="X58" s="5">
        <f>VLOOKUP($A58,'SegEnds_NonXtal_Prot#'!$A:$AL,21,FALSE)</f>
        <v>165</v>
      </c>
      <c r="Y58" s="5">
        <f>VLOOKUP($A58,'SegEnds_NonXtal_Prot#'!$A:$AL,24,FALSE)</f>
        <v>203</v>
      </c>
      <c r="Z58" s="5">
        <f>VLOOKUP($A58,'SegEnds_NonXtal_Prot#'!$A:$AL,27,FALSE)</f>
        <v>215</v>
      </c>
      <c r="AA58" s="5">
        <f>VLOOKUP($A58,'SegEnds_NonXtal_Prot#'!$A:$AL,30,FALSE)</f>
        <v>257</v>
      </c>
      <c r="AB58" s="5">
        <f>VLOOKUP($A58,'SegEnds_NonXtal_Prot#'!$A:$AL,33,FALSE)</f>
        <v>300</v>
      </c>
      <c r="AC58" s="5">
        <f>VLOOKUP($A58,'SegEnds_NonXtal_Prot#'!$A:$AL,36,FALSE)</f>
        <v>326</v>
      </c>
      <c r="AD58" s="5">
        <f>VLOOKUP($A58,'SegEnds_NonXtal_Prot#'!$A:$AL,5,FALSE)</f>
        <v>81</v>
      </c>
      <c r="AE58" s="5">
        <f>VLOOKUP($A58,'SegEnds_NonXtal_Prot#'!$A:$AL,8,FALSE)</f>
        <v>85</v>
      </c>
      <c r="AF58" s="5">
        <f>VLOOKUP($A58,'SegEnds_NonXtal_Prot#'!$A:$AL,11,FALSE)</f>
        <v>116</v>
      </c>
      <c r="AG58" s="5">
        <f>VLOOKUP($A58,'SegEnds_NonXtal_Prot#'!$A:$AL,14,FALSE)</f>
        <v>121</v>
      </c>
      <c r="AH58" s="5">
        <f>VLOOKUP($A58,'SegEnds_NonXtal_Prot#'!$A:$AL,17,FALSE)</f>
        <v>157</v>
      </c>
      <c r="AI58" s="5">
        <f>VLOOKUP($A58,'SegEnds_NonXtal_Prot#'!$A:$AL,20,FALSE)</f>
        <v>164</v>
      </c>
      <c r="AJ58" s="5">
        <f>VLOOKUP($A58,'SegEnds_NonXtal_Prot#'!$A:$AL,23,FALSE)</f>
        <v>189</v>
      </c>
      <c r="AK58" s="5">
        <f>VLOOKUP($A58,'SegEnds_NonXtal_Prot#'!$A:$AL,26,FALSE)</f>
        <v>205</v>
      </c>
      <c r="AL58" s="5">
        <f>VLOOKUP($A58,'SegEnds_NonXtal_Prot#'!$A:$AL,29,FALSE)</f>
        <v>253</v>
      </c>
      <c r="AM58" s="5">
        <f>VLOOKUP($A58,'SegEnds_NonXtal_Prot#'!$A:$AL,32,FALSE)</f>
        <v>294</v>
      </c>
      <c r="AN58" s="5">
        <f>VLOOKUP($A58,'SegEnds_NonXtal_Prot#'!$A:$AL,35,FALSE)</f>
        <v>325</v>
      </c>
      <c r="AO58" s="5">
        <f>VLOOKUP($A58,'SegEnds_NonXtal_Prot#'!$A:$AL,38,FALSE)</f>
        <v>338</v>
      </c>
      <c r="AP58" s="5">
        <f t="shared" si="13"/>
        <v>31</v>
      </c>
      <c r="AQ58" s="4">
        <f t="shared" si="14"/>
        <v>3</v>
      </c>
      <c r="AR58" s="4">
        <f t="shared" si="15"/>
        <v>30</v>
      </c>
      <c r="AS58" s="4">
        <f t="shared" si="16"/>
        <v>3</v>
      </c>
      <c r="AT58" s="4">
        <f t="shared" si="17"/>
        <v>35</v>
      </c>
      <c r="AU58" s="4">
        <f t="shared" si="18"/>
        <v>6</v>
      </c>
      <c r="AV58" s="4">
        <f t="shared" si="19"/>
        <v>24</v>
      </c>
      <c r="AW58" s="4">
        <f t="shared" si="20"/>
        <v>2</v>
      </c>
      <c r="AX58" s="4">
        <f t="shared" si="21"/>
        <v>38</v>
      </c>
      <c r="AY58" s="4">
        <f t="shared" si="22"/>
        <v>37</v>
      </c>
      <c r="AZ58" s="4">
        <f t="shared" si="23"/>
        <v>25</v>
      </c>
      <c r="BA58" s="4">
        <f t="shared" si="24"/>
        <v>12</v>
      </c>
    </row>
    <row r="59" spans="1:53" x14ac:dyDescent="0.2">
      <c r="A59" s="1" t="str">
        <f>'SegEnds_NonXtal_Prot#'!A26</f>
        <v>opsr_human</v>
      </c>
      <c r="B59" s="1" t="str">
        <f t="shared" si="0"/>
        <v>RWVYHLTSVWMIFVVTASVFTNGLVLAATMKFHPLNWILVNLAVADLAETVIASTISIVNQVSLGHPMCVLEGYTVSLCGITGLWSLAIISWERWLVVCKDAKLAIVGIAFSWIWSAVWTAPPIFGVQSYMIVLMVTCCIIPLAIIMLCYLQVWLAIRAVAKQQESTQKAEKEVTRMVVVMIFAYCVCWGPYTFFACFAAANHPLMAALPAYFAKSATIYNPVIYVFMNRQFRNCILQLFG</v>
      </c>
      <c r="C59" s="29" t="str">
        <f>IF(ISERROR(MATCH(A59,'SegEnds_Xtal_Prot#'!B:B, 0)), "NoXtal", "Xtal")</f>
        <v>NoXtal</v>
      </c>
      <c r="D59" s="4" t="str">
        <f>VLOOKUP(A59,Classification!A:D,2,FALSE)</f>
        <v>A</v>
      </c>
      <c r="E59" s="5" t="str">
        <f>VLOOKUP(A59,Seqs!A:B,2,FALSE)</f>
        <v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v>
      </c>
      <c r="F59" s="5" t="str">
        <f t="shared" si="1"/>
        <v>RWVYHLTSVWMIFVVTASVFTNGLVLAATMKF</v>
      </c>
      <c r="G59" s="4" t="str">
        <f t="shared" si="2"/>
        <v>KKLR</v>
      </c>
      <c r="H59" s="4" t="str">
        <f t="shared" si="3"/>
        <v>HPLNWILVNLAVADLAETVIASTISIVNQVS</v>
      </c>
      <c r="I59" s="4" t="str">
        <f t="shared" si="4"/>
        <v>GYFV</v>
      </c>
      <c r="J59" s="4" t="str">
        <f t="shared" si="5"/>
        <v>LGHPMCVLEGYTVSLCGITGLWSLAIISWERWLVVCK</v>
      </c>
      <c r="K59" s="4" t="str">
        <f t="shared" si="6"/>
        <v>PFGNVRF</v>
      </c>
      <c r="L59" s="4" t="str">
        <f t="shared" si="7"/>
        <v>DAKLAIVGIAFSWIWSAVWTAPPIF</v>
      </c>
      <c r="M59" s="4" t="str">
        <f t="shared" si="8"/>
        <v>CGP</v>
      </c>
      <c r="N59" s="4" t="str">
        <f t="shared" si="9"/>
        <v>GVQSYMIVLMVTCCIIPLAIIMLCYLQVWLAIRAVAKQQ</v>
      </c>
      <c r="O59" s="4" t="str">
        <f t="shared" si="10"/>
        <v>ESTQKAEKEVTRMVVVMIFAYCVCWGPYTFFACFAAAN</v>
      </c>
      <c r="P59" s="4" t="str">
        <f t="shared" si="11"/>
        <v>HPLMAALPAYFAKSATIYNPVIYVFM</v>
      </c>
      <c r="Q59" s="4" t="str">
        <f t="shared" si="12"/>
        <v>NRQFRNCILQLFG</v>
      </c>
      <c r="R59" s="5">
        <f>VLOOKUP($A59,'SegEnds_NonXtal_Prot#'!$A:$AL,3,FALSE)</f>
        <v>50</v>
      </c>
      <c r="S59" s="5">
        <f>VLOOKUP($A59,'SegEnds_NonXtal_Prot#'!$A:$AL,6,FALSE)</f>
        <v>82</v>
      </c>
      <c r="T59" s="5">
        <f>VLOOKUP($A59,'SegEnds_NonXtal_Prot#'!$A:$AL,9,FALSE)</f>
        <v>86</v>
      </c>
      <c r="U59" s="5">
        <f>VLOOKUP($A59,'SegEnds_NonXtal_Prot#'!$A:$AL,12,FALSE)</f>
        <v>117</v>
      </c>
      <c r="V59" s="5">
        <f>VLOOKUP($A59,'SegEnds_NonXtal_Prot#'!$A:$AL,15,FALSE)</f>
        <v>121</v>
      </c>
      <c r="W59" s="5">
        <f>VLOOKUP($A59,'SegEnds_NonXtal_Prot#'!$A:$AL,18,FALSE)</f>
        <v>158</v>
      </c>
      <c r="X59" s="5">
        <f>VLOOKUP($A59,'SegEnds_NonXtal_Prot#'!$A:$AL,21,FALSE)</f>
        <v>165</v>
      </c>
      <c r="Y59" s="5">
        <f>VLOOKUP($A59,'SegEnds_NonXtal_Prot#'!$A:$AL,24,FALSE)</f>
        <v>203</v>
      </c>
      <c r="Z59" s="5">
        <f>VLOOKUP($A59,'SegEnds_NonXtal_Prot#'!$A:$AL,27,FALSE)</f>
        <v>215</v>
      </c>
      <c r="AA59" s="5">
        <f>VLOOKUP($A59,'SegEnds_NonXtal_Prot#'!$A:$AL,30,FALSE)</f>
        <v>257</v>
      </c>
      <c r="AB59" s="5">
        <f>VLOOKUP($A59,'SegEnds_NonXtal_Prot#'!$A:$AL,33,FALSE)</f>
        <v>300</v>
      </c>
      <c r="AC59" s="5">
        <f>VLOOKUP($A59,'SegEnds_NonXtal_Prot#'!$A:$AL,36,FALSE)</f>
        <v>326</v>
      </c>
      <c r="AD59" s="5">
        <f>VLOOKUP($A59,'SegEnds_NonXtal_Prot#'!$A:$AL,5,FALSE)</f>
        <v>81</v>
      </c>
      <c r="AE59" s="5">
        <f>VLOOKUP($A59,'SegEnds_NonXtal_Prot#'!$A:$AL,8,FALSE)</f>
        <v>85</v>
      </c>
      <c r="AF59" s="5">
        <f>VLOOKUP($A59,'SegEnds_NonXtal_Prot#'!$A:$AL,11,FALSE)</f>
        <v>116</v>
      </c>
      <c r="AG59" s="5">
        <f>VLOOKUP($A59,'SegEnds_NonXtal_Prot#'!$A:$AL,14,FALSE)</f>
        <v>120</v>
      </c>
      <c r="AH59" s="5">
        <f>VLOOKUP($A59,'SegEnds_NonXtal_Prot#'!$A:$AL,17,FALSE)</f>
        <v>157</v>
      </c>
      <c r="AI59" s="5">
        <f>VLOOKUP($A59,'SegEnds_NonXtal_Prot#'!$A:$AL,20,FALSE)</f>
        <v>164</v>
      </c>
      <c r="AJ59" s="5">
        <f>VLOOKUP($A59,'SegEnds_NonXtal_Prot#'!$A:$AL,23,FALSE)</f>
        <v>189</v>
      </c>
      <c r="AK59" s="5">
        <f>VLOOKUP($A59,'SegEnds_NonXtal_Prot#'!$A:$AL,26,FALSE)</f>
        <v>205</v>
      </c>
      <c r="AL59" s="5">
        <f>VLOOKUP($A59,'SegEnds_NonXtal_Prot#'!$A:$AL,29,FALSE)</f>
        <v>253</v>
      </c>
      <c r="AM59" s="5">
        <f>VLOOKUP($A59,'SegEnds_NonXtal_Prot#'!$A:$AL,32,FALSE)</f>
        <v>294</v>
      </c>
      <c r="AN59" s="5">
        <f>VLOOKUP($A59,'SegEnds_NonXtal_Prot#'!$A:$AL,35,FALSE)</f>
        <v>325</v>
      </c>
      <c r="AO59" s="5">
        <f>VLOOKUP($A59,'SegEnds_NonXtal_Prot#'!$A:$AL,38,FALSE)</f>
        <v>338</v>
      </c>
      <c r="AP59" s="5">
        <f t="shared" si="13"/>
        <v>31</v>
      </c>
      <c r="AQ59" s="4">
        <f t="shared" si="14"/>
        <v>3</v>
      </c>
      <c r="AR59" s="4">
        <f t="shared" si="15"/>
        <v>30</v>
      </c>
      <c r="AS59" s="4">
        <f t="shared" si="16"/>
        <v>3</v>
      </c>
      <c r="AT59" s="4">
        <f t="shared" si="17"/>
        <v>36</v>
      </c>
      <c r="AU59" s="4">
        <f t="shared" si="18"/>
        <v>6</v>
      </c>
      <c r="AV59" s="4">
        <f t="shared" si="19"/>
        <v>24</v>
      </c>
      <c r="AW59" s="4">
        <f t="shared" si="20"/>
        <v>2</v>
      </c>
      <c r="AX59" s="4">
        <f t="shared" si="21"/>
        <v>38</v>
      </c>
      <c r="AY59" s="4">
        <f t="shared" si="22"/>
        <v>37</v>
      </c>
      <c r="AZ59" s="4">
        <f t="shared" si="23"/>
        <v>25</v>
      </c>
      <c r="BA59" s="4">
        <f t="shared" si="24"/>
        <v>12</v>
      </c>
    </row>
    <row r="60" spans="1:53" x14ac:dyDescent="0.2">
      <c r="A60" s="1" t="str">
        <f>'SegEnds_NonXtal_Prot#'!A27</f>
        <v>p2y10_human</v>
      </c>
      <c r="B60" s="1" t="str">
        <f t="shared" si="0"/>
        <v>NVKFQYSLYATTYILIFIPGLLANSAALWVLCRFINKAIIFMINLSVADLAHVLSLPLRIYYYISQRALCLLCFYLKYLNMYASICFLTCISLQRCFFLLKKRRYDVGISAAIWIVVGTACLPFPILVALVGMITVAELAGFVIPVIIIAWCTWKTTISLRQPFQGISERQKALRMVFMCAAVFFICFTPYHINFIFYTMVKETSCPVVRIALYFHPFCLCLASLCCLLDPILYYFMASEFRDQLSRHGSSVTR</v>
      </c>
      <c r="C60" s="29" t="str">
        <f>IF(ISERROR(MATCH(A60,'SegEnds_Xtal_Prot#'!B:B, 0)), "NoXtal", "Xtal")</f>
        <v>NoXtal</v>
      </c>
      <c r="D60" s="4" t="str">
        <f>VLOOKUP(A60,Classification!A:D,2,FALSE)</f>
        <v>A</v>
      </c>
      <c r="E60" s="5" t="str">
        <f>VLOOKUP(A60,Seqs!A:B,2,FALSE)</f>
        <v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v>
      </c>
      <c r="F60" s="5" t="str">
        <f t="shared" si="1"/>
        <v>NVKFQYSLYATTYILIFIPGLLANSAALWVLCRFI</v>
      </c>
      <c r="G60" s="4" t="str">
        <f t="shared" si="2"/>
        <v/>
      </c>
      <c r="H60" s="4" t="str">
        <f t="shared" si="3"/>
        <v>NKAIIFMINLSVADLAHVLSLPLRIYYYIS</v>
      </c>
      <c r="I60" s="4" t="str">
        <f t="shared" si="4"/>
        <v>HWPF</v>
      </c>
      <c r="J60" s="4" t="str">
        <f t="shared" si="5"/>
        <v>QRALCLLCFYLKYLNMYASICFLTCISLQRCFFLLK</v>
      </c>
      <c r="K60" s="4" t="str">
        <f t="shared" si="6"/>
        <v>PFRARDW</v>
      </c>
      <c r="L60" s="4" t="str">
        <f t="shared" si="7"/>
        <v>KRRYDVGISAAIWIVVGTACLPFPIL</v>
      </c>
      <c r="M60" s="4" t="str">
        <f t="shared" si="8"/>
        <v>CFA</v>
      </c>
      <c r="N60" s="4" t="str">
        <f t="shared" si="9"/>
        <v>VALVGMITVAELAGFVIPVIIIAWCTWKTTISLRQP</v>
      </c>
      <c r="O60" s="4" t="str">
        <f t="shared" si="10"/>
        <v>FQGISERQKALRMVFMCAAVFFICFTPYHINFIFYTMVKET</v>
      </c>
      <c r="P60" s="4" t="str">
        <f t="shared" si="11"/>
        <v>SCPVVRIALYFHPFCLCLASLCCLLDPILYYFMASE</v>
      </c>
      <c r="Q60" s="4" t="str">
        <f t="shared" si="12"/>
        <v>FRDQLSRHGSSVTR</v>
      </c>
      <c r="R60" s="5">
        <f>VLOOKUP($A60,'SegEnds_NonXtal_Prot#'!$A:$AL,3,FALSE)</f>
        <v>29</v>
      </c>
      <c r="S60" s="5" t="str">
        <f>VLOOKUP($A60,'SegEnds_NonXtal_Prot#'!$A:$AL,6,FALSE)</f>
        <v>-</v>
      </c>
      <c r="T60" s="5">
        <f>VLOOKUP($A60,'SegEnds_NonXtal_Prot#'!$A:$AL,9,FALSE)</f>
        <v>67</v>
      </c>
      <c r="U60" s="5">
        <f>VLOOKUP($A60,'SegEnds_NonXtal_Prot#'!$A:$AL,12,FALSE)</f>
        <v>98</v>
      </c>
      <c r="V60" s="5">
        <f>VLOOKUP($A60,'SegEnds_NonXtal_Prot#'!$A:$AL,15,FALSE)</f>
        <v>102</v>
      </c>
      <c r="W60" s="5">
        <f>VLOOKUP($A60,'SegEnds_NonXtal_Prot#'!$A:$AL,18,FALSE)</f>
        <v>138</v>
      </c>
      <c r="X60" s="5">
        <f>VLOOKUP($A60,'SegEnds_NonXtal_Prot#'!$A:$AL,21,FALSE)</f>
        <v>145</v>
      </c>
      <c r="Y60" s="5">
        <f>VLOOKUP($A60,'SegEnds_NonXtal_Prot#'!$A:$AL,24,FALSE)</f>
        <v>181</v>
      </c>
      <c r="Z60" s="5">
        <f>VLOOKUP($A60,'SegEnds_NonXtal_Prot#'!$A:$AL,27,FALSE)</f>
        <v>193</v>
      </c>
      <c r="AA60" s="5">
        <f>VLOOKUP($A60,'SegEnds_NonXtal_Prot#'!$A:$AL,30,FALSE)</f>
        <v>232</v>
      </c>
      <c r="AB60" s="5">
        <f>VLOOKUP($A60,'SegEnds_NonXtal_Prot#'!$A:$AL,33,FALSE)</f>
        <v>276</v>
      </c>
      <c r="AC60" s="5">
        <f>VLOOKUP($A60,'SegEnds_NonXtal_Prot#'!$A:$AL,36,FALSE)</f>
        <v>312</v>
      </c>
      <c r="AD60" s="5">
        <f>VLOOKUP($A60,'SegEnds_NonXtal_Prot#'!$A:$AL,5,FALSE)</f>
        <v>63</v>
      </c>
      <c r="AE60" s="5" t="str">
        <f>VLOOKUP($A60,'SegEnds_NonXtal_Prot#'!$A:$AL,8,FALSE)</f>
        <v>-</v>
      </c>
      <c r="AF60" s="5">
        <f>VLOOKUP($A60,'SegEnds_NonXtal_Prot#'!$A:$AL,11,FALSE)</f>
        <v>96</v>
      </c>
      <c r="AG60" s="5">
        <f>VLOOKUP($A60,'SegEnds_NonXtal_Prot#'!$A:$AL,14,FALSE)</f>
        <v>101</v>
      </c>
      <c r="AH60" s="5">
        <f>VLOOKUP($A60,'SegEnds_NonXtal_Prot#'!$A:$AL,17,FALSE)</f>
        <v>137</v>
      </c>
      <c r="AI60" s="5">
        <f>VLOOKUP($A60,'SegEnds_NonXtal_Prot#'!$A:$AL,20,FALSE)</f>
        <v>144</v>
      </c>
      <c r="AJ60" s="5">
        <f>VLOOKUP($A60,'SegEnds_NonXtal_Prot#'!$A:$AL,23,FALSE)</f>
        <v>170</v>
      </c>
      <c r="AK60" s="5">
        <f>VLOOKUP($A60,'SegEnds_NonXtal_Prot#'!$A:$AL,26,FALSE)</f>
        <v>183</v>
      </c>
      <c r="AL60" s="5">
        <f>VLOOKUP($A60,'SegEnds_NonXtal_Prot#'!$A:$AL,29,FALSE)</f>
        <v>228</v>
      </c>
      <c r="AM60" s="5">
        <f>VLOOKUP($A60,'SegEnds_NonXtal_Prot#'!$A:$AL,32,FALSE)</f>
        <v>272</v>
      </c>
      <c r="AN60" s="5">
        <f>VLOOKUP($A60,'SegEnds_NonXtal_Prot#'!$A:$AL,35,FALSE)</f>
        <v>311</v>
      </c>
      <c r="AO60" s="5">
        <f>VLOOKUP($A60,'SegEnds_NonXtal_Prot#'!$A:$AL,38,FALSE)</f>
        <v>325</v>
      </c>
      <c r="AP60" s="5">
        <f t="shared" si="13"/>
        <v>34</v>
      </c>
      <c r="AQ60" s="4" t="str">
        <f t="shared" si="14"/>
        <v>-</v>
      </c>
      <c r="AR60" s="4">
        <f t="shared" si="15"/>
        <v>29</v>
      </c>
      <c r="AS60" s="4">
        <f t="shared" si="16"/>
        <v>3</v>
      </c>
      <c r="AT60" s="4">
        <f t="shared" si="17"/>
        <v>35</v>
      </c>
      <c r="AU60" s="4">
        <f t="shared" si="18"/>
        <v>6</v>
      </c>
      <c r="AV60" s="4">
        <f t="shared" si="19"/>
        <v>25</v>
      </c>
      <c r="AW60" s="4">
        <f t="shared" si="20"/>
        <v>2</v>
      </c>
      <c r="AX60" s="4">
        <f t="shared" si="21"/>
        <v>35</v>
      </c>
      <c r="AY60" s="4">
        <f t="shared" si="22"/>
        <v>40</v>
      </c>
      <c r="AZ60" s="4">
        <f t="shared" si="23"/>
        <v>35</v>
      </c>
      <c r="BA60" s="4">
        <f t="shared" si="24"/>
        <v>13</v>
      </c>
    </row>
    <row r="61" spans="1:53" x14ac:dyDescent="0.2">
      <c r="A61" s="1" t="str">
        <f>'SegEnds_NonXtal_Prot#'!A29</f>
        <v>rxfp1_human</v>
      </c>
      <c r="B61" s="1" t="str">
        <f t="shared" si="0"/>
        <v>LLASIIQRVFVWVVSAVTCFGNIFVICMRPYIKLYAMSIISLCCADCLMGIYLFVIGGFDLKFLWMESTHCQLVGSLAILSTEVSVLLLTFLTLEKYICIVYGKCRTITVLILIWITGFIVAFIPLSNAQIYSVAIFLGINLAAFIIIVFSYGSMFYSVHQSAITARNQVKKEMILAKRFFFIVFTDALCWIPIFVVKFLSLLQGTITSWVVIFILPINSALNPILYTLTTRPFKEMIHRFWYNYRQRKSMDS</v>
      </c>
      <c r="C61" s="29" t="str">
        <f>IF(ISERROR(MATCH(A61,'SegEnds_Xtal_Prot#'!B:B, 0)), "NoXtal", "Xtal")</f>
        <v>NoXtal</v>
      </c>
      <c r="D61" s="4" t="str">
        <f>VLOOKUP(A61,Classification!A:D,2,FALSE)</f>
        <v>A</v>
      </c>
      <c r="E61" s="5" t="str">
        <f>VLOOKUP(A61,Seqs!A:B,2,FALSE)</f>
        <v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v>
      </c>
      <c r="F61" s="5" t="str">
        <f t="shared" si="1"/>
        <v>LLASIIQRVFVWVVSAVTCFGNIFVICMRPYI</v>
      </c>
      <c r="G61" s="4" t="str">
        <f t="shared" si="2"/>
        <v>RSEN</v>
      </c>
      <c r="H61" s="4" t="str">
        <f t="shared" si="3"/>
        <v>KLYAMSIISLCCADCLMGIYLFVIGGFDLKF</v>
      </c>
      <c r="I61" s="4" t="str">
        <f t="shared" si="4"/>
        <v/>
      </c>
      <c r="J61" s="4" t="str">
        <f t="shared" si="5"/>
        <v>LWMESTHCQLVGSLAILSTEVSVLLLTFLTLEKYICIVY</v>
      </c>
      <c r="K61" s="4" t="str">
        <f t="shared" si="6"/>
        <v>PFRCVRP</v>
      </c>
      <c r="L61" s="4" t="str">
        <f t="shared" si="7"/>
        <v>GKCRTITVLILIWITGFIVAFIPLSN</v>
      </c>
      <c r="M61" s="4" t="str">
        <f t="shared" si="8"/>
        <v>CFP</v>
      </c>
      <c r="N61" s="4" t="str">
        <f t="shared" si="9"/>
        <v>AQIYSVAIFLGINLAAFIIIVFSYGSMFYSVHQSAITA</v>
      </c>
      <c r="O61" s="4" t="str">
        <f t="shared" si="10"/>
        <v>RNQVKKEMILAKRFFFIVFTDALCWIPIFVVKFLSLLQ</v>
      </c>
      <c r="P61" s="4" t="str">
        <f t="shared" si="11"/>
        <v>GTITSWVVIFILPINSALNPILYTLT</v>
      </c>
      <c r="Q61" s="4" t="str">
        <f t="shared" si="12"/>
        <v>TRPFKEMIHRFWYNYRQRKSMDS</v>
      </c>
      <c r="R61" s="5">
        <f>VLOOKUP($A61,'SegEnds_NonXtal_Prot#'!$A:$AL,3,FALSE)</f>
        <v>402</v>
      </c>
      <c r="S61" s="5">
        <f>VLOOKUP($A61,'SegEnds_NonXtal_Prot#'!$A:$AL,6,FALSE)</f>
        <v>434</v>
      </c>
      <c r="T61" s="5">
        <f>VLOOKUP($A61,'SegEnds_NonXtal_Prot#'!$A:$AL,9,FALSE)</f>
        <v>438</v>
      </c>
      <c r="U61" s="5" t="str">
        <f>VLOOKUP($A61,'SegEnds_NonXtal_Prot#'!$A:$AL,12,FALSE)</f>
        <v>-</v>
      </c>
      <c r="V61" s="5">
        <f>VLOOKUP($A61,'SegEnds_NonXtal_Prot#'!$A:$AL,15,FALSE)</f>
        <v>478</v>
      </c>
      <c r="W61" s="5">
        <f>VLOOKUP($A61,'SegEnds_NonXtal_Prot#'!$A:$AL,18,FALSE)</f>
        <v>517</v>
      </c>
      <c r="X61" s="5">
        <f>VLOOKUP($A61,'SegEnds_NonXtal_Prot#'!$A:$AL,21,FALSE)</f>
        <v>524</v>
      </c>
      <c r="Y61" s="5">
        <f>VLOOKUP($A61,'SegEnds_NonXtal_Prot#'!$A:$AL,24,FALSE)</f>
        <v>563</v>
      </c>
      <c r="Z61" s="5">
        <f>VLOOKUP($A61,'SegEnds_NonXtal_Prot#'!$A:$AL,27,FALSE)</f>
        <v>576</v>
      </c>
      <c r="AA61" s="5">
        <f>VLOOKUP($A61,'SegEnds_NonXtal_Prot#'!$A:$AL,30,FALSE)</f>
        <v>617</v>
      </c>
      <c r="AB61" s="5">
        <f>VLOOKUP($A61,'SegEnds_NonXtal_Prot#'!$A:$AL,33,FALSE)</f>
        <v>659</v>
      </c>
      <c r="AC61" s="5">
        <f>VLOOKUP($A61,'SegEnds_NonXtal_Prot#'!$A:$AL,36,FALSE)</f>
        <v>685</v>
      </c>
      <c r="AD61" s="5">
        <f>VLOOKUP($A61,'SegEnds_NonXtal_Prot#'!$A:$AL,5,FALSE)</f>
        <v>433</v>
      </c>
      <c r="AE61" s="5">
        <f>VLOOKUP($A61,'SegEnds_NonXtal_Prot#'!$A:$AL,8,FALSE)</f>
        <v>437</v>
      </c>
      <c r="AF61" s="5">
        <f>VLOOKUP($A61,'SegEnds_NonXtal_Prot#'!$A:$AL,11,FALSE)</f>
        <v>468</v>
      </c>
      <c r="AG61" s="5" t="str">
        <f>VLOOKUP($A61,'SegEnds_NonXtal_Prot#'!$A:$AL,14,FALSE)</f>
        <v>-</v>
      </c>
      <c r="AH61" s="5">
        <f>VLOOKUP($A61,'SegEnds_NonXtal_Prot#'!$A:$AL,17,FALSE)</f>
        <v>516</v>
      </c>
      <c r="AI61" s="5">
        <f>VLOOKUP($A61,'SegEnds_NonXtal_Prot#'!$A:$AL,20,FALSE)</f>
        <v>523</v>
      </c>
      <c r="AJ61" s="5">
        <f>VLOOKUP($A61,'SegEnds_NonXtal_Prot#'!$A:$AL,23,FALSE)</f>
        <v>549</v>
      </c>
      <c r="AK61" s="5">
        <f>VLOOKUP($A61,'SegEnds_NonXtal_Prot#'!$A:$AL,26,FALSE)</f>
        <v>565</v>
      </c>
      <c r="AL61" s="5">
        <f>VLOOKUP($A61,'SegEnds_NonXtal_Prot#'!$A:$AL,29,FALSE)</f>
        <v>613</v>
      </c>
      <c r="AM61" s="5">
        <f>VLOOKUP($A61,'SegEnds_NonXtal_Prot#'!$A:$AL,32,FALSE)</f>
        <v>654</v>
      </c>
      <c r="AN61" s="5">
        <f>VLOOKUP($A61,'SegEnds_NonXtal_Prot#'!$A:$AL,35,FALSE)</f>
        <v>684</v>
      </c>
      <c r="AO61" s="5">
        <f>VLOOKUP($A61,'SegEnds_NonXtal_Prot#'!$A:$AL,38,FALSE)</f>
        <v>707</v>
      </c>
      <c r="AP61" s="5">
        <f t="shared" si="13"/>
        <v>31</v>
      </c>
      <c r="AQ61" s="4">
        <f t="shared" si="14"/>
        <v>3</v>
      </c>
      <c r="AR61" s="4">
        <f t="shared" si="15"/>
        <v>30</v>
      </c>
      <c r="AS61" s="4" t="str">
        <f t="shared" si="16"/>
        <v>-</v>
      </c>
      <c r="AT61" s="4">
        <f t="shared" si="17"/>
        <v>38</v>
      </c>
      <c r="AU61" s="4">
        <f t="shared" si="18"/>
        <v>6</v>
      </c>
      <c r="AV61" s="4">
        <f t="shared" si="19"/>
        <v>25</v>
      </c>
      <c r="AW61" s="4">
        <f t="shared" si="20"/>
        <v>2</v>
      </c>
      <c r="AX61" s="4">
        <f t="shared" si="21"/>
        <v>37</v>
      </c>
      <c r="AY61" s="4">
        <f t="shared" si="22"/>
        <v>37</v>
      </c>
      <c r="AZ61" s="4">
        <f t="shared" si="23"/>
        <v>25</v>
      </c>
      <c r="BA61" s="4">
        <f t="shared" si="24"/>
        <v>22</v>
      </c>
    </row>
    <row r="62" spans="1:53" x14ac:dyDescent="0.2">
      <c r="A62" s="1" t="str">
        <f>'SegEnds_NonXtal_Prot#'!A30</f>
        <v>rxfp2_human</v>
      </c>
      <c r="B62" s="1" t="str">
        <f t="shared" si="0"/>
        <v>LLANNILRIFVWVIAFITCFGNLFVIGMRSFITTHAMSIKILCCADCLMGVYLFFVGIFDIKYLWMESVQCRLMGFLAMLSTEVSVLLLTYLTLEKFLVIVFGKRQTSVILICIWMAGFLIAVIPFWNSKGYSLGIFLGVNLLAFLIIVFSYITMFCSIQKTALQTRNCFGREVAVANRFFFIVFSDAICWIPVFVVKILSLFRDTMTSWIVIFFLPVNSALNPILYTLTTNFFKDKLKQLLHKHQRKSIFKI</v>
      </c>
      <c r="C62" s="29" t="str">
        <f>IF(ISERROR(MATCH(A62,'SegEnds_Xtal_Prot#'!B:B, 0)), "NoXtal", "Xtal")</f>
        <v>NoXtal</v>
      </c>
      <c r="D62" s="4" t="str">
        <f>VLOOKUP(A62,Classification!A:D,2,FALSE)</f>
        <v>A</v>
      </c>
      <c r="E62" s="5" t="str">
        <f>VLOOKUP(A62,Seqs!A:B,2,FALSE)</f>
        <v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v>
      </c>
      <c r="F62" s="5" t="str">
        <f t="shared" si="1"/>
        <v>LLANNILRIFVWVIAFITCFGNLFVIGMRSFI</v>
      </c>
      <c r="G62" s="4" t="str">
        <f t="shared" si="2"/>
        <v>KAEN</v>
      </c>
      <c r="H62" s="4" t="str">
        <f t="shared" si="3"/>
        <v>TTHAMSIKILCCADCLMGVYLFFVGIFDIKY</v>
      </c>
      <c r="I62" s="4" t="str">
        <f t="shared" si="4"/>
        <v>KYAL</v>
      </c>
      <c r="J62" s="4" t="str">
        <f t="shared" si="5"/>
        <v>LWMESVQCRLMGFLAMLSTEVSVLLLTYLTLEKFLVIVF</v>
      </c>
      <c r="K62" s="4" t="str">
        <f t="shared" si="6"/>
        <v>PFSNIRP</v>
      </c>
      <c r="L62" s="4" t="str">
        <f t="shared" si="7"/>
        <v>GKRQTSVILICIWMAGFLIAVIPFWN</v>
      </c>
      <c r="M62" s="4" t="str">
        <f t="shared" si="8"/>
        <v>CFP</v>
      </c>
      <c r="N62" s="4" t="str">
        <f t="shared" si="9"/>
        <v>SKGYSLGIFLGVNLLAFLIIVFSYITMFCSIQKTALQT</v>
      </c>
      <c r="O62" s="4" t="str">
        <f t="shared" si="10"/>
        <v>RNCFGREVAVANRFFFIVFSDAICWIPVFVVKILSLFR</v>
      </c>
      <c r="P62" s="4" t="str">
        <f t="shared" si="11"/>
        <v>DTMTSWIVIFFLPVNSALNPILYTLT</v>
      </c>
      <c r="Q62" s="4" t="str">
        <f t="shared" si="12"/>
        <v>TNFFKDKLKQLLHKHQRKSIFKI</v>
      </c>
      <c r="R62" s="5">
        <f>VLOOKUP($A62,'SegEnds_NonXtal_Prot#'!$A:$AL,3,FALSE)</f>
        <v>412</v>
      </c>
      <c r="S62" s="5">
        <f>VLOOKUP($A62,'SegEnds_NonXtal_Prot#'!$A:$AL,6,FALSE)</f>
        <v>444</v>
      </c>
      <c r="T62" s="5">
        <f>VLOOKUP($A62,'SegEnds_NonXtal_Prot#'!$A:$AL,9,FALSE)</f>
        <v>448</v>
      </c>
      <c r="U62" s="5">
        <f>VLOOKUP($A62,'SegEnds_NonXtal_Prot#'!$A:$AL,12,FALSE)</f>
        <v>484</v>
      </c>
      <c r="V62" s="5">
        <f>VLOOKUP($A62,'SegEnds_NonXtal_Prot#'!$A:$AL,15,FALSE)</f>
        <v>488</v>
      </c>
      <c r="W62" s="5">
        <f>VLOOKUP($A62,'SegEnds_NonXtal_Prot#'!$A:$AL,18,FALSE)</f>
        <v>527</v>
      </c>
      <c r="X62" s="5">
        <f>VLOOKUP($A62,'SegEnds_NonXtal_Prot#'!$A:$AL,21,FALSE)</f>
        <v>534</v>
      </c>
      <c r="Y62" s="5">
        <f>VLOOKUP($A62,'SegEnds_NonXtal_Prot#'!$A:$AL,24,FALSE)</f>
        <v>573</v>
      </c>
      <c r="Z62" s="5">
        <f>VLOOKUP($A62,'SegEnds_NonXtal_Prot#'!$A:$AL,27,FALSE)</f>
        <v>586</v>
      </c>
      <c r="AA62" s="5">
        <f>VLOOKUP($A62,'SegEnds_NonXtal_Prot#'!$A:$AL,30,FALSE)</f>
        <v>627</v>
      </c>
      <c r="AB62" s="5">
        <f>VLOOKUP($A62,'SegEnds_NonXtal_Prot#'!$A:$AL,33,FALSE)</f>
        <v>669</v>
      </c>
      <c r="AC62" s="5">
        <f>VLOOKUP($A62,'SegEnds_NonXtal_Prot#'!$A:$AL,36,FALSE)</f>
        <v>695</v>
      </c>
      <c r="AD62" s="5">
        <f>VLOOKUP($A62,'SegEnds_NonXtal_Prot#'!$A:$AL,5,FALSE)</f>
        <v>443</v>
      </c>
      <c r="AE62" s="5">
        <f>VLOOKUP($A62,'SegEnds_NonXtal_Prot#'!$A:$AL,8,FALSE)</f>
        <v>447</v>
      </c>
      <c r="AF62" s="5">
        <f>VLOOKUP($A62,'SegEnds_NonXtal_Prot#'!$A:$AL,11,FALSE)</f>
        <v>478</v>
      </c>
      <c r="AG62" s="5">
        <f>VLOOKUP($A62,'SegEnds_NonXtal_Prot#'!$A:$AL,14,FALSE)</f>
        <v>487</v>
      </c>
      <c r="AH62" s="5">
        <f>VLOOKUP($A62,'SegEnds_NonXtal_Prot#'!$A:$AL,17,FALSE)</f>
        <v>526</v>
      </c>
      <c r="AI62" s="5">
        <f>VLOOKUP($A62,'SegEnds_NonXtal_Prot#'!$A:$AL,20,FALSE)</f>
        <v>533</v>
      </c>
      <c r="AJ62" s="5">
        <f>VLOOKUP($A62,'SegEnds_NonXtal_Prot#'!$A:$AL,23,FALSE)</f>
        <v>559</v>
      </c>
      <c r="AK62" s="5">
        <f>VLOOKUP($A62,'SegEnds_NonXtal_Prot#'!$A:$AL,26,FALSE)</f>
        <v>575</v>
      </c>
      <c r="AL62" s="5">
        <f>VLOOKUP($A62,'SegEnds_NonXtal_Prot#'!$A:$AL,29,FALSE)</f>
        <v>623</v>
      </c>
      <c r="AM62" s="5">
        <f>VLOOKUP($A62,'SegEnds_NonXtal_Prot#'!$A:$AL,32,FALSE)</f>
        <v>664</v>
      </c>
      <c r="AN62" s="5">
        <f>VLOOKUP($A62,'SegEnds_NonXtal_Prot#'!$A:$AL,35,FALSE)</f>
        <v>694</v>
      </c>
      <c r="AO62" s="5">
        <f>VLOOKUP($A62,'SegEnds_NonXtal_Prot#'!$A:$AL,38,FALSE)</f>
        <v>717</v>
      </c>
      <c r="AP62" s="5">
        <f t="shared" si="13"/>
        <v>31</v>
      </c>
      <c r="AQ62" s="4">
        <f t="shared" si="14"/>
        <v>3</v>
      </c>
      <c r="AR62" s="4">
        <f t="shared" si="15"/>
        <v>30</v>
      </c>
      <c r="AS62" s="4">
        <f t="shared" si="16"/>
        <v>3</v>
      </c>
      <c r="AT62" s="4">
        <f t="shared" si="17"/>
        <v>38</v>
      </c>
      <c r="AU62" s="4">
        <f t="shared" si="18"/>
        <v>6</v>
      </c>
      <c r="AV62" s="4">
        <f t="shared" si="19"/>
        <v>25</v>
      </c>
      <c r="AW62" s="4">
        <f t="shared" si="20"/>
        <v>2</v>
      </c>
      <c r="AX62" s="4">
        <f t="shared" si="21"/>
        <v>37</v>
      </c>
      <c r="AY62" s="4">
        <f t="shared" si="22"/>
        <v>37</v>
      </c>
      <c r="AZ62" s="4">
        <f t="shared" si="23"/>
        <v>25</v>
      </c>
      <c r="BA62" s="4">
        <f t="shared" si="24"/>
        <v>22</v>
      </c>
    </row>
    <row r="63" spans="1:53" x14ac:dyDescent="0.2">
      <c r="A63" s="1" t="str">
        <f>'SegEnds_NonXtal_Prot#'!A32</f>
        <v>s1pr2_human</v>
      </c>
      <c r="B63" s="1" t="str">
        <f t="shared" si="0"/>
        <v>TTSRQVASAFIVILCCAIVVENLLVLIAVARNSAMYLFLGNLAASDLLAGVAFVANTLLTPVQWFAREGSAFITLSASVFSLLAIAIERHVAIAKKSCRMLLLIGASWLISLVLGGLPILGAKHYVLCVVTIFSIILLAIVALYVRIYCVVRSAAPQTLALLKTVTIVLGVFIVCWLPAFSILLLDYACPILYKAHYFFAVSTLNSLLNPVIYTWRSRDLRREVLRPLQ</v>
      </c>
      <c r="C63" s="29" t="str">
        <f>IF(ISERROR(MATCH(A63,'SegEnds_Xtal_Prot#'!B:B, 0)), "NoXtal", "Xtal")</f>
        <v>NoXtal</v>
      </c>
      <c r="D63" s="4" t="str">
        <f>VLOOKUP(A63,Classification!A:D,2,FALSE)</f>
        <v>A</v>
      </c>
      <c r="E63" s="5" t="str">
        <f>VLOOKUP(A63,Seqs!A:B,2,FALSE)</f>
        <v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</v>
      </c>
      <c r="F63" s="5" t="str">
        <f t="shared" si="1"/>
        <v>TTSRQVASAFIVILCCAIVVENLLVLIAVARN</v>
      </c>
      <c r="G63" s="4" t="str">
        <f t="shared" si="2"/>
        <v>SKFH</v>
      </c>
      <c r="H63" s="4" t="str">
        <f t="shared" si="3"/>
        <v>SAMYLFLGNLAASDLLAGVAFVANTLL</v>
      </c>
      <c r="I63" s="4" t="str">
        <f t="shared" si="4"/>
        <v>GSVTLRL</v>
      </c>
      <c r="J63" s="4" t="str">
        <f t="shared" si="5"/>
        <v>TPVQWFAREGSAFITLSASVFSLLAIAIERHVAIAK</v>
      </c>
      <c r="K63" s="4" t="str">
        <f t="shared" si="6"/>
        <v>VKLYGSD</v>
      </c>
      <c r="L63" s="4" t="str">
        <f t="shared" si="7"/>
        <v>KSCRMLLLIGASWLISLVLGGLPILG</v>
      </c>
      <c r="M63" s="4" t="str">
        <f t="shared" si="8"/>
        <v/>
      </c>
      <c r="N63" s="4" t="str">
        <f t="shared" si="9"/>
        <v>AKHYVLCVVTIFSIILLAIVALYVRIYCVVRS</v>
      </c>
      <c r="O63" s="4" t="str">
        <f t="shared" si="10"/>
        <v>AAPQTLALLKTVTIVLGVFIVCWLPAFSILLLDYAC</v>
      </c>
      <c r="P63" s="4" t="str">
        <f t="shared" si="11"/>
        <v>PILYKAHYFFAVSTLNSLLNPVIYTWR</v>
      </c>
      <c r="Q63" s="4" t="str">
        <f t="shared" si="12"/>
        <v>SRDLRREVLRPLQ</v>
      </c>
      <c r="R63" s="5">
        <f>VLOOKUP($A63,'SegEnds_NonXtal_Prot#'!$A:$AL,3,FALSE)</f>
        <v>30</v>
      </c>
      <c r="S63" s="5">
        <f>VLOOKUP($A63,'SegEnds_NonXtal_Prot#'!$A:$AL,6,FALSE)</f>
        <v>62</v>
      </c>
      <c r="T63" s="5">
        <f>VLOOKUP($A63,'SegEnds_NonXtal_Prot#'!$A:$AL,9,FALSE)</f>
        <v>66</v>
      </c>
      <c r="U63" s="5">
        <f>VLOOKUP($A63,'SegEnds_NonXtal_Prot#'!$A:$AL,12,FALSE)</f>
        <v>94</v>
      </c>
      <c r="V63" s="5">
        <f>VLOOKUP($A63,'SegEnds_NonXtal_Prot#'!$A:$AL,15,FALSE)</f>
        <v>101</v>
      </c>
      <c r="W63" s="5">
        <f>VLOOKUP($A63,'SegEnds_NonXtal_Prot#'!$A:$AL,18,FALSE)</f>
        <v>137</v>
      </c>
      <c r="X63" s="5">
        <f>VLOOKUP($A63,'SegEnds_NonXtal_Prot#'!$A:$AL,21,FALSE)</f>
        <v>144</v>
      </c>
      <c r="Y63" s="5" t="str">
        <f>VLOOKUP($A63,'SegEnds_NonXtal_Prot#'!$A:$AL,24,FALSE)</f>
        <v>-</v>
      </c>
      <c r="Z63" s="5">
        <f>VLOOKUP($A63,'SegEnds_NonXtal_Prot#'!$A:$AL,27,FALSE)</f>
        <v>187</v>
      </c>
      <c r="AA63" s="5">
        <f>VLOOKUP($A63,'SegEnds_NonXtal_Prot#'!$A:$AL,30,FALSE)</f>
        <v>224</v>
      </c>
      <c r="AB63" s="5">
        <f>VLOOKUP($A63,'SegEnds_NonXtal_Prot#'!$A:$AL,33,FALSE)</f>
        <v>265</v>
      </c>
      <c r="AC63" s="5">
        <f>VLOOKUP($A63,'SegEnds_NonXtal_Prot#'!$A:$AL,36,FALSE)</f>
        <v>292</v>
      </c>
      <c r="AD63" s="5">
        <f>VLOOKUP($A63,'SegEnds_NonXtal_Prot#'!$A:$AL,5,FALSE)</f>
        <v>61</v>
      </c>
      <c r="AE63" s="5">
        <f>VLOOKUP($A63,'SegEnds_NonXtal_Prot#'!$A:$AL,8,FALSE)</f>
        <v>65</v>
      </c>
      <c r="AF63" s="5">
        <f>VLOOKUP($A63,'SegEnds_NonXtal_Prot#'!$A:$AL,11,FALSE)</f>
        <v>92</v>
      </c>
      <c r="AG63" s="5">
        <f>VLOOKUP($A63,'SegEnds_NonXtal_Prot#'!$A:$AL,14,FALSE)</f>
        <v>100</v>
      </c>
      <c r="AH63" s="5">
        <f>VLOOKUP($A63,'SegEnds_NonXtal_Prot#'!$A:$AL,17,FALSE)</f>
        <v>136</v>
      </c>
      <c r="AI63" s="5">
        <f>VLOOKUP($A63,'SegEnds_NonXtal_Prot#'!$A:$AL,20,FALSE)</f>
        <v>143</v>
      </c>
      <c r="AJ63" s="5">
        <f>VLOOKUP($A63,'SegEnds_NonXtal_Prot#'!$A:$AL,23,FALSE)</f>
        <v>169</v>
      </c>
      <c r="AK63" s="5" t="str">
        <f>VLOOKUP($A63,'SegEnds_NonXtal_Prot#'!$A:$AL,26,FALSE)</f>
        <v>-</v>
      </c>
      <c r="AL63" s="5">
        <f>VLOOKUP($A63,'SegEnds_NonXtal_Prot#'!$A:$AL,29,FALSE)</f>
        <v>218</v>
      </c>
      <c r="AM63" s="5">
        <f>VLOOKUP($A63,'SegEnds_NonXtal_Prot#'!$A:$AL,32,FALSE)</f>
        <v>259</v>
      </c>
      <c r="AN63" s="5">
        <f>VLOOKUP($A63,'SegEnds_NonXtal_Prot#'!$A:$AL,35,FALSE)</f>
        <v>291</v>
      </c>
      <c r="AO63" s="5">
        <f>VLOOKUP($A63,'SegEnds_NonXtal_Prot#'!$A:$AL,38,FALSE)</f>
        <v>304</v>
      </c>
      <c r="AP63" s="5">
        <f t="shared" si="13"/>
        <v>31</v>
      </c>
      <c r="AQ63" s="4">
        <f t="shared" si="14"/>
        <v>3</v>
      </c>
      <c r="AR63" s="4">
        <f t="shared" si="15"/>
        <v>26</v>
      </c>
      <c r="AS63" s="4">
        <f t="shared" si="16"/>
        <v>6</v>
      </c>
      <c r="AT63" s="4">
        <f t="shared" si="17"/>
        <v>35</v>
      </c>
      <c r="AU63" s="4">
        <f t="shared" si="18"/>
        <v>6</v>
      </c>
      <c r="AV63" s="4">
        <f t="shared" si="19"/>
        <v>25</v>
      </c>
      <c r="AW63" s="4" t="str">
        <f t="shared" si="20"/>
        <v>-</v>
      </c>
      <c r="AX63" s="4">
        <f t="shared" si="21"/>
        <v>31</v>
      </c>
      <c r="AY63" s="4">
        <f t="shared" si="22"/>
        <v>35</v>
      </c>
      <c r="AZ63" s="4">
        <f t="shared" si="23"/>
        <v>26</v>
      </c>
      <c r="BA63" s="4">
        <f t="shared" si="24"/>
        <v>12</v>
      </c>
    </row>
    <row r="64" spans="1:53" x14ac:dyDescent="0.2">
      <c r="A64" s="1" t="str">
        <f>'SegEnds_NonXtal_Prot#'!A33</f>
        <v>s1pr3_human</v>
      </c>
      <c r="B64" s="1" t="str">
        <f t="shared" si="0"/>
        <v>SEGSTLTTVLFLVICSFIVLENLMVLIAIWKNNRMYFFIGNLALCDLLAGIAYKVNILMSPTVWFLREGSMFVALGASTCSLLAIAIERHLTMIKKRHRVFLLIGMCWLIAFTLGALPILGSKKYIAFCISIFTAILVTIVILYARIYFLVKSSNHNNSERSMALLRTVVIVVSVFIACWSPLFILFLIDVACPILFKAQWFIVLAVLNSAMNPVIYTLASKEMRRAFFRLVC</v>
      </c>
      <c r="C64" s="29" t="str">
        <f>IF(ISERROR(MATCH(A64,'SegEnds_Xtal_Prot#'!B:B, 0)), "NoXtal", "Xtal")</f>
        <v>NoXtal</v>
      </c>
      <c r="D64" s="4" t="str">
        <f>VLOOKUP(A64,Classification!A:D,2,FALSE)</f>
        <v>A</v>
      </c>
      <c r="E64" s="5" t="str">
        <f>VLOOKUP(A64,Seqs!A:B,2,FALSE)</f>
        <v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v>
      </c>
      <c r="F64" s="5" t="str">
        <f t="shared" si="1"/>
        <v>SEGSTLTTVLFLVICSFIVLENLMVLIAIWKN</v>
      </c>
      <c r="G64" s="4" t="str">
        <f t="shared" si="2"/>
        <v>NKFH</v>
      </c>
      <c r="H64" s="4" t="str">
        <f t="shared" si="3"/>
        <v>NRMYFFIGNLALCDLLAGIAYKVNILM</v>
      </c>
      <c r="I64" s="4" t="str">
        <f t="shared" si="4"/>
        <v>GKKTFSL</v>
      </c>
      <c r="J64" s="4" t="str">
        <f t="shared" si="5"/>
        <v>SPTVWFLREGSMFVALGASTCSLLAIAIERHLTMIK</v>
      </c>
      <c r="K64" s="4" t="str">
        <f t="shared" si="6"/>
        <v>MRPYDAN</v>
      </c>
      <c r="L64" s="4" t="str">
        <f t="shared" si="7"/>
        <v>KRHRVFLLIGMCWLIAFTLGALPILG</v>
      </c>
      <c r="M64" s="4" t="str">
        <f t="shared" si="8"/>
        <v/>
      </c>
      <c r="N64" s="4" t="str">
        <f t="shared" si="9"/>
        <v>SKKYIAFCISIFTAILVTIVILYARIYFLVKSS</v>
      </c>
      <c r="O64" s="4" t="str">
        <f t="shared" si="10"/>
        <v>NHNNSERSMALLRTVVIVVSVFIACWSPLFILFLIDVAC</v>
      </c>
      <c r="P64" s="4" t="str">
        <f t="shared" si="11"/>
        <v>PILFKAQWFIVLAVLNSAMNPVIYTLA</v>
      </c>
      <c r="Q64" s="4" t="str">
        <f t="shared" si="12"/>
        <v>SKEMRRAFFRLVC</v>
      </c>
      <c r="R64" s="5">
        <f>VLOOKUP($A64,'SegEnds_NonXtal_Prot#'!$A:$AL,3,FALSE)</f>
        <v>36</v>
      </c>
      <c r="S64" s="5">
        <f>VLOOKUP($A64,'SegEnds_NonXtal_Prot#'!$A:$AL,6,FALSE)</f>
        <v>68</v>
      </c>
      <c r="T64" s="5">
        <f>VLOOKUP($A64,'SegEnds_NonXtal_Prot#'!$A:$AL,9,FALSE)</f>
        <v>72</v>
      </c>
      <c r="U64" s="5">
        <f>VLOOKUP($A64,'SegEnds_NonXtal_Prot#'!$A:$AL,12,FALSE)</f>
        <v>100</v>
      </c>
      <c r="V64" s="5">
        <f>VLOOKUP($A64,'SegEnds_NonXtal_Prot#'!$A:$AL,15,FALSE)</f>
        <v>107</v>
      </c>
      <c r="W64" s="5">
        <f>VLOOKUP($A64,'SegEnds_NonXtal_Prot#'!$A:$AL,18,FALSE)</f>
        <v>143</v>
      </c>
      <c r="X64" s="5">
        <f>VLOOKUP($A64,'SegEnds_NonXtal_Prot#'!$A:$AL,21,FALSE)</f>
        <v>150</v>
      </c>
      <c r="Y64" s="5" t="str">
        <f>VLOOKUP($A64,'SegEnds_NonXtal_Prot#'!$A:$AL,24,FALSE)</f>
        <v>-</v>
      </c>
      <c r="Z64" s="5">
        <f>VLOOKUP($A64,'SegEnds_NonXtal_Prot#'!$A:$AL,27,FALSE)</f>
        <v>193</v>
      </c>
      <c r="AA64" s="5">
        <f>VLOOKUP($A64,'SegEnds_NonXtal_Prot#'!$A:$AL,30,FALSE)</f>
        <v>231</v>
      </c>
      <c r="AB64" s="5">
        <f>VLOOKUP($A64,'SegEnds_NonXtal_Prot#'!$A:$AL,33,FALSE)</f>
        <v>275</v>
      </c>
      <c r="AC64" s="5">
        <f>VLOOKUP($A64,'SegEnds_NonXtal_Prot#'!$A:$AL,36,FALSE)</f>
        <v>302</v>
      </c>
      <c r="AD64" s="5">
        <f>VLOOKUP($A64,'SegEnds_NonXtal_Prot#'!$A:$AL,5,FALSE)</f>
        <v>67</v>
      </c>
      <c r="AE64" s="5">
        <f>VLOOKUP($A64,'SegEnds_NonXtal_Prot#'!$A:$AL,8,FALSE)</f>
        <v>71</v>
      </c>
      <c r="AF64" s="5">
        <f>VLOOKUP($A64,'SegEnds_NonXtal_Prot#'!$A:$AL,11,FALSE)</f>
        <v>98</v>
      </c>
      <c r="AG64" s="5">
        <f>VLOOKUP($A64,'SegEnds_NonXtal_Prot#'!$A:$AL,14,FALSE)</f>
        <v>106</v>
      </c>
      <c r="AH64" s="5">
        <f>VLOOKUP($A64,'SegEnds_NonXtal_Prot#'!$A:$AL,17,FALSE)</f>
        <v>142</v>
      </c>
      <c r="AI64" s="5">
        <f>VLOOKUP($A64,'SegEnds_NonXtal_Prot#'!$A:$AL,20,FALSE)</f>
        <v>149</v>
      </c>
      <c r="AJ64" s="5">
        <f>VLOOKUP($A64,'SegEnds_NonXtal_Prot#'!$A:$AL,23,FALSE)</f>
        <v>175</v>
      </c>
      <c r="AK64" s="5" t="str">
        <f>VLOOKUP($A64,'SegEnds_NonXtal_Prot#'!$A:$AL,26,FALSE)</f>
        <v>-</v>
      </c>
      <c r="AL64" s="5">
        <f>VLOOKUP($A64,'SegEnds_NonXtal_Prot#'!$A:$AL,29,FALSE)</f>
        <v>225</v>
      </c>
      <c r="AM64" s="5">
        <f>VLOOKUP($A64,'SegEnds_NonXtal_Prot#'!$A:$AL,32,FALSE)</f>
        <v>269</v>
      </c>
      <c r="AN64" s="5">
        <f>VLOOKUP($A64,'SegEnds_NonXtal_Prot#'!$A:$AL,35,FALSE)</f>
        <v>301</v>
      </c>
      <c r="AO64" s="5">
        <f>VLOOKUP($A64,'SegEnds_NonXtal_Prot#'!$A:$AL,38,FALSE)</f>
        <v>314</v>
      </c>
      <c r="AP64" s="5">
        <f t="shared" si="13"/>
        <v>31</v>
      </c>
      <c r="AQ64" s="4">
        <f t="shared" si="14"/>
        <v>3</v>
      </c>
      <c r="AR64" s="4">
        <f t="shared" si="15"/>
        <v>26</v>
      </c>
      <c r="AS64" s="4">
        <f t="shared" si="16"/>
        <v>6</v>
      </c>
      <c r="AT64" s="4">
        <f t="shared" si="17"/>
        <v>35</v>
      </c>
      <c r="AU64" s="4">
        <f t="shared" si="18"/>
        <v>6</v>
      </c>
      <c r="AV64" s="4">
        <f t="shared" si="19"/>
        <v>25</v>
      </c>
      <c r="AW64" s="4" t="str">
        <f t="shared" si="20"/>
        <v>-</v>
      </c>
      <c r="AX64" s="4">
        <f t="shared" si="21"/>
        <v>32</v>
      </c>
      <c r="AY64" s="4">
        <f t="shared" si="22"/>
        <v>38</v>
      </c>
      <c r="AZ64" s="4">
        <f t="shared" si="23"/>
        <v>26</v>
      </c>
      <c r="BA64" s="4">
        <f t="shared" si="24"/>
        <v>12</v>
      </c>
    </row>
    <row r="65" spans="1:53" x14ac:dyDescent="0.2">
      <c r="A65" s="1" t="str">
        <f>'SegEnds_NonXtal_Prot#'!A34</f>
        <v>s1pr5_human</v>
      </c>
      <c r="B65" s="1" t="str">
        <f t="shared" si="0"/>
        <v>GAGLRADAVVCLAVCAFIVLENLAVLLVLGRHAPMFLLLGSLTLSDLLAGAAYAANILLSPALWFAREGGVFVALTASVLSLLAIALERSLTMARSRGRTLAMAAAAWGVSLLLGLLPALGAKAYVLFCVLAFVGILAAICALYARIYCQVRANARRLPASTRARRKPRSLALLRTLSVVLLAFVACWGPLFLLLLLDVACPVLLQADPFLGLAMANSLLNPIIYTLTNRDLRHALLRLVC</v>
      </c>
      <c r="C65" s="29" t="str">
        <f>IF(ISERROR(MATCH(A65,'SegEnds_Xtal_Prot#'!B:B, 0)), "NoXtal", "Xtal")</f>
        <v>NoXtal</v>
      </c>
      <c r="D65" s="4" t="str">
        <f>VLOOKUP(A65,Classification!A:D,2,FALSE)</f>
        <v>A</v>
      </c>
      <c r="E65" s="5" t="str">
        <f>VLOOKUP(A65,Seqs!A:B,2,FALSE)</f>
        <v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v>
      </c>
      <c r="F65" s="5" t="str">
        <f t="shared" si="1"/>
        <v>GAGLRADAVVCLAVCAFIVLENLAVLLVLGRH</v>
      </c>
      <c r="G65" s="4" t="str">
        <f t="shared" si="2"/>
        <v>PRFH</v>
      </c>
      <c r="H65" s="4" t="str">
        <f t="shared" si="3"/>
        <v>APMFLLLGSLTLSDLLAGAAYAANILL</v>
      </c>
      <c r="I65" s="4" t="str">
        <f t="shared" si="4"/>
        <v>GPLTLKL</v>
      </c>
      <c r="J65" s="4" t="str">
        <f t="shared" si="5"/>
        <v>SPALWFAREGGVFVALTASVLSLLAIALERSLTMAR</v>
      </c>
      <c r="K65" s="4" t="str">
        <f t="shared" si="6"/>
        <v>RGPAPVS</v>
      </c>
      <c r="L65" s="4" t="str">
        <f t="shared" si="7"/>
        <v>SRGRTLAMAAAAWGVSLLLGLLPALG</v>
      </c>
      <c r="M65" s="4" t="str">
        <f t="shared" si="8"/>
        <v/>
      </c>
      <c r="N65" s="4" t="str">
        <f t="shared" si="9"/>
        <v>AKAYVLFCVLAFVGILAAICALYARIYCQVRANARRLPA</v>
      </c>
      <c r="O65" s="4" t="str">
        <f t="shared" si="10"/>
        <v>STRARRKPRSLALLRTLSVVLLAFVACWGPLFLLLLLDVAC</v>
      </c>
      <c r="P65" s="4" t="str">
        <f t="shared" si="11"/>
        <v>PVLLQADPFLGLAMANSLLNPIIYTLT</v>
      </c>
      <c r="Q65" s="4" t="str">
        <f t="shared" si="12"/>
        <v>NRDLRHALLRLVC</v>
      </c>
      <c r="R65" s="5">
        <f>VLOOKUP($A65,'SegEnds_NonXtal_Prot#'!$A:$AL,3,FALSE)</f>
        <v>33</v>
      </c>
      <c r="S65" s="5">
        <f>VLOOKUP($A65,'SegEnds_NonXtal_Prot#'!$A:$AL,6,FALSE)</f>
        <v>65</v>
      </c>
      <c r="T65" s="5">
        <f>VLOOKUP($A65,'SegEnds_NonXtal_Prot#'!$A:$AL,9,FALSE)</f>
        <v>69</v>
      </c>
      <c r="U65" s="5">
        <f>VLOOKUP($A65,'SegEnds_NonXtal_Prot#'!$A:$AL,12,FALSE)</f>
        <v>97</v>
      </c>
      <c r="V65" s="5">
        <f>VLOOKUP($A65,'SegEnds_NonXtal_Prot#'!$A:$AL,15,FALSE)</f>
        <v>104</v>
      </c>
      <c r="W65" s="5">
        <f>VLOOKUP($A65,'SegEnds_NonXtal_Prot#'!$A:$AL,18,FALSE)</f>
        <v>140</v>
      </c>
      <c r="X65" s="5">
        <f>VLOOKUP($A65,'SegEnds_NonXtal_Prot#'!$A:$AL,21,FALSE)</f>
        <v>147</v>
      </c>
      <c r="Y65" s="5" t="str">
        <f>VLOOKUP($A65,'SegEnds_NonXtal_Prot#'!$A:$AL,24,FALSE)</f>
        <v>-</v>
      </c>
      <c r="Z65" s="5">
        <f>VLOOKUP($A65,'SegEnds_NonXtal_Prot#'!$A:$AL,27,FALSE)</f>
        <v>190</v>
      </c>
      <c r="AA65" s="5">
        <f>VLOOKUP($A65,'SegEnds_NonXtal_Prot#'!$A:$AL,30,FALSE)</f>
        <v>237</v>
      </c>
      <c r="AB65" s="5">
        <f>VLOOKUP($A65,'SegEnds_NonXtal_Prot#'!$A:$AL,33,FALSE)</f>
        <v>283</v>
      </c>
      <c r="AC65" s="5">
        <f>VLOOKUP($A65,'SegEnds_NonXtal_Prot#'!$A:$AL,36,FALSE)</f>
        <v>310</v>
      </c>
      <c r="AD65" s="5">
        <f>VLOOKUP($A65,'SegEnds_NonXtal_Prot#'!$A:$AL,5,FALSE)</f>
        <v>64</v>
      </c>
      <c r="AE65" s="5">
        <f>VLOOKUP($A65,'SegEnds_NonXtal_Prot#'!$A:$AL,8,FALSE)</f>
        <v>68</v>
      </c>
      <c r="AF65" s="5">
        <f>VLOOKUP($A65,'SegEnds_NonXtal_Prot#'!$A:$AL,11,FALSE)</f>
        <v>95</v>
      </c>
      <c r="AG65" s="5">
        <f>VLOOKUP($A65,'SegEnds_NonXtal_Prot#'!$A:$AL,14,FALSE)</f>
        <v>103</v>
      </c>
      <c r="AH65" s="5">
        <f>VLOOKUP($A65,'SegEnds_NonXtal_Prot#'!$A:$AL,17,FALSE)</f>
        <v>139</v>
      </c>
      <c r="AI65" s="5">
        <f>VLOOKUP($A65,'SegEnds_NonXtal_Prot#'!$A:$AL,20,FALSE)</f>
        <v>146</v>
      </c>
      <c r="AJ65" s="5">
        <f>VLOOKUP($A65,'SegEnds_NonXtal_Prot#'!$A:$AL,23,FALSE)</f>
        <v>172</v>
      </c>
      <c r="AK65" s="5" t="str">
        <f>VLOOKUP($A65,'SegEnds_NonXtal_Prot#'!$A:$AL,26,FALSE)</f>
        <v>-</v>
      </c>
      <c r="AL65" s="5">
        <f>VLOOKUP($A65,'SegEnds_NonXtal_Prot#'!$A:$AL,29,FALSE)</f>
        <v>228</v>
      </c>
      <c r="AM65" s="5">
        <f>VLOOKUP($A65,'SegEnds_NonXtal_Prot#'!$A:$AL,32,FALSE)</f>
        <v>277</v>
      </c>
      <c r="AN65" s="5">
        <f>VLOOKUP($A65,'SegEnds_NonXtal_Prot#'!$A:$AL,35,FALSE)</f>
        <v>309</v>
      </c>
      <c r="AO65" s="5">
        <f>VLOOKUP($A65,'SegEnds_NonXtal_Prot#'!$A:$AL,38,FALSE)</f>
        <v>322</v>
      </c>
      <c r="AP65" s="5">
        <f t="shared" si="13"/>
        <v>31</v>
      </c>
      <c r="AQ65" s="4">
        <f t="shared" si="14"/>
        <v>3</v>
      </c>
      <c r="AR65" s="4">
        <f t="shared" si="15"/>
        <v>26</v>
      </c>
      <c r="AS65" s="4">
        <f t="shared" si="16"/>
        <v>6</v>
      </c>
      <c r="AT65" s="4">
        <f t="shared" si="17"/>
        <v>35</v>
      </c>
      <c r="AU65" s="4">
        <f t="shared" si="18"/>
        <v>6</v>
      </c>
      <c r="AV65" s="4">
        <f t="shared" si="19"/>
        <v>25</v>
      </c>
      <c r="AW65" s="4" t="str">
        <f t="shared" si="20"/>
        <v>-</v>
      </c>
      <c r="AX65" s="4">
        <f t="shared" si="21"/>
        <v>38</v>
      </c>
      <c r="AY65" s="4">
        <f t="shared" si="22"/>
        <v>40</v>
      </c>
      <c r="AZ65" s="4">
        <f t="shared" si="23"/>
        <v>26</v>
      </c>
      <c r="BA65" s="4">
        <f t="shared" si="24"/>
        <v>12</v>
      </c>
    </row>
    <row r="66" spans="1:53" x14ac:dyDescent="0.2">
      <c r="A66" s="1" t="str">
        <f>'SegEnds_NonXtal_Prot#'!A35</f>
        <v>ur2r_human</v>
      </c>
      <c r="B66" s="1" t="str">
        <f t="shared" ref="B66:B129" si="25">F66&amp;H66&amp;J66&amp;L66&amp;N66&amp;O66&amp;P66&amp;Q66</f>
        <v>SLEDLVATGTIGTLLSAMGVVGVVGNAYTLVVTCRSASMYVYVVNLALADLLYLLSIPFIVATYVTGDVGCRVLFGLDFLTMHASIFTLTVMSSERYAAVLRPKGYRKLLALGTWLLALLLTLPVMLAMHRAYLTLLFATSIAGPGLLIGLLYARLARAYRRSQRASPGARALRLVLGIVLLFWACFLPFWLWQLLAQYHPRTARIVNYLTTCLTYGNSCANPFLYTLLTRNYRDHLRGRVR</v>
      </c>
      <c r="C66" s="29" t="str">
        <f>IF(ISERROR(MATCH(A66,'SegEnds_Xtal_Prot#'!B:B, 0)), "NoXtal", "Xtal")</f>
        <v>NoXtal</v>
      </c>
      <c r="D66" s="4" t="str">
        <f>VLOOKUP(A66,Classification!A:D,2,FALSE)</f>
        <v>A</v>
      </c>
      <c r="E66" s="5" t="str">
        <f>VLOOKUP(A66,Seqs!A:B,2,FALSE)</f>
        <v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v>
      </c>
      <c r="F66" s="5" t="str">
        <f t="shared" ref="F66:F129" si="26">IFERROR(MID($E66,R66,(AP66+1)),"")</f>
        <v>SLEDLVATGTIGTLLSAMGVVGVVGNAYTLVVTCRS</v>
      </c>
      <c r="G66" s="4" t="str">
        <f t="shared" ref="G66:G129" si="27">IFERROR(MID($E66,S66,(AQ66+1)),"")</f>
        <v>LRAV</v>
      </c>
      <c r="H66" s="4" t="str">
        <f t="shared" ref="H66:H129" si="28">IFERROR(MID($E66,T66,(AR66+1)),"")</f>
        <v>ASMYVYVVNLALADLLYLLSIPFIVATYVT</v>
      </c>
      <c r="I66" s="4" t="str">
        <f t="shared" ref="I66:I129" si="29">IFERROR(MID($E66,U66,(AS66+1)),"")</f>
        <v>EWHF</v>
      </c>
      <c r="J66" s="4" t="str">
        <f t="shared" ref="J66:J129" si="30">IFERROR(MID($E66,V66,(AT66+1)),"")</f>
        <v>GDVGCRVLFGLDFLTMHASIFTLTVMSSERYAAVLR</v>
      </c>
      <c r="K66" s="4" t="str">
        <f t="shared" ref="K66:K129" si="31">IFERROR(MID($E66,W66,(AU66+1)),"")</f>
        <v>PLDTVQR</v>
      </c>
      <c r="L66" s="4" t="str">
        <f t="shared" ref="L66:L129" si="32">IFERROR(MID($E66,X66,(AV66+1)),"")</f>
        <v>PKGYRKLLALGTWLLALLLTLPVMLAM</v>
      </c>
      <c r="M66" s="4" t="str">
        <f t="shared" ref="M66:M129" si="33">IFERROR(MID($E66,Y66,(AW66+1)),"")</f>
        <v>CLP</v>
      </c>
      <c r="N66" s="4" t="str">
        <f t="shared" ref="N66:N129" si="34">IFERROR(MID($E66,Z66,(AX66+1)),"")</f>
        <v>HRAYLTLLFATSIAGPGLLIGLLYARLARAYRRSQRAS</v>
      </c>
      <c r="O66" s="4" t="str">
        <f t="shared" ref="O66:O129" si="35">IFERROR(MID($E66,AA66,(AY66+1)),"")</f>
        <v>PGARALRLVLGIVLLFWACFLPFWLWQLLAQYH</v>
      </c>
      <c r="P66" s="4" t="str">
        <f t="shared" ref="P66:P129" si="36">IFERROR(MID($E66,AB66,(AZ66+1)),"")</f>
        <v>PRTARIVNYLTTCLTYGNSCANPFLYTLL</v>
      </c>
      <c r="Q66" s="4" t="str">
        <f t="shared" ref="Q66:Q129" si="37">IFERROR(MID($E66,AC66,(BA66+1)),"")</f>
        <v>TRNYRDHLRGRVR</v>
      </c>
      <c r="R66" s="5">
        <f>VLOOKUP($A66,'SegEnds_NonXtal_Prot#'!$A:$AL,3,FALSE)</f>
        <v>44</v>
      </c>
      <c r="S66" s="5">
        <f>VLOOKUP($A66,'SegEnds_NonXtal_Prot#'!$A:$AL,6,FALSE)</f>
        <v>80</v>
      </c>
      <c r="T66" s="5">
        <f>VLOOKUP($A66,'SegEnds_NonXtal_Prot#'!$A:$AL,9,FALSE)</f>
        <v>84</v>
      </c>
      <c r="U66" s="5">
        <f>VLOOKUP($A66,'SegEnds_NonXtal_Prot#'!$A:$AL,12,FALSE)</f>
        <v>115</v>
      </c>
      <c r="V66" s="5">
        <f>VLOOKUP($A66,'SegEnds_NonXtal_Prot#'!$A:$AL,15,FALSE)</f>
        <v>119</v>
      </c>
      <c r="W66" s="5">
        <f>VLOOKUP($A66,'SegEnds_NonXtal_Prot#'!$A:$AL,18,FALSE)</f>
        <v>155</v>
      </c>
      <c r="X66" s="5">
        <f>VLOOKUP($A66,'SegEnds_NonXtal_Prot#'!$A:$AL,21,FALSE)</f>
        <v>162</v>
      </c>
      <c r="Y66" s="5">
        <f>VLOOKUP($A66,'SegEnds_NonXtal_Prot#'!$A:$AL,24,FALSE)</f>
        <v>199</v>
      </c>
      <c r="Z66" s="5">
        <f>VLOOKUP($A66,'SegEnds_NonXtal_Prot#'!$A:$AL,27,FALSE)</f>
        <v>208</v>
      </c>
      <c r="AA66" s="5">
        <f>VLOOKUP($A66,'SegEnds_NonXtal_Prot#'!$A:$AL,30,FALSE)</f>
        <v>252</v>
      </c>
      <c r="AB66" s="5">
        <f>VLOOKUP($A66,'SegEnds_NonXtal_Prot#'!$A:$AL,33,FALSE)</f>
        <v>290</v>
      </c>
      <c r="AC66" s="5">
        <f>VLOOKUP($A66,'SegEnds_NonXtal_Prot#'!$A:$AL,36,FALSE)</f>
        <v>319</v>
      </c>
      <c r="AD66" s="5">
        <f>VLOOKUP($A66,'SegEnds_NonXtal_Prot#'!$A:$AL,5,FALSE)</f>
        <v>79</v>
      </c>
      <c r="AE66" s="5">
        <f>VLOOKUP($A66,'SegEnds_NonXtal_Prot#'!$A:$AL,8,FALSE)</f>
        <v>83</v>
      </c>
      <c r="AF66" s="5">
        <f>VLOOKUP($A66,'SegEnds_NonXtal_Prot#'!$A:$AL,11,FALSE)</f>
        <v>113</v>
      </c>
      <c r="AG66" s="5">
        <f>VLOOKUP($A66,'SegEnds_NonXtal_Prot#'!$A:$AL,14,FALSE)</f>
        <v>118</v>
      </c>
      <c r="AH66" s="5">
        <f>VLOOKUP($A66,'SegEnds_NonXtal_Prot#'!$A:$AL,17,FALSE)</f>
        <v>154</v>
      </c>
      <c r="AI66" s="5">
        <f>VLOOKUP($A66,'SegEnds_NonXtal_Prot#'!$A:$AL,20,FALSE)</f>
        <v>161</v>
      </c>
      <c r="AJ66" s="5">
        <f>VLOOKUP($A66,'SegEnds_NonXtal_Prot#'!$A:$AL,23,FALSE)</f>
        <v>188</v>
      </c>
      <c r="AK66" s="5">
        <f>VLOOKUP($A66,'SegEnds_NonXtal_Prot#'!$A:$AL,26,FALSE)</f>
        <v>201</v>
      </c>
      <c r="AL66" s="5">
        <f>VLOOKUP($A66,'SegEnds_NonXtal_Prot#'!$A:$AL,29,FALSE)</f>
        <v>245</v>
      </c>
      <c r="AM66" s="5">
        <f>VLOOKUP($A66,'SegEnds_NonXtal_Prot#'!$A:$AL,32,FALSE)</f>
        <v>284</v>
      </c>
      <c r="AN66" s="5">
        <f>VLOOKUP($A66,'SegEnds_NonXtal_Prot#'!$A:$AL,35,FALSE)</f>
        <v>318</v>
      </c>
      <c r="AO66" s="5">
        <f>VLOOKUP($A66,'SegEnds_NonXtal_Prot#'!$A:$AL,38,FALSE)</f>
        <v>331</v>
      </c>
      <c r="AP66" s="5">
        <f t="shared" ref="AP66:AP129" si="38">IFERROR(AD66-R66,"-")</f>
        <v>35</v>
      </c>
      <c r="AQ66" s="4">
        <f t="shared" ref="AQ66:AQ129" si="39">IFERROR(AE66-S66,"-")</f>
        <v>3</v>
      </c>
      <c r="AR66" s="4">
        <f t="shared" ref="AR66:AR129" si="40">IFERROR(AF66-T66,"-")</f>
        <v>29</v>
      </c>
      <c r="AS66" s="4">
        <f t="shared" ref="AS66:AS129" si="41">IFERROR(AG66-U66,"-")</f>
        <v>3</v>
      </c>
      <c r="AT66" s="4">
        <f t="shared" ref="AT66:AT129" si="42">IFERROR(AH66-V66,"-")</f>
        <v>35</v>
      </c>
      <c r="AU66" s="4">
        <f t="shared" ref="AU66:AU129" si="43">IFERROR(AI66-W66,"-")</f>
        <v>6</v>
      </c>
      <c r="AV66" s="4">
        <f t="shared" ref="AV66:AV129" si="44">IFERROR(AJ66-X66,"-")</f>
        <v>26</v>
      </c>
      <c r="AW66" s="4">
        <f t="shared" ref="AW66:AW129" si="45">IFERROR(AK66-Y66,"-")</f>
        <v>2</v>
      </c>
      <c r="AX66" s="4">
        <f t="shared" ref="AX66:AX129" si="46">IFERROR(AL66-Z66,"-")</f>
        <v>37</v>
      </c>
      <c r="AY66" s="4">
        <f t="shared" ref="AY66:AY129" si="47">IFERROR(AM66-AA66,"-")</f>
        <v>32</v>
      </c>
      <c r="AZ66" s="4">
        <f t="shared" ref="AZ66:AZ129" si="48">IFERROR(AN66-AB66,"-")</f>
        <v>28</v>
      </c>
      <c r="BA66" s="4">
        <f t="shared" ref="BA66:BA129" si="49">IFERROR(AO66-AC66,"-")</f>
        <v>12</v>
      </c>
    </row>
    <row r="67" spans="1:53" x14ac:dyDescent="0.2">
      <c r="A67" s="1" t="str">
        <f>'SegEnds_NonXtal_Prot#'!A36</f>
        <v>v1ar_human</v>
      </c>
      <c r="B67" s="1" t="str">
        <f t="shared" si="25"/>
        <v>LAKLEIAVLAVTFAVAVLGNSSVLLALHRTSRMHLFIRHLSLADLAVAFFQVLPQMCWDIRGPDWLCRVVKHLQVFGMFASAYMLVVMTADRYIAVCHPARRSRLMIAAAWVLSFVLSTPQYFVFWGSRAYVTWMTGGIFVAPVVILGTCYGFICYNIWCNVRGKTASRKSISRAKIRTVKMTFVIVTAYIVCWAPFFIIQMWSVWDTESENPTITITALLGSLNSCCNPWIYMFFSGHLLQDCVQSF</v>
      </c>
      <c r="C67" s="29" t="str">
        <f>IF(ISERROR(MATCH(A67,'SegEnds_Xtal_Prot#'!B:B, 0)), "NoXtal", "Xtal")</f>
        <v>NoXtal</v>
      </c>
      <c r="D67" s="4" t="str">
        <f>VLOOKUP(A67,Classification!A:D,2,FALSE)</f>
        <v>A</v>
      </c>
      <c r="E67" s="5" t="str">
        <f>VLOOKUP(A67,Seqs!A:B,2,FALSE)</f>
        <v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v>
      </c>
      <c r="F67" s="5" t="str">
        <f t="shared" si="26"/>
        <v>LAKLEIAVLAVTFAVAVLGNSSVLLALHRT</v>
      </c>
      <c r="G67" s="4" t="str">
        <f t="shared" si="27"/>
        <v>PRKT</v>
      </c>
      <c r="H67" s="4" t="str">
        <f t="shared" si="28"/>
        <v>SRMHLFIRHLSLADLAVAFFQVLPQMCWDI</v>
      </c>
      <c r="I67" s="4" t="str">
        <f t="shared" si="29"/>
        <v>YRF</v>
      </c>
      <c r="J67" s="4" t="str">
        <f t="shared" si="30"/>
        <v>RGPDWLCRVVKHLQVFGMFASAYMLVVMTADRYIAVCH</v>
      </c>
      <c r="K67" s="4" t="str">
        <f t="shared" si="31"/>
        <v>PLKTLQQ</v>
      </c>
      <c r="L67" s="4" t="str">
        <f t="shared" si="32"/>
        <v>PARRSRLMIAAAWVLSFVLSTPQYFVF</v>
      </c>
      <c r="M67" s="4" t="str">
        <f t="shared" si="33"/>
        <v>CWA</v>
      </c>
      <c r="N67" s="4" t="str">
        <f t="shared" si="34"/>
        <v>WGSRAYVTWMTGGIFVAPVVILGTCYGFICYNIWCNVRGKTASR</v>
      </c>
      <c r="O67" s="4" t="str">
        <f t="shared" si="35"/>
        <v>KSISRAKIRTVKMTFVIVTAYIVCWAPFFIIQMWSVWD</v>
      </c>
      <c r="P67" s="4" t="str">
        <f t="shared" si="36"/>
        <v>TESENPTITITALLGSLNSCCNPWIYMFF</v>
      </c>
      <c r="Q67" s="4" t="str">
        <f t="shared" si="37"/>
        <v>SGHLLQDCVQSF</v>
      </c>
      <c r="R67" s="5">
        <f>VLOOKUP($A67,'SegEnds_NonXtal_Prot#'!$A:$AL,3,FALSE)</f>
        <v>50</v>
      </c>
      <c r="S67" s="5">
        <f>VLOOKUP($A67,'SegEnds_NonXtal_Prot#'!$A:$AL,6,FALSE)</f>
        <v>80</v>
      </c>
      <c r="T67" s="5">
        <f>VLOOKUP($A67,'SegEnds_NonXtal_Prot#'!$A:$AL,9,FALSE)</f>
        <v>84</v>
      </c>
      <c r="U67" s="5">
        <f>VLOOKUP($A67,'SegEnds_NonXtal_Prot#'!$A:$AL,12,FALSE)</f>
        <v>115</v>
      </c>
      <c r="V67" s="5">
        <f>VLOOKUP($A67,'SegEnds_NonXtal_Prot#'!$A:$AL,15,FALSE)</f>
        <v>118</v>
      </c>
      <c r="W67" s="5">
        <f>VLOOKUP($A67,'SegEnds_NonXtal_Prot#'!$A:$AL,18,FALSE)</f>
        <v>156</v>
      </c>
      <c r="X67" s="5">
        <f>VLOOKUP($A67,'SegEnds_NonXtal_Prot#'!$A:$AL,21,FALSE)</f>
        <v>163</v>
      </c>
      <c r="Y67" s="5">
        <f>VLOOKUP($A67,'SegEnds_NonXtal_Prot#'!$A:$AL,24,FALSE)</f>
        <v>203</v>
      </c>
      <c r="Z67" s="5">
        <f>VLOOKUP($A67,'SegEnds_NonXtal_Prot#'!$A:$AL,27,FALSE)</f>
        <v>211</v>
      </c>
      <c r="AA67" s="5">
        <f>VLOOKUP($A67,'SegEnds_NonXtal_Prot#'!$A:$AL,30,FALSE)</f>
        <v>280</v>
      </c>
      <c r="AB67" s="5">
        <f>VLOOKUP($A67,'SegEnds_NonXtal_Prot#'!$A:$AL,33,FALSE)</f>
        <v>323</v>
      </c>
      <c r="AC67" s="5">
        <f>VLOOKUP($A67,'SegEnds_NonXtal_Prot#'!$A:$AL,36,FALSE)</f>
        <v>352</v>
      </c>
      <c r="AD67" s="5">
        <f>VLOOKUP($A67,'SegEnds_NonXtal_Prot#'!$A:$AL,5,FALSE)</f>
        <v>79</v>
      </c>
      <c r="AE67" s="5">
        <f>VLOOKUP($A67,'SegEnds_NonXtal_Prot#'!$A:$AL,8,FALSE)</f>
        <v>83</v>
      </c>
      <c r="AF67" s="5">
        <f>VLOOKUP($A67,'SegEnds_NonXtal_Prot#'!$A:$AL,11,FALSE)</f>
        <v>113</v>
      </c>
      <c r="AG67" s="5">
        <f>VLOOKUP($A67,'SegEnds_NonXtal_Prot#'!$A:$AL,14,FALSE)</f>
        <v>117</v>
      </c>
      <c r="AH67" s="5">
        <f>VLOOKUP($A67,'SegEnds_NonXtal_Prot#'!$A:$AL,17,FALSE)</f>
        <v>155</v>
      </c>
      <c r="AI67" s="5">
        <f>VLOOKUP($A67,'SegEnds_NonXtal_Prot#'!$A:$AL,20,FALSE)</f>
        <v>162</v>
      </c>
      <c r="AJ67" s="5">
        <f>VLOOKUP($A67,'SegEnds_NonXtal_Prot#'!$A:$AL,23,FALSE)</f>
        <v>189</v>
      </c>
      <c r="AK67" s="5">
        <f>VLOOKUP($A67,'SegEnds_NonXtal_Prot#'!$A:$AL,26,FALSE)</f>
        <v>205</v>
      </c>
      <c r="AL67" s="5">
        <f>VLOOKUP($A67,'SegEnds_NonXtal_Prot#'!$A:$AL,29,FALSE)</f>
        <v>254</v>
      </c>
      <c r="AM67" s="5">
        <f>VLOOKUP($A67,'SegEnds_NonXtal_Prot#'!$A:$AL,32,FALSE)</f>
        <v>317</v>
      </c>
      <c r="AN67" s="5">
        <f>VLOOKUP($A67,'SegEnds_NonXtal_Prot#'!$A:$AL,35,FALSE)</f>
        <v>351</v>
      </c>
      <c r="AO67" s="5">
        <f>VLOOKUP($A67,'SegEnds_NonXtal_Prot#'!$A:$AL,38,FALSE)</f>
        <v>363</v>
      </c>
      <c r="AP67" s="5">
        <f t="shared" si="38"/>
        <v>29</v>
      </c>
      <c r="AQ67" s="4">
        <f t="shared" si="39"/>
        <v>3</v>
      </c>
      <c r="AR67" s="4">
        <f t="shared" si="40"/>
        <v>29</v>
      </c>
      <c r="AS67" s="4">
        <f t="shared" si="41"/>
        <v>2</v>
      </c>
      <c r="AT67" s="4">
        <f t="shared" si="42"/>
        <v>37</v>
      </c>
      <c r="AU67" s="4">
        <f t="shared" si="43"/>
        <v>6</v>
      </c>
      <c r="AV67" s="4">
        <f t="shared" si="44"/>
        <v>26</v>
      </c>
      <c r="AW67" s="4">
        <f t="shared" si="45"/>
        <v>2</v>
      </c>
      <c r="AX67" s="4">
        <f t="shared" si="46"/>
        <v>43</v>
      </c>
      <c r="AY67" s="4">
        <f t="shared" si="47"/>
        <v>37</v>
      </c>
      <c r="AZ67" s="4">
        <f t="shared" si="48"/>
        <v>28</v>
      </c>
      <c r="BA67" s="4">
        <f t="shared" si="49"/>
        <v>11</v>
      </c>
    </row>
    <row r="68" spans="1:53" x14ac:dyDescent="0.2">
      <c r="A68" s="1" t="str">
        <f>'SegEnds_NonXtal_Prot#'!A37</f>
        <v>v1br_human</v>
      </c>
      <c r="B68" s="1" t="str">
        <f t="shared" si="25"/>
        <v>EELAKVEIGVLATVLVLATGGNLAVLLTLGQLSRMHLFVLHLALTDLAVALFQVLPQLLWDIQGPDLLCRAVKYLQVLSMFASTYMLLAMTLDRYLAVCHPGQSTYLLIAAPWLLAAIFSLPQVFIFPWGPRAYLTWTTLAIFVLPVTMLTACYSLICHEICKNLKVKTQAWNTISRAKIRTVKMTFVIVLAYIACWAPFFSVQMWSVWDEDSTNVAFTISMLLGNLNSCCNPWIYMGFNSHLLPRPLRHL</v>
      </c>
      <c r="C68" s="29" t="str">
        <f>IF(ISERROR(MATCH(A68,'SegEnds_Xtal_Prot#'!B:B, 0)), "NoXtal", "Xtal")</f>
        <v>NoXtal</v>
      </c>
      <c r="D68" s="4" t="str">
        <f>VLOOKUP(A68,Classification!A:D,2,FALSE)</f>
        <v>A</v>
      </c>
      <c r="E68" s="5" t="str">
        <f>VLOOKUP(A68,Seqs!A:B,2,FALSE)</f>
        <v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v>
      </c>
      <c r="F68" s="5" t="str">
        <f t="shared" si="26"/>
        <v>EELAKVEIGVLATVLVLATGGNLAVLLTLGQL</v>
      </c>
      <c r="G68" s="4" t="str">
        <f t="shared" si="27"/>
        <v>GRKR</v>
      </c>
      <c r="H68" s="4" t="str">
        <f t="shared" si="28"/>
        <v>SRMHLFVLHLALTDLAVALFQVLPQLLWDI</v>
      </c>
      <c r="I68" s="4" t="str">
        <f t="shared" si="29"/>
        <v>YRF</v>
      </c>
      <c r="J68" s="4" t="str">
        <f t="shared" si="30"/>
        <v>QGPDLLCRAVKYLQVLSMFASTYMLLAMTLDRYLAVCH</v>
      </c>
      <c r="K68" s="4" t="str">
        <f t="shared" si="31"/>
        <v>PLRSLQQ</v>
      </c>
      <c r="L68" s="4" t="str">
        <f t="shared" si="32"/>
        <v>PGQSTYLLIAAPWLLAAIFSLPQVFIF</v>
      </c>
      <c r="M68" s="4" t="str">
        <f t="shared" si="33"/>
        <v>CWA</v>
      </c>
      <c r="N68" s="4" t="str">
        <f t="shared" si="34"/>
        <v>PWGPRAYLTWTTLAIFVLPVTMLTACYSLICHEICKNLKVKTQAW</v>
      </c>
      <c r="O68" s="4" t="str">
        <f t="shared" si="35"/>
        <v>NTISRAKIRTVKMTFVIVLAYIACWAPFFSVQMWSVWD</v>
      </c>
      <c r="P68" s="4" t="str">
        <f t="shared" si="36"/>
        <v>EDSTNVAFTISMLLGNLNSCCNPWIYMGF</v>
      </c>
      <c r="Q68" s="4" t="str">
        <f t="shared" si="37"/>
        <v>NSHLLPRPLRHL</v>
      </c>
      <c r="R68" s="5">
        <f>VLOOKUP($A68,'SegEnds_NonXtal_Prot#'!$A:$AL,3,FALSE)</f>
        <v>31</v>
      </c>
      <c r="S68" s="5">
        <f>VLOOKUP($A68,'SegEnds_NonXtal_Prot#'!$A:$AL,6,FALSE)</f>
        <v>63</v>
      </c>
      <c r="T68" s="5">
        <f>VLOOKUP($A68,'SegEnds_NonXtal_Prot#'!$A:$AL,9,FALSE)</f>
        <v>67</v>
      </c>
      <c r="U68" s="5">
        <f>VLOOKUP($A68,'SegEnds_NonXtal_Prot#'!$A:$AL,12,FALSE)</f>
        <v>98</v>
      </c>
      <c r="V68" s="5">
        <f>VLOOKUP($A68,'SegEnds_NonXtal_Prot#'!$A:$AL,15,FALSE)</f>
        <v>101</v>
      </c>
      <c r="W68" s="5">
        <f>VLOOKUP($A68,'SegEnds_NonXtal_Prot#'!$A:$AL,18,FALSE)</f>
        <v>139</v>
      </c>
      <c r="X68" s="5">
        <f>VLOOKUP($A68,'SegEnds_NonXtal_Prot#'!$A:$AL,21,FALSE)</f>
        <v>146</v>
      </c>
      <c r="Y68" s="5">
        <f>VLOOKUP($A68,'SegEnds_NonXtal_Prot#'!$A:$AL,24,FALSE)</f>
        <v>186</v>
      </c>
      <c r="Z68" s="5">
        <f>VLOOKUP($A68,'SegEnds_NonXtal_Prot#'!$A:$AL,27,FALSE)</f>
        <v>193</v>
      </c>
      <c r="AA68" s="5">
        <f>VLOOKUP($A68,'SegEnds_NonXtal_Prot#'!$A:$AL,30,FALSE)</f>
        <v>270</v>
      </c>
      <c r="AB68" s="5">
        <f>VLOOKUP($A68,'SegEnds_NonXtal_Prot#'!$A:$AL,33,FALSE)</f>
        <v>313</v>
      </c>
      <c r="AC68" s="5">
        <f>VLOOKUP($A68,'SegEnds_NonXtal_Prot#'!$A:$AL,36,FALSE)</f>
        <v>342</v>
      </c>
      <c r="AD68" s="5">
        <f>VLOOKUP($A68,'SegEnds_NonXtal_Prot#'!$A:$AL,5,FALSE)</f>
        <v>62</v>
      </c>
      <c r="AE68" s="5">
        <f>VLOOKUP($A68,'SegEnds_NonXtal_Prot#'!$A:$AL,8,FALSE)</f>
        <v>66</v>
      </c>
      <c r="AF68" s="5">
        <f>VLOOKUP($A68,'SegEnds_NonXtal_Prot#'!$A:$AL,11,FALSE)</f>
        <v>96</v>
      </c>
      <c r="AG68" s="5">
        <f>VLOOKUP($A68,'SegEnds_NonXtal_Prot#'!$A:$AL,14,FALSE)</f>
        <v>100</v>
      </c>
      <c r="AH68" s="5">
        <f>VLOOKUP($A68,'SegEnds_NonXtal_Prot#'!$A:$AL,17,FALSE)</f>
        <v>138</v>
      </c>
      <c r="AI68" s="5">
        <f>VLOOKUP($A68,'SegEnds_NonXtal_Prot#'!$A:$AL,20,FALSE)</f>
        <v>145</v>
      </c>
      <c r="AJ68" s="5">
        <f>VLOOKUP($A68,'SegEnds_NonXtal_Prot#'!$A:$AL,23,FALSE)</f>
        <v>172</v>
      </c>
      <c r="AK68" s="5">
        <f>VLOOKUP($A68,'SegEnds_NonXtal_Prot#'!$A:$AL,26,FALSE)</f>
        <v>188</v>
      </c>
      <c r="AL68" s="5">
        <f>VLOOKUP($A68,'SegEnds_NonXtal_Prot#'!$A:$AL,29,FALSE)</f>
        <v>237</v>
      </c>
      <c r="AM68" s="5">
        <f>VLOOKUP($A68,'SegEnds_NonXtal_Prot#'!$A:$AL,32,FALSE)</f>
        <v>307</v>
      </c>
      <c r="AN68" s="5">
        <f>VLOOKUP($A68,'SegEnds_NonXtal_Prot#'!$A:$AL,35,FALSE)</f>
        <v>341</v>
      </c>
      <c r="AO68" s="5">
        <f>VLOOKUP($A68,'SegEnds_NonXtal_Prot#'!$A:$AL,38,FALSE)</f>
        <v>353</v>
      </c>
      <c r="AP68" s="5">
        <f t="shared" si="38"/>
        <v>31</v>
      </c>
      <c r="AQ68" s="4">
        <f t="shared" si="39"/>
        <v>3</v>
      </c>
      <c r="AR68" s="4">
        <f t="shared" si="40"/>
        <v>29</v>
      </c>
      <c r="AS68" s="4">
        <f t="shared" si="41"/>
        <v>2</v>
      </c>
      <c r="AT68" s="4">
        <f t="shared" si="42"/>
        <v>37</v>
      </c>
      <c r="AU68" s="4">
        <f t="shared" si="43"/>
        <v>6</v>
      </c>
      <c r="AV68" s="4">
        <f t="shared" si="44"/>
        <v>26</v>
      </c>
      <c r="AW68" s="4">
        <f t="shared" si="45"/>
        <v>2</v>
      </c>
      <c r="AX68" s="4">
        <f t="shared" si="46"/>
        <v>44</v>
      </c>
      <c r="AY68" s="4">
        <f t="shared" si="47"/>
        <v>37</v>
      </c>
      <c r="AZ68" s="4">
        <f t="shared" si="48"/>
        <v>28</v>
      </c>
      <c r="BA68" s="4">
        <f t="shared" si="49"/>
        <v>11</v>
      </c>
    </row>
    <row r="69" spans="1:53" x14ac:dyDescent="0.2">
      <c r="A69" s="1" t="str">
        <f>'SegEnds_NonXtal_Prot#'!A38</f>
        <v>5ht1a_human</v>
      </c>
      <c r="B69" s="1" t="str">
        <f t="shared" si="25"/>
        <v>TVSYQVITSLLLGTLIFCAVLGNACVVAAIALENVANYLIGSLAVTDLMVSVLVLPMAALYQVLNGQVTCDLFIALDVLCCTSSILHLCAIALDRYWAITDTPRRAAALISLTWLIGFLISIPPMLGDHGYTIYSTFGAFYIPLLLMLVLYGRIFRAARFRIRKTVKKVKMALARERKTVKTLGIIMGTFILCWLPFFIVALVLPFPTLLGAIINWLGYSNSLLNPVIYAYFNKDFQNAFKKII</v>
      </c>
      <c r="C69" s="29" t="str">
        <f>IF(ISERROR(MATCH(A69,'SegEnds_Xtal_Prot#'!B:B, 0)), "NoXtal", "Xtal")</f>
        <v>NoXtal</v>
      </c>
      <c r="D69" s="4" t="str">
        <f>VLOOKUP(A69,Classification!A:D,2,FALSE)</f>
        <v>A</v>
      </c>
      <c r="E69" s="5" t="str">
        <f>VLOOKUP(A69,Seqs!A:B,2,FALSE)</f>
        <v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v>
      </c>
      <c r="F69" s="5" t="str">
        <f t="shared" si="26"/>
        <v>TVSYQVITSLLLGTLIFCAVLGNACVVAAIALE</v>
      </c>
      <c r="G69" s="4" t="str">
        <f t="shared" si="27"/>
        <v>RSLQ</v>
      </c>
      <c r="H69" s="4" t="str">
        <f t="shared" si="28"/>
        <v>NVANYLIGSLAVTDLMVSVLVLPMAALYQVLN</v>
      </c>
      <c r="I69" s="4" t="str">
        <f t="shared" si="29"/>
        <v>KWTL</v>
      </c>
      <c r="J69" s="4" t="str">
        <f t="shared" si="30"/>
        <v>GQVTCDLFIALDVLCCTSSILHLCAIALDRYWAITD</v>
      </c>
      <c r="K69" s="4" t="str">
        <f t="shared" si="31"/>
        <v>PIDYVNKR</v>
      </c>
      <c r="L69" s="4" t="str">
        <f t="shared" si="32"/>
        <v>TPRRAAALISLTWLIGFLISIPPMLG</v>
      </c>
      <c r="M69" s="4" t="str">
        <f t="shared" si="33"/>
        <v>CTI</v>
      </c>
      <c r="N69" s="4" t="str">
        <f t="shared" si="34"/>
        <v>DHGYTIYSTFGAFYIPLLLMLVLYGRIFRAARFRIRKTVKKV</v>
      </c>
      <c r="O69" s="4" t="str">
        <f t="shared" si="35"/>
        <v>KMALARERKTVKTLGIIMGTFILCWLPFFIVALVLPF</v>
      </c>
      <c r="P69" s="4" t="str">
        <f t="shared" si="36"/>
        <v>PTLLGAIINWLGYSNSLLNPVIYAYF</v>
      </c>
      <c r="Q69" s="4" t="str">
        <f t="shared" si="37"/>
        <v>NKDFQNAFKKII</v>
      </c>
      <c r="R69" s="5">
        <f>VLOOKUP($A69,'SegEnds_NonXtal_Prot#'!$A:$AL,3,FALSE)</f>
        <v>32</v>
      </c>
      <c r="S69" s="5">
        <f>VLOOKUP($A69,'SegEnds_NonXtal_Prot#'!$A:$AL,6,FALSE)</f>
        <v>65</v>
      </c>
      <c r="T69" s="5">
        <f>VLOOKUP($A69,'SegEnds_NonXtal_Prot#'!$A:$AL,9,FALSE)</f>
        <v>69</v>
      </c>
      <c r="U69" s="5">
        <f>VLOOKUP($A69,'SegEnds_NonXtal_Prot#'!$A:$AL,12,FALSE)</f>
        <v>101</v>
      </c>
      <c r="V69" s="5">
        <f>VLOOKUP($A69,'SegEnds_NonXtal_Prot#'!$A:$AL,15,FALSE)</f>
        <v>105</v>
      </c>
      <c r="W69" s="5">
        <f>VLOOKUP($A69,'SegEnds_NonXtal_Prot#'!$A:$AL,18,FALSE)</f>
        <v>141</v>
      </c>
      <c r="X69" s="5">
        <f>VLOOKUP($A69,'SegEnds_NonXtal_Prot#'!$A:$AL,21,FALSE)</f>
        <v>149</v>
      </c>
      <c r="Y69" s="5">
        <f>VLOOKUP($A69,'SegEnds_NonXtal_Prot#'!$A:$AL,24,FALSE)</f>
        <v>187</v>
      </c>
      <c r="Z69" s="5">
        <f>VLOOKUP($A69,'SegEnds_NonXtal_Prot#'!$A:$AL,27,FALSE)</f>
        <v>192</v>
      </c>
      <c r="AA69" s="5">
        <f>VLOOKUP($A69,'SegEnds_NonXtal_Prot#'!$A:$AL,30,FALSE)</f>
        <v>334</v>
      </c>
      <c r="AB69" s="5">
        <f>VLOOKUP($A69,'SegEnds_NonXtal_Prot#'!$A:$AL,33,FALSE)</f>
        <v>378</v>
      </c>
      <c r="AC69" s="5">
        <f>VLOOKUP($A69,'SegEnds_NonXtal_Prot#'!$A:$AL,36,FALSE)</f>
        <v>404</v>
      </c>
      <c r="AD69" s="5">
        <f>VLOOKUP($A69,'SegEnds_NonXtal_Prot#'!$A:$AL,5,FALSE)</f>
        <v>64</v>
      </c>
      <c r="AE69" s="5">
        <f>VLOOKUP($A69,'SegEnds_NonXtal_Prot#'!$A:$AL,8,FALSE)</f>
        <v>68</v>
      </c>
      <c r="AF69" s="5">
        <f>VLOOKUP($A69,'SegEnds_NonXtal_Prot#'!$A:$AL,11,FALSE)</f>
        <v>100</v>
      </c>
      <c r="AG69" s="5">
        <f>VLOOKUP($A69,'SegEnds_NonXtal_Prot#'!$A:$AL,14,FALSE)</f>
        <v>104</v>
      </c>
      <c r="AH69" s="5">
        <f>VLOOKUP($A69,'SegEnds_NonXtal_Prot#'!$A:$AL,17,FALSE)</f>
        <v>140</v>
      </c>
      <c r="AI69" s="5">
        <f>VLOOKUP($A69,'SegEnds_NonXtal_Prot#'!$A:$AL,20,FALSE)</f>
        <v>148</v>
      </c>
      <c r="AJ69" s="5">
        <f>VLOOKUP($A69,'SegEnds_NonXtal_Prot#'!$A:$AL,23,FALSE)</f>
        <v>174</v>
      </c>
      <c r="AK69" s="5">
        <f>VLOOKUP($A69,'SegEnds_NonXtal_Prot#'!$A:$AL,26,FALSE)</f>
        <v>189</v>
      </c>
      <c r="AL69" s="5">
        <f>VLOOKUP($A69,'SegEnds_NonXtal_Prot#'!$A:$AL,29,FALSE)</f>
        <v>233</v>
      </c>
      <c r="AM69" s="5">
        <f>VLOOKUP($A69,'SegEnds_NonXtal_Prot#'!$A:$AL,32,FALSE)</f>
        <v>370</v>
      </c>
      <c r="AN69" s="5">
        <f>VLOOKUP($A69,'SegEnds_NonXtal_Prot#'!$A:$AL,35,FALSE)</f>
        <v>403</v>
      </c>
      <c r="AO69" s="5">
        <f>VLOOKUP($A69,'SegEnds_NonXtal_Prot#'!$A:$AL,38,FALSE)</f>
        <v>415</v>
      </c>
      <c r="AP69" s="5">
        <f t="shared" si="38"/>
        <v>32</v>
      </c>
      <c r="AQ69" s="4">
        <f t="shared" si="39"/>
        <v>3</v>
      </c>
      <c r="AR69" s="4">
        <f t="shared" si="40"/>
        <v>31</v>
      </c>
      <c r="AS69" s="4">
        <f t="shared" si="41"/>
        <v>3</v>
      </c>
      <c r="AT69" s="4">
        <f t="shared" si="42"/>
        <v>35</v>
      </c>
      <c r="AU69" s="4">
        <f t="shared" si="43"/>
        <v>7</v>
      </c>
      <c r="AV69" s="4">
        <f t="shared" si="44"/>
        <v>25</v>
      </c>
      <c r="AW69" s="4">
        <f t="shared" si="45"/>
        <v>2</v>
      </c>
      <c r="AX69" s="4">
        <f t="shared" si="46"/>
        <v>41</v>
      </c>
      <c r="AY69" s="4">
        <f t="shared" si="47"/>
        <v>36</v>
      </c>
      <c r="AZ69" s="4">
        <f t="shared" si="48"/>
        <v>25</v>
      </c>
      <c r="BA69" s="4">
        <f t="shared" si="49"/>
        <v>11</v>
      </c>
    </row>
    <row r="70" spans="1:53" x14ac:dyDescent="0.2">
      <c r="A70" s="1" t="str">
        <f>'SegEnds_NonXtal_Prot#'!A39</f>
        <v>5ht1b_human</v>
      </c>
      <c r="B70" s="1" t="str">
        <f t="shared" si="25"/>
        <v>SLPWKVLLVMLLALITLATTLSNAFVIATVYRTTPANYLIASLAVTDLLVSILVMPISTMYTVTGGQVVCDFWLSSDITCCTASILHLCVIALDRYWAITDTPKRAAVMIALVWVFSISISLPPFFWHILYTVYSTVGAFYFPTLLLIALYGRIYVEARSRILKQTPKLMAARERKATKTLGIILGAFIVCWLPFFIISLVMPIHLAIFDFFTWLGYLNSLINPIIYTMSNEDFKQAFHKLI</v>
      </c>
      <c r="C70" s="29" t="str">
        <f>IF(ISERROR(MATCH(A70,'SegEnds_Xtal_Prot#'!B:B, 0)), "NoXtal", "Xtal")</f>
        <v>Xtal</v>
      </c>
      <c r="D70" s="4" t="str">
        <f>VLOOKUP(A70,Classification!A:D,2,FALSE)</f>
        <v>A</v>
      </c>
      <c r="E70" s="5" t="str">
        <f>VLOOKUP(A70,Seqs!A:B,2,FALSE)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F70" s="5" t="str">
        <f t="shared" si="26"/>
        <v>SLPWKVLLVMLLALITLATTLSNAFVIATVYRT</v>
      </c>
      <c r="G70" s="4" t="str">
        <f t="shared" si="27"/>
        <v>RKLH</v>
      </c>
      <c r="H70" s="4" t="str">
        <f t="shared" si="28"/>
        <v>TPANYLIASLAVTDLLVSILVMPISTMYTVTG</v>
      </c>
      <c r="I70" s="4" t="str">
        <f t="shared" si="29"/>
        <v>RWTL</v>
      </c>
      <c r="J70" s="4" t="str">
        <f t="shared" si="30"/>
        <v>GQVVCDFWLSSDITCCTASILHLCVIALDRYWAITD</v>
      </c>
      <c r="K70" s="4" t="str">
        <f t="shared" si="31"/>
        <v>AVEYSAKR</v>
      </c>
      <c r="L70" s="4" t="str">
        <f t="shared" si="32"/>
        <v>TPKRAAVMIALVWVFSISISLPPFFW</v>
      </c>
      <c r="M70" s="4" t="str">
        <f t="shared" si="33"/>
        <v>CVV</v>
      </c>
      <c r="N70" s="4" t="str">
        <f t="shared" si="34"/>
        <v>HILYTVYSTVGAFYFPTLLLIALYGRIYVEARSRILKQTP</v>
      </c>
      <c r="O70" s="4" t="str">
        <f t="shared" si="35"/>
        <v>KLMAARERKATKTLGIILGAFIVCWLPFFIISLVMPI</v>
      </c>
      <c r="P70" s="4" t="str">
        <f t="shared" si="36"/>
        <v>HLAIFDFFTWLGYLNSLINPIIYTMS</v>
      </c>
      <c r="Q70" s="4" t="str">
        <f t="shared" si="37"/>
        <v>NEDFKQAFHKLI</v>
      </c>
      <c r="R70" s="5">
        <f>VLOOKUP($A70,'SegEnds_NonXtal_Prot#'!$A:$AL,3,FALSE)</f>
        <v>45</v>
      </c>
      <c r="S70" s="5">
        <f>VLOOKUP($A70,'SegEnds_NonXtal_Prot#'!$A:$AL,6,FALSE)</f>
        <v>78</v>
      </c>
      <c r="T70" s="5">
        <f>VLOOKUP($A70,'SegEnds_NonXtal_Prot#'!$A:$AL,9,FALSE)</f>
        <v>82</v>
      </c>
      <c r="U70" s="5">
        <f>VLOOKUP($A70,'SegEnds_NonXtal_Prot#'!$A:$AL,12,FALSE)</f>
        <v>114</v>
      </c>
      <c r="V70" s="5">
        <f>VLOOKUP($A70,'SegEnds_NonXtal_Prot#'!$A:$AL,15,FALSE)</f>
        <v>118</v>
      </c>
      <c r="W70" s="5">
        <f>VLOOKUP($A70,'SegEnds_NonXtal_Prot#'!$A:$AL,18,FALSE)</f>
        <v>154</v>
      </c>
      <c r="X70" s="5">
        <f>VLOOKUP($A70,'SegEnds_NonXtal_Prot#'!$A:$AL,21,FALSE)</f>
        <v>162</v>
      </c>
      <c r="Y70" s="5">
        <f>VLOOKUP($A70,'SegEnds_NonXtal_Prot#'!$A:$AL,24,FALSE)</f>
        <v>199</v>
      </c>
      <c r="Z70" s="5">
        <f>VLOOKUP($A70,'SegEnds_NonXtal_Prot#'!$A:$AL,27,FALSE)</f>
        <v>205</v>
      </c>
      <c r="AA70" s="5">
        <f>VLOOKUP($A70,'SegEnds_NonXtal_Prot#'!$A:$AL,30,FALSE)</f>
        <v>303</v>
      </c>
      <c r="AB70" s="5">
        <f>VLOOKUP($A70,'SegEnds_NonXtal_Prot#'!$A:$AL,33,FALSE)</f>
        <v>347</v>
      </c>
      <c r="AC70" s="5">
        <f>VLOOKUP($A70,'SegEnds_NonXtal_Prot#'!$A:$AL,36,FALSE)</f>
        <v>373</v>
      </c>
      <c r="AD70" s="5">
        <f>VLOOKUP($A70,'SegEnds_NonXtal_Prot#'!$A:$AL,5,FALSE)</f>
        <v>77</v>
      </c>
      <c r="AE70" s="5">
        <f>VLOOKUP($A70,'SegEnds_NonXtal_Prot#'!$A:$AL,8,FALSE)</f>
        <v>81</v>
      </c>
      <c r="AF70" s="5">
        <f>VLOOKUP($A70,'SegEnds_NonXtal_Prot#'!$A:$AL,11,FALSE)</f>
        <v>113</v>
      </c>
      <c r="AG70" s="5">
        <f>VLOOKUP($A70,'SegEnds_NonXtal_Prot#'!$A:$AL,14,FALSE)</f>
        <v>117</v>
      </c>
      <c r="AH70" s="5">
        <f>VLOOKUP($A70,'SegEnds_NonXtal_Prot#'!$A:$AL,17,FALSE)</f>
        <v>153</v>
      </c>
      <c r="AI70" s="5">
        <f>VLOOKUP($A70,'SegEnds_NonXtal_Prot#'!$A:$AL,20,FALSE)</f>
        <v>161</v>
      </c>
      <c r="AJ70" s="5">
        <f>VLOOKUP($A70,'SegEnds_NonXtal_Prot#'!$A:$AL,23,FALSE)</f>
        <v>187</v>
      </c>
      <c r="AK70" s="5">
        <f>VLOOKUP($A70,'SegEnds_NonXtal_Prot#'!$A:$AL,26,FALSE)</f>
        <v>201</v>
      </c>
      <c r="AL70" s="5">
        <f>VLOOKUP($A70,'SegEnds_NonXtal_Prot#'!$A:$AL,29,FALSE)</f>
        <v>244</v>
      </c>
      <c r="AM70" s="5">
        <f>VLOOKUP($A70,'SegEnds_NonXtal_Prot#'!$A:$AL,32,FALSE)</f>
        <v>339</v>
      </c>
      <c r="AN70" s="5">
        <f>VLOOKUP($A70,'SegEnds_NonXtal_Prot#'!$A:$AL,35,FALSE)</f>
        <v>372</v>
      </c>
      <c r="AO70" s="5">
        <f>VLOOKUP($A70,'SegEnds_NonXtal_Prot#'!$A:$AL,38,FALSE)</f>
        <v>384</v>
      </c>
      <c r="AP70" s="5">
        <f t="shared" si="38"/>
        <v>32</v>
      </c>
      <c r="AQ70" s="4">
        <f t="shared" si="39"/>
        <v>3</v>
      </c>
      <c r="AR70" s="4">
        <f t="shared" si="40"/>
        <v>31</v>
      </c>
      <c r="AS70" s="4">
        <f t="shared" si="41"/>
        <v>3</v>
      </c>
      <c r="AT70" s="4">
        <f t="shared" si="42"/>
        <v>35</v>
      </c>
      <c r="AU70" s="4">
        <f t="shared" si="43"/>
        <v>7</v>
      </c>
      <c r="AV70" s="4">
        <f t="shared" si="44"/>
        <v>25</v>
      </c>
      <c r="AW70" s="4">
        <f t="shared" si="45"/>
        <v>2</v>
      </c>
      <c r="AX70" s="4">
        <f t="shared" si="46"/>
        <v>39</v>
      </c>
      <c r="AY70" s="4">
        <f t="shared" si="47"/>
        <v>36</v>
      </c>
      <c r="AZ70" s="4">
        <f t="shared" si="48"/>
        <v>25</v>
      </c>
      <c r="BA70" s="4">
        <f t="shared" si="49"/>
        <v>11</v>
      </c>
    </row>
    <row r="71" spans="1:53" x14ac:dyDescent="0.2">
      <c r="A71" s="1" t="str">
        <f>'SegEnds_NonXtal_Prot#'!A40</f>
        <v>5ht1d_human</v>
      </c>
      <c r="B71" s="1" t="str">
        <f t="shared" si="25"/>
        <v>LQALKISLAVVLSVITLATVLSNAFVLTTILLTTPANYLIGSLATTDLLVSILVMPISIAYTITHGQILCDIWLSSDITCCTASILHLCVIALDRYWAITDTAGHAATMIAIVWAISICISIPPLFWQISYTIYSTCGAFYIPSVLLIILYGRIYRAARNRILNPPSRISAARERKATKILGIILGAFIICWLPFFVVSLVLPIHPALFDFFTWLGYLNSLINPIIYTVFNEEFRQAFQKIV</v>
      </c>
      <c r="C71" s="29" t="str">
        <f>IF(ISERROR(MATCH(A71,'SegEnds_Xtal_Prot#'!B:B, 0)), "NoXtal", "Xtal")</f>
        <v>NoXtal</v>
      </c>
      <c r="D71" s="4" t="str">
        <f>VLOOKUP(A71,Classification!A:D,2,FALSE)</f>
        <v>A</v>
      </c>
      <c r="E71" s="5" t="str">
        <f>VLOOKUP(A71,Seqs!A:B,2,FALSE)</f>
        <v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v>
      </c>
      <c r="F71" s="5" t="str">
        <f t="shared" si="26"/>
        <v>LQALKISLAVVLSVITLATVLSNAFVLTTILLT</v>
      </c>
      <c r="G71" s="4" t="str">
        <f t="shared" si="27"/>
        <v>RKLH</v>
      </c>
      <c r="H71" s="4" t="str">
        <f t="shared" si="28"/>
        <v>TPANYLIGSLATTDLLVSILVMPISIAYTITH</v>
      </c>
      <c r="I71" s="4" t="str">
        <f t="shared" si="29"/>
        <v>TWNF</v>
      </c>
      <c r="J71" s="4" t="str">
        <f t="shared" si="30"/>
        <v>GQILCDIWLSSDITCCTASILHLCVIALDRYWAITD</v>
      </c>
      <c r="K71" s="4" t="str">
        <f t="shared" si="31"/>
        <v>ALEYSKRR</v>
      </c>
      <c r="L71" s="4" t="str">
        <f t="shared" si="32"/>
        <v>TAGHAATMIAIVWAISICISIPPLFW</v>
      </c>
      <c r="M71" s="4" t="str">
        <f t="shared" si="33"/>
        <v>CLV</v>
      </c>
      <c r="N71" s="4" t="str">
        <f t="shared" si="34"/>
        <v>QISYTIYSTCGAFYIPSVLLIILYGRIYRAARNRILNPPS</v>
      </c>
      <c r="O71" s="4" t="str">
        <f t="shared" si="35"/>
        <v>RISAARERKATKILGIILGAFIICWLPFFVVSLVLPI</v>
      </c>
      <c r="P71" s="4" t="str">
        <f t="shared" si="36"/>
        <v>HPALFDFFTWLGYLNSLINPIIYTVF</v>
      </c>
      <c r="Q71" s="4" t="str">
        <f t="shared" si="37"/>
        <v>NEEFRQAFQKIV</v>
      </c>
      <c r="R71" s="5">
        <f>VLOOKUP($A71,'SegEnds_NonXtal_Prot#'!$A:$AL,3,FALSE)</f>
        <v>34</v>
      </c>
      <c r="S71" s="5">
        <f>VLOOKUP($A71,'SegEnds_NonXtal_Prot#'!$A:$AL,6,FALSE)</f>
        <v>67</v>
      </c>
      <c r="T71" s="5">
        <f>VLOOKUP($A71,'SegEnds_NonXtal_Prot#'!$A:$AL,9,FALSE)</f>
        <v>71</v>
      </c>
      <c r="U71" s="5">
        <f>VLOOKUP($A71,'SegEnds_NonXtal_Prot#'!$A:$AL,12,FALSE)</f>
        <v>103</v>
      </c>
      <c r="V71" s="5">
        <f>VLOOKUP($A71,'SegEnds_NonXtal_Prot#'!$A:$AL,15,FALSE)</f>
        <v>107</v>
      </c>
      <c r="W71" s="5">
        <f>VLOOKUP($A71,'SegEnds_NonXtal_Prot#'!$A:$AL,18,FALSE)</f>
        <v>143</v>
      </c>
      <c r="X71" s="5">
        <f>VLOOKUP($A71,'SegEnds_NonXtal_Prot#'!$A:$AL,21,FALSE)</f>
        <v>151</v>
      </c>
      <c r="Y71" s="5">
        <f>VLOOKUP($A71,'SegEnds_NonXtal_Prot#'!$A:$AL,24,FALSE)</f>
        <v>188</v>
      </c>
      <c r="Z71" s="5">
        <f>VLOOKUP($A71,'SegEnds_NonXtal_Prot#'!$A:$AL,27,FALSE)</f>
        <v>194</v>
      </c>
      <c r="AA71" s="5">
        <f>VLOOKUP($A71,'SegEnds_NonXtal_Prot#'!$A:$AL,30,FALSE)</f>
        <v>290</v>
      </c>
      <c r="AB71" s="5">
        <f>VLOOKUP($A71,'SegEnds_NonXtal_Prot#'!$A:$AL,33,FALSE)</f>
        <v>334</v>
      </c>
      <c r="AC71" s="5">
        <f>VLOOKUP($A71,'SegEnds_NonXtal_Prot#'!$A:$AL,36,FALSE)</f>
        <v>360</v>
      </c>
      <c r="AD71" s="5">
        <f>VLOOKUP($A71,'SegEnds_NonXtal_Prot#'!$A:$AL,5,FALSE)</f>
        <v>66</v>
      </c>
      <c r="AE71" s="5">
        <f>VLOOKUP($A71,'SegEnds_NonXtal_Prot#'!$A:$AL,8,FALSE)</f>
        <v>70</v>
      </c>
      <c r="AF71" s="5">
        <f>VLOOKUP($A71,'SegEnds_NonXtal_Prot#'!$A:$AL,11,FALSE)</f>
        <v>102</v>
      </c>
      <c r="AG71" s="5">
        <f>VLOOKUP($A71,'SegEnds_NonXtal_Prot#'!$A:$AL,14,FALSE)</f>
        <v>106</v>
      </c>
      <c r="AH71" s="5">
        <f>VLOOKUP($A71,'SegEnds_NonXtal_Prot#'!$A:$AL,17,FALSE)</f>
        <v>142</v>
      </c>
      <c r="AI71" s="5">
        <f>VLOOKUP($A71,'SegEnds_NonXtal_Prot#'!$A:$AL,20,FALSE)</f>
        <v>150</v>
      </c>
      <c r="AJ71" s="5">
        <f>VLOOKUP($A71,'SegEnds_NonXtal_Prot#'!$A:$AL,23,FALSE)</f>
        <v>176</v>
      </c>
      <c r="AK71" s="5">
        <f>VLOOKUP($A71,'SegEnds_NonXtal_Prot#'!$A:$AL,26,FALSE)</f>
        <v>190</v>
      </c>
      <c r="AL71" s="5">
        <f>VLOOKUP($A71,'SegEnds_NonXtal_Prot#'!$A:$AL,29,FALSE)</f>
        <v>233</v>
      </c>
      <c r="AM71" s="5">
        <f>VLOOKUP($A71,'SegEnds_NonXtal_Prot#'!$A:$AL,32,FALSE)</f>
        <v>326</v>
      </c>
      <c r="AN71" s="5">
        <f>VLOOKUP($A71,'SegEnds_NonXtal_Prot#'!$A:$AL,35,FALSE)</f>
        <v>359</v>
      </c>
      <c r="AO71" s="5">
        <f>VLOOKUP($A71,'SegEnds_NonXtal_Prot#'!$A:$AL,38,FALSE)</f>
        <v>371</v>
      </c>
      <c r="AP71" s="5">
        <f t="shared" si="38"/>
        <v>32</v>
      </c>
      <c r="AQ71" s="4">
        <f t="shared" si="39"/>
        <v>3</v>
      </c>
      <c r="AR71" s="4">
        <f t="shared" si="40"/>
        <v>31</v>
      </c>
      <c r="AS71" s="4">
        <f t="shared" si="41"/>
        <v>3</v>
      </c>
      <c r="AT71" s="4">
        <f t="shared" si="42"/>
        <v>35</v>
      </c>
      <c r="AU71" s="4">
        <f t="shared" si="43"/>
        <v>7</v>
      </c>
      <c r="AV71" s="4">
        <f t="shared" si="44"/>
        <v>25</v>
      </c>
      <c r="AW71" s="4">
        <f t="shared" si="45"/>
        <v>2</v>
      </c>
      <c r="AX71" s="4">
        <f t="shared" si="46"/>
        <v>39</v>
      </c>
      <c r="AY71" s="4">
        <f t="shared" si="47"/>
        <v>36</v>
      </c>
      <c r="AZ71" s="4">
        <f t="shared" si="48"/>
        <v>25</v>
      </c>
      <c r="BA71" s="4">
        <f t="shared" si="49"/>
        <v>11</v>
      </c>
    </row>
    <row r="72" spans="1:53" x14ac:dyDescent="0.2">
      <c r="A72" s="1" t="str">
        <f>'SegEnds_NonXtal_Prot#'!A41</f>
        <v>5ht1e_human</v>
      </c>
      <c r="B72" s="1" t="str">
        <f t="shared" si="25"/>
        <v>TITEKMLICMTLVVITTLTTLLNLAVIMAIGTTQPANYLICSLAVTDLLVAVLVMPLSIIYIVMDGYFLCEVWLSVDMTCCTCSILHLCVIALDRYWAITNTAKRAALMILTVWTISIFISMPPLFWHVIYTIYSTLGAFYIPLTLILILYYRIYHAAKSLYQKRGSSRQISSTRERKAARILGLILGAFILSWLPFFIKELIVGLSSSEVADFLTWLGYVNSLINPLLYTSFNEDFKLAFKKLI</v>
      </c>
      <c r="C72" s="29" t="str">
        <f>IF(ISERROR(MATCH(A72,'SegEnds_Xtal_Prot#'!B:B, 0)), "NoXtal", "Xtal")</f>
        <v>NoXtal</v>
      </c>
      <c r="D72" s="4" t="str">
        <f>VLOOKUP(A72,Classification!A:D,2,FALSE)</f>
        <v>A</v>
      </c>
      <c r="E72" s="5" t="str">
        <f>VLOOKUP(A72,Seqs!A:B,2,FALSE)</f>
        <v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v>
      </c>
      <c r="F72" s="5" t="str">
        <f t="shared" si="26"/>
        <v>TITEKMLICMTLVVITTLTTLLNLAVIMAIGTT</v>
      </c>
      <c r="G72" s="4" t="str">
        <f t="shared" si="27"/>
        <v>KKLH</v>
      </c>
      <c r="H72" s="4" t="str">
        <f t="shared" si="28"/>
        <v>QPANYLICSLAVTDLLVAVLVMPLSIIYIVMD</v>
      </c>
      <c r="I72" s="4" t="str">
        <f t="shared" si="29"/>
        <v>RWKL</v>
      </c>
      <c r="J72" s="4" t="str">
        <f t="shared" si="30"/>
        <v>GYFLCEVWLSVDMTCCTCSILHLCVIALDRYWAITN</v>
      </c>
      <c r="K72" s="4" t="str">
        <f t="shared" si="31"/>
        <v>AIEYARKR</v>
      </c>
      <c r="L72" s="4" t="str">
        <f t="shared" si="32"/>
        <v>TAKRAALMILTVWTISIFISMPPLFW</v>
      </c>
      <c r="M72" s="4" t="str">
        <f t="shared" si="33"/>
        <v>CTI</v>
      </c>
      <c r="N72" s="4" t="str">
        <f t="shared" si="34"/>
        <v>HVIYTIYSTLGAFYIPLTLILILYYRIYHAAKSLYQKRGSSR</v>
      </c>
      <c r="O72" s="4" t="str">
        <f t="shared" si="35"/>
        <v>QISSTRERKAARILGLILGAFILSWLPFFIKELIVGLS</v>
      </c>
      <c r="P72" s="4" t="str">
        <f t="shared" si="36"/>
        <v>SSEVADFLTWLGYVNSLINPLLYTSF</v>
      </c>
      <c r="Q72" s="4" t="str">
        <f t="shared" si="37"/>
        <v>NEDFKLAFKKLI</v>
      </c>
      <c r="R72" s="5">
        <f>VLOOKUP($A72,'SegEnds_NonXtal_Prot#'!$A:$AL,3,FALSE)</f>
        <v>18</v>
      </c>
      <c r="S72" s="5">
        <f>VLOOKUP($A72,'SegEnds_NonXtal_Prot#'!$A:$AL,6,FALSE)</f>
        <v>51</v>
      </c>
      <c r="T72" s="5">
        <f>VLOOKUP($A72,'SegEnds_NonXtal_Prot#'!$A:$AL,9,FALSE)</f>
        <v>55</v>
      </c>
      <c r="U72" s="5">
        <f>VLOOKUP($A72,'SegEnds_NonXtal_Prot#'!$A:$AL,12,FALSE)</f>
        <v>87</v>
      </c>
      <c r="V72" s="5">
        <f>VLOOKUP($A72,'SegEnds_NonXtal_Prot#'!$A:$AL,15,FALSE)</f>
        <v>91</v>
      </c>
      <c r="W72" s="5">
        <f>VLOOKUP($A72,'SegEnds_NonXtal_Prot#'!$A:$AL,18,FALSE)</f>
        <v>127</v>
      </c>
      <c r="X72" s="5">
        <f>VLOOKUP($A72,'SegEnds_NonXtal_Prot#'!$A:$AL,21,FALSE)</f>
        <v>135</v>
      </c>
      <c r="Y72" s="5">
        <f>VLOOKUP($A72,'SegEnds_NonXtal_Prot#'!$A:$AL,24,FALSE)</f>
        <v>173</v>
      </c>
      <c r="Z72" s="5">
        <f>VLOOKUP($A72,'SegEnds_NonXtal_Prot#'!$A:$AL,27,FALSE)</f>
        <v>179</v>
      </c>
      <c r="AA72" s="5">
        <f>VLOOKUP($A72,'SegEnds_NonXtal_Prot#'!$A:$AL,30,FALSE)</f>
        <v>280</v>
      </c>
      <c r="AB72" s="5">
        <f>VLOOKUP($A72,'SegEnds_NonXtal_Prot#'!$A:$AL,33,FALSE)</f>
        <v>322</v>
      </c>
      <c r="AC72" s="5">
        <f>VLOOKUP($A72,'SegEnds_NonXtal_Prot#'!$A:$AL,36,FALSE)</f>
        <v>348</v>
      </c>
      <c r="AD72" s="5">
        <f>VLOOKUP($A72,'SegEnds_NonXtal_Prot#'!$A:$AL,5,FALSE)</f>
        <v>50</v>
      </c>
      <c r="AE72" s="5">
        <f>VLOOKUP($A72,'SegEnds_NonXtal_Prot#'!$A:$AL,8,FALSE)</f>
        <v>54</v>
      </c>
      <c r="AF72" s="5">
        <f>VLOOKUP($A72,'SegEnds_NonXtal_Prot#'!$A:$AL,11,FALSE)</f>
        <v>86</v>
      </c>
      <c r="AG72" s="5">
        <f>VLOOKUP($A72,'SegEnds_NonXtal_Prot#'!$A:$AL,14,FALSE)</f>
        <v>90</v>
      </c>
      <c r="AH72" s="5">
        <f>VLOOKUP($A72,'SegEnds_NonXtal_Prot#'!$A:$AL,17,FALSE)</f>
        <v>126</v>
      </c>
      <c r="AI72" s="5">
        <f>VLOOKUP($A72,'SegEnds_NonXtal_Prot#'!$A:$AL,20,FALSE)</f>
        <v>134</v>
      </c>
      <c r="AJ72" s="5">
        <f>VLOOKUP($A72,'SegEnds_NonXtal_Prot#'!$A:$AL,23,FALSE)</f>
        <v>160</v>
      </c>
      <c r="AK72" s="5">
        <f>VLOOKUP($A72,'SegEnds_NonXtal_Prot#'!$A:$AL,26,FALSE)</f>
        <v>175</v>
      </c>
      <c r="AL72" s="5">
        <f>VLOOKUP($A72,'SegEnds_NonXtal_Prot#'!$A:$AL,29,FALSE)</f>
        <v>220</v>
      </c>
      <c r="AM72" s="5">
        <f>VLOOKUP($A72,'SegEnds_NonXtal_Prot#'!$A:$AL,32,FALSE)</f>
        <v>317</v>
      </c>
      <c r="AN72" s="5">
        <f>VLOOKUP($A72,'SegEnds_NonXtal_Prot#'!$A:$AL,35,FALSE)</f>
        <v>347</v>
      </c>
      <c r="AO72" s="5">
        <f>VLOOKUP($A72,'SegEnds_NonXtal_Prot#'!$A:$AL,38,FALSE)</f>
        <v>359</v>
      </c>
      <c r="AP72" s="5">
        <f t="shared" si="38"/>
        <v>32</v>
      </c>
      <c r="AQ72" s="4">
        <f t="shared" si="39"/>
        <v>3</v>
      </c>
      <c r="AR72" s="4">
        <f t="shared" si="40"/>
        <v>31</v>
      </c>
      <c r="AS72" s="4">
        <f t="shared" si="41"/>
        <v>3</v>
      </c>
      <c r="AT72" s="4">
        <f t="shared" si="42"/>
        <v>35</v>
      </c>
      <c r="AU72" s="4">
        <f t="shared" si="43"/>
        <v>7</v>
      </c>
      <c r="AV72" s="4">
        <f t="shared" si="44"/>
        <v>25</v>
      </c>
      <c r="AW72" s="4">
        <f t="shared" si="45"/>
        <v>2</v>
      </c>
      <c r="AX72" s="4">
        <f t="shared" si="46"/>
        <v>41</v>
      </c>
      <c r="AY72" s="4">
        <f t="shared" si="47"/>
        <v>37</v>
      </c>
      <c r="AZ72" s="4">
        <f t="shared" si="48"/>
        <v>25</v>
      </c>
      <c r="BA72" s="4">
        <f t="shared" si="49"/>
        <v>11</v>
      </c>
    </row>
    <row r="73" spans="1:53" x14ac:dyDescent="0.2">
      <c r="A73" s="1" t="str">
        <f>'SegEnds_NonXtal_Prot#'!A42</f>
        <v>5ht1f_human</v>
      </c>
      <c r="B73" s="1" t="str">
        <f t="shared" si="25"/>
        <v>RMPSKILVSLTLSGLALMTTTINSLVIAAIIVTHPANYLICSLAVTDFLVAVLVMPFSIVYIVREGQVVCDIWLSVDITCCTCSILHLSAIALDRYRAITDTPKHAGIMITIVWIISVFISMPPLFWHIVSTIYSTFGAFYIPLALILILYYKIYRAAKTLYHKRQASRKISGTRERKAATTLGLILGAFVICWLPFFVKELVVNVCSEEMSNFLAWLGYLNSLINPLIYTIFNEDFKKAFQKLV</v>
      </c>
      <c r="C73" s="29" t="str">
        <f>IF(ISERROR(MATCH(A73,'SegEnds_Xtal_Prot#'!B:B, 0)), "NoXtal", "Xtal")</f>
        <v>NoXtal</v>
      </c>
      <c r="D73" s="4" t="str">
        <f>VLOOKUP(A73,Classification!A:D,2,FALSE)</f>
        <v>A</v>
      </c>
      <c r="E73" s="5" t="str">
        <f>VLOOKUP(A73,Seqs!A:B,2,FALSE)</f>
        <v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v>
      </c>
      <c r="F73" s="5" t="str">
        <f t="shared" si="26"/>
        <v>RMPSKILVSLTLSGLALMTTTINSLVIAAIIVT</v>
      </c>
      <c r="G73" s="4" t="str">
        <f t="shared" si="27"/>
        <v>RKLH</v>
      </c>
      <c r="H73" s="4" t="str">
        <f t="shared" si="28"/>
        <v>HPANYLICSLAVTDFLVAVLVMPFSIVYIVRE</v>
      </c>
      <c r="I73" s="4" t="str">
        <f t="shared" si="29"/>
        <v>SWIM</v>
      </c>
      <c r="J73" s="4" t="str">
        <f t="shared" si="30"/>
        <v>GQVVCDIWLSVDITCCTCSILHLSAIALDRYRAITD</v>
      </c>
      <c r="K73" s="4" t="str">
        <f t="shared" si="31"/>
        <v>AVEYARKR</v>
      </c>
      <c r="L73" s="4" t="str">
        <f t="shared" si="32"/>
        <v>TPKHAGIMITIVWIISVFISMPPLFW</v>
      </c>
      <c r="M73" s="4" t="str">
        <f t="shared" si="33"/>
        <v>CII</v>
      </c>
      <c r="N73" s="4" t="str">
        <f t="shared" si="34"/>
        <v>HIVSTIYSTFGAFYIPLALILILYYKIYRAAKTLYHKRQASR</v>
      </c>
      <c r="O73" s="4" t="str">
        <f t="shared" si="35"/>
        <v>KISGTRERKAATTLGLILGAFVICWLPFFVKELVVNVC</v>
      </c>
      <c r="P73" s="4" t="str">
        <f t="shared" si="36"/>
        <v>SEEMSNFLAWLGYLNSLINPLIYTIF</v>
      </c>
      <c r="Q73" s="4" t="str">
        <f t="shared" si="37"/>
        <v>NEDFKKAFQKLV</v>
      </c>
      <c r="R73" s="5">
        <f>VLOOKUP($A73,'SegEnds_NonXtal_Prot#'!$A:$AL,3,FALSE)</f>
        <v>19</v>
      </c>
      <c r="S73" s="5">
        <f>VLOOKUP($A73,'SegEnds_NonXtal_Prot#'!$A:$AL,6,FALSE)</f>
        <v>52</v>
      </c>
      <c r="T73" s="5">
        <f>VLOOKUP($A73,'SegEnds_NonXtal_Prot#'!$A:$AL,9,FALSE)</f>
        <v>56</v>
      </c>
      <c r="U73" s="5">
        <f>VLOOKUP($A73,'SegEnds_NonXtal_Prot#'!$A:$AL,12,FALSE)</f>
        <v>88</v>
      </c>
      <c r="V73" s="5">
        <f>VLOOKUP($A73,'SegEnds_NonXtal_Prot#'!$A:$AL,15,FALSE)</f>
        <v>92</v>
      </c>
      <c r="W73" s="5">
        <f>VLOOKUP($A73,'SegEnds_NonXtal_Prot#'!$A:$AL,18,FALSE)</f>
        <v>128</v>
      </c>
      <c r="X73" s="5">
        <f>VLOOKUP($A73,'SegEnds_NonXtal_Prot#'!$A:$AL,21,FALSE)</f>
        <v>136</v>
      </c>
      <c r="Y73" s="5">
        <f>VLOOKUP($A73,'SegEnds_NonXtal_Prot#'!$A:$AL,24,FALSE)</f>
        <v>172</v>
      </c>
      <c r="Z73" s="5">
        <f>VLOOKUP($A73,'SegEnds_NonXtal_Prot#'!$A:$AL,27,FALSE)</f>
        <v>178</v>
      </c>
      <c r="AA73" s="5">
        <f>VLOOKUP($A73,'SegEnds_NonXtal_Prot#'!$A:$AL,30,FALSE)</f>
        <v>282</v>
      </c>
      <c r="AB73" s="5">
        <f>VLOOKUP($A73,'SegEnds_NonXtal_Prot#'!$A:$AL,33,FALSE)</f>
        <v>325</v>
      </c>
      <c r="AC73" s="5">
        <f>VLOOKUP($A73,'SegEnds_NonXtal_Prot#'!$A:$AL,36,FALSE)</f>
        <v>351</v>
      </c>
      <c r="AD73" s="5">
        <f>VLOOKUP($A73,'SegEnds_NonXtal_Prot#'!$A:$AL,5,FALSE)</f>
        <v>51</v>
      </c>
      <c r="AE73" s="5">
        <f>VLOOKUP($A73,'SegEnds_NonXtal_Prot#'!$A:$AL,8,FALSE)</f>
        <v>55</v>
      </c>
      <c r="AF73" s="5">
        <f>VLOOKUP($A73,'SegEnds_NonXtal_Prot#'!$A:$AL,11,FALSE)</f>
        <v>87</v>
      </c>
      <c r="AG73" s="5">
        <f>VLOOKUP($A73,'SegEnds_NonXtal_Prot#'!$A:$AL,14,FALSE)</f>
        <v>91</v>
      </c>
      <c r="AH73" s="5">
        <f>VLOOKUP($A73,'SegEnds_NonXtal_Prot#'!$A:$AL,17,FALSE)</f>
        <v>127</v>
      </c>
      <c r="AI73" s="5">
        <f>VLOOKUP($A73,'SegEnds_NonXtal_Prot#'!$A:$AL,20,FALSE)</f>
        <v>135</v>
      </c>
      <c r="AJ73" s="5">
        <f>VLOOKUP($A73,'SegEnds_NonXtal_Prot#'!$A:$AL,23,FALSE)</f>
        <v>161</v>
      </c>
      <c r="AK73" s="5">
        <f>VLOOKUP($A73,'SegEnds_NonXtal_Prot#'!$A:$AL,26,FALSE)</f>
        <v>174</v>
      </c>
      <c r="AL73" s="5">
        <f>VLOOKUP($A73,'SegEnds_NonXtal_Prot#'!$A:$AL,29,FALSE)</f>
        <v>219</v>
      </c>
      <c r="AM73" s="5">
        <f>VLOOKUP($A73,'SegEnds_NonXtal_Prot#'!$A:$AL,32,FALSE)</f>
        <v>319</v>
      </c>
      <c r="AN73" s="5">
        <f>VLOOKUP($A73,'SegEnds_NonXtal_Prot#'!$A:$AL,35,FALSE)</f>
        <v>350</v>
      </c>
      <c r="AO73" s="5">
        <f>VLOOKUP($A73,'SegEnds_NonXtal_Prot#'!$A:$AL,38,FALSE)</f>
        <v>362</v>
      </c>
      <c r="AP73" s="5">
        <f t="shared" si="38"/>
        <v>32</v>
      </c>
      <c r="AQ73" s="4">
        <f t="shared" si="39"/>
        <v>3</v>
      </c>
      <c r="AR73" s="4">
        <f t="shared" si="40"/>
        <v>31</v>
      </c>
      <c r="AS73" s="4">
        <f t="shared" si="41"/>
        <v>3</v>
      </c>
      <c r="AT73" s="4">
        <f t="shared" si="42"/>
        <v>35</v>
      </c>
      <c r="AU73" s="4">
        <f t="shared" si="43"/>
        <v>7</v>
      </c>
      <c r="AV73" s="4">
        <f t="shared" si="44"/>
        <v>25</v>
      </c>
      <c r="AW73" s="4">
        <f t="shared" si="45"/>
        <v>2</v>
      </c>
      <c r="AX73" s="4">
        <f t="shared" si="46"/>
        <v>41</v>
      </c>
      <c r="AY73" s="4">
        <f t="shared" si="47"/>
        <v>37</v>
      </c>
      <c r="AZ73" s="4">
        <f t="shared" si="48"/>
        <v>25</v>
      </c>
      <c r="BA73" s="4">
        <f t="shared" si="49"/>
        <v>11</v>
      </c>
    </row>
    <row r="74" spans="1:53" x14ac:dyDescent="0.2">
      <c r="A74" s="1" t="str">
        <f>'SegEnds_NonXtal_Prot#'!A43</f>
        <v>5ht2a_human</v>
      </c>
      <c r="B74" s="1" t="str">
        <f t="shared" si="25"/>
        <v>NWSALLTAVVIILTIAGNILVIMAVSLENATNYFLMSLAIADMLLGFLVMPVSMLTILYGPSKLCAVWIYLDVLFSTASIMHLCAISLDRYVAIQNSRTKAFLKIIAVWTISVGISMPIPVFGLQDDDNFVLIGSFVSFFIPLTIMVITYFLTIKSLQKEATLCVSDLMQSISNEQKACKVLGIVFFLFVVMWCPFFITNIMAVICNEDVIGALLNVFVWIGYLSSAVNPLVYTLFNKTYRSAFSRYIQC</v>
      </c>
      <c r="C74" s="29" t="str">
        <f>IF(ISERROR(MATCH(A74,'SegEnds_Xtal_Prot#'!B:B, 0)), "NoXtal", "Xtal")</f>
        <v>NoXtal</v>
      </c>
      <c r="D74" s="4" t="str">
        <f>VLOOKUP(A74,Classification!A:D,2,FALSE)</f>
        <v>A</v>
      </c>
      <c r="E74" s="5" t="str">
        <f>VLOOKUP(A74,Seqs!A:B,2,FALSE)</f>
        <v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v>
      </c>
      <c r="F74" s="5" t="str">
        <f t="shared" si="26"/>
        <v>NWSALLTAVVIILTIAGNILVIMAVSLE</v>
      </c>
      <c r="G74" s="4" t="str">
        <f t="shared" si="27"/>
        <v>KKLQ</v>
      </c>
      <c r="H74" s="4" t="str">
        <f t="shared" si="28"/>
        <v>NATNYFLMSLAIADMLLGFLVMPVSMLTILYG</v>
      </c>
      <c r="I74" s="4" t="str">
        <f t="shared" si="29"/>
        <v>RWPL</v>
      </c>
      <c r="J74" s="4" t="str">
        <f t="shared" si="30"/>
        <v>PSKLCAVWIYLDVLFSTASIMHLCAISLDRYVAIQN</v>
      </c>
      <c r="K74" s="4" t="str">
        <f t="shared" si="31"/>
        <v>PIHHSRFN</v>
      </c>
      <c r="L74" s="4" t="str">
        <f t="shared" si="32"/>
        <v>SRTKAFLKIIAVWTISVGISMPIPVFGLQD</v>
      </c>
      <c r="M74" s="4" t="str">
        <f t="shared" si="33"/>
        <v>CLL</v>
      </c>
      <c r="N74" s="4" t="str">
        <f t="shared" si="34"/>
        <v>DDNFVLIGSFVSFFIPLTIMVITYFLTIKSLQKEATLCVSDL</v>
      </c>
      <c r="O74" s="4" t="str">
        <f t="shared" si="35"/>
        <v>MQSISNEQKACKVLGIVFFLFVVMWCPFFITNIMAVIC</v>
      </c>
      <c r="P74" s="4" t="str">
        <f t="shared" si="36"/>
        <v>NEDVIGALLNVFVWIGYLSSAVNPLVYTLF</v>
      </c>
      <c r="Q74" s="4" t="str">
        <f t="shared" si="37"/>
        <v>NKTYRSAFSRYIQC</v>
      </c>
      <c r="R74" s="5">
        <f>VLOOKUP($A74,'SegEnds_NonXtal_Prot#'!$A:$AL,3,FALSE)</f>
        <v>75</v>
      </c>
      <c r="S74" s="5">
        <f>VLOOKUP($A74,'SegEnds_NonXtal_Prot#'!$A:$AL,6,FALSE)</f>
        <v>103</v>
      </c>
      <c r="T74" s="5">
        <f>VLOOKUP($A74,'SegEnds_NonXtal_Prot#'!$A:$AL,9,FALSE)</f>
        <v>107</v>
      </c>
      <c r="U74" s="5">
        <f>VLOOKUP($A74,'SegEnds_NonXtal_Prot#'!$A:$AL,12,FALSE)</f>
        <v>140</v>
      </c>
      <c r="V74" s="5">
        <f>VLOOKUP($A74,'SegEnds_NonXtal_Prot#'!$A:$AL,15,FALSE)</f>
        <v>144</v>
      </c>
      <c r="W74" s="5">
        <f>VLOOKUP($A74,'SegEnds_NonXtal_Prot#'!$A:$AL,18,FALSE)</f>
        <v>180</v>
      </c>
      <c r="X74" s="5">
        <f>VLOOKUP($A74,'SegEnds_NonXtal_Prot#'!$A:$AL,21,FALSE)</f>
        <v>188</v>
      </c>
      <c r="Y74" s="5">
        <f>VLOOKUP($A74,'SegEnds_NonXtal_Prot#'!$A:$AL,24,FALSE)</f>
        <v>227</v>
      </c>
      <c r="Z74" s="5">
        <f>VLOOKUP($A74,'SegEnds_NonXtal_Prot#'!$A:$AL,27,FALSE)</f>
        <v>231</v>
      </c>
      <c r="AA74" s="5">
        <f>VLOOKUP($A74,'SegEnds_NonXtal_Prot#'!$A:$AL,30,FALSE)</f>
        <v>312</v>
      </c>
      <c r="AB74" s="5">
        <f>VLOOKUP($A74,'SegEnds_NonXtal_Prot#'!$A:$AL,33,FALSE)</f>
        <v>354</v>
      </c>
      <c r="AC74" s="5">
        <f>VLOOKUP($A74,'SegEnds_NonXtal_Prot#'!$A:$AL,36,FALSE)</f>
        <v>384</v>
      </c>
      <c r="AD74" s="5">
        <f>VLOOKUP($A74,'SegEnds_NonXtal_Prot#'!$A:$AL,5,FALSE)</f>
        <v>102</v>
      </c>
      <c r="AE74" s="5">
        <f>VLOOKUP($A74,'SegEnds_NonXtal_Prot#'!$A:$AL,8,FALSE)</f>
        <v>106</v>
      </c>
      <c r="AF74" s="5">
        <f>VLOOKUP($A74,'SegEnds_NonXtal_Prot#'!$A:$AL,11,FALSE)</f>
        <v>138</v>
      </c>
      <c r="AG74" s="5">
        <f>VLOOKUP($A74,'SegEnds_NonXtal_Prot#'!$A:$AL,14,FALSE)</f>
        <v>143</v>
      </c>
      <c r="AH74" s="5">
        <f>VLOOKUP($A74,'SegEnds_NonXtal_Prot#'!$A:$AL,17,FALSE)</f>
        <v>179</v>
      </c>
      <c r="AI74" s="5">
        <f>VLOOKUP($A74,'SegEnds_NonXtal_Prot#'!$A:$AL,20,FALSE)</f>
        <v>187</v>
      </c>
      <c r="AJ74" s="5">
        <f>VLOOKUP($A74,'SegEnds_NonXtal_Prot#'!$A:$AL,23,FALSE)</f>
        <v>217</v>
      </c>
      <c r="AK74" s="5">
        <f>VLOOKUP($A74,'SegEnds_NonXtal_Prot#'!$A:$AL,26,FALSE)</f>
        <v>229</v>
      </c>
      <c r="AL74" s="5">
        <f>VLOOKUP($A74,'SegEnds_NonXtal_Prot#'!$A:$AL,29,FALSE)</f>
        <v>272</v>
      </c>
      <c r="AM74" s="5">
        <f>VLOOKUP($A74,'SegEnds_NonXtal_Prot#'!$A:$AL,32,FALSE)</f>
        <v>349</v>
      </c>
      <c r="AN74" s="5">
        <f>VLOOKUP($A74,'SegEnds_NonXtal_Prot#'!$A:$AL,35,FALSE)</f>
        <v>383</v>
      </c>
      <c r="AO74" s="5">
        <f>VLOOKUP($A74,'SegEnds_NonXtal_Prot#'!$A:$AL,38,FALSE)</f>
        <v>397</v>
      </c>
      <c r="AP74" s="5">
        <f t="shared" si="38"/>
        <v>27</v>
      </c>
      <c r="AQ74" s="4">
        <f t="shared" si="39"/>
        <v>3</v>
      </c>
      <c r="AR74" s="4">
        <f t="shared" si="40"/>
        <v>31</v>
      </c>
      <c r="AS74" s="4">
        <f t="shared" si="41"/>
        <v>3</v>
      </c>
      <c r="AT74" s="4">
        <f t="shared" si="42"/>
        <v>35</v>
      </c>
      <c r="AU74" s="4">
        <f t="shared" si="43"/>
        <v>7</v>
      </c>
      <c r="AV74" s="4">
        <f t="shared" si="44"/>
        <v>29</v>
      </c>
      <c r="AW74" s="4">
        <f t="shared" si="45"/>
        <v>2</v>
      </c>
      <c r="AX74" s="4">
        <f t="shared" si="46"/>
        <v>41</v>
      </c>
      <c r="AY74" s="4">
        <f t="shared" si="47"/>
        <v>37</v>
      </c>
      <c r="AZ74" s="4">
        <f t="shared" si="48"/>
        <v>29</v>
      </c>
      <c r="BA74" s="4">
        <f t="shared" si="49"/>
        <v>13</v>
      </c>
    </row>
    <row r="75" spans="1:53" x14ac:dyDescent="0.2">
      <c r="A75" s="1" t="str">
        <f>'SegEnds_NonXtal_Prot#'!A44</f>
        <v>5ht2b_human</v>
      </c>
      <c r="B75" s="1" t="str">
        <f t="shared" si="25"/>
        <v>KLHWAALLILMVIIPTIGGNTLVILAVSLEYATNYFLMSLAVADLLVGLFVMPIALLTIMFPLVLCPAWLFLDVLFSTASIMHLCAISVDRYIAIKKSRATAFIKITVVWLISIGIAIPVPIKGFGDFMLFGSLAAFFTPLAIMIVTYFLTIHALQKKAYLVKNKPVQTISNEQRASKVLGIVFFLFLLMWCPFFITNITLVLCNQTTLQMLLEIFVWIGYVSSGVNPLVYTLFNKTFRDAFGRYI</v>
      </c>
      <c r="C75" s="29" t="str">
        <f>IF(ISERROR(MATCH(A75,'SegEnds_Xtal_Prot#'!B:B, 0)), "NoXtal", "Xtal")</f>
        <v>Xtal</v>
      </c>
      <c r="D75" s="4" t="str">
        <f>VLOOKUP(A75,Classification!A:D,2,FALSE)</f>
        <v>A</v>
      </c>
      <c r="E75" s="5" t="str">
        <f>VLOOKUP(A75,Seqs!A:B,2,FALSE)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F75" s="5" t="str">
        <f t="shared" si="26"/>
        <v>KLHWAALLILMVIIPTIGGNTLVILAVSLE</v>
      </c>
      <c r="G75" s="4" t="str">
        <f t="shared" si="27"/>
        <v>KKLQ</v>
      </c>
      <c r="H75" s="4" t="str">
        <f t="shared" si="28"/>
        <v>YATNYFLMSLAVADLLVGLFVMPIALLTIMF</v>
      </c>
      <c r="I75" s="4" t="str">
        <f t="shared" si="29"/>
        <v>MWPL</v>
      </c>
      <c r="J75" s="4" t="str">
        <f t="shared" si="30"/>
        <v>PLVLCPAWLFLDVLFSTASIMHLCAISVDRYIAIKK</v>
      </c>
      <c r="K75" s="4" t="str">
        <f t="shared" si="31"/>
        <v>PIQANQYN</v>
      </c>
      <c r="L75" s="4" t="str">
        <f t="shared" si="32"/>
        <v>SRATAFIKITVVWLISIGIAIPVPIKG</v>
      </c>
      <c r="M75" s="4" t="str">
        <f t="shared" si="33"/>
        <v>CVL</v>
      </c>
      <c r="N75" s="4" t="str">
        <f t="shared" si="34"/>
        <v>FGDFMLFGSLAAFFTPLAIMIVTYFLTIHALQKKAYLVKNKP</v>
      </c>
      <c r="O75" s="4" t="str">
        <f t="shared" si="35"/>
        <v>VQTISNEQRASKVLGIVFFLFLLMWCPFFITNITLVLC</v>
      </c>
      <c r="P75" s="4" t="str">
        <f t="shared" si="36"/>
        <v>NQTTLQMLLEIFVWIGYVSSGVNPLVYTLF</v>
      </c>
      <c r="Q75" s="4" t="str">
        <f t="shared" si="37"/>
        <v>NKTFRDAFGRYI</v>
      </c>
      <c r="R75" s="5">
        <f>VLOOKUP($A75,'SegEnds_NonXtal_Prot#'!$A:$AL,3,FALSE)</f>
        <v>53</v>
      </c>
      <c r="S75" s="5">
        <f>VLOOKUP($A75,'SegEnds_NonXtal_Prot#'!$A:$AL,6,FALSE)</f>
        <v>83</v>
      </c>
      <c r="T75" s="5">
        <f>VLOOKUP($A75,'SegEnds_NonXtal_Prot#'!$A:$AL,9,FALSE)</f>
        <v>87</v>
      </c>
      <c r="U75" s="5">
        <f>VLOOKUP($A75,'SegEnds_NonXtal_Prot#'!$A:$AL,12,FALSE)</f>
        <v>120</v>
      </c>
      <c r="V75" s="5">
        <f>VLOOKUP($A75,'SegEnds_NonXtal_Prot#'!$A:$AL,15,FALSE)</f>
        <v>124</v>
      </c>
      <c r="W75" s="5">
        <f>VLOOKUP($A75,'SegEnds_NonXtal_Prot#'!$A:$AL,18,FALSE)</f>
        <v>160</v>
      </c>
      <c r="X75" s="5">
        <f>VLOOKUP($A75,'SegEnds_NonXtal_Prot#'!$A:$AL,21,FALSE)</f>
        <v>168</v>
      </c>
      <c r="Y75" s="5">
        <f>VLOOKUP($A75,'SegEnds_NonXtal_Prot#'!$A:$AL,24,FALSE)</f>
        <v>207</v>
      </c>
      <c r="Z75" s="5">
        <f>VLOOKUP($A75,'SegEnds_NonXtal_Prot#'!$A:$AL,27,FALSE)</f>
        <v>214</v>
      </c>
      <c r="AA75" s="5">
        <f>VLOOKUP($A75,'SegEnds_NonXtal_Prot#'!$A:$AL,30,FALSE)</f>
        <v>313</v>
      </c>
      <c r="AB75" s="5">
        <f>VLOOKUP($A75,'SegEnds_NonXtal_Prot#'!$A:$AL,33,FALSE)</f>
        <v>354</v>
      </c>
      <c r="AC75" s="5">
        <f>VLOOKUP($A75,'SegEnds_NonXtal_Prot#'!$A:$AL,36,FALSE)</f>
        <v>384</v>
      </c>
      <c r="AD75" s="5">
        <f>VLOOKUP($A75,'SegEnds_NonXtal_Prot#'!$A:$AL,5,FALSE)</f>
        <v>82</v>
      </c>
      <c r="AE75" s="5">
        <f>VLOOKUP($A75,'SegEnds_NonXtal_Prot#'!$A:$AL,8,FALSE)</f>
        <v>86</v>
      </c>
      <c r="AF75" s="5">
        <f>VLOOKUP($A75,'SegEnds_NonXtal_Prot#'!$A:$AL,11,FALSE)</f>
        <v>117</v>
      </c>
      <c r="AG75" s="5">
        <f>VLOOKUP($A75,'SegEnds_NonXtal_Prot#'!$A:$AL,14,FALSE)</f>
        <v>123</v>
      </c>
      <c r="AH75" s="5">
        <f>VLOOKUP($A75,'SegEnds_NonXtal_Prot#'!$A:$AL,17,FALSE)</f>
        <v>159</v>
      </c>
      <c r="AI75" s="5">
        <f>VLOOKUP($A75,'SegEnds_NonXtal_Prot#'!$A:$AL,20,FALSE)</f>
        <v>167</v>
      </c>
      <c r="AJ75" s="5">
        <f>VLOOKUP($A75,'SegEnds_NonXtal_Prot#'!$A:$AL,23,FALSE)</f>
        <v>194</v>
      </c>
      <c r="AK75" s="5">
        <f>VLOOKUP($A75,'SegEnds_NonXtal_Prot#'!$A:$AL,26,FALSE)</f>
        <v>209</v>
      </c>
      <c r="AL75" s="5">
        <f>VLOOKUP($A75,'SegEnds_NonXtal_Prot#'!$A:$AL,29,FALSE)</f>
        <v>255</v>
      </c>
      <c r="AM75" s="5">
        <f>VLOOKUP($A75,'SegEnds_NonXtal_Prot#'!$A:$AL,32,FALSE)</f>
        <v>350</v>
      </c>
      <c r="AN75" s="5">
        <f>VLOOKUP($A75,'SegEnds_NonXtal_Prot#'!$A:$AL,35,FALSE)</f>
        <v>383</v>
      </c>
      <c r="AO75" s="5">
        <f>VLOOKUP($A75,'SegEnds_NonXtal_Prot#'!$A:$AL,38,FALSE)</f>
        <v>395</v>
      </c>
      <c r="AP75" s="5">
        <f t="shared" si="38"/>
        <v>29</v>
      </c>
      <c r="AQ75" s="4">
        <f t="shared" si="39"/>
        <v>3</v>
      </c>
      <c r="AR75" s="4">
        <f t="shared" si="40"/>
        <v>30</v>
      </c>
      <c r="AS75" s="4">
        <f t="shared" si="41"/>
        <v>3</v>
      </c>
      <c r="AT75" s="4">
        <f t="shared" si="42"/>
        <v>35</v>
      </c>
      <c r="AU75" s="4">
        <f t="shared" si="43"/>
        <v>7</v>
      </c>
      <c r="AV75" s="4">
        <f t="shared" si="44"/>
        <v>26</v>
      </c>
      <c r="AW75" s="4">
        <f t="shared" si="45"/>
        <v>2</v>
      </c>
      <c r="AX75" s="4">
        <f t="shared" si="46"/>
        <v>41</v>
      </c>
      <c r="AY75" s="4">
        <f t="shared" si="47"/>
        <v>37</v>
      </c>
      <c r="AZ75" s="4">
        <f t="shared" si="48"/>
        <v>29</v>
      </c>
      <c r="BA75" s="4">
        <f t="shared" si="49"/>
        <v>11</v>
      </c>
    </row>
    <row r="76" spans="1:53" x14ac:dyDescent="0.2">
      <c r="A76" s="1" t="str">
        <f>'SegEnds_NonXtal_Prot#'!A45</f>
        <v>5ht2c_human</v>
      </c>
      <c r="B76" s="1" t="str">
        <f t="shared" si="25"/>
        <v>NWPALSIVIIIIMTIGGNILVIMAVSMENATNYFLMSLAIADMLVGLLVMPLSLLAILYDPRYLCPVWISLDVLFSTASIMHLCAISLDRYVAIRNSRTKAIMKIAIVWAISIGVSVPIPVIGLRDDPNFVLIGSFVAFFIPLTIMVITYCLTIYVLRRQALMLLHMQAINNERKASKVLGIVFFVFLIMWCPFFITNILSVLCNQKLMEKLLNVFVWIGYVCSGINPLVYTLFNKIYRRAFSNYLRC</v>
      </c>
      <c r="C76" s="29" t="str">
        <f>IF(ISERROR(MATCH(A76,'SegEnds_Xtal_Prot#'!B:B, 0)), "NoXtal", "Xtal")</f>
        <v>Xtal</v>
      </c>
      <c r="D76" s="4" t="str">
        <f>VLOOKUP(A76,Classification!A:D,2,FALSE)</f>
        <v>A</v>
      </c>
      <c r="E76" s="5" t="str">
        <f>VLOOKUP(A76,Seqs!A:B,2,FALSE)</f>
        <v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v>
      </c>
      <c r="F76" s="5" t="str">
        <f t="shared" si="26"/>
        <v>NWPALSIVIIIIMTIGGNILVIMAVSME</v>
      </c>
      <c r="G76" s="4" t="str">
        <f t="shared" si="27"/>
        <v>KKLH</v>
      </c>
      <c r="H76" s="4" t="str">
        <f t="shared" si="28"/>
        <v>NATNYFLMSLAIADMLVGLLVMPLSLLAILYD</v>
      </c>
      <c r="I76" s="4" t="str">
        <f t="shared" si="29"/>
        <v>VWPL</v>
      </c>
      <c r="J76" s="4" t="str">
        <f t="shared" si="30"/>
        <v>PRYLCPVWISLDVLFSTASIMHLCAISLDRYVAIRN</v>
      </c>
      <c r="K76" s="4" t="str">
        <f t="shared" si="31"/>
        <v>PIEHSRFN</v>
      </c>
      <c r="L76" s="4" t="str">
        <f t="shared" si="32"/>
        <v>SRTKAIMKIAIVWAISIGVSVPIPVIGLRD</v>
      </c>
      <c r="M76" s="4" t="str">
        <f t="shared" si="33"/>
        <v>CVL</v>
      </c>
      <c r="N76" s="4" t="str">
        <f t="shared" si="34"/>
        <v>DPNFVLIGSFVAFFIPLTIMVITYCLTIYVLRRQALMLLH</v>
      </c>
      <c r="O76" s="4" t="str">
        <f t="shared" si="35"/>
        <v>MQAINNERKASKVLGIVFFVFLIMWCPFFITNILSVLC</v>
      </c>
      <c r="P76" s="4" t="str">
        <f t="shared" si="36"/>
        <v>NQKLMEKLLNVFVWIGYVCSGINPLVYTLF</v>
      </c>
      <c r="Q76" s="4" t="str">
        <f t="shared" si="37"/>
        <v>NKIYRRAFSNYLRC</v>
      </c>
      <c r="R76" s="5">
        <f>VLOOKUP($A76,'SegEnds_NonXtal_Prot#'!$A:$AL,3,FALSE)</f>
        <v>54</v>
      </c>
      <c r="S76" s="5">
        <f>VLOOKUP($A76,'SegEnds_NonXtal_Prot#'!$A:$AL,6,FALSE)</f>
        <v>82</v>
      </c>
      <c r="T76" s="5">
        <f>VLOOKUP($A76,'SegEnds_NonXtal_Prot#'!$A:$AL,9,FALSE)</f>
        <v>86</v>
      </c>
      <c r="U76" s="5">
        <f>VLOOKUP($A76,'SegEnds_NonXtal_Prot#'!$A:$AL,12,FALSE)</f>
        <v>119</v>
      </c>
      <c r="V76" s="5">
        <f>VLOOKUP($A76,'SegEnds_NonXtal_Prot#'!$A:$AL,15,FALSE)</f>
        <v>123</v>
      </c>
      <c r="W76" s="5">
        <f>VLOOKUP($A76,'SegEnds_NonXtal_Prot#'!$A:$AL,18,FALSE)</f>
        <v>159</v>
      </c>
      <c r="X76" s="5">
        <f>VLOOKUP($A76,'SegEnds_NonXtal_Prot#'!$A:$AL,21,FALSE)</f>
        <v>167</v>
      </c>
      <c r="Y76" s="5">
        <f>VLOOKUP($A76,'SegEnds_NonXtal_Prot#'!$A:$AL,24,FALSE)</f>
        <v>207</v>
      </c>
      <c r="Z76" s="5">
        <f>VLOOKUP($A76,'SegEnds_NonXtal_Prot#'!$A:$AL,27,FALSE)</f>
        <v>211</v>
      </c>
      <c r="AA76" s="5">
        <f>VLOOKUP($A76,'SegEnds_NonXtal_Prot#'!$A:$AL,30,FALSE)</f>
        <v>300</v>
      </c>
      <c r="AB76" s="5">
        <f>VLOOKUP($A76,'SegEnds_NonXtal_Prot#'!$A:$AL,33,FALSE)</f>
        <v>342</v>
      </c>
      <c r="AC76" s="5">
        <f>VLOOKUP($A76,'SegEnds_NonXtal_Prot#'!$A:$AL,36,FALSE)</f>
        <v>372</v>
      </c>
      <c r="AD76" s="5">
        <f>VLOOKUP($A76,'SegEnds_NonXtal_Prot#'!$A:$AL,5,FALSE)</f>
        <v>81</v>
      </c>
      <c r="AE76" s="5">
        <f>VLOOKUP($A76,'SegEnds_NonXtal_Prot#'!$A:$AL,8,FALSE)</f>
        <v>85</v>
      </c>
      <c r="AF76" s="5">
        <f>VLOOKUP($A76,'SegEnds_NonXtal_Prot#'!$A:$AL,11,FALSE)</f>
        <v>117</v>
      </c>
      <c r="AG76" s="5">
        <f>VLOOKUP($A76,'SegEnds_NonXtal_Prot#'!$A:$AL,14,FALSE)</f>
        <v>122</v>
      </c>
      <c r="AH76" s="5">
        <f>VLOOKUP($A76,'SegEnds_NonXtal_Prot#'!$A:$AL,17,FALSE)</f>
        <v>158</v>
      </c>
      <c r="AI76" s="5">
        <f>VLOOKUP($A76,'SegEnds_NonXtal_Prot#'!$A:$AL,20,FALSE)</f>
        <v>166</v>
      </c>
      <c r="AJ76" s="5">
        <f>VLOOKUP($A76,'SegEnds_NonXtal_Prot#'!$A:$AL,23,FALSE)</f>
        <v>196</v>
      </c>
      <c r="AK76" s="5">
        <f>VLOOKUP($A76,'SegEnds_NonXtal_Prot#'!$A:$AL,26,FALSE)</f>
        <v>209</v>
      </c>
      <c r="AL76" s="5">
        <f>VLOOKUP($A76,'SegEnds_NonXtal_Prot#'!$A:$AL,29,FALSE)</f>
        <v>250</v>
      </c>
      <c r="AM76" s="5">
        <f>VLOOKUP($A76,'SegEnds_NonXtal_Prot#'!$A:$AL,32,FALSE)</f>
        <v>337</v>
      </c>
      <c r="AN76" s="5">
        <f>VLOOKUP($A76,'SegEnds_NonXtal_Prot#'!$A:$AL,35,FALSE)</f>
        <v>371</v>
      </c>
      <c r="AO76" s="5">
        <f>VLOOKUP($A76,'SegEnds_NonXtal_Prot#'!$A:$AL,38,FALSE)</f>
        <v>385</v>
      </c>
      <c r="AP76" s="5">
        <f t="shared" si="38"/>
        <v>27</v>
      </c>
      <c r="AQ76" s="4">
        <f t="shared" si="39"/>
        <v>3</v>
      </c>
      <c r="AR76" s="4">
        <f t="shared" si="40"/>
        <v>31</v>
      </c>
      <c r="AS76" s="4">
        <f t="shared" si="41"/>
        <v>3</v>
      </c>
      <c r="AT76" s="4">
        <f t="shared" si="42"/>
        <v>35</v>
      </c>
      <c r="AU76" s="4">
        <f t="shared" si="43"/>
        <v>7</v>
      </c>
      <c r="AV76" s="4">
        <f t="shared" si="44"/>
        <v>29</v>
      </c>
      <c r="AW76" s="4">
        <f t="shared" si="45"/>
        <v>2</v>
      </c>
      <c r="AX76" s="4">
        <f t="shared" si="46"/>
        <v>39</v>
      </c>
      <c r="AY76" s="4">
        <f t="shared" si="47"/>
        <v>37</v>
      </c>
      <c r="AZ76" s="4">
        <f t="shared" si="48"/>
        <v>29</v>
      </c>
      <c r="BA76" s="4">
        <f t="shared" si="49"/>
        <v>13</v>
      </c>
    </row>
    <row r="77" spans="1:53" x14ac:dyDescent="0.2">
      <c r="A77" s="1" t="str">
        <f>'SegEnds_NonXtal_Prot#'!A46</f>
        <v>5ht4r_human</v>
      </c>
      <c r="B77" s="1" t="str">
        <f t="shared" si="25"/>
        <v>SVEKVVLLTFLSTVILMAILGNLLVMVAVCWDKIKTNYFIVSLAFADLLVSVLVMPFGAIELVQDGEVFCLVRTSLDVLLTTASIFHLCCISLDRYYAICCTPLRIALMLGGCWVIPTFISFLPIMNKPYAITCSVVAFYIPFLLMVLAYYRIYVTAKEHAHQIQMLQTHRMRTETKAAKTLCIIMGCFCLCWAPFFVTNIVDPFIPGQVWTAFLWLGYINSGLNPFLYAFLNKSFRRAFLIILC</v>
      </c>
      <c r="C77" s="29" t="str">
        <f>IF(ISERROR(MATCH(A77,'SegEnds_Xtal_Prot#'!B:B, 0)), "NoXtal", "Xtal")</f>
        <v>NoXtal</v>
      </c>
      <c r="D77" s="4" t="str">
        <f>VLOOKUP(A77,Classification!A:D,2,FALSE)</f>
        <v>A</v>
      </c>
      <c r="E77" s="5" t="str">
        <f>VLOOKUP(A77,Seqs!A:B,2,FALSE)</f>
        <v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v>
      </c>
      <c r="F77" s="5" t="str">
        <f t="shared" si="26"/>
        <v>SVEKVVLLTFLSTVILMAILGNLLVMVAVCWD</v>
      </c>
      <c r="G77" s="4" t="str">
        <f t="shared" si="27"/>
        <v>RQLR</v>
      </c>
      <c r="H77" s="4" t="str">
        <f t="shared" si="28"/>
        <v>KIKTNYFIVSLAFADLLVSVLVMPFGAIELVQD</v>
      </c>
      <c r="I77" s="4" t="str">
        <f t="shared" si="29"/>
        <v>IWIY</v>
      </c>
      <c r="J77" s="4" t="str">
        <f t="shared" si="30"/>
        <v>GEVFCLVRTSLDVLLTTASIFHLCCISLDRYYAICC</v>
      </c>
      <c r="K77" s="4" t="str">
        <f t="shared" si="31"/>
        <v>PLVYRNKM</v>
      </c>
      <c r="L77" s="4" t="str">
        <f t="shared" si="32"/>
        <v>TPLRIALMLGGCWVIPTFISFLPIM</v>
      </c>
      <c r="M77" s="4" t="str">
        <f t="shared" si="33"/>
        <v>CVF</v>
      </c>
      <c r="N77" s="4" t="str">
        <f t="shared" si="34"/>
        <v>NKPYAITCSVVAFYIPFLLMVLAYYRIYVTAKEHAHQIQMLQ</v>
      </c>
      <c r="O77" s="4" t="str">
        <f t="shared" si="35"/>
        <v>THRMRTETKAAKTLCIIMGCFCLCWAPFFVTNIVDPFI</v>
      </c>
      <c r="P77" s="4" t="str">
        <f t="shared" si="36"/>
        <v>PGQVWTAFLWLGYINSGLNPFLYAFL</v>
      </c>
      <c r="Q77" s="4" t="str">
        <f t="shared" si="37"/>
        <v>NKSFRRAFLIILC</v>
      </c>
      <c r="R77" s="5">
        <f>VLOOKUP($A77,'SegEnds_NonXtal_Prot#'!$A:$AL,3,FALSE)</f>
        <v>16</v>
      </c>
      <c r="S77" s="5">
        <f>VLOOKUP($A77,'SegEnds_NonXtal_Prot#'!$A:$AL,6,FALSE)</f>
        <v>48</v>
      </c>
      <c r="T77" s="5">
        <f>VLOOKUP($A77,'SegEnds_NonXtal_Prot#'!$A:$AL,9,FALSE)</f>
        <v>52</v>
      </c>
      <c r="U77" s="5">
        <f>VLOOKUP($A77,'SegEnds_NonXtal_Prot#'!$A:$AL,12,FALSE)</f>
        <v>85</v>
      </c>
      <c r="V77" s="5">
        <f>VLOOKUP($A77,'SegEnds_NonXtal_Prot#'!$A:$AL,15,FALSE)</f>
        <v>89</v>
      </c>
      <c r="W77" s="5">
        <f>VLOOKUP($A77,'SegEnds_NonXtal_Prot#'!$A:$AL,18,FALSE)</f>
        <v>126</v>
      </c>
      <c r="X77" s="5">
        <f>VLOOKUP($A77,'SegEnds_NonXtal_Prot#'!$A:$AL,21,FALSE)</f>
        <v>134</v>
      </c>
      <c r="Y77" s="5">
        <f>VLOOKUP($A77,'SegEnds_NonXtal_Prot#'!$A:$AL,24,FALSE)</f>
        <v>184</v>
      </c>
      <c r="Z77" s="5">
        <f>VLOOKUP($A77,'SegEnds_NonXtal_Prot#'!$A:$AL,27,FALSE)</f>
        <v>189</v>
      </c>
      <c r="AA77" s="5">
        <f>VLOOKUP($A77,'SegEnds_NonXtal_Prot#'!$A:$AL,30,FALSE)</f>
        <v>248</v>
      </c>
      <c r="AB77" s="5">
        <f>VLOOKUP($A77,'SegEnds_NonXtal_Prot#'!$A:$AL,33,FALSE)</f>
        <v>290</v>
      </c>
      <c r="AC77" s="5">
        <f>VLOOKUP($A77,'SegEnds_NonXtal_Prot#'!$A:$AL,36,FALSE)</f>
        <v>316</v>
      </c>
      <c r="AD77" s="5">
        <f>VLOOKUP($A77,'SegEnds_NonXtal_Prot#'!$A:$AL,5,FALSE)</f>
        <v>47</v>
      </c>
      <c r="AE77" s="5">
        <f>VLOOKUP($A77,'SegEnds_NonXtal_Prot#'!$A:$AL,8,FALSE)</f>
        <v>51</v>
      </c>
      <c r="AF77" s="5">
        <f>VLOOKUP($A77,'SegEnds_NonXtal_Prot#'!$A:$AL,11,FALSE)</f>
        <v>84</v>
      </c>
      <c r="AG77" s="5">
        <f>VLOOKUP($A77,'SegEnds_NonXtal_Prot#'!$A:$AL,14,FALSE)</f>
        <v>88</v>
      </c>
      <c r="AH77" s="5">
        <f>VLOOKUP($A77,'SegEnds_NonXtal_Prot#'!$A:$AL,17,FALSE)</f>
        <v>124</v>
      </c>
      <c r="AI77" s="5">
        <f>VLOOKUP($A77,'SegEnds_NonXtal_Prot#'!$A:$AL,20,FALSE)</f>
        <v>133</v>
      </c>
      <c r="AJ77" s="5">
        <f>VLOOKUP($A77,'SegEnds_NonXtal_Prot#'!$A:$AL,23,FALSE)</f>
        <v>158</v>
      </c>
      <c r="AK77" s="5">
        <f>VLOOKUP($A77,'SegEnds_NonXtal_Prot#'!$A:$AL,26,FALSE)</f>
        <v>186</v>
      </c>
      <c r="AL77" s="5">
        <f>VLOOKUP($A77,'SegEnds_NonXtal_Prot#'!$A:$AL,29,FALSE)</f>
        <v>230</v>
      </c>
      <c r="AM77" s="5">
        <f>VLOOKUP($A77,'SegEnds_NonXtal_Prot#'!$A:$AL,32,FALSE)</f>
        <v>285</v>
      </c>
      <c r="AN77" s="5">
        <f>VLOOKUP($A77,'SegEnds_NonXtal_Prot#'!$A:$AL,35,FALSE)</f>
        <v>315</v>
      </c>
      <c r="AO77" s="5">
        <f>VLOOKUP($A77,'SegEnds_NonXtal_Prot#'!$A:$AL,38,FALSE)</f>
        <v>328</v>
      </c>
      <c r="AP77" s="5">
        <f t="shared" si="38"/>
        <v>31</v>
      </c>
      <c r="AQ77" s="4">
        <f t="shared" si="39"/>
        <v>3</v>
      </c>
      <c r="AR77" s="4">
        <f t="shared" si="40"/>
        <v>32</v>
      </c>
      <c r="AS77" s="4">
        <f t="shared" si="41"/>
        <v>3</v>
      </c>
      <c r="AT77" s="4">
        <f t="shared" si="42"/>
        <v>35</v>
      </c>
      <c r="AU77" s="4">
        <f t="shared" si="43"/>
        <v>7</v>
      </c>
      <c r="AV77" s="4">
        <f t="shared" si="44"/>
        <v>24</v>
      </c>
      <c r="AW77" s="4">
        <f t="shared" si="45"/>
        <v>2</v>
      </c>
      <c r="AX77" s="4">
        <f t="shared" si="46"/>
        <v>41</v>
      </c>
      <c r="AY77" s="4">
        <f t="shared" si="47"/>
        <v>37</v>
      </c>
      <c r="AZ77" s="4">
        <f t="shared" si="48"/>
        <v>25</v>
      </c>
      <c r="BA77" s="4">
        <f t="shared" si="49"/>
        <v>12</v>
      </c>
    </row>
    <row r="78" spans="1:53" x14ac:dyDescent="0.2">
      <c r="A78" s="1" t="str">
        <f>'SegEnds_NonXtal_Prot#'!A47</f>
        <v>5ht5a_human</v>
      </c>
      <c r="B78" s="1" t="str">
        <f t="shared" si="25"/>
        <v>LSVFGVLILTLLGFLVAATFAWNLLVLATILRVRVPHNLVASMAVSDVLVAALVMPLSLVHELSGGRRLCQLWIACDVLCCTASIWNVTAIALDRYWSITRRKCVSNVMIALTWALSAVISLAPLLFEPSYAVFSTVGAFYLPLCVVLFVYWKIYKAAKFRVGSRKTNSTWREQKEQRAALMVGILIGVFVLCWIPFFLTELISPLCPAIWKSIFLWLGYSNSFFNPLIYTAFNKNYNSAFKNFF</v>
      </c>
      <c r="C78" s="29" t="str">
        <f>IF(ISERROR(MATCH(A78,'SegEnds_Xtal_Prot#'!B:B, 0)), "NoXtal", "Xtal")</f>
        <v>NoXtal</v>
      </c>
      <c r="D78" s="4" t="str">
        <f>VLOOKUP(A78,Classification!A:D,2,FALSE)</f>
        <v>A</v>
      </c>
      <c r="E78" s="5" t="str">
        <f>VLOOKUP(A78,Seqs!A:B,2,FALSE)</f>
        <v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v>
      </c>
      <c r="F78" s="5" t="str">
        <f t="shared" si="26"/>
        <v>LSVFGVLILTLLGFLVAATFAWNLLVLATILRV</v>
      </c>
      <c r="G78" s="4" t="str">
        <f t="shared" si="27"/>
        <v>RTFH</v>
      </c>
      <c r="H78" s="4" t="str">
        <f t="shared" si="28"/>
        <v>RVPHNLVASMAVSDVLVAALVMPLSLVHELSG</v>
      </c>
      <c r="I78" s="4" t="str">
        <f t="shared" si="29"/>
        <v>RWQL</v>
      </c>
      <c r="J78" s="4" t="str">
        <f t="shared" si="30"/>
        <v>GRRLCQLWIACDVLCCTASIWNVTAIALDRYWSITR</v>
      </c>
      <c r="K78" s="4" t="str">
        <f t="shared" si="31"/>
        <v>HMEYTLRT</v>
      </c>
      <c r="L78" s="4" t="str">
        <f t="shared" si="32"/>
        <v>RKCVSNVMIALTWALSAVISLAPLLF</v>
      </c>
      <c r="M78" s="4" t="str">
        <f t="shared" si="33"/>
        <v>CQV</v>
      </c>
      <c r="N78" s="4" t="str">
        <f t="shared" si="34"/>
        <v>EPSYAVFSTVGAFYLPLCVVLFVYWKIYKAAKFRVGSRKTNS</v>
      </c>
      <c r="O78" s="4" t="str">
        <f t="shared" si="35"/>
        <v>TWREQKEQRAALMVGILIGVFVLCWIPFFLTELISPLC</v>
      </c>
      <c r="P78" s="4" t="str">
        <f t="shared" si="36"/>
        <v>PAIWKSIFLWLGYSNSFFNPLIYTAF</v>
      </c>
      <c r="Q78" s="4" t="str">
        <f t="shared" si="37"/>
        <v>NKNYNSAFKNFF</v>
      </c>
      <c r="R78" s="5">
        <f>VLOOKUP($A78,'SegEnds_NonXtal_Prot#'!$A:$AL,3,FALSE)</f>
        <v>36</v>
      </c>
      <c r="S78" s="5">
        <f>VLOOKUP($A78,'SegEnds_NonXtal_Prot#'!$A:$AL,6,FALSE)</f>
        <v>69</v>
      </c>
      <c r="T78" s="5">
        <f>VLOOKUP($A78,'SegEnds_NonXtal_Prot#'!$A:$AL,9,FALSE)</f>
        <v>73</v>
      </c>
      <c r="U78" s="5">
        <f>VLOOKUP($A78,'SegEnds_NonXtal_Prot#'!$A:$AL,12,FALSE)</f>
        <v>106</v>
      </c>
      <c r="V78" s="5">
        <f>VLOOKUP($A78,'SegEnds_NonXtal_Prot#'!$A:$AL,15,FALSE)</f>
        <v>110</v>
      </c>
      <c r="W78" s="5">
        <f>VLOOKUP($A78,'SegEnds_NonXtal_Prot#'!$A:$AL,18,FALSE)</f>
        <v>146</v>
      </c>
      <c r="X78" s="5">
        <f>VLOOKUP($A78,'SegEnds_NonXtal_Prot#'!$A:$AL,21,FALSE)</f>
        <v>154</v>
      </c>
      <c r="Y78" s="5">
        <f>VLOOKUP($A78,'SegEnds_NonXtal_Prot#'!$A:$AL,24,FALSE)</f>
        <v>192</v>
      </c>
      <c r="Z78" s="5">
        <f>VLOOKUP($A78,'SegEnds_NonXtal_Prot#'!$A:$AL,27,FALSE)</f>
        <v>197</v>
      </c>
      <c r="AA78" s="5">
        <f>VLOOKUP($A78,'SegEnds_NonXtal_Prot#'!$A:$AL,30,FALSE)</f>
        <v>274</v>
      </c>
      <c r="AB78" s="5">
        <f>VLOOKUP($A78,'SegEnds_NonXtal_Prot#'!$A:$AL,33,FALSE)</f>
        <v>316</v>
      </c>
      <c r="AC78" s="5">
        <f>VLOOKUP($A78,'SegEnds_NonXtal_Prot#'!$A:$AL,36,FALSE)</f>
        <v>342</v>
      </c>
      <c r="AD78" s="5">
        <f>VLOOKUP($A78,'SegEnds_NonXtal_Prot#'!$A:$AL,5,FALSE)</f>
        <v>68</v>
      </c>
      <c r="AE78" s="5">
        <f>VLOOKUP($A78,'SegEnds_NonXtal_Prot#'!$A:$AL,8,FALSE)</f>
        <v>72</v>
      </c>
      <c r="AF78" s="5">
        <f>VLOOKUP($A78,'SegEnds_NonXtal_Prot#'!$A:$AL,11,FALSE)</f>
        <v>104</v>
      </c>
      <c r="AG78" s="5">
        <f>VLOOKUP($A78,'SegEnds_NonXtal_Prot#'!$A:$AL,14,FALSE)</f>
        <v>109</v>
      </c>
      <c r="AH78" s="5">
        <f>VLOOKUP($A78,'SegEnds_NonXtal_Prot#'!$A:$AL,17,FALSE)</f>
        <v>145</v>
      </c>
      <c r="AI78" s="5">
        <f>VLOOKUP($A78,'SegEnds_NonXtal_Prot#'!$A:$AL,20,FALSE)</f>
        <v>153</v>
      </c>
      <c r="AJ78" s="5">
        <f>VLOOKUP($A78,'SegEnds_NonXtal_Prot#'!$A:$AL,23,FALSE)</f>
        <v>179</v>
      </c>
      <c r="AK78" s="5">
        <f>VLOOKUP($A78,'SegEnds_NonXtal_Prot#'!$A:$AL,26,FALSE)</f>
        <v>194</v>
      </c>
      <c r="AL78" s="5">
        <f>VLOOKUP($A78,'SegEnds_NonXtal_Prot#'!$A:$AL,29,FALSE)</f>
        <v>238</v>
      </c>
      <c r="AM78" s="5">
        <f>VLOOKUP($A78,'SegEnds_NonXtal_Prot#'!$A:$AL,32,FALSE)</f>
        <v>311</v>
      </c>
      <c r="AN78" s="5">
        <f>VLOOKUP($A78,'SegEnds_NonXtal_Prot#'!$A:$AL,35,FALSE)</f>
        <v>341</v>
      </c>
      <c r="AO78" s="5">
        <f>VLOOKUP($A78,'SegEnds_NonXtal_Prot#'!$A:$AL,38,FALSE)</f>
        <v>353</v>
      </c>
      <c r="AP78" s="5">
        <f t="shared" si="38"/>
        <v>32</v>
      </c>
      <c r="AQ78" s="4">
        <f t="shared" si="39"/>
        <v>3</v>
      </c>
      <c r="AR78" s="4">
        <f t="shared" si="40"/>
        <v>31</v>
      </c>
      <c r="AS78" s="4">
        <f t="shared" si="41"/>
        <v>3</v>
      </c>
      <c r="AT78" s="4">
        <f t="shared" si="42"/>
        <v>35</v>
      </c>
      <c r="AU78" s="4">
        <f t="shared" si="43"/>
        <v>7</v>
      </c>
      <c r="AV78" s="4">
        <f t="shared" si="44"/>
        <v>25</v>
      </c>
      <c r="AW78" s="4">
        <f t="shared" si="45"/>
        <v>2</v>
      </c>
      <c r="AX78" s="4">
        <f t="shared" si="46"/>
        <v>41</v>
      </c>
      <c r="AY78" s="4">
        <f t="shared" si="47"/>
        <v>37</v>
      </c>
      <c r="AZ78" s="4">
        <f t="shared" si="48"/>
        <v>25</v>
      </c>
      <c r="BA78" s="4">
        <f t="shared" si="49"/>
        <v>11</v>
      </c>
    </row>
    <row r="79" spans="1:53" x14ac:dyDescent="0.2">
      <c r="A79" s="1" t="str">
        <f>'SegEnds_NonXtal_Prot#'!A50</f>
        <v>aa1r_human</v>
      </c>
      <c r="B79" s="1" t="str">
        <f t="shared" si="25"/>
        <v>SAFQAAYIGIEVLIALVSVPGNVLVIWAVKVNDATFCFIVSLAVADVAVGALVIPLAILINIGYFHTCLMVACPVLILTQSSILALLAIAVDRYLRVKITPRRAAVAIAGCWILSFVVGLTPMFGSMEYMVYFNFFVWVLPPLLLMVLIYLEVFYLIRKQLNKKVDPQKYYGKELKIAKSLALILFLFALSWLPLHILNCITLFCPSILTYIAIFLTHGNSAMNPIVYAFRIQKFRVTFLKIWNDHFRCQPAPP</v>
      </c>
      <c r="C79" s="29" t="str">
        <f>IF(ISERROR(MATCH(A79,'SegEnds_Xtal_Prot#'!B:B, 0)), "NoXtal", "Xtal")</f>
        <v>Xtal</v>
      </c>
      <c r="D79" s="4" t="str">
        <f>VLOOKUP(A79,Classification!A:D,2,FALSE)</f>
        <v>A</v>
      </c>
      <c r="E79" s="5" t="str">
        <f>VLOOKUP(A79,Seqs!A:B,2,FALSE)</f>
        <v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v>
      </c>
      <c r="F79" s="5" t="str">
        <f t="shared" si="26"/>
        <v>SAFQAAYIGIEVLIALVSVPGNVLVIWAVKVN</v>
      </c>
      <c r="G79" s="4" t="str">
        <f t="shared" si="27"/>
        <v>QALR</v>
      </c>
      <c r="H79" s="4" t="str">
        <f t="shared" si="28"/>
        <v>DATFCFIVSLAVADVAVGALVIPLAILINIG</v>
      </c>
      <c r="I79" s="4" t="str">
        <f t="shared" si="29"/>
        <v>PQT</v>
      </c>
      <c r="J79" s="4" t="str">
        <f t="shared" si="30"/>
        <v>YFHTCLMVACPVLILTQSSILALLAIAVDRYLRVKI</v>
      </c>
      <c r="K79" s="4" t="str">
        <f t="shared" si="31"/>
        <v>PLRYKMVV</v>
      </c>
      <c r="L79" s="4" t="str">
        <f t="shared" si="32"/>
        <v>TPRRAAVAIAGCWILSFVVGLTPMFG</v>
      </c>
      <c r="M79" s="4" t="str">
        <f t="shared" si="33"/>
        <v>CEF</v>
      </c>
      <c r="N79" s="4" t="str">
        <f t="shared" si="34"/>
        <v>SMEYMVYFNFFVWVLPPLLLMVLIYLEVFYLIRKQLNKKV</v>
      </c>
      <c r="O79" s="4" t="str">
        <f t="shared" si="35"/>
        <v>DPQKYYGKELKIAKSLALILFLFALSWLPLHILNCITLFC</v>
      </c>
      <c r="P79" s="4" t="str">
        <f t="shared" si="36"/>
        <v>PSILTYIAIFLTHGNSAMNPIVYAFR</v>
      </c>
      <c r="Q79" s="4" t="str">
        <f t="shared" si="37"/>
        <v>IQKFRVTFLKIWNDHFRCQPAPP</v>
      </c>
      <c r="R79" s="5">
        <f>VLOOKUP($A79,'SegEnds_NonXtal_Prot#'!$A:$AL,3,FALSE)</f>
        <v>6</v>
      </c>
      <c r="S79" s="5">
        <f>VLOOKUP($A79,'SegEnds_NonXtal_Prot#'!$A:$AL,6,FALSE)</f>
        <v>38</v>
      </c>
      <c r="T79" s="5">
        <f>VLOOKUP($A79,'SegEnds_NonXtal_Prot#'!$A:$AL,9,FALSE)</f>
        <v>42</v>
      </c>
      <c r="U79" s="5">
        <f>VLOOKUP($A79,'SegEnds_NonXtal_Prot#'!$A:$AL,12,FALSE)</f>
        <v>73</v>
      </c>
      <c r="V79" s="5">
        <f>VLOOKUP($A79,'SegEnds_NonXtal_Prot#'!$A:$AL,15,FALSE)</f>
        <v>76</v>
      </c>
      <c r="W79" s="5">
        <f>VLOOKUP($A79,'SegEnds_NonXtal_Prot#'!$A:$AL,18,FALSE)</f>
        <v>112</v>
      </c>
      <c r="X79" s="5">
        <f>VLOOKUP($A79,'SegEnds_NonXtal_Prot#'!$A:$AL,21,FALSE)</f>
        <v>120</v>
      </c>
      <c r="Y79" s="5">
        <f>VLOOKUP($A79,'SegEnds_NonXtal_Prot#'!$A:$AL,24,FALSE)</f>
        <v>169</v>
      </c>
      <c r="Z79" s="5">
        <f>VLOOKUP($A79,'SegEnds_NonXtal_Prot#'!$A:$AL,27,FALSE)</f>
        <v>176</v>
      </c>
      <c r="AA79" s="5">
        <f>VLOOKUP($A79,'SegEnds_NonXtal_Prot#'!$A:$AL,30,FALSE)</f>
        <v>221</v>
      </c>
      <c r="AB79" s="5">
        <f>VLOOKUP($A79,'SegEnds_NonXtal_Prot#'!$A:$AL,33,FALSE)</f>
        <v>266</v>
      </c>
      <c r="AC79" s="5">
        <f>VLOOKUP($A79,'SegEnds_NonXtal_Prot#'!$A:$AL,36,FALSE)</f>
        <v>292</v>
      </c>
      <c r="AD79" s="5">
        <f>VLOOKUP($A79,'SegEnds_NonXtal_Prot#'!$A:$AL,5,FALSE)</f>
        <v>37</v>
      </c>
      <c r="AE79" s="5">
        <f>VLOOKUP($A79,'SegEnds_NonXtal_Prot#'!$A:$AL,8,FALSE)</f>
        <v>41</v>
      </c>
      <c r="AF79" s="5">
        <f>VLOOKUP($A79,'SegEnds_NonXtal_Prot#'!$A:$AL,11,FALSE)</f>
        <v>72</v>
      </c>
      <c r="AG79" s="5">
        <f>VLOOKUP($A79,'SegEnds_NonXtal_Prot#'!$A:$AL,14,FALSE)</f>
        <v>75</v>
      </c>
      <c r="AH79" s="5">
        <f>VLOOKUP($A79,'SegEnds_NonXtal_Prot#'!$A:$AL,17,FALSE)</f>
        <v>111</v>
      </c>
      <c r="AI79" s="5">
        <f>VLOOKUP($A79,'SegEnds_NonXtal_Prot#'!$A:$AL,20,FALSE)</f>
        <v>119</v>
      </c>
      <c r="AJ79" s="5">
        <f>VLOOKUP($A79,'SegEnds_NonXtal_Prot#'!$A:$AL,23,FALSE)</f>
        <v>145</v>
      </c>
      <c r="AK79" s="5">
        <f>VLOOKUP($A79,'SegEnds_NonXtal_Prot#'!$A:$AL,26,FALSE)</f>
        <v>171</v>
      </c>
      <c r="AL79" s="5">
        <f>VLOOKUP($A79,'SegEnds_NonXtal_Prot#'!$A:$AL,29,FALSE)</f>
        <v>215</v>
      </c>
      <c r="AM79" s="5">
        <f>VLOOKUP($A79,'SegEnds_NonXtal_Prot#'!$A:$AL,32,FALSE)</f>
        <v>260</v>
      </c>
      <c r="AN79" s="5">
        <f>VLOOKUP($A79,'SegEnds_NonXtal_Prot#'!$A:$AL,35,FALSE)</f>
        <v>291</v>
      </c>
      <c r="AO79" s="5">
        <f>VLOOKUP($A79,'SegEnds_NonXtal_Prot#'!$A:$AL,38,FALSE)</f>
        <v>314</v>
      </c>
      <c r="AP79" s="5">
        <f t="shared" si="38"/>
        <v>31</v>
      </c>
      <c r="AQ79" s="4">
        <f t="shared" si="39"/>
        <v>3</v>
      </c>
      <c r="AR79" s="4">
        <f t="shared" si="40"/>
        <v>30</v>
      </c>
      <c r="AS79" s="4">
        <f t="shared" si="41"/>
        <v>2</v>
      </c>
      <c r="AT79" s="4">
        <f t="shared" si="42"/>
        <v>35</v>
      </c>
      <c r="AU79" s="4">
        <f t="shared" si="43"/>
        <v>7</v>
      </c>
      <c r="AV79" s="4">
        <f t="shared" si="44"/>
        <v>25</v>
      </c>
      <c r="AW79" s="4">
        <f t="shared" si="45"/>
        <v>2</v>
      </c>
      <c r="AX79" s="4">
        <f t="shared" si="46"/>
        <v>39</v>
      </c>
      <c r="AY79" s="4">
        <f t="shared" si="47"/>
        <v>39</v>
      </c>
      <c r="AZ79" s="4">
        <f t="shared" si="48"/>
        <v>25</v>
      </c>
      <c r="BA79" s="4">
        <f t="shared" si="49"/>
        <v>22</v>
      </c>
    </row>
    <row r="80" spans="1:53" x14ac:dyDescent="0.2">
      <c r="A80" s="1" t="str">
        <f>'SegEnds_NonXtal_Prot#'!A51</f>
        <v>aa2ar_human</v>
      </c>
      <c r="B80" s="1" t="str">
        <f t="shared" si="25"/>
        <v>MPIMGSSVYITVELAIAVLAILGNVLVCWAVWLNNVTNYFVVSLAAADIAVGVLAIPFAITISTGACHGCLFIACFVLVLTQSSIFSLLAIAIDRYIAIRITGTRAKGIIAICWVLSFAIGLTPMLGPMNYMVYFNFFACVLVPLLLMLGVYLRIFLAARRQLKQMESERARSTLQKEVHAAKSLAIIVGLFALCWLPLHIINCFTFFCPLWLMYLAIVLSHTNSVVNPFIYAYRIREFRQTFRKIIRSHVLRQQEPF</v>
      </c>
      <c r="C80" s="29" t="str">
        <f>IF(ISERROR(MATCH(A80,'SegEnds_Xtal_Prot#'!B:B, 0)), "NoXtal", "Xtal")</f>
        <v>Xtal</v>
      </c>
      <c r="D80" s="4" t="str">
        <f>VLOOKUP(A80,Classification!A:D,2,FALSE)</f>
        <v>A</v>
      </c>
      <c r="E80" s="5" t="str">
        <f>VLOOKUP(A80,Seqs!A:B,2,FALSE)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F80" s="5" t="str">
        <f t="shared" si="26"/>
        <v>MPIMGSSVYITVELAIAVLAILGNVLVCWAVWLN</v>
      </c>
      <c r="G80" s="4" t="str">
        <f t="shared" si="27"/>
        <v>SNLQ</v>
      </c>
      <c r="H80" s="4" t="str">
        <f t="shared" si="28"/>
        <v>NVTNYFVVSLAAADIAVGVLAIPFAITISTG</v>
      </c>
      <c r="I80" s="4" t="str">
        <f t="shared" si="29"/>
        <v>FCA</v>
      </c>
      <c r="J80" s="4" t="str">
        <f t="shared" si="30"/>
        <v>ACHGCLFIACFVLVLTQSSIFSLLAIAIDRYIAIRI</v>
      </c>
      <c r="K80" s="4" t="str">
        <f t="shared" si="31"/>
        <v>PLRYNGLV</v>
      </c>
      <c r="L80" s="4" t="str">
        <f t="shared" si="32"/>
        <v>TGTRAKGIIAICWVLSFAIGLTPMLG</v>
      </c>
      <c r="M80" s="4" t="str">
        <f t="shared" si="33"/>
        <v>CLF</v>
      </c>
      <c r="N80" s="4" t="str">
        <f t="shared" si="34"/>
        <v>PMNYMVYFNFFACVLVPLLLMLGVYLRIFLAARRQLKQMES</v>
      </c>
      <c r="O80" s="4" t="str">
        <f t="shared" si="35"/>
        <v>ERARSTLQKEVHAAKSLAIIVGLFALCWLPLHIINCFTFFC</v>
      </c>
      <c r="P80" s="4" t="str">
        <f t="shared" si="36"/>
        <v>PLWLMYLAIVLSHTNSVVNPFIYAYR</v>
      </c>
      <c r="Q80" s="4" t="str">
        <f t="shared" si="37"/>
        <v>IREFRQTFRKIIRSHVLRQQEPF</v>
      </c>
      <c r="R80" s="5">
        <f>VLOOKUP($A80,'SegEnds_NonXtal_Prot#'!$A:$AL,3,FALSE)</f>
        <v>1</v>
      </c>
      <c r="S80" s="5">
        <f>VLOOKUP($A80,'SegEnds_NonXtal_Prot#'!$A:$AL,6,FALSE)</f>
        <v>35</v>
      </c>
      <c r="T80" s="5">
        <f>VLOOKUP($A80,'SegEnds_NonXtal_Prot#'!$A:$AL,9,FALSE)</f>
        <v>39</v>
      </c>
      <c r="U80" s="5">
        <f>VLOOKUP($A80,'SegEnds_NonXtal_Prot#'!$A:$AL,12,FALSE)</f>
        <v>70</v>
      </c>
      <c r="V80" s="5">
        <f>VLOOKUP($A80,'SegEnds_NonXtal_Prot#'!$A:$AL,15,FALSE)</f>
        <v>73</v>
      </c>
      <c r="W80" s="5">
        <f>VLOOKUP($A80,'SegEnds_NonXtal_Prot#'!$A:$AL,18,FALSE)</f>
        <v>109</v>
      </c>
      <c r="X80" s="5">
        <f>VLOOKUP($A80,'SegEnds_NonXtal_Prot#'!$A:$AL,21,FALSE)</f>
        <v>117</v>
      </c>
      <c r="Y80" s="5">
        <f>VLOOKUP($A80,'SegEnds_NonXtal_Prot#'!$A:$AL,24,FALSE)</f>
        <v>166</v>
      </c>
      <c r="Z80" s="5">
        <f>VLOOKUP($A80,'SegEnds_NonXtal_Prot#'!$A:$AL,27,FALSE)</f>
        <v>173</v>
      </c>
      <c r="AA80" s="5">
        <f>VLOOKUP($A80,'SegEnds_NonXtal_Prot#'!$A:$AL,30,FALSE)</f>
        <v>219</v>
      </c>
      <c r="AB80" s="5">
        <f>VLOOKUP($A80,'SegEnds_NonXtal_Prot#'!$A:$AL,33,FALSE)</f>
        <v>266</v>
      </c>
      <c r="AC80" s="5">
        <f>VLOOKUP($A80,'SegEnds_NonXtal_Prot#'!$A:$AL,36,FALSE)</f>
        <v>292</v>
      </c>
      <c r="AD80" s="5">
        <f>VLOOKUP($A80,'SegEnds_NonXtal_Prot#'!$A:$AL,5,FALSE)</f>
        <v>34</v>
      </c>
      <c r="AE80" s="5">
        <f>VLOOKUP($A80,'SegEnds_NonXtal_Prot#'!$A:$AL,8,FALSE)</f>
        <v>38</v>
      </c>
      <c r="AF80" s="5">
        <f>VLOOKUP($A80,'SegEnds_NonXtal_Prot#'!$A:$AL,11,FALSE)</f>
        <v>69</v>
      </c>
      <c r="AG80" s="5">
        <f>VLOOKUP($A80,'SegEnds_NonXtal_Prot#'!$A:$AL,14,FALSE)</f>
        <v>72</v>
      </c>
      <c r="AH80" s="5">
        <f>VLOOKUP($A80,'SegEnds_NonXtal_Prot#'!$A:$AL,17,FALSE)</f>
        <v>108</v>
      </c>
      <c r="AI80" s="5">
        <f>VLOOKUP($A80,'SegEnds_NonXtal_Prot#'!$A:$AL,20,FALSE)</f>
        <v>116</v>
      </c>
      <c r="AJ80" s="5">
        <f>VLOOKUP($A80,'SegEnds_NonXtal_Prot#'!$A:$AL,23,FALSE)</f>
        <v>142</v>
      </c>
      <c r="AK80" s="5">
        <f>VLOOKUP($A80,'SegEnds_NonXtal_Prot#'!$A:$AL,26,FALSE)</f>
        <v>168</v>
      </c>
      <c r="AL80" s="5">
        <f>VLOOKUP($A80,'SegEnds_NonXtal_Prot#'!$A:$AL,29,FALSE)</f>
        <v>213</v>
      </c>
      <c r="AM80" s="5">
        <f>VLOOKUP($A80,'SegEnds_NonXtal_Prot#'!$A:$AL,32,FALSE)</f>
        <v>259</v>
      </c>
      <c r="AN80" s="5">
        <f>VLOOKUP($A80,'SegEnds_NonXtal_Prot#'!$A:$AL,35,FALSE)</f>
        <v>291</v>
      </c>
      <c r="AO80" s="5">
        <f>VLOOKUP($A80,'SegEnds_NonXtal_Prot#'!$A:$AL,38,FALSE)</f>
        <v>314</v>
      </c>
      <c r="AP80" s="5">
        <f t="shared" si="38"/>
        <v>33</v>
      </c>
      <c r="AQ80" s="4">
        <f t="shared" si="39"/>
        <v>3</v>
      </c>
      <c r="AR80" s="4">
        <f t="shared" si="40"/>
        <v>30</v>
      </c>
      <c r="AS80" s="4">
        <f t="shared" si="41"/>
        <v>2</v>
      </c>
      <c r="AT80" s="4">
        <f t="shared" si="42"/>
        <v>35</v>
      </c>
      <c r="AU80" s="4">
        <f t="shared" si="43"/>
        <v>7</v>
      </c>
      <c r="AV80" s="4">
        <f t="shared" si="44"/>
        <v>25</v>
      </c>
      <c r="AW80" s="4">
        <f t="shared" si="45"/>
        <v>2</v>
      </c>
      <c r="AX80" s="4">
        <f t="shared" si="46"/>
        <v>40</v>
      </c>
      <c r="AY80" s="4">
        <f t="shared" si="47"/>
        <v>40</v>
      </c>
      <c r="AZ80" s="4">
        <f t="shared" si="48"/>
        <v>25</v>
      </c>
      <c r="BA80" s="4">
        <f t="shared" si="49"/>
        <v>22</v>
      </c>
    </row>
    <row r="81" spans="1:53" x14ac:dyDescent="0.2">
      <c r="A81" s="1" t="str">
        <f>'SegEnds_NonXtal_Prot#'!A52</f>
        <v>aa2br_human</v>
      </c>
      <c r="B81" s="1" t="str">
        <f t="shared" si="25"/>
        <v>LLETQDALYVALELVIAALSVAGNVLVCAAVGTATPTNYFLVSLAAADVAVGLFAIPFAITISLGDFYGCLFLACFVLVLTQSSIFSLLAVAVDRYLAICVTGTRARGVIAVLWVLAFGIGLTPFLGPMSYMVYFNFFGCVLPPLLIMLVIYIKIFLVACRQLQRTEHSRTTLQREIHAAKSLAMIVGIFALCWLPVHAVNCVTLFQKNKPKWAMNMAILLSHANSVVNPIVYAYRNRDFRYTFHKIISRYLLCQADVK</v>
      </c>
      <c r="C81" s="29" t="str">
        <f>IF(ISERROR(MATCH(A81,'SegEnds_Xtal_Prot#'!B:B, 0)), "NoXtal", "Xtal")</f>
        <v>NoXtal</v>
      </c>
      <c r="D81" s="4" t="str">
        <f>VLOOKUP(A81,Classification!A:D,2,FALSE)</f>
        <v>A</v>
      </c>
      <c r="E81" s="5" t="str">
        <f>VLOOKUP(A81,Seqs!A:B,2,FALSE)</f>
        <v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v>
      </c>
      <c r="F81" s="5" t="str">
        <f t="shared" si="26"/>
        <v>LLETQDALYVALELVIAALSVAGNVLVCAAVGTA</v>
      </c>
      <c r="G81" s="4" t="str">
        <f t="shared" si="27"/>
        <v>NTLQ</v>
      </c>
      <c r="H81" s="4" t="str">
        <f t="shared" si="28"/>
        <v>TPTNYFLVSLAAADVAVGLFAIPFAITISLG</v>
      </c>
      <c r="I81" s="4" t="str">
        <f t="shared" si="29"/>
        <v>FCT</v>
      </c>
      <c r="J81" s="4" t="str">
        <f t="shared" si="30"/>
        <v>DFYGCLFLACFVLVLTQSSIFSLLAVAVDRYLAICV</v>
      </c>
      <c r="K81" s="4" t="str">
        <f t="shared" si="31"/>
        <v>PLRYKSLV</v>
      </c>
      <c r="L81" s="4" t="str">
        <f t="shared" si="32"/>
        <v>TGTRARGVIAVLWVLAFGIGLTPFLG</v>
      </c>
      <c r="M81" s="4" t="str">
        <f t="shared" si="33"/>
        <v>CLF</v>
      </c>
      <c r="N81" s="4" t="str">
        <f t="shared" si="34"/>
        <v>PMSYMVYFNFFGCVLPPLLIMLVIYIKIFLVACRQLQRTE</v>
      </c>
      <c r="O81" s="4" t="str">
        <f t="shared" si="35"/>
        <v>HSRTTLQREIHAAKSLAMIVGIFALCWLPVHAVNCVTLFQ</v>
      </c>
      <c r="P81" s="4" t="str">
        <f t="shared" si="36"/>
        <v>KNKPKWAMNMAILLSHANSVVNPIVYAYR</v>
      </c>
      <c r="Q81" s="4" t="str">
        <f t="shared" si="37"/>
        <v>NRDFRYTFHKIISRYLLCQADVK</v>
      </c>
      <c r="R81" s="5">
        <f>VLOOKUP($A81,'SegEnds_NonXtal_Prot#'!$A:$AL,3,FALSE)</f>
        <v>2</v>
      </c>
      <c r="S81" s="5">
        <f>VLOOKUP($A81,'SegEnds_NonXtal_Prot#'!$A:$AL,6,FALSE)</f>
        <v>36</v>
      </c>
      <c r="T81" s="5">
        <f>VLOOKUP($A81,'SegEnds_NonXtal_Prot#'!$A:$AL,9,FALSE)</f>
        <v>40</v>
      </c>
      <c r="U81" s="5">
        <f>VLOOKUP($A81,'SegEnds_NonXtal_Prot#'!$A:$AL,12,FALSE)</f>
        <v>71</v>
      </c>
      <c r="V81" s="5">
        <f>VLOOKUP($A81,'SegEnds_NonXtal_Prot#'!$A:$AL,15,FALSE)</f>
        <v>74</v>
      </c>
      <c r="W81" s="5">
        <f>VLOOKUP($A81,'SegEnds_NonXtal_Prot#'!$A:$AL,18,FALSE)</f>
        <v>110</v>
      </c>
      <c r="X81" s="5">
        <f>VLOOKUP($A81,'SegEnds_NonXtal_Prot#'!$A:$AL,21,FALSE)</f>
        <v>118</v>
      </c>
      <c r="Y81" s="5">
        <f>VLOOKUP($A81,'SegEnds_NonXtal_Prot#'!$A:$AL,24,FALSE)</f>
        <v>171</v>
      </c>
      <c r="Z81" s="5">
        <f>VLOOKUP($A81,'SegEnds_NonXtal_Prot#'!$A:$AL,27,FALSE)</f>
        <v>178</v>
      </c>
      <c r="AA81" s="5">
        <f>VLOOKUP($A81,'SegEnds_NonXtal_Prot#'!$A:$AL,30,FALSE)</f>
        <v>221</v>
      </c>
      <c r="AB81" s="5">
        <f>VLOOKUP($A81,'SegEnds_NonXtal_Prot#'!$A:$AL,33,FALSE)</f>
        <v>265</v>
      </c>
      <c r="AC81" s="5">
        <f>VLOOKUP($A81,'SegEnds_NonXtal_Prot#'!$A:$AL,36,FALSE)</f>
        <v>294</v>
      </c>
      <c r="AD81" s="5">
        <f>VLOOKUP($A81,'SegEnds_NonXtal_Prot#'!$A:$AL,5,FALSE)</f>
        <v>35</v>
      </c>
      <c r="AE81" s="5">
        <f>VLOOKUP($A81,'SegEnds_NonXtal_Prot#'!$A:$AL,8,FALSE)</f>
        <v>39</v>
      </c>
      <c r="AF81" s="5">
        <f>VLOOKUP($A81,'SegEnds_NonXtal_Prot#'!$A:$AL,11,FALSE)</f>
        <v>70</v>
      </c>
      <c r="AG81" s="5">
        <f>VLOOKUP($A81,'SegEnds_NonXtal_Prot#'!$A:$AL,14,FALSE)</f>
        <v>73</v>
      </c>
      <c r="AH81" s="5">
        <f>VLOOKUP($A81,'SegEnds_NonXtal_Prot#'!$A:$AL,17,FALSE)</f>
        <v>109</v>
      </c>
      <c r="AI81" s="5">
        <f>VLOOKUP($A81,'SegEnds_NonXtal_Prot#'!$A:$AL,20,FALSE)</f>
        <v>117</v>
      </c>
      <c r="AJ81" s="5">
        <f>VLOOKUP($A81,'SegEnds_NonXtal_Prot#'!$A:$AL,23,FALSE)</f>
        <v>143</v>
      </c>
      <c r="AK81" s="5">
        <f>VLOOKUP($A81,'SegEnds_NonXtal_Prot#'!$A:$AL,26,FALSE)</f>
        <v>173</v>
      </c>
      <c r="AL81" s="5">
        <f>VLOOKUP($A81,'SegEnds_NonXtal_Prot#'!$A:$AL,29,FALSE)</f>
        <v>217</v>
      </c>
      <c r="AM81" s="5">
        <f>VLOOKUP($A81,'SegEnds_NonXtal_Prot#'!$A:$AL,32,FALSE)</f>
        <v>260</v>
      </c>
      <c r="AN81" s="5">
        <f>VLOOKUP($A81,'SegEnds_NonXtal_Prot#'!$A:$AL,35,FALSE)</f>
        <v>293</v>
      </c>
      <c r="AO81" s="5">
        <f>VLOOKUP($A81,'SegEnds_NonXtal_Prot#'!$A:$AL,38,FALSE)</f>
        <v>316</v>
      </c>
      <c r="AP81" s="5">
        <f t="shared" si="38"/>
        <v>33</v>
      </c>
      <c r="AQ81" s="4">
        <f t="shared" si="39"/>
        <v>3</v>
      </c>
      <c r="AR81" s="4">
        <f t="shared" si="40"/>
        <v>30</v>
      </c>
      <c r="AS81" s="4">
        <f t="shared" si="41"/>
        <v>2</v>
      </c>
      <c r="AT81" s="4">
        <f t="shared" si="42"/>
        <v>35</v>
      </c>
      <c r="AU81" s="4">
        <f t="shared" si="43"/>
        <v>7</v>
      </c>
      <c r="AV81" s="4">
        <f t="shared" si="44"/>
        <v>25</v>
      </c>
      <c r="AW81" s="4">
        <f t="shared" si="45"/>
        <v>2</v>
      </c>
      <c r="AX81" s="4">
        <f t="shared" si="46"/>
        <v>39</v>
      </c>
      <c r="AY81" s="4">
        <f t="shared" si="47"/>
        <v>39</v>
      </c>
      <c r="AZ81" s="4">
        <f t="shared" si="48"/>
        <v>28</v>
      </c>
      <c r="BA81" s="4">
        <f t="shared" si="49"/>
        <v>22</v>
      </c>
    </row>
    <row r="82" spans="1:53" x14ac:dyDescent="0.2">
      <c r="A82" s="1" t="str">
        <f>'SegEnds_NonXtal_Prot#'!A53</f>
        <v>aa3r_human</v>
      </c>
      <c r="B82" s="1" t="str">
        <f t="shared" si="25"/>
        <v>SLANVTYITMEIFIGLCAIVGNVLVICVVKLNTTTFYFIVSLALADIAVGVLVMPLAIVVSLGHFYSCLFMTCLLLIFTHASIMSLLAIAVDRYLRVKLTHRRIWLALGLCWLVSFLVGLTPMFGRMDYMVYFSFLTWIFIPLVVMCAIYLDIFYIIRNKLSLNLETGAFYGREFKTAKSLFLVLFLFALSWLPLSIINCIIYFNQLVLYMGILLSHANSMMNPIVYAYKIKKFKETYLLILKACVVCHPSDS</v>
      </c>
      <c r="C82" s="29" t="str">
        <f>IF(ISERROR(MATCH(A82,'SegEnds_Xtal_Prot#'!B:B, 0)), "NoXtal", "Xtal")</f>
        <v>NoXtal</v>
      </c>
      <c r="D82" s="4" t="str">
        <f>VLOOKUP(A82,Classification!A:D,2,FALSE)</f>
        <v>A</v>
      </c>
      <c r="E82" s="5" t="str">
        <f>VLOOKUP(A82,Seqs!A:B,2,FALSE)</f>
        <v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v>
      </c>
      <c r="F82" s="5" t="str">
        <f t="shared" si="26"/>
        <v>SLANVTYITMEIFIGLCAIVGNVLVICVVKLN</v>
      </c>
      <c r="G82" s="4" t="str">
        <f t="shared" si="27"/>
        <v>PSLQ</v>
      </c>
      <c r="H82" s="4" t="str">
        <f t="shared" si="28"/>
        <v>TTTFYFIVSLALADIAVGVLVMPLAIVVSLG</v>
      </c>
      <c r="I82" s="4" t="str">
        <f t="shared" si="29"/>
        <v>ITI</v>
      </c>
      <c r="J82" s="4" t="str">
        <f t="shared" si="30"/>
        <v>HFYSCLFMTCLLLIFTHASIMSLLAIAVDRYLRVKL</v>
      </c>
      <c r="K82" s="4" t="str">
        <f t="shared" si="31"/>
        <v>TVRYKRVT</v>
      </c>
      <c r="L82" s="4" t="str">
        <f t="shared" si="32"/>
        <v>THRRIWLALGLCWLVSFLVGLTPMFG</v>
      </c>
      <c r="M82" s="4" t="str">
        <f t="shared" si="33"/>
        <v>CQF</v>
      </c>
      <c r="N82" s="4" t="str">
        <f t="shared" si="34"/>
        <v>RMDYMVYFSFLTWIFIPLVVMCAIYLDIFYIIRNKLSLNL</v>
      </c>
      <c r="O82" s="4" t="str">
        <f t="shared" si="35"/>
        <v>ETGAFYGREFKTAKSLFLVLFLFALSWLPLSIINCIIYFN</v>
      </c>
      <c r="P82" s="4" t="str">
        <f t="shared" si="36"/>
        <v>QLVLYMGILLSHANSMMNPIVYAYK</v>
      </c>
      <c r="Q82" s="4" t="str">
        <f t="shared" si="37"/>
        <v>IKKFKETYLLILKACVVCHPSDS</v>
      </c>
      <c r="R82" s="5">
        <f>VLOOKUP($A82,'SegEnds_NonXtal_Prot#'!$A:$AL,3,FALSE)</f>
        <v>9</v>
      </c>
      <c r="S82" s="5">
        <f>VLOOKUP($A82,'SegEnds_NonXtal_Prot#'!$A:$AL,6,FALSE)</f>
        <v>41</v>
      </c>
      <c r="T82" s="5">
        <f>VLOOKUP($A82,'SegEnds_NonXtal_Prot#'!$A:$AL,9,FALSE)</f>
        <v>45</v>
      </c>
      <c r="U82" s="5">
        <f>VLOOKUP($A82,'SegEnds_NonXtal_Prot#'!$A:$AL,12,FALSE)</f>
        <v>76</v>
      </c>
      <c r="V82" s="5">
        <f>VLOOKUP($A82,'SegEnds_NonXtal_Prot#'!$A:$AL,15,FALSE)</f>
        <v>79</v>
      </c>
      <c r="W82" s="5">
        <f>VLOOKUP($A82,'SegEnds_NonXtal_Prot#'!$A:$AL,18,FALSE)</f>
        <v>115</v>
      </c>
      <c r="X82" s="5">
        <f>VLOOKUP($A82,'SegEnds_NonXtal_Prot#'!$A:$AL,21,FALSE)</f>
        <v>123</v>
      </c>
      <c r="Y82" s="5">
        <f>VLOOKUP($A82,'SegEnds_NonXtal_Prot#'!$A:$AL,24,FALSE)</f>
        <v>166</v>
      </c>
      <c r="Z82" s="5">
        <f>VLOOKUP($A82,'SegEnds_NonXtal_Prot#'!$A:$AL,27,FALSE)</f>
        <v>173</v>
      </c>
      <c r="AA82" s="5">
        <f>VLOOKUP($A82,'SegEnds_NonXtal_Prot#'!$A:$AL,30,FALSE)</f>
        <v>217</v>
      </c>
      <c r="AB82" s="5">
        <f>VLOOKUP($A82,'SegEnds_NonXtal_Prot#'!$A:$AL,33,FALSE)</f>
        <v>261</v>
      </c>
      <c r="AC82" s="5">
        <f>VLOOKUP($A82,'SegEnds_NonXtal_Prot#'!$A:$AL,36,FALSE)</f>
        <v>286</v>
      </c>
      <c r="AD82" s="5">
        <f>VLOOKUP($A82,'SegEnds_NonXtal_Prot#'!$A:$AL,5,FALSE)</f>
        <v>40</v>
      </c>
      <c r="AE82" s="5">
        <f>VLOOKUP($A82,'SegEnds_NonXtal_Prot#'!$A:$AL,8,FALSE)</f>
        <v>44</v>
      </c>
      <c r="AF82" s="5">
        <f>VLOOKUP($A82,'SegEnds_NonXtal_Prot#'!$A:$AL,11,FALSE)</f>
        <v>75</v>
      </c>
      <c r="AG82" s="5">
        <f>VLOOKUP($A82,'SegEnds_NonXtal_Prot#'!$A:$AL,14,FALSE)</f>
        <v>78</v>
      </c>
      <c r="AH82" s="5">
        <f>VLOOKUP($A82,'SegEnds_NonXtal_Prot#'!$A:$AL,17,FALSE)</f>
        <v>114</v>
      </c>
      <c r="AI82" s="5">
        <f>VLOOKUP($A82,'SegEnds_NonXtal_Prot#'!$A:$AL,20,FALSE)</f>
        <v>122</v>
      </c>
      <c r="AJ82" s="5">
        <f>VLOOKUP($A82,'SegEnds_NonXtal_Prot#'!$A:$AL,23,FALSE)</f>
        <v>148</v>
      </c>
      <c r="AK82" s="5">
        <f>VLOOKUP($A82,'SegEnds_NonXtal_Prot#'!$A:$AL,26,FALSE)</f>
        <v>168</v>
      </c>
      <c r="AL82" s="5">
        <f>VLOOKUP($A82,'SegEnds_NonXtal_Prot#'!$A:$AL,29,FALSE)</f>
        <v>212</v>
      </c>
      <c r="AM82" s="5">
        <f>VLOOKUP($A82,'SegEnds_NonXtal_Prot#'!$A:$AL,32,FALSE)</f>
        <v>256</v>
      </c>
      <c r="AN82" s="5">
        <f>VLOOKUP($A82,'SegEnds_NonXtal_Prot#'!$A:$AL,35,FALSE)</f>
        <v>285</v>
      </c>
      <c r="AO82" s="5">
        <f>VLOOKUP($A82,'SegEnds_NonXtal_Prot#'!$A:$AL,38,FALSE)</f>
        <v>308</v>
      </c>
      <c r="AP82" s="5">
        <f t="shared" si="38"/>
        <v>31</v>
      </c>
      <c r="AQ82" s="4">
        <f t="shared" si="39"/>
        <v>3</v>
      </c>
      <c r="AR82" s="4">
        <f t="shared" si="40"/>
        <v>30</v>
      </c>
      <c r="AS82" s="4">
        <f t="shared" si="41"/>
        <v>2</v>
      </c>
      <c r="AT82" s="4">
        <f t="shared" si="42"/>
        <v>35</v>
      </c>
      <c r="AU82" s="4">
        <f t="shared" si="43"/>
        <v>7</v>
      </c>
      <c r="AV82" s="4">
        <f t="shared" si="44"/>
        <v>25</v>
      </c>
      <c r="AW82" s="4">
        <f t="shared" si="45"/>
        <v>2</v>
      </c>
      <c r="AX82" s="4">
        <f t="shared" si="46"/>
        <v>39</v>
      </c>
      <c r="AY82" s="4">
        <f t="shared" si="47"/>
        <v>39</v>
      </c>
      <c r="AZ82" s="4">
        <f t="shared" si="48"/>
        <v>24</v>
      </c>
      <c r="BA82" s="4">
        <f t="shared" si="49"/>
        <v>22</v>
      </c>
    </row>
    <row r="83" spans="1:53" x14ac:dyDescent="0.2">
      <c r="A83" s="1" t="str">
        <f>'SegEnds_NonXtal_Prot#'!A54</f>
        <v>ackr2_human</v>
      </c>
      <c r="B83" s="1" t="str">
        <f t="shared" si="25"/>
        <v>KDAVVSFGKVFLPVFYSLIFVLGLSGNLLLLMVLLRYRMVEIYLLNLAISNLLFLVTLPFWGISVAWGSFLCKMVSTLYTINFYSGIFFISCMSLDKYLEIVHTRAKSLLLATIVWAVSLAVSIPDMVFVHGTIWKLFLRFQQNLLGFLLPLLAMIFFYSRIGCVLVRLQGRALKIAAALVVAFFVLWFPYNLTLFLHTLLDLQNCEVSQHLDYALQVTESIAFLHCCFSPILYAFSSHRFRQYLKAFLA</v>
      </c>
      <c r="C83" s="29" t="str">
        <f>IF(ISERROR(MATCH(A83,'SegEnds_Xtal_Prot#'!B:B, 0)), "NoXtal", "Xtal")</f>
        <v>NoXtal</v>
      </c>
      <c r="D83" s="4" t="str">
        <f>VLOOKUP(A83,Classification!A:D,2,FALSE)</f>
        <v>A</v>
      </c>
      <c r="E83" s="5" t="str">
        <f>VLOOKUP(A83,Seqs!A:B,2,FALSE)</f>
        <v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v>
      </c>
      <c r="F83" s="5" t="str">
        <f t="shared" si="26"/>
        <v>KDAVVSFGKVFLPVFYSLIFVLGLSGNLLLLMVLLRY</v>
      </c>
      <c r="G83" s="4" t="str">
        <f t="shared" si="27"/>
        <v>VPRR</v>
      </c>
      <c r="H83" s="4" t="str">
        <f t="shared" si="28"/>
        <v>RMVEIYLLNLAISNLLFLVTLPFWGISVAW</v>
      </c>
      <c r="I83" s="4" t="str">
        <f t="shared" si="29"/>
        <v>HWVF</v>
      </c>
      <c r="J83" s="4" t="str">
        <f t="shared" si="30"/>
        <v>GSFLCKMVSTLYTINFYSGIFFISCMSLDKYLEIVH</v>
      </c>
      <c r="K83" s="4" t="str">
        <f t="shared" si="31"/>
        <v>AQPYHRLR</v>
      </c>
      <c r="L83" s="4" t="str">
        <f t="shared" si="32"/>
        <v>TRAKSLLLATIVWAVSLAVSIPDMVFV</v>
      </c>
      <c r="M83" s="4" t="str">
        <f t="shared" si="33"/>
        <v>CHA</v>
      </c>
      <c r="N83" s="4" t="str">
        <f t="shared" si="34"/>
        <v>HGTIWKLFLRFQQNLLGFLLPLLAMIFFYSRIGCVLVRL</v>
      </c>
      <c r="O83" s="4" t="str">
        <f t="shared" si="35"/>
        <v>QGRALKIAAALVVAFFVLWFPYNLTLFLHTLLDLQ</v>
      </c>
      <c r="P83" s="4" t="str">
        <f t="shared" si="36"/>
        <v>NCEVSQHLDYALQVTESIAFLHCCFSPILYAFS</v>
      </c>
      <c r="Q83" s="4" t="str">
        <f t="shared" si="37"/>
        <v>SHRFRQYLKAFLA</v>
      </c>
      <c r="R83" s="5">
        <f>VLOOKUP($A83,'SegEnds_NonXtal_Prot#'!$A:$AL,3,FALSE)</f>
        <v>38</v>
      </c>
      <c r="S83" s="5">
        <f>VLOOKUP($A83,'SegEnds_NonXtal_Prot#'!$A:$AL,6,FALSE)</f>
        <v>75</v>
      </c>
      <c r="T83" s="5">
        <f>VLOOKUP($A83,'SegEnds_NonXtal_Prot#'!$A:$AL,9,FALSE)</f>
        <v>79</v>
      </c>
      <c r="U83" s="5">
        <f>VLOOKUP($A83,'SegEnds_NonXtal_Prot#'!$A:$AL,12,FALSE)</f>
        <v>109</v>
      </c>
      <c r="V83" s="5">
        <f>VLOOKUP($A83,'SegEnds_NonXtal_Prot#'!$A:$AL,15,FALSE)</f>
        <v>113</v>
      </c>
      <c r="W83" s="5">
        <f>VLOOKUP($A83,'SegEnds_NonXtal_Prot#'!$A:$AL,18,FALSE)</f>
        <v>149</v>
      </c>
      <c r="X83" s="5">
        <f>VLOOKUP($A83,'SegEnds_NonXtal_Prot#'!$A:$AL,21,FALSE)</f>
        <v>157</v>
      </c>
      <c r="Y83" s="5">
        <f>VLOOKUP($A83,'SegEnds_NonXtal_Prot#'!$A:$AL,24,FALSE)</f>
        <v>195</v>
      </c>
      <c r="Z83" s="5">
        <f>VLOOKUP($A83,'SegEnds_NonXtal_Prot#'!$A:$AL,27,FALSE)</f>
        <v>202</v>
      </c>
      <c r="AA83" s="5">
        <f>VLOOKUP($A83,'SegEnds_NonXtal_Prot#'!$A:$AL,30,FALSE)</f>
        <v>245</v>
      </c>
      <c r="AB83" s="5">
        <f>VLOOKUP($A83,'SegEnds_NonXtal_Prot#'!$A:$AL,33,FALSE)</f>
        <v>283</v>
      </c>
      <c r="AC83" s="5">
        <f>VLOOKUP($A83,'SegEnds_NonXtal_Prot#'!$A:$AL,36,FALSE)</f>
        <v>316</v>
      </c>
      <c r="AD83" s="5">
        <f>VLOOKUP($A83,'SegEnds_NonXtal_Prot#'!$A:$AL,5,FALSE)</f>
        <v>74</v>
      </c>
      <c r="AE83" s="5">
        <f>VLOOKUP($A83,'SegEnds_NonXtal_Prot#'!$A:$AL,8,FALSE)</f>
        <v>78</v>
      </c>
      <c r="AF83" s="5">
        <f>VLOOKUP($A83,'SegEnds_NonXtal_Prot#'!$A:$AL,11,FALSE)</f>
        <v>108</v>
      </c>
      <c r="AG83" s="5">
        <f>VLOOKUP($A83,'SegEnds_NonXtal_Prot#'!$A:$AL,14,FALSE)</f>
        <v>112</v>
      </c>
      <c r="AH83" s="5">
        <f>VLOOKUP($A83,'SegEnds_NonXtal_Prot#'!$A:$AL,17,FALSE)</f>
        <v>148</v>
      </c>
      <c r="AI83" s="5">
        <f>VLOOKUP($A83,'SegEnds_NonXtal_Prot#'!$A:$AL,20,FALSE)</f>
        <v>156</v>
      </c>
      <c r="AJ83" s="5">
        <f>VLOOKUP($A83,'SegEnds_NonXtal_Prot#'!$A:$AL,23,FALSE)</f>
        <v>183</v>
      </c>
      <c r="AK83" s="5">
        <f>VLOOKUP($A83,'SegEnds_NonXtal_Prot#'!$A:$AL,26,FALSE)</f>
        <v>197</v>
      </c>
      <c r="AL83" s="5">
        <f>VLOOKUP($A83,'SegEnds_NonXtal_Prot#'!$A:$AL,29,FALSE)</f>
        <v>240</v>
      </c>
      <c r="AM83" s="5">
        <f>VLOOKUP($A83,'SegEnds_NonXtal_Prot#'!$A:$AL,32,FALSE)</f>
        <v>279</v>
      </c>
      <c r="AN83" s="5">
        <f>VLOOKUP($A83,'SegEnds_NonXtal_Prot#'!$A:$AL,35,FALSE)</f>
        <v>315</v>
      </c>
      <c r="AO83" s="5">
        <f>VLOOKUP($A83,'SegEnds_NonXtal_Prot#'!$A:$AL,38,FALSE)</f>
        <v>328</v>
      </c>
      <c r="AP83" s="5">
        <f t="shared" si="38"/>
        <v>36</v>
      </c>
      <c r="AQ83" s="4">
        <f t="shared" si="39"/>
        <v>3</v>
      </c>
      <c r="AR83" s="4">
        <f t="shared" si="40"/>
        <v>29</v>
      </c>
      <c r="AS83" s="4">
        <f t="shared" si="41"/>
        <v>3</v>
      </c>
      <c r="AT83" s="4">
        <f t="shared" si="42"/>
        <v>35</v>
      </c>
      <c r="AU83" s="4">
        <f t="shared" si="43"/>
        <v>7</v>
      </c>
      <c r="AV83" s="4">
        <f t="shared" si="44"/>
        <v>26</v>
      </c>
      <c r="AW83" s="4">
        <f t="shared" si="45"/>
        <v>2</v>
      </c>
      <c r="AX83" s="4">
        <f t="shared" si="46"/>
        <v>38</v>
      </c>
      <c r="AY83" s="4">
        <f t="shared" si="47"/>
        <v>34</v>
      </c>
      <c r="AZ83" s="4">
        <f t="shared" si="48"/>
        <v>32</v>
      </c>
      <c r="BA83" s="4">
        <f t="shared" si="49"/>
        <v>12</v>
      </c>
    </row>
    <row r="84" spans="1:53" x14ac:dyDescent="0.2">
      <c r="A84" s="1" t="str">
        <f>'SegEnds_NonXtal_Prot#'!A55</f>
        <v>acm1_human</v>
      </c>
      <c r="B84" s="1" t="str">
        <f t="shared" si="25"/>
        <v>PWQVAFIGITTGLLSLATVTGNLLVLISFKVNTVNNYFLLSLACADLIIGTFSMNLYTTYLLMGGTLACDLWLALDYVASNASVMNLLLISFDRYFSVTRTPRRAALMIGLAWLVSFVLWAPAILFWQYLVGQPIITFGTAMAAFYLPVTVMCTLYWRIYRETENRARELAALTFSLVKEKKAARTLSAILLAFILTWTPYNIMVLVSTFCPETLWELGYWLCYVNSTINPMCYALCNKAFRDTFRLLLL</v>
      </c>
      <c r="C84" s="29" t="str">
        <f>IF(ISERROR(MATCH(A84,'SegEnds_Xtal_Prot#'!B:B, 0)), "NoXtal", "Xtal")</f>
        <v>Xtal</v>
      </c>
      <c r="D84" s="4" t="str">
        <f>VLOOKUP(A84,Classification!A:D,2,FALSE)</f>
        <v>A</v>
      </c>
      <c r="E84" s="5" t="str">
        <f>VLOOKUP(A84,Seqs!A:B,2,FALSE)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F84" s="5" t="str">
        <f t="shared" si="26"/>
        <v>PWQVAFIGITTGLLSLATVTGNLLVLISFKVN</v>
      </c>
      <c r="G84" s="4" t="str">
        <f t="shared" si="27"/>
        <v>TELK</v>
      </c>
      <c r="H84" s="4" t="str">
        <f t="shared" si="28"/>
        <v>TVNNYFLLSLACADLIIGTFSMNLYTTYLLMG</v>
      </c>
      <c r="I84" s="4" t="str">
        <f t="shared" si="29"/>
        <v>HWAL</v>
      </c>
      <c r="J84" s="4" t="str">
        <f t="shared" si="30"/>
        <v>GTLACDLWLALDYVASNASVMNLLLISFDRYFSVTR</v>
      </c>
      <c r="K84" s="4" t="str">
        <f t="shared" si="31"/>
        <v>PLSYRAKR</v>
      </c>
      <c r="L84" s="4" t="str">
        <f t="shared" si="32"/>
        <v>TPRRAALMIGLAWLVSFVLWAPAILFWQYLVG</v>
      </c>
      <c r="M84" s="4" t="str">
        <f t="shared" si="33"/>
        <v>CYI</v>
      </c>
      <c r="N84" s="4" t="str">
        <f t="shared" si="34"/>
        <v>QPIITFGTAMAAFYLPVTVMCTLYWRIYRETENRARELAAL</v>
      </c>
      <c r="O84" s="4" t="str">
        <f t="shared" si="35"/>
        <v>TFSLVKEKKAARTLSAILLAFILTWTPYNIMVLVSTFC</v>
      </c>
      <c r="P84" s="4" t="str">
        <f t="shared" si="36"/>
        <v>PETLWELGYWLCYVNSTINPMCYALC</v>
      </c>
      <c r="Q84" s="4" t="str">
        <f t="shared" si="37"/>
        <v>NKAFRDTFRLLLL</v>
      </c>
      <c r="R84" s="5">
        <f>VLOOKUP($A84,'SegEnds_NonXtal_Prot#'!$A:$AL,3,FALSE)</f>
        <v>22</v>
      </c>
      <c r="S84" s="5">
        <f>VLOOKUP($A84,'SegEnds_NonXtal_Prot#'!$A:$AL,6,FALSE)</f>
        <v>54</v>
      </c>
      <c r="T84" s="5">
        <f>VLOOKUP($A84,'SegEnds_NonXtal_Prot#'!$A:$AL,9,FALSE)</f>
        <v>58</v>
      </c>
      <c r="U84" s="5">
        <f>VLOOKUP($A84,'SegEnds_NonXtal_Prot#'!$A:$AL,12,FALSE)</f>
        <v>90</v>
      </c>
      <c r="V84" s="5">
        <f>VLOOKUP($A84,'SegEnds_NonXtal_Prot#'!$A:$AL,15,FALSE)</f>
        <v>94</v>
      </c>
      <c r="W84" s="5">
        <f>VLOOKUP($A84,'SegEnds_NonXtal_Prot#'!$A:$AL,18,FALSE)</f>
        <v>130</v>
      </c>
      <c r="X84" s="5">
        <f>VLOOKUP($A84,'SegEnds_NonXtal_Prot#'!$A:$AL,21,FALSE)</f>
        <v>138</v>
      </c>
      <c r="Y84" s="5">
        <f>VLOOKUP($A84,'SegEnds_NonXtal_Prot#'!$A:$AL,24,FALSE)</f>
        <v>178</v>
      </c>
      <c r="Z84" s="5">
        <f>VLOOKUP($A84,'SegEnds_NonXtal_Prot#'!$A:$AL,27,FALSE)</f>
        <v>185</v>
      </c>
      <c r="AA84" s="5">
        <f>VLOOKUP($A84,'SegEnds_NonXtal_Prot#'!$A:$AL,30,FALSE)</f>
        <v>354</v>
      </c>
      <c r="AB84" s="5">
        <f>VLOOKUP($A84,'SegEnds_NonXtal_Prot#'!$A:$AL,33,FALSE)</f>
        <v>396</v>
      </c>
      <c r="AC84" s="5">
        <f>VLOOKUP($A84,'SegEnds_NonXtal_Prot#'!$A:$AL,36,FALSE)</f>
        <v>422</v>
      </c>
      <c r="AD84" s="5">
        <f>VLOOKUP($A84,'SegEnds_NonXtal_Prot#'!$A:$AL,5,FALSE)</f>
        <v>53</v>
      </c>
      <c r="AE84" s="5">
        <f>VLOOKUP($A84,'SegEnds_NonXtal_Prot#'!$A:$AL,8,FALSE)</f>
        <v>57</v>
      </c>
      <c r="AF84" s="5">
        <f>VLOOKUP($A84,'SegEnds_NonXtal_Prot#'!$A:$AL,11,FALSE)</f>
        <v>89</v>
      </c>
      <c r="AG84" s="5">
        <f>VLOOKUP($A84,'SegEnds_NonXtal_Prot#'!$A:$AL,14,FALSE)</f>
        <v>93</v>
      </c>
      <c r="AH84" s="5">
        <f>VLOOKUP($A84,'SegEnds_NonXtal_Prot#'!$A:$AL,17,FALSE)</f>
        <v>129</v>
      </c>
      <c r="AI84" s="5">
        <f>VLOOKUP($A84,'SegEnds_NonXtal_Prot#'!$A:$AL,20,FALSE)</f>
        <v>137</v>
      </c>
      <c r="AJ84" s="5">
        <f>VLOOKUP($A84,'SegEnds_NonXtal_Prot#'!$A:$AL,23,FALSE)</f>
        <v>169</v>
      </c>
      <c r="AK84" s="5">
        <f>VLOOKUP($A84,'SegEnds_NonXtal_Prot#'!$A:$AL,26,FALSE)</f>
        <v>180</v>
      </c>
      <c r="AL84" s="5">
        <f>VLOOKUP($A84,'SegEnds_NonXtal_Prot#'!$A:$AL,29,FALSE)</f>
        <v>225</v>
      </c>
      <c r="AM84" s="5">
        <f>VLOOKUP($A84,'SegEnds_NonXtal_Prot#'!$A:$AL,32,FALSE)</f>
        <v>391</v>
      </c>
      <c r="AN84" s="5">
        <f>VLOOKUP($A84,'SegEnds_NonXtal_Prot#'!$A:$AL,35,FALSE)</f>
        <v>421</v>
      </c>
      <c r="AO84" s="5">
        <f>VLOOKUP($A84,'SegEnds_NonXtal_Prot#'!$A:$AL,38,FALSE)</f>
        <v>434</v>
      </c>
      <c r="AP84" s="5">
        <f t="shared" si="38"/>
        <v>31</v>
      </c>
      <c r="AQ84" s="4">
        <f t="shared" si="39"/>
        <v>3</v>
      </c>
      <c r="AR84" s="4">
        <f t="shared" si="40"/>
        <v>31</v>
      </c>
      <c r="AS84" s="4">
        <f t="shared" si="41"/>
        <v>3</v>
      </c>
      <c r="AT84" s="4">
        <f t="shared" si="42"/>
        <v>35</v>
      </c>
      <c r="AU84" s="4">
        <f t="shared" si="43"/>
        <v>7</v>
      </c>
      <c r="AV84" s="4">
        <f t="shared" si="44"/>
        <v>31</v>
      </c>
      <c r="AW84" s="4">
        <f t="shared" si="45"/>
        <v>2</v>
      </c>
      <c r="AX84" s="4">
        <f t="shared" si="46"/>
        <v>40</v>
      </c>
      <c r="AY84" s="4">
        <f t="shared" si="47"/>
        <v>37</v>
      </c>
      <c r="AZ84" s="4">
        <f t="shared" si="48"/>
        <v>25</v>
      </c>
      <c r="BA84" s="4">
        <f t="shared" si="49"/>
        <v>12</v>
      </c>
    </row>
    <row r="85" spans="1:53" x14ac:dyDescent="0.2">
      <c r="A85" s="1" t="str">
        <f>'SegEnds_NonXtal_Prot#'!A56</f>
        <v>acm2_human</v>
      </c>
      <c r="B85" s="1" t="str">
        <f t="shared" si="25"/>
        <v>KTFEVVFIVLVAGSLSLVTIIGNILVMVSIKVNTVNNYFLFSLACADLIIGVFSMNLYTLYTVIGGPVVCDLWLALDYVVSNASVMNLLIISFDRYFCVTKTTKMAGMMIAAAWVLSFILWAPAILFWQFIVGNAAVTFGTAIAAFYLPVIIMTVLYWHISRASKSRIKKDKKEKPPPSREKKVTRTILAILLAFIITWAPYNVMVLINTFCPNTVWTIGYWLCYINSTINPACYALCNATFKKTFKHLLM</v>
      </c>
      <c r="C85" s="29" t="str">
        <f>IF(ISERROR(MATCH(A85,'SegEnds_Xtal_Prot#'!B:B, 0)), "NoXtal", "Xtal")</f>
        <v>Xtal</v>
      </c>
      <c r="D85" s="4" t="str">
        <f>VLOOKUP(A85,Classification!A:D,2,FALSE)</f>
        <v>A</v>
      </c>
      <c r="E85" s="5" t="str">
        <f>VLOOKUP(A85,Seqs!A:B,2,FALSE)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F85" s="5" t="str">
        <f t="shared" si="26"/>
        <v>KTFEVVFIVLVAGSLSLVTIIGNILVMVSIKVN</v>
      </c>
      <c r="G85" s="4" t="str">
        <f t="shared" si="27"/>
        <v>RHLQ</v>
      </c>
      <c r="H85" s="4" t="str">
        <f t="shared" si="28"/>
        <v>TVNNYFLFSLACADLIIGVFSMNLYTLYTVIG</v>
      </c>
      <c r="I85" s="4" t="str">
        <f t="shared" si="29"/>
        <v>YWPL</v>
      </c>
      <c r="J85" s="4" t="str">
        <f t="shared" si="30"/>
        <v>GPVVCDLWLALDYVVSNASVMNLLIISFDRYFCVTK</v>
      </c>
      <c r="K85" s="4" t="str">
        <f t="shared" si="31"/>
        <v>PLTYPVKR</v>
      </c>
      <c r="L85" s="4" t="str">
        <f t="shared" si="32"/>
        <v>TTKMAGMMIAAAWVLSFILWAPAILFWQFIVG</v>
      </c>
      <c r="M85" s="4" t="str">
        <f t="shared" si="33"/>
        <v>CYI</v>
      </c>
      <c r="N85" s="4" t="str">
        <f t="shared" si="34"/>
        <v>NAAVTFGTAIAAFYLPVIIMTVLYWHISRASKSRIKKDKKE</v>
      </c>
      <c r="O85" s="4" t="str">
        <f t="shared" si="35"/>
        <v>KPPPSREKKVTRTILAILLAFIITWAPYNVMVLINTFC</v>
      </c>
      <c r="P85" s="4" t="str">
        <f t="shared" si="36"/>
        <v>PNTVWTIGYWLCYINSTINPACYALC</v>
      </c>
      <c r="Q85" s="4" t="str">
        <f t="shared" si="37"/>
        <v>NATFKKTFKHLLM</v>
      </c>
      <c r="R85" s="5">
        <f>VLOOKUP($A85,'SegEnds_NonXtal_Prot#'!$A:$AL,3,FALSE)</f>
        <v>19</v>
      </c>
      <c r="S85" s="5">
        <f>VLOOKUP($A85,'SegEnds_NonXtal_Prot#'!$A:$AL,6,FALSE)</f>
        <v>52</v>
      </c>
      <c r="T85" s="5">
        <f>VLOOKUP($A85,'SegEnds_NonXtal_Prot#'!$A:$AL,9,FALSE)</f>
        <v>56</v>
      </c>
      <c r="U85" s="5">
        <f>VLOOKUP($A85,'SegEnds_NonXtal_Prot#'!$A:$AL,12,FALSE)</f>
        <v>88</v>
      </c>
      <c r="V85" s="5">
        <f>VLOOKUP($A85,'SegEnds_NonXtal_Prot#'!$A:$AL,15,FALSE)</f>
        <v>92</v>
      </c>
      <c r="W85" s="5">
        <f>VLOOKUP($A85,'SegEnds_NonXtal_Prot#'!$A:$AL,18,FALSE)</f>
        <v>128</v>
      </c>
      <c r="X85" s="5">
        <f>VLOOKUP($A85,'SegEnds_NonXtal_Prot#'!$A:$AL,21,FALSE)</f>
        <v>136</v>
      </c>
      <c r="Y85" s="5">
        <f>VLOOKUP($A85,'SegEnds_NonXtal_Prot#'!$A:$AL,24,FALSE)</f>
        <v>176</v>
      </c>
      <c r="Z85" s="5">
        <f>VLOOKUP($A85,'SegEnds_NonXtal_Prot#'!$A:$AL,27,FALSE)</f>
        <v>183</v>
      </c>
      <c r="AA85" s="5">
        <f>VLOOKUP($A85,'SegEnds_NonXtal_Prot#'!$A:$AL,30,FALSE)</f>
        <v>376</v>
      </c>
      <c r="AB85" s="5">
        <f>VLOOKUP($A85,'SegEnds_NonXtal_Prot#'!$A:$AL,33,FALSE)</f>
        <v>418</v>
      </c>
      <c r="AC85" s="5">
        <f>VLOOKUP($A85,'SegEnds_NonXtal_Prot#'!$A:$AL,36,FALSE)</f>
        <v>444</v>
      </c>
      <c r="AD85" s="5">
        <f>VLOOKUP($A85,'SegEnds_NonXtal_Prot#'!$A:$AL,5,FALSE)</f>
        <v>51</v>
      </c>
      <c r="AE85" s="5">
        <f>VLOOKUP($A85,'SegEnds_NonXtal_Prot#'!$A:$AL,8,FALSE)</f>
        <v>55</v>
      </c>
      <c r="AF85" s="5">
        <f>VLOOKUP($A85,'SegEnds_NonXtal_Prot#'!$A:$AL,11,FALSE)</f>
        <v>87</v>
      </c>
      <c r="AG85" s="5">
        <f>VLOOKUP($A85,'SegEnds_NonXtal_Prot#'!$A:$AL,14,FALSE)</f>
        <v>91</v>
      </c>
      <c r="AH85" s="5">
        <f>VLOOKUP($A85,'SegEnds_NonXtal_Prot#'!$A:$AL,17,FALSE)</f>
        <v>127</v>
      </c>
      <c r="AI85" s="5">
        <f>VLOOKUP($A85,'SegEnds_NonXtal_Prot#'!$A:$AL,20,FALSE)</f>
        <v>135</v>
      </c>
      <c r="AJ85" s="5">
        <f>VLOOKUP($A85,'SegEnds_NonXtal_Prot#'!$A:$AL,23,FALSE)</f>
        <v>167</v>
      </c>
      <c r="AK85" s="5">
        <f>VLOOKUP($A85,'SegEnds_NonXtal_Prot#'!$A:$AL,26,FALSE)</f>
        <v>178</v>
      </c>
      <c r="AL85" s="5">
        <f>VLOOKUP($A85,'SegEnds_NonXtal_Prot#'!$A:$AL,29,FALSE)</f>
        <v>223</v>
      </c>
      <c r="AM85" s="5">
        <f>VLOOKUP($A85,'SegEnds_NonXtal_Prot#'!$A:$AL,32,FALSE)</f>
        <v>413</v>
      </c>
      <c r="AN85" s="5">
        <f>VLOOKUP($A85,'SegEnds_NonXtal_Prot#'!$A:$AL,35,FALSE)</f>
        <v>443</v>
      </c>
      <c r="AO85" s="5">
        <f>VLOOKUP($A85,'SegEnds_NonXtal_Prot#'!$A:$AL,38,FALSE)</f>
        <v>456</v>
      </c>
      <c r="AP85" s="5">
        <f t="shared" si="38"/>
        <v>32</v>
      </c>
      <c r="AQ85" s="4">
        <f t="shared" si="39"/>
        <v>3</v>
      </c>
      <c r="AR85" s="4">
        <f t="shared" si="40"/>
        <v>31</v>
      </c>
      <c r="AS85" s="4">
        <f t="shared" si="41"/>
        <v>3</v>
      </c>
      <c r="AT85" s="4">
        <f t="shared" si="42"/>
        <v>35</v>
      </c>
      <c r="AU85" s="4">
        <f t="shared" si="43"/>
        <v>7</v>
      </c>
      <c r="AV85" s="4">
        <f t="shared" si="44"/>
        <v>31</v>
      </c>
      <c r="AW85" s="4">
        <f t="shared" si="45"/>
        <v>2</v>
      </c>
      <c r="AX85" s="4">
        <f t="shared" si="46"/>
        <v>40</v>
      </c>
      <c r="AY85" s="4">
        <f t="shared" si="47"/>
        <v>37</v>
      </c>
      <c r="AZ85" s="4">
        <f t="shared" si="48"/>
        <v>25</v>
      </c>
      <c r="BA85" s="4">
        <f t="shared" si="49"/>
        <v>12</v>
      </c>
    </row>
    <row r="86" spans="1:53" x14ac:dyDescent="0.2">
      <c r="A86" s="1" t="str">
        <f>'SegEnds_NonXtal_Prot#'!A57</f>
        <v>acm3_human</v>
      </c>
      <c r="B86" s="1" t="str">
        <f t="shared" si="25"/>
        <v>VWQVVFIAFLTGILALVTIIGNILVIVSFKVNTVNNYFLLSLACADLIIGVISMNLFTTYIIMGNLACDLWLAIDYVASNASVMNLLVISFDRYFSITRTTKRAGVMIGLAWVISFVLWAPAILFWQYFVGEPTITFGTAIAAFYMPVTIMTILYWRIYKETEKRTKELAGLRMSLVKEKKAAQTLSAILLAFIITWTPYNIMVLVNTFCPKTFWNLGYWLCYINSTVNPVCYALCNKTFRTTFKMLL</v>
      </c>
      <c r="C86" s="29" t="str">
        <f>IF(ISERROR(MATCH(A86,'SegEnds_Xtal_Prot#'!B:B, 0)), "NoXtal", "Xtal")</f>
        <v>NoXtal</v>
      </c>
      <c r="D86" s="4" t="str">
        <f>VLOOKUP(A86,Classification!A:D,2,FALSE)</f>
        <v>A</v>
      </c>
      <c r="E86" s="5" t="str">
        <f>VLOOKUP(A86,Seqs!A:B,2,FALSE)</f>
        <v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v>
      </c>
      <c r="F86" s="5" t="str">
        <f t="shared" si="26"/>
        <v>VWQVVFIAFLTGILALVTIIGNILVIVSFKVN</v>
      </c>
      <c r="G86" s="4" t="str">
        <f t="shared" si="27"/>
        <v>KQLK</v>
      </c>
      <c r="H86" s="4" t="str">
        <f t="shared" si="28"/>
        <v>TVNNYFLLSLACADLIIGVISMNLFTTYIIM</v>
      </c>
      <c r="I86" s="4" t="str">
        <f t="shared" si="29"/>
        <v>RWAL</v>
      </c>
      <c r="J86" s="4" t="str">
        <f t="shared" si="30"/>
        <v>GNLACDLWLAIDYVASNASVMNLLVISFDRYFSITR</v>
      </c>
      <c r="K86" s="4" t="str">
        <f t="shared" si="31"/>
        <v>PLTYRAKR</v>
      </c>
      <c r="L86" s="4" t="str">
        <f t="shared" si="32"/>
        <v>TTKRAGVMIGLAWVISFVLWAPAILFWQYFVG</v>
      </c>
      <c r="M86" s="4" t="str">
        <f t="shared" si="33"/>
        <v>CFI</v>
      </c>
      <c r="N86" s="4" t="str">
        <f t="shared" si="34"/>
        <v>EPTITFGTAIAAFYMPVTIMTILYWRIYKETEKRTKELAGL</v>
      </c>
      <c r="O86" s="4" t="str">
        <f t="shared" si="35"/>
        <v>RMSLVKEKKAAQTLSAILLAFIITWTPYNIMVLVNTFC</v>
      </c>
      <c r="P86" s="4" t="str">
        <f t="shared" si="36"/>
        <v>PKTFWNLGYWLCYINSTVNPVCYALC</v>
      </c>
      <c r="Q86" s="4" t="str">
        <f t="shared" si="37"/>
        <v>NKTFRTTFKMLL</v>
      </c>
      <c r="R86" s="5">
        <f>VLOOKUP($A86,'SegEnds_NonXtal_Prot#'!$A:$AL,3,FALSE)</f>
        <v>65</v>
      </c>
      <c r="S86" s="5">
        <f>VLOOKUP($A86,'SegEnds_NonXtal_Prot#'!$A:$AL,6,FALSE)</f>
        <v>97</v>
      </c>
      <c r="T86" s="5">
        <f>VLOOKUP($A86,'SegEnds_NonXtal_Prot#'!$A:$AL,9,FALSE)</f>
        <v>101</v>
      </c>
      <c r="U86" s="5">
        <f>VLOOKUP($A86,'SegEnds_NonXtal_Prot#'!$A:$AL,12,FALSE)</f>
        <v>133</v>
      </c>
      <c r="V86" s="5">
        <f>VLOOKUP($A86,'SegEnds_NonXtal_Prot#'!$A:$AL,15,FALSE)</f>
        <v>137</v>
      </c>
      <c r="W86" s="5">
        <f>VLOOKUP($A86,'SegEnds_NonXtal_Prot#'!$A:$AL,18,FALSE)</f>
        <v>173</v>
      </c>
      <c r="X86" s="5">
        <f>VLOOKUP($A86,'SegEnds_NonXtal_Prot#'!$A:$AL,21,FALSE)</f>
        <v>181</v>
      </c>
      <c r="Y86" s="5">
        <f>VLOOKUP($A86,'SegEnds_NonXtal_Prot#'!$A:$AL,24,FALSE)</f>
        <v>221</v>
      </c>
      <c r="Z86" s="5">
        <f>VLOOKUP($A86,'SegEnds_NonXtal_Prot#'!$A:$AL,27,FALSE)</f>
        <v>228</v>
      </c>
      <c r="AA86" s="5">
        <f>VLOOKUP($A86,'SegEnds_NonXtal_Prot#'!$A:$AL,30,FALSE)</f>
        <v>480</v>
      </c>
      <c r="AB86" s="5">
        <f>VLOOKUP($A86,'SegEnds_NonXtal_Prot#'!$A:$AL,33,FALSE)</f>
        <v>522</v>
      </c>
      <c r="AC86" s="5">
        <f>VLOOKUP($A86,'SegEnds_NonXtal_Prot#'!$A:$AL,36,FALSE)</f>
        <v>548</v>
      </c>
      <c r="AD86" s="5">
        <f>VLOOKUP($A86,'SegEnds_NonXtal_Prot#'!$A:$AL,5,FALSE)</f>
        <v>96</v>
      </c>
      <c r="AE86" s="5">
        <f>VLOOKUP($A86,'SegEnds_NonXtal_Prot#'!$A:$AL,8,FALSE)</f>
        <v>100</v>
      </c>
      <c r="AF86" s="5">
        <f>VLOOKUP($A86,'SegEnds_NonXtal_Prot#'!$A:$AL,11,FALSE)</f>
        <v>131</v>
      </c>
      <c r="AG86" s="5">
        <f>VLOOKUP($A86,'SegEnds_NonXtal_Prot#'!$A:$AL,14,FALSE)</f>
        <v>136</v>
      </c>
      <c r="AH86" s="5">
        <f>VLOOKUP($A86,'SegEnds_NonXtal_Prot#'!$A:$AL,17,FALSE)</f>
        <v>172</v>
      </c>
      <c r="AI86" s="5">
        <f>VLOOKUP($A86,'SegEnds_NonXtal_Prot#'!$A:$AL,20,FALSE)</f>
        <v>180</v>
      </c>
      <c r="AJ86" s="5">
        <f>VLOOKUP($A86,'SegEnds_NonXtal_Prot#'!$A:$AL,23,FALSE)</f>
        <v>212</v>
      </c>
      <c r="AK86" s="5">
        <f>VLOOKUP($A86,'SegEnds_NonXtal_Prot#'!$A:$AL,26,FALSE)</f>
        <v>223</v>
      </c>
      <c r="AL86" s="5">
        <f>VLOOKUP($A86,'SegEnds_NonXtal_Prot#'!$A:$AL,29,FALSE)</f>
        <v>268</v>
      </c>
      <c r="AM86" s="5">
        <f>VLOOKUP($A86,'SegEnds_NonXtal_Prot#'!$A:$AL,32,FALSE)</f>
        <v>517</v>
      </c>
      <c r="AN86" s="5">
        <f>VLOOKUP($A86,'SegEnds_NonXtal_Prot#'!$A:$AL,35,FALSE)</f>
        <v>547</v>
      </c>
      <c r="AO86" s="5">
        <f>VLOOKUP($A86,'SegEnds_NonXtal_Prot#'!$A:$AL,38,FALSE)</f>
        <v>559</v>
      </c>
      <c r="AP86" s="5">
        <f t="shared" si="38"/>
        <v>31</v>
      </c>
      <c r="AQ86" s="4">
        <f t="shared" si="39"/>
        <v>3</v>
      </c>
      <c r="AR86" s="4">
        <f t="shared" si="40"/>
        <v>30</v>
      </c>
      <c r="AS86" s="4">
        <f t="shared" si="41"/>
        <v>3</v>
      </c>
      <c r="AT86" s="4">
        <f t="shared" si="42"/>
        <v>35</v>
      </c>
      <c r="AU86" s="4">
        <f t="shared" si="43"/>
        <v>7</v>
      </c>
      <c r="AV86" s="4">
        <f t="shared" si="44"/>
        <v>31</v>
      </c>
      <c r="AW86" s="4">
        <f t="shared" si="45"/>
        <v>2</v>
      </c>
      <c r="AX86" s="4">
        <f t="shared" si="46"/>
        <v>40</v>
      </c>
      <c r="AY86" s="4">
        <f t="shared" si="47"/>
        <v>37</v>
      </c>
      <c r="AZ86" s="4">
        <f t="shared" si="48"/>
        <v>25</v>
      </c>
      <c r="BA86" s="4">
        <f t="shared" si="49"/>
        <v>11</v>
      </c>
    </row>
    <row r="87" spans="1:53" x14ac:dyDescent="0.2">
      <c r="A87" s="1" t="str">
        <f>'SegEnds_NonXtal_Prot#'!A58</f>
        <v>acm3_rat</v>
      </c>
      <c r="B87" s="1" t="str">
        <f t="shared" si="25"/>
        <v>IWQVVFIAFLTGFLALVTIIGNILVIVAFKVNTVNNYFLLSLACADLIIGVISMNLFTTYIIMGNLACDLWLSIDYVASNASVMNLLVISFDRYFSITRTTKRAGVMIGLAWVISFVLWAPAILFWQYFVGEPTITFGTAIAAFYMPVTIMTILYWRIYKETEKRTKELAGLRMSLIKEKKAAQTLSAILLAFIITWTPYNIMVLVNTFCPKTYWNLGYWLCYINSTVNPVCYALCNKTFRTTFKTLL</v>
      </c>
      <c r="C87" s="29" t="str">
        <f>IF(ISERROR(MATCH(A87,'SegEnds_Xtal_Prot#'!B:B, 0)), "NoXtal", "Xtal")</f>
        <v>Xtal</v>
      </c>
      <c r="D87" s="4" t="str">
        <f>VLOOKUP(A87,Classification!A:D,2,FALSE)</f>
        <v>A</v>
      </c>
      <c r="E87" s="5" t="str">
        <f>VLOOKUP(A87,Seqs!A:B,2,FALSE)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F87" s="5" t="str">
        <f t="shared" si="26"/>
        <v>IWQVVFIAFLTGFLALVTIIGNILVIVAFKVN</v>
      </c>
      <c r="G87" s="4" t="str">
        <f t="shared" si="27"/>
        <v>KQLK</v>
      </c>
      <c r="H87" s="4" t="str">
        <f t="shared" si="28"/>
        <v>TVNNYFLLSLACADLIIGVISMNLFTTYIIM</v>
      </c>
      <c r="I87" s="4" t="str">
        <f t="shared" si="29"/>
        <v>RWAL</v>
      </c>
      <c r="J87" s="4" t="str">
        <f t="shared" si="30"/>
        <v>GNLACDLWLSIDYVASNASVMNLLVISFDRYFSITR</v>
      </c>
      <c r="K87" s="4" t="str">
        <f t="shared" si="31"/>
        <v>PLTYRAKR</v>
      </c>
      <c r="L87" s="4" t="str">
        <f t="shared" si="32"/>
        <v>TTKRAGVMIGLAWVISFVLWAPAILFWQYFVG</v>
      </c>
      <c r="M87" s="4" t="str">
        <f t="shared" si="33"/>
        <v>CFI</v>
      </c>
      <c r="N87" s="4" t="str">
        <f t="shared" si="34"/>
        <v>EPTITFGTAIAAFYMPVTIMTILYWRIYKETEKRTKELAGL</v>
      </c>
      <c r="O87" s="4" t="str">
        <f t="shared" si="35"/>
        <v>RMSLIKEKKAAQTLSAILLAFIITWTPYNIMVLVNTFC</v>
      </c>
      <c r="P87" s="4" t="str">
        <f t="shared" si="36"/>
        <v>PKTYWNLGYWLCYINSTVNPVCYALC</v>
      </c>
      <c r="Q87" s="4" t="str">
        <f t="shared" si="37"/>
        <v>NKTFRTTFKTLL</v>
      </c>
      <c r="R87" s="5">
        <f>VLOOKUP($A87,'SegEnds_NonXtal_Prot#'!$A:$AL,3,FALSE)</f>
        <v>64</v>
      </c>
      <c r="S87" s="5">
        <f>VLOOKUP($A87,'SegEnds_NonXtal_Prot#'!$A:$AL,6,FALSE)</f>
        <v>96</v>
      </c>
      <c r="T87" s="5">
        <f>VLOOKUP($A87,'SegEnds_NonXtal_Prot#'!$A:$AL,9,FALSE)</f>
        <v>100</v>
      </c>
      <c r="U87" s="5">
        <f>VLOOKUP($A87,'SegEnds_NonXtal_Prot#'!$A:$AL,12,FALSE)</f>
        <v>132</v>
      </c>
      <c r="V87" s="5">
        <f>VLOOKUP($A87,'SegEnds_NonXtal_Prot#'!$A:$AL,15,FALSE)</f>
        <v>136</v>
      </c>
      <c r="W87" s="5">
        <f>VLOOKUP($A87,'SegEnds_NonXtal_Prot#'!$A:$AL,18,FALSE)</f>
        <v>172</v>
      </c>
      <c r="X87" s="5">
        <f>VLOOKUP($A87,'SegEnds_NonXtal_Prot#'!$A:$AL,21,FALSE)</f>
        <v>180</v>
      </c>
      <c r="Y87" s="5">
        <f>VLOOKUP($A87,'SegEnds_NonXtal_Prot#'!$A:$AL,24,FALSE)</f>
        <v>220</v>
      </c>
      <c r="Z87" s="5">
        <f>VLOOKUP($A87,'SegEnds_NonXtal_Prot#'!$A:$AL,27,FALSE)</f>
        <v>227</v>
      </c>
      <c r="AA87" s="5">
        <f>VLOOKUP($A87,'SegEnds_NonXtal_Prot#'!$A:$AL,30,FALSE)</f>
        <v>479</v>
      </c>
      <c r="AB87" s="5">
        <f>VLOOKUP($A87,'SegEnds_NonXtal_Prot#'!$A:$AL,33,FALSE)</f>
        <v>521</v>
      </c>
      <c r="AC87" s="5">
        <f>VLOOKUP($A87,'SegEnds_NonXtal_Prot#'!$A:$AL,36,FALSE)</f>
        <v>547</v>
      </c>
      <c r="AD87" s="5">
        <f>VLOOKUP($A87,'SegEnds_NonXtal_Prot#'!$A:$AL,5,FALSE)</f>
        <v>95</v>
      </c>
      <c r="AE87" s="5">
        <f>VLOOKUP($A87,'SegEnds_NonXtal_Prot#'!$A:$AL,8,FALSE)</f>
        <v>99</v>
      </c>
      <c r="AF87" s="5">
        <f>VLOOKUP($A87,'SegEnds_NonXtal_Prot#'!$A:$AL,11,FALSE)</f>
        <v>130</v>
      </c>
      <c r="AG87" s="5">
        <f>VLOOKUP($A87,'SegEnds_NonXtal_Prot#'!$A:$AL,14,FALSE)</f>
        <v>135</v>
      </c>
      <c r="AH87" s="5">
        <f>VLOOKUP($A87,'SegEnds_NonXtal_Prot#'!$A:$AL,17,FALSE)</f>
        <v>171</v>
      </c>
      <c r="AI87" s="5">
        <f>VLOOKUP($A87,'SegEnds_NonXtal_Prot#'!$A:$AL,20,FALSE)</f>
        <v>179</v>
      </c>
      <c r="AJ87" s="5">
        <f>VLOOKUP($A87,'SegEnds_NonXtal_Prot#'!$A:$AL,23,FALSE)</f>
        <v>211</v>
      </c>
      <c r="AK87" s="5">
        <f>VLOOKUP($A87,'SegEnds_NonXtal_Prot#'!$A:$AL,26,FALSE)</f>
        <v>222</v>
      </c>
      <c r="AL87" s="5">
        <f>VLOOKUP($A87,'SegEnds_NonXtal_Prot#'!$A:$AL,29,FALSE)</f>
        <v>267</v>
      </c>
      <c r="AM87" s="5">
        <f>VLOOKUP($A87,'SegEnds_NonXtal_Prot#'!$A:$AL,32,FALSE)</f>
        <v>516</v>
      </c>
      <c r="AN87" s="5">
        <f>VLOOKUP($A87,'SegEnds_NonXtal_Prot#'!$A:$AL,35,FALSE)</f>
        <v>546</v>
      </c>
      <c r="AO87" s="5">
        <f>VLOOKUP($A87,'SegEnds_NonXtal_Prot#'!$A:$AL,38,FALSE)</f>
        <v>558</v>
      </c>
      <c r="AP87" s="5">
        <f t="shared" si="38"/>
        <v>31</v>
      </c>
      <c r="AQ87" s="4">
        <f t="shared" si="39"/>
        <v>3</v>
      </c>
      <c r="AR87" s="4">
        <f t="shared" si="40"/>
        <v>30</v>
      </c>
      <c r="AS87" s="4">
        <f t="shared" si="41"/>
        <v>3</v>
      </c>
      <c r="AT87" s="4">
        <f t="shared" si="42"/>
        <v>35</v>
      </c>
      <c r="AU87" s="4">
        <f t="shared" si="43"/>
        <v>7</v>
      </c>
      <c r="AV87" s="4">
        <f t="shared" si="44"/>
        <v>31</v>
      </c>
      <c r="AW87" s="4">
        <f t="shared" si="45"/>
        <v>2</v>
      </c>
      <c r="AX87" s="4">
        <f t="shared" si="46"/>
        <v>40</v>
      </c>
      <c r="AY87" s="4">
        <f t="shared" si="47"/>
        <v>37</v>
      </c>
      <c r="AZ87" s="4">
        <f t="shared" si="48"/>
        <v>25</v>
      </c>
      <c r="BA87" s="4">
        <f t="shared" si="49"/>
        <v>11</v>
      </c>
    </row>
    <row r="88" spans="1:53" x14ac:dyDescent="0.2">
      <c r="A88" s="1" t="str">
        <f>'SegEnds_NonXtal_Prot#'!A59</f>
        <v>acm4_human</v>
      </c>
      <c r="B88" s="1" t="str">
        <f t="shared" si="25"/>
        <v>RYETVEMVFIATVTGSLSLVTVVGNILVMLSIKVNTVNNYFLFSLACADLIIGAFSMNLYTVYIIKGAVVCDLWLALDYVVSNASVMNLLIISFDRYFCVTKTTKMAGLMIAAAWVLSFVLWAPAILFWQFVVGNPAVTFGTAIAAFYLPVVIMTVLYIHISLASRSRVHKHRPERQMAARERKVTRTIFAILLAFILTWTPYNVMVLVNTFCPDTVWSIGYWLCYVNSTINPACYALCNATFKKTFRHLLL</v>
      </c>
      <c r="C88" s="29" t="str">
        <f>IF(ISERROR(MATCH(A88,'SegEnds_Xtal_Prot#'!B:B, 0)), "NoXtal", "Xtal")</f>
        <v>Xtal</v>
      </c>
      <c r="D88" s="4" t="str">
        <f>VLOOKUP(A88,Classification!A:D,2,FALSE)</f>
        <v>A</v>
      </c>
      <c r="E88" s="5" t="str">
        <f>VLOOKUP(A88,Seqs!A:B,2,FALSE)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F88" s="5" t="str">
        <f t="shared" si="26"/>
        <v>RYETVEMVFIATVTGSLSLVTVVGNILVMLSIKVN</v>
      </c>
      <c r="G88" s="4" t="str">
        <f t="shared" si="27"/>
        <v>RQLQ</v>
      </c>
      <c r="H88" s="4" t="str">
        <f t="shared" si="28"/>
        <v>TVNNYFLFSLACADLIIGAFSMNLYTVYIIK</v>
      </c>
      <c r="I88" s="4" t="str">
        <f t="shared" si="29"/>
        <v>YWPL</v>
      </c>
      <c r="J88" s="4" t="str">
        <f t="shared" si="30"/>
        <v>GAVVCDLWLALDYVVSNASVMNLLIISFDRYFCVTK</v>
      </c>
      <c r="K88" s="4" t="str">
        <f t="shared" si="31"/>
        <v>PLTYPARR</v>
      </c>
      <c r="L88" s="4" t="str">
        <f t="shared" si="32"/>
        <v>TTKMAGLMIAAAWVLSFVLWAPAILFWQFVVG</v>
      </c>
      <c r="M88" s="4" t="str">
        <f t="shared" si="33"/>
        <v>CFI</v>
      </c>
      <c r="N88" s="4" t="str">
        <f t="shared" si="34"/>
        <v>NPAVTFGTAIAAFYLPVVIMTVLYIHISLASRSRVHKHRPE</v>
      </c>
      <c r="O88" s="4" t="str">
        <f t="shared" si="35"/>
        <v>RQMAARERKVTRTIFAILLAFILTWTPYNVMVLVNTFC</v>
      </c>
      <c r="P88" s="4" t="str">
        <f t="shared" si="36"/>
        <v>PDTVWSIGYWLCYVNSTINPACYALC</v>
      </c>
      <c r="Q88" s="4" t="str">
        <f t="shared" si="37"/>
        <v>NATFKKTFRHLLL</v>
      </c>
      <c r="R88" s="5">
        <f>VLOOKUP($A88,'SegEnds_NonXtal_Prot#'!$A:$AL,3,FALSE)</f>
        <v>26</v>
      </c>
      <c r="S88" s="5">
        <f>VLOOKUP($A88,'SegEnds_NonXtal_Prot#'!$A:$AL,6,FALSE)</f>
        <v>61</v>
      </c>
      <c r="T88" s="5">
        <f>VLOOKUP($A88,'SegEnds_NonXtal_Prot#'!$A:$AL,9,FALSE)</f>
        <v>65</v>
      </c>
      <c r="U88" s="5">
        <f>VLOOKUP($A88,'SegEnds_NonXtal_Prot#'!$A:$AL,12,FALSE)</f>
        <v>97</v>
      </c>
      <c r="V88" s="5">
        <f>VLOOKUP($A88,'SegEnds_NonXtal_Prot#'!$A:$AL,15,FALSE)</f>
        <v>101</v>
      </c>
      <c r="W88" s="5">
        <f>VLOOKUP($A88,'SegEnds_NonXtal_Prot#'!$A:$AL,18,FALSE)</f>
        <v>137</v>
      </c>
      <c r="X88" s="5">
        <f>VLOOKUP($A88,'SegEnds_NonXtal_Prot#'!$A:$AL,21,FALSE)</f>
        <v>145</v>
      </c>
      <c r="Y88" s="5">
        <f>VLOOKUP($A88,'SegEnds_NonXtal_Prot#'!$A:$AL,24,FALSE)</f>
        <v>185</v>
      </c>
      <c r="Z88" s="5">
        <f>VLOOKUP($A88,'SegEnds_NonXtal_Prot#'!$A:$AL,27,FALSE)</f>
        <v>192</v>
      </c>
      <c r="AA88" s="5">
        <f>VLOOKUP($A88,'SegEnds_NonXtal_Prot#'!$A:$AL,30,FALSE)</f>
        <v>389</v>
      </c>
      <c r="AB88" s="5">
        <f>VLOOKUP($A88,'SegEnds_NonXtal_Prot#'!$A:$AL,33,FALSE)</f>
        <v>431</v>
      </c>
      <c r="AC88" s="5">
        <f>VLOOKUP($A88,'SegEnds_NonXtal_Prot#'!$A:$AL,36,FALSE)</f>
        <v>457</v>
      </c>
      <c r="AD88" s="5">
        <f>VLOOKUP($A88,'SegEnds_NonXtal_Prot#'!$A:$AL,5,FALSE)</f>
        <v>60</v>
      </c>
      <c r="AE88" s="5">
        <f>VLOOKUP($A88,'SegEnds_NonXtal_Prot#'!$A:$AL,8,FALSE)</f>
        <v>64</v>
      </c>
      <c r="AF88" s="5">
        <f>VLOOKUP($A88,'SegEnds_NonXtal_Prot#'!$A:$AL,11,FALSE)</f>
        <v>95</v>
      </c>
      <c r="AG88" s="5">
        <f>VLOOKUP($A88,'SegEnds_NonXtal_Prot#'!$A:$AL,14,FALSE)</f>
        <v>100</v>
      </c>
      <c r="AH88" s="5">
        <f>VLOOKUP($A88,'SegEnds_NonXtal_Prot#'!$A:$AL,17,FALSE)</f>
        <v>136</v>
      </c>
      <c r="AI88" s="5">
        <f>VLOOKUP($A88,'SegEnds_NonXtal_Prot#'!$A:$AL,20,FALSE)</f>
        <v>144</v>
      </c>
      <c r="AJ88" s="5">
        <f>VLOOKUP($A88,'SegEnds_NonXtal_Prot#'!$A:$AL,23,FALSE)</f>
        <v>176</v>
      </c>
      <c r="AK88" s="5">
        <f>VLOOKUP($A88,'SegEnds_NonXtal_Prot#'!$A:$AL,26,FALSE)</f>
        <v>187</v>
      </c>
      <c r="AL88" s="5">
        <f>VLOOKUP($A88,'SegEnds_NonXtal_Prot#'!$A:$AL,29,FALSE)</f>
        <v>232</v>
      </c>
      <c r="AM88" s="5">
        <f>VLOOKUP($A88,'SegEnds_NonXtal_Prot#'!$A:$AL,32,FALSE)</f>
        <v>426</v>
      </c>
      <c r="AN88" s="5">
        <f>VLOOKUP($A88,'SegEnds_NonXtal_Prot#'!$A:$AL,35,FALSE)</f>
        <v>456</v>
      </c>
      <c r="AO88" s="5">
        <f>VLOOKUP($A88,'SegEnds_NonXtal_Prot#'!$A:$AL,38,FALSE)</f>
        <v>469</v>
      </c>
      <c r="AP88" s="5">
        <f t="shared" si="38"/>
        <v>34</v>
      </c>
      <c r="AQ88" s="4">
        <f t="shared" si="39"/>
        <v>3</v>
      </c>
      <c r="AR88" s="4">
        <f t="shared" si="40"/>
        <v>30</v>
      </c>
      <c r="AS88" s="4">
        <f t="shared" si="41"/>
        <v>3</v>
      </c>
      <c r="AT88" s="4">
        <f t="shared" si="42"/>
        <v>35</v>
      </c>
      <c r="AU88" s="4">
        <f t="shared" si="43"/>
        <v>7</v>
      </c>
      <c r="AV88" s="4">
        <f t="shared" si="44"/>
        <v>31</v>
      </c>
      <c r="AW88" s="4">
        <f t="shared" si="45"/>
        <v>2</v>
      </c>
      <c r="AX88" s="4">
        <f t="shared" si="46"/>
        <v>40</v>
      </c>
      <c r="AY88" s="4">
        <f t="shared" si="47"/>
        <v>37</v>
      </c>
      <c r="AZ88" s="4">
        <f t="shared" si="48"/>
        <v>25</v>
      </c>
      <c r="BA88" s="4">
        <f t="shared" si="49"/>
        <v>12</v>
      </c>
    </row>
    <row r="89" spans="1:53" x14ac:dyDescent="0.2">
      <c r="A89" s="1" t="str">
        <f>'SegEnds_NonXtal_Prot#'!A60</f>
        <v>acm5_human</v>
      </c>
      <c r="B89" s="1" t="str">
        <f t="shared" si="25"/>
        <v>LWEVITIAAVTAVVSLITIVGNVLVMISFKVNTVNNYYLLSLACADLIIGIFSMNLYTTYILMGSLACDLWLALDYVASNASVMNLLVISFDRYFSITRTPKRAGIMIGLAWLISFILWAPAILCWQYLVGEPTITFGTAIAAFYIPVSVMTILYCRIYRETEKRTKDLADLRVVLVKERKAAQTLSAILLAFIITWTPYNIMVLVSTFCPVTLWHLGYWLCYVNSTVNPICYALCNRTFRKTFKMLL</v>
      </c>
      <c r="C89" s="29" t="str">
        <f>IF(ISERROR(MATCH(A89,'SegEnds_Xtal_Prot#'!B:B, 0)), "NoXtal", "Xtal")</f>
        <v>NoXtal</v>
      </c>
      <c r="D89" s="4" t="str">
        <f>VLOOKUP(A89,Classification!A:D,2,FALSE)</f>
        <v>A</v>
      </c>
      <c r="E89" s="5" t="str">
        <f>VLOOKUP(A89,Seqs!A:B,2,FALSE)</f>
        <v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v>
      </c>
      <c r="F89" s="5" t="str">
        <f t="shared" si="26"/>
        <v>LWEVITIAAVTAVVSLITIVGNVLVMISFKVN</v>
      </c>
      <c r="G89" s="4" t="str">
        <f t="shared" si="27"/>
        <v>SQLK</v>
      </c>
      <c r="H89" s="4" t="str">
        <f t="shared" si="28"/>
        <v>TVNNYYLLSLACADLIIGIFSMNLYTTYILM</v>
      </c>
      <c r="I89" s="4" t="str">
        <f t="shared" si="29"/>
        <v>RWAL</v>
      </c>
      <c r="J89" s="4" t="str">
        <f t="shared" si="30"/>
        <v>GSLACDLWLALDYVASNASVMNLLVISFDRYFSITR</v>
      </c>
      <c r="K89" s="4" t="str">
        <f t="shared" si="31"/>
        <v>PLTYRAKR</v>
      </c>
      <c r="L89" s="4" t="str">
        <f t="shared" si="32"/>
        <v>TPKRAGIMIGLAWLISFILWAPAILCWQYLVG</v>
      </c>
      <c r="M89" s="4" t="str">
        <f t="shared" si="33"/>
        <v>CQI</v>
      </c>
      <c r="N89" s="4" t="str">
        <f t="shared" si="34"/>
        <v>EPTITFGTAIAAFYIPVSVMTILYCRIYRETEKRTKDLADL</v>
      </c>
      <c r="O89" s="4" t="str">
        <f t="shared" si="35"/>
        <v>RVVLVKERKAAQTLSAILLAFIITWTPYNIMVLVSTFC</v>
      </c>
      <c r="P89" s="4" t="str">
        <f t="shared" si="36"/>
        <v>PVTLWHLGYWLCYVNSTVNPICYALC</v>
      </c>
      <c r="Q89" s="4" t="str">
        <f t="shared" si="37"/>
        <v>NRTFRKTFKMLL</v>
      </c>
      <c r="R89" s="5">
        <f>VLOOKUP($A89,'SegEnds_NonXtal_Prot#'!$A:$AL,3,FALSE)</f>
        <v>27</v>
      </c>
      <c r="S89" s="5">
        <f>VLOOKUP($A89,'SegEnds_NonXtal_Prot#'!$A:$AL,6,FALSE)</f>
        <v>59</v>
      </c>
      <c r="T89" s="5">
        <f>VLOOKUP($A89,'SegEnds_NonXtal_Prot#'!$A:$AL,9,FALSE)</f>
        <v>63</v>
      </c>
      <c r="U89" s="5">
        <f>VLOOKUP($A89,'SegEnds_NonXtal_Prot#'!$A:$AL,12,FALSE)</f>
        <v>95</v>
      </c>
      <c r="V89" s="5">
        <f>VLOOKUP($A89,'SegEnds_NonXtal_Prot#'!$A:$AL,15,FALSE)</f>
        <v>99</v>
      </c>
      <c r="W89" s="5">
        <f>VLOOKUP($A89,'SegEnds_NonXtal_Prot#'!$A:$AL,18,FALSE)</f>
        <v>135</v>
      </c>
      <c r="X89" s="5">
        <f>VLOOKUP($A89,'SegEnds_NonXtal_Prot#'!$A:$AL,21,FALSE)</f>
        <v>143</v>
      </c>
      <c r="Y89" s="5">
        <f>VLOOKUP($A89,'SegEnds_NonXtal_Prot#'!$A:$AL,24,FALSE)</f>
        <v>183</v>
      </c>
      <c r="Z89" s="5">
        <f>VLOOKUP($A89,'SegEnds_NonXtal_Prot#'!$A:$AL,27,FALSE)</f>
        <v>190</v>
      </c>
      <c r="AA89" s="5">
        <f>VLOOKUP($A89,'SegEnds_NonXtal_Prot#'!$A:$AL,30,FALSE)</f>
        <v>431</v>
      </c>
      <c r="AB89" s="5">
        <f>VLOOKUP($A89,'SegEnds_NonXtal_Prot#'!$A:$AL,33,FALSE)</f>
        <v>473</v>
      </c>
      <c r="AC89" s="5">
        <f>VLOOKUP($A89,'SegEnds_NonXtal_Prot#'!$A:$AL,36,FALSE)</f>
        <v>499</v>
      </c>
      <c r="AD89" s="5">
        <f>VLOOKUP($A89,'SegEnds_NonXtal_Prot#'!$A:$AL,5,FALSE)</f>
        <v>58</v>
      </c>
      <c r="AE89" s="5">
        <f>VLOOKUP($A89,'SegEnds_NonXtal_Prot#'!$A:$AL,8,FALSE)</f>
        <v>62</v>
      </c>
      <c r="AF89" s="5">
        <f>VLOOKUP($A89,'SegEnds_NonXtal_Prot#'!$A:$AL,11,FALSE)</f>
        <v>93</v>
      </c>
      <c r="AG89" s="5">
        <f>VLOOKUP($A89,'SegEnds_NonXtal_Prot#'!$A:$AL,14,FALSE)</f>
        <v>98</v>
      </c>
      <c r="AH89" s="5">
        <f>VLOOKUP($A89,'SegEnds_NonXtal_Prot#'!$A:$AL,17,FALSE)</f>
        <v>134</v>
      </c>
      <c r="AI89" s="5">
        <f>VLOOKUP($A89,'SegEnds_NonXtal_Prot#'!$A:$AL,20,FALSE)</f>
        <v>142</v>
      </c>
      <c r="AJ89" s="5">
        <f>VLOOKUP($A89,'SegEnds_NonXtal_Prot#'!$A:$AL,23,FALSE)</f>
        <v>174</v>
      </c>
      <c r="AK89" s="5">
        <f>VLOOKUP($A89,'SegEnds_NonXtal_Prot#'!$A:$AL,26,FALSE)</f>
        <v>185</v>
      </c>
      <c r="AL89" s="5">
        <f>VLOOKUP($A89,'SegEnds_NonXtal_Prot#'!$A:$AL,29,FALSE)</f>
        <v>230</v>
      </c>
      <c r="AM89" s="5">
        <f>VLOOKUP($A89,'SegEnds_NonXtal_Prot#'!$A:$AL,32,FALSE)</f>
        <v>468</v>
      </c>
      <c r="AN89" s="5">
        <f>VLOOKUP($A89,'SegEnds_NonXtal_Prot#'!$A:$AL,35,FALSE)</f>
        <v>498</v>
      </c>
      <c r="AO89" s="5">
        <f>VLOOKUP($A89,'SegEnds_NonXtal_Prot#'!$A:$AL,38,FALSE)</f>
        <v>510</v>
      </c>
      <c r="AP89" s="5">
        <f t="shared" si="38"/>
        <v>31</v>
      </c>
      <c r="AQ89" s="4">
        <f t="shared" si="39"/>
        <v>3</v>
      </c>
      <c r="AR89" s="4">
        <f t="shared" si="40"/>
        <v>30</v>
      </c>
      <c r="AS89" s="4">
        <f t="shared" si="41"/>
        <v>3</v>
      </c>
      <c r="AT89" s="4">
        <f t="shared" si="42"/>
        <v>35</v>
      </c>
      <c r="AU89" s="4">
        <f t="shared" si="43"/>
        <v>7</v>
      </c>
      <c r="AV89" s="4">
        <f t="shared" si="44"/>
        <v>31</v>
      </c>
      <c r="AW89" s="4">
        <f t="shared" si="45"/>
        <v>2</v>
      </c>
      <c r="AX89" s="4">
        <f t="shared" si="46"/>
        <v>40</v>
      </c>
      <c r="AY89" s="4">
        <f t="shared" si="47"/>
        <v>37</v>
      </c>
      <c r="AZ89" s="4">
        <f t="shared" si="48"/>
        <v>25</v>
      </c>
      <c r="BA89" s="4">
        <f t="shared" si="49"/>
        <v>11</v>
      </c>
    </row>
    <row r="90" spans="1:53" x14ac:dyDescent="0.2">
      <c r="A90" s="1" t="str">
        <f>'SegEnds_NonXtal_Prot#'!A61</f>
        <v>acthr_human</v>
      </c>
      <c r="B90" s="1" t="str">
        <f t="shared" si="25"/>
        <v>CPRVVLPEEIFFTISIVGVLENLIVLLAVFKNAPMYFFICSLAISDMLGSLYKILENILIILRGSFETTADDIIDSLFVLSLLGSIFSLSVIAADRYITIFHTMRRTVVVLTVIWTFCTGTGITMVIFFTSLFPLMLVFILCLYVHMFLLARSHTRKISTLPNMKGAITLTILLGVFIFCWAPFVLHVLLMTFCCACYMSLFQVNGMLIMCNAVIDPFIYAFRSPELRDAFKKMIF</v>
      </c>
      <c r="C90" s="29" t="str">
        <f>IF(ISERROR(MATCH(A90,'SegEnds_Xtal_Prot#'!B:B, 0)), "NoXtal", "Xtal")</f>
        <v>NoXtal</v>
      </c>
      <c r="D90" s="4" t="str">
        <f>VLOOKUP(A90,Classification!A:D,2,FALSE)</f>
        <v>A</v>
      </c>
      <c r="E90" s="5" t="str">
        <f>VLOOKUP(A90,Seqs!A:B,2,FALSE)</f>
        <v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v>
      </c>
      <c r="F90" s="5" t="str">
        <f t="shared" si="26"/>
        <v>CPRVVLPEEIFFTISIVGVLENLIVLLAVFKN</v>
      </c>
      <c r="G90" s="4" t="str">
        <f t="shared" si="27"/>
        <v>KNLQ</v>
      </c>
      <c r="H90" s="4" t="str">
        <f t="shared" si="28"/>
        <v>APMYFFICSLAISDMLGSLYKILENILIILR</v>
      </c>
      <c r="I90" s="4" t="str">
        <f t="shared" si="29"/>
        <v/>
      </c>
      <c r="J90" s="4" t="str">
        <f t="shared" si="30"/>
        <v>GSFETTADDIIDSLFVLSLLGSIFSLSVIAADRYITIFH</v>
      </c>
      <c r="K90" s="4" t="str">
        <f t="shared" si="31"/>
        <v>ALRYHSIV</v>
      </c>
      <c r="L90" s="4" t="str">
        <f t="shared" si="32"/>
        <v>TMRRTVVVLTVIWTFCTGTGITMVIF</v>
      </c>
      <c r="M90" s="4" t="str">
        <f t="shared" si="33"/>
        <v/>
      </c>
      <c r="N90" s="4" t="str">
        <f t="shared" si="34"/>
        <v>FTSLFPLMLVFILCLYVHMFLLARSHTRKISTLP</v>
      </c>
      <c r="O90" s="4" t="str">
        <f t="shared" si="35"/>
        <v>NMKGAITLTILLGVFIFCWAPFVLHVLLMTFC</v>
      </c>
      <c r="P90" s="4" t="str">
        <f t="shared" si="36"/>
        <v>CACYMSLFQVNGMLIMCNAVIDPFIYAFR</v>
      </c>
      <c r="Q90" s="4" t="str">
        <f t="shared" si="37"/>
        <v>SPELRDAFKKMIF</v>
      </c>
      <c r="R90" s="5">
        <f>VLOOKUP($A90,'SegEnds_NonXtal_Prot#'!$A:$AL,3,FALSE)</f>
        <v>21</v>
      </c>
      <c r="S90" s="5">
        <f>VLOOKUP($A90,'SegEnds_NonXtal_Prot#'!$A:$AL,6,FALSE)</f>
        <v>53</v>
      </c>
      <c r="T90" s="5">
        <f>VLOOKUP($A90,'SegEnds_NonXtal_Prot#'!$A:$AL,9,FALSE)</f>
        <v>57</v>
      </c>
      <c r="U90" s="5" t="str">
        <f>VLOOKUP($A90,'SegEnds_NonXtal_Prot#'!$A:$AL,12,FALSE)</f>
        <v>-</v>
      </c>
      <c r="V90" s="5">
        <f>VLOOKUP($A90,'SegEnds_NonXtal_Prot#'!$A:$AL,15,FALSE)</f>
        <v>96</v>
      </c>
      <c r="W90" s="5">
        <f>VLOOKUP($A90,'SegEnds_NonXtal_Prot#'!$A:$AL,18,FALSE)</f>
        <v>135</v>
      </c>
      <c r="X90" s="5">
        <f>VLOOKUP($A90,'SegEnds_NonXtal_Prot#'!$A:$AL,21,FALSE)</f>
        <v>143</v>
      </c>
      <c r="Y90" s="5" t="str">
        <f>VLOOKUP($A90,'SegEnds_NonXtal_Prot#'!$A:$AL,24,FALSE)</f>
        <v>-</v>
      </c>
      <c r="Z90" s="5">
        <f>VLOOKUP($A90,'SegEnds_NonXtal_Prot#'!$A:$AL,27,FALSE)</f>
        <v>178</v>
      </c>
      <c r="AA90" s="5">
        <f>VLOOKUP($A90,'SegEnds_NonXtal_Prot#'!$A:$AL,30,FALSE)</f>
        <v>214</v>
      </c>
      <c r="AB90" s="5">
        <f>VLOOKUP($A90,'SegEnds_NonXtal_Prot#'!$A:$AL,33,FALSE)</f>
        <v>251</v>
      </c>
      <c r="AC90" s="5">
        <f>VLOOKUP($A90,'SegEnds_NonXtal_Prot#'!$A:$AL,36,FALSE)</f>
        <v>280</v>
      </c>
      <c r="AD90" s="5">
        <f>VLOOKUP($A90,'SegEnds_NonXtal_Prot#'!$A:$AL,5,FALSE)</f>
        <v>52</v>
      </c>
      <c r="AE90" s="5">
        <f>VLOOKUP($A90,'SegEnds_NonXtal_Prot#'!$A:$AL,8,FALSE)</f>
        <v>56</v>
      </c>
      <c r="AF90" s="5">
        <f>VLOOKUP($A90,'SegEnds_NonXtal_Prot#'!$A:$AL,11,FALSE)</f>
        <v>87</v>
      </c>
      <c r="AG90" s="5" t="str">
        <f>VLOOKUP($A90,'SegEnds_NonXtal_Prot#'!$A:$AL,14,FALSE)</f>
        <v>-</v>
      </c>
      <c r="AH90" s="5">
        <f>VLOOKUP($A90,'SegEnds_NonXtal_Prot#'!$A:$AL,17,FALSE)</f>
        <v>134</v>
      </c>
      <c r="AI90" s="5">
        <f>VLOOKUP($A90,'SegEnds_NonXtal_Prot#'!$A:$AL,20,FALSE)</f>
        <v>142</v>
      </c>
      <c r="AJ90" s="5">
        <f>VLOOKUP($A90,'SegEnds_NonXtal_Prot#'!$A:$AL,23,FALSE)</f>
        <v>168</v>
      </c>
      <c r="AK90" s="5" t="str">
        <f>VLOOKUP($A90,'SegEnds_NonXtal_Prot#'!$A:$AL,26,FALSE)</f>
        <v>-</v>
      </c>
      <c r="AL90" s="5">
        <f>VLOOKUP($A90,'SegEnds_NonXtal_Prot#'!$A:$AL,29,FALSE)</f>
        <v>211</v>
      </c>
      <c r="AM90" s="5">
        <f>VLOOKUP($A90,'SegEnds_NonXtal_Prot#'!$A:$AL,32,FALSE)</f>
        <v>245</v>
      </c>
      <c r="AN90" s="5">
        <f>VLOOKUP($A90,'SegEnds_NonXtal_Prot#'!$A:$AL,35,FALSE)</f>
        <v>279</v>
      </c>
      <c r="AO90" s="5">
        <f>VLOOKUP($A90,'SegEnds_NonXtal_Prot#'!$A:$AL,38,FALSE)</f>
        <v>292</v>
      </c>
      <c r="AP90" s="5">
        <f t="shared" si="38"/>
        <v>31</v>
      </c>
      <c r="AQ90" s="4">
        <f t="shared" si="39"/>
        <v>3</v>
      </c>
      <c r="AR90" s="4">
        <f t="shared" si="40"/>
        <v>30</v>
      </c>
      <c r="AS90" s="4" t="str">
        <f t="shared" si="41"/>
        <v>-</v>
      </c>
      <c r="AT90" s="4">
        <f t="shared" si="42"/>
        <v>38</v>
      </c>
      <c r="AU90" s="4">
        <f t="shared" si="43"/>
        <v>7</v>
      </c>
      <c r="AV90" s="4">
        <f t="shared" si="44"/>
        <v>25</v>
      </c>
      <c r="AW90" s="4" t="str">
        <f t="shared" si="45"/>
        <v>-</v>
      </c>
      <c r="AX90" s="4">
        <f t="shared" si="46"/>
        <v>33</v>
      </c>
      <c r="AY90" s="4">
        <f t="shared" si="47"/>
        <v>31</v>
      </c>
      <c r="AZ90" s="4">
        <f t="shared" si="48"/>
        <v>28</v>
      </c>
      <c r="BA90" s="4">
        <f t="shared" si="49"/>
        <v>12</v>
      </c>
    </row>
    <row r="91" spans="1:53" x14ac:dyDescent="0.2">
      <c r="A91" s="1" t="str">
        <f>'SegEnds_NonXtal_Prot#'!A62</f>
        <v>ada1a_human</v>
      </c>
      <c r="B91" s="1" t="str">
        <f t="shared" si="25"/>
        <v>ISKAILLGVILGGLILFGVLGNILVILSVACHSVTHYYIVNLAVADLLLTSTVLPFSAIFEVLGGRVFCNIWAAVDVLCCTASIMGLCIISIDRYIGVSYTQRRGLMALLCVWALSLVISIGPLFEPGYVLFSALGSFYLPLAIILVMYCRVYVVAKRESRGLKSGLLLKFSREKKAAKTLGIVVGCFVLCWLPFFLVMPIGSFFSETVFKIVFWLGYLNSCINPIIYPCSSQEFKKAFQNVLR</v>
      </c>
      <c r="C91" s="29" t="str">
        <f>IF(ISERROR(MATCH(A91,'SegEnds_Xtal_Prot#'!B:B, 0)), "NoXtal", "Xtal")</f>
        <v>NoXtal</v>
      </c>
      <c r="D91" s="4" t="str">
        <f>VLOOKUP(A91,Classification!A:D,2,FALSE)</f>
        <v>A</v>
      </c>
      <c r="E91" s="5" t="str">
        <f>VLOOKUP(A91,Seqs!A:B,2,FALSE)</f>
        <v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v>
      </c>
      <c r="F91" s="5" t="str">
        <f t="shared" si="26"/>
        <v>ISKAILLGVILGGLILFGVLGNILVILSVACH</v>
      </c>
      <c r="G91" s="4" t="str">
        <f t="shared" si="27"/>
        <v>RHLH</v>
      </c>
      <c r="H91" s="4" t="str">
        <f t="shared" si="28"/>
        <v>SVTHYYIVNLAVADLLLTSTVLPFSAIFEVLG</v>
      </c>
      <c r="I91" s="4" t="str">
        <f t="shared" si="29"/>
        <v>YWAF</v>
      </c>
      <c r="J91" s="4" t="str">
        <f t="shared" si="30"/>
        <v>GRVFCNIWAAVDVLCCTASIMGLCIISIDRYIGVSY</v>
      </c>
      <c r="K91" s="4" t="str">
        <f t="shared" si="31"/>
        <v>PLRYPTIV</v>
      </c>
      <c r="L91" s="4" t="str">
        <f t="shared" si="32"/>
        <v>TQRRGLMALLCVWALSLVISIGPLF</v>
      </c>
      <c r="M91" s="4" t="str">
        <f t="shared" si="33"/>
        <v>CQI</v>
      </c>
      <c r="N91" s="4" t="str">
        <f t="shared" si="34"/>
        <v>EPGYVLFSALGSFYLPLAIILVMYCRVYVVAKRESRGLKSGL</v>
      </c>
      <c r="O91" s="4" t="str">
        <f t="shared" si="35"/>
        <v>LLKFSREKKAAKTLGIVVGCFVLCWLPFFLVMPIGSFF</v>
      </c>
      <c r="P91" s="4" t="str">
        <f t="shared" si="36"/>
        <v>SETVFKIVFWLGYLNSCINPIIYPCS</v>
      </c>
      <c r="Q91" s="4" t="str">
        <f t="shared" si="37"/>
        <v>SQEFKKAFQNVLR</v>
      </c>
      <c r="R91" s="5">
        <f>VLOOKUP($A91,'SegEnds_NonXtal_Prot#'!$A:$AL,3,FALSE)</f>
        <v>23</v>
      </c>
      <c r="S91" s="5">
        <f>VLOOKUP($A91,'SegEnds_NonXtal_Prot#'!$A:$AL,6,FALSE)</f>
        <v>55</v>
      </c>
      <c r="T91" s="5">
        <f>VLOOKUP($A91,'SegEnds_NonXtal_Prot#'!$A:$AL,9,FALSE)</f>
        <v>59</v>
      </c>
      <c r="U91" s="5">
        <f>VLOOKUP($A91,'SegEnds_NonXtal_Prot#'!$A:$AL,12,FALSE)</f>
        <v>91</v>
      </c>
      <c r="V91" s="5">
        <f>VLOOKUP($A91,'SegEnds_NonXtal_Prot#'!$A:$AL,15,FALSE)</f>
        <v>95</v>
      </c>
      <c r="W91" s="5">
        <f>VLOOKUP($A91,'SegEnds_NonXtal_Prot#'!$A:$AL,18,FALSE)</f>
        <v>131</v>
      </c>
      <c r="X91" s="5">
        <f>VLOOKUP($A91,'SegEnds_NonXtal_Prot#'!$A:$AL,21,FALSE)</f>
        <v>139</v>
      </c>
      <c r="Y91" s="5">
        <f>VLOOKUP($A91,'SegEnds_NonXtal_Prot#'!$A:$AL,24,FALSE)</f>
        <v>176</v>
      </c>
      <c r="Z91" s="5">
        <f>VLOOKUP($A91,'SegEnds_NonXtal_Prot#'!$A:$AL,27,FALSE)</f>
        <v>181</v>
      </c>
      <c r="AA91" s="5">
        <f>VLOOKUP($A91,'SegEnds_NonXtal_Prot#'!$A:$AL,30,FALSE)</f>
        <v>261</v>
      </c>
      <c r="AB91" s="5">
        <f>VLOOKUP($A91,'SegEnds_NonXtal_Prot#'!$A:$AL,33,FALSE)</f>
        <v>304</v>
      </c>
      <c r="AC91" s="5">
        <f>VLOOKUP($A91,'SegEnds_NonXtal_Prot#'!$A:$AL,36,FALSE)</f>
        <v>330</v>
      </c>
      <c r="AD91" s="5">
        <f>VLOOKUP($A91,'SegEnds_NonXtal_Prot#'!$A:$AL,5,FALSE)</f>
        <v>54</v>
      </c>
      <c r="AE91" s="5">
        <f>VLOOKUP($A91,'SegEnds_NonXtal_Prot#'!$A:$AL,8,FALSE)</f>
        <v>58</v>
      </c>
      <c r="AF91" s="5">
        <f>VLOOKUP($A91,'SegEnds_NonXtal_Prot#'!$A:$AL,11,FALSE)</f>
        <v>90</v>
      </c>
      <c r="AG91" s="5">
        <f>VLOOKUP($A91,'SegEnds_NonXtal_Prot#'!$A:$AL,14,FALSE)</f>
        <v>94</v>
      </c>
      <c r="AH91" s="5">
        <f>VLOOKUP($A91,'SegEnds_NonXtal_Prot#'!$A:$AL,17,FALSE)</f>
        <v>130</v>
      </c>
      <c r="AI91" s="5">
        <f>VLOOKUP($A91,'SegEnds_NonXtal_Prot#'!$A:$AL,20,FALSE)</f>
        <v>138</v>
      </c>
      <c r="AJ91" s="5">
        <f>VLOOKUP($A91,'SegEnds_NonXtal_Prot#'!$A:$AL,23,FALSE)</f>
        <v>163</v>
      </c>
      <c r="AK91" s="5">
        <f>VLOOKUP($A91,'SegEnds_NonXtal_Prot#'!$A:$AL,26,FALSE)</f>
        <v>178</v>
      </c>
      <c r="AL91" s="5">
        <f>VLOOKUP($A91,'SegEnds_NonXtal_Prot#'!$A:$AL,29,FALSE)</f>
        <v>222</v>
      </c>
      <c r="AM91" s="5">
        <f>VLOOKUP($A91,'SegEnds_NonXtal_Prot#'!$A:$AL,32,FALSE)</f>
        <v>298</v>
      </c>
      <c r="AN91" s="5">
        <f>VLOOKUP($A91,'SegEnds_NonXtal_Prot#'!$A:$AL,35,FALSE)</f>
        <v>329</v>
      </c>
      <c r="AO91" s="5">
        <f>VLOOKUP($A91,'SegEnds_NonXtal_Prot#'!$A:$AL,38,FALSE)</f>
        <v>342</v>
      </c>
      <c r="AP91" s="5">
        <f t="shared" si="38"/>
        <v>31</v>
      </c>
      <c r="AQ91" s="4">
        <f t="shared" si="39"/>
        <v>3</v>
      </c>
      <c r="AR91" s="4">
        <f t="shared" si="40"/>
        <v>31</v>
      </c>
      <c r="AS91" s="4">
        <f t="shared" si="41"/>
        <v>3</v>
      </c>
      <c r="AT91" s="4">
        <f t="shared" si="42"/>
        <v>35</v>
      </c>
      <c r="AU91" s="4">
        <f t="shared" si="43"/>
        <v>7</v>
      </c>
      <c r="AV91" s="4">
        <f t="shared" si="44"/>
        <v>24</v>
      </c>
      <c r="AW91" s="4">
        <f t="shared" si="45"/>
        <v>2</v>
      </c>
      <c r="AX91" s="4">
        <f t="shared" si="46"/>
        <v>41</v>
      </c>
      <c r="AY91" s="4">
        <f t="shared" si="47"/>
        <v>37</v>
      </c>
      <c r="AZ91" s="4">
        <f t="shared" si="48"/>
        <v>25</v>
      </c>
      <c r="BA91" s="4">
        <f t="shared" si="49"/>
        <v>12</v>
      </c>
    </row>
    <row r="92" spans="1:53" x14ac:dyDescent="0.2">
      <c r="A92" s="1" t="str">
        <f>'SegEnds_NonXtal_Prot#'!A63</f>
        <v>ada1b_human</v>
      </c>
      <c r="B92" s="1" t="str">
        <f t="shared" si="25"/>
        <v>ITRAISVGLVLGAFILFAIVGNILVILSVACNTPTNYFIVNLAMADLLLSFTVLPFSAALEVLGGRIFCDIWAAVDVLCCTASILSLCAISIDRYIGVRYTRRKAILALLSVWVLSTVISIGPLLEPFYALFSSLGSFYIPLAVILVMYCRVYIVAKRTTKNLEALFKFSREKKAAKTLGIVVGMFILCWLPFFIALPLGSLFPDAVFKVVFWLGYFNSCLNPIIYPCSSKEFKRAFVRILG</v>
      </c>
      <c r="C92" s="29" t="str">
        <f>IF(ISERROR(MATCH(A92,'SegEnds_Xtal_Prot#'!B:B, 0)), "NoXtal", "Xtal")</f>
        <v>NoXtal</v>
      </c>
      <c r="D92" s="4" t="str">
        <f>VLOOKUP(A92,Classification!A:D,2,FALSE)</f>
        <v>A</v>
      </c>
      <c r="E92" s="5" t="str">
        <f>VLOOKUP(A92,Seqs!A:B,2,FALSE)</f>
        <v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v>
      </c>
      <c r="F92" s="5" t="str">
        <f t="shared" si="26"/>
        <v>ITRAISVGLVLGAFILFAIVGNILVILSVACN</v>
      </c>
      <c r="G92" s="4" t="str">
        <f t="shared" si="27"/>
        <v>RHLR</v>
      </c>
      <c r="H92" s="4" t="str">
        <f t="shared" si="28"/>
        <v>TPTNYFIVNLAMADLLLSFTVLPFSAALEVLG</v>
      </c>
      <c r="I92" s="4" t="str">
        <f t="shared" si="29"/>
        <v>YWVL</v>
      </c>
      <c r="J92" s="4" t="str">
        <f t="shared" si="30"/>
        <v>GRIFCDIWAAVDVLCCTASILSLCAISIDRYIGVRY</v>
      </c>
      <c r="K92" s="4" t="str">
        <f t="shared" si="31"/>
        <v>SLQYPTLV</v>
      </c>
      <c r="L92" s="4" t="str">
        <f t="shared" si="32"/>
        <v>TRRKAILALLSVWVLSTVISIGPLL</v>
      </c>
      <c r="M92" s="4" t="str">
        <f t="shared" si="33"/>
        <v>CGV</v>
      </c>
      <c r="N92" s="4" t="str">
        <f t="shared" si="34"/>
        <v>EPFYALFSSLGSFYIPLAVILVMYCRVYIVAKRTTKNLEA</v>
      </c>
      <c r="O92" s="4" t="str">
        <f t="shared" si="35"/>
        <v>LFKFSREKKAAKTLGIVVGMFILCWLPFFIALPLGSLF</v>
      </c>
      <c r="P92" s="4" t="str">
        <f t="shared" si="36"/>
        <v>PDAVFKVVFWLGYFNSCLNPIIYPCS</v>
      </c>
      <c r="Q92" s="4" t="str">
        <f t="shared" si="37"/>
        <v>SKEFKRAFVRILG</v>
      </c>
      <c r="R92" s="5">
        <f>VLOOKUP($A92,'SegEnds_NonXtal_Prot#'!$A:$AL,3,FALSE)</f>
        <v>42</v>
      </c>
      <c r="S92" s="5">
        <f>VLOOKUP($A92,'SegEnds_NonXtal_Prot#'!$A:$AL,6,FALSE)</f>
        <v>74</v>
      </c>
      <c r="T92" s="5">
        <f>VLOOKUP($A92,'SegEnds_NonXtal_Prot#'!$A:$AL,9,FALSE)</f>
        <v>78</v>
      </c>
      <c r="U92" s="5">
        <f>VLOOKUP($A92,'SegEnds_NonXtal_Prot#'!$A:$AL,12,FALSE)</f>
        <v>110</v>
      </c>
      <c r="V92" s="5">
        <f>VLOOKUP($A92,'SegEnds_NonXtal_Prot#'!$A:$AL,15,FALSE)</f>
        <v>114</v>
      </c>
      <c r="W92" s="5">
        <f>VLOOKUP($A92,'SegEnds_NonXtal_Prot#'!$A:$AL,18,FALSE)</f>
        <v>150</v>
      </c>
      <c r="X92" s="5">
        <f>VLOOKUP($A92,'SegEnds_NonXtal_Prot#'!$A:$AL,21,FALSE)</f>
        <v>158</v>
      </c>
      <c r="Y92" s="5">
        <f>VLOOKUP($A92,'SegEnds_NonXtal_Prot#'!$A:$AL,24,FALSE)</f>
        <v>195</v>
      </c>
      <c r="Z92" s="5">
        <f>VLOOKUP($A92,'SegEnds_NonXtal_Prot#'!$A:$AL,27,FALSE)</f>
        <v>200</v>
      </c>
      <c r="AA92" s="5">
        <f>VLOOKUP($A92,'SegEnds_NonXtal_Prot#'!$A:$AL,30,FALSE)</f>
        <v>283</v>
      </c>
      <c r="AB92" s="5">
        <f>VLOOKUP($A92,'SegEnds_NonXtal_Prot#'!$A:$AL,33,FALSE)</f>
        <v>326</v>
      </c>
      <c r="AC92" s="5">
        <f>VLOOKUP($A92,'SegEnds_NonXtal_Prot#'!$A:$AL,36,FALSE)</f>
        <v>352</v>
      </c>
      <c r="AD92" s="5">
        <f>VLOOKUP($A92,'SegEnds_NonXtal_Prot#'!$A:$AL,5,FALSE)</f>
        <v>73</v>
      </c>
      <c r="AE92" s="5">
        <f>VLOOKUP($A92,'SegEnds_NonXtal_Prot#'!$A:$AL,8,FALSE)</f>
        <v>77</v>
      </c>
      <c r="AF92" s="5">
        <f>VLOOKUP($A92,'SegEnds_NonXtal_Prot#'!$A:$AL,11,FALSE)</f>
        <v>109</v>
      </c>
      <c r="AG92" s="5">
        <f>VLOOKUP($A92,'SegEnds_NonXtal_Prot#'!$A:$AL,14,FALSE)</f>
        <v>113</v>
      </c>
      <c r="AH92" s="5">
        <f>VLOOKUP($A92,'SegEnds_NonXtal_Prot#'!$A:$AL,17,FALSE)</f>
        <v>149</v>
      </c>
      <c r="AI92" s="5">
        <f>VLOOKUP($A92,'SegEnds_NonXtal_Prot#'!$A:$AL,20,FALSE)</f>
        <v>157</v>
      </c>
      <c r="AJ92" s="5">
        <f>VLOOKUP($A92,'SegEnds_NonXtal_Prot#'!$A:$AL,23,FALSE)</f>
        <v>182</v>
      </c>
      <c r="AK92" s="5">
        <f>VLOOKUP($A92,'SegEnds_NonXtal_Prot#'!$A:$AL,26,FALSE)</f>
        <v>197</v>
      </c>
      <c r="AL92" s="5">
        <f>VLOOKUP($A92,'SegEnds_NonXtal_Prot#'!$A:$AL,29,FALSE)</f>
        <v>239</v>
      </c>
      <c r="AM92" s="5">
        <f>VLOOKUP($A92,'SegEnds_NonXtal_Prot#'!$A:$AL,32,FALSE)</f>
        <v>320</v>
      </c>
      <c r="AN92" s="5">
        <f>VLOOKUP($A92,'SegEnds_NonXtal_Prot#'!$A:$AL,35,FALSE)</f>
        <v>351</v>
      </c>
      <c r="AO92" s="5">
        <f>VLOOKUP($A92,'SegEnds_NonXtal_Prot#'!$A:$AL,38,FALSE)</f>
        <v>364</v>
      </c>
      <c r="AP92" s="5">
        <f t="shared" si="38"/>
        <v>31</v>
      </c>
      <c r="AQ92" s="4">
        <f t="shared" si="39"/>
        <v>3</v>
      </c>
      <c r="AR92" s="4">
        <f t="shared" si="40"/>
        <v>31</v>
      </c>
      <c r="AS92" s="4">
        <f t="shared" si="41"/>
        <v>3</v>
      </c>
      <c r="AT92" s="4">
        <f t="shared" si="42"/>
        <v>35</v>
      </c>
      <c r="AU92" s="4">
        <f t="shared" si="43"/>
        <v>7</v>
      </c>
      <c r="AV92" s="4">
        <f t="shared" si="44"/>
        <v>24</v>
      </c>
      <c r="AW92" s="4">
        <f t="shared" si="45"/>
        <v>2</v>
      </c>
      <c r="AX92" s="4">
        <f t="shared" si="46"/>
        <v>39</v>
      </c>
      <c r="AY92" s="4">
        <f t="shared" si="47"/>
        <v>37</v>
      </c>
      <c r="AZ92" s="4">
        <f t="shared" si="48"/>
        <v>25</v>
      </c>
      <c r="BA92" s="4">
        <f t="shared" si="49"/>
        <v>12</v>
      </c>
    </row>
    <row r="93" spans="1:53" x14ac:dyDescent="0.2">
      <c r="A93" s="1" t="str">
        <f>'SegEnds_NonXtal_Prot#'!A64</f>
        <v>ada1d_human</v>
      </c>
      <c r="B93" s="1" t="str">
        <f t="shared" si="25"/>
        <v>SAQGVGVGVFLAAFILMAVAGNLLVILSVACNTVTNYFIVNLAVADLLLSATVLPFSATMEVLGGRAFCDVWAAVDVLCCTASILSLCTISVDRYVGVRHTERKAAAILALLWVVALVVSVGPLLEAGYAVFSSVCSFYLPMAVIVVMYCRVYVVARSTTRSLEALLKFSREKKAAKTLAIVVGVFVLCWFPFFFVLPLGSLFSEGVFKVIFWLGYFNSCVNPLIYPCSSREFKRAFLRLLR</v>
      </c>
      <c r="C93" s="29" t="str">
        <f>IF(ISERROR(MATCH(A93,'SegEnds_Xtal_Prot#'!B:B, 0)), "NoXtal", "Xtal")</f>
        <v>NoXtal</v>
      </c>
      <c r="D93" s="4" t="str">
        <f>VLOOKUP(A93,Classification!A:D,2,FALSE)</f>
        <v>A</v>
      </c>
      <c r="E93" s="5" t="str">
        <f>VLOOKUP(A93,Seqs!A:B,2,FALSE)</f>
        <v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v>
      </c>
      <c r="F93" s="5" t="str">
        <f t="shared" si="26"/>
        <v>SAQGVGVGVFLAAFILMAVAGNLLVILSVACN</v>
      </c>
      <c r="G93" s="4" t="str">
        <f t="shared" si="27"/>
        <v>RHLQ</v>
      </c>
      <c r="H93" s="4" t="str">
        <f t="shared" si="28"/>
        <v>TVTNYFIVNLAVADLLLSATVLPFSATMEVLG</v>
      </c>
      <c r="I93" s="4" t="str">
        <f t="shared" si="29"/>
        <v>FWAF</v>
      </c>
      <c r="J93" s="4" t="str">
        <f t="shared" si="30"/>
        <v>GRAFCDVWAAVDVLCCTASILSLCTISVDRYVGVRH</v>
      </c>
      <c r="K93" s="4" t="str">
        <f t="shared" si="31"/>
        <v>SLKYPAIM</v>
      </c>
      <c r="L93" s="4" t="str">
        <f t="shared" si="32"/>
        <v>TERKAAAILALLWVVALVVSVGPLL</v>
      </c>
      <c r="M93" s="4" t="str">
        <f t="shared" si="33"/>
        <v>CGI</v>
      </c>
      <c r="N93" s="4" t="str">
        <f t="shared" si="34"/>
        <v>EAGYAVFSSVCSFYLPMAVIVVMYCRVYVVARSTTRSLEA</v>
      </c>
      <c r="O93" s="4" t="str">
        <f t="shared" si="35"/>
        <v>LLKFSREKKAAKTLAIVVGVFVLCWFPFFFVLPLGSLF</v>
      </c>
      <c r="P93" s="4" t="str">
        <f t="shared" si="36"/>
        <v>SEGVFKVIFWLGYFNSCVNPLIYPCS</v>
      </c>
      <c r="Q93" s="4" t="str">
        <f t="shared" si="37"/>
        <v>SREFKRAFLRLLR</v>
      </c>
      <c r="R93" s="5">
        <f>VLOOKUP($A93,'SegEnds_NonXtal_Prot#'!$A:$AL,3,FALSE)</f>
        <v>93</v>
      </c>
      <c r="S93" s="5">
        <f>VLOOKUP($A93,'SegEnds_NonXtal_Prot#'!$A:$AL,6,FALSE)</f>
        <v>125</v>
      </c>
      <c r="T93" s="5">
        <f>VLOOKUP($A93,'SegEnds_NonXtal_Prot#'!$A:$AL,9,FALSE)</f>
        <v>129</v>
      </c>
      <c r="U93" s="5">
        <f>VLOOKUP($A93,'SegEnds_NonXtal_Prot#'!$A:$AL,12,FALSE)</f>
        <v>161</v>
      </c>
      <c r="V93" s="5">
        <f>VLOOKUP($A93,'SegEnds_NonXtal_Prot#'!$A:$AL,15,FALSE)</f>
        <v>165</v>
      </c>
      <c r="W93" s="5">
        <f>VLOOKUP($A93,'SegEnds_NonXtal_Prot#'!$A:$AL,18,FALSE)</f>
        <v>201</v>
      </c>
      <c r="X93" s="5">
        <f>VLOOKUP($A93,'SegEnds_NonXtal_Prot#'!$A:$AL,21,FALSE)</f>
        <v>209</v>
      </c>
      <c r="Y93" s="5">
        <f>VLOOKUP($A93,'SegEnds_NonXtal_Prot#'!$A:$AL,24,FALSE)</f>
        <v>246</v>
      </c>
      <c r="Z93" s="5">
        <f>VLOOKUP($A93,'SegEnds_NonXtal_Prot#'!$A:$AL,27,FALSE)</f>
        <v>251</v>
      </c>
      <c r="AA93" s="5">
        <f>VLOOKUP($A93,'SegEnds_NonXtal_Prot#'!$A:$AL,30,FALSE)</f>
        <v>337</v>
      </c>
      <c r="AB93" s="5">
        <f>VLOOKUP($A93,'SegEnds_NonXtal_Prot#'!$A:$AL,33,FALSE)</f>
        <v>380</v>
      </c>
      <c r="AC93" s="5">
        <f>VLOOKUP($A93,'SegEnds_NonXtal_Prot#'!$A:$AL,36,FALSE)</f>
        <v>406</v>
      </c>
      <c r="AD93" s="5">
        <f>VLOOKUP($A93,'SegEnds_NonXtal_Prot#'!$A:$AL,5,FALSE)</f>
        <v>124</v>
      </c>
      <c r="AE93" s="5">
        <f>VLOOKUP($A93,'SegEnds_NonXtal_Prot#'!$A:$AL,8,FALSE)</f>
        <v>128</v>
      </c>
      <c r="AF93" s="5">
        <f>VLOOKUP($A93,'SegEnds_NonXtal_Prot#'!$A:$AL,11,FALSE)</f>
        <v>160</v>
      </c>
      <c r="AG93" s="5">
        <f>VLOOKUP($A93,'SegEnds_NonXtal_Prot#'!$A:$AL,14,FALSE)</f>
        <v>164</v>
      </c>
      <c r="AH93" s="5">
        <f>VLOOKUP($A93,'SegEnds_NonXtal_Prot#'!$A:$AL,17,FALSE)</f>
        <v>200</v>
      </c>
      <c r="AI93" s="5">
        <f>VLOOKUP($A93,'SegEnds_NonXtal_Prot#'!$A:$AL,20,FALSE)</f>
        <v>208</v>
      </c>
      <c r="AJ93" s="5">
        <f>VLOOKUP($A93,'SegEnds_NonXtal_Prot#'!$A:$AL,23,FALSE)</f>
        <v>233</v>
      </c>
      <c r="AK93" s="5">
        <f>VLOOKUP($A93,'SegEnds_NonXtal_Prot#'!$A:$AL,26,FALSE)</f>
        <v>248</v>
      </c>
      <c r="AL93" s="5">
        <f>VLOOKUP($A93,'SegEnds_NonXtal_Prot#'!$A:$AL,29,FALSE)</f>
        <v>290</v>
      </c>
      <c r="AM93" s="5">
        <f>VLOOKUP($A93,'SegEnds_NonXtal_Prot#'!$A:$AL,32,FALSE)</f>
        <v>374</v>
      </c>
      <c r="AN93" s="5">
        <f>VLOOKUP($A93,'SegEnds_NonXtal_Prot#'!$A:$AL,35,FALSE)</f>
        <v>405</v>
      </c>
      <c r="AO93" s="5">
        <f>VLOOKUP($A93,'SegEnds_NonXtal_Prot#'!$A:$AL,38,FALSE)</f>
        <v>418</v>
      </c>
      <c r="AP93" s="5">
        <f t="shared" si="38"/>
        <v>31</v>
      </c>
      <c r="AQ93" s="4">
        <f t="shared" si="39"/>
        <v>3</v>
      </c>
      <c r="AR93" s="4">
        <f t="shared" si="40"/>
        <v>31</v>
      </c>
      <c r="AS93" s="4">
        <f t="shared" si="41"/>
        <v>3</v>
      </c>
      <c r="AT93" s="4">
        <f t="shared" si="42"/>
        <v>35</v>
      </c>
      <c r="AU93" s="4">
        <f t="shared" si="43"/>
        <v>7</v>
      </c>
      <c r="AV93" s="4">
        <f t="shared" si="44"/>
        <v>24</v>
      </c>
      <c r="AW93" s="4">
        <f t="shared" si="45"/>
        <v>2</v>
      </c>
      <c r="AX93" s="4">
        <f t="shared" si="46"/>
        <v>39</v>
      </c>
      <c r="AY93" s="4">
        <f t="shared" si="47"/>
        <v>37</v>
      </c>
      <c r="AZ93" s="4">
        <f t="shared" si="48"/>
        <v>25</v>
      </c>
      <c r="BA93" s="4">
        <f t="shared" si="49"/>
        <v>12</v>
      </c>
    </row>
    <row r="94" spans="1:53" x14ac:dyDescent="0.2">
      <c r="A94" s="1" t="str">
        <f>'SegEnds_NonXtal_Prot#'!A65</f>
        <v>ada2a_human</v>
      </c>
      <c r="B94" s="1" t="str">
        <f t="shared" si="25"/>
        <v>LQVTLTLVCLAGLLMLLTVFGNVLVIIAVFTSAPQNLFLVSLASADILVATLVIPFSLANEVMGGKAWCEIYLALDVLFCTSSIVHLCAISLDRYWSITQTPRRIKAIIITVWVISAVISFPPLIQKWYVISSCIGSFFAPCLIMILVYVRIYQIAKRRTRVPPSRRGRQNREKRFTFVLAVVIGVFVVCWFPFFFTYTLTAVGRTLFKFFFWFGYCNSSLNPVIYTIFNHDFRRAFKKILC</v>
      </c>
      <c r="C94" s="29" t="str">
        <f>IF(ISERROR(MATCH(A94,'SegEnds_Xtal_Prot#'!B:B, 0)), "NoXtal", "Xtal")</f>
        <v>NoXtal</v>
      </c>
      <c r="D94" s="4" t="str">
        <f>VLOOKUP(A94,Classification!A:D,2,FALSE)</f>
        <v>A</v>
      </c>
      <c r="E94" s="5" t="str">
        <f>VLOOKUP(A94,Seqs!A:B,2,FALSE)</f>
        <v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v>
      </c>
      <c r="F94" s="5" t="str">
        <f t="shared" si="26"/>
        <v>LQVTLTLVCLAGLLMLLTVFGNVLVIIAVFTS</v>
      </c>
      <c r="G94" s="4" t="str">
        <f t="shared" si="27"/>
        <v>RALK</v>
      </c>
      <c r="H94" s="4" t="str">
        <f t="shared" si="28"/>
        <v>APQNLFLVSLASADILVATLVIPFSLANEVMG</v>
      </c>
      <c r="I94" s="4" t="str">
        <f t="shared" si="29"/>
        <v>YWYF</v>
      </c>
      <c r="J94" s="4" t="str">
        <f t="shared" si="30"/>
        <v>GKAWCEIYLALDVLFCTSSIVHLCAISLDRYWSITQ</v>
      </c>
      <c r="K94" s="4" t="str">
        <f t="shared" si="31"/>
        <v>AIEYNLKR</v>
      </c>
      <c r="L94" s="4" t="str">
        <f t="shared" si="32"/>
        <v>TPRRIKAIIITVWVISAVISFPPLI</v>
      </c>
      <c r="M94" s="4" t="str">
        <f t="shared" si="33"/>
        <v>CEI</v>
      </c>
      <c r="N94" s="4" t="str">
        <f t="shared" si="34"/>
        <v>QKWYVISSCIGSFFAPCLIMILVYVRIYQIAKRRTRVPPSR</v>
      </c>
      <c r="O94" s="4" t="str">
        <f t="shared" si="35"/>
        <v>RGRQNREKRFTFVLAVVIGVFVVCWFPFFFTYTLTAVG</v>
      </c>
      <c r="P94" s="4" t="str">
        <f t="shared" si="36"/>
        <v>RTLFKFFFWFGYCNSSLNPVIYTIF</v>
      </c>
      <c r="Q94" s="4" t="str">
        <f t="shared" si="37"/>
        <v>NHDFRRAFKKILC</v>
      </c>
      <c r="R94" s="5">
        <f>VLOOKUP($A94,'SegEnds_NonXtal_Prot#'!$A:$AL,3,FALSE)</f>
        <v>30</v>
      </c>
      <c r="S94" s="5">
        <f>VLOOKUP($A94,'SegEnds_NonXtal_Prot#'!$A:$AL,6,FALSE)</f>
        <v>62</v>
      </c>
      <c r="T94" s="5">
        <f>VLOOKUP($A94,'SegEnds_NonXtal_Prot#'!$A:$AL,9,FALSE)</f>
        <v>66</v>
      </c>
      <c r="U94" s="5">
        <f>VLOOKUP($A94,'SegEnds_NonXtal_Prot#'!$A:$AL,12,FALSE)</f>
        <v>98</v>
      </c>
      <c r="V94" s="5">
        <f>VLOOKUP($A94,'SegEnds_NonXtal_Prot#'!$A:$AL,15,FALSE)</f>
        <v>102</v>
      </c>
      <c r="W94" s="5">
        <f>VLOOKUP($A94,'SegEnds_NonXtal_Prot#'!$A:$AL,18,FALSE)</f>
        <v>138</v>
      </c>
      <c r="X94" s="5">
        <f>VLOOKUP($A94,'SegEnds_NonXtal_Prot#'!$A:$AL,21,FALSE)</f>
        <v>146</v>
      </c>
      <c r="Y94" s="5">
        <f>VLOOKUP($A94,'SegEnds_NonXtal_Prot#'!$A:$AL,24,FALSE)</f>
        <v>188</v>
      </c>
      <c r="Z94" s="5">
        <f>VLOOKUP($A94,'SegEnds_NonXtal_Prot#'!$A:$AL,27,FALSE)</f>
        <v>193</v>
      </c>
      <c r="AA94" s="5">
        <f>VLOOKUP($A94,'SegEnds_NonXtal_Prot#'!$A:$AL,30,FALSE)</f>
        <v>363</v>
      </c>
      <c r="AB94" s="5">
        <f>VLOOKUP($A94,'SegEnds_NonXtal_Prot#'!$A:$AL,33,FALSE)</f>
        <v>405</v>
      </c>
      <c r="AC94" s="5">
        <f>VLOOKUP($A94,'SegEnds_NonXtal_Prot#'!$A:$AL,36,FALSE)</f>
        <v>430</v>
      </c>
      <c r="AD94" s="5">
        <f>VLOOKUP($A94,'SegEnds_NonXtal_Prot#'!$A:$AL,5,FALSE)</f>
        <v>61</v>
      </c>
      <c r="AE94" s="5">
        <f>VLOOKUP($A94,'SegEnds_NonXtal_Prot#'!$A:$AL,8,FALSE)</f>
        <v>65</v>
      </c>
      <c r="AF94" s="5">
        <f>VLOOKUP($A94,'SegEnds_NonXtal_Prot#'!$A:$AL,11,FALSE)</f>
        <v>97</v>
      </c>
      <c r="AG94" s="5">
        <f>VLOOKUP($A94,'SegEnds_NonXtal_Prot#'!$A:$AL,14,FALSE)</f>
        <v>101</v>
      </c>
      <c r="AH94" s="5">
        <f>VLOOKUP($A94,'SegEnds_NonXtal_Prot#'!$A:$AL,17,FALSE)</f>
        <v>137</v>
      </c>
      <c r="AI94" s="5">
        <f>VLOOKUP($A94,'SegEnds_NonXtal_Prot#'!$A:$AL,20,FALSE)</f>
        <v>145</v>
      </c>
      <c r="AJ94" s="5">
        <f>VLOOKUP($A94,'SegEnds_NonXtal_Prot#'!$A:$AL,23,FALSE)</f>
        <v>170</v>
      </c>
      <c r="AK94" s="5">
        <f>VLOOKUP($A94,'SegEnds_NonXtal_Prot#'!$A:$AL,26,FALSE)</f>
        <v>190</v>
      </c>
      <c r="AL94" s="5">
        <f>VLOOKUP($A94,'SegEnds_NonXtal_Prot#'!$A:$AL,29,FALSE)</f>
        <v>233</v>
      </c>
      <c r="AM94" s="5">
        <f>VLOOKUP($A94,'SegEnds_NonXtal_Prot#'!$A:$AL,32,FALSE)</f>
        <v>400</v>
      </c>
      <c r="AN94" s="5">
        <f>VLOOKUP($A94,'SegEnds_NonXtal_Prot#'!$A:$AL,35,FALSE)</f>
        <v>429</v>
      </c>
      <c r="AO94" s="5">
        <f>VLOOKUP($A94,'SegEnds_NonXtal_Prot#'!$A:$AL,38,FALSE)</f>
        <v>442</v>
      </c>
      <c r="AP94" s="5">
        <f t="shared" si="38"/>
        <v>31</v>
      </c>
      <c r="AQ94" s="4">
        <f t="shared" si="39"/>
        <v>3</v>
      </c>
      <c r="AR94" s="4">
        <f t="shared" si="40"/>
        <v>31</v>
      </c>
      <c r="AS94" s="4">
        <f t="shared" si="41"/>
        <v>3</v>
      </c>
      <c r="AT94" s="4">
        <f t="shared" si="42"/>
        <v>35</v>
      </c>
      <c r="AU94" s="4">
        <f t="shared" si="43"/>
        <v>7</v>
      </c>
      <c r="AV94" s="4">
        <f t="shared" si="44"/>
        <v>24</v>
      </c>
      <c r="AW94" s="4">
        <f t="shared" si="45"/>
        <v>2</v>
      </c>
      <c r="AX94" s="4">
        <f t="shared" si="46"/>
        <v>40</v>
      </c>
      <c r="AY94" s="4">
        <f t="shared" si="47"/>
        <v>37</v>
      </c>
      <c r="AZ94" s="4">
        <f t="shared" si="48"/>
        <v>24</v>
      </c>
      <c r="BA94" s="4">
        <f t="shared" si="49"/>
        <v>12</v>
      </c>
    </row>
    <row r="95" spans="1:53" x14ac:dyDescent="0.2">
      <c r="A95" s="1" t="str">
        <f>'SegEnds_NonXtal_Prot#'!A66</f>
        <v>ada2b_human</v>
      </c>
      <c r="B95" s="1" t="str">
        <f t="shared" si="25"/>
        <v>VQATAAIAAAITFLILFTIFGNALVILAVLTSAPQNLFLVSLAAADILVATLIIPFSLANELLGRRTWCEVYLALDVLFCTSSIVHLCAISLDRYWAVSRTPRRIKCIILTVWLIAAVISLPPLIEAWYILASSIGSFFAPCLIMILVYLRIYLIAKRSNRRGPRARAQLTREKRFTFVLAVVIGVFVLCWFPFFFSYSLGAICPHGLFQFFFWIGYCNSSLNPVIYTIFNQDFRRAFRRILC</v>
      </c>
      <c r="C95" s="29" t="str">
        <f>IF(ISERROR(MATCH(A95,'SegEnds_Xtal_Prot#'!B:B, 0)), "NoXtal", "Xtal")</f>
        <v>NoXtal</v>
      </c>
      <c r="D95" s="4" t="str">
        <f>VLOOKUP(A95,Classification!A:D,2,FALSE)</f>
        <v>A</v>
      </c>
      <c r="E95" s="5" t="str">
        <f>VLOOKUP(A95,Seqs!A:B,2,FALSE)</f>
        <v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v>
      </c>
      <c r="F95" s="5" t="str">
        <f t="shared" si="26"/>
        <v>VQATAAIAAAITFLILFTIFGNALVILAVLTS</v>
      </c>
      <c r="G95" s="4" t="str">
        <f t="shared" si="27"/>
        <v>RSLR</v>
      </c>
      <c r="H95" s="4" t="str">
        <f t="shared" si="28"/>
        <v>APQNLFLVSLAAADILVATLIIPFSLANELLG</v>
      </c>
      <c r="I95" s="4" t="str">
        <f t="shared" si="29"/>
        <v>YWYF</v>
      </c>
      <c r="J95" s="4" t="str">
        <f t="shared" si="30"/>
        <v>RRTWCEVYLALDVLFCTSSIVHLCAISLDRYWAVSR</v>
      </c>
      <c r="K95" s="4" t="str">
        <f t="shared" si="31"/>
        <v>ALEYNSKR</v>
      </c>
      <c r="L95" s="4" t="str">
        <f t="shared" si="32"/>
        <v>TPRRIKCIILTVWLIAAVISLPPLI</v>
      </c>
      <c r="M95" s="4" t="str">
        <f t="shared" si="33"/>
        <v>CKL</v>
      </c>
      <c r="N95" s="4" t="str">
        <f t="shared" si="34"/>
        <v>EAWYILASSIGSFFAPCLIMILVYLRIYLIAKRSNRRGPRA</v>
      </c>
      <c r="O95" s="4" t="str">
        <f t="shared" si="35"/>
        <v>RAQLTREKRFTFVLAVVIGVFVLCWFPFFFSYSLGAIC</v>
      </c>
      <c r="P95" s="4" t="str">
        <f t="shared" si="36"/>
        <v>PHGLFQFFFWIGYCNSSLNPVIYTIF</v>
      </c>
      <c r="Q95" s="4" t="str">
        <f t="shared" si="37"/>
        <v>NQDFRRAFRRILC</v>
      </c>
      <c r="R95" s="5">
        <f>VLOOKUP($A95,'SegEnds_NonXtal_Prot#'!$A:$AL,3,FALSE)</f>
        <v>9</v>
      </c>
      <c r="S95" s="5">
        <f>VLOOKUP($A95,'SegEnds_NonXtal_Prot#'!$A:$AL,6,FALSE)</f>
        <v>41</v>
      </c>
      <c r="T95" s="5">
        <f>VLOOKUP($A95,'SegEnds_NonXtal_Prot#'!$A:$AL,9,FALSE)</f>
        <v>45</v>
      </c>
      <c r="U95" s="5">
        <f>VLOOKUP($A95,'SegEnds_NonXtal_Prot#'!$A:$AL,12,FALSE)</f>
        <v>77</v>
      </c>
      <c r="V95" s="5">
        <f>VLOOKUP($A95,'SegEnds_NonXtal_Prot#'!$A:$AL,15,FALSE)</f>
        <v>81</v>
      </c>
      <c r="W95" s="5">
        <f>VLOOKUP($A95,'SegEnds_NonXtal_Prot#'!$A:$AL,18,FALSE)</f>
        <v>117</v>
      </c>
      <c r="X95" s="5">
        <f>VLOOKUP($A95,'SegEnds_NonXtal_Prot#'!$A:$AL,21,FALSE)</f>
        <v>125</v>
      </c>
      <c r="Y95" s="5">
        <f>VLOOKUP($A95,'SegEnds_NonXtal_Prot#'!$A:$AL,24,FALSE)</f>
        <v>164</v>
      </c>
      <c r="Z95" s="5">
        <f>VLOOKUP($A95,'SegEnds_NonXtal_Prot#'!$A:$AL,27,FALSE)</f>
        <v>169</v>
      </c>
      <c r="AA95" s="5">
        <f>VLOOKUP($A95,'SegEnds_NonXtal_Prot#'!$A:$AL,30,FALSE)</f>
        <v>357</v>
      </c>
      <c r="AB95" s="5">
        <f>VLOOKUP($A95,'SegEnds_NonXtal_Prot#'!$A:$AL,33,FALSE)</f>
        <v>401</v>
      </c>
      <c r="AC95" s="5">
        <f>VLOOKUP($A95,'SegEnds_NonXtal_Prot#'!$A:$AL,36,FALSE)</f>
        <v>427</v>
      </c>
      <c r="AD95" s="5">
        <f>VLOOKUP($A95,'SegEnds_NonXtal_Prot#'!$A:$AL,5,FALSE)</f>
        <v>40</v>
      </c>
      <c r="AE95" s="5">
        <f>VLOOKUP($A95,'SegEnds_NonXtal_Prot#'!$A:$AL,8,FALSE)</f>
        <v>44</v>
      </c>
      <c r="AF95" s="5">
        <f>VLOOKUP($A95,'SegEnds_NonXtal_Prot#'!$A:$AL,11,FALSE)</f>
        <v>76</v>
      </c>
      <c r="AG95" s="5">
        <f>VLOOKUP($A95,'SegEnds_NonXtal_Prot#'!$A:$AL,14,FALSE)</f>
        <v>80</v>
      </c>
      <c r="AH95" s="5">
        <f>VLOOKUP($A95,'SegEnds_NonXtal_Prot#'!$A:$AL,17,FALSE)</f>
        <v>116</v>
      </c>
      <c r="AI95" s="5">
        <f>VLOOKUP($A95,'SegEnds_NonXtal_Prot#'!$A:$AL,20,FALSE)</f>
        <v>124</v>
      </c>
      <c r="AJ95" s="5">
        <f>VLOOKUP($A95,'SegEnds_NonXtal_Prot#'!$A:$AL,23,FALSE)</f>
        <v>149</v>
      </c>
      <c r="AK95" s="5">
        <f>VLOOKUP($A95,'SegEnds_NonXtal_Prot#'!$A:$AL,26,FALSE)</f>
        <v>166</v>
      </c>
      <c r="AL95" s="5">
        <f>VLOOKUP($A95,'SegEnds_NonXtal_Prot#'!$A:$AL,29,FALSE)</f>
        <v>209</v>
      </c>
      <c r="AM95" s="5">
        <f>VLOOKUP($A95,'SegEnds_NonXtal_Prot#'!$A:$AL,32,FALSE)</f>
        <v>394</v>
      </c>
      <c r="AN95" s="5">
        <f>VLOOKUP($A95,'SegEnds_NonXtal_Prot#'!$A:$AL,35,FALSE)</f>
        <v>426</v>
      </c>
      <c r="AO95" s="5">
        <f>VLOOKUP($A95,'SegEnds_NonXtal_Prot#'!$A:$AL,38,FALSE)</f>
        <v>439</v>
      </c>
      <c r="AP95" s="5">
        <f t="shared" si="38"/>
        <v>31</v>
      </c>
      <c r="AQ95" s="4">
        <f t="shared" si="39"/>
        <v>3</v>
      </c>
      <c r="AR95" s="4">
        <f t="shared" si="40"/>
        <v>31</v>
      </c>
      <c r="AS95" s="4">
        <f t="shared" si="41"/>
        <v>3</v>
      </c>
      <c r="AT95" s="4">
        <f t="shared" si="42"/>
        <v>35</v>
      </c>
      <c r="AU95" s="4">
        <f t="shared" si="43"/>
        <v>7</v>
      </c>
      <c r="AV95" s="4">
        <f t="shared" si="44"/>
        <v>24</v>
      </c>
      <c r="AW95" s="4">
        <f t="shared" si="45"/>
        <v>2</v>
      </c>
      <c r="AX95" s="4">
        <f t="shared" si="46"/>
        <v>40</v>
      </c>
      <c r="AY95" s="4">
        <f t="shared" si="47"/>
        <v>37</v>
      </c>
      <c r="AZ95" s="4">
        <f t="shared" si="48"/>
        <v>25</v>
      </c>
      <c r="BA95" s="4">
        <f t="shared" si="49"/>
        <v>12</v>
      </c>
    </row>
    <row r="96" spans="1:53" x14ac:dyDescent="0.2">
      <c r="A96" s="1" t="str">
        <f>'SegEnds_NonXtal_Prot#'!A67</f>
        <v>ada2c_human</v>
      </c>
      <c r="B96" s="1" t="str">
        <f t="shared" si="25"/>
        <v>AGAVAGLAAVVGFLIVFTVVGNVLVVIAVLTSAPQNLFLVSLASADILVATLVMPFSLANELMAGQVWCGVYLALDVLFCTSSIVHLCAISLDRYWSVTQTPRRVKATIVAVWLISAVISFPPLVETWYILSSCIGSFFAPCLIMGLVYARIYRVAKLRTRTLSEKKVAQAREKRFTFVLAVVMGVFVLCWFPFFFSYSLYGICPGPLFKFFFWIGYCNSSLNPVIYTVFNQDFRRSFKHILF</v>
      </c>
      <c r="C96" s="29" t="str">
        <f>IF(ISERROR(MATCH(A96,'SegEnds_Xtal_Prot#'!B:B, 0)), "NoXtal", "Xtal")</f>
        <v>NoXtal</v>
      </c>
      <c r="D96" s="4" t="str">
        <f>VLOOKUP(A96,Classification!A:D,2,FALSE)</f>
        <v>A</v>
      </c>
      <c r="E96" s="5" t="str">
        <f>VLOOKUP(A96,Seqs!A:B,2,FALSE)</f>
        <v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v>
      </c>
      <c r="F96" s="5" t="str">
        <f t="shared" si="26"/>
        <v>AGAVAGLAAVVGFLIVFTVVGNVLVVIAVLTS</v>
      </c>
      <c r="G96" s="4" t="str">
        <f t="shared" si="27"/>
        <v>RALR</v>
      </c>
      <c r="H96" s="4" t="str">
        <f t="shared" si="28"/>
        <v>APQNLFLVSLASADILVATLVMPFSLANELMA</v>
      </c>
      <c r="I96" s="4" t="str">
        <f t="shared" si="29"/>
        <v>YWYF</v>
      </c>
      <c r="J96" s="4" t="str">
        <f t="shared" si="30"/>
        <v>GQVWCGVYLALDVLFCTSSIVHLCAISLDRYWSVTQ</v>
      </c>
      <c r="K96" s="4" t="str">
        <f t="shared" si="31"/>
        <v>AVEYNLKR</v>
      </c>
      <c r="L96" s="4" t="str">
        <f t="shared" si="32"/>
        <v>TPRRVKATIVAVWLISAVISFPPLV</v>
      </c>
      <c r="M96" s="4" t="str">
        <f t="shared" si="33"/>
        <v>CGL</v>
      </c>
      <c r="N96" s="4" t="str">
        <f t="shared" si="34"/>
        <v>ETWYILSSCIGSFFAPCLIMGLVYARIYRVAKLRTRTLSEK</v>
      </c>
      <c r="O96" s="4" t="str">
        <f t="shared" si="35"/>
        <v>KVAQAREKRFTFVLAVVMGVFVLCWFPFFFSYSLYGIC</v>
      </c>
      <c r="P96" s="4" t="str">
        <f t="shared" si="36"/>
        <v>PGPLFKFFFWIGYCNSSLNPVIYTVF</v>
      </c>
      <c r="Q96" s="4" t="str">
        <f t="shared" si="37"/>
        <v>NQDFRRSFKHILF</v>
      </c>
      <c r="R96" s="5">
        <f>VLOOKUP($A96,'SegEnds_NonXtal_Prot#'!$A:$AL,3,FALSE)</f>
        <v>48</v>
      </c>
      <c r="S96" s="5">
        <f>VLOOKUP($A96,'SegEnds_NonXtal_Prot#'!$A:$AL,6,FALSE)</f>
        <v>80</v>
      </c>
      <c r="T96" s="5">
        <f>VLOOKUP($A96,'SegEnds_NonXtal_Prot#'!$A:$AL,9,FALSE)</f>
        <v>84</v>
      </c>
      <c r="U96" s="5">
        <f>VLOOKUP($A96,'SegEnds_NonXtal_Prot#'!$A:$AL,12,FALSE)</f>
        <v>116</v>
      </c>
      <c r="V96" s="5">
        <f>VLOOKUP($A96,'SegEnds_NonXtal_Prot#'!$A:$AL,15,FALSE)</f>
        <v>120</v>
      </c>
      <c r="W96" s="5">
        <f>VLOOKUP($A96,'SegEnds_NonXtal_Prot#'!$A:$AL,18,FALSE)</f>
        <v>156</v>
      </c>
      <c r="X96" s="5">
        <f>VLOOKUP($A96,'SegEnds_NonXtal_Prot#'!$A:$AL,21,FALSE)</f>
        <v>164</v>
      </c>
      <c r="Y96" s="5">
        <f>VLOOKUP($A96,'SegEnds_NonXtal_Prot#'!$A:$AL,24,FALSE)</f>
        <v>202</v>
      </c>
      <c r="Z96" s="5">
        <f>VLOOKUP($A96,'SegEnds_NonXtal_Prot#'!$A:$AL,27,FALSE)</f>
        <v>207</v>
      </c>
      <c r="AA96" s="5">
        <f>VLOOKUP($A96,'SegEnds_NonXtal_Prot#'!$A:$AL,30,FALSE)</f>
        <v>371</v>
      </c>
      <c r="AB96" s="5">
        <f>VLOOKUP($A96,'SegEnds_NonXtal_Prot#'!$A:$AL,33,FALSE)</f>
        <v>415</v>
      </c>
      <c r="AC96" s="5">
        <f>VLOOKUP($A96,'SegEnds_NonXtal_Prot#'!$A:$AL,36,FALSE)</f>
        <v>441</v>
      </c>
      <c r="AD96" s="5">
        <f>VLOOKUP($A96,'SegEnds_NonXtal_Prot#'!$A:$AL,5,FALSE)</f>
        <v>79</v>
      </c>
      <c r="AE96" s="5">
        <f>VLOOKUP($A96,'SegEnds_NonXtal_Prot#'!$A:$AL,8,FALSE)</f>
        <v>83</v>
      </c>
      <c r="AF96" s="5">
        <f>VLOOKUP($A96,'SegEnds_NonXtal_Prot#'!$A:$AL,11,FALSE)</f>
        <v>115</v>
      </c>
      <c r="AG96" s="5">
        <f>VLOOKUP($A96,'SegEnds_NonXtal_Prot#'!$A:$AL,14,FALSE)</f>
        <v>119</v>
      </c>
      <c r="AH96" s="5">
        <f>VLOOKUP($A96,'SegEnds_NonXtal_Prot#'!$A:$AL,17,FALSE)</f>
        <v>155</v>
      </c>
      <c r="AI96" s="5">
        <f>VLOOKUP($A96,'SegEnds_NonXtal_Prot#'!$A:$AL,20,FALSE)</f>
        <v>163</v>
      </c>
      <c r="AJ96" s="5">
        <f>VLOOKUP($A96,'SegEnds_NonXtal_Prot#'!$A:$AL,23,FALSE)</f>
        <v>188</v>
      </c>
      <c r="AK96" s="5">
        <f>VLOOKUP($A96,'SegEnds_NonXtal_Prot#'!$A:$AL,26,FALSE)</f>
        <v>204</v>
      </c>
      <c r="AL96" s="5">
        <f>VLOOKUP($A96,'SegEnds_NonXtal_Prot#'!$A:$AL,29,FALSE)</f>
        <v>247</v>
      </c>
      <c r="AM96" s="5">
        <f>VLOOKUP($A96,'SegEnds_NonXtal_Prot#'!$A:$AL,32,FALSE)</f>
        <v>408</v>
      </c>
      <c r="AN96" s="5">
        <f>VLOOKUP($A96,'SegEnds_NonXtal_Prot#'!$A:$AL,35,FALSE)</f>
        <v>440</v>
      </c>
      <c r="AO96" s="5">
        <f>VLOOKUP($A96,'SegEnds_NonXtal_Prot#'!$A:$AL,38,FALSE)</f>
        <v>453</v>
      </c>
      <c r="AP96" s="5">
        <f t="shared" si="38"/>
        <v>31</v>
      </c>
      <c r="AQ96" s="4">
        <f t="shared" si="39"/>
        <v>3</v>
      </c>
      <c r="AR96" s="4">
        <f t="shared" si="40"/>
        <v>31</v>
      </c>
      <c r="AS96" s="4">
        <f t="shared" si="41"/>
        <v>3</v>
      </c>
      <c r="AT96" s="4">
        <f t="shared" si="42"/>
        <v>35</v>
      </c>
      <c r="AU96" s="4">
        <f t="shared" si="43"/>
        <v>7</v>
      </c>
      <c r="AV96" s="4">
        <f t="shared" si="44"/>
        <v>24</v>
      </c>
      <c r="AW96" s="4">
        <f t="shared" si="45"/>
        <v>2</v>
      </c>
      <c r="AX96" s="4">
        <f t="shared" si="46"/>
        <v>40</v>
      </c>
      <c r="AY96" s="4">
        <f t="shared" si="47"/>
        <v>37</v>
      </c>
      <c r="AZ96" s="4">
        <f t="shared" si="48"/>
        <v>25</v>
      </c>
      <c r="BA96" s="4">
        <f t="shared" si="49"/>
        <v>12</v>
      </c>
    </row>
    <row r="97" spans="1:53" x14ac:dyDescent="0.2">
      <c r="A97" s="1" t="str">
        <f>'SegEnds_NonXtal_Prot#'!A68</f>
        <v>adrb1_human</v>
      </c>
      <c r="B97" s="1" t="str">
        <f t="shared" si="25"/>
        <v>EPLSQQWTAGMGLLMALIVLLIVAGNVLVIVAIAKTTLTNLFIMSLASADLVMGLLVVPFGATIVVWGSFFCELWTSVDVLCVTASIETLCVIALDRYLAITSTRARARGLVCTVWAISALVSFLPILMHNRAYAIASSVVSFYVPLCIMAFVYLRVFREAQKQVKKIDSRLVALREQKALKTLGIIMGVFTLCWLPFFLANVVKAFHPDRLFVFFNWLGYANSAFNPIIYCRSPDFRKAFQRLLC</v>
      </c>
      <c r="C97" s="29" t="str">
        <f>IF(ISERROR(MATCH(A97,'SegEnds_Xtal_Prot#'!B:B, 0)), "NoXtal", "Xtal")</f>
        <v>NoXtal</v>
      </c>
      <c r="D97" s="4" t="str">
        <f>VLOOKUP(A97,Classification!A:D,2,FALSE)</f>
        <v>A</v>
      </c>
      <c r="E97" s="5" t="str">
        <f>VLOOKUP(A97,Seqs!A:B,2,FALSE)</f>
        <v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v>
      </c>
      <c r="F97" s="5" t="str">
        <f t="shared" si="26"/>
        <v>EPLSQQWTAGMGLLMALIVLLIVAGNVLVIVAIAKT</v>
      </c>
      <c r="G97" s="4" t="str">
        <f t="shared" si="27"/>
        <v>PRLQ</v>
      </c>
      <c r="H97" s="4" t="str">
        <f t="shared" si="28"/>
        <v>TLTNLFIMSLASADLVMGLLVVPFGATIVVW</v>
      </c>
      <c r="I97" s="4" t="str">
        <f t="shared" si="29"/>
        <v>RWEY</v>
      </c>
      <c r="J97" s="4" t="str">
        <f t="shared" si="30"/>
        <v>GSFFCELWTSVDVLCVTASIETLCVIALDRYLAITS</v>
      </c>
      <c r="K97" s="4" t="str">
        <f t="shared" si="31"/>
        <v>PFRYQSLL</v>
      </c>
      <c r="L97" s="4" t="str">
        <f t="shared" si="32"/>
        <v>TRARARGLVCTVWAISALVSFLPILMH</v>
      </c>
      <c r="M97" s="4" t="str">
        <f t="shared" si="33"/>
        <v>CDF</v>
      </c>
      <c r="N97" s="4" t="str">
        <f t="shared" si="34"/>
        <v>NRAYAIASSVVSFYVPLCIMAFVYLRVFREAQKQVKKIDS</v>
      </c>
      <c r="O97" s="4" t="str">
        <f t="shared" si="35"/>
        <v>RLVALREQKALKTLGIIMGVFTLCWLPFFLANVVKAFH</v>
      </c>
      <c r="P97" s="4" t="str">
        <f t="shared" si="36"/>
        <v>PDRLFVFFNWLGYANSAFNPIIYCR</v>
      </c>
      <c r="Q97" s="4" t="str">
        <f t="shared" si="37"/>
        <v>SPDFRKAFQRLLC</v>
      </c>
      <c r="R97" s="5">
        <f>VLOOKUP($A97,'SegEnds_NonXtal_Prot#'!$A:$AL,3,FALSE)</f>
        <v>51</v>
      </c>
      <c r="S97" s="5">
        <f>VLOOKUP($A97,'SegEnds_NonXtal_Prot#'!$A:$AL,6,FALSE)</f>
        <v>87</v>
      </c>
      <c r="T97" s="5">
        <f>VLOOKUP($A97,'SegEnds_NonXtal_Prot#'!$A:$AL,9,FALSE)</f>
        <v>91</v>
      </c>
      <c r="U97" s="5">
        <f>VLOOKUP($A97,'SegEnds_NonXtal_Prot#'!$A:$AL,12,FALSE)</f>
        <v>123</v>
      </c>
      <c r="V97" s="5">
        <f>VLOOKUP($A97,'SegEnds_NonXtal_Prot#'!$A:$AL,15,FALSE)</f>
        <v>127</v>
      </c>
      <c r="W97" s="5">
        <f>VLOOKUP($A97,'SegEnds_NonXtal_Prot#'!$A:$AL,18,FALSE)</f>
        <v>163</v>
      </c>
      <c r="X97" s="5">
        <f>VLOOKUP($A97,'SegEnds_NonXtal_Prot#'!$A:$AL,21,FALSE)</f>
        <v>171</v>
      </c>
      <c r="Y97" s="5">
        <f>VLOOKUP($A97,'SegEnds_NonXtal_Prot#'!$A:$AL,24,FALSE)</f>
        <v>216</v>
      </c>
      <c r="Z97" s="5">
        <f>VLOOKUP($A97,'SegEnds_NonXtal_Prot#'!$A:$AL,27,FALSE)</f>
        <v>221</v>
      </c>
      <c r="AA97" s="5">
        <f>VLOOKUP($A97,'SegEnds_NonXtal_Prot#'!$A:$AL,30,FALSE)</f>
        <v>313</v>
      </c>
      <c r="AB97" s="5">
        <f>VLOOKUP($A97,'SegEnds_NonXtal_Prot#'!$A:$AL,33,FALSE)</f>
        <v>355</v>
      </c>
      <c r="AC97" s="5">
        <f>VLOOKUP($A97,'SegEnds_NonXtal_Prot#'!$A:$AL,36,FALSE)</f>
        <v>380</v>
      </c>
      <c r="AD97" s="5">
        <f>VLOOKUP($A97,'SegEnds_NonXtal_Prot#'!$A:$AL,5,FALSE)</f>
        <v>86</v>
      </c>
      <c r="AE97" s="5">
        <f>VLOOKUP($A97,'SegEnds_NonXtal_Prot#'!$A:$AL,8,FALSE)</f>
        <v>90</v>
      </c>
      <c r="AF97" s="5">
        <f>VLOOKUP($A97,'SegEnds_NonXtal_Prot#'!$A:$AL,11,FALSE)</f>
        <v>121</v>
      </c>
      <c r="AG97" s="5">
        <f>VLOOKUP($A97,'SegEnds_NonXtal_Prot#'!$A:$AL,14,FALSE)</f>
        <v>126</v>
      </c>
      <c r="AH97" s="5">
        <f>VLOOKUP($A97,'SegEnds_NonXtal_Prot#'!$A:$AL,17,FALSE)</f>
        <v>162</v>
      </c>
      <c r="AI97" s="5">
        <f>VLOOKUP($A97,'SegEnds_NonXtal_Prot#'!$A:$AL,20,FALSE)</f>
        <v>170</v>
      </c>
      <c r="AJ97" s="5">
        <f>VLOOKUP($A97,'SegEnds_NonXtal_Prot#'!$A:$AL,23,FALSE)</f>
        <v>197</v>
      </c>
      <c r="AK97" s="5">
        <f>VLOOKUP($A97,'SegEnds_NonXtal_Prot#'!$A:$AL,26,FALSE)</f>
        <v>218</v>
      </c>
      <c r="AL97" s="5">
        <f>VLOOKUP($A97,'SegEnds_NonXtal_Prot#'!$A:$AL,29,FALSE)</f>
        <v>260</v>
      </c>
      <c r="AM97" s="5">
        <f>VLOOKUP($A97,'SegEnds_NonXtal_Prot#'!$A:$AL,32,FALSE)</f>
        <v>350</v>
      </c>
      <c r="AN97" s="5">
        <f>VLOOKUP($A97,'SegEnds_NonXtal_Prot#'!$A:$AL,35,FALSE)</f>
        <v>379</v>
      </c>
      <c r="AO97" s="5">
        <f>VLOOKUP($A97,'SegEnds_NonXtal_Prot#'!$A:$AL,38,FALSE)</f>
        <v>392</v>
      </c>
      <c r="AP97" s="5">
        <f t="shared" si="38"/>
        <v>35</v>
      </c>
      <c r="AQ97" s="4">
        <f t="shared" si="39"/>
        <v>3</v>
      </c>
      <c r="AR97" s="4">
        <f t="shared" si="40"/>
        <v>30</v>
      </c>
      <c r="AS97" s="4">
        <f t="shared" si="41"/>
        <v>3</v>
      </c>
      <c r="AT97" s="4">
        <f t="shared" si="42"/>
        <v>35</v>
      </c>
      <c r="AU97" s="4">
        <f t="shared" si="43"/>
        <v>7</v>
      </c>
      <c r="AV97" s="4">
        <f t="shared" si="44"/>
        <v>26</v>
      </c>
      <c r="AW97" s="4">
        <f t="shared" si="45"/>
        <v>2</v>
      </c>
      <c r="AX97" s="4">
        <f t="shared" si="46"/>
        <v>39</v>
      </c>
      <c r="AY97" s="4">
        <f t="shared" si="47"/>
        <v>37</v>
      </c>
      <c r="AZ97" s="4">
        <f t="shared" si="48"/>
        <v>24</v>
      </c>
      <c r="BA97" s="4">
        <f t="shared" si="49"/>
        <v>12</v>
      </c>
    </row>
    <row r="98" spans="1:53" x14ac:dyDescent="0.2">
      <c r="A98" s="1" t="str">
        <f>'SegEnds_NonXtal_Prot#'!A69</f>
        <v>adrb1_melga</v>
      </c>
      <c r="B98" s="1" t="str">
        <f t="shared" si="25"/>
        <v>AELLSQQWEAGMSLLMALVVLLIVAGNVLVIAAIGRTTLTNLFITSLACADLVMGLLVVPFGATLVVRGSFLCECWTSLDVLCVTASIETLCVIAIDRYLAITSTRARAKVIICTVWAISALVSFLPIMMHNRAYAIASSIISFYIPLLIMIFVYLRVYREAKEQIRKIDRCERKTSRVMAMREHKALKTLGIIMGVFTLCWLPFFLVNIVNVFNPDWLFVFFNWLGYANSAFNPIIYCRSPDFRKAFKRLLC</v>
      </c>
      <c r="C98" s="29" t="str">
        <f>IF(ISERROR(MATCH(A98,'SegEnds_Xtal_Prot#'!B:B, 0)), "NoXtal", "Xtal")</f>
        <v>Xtal</v>
      </c>
      <c r="D98" s="4" t="str">
        <f>VLOOKUP(A98,Classification!A:D,2,FALSE)</f>
        <v>A</v>
      </c>
      <c r="E98" s="5" t="str">
        <f>VLOOKUP(A98,Seqs!A:B,2,FALSE)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F98" s="5" t="str">
        <f t="shared" si="26"/>
        <v>AELLSQQWEAGMSLLMALVVLLIVAGNVLVIAAIGRT</v>
      </c>
      <c r="G98" s="4" t="str">
        <f t="shared" si="27"/>
        <v>QRLQ</v>
      </c>
      <c r="H98" s="4" t="str">
        <f t="shared" si="28"/>
        <v>TLTNLFITSLACADLVMGLLVVPFGATLVVR</v>
      </c>
      <c r="I98" s="4" t="str">
        <f t="shared" si="29"/>
        <v>TWLW</v>
      </c>
      <c r="J98" s="4" t="str">
        <f t="shared" si="30"/>
        <v>GSFLCECWTSLDVLCVTASIETLCVIAIDRYLAITS</v>
      </c>
      <c r="K98" s="4" t="str">
        <f t="shared" si="31"/>
        <v>PFRYQSLM</v>
      </c>
      <c r="L98" s="4" t="str">
        <f t="shared" si="32"/>
        <v>TRARAKVIICTVWAISALVSFLPIMMH</v>
      </c>
      <c r="M98" s="4" t="str">
        <f t="shared" si="33"/>
        <v>CDF</v>
      </c>
      <c r="N98" s="4" t="str">
        <f t="shared" si="34"/>
        <v>NRAYAIASSIISFYIPLLIMIFVYLRVYREAKEQIRKIDRCE</v>
      </c>
      <c r="O98" s="4" t="str">
        <f t="shared" si="35"/>
        <v>RKTSRVMAMREHKALKTLGIIMGVFTLCWLPFFLVNIVNVFN</v>
      </c>
      <c r="P98" s="4" t="str">
        <f t="shared" si="36"/>
        <v>PDWLFVFFNWLGYANSAFNPIIYCR</v>
      </c>
      <c r="Q98" s="4" t="str">
        <f t="shared" si="37"/>
        <v>SPDFRKAFKRLLC</v>
      </c>
      <c r="R98" s="5">
        <f>VLOOKUP($A98,'SegEnds_NonXtal_Prot#'!$A:$AL,3,FALSE)</f>
        <v>33</v>
      </c>
      <c r="S98" s="5">
        <f>VLOOKUP($A98,'SegEnds_NonXtal_Prot#'!$A:$AL,6,FALSE)</f>
        <v>70</v>
      </c>
      <c r="T98" s="5">
        <f>VLOOKUP($A98,'SegEnds_NonXtal_Prot#'!$A:$AL,9,FALSE)</f>
        <v>74</v>
      </c>
      <c r="U98" s="5">
        <f>VLOOKUP($A98,'SegEnds_NonXtal_Prot#'!$A:$AL,12,FALSE)</f>
        <v>106</v>
      </c>
      <c r="V98" s="5">
        <f>VLOOKUP($A98,'SegEnds_NonXtal_Prot#'!$A:$AL,15,FALSE)</f>
        <v>110</v>
      </c>
      <c r="W98" s="5">
        <f>VLOOKUP($A98,'SegEnds_NonXtal_Prot#'!$A:$AL,18,FALSE)</f>
        <v>146</v>
      </c>
      <c r="X98" s="5">
        <f>VLOOKUP($A98,'SegEnds_NonXtal_Prot#'!$A:$AL,21,FALSE)</f>
        <v>154</v>
      </c>
      <c r="Y98" s="5">
        <f>VLOOKUP($A98,'SegEnds_NonXtal_Prot#'!$A:$AL,24,FALSE)</f>
        <v>199</v>
      </c>
      <c r="Z98" s="5">
        <f>VLOOKUP($A98,'SegEnds_NonXtal_Prot#'!$A:$AL,27,FALSE)</f>
        <v>204</v>
      </c>
      <c r="AA98" s="5">
        <f>VLOOKUP($A98,'SegEnds_NonXtal_Prot#'!$A:$AL,30,FALSE)</f>
        <v>275</v>
      </c>
      <c r="AB98" s="5">
        <f>VLOOKUP($A98,'SegEnds_NonXtal_Prot#'!$A:$AL,33,FALSE)</f>
        <v>321</v>
      </c>
      <c r="AC98" s="5">
        <f>VLOOKUP($A98,'SegEnds_NonXtal_Prot#'!$A:$AL,36,FALSE)</f>
        <v>346</v>
      </c>
      <c r="AD98" s="5">
        <f>VLOOKUP($A98,'SegEnds_NonXtal_Prot#'!$A:$AL,5,FALSE)</f>
        <v>69</v>
      </c>
      <c r="AE98" s="5">
        <f>VLOOKUP($A98,'SegEnds_NonXtal_Prot#'!$A:$AL,8,FALSE)</f>
        <v>73</v>
      </c>
      <c r="AF98" s="5">
        <f>VLOOKUP($A98,'SegEnds_NonXtal_Prot#'!$A:$AL,11,FALSE)</f>
        <v>104</v>
      </c>
      <c r="AG98" s="5">
        <f>VLOOKUP($A98,'SegEnds_NonXtal_Prot#'!$A:$AL,14,FALSE)</f>
        <v>109</v>
      </c>
      <c r="AH98" s="5">
        <f>VLOOKUP($A98,'SegEnds_NonXtal_Prot#'!$A:$AL,17,FALSE)</f>
        <v>145</v>
      </c>
      <c r="AI98" s="5">
        <f>VLOOKUP($A98,'SegEnds_NonXtal_Prot#'!$A:$AL,20,FALSE)</f>
        <v>153</v>
      </c>
      <c r="AJ98" s="5">
        <f>VLOOKUP($A98,'SegEnds_NonXtal_Prot#'!$A:$AL,23,FALSE)</f>
        <v>180</v>
      </c>
      <c r="AK98" s="5">
        <f>VLOOKUP($A98,'SegEnds_NonXtal_Prot#'!$A:$AL,26,FALSE)</f>
        <v>201</v>
      </c>
      <c r="AL98" s="5">
        <f>VLOOKUP($A98,'SegEnds_NonXtal_Prot#'!$A:$AL,29,FALSE)</f>
        <v>245</v>
      </c>
      <c r="AM98" s="5">
        <f>VLOOKUP($A98,'SegEnds_NonXtal_Prot#'!$A:$AL,32,FALSE)</f>
        <v>316</v>
      </c>
      <c r="AN98" s="5">
        <f>VLOOKUP($A98,'SegEnds_NonXtal_Prot#'!$A:$AL,35,FALSE)</f>
        <v>345</v>
      </c>
      <c r="AO98" s="5">
        <f>VLOOKUP($A98,'SegEnds_NonXtal_Prot#'!$A:$AL,38,FALSE)</f>
        <v>358</v>
      </c>
      <c r="AP98" s="5">
        <f t="shared" si="38"/>
        <v>36</v>
      </c>
      <c r="AQ98" s="4">
        <f t="shared" si="39"/>
        <v>3</v>
      </c>
      <c r="AR98" s="4">
        <f t="shared" si="40"/>
        <v>30</v>
      </c>
      <c r="AS98" s="4">
        <f t="shared" si="41"/>
        <v>3</v>
      </c>
      <c r="AT98" s="4">
        <f t="shared" si="42"/>
        <v>35</v>
      </c>
      <c r="AU98" s="4">
        <f t="shared" si="43"/>
        <v>7</v>
      </c>
      <c r="AV98" s="4">
        <f t="shared" si="44"/>
        <v>26</v>
      </c>
      <c r="AW98" s="4">
        <f t="shared" si="45"/>
        <v>2</v>
      </c>
      <c r="AX98" s="4">
        <f t="shared" si="46"/>
        <v>41</v>
      </c>
      <c r="AY98" s="4">
        <f t="shared" si="47"/>
        <v>41</v>
      </c>
      <c r="AZ98" s="4">
        <f t="shared" si="48"/>
        <v>24</v>
      </c>
      <c r="BA98" s="4">
        <f t="shared" si="49"/>
        <v>12</v>
      </c>
    </row>
    <row r="99" spans="1:53" x14ac:dyDescent="0.2">
      <c r="A99" s="1" t="str">
        <f>'SegEnds_NonXtal_Prot#'!A70</f>
        <v>adrb2_human</v>
      </c>
      <c r="B99" s="1" t="str">
        <f t="shared" si="25"/>
        <v>QERDEVWVVGMGIVMSLIVLAIVFGNVLVITAIAKFTVTNYFITSLACADLVMGLAVVPFGAAHILMGNFWCEFWTSIDVLCVTASIETLCVIAVDRYFAITSTKNKARVIILMVWIVSGLTSFLPIQMHNQAYAIASSIVSFYVPLVIMVFVYSRVFQEAKRQLQKIDKSESKFCLKEHKALKTLGIIMGTFTLCWLPFFIVNIVHVIQRKEVYILLNWIGYVNSGFNPLIYCRSPDFRIAFQELLC</v>
      </c>
      <c r="C99" s="29" t="str">
        <f>IF(ISERROR(MATCH(A99,'SegEnds_Xtal_Prot#'!B:B, 0)), "NoXtal", "Xtal")</f>
        <v>Xtal</v>
      </c>
      <c r="D99" s="4" t="str">
        <f>VLOOKUP(A99,Classification!A:D,2,FALSE)</f>
        <v>A</v>
      </c>
      <c r="E99" s="5" t="str">
        <f>VLOOKUP(A99,Seqs!A:B,2,FALSE)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F99" s="5" t="str">
        <f t="shared" si="26"/>
        <v>QERDEVWVVGMGIVMSLIVLAIVFGNVLVITAIAKF</v>
      </c>
      <c r="G99" s="4" t="str">
        <f t="shared" si="27"/>
        <v>ERLQ</v>
      </c>
      <c r="H99" s="4" t="str">
        <f t="shared" si="28"/>
        <v>TVTNYFITSLACADLVMGLAVVPFGAAHILM</v>
      </c>
      <c r="I99" s="4" t="str">
        <f t="shared" si="29"/>
        <v>MWTF</v>
      </c>
      <c r="J99" s="4" t="str">
        <f t="shared" si="30"/>
        <v>GNFWCEFWTSIDVLCVTASIETLCVIAVDRYFAITS</v>
      </c>
      <c r="K99" s="4" t="str">
        <f t="shared" si="31"/>
        <v>PFKYQSLL</v>
      </c>
      <c r="L99" s="4" t="str">
        <f t="shared" si="32"/>
        <v>TKNKARVIILMVWIVSGLTSFLPIQMH</v>
      </c>
      <c r="M99" s="4" t="str">
        <f t="shared" si="33"/>
        <v>CDF</v>
      </c>
      <c r="N99" s="4" t="str">
        <f t="shared" si="34"/>
        <v>NQAYAIASSIVSFYVPLVIMVFVYSRVFQEAKRQLQKIDKSE</v>
      </c>
      <c r="O99" s="4" t="str">
        <f t="shared" si="35"/>
        <v>SKFCLKEHKALKTLGIIMGTFTLCWLPFFIVNIVHVIQ</v>
      </c>
      <c r="P99" s="4" t="str">
        <f t="shared" si="36"/>
        <v>RKEVYILLNWIGYVNSGFNPLIYCR</v>
      </c>
      <c r="Q99" s="4" t="str">
        <f t="shared" si="37"/>
        <v>SPDFRIAFQELLC</v>
      </c>
      <c r="R99" s="5">
        <f>VLOOKUP($A99,'SegEnds_NonXtal_Prot#'!$A:$AL,3,FALSE)</f>
        <v>26</v>
      </c>
      <c r="S99" s="5">
        <f>VLOOKUP($A99,'SegEnds_NonXtal_Prot#'!$A:$AL,6,FALSE)</f>
        <v>62</v>
      </c>
      <c r="T99" s="5">
        <f>VLOOKUP($A99,'SegEnds_NonXtal_Prot#'!$A:$AL,9,FALSE)</f>
        <v>66</v>
      </c>
      <c r="U99" s="5">
        <f>VLOOKUP($A99,'SegEnds_NonXtal_Prot#'!$A:$AL,12,FALSE)</f>
        <v>98</v>
      </c>
      <c r="V99" s="5">
        <f>VLOOKUP($A99,'SegEnds_NonXtal_Prot#'!$A:$AL,15,FALSE)</f>
        <v>102</v>
      </c>
      <c r="W99" s="5">
        <f>VLOOKUP($A99,'SegEnds_NonXtal_Prot#'!$A:$AL,18,FALSE)</f>
        <v>138</v>
      </c>
      <c r="X99" s="5">
        <f>VLOOKUP($A99,'SegEnds_NonXtal_Prot#'!$A:$AL,21,FALSE)</f>
        <v>146</v>
      </c>
      <c r="Y99" s="5">
        <f>VLOOKUP($A99,'SegEnds_NonXtal_Prot#'!$A:$AL,24,FALSE)</f>
        <v>191</v>
      </c>
      <c r="Z99" s="5">
        <f>VLOOKUP($A99,'SegEnds_NonXtal_Prot#'!$A:$AL,27,FALSE)</f>
        <v>196</v>
      </c>
      <c r="AA99" s="5">
        <f>VLOOKUP($A99,'SegEnds_NonXtal_Prot#'!$A:$AL,30,FALSE)</f>
        <v>262</v>
      </c>
      <c r="AB99" s="5">
        <f>VLOOKUP($A99,'SegEnds_NonXtal_Prot#'!$A:$AL,33,FALSE)</f>
        <v>304</v>
      </c>
      <c r="AC99" s="5">
        <f>VLOOKUP($A99,'SegEnds_NonXtal_Prot#'!$A:$AL,36,FALSE)</f>
        <v>329</v>
      </c>
      <c r="AD99" s="5">
        <f>VLOOKUP($A99,'SegEnds_NonXtal_Prot#'!$A:$AL,5,FALSE)</f>
        <v>61</v>
      </c>
      <c r="AE99" s="5">
        <f>VLOOKUP($A99,'SegEnds_NonXtal_Prot#'!$A:$AL,8,FALSE)</f>
        <v>65</v>
      </c>
      <c r="AF99" s="5">
        <f>VLOOKUP($A99,'SegEnds_NonXtal_Prot#'!$A:$AL,11,FALSE)</f>
        <v>96</v>
      </c>
      <c r="AG99" s="5">
        <f>VLOOKUP($A99,'SegEnds_NonXtal_Prot#'!$A:$AL,14,FALSE)</f>
        <v>101</v>
      </c>
      <c r="AH99" s="5">
        <f>VLOOKUP($A99,'SegEnds_NonXtal_Prot#'!$A:$AL,17,FALSE)</f>
        <v>137</v>
      </c>
      <c r="AI99" s="5">
        <f>VLOOKUP($A99,'SegEnds_NonXtal_Prot#'!$A:$AL,20,FALSE)</f>
        <v>145</v>
      </c>
      <c r="AJ99" s="5">
        <f>VLOOKUP($A99,'SegEnds_NonXtal_Prot#'!$A:$AL,23,FALSE)</f>
        <v>172</v>
      </c>
      <c r="AK99" s="5">
        <f>VLOOKUP($A99,'SegEnds_NonXtal_Prot#'!$A:$AL,26,FALSE)</f>
        <v>193</v>
      </c>
      <c r="AL99" s="5">
        <f>VLOOKUP($A99,'SegEnds_NonXtal_Prot#'!$A:$AL,29,FALSE)</f>
        <v>237</v>
      </c>
      <c r="AM99" s="5">
        <f>VLOOKUP($A99,'SegEnds_NonXtal_Prot#'!$A:$AL,32,FALSE)</f>
        <v>299</v>
      </c>
      <c r="AN99" s="5">
        <f>VLOOKUP($A99,'SegEnds_NonXtal_Prot#'!$A:$AL,35,FALSE)</f>
        <v>328</v>
      </c>
      <c r="AO99" s="5">
        <f>VLOOKUP($A99,'SegEnds_NonXtal_Prot#'!$A:$AL,38,FALSE)</f>
        <v>341</v>
      </c>
      <c r="AP99" s="5">
        <f t="shared" si="38"/>
        <v>35</v>
      </c>
      <c r="AQ99" s="4">
        <f t="shared" si="39"/>
        <v>3</v>
      </c>
      <c r="AR99" s="4">
        <f t="shared" si="40"/>
        <v>30</v>
      </c>
      <c r="AS99" s="4">
        <f t="shared" si="41"/>
        <v>3</v>
      </c>
      <c r="AT99" s="4">
        <f t="shared" si="42"/>
        <v>35</v>
      </c>
      <c r="AU99" s="4">
        <f t="shared" si="43"/>
        <v>7</v>
      </c>
      <c r="AV99" s="4">
        <f t="shared" si="44"/>
        <v>26</v>
      </c>
      <c r="AW99" s="4">
        <f t="shared" si="45"/>
        <v>2</v>
      </c>
      <c r="AX99" s="4">
        <f t="shared" si="46"/>
        <v>41</v>
      </c>
      <c r="AY99" s="4">
        <f t="shared" si="47"/>
        <v>37</v>
      </c>
      <c r="AZ99" s="4">
        <f t="shared" si="48"/>
        <v>24</v>
      </c>
      <c r="BA99" s="4">
        <f t="shared" si="49"/>
        <v>12</v>
      </c>
    </row>
    <row r="100" spans="1:53" x14ac:dyDescent="0.2">
      <c r="A100" s="1" t="str">
        <f>'SegEnds_NonXtal_Prot#'!A71</f>
        <v>adrb3_human</v>
      </c>
      <c r="B100" s="1" t="str">
        <f t="shared" si="25"/>
        <v>LPGVPWEAALAGALLALAVLATVGGNLLVIVAIAWTTMTNVFVTSLAAADLVMGLLVVPPAATLALTGATGCELWTSVDVLCVTASIETLCALAVDRYLAVTNTKRCARTAVVLVWVVSAAVSFAPIMSQNMPYVLLSSSVSFYLPLLVMLFVYARVFVVATRQLRLLRGELRLLPLREHRALCTLGLIMGTFTLCWLPFFLANVLRALGPGPAFLALNWLGYANSAFNPLIYCRSPDFRSAFRRLLC</v>
      </c>
      <c r="C100" s="29" t="str">
        <f>IF(ISERROR(MATCH(A100,'SegEnds_Xtal_Prot#'!B:B, 0)), "NoXtal", "Xtal")</f>
        <v>NoXtal</v>
      </c>
      <c r="D100" s="4" t="str">
        <f>VLOOKUP(A100,Classification!A:D,2,FALSE)</f>
        <v>A</v>
      </c>
      <c r="E100" s="5" t="str">
        <f>VLOOKUP(A100,Seqs!A:B,2,FALSE)</f>
        <v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v>
      </c>
      <c r="F100" s="5" t="str">
        <f t="shared" si="26"/>
        <v>LPGVPWEAALAGALLALAVLATVGGNLLVIVAIAWT</v>
      </c>
      <c r="G100" s="4" t="str">
        <f t="shared" si="27"/>
        <v>PRLQ</v>
      </c>
      <c r="H100" s="4" t="str">
        <f t="shared" si="28"/>
        <v>TMTNVFVTSLAAADLVMGLLVVPPAATLALT</v>
      </c>
      <c r="I100" s="4" t="str">
        <f t="shared" si="29"/>
        <v>HWPL</v>
      </c>
      <c r="J100" s="4" t="str">
        <f t="shared" si="30"/>
        <v>GATGCELWTSVDVLCVTASIETLCALAVDRYLAVTN</v>
      </c>
      <c r="K100" s="4" t="str">
        <f t="shared" si="31"/>
        <v>PLRYGALV</v>
      </c>
      <c r="L100" s="4" t="str">
        <f t="shared" si="32"/>
        <v>TKRCARTAVVLVWVVSAAVSFAPIMSQ</v>
      </c>
      <c r="M100" s="4" t="str">
        <f t="shared" si="33"/>
        <v>CAF</v>
      </c>
      <c r="N100" s="4" t="str">
        <f t="shared" si="34"/>
        <v>NMPYVLLSSSVSFYLPLLVMLFVYARVFVVATRQLRLLRGEL</v>
      </c>
      <c r="O100" s="4" t="str">
        <f t="shared" si="35"/>
        <v>RLLPLREHRALCTLGLIMGTFTLCWLPFFLANVLRALG</v>
      </c>
      <c r="P100" s="4" t="str">
        <f t="shared" si="36"/>
        <v>PGPAFLALNWLGYANSAFNPLIYCR</v>
      </c>
      <c r="Q100" s="4" t="str">
        <f t="shared" si="37"/>
        <v>SPDFRSAFRRLLC</v>
      </c>
      <c r="R100" s="5">
        <f>VLOOKUP($A100,'SegEnds_NonXtal_Prot#'!$A:$AL,3,FALSE)</f>
        <v>30</v>
      </c>
      <c r="S100" s="5">
        <f>VLOOKUP($A100,'SegEnds_NonXtal_Prot#'!$A:$AL,6,FALSE)</f>
        <v>66</v>
      </c>
      <c r="T100" s="5">
        <f>VLOOKUP($A100,'SegEnds_NonXtal_Prot#'!$A:$AL,9,FALSE)</f>
        <v>70</v>
      </c>
      <c r="U100" s="5">
        <f>VLOOKUP($A100,'SegEnds_NonXtal_Prot#'!$A:$AL,12,FALSE)</f>
        <v>102</v>
      </c>
      <c r="V100" s="5">
        <f>VLOOKUP($A100,'SegEnds_NonXtal_Prot#'!$A:$AL,15,FALSE)</f>
        <v>106</v>
      </c>
      <c r="W100" s="5">
        <f>VLOOKUP($A100,'SegEnds_NonXtal_Prot#'!$A:$AL,18,FALSE)</f>
        <v>142</v>
      </c>
      <c r="X100" s="5">
        <f>VLOOKUP($A100,'SegEnds_NonXtal_Prot#'!$A:$AL,21,FALSE)</f>
        <v>150</v>
      </c>
      <c r="Y100" s="5">
        <f>VLOOKUP($A100,'SegEnds_NonXtal_Prot#'!$A:$AL,24,FALSE)</f>
        <v>196</v>
      </c>
      <c r="Z100" s="5">
        <f>VLOOKUP($A100,'SegEnds_NonXtal_Prot#'!$A:$AL,27,FALSE)</f>
        <v>201</v>
      </c>
      <c r="AA100" s="5">
        <f>VLOOKUP($A100,'SegEnds_NonXtal_Prot#'!$A:$AL,30,FALSE)</f>
        <v>281</v>
      </c>
      <c r="AB100" s="5">
        <f>VLOOKUP($A100,'SegEnds_NonXtal_Prot#'!$A:$AL,33,FALSE)</f>
        <v>324</v>
      </c>
      <c r="AC100" s="5">
        <f>VLOOKUP($A100,'SegEnds_NonXtal_Prot#'!$A:$AL,36,FALSE)</f>
        <v>349</v>
      </c>
      <c r="AD100" s="5">
        <f>VLOOKUP($A100,'SegEnds_NonXtal_Prot#'!$A:$AL,5,FALSE)</f>
        <v>65</v>
      </c>
      <c r="AE100" s="5">
        <f>VLOOKUP($A100,'SegEnds_NonXtal_Prot#'!$A:$AL,8,FALSE)</f>
        <v>69</v>
      </c>
      <c r="AF100" s="5">
        <f>VLOOKUP($A100,'SegEnds_NonXtal_Prot#'!$A:$AL,11,FALSE)</f>
        <v>100</v>
      </c>
      <c r="AG100" s="5">
        <f>VLOOKUP($A100,'SegEnds_NonXtal_Prot#'!$A:$AL,14,FALSE)</f>
        <v>105</v>
      </c>
      <c r="AH100" s="5">
        <f>VLOOKUP($A100,'SegEnds_NonXtal_Prot#'!$A:$AL,17,FALSE)</f>
        <v>141</v>
      </c>
      <c r="AI100" s="5">
        <f>VLOOKUP($A100,'SegEnds_NonXtal_Prot#'!$A:$AL,20,FALSE)</f>
        <v>149</v>
      </c>
      <c r="AJ100" s="5">
        <f>VLOOKUP($A100,'SegEnds_NonXtal_Prot#'!$A:$AL,23,FALSE)</f>
        <v>176</v>
      </c>
      <c r="AK100" s="5">
        <f>VLOOKUP($A100,'SegEnds_NonXtal_Prot#'!$A:$AL,26,FALSE)</f>
        <v>198</v>
      </c>
      <c r="AL100" s="5">
        <f>VLOOKUP($A100,'SegEnds_NonXtal_Prot#'!$A:$AL,29,FALSE)</f>
        <v>242</v>
      </c>
      <c r="AM100" s="5">
        <f>VLOOKUP($A100,'SegEnds_NonXtal_Prot#'!$A:$AL,32,FALSE)</f>
        <v>318</v>
      </c>
      <c r="AN100" s="5">
        <f>VLOOKUP($A100,'SegEnds_NonXtal_Prot#'!$A:$AL,35,FALSE)</f>
        <v>348</v>
      </c>
      <c r="AO100" s="5">
        <f>VLOOKUP($A100,'SegEnds_NonXtal_Prot#'!$A:$AL,38,FALSE)</f>
        <v>361</v>
      </c>
      <c r="AP100" s="5">
        <f t="shared" si="38"/>
        <v>35</v>
      </c>
      <c r="AQ100" s="4">
        <f t="shared" si="39"/>
        <v>3</v>
      </c>
      <c r="AR100" s="4">
        <f t="shared" si="40"/>
        <v>30</v>
      </c>
      <c r="AS100" s="4">
        <f t="shared" si="41"/>
        <v>3</v>
      </c>
      <c r="AT100" s="4">
        <f t="shared" si="42"/>
        <v>35</v>
      </c>
      <c r="AU100" s="4">
        <f t="shared" si="43"/>
        <v>7</v>
      </c>
      <c r="AV100" s="4">
        <f t="shared" si="44"/>
        <v>26</v>
      </c>
      <c r="AW100" s="4">
        <f t="shared" si="45"/>
        <v>2</v>
      </c>
      <c r="AX100" s="4">
        <f t="shared" si="46"/>
        <v>41</v>
      </c>
      <c r="AY100" s="4">
        <f t="shared" si="47"/>
        <v>37</v>
      </c>
      <c r="AZ100" s="4">
        <f t="shared" si="48"/>
        <v>24</v>
      </c>
      <c r="BA100" s="4">
        <f t="shared" si="49"/>
        <v>12</v>
      </c>
    </row>
    <row r="101" spans="1:53" x14ac:dyDescent="0.2">
      <c r="A101" s="1" t="str">
        <f>'SegEnds_NonXtal_Prot#'!A72</f>
        <v>agtr1_human</v>
      </c>
      <c r="B101" s="1" t="str">
        <f t="shared" si="25"/>
        <v>YIFVMIPTLYSIIFVVGIFGNSLVVIVIYFYTVASVFLLNLALADLCFLLTLPLWAVYTAMGNYLCKIASASVSFNLYASVFLLTCLSIDRYLAIVHTMLVAKVTCIIIWLLAGLASLPAIIHRLPIGLGLTKNILGFLFPFLIILTSYTLIWKALKKAQKNKPRNDDIFKIIMAIVLFFFFSWIPHQIFTFLDVLIQLGDCRIADIVDTAMPITICIAYFNNCLNPLFYGFLGKKFKRYFLQLLKYI</v>
      </c>
      <c r="C101" s="29" t="str">
        <f>IF(ISERROR(MATCH(A101,'SegEnds_Xtal_Prot#'!B:B, 0)), "NoXtal", "Xtal")</f>
        <v>Xtal</v>
      </c>
      <c r="D101" s="4" t="str">
        <f>VLOOKUP(A101,Classification!A:D,2,FALSE)</f>
        <v>A</v>
      </c>
      <c r="E101" s="5" t="str">
        <f>VLOOKUP(A101,Seqs!A:B,2,FALSE)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F101" s="5" t="str">
        <f t="shared" si="26"/>
        <v>YIFVMIPTLYSIIFVVGIFGNSLVVIVIYFY</v>
      </c>
      <c r="G101" s="4" t="str">
        <f t="shared" si="27"/>
        <v>MKLK</v>
      </c>
      <c r="H101" s="4" t="str">
        <f t="shared" si="28"/>
        <v>TVASVFLLNLALADLCFLLTLPLWAVYTAM</v>
      </c>
      <c r="I101" s="4" t="str">
        <f t="shared" si="29"/>
        <v>RWPF</v>
      </c>
      <c r="J101" s="4" t="str">
        <f t="shared" si="30"/>
        <v>GNYLCKIASASVSFNLYASVFLLTCLSIDRYLAIVH</v>
      </c>
      <c r="K101" s="4" t="str">
        <f t="shared" si="31"/>
        <v>PMKSRLRR</v>
      </c>
      <c r="L101" s="4" t="str">
        <f t="shared" si="32"/>
        <v>TMLVAKVTCIIIWLLAGLASLPAIIHR</v>
      </c>
      <c r="M101" s="4" t="str">
        <f t="shared" si="33"/>
        <v>CAF</v>
      </c>
      <c r="N101" s="4" t="str">
        <f t="shared" si="34"/>
        <v>LPIGLGLTKNILGFLFPFLIILTSYTLIWKALKKA</v>
      </c>
      <c r="O101" s="4" t="str">
        <f t="shared" si="35"/>
        <v>QKNKPRNDDIFKIIMAIVLFFFFSWIPHQIFTFLDVLIQLG</v>
      </c>
      <c r="P101" s="4" t="str">
        <f t="shared" si="36"/>
        <v>DCRIADIVDTAMPITICIAYFNNCLNPLFYGFL</v>
      </c>
      <c r="Q101" s="4" t="str">
        <f t="shared" si="37"/>
        <v>GKKFKRYFLQLLKYI</v>
      </c>
      <c r="R101" s="5">
        <f>VLOOKUP($A101,'SegEnds_NonXtal_Prot#'!$A:$AL,3,FALSE)</f>
        <v>26</v>
      </c>
      <c r="S101" s="5">
        <f>VLOOKUP($A101,'SegEnds_NonXtal_Prot#'!$A:$AL,6,FALSE)</f>
        <v>57</v>
      </c>
      <c r="T101" s="5">
        <f>VLOOKUP($A101,'SegEnds_NonXtal_Prot#'!$A:$AL,9,FALSE)</f>
        <v>61</v>
      </c>
      <c r="U101" s="5">
        <f>VLOOKUP($A101,'SegEnds_NonXtal_Prot#'!$A:$AL,12,FALSE)</f>
        <v>93</v>
      </c>
      <c r="V101" s="5">
        <f>VLOOKUP($A101,'SegEnds_NonXtal_Prot#'!$A:$AL,15,FALSE)</f>
        <v>97</v>
      </c>
      <c r="W101" s="5">
        <f>VLOOKUP($A101,'SegEnds_NonXtal_Prot#'!$A:$AL,18,FALSE)</f>
        <v>133</v>
      </c>
      <c r="X101" s="5">
        <f>VLOOKUP($A101,'SegEnds_NonXtal_Prot#'!$A:$AL,21,FALSE)</f>
        <v>141</v>
      </c>
      <c r="Y101" s="5">
        <f>VLOOKUP($A101,'SegEnds_NonXtal_Prot#'!$A:$AL,24,FALSE)</f>
        <v>180</v>
      </c>
      <c r="Z101" s="5">
        <f>VLOOKUP($A101,'SegEnds_NonXtal_Prot#'!$A:$AL,27,FALSE)</f>
        <v>191</v>
      </c>
      <c r="AA101" s="5">
        <f>VLOOKUP($A101,'SegEnds_NonXtal_Prot#'!$A:$AL,30,FALSE)</f>
        <v>229</v>
      </c>
      <c r="AB101" s="5">
        <f>VLOOKUP($A101,'SegEnds_NonXtal_Prot#'!$A:$AL,33,FALSE)</f>
        <v>273</v>
      </c>
      <c r="AC101" s="5">
        <f>VLOOKUP($A101,'SegEnds_NonXtal_Prot#'!$A:$AL,36,FALSE)</f>
        <v>306</v>
      </c>
      <c r="AD101" s="5">
        <f>VLOOKUP($A101,'SegEnds_NonXtal_Prot#'!$A:$AL,5,FALSE)</f>
        <v>56</v>
      </c>
      <c r="AE101" s="5">
        <f>VLOOKUP($A101,'SegEnds_NonXtal_Prot#'!$A:$AL,8,FALSE)</f>
        <v>60</v>
      </c>
      <c r="AF101" s="5">
        <f>VLOOKUP($A101,'SegEnds_NonXtal_Prot#'!$A:$AL,11,FALSE)</f>
        <v>90</v>
      </c>
      <c r="AG101" s="5">
        <f>VLOOKUP($A101,'SegEnds_NonXtal_Prot#'!$A:$AL,14,FALSE)</f>
        <v>96</v>
      </c>
      <c r="AH101" s="5">
        <f>VLOOKUP($A101,'SegEnds_NonXtal_Prot#'!$A:$AL,17,FALSE)</f>
        <v>132</v>
      </c>
      <c r="AI101" s="5">
        <f>VLOOKUP($A101,'SegEnds_NonXtal_Prot#'!$A:$AL,20,FALSE)</f>
        <v>140</v>
      </c>
      <c r="AJ101" s="5">
        <f>VLOOKUP($A101,'SegEnds_NonXtal_Prot#'!$A:$AL,23,FALSE)</f>
        <v>167</v>
      </c>
      <c r="AK101" s="5">
        <f>VLOOKUP($A101,'SegEnds_NonXtal_Prot#'!$A:$AL,26,FALSE)</f>
        <v>182</v>
      </c>
      <c r="AL101" s="5">
        <f>VLOOKUP($A101,'SegEnds_NonXtal_Prot#'!$A:$AL,29,FALSE)</f>
        <v>225</v>
      </c>
      <c r="AM101" s="5">
        <f>VLOOKUP($A101,'SegEnds_NonXtal_Prot#'!$A:$AL,32,FALSE)</f>
        <v>269</v>
      </c>
      <c r="AN101" s="5">
        <f>VLOOKUP($A101,'SegEnds_NonXtal_Prot#'!$A:$AL,35,FALSE)</f>
        <v>305</v>
      </c>
      <c r="AO101" s="5">
        <f>VLOOKUP($A101,'SegEnds_NonXtal_Prot#'!$A:$AL,38,FALSE)</f>
        <v>320</v>
      </c>
      <c r="AP101" s="5">
        <f t="shared" si="38"/>
        <v>30</v>
      </c>
      <c r="AQ101" s="4">
        <f t="shared" si="39"/>
        <v>3</v>
      </c>
      <c r="AR101" s="4">
        <f t="shared" si="40"/>
        <v>29</v>
      </c>
      <c r="AS101" s="4">
        <f t="shared" si="41"/>
        <v>3</v>
      </c>
      <c r="AT101" s="4">
        <f t="shared" si="42"/>
        <v>35</v>
      </c>
      <c r="AU101" s="4">
        <f t="shared" si="43"/>
        <v>7</v>
      </c>
      <c r="AV101" s="4">
        <f t="shared" si="44"/>
        <v>26</v>
      </c>
      <c r="AW101" s="4">
        <f t="shared" si="45"/>
        <v>2</v>
      </c>
      <c r="AX101" s="4">
        <f t="shared" si="46"/>
        <v>34</v>
      </c>
      <c r="AY101" s="4">
        <f t="shared" si="47"/>
        <v>40</v>
      </c>
      <c r="AZ101" s="4">
        <f t="shared" si="48"/>
        <v>32</v>
      </c>
      <c r="BA101" s="4">
        <f t="shared" si="49"/>
        <v>14</v>
      </c>
    </row>
    <row r="102" spans="1:53" x14ac:dyDescent="0.2">
      <c r="A102" s="1" t="str">
        <f>'SegEnds_NonXtal_Prot#'!A73</f>
        <v>apj_human</v>
      </c>
      <c r="B102" s="1" t="str">
        <f t="shared" si="25"/>
        <v>ALIPAIYMLVFLLGTTGNGLVLWTVFRSRSADIFIASLAVADLTFVVTLPLWATYTYRDGTFFCKLSSYLIFVNMYASVFCLTGLSFDRYLAIVRLRVSGAVATAVLWVLAALLAMPVMVLRSEWAWEVGLGVSSTTVGFVVPFTIMLTCYFFIAQTIAGHFRKEKRRRLLSIIVVLVVTFALCWMPYHLVKTLYMLGSLPCDFDLFLMNIFPYCTCISYVNSCLNPFLYAFFDPRFRQACTSMLCCG</v>
      </c>
      <c r="C102" s="29" t="str">
        <f>IF(ISERROR(MATCH(A102,'SegEnds_Xtal_Prot#'!B:B, 0)), "NoXtal", "Xtal")</f>
        <v>Xtal</v>
      </c>
      <c r="D102" s="4" t="str">
        <f>VLOOKUP(A102,Classification!A:D,2,FALSE)</f>
        <v>A</v>
      </c>
      <c r="E102" s="5" t="str">
        <f>VLOOKUP(A102,Seqs!A:B,2,FALSE)</f>
        <v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v>
      </c>
      <c r="F102" s="5" t="str">
        <f t="shared" si="26"/>
        <v>ALIPAIYMLVFLLGTTGNGLVLWTVFRS</v>
      </c>
      <c r="G102" s="4" t="str">
        <f t="shared" si="27"/>
        <v>SREKR</v>
      </c>
      <c r="H102" s="4" t="str">
        <f t="shared" si="28"/>
        <v>RSADIFIASLAVADLTFVVTLPLWATYTYRD</v>
      </c>
      <c r="I102" s="4" t="str">
        <f t="shared" si="29"/>
        <v>DWPF</v>
      </c>
      <c r="J102" s="4" t="str">
        <f t="shared" si="30"/>
        <v>GTFFCKLSSYLIFVNMYASVFCLTGLSFDRYLAIVR</v>
      </c>
      <c r="K102" s="4" t="str">
        <f t="shared" si="31"/>
        <v>PVANARLR</v>
      </c>
      <c r="L102" s="4" t="str">
        <f t="shared" si="32"/>
        <v>LRVSGAVATAVLWVLAALLAMPVMVLR</v>
      </c>
      <c r="M102" s="4" t="str">
        <f t="shared" si="33"/>
        <v>CYM</v>
      </c>
      <c r="N102" s="4" t="str">
        <f t="shared" si="34"/>
        <v>SEWAWEVGLGVSSTTVGFVVPFTIMLTCYFFIAQTIAGHFRKE</v>
      </c>
      <c r="O102" s="4" t="str">
        <f t="shared" si="35"/>
        <v>KRRRLLSIIVVLVVTFALCWMPYHLVKTLYMLGSL</v>
      </c>
      <c r="P102" s="4" t="str">
        <f t="shared" si="36"/>
        <v>PCDFDLFLMNIFPYCTCISYVNSCLNPFLYAFF</v>
      </c>
      <c r="Q102" s="4" t="str">
        <f t="shared" si="37"/>
        <v>DPRFRQACTSMLCCG</v>
      </c>
      <c r="R102" s="5">
        <f>VLOOKUP($A102,'SegEnds_NonXtal_Prot#'!$A:$AL,3,FALSE)</f>
        <v>29</v>
      </c>
      <c r="S102" s="5">
        <f>VLOOKUP($A102,'SegEnds_NonXtal_Prot#'!$A:$AL,6,FALSE)</f>
        <v>57</v>
      </c>
      <c r="T102" s="5">
        <f>VLOOKUP($A102,'SegEnds_NonXtal_Prot#'!$A:$AL,9,FALSE)</f>
        <v>62</v>
      </c>
      <c r="U102" s="5">
        <f>VLOOKUP($A102,'SegEnds_NonXtal_Prot#'!$A:$AL,12,FALSE)</f>
        <v>94</v>
      </c>
      <c r="V102" s="5">
        <f>VLOOKUP($A102,'SegEnds_NonXtal_Prot#'!$A:$AL,15,FALSE)</f>
        <v>98</v>
      </c>
      <c r="W102" s="5">
        <f>VLOOKUP($A102,'SegEnds_NonXtal_Prot#'!$A:$AL,18,FALSE)</f>
        <v>134</v>
      </c>
      <c r="X102" s="5">
        <f>VLOOKUP($A102,'SegEnds_NonXtal_Prot#'!$A:$AL,21,FALSE)</f>
        <v>142</v>
      </c>
      <c r="Y102" s="5">
        <f>VLOOKUP($A102,'SegEnds_NonXtal_Prot#'!$A:$AL,24,FALSE)</f>
        <v>181</v>
      </c>
      <c r="Z102" s="5">
        <f>VLOOKUP($A102,'SegEnds_NonXtal_Prot#'!$A:$AL,27,FALSE)</f>
        <v>193</v>
      </c>
      <c r="AA102" s="5">
        <f>VLOOKUP($A102,'SegEnds_NonXtal_Prot#'!$A:$AL,30,FALSE)</f>
        <v>242</v>
      </c>
      <c r="AB102" s="5">
        <f>VLOOKUP($A102,'SegEnds_NonXtal_Prot#'!$A:$AL,33,FALSE)</f>
        <v>280</v>
      </c>
      <c r="AC102" s="5">
        <f>VLOOKUP($A102,'SegEnds_NonXtal_Prot#'!$A:$AL,36,FALSE)</f>
        <v>313</v>
      </c>
      <c r="AD102" s="5">
        <f>VLOOKUP($A102,'SegEnds_NonXtal_Prot#'!$A:$AL,5,FALSE)</f>
        <v>56</v>
      </c>
      <c r="AE102" s="5">
        <f>VLOOKUP($A102,'SegEnds_NonXtal_Prot#'!$A:$AL,8,FALSE)</f>
        <v>61</v>
      </c>
      <c r="AF102" s="5">
        <f>VLOOKUP($A102,'SegEnds_NonXtal_Prot#'!$A:$AL,11,FALSE)</f>
        <v>92</v>
      </c>
      <c r="AG102" s="5">
        <f>VLOOKUP($A102,'SegEnds_NonXtal_Prot#'!$A:$AL,14,FALSE)</f>
        <v>97</v>
      </c>
      <c r="AH102" s="5">
        <f>VLOOKUP($A102,'SegEnds_NonXtal_Prot#'!$A:$AL,17,FALSE)</f>
        <v>133</v>
      </c>
      <c r="AI102" s="5">
        <f>VLOOKUP($A102,'SegEnds_NonXtal_Prot#'!$A:$AL,20,FALSE)</f>
        <v>141</v>
      </c>
      <c r="AJ102" s="5">
        <f>VLOOKUP($A102,'SegEnds_NonXtal_Prot#'!$A:$AL,23,FALSE)</f>
        <v>168</v>
      </c>
      <c r="AK102" s="5">
        <f>VLOOKUP($A102,'SegEnds_NonXtal_Prot#'!$A:$AL,26,FALSE)</f>
        <v>183</v>
      </c>
      <c r="AL102" s="5">
        <f>VLOOKUP($A102,'SegEnds_NonXtal_Prot#'!$A:$AL,29,FALSE)</f>
        <v>235</v>
      </c>
      <c r="AM102" s="5">
        <f>VLOOKUP($A102,'SegEnds_NonXtal_Prot#'!$A:$AL,32,FALSE)</f>
        <v>276</v>
      </c>
      <c r="AN102" s="5">
        <f>VLOOKUP($A102,'SegEnds_NonXtal_Prot#'!$A:$AL,35,FALSE)</f>
        <v>312</v>
      </c>
      <c r="AO102" s="5">
        <f>VLOOKUP($A102,'SegEnds_NonXtal_Prot#'!$A:$AL,38,FALSE)</f>
        <v>327</v>
      </c>
      <c r="AP102" s="5">
        <f t="shared" si="38"/>
        <v>27</v>
      </c>
      <c r="AQ102" s="4">
        <f t="shared" si="39"/>
        <v>4</v>
      </c>
      <c r="AR102" s="4">
        <f t="shared" si="40"/>
        <v>30</v>
      </c>
      <c r="AS102" s="4">
        <f t="shared" si="41"/>
        <v>3</v>
      </c>
      <c r="AT102" s="4">
        <f t="shared" si="42"/>
        <v>35</v>
      </c>
      <c r="AU102" s="4">
        <f t="shared" si="43"/>
        <v>7</v>
      </c>
      <c r="AV102" s="4">
        <f t="shared" si="44"/>
        <v>26</v>
      </c>
      <c r="AW102" s="4">
        <f t="shared" si="45"/>
        <v>2</v>
      </c>
      <c r="AX102" s="4">
        <f t="shared" si="46"/>
        <v>42</v>
      </c>
      <c r="AY102" s="4">
        <f t="shared" si="47"/>
        <v>34</v>
      </c>
      <c r="AZ102" s="4">
        <f t="shared" si="48"/>
        <v>32</v>
      </c>
      <c r="BA102" s="4">
        <f t="shared" si="49"/>
        <v>14</v>
      </c>
    </row>
    <row r="103" spans="1:53" x14ac:dyDescent="0.2">
      <c r="A103" s="1" t="str">
        <f>'SegEnds_NonXtal_Prot#'!A74</f>
        <v>bkrb1_human</v>
      </c>
      <c r="B103" s="1" t="str">
        <f t="shared" si="25"/>
        <v>LLHRVLPTFIISICFFGLLGNLFVLLVFLLPNVAEIYLANLAASDLVFVLGLPFWAENIWNGALLCRVINGVIKANLFISIFLVVAISQDRYRVLVHRRRQARVTCVLIWVVGGLLSIPTFLLRWHFARIVELNILGFLLPLAAIVFFNYHILASLRTRTRCGGRKDSKTTALILTLVVAFLVCWAPYHFFAFLEFLFQVQGCFWEDFIDLGLQLANFFAFTNSSLNPVIYVFVGRLFRTKVWELYKQC</v>
      </c>
      <c r="C103" s="29" t="str">
        <f>IF(ISERROR(MATCH(A103,'SegEnds_Xtal_Prot#'!B:B, 0)), "NoXtal", "Xtal")</f>
        <v>NoXtal</v>
      </c>
      <c r="D103" s="4" t="str">
        <f>VLOOKUP(A103,Classification!A:D,2,FALSE)</f>
        <v>A</v>
      </c>
      <c r="E103" s="5" t="str">
        <f>VLOOKUP(A103,Seqs!A:B,2,FALSE)</f>
        <v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v>
      </c>
      <c r="F103" s="5" t="str">
        <f t="shared" si="26"/>
        <v>LLHRVLPTFIISICFFGLLGNLFVLLVFLLP</v>
      </c>
      <c r="G103" s="4" t="str">
        <f t="shared" si="27"/>
        <v>RRQL</v>
      </c>
      <c r="H103" s="4" t="str">
        <f t="shared" si="28"/>
        <v>NVAEIYLANLAASDLVFVLGLPFWAENIWN</v>
      </c>
      <c r="I103" s="4" t="str">
        <f t="shared" si="29"/>
        <v>NWPF</v>
      </c>
      <c r="J103" s="4" t="str">
        <f t="shared" si="30"/>
        <v>GALLCRVINGVIKANLFISIFLVVAISQDRYRVLVH</v>
      </c>
      <c r="K103" s="4" t="str">
        <f t="shared" si="31"/>
        <v>PMASRRQQ</v>
      </c>
      <c r="L103" s="4" t="str">
        <f t="shared" si="32"/>
        <v>RRRQARVTCVLIWVVGGLLSIPTFLLR</v>
      </c>
      <c r="M103" s="4" t="str">
        <f t="shared" si="33"/>
        <v>CIL</v>
      </c>
      <c r="N103" s="4" t="str">
        <f t="shared" si="34"/>
        <v>WHFARIVELNILGFLLPLAAIVFFNYHILASLRTR</v>
      </c>
      <c r="O103" s="4" t="str">
        <f t="shared" si="35"/>
        <v>TRCGGRKDSKTTALILTLVVAFLVCWAPYHFFAFLEFLFQVQ</v>
      </c>
      <c r="P103" s="4" t="str">
        <f t="shared" si="36"/>
        <v>GCFWEDFIDLGLQLANFFAFTNSSLNPVIYVFV</v>
      </c>
      <c r="Q103" s="4" t="str">
        <f t="shared" si="37"/>
        <v>GRLFRTKVWELYKQC</v>
      </c>
      <c r="R103" s="5">
        <f>VLOOKUP($A103,'SegEnds_NonXtal_Prot#'!$A:$AL,3,FALSE)</f>
        <v>35</v>
      </c>
      <c r="S103" s="5">
        <f>VLOOKUP($A103,'SegEnds_NonXtal_Prot#'!$A:$AL,6,FALSE)</f>
        <v>66</v>
      </c>
      <c r="T103" s="5">
        <f>VLOOKUP($A103,'SegEnds_NonXtal_Prot#'!$A:$AL,9,FALSE)</f>
        <v>70</v>
      </c>
      <c r="U103" s="5">
        <f>VLOOKUP($A103,'SegEnds_NonXtal_Prot#'!$A:$AL,12,FALSE)</f>
        <v>102</v>
      </c>
      <c r="V103" s="5">
        <f>VLOOKUP($A103,'SegEnds_NonXtal_Prot#'!$A:$AL,15,FALSE)</f>
        <v>106</v>
      </c>
      <c r="W103" s="5">
        <f>VLOOKUP($A103,'SegEnds_NonXtal_Prot#'!$A:$AL,18,FALSE)</f>
        <v>142</v>
      </c>
      <c r="X103" s="5">
        <f>VLOOKUP($A103,'SegEnds_NonXtal_Prot#'!$A:$AL,21,FALSE)</f>
        <v>150</v>
      </c>
      <c r="Y103" s="5">
        <f>VLOOKUP($A103,'SegEnds_NonXtal_Prot#'!$A:$AL,24,FALSE)</f>
        <v>189</v>
      </c>
      <c r="Z103" s="5">
        <f>VLOOKUP($A103,'SegEnds_NonXtal_Prot#'!$A:$AL,27,FALSE)</f>
        <v>198</v>
      </c>
      <c r="AA103" s="5">
        <f>VLOOKUP($A103,'SegEnds_NonXtal_Prot#'!$A:$AL,30,FALSE)</f>
        <v>238</v>
      </c>
      <c r="AB103" s="5">
        <f>VLOOKUP($A103,'SegEnds_NonXtal_Prot#'!$A:$AL,33,FALSE)</f>
        <v>283</v>
      </c>
      <c r="AC103" s="5">
        <f>VLOOKUP($A103,'SegEnds_NonXtal_Prot#'!$A:$AL,36,FALSE)</f>
        <v>316</v>
      </c>
      <c r="AD103" s="5">
        <f>VLOOKUP($A103,'SegEnds_NonXtal_Prot#'!$A:$AL,5,FALSE)</f>
        <v>65</v>
      </c>
      <c r="AE103" s="5">
        <f>VLOOKUP($A103,'SegEnds_NonXtal_Prot#'!$A:$AL,8,FALSE)</f>
        <v>69</v>
      </c>
      <c r="AF103" s="5">
        <f>VLOOKUP($A103,'SegEnds_NonXtal_Prot#'!$A:$AL,11,FALSE)</f>
        <v>99</v>
      </c>
      <c r="AG103" s="5">
        <f>VLOOKUP($A103,'SegEnds_NonXtal_Prot#'!$A:$AL,14,FALSE)</f>
        <v>105</v>
      </c>
      <c r="AH103" s="5">
        <f>VLOOKUP($A103,'SegEnds_NonXtal_Prot#'!$A:$AL,17,FALSE)</f>
        <v>141</v>
      </c>
      <c r="AI103" s="5">
        <f>VLOOKUP($A103,'SegEnds_NonXtal_Prot#'!$A:$AL,20,FALSE)</f>
        <v>149</v>
      </c>
      <c r="AJ103" s="5">
        <f>VLOOKUP($A103,'SegEnds_NonXtal_Prot#'!$A:$AL,23,FALSE)</f>
        <v>176</v>
      </c>
      <c r="AK103" s="5">
        <f>VLOOKUP($A103,'SegEnds_NonXtal_Prot#'!$A:$AL,26,FALSE)</f>
        <v>191</v>
      </c>
      <c r="AL103" s="5">
        <f>VLOOKUP($A103,'SegEnds_NonXtal_Prot#'!$A:$AL,29,FALSE)</f>
        <v>232</v>
      </c>
      <c r="AM103" s="5">
        <f>VLOOKUP($A103,'SegEnds_NonXtal_Prot#'!$A:$AL,32,FALSE)</f>
        <v>279</v>
      </c>
      <c r="AN103" s="5">
        <f>VLOOKUP($A103,'SegEnds_NonXtal_Prot#'!$A:$AL,35,FALSE)</f>
        <v>315</v>
      </c>
      <c r="AO103" s="5">
        <f>VLOOKUP($A103,'SegEnds_NonXtal_Prot#'!$A:$AL,38,FALSE)</f>
        <v>330</v>
      </c>
      <c r="AP103" s="5">
        <f t="shared" si="38"/>
        <v>30</v>
      </c>
      <c r="AQ103" s="4">
        <f t="shared" si="39"/>
        <v>3</v>
      </c>
      <c r="AR103" s="4">
        <f t="shared" si="40"/>
        <v>29</v>
      </c>
      <c r="AS103" s="4">
        <f t="shared" si="41"/>
        <v>3</v>
      </c>
      <c r="AT103" s="4">
        <f t="shared" si="42"/>
        <v>35</v>
      </c>
      <c r="AU103" s="4">
        <f t="shared" si="43"/>
        <v>7</v>
      </c>
      <c r="AV103" s="4">
        <f t="shared" si="44"/>
        <v>26</v>
      </c>
      <c r="AW103" s="4">
        <f t="shared" si="45"/>
        <v>2</v>
      </c>
      <c r="AX103" s="4">
        <f t="shared" si="46"/>
        <v>34</v>
      </c>
      <c r="AY103" s="4">
        <f t="shared" si="47"/>
        <v>41</v>
      </c>
      <c r="AZ103" s="4">
        <f t="shared" si="48"/>
        <v>32</v>
      </c>
      <c r="BA103" s="4">
        <f t="shared" si="49"/>
        <v>14</v>
      </c>
    </row>
    <row r="104" spans="1:53" x14ac:dyDescent="0.2">
      <c r="A104" s="1" t="str">
        <f>'SegEnds_NonXtal_Prot#'!A75</f>
        <v>bkrb2_human</v>
      </c>
      <c r="B104" s="1" t="str">
        <f t="shared" si="25"/>
        <v>TIQPPFLWVLFVLATLENIFVLSVFCLHTVAEIYLGNLAAADLILACGLPFWAITISNGETLCRVVNAIISMNLYSSICFLMLVSIDRYLALVKGVRWAKLYSLVIWGCTLLLSSPMLVFRPSLIWEVFTNMLLNVVGFLLPLSVITFCTMQIMQVLRNNFKEIQTERRATVLVLVVLLLFIICWLPFQISTFLDTLHRLGSCQDERIIDVITQIASFMAYSNSCLNPLVYVIVGKRFRKKSWEVYQGV</v>
      </c>
      <c r="C104" s="29" t="str">
        <f>IF(ISERROR(MATCH(A104,'SegEnds_Xtal_Prot#'!B:B, 0)), "NoXtal", "Xtal")</f>
        <v>NoXtal</v>
      </c>
      <c r="D104" s="4" t="str">
        <f>VLOOKUP(A104,Classification!A:D,2,FALSE)</f>
        <v>A</v>
      </c>
      <c r="E104" s="5" t="str">
        <f>VLOOKUP(A104,Seqs!A:B,2,FALSE)</f>
        <v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v>
      </c>
      <c r="F104" s="5" t="str">
        <f t="shared" si="26"/>
        <v>TIQPPFLWVLFVLATLENIFVLSVFCLH</v>
      </c>
      <c r="G104" s="4" t="str">
        <f t="shared" si="27"/>
        <v>KSSC</v>
      </c>
      <c r="H104" s="4" t="str">
        <f t="shared" si="28"/>
        <v>TVAEIYLGNLAAADLILACGLPFWAITISN</v>
      </c>
      <c r="I104" s="4" t="str">
        <f t="shared" si="29"/>
        <v>DWLF</v>
      </c>
      <c r="J104" s="4" t="str">
        <f t="shared" si="30"/>
        <v>GETLCRVVNAIISMNLYSSICFLMLVSIDRYLALVK</v>
      </c>
      <c r="K104" s="4" t="str">
        <f t="shared" si="31"/>
        <v>TMSMGRMR</v>
      </c>
      <c r="L104" s="4" t="str">
        <f t="shared" si="32"/>
        <v>GVRWAKLYSLVIWGCTLLLSSPMLVFR</v>
      </c>
      <c r="M104" s="4" t="str">
        <f t="shared" si="33"/>
        <v>CVI</v>
      </c>
      <c r="N104" s="4" t="str">
        <f t="shared" si="34"/>
        <v>PSLIWEVFTNMLLNVVGFLLPLSVITFCTMQIMQVLRNN</v>
      </c>
      <c r="O104" s="4" t="str">
        <f t="shared" si="35"/>
        <v>FKEIQTERRATVLVLVVLLLFIICWLPFQISTFLDTLHRLG</v>
      </c>
      <c r="P104" s="4" t="str">
        <f t="shared" si="36"/>
        <v>SCQDERIIDVITQIASFMAYSNSCLNPLVYVIV</v>
      </c>
      <c r="Q104" s="4" t="str">
        <f t="shared" si="37"/>
        <v>GKRFRKKSWEVYQGV</v>
      </c>
      <c r="R104" s="5">
        <f>VLOOKUP($A104,'SegEnds_NonXtal_Prot#'!$A:$AL,3,FALSE)</f>
        <v>58</v>
      </c>
      <c r="S104" s="5">
        <f>VLOOKUP($A104,'SegEnds_NonXtal_Prot#'!$A:$AL,6,FALSE)</f>
        <v>86</v>
      </c>
      <c r="T104" s="5">
        <f>VLOOKUP($A104,'SegEnds_NonXtal_Prot#'!$A:$AL,9,FALSE)</f>
        <v>90</v>
      </c>
      <c r="U104" s="5">
        <f>VLOOKUP($A104,'SegEnds_NonXtal_Prot#'!$A:$AL,12,FALSE)</f>
        <v>122</v>
      </c>
      <c r="V104" s="5">
        <f>VLOOKUP($A104,'SegEnds_NonXtal_Prot#'!$A:$AL,15,FALSE)</f>
        <v>126</v>
      </c>
      <c r="W104" s="5">
        <f>VLOOKUP($A104,'SegEnds_NonXtal_Prot#'!$A:$AL,18,FALSE)</f>
        <v>162</v>
      </c>
      <c r="X104" s="5">
        <f>VLOOKUP($A104,'SegEnds_NonXtal_Prot#'!$A:$AL,21,FALSE)</f>
        <v>170</v>
      </c>
      <c r="Y104" s="5">
        <f>VLOOKUP($A104,'SegEnds_NonXtal_Prot#'!$A:$AL,24,FALSE)</f>
        <v>211</v>
      </c>
      <c r="Z104" s="5">
        <f>VLOOKUP($A104,'SegEnds_NonXtal_Prot#'!$A:$AL,27,FALSE)</f>
        <v>216</v>
      </c>
      <c r="AA104" s="5">
        <f>VLOOKUP($A104,'SegEnds_NonXtal_Prot#'!$A:$AL,30,FALSE)</f>
        <v>259</v>
      </c>
      <c r="AB104" s="5">
        <f>VLOOKUP($A104,'SegEnds_NonXtal_Prot#'!$A:$AL,33,FALSE)</f>
        <v>303</v>
      </c>
      <c r="AC104" s="5">
        <f>VLOOKUP($A104,'SegEnds_NonXtal_Prot#'!$A:$AL,36,FALSE)</f>
        <v>336</v>
      </c>
      <c r="AD104" s="5">
        <f>VLOOKUP($A104,'SegEnds_NonXtal_Prot#'!$A:$AL,5,FALSE)</f>
        <v>85</v>
      </c>
      <c r="AE104" s="5">
        <f>VLOOKUP($A104,'SegEnds_NonXtal_Prot#'!$A:$AL,8,FALSE)</f>
        <v>89</v>
      </c>
      <c r="AF104" s="5">
        <f>VLOOKUP($A104,'SegEnds_NonXtal_Prot#'!$A:$AL,11,FALSE)</f>
        <v>119</v>
      </c>
      <c r="AG104" s="5">
        <f>VLOOKUP($A104,'SegEnds_NonXtal_Prot#'!$A:$AL,14,FALSE)</f>
        <v>125</v>
      </c>
      <c r="AH104" s="5">
        <f>VLOOKUP($A104,'SegEnds_NonXtal_Prot#'!$A:$AL,17,FALSE)</f>
        <v>161</v>
      </c>
      <c r="AI104" s="5">
        <f>VLOOKUP($A104,'SegEnds_NonXtal_Prot#'!$A:$AL,20,FALSE)</f>
        <v>169</v>
      </c>
      <c r="AJ104" s="5">
        <f>VLOOKUP($A104,'SegEnds_NonXtal_Prot#'!$A:$AL,23,FALSE)</f>
        <v>196</v>
      </c>
      <c r="AK104" s="5">
        <f>VLOOKUP($A104,'SegEnds_NonXtal_Prot#'!$A:$AL,26,FALSE)</f>
        <v>213</v>
      </c>
      <c r="AL104" s="5">
        <f>VLOOKUP($A104,'SegEnds_NonXtal_Prot#'!$A:$AL,29,FALSE)</f>
        <v>254</v>
      </c>
      <c r="AM104" s="5">
        <f>VLOOKUP($A104,'SegEnds_NonXtal_Prot#'!$A:$AL,32,FALSE)</f>
        <v>299</v>
      </c>
      <c r="AN104" s="5">
        <f>VLOOKUP($A104,'SegEnds_NonXtal_Prot#'!$A:$AL,35,FALSE)</f>
        <v>335</v>
      </c>
      <c r="AO104" s="5">
        <f>VLOOKUP($A104,'SegEnds_NonXtal_Prot#'!$A:$AL,38,FALSE)</f>
        <v>350</v>
      </c>
      <c r="AP104" s="5">
        <f t="shared" si="38"/>
        <v>27</v>
      </c>
      <c r="AQ104" s="4">
        <f t="shared" si="39"/>
        <v>3</v>
      </c>
      <c r="AR104" s="4">
        <f t="shared" si="40"/>
        <v>29</v>
      </c>
      <c r="AS104" s="4">
        <f t="shared" si="41"/>
        <v>3</v>
      </c>
      <c r="AT104" s="4">
        <f t="shared" si="42"/>
        <v>35</v>
      </c>
      <c r="AU104" s="4">
        <f t="shared" si="43"/>
        <v>7</v>
      </c>
      <c r="AV104" s="4">
        <f t="shared" si="44"/>
        <v>26</v>
      </c>
      <c r="AW104" s="4">
        <f t="shared" si="45"/>
        <v>2</v>
      </c>
      <c r="AX104" s="4">
        <f t="shared" si="46"/>
        <v>38</v>
      </c>
      <c r="AY104" s="4">
        <f t="shared" si="47"/>
        <v>40</v>
      </c>
      <c r="AZ104" s="4">
        <f t="shared" si="48"/>
        <v>32</v>
      </c>
      <c r="BA104" s="4">
        <f t="shared" si="49"/>
        <v>14</v>
      </c>
    </row>
    <row r="105" spans="1:53" x14ac:dyDescent="0.2">
      <c r="A105" s="1" t="str">
        <f>'SegEnds_NonXtal_Prot#'!A76</f>
        <v>brs3_human</v>
      </c>
      <c r="B105" s="1" t="str">
        <f t="shared" si="25"/>
        <v>SGDNSPGIEALCAIYITYAVIISVGILGNAILIKVFFKTTVPNIFITSLAFGDLLLLLTCVPVDATHYLAGRIGCKVLSFIRLTSVGVSVFTLTILSADRYKAVVKAILKTCVKAGCVWIVSMIFALPEAIFSPVSKKLLQEIHSLLCFLVFYIIPLSIISVYYSLIARTLYKSTLNIPHARKQIESRKRIARTVLVLVALFALCWLPNHLLYLYHSFTSAMHFIFTIFSRVLAFSNSCVNPFALYWLSKSFQKHFKAQLFC</v>
      </c>
      <c r="C105" s="29" t="str">
        <f>IF(ISERROR(MATCH(A105,'SegEnds_Xtal_Prot#'!B:B, 0)), "NoXtal", "Xtal")</f>
        <v>NoXtal</v>
      </c>
      <c r="D105" s="4" t="str">
        <f>VLOOKUP(A105,Classification!A:D,2,FALSE)</f>
        <v>A</v>
      </c>
      <c r="E105" s="5" t="str">
        <f>VLOOKUP(A105,Seqs!A:B,2,FALSE)</f>
        <v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v>
      </c>
      <c r="F105" s="5" t="str">
        <f t="shared" si="26"/>
        <v>SGDNSPGIEALCAIYITYAVIISVGILGNAILIKVFFKT</v>
      </c>
      <c r="G105" s="4" t="str">
        <f t="shared" si="27"/>
        <v>KSMQ</v>
      </c>
      <c r="H105" s="4" t="str">
        <f t="shared" si="28"/>
        <v>TVPNIFITSLAFGDLLLLLTCVPVDATHYLA</v>
      </c>
      <c r="I105" s="4" t="str">
        <f t="shared" si="29"/>
        <v>GWLF</v>
      </c>
      <c r="J105" s="4" t="str">
        <f t="shared" si="30"/>
        <v>GRIGCKVLSFIRLTSVGVSVFTLTILSADRYKAVVK</v>
      </c>
      <c r="K105" s="4" t="str">
        <f t="shared" si="31"/>
        <v>PLERQPSN</v>
      </c>
      <c r="L105" s="4" t="str">
        <f t="shared" si="32"/>
        <v>AILKTCVKAGCVWIVSMIFALPEAIFS</v>
      </c>
      <c r="M105" s="4" t="str">
        <f t="shared" si="33"/>
        <v>CTS</v>
      </c>
      <c r="N105" s="4" t="str">
        <f t="shared" si="34"/>
        <v>PVSKKLLQEIHSLLCFLVFYIIPLSIISVYYSLIARTLYKSTLNIP</v>
      </c>
      <c r="O105" s="4" t="str">
        <f t="shared" si="35"/>
        <v>HARKQIESRKRIARTVLVLVALFALCWLPNHLLYLYHSFT</v>
      </c>
      <c r="P105" s="4" t="str">
        <f t="shared" si="36"/>
        <v>SAMHFIFTIFSRVLAFSNSCVNPFALYWL</v>
      </c>
      <c r="Q105" s="4" t="str">
        <f t="shared" si="37"/>
        <v>SKSFQKHFKAQLFC</v>
      </c>
      <c r="R105" s="5">
        <f>VLOOKUP($A105,'SegEnds_NonXtal_Prot#'!$A:$AL,3,FALSE)</f>
        <v>37</v>
      </c>
      <c r="S105" s="5">
        <f>VLOOKUP($A105,'SegEnds_NonXtal_Prot#'!$A:$AL,6,FALSE)</f>
        <v>76</v>
      </c>
      <c r="T105" s="5">
        <f>VLOOKUP($A105,'SegEnds_NonXtal_Prot#'!$A:$AL,9,FALSE)</f>
        <v>80</v>
      </c>
      <c r="U105" s="5">
        <f>VLOOKUP($A105,'SegEnds_NonXtal_Prot#'!$A:$AL,12,FALSE)</f>
        <v>112</v>
      </c>
      <c r="V105" s="5">
        <f>VLOOKUP($A105,'SegEnds_NonXtal_Prot#'!$A:$AL,15,FALSE)</f>
        <v>116</v>
      </c>
      <c r="W105" s="5">
        <f>VLOOKUP($A105,'SegEnds_NonXtal_Prot#'!$A:$AL,18,FALSE)</f>
        <v>152</v>
      </c>
      <c r="X105" s="5">
        <f>VLOOKUP($A105,'SegEnds_NonXtal_Prot#'!$A:$AL,21,FALSE)</f>
        <v>160</v>
      </c>
      <c r="Y105" s="5">
        <f>VLOOKUP($A105,'SegEnds_NonXtal_Prot#'!$A:$AL,24,FALSE)</f>
        <v>203</v>
      </c>
      <c r="Z105" s="5">
        <f>VLOOKUP($A105,'SegEnds_NonXtal_Prot#'!$A:$AL,27,FALSE)</f>
        <v>207</v>
      </c>
      <c r="AA105" s="5">
        <f>VLOOKUP($A105,'SegEnds_NonXtal_Prot#'!$A:$AL,30,FALSE)</f>
        <v>258</v>
      </c>
      <c r="AB105" s="5">
        <f>VLOOKUP($A105,'SegEnds_NonXtal_Prot#'!$A:$AL,33,FALSE)</f>
        <v>305</v>
      </c>
      <c r="AC105" s="5">
        <f>VLOOKUP($A105,'SegEnds_NonXtal_Prot#'!$A:$AL,36,FALSE)</f>
        <v>334</v>
      </c>
      <c r="AD105" s="5">
        <f>VLOOKUP($A105,'SegEnds_NonXtal_Prot#'!$A:$AL,5,FALSE)</f>
        <v>75</v>
      </c>
      <c r="AE105" s="5">
        <f>VLOOKUP($A105,'SegEnds_NonXtal_Prot#'!$A:$AL,8,FALSE)</f>
        <v>79</v>
      </c>
      <c r="AF105" s="5">
        <f>VLOOKUP($A105,'SegEnds_NonXtal_Prot#'!$A:$AL,11,FALSE)</f>
        <v>110</v>
      </c>
      <c r="AG105" s="5">
        <f>VLOOKUP($A105,'SegEnds_NonXtal_Prot#'!$A:$AL,14,FALSE)</f>
        <v>115</v>
      </c>
      <c r="AH105" s="5">
        <f>VLOOKUP($A105,'SegEnds_NonXtal_Prot#'!$A:$AL,17,FALSE)</f>
        <v>151</v>
      </c>
      <c r="AI105" s="5">
        <f>VLOOKUP($A105,'SegEnds_NonXtal_Prot#'!$A:$AL,20,FALSE)</f>
        <v>159</v>
      </c>
      <c r="AJ105" s="5">
        <f>VLOOKUP($A105,'SegEnds_NonXtal_Prot#'!$A:$AL,23,FALSE)</f>
        <v>186</v>
      </c>
      <c r="AK105" s="5">
        <f>VLOOKUP($A105,'SegEnds_NonXtal_Prot#'!$A:$AL,26,FALSE)</f>
        <v>205</v>
      </c>
      <c r="AL105" s="5">
        <f>VLOOKUP($A105,'SegEnds_NonXtal_Prot#'!$A:$AL,29,FALSE)</f>
        <v>252</v>
      </c>
      <c r="AM105" s="5">
        <f>VLOOKUP($A105,'SegEnds_NonXtal_Prot#'!$A:$AL,32,FALSE)</f>
        <v>297</v>
      </c>
      <c r="AN105" s="5">
        <f>VLOOKUP($A105,'SegEnds_NonXtal_Prot#'!$A:$AL,35,FALSE)</f>
        <v>333</v>
      </c>
      <c r="AO105" s="5">
        <f>VLOOKUP($A105,'SegEnds_NonXtal_Prot#'!$A:$AL,38,FALSE)</f>
        <v>347</v>
      </c>
      <c r="AP105" s="5">
        <f t="shared" si="38"/>
        <v>38</v>
      </c>
      <c r="AQ105" s="4">
        <f t="shared" si="39"/>
        <v>3</v>
      </c>
      <c r="AR105" s="4">
        <f t="shared" si="40"/>
        <v>30</v>
      </c>
      <c r="AS105" s="4">
        <f t="shared" si="41"/>
        <v>3</v>
      </c>
      <c r="AT105" s="4">
        <f t="shared" si="42"/>
        <v>35</v>
      </c>
      <c r="AU105" s="4">
        <f t="shared" si="43"/>
        <v>7</v>
      </c>
      <c r="AV105" s="4">
        <f t="shared" si="44"/>
        <v>26</v>
      </c>
      <c r="AW105" s="4">
        <f t="shared" si="45"/>
        <v>2</v>
      </c>
      <c r="AX105" s="4">
        <f t="shared" si="46"/>
        <v>45</v>
      </c>
      <c r="AY105" s="4">
        <f t="shared" si="47"/>
        <v>39</v>
      </c>
      <c r="AZ105" s="4">
        <f t="shared" si="48"/>
        <v>28</v>
      </c>
      <c r="BA105" s="4">
        <f t="shared" si="49"/>
        <v>13</v>
      </c>
    </row>
    <row r="106" spans="1:53" x14ac:dyDescent="0.2">
      <c r="A106" s="1" t="str">
        <f>'SegEnds_NonXtal_Prot#'!A77</f>
        <v>c3ar_human</v>
      </c>
      <c r="B106" s="1" t="str">
        <f t="shared" si="25"/>
        <v>EPPVILSMVILSLTFLLGLPGNGLVLWVAGLKTVNTIWFLHLTLADLLCCLSLPFSLAHLALQGRFLCKLIPSIIVLNMFASVFLLTAISLDRCLVVFKNVGMACSICGCIWVVAFVMCIPVFVYRVPTPLVAITITRLVVGFLLPSVIMIACYSFIVFRMQRGSKTFRVAVVVVAVFLVCWTPYHIFGVLSLLTTPLGKTLMSWDHVCIALASANSCFNPFLYALLGKDFRKKARQ</v>
      </c>
      <c r="C106" s="29" t="str">
        <f>IF(ISERROR(MATCH(A106,'SegEnds_Xtal_Prot#'!B:B, 0)), "NoXtal", "Xtal")</f>
        <v>NoXtal</v>
      </c>
      <c r="D106" s="4" t="str">
        <f>VLOOKUP(A106,Classification!A:D,2,FALSE)</f>
        <v>A</v>
      </c>
      <c r="E106" s="5" t="str">
        <f>VLOOKUP(A106,Seqs!A:B,2,FALSE)</f>
        <v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v>
      </c>
      <c r="F106" s="5" t="str">
        <f t="shared" si="26"/>
        <v>EPPVILSMVILSLTFLLGLPGNGLVLWVAGLK</v>
      </c>
      <c r="G106" s="4" t="str">
        <f t="shared" si="27"/>
        <v/>
      </c>
      <c r="H106" s="4" t="str">
        <f t="shared" si="28"/>
        <v>TVNTIWFLHLTLADLLCCLSLPFSLAHLALQ</v>
      </c>
      <c r="I106" s="4" t="str">
        <f t="shared" si="29"/>
        <v>QWPY</v>
      </c>
      <c r="J106" s="4" t="str">
        <f t="shared" si="30"/>
        <v>GRFLCKLIPSIIVLNMFASVFLLTAISLDRCLVVFK</v>
      </c>
      <c r="K106" s="4" t="str">
        <f t="shared" si="31"/>
        <v>PIWCQNHR</v>
      </c>
      <c r="L106" s="4" t="str">
        <f t="shared" si="32"/>
        <v>NVGMACSICGCIWVVAFVMCIPVFVYR</v>
      </c>
      <c r="M106" s="4" t="str">
        <f t="shared" si="33"/>
        <v>CGY</v>
      </c>
      <c r="N106" s="4" t="str">
        <f t="shared" si="34"/>
        <v>VPTPLVAITITRLVVGFLLPSVIMIACYSFIVFRMQRG</v>
      </c>
      <c r="O106" s="4" t="str">
        <f t="shared" si="35"/>
        <v>SKTFRVAVVVVAVFLVCWTPYHIFGVLSLLT</v>
      </c>
      <c r="P106" s="4" t="str">
        <f t="shared" si="36"/>
        <v>TPLGKTLMSWDHVCIALASANSCFNPFLYALL</v>
      </c>
      <c r="Q106" s="4" t="str">
        <f t="shared" si="37"/>
        <v>GKDFRKKARQ</v>
      </c>
      <c r="R106" s="5">
        <f>VLOOKUP($A106,'SegEnds_NonXtal_Prot#'!$A:$AL,3,FALSE)</f>
        <v>20</v>
      </c>
      <c r="S106" s="5" t="str">
        <f>VLOOKUP($A106,'SegEnds_NonXtal_Prot#'!$A:$AL,6,FALSE)</f>
        <v>-</v>
      </c>
      <c r="T106" s="5">
        <f>VLOOKUP($A106,'SegEnds_NonXtal_Prot#'!$A:$AL,9,FALSE)</f>
        <v>55</v>
      </c>
      <c r="U106" s="5">
        <f>VLOOKUP($A106,'SegEnds_NonXtal_Prot#'!$A:$AL,12,FALSE)</f>
        <v>87</v>
      </c>
      <c r="V106" s="5">
        <f>VLOOKUP($A106,'SegEnds_NonXtal_Prot#'!$A:$AL,15,FALSE)</f>
        <v>91</v>
      </c>
      <c r="W106" s="5">
        <f>VLOOKUP($A106,'SegEnds_NonXtal_Prot#'!$A:$AL,18,FALSE)</f>
        <v>127</v>
      </c>
      <c r="X106" s="5">
        <f>VLOOKUP($A106,'SegEnds_NonXtal_Prot#'!$A:$AL,21,FALSE)</f>
        <v>135</v>
      </c>
      <c r="Y106" s="5">
        <f>VLOOKUP($A106,'SegEnds_NonXtal_Prot#'!$A:$AL,24,FALSE)</f>
        <v>172</v>
      </c>
      <c r="Z106" s="5">
        <f>VLOOKUP($A106,'SegEnds_NonXtal_Prot#'!$A:$AL,27,FALSE)</f>
        <v>329</v>
      </c>
      <c r="AA106" s="5">
        <f>VLOOKUP($A106,'SegEnds_NonXtal_Prot#'!$A:$AL,30,FALSE)</f>
        <v>373</v>
      </c>
      <c r="AB106" s="5">
        <f>VLOOKUP($A106,'SegEnds_NonXtal_Prot#'!$A:$AL,33,FALSE)</f>
        <v>407</v>
      </c>
      <c r="AC106" s="5">
        <f>VLOOKUP($A106,'SegEnds_NonXtal_Prot#'!$A:$AL,36,FALSE)</f>
        <v>439</v>
      </c>
      <c r="AD106" s="5">
        <f>VLOOKUP($A106,'SegEnds_NonXtal_Prot#'!$A:$AL,5,FALSE)</f>
        <v>51</v>
      </c>
      <c r="AE106" s="5" t="str">
        <f>VLOOKUP($A106,'SegEnds_NonXtal_Prot#'!$A:$AL,8,FALSE)</f>
        <v>-</v>
      </c>
      <c r="AF106" s="5">
        <f>VLOOKUP($A106,'SegEnds_NonXtal_Prot#'!$A:$AL,11,FALSE)</f>
        <v>85</v>
      </c>
      <c r="AG106" s="5">
        <f>VLOOKUP($A106,'SegEnds_NonXtal_Prot#'!$A:$AL,14,FALSE)</f>
        <v>90</v>
      </c>
      <c r="AH106" s="5">
        <f>VLOOKUP($A106,'SegEnds_NonXtal_Prot#'!$A:$AL,17,FALSE)</f>
        <v>126</v>
      </c>
      <c r="AI106" s="5">
        <f>VLOOKUP($A106,'SegEnds_NonXtal_Prot#'!$A:$AL,20,FALSE)</f>
        <v>134</v>
      </c>
      <c r="AJ106" s="5">
        <f>VLOOKUP($A106,'SegEnds_NonXtal_Prot#'!$A:$AL,23,FALSE)</f>
        <v>161</v>
      </c>
      <c r="AK106" s="5">
        <f>VLOOKUP($A106,'SegEnds_NonXtal_Prot#'!$A:$AL,26,FALSE)</f>
        <v>174</v>
      </c>
      <c r="AL106" s="5">
        <f>VLOOKUP($A106,'SegEnds_NonXtal_Prot#'!$A:$AL,29,FALSE)</f>
        <v>366</v>
      </c>
      <c r="AM106" s="5">
        <f>VLOOKUP($A106,'SegEnds_NonXtal_Prot#'!$A:$AL,32,FALSE)</f>
        <v>403</v>
      </c>
      <c r="AN106" s="5">
        <f>VLOOKUP($A106,'SegEnds_NonXtal_Prot#'!$A:$AL,35,FALSE)</f>
        <v>438</v>
      </c>
      <c r="AO106" s="5">
        <f>VLOOKUP($A106,'SegEnds_NonXtal_Prot#'!$A:$AL,38,FALSE)</f>
        <v>448</v>
      </c>
      <c r="AP106" s="5">
        <f t="shared" si="38"/>
        <v>31</v>
      </c>
      <c r="AQ106" s="4" t="str">
        <f t="shared" si="39"/>
        <v>-</v>
      </c>
      <c r="AR106" s="4">
        <f t="shared" si="40"/>
        <v>30</v>
      </c>
      <c r="AS106" s="4">
        <f t="shared" si="41"/>
        <v>3</v>
      </c>
      <c r="AT106" s="4">
        <f t="shared" si="42"/>
        <v>35</v>
      </c>
      <c r="AU106" s="4">
        <f t="shared" si="43"/>
        <v>7</v>
      </c>
      <c r="AV106" s="4">
        <f t="shared" si="44"/>
        <v>26</v>
      </c>
      <c r="AW106" s="4">
        <f t="shared" si="45"/>
        <v>2</v>
      </c>
      <c r="AX106" s="4">
        <f t="shared" si="46"/>
        <v>37</v>
      </c>
      <c r="AY106" s="4">
        <f t="shared" si="47"/>
        <v>30</v>
      </c>
      <c r="AZ106" s="4">
        <f t="shared" si="48"/>
        <v>31</v>
      </c>
      <c r="BA106" s="4">
        <f t="shared" si="49"/>
        <v>9</v>
      </c>
    </row>
    <row r="107" spans="1:53" x14ac:dyDescent="0.2">
      <c r="A107" s="1" t="str">
        <f>'SegEnds_NonXtal_Prot#'!A78</f>
        <v>c5ar1_human</v>
      </c>
      <c r="B107" s="1" t="str">
        <f t="shared" si="25"/>
        <v>RVPDILALVIFAVVFLVGVLGNALVVWVTAFETINAIWFLNLAVADFLSCLALPILFTSIVQHGGAACSILPSLILLNMYASILLLATISADRFLLVFKGAGLAWIACAVAWGLALLLTIPSFLYRDKRRERAVAIVRLVLGFLWPLLTLTICYTFILLRTWSRTKTLKVVVAVVASFFIFWLPYQVTGIMMSFLSPTFLLLKKLDSLCVSFAYINCCINPIIYVVAGQGFQGRLRK</v>
      </c>
      <c r="C107" s="29" t="str">
        <f>IF(ISERROR(MATCH(A107,'SegEnds_Xtal_Prot#'!B:B, 0)), "NoXtal", "Xtal")</f>
        <v>Xtal</v>
      </c>
      <c r="D107" s="4" t="str">
        <f>VLOOKUP(A107,Classification!A:D,2,FALSE)</f>
        <v>A</v>
      </c>
      <c r="E107" s="5" t="str">
        <f>VLOOKUP(A107,Seqs!A:B,2,FALSE)</f>
        <v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v>
      </c>
      <c r="F107" s="5" t="str">
        <f t="shared" si="26"/>
        <v>RVPDILALVIFAVVFLVGVLGNALVVWVTAFE</v>
      </c>
      <c r="G107" s="4" t="str">
        <f t="shared" si="27"/>
        <v/>
      </c>
      <c r="H107" s="4" t="str">
        <f t="shared" si="28"/>
        <v>TINAIWFLNLAVADFLSCLALPILFTSIVQH</v>
      </c>
      <c r="I107" s="4" t="str">
        <f t="shared" si="29"/>
        <v>HWPF</v>
      </c>
      <c r="J107" s="4" t="str">
        <f t="shared" si="30"/>
        <v>GGAACSILPSLILLNMYASILLLATISADRFLLVFK</v>
      </c>
      <c r="K107" s="4" t="str">
        <f t="shared" si="31"/>
        <v>PIWCQNFR</v>
      </c>
      <c r="L107" s="4" t="str">
        <f t="shared" si="32"/>
        <v>GAGLAWIACAVAWGLALLLTIPSFLYR</v>
      </c>
      <c r="M107" s="4" t="str">
        <f t="shared" si="33"/>
        <v>CGV</v>
      </c>
      <c r="N107" s="4" t="str">
        <f t="shared" si="34"/>
        <v>DKRRERAVAIVRLVLGFLWPLLTLTICYTFILLRTWSR</v>
      </c>
      <c r="O107" s="4" t="str">
        <f t="shared" si="35"/>
        <v>TKTLKVVVAVVASFFIFWLPYQVTGIMMSFL</v>
      </c>
      <c r="P107" s="4" t="str">
        <f t="shared" si="36"/>
        <v>SPTFLLLKKLDSLCVSFAYINCCINPIIYVVA</v>
      </c>
      <c r="Q107" s="4" t="str">
        <f t="shared" si="37"/>
        <v>GQGFQGRLRK</v>
      </c>
      <c r="R107" s="5">
        <f>VLOOKUP($A107,'SegEnds_NonXtal_Prot#'!$A:$AL,3,FALSE)</f>
        <v>34</v>
      </c>
      <c r="S107" s="5" t="str">
        <f>VLOOKUP($A107,'SegEnds_NonXtal_Prot#'!$A:$AL,6,FALSE)</f>
        <v>-</v>
      </c>
      <c r="T107" s="5">
        <f>VLOOKUP($A107,'SegEnds_NonXtal_Prot#'!$A:$AL,9,FALSE)</f>
        <v>69</v>
      </c>
      <c r="U107" s="5">
        <f>VLOOKUP($A107,'SegEnds_NonXtal_Prot#'!$A:$AL,12,FALSE)</f>
        <v>101</v>
      </c>
      <c r="V107" s="5">
        <f>VLOOKUP($A107,'SegEnds_NonXtal_Prot#'!$A:$AL,15,FALSE)</f>
        <v>105</v>
      </c>
      <c r="W107" s="5">
        <f>VLOOKUP($A107,'SegEnds_NonXtal_Prot#'!$A:$AL,18,FALSE)</f>
        <v>141</v>
      </c>
      <c r="X107" s="5">
        <f>VLOOKUP($A107,'SegEnds_NonXtal_Prot#'!$A:$AL,21,FALSE)</f>
        <v>149</v>
      </c>
      <c r="Y107" s="5">
        <f>VLOOKUP($A107,'SegEnds_NonXtal_Prot#'!$A:$AL,24,FALSE)</f>
        <v>188</v>
      </c>
      <c r="Z107" s="5">
        <f>VLOOKUP($A107,'SegEnds_NonXtal_Prot#'!$A:$AL,27,FALSE)</f>
        <v>195</v>
      </c>
      <c r="AA107" s="5">
        <f>VLOOKUP($A107,'SegEnds_NonXtal_Prot#'!$A:$AL,30,FALSE)</f>
        <v>238</v>
      </c>
      <c r="AB107" s="5">
        <f>VLOOKUP($A107,'SegEnds_NonXtal_Prot#'!$A:$AL,33,FALSE)</f>
        <v>272</v>
      </c>
      <c r="AC107" s="5">
        <f>VLOOKUP($A107,'SegEnds_NonXtal_Prot#'!$A:$AL,36,FALSE)</f>
        <v>304</v>
      </c>
      <c r="AD107" s="5">
        <f>VLOOKUP($A107,'SegEnds_NonXtal_Prot#'!$A:$AL,5,FALSE)</f>
        <v>65</v>
      </c>
      <c r="AE107" s="5" t="str">
        <f>VLOOKUP($A107,'SegEnds_NonXtal_Prot#'!$A:$AL,8,FALSE)</f>
        <v>-</v>
      </c>
      <c r="AF107" s="5">
        <f>VLOOKUP($A107,'SegEnds_NonXtal_Prot#'!$A:$AL,11,FALSE)</f>
        <v>99</v>
      </c>
      <c r="AG107" s="5">
        <f>VLOOKUP($A107,'SegEnds_NonXtal_Prot#'!$A:$AL,14,FALSE)</f>
        <v>104</v>
      </c>
      <c r="AH107" s="5">
        <f>VLOOKUP($A107,'SegEnds_NonXtal_Prot#'!$A:$AL,17,FALSE)</f>
        <v>140</v>
      </c>
      <c r="AI107" s="5">
        <f>VLOOKUP($A107,'SegEnds_NonXtal_Prot#'!$A:$AL,20,FALSE)</f>
        <v>148</v>
      </c>
      <c r="AJ107" s="5">
        <f>VLOOKUP($A107,'SegEnds_NonXtal_Prot#'!$A:$AL,23,FALSE)</f>
        <v>175</v>
      </c>
      <c r="AK107" s="5">
        <f>VLOOKUP($A107,'SegEnds_NonXtal_Prot#'!$A:$AL,26,FALSE)</f>
        <v>190</v>
      </c>
      <c r="AL107" s="5">
        <f>VLOOKUP($A107,'SegEnds_NonXtal_Prot#'!$A:$AL,29,FALSE)</f>
        <v>232</v>
      </c>
      <c r="AM107" s="5">
        <f>VLOOKUP($A107,'SegEnds_NonXtal_Prot#'!$A:$AL,32,FALSE)</f>
        <v>268</v>
      </c>
      <c r="AN107" s="5">
        <f>VLOOKUP($A107,'SegEnds_NonXtal_Prot#'!$A:$AL,35,FALSE)</f>
        <v>303</v>
      </c>
      <c r="AO107" s="5">
        <f>VLOOKUP($A107,'SegEnds_NonXtal_Prot#'!$A:$AL,38,FALSE)</f>
        <v>313</v>
      </c>
      <c r="AP107" s="5">
        <f t="shared" si="38"/>
        <v>31</v>
      </c>
      <c r="AQ107" s="4" t="str">
        <f t="shared" si="39"/>
        <v>-</v>
      </c>
      <c r="AR107" s="4">
        <f t="shared" si="40"/>
        <v>30</v>
      </c>
      <c r="AS107" s="4">
        <f t="shared" si="41"/>
        <v>3</v>
      </c>
      <c r="AT107" s="4">
        <f t="shared" si="42"/>
        <v>35</v>
      </c>
      <c r="AU107" s="4">
        <f t="shared" si="43"/>
        <v>7</v>
      </c>
      <c r="AV107" s="4">
        <f t="shared" si="44"/>
        <v>26</v>
      </c>
      <c r="AW107" s="4">
        <f t="shared" si="45"/>
        <v>2</v>
      </c>
      <c r="AX107" s="4">
        <f t="shared" si="46"/>
        <v>37</v>
      </c>
      <c r="AY107" s="4">
        <f t="shared" si="47"/>
        <v>30</v>
      </c>
      <c r="AZ107" s="4">
        <f t="shared" si="48"/>
        <v>31</v>
      </c>
      <c r="BA107" s="4">
        <f t="shared" si="49"/>
        <v>9</v>
      </c>
    </row>
    <row r="108" spans="1:53" x14ac:dyDescent="0.2">
      <c r="A108" s="1" t="str">
        <f>'SegEnds_NonXtal_Prot#'!A79</f>
        <v>c5ar2_human</v>
      </c>
      <c r="B108" s="1" t="str">
        <f t="shared" si="25"/>
        <v>DPLRVAPLPLYAAIFLVGVPGNAMVAWVAGKVRVGATWLLHLAVADLLCCLSLPILAVPIARGGAVGCRALPSIILLTMYASVLLLAALSADLCFLALGRACGVQVACGAAWTLALLLTVPSAIYRSSSTENAVTAIRFLFGFLGPLVAVASCHSALLCWRRCRPLGTAIVVGFFVCWAPYHLLGLVLTVASALLARALRAEPLIVGLALAHSCLNPMLFLYFGRAQLRRSLP</v>
      </c>
      <c r="C108" s="29" t="str">
        <f>IF(ISERROR(MATCH(A108,'SegEnds_Xtal_Prot#'!B:B, 0)), "NoXtal", "Xtal")</f>
        <v>NoXtal</v>
      </c>
      <c r="D108" s="4" t="str">
        <f>VLOOKUP(A108,Classification!A:D,2,FALSE)</f>
        <v>A</v>
      </c>
      <c r="E108" s="5" t="str">
        <f>VLOOKUP(A108,Seqs!A:B,2,FALSE)</f>
        <v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v>
      </c>
      <c r="F108" s="5" t="str">
        <f t="shared" si="26"/>
        <v>DPLRVAPLPLYAAIFLVGVPGNAMVAWVAGKV</v>
      </c>
      <c r="G108" s="4" t="str">
        <f t="shared" si="27"/>
        <v/>
      </c>
      <c r="H108" s="4" t="str">
        <f t="shared" si="28"/>
        <v>RVGATWLLHLAVADLLCCLSLPILAVPIARG</v>
      </c>
      <c r="I108" s="4" t="str">
        <f t="shared" si="29"/>
        <v>HWPY</v>
      </c>
      <c r="J108" s="4" t="str">
        <f t="shared" si="30"/>
        <v>GAVGCRALPSIILLTMYASVLLLAALSADLCFLALG</v>
      </c>
      <c r="K108" s="4" t="str">
        <f t="shared" si="31"/>
        <v>PAWWSTVQ</v>
      </c>
      <c r="L108" s="4" t="str">
        <f t="shared" si="32"/>
        <v>RACGVQVACGAAWTLALLLTVPSAIYR</v>
      </c>
      <c r="M108" s="4" t="str">
        <f t="shared" si="33"/>
        <v>CVV</v>
      </c>
      <c r="N108" s="4" t="str">
        <f t="shared" si="34"/>
        <v>SSSTENAVTAIRFLFGFLGPLVAVASCHSALLCW</v>
      </c>
      <c r="O108" s="4" t="str">
        <f t="shared" si="35"/>
        <v>RRCRPLGTAIVVGFFVCWAPYHLLGLVLTVA</v>
      </c>
      <c r="P108" s="4" t="str">
        <f t="shared" si="36"/>
        <v>SALLARALRAEPLIVGLALAHSCLNPMLFLYF</v>
      </c>
      <c r="Q108" s="4" t="str">
        <f t="shared" si="37"/>
        <v>GRAQLRRSLP</v>
      </c>
      <c r="R108" s="5">
        <f>VLOOKUP($A108,'SegEnds_NonXtal_Prot#'!$A:$AL,3,FALSE)</f>
        <v>32</v>
      </c>
      <c r="S108" s="5" t="str">
        <f>VLOOKUP($A108,'SegEnds_NonXtal_Prot#'!$A:$AL,6,FALSE)</f>
        <v>-</v>
      </c>
      <c r="T108" s="5">
        <f>VLOOKUP($A108,'SegEnds_NonXtal_Prot#'!$A:$AL,9,FALSE)</f>
        <v>67</v>
      </c>
      <c r="U108" s="5">
        <f>VLOOKUP($A108,'SegEnds_NonXtal_Prot#'!$A:$AL,12,FALSE)</f>
        <v>99</v>
      </c>
      <c r="V108" s="5">
        <f>VLOOKUP($A108,'SegEnds_NonXtal_Prot#'!$A:$AL,15,FALSE)</f>
        <v>103</v>
      </c>
      <c r="W108" s="5">
        <f>VLOOKUP($A108,'SegEnds_NonXtal_Prot#'!$A:$AL,18,FALSE)</f>
        <v>139</v>
      </c>
      <c r="X108" s="5">
        <f>VLOOKUP($A108,'SegEnds_NonXtal_Prot#'!$A:$AL,21,FALSE)</f>
        <v>147</v>
      </c>
      <c r="Y108" s="5">
        <f>VLOOKUP($A108,'SegEnds_NonXtal_Prot#'!$A:$AL,24,FALSE)</f>
        <v>186</v>
      </c>
      <c r="Z108" s="5">
        <f>VLOOKUP($A108,'SegEnds_NonXtal_Prot#'!$A:$AL,27,FALSE)</f>
        <v>193</v>
      </c>
      <c r="AA108" s="5">
        <f>VLOOKUP($A108,'SegEnds_NonXtal_Prot#'!$A:$AL,30,FALSE)</f>
        <v>229</v>
      </c>
      <c r="AB108" s="5">
        <f>VLOOKUP($A108,'SegEnds_NonXtal_Prot#'!$A:$AL,33,FALSE)</f>
        <v>263</v>
      </c>
      <c r="AC108" s="5">
        <f>VLOOKUP($A108,'SegEnds_NonXtal_Prot#'!$A:$AL,36,FALSE)</f>
        <v>295</v>
      </c>
      <c r="AD108" s="5">
        <f>VLOOKUP($A108,'SegEnds_NonXtal_Prot#'!$A:$AL,5,FALSE)</f>
        <v>63</v>
      </c>
      <c r="AE108" s="5" t="str">
        <f>VLOOKUP($A108,'SegEnds_NonXtal_Prot#'!$A:$AL,8,FALSE)</f>
        <v>-</v>
      </c>
      <c r="AF108" s="5">
        <f>VLOOKUP($A108,'SegEnds_NonXtal_Prot#'!$A:$AL,11,FALSE)</f>
        <v>97</v>
      </c>
      <c r="AG108" s="5">
        <f>VLOOKUP($A108,'SegEnds_NonXtal_Prot#'!$A:$AL,14,FALSE)</f>
        <v>102</v>
      </c>
      <c r="AH108" s="5">
        <f>VLOOKUP($A108,'SegEnds_NonXtal_Prot#'!$A:$AL,17,FALSE)</f>
        <v>138</v>
      </c>
      <c r="AI108" s="5">
        <f>VLOOKUP($A108,'SegEnds_NonXtal_Prot#'!$A:$AL,20,FALSE)</f>
        <v>146</v>
      </c>
      <c r="AJ108" s="5">
        <f>VLOOKUP($A108,'SegEnds_NonXtal_Prot#'!$A:$AL,23,FALSE)</f>
        <v>173</v>
      </c>
      <c r="AK108" s="5">
        <f>VLOOKUP($A108,'SegEnds_NonXtal_Prot#'!$A:$AL,26,FALSE)</f>
        <v>188</v>
      </c>
      <c r="AL108" s="5">
        <f>VLOOKUP($A108,'SegEnds_NonXtal_Prot#'!$A:$AL,29,FALSE)</f>
        <v>226</v>
      </c>
      <c r="AM108" s="5">
        <f>VLOOKUP($A108,'SegEnds_NonXtal_Prot#'!$A:$AL,32,FALSE)</f>
        <v>259</v>
      </c>
      <c r="AN108" s="5">
        <f>VLOOKUP($A108,'SegEnds_NonXtal_Prot#'!$A:$AL,35,FALSE)</f>
        <v>294</v>
      </c>
      <c r="AO108" s="5">
        <f>VLOOKUP($A108,'SegEnds_NonXtal_Prot#'!$A:$AL,38,FALSE)</f>
        <v>304</v>
      </c>
      <c r="AP108" s="5">
        <f t="shared" si="38"/>
        <v>31</v>
      </c>
      <c r="AQ108" s="4" t="str">
        <f t="shared" si="39"/>
        <v>-</v>
      </c>
      <c r="AR108" s="4">
        <f t="shared" si="40"/>
        <v>30</v>
      </c>
      <c r="AS108" s="4">
        <f t="shared" si="41"/>
        <v>3</v>
      </c>
      <c r="AT108" s="4">
        <f t="shared" si="42"/>
        <v>35</v>
      </c>
      <c r="AU108" s="4">
        <f t="shared" si="43"/>
        <v>7</v>
      </c>
      <c r="AV108" s="4">
        <f t="shared" si="44"/>
        <v>26</v>
      </c>
      <c r="AW108" s="4">
        <f t="shared" si="45"/>
        <v>2</v>
      </c>
      <c r="AX108" s="4">
        <f t="shared" si="46"/>
        <v>33</v>
      </c>
      <c r="AY108" s="4">
        <f t="shared" si="47"/>
        <v>30</v>
      </c>
      <c r="AZ108" s="4">
        <f t="shared" si="48"/>
        <v>31</v>
      </c>
      <c r="BA108" s="4">
        <f t="shared" si="49"/>
        <v>9</v>
      </c>
    </row>
    <row r="109" spans="1:53" x14ac:dyDescent="0.2">
      <c r="A109" s="1" t="str">
        <f>'SegEnds_NonXtal_Prot#'!A80</f>
        <v>cckar_human</v>
      </c>
      <c r="B109" s="1" t="str">
        <f t="shared" si="25"/>
        <v>PAVQILLYSLIFLLSVLGNTLVITVLIRNTVTNIFLLSLAVSDLMLCLFCMPFNLIPNLLGSAVCKTTTYFMGTSVSVSTFNLVAISLERYGAICKTKSHALKVIAATWCLSFTIMTPYPIYSDVMQQSWHTFLLLILFLIPGIVMMVAYGLISLELYQGIKFEASAANLMAKKRVIRMLIVIVVLFFLCWMPIFSANAWRAYDRRLSGTPISFILLLSYTSSCVNPIIYCFMNKRFRLGFMATF</v>
      </c>
      <c r="C109" s="29" t="str">
        <f>IF(ISERROR(MATCH(A109,'SegEnds_Xtal_Prot#'!B:B, 0)), "NoXtal", "Xtal")</f>
        <v>NoXtal</v>
      </c>
      <c r="D109" s="4" t="str">
        <f>VLOOKUP(A109,Classification!A:D,2,FALSE)</f>
        <v>A</v>
      </c>
      <c r="E109" s="5" t="str">
        <f>VLOOKUP(A109,Seqs!A:B,2,FALSE)</f>
        <v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v>
      </c>
      <c r="F109" s="5" t="str">
        <f t="shared" si="26"/>
        <v>PAVQILLYSLIFLLSVLGNTLVITVLIRN</v>
      </c>
      <c r="G109" s="4" t="str">
        <f t="shared" si="27"/>
        <v>KRMR</v>
      </c>
      <c r="H109" s="4" t="str">
        <f t="shared" si="28"/>
        <v>TVTNIFLLSLAVSDLMLCLFCMPFNLIPNLL</v>
      </c>
      <c r="I109" s="4" t="str">
        <f t="shared" si="29"/>
        <v>DFIF</v>
      </c>
      <c r="J109" s="4" t="str">
        <f t="shared" si="30"/>
        <v>GSAVCKTTTYFMGTSVSVSTFNLVAISLERYGAICK</v>
      </c>
      <c r="K109" s="4" t="str">
        <f t="shared" si="31"/>
        <v>PLQSRVWQ</v>
      </c>
      <c r="L109" s="4" t="str">
        <f t="shared" si="32"/>
        <v>TKSHALKVIAATWCLSFTIMTPYPIYS</v>
      </c>
      <c r="M109" s="4" t="str">
        <f t="shared" si="33"/>
        <v>CRF</v>
      </c>
      <c r="N109" s="4" t="str">
        <f t="shared" si="34"/>
        <v>DVMQQSWHTFLLLILFLIPGIVMMVAYGLISLELYQGIKFEAS</v>
      </c>
      <c r="O109" s="4" t="str">
        <f t="shared" si="35"/>
        <v>AANLMAKKRVIRMLIVIVVLFFLCWMPIFSANAWRAYD</v>
      </c>
      <c r="P109" s="4" t="str">
        <f t="shared" si="36"/>
        <v>RRLSGTPISFILLLSYTSSCVNPIIYCFM</v>
      </c>
      <c r="Q109" s="4" t="str">
        <f t="shared" si="37"/>
        <v>NKRFRLGFMATF</v>
      </c>
      <c r="R109" s="5">
        <f>VLOOKUP($A109,'SegEnds_NonXtal_Prot#'!$A:$AL,3,FALSE)</f>
        <v>41</v>
      </c>
      <c r="S109" s="5">
        <f>VLOOKUP($A109,'SegEnds_NonXtal_Prot#'!$A:$AL,6,FALSE)</f>
        <v>70</v>
      </c>
      <c r="T109" s="5">
        <f>VLOOKUP($A109,'SegEnds_NonXtal_Prot#'!$A:$AL,9,FALSE)</f>
        <v>74</v>
      </c>
      <c r="U109" s="5">
        <f>VLOOKUP($A109,'SegEnds_NonXtal_Prot#'!$A:$AL,12,FALSE)</f>
        <v>106</v>
      </c>
      <c r="V109" s="5">
        <f>VLOOKUP($A109,'SegEnds_NonXtal_Prot#'!$A:$AL,15,FALSE)</f>
        <v>110</v>
      </c>
      <c r="W109" s="5">
        <f>VLOOKUP($A109,'SegEnds_NonXtal_Prot#'!$A:$AL,18,FALSE)</f>
        <v>146</v>
      </c>
      <c r="X109" s="5">
        <f>VLOOKUP($A109,'SegEnds_NonXtal_Prot#'!$A:$AL,21,FALSE)</f>
        <v>154</v>
      </c>
      <c r="Y109" s="5">
        <f>VLOOKUP($A109,'SegEnds_NonXtal_Prot#'!$A:$AL,24,FALSE)</f>
        <v>196</v>
      </c>
      <c r="Z109" s="5">
        <f>VLOOKUP($A109,'SegEnds_NonXtal_Prot#'!$A:$AL,27,FALSE)</f>
        <v>203</v>
      </c>
      <c r="AA109" s="5">
        <f>VLOOKUP($A109,'SegEnds_NonXtal_Prot#'!$A:$AL,30,FALSE)</f>
        <v>302</v>
      </c>
      <c r="AB109" s="5">
        <f>VLOOKUP($A109,'SegEnds_NonXtal_Prot#'!$A:$AL,33,FALSE)</f>
        <v>345</v>
      </c>
      <c r="AC109" s="5">
        <f>VLOOKUP($A109,'SegEnds_NonXtal_Prot#'!$A:$AL,36,FALSE)</f>
        <v>374</v>
      </c>
      <c r="AD109" s="5">
        <f>VLOOKUP($A109,'SegEnds_NonXtal_Prot#'!$A:$AL,5,FALSE)</f>
        <v>69</v>
      </c>
      <c r="AE109" s="5">
        <f>VLOOKUP($A109,'SegEnds_NonXtal_Prot#'!$A:$AL,8,FALSE)</f>
        <v>73</v>
      </c>
      <c r="AF109" s="5">
        <f>VLOOKUP($A109,'SegEnds_NonXtal_Prot#'!$A:$AL,11,FALSE)</f>
        <v>104</v>
      </c>
      <c r="AG109" s="5">
        <f>VLOOKUP($A109,'SegEnds_NonXtal_Prot#'!$A:$AL,14,FALSE)</f>
        <v>109</v>
      </c>
      <c r="AH109" s="5">
        <f>VLOOKUP($A109,'SegEnds_NonXtal_Prot#'!$A:$AL,17,FALSE)</f>
        <v>145</v>
      </c>
      <c r="AI109" s="5">
        <f>VLOOKUP($A109,'SegEnds_NonXtal_Prot#'!$A:$AL,20,FALSE)</f>
        <v>153</v>
      </c>
      <c r="AJ109" s="5">
        <f>VLOOKUP($A109,'SegEnds_NonXtal_Prot#'!$A:$AL,23,FALSE)</f>
        <v>180</v>
      </c>
      <c r="AK109" s="5">
        <f>VLOOKUP($A109,'SegEnds_NonXtal_Prot#'!$A:$AL,26,FALSE)</f>
        <v>198</v>
      </c>
      <c r="AL109" s="5">
        <f>VLOOKUP($A109,'SegEnds_NonXtal_Prot#'!$A:$AL,29,FALSE)</f>
        <v>245</v>
      </c>
      <c r="AM109" s="5">
        <f>VLOOKUP($A109,'SegEnds_NonXtal_Prot#'!$A:$AL,32,FALSE)</f>
        <v>339</v>
      </c>
      <c r="AN109" s="5">
        <f>VLOOKUP($A109,'SegEnds_NonXtal_Prot#'!$A:$AL,35,FALSE)</f>
        <v>373</v>
      </c>
      <c r="AO109" s="5">
        <f>VLOOKUP($A109,'SegEnds_NonXtal_Prot#'!$A:$AL,38,FALSE)</f>
        <v>385</v>
      </c>
      <c r="AP109" s="5">
        <f t="shared" si="38"/>
        <v>28</v>
      </c>
      <c r="AQ109" s="4">
        <f t="shared" si="39"/>
        <v>3</v>
      </c>
      <c r="AR109" s="4">
        <f t="shared" si="40"/>
        <v>30</v>
      </c>
      <c r="AS109" s="4">
        <f t="shared" si="41"/>
        <v>3</v>
      </c>
      <c r="AT109" s="4">
        <f t="shared" si="42"/>
        <v>35</v>
      </c>
      <c r="AU109" s="4">
        <f t="shared" si="43"/>
        <v>7</v>
      </c>
      <c r="AV109" s="4">
        <f t="shared" si="44"/>
        <v>26</v>
      </c>
      <c r="AW109" s="4">
        <f t="shared" si="45"/>
        <v>2</v>
      </c>
      <c r="AX109" s="4">
        <f t="shared" si="46"/>
        <v>42</v>
      </c>
      <c r="AY109" s="4">
        <f t="shared" si="47"/>
        <v>37</v>
      </c>
      <c r="AZ109" s="4">
        <f t="shared" si="48"/>
        <v>28</v>
      </c>
      <c r="BA109" s="4">
        <f t="shared" si="49"/>
        <v>11</v>
      </c>
    </row>
    <row r="110" spans="1:53" x14ac:dyDescent="0.2">
      <c r="A110" s="1" t="str">
        <f>'SegEnds_NonXtal_Prot#'!A81</f>
        <v>ccr1_human</v>
      </c>
      <c r="B110" s="1" t="str">
        <f t="shared" si="25"/>
        <v>KVNERAFGAQLLPPLYSLVFVIGLVGNILVVLVLVQYNMTSIYLLNLAISDLLFLFTLPFWIDYKLKGDAMCKILSGFYYTGLYSEIFFIILLTIDRYLAIVHTVTFGVITSIIIWALAILASMPGLYFSSLREWKLFQALKLNLFGLVLPLLVMIICYTGIIKILLRRKSKAVRLIFVIMIIFFLFWTPYNLTILISVFQDFLFECEQSRHLDLAVQVTEVIAYTHCCVNPVIYAFVGERFRKYLRQLFH</v>
      </c>
      <c r="C110" s="29" t="str">
        <f>IF(ISERROR(MATCH(A110,'SegEnds_Xtal_Prot#'!B:B, 0)), "NoXtal", "Xtal")</f>
        <v>NoXtal</v>
      </c>
      <c r="D110" s="4" t="str">
        <f>VLOOKUP(A110,Classification!A:D,2,FALSE)</f>
        <v>A</v>
      </c>
      <c r="E110" s="5" t="str">
        <f>VLOOKUP(A110,Seqs!A:B,2,FALSE)</f>
        <v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v>
      </c>
      <c r="F110" s="5" t="str">
        <f t="shared" si="26"/>
        <v>KVNERAFGAQLLPPLYSLVFVIGLVGNILVVLVLVQY</v>
      </c>
      <c r="G110" s="4" t="str">
        <f t="shared" si="27"/>
        <v>KRLK</v>
      </c>
      <c r="H110" s="4" t="str">
        <f t="shared" si="28"/>
        <v>NMTSIYLLNLAISDLLFLFTLPFWIDYKLK</v>
      </c>
      <c r="I110" s="4" t="str">
        <f t="shared" si="29"/>
        <v>DWVF</v>
      </c>
      <c r="J110" s="4" t="str">
        <f t="shared" si="30"/>
        <v>GDAMCKILSGFYYTGLYSEIFFIILLTIDRYLAIVH</v>
      </c>
      <c r="K110" s="4" t="str">
        <f t="shared" si="31"/>
        <v>AVFALRAR</v>
      </c>
      <c r="L110" s="4" t="str">
        <f t="shared" si="32"/>
        <v>TVTFGVITSIIIWALAILASMPGLYFS</v>
      </c>
      <c r="M110" s="4" t="str">
        <f t="shared" si="33"/>
        <v>CSL</v>
      </c>
      <c r="N110" s="4" t="str">
        <f t="shared" si="34"/>
        <v>SLREWKLFQALKLNLFGLVLPLLVMIICYTGIIKILLRR</v>
      </c>
      <c r="O110" s="4" t="str">
        <f t="shared" si="35"/>
        <v>KSKAVRLIFVIMIIFFLFWTPYNLTILISVFQDFLF</v>
      </c>
      <c r="P110" s="4" t="str">
        <f t="shared" si="36"/>
        <v>ECEQSRHLDLAVQVTEVIAYTHCCVNPVIYAFV</v>
      </c>
      <c r="Q110" s="4" t="str">
        <f t="shared" si="37"/>
        <v>GERFRKYLRQLFH</v>
      </c>
      <c r="R110" s="5">
        <f>VLOOKUP($A110,'SegEnds_NonXtal_Prot#'!$A:$AL,3,FALSE)</f>
        <v>26</v>
      </c>
      <c r="S110" s="5">
        <f>VLOOKUP($A110,'SegEnds_NonXtal_Prot#'!$A:$AL,6,FALSE)</f>
        <v>63</v>
      </c>
      <c r="T110" s="5">
        <f>VLOOKUP($A110,'SegEnds_NonXtal_Prot#'!$A:$AL,9,FALSE)</f>
        <v>67</v>
      </c>
      <c r="U110" s="5">
        <f>VLOOKUP($A110,'SegEnds_NonXtal_Prot#'!$A:$AL,12,FALSE)</f>
        <v>98</v>
      </c>
      <c r="V110" s="5">
        <f>VLOOKUP($A110,'SegEnds_NonXtal_Prot#'!$A:$AL,15,FALSE)</f>
        <v>102</v>
      </c>
      <c r="W110" s="5">
        <f>VLOOKUP($A110,'SegEnds_NonXtal_Prot#'!$A:$AL,18,FALSE)</f>
        <v>138</v>
      </c>
      <c r="X110" s="5">
        <f>VLOOKUP($A110,'SegEnds_NonXtal_Prot#'!$A:$AL,21,FALSE)</f>
        <v>146</v>
      </c>
      <c r="Y110" s="5">
        <f>VLOOKUP($A110,'SegEnds_NonXtal_Prot#'!$A:$AL,24,FALSE)</f>
        <v>183</v>
      </c>
      <c r="Z110" s="5">
        <f>VLOOKUP($A110,'SegEnds_NonXtal_Prot#'!$A:$AL,27,FALSE)</f>
        <v>191</v>
      </c>
      <c r="AA110" s="5">
        <f>VLOOKUP($A110,'SegEnds_NonXtal_Prot#'!$A:$AL,30,FALSE)</f>
        <v>234</v>
      </c>
      <c r="AB110" s="5">
        <f>VLOOKUP($A110,'SegEnds_NonXtal_Prot#'!$A:$AL,33,FALSE)</f>
        <v>272</v>
      </c>
      <c r="AC110" s="5">
        <f>VLOOKUP($A110,'SegEnds_NonXtal_Prot#'!$A:$AL,36,FALSE)</f>
        <v>305</v>
      </c>
      <c r="AD110" s="5">
        <f>VLOOKUP($A110,'SegEnds_NonXtal_Prot#'!$A:$AL,5,FALSE)</f>
        <v>62</v>
      </c>
      <c r="AE110" s="5">
        <f>VLOOKUP($A110,'SegEnds_NonXtal_Prot#'!$A:$AL,8,FALSE)</f>
        <v>66</v>
      </c>
      <c r="AF110" s="5">
        <f>VLOOKUP($A110,'SegEnds_NonXtal_Prot#'!$A:$AL,11,FALSE)</f>
        <v>96</v>
      </c>
      <c r="AG110" s="5">
        <f>VLOOKUP($A110,'SegEnds_NonXtal_Prot#'!$A:$AL,14,FALSE)</f>
        <v>101</v>
      </c>
      <c r="AH110" s="5">
        <f>VLOOKUP($A110,'SegEnds_NonXtal_Prot#'!$A:$AL,17,FALSE)</f>
        <v>137</v>
      </c>
      <c r="AI110" s="5">
        <f>VLOOKUP($A110,'SegEnds_NonXtal_Prot#'!$A:$AL,20,FALSE)</f>
        <v>145</v>
      </c>
      <c r="AJ110" s="5">
        <f>VLOOKUP($A110,'SegEnds_NonXtal_Prot#'!$A:$AL,23,FALSE)</f>
        <v>172</v>
      </c>
      <c r="AK110" s="5">
        <f>VLOOKUP($A110,'SegEnds_NonXtal_Prot#'!$A:$AL,26,FALSE)</f>
        <v>185</v>
      </c>
      <c r="AL110" s="5">
        <f>VLOOKUP($A110,'SegEnds_NonXtal_Prot#'!$A:$AL,29,FALSE)</f>
        <v>229</v>
      </c>
      <c r="AM110" s="5">
        <f>VLOOKUP($A110,'SegEnds_NonXtal_Prot#'!$A:$AL,32,FALSE)</f>
        <v>269</v>
      </c>
      <c r="AN110" s="5">
        <f>VLOOKUP($A110,'SegEnds_NonXtal_Prot#'!$A:$AL,35,FALSE)</f>
        <v>304</v>
      </c>
      <c r="AO110" s="5">
        <f>VLOOKUP($A110,'SegEnds_NonXtal_Prot#'!$A:$AL,38,FALSE)</f>
        <v>317</v>
      </c>
      <c r="AP110" s="5">
        <f t="shared" si="38"/>
        <v>36</v>
      </c>
      <c r="AQ110" s="4">
        <f t="shared" si="39"/>
        <v>3</v>
      </c>
      <c r="AR110" s="4">
        <f t="shared" si="40"/>
        <v>29</v>
      </c>
      <c r="AS110" s="4">
        <f t="shared" si="41"/>
        <v>3</v>
      </c>
      <c r="AT110" s="4">
        <f t="shared" si="42"/>
        <v>35</v>
      </c>
      <c r="AU110" s="4">
        <f t="shared" si="43"/>
        <v>7</v>
      </c>
      <c r="AV110" s="4">
        <f t="shared" si="44"/>
        <v>26</v>
      </c>
      <c r="AW110" s="4">
        <f t="shared" si="45"/>
        <v>2</v>
      </c>
      <c r="AX110" s="4">
        <f t="shared" si="46"/>
        <v>38</v>
      </c>
      <c r="AY110" s="4">
        <f t="shared" si="47"/>
        <v>35</v>
      </c>
      <c r="AZ110" s="4">
        <f t="shared" si="48"/>
        <v>32</v>
      </c>
      <c r="BA110" s="4">
        <f t="shared" si="49"/>
        <v>12</v>
      </c>
    </row>
    <row r="111" spans="1:53" x14ac:dyDescent="0.2">
      <c r="A111" s="1" t="str">
        <f>'SegEnds_NonXtal_Prot#'!A82</f>
        <v>ccr2_human</v>
      </c>
      <c r="B111" s="1" t="str">
        <f t="shared" si="25"/>
        <v>VKQIGAQLLPPLYSLVFIFGFVGNMLVVLILINCCLTDIYLLNLAISDLLFLITLPLWAHSAANGNAMCKLFTGLYHIGYFGGIFFIILLTIDRYLAIVHTVTFGVVTSVITWLVAVFASVPGIIFTPRGWNNFHTIMRNILGLVLPLLIMVICYSGILKTLLRCKKRHRAVRVIFTIMIVYFLFWTPYNIVILLNTFQEFFGNCESTSQLDQATQVTETLGMTHCCINPIIYAFVGEKFRSLFHIAL</v>
      </c>
      <c r="C111" s="29" t="str">
        <f>IF(ISERROR(MATCH(A111,'SegEnds_Xtal_Prot#'!B:B, 0)), "NoXtal", "Xtal")</f>
        <v>Xtal</v>
      </c>
      <c r="D111" s="4" t="str">
        <f>VLOOKUP(A111,Classification!A:D,2,FALSE)</f>
        <v>A</v>
      </c>
      <c r="E111" s="5" t="str">
        <f>VLOOKUP(A111,Seqs!A:B,2,FALSE)</f>
        <v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v>
      </c>
      <c r="F111" s="5" t="str">
        <f t="shared" si="26"/>
        <v>VKQIGAQLLPPLYSLVFIFGFVGNMLVVLILINC</v>
      </c>
      <c r="G111" s="4" t="str">
        <f t="shared" si="27"/>
        <v>KKLK</v>
      </c>
      <c r="H111" s="4" t="str">
        <f t="shared" si="28"/>
        <v>CLTDIYLLNLAISDLLFLITLPLWAHSAAN</v>
      </c>
      <c r="I111" s="4" t="str">
        <f t="shared" si="29"/>
        <v>EWVF</v>
      </c>
      <c r="J111" s="4" t="str">
        <f t="shared" si="30"/>
        <v>GNAMCKLFTGLYHIGYFGGIFFIILLTIDRYLAIVH</v>
      </c>
      <c r="K111" s="4" t="str">
        <f t="shared" si="31"/>
        <v>AVFALKAR</v>
      </c>
      <c r="L111" s="4" t="str">
        <f t="shared" si="32"/>
        <v>TVTFGVVTSVITWLVAVFASVPGIIFT</v>
      </c>
      <c r="M111" s="4" t="str">
        <f t="shared" si="33"/>
        <v>CGP</v>
      </c>
      <c r="N111" s="4" t="str">
        <f t="shared" si="34"/>
        <v>PRGWNNFHTIMRNILGLVLPLLIMVICYSGILKTLLRC</v>
      </c>
      <c r="O111" s="4" t="str">
        <f t="shared" si="35"/>
        <v>KKRHRAVRVIFTIMIVYFLFWTPYNIVILLNTFQEFFG</v>
      </c>
      <c r="P111" s="4" t="str">
        <f t="shared" si="36"/>
        <v>NCESTSQLDQATQVTETLGMTHCCINPIIYAFV</v>
      </c>
      <c r="Q111" s="4" t="str">
        <f t="shared" si="37"/>
        <v>GEKFRSLFHIAL</v>
      </c>
      <c r="R111" s="5">
        <f>VLOOKUP($A111,'SegEnds_NonXtal_Prot#'!$A:$AL,3,FALSE)</f>
        <v>37</v>
      </c>
      <c r="S111" s="5">
        <f>VLOOKUP($A111,'SegEnds_NonXtal_Prot#'!$A:$AL,6,FALSE)</f>
        <v>71</v>
      </c>
      <c r="T111" s="5">
        <f>VLOOKUP($A111,'SegEnds_NonXtal_Prot#'!$A:$AL,9,FALSE)</f>
        <v>75</v>
      </c>
      <c r="U111" s="5">
        <f>VLOOKUP($A111,'SegEnds_NonXtal_Prot#'!$A:$AL,12,FALSE)</f>
        <v>105</v>
      </c>
      <c r="V111" s="5">
        <f>VLOOKUP($A111,'SegEnds_NonXtal_Prot#'!$A:$AL,15,FALSE)</f>
        <v>109</v>
      </c>
      <c r="W111" s="5">
        <f>VLOOKUP($A111,'SegEnds_NonXtal_Prot#'!$A:$AL,18,FALSE)</f>
        <v>145</v>
      </c>
      <c r="X111" s="5">
        <f>VLOOKUP($A111,'SegEnds_NonXtal_Prot#'!$A:$AL,21,FALSE)</f>
        <v>153</v>
      </c>
      <c r="Y111" s="5">
        <f>VLOOKUP($A111,'SegEnds_NonXtal_Prot#'!$A:$AL,24,FALSE)</f>
        <v>190</v>
      </c>
      <c r="Z111" s="5">
        <f>VLOOKUP($A111,'SegEnds_NonXtal_Prot#'!$A:$AL,27,FALSE)</f>
        <v>195</v>
      </c>
      <c r="AA111" s="5">
        <f>VLOOKUP($A111,'SegEnds_NonXtal_Prot#'!$A:$AL,30,FALSE)</f>
        <v>236</v>
      </c>
      <c r="AB111" s="5">
        <f>VLOOKUP($A111,'SegEnds_NonXtal_Prot#'!$A:$AL,33,FALSE)</f>
        <v>276</v>
      </c>
      <c r="AC111" s="5">
        <f>VLOOKUP($A111,'SegEnds_NonXtal_Prot#'!$A:$AL,36,FALSE)</f>
        <v>309</v>
      </c>
      <c r="AD111" s="5">
        <f>VLOOKUP($A111,'SegEnds_NonXtal_Prot#'!$A:$AL,5,FALSE)</f>
        <v>70</v>
      </c>
      <c r="AE111" s="5">
        <f>VLOOKUP($A111,'SegEnds_NonXtal_Prot#'!$A:$AL,8,FALSE)</f>
        <v>74</v>
      </c>
      <c r="AF111" s="5">
        <f>VLOOKUP($A111,'SegEnds_NonXtal_Prot#'!$A:$AL,11,FALSE)</f>
        <v>104</v>
      </c>
      <c r="AG111" s="5">
        <f>VLOOKUP($A111,'SegEnds_NonXtal_Prot#'!$A:$AL,14,FALSE)</f>
        <v>108</v>
      </c>
      <c r="AH111" s="5">
        <f>VLOOKUP($A111,'SegEnds_NonXtal_Prot#'!$A:$AL,17,FALSE)</f>
        <v>144</v>
      </c>
      <c r="AI111" s="5">
        <f>VLOOKUP($A111,'SegEnds_NonXtal_Prot#'!$A:$AL,20,FALSE)</f>
        <v>152</v>
      </c>
      <c r="AJ111" s="5">
        <f>VLOOKUP($A111,'SegEnds_NonXtal_Prot#'!$A:$AL,23,FALSE)</f>
        <v>179</v>
      </c>
      <c r="AK111" s="5">
        <f>VLOOKUP($A111,'SegEnds_NonXtal_Prot#'!$A:$AL,26,FALSE)</f>
        <v>192</v>
      </c>
      <c r="AL111" s="5">
        <f>VLOOKUP($A111,'SegEnds_NonXtal_Prot#'!$A:$AL,29,FALSE)</f>
        <v>232</v>
      </c>
      <c r="AM111" s="5">
        <f>VLOOKUP($A111,'SegEnds_NonXtal_Prot#'!$A:$AL,32,FALSE)</f>
        <v>273</v>
      </c>
      <c r="AN111" s="5">
        <f>VLOOKUP($A111,'SegEnds_NonXtal_Prot#'!$A:$AL,35,FALSE)</f>
        <v>308</v>
      </c>
      <c r="AO111" s="5">
        <f>VLOOKUP($A111,'SegEnds_NonXtal_Prot#'!$A:$AL,38,FALSE)</f>
        <v>320</v>
      </c>
      <c r="AP111" s="5">
        <f t="shared" si="38"/>
        <v>33</v>
      </c>
      <c r="AQ111" s="4">
        <f t="shared" si="39"/>
        <v>3</v>
      </c>
      <c r="AR111" s="4">
        <f t="shared" si="40"/>
        <v>29</v>
      </c>
      <c r="AS111" s="4">
        <f t="shared" si="41"/>
        <v>3</v>
      </c>
      <c r="AT111" s="4">
        <f t="shared" si="42"/>
        <v>35</v>
      </c>
      <c r="AU111" s="4">
        <f t="shared" si="43"/>
        <v>7</v>
      </c>
      <c r="AV111" s="4">
        <f t="shared" si="44"/>
        <v>26</v>
      </c>
      <c r="AW111" s="4">
        <f t="shared" si="45"/>
        <v>2</v>
      </c>
      <c r="AX111" s="4">
        <f t="shared" si="46"/>
        <v>37</v>
      </c>
      <c r="AY111" s="4">
        <f t="shared" si="47"/>
        <v>37</v>
      </c>
      <c r="AZ111" s="4">
        <f t="shared" si="48"/>
        <v>32</v>
      </c>
      <c r="BA111" s="4">
        <f t="shared" si="49"/>
        <v>11</v>
      </c>
    </row>
    <row r="112" spans="1:53" x14ac:dyDescent="0.2">
      <c r="A112" s="1" t="str">
        <f>'SegEnds_NonXtal_Prot#'!A83</f>
        <v>ccr3_human</v>
      </c>
      <c r="B112" s="1" t="str">
        <f t="shared" si="25"/>
        <v>KADTRALMAQFVPPLYSLVFTVGLLGNVVVVMILIKYIMTNIYLLNLAISDLLFLVTLPFWIHYVRGGHGMCKLLSGFYHTGLYSEIFFIILLTIDRYLAIVHTVTFGVITSIVTWGLAVLAALPEFIFYTVYSWRHFHTLRMTIFCLVLPLLVMAICYTGIIKTLLRCKYKAIRLIFVIMAVFFIFWTPYNVAILLSSYQSILFDCERSKHLDLVMLVTEVIAYSHCCMNPVIYAFVGERFRKYLRHFFH</v>
      </c>
      <c r="C112" s="29" t="str">
        <f>IF(ISERROR(MATCH(A112,'SegEnds_Xtal_Prot#'!B:B, 0)), "NoXtal", "Xtal")</f>
        <v>NoXtal</v>
      </c>
      <c r="D112" s="4" t="str">
        <f>VLOOKUP(A112,Classification!A:D,2,FALSE)</f>
        <v>A</v>
      </c>
      <c r="E112" s="5" t="str">
        <f>VLOOKUP(A112,Seqs!A:B,2,FALSE)</f>
        <v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v>
      </c>
      <c r="F112" s="5" t="str">
        <f t="shared" si="26"/>
        <v>KADTRALMAQFVPPLYSLVFTVGLLGNVVVVMILIKY</v>
      </c>
      <c r="G112" s="4" t="str">
        <f t="shared" si="27"/>
        <v>RRLR</v>
      </c>
      <c r="H112" s="4" t="str">
        <f t="shared" si="28"/>
        <v>IMTNIYLLNLAISDLLFLVTLPFWIHYVRG</v>
      </c>
      <c r="I112" s="4" t="str">
        <f t="shared" si="29"/>
        <v>NWVF</v>
      </c>
      <c r="J112" s="4" t="str">
        <f t="shared" si="30"/>
        <v>GHGMCKLLSGFYHTGLYSEIFFIILLTIDRYLAIVH</v>
      </c>
      <c r="K112" s="4" t="str">
        <f t="shared" si="31"/>
        <v>AVFALRAR</v>
      </c>
      <c r="L112" s="4" t="str">
        <f t="shared" si="32"/>
        <v>TVTFGVITSIVTWGLAVLAALPEFIFY</v>
      </c>
      <c r="M112" s="4" t="str">
        <f t="shared" si="33"/>
        <v>CSA</v>
      </c>
      <c r="N112" s="4" t="str">
        <f t="shared" si="34"/>
        <v>TVYSWRHFHTLRMTIFCLVLPLLVMAICYTGIIKTLLRC</v>
      </c>
      <c r="O112" s="4" t="str">
        <f t="shared" si="35"/>
        <v>KYKAIRLIFVIMAVFFIFWTPYNVAILLSSYQSILF</v>
      </c>
      <c r="P112" s="4" t="str">
        <f t="shared" si="36"/>
        <v>DCERSKHLDLVMLVTEVIAYSHCCMNPVIYAFV</v>
      </c>
      <c r="Q112" s="4" t="str">
        <f t="shared" si="37"/>
        <v>GERFRKYLRHFFH</v>
      </c>
      <c r="R112" s="5">
        <f>VLOOKUP($A112,'SegEnds_NonXtal_Prot#'!$A:$AL,3,FALSE)</f>
        <v>26</v>
      </c>
      <c r="S112" s="5">
        <f>VLOOKUP($A112,'SegEnds_NonXtal_Prot#'!$A:$AL,6,FALSE)</f>
        <v>63</v>
      </c>
      <c r="T112" s="5">
        <f>VLOOKUP($A112,'SegEnds_NonXtal_Prot#'!$A:$AL,9,FALSE)</f>
        <v>67</v>
      </c>
      <c r="U112" s="5">
        <f>VLOOKUP($A112,'SegEnds_NonXtal_Prot#'!$A:$AL,12,FALSE)</f>
        <v>98</v>
      </c>
      <c r="V112" s="5">
        <f>VLOOKUP($A112,'SegEnds_NonXtal_Prot#'!$A:$AL,15,FALSE)</f>
        <v>102</v>
      </c>
      <c r="W112" s="5">
        <f>VLOOKUP($A112,'SegEnds_NonXtal_Prot#'!$A:$AL,18,FALSE)</f>
        <v>138</v>
      </c>
      <c r="X112" s="5">
        <f>VLOOKUP($A112,'SegEnds_NonXtal_Prot#'!$A:$AL,21,FALSE)</f>
        <v>146</v>
      </c>
      <c r="Y112" s="5">
        <f>VLOOKUP($A112,'SegEnds_NonXtal_Prot#'!$A:$AL,24,FALSE)</f>
        <v>183</v>
      </c>
      <c r="Z112" s="5">
        <f>VLOOKUP($A112,'SegEnds_NonXtal_Prot#'!$A:$AL,27,FALSE)</f>
        <v>191</v>
      </c>
      <c r="AA112" s="5">
        <f>VLOOKUP($A112,'SegEnds_NonXtal_Prot#'!$A:$AL,30,FALSE)</f>
        <v>234</v>
      </c>
      <c r="AB112" s="5">
        <f>VLOOKUP($A112,'SegEnds_NonXtal_Prot#'!$A:$AL,33,FALSE)</f>
        <v>272</v>
      </c>
      <c r="AC112" s="5">
        <f>VLOOKUP($A112,'SegEnds_NonXtal_Prot#'!$A:$AL,36,FALSE)</f>
        <v>305</v>
      </c>
      <c r="AD112" s="5">
        <f>VLOOKUP($A112,'SegEnds_NonXtal_Prot#'!$A:$AL,5,FALSE)</f>
        <v>62</v>
      </c>
      <c r="AE112" s="5">
        <f>VLOOKUP($A112,'SegEnds_NonXtal_Prot#'!$A:$AL,8,FALSE)</f>
        <v>66</v>
      </c>
      <c r="AF112" s="5">
        <f>VLOOKUP($A112,'SegEnds_NonXtal_Prot#'!$A:$AL,11,FALSE)</f>
        <v>96</v>
      </c>
      <c r="AG112" s="5">
        <f>VLOOKUP($A112,'SegEnds_NonXtal_Prot#'!$A:$AL,14,FALSE)</f>
        <v>101</v>
      </c>
      <c r="AH112" s="5">
        <f>VLOOKUP($A112,'SegEnds_NonXtal_Prot#'!$A:$AL,17,FALSE)</f>
        <v>137</v>
      </c>
      <c r="AI112" s="5">
        <f>VLOOKUP($A112,'SegEnds_NonXtal_Prot#'!$A:$AL,20,FALSE)</f>
        <v>145</v>
      </c>
      <c r="AJ112" s="5">
        <f>VLOOKUP($A112,'SegEnds_NonXtal_Prot#'!$A:$AL,23,FALSE)</f>
        <v>172</v>
      </c>
      <c r="AK112" s="5">
        <f>VLOOKUP($A112,'SegEnds_NonXtal_Prot#'!$A:$AL,26,FALSE)</f>
        <v>185</v>
      </c>
      <c r="AL112" s="5">
        <f>VLOOKUP($A112,'SegEnds_NonXtal_Prot#'!$A:$AL,29,FALSE)</f>
        <v>229</v>
      </c>
      <c r="AM112" s="5">
        <f>VLOOKUP($A112,'SegEnds_NonXtal_Prot#'!$A:$AL,32,FALSE)</f>
        <v>269</v>
      </c>
      <c r="AN112" s="5">
        <f>VLOOKUP($A112,'SegEnds_NonXtal_Prot#'!$A:$AL,35,FALSE)</f>
        <v>304</v>
      </c>
      <c r="AO112" s="5">
        <f>VLOOKUP($A112,'SegEnds_NonXtal_Prot#'!$A:$AL,38,FALSE)</f>
        <v>317</v>
      </c>
      <c r="AP112" s="5">
        <f t="shared" si="38"/>
        <v>36</v>
      </c>
      <c r="AQ112" s="4">
        <f t="shared" si="39"/>
        <v>3</v>
      </c>
      <c r="AR112" s="4">
        <f t="shared" si="40"/>
        <v>29</v>
      </c>
      <c r="AS112" s="4">
        <f t="shared" si="41"/>
        <v>3</v>
      </c>
      <c r="AT112" s="4">
        <f t="shared" si="42"/>
        <v>35</v>
      </c>
      <c r="AU112" s="4">
        <f t="shared" si="43"/>
        <v>7</v>
      </c>
      <c r="AV112" s="4">
        <f t="shared" si="44"/>
        <v>26</v>
      </c>
      <c r="AW112" s="4">
        <f t="shared" si="45"/>
        <v>2</v>
      </c>
      <c r="AX112" s="4">
        <f t="shared" si="46"/>
        <v>38</v>
      </c>
      <c r="AY112" s="4">
        <f t="shared" si="47"/>
        <v>35</v>
      </c>
      <c r="AZ112" s="4">
        <f t="shared" si="48"/>
        <v>32</v>
      </c>
      <c r="BA112" s="4">
        <f t="shared" si="49"/>
        <v>12</v>
      </c>
    </row>
    <row r="113" spans="1:53" x14ac:dyDescent="0.2">
      <c r="A113" s="1" t="str">
        <f>'SegEnds_NonXtal_Prot#'!A84</f>
        <v>ccr4_human</v>
      </c>
      <c r="B113" s="1" t="str">
        <f t="shared" si="25"/>
        <v>KEGIKAFGELFLPPLYSLVFVFGLLGNSVVVLVLFKYSMTDVYLLNLAISDLLFVFSLPFWGYYAADGLGLCKMISWMYLVGFYSGIFFVMLMSIDRYLAIVHTLTYGVITSLATWSVAVFASLPGFLFSNSTTWKVLSSLEINILGLVIPLGIMLFCYSMIIRTLQHCKNKAVKMIFAVVVLFLGFWTPYNIVLFLETLVELEVDCTFERYLDYAIQATETLAFVHCCLNPIIYFFLGEKFRKYILQLFK</v>
      </c>
      <c r="C113" s="29" t="str">
        <f>IF(ISERROR(MATCH(A113,'SegEnds_Xtal_Prot#'!B:B, 0)), "NoXtal", "Xtal")</f>
        <v>NoXtal</v>
      </c>
      <c r="D113" s="4" t="str">
        <f>VLOOKUP(A113,Classification!A:D,2,FALSE)</f>
        <v>A</v>
      </c>
      <c r="E113" s="5" t="str">
        <f>VLOOKUP(A113,Seqs!A:B,2,FALSE)</f>
        <v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v>
      </c>
      <c r="F113" s="5" t="str">
        <f t="shared" si="26"/>
        <v>KEGIKAFGELFLPPLYSLVFVFGLLGNSVVVLVLFKY</v>
      </c>
      <c r="G113" s="4" t="str">
        <f t="shared" si="27"/>
        <v>KRLR</v>
      </c>
      <c r="H113" s="4" t="str">
        <f t="shared" si="28"/>
        <v>SMTDVYLLNLAISDLLFVFSLPFWGYYAAD</v>
      </c>
      <c r="I113" s="4" t="str">
        <f t="shared" si="29"/>
        <v>QWVF</v>
      </c>
      <c r="J113" s="4" t="str">
        <f t="shared" si="30"/>
        <v>GLGLCKMISWMYLVGFYSGIFFVMLMSIDRYLAIVH</v>
      </c>
      <c r="K113" s="4" t="str">
        <f t="shared" si="31"/>
        <v>AVFSLRAR</v>
      </c>
      <c r="L113" s="4" t="str">
        <f t="shared" si="32"/>
        <v>TLTYGVITSLATWSVAVFASLPGFLFS</v>
      </c>
      <c r="M113" s="4" t="str">
        <f t="shared" si="33"/>
        <v>CKT</v>
      </c>
      <c r="N113" s="4" t="str">
        <f t="shared" si="34"/>
        <v>NSTTWKVLSSLEINILGLVIPLGIMLFCYSMIIRTLQHC</v>
      </c>
      <c r="O113" s="4" t="str">
        <f t="shared" si="35"/>
        <v>KNKAVKMIFAVVVLFLGFWTPYNIVLFLETLVELEV</v>
      </c>
      <c r="P113" s="4" t="str">
        <f t="shared" si="36"/>
        <v>DCTFERYLDYAIQATETLAFVHCCLNPIIYFFL</v>
      </c>
      <c r="Q113" s="4" t="str">
        <f t="shared" si="37"/>
        <v>GEKFRKYILQLFK</v>
      </c>
      <c r="R113" s="5">
        <f>VLOOKUP($A113,'SegEnds_NonXtal_Prot#'!$A:$AL,3,FALSE)</f>
        <v>31</v>
      </c>
      <c r="S113" s="5">
        <f>VLOOKUP($A113,'SegEnds_NonXtal_Prot#'!$A:$AL,6,FALSE)</f>
        <v>68</v>
      </c>
      <c r="T113" s="5">
        <f>VLOOKUP($A113,'SegEnds_NonXtal_Prot#'!$A:$AL,9,FALSE)</f>
        <v>72</v>
      </c>
      <c r="U113" s="5">
        <f>VLOOKUP($A113,'SegEnds_NonXtal_Prot#'!$A:$AL,12,FALSE)</f>
        <v>102</v>
      </c>
      <c r="V113" s="5">
        <f>VLOOKUP($A113,'SegEnds_NonXtal_Prot#'!$A:$AL,15,FALSE)</f>
        <v>106</v>
      </c>
      <c r="W113" s="5">
        <f>VLOOKUP($A113,'SegEnds_NonXtal_Prot#'!$A:$AL,18,FALSE)</f>
        <v>142</v>
      </c>
      <c r="X113" s="5">
        <f>VLOOKUP($A113,'SegEnds_NonXtal_Prot#'!$A:$AL,21,FALSE)</f>
        <v>150</v>
      </c>
      <c r="Y113" s="5">
        <f>VLOOKUP($A113,'SegEnds_NonXtal_Prot#'!$A:$AL,24,FALSE)</f>
        <v>187</v>
      </c>
      <c r="Z113" s="5">
        <f>VLOOKUP($A113,'SegEnds_NonXtal_Prot#'!$A:$AL,27,FALSE)</f>
        <v>194</v>
      </c>
      <c r="AA113" s="5">
        <f>VLOOKUP($A113,'SegEnds_NonXtal_Prot#'!$A:$AL,30,FALSE)</f>
        <v>237</v>
      </c>
      <c r="AB113" s="5">
        <f>VLOOKUP($A113,'SegEnds_NonXtal_Prot#'!$A:$AL,33,FALSE)</f>
        <v>275</v>
      </c>
      <c r="AC113" s="5">
        <f>VLOOKUP($A113,'SegEnds_NonXtal_Prot#'!$A:$AL,36,FALSE)</f>
        <v>308</v>
      </c>
      <c r="AD113" s="5">
        <f>VLOOKUP($A113,'SegEnds_NonXtal_Prot#'!$A:$AL,5,FALSE)</f>
        <v>67</v>
      </c>
      <c r="AE113" s="5">
        <f>VLOOKUP($A113,'SegEnds_NonXtal_Prot#'!$A:$AL,8,FALSE)</f>
        <v>71</v>
      </c>
      <c r="AF113" s="5">
        <f>VLOOKUP($A113,'SegEnds_NonXtal_Prot#'!$A:$AL,11,FALSE)</f>
        <v>101</v>
      </c>
      <c r="AG113" s="5">
        <f>VLOOKUP($A113,'SegEnds_NonXtal_Prot#'!$A:$AL,14,FALSE)</f>
        <v>105</v>
      </c>
      <c r="AH113" s="5">
        <f>VLOOKUP($A113,'SegEnds_NonXtal_Prot#'!$A:$AL,17,FALSE)</f>
        <v>141</v>
      </c>
      <c r="AI113" s="5">
        <f>VLOOKUP($A113,'SegEnds_NonXtal_Prot#'!$A:$AL,20,FALSE)</f>
        <v>149</v>
      </c>
      <c r="AJ113" s="5">
        <f>VLOOKUP($A113,'SegEnds_NonXtal_Prot#'!$A:$AL,23,FALSE)</f>
        <v>176</v>
      </c>
      <c r="AK113" s="5">
        <f>VLOOKUP($A113,'SegEnds_NonXtal_Prot#'!$A:$AL,26,FALSE)</f>
        <v>189</v>
      </c>
      <c r="AL113" s="5">
        <f>VLOOKUP($A113,'SegEnds_NonXtal_Prot#'!$A:$AL,29,FALSE)</f>
        <v>232</v>
      </c>
      <c r="AM113" s="5">
        <f>VLOOKUP($A113,'SegEnds_NonXtal_Prot#'!$A:$AL,32,FALSE)</f>
        <v>272</v>
      </c>
      <c r="AN113" s="5">
        <f>VLOOKUP($A113,'SegEnds_NonXtal_Prot#'!$A:$AL,35,FALSE)</f>
        <v>307</v>
      </c>
      <c r="AO113" s="5">
        <f>VLOOKUP($A113,'SegEnds_NonXtal_Prot#'!$A:$AL,38,FALSE)</f>
        <v>320</v>
      </c>
      <c r="AP113" s="5">
        <f t="shared" si="38"/>
        <v>36</v>
      </c>
      <c r="AQ113" s="4">
        <f t="shared" si="39"/>
        <v>3</v>
      </c>
      <c r="AR113" s="4">
        <f t="shared" si="40"/>
        <v>29</v>
      </c>
      <c r="AS113" s="4">
        <f t="shared" si="41"/>
        <v>3</v>
      </c>
      <c r="AT113" s="4">
        <f t="shared" si="42"/>
        <v>35</v>
      </c>
      <c r="AU113" s="4">
        <f t="shared" si="43"/>
        <v>7</v>
      </c>
      <c r="AV113" s="4">
        <f t="shared" si="44"/>
        <v>26</v>
      </c>
      <c r="AW113" s="4">
        <f t="shared" si="45"/>
        <v>2</v>
      </c>
      <c r="AX113" s="4">
        <f t="shared" si="46"/>
        <v>38</v>
      </c>
      <c r="AY113" s="4">
        <f t="shared" si="47"/>
        <v>35</v>
      </c>
      <c r="AZ113" s="4">
        <f t="shared" si="48"/>
        <v>32</v>
      </c>
      <c r="BA113" s="4">
        <f t="shared" si="49"/>
        <v>12</v>
      </c>
    </row>
    <row r="114" spans="1:53" x14ac:dyDescent="0.2">
      <c r="A114" s="1" t="str">
        <f>'SegEnds_NonXtal_Prot#'!A85</f>
        <v>ccr5_human</v>
      </c>
      <c r="B114" s="1" t="str">
        <f t="shared" si="25"/>
        <v>KINVKQIAARLLPPLYSLVFIFGFVGNMLVILILINCSMTDIYLLNLAISDLFFLLTVPFWAHYAAAGNTMCQLLTGLYFIGFFSGIFFIILLTIDRYLAVVHTVTFGVVTSVITWVVAVFASLPGIIFTQYQFWKNFQTLKIVILGLVLPLLVMVICYSGILKTLLRCKKRHRAVRLIFTIMIVYFLFWAPYNIVLLLNTFQEFFGNCSSSNRLDQAMQVTETLGMTHCCINPIIYAFVGEKFRNYLLVFFQ</v>
      </c>
      <c r="C114" s="29" t="str">
        <f>IF(ISERROR(MATCH(A114,'SegEnds_Xtal_Prot#'!B:B, 0)), "NoXtal", "Xtal")</f>
        <v>Xtal</v>
      </c>
      <c r="D114" s="4" t="str">
        <f>VLOOKUP(A114,Classification!A:D,2,FALSE)</f>
        <v>A</v>
      </c>
      <c r="E114" s="5" t="str">
        <f>VLOOKUP(A114,Seqs!A:B,2,FALSE)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F114" s="5" t="str">
        <f t="shared" si="26"/>
        <v>KINVKQIAARLLPPLYSLVFIFGFVGNMLVILILINC</v>
      </c>
      <c r="G114" s="4" t="str">
        <f t="shared" si="27"/>
        <v>KRLK</v>
      </c>
      <c r="H114" s="4" t="str">
        <f t="shared" si="28"/>
        <v>SMTDIYLLNLAISDLFFLLTVPFWAHYAAA</v>
      </c>
      <c r="I114" s="4" t="str">
        <f t="shared" si="29"/>
        <v>QWDF</v>
      </c>
      <c r="J114" s="4" t="str">
        <f t="shared" si="30"/>
        <v>GNTMCQLLTGLYFIGFFSGIFFIILLTIDRYLAVVH</v>
      </c>
      <c r="K114" s="4" t="str">
        <f t="shared" si="31"/>
        <v>AVFALKAR</v>
      </c>
      <c r="L114" s="4" t="str">
        <f t="shared" si="32"/>
        <v>TVTFGVVTSVITWVVAVFASLPGIIFT</v>
      </c>
      <c r="M114" s="4" t="str">
        <f t="shared" si="33"/>
        <v>CSS</v>
      </c>
      <c r="N114" s="4" t="str">
        <f t="shared" si="34"/>
        <v>QYQFWKNFQTLKIVILGLVLPLLVMVICYSGILKTLLRC</v>
      </c>
      <c r="O114" s="4" t="str">
        <f t="shared" si="35"/>
        <v>KKRHRAVRLIFTIMIVYFLFWAPYNIVLLLNTFQEFFG</v>
      </c>
      <c r="P114" s="4" t="str">
        <f t="shared" si="36"/>
        <v>NCSSSNRLDQAMQVTETLGMTHCCINPIIYAFV</v>
      </c>
      <c r="Q114" s="4" t="str">
        <f t="shared" si="37"/>
        <v>GEKFRNYLLVFFQ</v>
      </c>
      <c r="R114" s="5">
        <f>VLOOKUP($A114,'SegEnds_NonXtal_Prot#'!$A:$AL,3,FALSE)</f>
        <v>22</v>
      </c>
      <c r="S114" s="5">
        <f>VLOOKUP($A114,'SegEnds_NonXtal_Prot#'!$A:$AL,6,FALSE)</f>
        <v>59</v>
      </c>
      <c r="T114" s="5">
        <f>VLOOKUP($A114,'SegEnds_NonXtal_Prot#'!$A:$AL,9,FALSE)</f>
        <v>63</v>
      </c>
      <c r="U114" s="5">
        <f>VLOOKUP($A114,'SegEnds_NonXtal_Prot#'!$A:$AL,12,FALSE)</f>
        <v>93</v>
      </c>
      <c r="V114" s="5">
        <f>VLOOKUP($A114,'SegEnds_NonXtal_Prot#'!$A:$AL,15,FALSE)</f>
        <v>97</v>
      </c>
      <c r="W114" s="5">
        <f>VLOOKUP($A114,'SegEnds_NonXtal_Prot#'!$A:$AL,18,FALSE)</f>
        <v>133</v>
      </c>
      <c r="X114" s="5">
        <f>VLOOKUP($A114,'SegEnds_NonXtal_Prot#'!$A:$AL,21,FALSE)</f>
        <v>141</v>
      </c>
      <c r="Y114" s="5">
        <f>VLOOKUP($A114,'SegEnds_NonXtal_Prot#'!$A:$AL,24,FALSE)</f>
        <v>178</v>
      </c>
      <c r="Z114" s="5">
        <f>VLOOKUP($A114,'SegEnds_NonXtal_Prot#'!$A:$AL,27,FALSE)</f>
        <v>186</v>
      </c>
      <c r="AA114" s="5">
        <f>VLOOKUP($A114,'SegEnds_NonXtal_Prot#'!$A:$AL,30,FALSE)</f>
        <v>228</v>
      </c>
      <c r="AB114" s="5">
        <f>VLOOKUP($A114,'SegEnds_NonXtal_Prot#'!$A:$AL,33,FALSE)</f>
        <v>268</v>
      </c>
      <c r="AC114" s="5">
        <f>VLOOKUP($A114,'SegEnds_NonXtal_Prot#'!$A:$AL,36,FALSE)</f>
        <v>301</v>
      </c>
      <c r="AD114" s="5">
        <f>VLOOKUP($A114,'SegEnds_NonXtal_Prot#'!$A:$AL,5,FALSE)</f>
        <v>58</v>
      </c>
      <c r="AE114" s="5">
        <f>VLOOKUP($A114,'SegEnds_NonXtal_Prot#'!$A:$AL,8,FALSE)</f>
        <v>62</v>
      </c>
      <c r="AF114" s="5">
        <f>VLOOKUP($A114,'SegEnds_NonXtal_Prot#'!$A:$AL,11,FALSE)</f>
        <v>92</v>
      </c>
      <c r="AG114" s="5">
        <f>VLOOKUP($A114,'SegEnds_NonXtal_Prot#'!$A:$AL,14,FALSE)</f>
        <v>96</v>
      </c>
      <c r="AH114" s="5">
        <f>VLOOKUP($A114,'SegEnds_NonXtal_Prot#'!$A:$AL,17,FALSE)</f>
        <v>132</v>
      </c>
      <c r="AI114" s="5">
        <f>VLOOKUP($A114,'SegEnds_NonXtal_Prot#'!$A:$AL,20,FALSE)</f>
        <v>140</v>
      </c>
      <c r="AJ114" s="5">
        <f>VLOOKUP($A114,'SegEnds_NonXtal_Prot#'!$A:$AL,23,FALSE)</f>
        <v>167</v>
      </c>
      <c r="AK114" s="5">
        <f>VLOOKUP($A114,'SegEnds_NonXtal_Prot#'!$A:$AL,26,FALSE)</f>
        <v>180</v>
      </c>
      <c r="AL114" s="5">
        <f>VLOOKUP($A114,'SegEnds_NonXtal_Prot#'!$A:$AL,29,FALSE)</f>
        <v>224</v>
      </c>
      <c r="AM114" s="5">
        <f>VLOOKUP($A114,'SegEnds_NonXtal_Prot#'!$A:$AL,32,FALSE)</f>
        <v>265</v>
      </c>
      <c r="AN114" s="5">
        <f>VLOOKUP($A114,'SegEnds_NonXtal_Prot#'!$A:$AL,35,FALSE)</f>
        <v>300</v>
      </c>
      <c r="AO114" s="5">
        <f>VLOOKUP($A114,'SegEnds_NonXtal_Prot#'!$A:$AL,38,FALSE)</f>
        <v>313</v>
      </c>
      <c r="AP114" s="5">
        <f t="shared" si="38"/>
        <v>36</v>
      </c>
      <c r="AQ114" s="4">
        <f t="shared" si="39"/>
        <v>3</v>
      </c>
      <c r="AR114" s="4">
        <f t="shared" si="40"/>
        <v>29</v>
      </c>
      <c r="AS114" s="4">
        <f t="shared" si="41"/>
        <v>3</v>
      </c>
      <c r="AT114" s="4">
        <f t="shared" si="42"/>
        <v>35</v>
      </c>
      <c r="AU114" s="4">
        <f t="shared" si="43"/>
        <v>7</v>
      </c>
      <c r="AV114" s="4">
        <f t="shared" si="44"/>
        <v>26</v>
      </c>
      <c r="AW114" s="4">
        <f t="shared" si="45"/>
        <v>2</v>
      </c>
      <c r="AX114" s="4">
        <f t="shared" si="46"/>
        <v>38</v>
      </c>
      <c r="AY114" s="4">
        <f t="shared" si="47"/>
        <v>37</v>
      </c>
      <c r="AZ114" s="4">
        <f t="shared" si="48"/>
        <v>32</v>
      </c>
      <c r="BA114" s="4">
        <f t="shared" si="49"/>
        <v>12</v>
      </c>
    </row>
    <row r="115" spans="1:53" x14ac:dyDescent="0.2">
      <c r="A115" s="1" t="str">
        <f>'SegEnds_NonXtal_Prot#'!A86</f>
        <v>ccr8_human</v>
      </c>
      <c r="B115" s="1" t="str">
        <f t="shared" si="25"/>
        <v>AELIQTNGKLLLAVFYCLLFVFSLLGNSLVILVLVVCSITDVYLLNLALSDLLFVFSFPFQTYYLLDGTVMCKVVSGFYYIGFYSSMFFITLMSVDRYLAVVHTIRMGTTLCLAVWLTAIMATIPLLVFYQTLKWKIFTNFKMNILGLLIPFTIFMFCYIKILHQLKRCKTKAIRLVLIVVIASLLFWVPFNVVLFLTSLHSMHIGCSISQQLTYATHVTEIISFTHCCVNPVIYAFVGEKFKKHLSEIFQ</v>
      </c>
      <c r="C115" s="29" t="str">
        <f>IF(ISERROR(MATCH(A115,'SegEnds_Xtal_Prot#'!B:B, 0)), "NoXtal", "Xtal")</f>
        <v>NoXtal</v>
      </c>
      <c r="D115" s="4" t="str">
        <f>VLOOKUP(A115,Classification!A:D,2,FALSE)</f>
        <v>A</v>
      </c>
      <c r="E115" s="5" t="str">
        <f>VLOOKUP(A115,Seqs!A:B,2,FALSE)</f>
        <v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v>
      </c>
      <c r="F115" s="5" t="str">
        <f t="shared" si="26"/>
        <v>AELIQTNGKLLLAVFYCLLFVFSLLGNSLVILVLVVC</v>
      </c>
      <c r="G115" s="4" t="str">
        <f t="shared" si="27"/>
        <v>KKLR</v>
      </c>
      <c r="H115" s="4" t="str">
        <f t="shared" si="28"/>
        <v>SITDVYLLNLALSDLLFVFSFPFQTYYLLD</v>
      </c>
      <c r="I115" s="4" t="str">
        <f t="shared" si="29"/>
        <v>QWVF</v>
      </c>
      <c r="J115" s="4" t="str">
        <f t="shared" si="30"/>
        <v>GTVMCKVVSGFYYIGFYSSMFFITLMSVDRYLAVVH</v>
      </c>
      <c r="K115" s="4" t="str">
        <f t="shared" si="31"/>
        <v>AVYALKVR</v>
      </c>
      <c r="L115" s="4" t="str">
        <f t="shared" si="32"/>
        <v>TIRMGTTLCLAVWLTAIMATIPLLVFY</v>
      </c>
      <c r="M115" s="4" t="str">
        <f t="shared" si="33"/>
        <v>CYS</v>
      </c>
      <c r="N115" s="4" t="str">
        <f t="shared" si="34"/>
        <v>QTLKWKIFTNFKMNILGLLIPFTIFMFCYIKILHQLKRC</v>
      </c>
      <c r="O115" s="4" t="str">
        <f t="shared" si="35"/>
        <v>KTKAIRLVLIVVIASLLFWVPFNVVLFLTSLHSMHI</v>
      </c>
      <c r="P115" s="4" t="str">
        <f t="shared" si="36"/>
        <v>GCSISQQLTYATHVTEIISFTHCCVNPVIYAFV</v>
      </c>
      <c r="Q115" s="4" t="str">
        <f t="shared" si="37"/>
        <v>GEKFKKHLSEIFQ</v>
      </c>
      <c r="R115" s="5">
        <f>VLOOKUP($A115,'SegEnds_NonXtal_Prot#'!$A:$AL,3,FALSE)</f>
        <v>27</v>
      </c>
      <c r="S115" s="5">
        <f>VLOOKUP($A115,'SegEnds_NonXtal_Prot#'!$A:$AL,6,FALSE)</f>
        <v>64</v>
      </c>
      <c r="T115" s="5">
        <f>VLOOKUP($A115,'SegEnds_NonXtal_Prot#'!$A:$AL,9,FALSE)</f>
        <v>68</v>
      </c>
      <c r="U115" s="5">
        <f>VLOOKUP($A115,'SegEnds_NonXtal_Prot#'!$A:$AL,12,FALSE)</f>
        <v>98</v>
      </c>
      <c r="V115" s="5">
        <f>VLOOKUP($A115,'SegEnds_NonXtal_Prot#'!$A:$AL,15,FALSE)</f>
        <v>102</v>
      </c>
      <c r="W115" s="5">
        <f>VLOOKUP($A115,'SegEnds_NonXtal_Prot#'!$A:$AL,18,FALSE)</f>
        <v>138</v>
      </c>
      <c r="X115" s="5">
        <f>VLOOKUP($A115,'SegEnds_NonXtal_Prot#'!$A:$AL,21,FALSE)</f>
        <v>146</v>
      </c>
      <c r="Y115" s="5">
        <f>VLOOKUP($A115,'SegEnds_NonXtal_Prot#'!$A:$AL,24,FALSE)</f>
        <v>183</v>
      </c>
      <c r="Z115" s="5">
        <f>VLOOKUP($A115,'SegEnds_NonXtal_Prot#'!$A:$AL,27,FALSE)</f>
        <v>190</v>
      </c>
      <c r="AA115" s="5">
        <f>VLOOKUP($A115,'SegEnds_NonXtal_Prot#'!$A:$AL,30,FALSE)</f>
        <v>233</v>
      </c>
      <c r="AB115" s="5">
        <f>VLOOKUP($A115,'SegEnds_NonXtal_Prot#'!$A:$AL,33,FALSE)</f>
        <v>271</v>
      </c>
      <c r="AC115" s="5">
        <f>VLOOKUP($A115,'SegEnds_NonXtal_Prot#'!$A:$AL,36,FALSE)</f>
        <v>304</v>
      </c>
      <c r="AD115" s="5">
        <f>VLOOKUP($A115,'SegEnds_NonXtal_Prot#'!$A:$AL,5,FALSE)</f>
        <v>63</v>
      </c>
      <c r="AE115" s="5">
        <f>VLOOKUP($A115,'SegEnds_NonXtal_Prot#'!$A:$AL,8,FALSE)</f>
        <v>67</v>
      </c>
      <c r="AF115" s="5">
        <f>VLOOKUP($A115,'SegEnds_NonXtal_Prot#'!$A:$AL,11,FALSE)</f>
        <v>97</v>
      </c>
      <c r="AG115" s="5">
        <f>VLOOKUP($A115,'SegEnds_NonXtal_Prot#'!$A:$AL,14,FALSE)</f>
        <v>101</v>
      </c>
      <c r="AH115" s="5">
        <f>VLOOKUP($A115,'SegEnds_NonXtal_Prot#'!$A:$AL,17,FALSE)</f>
        <v>137</v>
      </c>
      <c r="AI115" s="5">
        <f>VLOOKUP($A115,'SegEnds_NonXtal_Prot#'!$A:$AL,20,FALSE)</f>
        <v>145</v>
      </c>
      <c r="AJ115" s="5">
        <f>VLOOKUP($A115,'SegEnds_NonXtal_Prot#'!$A:$AL,23,FALSE)</f>
        <v>172</v>
      </c>
      <c r="AK115" s="5">
        <f>VLOOKUP($A115,'SegEnds_NonXtal_Prot#'!$A:$AL,26,FALSE)</f>
        <v>185</v>
      </c>
      <c r="AL115" s="5">
        <f>VLOOKUP($A115,'SegEnds_NonXtal_Prot#'!$A:$AL,29,FALSE)</f>
        <v>228</v>
      </c>
      <c r="AM115" s="5">
        <f>VLOOKUP($A115,'SegEnds_NonXtal_Prot#'!$A:$AL,32,FALSE)</f>
        <v>268</v>
      </c>
      <c r="AN115" s="5">
        <f>VLOOKUP($A115,'SegEnds_NonXtal_Prot#'!$A:$AL,35,FALSE)</f>
        <v>303</v>
      </c>
      <c r="AO115" s="5">
        <f>VLOOKUP($A115,'SegEnds_NonXtal_Prot#'!$A:$AL,38,FALSE)</f>
        <v>316</v>
      </c>
      <c r="AP115" s="5">
        <f t="shared" si="38"/>
        <v>36</v>
      </c>
      <c r="AQ115" s="4">
        <f t="shared" si="39"/>
        <v>3</v>
      </c>
      <c r="AR115" s="4">
        <f t="shared" si="40"/>
        <v>29</v>
      </c>
      <c r="AS115" s="4">
        <f t="shared" si="41"/>
        <v>3</v>
      </c>
      <c r="AT115" s="4">
        <f t="shared" si="42"/>
        <v>35</v>
      </c>
      <c r="AU115" s="4">
        <f t="shared" si="43"/>
        <v>7</v>
      </c>
      <c r="AV115" s="4">
        <f t="shared" si="44"/>
        <v>26</v>
      </c>
      <c r="AW115" s="4">
        <f t="shared" si="45"/>
        <v>2</v>
      </c>
      <c r="AX115" s="4">
        <f t="shared" si="46"/>
        <v>38</v>
      </c>
      <c r="AY115" s="4">
        <f t="shared" si="47"/>
        <v>35</v>
      </c>
      <c r="AZ115" s="4">
        <f t="shared" si="48"/>
        <v>32</v>
      </c>
      <c r="BA115" s="4">
        <f t="shared" si="49"/>
        <v>12</v>
      </c>
    </row>
    <row r="116" spans="1:53" x14ac:dyDescent="0.2">
      <c r="A116" s="1" t="str">
        <f>'SegEnds_NonXtal_Prot#'!A87</f>
        <v>cltr1_human</v>
      </c>
      <c r="B116" s="1" t="str">
        <f t="shared" si="25"/>
        <v>FRNQVYSTLYSMISVVGFFGNGFVLYVLIKTSAFQVYMINLAVADLLCVCTLPLRVVYYVHGDFLCRLSTYALYVNLYCSIFFMTAMSFFRCIAIVFTQKKARFVCVGIWIFVILTSSPFLMAKKNHVLVLHYVSLFVGFIIPFVIIIVCYTMIILTLLKNLSSHKKAIGMIMVVTAAFLVSFMPYHIQRTIHLHFLHNPCDSVLRMQKSVVITLSLAASNCCFDPLLYFFSGGNFRKRLSTFRK</v>
      </c>
      <c r="C116" s="29" t="str">
        <f>IF(ISERROR(MATCH(A116,'SegEnds_Xtal_Prot#'!B:B, 0)), "NoXtal", "Xtal")</f>
        <v>NoXtal</v>
      </c>
      <c r="D116" s="4" t="str">
        <f>VLOOKUP(A116,Classification!A:D,2,FALSE)</f>
        <v>A</v>
      </c>
      <c r="E116" s="5" t="str">
        <f>VLOOKUP(A116,Seqs!A:B,2,FALSE)</f>
        <v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v>
      </c>
      <c r="F116" s="5" t="str">
        <f t="shared" si="26"/>
        <v>FRNQVYSTLYSMISVVGFFGNGFVLYVLIKT</v>
      </c>
      <c r="G116" s="4" t="str">
        <f t="shared" si="27"/>
        <v/>
      </c>
      <c r="H116" s="4" t="str">
        <f t="shared" si="28"/>
        <v>SAFQVYMINLAVADLLCVCTLPLRVVYYVH</v>
      </c>
      <c r="I116" s="4" t="str">
        <f t="shared" si="29"/>
        <v>IWLF</v>
      </c>
      <c r="J116" s="4" t="str">
        <f t="shared" si="30"/>
        <v>GDFLCRLSTYALYVNLYCSIFFMTAMSFFRCIAIVF</v>
      </c>
      <c r="K116" s="4" t="str">
        <f t="shared" si="31"/>
        <v>PVQNINLV</v>
      </c>
      <c r="L116" s="4" t="str">
        <f t="shared" si="32"/>
        <v>TQKKARFVCVGIWIFVILTSSPFLMAK</v>
      </c>
      <c r="M116" s="4" t="str">
        <f t="shared" si="33"/>
        <v>CFE</v>
      </c>
      <c r="N116" s="4" t="str">
        <f t="shared" si="34"/>
        <v>KNHVLVLHYVSLFVGFIIPFVIIIVCYTMIILTLLK</v>
      </c>
      <c r="O116" s="4" t="str">
        <f t="shared" si="35"/>
        <v>NLSSHKKAIGMIMVVTAAFLVSFMPYHIQRTIHLHFLHN</v>
      </c>
      <c r="P116" s="4" t="str">
        <f t="shared" si="36"/>
        <v>PCDSVLRMQKSVVITLSLAASNCCFDPLLYFFS</v>
      </c>
      <c r="Q116" s="4" t="str">
        <f t="shared" si="37"/>
        <v>GGNFRKRLSTFRK</v>
      </c>
      <c r="R116" s="5">
        <f>VLOOKUP($A116,'SegEnds_NonXtal_Prot#'!$A:$AL,3,FALSE)</f>
        <v>21</v>
      </c>
      <c r="S116" s="5" t="str">
        <f>VLOOKUP($A116,'SegEnds_NonXtal_Prot#'!$A:$AL,6,FALSE)</f>
        <v>-</v>
      </c>
      <c r="T116" s="5">
        <f>VLOOKUP($A116,'SegEnds_NonXtal_Prot#'!$A:$AL,9,FALSE)</f>
        <v>56</v>
      </c>
      <c r="U116" s="5">
        <f>VLOOKUP($A116,'SegEnds_NonXtal_Prot#'!$A:$AL,12,FALSE)</f>
        <v>88</v>
      </c>
      <c r="V116" s="5">
        <f>VLOOKUP($A116,'SegEnds_NonXtal_Prot#'!$A:$AL,15,FALSE)</f>
        <v>92</v>
      </c>
      <c r="W116" s="5">
        <f>VLOOKUP($A116,'SegEnds_NonXtal_Prot#'!$A:$AL,18,FALSE)</f>
        <v>128</v>
      </c>
      <c r="X116" s="5">
        <f>VLOOKUP($A116,'SegEnds_NonXtal_Prot#'!$A:$AL,21,FALSE)</f>
        <v>136</v>
      </c>
      <c r="Y116" s="5">
        <f>VLOOKUP($A116,'SegEnds_NonXtal_Prot#'!$A:$AL,24,FALSE)</f>
        <v>173</v>
      </c>
      <c r="Z116" s="5">
        <f>VLOOKUP($A116,'SegEnds_NonXtal_Prot#'!$A:$AL,27,FALSE)</f>
        <v>183</v>
      </c>
      <c r="AA116" s="5">
        <f>VLOOKUP($A116,'SegEnds_NonXtal_Prot#'!$A:$AL,30,FALSE)</f>
        <v>224</v>
      </c>
      <c r="AB116" s="5">
        <f>VLOOKUP($A116,'SegEnds_NonXtal_Prot#'!$A:$AL,33,FALSE)</f>
        <v>266</v>
      </c>
      <c r="AC116" s="5">
        <f>VLOOKUP($A116,'SegEnds_NonXtal_Prot#'!$A:$AL,36,FALSE)</f>
        <v>299</v>
      </c>
      <c r="AD116" s="5">
        <f>VLOOKUP($A116,'SegEnds_NonXtal_Prot#'!$A:$AL,5,FALSE)</f>
        <v>51</v>
      </c>
      <c r="AE116" s="5" t="str">
        <f>VLOOKUP($A116,'SegEnds_NonXtal_Prot#'!$A:$AL,8,FALSE)</f>
        <v>-</v>
      </c>
      <c r="AF116" s="5">
        <f>VLOOKUP($A116,'SegEnds_NonXtal_Prot#'!$A:$AL,11,FALSE)</f>
        <v>85</v>
      </c>
      <c r="AG116" s="5">
        <f>VLOOKUP($A116,'SegEnds_NonXtal_Prot#'!$A:$AL,14,FALSE)</f>
        <v>91</v>
      </c>
      <c r="AH116" s="5">
        <f>VLOOKUP($A116,'SegEnds_NonXtal_Prot#'!$A:$AL,17,FALSE)</f>
        <v>127</v>
      </c>
      <c r="AI116" s="5">
        <f>VLOOKUP($A116,'SegEnds_NonXtal_Prot#'!$A:$AL,20,FALSE)</f>
        <v>135</v>
      </c>
      <c r="AJ116" s="5">
        <f>VLOOKUP($A116,'SegEnds_NonXtal_Prot#'!$A:$AL,23,FALSE)</f>
        <v>162</v>
      </c>
      <c r="AK116" s="5">
        <f>VLOOKUP($A116,'SegEnds_NonXtal_Prot#'!$A:$AL,26,FALSE)</f>
        <v>175</v>
      </c>
      <c r="AL116" s="5">
        <f>VLOOKUP($A116,'SegEnds_NonXtal_Prot#'!$A:$AL,29,FALSE)</f>
        <v>218</v>
      </c>
      <c r="AM116" s="5">
        <f>VLOOKUP($A116,'SegEnds_NonXtal_Prot#'!$A:$AL,32,FALSE)</f>
        <v>262</v>
      </c>
      <c r="AN116" s="5">
        <f>VLOOKUP($A116,'SegEnds_NonXtal_Prot#'!$A:$AL,35,FALSE)</f>
        <v>298</v>
      </c>
      <c r="AO116" s="5">
        <f>VLOOKUP($A116,'SegEnds_NonXtal_Prot#'!$A:$AL,38,FALSE)</f>
        <v>311</v>
      </c>
      <c r="AP116" s="5">
        <f t="shared" si="38"/>
        <v>30</v>
      </c>
      <c r="AQ116" s="4" t="str">
        <f t="shared" si="39"/>
        <v>-</v>
      </c>
      <c r="AR116" s="4">
        <f t="shared" si="40"/>
        <v>29</v>
      </c>
      <c r="AS116" s="4">
        <f t="shared" si="41"/>
        <v>3</v>
      </c>
      <c r="AT116" s="4">
        <f t="shared" si="42"/>
        <v>35</v>
      </c>
      <c r="AU116" s="4">
        <f t="shared" si="43"/>
        <v>7</v>
      </c>
      <c r="AV116" s="4">
        <f t="shared" si="44"/>
        <v>26</v>
      </c>
      <c r="AW116" s="4">
        <f t="shared" si="45"/>
        <v>2</v>
      </c>
      <c r="AX116" s="4">
        <f t="shared" si="46"/>
        <v>35</v>
      </c>
      <c r="AY116" s="4">
        <f t="shared" si="47"/>
        <v>38</v>
      </c>
      <c r="AZ116" s="4">
        <f t="shared" si="48"/>
        <v>32</v>
      </c>
      <c r="BA116" s="4">
        <f t="shared" si="49"/>
        <v>12</v>
      </c>
    </row>
    <row r="117" spans="1:53" x14ac:dyDescent="0.2">
      <c r="A117" s="1" t="str">
        <f>'SegEnds_NonXtal_Prot#'!A88</f>
        <v>cltr2_human</v>
      </c>
      <c r="B117" s="1" t="str">
        <f t="shared" si="25"/>
        <v>FKREFFPIVYLIIFFWGVLGNGLSIYVFLQPTSVNVFMLNLAISDLLFISTLPFRADYYLRGDLACRIMSYSLYVNMYSSIYFLTVLSVVRFLAMVHSIRSAWILCGIIWILIMASSIMLLDSGIAKLQTMNYIALVVGCLLPFFTLSICYLLIIRVLLKVSGLRVSHRKALTTIIITLIIFFLCFLPYHTLRTVHLTTKDRLHKALVITLALAAANACFNPLLYYFAGENFKDRLKSALR</v>
      </c>
      <c r="C117" s="29" t="str">
        <f>IF(ISERROR(MATCH(A117,'SegEnds_Xtal_Prot#'!B:B, 0)), "NoXtal", "Xtal")</f>
        <v>NoXtal</v>
      </c>
      <c r="D117" s="4" t="str">
        <f>VLOOKUP(A117,Classification!A:D,2,FALSE)</f>
        <v>A</v>
      </c>
      <c r="E117" s="5" t="str">
        <f>VLOOKUP(A117,Seqs!A:B,2,FALSE)</f>
        <v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v>
      </c>
      <c r="F117" s="5" t="str">
        <f t="shared" si="26"/>
        <v>FKREFFPIVYLIIFFWGVLGNGLSIYVFLQP</v>
      </c>
      <c r="G117" s="4" t="str">
        <f t="shared" si="27"/>
        <v/>
      </c>
      <c r="H117" s="4" t="str">
        <f t="shared" si="28"/>
        <v>TSVNVFMLNLAISDLLFISTLPFRADYYLR</v>
      </c>
      <c r="I117" s="4" t="str">
        <f t="shared" si="29"/>
        <v>NWIF</v>
      </c>
      <c r="J117" s="4" t="str">
        <f t="shared" si="30"/>
        <v>GDLACRIMSYSLYVNMYSSIYFLTVLSVVRFLAMVH</v>
      </c>
      <c r="K117" s="4" t="str">
        <f t="shared" si="31"/>
        <v>PFRLLHVT</v>
      </c>
      <c r="L117" s="4" t="str">
        <f t="shared" si="32"/>
        <v>SIRSAWILCGIIWILIMASSIMLLDSG</v>
      </c>
      <c r="M117" s="4" t="str">
        <f t="shared" si="33"/>
        <v>CLE</v>
      </c>
      <c r="N117" s="4" t="str">
        <f t="shared" si="34"/>
        <v>IAKLQTMNYIALVVGCLLPFFTLSICYLLIIRVLLKV</v>
      </c>
      <c r="O117" s="4" t="str">
        <f t="shared" si="35"/>
        <v>SGLRVSHRKALTTIIITLIIFFLCFLPYHTLRTVHLTT</v>
      </c>
      <c r="P117" s="4" t="str">
        <f t="shared" si="36"/>
        <v>KDRLHKALVITLALAAANACFNPLLYYFA</v>
      </c>
      <c r="Q117" s="4" t="str">
        <f t="shared" si="37"/>
        <v>GENFKDRLKSALR</v>
      </c>
      <c r="R117" s="5">
        <f>VLOOKUP($A117,'SegEnds_NonXtal_Prot#'!$A:$AL,3,FALSE)</f>
        <v>36</v>
      </c>
      <c r="S117" s="5" t="str">
        <f>VLOOKUP($A117,'SegEnds_NonXtal_Prot#'!$A:$AL,6,FALSE)</f>
        <v>-</v>
      </c>
      <c r="T117" s="5">
        <f>VLOOKUP($A117,'SegEnds_NonXtal_Prot#'!$A:$AL,9,FALSE)</f>
        <v>71</v>
      </c>
      <c r="U117" s="5">
        <f>VLOOKUP($A117,'SegEnds_NonXtal_Prot#'!$A:$AL,12,FALSE)</f>
        <v>103</v>
      </c>
      <c r="V117" s="5">
        <f>VLOOKUP($A117,'SegEnds_NonXtal_Prot#'!$A:$AL,15,FALSE)</f>
        <v>107</v>
      </c>
      <c r="W117" s="5">
        <f>VLOOKUP($A117,'SegEnds_NonXtal_Prot#'!$A:$AL,18,FALSE)</f>
        <v>143</v>
      </c>
      <c r="X117" s="5">
        <f>VLOOKUP($A117,'SegEnds_NonXtal_Prot#'!$A:$AL,21,FALSE)</f>
        <v>151</v>
      </c>
      <c r="Y117" s="5">
        <f>VLOOKUP($A117,'SegEnds_NonXtal_Prot#'!$A:$AL,24,FALSE)</f>
        <v>187</v>
      </c>
      <c r="Z117" s="5">
        <f>VLOOKUP($A117,'SegEnds_NonXtal_Prot#'!$A:$AL,27,FALSE)</f>
        <v>195</v>
      </c>
      <c r="AA117" s="5">
        <f>VLOOKUP($A117,'SegEnds_NonXtal_Prot#'!$A:$AL,30,FALSE)</f>
        <v>236</v>
      </c>
      <c r="AB117" s="5">
        <f>VLOOKUP($A117,'SegEnds_NonXtal_Prot#'!$A:$AL,33,FALSE)</f>
        <v>280</v>
      </c>
      <c r="AC117" s="5">
        <f>VLOOKUP($A117,'SegEnds_NonXtal_Prot#'!$A:$AL,36,FALSE)</f>
        <v>309</v>
      </c>
      <c r="AD117" s="5">
        <f>VLOOKUP($A117,'SegEnds_NonXtal_Prot#'!$A:$AL,5,FALSE)</f>
        <v>66</v>
      </c>
      <c r="AE117" s="5" t="str">
        <f>VLOOKUP($A117,'SegEnds_NonXtal_Prot#'!$A:$AL,8,FALSE)</f>
        <v>-</v>
      </c>
      <c r="AF117" s="5">
        <f>VLOOKUP($A117,'SegEnds_NonXtal_Prot#'!$A:$AL,11,FALSE)</f>
        <v>100</v>
      </c>
      <c r="AG117" s="5">
        <f>VLOOKUP($A117,'SegEnds_NonXtal_Prot#'!$A:$AL,14,FALSE)</f>
        <v>106</v>
      </c>
      <c r="AH117" s="5">
        <f>VLOOKUP($A117,'SegEnds_NonXtal_Prot#'!$A:$AL,17,FALSE)</f>
        <v>142</v>
      </c>
      <c r="AI117" s="5">
        <f>VLOOKUP($A117,'SegEnds_NonXtal_Prot#'!$A:$AL,20,FALSE)</f>
        <v>150</v>
      </c>
      <c r="AJ117" s="5">
        <f>VLOOKUP($A117,'SegEnds_NonXtal_Prot#'!$A:$AL,23,FALSE)</f>
        <v>177</v>
      </c>
      <c r="AK117" s="5">
        <f>VLOOKUP($A117,'SegEnds_NonXtal_Prot#'!$A:$AL,26,FALSE)</f>
        <v>189</v>
      </c>
      <c r="AL117" s="5">
        <f>VLOOKUP($A117,'SegEnds_NonXtal_Prot#'!$A:$AL,29,FALSE)</f>
        <v>231</v>
      </c>
      <c r="AM117" s="5">
        <f>VLOOKUP($A117,'SegEnds_NonXtal_Prot#'!$A:$AL,32,FALSE)</f>
        <v>273</v>
      </c>
      <c r="AN117" s="5">
        <f>VLOOKUP($A117,'SegEnds_NonXtal_Prot#'!$A:$AL,35,FALSE)</f>
        <v>308</v>
      </c>
      <c r="AO117" s="5">
        <f>VLOOKUP($A117,'SegEnds_NonXtal_Prot#'!$A:$AL,38,FALSE)</f>
        <v>321</v>
      </c>
      <c r="AP117" s="5">
        <f t="shared" si="38"/>
        <v>30</v>
      </c>
      <c r="AQ117" s="4" t="str">
        <f t="shared" si="39"/>
        <v>-</v>
      </c>
      <c r="AR117" s="4">
        <f t="shared" si="40"/>
        <v>29</v>
      </c>
      <c r="AS117" s="4">
        <f t="shared" si="41"/>
        <v>3</v>
      </c>
      <c r="AT117" s="4">
        <f t="shared" si="42"/>
        <v>35</v>
      </c>
      <c r="AU117" s="4">
        <f t="shared" si="43"/>
        <v>7</v>
      </c>
      <c r="AV117" s="4">
        <f t="shared" si="44"/>
        <v>26</v>
      </c>
      <c r="AW117" s="4">
        <f t="shared" si="45"/>
        <v>2</v>
      </c>
      <c r="AX117" s="4">
        <f t="shared" si="46"/>
        <v>36</v>
      </c>
      <c r="AY117" s="4">
        <f t="shared" si="47"/>
        <v>37</v>
      </c>
      <c r="AZ117" s="4">
        <f t="shared" si="48"/>
        <v>28</v>
      </c>
      <c r="BA117" s="4">
        <f t="shared" si="49"/>
        <v>12</v>
      </c>
    </row>
    <row r="118" spans="1:53" x14ac:dyDescent="0.2">
      <c r="A118" s="1" t="str">
        <f>'SegEnds_NonXtal_Prot#'!A89</f>
        <v>cml1_human</v>
      </c>
      <c r="B118" s="1" t="str">
        <f t="shared" si="25"/>
        <v>VTRIFLVVVYSIVCFLGILGNGLVIIIATFKTVNMVWFLNLAVADFLFNVFLPIHITYAAMGTAMCKISNFLLIHNMFTSVFLLTIISSDRCISVLLSVRLAYMACMVIWVLAFFLSSPSLVFRRHMVVTVTRFLCGFLVPVLIITACYLTIVCKLQRNTKKPFKIIVTIIITFFLCWCPYHTLNLLELHHGSVFSLGLPLATALAIANSCMNPILYVFMGQDFKKFKVALFSRL</v>
      </c>
      <c r="C118" s="29" t="str">
        <f>IF(ISERROR(MATCH(A118,'SegEnds_Xtal_Prot#'!B:B, 0)), "NoXtal", "Xtal")</f>
        <v>NoXtal</v>
      </c>
      <c r="D118" s="4" t="str">
        <f>VLOOKUP(A118,Classification!A:D,2,FALSE)</f>
        <v>A</v>
      </c>
      <c r="E118" s="5" t="str">
        <f>VLOOKUP(A118,Seqs!A:B,2,FALSE)</f>
        <v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v>
      </c>
      <c r="F118" s="5" t="str">
        <f t="shared" si="26"/>
        <v>VTRIFLVVVYSIVCFLGILGNGLVIIIATFK</v>
      </c>
      <c r="G118" s="4" t="str">
        <f t="shared" si="27"/>
        <v/>
      </c>
      <c r="H118" s="4" t="str">
        <f t="shared" si="28"/>
        <v>TVNMVWFLNLAVADFLFNVFLPIHITYAAM</v>
      </c>
      <c r="I118" s="4" t="str">
        <f t="shared" si="29"/>
        <v>HWVF</v>
      </c>
      <c r="J118" s="4" t="str">
        <f t="shared" si="30"/>
        <v>GTAMCKISNFLLIHNMFTSVFLLTIISSDRCISVLL</v>
      </c>
      <c r="K118" s="4" t="str">
        <f t="shared" si="31"/>
        <v>PVWSQNHR</v>
      </c>
      <c r="L118" s="4" t="str">
        <f t="shared" si="32"/>
        <v>SVRLAYMACMVIWVLAFFLSSPSLVFR</v>
      </c>
      <c r="M118" s="4" t="str">
        <f t="shared" si="33"/>
        <v>CFN</v>
      </c>
      <c r="N118" s="4" t="str">
        <f t="shared" si="34"/>
        <v>RHMVVTVTRFLCGFLVPVLIITACYLTIVCKLQRN</v>
      </c>
      <c r="O118" s="4" t="str">
        <f t="shared" si="35"/>
        <v>TKKPFKIIVTIIITFFLCWCPYHTLNLLELHH</v>
      </c>
      <c r="P118" s="4" t="str">
        <f t="shared" si="36"/>
        <v>GSVFSLGLPLATALAIANSCMNPILYVFM</v>
      </c>
      <c r="Q118" s="4" t="str">
        <f t="shared" si="37"/>
        <v>GQDFKKFKVALFSRL</v>
      </c>
      <c r="R118" s="5">
        <f>VLOOKUP($A118,'SegEnds_NonXtal_Prot#'!$A:$AL,3,FALSE)</f>
        <v>38</v>
      </c>
      <c r="S118" s="5" t="str">
        <f>VLOOKUP($A118,'SegEnds_NonXtal_Prot#'!$A:$AL,6,FALSE)</f>
        <v>-</v>
      </c>
      <c r="T118" s="5">
        <f>VLOOKUP($A118,'SegEnds_NonXtal_Prot#'!$A:$AL,9,FALSE)</f>
        <v>72</v>
      </c>
      <c r="U118" s="5">
        <f>VLOOKUP($A118,'SegEnds_NonXtal_Prot#'!$A:$AL,12,FALSE)</f>
        <v>104</v>
      </c>
      <c r="V118" s="5">
        <f>VLOOKUP($A118,'SegEnds_NonXtal_Prot#'!$A:$AL,15,FALSE)</f>
        <v>108</v>
      </c>
      <c r="W118" s="5">
        <f>VLOOKUP($A118,'SegEnds_NonXtal_Prot#'!$A:$AL,18,FALSE)</f>
        <v>144</v>
      </c>
      <c r="X118" s="5">
        <f>VLOOKUP($A118,'SegEnds_NonXtal_Prot#'!$A:$AL,21,FALSE)</f>
        <v>152</v>
      </c>
      <c r="Y118" s="5">
        <f>VLOOKUP($A118,'SegEnds_NonXtal_Prot#'!$A:$AL,24,FALSE)</f>
        <v>189</v>
      </c>
      <c r="Z118" s="5">
        <f>VLOOKUP($A118,'SegEnds_NonXtal_Prot#'!$A:$AL,27,FALSE)</f>
        <v>216</v>
      </c>
      <c r="AA118" s="5">
        <f>VLOOKUP($A118,'SegEnds_NonXtal_Prot#'!$A:$AL,30,FALSE)</f>
        <v>255</v>
      </c>
      <c r="AB118" s="5">
        <f>VLOOKUP($A118,'SegEnds_NonXtal_Prot#'!$A:$AL,33,FALSE)</f>
        <v>291</v>
      </c>
      <c r="AC118" s="5">
        <f>VLOOKUP($A118,'SegEnds_NonXtal_Prot#'!$A:$AL,36,FALSE)</f>
        <v>320</v>
      </c>
      <c r="AD118" s="5">
        <f>VLOOKUP($A118,'SegEnds_NonXtal_Prot#'!$A:$AL,5,FALSE)</f>
        <v>68</v>
      </c>
      <c r="AE118" s="5" t="str">
        <f>VLOOKUP($A118,'SegEnds_NonXtal_Prot#'!$A:$AL,8,FALSE)</f>
        <v>-</v>
      </c>
      <c r="AF118" s="5">
        <f>VLOOKUP($A118,'SegEnds_NonXtal_Prot#'!$A:$AL,11,FALSE)</f>
        <v>101</v>
      </c>
      <c r="AG118" s="5">
        <f>VLOOKUP($A118,'SegEnds_NonXtal_Prot#'!$A:$AL,14,FALSE)</f>
        <v>107</v>
      </c>
      <c r="AH118" s="5">
        <f>VLOOKUP($A118,'SegEnds_NonXtal_Prot#'!$A:$AL,17,FALSE)</f>
        <v>143</v>
      </c>
      <c r="AI118" s="5">
        <f>VLOOKUP($A118,'SegEnds_NonXtal_Prot#'!$A:$AL,20,FALSE)</f>
        <v>151</v>
      </c>
      <c r="AJ118" s="5">
        <f>VLOOKUP($A118,'SegEnds_NonXtal_Prot#'!$A:$AL,23,FALSE)</f>
        <v>178</v>
      </c>
      <c r="AK118" s="5">
        <f>VLOOKUP($A118,'SegEnds_NonXtal_Prot#'!$A:$AL,26,FALSE)</f>
        <v>191</v>
      </c>
      <c r="AL118" s="5">
        <f>VLOOKUP($A118,'SegEnds_NonXtal_Prot#'!$A:$AL,29,FALSE)</f>
        <v>250</v>
      </c>
      <c r="AM118" s="5">
        <f>VLOOKUP($A118,'SegEnds_NonXtal_Prot#'!$A:$AL,32,FALSE)</f>
        <v>286</v>
      </c>
      <c r="AN118" s="5">
        <f>VLOOKUP($A118,'SegEnds_NonXtal_Prot#'!$A:$AL,35,FALSE)</f>
        <v>319</v>
      </c>
      <c r="AO118" s="5">
        <f>VLOOKUP($A118,'SegEnds_NonXtal_Prot#'!$A:$AL,38,FALSE)</f>
        <v>334</v>
      </c>
      <c r="AP118" s="5">
        <f t="shared" si="38"/>
        <v>30</v>
      </c>
      <c r="AQ118" s="4" t="str">
        <f t="shared" si="39"/>
        <v>-</v>
      </c>
      <c r="AR118" s="4">
        <f t="shared" si="40"/>
        <v>29</v>
      </c>
      <c r="AS118" s="4">
        <f t="shared" si="41"/>
        <v>3</v>
      </c>
      <c r="AT118" s="4">
        <f t="shared" si="42"/>
        <v>35</v>
      </c>
      <c r="AU118" s="4">
        <f t="shared" si="43"/>
        <v>7</v>
      </c>
      <c r="AV118" s="4">
        <f t="shared" si="44"/>
        <v>26</v>
      </c>
      <c r="AW118" s="4">
        <f t="shared" si="45"/>
        <v>2</v>
      </c>
      <c r="AX118" s="4">
        <f t="shared" si="46"/>
        <v>34</v>
      </c>
      <c r="AY118" s="4">
        <f t="shared" si="47"/>
        <v>31</v>
      </c>
      <c r="AZ118" s="4">
        <f t="shared" si="48"/>
        <v>28</v>
      </c>
      <c r="BA118" s="4">
        <f t="shared" si="49"/>
        <v>14</v>
      </c>
    </row>
    <row r="119" spans="1:53" x14ac:dyDescent="0.2">
      <c r="A119" s="1" t="str">
        <f>'SegEnds_NonXtal_Prot#'!A90</f>
        <v>cnr1_human</v>
      </c>
      <c r="B119" s="1" t="str">
        <f t="shared" si="25"/>
        <v>NPSQQLAIAVLSLTLGTFTVLENLLVLCVILHSRPSYHFIGSLAVADLLGSVIFVYSFIDFHVSRNVFLFKLGGVTASFTASVGSLFLTAIDRYISIHRTRPKAVVAFCLMWTIAIVIAVLPLLGDETYLMFWIGVTSVLLLFIVYAYMYILWKAHSHAVRMIQRGPDQARMDIRLAKTLVLILVVLIICWGPLLAIMVYDVFGNKLIKTVFAFCSMLCLLNSTVNPIIYALRSKDLRHAFRSMFP</v>
      </c>
      <c r="C119" s="29" t="str">
        <f>IF(ISERROR(MATCH(A119,'SegEnds_Xtal_Prot#'!B:B, 0)), "NoXtal", "Xtal")</f>
        <v>Xtal</v>
      </c>
      <c r="D119" s="4" t="str">
        <f>VLOOKUP(A119,Classification!A:D,2,FALSE)</f>
        <v>A</v>
      </c>
      <c r="E119" s="5" t="str">
        <f>VLOOKUP(A119,Seqs!A:B,2,FALSE)</f>
        <v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v>
      </c>
      <c r="F119" s="5" t="str">
        <f t="shared" si="26"/>
        <v>NPSQQLAIAVLSLTLGTFTVLENLLVLCVILHS</v>
      </c>
      <c r="G119" s="4" t="str">
        <f t="shared" si="27"/>
        <v>RSLR</v>
      </c>
      <c r="H119" s="4" t="str">
        <f t="shared" si="28"/>
        <v>RPSYHFIGSLAVADLLGSVIFVYSFIDFHV</v>
      </c>
      <c r="I119" s="4" t="str">
        <f t="shared" si="29"/>
        <v/>
      </c>
      <c r="J119" s="4" t="str">
        <f t="shared" si="30"/>
        <v>SRNVFLFKLGGVTASFTASVGSLFLTAIDRYISIHR</v>
      </c>
      <c r="K119" s="4" t="str">
        <f t="shared" si="31"/>
        <v>PLAYKRIV</v>
      </c>
      <c r="L119" s="4" t="str">
        <f t="shared" si="32"/>
        <v>TRPKAVVAFCLMWTIAIVIAVLPLLG</v>
      </c>
      <c r="M119" s="4" t="str">
        <f t="shared" si="33"/>
        <v/>
      </c>
      <c r="N119" s="4" t="str">
        <f t="shared" si="34"/>
        <v>DETYLMFWIGVTSVLLLFIVYAYMYILWKAHSHAVRMIQRG</v>
      </c>
      <c r="O119" s="4" t="str">
        <f t="shared" si="35"/>
        <v>PDQARMDIRLAKTLVLILVVLIICWGPLLAIMVYDVFG</v>
      </c>
      <c r="P119" s="4" t="str">
        <f t="shared" si="36"/>
        <v>NKLIKTVFAFCSMLCLLNSTVNPIIYALR</v>
      </c>
      <c r="Q119" s="4" t="str">
        <f t="shared" si="37"/>
        <v>SKDLRHAFRSMFP</v>
      </c>
      <c r="R119" s="5">
        <f>VLOOKUP($A119,'SegEnds_NonXtal_Prot#'!$A:$AL,3,FALSE)</f>
        <v>112</v>
      </c>
      <c r="S119" s="5">
        <f>VLOOKUP($A119,'SegEnds_NonXtal_Prot#'!$A:$AL,6,FALSE)</f>
        <v>145</v>
      </c>
      <c r="T119" s="5">
        <f>VLOOKUP($A119,'SegEnds_NonXtal_Prot#'!$A:$AL,9,FALSE)</f>
        <v>150</v>
      </c>
      <c r="U119" s="5" t="str">
        <f>VLOOKUP($A119,'SegEnds_NonXtal_Prot#'!$A:$AL,12,FALSE)</f>
        <v>-</v>
      </c>
      <c r="V119" s="5">
        <f>VLOOKUP($A119,'SegEnds_NonXtal_Prot#'!$A:$AL,15,FALSE)</f>
        <v>185</v>
      </c>
      <c r="W119" s="5">
        <f>VLOOKUP($A119,'SegEnds_NonXtal_Prot#'!$A:$AL,18,FALSE)</f>
        <v>221</v>
      </c>
      <c r="X119" s="5">
        <f>VLOOKUP($A119,'SegEnds_NonXtal_Prot#'!$A:$AL,21,FALSE)</f>
        <v>229</v>
      </c>
      <c r="Y119" s="5" t="str">
        <f>VLOOKUP($A119,'SegEnds_NonXtal_Prot#'!$A:$AL,24,FALSE)</f>
        <v>-</v>
      </c>
      <c r="Z119" s="5">
        <f>VLOOKUP($A119,'SegEnds_NonXtal_Prot#'!$A:$AL,27,FALSE)</f>
        <v>272</v>
      </c>
      <c r="AA119" s="5">
        <f>VLOOKUP($A119,'SegEnds_NonXtal_Prot#'!$A:$AL,30,FALSE)</f>
        <v>332</v>
      </c>
      <c r="AB119" s="5">
        <f>VLOOKUP($A119,'SegEnds_NonXtal_Prot#'!$A:$AL,33,FALSE)</f>
        <v>372</v>
      </c>
      <c r="AC119" s="5">
        <f>VLOOKUP($A119,'SegEnds_NonXtal_Prot#'!$A:$AL,36,FALSE)</f>
        <v>401</v>
      </c>
      <c r="AD119" s="5">
        <f>VLOOKUP($A119,'SegEnds_NonXtal_Prot#'!$A:$AL,5,FALSE)</f>
        <v>144</v>
      </c>
      <c r="AE119" s="5">
        <f>VLOOKUP($A119,'SegEnds_NonXtal_Prot#'!$A:$AL,8,FALSE)</f>
        <v>148</v>
      </c>
      <c r="AF119" s="5">
        <f>VLOOKUP($A119,'SegEnds_NonXtal_Prot#'!$A:$AL,11,FALSE)</f>
        <v>179</v>
      </c>
      <c r="AG119" s="5" t="str">
        <f>VLOOKUP($A119,'SegEnds_NonXtal_Prot#'!$A:$AL,14,FALSE)</f>
        <v>-</v>
      </c>
      <c r="AH119" s="5">
        <f>VLOOKUP($A119,'SegEnds_NonXtal_Prot#'!$A:$AL,17,FALSE)</f>
        <v>220</v>
      </c>
      <c r="AI119" s="5">
        <f>VLOOKUP($A119,'SegEnds_NonXtal_Prot#'!$A:$AL,20,FALSE)</f>
        <v>228</v>
      </c>
      <c r="AJ119" s="5">
        <f>VLOOKUP($A119,'SegEnds_NonXtal_Prot#'!$A:$AL,23,FALSE)</f>
        <v>254</v>
      </c>
      <c r="AK119" s="5" t="str">
        <f>VLOOKUP($A119,'SegEnds_NonXtal_Prot#'!$A:$AL,26,FALSE)</f>
        <v>-</v>
      </c>
      <c r="AL119" s="5">
        <f>VLOOKUP($A119,'SegEnds_NonXtal_Prot#'!$A:$AL,29,FALSE)</f>
        <v>312</v>
      </c>
      <c r="AM119" s="5">
        <f>VLOOKUP($A119,'SegEnds_NonXtal_Prot#'!$A:$AL,32,FALSE)</f>
        <v>369</v>
      </c>
      <c r="AN119" s="5">
        <f>VLOOKUP($A119,'SegEnds_NonXtal_Prot#'!$A:$AL,35,FALSE)</f>
        <v>400</v>
      </c>
      <c r="AO119" s="5">
        <f>VLOOKUP($A119,'SegEnds_NonXtal_Prot#'!$A:$AL,38,FALSE)</f>
        <v>413</v>
      </c>
      <c r="AP119" s="5">
        <f t="shared" si="38"/>
        <v>32</v>
      </c>
      <c r="AQ119" s="4">
        <f t="shared" si="39"/>
        <v>3</v>
      </c>
      <c r="AR119" s="4">
        <f t="shared" si="40"/>
        <v>29</v>
      </c>
      <c r="AS119" s="4" t="str">
        <f t="shared" si="41"/>
        <v>-</v>
      </c>
      <c r="AT119" s="4">
        <f t="shared" si="42"/>
        <v>35</v>
      </c>
      <c r="AU119" s="4">
        <f t="shared" si="43"/>
        <v>7</v>
      </c>
      <c r="AV119" s="4">
        <f t="shared" si="44"/>
        <v>25</v>
      </c>
      <c r="AW119" s="4" t="str">
        <f t="shared" si="45"/>
        <v>-</v>
      </c>
      <c r="AX119" s="4">
        <f t="shared" si="46"/>
        <v>40</v>
      </c>
      <c r="AY119" s="4">
        <f t="shared" si="47"/>
        <v>37</v>
      </c>
      <c r="AZ119" s="4">
        <f t="shared" si="48"/>
        <v>28</v>
      </c>
      <c r="BA119" s="4">
        <f t="shared" si="49"/>
        <v>12</v>
      </c>
    </row>
    <row r="120" spans="1:53" x14ac:dyDescent="0.2">
      <c r="A120" s="1" t="str">
        <f>'SegEnds_NonXtal_Prot#'!A91</f>
        <v>cnr2_human</v>
      </c>
      <c r="B120" s="1" t="str">
        <f t="shared" si="25"/>
        <v>SGPQKTAVAVLCTLLGLLSALENVAVLYLILSSRKPSYLFIGSLAGADFLASVVFACSFVNFHVSKAVFLLKIGSVTMTFTASVGSLLLTAIDRYLCLRYTRGRALVTLGIMWVLSALVSYLPLMGPNDYLLSWLLFIAFLFSGIIYTYGHVLWKAHQHVASLSGVPGMARMRLDVRLAKTLGLVLAVLLICWFPVLALMAHSLATVKKAFAFCSMLCLINSMVNPVIYALRSGEIRSSAHHCLA</v>
      </c>
      <c r="C120" s="29" t="str">
        <f>IF(ISERROR(MATCH(A120,'SegEnds_Xtal_Prot#'!B:B, 0)), "NoXtal", "Xtal")</f>
        <v>NoXtal</v>
      </c>
      <c r="D120" s="4" t="str">
        <f>VLOOKUP(A120,Classification!A:D,2,FALSE)</f>
        <v>A</v>
      </c>
      <c r="E120" s="5" t="str">
        <f>VLOOKUP(A120,Seqs!A:B,2,FALSE)</f>
        <v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v>
      </c>
      <c r="F120" s="5" t="str">
        <f t="shared" si="26"/>
        <v>SGPQKTAVAVLCTLLGLLSALENVAVLYLILSS</v>
      </c>
      <c r="G120" s="4" t="str">
        <f t="shared" si="27"/>
        <v>HQLR</v>
      </c>
      <c r="H120" s="4" t="str">
        <f t="shared" si="28"/>
        <v>RKPSYLFIGSLAGADFLASVVFACSFVNFHV</v>
      </c>
      <c r="I120" s="4" t="str">
        <f t="shared" si="29"/>
        <v/>
      </c>
      <c r="J120" s="4" t="str">
        <f t="shared" si="30"/>
        <v>SKAVFLLKIGSVTMTFTASVGSLLLTAIDRYLCLRY</v>
      </c>
      <c r="K120" s="4" t="str">
        <f t="shared" si="31"/>
        <v>PPSYKALL</v>
      </c>
      <c r="L120" s="4" t="str">
        <f t="shared" si="32"/>
        <v>TRGRALVTLGIMWVLSALVSYLPLMG</v>
      </c>
      <c r="M120" s="4" t="str">
        <f t="shared" si="33"/>
        <v/>
      </c>
      <c r="N120" s="4" t="str">
        <f t="shared" si="34"/>
        <v>PNDYLLSWLLFIAFLFSGIIYTYGHVLWKAHQHVASLSG</v>
      </c>
      <c r="O120" s="4" t="str">
        <f t="shared" si="35"/>
        <v>VPGMARMRLDVRLAKTLGLVLAVLLICWFPVLALMAHSLAT</v>
      </c>
      <c r="P120" s="4" t="str">
        <f t="shared" si="36"/>
        <v>VKKAFAFCSMLCLINSMVNPVIYALR</v>
      </c>
      <c r="Q120" s="4" t="str">
        <f t="shared" si="37"/>
        <v>SGEIRSSAHHCLA</v>
      </c>
      <c r="R120" s="5">
        <f>VLOOKUP($A120,'SegEnds_NonXtal_Prot#'!$A:$AL,3,FALSE)</f>
        <v>29</v>
      </c>
      <c r="S120" s="5">
        <f>VLOOKUP($A120,'SegEnds_NonXtal_Prot#'!$A:$AL,6,FALSE)</f>
        <v>62</v>
      </c>
      <c r="T120" s="5">
        <f>VLOOKUP($A120,'SegEnds_NonXtal_Prot#'!$A:$AL,9,FALSE)</f>
        <v>66</v>
      </c>
      <c r="U120" s="5" t="str">
        <f>VLOOKUP($A120,'SegEnds_NonXtal_Prot#'!$A:$AL,12,FALSE)</f>
        <v>-</v>
      </c>
      <c r="V120" s="5">
        <f>VLOOKUP($A120,'SegEnds_NonXtal_Prot#'!$A:$AL,15,FALSE)</f>
        <v>102</v>
      </c>
      <c r="W120" s="5">
        <f>VLOOKUP($A120,'SegEnds_NonXtal_Prot#'!$A:$AL,18,FALSE)</f>
        <v>138</v>
      </c>
      <c r="X120" s="5">
        <f>VLOOKUP($A120,'SegEnds_NonXtal_Prot#'!$A:$AL,21,FALSE)</f>
        <v>146</v>
      </c>
      <c r="Y120" s="5" t="str">
        <f>VLOOKUP($A120,'SegEnds_NonXtal_Prot#'!$A:$AL,24,FALSE)</f>
        <v>-</v>
      </c>
      <c r="Z120" s="5">
        <f>VLOOKUP($A120,'SegEnds_NonXtal_Prot#'!$A:$AL,27,FALSE)</f>
        <v>187</v>
      </c>
      <c r="AA120" s="5">
        <f>VLOOKUP($A120,'SegEnds_NonXtal_Prot#'!$A:$AL,30,FALSE)</f>
        <v>231</v>
      </c>
      <c r="AB120" s="5">
        <f>VLOOKUP($A120,'SegEnds_NonXtal_Prot#'!$A:$AL,33,FALSE)</f>
        <v>277</v>
      </c>
      <c r="AC120" s="5">
        <f>VLOOKUP($A120,'SegEnds_NonXtal_Prot#'!$A:$AL,36,FALSE)</f>
        <v>303</v>
      </c>
      <c r="AD120" s="5">
        <f>VLOOKUP($A120,'SegEnds_NonXtal_Prot#'!$A:$AL,5,FALSE)</f>
        <v>61</v>
      </c>
      <c r="AE120" s="5">
        <f>VLOOKUP($A120,'SegEnds_NonXtal_Prot#'!$A:$AL,8,FALSE)</f>
        <v>65</v>
      </c>
      <c r="AF120" s="5">
        <f>VLOOKUP($A120,'SegEnds_NonXtal_Prot#'!$A:$AL,11,FALSE)</f>
        <v>96</v>
      </c>
      <c r="AG120" s="5" t="str">
        <f>VLOOKUP($A120,'SegEnds_NonXtal_Prot#'!$A:$AL,14,FALSE)</f>
        <v>-</v>
      </c>
      <c r="AH120" s="5">
        <f>VLOOKUP($A120,'SegEnds_NonXtal_Prot#'!$A:$AL,17,FALSE)</f>
        <v>137</v>
      </c>
      <c r="AI120" s="5">
        <f>VLOOKUP($A120,'SegEnds_NonXtal_Prot#'!$A:$AL,20,FALSE)</f>
        <v>145</v>
      </c>
      <c r="AJ120" s="5">
        <f>VLOOKUP($A120,'SegEnds_NonXtal_Prot#'!$A:$AL,23,FALSE)</f>
        <v>171</v>
      </c>
      <c r="AK120" s="5" t="str">
        <f>VLOOKUP($A120,'SegEnds_NonXtal_Prot#'!$A:$AL,26,FALSE)</f>
        <v>-</v>
      </c>
      <c r="AL120" s="5">
        <f>VLOOKUP($A120,'SegEnds_NonXtal_Prot#'!$A:$AL,29,FALSE)</f>
        <v>225</v>
      </c>
      <c r="AM120" s="5">
        <f>VLOOKUP($A120,'SegEnds_NonXtal_Prot#'!$A:$AL,32,FALSE)</f>
        <v>271</v>
      </c>
      <c r="AN120" s="5">
        <f>VLOOKUP($A120,'SegEnds_NonXtal_Prot#'!$A:$AL,35,FALSE)</f>
        <v>302</v>
      </c>
      <c r="AO120" s="5">
        <f>VLOOKUP($A120,'SegEnds_NonXtal_Prot#'!$A:$AL,38,FALSE)</f>
        <v>315</v>
      </c>
      <c r="AP120" s="5">
        <f t="shared" si="38"/>
        <v>32</v>
      </c>
      <c r="AQ120" s="4">
        <f t="shared" si="39"/>
        <v>3</v>
      </c>
      <c r="AR120" s="4">
        <f t="shared" si="40"/>
        <v>30</v>
      </c>
      <c r="AS120" s="4" t="str">
        <f t="shared" si="41"/>
        <v>-</v>
      </c>
      <c r="AT120" s="4">
        <f t="shared" si="42"/>
        <v>35</v>
      </c>
      <c r="AU120" s="4">
        <f t="shared" si="43"/>
        <v>7</v>
      </c>
      <c r="AV120" s="4">
        <f t="shared" si="44"/>
        <v>25</v>
      </c>
      <c r="AW120" s="4" t="str">
        <f t="shared" si="45"/>
        <v>-</v>
      </c>
      <c r="AX120" s="4">
        <f t="shared" si="46"/>
        <v>38</v>
      </c>
      <c r="AY120" s="4">
        <f t="shared" si="47"/>
        <v>40</v>
      </c>
      <c r="AZ120" s="4">
        <f t="shared" si="48"/>
        <v>25</v>
      </c>
      <c r="BA120" s="4">
        <f t="shared" si="49"/>
        <v>12</v>
      </c>
    </row>
    <row r="121" spans="1:53" x14ac:dyDescent="0.2">
      <c r="A121" s="1" t="str">
        <f>'SegEnds_NonXtal_Prot#'!A92</f>
        <v>cx3c1_human</v>
      </c>
      <c r="B121" s="1" t="str">
        <f t="shared" si="25"/>
        <v>IGDIVVFGTVFLSIFYSVIFAIGLVGNLLVVFALTNSSVTDIYLLNLALSDLLFVATLPFWTHYLINMCKFTTAFFFIGFFGSIFFITVISIDRYLAIVLTVQHGVTISLGVWAAAILVAAPQFMFTLQEIWPVLRNVETNFLGFLLPLLIMSYCYFRIIQTLFSCKAKAIKLILLVVIVFFLFWTPYNVMIFLETLKLYDSCDMRKDLRLALSVTETVAFSHCCLNPLIYAFAGEKFRRYLYHLYG</v>
      </c>
      <c r="C121" s="29" t="str">
        <f>IF(ISERROR(MATCH(A121,'SegEnds_Xtal_Prot#'!B:B, 0)), "NoXtal", "Xtal")</f>
        <v>NoXtal</v>
      </c>
      <c r="D121" s="4" t="str">
        <f>VLOOKUP(A121,Classification!A:D,2,FALSE)</f>
        <v>A</v>
      </c>
      <c r="E121" s="5" t="str">
        <f>VLOOKUP(A121,Seqs!A:B,2,FALSE)</f>
        <v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v>
      </c>
      <c r="F121" s="5" t="str">
        <f t="shared" si="26"/>
        <v>IGDIVVFGTVFLSIFYSVIFAIGLVGNLLVVFALTNS</v>
      </c>
      <c r="G121" s="4" t="str">
        <f t="shared" si="27"/>
        <v>KKPK</v>
      </c>
      <c r="H121" s="4" t="str">
        <f t="shared" si="28"/>
        <v>SVTDIYLLNLALSDLLFVATLPFWTHYLIN</v>
      </c>
      <c r="I121" s="4" t="str">
        <f t="shared" si="29"/>
        <v/>
      </c>
      <c r="J121" s="4" t="str">
        <f t="shared" si="30"/>
        <v>MCKFTTAFFFIGFFGSIFFITVISIDRYLAIVL</v>
      </c>
      <c r="K121" s="4" t="str">
        <f t="shared" si="31"/>
        <v>AANSMNNR</v>
      </c>
      <c r="L121" s="4" t="str">
        <f t="shared" si="32"/>
        <v>TVQHGVTISLGVWAAAILVAAPQFMFT</v>
      </c>
      <c r="M121" s="4" t="str">
        <f t="shared" si="33"/>
        <v>CLG</v>
      </c>
      <c r="N121" s="4" t="str">
        <f t="shared" si="34"/>
        <v>LQEIWPVLRNVETNFLGFLLPLLIMSYCYFRIIQTLFSC</v>
      </c>
      <c r="O121" s="4" t="str">
        <f t="shared" si="35"/>
        <v>KAKAIKLILLVVIVFFLFWTPYNVMIFLETLKLYD</v>
      </c>
      <c r="P121" s="4" t="str">
        <f t="shared" si="36"/>
        <v>SCDMRKDLRLALSVTETVAFSHCCLNPLIYAFA</v>
      </c>
      <c r="Q121" s="4" t="str">
        <f t="shared" si="37"/>
        <v>GEKFRRYLYHLYG</v>
      </c>
      <c r="R121" s="5">
        <f>VLOOKUP($A121,'SegEnds_NonXtal_Prot#'!$A:$AL,3,FALSE)</f>
        <v>23</v>
      </c>
      <c r="S121" s="5">
        <f>VLOOKUP($A121,'SegEnds_NonXtal_Prot#'!$A:$AL,6,FALSE)</f>
        <v>60</v>
      </c>
      <c r="T121" s="5">
        <f>VLOOKUP($A121,'SegEnds_NonXtal_Prot#'!$A:$AL,9,FALSE)</f>
        <v>64</v>
      </c>
      <c r="U121" s="5" t="str">
        <f>VLOOKUP($A121,'SegEnds_NonXtal_Prot#'!$A:$AL,12,FALSE)</f>
        <v>-</v>
      </c>
      <c r="V121" s="5">
        <f>VLOOKUP($A121,'SegEnds_NonXtal_Prot#'!$A:$AL,15,FALSE)</f>
        <v>101</v>
      </c>
      <c r="W121" s="5">
        <f>VLOOKUP($A121,'SegEnds_NonXtal_Prot#'!$A:$AL,18,FALSE)</f>
        <v>134</v>
      </c>
      <c r="X121" s="5">
        <f>VLOOKUP($A121,'SegEnds_NonXtal_Prot#'!$A:$AL,21,FALSE)</f>
        <v>142</v>
      </c>
      <c r="Y121" s="5">
        <f>VLOOKUP($A121,'SegEnds_NonXtal_Prot#'!$A:$AL,24,FALSE)</f>
        <v>175</v>
      </c>
      <c r="Z121" s="5">
        <f>VLOOKUP($A121,'SegEnds_NonXtal_Prot#'!$A:$AL,27,FALSE)</f>
        <v>183</v>
      </c>
      <c r="AA121" s="5">
        <f>VLOOKUP($A121,'SegEnds_NonXtal_Prot#'!$A:$AL,30,FALSE)</f>
        <v>226</v>
      </c>
      <c r="AB121" s="5">
        <f>VLOOKUP($A121,'SegEnds_NonXtal_Prot#'!$A:$AL,33,FALSE)</f>
        <v>264</v>
      </c>
      <c r="AC121" s="5">
        <f>VLOOKUP($A121,'SegEnds_NonXtal_Prot#'!$A:$AL,36,FALSE)</f>
        <v>297</v>
      </c>
      <c r="AD121" s="5">
        <f>VLOOKUP($A121,'SegEnds_NonXtal_Prot#'!$A:$AL,5,FALSE)</f>
        <v>59</v>
      </c>
      <c r="AE121" s="5">
        <f>VLOOKUP($A121,'SegEnds_NonXtal_Prot#'!$A:$AL,8,FALSE)</f>
        <v>63</v>
      </c>
      <c r="AF121" s="5">
        <f>VLOOKUP($A121,'SegEnds_NonXtal_Prot#'!$A:$AL,11,FALSE)</f>
        <v>93</v>
      </c>
      <c r="AG121" s="5" t="str">
        <f>VLOOKUP($A121,'SegEnds_NonXtal_Prot#'!$A:$AL,14,FALSE)</f>
        <v>-</v>
      </c>
      <c r="AH121" s="5">
        <f>VLOOKUP($A121,'SegEnds_NonXtal_Prot#'!$A:$AL,17,FALSE)</f>
        <v>133</v>
      </c>
      <c r="AI121" s="5">
        <f>VLOOKUP($A121,'SegEnds_NonXtal_Prot#'!$A:$AL,20,FALSE)</f>
        <v>141</v>
      </c>
      <c r="AJ121" s="5">
        <f>VLOOKUP($A121,'SegEnds_NonXtal_Prot#'!$A:$AL,23,FALSE)</f>
        <v>168</v>
      </c>
      <c r="AK121" s="5">
        <f>VLOOKUP($A121,'SegEnds_NonXtal_Prot#'!$A:$AL,26,FALSE)</f>
        <v>177</v>
      </c>
      <c r="AL121" s="5">
        <f>VLOOKUP($A121,'SegEnds_NonXtal_Prot#'!$A:$AL,29,FALSE)</f>
        <v>221</v>
      </c>
      <c r="AM121" s="5">
        <f>VLOOKUP($A121,'SegEnds_NonXtal_Prot#'!$A:$AL,32,FALSE)</f>
        <v>260</v>
      </c>
      <c r="AN121" s="5">
        <f>VLOOKUP($A121,'SegEnds_NonXtal_Prot#'!$A:$AL,35,FALSE)</f>
        <v>296</v>
      </c>
      <c r="AO121" s="5">
        <f>VLOOKUP($A121,'SegEnds_NonXtal_Prot#'!$A:$AL,38,FALSE)</f>
        <v>309</v>
      </c>
      <c r="AP121" s="5">
        <f t="shared" si="38"/>
        <v>36</v>
      </c>
      <c r="AQ121" s="4">
        <f t="shared" si="39"/>
        <v>3</v>
      </c>
      <c r="AR121" s="4">
        <f t="shared" si="40"/>
        <v>29</v>
      </c>
      <c r="AS121" s="4" t="str">
        <f t="shared" si="41"/>
        <v>-</v>
      </c>
      <c r="AT121" s="4">
        <f t="shared" si="42"/>
        <v>32</v>
      </c>
      <c r="AU121" s="4">
        <f t="shared" si="43"/>
        <v>7</v>
      </c>
      <c r="AV121" s="4">
        <f t="shared" si="44"/>
        <v>26</v>
      </c>
      <c r="AW121" s="4">
        <f t="shared" si="45"/>
        <v>2</v>
      </c>
      <c r="AX121" s="4">
        <f t="shared" si="46"/>
        <v>38</v>
      </c>
      <c r="AY121" s="4">
        <f t="shared" si="47"/>
        <v>34</v>
      </c>
      <c r="AZ121" s="4">
        <f t="shared" si="48"/>
        <v>32</v>
      </c>
      <c r="BA121" s="4">
        <f t="shared" si="49"/>
        <v>12</v>
      </c>
    </row>
    <row r="122" spans="1:53" x14ac:dyDescent="0.2">
      <c r="A122" s="1" t="str">
        <f>'SegEnds_NonXtal_Prot#'!A93</f>
        <v>cxcr3_human</v>
      </c>
      <c r="B122" s="1" t="str">
        <f t="shared" si="25"/>
        <v>QDFSLNFDRAFLPALYSLLFLLGLLGNGAVAAVLLSRSSTDTFLLHLAVADTLLVLTLPLWAVDAAVGSGLCKVAGALFNINFYAGALLLACISFDRYLNIVHPPARVTLTCLAVWGLCLLFALPDFIFLQVGRTALRVLQLVAGFLLPLLVMAYCYAHILAVLLVSRLRAMRLVVVVVVAFALCWTPYHLVVLVDILMDLGNCGRESRVDVAKSVTSGLGYMHCCLNPLLYAFVGVKFRERMWMLLL</v>
      </c>
      <c r="C122" s="29" t="str">
        <f>IF(ISERROR(MATCH(A122,'SegEnds_Xtal_Prot#'!B:B, 0)), "NoXtal", "Xtal")</f>
        <v>NoXtal</v>
      </c>
      <c r="D122" s="4" t="str">
        <f>VLOOKUP(A122,Classification!A:D,2,FALSE)</f>
        <v>A</v>
      </c>
      <c r="E122" s="5" t="str">
        <f>VLOOKUP(A122,Seqs!A:B,2,FALSE)</f>
        <v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v>
      </c>
      <c r="F122" s="5" t="str">
        <f t="shared" si="26"/>
        <v>QDFSLNFDRAFLPALYSLLFLLGLLGNGAVAAVLLSR</v>
      </c>
      <c r="G122" s="4" t="str">
        <f t="shared" si="27"/>
        <v>RTAL</v>
      </c>
      <c r="H122" s="4" t="str">
        <f t="shared" si="28"/>
        <v>SSTDTFLLHLAVADTLLVLTLPLWAVDAAV</v>
      </c>
      <c r="I122" s="4" t="str">
        <f t="shared" si="29"/>
        <v>QWVF</v>
      </c>
      <c r="J122" s="4" t="str">
        <f t="shared" si="30"/>
        <v>GSGLCKVAGALFNINFYAGALLLACISFDRYLNIVH</v>
      </c>
      <c r="K122" s="4" t="str">
        <f t="shared" si="31"/>
        <v>ATQLYRRG</v>
      </c>
      <c r="L122" s="4" t="str">
        <f t="shared" si="32"/>
        <v>PPARVTLTCLAVWGLCLLFALPDFIFL</v>
      </c>
      <c r="M122" s="4" t="str">
        <f t="shared" si="33"/>
        <v>CQY</v>
      </c>
      <c r="N122" s="4" t="str">
        <f t="shared" si="34"/>
        <v>QVGRTALRVLQLVAGFLLPLLVMAYCYAHILAVLLVS</v>
      </c>
      <c r="O122" s="4" t="str">
        <f t="shared" si="35"/>
        <v>RLRAMRLVVVVVVAFALCWTPYHLVVLVDILMDLG</v>
      </c>
      <c r="P122" s="4" t="str">
        <f t="shared" si="36"/>
        <v>NCGRESRVDVAKSVTSGLGYMHCCLNPLLYAFV</v>
      </c>
      <c r="Q122" s="4" t="str">
        <f t="shared" si="37"/>
        <v>GVKFRERMWMLLL</v>
      </c>
      <c r="R122" s="5">
        <f>VLOOKUP($A122,'SegEnds_NonXtal_Prot#'!$A:$AL,3,FALSE)</f>
        <v>45</v>
      </c>
      <c r="S122" s="5">
        <f>VLOOKUP($A122,'SegEnds_NonXtal_Prot#'!$A:$AL,6,FALSE)</f>
        <v>82</v>
      </c>
      <c r="T122" s="5">
        <f>VLOOKUP($A122,'SegEnds_NonXtal_Prot#'!$A:$AL,9,FALSE)</f>
        <v>86</v>
      </c>
      <c r="U122" s="5">
        <f>VLOOKUP($A122,'SegEnds_NonXtal_Prot#'!$A:$AL,12,FALSE)</f>
        <v>116</v>
      </c>
      <c r="V122" s="5">
        <f>VLOOKUP($A122,'SegEnds_NonXtal_Prot#'!$A:$AL,15,FALSE)</f>
        <v>120</v>
      </c>
      <c r="W122" s="5">
        <f>VLOOKUP($A122,'SegEnds_NonXtal_Prot#'!$A:$AL,18,FALSE)</f>
        <v>156</v>
      </c>
      <c r="X122" s="5">
        <f>VLOOKUP($A122,'SegEnds_NonXtal_Prot#'!$A:$AL,21,FALSE)</f>
        <v>164</v>
      </c>
      <c r="Y122" s="5">
        <f>VLOOKUP($A122,'SegEnds_NonXtal_Prot#'!$A:$AL,24,FALSE)</f>
        <v>203</v>
      </c>
      <c r="Z122" s="5">
        <f>VLOOKUP($A122,'SegEnds_NonXtal_Prot#'!$A:$AL,27,FALSE)</f>
        <v>209</v>
      </c>
      <c r="AA122" s="5">
        <f>VLOOKUP($A122,'SegEnds_NonXtal_Prot#'!$A:$AL,30,FALSE)</f>
        <v>250</v>
      </c>
      <c r="AB122" s="5">
        <f>VLOOKUP($A122,'SegEnds_NonXtal_Prot#'!$A:$AL,33,FALSE)</f>
        <v>289</v>
      </c>
      <c r="AC122" s="5">
        <f>VLOOKUP($A122,'SegEnds_NonXtal_Prot#'!$A:$AL,36,FALSE)</f>
        <v>322</v>
      </c>
      <c r="AD122" s="5">
        <f>VLOOKUP($A122,'SegEnds_NonXtal_Prot#'!$A:$AL,5,FALSE)</f>
        <v>81</v>
      </c>
      <c r="AE122" s="5">
        <f>VLOOKUP($A122,'SegEnds_NonXtal_Prot#'!$A:$AL,8,FALSE)</f>
        <v>85</v>
      </c>
      <c r="AF122" s="5">
        <f>VLOOKUP($A122,'SegEnds_NonXtal_Prot#'!$A:$AL,11,FALSE)</f>
        <v>115</v>
      </c>
      <c r="AG122" s="5">
        <f>VLOOKUP($A122,'SegEnds_NonXtal_Prot#'!$A:$AL,14,FALSE)</f>
        <v>119</v>
      </c>
      <c r="AH122" s="5">
        <f>VLOOKUP($A122,'SegEnds_NonXtal_Prot#'!$A:$AL,17,FALSE)</f>
        <v>155</v>
      </c>
      <c r="AI122" s="5">
        <f>VLOOKUP($A122,'SegEnds_NonXtal_Prot#'!$A:$AL,20,FALSE)</f>
        <v>163</v>
      </c>
      <c r="AJ122" s="5">
        <f>VLOOKUP($A122,'SegEnds_NonXtal_Prot#'!$A:$AL,23,FALSE)</f>
        <v>190</v>
      </c>
      <c r="AK122" s="5">
        <f>VLOOKUP($A122,'SegEnds_NonXtal_Prot#'!$A:$AL,26,FALSE)</f>
        <v>205</v>
      </c>
      <c r="AL122" s="5">
        <f>VLOOKUP($A122,'SegEnds_NonXtal_Prot#'!$A:$AL,29,FALSE)</f>
        <v>245</v>
      </c>
      <c r="AM122" s="5">
        <f>VLOOKUP($A122,'SegEnds_NonXtal_Prot#'!$A:$AL,32,FALSE)</f>
        <v>284</v>
      </c>
      <c r="AN122" s="5">
        <f>VLOOKUP($A122,'SegEnds_NonXtal_Prot#'!$A:$AL,35,FALSE)</f>
        <v>321</v>
      </c>
      <c r="AO122" s="5">
        <f>VLOOKUP($A122,'SegEnds_NonXtal_Prot#'!$A:$AL,38,FALSE)</f>
        <v>334</v>
      </c>
      <c r="AP122" s="5">
        <f t="shared" si="38"/>
        <v>36</v>
      </c>
      <c r="AQ122" s="4">
        <f t="shared" si="39"/>
        <v>3</v>
      </c>
      <c r="AR122" s="4">
        <f t="shared" si="40"/>
        <v>29</v>
      </c>
      <c r="AS122" s="4">
        <f t="shared" si="41"/>
        <v>3</v>
      </c>
      <c r="AT122" s="4">
        <f t="shared" si="42"/>
        <v>35</v>
      </c>
      <c r="AU122" s="4">
        <f t="shared" si="43"/>
        <v>7</v>
      </c>
      <c r="AV122" s="4">
        <f t="shared" si="44"/>
        <v>26</v>
      </c>
      <c r="AW122" s="4">
        <f t="shared" si="45"/>
        <v>2</v>
      </c>
      <c r="AX122" s="4">
        <f t="shared" si="46"/>
        <v>36</v>
      </c>
      <c r="AY122" s="4">
        <f t="shared" si="47"/>
        <v>34</v>
      </c>
      <c r="AZ122" s="4">
        <f t="shared" si="48"/>
        <v>32</v>
      </c>
      <c r="BA122" s="4">
        <f t="shared" si="49"/>
        <v>12</v>
      </c>
    </row>
    <row r="123" spans="1:53" x14ac:dyDescent="0.2">
      <c r="A123" s="1" t="str">
        <f>'SegEnds_NonXtal_Prot#'!A94</f>
        <v>cxcr4_human</v>
      </c>
      <c r="B123" s="1" t="str">
        <f t="shared" si="25"/>
        <v>REENANFNKIFLPTIYSIIFLTGIVGNGLVILVMGYQSMTDKYRLHLSVADLLFVITLPFWAVDAVAGNFLCKAVHVIYTVNLYSSVLILAFISLDRYLAIVHKLLAEKVVYVGVWIPALLLTIPDFIFADLWVVVFQFQHIMVGLILPGIVILSCYCIIISKLSHSKRKALKTTVILILAFFACWLPYYIGISIDSFILLEGCEFENTVHKWISITEALAFFHCCLNPILYAFLGAKFKTSAQHALT</v>
      </c>
      <c r="C123" s="29" t="str">
        <f>IF(ISERROR(MATCH(A123,'SegEnds_Xtal_Prot#'!B:B, 0)), "NoXtal", "Xtal")</f>
        <v>Xtal</v>
      </c>
      <c r="D123" s="4" t="str">
        <f>VLOOKUP(A123,Classification!A:D,2,FALSE)</f>
        <v>A</v>
      </c>
      <c r="E123" s="5" t="str">
        <f>VLOOKUP(A123,Seqs!A:B,2,FALSE)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F123" s="5" t="str">
        <f t="shared" si="26"/>
        <v>REENANFNKIFLPTIYSIIFLTGIVGNGLVILVMGYQ</v>
      </c>
      <c r="G123" s="4" t="str">
        <f t="shared" si="27"/>
        <v>KKLR</v>
      </c>
      <c r="H123" s="4" t="str">
        <f t="shared" si="28"/>
        <v>SMTDKYRLHLSVADLLFVITLPFWAVDAVA</v>
      </c>
      <c r="I123" s="4" t="str">
        <f t="shared" si="29"/>
        <v>NWYF</v>
      </c>
      <c r="J123" s="4" t="str">
        <f t="shared" si="30"/>
        <v>GNFLCKAVHVIYTVNLYSSVLILAFISLDRYLAIVH</v>
      </c>
      <c r="K123" s="4" t="str">
        <f t="shared" si="31"/>
        <v>ATNSQRPR</v>
      </c>
      <c r="L123" s="4" t="str">
        <f t="shared" si="32"/>
        <v>KLLAEKVVYVGVWIPALLLTIPDFIFA</v>
      </c>
      <c r="M123" s="4" t="str">
        <f t="shared" si="33"/>
        <v>CDR</v>
      </c>
      <c r="N123" s="4" t="str">
        <f t="shared" si="34"/>
        <v>DLWVVVFQFQHIMVGLILPGIVILSCYCIIISKLSHS</v>
      </c>
      <c r="O123" s="4" t="str">
        <f t="shared" si="35"/>
        <v>KRKALKTTVILILAFFACWLPYYIGISIDSFILLE</v>
      </c>
      <c r="P123" s="4" t="str">
        <f t="shared" si="36"/>
        <v>GCEFENTVHKWISITEALAFFHCCLNPILYAFL</v>
      </c>
      <c r="Q123" s="4" t="str">
        <f t="shared" si="37"/>
        <v>GAKFKTSAQHALT</v>
      </c>
      <c r="R123" s="5">
        <f>VLOOKUP($A123,'SegEnds_NonXtal_Prot#'!$A:$AL,3,FALSE)</f>
        <v>30</v>
      </c>
      <c r="S123" s="5">
        <f>VLOOKUP($A123,'SegEnds_NonXtal_Prot#'!$A:$AL,6,FALSE)</f>
        <v>67</v>
      </c>
      <c r="T123" s="5">
        <f>VLOOKUP($A123,'SegEnds_NonXtal_Prot#'!$A:$AL,9,FALSE)</f>
        <v>71</v>
      </c>
      <c r="U123" s="5">
        <f>VLOOKUP($A123,'SegEnds_NonXtal_Prot#'!$A:$AL,12,FALSE)</f>
        <v>101</v>
      </c>
      <c r="V123" s="5">
        <f>VLOOKUP($A123,'SegEnds_NonXtal_Prot#'!$A:$AL,15,FALSE)</f>
        <v>105</v>
      </c>
      <c r="W123" s="5">
        <f>VLOOKUP($A123,'SegEnds_NonXtal_Prot#'!$A:$AL,18,FALSE)</f>
        <v>141</v>
      </c>
      <c r="X123" s="5">
        <f>VLOOKUP($A123,'SegEnds_NonXtal_Prot#'!$A:$AL,21,FALSE)</f>
        <v>149</v>
      </c>
      <c r="Y123" s="5">
        <f>VLOOKUP($A123,'SegEnds_NonXtal_Prot#'!$A:$AL,24,FALSE)</f>
        <v>186</v>
      </c>
      <c r="Z123" s="5">
        <f>VLOOKUP($A123,'SegEnds_NonXtal_Prot#'!$A:$AL,27,FALSE)</f>
        <v>193</v>
      </c>
      <c r="AA123" s="5">
        <f>VLOOKUP($A123,'SegEnds_NonXtal_Prot#'!$A:$AL,30,FALSE)</f>
        <v>234</v>
      </c>
      <c r="AB123" s="5">
        <f>VLOOKUP($A123,'SegEnds_NonXtal_Prot#'!$A:$AL,33,FALSE)</f>
        <v>273</v>
      </c>
      <c r="AC123" s="5">
        <f>VLOOKUP($A123,'SegEnds_NonXtal_Prot#'!$A:$AL,36,FALSE)</f>
        <v>306</v>
      </c>
      <c r="AD123" s="5">
        <f>VLOOKUP($A123,'SegEnds_NonXtal_Prot#'!$A:$AL,5,FALSE)</f>
        <v>66</v>
      </c>
      <c r="AE123" s="5">
        <f>VLOOKUP($A123,'SegEnds_NonXtal_Prot#'!$A:$AL,8,FALSE)</f>
        <v>70</v>
      </c>
      <c r="AF123" s="5">
        <f>VLOOKUP($A123,'SegEnds_NonXtal_Prot#'!$A:$AL,11,FALSE)</f>
        <v>100</v>
      </c>
      <c r="AG123" s="5">
        <f>VLOOKUP($A123,'SegEnds_NonXtal_Prot#'!$A:$AL,14,FALSE)</f>
        <v>104</v>
      </c>
      <c r="AH123" s="5">
        <f>VLOOKUP($A123,'SegEnds_NonXtal_Prot#'!$A:$AL,17,FALSE)</f>
        <v>140</v>
      </c>
      <c r="AI123" s="5">
        <f>VLOOKUP($A123,'SegEnds_NonXtal_Prot#'!$A:$AL,20,FALSE)</f>
        <v>148</v>
      </c>
      <c r="AJ123" s="5">
        <f>VLOOKUP($A123,'SegEnds_NonXtal_Prot#'!$A:$AL,23,FALSE)</f>
        <v>175</v>
      </c>
      <c r="AK123" s="5">
        <f>VLOOKUP($A123,'SegEnds_NonXtal_Prot#'!$A:$AL,26,FALSE)</f>
        <v>188</v>
      </c>
      <c r="AL123" s="5">
        <f>VLOOKUP($A123,'SegEnds_NonXtal_Prot#'!$A:$AL,29,FALSE)</f>
        <v>229</v>
      </c>
      <c r="AM123" s="5">
        <f>VLOOKUP($A123,'SegEnds_NonXtal_Prot#'!$A:$AL,32,FALSE)</f>
        <v>268</v>
      </c>
      <c r="AN123" s="5">
        <f>VLOOKUP($A123,'SegEnds_NonXtal_Prot#'!$A:$AL,35,FALSE)</f>
        <v>305</v>
      </c>
      <c r="AO123" s="5">
        <f>VLOOKUP($A123,'SegEnds_NonXtal_Prot#'!$A:$AL,38,FALSE)</f>
        <v>318</v>
      </c>
      <c r="AP123" s="5">
        <f t="shared" si="38"/>
        <v>36</v>
      </c>
      <c r="AQ123" s="4">
        <f t="shared" si="39"/>
        <v>3</v>
      </c>
      <c r="AR123" s="4">
        <f t="shared" si="40"/>
        <v>29</v>
      </c>
      <c r="AS123" s="4">
        <f t="shared" si="41"/>
        <v>3</v>
      </c>
      <c r="AT123" s="4">
        <f t="shared" si="42"/>
        <v>35</v>
      </c>
      <c r="AU123" s="4">
        <f t="shared" si="43"/>
        <v>7</v>
      </c>
      <c r="AV123" s="4">
        <f t="shared" si="44"/>
        <v>26</v>
      </c>
      <c r="AW123" s="4">
        <f t="shared" si="45"/>
        <v>2</v>
      </c>
      <c r="AX123" s="4">
        <f t="shared" si="46"/>
        <v>36</v>
      </c>
      <c r="AY123" s="4">
        <f t="shared" si="47"/>
        <v>34</v>
      </c>
      <c r="AZ123" s="4">
        <f t="shared" si="48"/>
        <v>32</v>
      </c>
      <c r="BA123" s="4">
        <f t="shared" si="49"/>
        <v>12</v>
      </c>
    </row>
    <row r="124" spans="1:53" x14ac:dyDescent="0.2">
      <c r="A124" s="1" t="str">
        <f>'SegEnds_NonXtal_Prot#'!A95</f>
        <v>cxcr5_human</v>
      </c>
      <c r="B124" s="1" t="str">
        <f t="shared" si="25"/>
        <v>GPLMASFKAVFVPVAYSLIFLLGVIGNVLVLVILERHSSTETFLFHLAVADLLLVFILPFAVAEGSVGTFLCKTVIALHKVNFYCSSLLLACIAVDRYLAIVHRLLSIHITCGTIWLVGFLLALPEILFATHAWFTSRFLYHVAGFLLPMLVMGWCYVGVVHRLRQAPQRQKAVRVAILVTSIFFLCWSPYHIVIFLDTLARLKTCKLNGSLPVAITMCEFLGLAHCCLNPMLYTFAGVKFRSDLSRLLT</v>
      </c>
      <c r="C124" s="29" t="str">
        <f>IF(ISERROR(MATCH(A124,'SegEnds_Xtal_Prot#'!B:B, 0)), "NoXtal", "Xtal")</f>
        <v>NoXtal</v>
      </c>
      <c r="D124" s="4" t="str">
        <f>VLOOKUP(A124,Classification!A:D,2,FALSE)</f>
        <v>A</v>
      </c>
      <c r="E124" s="5" t="str">
        <f>VLOOKUP(A124,Seqs!A:B,2,FALSE)</f>
        <v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v>
      </c>
      <c r="F124" s="5" t="str">
        <f t="shared" si="26"/>
        <v>GPLMASFKAVFVPVAYSLIFLLGVIGNVLVLVILERH</v>
      </c>
      <c r="G124" s="4" t="str">
        <f t="shared" si="27"/>
        <v>RQTR</v>
      </c>
      <c r="H124" s="4" t="str">
        <f t="shared" si="28"/>
        <v>SSTETFLFHLAVADLLLVFILPFAVAEGSV</v>
      </c>
      <c r="I124" s="4" t="str">
        <f t="shared" si="29"/>
        <v>GWVL</v>
      </c>
      <c r="J124" s="4" t="str">
        <f t="shared" si="30"/>
        <v>GTFLCKTVIALHKVNFYCSSLLLACIAVDRYLAIVH</v>
      </c>
      <c r="K124" s="4" t="str">
        <f t="shared" si="31"/>
        <v>AVHAYRHR</v>
      </c>
      <c r="L124" s="4" t="str">
        <f t="shared" si="32"/>
        <v>RLLSIHITCGTIWLVGFLLALPEILFA</v>
      </c>
      <c r="M124" s="4" t="str">
        <f t="shared" si="33"/>
        <v>CTF</v>
      </c>
      <c r="N124" s="4" t="str">
        <f t="shared" si="34"/>
        <v>THAWFTSRFLYHVAGFLLPMLVMGWCYVGVVHRLRQA</v>
      </c>
      <c r="O124" s="4" t="str">
        <f t="shared" si="35"/>
        <v>PQRQKAVRVAILVTSIFFLCWSPYHIVIFLDTLARLK</v>
      </c>
      <c r="P124" s="4" t="str">
        <f t="shared" si="36"/>
        <v>TCKLNGSLPVAITMCEFLGLAHCCLNPMLYTFA</v>
      </c>
      <c r="Q124" s="4" t="str">
        <f t="shared" si="37"/>
        <v>GVKFRSDLSRLLT</v>
      </c>
      <c r="R124" s="5">
        <f>VLOOKUP($A124,'SegEnds_NonXtal_Prot#'!$A:$AL,3,FALSE)</f>
        <v>43</v>
      </c>
      <c r="S124" s="5">
        <f>VLOOKUP($A124,'SegEnds_NonXtal_Prot#'!$A:$AL,6,FALSE)</f>
        <v>80</v>
      </c>
      <c r="T124" s="5">
        <f>VLOOKUP($A124,'SegEnds_NonXtal_Prot#'!$A:$AL,9,FALSE)</f>
        <v>84</v>
      </c>
      <c r="U124" s="5">
        <f>VLOOKUP($A124,'SegEnds_NonXtal_Prot#'!$A:$AL,12,FALSE)</f>
        <v>114</v>
      </c>
      <c r="V124" s="5">
        <f>VLOOKUP($A124,'SegEnds_NonXtal_Prot#'!$A:$AL,15,FALSE)</f>
        <v>118</v>
      </c>
      <c r="W124" s="5">
        <f>VLOOKUP($A124,'SegEnds_NonXtal_Prot#'!$A:$AL,18,FALSE)</f>
        <v>154</v>
      </c>
      <c r="X124" s="5">
        <f>VLOOKUP($A124,'SegEnds_NonXtal_Prot#'!$A:$AL,21,FALSE)</f>
        <v>162</v>
      </c>
      <c r="Y124" s="5">
        <f>VLOOKUP($A124,'SegEnds_NonXtal_Prot#'!$A:$AL,24,FALSE)</f>
        <v>202</v>
      </c>
      <c r="Z124" s="5">
        <f>VLOOKUP($A124,'SegEnds_NonXtal_Prot#'!$A:$AL,27,FALSE)</f>
        <v>212</v>
      </c>
      <c r="AA124" s="5">
        <f>VLOOKUP($A124,'SegEnds_NonXtal_Prot#'!$A:$AL,30,FALSE)</f>
        <v>252</v>
      </c>
      <c r="AB124" s="5">
        <f>VLOOKUP($A124,'SegEnds_NonXtal_Prot#'!$A:$AL,33,FALSE)</f>
        <v>293</v>
      </c>
      <c r="AC124" s="5">
        <f>VLOOKUP($A124,'SegEnds_NonXtal_Prot#'!$A:$AL,36,FALSE)</f>
        <v>326</v>
      </c>
      <c r="AD124" s="5">
        <f>VLOOKUP($A124,'SegEnds_NonXtal_Prot#'!$A:$AL,5,FALSE)</f>
        <v>79</v>
      </c>
      <c r="AE124" s="5">
        <f>VLOOKUP($A124,'SegEnds_NonXtal_Prot#'!$A:$AL,8,FALSE)</f>
        <v>83</v>
      </c>
      <c r="AF124" s="5">
        <f>VLOOKUP($A124,'SegEnds_NonXtal_Prot#'!$A:$AL,11,FALSE)</f>
        <v>113</v>
      </c>
      <c r="AG124" s="5">
        <f>VLOOKUP($A124,'SegEnds_NonXtal_Prot#'!$A:$AL,14,FALSE)</f>
        <v>117</v>
      </c>
      <c r="AH124" s="5">
        <f>VLOOKUP($A124,'SegEnds_NonXtal_Prot#'!$A:$AL,17,FALSE)</f>
        <v>153</v>
      </c>
      <c r="AI124" s="5">
        <f>VLOOKUP($A124,'SegEnds_NonXtal_Prot#'!$A:$AL,20,FALSE)</f>
        <v>161</v>
      </c>
      <c r="AJ124" s="5">
        <f>VLOOKUP($A124,'SegEnds_NonXtal_Prot#'!$A:$AL,23,FALSE)</f>
        <v>188</v>
      </c>
      <c r="AK124" s="5">
        <f>VLOOKUP($A124,'SegEnds_NonXtal_Prot#'!$A:$AL,26,FALSE)</f>
        <v>204</v>
      </c>
      <c r="AL124" s="5">
        <f>VLOOKUP($A124,'SegEnds_NonXtal_Prot#'!$A:$AL,29,FALSE)</f>
        <v>248</v>
      </c>
      <c r="AM124" s="5">
        <f>VLOOKUP($A124,'SegEnds_NonXtal_Prot#'!$A:$AL,32,FALSE)</f>
        <v>288</v>
      </c>
      <c r="AN124" s="5">
        <f>VLOOKUP($A124,'SegEnds_NonXtal_Prot#'!$A:$AL,35,FALSE)</f>
        <v>325</v>
      </c>
      <c r="AO124" s="5">
        <f>VLOOKUP($A124,'SegEnds_NonXtal_Prot#'!$A:$AL,38,FALSE)</f>
        <v>338</v>
      </c>
      <c r="AP124" s="5">
        <f t="shared" si="38"/>
        <v>36</v>
      </c>
      <c r="AQ124" s="4">
        <f t="shared" si="39"/>
        <v>3</v>
      </c>
      <c r="AR124" s="4">
        <f t="shared" si="40"/>
        <v>29</v>
      </c>
      <c r="AS124" s="4">
        <f t="shared" si="41"/>
        <v>3</v>
      </c>
      <c r="AT124" s="4">
        <f t="shared" si="42"/>
        <v>35</v>
      </c>
      <c r="AU124" s="4">
        <f t="shared" si="43"/>
        <v>7</v>
      </c>
      <c r="AV124" s="4">
        <f t="shared" si="44"/>
        <v>26</v>
      </c>
      <c r="AW124" s="4">
        <f t="shared" si="45"/>
        <v>2</v>
      </c>
      <c r="AX124" s="4">
        <f t="shared" si="46"/>
        <v>36</v>
      </c>
      <c r="AY124" s="4">
        <f t="shared" si="47"/>
        <v>36</v>
      </c>
      <c r="AZ124" s="4">
        <f t="shared" si="48"/>
        <v>32</v>
      </c>
      <c r="BA124" s="4">
        <f t="shared" si="49"/>
        <v>12</v>
      </c>
    </row>
    <row r="125" spans="1:53" x14ac:dyDescent="0.2">
      <c r="A125" s="1" t="str">
        <f>'SegEnds_NonXtal_Prot#'!A96</f>
        <v>drd1_human</v>
      </c>
      <c r="B125" s="1" t="str">
        <f t="shared" si="25"/>
        <v>VERDFSVRILTACFLSLLILSTLLGNTLVCAAVIRFSKVTNFFVISLAVSDLLVAVLVMPWKAVAEIGSFCNIWVAFDIMCSTASILNLCVISVDRYWAISSTPKAAFILISVAWTLSVLISFIPVQLSSRTYAISSSVISFYIPVAIMIVTYTRIYRIAQKQIRRIAALEKMSFKRETKVLKTLSVIMGVFVCCWLPFFILNCILPFCFCIDSNTFDVFVWFGWANSSLNPIIYAFNADFRKAFSTLLGC</v>
      </c>
      <c r="C125" s="29" t="str">
        <f>IF(ISERROR(MATCH(A125,'SegEnds_Xtal_Prot#'!B:B, 0)), "NoXtal", "Xtal")</f>
        <v>NoXtal</v>
      </c>
      <c r="D125" s="4" t="str">
        <f>VLOOKUP(A125,Classification!A:D,2,FALSE)</f>
        <v>A</v>
      </c>
      <c r="E125" s="5" t="str">
        <f>VLOOKUP(A125,Seqs!A:B,2,FALSE)</f>
        <v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v>
      </c>
      <c r="F125" s="5" t="str">
        <f t="shared" si="26"/>
        <v>VERDFSVRILTACFLSLLILSTLLGNTLVCAAVIRF</v>
      </c>
      <c r="G125" s="4" t="str">
        <f t="shared" si="27"/>
        <v>RHLR</v>
      </c>
      <c r="H125" s="4" t="str">
        <f t="shared" si="28"/>
        <v>SKVTNFFVISLAVSDLLVAVLVMPWKAVAEI</v>
      </c>
      <c r="I125" s="4" t="str">
        <f t="shared" si="29"/>
        <v>FWPF</v>
      </c>
      <c r="J125" s="4" t="str">
        <f t="shared" si="30"/>
        <v>GSFCNIWVAFDIMCSTASILNLCVISVDRYWAISS</v>
      </c>
      <c r="K125" s="4" t="str">
        <f t="shared" si="31"/>
        <v>PFRYERKM</v>
      </c>
      <c r="L125" s="4" t="str">
        <f t="shared" si="32"/>
        <v>TPKAAFILISVAWTLSVLISFIPVQLS</v>
      </c>
      <c r="M125" s="4" t="str">
        <f t="shared" si="33"/>
        <v>CDS</v>
      </c>
      <c r="N125" s="4" t="str">
        <f t="shared" si="34"/>
        <v>SRTYAISSSVISFYIPVAIMIVTYTRIYRIAQKQIRRIAALE</v>
      </c>
      <c r="O125" s="4" t="str">
        <f t="shared" si="35"/>
        <v>KMSFKRETKVLKTLSVIMGVFVCCWLPFFILNCILPFC</v>
      </c>
      <c r="P125" s="4" t="str">
        <f t="shared" si="36"/>
        <v>FCIDSNTFDVFVWFGWANSSLNPIIYAFN</v>
      </c>
      <c r="Q125" s="4" t="str">
        <f t="shared" si="37"/>
        <v>ADFRKAFSTLLGC</v>
      </c>
      <c r="R125" s="5">
        <f>VLOOKUP($A125,'SegEnds_NonXtal_Prot#'!$A:$AL,3,FALSE)</f>
        <v>16</v>
      </c>
      <c r="S125" s="5">
        <f>VLOOKUP($A125,'SegEnds_NonXtal_Prot#'!$A:$AL,6,FALSE)</f>
        <v>52</v>
      </c>
      <c r="T125" s="5">
        <f>VLOOKUP($A125,'SegEnds_NonXtal_Prot#'!$A:$AL,9,FALSE)</f>
        <v>56</v>
      </c>
      <c r="U125" s="5">
        <f>VLOOKUP($A125,'SegEnds_NonXtal_Prot#'!$A:$AL,12,FALSE)</f>
        <v>89</v>
      </c>
      <c r="V125" s="5">
        <f>VLOOKUP($A125,'SegEnds_NonXtal_Prot#'!$A:$AL,15,FALSE)</f>
        <v>93</v>
      </c>
      <c r="W125" s="5">
        <f>VLOOKUP($A125,'SegEnds_NonXtal_Prot#'!$A:$AL,18,FALSE)</f>
        <v>128</v>
      </c>
      <c r="X125" s="5">
        <f>VLOOKUP($A125,'SegEnds_NonXtal_Prot#'!$A:$AL,21,FALSE)</f>
        <v>136</v>
      </c>
      <c r="Y125" s="5">
        <f>VLOOKUP($A125,'SegEnds_NonXtal_Prot#'!$A:$AL,24,FALSE)</f>
        <v>186</v>
      </c>
      <c r="Z125" s="5">
        <f>VLOOKUP($A125,'SegEnds_NonXtal_Prot#'!$A:$AL,27,FALSE)</f>
        <v>191</v>
      </c>
      <c r="AA125" s="5">
        <f>VLOOKUP($A125,'SegEnds_NonXtal_Prot#'!$A:$AL,30,FALSE)</f>
        <v>261</v>
      </c>
      <c r="AB125" s="5">
        <f>VLOOKUP($A125,'SegEnds_NonXtal_Prot#'!$A:$AL,33,FALSE)</f>
        <v>306</v>
      </c>
      <c r="AC125" s="5">
        <f>VLOOKUP($A125,'SegEnds_NonXtal_Prot#'!$A:$AL,36,FALSE)</f>
        <v>335</v>
      </c>
      <c r="AD125" s="5">
        <f>VLOOKUP($A125,'SegEnds_NonXtal_Prot#'!$A:$AL,5,FALSE)</f>
        <v>51</v>
      </c>
      <c r="AE125" s="5">
        <f>VLOOKUP($A125,'SegEnds_NonXtal_Prot#'!$A:$AL,8,FALSE)</f>
        <v>55</v>
      </c>
      <c r="AF125" s="5">
        <f>VLOOKUP($A125,'SegEnds_NonXtal_Prot#'!$A:$AL,11,FALSE)</f>
        <v>86</v>
      </c>
      <c r="AG125" s="5">
        <f>VLOOKUP($A125,'SegEnds_NonXtal_Prot#'!$A:$AL,14,FALSE)</f>
        <v>92</v>
      </c>
      <c r="AH125" s="5">
        <f>VLOOKUP($A125,'SegEnds_NonXtal_Prot#'!$A:$AL,17,FALSE)</f>
        <v>127</v>
      </c>
      <c r="AI125" s="5">
        <f>VLOOKUP($A125,'SegEnds_NonXtal_Prot#'!$A:$AL,20,FALSE)</f>
        <v>135</v>
      </c>
      <c r="AJ125" s="5">
        <f>VLOOKUP($A125,'SegEnds_NonXtal_Prot#'!$A:$AL,23,FALSE)</f>
        <v>162</v>
      </c>
      <c r="AK125" s="5">
        <f>VLOOKUP($A125,'SegEnds_NonXtal_Prot#'!$A:$AL,26,FALSE)</f>
        <v>188</v>
      </c>
      <c r="AL125" s="5">
        <f>VLOOKUP($A125,'SegEnds_NonXtal_Prot#'!$A:$AL,29,FALSE)</f>
        <v>232</v>
      </c>
      <c r="AM125" s="5">
        <f>VLOOKUP($A125,'SegEnds_NonXtal_Prot#'!$A:$AL,32,FALSE)</f>
        <v>298</v>
      </c>
      <c r="AN125" s="5">
        <f>VLOOKUP($A125,'SegEnds_NonXtal_Prot#'!$A:$AL,35,FALSE)</f>
        <v>334</v>
      </c>
      <c r="AO125" s="5">
        <f>VLOOKUP($A125,'SegEnds_NonXtal_Prot#'!$A:$AL,38,FALSE)</f>
        <v>347</v>
      </c>
      <c r="AP125" s="5">
        <f t="shared" si="38"/>
        <v>35</v>
      </c>
      <c r="AQ125" s="4">
        <f t="shared" si="39"/>
        <v>3</v>
      </c>
      <c r="AR125" s="4">
        <f t="shared" si="40"/>
        <v>30</v>
      </c>
      <c r="AS125" s="4">
        <f t="shared" si="41"/>
        <v>3</v>
      </c>
      <c r="AT125" s="4">
        <f t="shared" si="42"/>
        <v>34</v>
      </c>
      <c r="AU125" s="4">
        <f t="shared" si="43"/>
        <v>7</v>
      </c>
      <c r="AV125" s="4">
        <f t="shared" si="44"/>
        <v>26</v>
      </c>
      <c r="AW125" s="4">
        <f t="shared" si="45"/>
        <v>2</v>
      </c>
      <c r="AX125" s="4">
        <f t="shared" si="46"/>
        <v>41</v>
      </c>
      <c r="AY125" s="4">
        <f t="shared" si="47"/>
        <v>37</v>
      </c>
      <c r="AZ125" s="4">
        <f t="shared" si="48"/>
        <v>28</v>
      </c>
      <c r="BA125" s="4">
        <f t="shared" si="49"/>
        <v>12</v>
      </c>
    </row>
    <row r="126" spans="1:53" x14ac:dyDescent="0.2">
      <c r="A126" s="1" t="str">
        <f>'SegEnds_NonXtal_Prot#'!A97</f>
        <v>drd4_human</v>
      </c>
      <c r="B126" s="1" t="str">
        <f t="shared" si="25"/>
        <v>AGQGAAALVGGVLLIGAVLAGNSLVCVSVATETPTNSFIVSLAAADLLLALLVLPLFVYSEVQSPRLCDALMAMDVMLCTASIFNLCAISVDRFVAVAVGSRRQLLLIGATWLLSAAVAAPVLCGDRDYVVYSSVCSFFLPCPLMLLLYWATFRGLQRWEVARRAKAKITGRERKAMRVLPVVVGAFLLCWTPFFVVHITQALCPPRLVSAVTWLGYVNSALNPVIYTVFNAEFRNVFRKALR</v>
      </c>
      <c r="C126" s="29" t="str">
        <f>IF(ISERROR(MATCH(A126,'SegEnds_Xtal_Prot#'!B:B, 0)), "NoXtal", "Xtal")</f>
        <v>Xtal</v>
      </c>
      <c r="D126" s="4" t="str">
        <f>VLOOKUP(A126,Classification!A:D,2,FALSE)</f>
        <v>A</v>
      </c>
      <c r="E126" s="5" t="str">
        <f>VLOOKUP(A126,Seqs!A:B,2,FALSE)</f>
        <v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v>
      </c>
      <c r="F126" s="5" t="str">
        <f t="shared" si="26"/>
        <v>AGQGAAALVGGVLLIGAVLAGNSLVCVSVATE</v>
      </c>
      <c r="G126" s="4" t="str">
        <f t="shared" si="27"/>
        <v>RALQ</v>
      </c>
      <c r="H126" s="4" t="str">
        <f t="shared" si="28"/>
        <v>TPTNSFIVSLAAADLLLALLVLPLFVYSEVQ</v>
      </c>
      <c r="I126" s="4" t="str">
        <f t="shared" si="29"/>
        <v>AWLL</v>
      </c>
      <c r="J126" s="4" t="str">
        <f t="shared" si="30"/>
        <v>SPRLCDALMAMDVMLCTASIFNLCAISVDRFVAVAV</v>
      </c>
      <c r="K126" s="4" t="str">
        <f t="shared" si="31"/>
        <v>PLRYNRQG</v>
      </c>
      <c r="L126" s="4" t="str">
        <f t="shared" si="32"/>
        <v>GSRRQLLLIGATWLLSAAVAAPVLCG</v>
      </c>
      <c r="M126" s="4" t="str">
        <f t="shared" si="33"/>
        <v>CRL</v>
      </c>
      <c r="N126" s="4" t="str">
        <f t="shared" si="34"/>
        <v>DRDYVVYSSVCSFFLPCPLMLLLYWATFRGLQRWEVARRAK</v>
      </c>
      <c r="O126" s="4" t="str">
        <f t="shared" si="35"/>
        <v>AKITGRERKAMRVLPVVVGAFLLCWTPFFVVHITQALC</v>
      </c>
      <c r="P126" s="4" t="str">
        <f t="shared" si="36"/>
        <v>PPRLVSAVTWLGYVNSALNPVIYTVF</v>
      </c>
      <c r="Q126" s="4" t="str">
        <f t="shared" si="37"/>
        <v>NAEFRNVFRKALR</v>
      </c>
      <c r="R126" s="5">
        <f>VLOOKUP($A126,'SegEnds_NonXtal_Prot#'!$A:$AL,3,FALSE)</f>
        <v>31</v>
      </c>
      <c r="S126" s="5">
        <f>VLOOKUP($A126,'SegEnds_NonXtal_Prot#'!$A:$AL,6,FALSE)</f>
        <v>63</v>
      </c>
      <c r="T126" s="5">
        <f>VLOOKUP($A126,'SegEnds_NonXtal_Prot#'!$A:$AL,9,FALSE)</f>
        <v>67</v>
      </c>
      <c r="U126" s="5">
        <f>VLOOKUP($A126,'SegEnds_NonXtal_Prot#'!$A:$AL,12,FALSE)</f>
        <v>100</v>
      </c>
      <c r="V126" s="5">
        <f>VLOOKUP($A126,'SegEnds_NonXtal_Prot#'!$A:$AL,15,FALSE)</f>
        <v>104</v>
      </c>
      <c r="W126" s="5">
        <f>VLOOKUP($A126,'SegEnds_NonXtal_Prot#'!$A:$AL,18,FALSE)</f>
        <v>140</v>
      </c>
      <c r="X126" s="5">
        <f>VLOOKUP($A126,'SegEnds_NonXtal_Prot#'!$A:$AL,21,FALSE)</f>
        <v>148</v>
      </c>
      <c r="Y126" s="5">
        <f>VLOOKUP($A126,'SegEnds_NonXtal_Prot#'!$A:$AL,24,FALSE)</f>
        <v>185</v>
      </c>
      <c r="Z126" s="5">
        <f>VLOOKUP($A126,'SegEnds_NonXtal_Prot#'!$A:$AL,27,FALSE)</f>
        <v>189</v>
      </c>
      <c r="AA126" s="5">
        <f>VLOOKUP($A126,'SegEnds_NonXtal_Prot#'!$A:$AL,30,FALSE)</f>
        <v>383</v>
      </c>
      <c r="AB126" s="5">
        <f>VLOOKUP($A126,'SegEnds_NonXtal_Prot#'!$A:$AL,33,FALSE)</f>
        <v>426</v>
      </c>
      <c r="AC126" s="5">
        <f>VLOOKUP($A126,'SegEnds_NonXtal_Prot#'!$A:$AL,36,FALSE)</f>
        <v>452</v>
      </c>
      <c r="AD126" s="5">
        <f>VLOOKUP($A126,'SegEnds_NonXtal_Prot#'!$A:$AL,5,FALSE)</f>
        <v>62</v>
      </c>
      <c r="AE126" s="5">
        <f>VLOOKUP($A126,'SegEnds_NonXtal_Prot#'!$A:$AL,8,FALSE)</f>
        <v>66</v>
      </c>
      <c r="AF126" s="5">
        <f>VLOOKUP($A126,'SegEnds_NonXtal_Prot#'!$A:$AL,11,FALSE)</f>
        <v>97</v>
      </c>
      <c r="AG126" s="5">
        <f>VLOOKUP($A126,'SegEnds_NonXtal_Prot#'!$A:$AL,14,FALSE)</f>
        <v>103</v>
      </c>
      <c r="AH126" s="5">
        <f>VLOOKUP($A126,'SegEnds_NonXtal_Prot#'!$A:$AL,17,FALSE)</f>
        <v>139</v>
      </c>
      <c r="AI126" s="5">
        <f>VLOOKUP($A126,'SegEnds_NonXtal_Prot#'!$A:$AL,20,FALSE)</f>
        <v>147</v>
      </c>
      <c r="AJ126" s="5">
        <f>VLOOKUP($A126,'SegEnds_NonXtal_Prot#'!$A:$AL,23,FALSE)</f>
        <v>173</v>
      </c>
      <c r="AK126" s="5">
        <f>VLOOKUP($A126,'SegEnds_NonXtal_Prot#'!$A:$AL,26,FALSE)</f>
        <v>187</v>
      </c>
      <c r="AL126" s="5">
        <f>VLOOKUP($A126,'SegEnds_NonXtal_Prot#'!$A:$AL,29,FALSE)</f>
        <v>229</v>
      </c>
      <c r="AM126" s="5">
        <f>VLOOKUP($A126,'SegEnds_NonXtal_Prot#'!$A:$AL,32,FALSE)</f>
        <v>420</v>
      </c>
      <c r="AN126" s="5">
        <f>VLOOKUP($A126,'SegEnds_NonXtal_Prot#'!$A:$AL,35,FALSE)</f>
        <v>451</v>
      </c>
      <c r="AO126" s="5">
        <f>VLOOKUP($A126,'SegEnds_NonXtal_Prot#'!$A:$AL,38,FALSE)</f>
        <v>464</v>
      </c>
      <c r="AP126" s="5">
        <f t="shared" si="38"/>
        <v>31</v>
      </c>
      <c r="AQ126" s="4">
        <f t="shared" si="39"/>
        <v>3</v>
      </c>
      <c r="AR126" s="4">
        <f t="shared" si="40"/>
        <v>30</v>
      </c>
      <c r="AS126" s="4">
        <f t="shared" si="41"/>
        <v>3</v>
      </c>
      <c r="AT126" s="4">
        <f t="shared" si="42"/>
        <v>35</v>
      </c>
      <c r="AU126" s="4">
        <f t="shared" si="43"/>
        <v>7</v>
      </c>
      <c r="AV126" s="4">
        <f t="shared" si="44"/>
        <v>25</v>
      </c>
      <c r="AW126" s="4">
        <f t="shared" si="45"/>
        <v>2</v>
      </c>
      <c r="AX126" s="4">
        <f t="shared" si="46"/>
        <v>40</v>
      </c>
      <c r="AY126" s="4">
        <f t="shared" si="47"/>
        <v>37</v>
      </c>
      <c r="AZ126" s="4">
        <f t="shared" si="48"/>
        <v>25</v>
      </c>
      <c r="BA126" s="4">
        <f t="shared" si="49"/>
        <v>12</v>
      </c>
    </row>
    <row r="127" spans="1:53" x14ac:dyDescent="0.2">
      <c r="A127" s="1" t="str">
        <f>'SegEnds_NonXtal_Prot#'!A98</f>
        <v>drd5_human</v>
      </c>
      <c r="B127" s="1" t="str">
        <f t="shared" si="25"/>
        <v>APPLGPSQVVTACLLTLLIIWTLLGNVLVCAAIVRSANMTNVFIVSLAVSDLFVALLVMPWKAVAEVGAFCDVWVAFDIMCSTASILNLCVISVDRYWAISRTQRMALVMVGLAWTLSILISFIPVQLNNRTYAISSSLISFYIPVAIMIVTYTRIYRIAQVQIRRISSLERASIKKETKVLKTLSVIMGVFVCCWLPFFILNCMVPFCSGHPAGFPCVSETTFDVFVWFGWANSSLNPVIYAFNADFQKVFAQLLGC</v>
      </c>
      <c r="C127" s="29" t="str">
        <f>IF(ISERROR(MATCH(A127,'SegEnds_Xtal_Prot#'!B:B, 0)), "NoXtal", "Xtal")</f>
        <v>NoXtal</v>
      </c>
      <c r="D127" s="4" t="str">
        <f>VLOOKUP(A127,Classification!A:D,2,FALSE)</f>
        <v>A</v>
      </c>
      <c r="E127" s="5" t="str">
        <f>VLOOKUP(A127,Seqs!A:B,2,FALSE)</f>
        <v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v>
      </c>
      <c r="F127" s="5" t="str">
        <f t="shared" si="26"/>
        <v>APPLGPSQVVTACLLTLLIIWTLLGNVLVCAAIVRS</v>
      </c>
      <c r="G127" s="4" t="str">
        <f t="shared" si="27"/>
        <v>RHLR</v>
      </c>
      <c r="H127" s="4" t="str">
        <f t="shared" si="28"/>
        <v>ANMTNVFIVSLAVSDLFVALLVMPWKAVAEV</v>
      </c>
      <c r="I127" s="4" t="str">
        <f t="shared" si="29"/>
        <v>YWPF</v>
      </c>
      <c r="J127" s="4" t="str">
        <f t="shared" si="30"/>
        <v>GAFCDVWVAFDIMCSTASILNLCVISVDRYWAISR</v>
      </c>
      <c r="K127" s="4" t="str">
        <f t="shared" si="31"/>
        <v>PFRYKRKM</v>
      </c>
      <c r="L127" s="4" t="str">
        <f t="shared" si="32"/>
        <v>TQRMALVMVGLAWTLSILISFIPVQLN</v>
      </c>
      <c r="M127" s="4" t="str">
        <f t="shared" si="33"/>
        <v>CDS</v>
      </c>
      <c r="N127" s="4" t="str">
        <f t="shared" si="34"/>
        <v>NRTYAISSSLISFYIPVAIMIVTYTRIYRIAQVQIRRISSLE</v>
      </c>
      <c r="O127" s="4" t="str">
        <f t="shared" si="35"/>
        <v>RASIKKETKVLKTLSVIMGVFVCCWLPFFILNCMVPFCSGH</v>
      </c>
      <c r="P127" s="4" t="str">
        <f t="shared" si="36"/>
        <v>PAGFPCVSETTFDVFVWFGWANSSLNPVIYAFN</v>
      </c>
      <c r="Q127" s="4" t="str">
        <f t="shared" si="37"/>
        <v>ADFQKVFAQLLGC</v>
      </c>
      <c r="R127" s="5">
        <f>VLOOKUP($A127,'SegEnds_NonXtal_Prot#'!$A:$AL,3,FALSE)</f>
        <v>33</v>
      </c>
      <c r="S127" s="5">
        <f>VLOOKUP($A127,'SegEnds_NonXtal_Prot#'!$A:$AL,6,FALSE)</f>
        <v>69</v>
      </c>
      <c r="T127" s="5">
        <f>VLOOKUP($A127,'SegEnds_NonXtal_Prot#'!$A:$AL,9,FALSE)</f>
        <v>73</v>
      </c>
      <c r="U127" s="5">
        <f>VLOOKUP($A127,'SegEnds_NonXtal_Prot#'!$A:$AL,12,FALSE)</f>
        <v>106</v>
      </c>
      <c r="V127" s="5">
        <f>VLOOKUP($A127,'SegEnds_NonXtal_Prot#'!$A:$AL,15,FALSE)</f>
        <v>110</v>
      </c>
      <c r="W127" s="5">
        <f>VLOOKUP($A127,'SegEnds_NonXtal_Prot#'!$A:$AL,18,FALSE)</f>
        <v>145</v>
      </c>
      <c r="X127" s="5">
        <f>VLOOKUP($A127,'SegEnds_NonXtal_Prot#'!$A:$AL,21,FALSE)</f>
        <v>153</v>
      </c>
      <c r="Y127" s="5">
        <f>VLOOKUP($A127,'SegEnds_NonXtal_Prot#'!$A:$AL,24,FALSE)</f>
        <v>217</v>
      </c>
      <c r="Z127" s="5">
        <f>VLOOKUP($A127,'SegEnds_NonXtal_Prot#'!$A:$AL,27,FALSE)</f>
        <v>222</v>
      </c>
      <c r="AA127" s="5">
        <f>VLOOKUP($A127,'SegEnds_NonXtal_Prot#'!$A:$AL,30,FALSE)</f>
        <v>285</v>
      </c>
      <c r="AB127" s="5">
        <f>VLOOKUP($A127,'SegEnds_NonXtal_Prot#'!$A:$AL,33,FALSE)</f>
        <v>330</v>
      </c>
      <c r="AC127" s="5">
        <f>VLOOKUP($A127,'SegEnds_NonXtal_Prot#'!$A:$AL,36,FALSE)</f>
        <v>363</v>
      </c>
      <c r="AD127" s="5">
        <f>VLOOKUP($A127,'SegEnds_NonXtal_Prot#'!$A:$AL,5,FALSE)</f>
        <v>68</v>
      </c>
      <c r="AE127" s="5">
        <f>VLOOKUP($A127,'SegEnds_NonXtal_Prot#'!$A:$AL,8,FALSE)</f>
        <v>72</v>
      </c>
      <c r="AF127" s="5">
        <f>VLOOKUP($A127,'SegEnds_NonXtal_Prot#'!$A:$AL,11,FALSE)</f>
        <v>103</v>
      </c>
      <c r="AG127" s="5">
        <f>VLOOKUP($A127,'SegEnds_NonXtal_Prot#'!$A:$AL,14,FALSE)</f>
        <v>109</v>
      </c>
      <c r="AH127" s="5">
        <f>VLOOKUP($A127,'SegEnds_NonXtal_Prot#'!$A:$AL,17,FALSE)</f>
        <v>144</v>
      </c>
      <c r="AI127" s="5">
        <f>VLOOKUP($A127,'SegEnds_NonXtal_Prot#'!$A:$AL,20,FALSE)</f>
        <v>152</v>
      </c>
      <c r="AJ127" s="5">
        <f>VLOOKUP($A127,'SegEnds_NonXtal_Prot#'!$A:$AL,23,FALSE)</f>
        <v>179</v>
      </c>
      <c r="AK127" s="5">
        <f>VLOOKUP($A127,'SegEnds_NonXtal_Prot#'!$A:$AL,26,FALSE)</f>
        <v>219</v>
      </c>
      <c r="AL127" s="5">
        <f>VLOOKUP($A127,'SegEnds_NonXtal_Prot#'!$A:$AL,29,FALSE)</f>
        <v>263</v>
      </c>
      <c r="AM127" s="5">
        <f>VLOOKUP($A127,'SegEnds_NonXtal_Prot#'!$A:$AL,32,FALSE)</f>
        <v>325</v>
      </c>
      <c r="AN127" s="5">
        <f>VLOOKUP($A127,'SegEnds_NonXtal_Prot#'!$A:$AL,35,FALSE)</f>
        <v>362</v>
      </c>
      <c r="AO127" s="5">
        <f>VLOOKUP($A127,'SegEnds_NonXtal_Prot#'!$A:$AL,38,FALSE)</f>
        <v>375</v>
      </c>
      <c r="AP127" s="5">
        <f t="shared" si="38"/>
        <v>35</v>
      </c>
      <c r="AQ127" s="4">
        <f t="shared" si="39"/>
        <v>3</v>
      </c>
      <c r="AR127" s="4">
        <f t="shared" si="40"/>
        <v>30</v>
      </c>
      <c r="AS127" s="4">
        <f t="shared" si="41"/>
        <v>3</v>
      </c>
      <c r="AT127" s="4">
        <f t="shared" si="42"/>
        <v>34</v>
      </c>
      <c r="AU127" s="4">
        <f t="shared" si="43"/>
        <v>7</v>
      </c>
      <c r="AV127" s="4">
        <f t="shared" si="44"/>
        <v>26</v>
      </c>
      <c r="AW127" s="4">
        <f t="shared" si="45"/>
        <v>2</v>
      </c>
      <c r="AX127" s="4">
        <f t="shared" si="46"/>
        <v>41</v>
      </c>
      <c r="AY127" s="4">
        <f t="shared" si="47"/>
        <v>40</v>
      </c>
      <c r="AZ127" s="4">
        <f t="shared" si="48"/>
        <v>32</v>
      </c>
      <c r="BA127" s="4">
        <f t="shared" si="49"/>
        <v>12</v>
      </c>
    </row>
    <row r="128" spans="1:53" x14ac:dyDescent="0.2">
      <c r="A128" s="1" t="str">
        <f>'SegEnds_NonXtal_Prot#'!A99</f>
        <v>ednra_human</v>
      </c>
      <c r="B128" s="1" t="str">
        <f t="shared" si="25"/>
        <v>PQQTKITSAFKYINTVISCTIFIVGMVGNATLLRIIYQNGPNALIASLALGDLIYVVIDLPINVFKLLADHNDFGVFLCKLFPFLQKSSVGITVLNLCALSVDRYRAVASIPLVTAIEIVSIWILSFILAIPEAIGFSKFMEFYQDVKDWWLFGFYFCMPLVCTAIFYTLMTCEMLNRRNGSSEHLKQRREVAKTVFCLVVIFALCWFPLHLSRILKKTVYRCELLSFLLLMDYIGINLATMNSCINPIALYFVSKKFKNCFQSCLCC</v>
      </c>
      <c r="C128" s="29" t="str">
        <f>IF(ISERROR(MATCH(A128,'SegEnds_Xtal_Prot#'!B:B, 0)), "NoXtal", "Xtal")</f>
        <v>NoXtal</v>
      </c>
      <c r="D128" s="4" t="str">
        <f>VLOOKUP(A128,Classification!A:D,2,FALSE)</f>
        <v>A</v>
      </c>
      <c r="E128" s="5" t="str">
        <f>VLOOKUP(A128,Seqs!A:B,2,FALSE)</f>
        <v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v>
      </c>
      <c r="F128" s="5" t="str">
        <f t="shared" si="26"/>
        <v>PQQTKITSAFKYINTVISCTIFIVGMVGNATLLRIIYQN</v>
      </c>
      <c r="G128" s="4" t="str">
        <f t="shared" si="27"/>
        <v>KCMRN</v>
      </c>
      <c r="H128" s="4" t="str">
        <f t="shared" si="28"/>
        <v>GPNALIASLALGDLIYVVIDLPINVFKLLA</v>
      </c>
      <c r="I128" s="4" t="str">
        <f t="shared" si="29"/>
        <v>RWPF</v>
      </c>
      <c r="J128" s="4" t="str">
        <f t="shared" si="30"/>
        <v>DHNDFGVFLCKLFPFLQKSSVGITVLNLCALSVDRYRAVAS</v>
      </c>
      <c r="K128" s="4" t="str">
        <f t="shared" si="31"/>
        <v>WSRVQGIG</v>
      </c>
      <c r="L128" s="4" t="str">
        <f t="shared" si="32"/>
        <v>IPLVTAIEIVSIWILSFILAIPEAIGF</v>
      </c>
      <c r="M128" s="4" t="str">
        <f t="shared" si="33"/>
        <v>CML</v>
      </c>
      <c r="N128" s="4" t="str">
        <f t="shared" si="34"/>
        <v>SKFMEFYQDVKDWWLFGFYFCMPLVCTAIFYTLMTCEMLNRRNGS</v>
      </c>
      <c r="O128" s="4" t="str">
        <f t="shared" si="35"/>
        <v>SEHLKQRREVAKTVFCLVVIFALCWFPLHLSRILKKTVY</v>
      </c>
      <c r="P128" s="4" t="str">
        <f t="shared" si="36"/>
        <v>RCELLSFLLLMDYIGINLATMNSCINPIALYFV</v>
      </c>
      <c r="Q128" s="4" t="str">
        <f t="shared" si="37"/>
        <v>SKKFKNCFQSCLCC</v>
      </c>
      <c r="R128" s="5">
        <f>VLOOKUP($A128,'SegEnds_NonXtal_Prot#'!$A:$AL,3,FALSE)</f>
        <v>70</v>
      </c>
      <c r="S128" s="5">
        <f>VLOOKUP($A128,'SegEnds_NonXtal_Prot#'!$A:$AL,6,FALSE)</f>
        <v>109</v>
      </c>
      <c r="T128" s="5">
        <f>VLOOKUP($A128,'SegEnds_NonXtal_Prot#'!$A:$AL,9,FALSE)</f>
        <v>114</v>
      </c>
      <c r="U128" s="5">
        <f>VLOOKUP($A128,'SegEnds_NonXtal_Prot#'!$A:$AL,12,FALSE)</f>
        <v>145</v>
      </c>
      <c r="V128" s="5">
        <f>VLOOKUP($A128,'SegEnds_NonXtal_Prot#'!$A:$AL,15,FALSE)</f>
        <v>149</v>
      </c>
      <c r="W128" s="5">
        <f>VLOOKUP($A128,'SegEnds_NonXtal_Prot#'!$A:$AL,18,FALSE)</f>
        <v>190</v>
      </c>
      <c r="X128" s="5">
        <f>VLOOKUP($A128,'SegEnds_NonXtal_Prot#'!$A:$AL,21,FALSE)</f>
        <v>198</v>
      </c>
      <c r="Y128" s="5">
        <f>VLOOKUP($A128,'SegEnds_NonXtal_Prot#'!$A:$AL,24,FALSE)</f>
        <v>239</v>
      </c>
      <c r="Z128" s="5">
        <f>VLOOKUP($A128,'SegEnds_NonXtal_Prot#'!$A:$AL,27,FALSE)</f>
        <v>245</v>
      </c>
      <c r="AA128" s="5">
        <f>VLOOKUP($A128,'SegEnds_NonXtal_Prot#'!$A:$AL,30,FALSE)</f>
        <v>295</v>
      </c>
      <c r="AB128" s="5">
        <f>VLOOKUP($A128,'SegEnds_NonXtal_Prot#'!$A:$AL,33,FALSE)</f>
        <v>340</v>
      </c>
      <c r="AC128" s="5">
        <f>VLOOKUP($A128,'SegEnds_NonXtal_Prot#'!$A:$AL,36,FALSE)</f>
        <v>373</v>
      </c>
      <c r="AD128" s="5">
        <f>VLOOKUP($A128,'SegEnds_NonXtal_Prot#'!$A:$AL,5,FALSE)</f>
        <v>108</v>
      </c>
      <c r="AE128" s="5">
        <f>VLOOKUP($A128,'SegEnds_NonXtal_Prot#'!$A:$AL,8,FALSE)</f>
        <v>113</v>
      </c>
      <c r="AF128" s="5">
        <f>VLOOKUP($A128,'SegEnds_NonXtal_Prot#'!$A:$AL,11,FALSE)</f>
        <v>143</v>
      </c>
      <c r="AG128" s="5">
        <f>VLOOKUP($A128,'SegEnds_NonXtal_Prot#'!$A:$AL,14,FALSE)</f>
        <v>148</v>
      </c>
      <c r="AH128" s="5">
        <f>VLOOKUP($A128,'SegEnds_NonXtal_Prot#'!$A:$AL,17,FALSE)</f>
        <v>189</v>
      </c>
      <c r="AI128" s="5">
        <f>VLOOKUP($A128,'SegEnds_NonXtal_Prot#'!$A:$AL,20,FALSE)</f>
        <v>197</v>
      </c>
      <c r="AJ128" s="5">
        <f>VLOOKUP($A128,'SegEnds_NonXtal_Prot#'!$A:$AL,23,FALSE)</f>
        <v>224</v>
      </c>
      <c r="AK128" s="5">
        <f>VLOOKUP($A128,'SegEnds_NonXtal_Prot#'!$A:$AL,26,FALSE)</f>
        <v>241</v>
      </c>
      <c r="AL128" s="5">
        <f>VLOOKUP($A128,'SegEnds_NonXtal_Prot#'!$A:$AL,29,FALSE)</f>
        <v>289</v>
      </c>
      <c r="AM128" s="5">
        <f>VLOOKUP($A128,'SegEnds_NonXtal_Prot#'!$A:$AL,32,FALSE)</f>
        <v>333</v>
      </c>
      <c r="AN128" s="5">
        <f>VLOOKUP($A128,'SegEnds_NonXtal_Prot#'!$A:$AL,35,FALSE)</f>
        <v>372</v>
      </c>
      <c r="AO128" s="5">
        <f>VLOOKUP($A128,'SegEnds_NonXtal_Prot#'!$A:$AL,38,FALSE)</f>
        <v>386</v>
      </c>
      <c r="AP128" s="5">
        <f t="shared" si="38"/>
        <v>38</v>
      </c>
      <c r="AQ128" s="4">
        <f t="shared" si="39"/>
        <v>4</v>
      </c>
      <c r="AR128" s="4">
        <f t="shared" si="40"/>
        <v>29</v>
      </c>
      <c r="AS128" s="4">
        <f t="shared" si="41"/>
        <v>3</v>
      </c>
      <c r="AT128" s="4">
        <f t="shared" si="42"/>
        <v>40</v>
      </c>
      <c r="AU128" s="4">
        <f t="shared" si="43"/>
        <v>7</v>
      </c>
      <c r="AV128" s="4">
        <f t="shared" si="44"/>
        <v>26</v>
      </c>
      <c r="AW128" s="4">
        <f t="shared" si="45"/>
        <v>2</v>
      </c>
      <c r="AX128" s="4">
        <f t="shared" si="46"/>
        <v>44</v>
      </c>
      <c r="AY128" s="4">
        <f t="shared" si="47"/>
        <v>38</v>
      </c>
      <c r="AZ128" s="4">
        <f t="shared" si="48"/>
        <v>32</v>
      </c>
      <c r="BA128" s="4">
        <f t="shared" si="49"/>
        <v>13</v>
      </c>
    </row>
    <row r="129" spans="1:53" x14ac:dyDescent="0.2">
      <c r="A129" s="1" t="str">
        <f>'SegEnds_NonXtal_Prot#'!A100</f>
        <v>ednrb_human</v>
      </c>
      <c r="B129" s="1" t="str">
        <f t="shared" si="25"/>
        <v>QGPIEIKETFKYINTVVSCLVFVLGIIGNSTLLRIIYKNGPNILIASLALGDLLHIVIDIPINVYKLLAGAEMCKLVPFIQKASVGITVLSLCALSIDRYRAVASVPKWTAVEIVLIWVVSVVLAVPEAIGFTAFMQFYKTAKDWWLFSFYFCLPLAITAFFYTLMTCEMLRKKSGMNDHLKQRREVAKTVFCLVLVFALCWLPLHLSRILKLTLYRCELLSFLLVLDYIGINMASLNSCINPIALYLVSKRFKNCFKSCLCC</v>
      </c>
      <c r="C129" s="29" t="str">
        <f>IF(ISERROR(MATCH(A129,'SegEnds_Xtal_Prot#'!B:B, 0)), "NoXtal", "Xtal")</f>
        <v>Xtal</v>
      </c>
      <c r="D129" s="4" t="str">
        <f>VLOOKUP(A129,Classification!A:D,2,FALSE)</f>
        <v>A</v>
      </c>
      <c r="E129" s="5" t="str">
        <f>VLOOKUP(A129,Seqs!A:B,2,FALSE)</f>
        <v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v>
      </c>
      <c r="F129" s="5" t="str">
        <f t="shared" si="26"/>
        <v>QGPIEIKETFKYINTVVSCLVFVLGIIGNSTLLRIIYKN</v>
      </c>
      <c r="G129" s="4" t="str">
        <f t="shared" si="27"/>
        <v>KCMRN</v>
      </c>
      <c r="H129" s="4" t="str">
        <f t="shared" si="28"/>
        <v>GPNILIASLALGDLLHIVIDIPINVYKLLA</v>
      </c>
      <c r="I129" s="4" t="str">
        <f t="shared" si="29"/>
        <v>DWPF</v>
      </c>
      <c r="J129" s="4" t="str">
        <f t="shared" si="30"/>
        <v>GAEMCKLVPFIQKASVGITVLSLCALSIDRYRAVAS</v>
      </c>
      <c r="K129" s="4" t="str">
        <f t="shared" si="31"/>
        <v>WSRIKGIG</v>
      </c>
      <c r="L129" s="4" t="str">
        <f t="shared" si="32"/>
        <v>VPKWTAVEIVLIWVVSVVLAVPEAIGF</v>
      </c>
      <c r="M129" s="4" t="str">
        <f t="shared" si="33"/>
        <v>CLL</v>
      </c>
      <c r="N129" s="4" t="str">
        <f t="shared" si="34"/>
        <v>TAFMQFYKTAKDWWLFSFYFCLPLAITAFFYTLMTCEMLRKKSGM</v>
      </c>
      <c r="O129" s="4" t="str">
        <f t="shared" si="35"/>
        <v>NDHLKQRREVAKTVFCLVLVFALCWLPLHLSRILKLTLY</v>
      </c>
      <c r="P129" s="4" t="str">
        <f t="shared" si="36"/>
        <v>RCELLSFLLVLDYIGINMASLNSCINPIALYLV</v>
      </c>
      <c r="Q129" s="4" t="str">
        <f t="shared" si="37"/>
        <v>SKRFKNCFKSCLCC</v>
      </c>
      <c r="R129" s="5">
        <f>VLOOKUP($A129,'SegEnds_NonXtal_Prot#'!$A:$AL,3,FALSE)</f>
        <v>91</v>
      </c>
      <c r="S129" s="5">
        <f>VLOOKUP($A129,'SegEnds_NonXtal_Prot#'!$A:$AL,6,FALSE)</f>
        <v>130</v>
      </c>
      <c r="T129" s="5">
        <f>VLOOKUP($A129,'SegEnds_NonXtal_Prot#'!$A:$AL,9,FALSE)</f>
        <v>135</v>
      </c>
      <c r="U129" s="5">
        <f>VLOOKUP($A129,'SegEnds_NonXtal_Prot#'!$A:$AL,12,FALSE)</f>
        <v>166</v>
      </c>
      <c r="V129" s="5">
        <f>VLOOKUP($A129,'SegEnds_NonXtal_Prot#'!$A:$AL,15,FALSE)</f>
        <v>170</v>
      </c>
      <c r="W129" s="5">
        <f>VLOOKUP($A129,'SegEnds_NonXtal_Prot#'!$A:$AL,18,FALSE)</f>
        <v>206</v>
      </c>
      <c r="X129" s="5">
        <f>VLOOKUP($A129,'SegEnds_NonXtal_Prot#'!$A:$AL,21,FALSE)</f>
        <v>214</v>
      </c>
      <c r="Y129" s="5">
        <f>VLOOKUP($A129,'SegEnds_NonXtal_Prot#'!$A:$AL,24,FALSE)</f>
        <v>255</v>
      </c>
      <c r="Z129" s="5">
        <f>VLOOKUP($A129,'SegEnds_NonXtal_Prot#'!$A:$AL,27,FALSE)</f>
        <v>263</v>
      </c>
      <c r="AA129" s="5">
        <f>VLOOKUP($A129,'SegEnds_NonXtal_Prot#'!$A:$AL,30,FALSE)</f>
        <v>312</v>
      </c>
      <c r="AB129" s="5">
        <f>VLOOKUP($A129,'SegEnds_NonXtal_Prot#'!$A:$AL,33,FALSE)</f>
        <v>357</v>
      </c>
      <c r="AC129" s="5">
        <f>VLOOKUP($A129,'SegEnds_NonXtal_Prot#'!$A:$AL,36,FALSE)</f>
        <v>390</v>
      </c>
      <c r="AD129" s="5">
        <f>VLOOKUP($A129,'SegEnds_NonXtal_Prot#'!$A:$AL,5,FALSE)</f>
        <v>129</v>
      </c>
      <c r="AE129" s="5">
        <f>VLOOKUP($A129,'SegEnds_NonXtal_Prot#'!$A:$AL,8,FALSE)</f>
        <v>134</v>
      </c>
      <c r="AF129" s="5">
        <f>VLOOKUP($A129,'SegEnds_NonXtal_Prot#'!$A:$AL,11,FALSE)</f>
        <v>164</v>
      </c>
      <c r="AG129" s="5">
        <f>VLOOKUP($A129,'SegEnds_NonXtal_Prot#'!$A:$AL,14,FALSE)</f>
        <v>169</v>
      </c>
      <c r="AH129" s="5">
        <f>VLOOKUP($A129,'SegEnds_NonXtal_Prot#'!$A:$AL,17,FALSE)</f>
        <v>205</v>
      </c>
      <c r="AI129" s="5">
        <f>VLOOKUP($A129,'SegEnds_NonXtal_Prot#'!$A:$AL,20,FALSE)</f>
        <v>213</v>
      </c>
      <c r="AJ129" s="5">
        <f>VLOOKUP($A129,'SegEnds_NonXtal_Prot#'!$A:$AL,23,FALSE)</f>
        <v>240</v>
      </c>
      <c r="AK129" s="5">
        <f>VLOOKUP($A129,'SegEnds_NonXtal_Prot#'!$A:$AL,26,FALSE)</f>
        <v>257</v>
      </c>
      <c r="AL129" s="5">
        <f>VLOOKUP($A129,'SegEnds_NonXtal_Prot#'!$A:$AL,29,FALSE)</f>
        <v>307</v>
      </c>
      <c r="AM129" s="5">
        <f>VLOOKUP($A129,'SegEnds_NonXtal_Prot#'!$A:$AL,32,FALSE)</f>
        <v>350</v>
      </c>
      <c r="AN129" s="5">
        <f>VLOOKUP($A129,'SegEnds_NonXtal_Prot#'!$A:$AL,35,FALSE)</f>
        <v>389</v>
      </c>
      <c r="AO129" s="5">
        <f>VLOOKUP($A129,'SegEnds_NonXtal_Prot#'!$A:$AL,38,FALSE)</f>
        <v>403</v>
      </c>
      <c r="AP129" s="5">
        <f t="shared" si="38"/>
        <v>38</v>
      </c>
      <c r="AQ129" s="4">
        <f t="shared" si="39"/>
        <v>4</v>
      </c>
      <c r="AR129" s="4">
        <f t="shared" si="40"/>
        <v>29</v>
      </c>
      <c r="AS129" s="4">
        <f t="shared" si="41"/>
        <v>3</v>
      </c>
      <c r="AT129" s="4">
        <f t="shared" si="42"/>
        <v>35</v>
      </c>
      <c r="AU129" s="4">
        <f t="shared" si="43"/>
        <v>7</v>
      </c>
      <c r="AV129" s="4">
        <f t="shared" si="44"/>
        <v>26</v>
      </c>
      <c r="AW129" s="4">
        <f t="shared" si="45"/>
        <v>2</v>
      </c>
      <c r="AX129" s="4">
        <f t="shared" si="46"/>
        <v>44</v>
      </c>
      <c r="AY129" s="4">
        <f t="shared" si="47"/>
        <v>38</v>
      </c>
      <c r="AZ129" s="4">
        <f t="shared" si="48"/>
        <v>32</v>
      </c>
      <c r="BA129" s="4">
        <f t="shared" si="49"/>
        <v>13</v>
      </c>
    </row>
    <row r="130" spans="1:53" x14ac:dyDescent="0.2">
      <c r="A130" s="1" t="str">
        <f>'SegEnds_NonXtal_Prot#'!A101</f>
        <v>etbr2_human</v>
      </c>
      <c r="B130" s="1" t="str">
        <f t="shared" ref="B130:B193" si="50">F130&amp;H130&amp;J130&amp;L130&amp;N130&amp;O130&amp;P130&amp;Q130</f>
        <v>LYPVTESSYSAYAIMLLALVVFAVGIVGNLSVMCIVWHSSAWNSILASLALWDFLVLFFCLPIVIFNEITGDVSCRAVPFMEVSSLGVTTFSLCALGIDRFHVATSRCQSILAKLAVIWVGSMTLAVPELLLWYSLVMTYQNARMWWYFGCYFCLPILFTVTCQLVTWRVRGPPGRKSSKHEQCESQLNSTVVGLTVVYAFCTLPENVCNIVVAYLRQTLDLLGLINQFSTFFKGAITPVLLLCICRPLGQAFLDCCCC</v>
      </c>
      <c r="C130" s="29" t="str">
        <f>IF(ISERROR(MATCH(A130,'SegEnds_Xtal_Prot#'!B:B, 0)), "NoXtal", "Xtal")</f>
        <v>NoXtal</v>
      </c>
      <c r="D130" s="4" t="str">
        <f>VLOOKUP(A130,Classification!A:D,2,FALSE)</f>
        <v>A</v>
      </c>
      <c r="E130" s="5" t="str">
        <f>VLOOKUP(A130,Seqs!A:B,2,FALSE)</f>
        <v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v>
      </c>
      <c r="F130" s="5" t="str">
        <f t="shared" ref="F130:F193" si="51">IFERROR(MID($E130,R130,(AP130+1)),"")</f>
        <v>LYPVTESSYSAYAIMLLALVVFAVGIVGNLSVMCIVWHS</v>
      </c>
      <c r="G130" s="4" t="str">
        <f t="shared" ref="G130:G193" si="52">IFERROR(MID($E130,S130,(AQ130+1)),"")</f>
        <v>YYLK</v>
      </c>
      <c r="H130" s="4" t="str">
        <f t="shared" ref="H130:H193" si="53">IFERROR(MID($E130,T130,(AR130+1)),"")</f>
        <v>SAWNSILASLALWDFLVLFFCLPIVIFNEIT</v>
      </c>
      <c r="I130" s="4" t="str">
        <f t="shared" ref="I130:I193" si="54">IFERROR(MID($E130,U130,(AS130+1)),"")</f>
        <v/>
      </c>
      <c r="J130" s="4" t="str">
        <f t="shared" ref="J130:J193" si="55">IFERROR(MID($E130,V130,(AT130+1)),"")</f>
        <v>GDVSCRAVPFMEVSSLGVTTFSLCALGIDRFHVATS</v>
      </c>
      <c r="K130" s="4" t="str">
        <f t="shared" ref="K130:K193" si="56">IFERROR(MID($E130,W130,(AU130+1)),"")</f>
        <v>LPKVRPIE</v>
      </c>
      <c r="L130" s="4" t="str">
        <f t="shared" ref="L130:L193" si="57">IFERROR(MID($E130,X130,(AV130+1)),"")</f>
        <v>RCQSILAKLAVIWVGSMTLAVPELLLW</v>
      </c>
      <c r="M130" s="4" t="str">
        <f t="shared" ref="M130:M193" si="58">IFERROR(MID($E130,Y130,(AW130+1)),"")</f>
        <v>CIM</v>
      </c>
      <c r="N130" s="4" t="str">
        <f t="shared" ref="N130:N193" si="59">IFERROR(MID($E130,Z130,(AX130+1)),"")</f>
        <v>YSLVMTYQNARMWWYFGCYFCLPILFTVTCQLVTWRVRGPPGRKS</v>
      </c>
      <c r="O130" s="4" t="str">
        <f t="shared" ref="O130:O193" si="60">IFERROR(MID($E130,AA130,(AY130+1)),"")</f>
        <v>SKHEQCESQLNSTVVGLTVVYAFCTLPENVCNIVVAYL</v>
      </c>
      <c r="P130" s="4" t="str">
        <f t="shared" ref="P130:P193" si="61">IFERROR(MID($E130,AB130,(AZ130+1)),"")</f>
        <v>RQTLDLLGLINQFSTFFKGAITPVLLLCI</v>
      </c>
      <c r="Q130" s="4" t="str">
        <f t="shared" ref="Q130:Q193" si="62">IFERROR(MID($E130,AC130,(BA130+1)),"")</f>
        <v>CRPLGQAFLDCCCC</v>
      </c>
      <c r="R130" s="5">
        <f>VLOOKUP($A130,'SegEnds_NonXtal_Prot#'!$A:$AL,3,FALSE)</f>
        <v>120</v>
      </c>
      <c r="S130" s="5">
        <f>VLOOKUP($A130,'SegEnds_NonXtal_Prot#'!$A:$AL,6,FALSE)</f>
        <v>159</v>
      </c>
      <c r="T130" s="5">
        <f>VLOOKUP($A130,'SegEnds_NonXtal_Prot#'!$A:$AL,9,FALSE)</f>
        <v>163</v>
      </c>
      <c r="U130" s="5" t="str">
        <f>VLOOKUP($A130,'SegEnds_NonXtal_Prot#'!$A:$AL,12,FALSE)</f>
        <v>-</v>
      </c>
      <c r="V130" s="5">
        <f>VLOOKUP($A130,'SegEnds_NonXtal_Prot#'!$A:$AL,15,FALSE)</f>
        <v>199</v>
      </c>
      <c r="W130" s="5">
        <f>VLOOKUP($A130,'SegEnds_NonXtal_Prot#'!$A:$AL,18,FALSE)</f>
        <v>236</v>
      </c>
      <c r="X130" s="5">
        <f>VLOOKUP($A130,'SegEnds_NonXtal_Prot#'!$A:$AL,21,FALSE)</f>
        <v>244</v>
      </c>
      <c r="Y130" s="5">
        <f>VLOOKUP($A130,'SegEnds_NonXtal_Prot#'!$A:$AL,24,FALSE)</f>
        <v>286</v>
      </c>
      <c r="Z130" s="5">
        <f>VLOOKUP($A130,'SegEnds_NonXtal_Prot#'!$A:$AL,27,FALSE)</f>
        <v>299</v>
      </c>
      <c r="AA130" s="5">
        <f>VLOOKUP($A130,'SegEnds_NonXtal_Prot#'!$A:$AL,30,FALSE)</f>
        <v>348</v>
      </c>
      <c r="AB130" s="5">
        <f>VLOOKUP($A130,'SegEnds_NonXtal_Prot#'!$A:$AL,33,FALSE)</f>
        <v>391</v>
      </c>
      <c r="AC130" s="5">
        <f>VLOOKUP($A130,'SegEnds_NonXtal_Prot#'!$A:$AL,36,FALSE)</f>
        <v>420</v>
      </c>
      <c r="AD130" s="5">
        <f>VLOOKUP($A130,'SegEnds_NonXtal_Prot#'!$A:$AL,5,FALSE)</f>
        <v>158</v>
      </c>
      <c r="AE130" s="5">
        <f>VLOOKUP($A130,'SegEnds_NonXtal_Prot#'!$A:$AL,8,FALSE)</f>
        <v>162</v>
      </c>
      <c r="AF130" s="5">
        <f>VLOOKUP($A130,'SegEnds_NonXtal_Prot#'!$A:$AL,11,FALSE)</f>
        <v>193</v>
      </c>
      <c r="AG130" s="5" t="str">
        <f>VLOOKUP($A130,'SegEnds_NonXtal_Prot#'!$A:$AL,14,FALSE)</f>
        <v>-</v>
      </c>
      <c r="AH130" s="5">
        <f>VLOOKUP($A130,'SegEnds_NonXtal_Prot#'!$A:$AL,17,FALSE)</f>
        <v>234</v>
      </c>
      <c r="AI130" s="5">
        <f>VLOOKUP($A130,'SegEnds_NonXtal_Prot#'!$A:$AL,20,FALSE)</f>
        <v>243</v>
      </c>
      <c r="AJ130" s="5">
        <f>VLOOKUP($A130,'SegEnds_NonXtal_Prot#'!$A:$AL,23,FALSE)</f>
        <v>270</v>
      </c>
      <c r="AK130" s="5">
        <f>VLOOKUP($A130,'SegEnds_NonXtal_Prot#'!$A:$AL,26,FALSE)</f>
        <v>288</v>
      </c>
      <c r="AL130" s="5">
        <f>VLOOKUP($A130,'SegEnds_NonXtal_Prot#'!$A:$AL,29,FALSE)</f>
        <v>343</v>
      </c>
      <c r="AM130" s="5">
        <f>VLOOKUP($A130,'SegEnds_NonXtal_Prot#'!$A:$AL,32,FALSE)</f>
        <v>385</v>
      </c>
      <c r="AN130" s="5">
        <f>VLOOKUP($A130,'SegEnds_NonXtal_Prot#'!$A:$AL,35,FALSE)</f>
        <v>419</v>
      </c>
      <c r="AO130" s="5">
        <f>VLOOKUP($A130,'SegEnds_NonXtal_Prot#'!$A:$AL,38,FALSE)</f>
        <v>433</v>
      </c>
      <c r="AP130" s="5">
        <f t="shared" ref="AP130:AP193" si="63">IFERROR(AD130-R130,"-")</f>
        <v>38</v>
      </c>
      <c r="AQ130" s="4">
        <f t="shared" ref="AQ130:AQ193" si="64">IFERROR(AE130-S130,"-")</f>
        <v>3</v>
      </c>
      <c r="AR130" s="4">
        <f t="shared" ref="AR130:AR193" si="65">IFERROR(AF130-T130,"-")</f>
        <v>30</v>
      </c>
      <c r="AS130" s="4" t="str">
        <f t="shared" ref="AS130:AS193" si="66">IFERROR(AG130-U130,"-")</f>
        <v>-</v>
      </c>
      <c r="AT130" s="4">
        <f t="shared" ref="AT130:AT193" si="67">IFERROR(AH130-V130,"-")</f>
        <v>35</v>
      </c>
      <c r="AU130" s="4">
        <f t="shared" ref="AU130:AU193" si="68">IFERROR(AI130-W130,"-")</f>
        <v>7</v>
      </c>
      <c r="AV130" s="4">
        <f t="shared" ref="AV130:AV193" si="69">IFERROR(AJ130-X130,"-")</f>
        <v>26</v>
      </c>
      <c r="AW130" s="4">
        <f t="shared" ref="AW130:AW193" si="70">IFERROR(AK130-Y130,"-")</f>
        <v>2</v>
      </c>
      <c r="AX130" s="4">
        <f t="shared" ref="AX130:AX193" si="71">IFERROR(AL130-Z130,"-")</f>
        <v>44</v>
      </c>
      <c r="AY130" s="4">
        <f t="shared" ref="AY130:AY193" si="72">IFERROR(AM130-AA130,"-")</f>
        <v>37</v>
      </c>
      <c r="AZ130" s="4">
        <f t="shared" ref="AZ130:AZ193" si="73">IFERROR(AN130-AB130,"-")</f>
        <v>28</v>
      </c>
      <c r="BA130" s="4">
        <f t="shared" ref="BA130:BA193" si="74">IFERROR(AO130-AC130,"-")</f>
        <v>13</v>
      </c>
    </row>
    <row r="131" spans="1:53" x14ac:dyDescent="0.2">
      <c r="A131" s="1" t="str">
        <f>'SegEnds_NonXtal_Prot#'!A102</f>
        <v>ffar1_human</v>
      </c>
      <c r="B131" s="1" t="str">
        <f t="shared" si="50"/>
        <v>PPQLSFGLYVAAFALGFPLNVLAIRGATAHARLRTPSLVYALNLGCSDLLLTVSLPLKAVEALASPASLCPVFAVAHFFPLYAGGGFLAALSAGRYLGAAFRPCYSWGVCAAIWALVLCHLGLVFGLEADPASAGPARFSLSLLLFFLPLAITAFCYVGCLRALARRRKLRAAWVAGGALLTLLLCVGPYNASNVASFLYGSWRKLGLITGAWSVVLNPLVTGYLGRGPGLKTVCAARTQ</v>
      </c>
      <c r="C131" s="29" t="str">
        <f>IF(ISERROR(MATCH(A131,'SegEnds_Xtal_Prot#'!B:B, 0)), "NoXtal", "Xtal")</f>
        <v>Xtal</v>
      </c>
      <c r="D131" s="4" t="str">
        <f>VLOOKUP(A131,Classification!A:D,2,FALSE)</f>
        <v>A</v>
      </c>
      <c r="E131" s="5" t="str">
        <f>VLOOKUP(A131,Seqs!A:B,2,FALSE)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F131" s="5" t="str">
        <f t="shared" si="51"/>
        <v>PPQLSFGLYVAAFALGFPLNVLAIRGATAHARLR</v>
      </c>
      <c r="G131" s="4" t="str">
        <f t="shared" si="52"/>
        <v/>
      </c>
      <c r="H131" s="4" t="str">
        <f t="shared" si="53"/>
        <v>TPSLVYALNLGCSDLLLTVSLPLKAVEALAS</v>
      </c>
      <c r="I131" s="4" t="str">
        <f t="shared" si="54"/>
        <v>AWPL</v>
      </c>
      <c r="J131" s="4" t="str">
        <f t="shared" si="55"/>
        <v>PASLCPVFAVAHFFPLYAGGGFLAALSAGRYLGAAF</v>
      </c>
      <c r="K131" s="4" t="str">
        <f t="shared" si="56"/>
        <v>PLGYQAFR</v>
      </c>
      <c r="L131" s="4" t="str">
        <f t="shared" si="57"/>
        <v>RPCYSWGVCAAIWALVLCHLGLVFGLEA</v>
      </c>
      <c r="M131" s="4" t="str">
        <f t="shared" si="58"/>
        <v>CLE</v>
      </c>
      <c r="N131" s="4" t="str">
        <f t="shared" si="59"/>
        <v>DPASAGPARFSLSLLLFFLPLAITAFCYVGCLRALAR</v>
      </c>
      <c r="O131" s="4" t="str">
        <f t="shared" si="60"/>
        <v>RRKLRAAWVAGGALLTLLLCVGPYNASNVASFLY</v>
      </c>
      <c r="P131" s="4" t="str">
        <f t="shared" si="61"/>
        <v>GSWRKLGLITGAWSVVLNPLVTGYL</v>
      </c>
      <c r="Q131" s="4" t="str">
        <f t="shared" si="62"/>
        <v>GRGPGLKTVCAARTQ</v>
      </c>
      <c r="R131" s="5">
        <f>VLOOKUP($A131,'SegEnds_NonXtal_Prot#'!$A:$AL,3,FALSE)</f>
        <v>4</v>
      </c>
      <c r="S131" s="5" t="str">
        <f>VLOOKUP($A131,'SegEnds_NonXtal_Prot#'!$A:$AL,6,FALSE)</f>
        <v>-</v>
      </c>
      <c r="T131" s="5">
        <f>VLOOKUP($A131,'SegEnds_NonXtal_Prot#'!$A:$AL,9,FALSE)</f>
        <v>39</v>
      </c>
      <c r="U131" s="5">
        <f>VLOOKUP($A131,'SegEnds_NonXtal_Prot#'!$A:$AL,12,FALSE)</f>
        <v>71</v>
      </c>
      <c r="V131" s="5">
        <f>VLOOKUP($A131,'SegEnds_NonXtal_Prot#'!$A:$AL,15,FALSE)</f>
        <v>75</v>
      </c>
      <c r="W131" s="5">
        <f>VLOOKUP($A131,'SegEnds_NonXtal_Prot#'!$A:$AL,18,FALSE)</f>
        <v>111</v>
      </c>
      <c r="X131" s="5">
        <f>VLOOKUP($A131,'SegEnds_NonXtal_Prot#'!$A:$AL,21,FALSE)</f>
        <v>119</v>
      </c>
      <c r="Y131" s="5">
        <f>VLOOKUP($A131,'SegEnds_NonXtal_Prot#'!$A:$AL,24,FALSE)</f>
        <v>170</v>
      </c>
      <c r="Z131" s="5">
        <f>VLOOKUP($A131,'SegEnds_NonXtal_Prot#'!$A:$AL,27,FALSE)</f>
        <v>175</v>
      </c>
      <c r="AA131" s="5">
        <f>VLOOKUP($A131,'SegEnds_NonXtal_Prot#'!$A:$AL,30,FALSE)</f>
        <v>217</v>
      </c>
      <c r="AB131" s="5">
        <f>VLOOKUP($A131,'SegEnds_NonXtal_Prot#'!$A:$AL,33,FALSE)</f>
        <v>255</v>
      </c>
      <c r="AC131" s="5">
        <f>VLOOKUP($A131,'SegEnds_NonXtal_Prot#'!$A:$AL,36,FALSE)</f>
        <v>280</v>
      </c>
      <c r="AD131" s="5">
        <f>VLOOKUP($A131,'SegEnds_NonXtal_Prot#'!$A:$AL,5,FALSE)</f>
        <v>37</v>
      </c>
      <c r="AE131" s="5" t="str">
        <f>VLOOKUP($A131,'SegEnds_NonXtal_Prot#'!$A:$AL,8,FALSE)</f>
        <v>-</v>
      </c>
      <c r="AF131" s="5">
        <f>VLOOKUP($A131,'SegEnds_NonXtal_Prot#'!$A:$AL,11,FALSE)</f>
        <v>69</v>
      </c>
      <c r="AG131" s="5">
        <f>VLOOKUP($A131,'SegEnds_NonXtal_Prot#'!$A:$AL,14,FALSE)</f>
        <v>74</v>
      </c>
      <c r="AH131" s="5">
        <f>VLOOKUP($A131,'SegEnds_NonXtal_Prot#'!$A:$AL,17,FALSE)</f>
        <v>110</v>
      </c>
      <c r="AI131" s="5">
        <f>VLOOKUP($A131,'SegEnds_NonXtal_Prot#'!$A:$AL,20,FALSE)</f>
        <v>118</v>
      </c>
      <c r="AJ131" s="5">
        <f>VLOOKUP($A131,'SegEnds_NonXtal_Prot#'!$A:$AL,23,FALSE)</f>
        <v>146</v>
      </c>
      <c r="AK131" s="5">
        <f>VLOOKUP($A131,'SegEnds_NonXtal_Prot#'!$A:$AL,26,FALSE)</f>
        <v>172</v>
      </c>
      <c r="AL131" s="5">
        <f>VLOOKUP($A131,'SegEnds_NonXtal_Prot#'!$A:$AL,29,FALSE)</f>
        <v>211</v>
      </c>
      <c r="AM131" s="5">
        <f>VLOOKUP($A131,'SegEnds_NonXtal_Prot#'!$A:$AL,32,FALSE)</f>
        <v>250</v>
      </c>
      <c r="AN131" s="5">
        <f>VLOOKUP($A131,'SegEnds_NonXtal_Prot#'!$A:$AL,35,FALSE)</f>
        <v>279</v>
      </c>
      <c r="AO131" s="5">
        <f>VLOOKUP($A131,'SegEnds_NonXtal_Prot#'!$A:$AL,38,FALSE)</f>
        <v>294</v>
      </c>
      <c r="AP131" s="5">
        <f t="shared" si="63"/>
        <v>33</v>
      </c>
      <c r="AQ131" s="4" t="str">
        <f t="shared" si="64"/>
        <v>-</v>
      </c>
      <c r="AR131" s="4">
        <f t="shared" si="65"/>
        <v>30</v>
      </c>
      <c r="AS131" s="4">
        <f t="shared" si="66"/>
        <v>3</v>
      </c>
      <c r="AT131" s="4">
        <f t="shared" si="67"/>
        <v>35</v>
      </c>
      <c r="AU131" s="4">
        <f t="shared" si="68"/>
        <v>7</v>
      </c>
      <c r="AV131" s="4">
        <f t="shared" si="69"/>
        <v>27</v>
      </c>
      <c r="AW131" s="4">
        <f t="shared" si="70"/>
        <v>2</v>
      </c>
      <c r="AX131" s="4">
        <f t="shared" si="71"/>
        <v>36</v>
      </c>
      <c r="AY131" s="4">
        <f t="shared" si="72"/>
        <v>33</v>
      </c>
      <c r="AZ131" s="4">
        <f t="shared" si="73"/>
        <v>24</v>
      </c>
      <c r="BA131" s="4">
        <f t="shared" si="74"/>
        <v>14</v>
      </c>
    </row>
    <row r="132" spans="1:53" x14ac:dyDescent="0.2">
      <c r="A132" s="1" t="str">
        <f>'SegEnds_NonXtal_Prot#'!A103</f>
        <v>ffar2_human</v>
      </c>
      <c r="B132" s="1" t="str">
        <f t="shared" si="50"/>
        <v>PDWKSSLILMAYIIIFLTGLPANLLALRAFVGRAPVHILLLSLTLADLLLLLLLPFKIIEAASPKVVCALTSFGFYSSIYCSTWLLAGISIERYLGVAFRPLYGVIAALVAWVMSFGHCTIVIIQLDVVLPVRLELCLVLFFIPMAVTIFCYWRFVWIMLSGAQRRRRAVGLAVVTLLNFLVCFGPYNVSHLVGYHQWWRSIAVVFSSLNASLDPLLFYFSSSVVRRAFGRGLQVL</v>
      </c>
      <c r="C132" s="29" t="str">
        <f>IF(ISERROR(MATCH(A132,'SegEnds_Xtal_Prot#'!B:B, 0)), "NoXtal", "Xtal")</f>
        <v>NoXtal</v>
      </c>
      <c r="D132" s="4" t="str">
        <f>VLOOKUP(A132,Classification!A:D,2,FALSE)</f>
        <v>A</v>
      </c>
      <c r="E132" s="5" t="str">
        <f>VLOOKUP(A132,Seqs!A:B,2,FALSE)</f>
        <v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v>
      </c>
      <c r="F132" s="5" t="str">
        <f t="shared" si="51"/>
        <v>PDWKSSLILMAYIIIFLTGLPANLLALRAFVGR</v>
      </c>
      <c r="G132" s="4" t="str">
        <f t="shared" si="52"/>
        <v/>
      </c>
      <c r="H132" s="4" t="str">
        <f t="shared" si="53"/>
        <v>APVHILLLSLTLADLLLLLLLPFKIIEAAS</v>
      </c>
      <c r="I132" s="4" t="str">
        <f t="shared" si="54"/>
        <v>RWYL</v>
      </c>
      <c r="J132" s="4" t="str">
        <f t="shared" si="55"/>
        <v>PKVVCALTSFGFYSSIYCSTWLLAGISIERYLGVAF</v>
      </c>
      <c r="K132" s="4" t="str">
        <f t="shared" si="56"/>
        <v>PVQYKLSR</v>
      </c>
      <c r="L132" s="4" t="str">
        <f t="shared" si="57"/>
        <v>RPLYGVIAALVAWVMSFGHCTIVII</v>
      </c>
      <c r="M132" s="4" t="str">
        <f t="shared" si="58"/>
        <v>CYE</v>
      </c>
      <c r="N132" s="4" t="str">
        <f t="shared" si="59"/>
        <v>QLDVVLPVRLELCLVLFFIPMAVTIFCYWRFVWIMLS</v>
      </c>
      <c r="O132" s="4" t="str">
        <f t="shared" si="60"/>
        <v>GAQRRRRAVGLAVVTLLNFLVCFGPYNVSHLVGYHQ</v>
      </c>
      <c r="P132" s="4" t="str">
        <f t="shared" si="61"/>
        <v>WWRSIAVVFSSLNASLDPLLFYFS</v>
      </c>
      <c r="Q132" s="4" t="str">
        <f t="shared" si="62"/>
        <v>SSVVRRAFGRGLQVL</v>
      </c>
      <c r="R132" s="5">
        <f>VLOOKUP($A132,'SegEnds_NonXtal_Prot#'!$A:$AL,3,FALSE)</f>
        <v>3</v>
      </c>
      <c r="S132" s="5" t="str">
        <f>VLOOKUP($A132,'SegEnds_NonXtal_Prot#'!$A:$AL,6,FALSE)</f>
        <v>-</v>
      </c>
      <c r="T132" s="5">
        <f>VLOOKUP($A132,'SegEnds_NonXtal_Prot#'!$A:$AL,9,FALSE)</f>
        <v>42</v>
      </c>
      <c r="U132" s="5">
        <f>VLOOKUP($A132,'SegEnds_NonXtal_Prot#'!$A:$AL,12,FALSE)</f>
        <v>74</v>
      </c>
      <c r="V132" s="5">
        <f>VLOOKUP($A132,'SegEnds_NonXtal_Prot#'!$A:$AL,15,FALSE)</f>
        <v>78</v>
      </c>
      <c r="W132" s="5">
        <f>VLOOKUP($A132,'SegEnds_NonXtal_Prot#'!$A:$AL,18,FALSE)</f>
        <v>114</v>
      </c>
      <c r="X132" s="5">
        <f>VLOOKUP($A132,'SegEnds_NonXtal_Prot#'!$A:$AL,21,FALSE)</f>
        <v>122</v>
      </c>
      <c r="Y132" s="5">
        <f>VLOOKUP($A132,'SegEnds_NonXtal_Prot#'!$A:$AL,24,FALSE)</f>
        <v>164</v>
      </c>
      <c r="Z132" s="5">
        <f>VLOOKUP($A132,'SegEnds_NonXtal_Prot#'!$A:$AL,27,FALSE)</f>
        <v>172</v>
      </c>
      <c r="AA132" s="5">
        <f>VLOOKUP($A132,'SegEnds_NonXtal_Prot#'!$A:$AL,30,FALSE)</f>
        <v>213</v>
      </c>
      <c r="AB132" s="5">
        <f>VLOOKUP($A132,'SegEnds_NonXtal_Prot#'!$A:$AL,33,FALSE)</f>
        <v>253</v>
      </c>
      <c r="AC132" s="5">
        <f>VLOOKUP($A132,'SegEnds_NonXtal_Prot#'!$A:$AL,36,FALSE)</f>
        <v>277</v>
      </c>
      <c r="AD132" s="5">
        <f>VLOOKUP($A132,'SegEnds_NonXtal_Prot#'!$A:$AL,5,FALSE)</f>
        <v>35</v>
      </c>
      <c r="AE132" s="5" t="str">
        <f>VLOOKUP($A132,'SegEnds_NonXtal_Prot#'!$A:$AL,8,FALSE)</f>
        <v>-</v>
      </c>
      <c r="AF132" s="5">
        <f>VLOOKUP($A132,'SegEnds_NonXtal_Prot#'!$A:$AL,11,FALSE)</f>
        <v>71</v>
      </c>
      <c r="AG132" s="5">
        <f>VLOOKUP($A132,'SegEnds_NonXtal_Prot#'!$A:$AL,14,FALSE)</f>
        <v>77</v>
      </c>
      <c r="AH132" s="5">
        <f>VLOOKUP($A132,'SegEnds_NonXtal_Prot#'!$A:$AL,17,FALSE)</f>
        <v>113</v>
      </c>
      <c r="AI132" s="5">
        <f>VLOOKUP($A132,'SegEnds_NonXtal_Prot#'!$A:$AL,20,FALSE)</f>
        <v>121</v>
      </c>
      <c r="AJ132" s="5">
        <f>VLOOKUP($A132,'SegEnds_NonXtal_Prot#'!$A:$AL,23,FALSE)</f>
        <v>146</v>
      </c>
      <c r="AK132" s="5">
        <f>VLOOKUP($A132,'SegEnds_NonXtal_Prot#'!$A:$AL,26,FALSE)</f>
        <v>166</v>
      </c>
      <c r="AL132" s="5">
        <f>VLOOKUP($A132,'SegEnds_NonXtal_Prot#'!$A:$AL,29,FALSE)</f>
        <v>208</v>
      </c>
      <c r="AM132" s="5">
        <f>VLOOKUP($A132,'SegEnds_NonXtal_Prot#'!$A:$AL,32,FALSE)</f>
        <v>248</v>
      </c>
      <c r="AN132" s="5">
        <f>VLOOKUP($A132,'SegEnds_NonXtal_Prot#'!$A:$AL,35,FALSE)</f>
        <v>276</v>
      </c>
      <c r="AO132" s="5">
        <f>VLOOKUP($A132,'SegEnds_NonXtal_Prot#'!$A:$AL,38,FALSE)</f>
        <v>291</v>
      </c>
      <c r="AP132" s="5">
        <f t="shared" si="63"/>
        <v>32</v>
      </c>
      <c r="AQ132" s="4" t="str">
        <f t="shared" si="64"/>
        <v>-</v>
      </c>
      <c r="AR132" s="4">
        <f t="shared" si="65"/>
        <v>29</v>
      </c>
      <c r="AS132" s="4">
        <f t="shared" si="66"/>
        <v>3</v>
      </c>
      <c r="AT132" s="4">
        <f t="shared" si="67"/>
        <v>35</v>
      </c>
      <c r="AU132" s="4">
        <f t="shared" si="68"/>
        <v>7</v>
      </c>
      <c r="AV132" s="4">
        <f t="shared" si="69"/>
        <v>24</v>
      </c>
      <c r="AW132" s="4">
        <f t="shared" si="70"/>
        <v>2</v>
      </c>
      <c r="AX132" s="4">
        <f t="shared" si="71"/>
        <v>36</v>
      </c>
      <c r="AY132" s="4">
        <f t="shared" si="72"/>
        <v>35</v>
      </c>
      <c r="AZ132" s="4">
        <f t="shared" si="73"/>
        <v>23</v>
      </c>
      <c r="BA132" s="4">
        <f t="shared" si="74"/>
        <v>14</v>
      </c>
    </row>
    <row r="133" spans="1:53" x14ac:dyDescent="0.2">
      <c r="A133" s="1" t="str">
        <f>'SegEnds_NonXtal_Prot#'!A104</f>
        <v>ffar3_human</v>
      </c>
      <c r="B133" s="1" t="str">
        <f t="shared" si="50"/>
        <v>SGNHWFVFSVYLLTFLVGLPLNLLALVVFVGKVAVDVLLLNLTASDLLLLLFLPFRMVEAANPFILCPLSGFIFFTTIYLTALFLAAVSIERFLSVAHRLGQAGLVSVACWLLASAHCSVVYVILAILLPVRLEMAVVLFVVPLIITSYCYSRLVWILGRGRRQRRVAGLLAATLLNFLVCFGPYNVSHVVGYICAWRIYVTLLSTLNSCVDPFVYYFSSSGFQADFHELLRRL</v>
      </c>
      <c r="C133" s="29" t="str">
        <f>IF(ISERROR(MATCH(A133,'SegEnds_Xtal_Prot#'!B:B, 0)), "NoXtal", "Xtal")</f>
        <v>NoXtal</v>
      </c>
      <c r="D133" s="4" t="str">
        <f>VLOOKUP(A133,Classification!A:D,2,FALSE)</f>
        <v>A</v>
      </c>
      <c r="E133" s="5" t="str">
        <f>VLOOKUP(A133,Seqs!A:B,2,FALSE)</f>
        <v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v>
      </c>
      <c r="F133" s="5" t="str">
        <f t="shared" si="51"/>
        <v>SGNHWFVFSVYLLTFLVGLPLNLLALVVFVGK</v>
      </c>
      <c r="G133" s="4" t="str">
        <f t="shared" si="52"/>
        <v/>
      </c>
      <c r="H133" s="4" t="str">
        <f t="shared" si="53"/>
        <v>VAVDVLLLNLTASDLLLLLFLPFRMVEAAN</v>
      </c>
      <c r="I133" s="4" t="str">
        <f t="shared" si="54"/>
        <v>HWPL</v>
      </c>
      <c r="J133" s="4" t="str">
        <f t="shared" si="55"/>
        <v>PFILCPLSGFIFFTTIYLTALFLAAVSIERFLSVAH</v>
      </c>
      <c r="K133" s="4" t="str">
        <f t="shared" si="56"/>
        <v>PLWYKTRP</v>
      </c>
      <c r="L133" s="4" t="str">
        <f t="shared" si="57"/>
        <v>RLGQAGLVSVACWLLASAHCSVVYVI</v>
      </c>
      <c r="M133" s="4" t="str">
        <f t="shared" si="58"/>
        <v>CYL</v>
      </c>
      <c r="N133" s="4" t="str">
        <f t="shared" si="59"/>
        <v>LAILLPVRLEMAVVLFVVPLIITSYCYSRLVWILGRG</v>
      </c>
      <c r="O133" s="4" t="str">
        <f t="shared" si="60"/>
        <v>RRQRRVAGLLAATLLNFLVCFGPYNVSHVVGYIC</v>
      </c>
      <c r="P133" s="4" t="str">
        <f t="shared" si="61"/>
        <v>AWRIYVTLLSTLNSCVDPFVYYFS</v>
      </c>
      <c r="Q133" s="4" t="str">
        <f t="shared" si="62"/>
        <v>SSGFQADFHELLRRL</v>
      </c>
      <c r="R133" s="5">
        <f>VLOOKUP($A133,'SegEnds_NonXtal_Prot#'!$A:$AL,3,FALSE)</f>
        <v>11</v>
      </c>
      <c r="S133" s="5" t="str">
        <f>VLOOKUP($A133,'SegEnds_NonXtal_Prot#'!$A:$AL,6,FALSE)</f>
        <v>-</v>
      </c>
      <c r="T133" s="5">
        <f>VLOOKUP($A133,'SegEnds_NonXtal_Prot#'!$A:$AL,9,FALSE)</f>
        <v>48</v>
      </c>
      <c r="U133" s="5">
        <f>VLOOKUP($A133,'SegEnds_NonXtal_Prot#'!$A:$AL,12,FALSE)</f>
        <v>80</v>
      </c>
      <c r="V133" s="5">
        <f>VLOOKUP($A133,'SegEnds_NonXtal_Prot#'!$A:$AL,15,FALSE)</f>
        <v>84</v>
      </c>
      <c r="W133" s="5">
        <f>VLOOKUP($A133,'SegEnds_NonXtal_Prot#'!$A:$AL,18,FALSE)</f>
        <v>120</v>
      </c>
      <c r="X133" s="5">
        <f>VLOOKUP($A133,'SegEnds_NonXtal_Prot#'!$A:$AL,21,FALSE)</f>
        <v>128</v>
      </c>
      <c r="Y133" s="5">
        <f>VLOOKUP($A133,'SegEnds_NonXtal_Prot#'!$A:$AL,24,FALSE)</f>
        <v>169</v>
      </c>
      <c r="Z133" s="5">
        <f>VLOOKUP($A133,'SegEnds_NonXtal_Prot#'!$A:$AL,27,FALSE)</f>
        <v>178</v>
      </c>
      <c r="AA133" s="5">
        <f>VLOOKUP($A133,'SegEnds_NonXtal_Prot#'!$A:$AL,30,FALSE)</f>
        <v>218</v>
      </c>
      <c r="AB133" s="5">
        <f>VLOOKUP($A133,'SegEnds_NonXtal_Prot#'!$A:$AL,33,FALSE)</f>
        <v>256</v>
      </c>
      <c r="AC133" s="5">
        <f>VLOOKUP($A133,'SegEnds_NonXtal_Prot#'!$A:$AL,36,FALSE)</f>
        <v>280</v>
      </c>
      <c r="AD133" s="5">
        <f>VLOOKUP($A133,'SegEnds_NonXtal_Prot#'!$A:$AL,5,FALSE)</f>
        <v>42</v>
      </c>
      <c r="AE133" s="5" t="str">
        <f>VLOOKUP($A133,'SegEnds_NonXtal_Prot#'!$A:$AL,8,FALSE)</f>
        <v>-</v>
      </c>
      <c r="AF133" s="5">
        <f>VLOOKUP($A133,'SegEnds_NonXtal_Prot#'!$A:$AL,11,FALSE)</f>
        <v>77</v>
      </c>
      <c r="AG133" s="5">
        <f>VLOOKUP($A133,'SegEnds_NonXtal_Prot#'!$A:$AL,14,FALSE)</f>
        <v>83</v>
      </c>
      <c r="AH133" s="5">
        <f>VLOOKUP($A133,'SegEnds_NonXtal_Prot#'!$A:$AL,17,FALSE)</f>
        <v>119</v>
      </c>
      <c r="AI133" s="5">
        <f>VLOOKUP($A133,'SegEnds_NonXtal_Prot#'!$A:$AL,20,FALSE)</f>
        <v>127</v>
      </c>
      <c r="AJ133" s="5">
        <f>VLOOKUP($A133,'SegEnds_NonXtal_Prot#'!$A:$AL,23,FALSE)</f>
        <v>153</v>
      </c>
      <c r="AK133" s="5">
        <f>VLOOKUP($A133,'SegEnds_NonXtal_Prot#'!$A:$AL,26,FALSE)</f>
        <v>171</v>
      </c>
      <c r="AL133" s="5">
        <f>VLOOKUP($A133,'SegEnds_NonXtal_Prot#'!$A:$AL,29,FALSE)</f>
        <v>214</v>
      </c>
      <c r="AM133" s="5">
        <f>VLOOKUP($A133,'SegEnds_NonXtal_Prot#'!$A:$AL,32,FALSE)</f>
        <v>251</v>
      </c>
      <c r="AN133" s="5">
        <f>VLOOKUP($A133,'SegEnds_NonXtal_Prot#'!$A:$AL,35,FALSE)</f>
        <v>279</v>
      </c>
      <c r="AO133" s="5">
        <f>VLOOKUP($A133,'SegEnds_NonXtal_Prot#'!$A:$AL,38,FALSE)</f>
        <v>294</v>
      </c>
      <c r="AP133" s="5">
        <f t="shared" si="63"/>
        <v>31</v>
      </c>
      <c r="AQ133" s="4" t="str">
        <f t="shared" si="64"/>
        <v>-</v>
      </c>
      <c r="AR133" s="4">
        <f t="shared" si="65"/>
        <v>29</v>
      </c>
      <c r="AS133" s="4">
        <f t="shared" si="66"/>
        <v>3</v>
      </c>
      <c r="AT133" s="4">
        <f t="shared" si="67"/>
        <v>35</v>
      </c>
      <c r="AU133" s="4">
        <f t="shared" si="68"/>
        <v>7</v>
      </c>
      <c r="AV133" s="4">
        <f t="shared" si="69"/>
        <v>25</v>
      </c>
      <c r="AW133" s="4">
        <f t="shared" si="70"/>
        <v>2</v>
      </c>
      <c r="AX133" s="4">
        <f t="shared" si="71"/>
        <v>36</v>
      </c>
      <c r="AY133" s="4">
        <f t="shared" si="72"/>
        <v>33</v>
      </c>
      <c r="AZ133" s="4">
        <f t="shared" si="73"/>
        <v>23</v>
      </c>
      <c r="BA133" s="4">
        <f t="shared" si="74"/>
        <v>14</v>
      </c>
    </row>
    <row r="134" spans="1:53" x14ac:dyDescent="0.2">
      <c r="A134" s="1" t="str">
        <f>'SegEnds_NonXtal_Prot#'!A105</f>
        <v>ffar4_human</v>
      </c>
      <c r="B134" s="1" t="str">
        <f t="shared" si="50"/>
        <v>LAAVETTVLVLIFAVSLLGNVCALVLVARRGATACLVLNLFCADLLFISAIPLVLAVRWTGPVACHLLFYVMTLSGSVTILTLAAVSLERMVCIVHGRRARAVLLALIWGYSAVAALPLCVFFPGEISWDVSFVTLNFLVPGLVIVISYSKILQTSEHLLDARAVVTIRVSQQDFRLFRTLFLLMVSFFIMWSPIIITILLILIQLVIWPSLFFWVVAFTFANSALNPILYNMTLCRNEWKKIFCC</v>
      </c>
      <c r="C134" s="29" t="str">
        <f>IF(ISERROR(MATCH(A134,'SegEnds_Xtal_Prot#'!B:B, 0)), "NoXtal", "Xtal")</f>
        <v>NoXtal</v>
      </c>
      <c r="D134" s="4" t="str">
        <f>VLOOKUP(A134,Classification!A:D,2,FALSE)</f>
        <v>A</v>
      </c>
      <c r="E134" s="5" t="str">
        <f>VLOOKUP(A134,Seqs!A:B,2,FALSE)</f>
        <v>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</v>
      </c>
      <c r="F134" s="5" t="str">
        <f t="shared" si="51"/>
        <v>LAAVETTVLVLIFAVSLLGNVCALVLVARR</v>
      </c>
      <c r="G134" s="4" t="str">
        <f t="shared" si="52"/>
        <v/>
      </c>
      <c r="H134" s="4" t="str">
        <f t="shared" si="53"/>
        <v>GATACLVLNLFCADLLFISAIPLVLAVRWT</v>
      </c>
      <c r="I134" s="4" t="str">
        <f t="shared" si="54"/>
        <v>AWLL</v>
      </c>
      <c r="J134" s="4" t="str">
        <f t="shared" si="55"/>
        <v>GPVACHLLFYVMTLSGSVTILTLAAVSLERMVCIVH</v>
      </c>
      <c r="K134" s="4" t="str">
        <f t="shared" si="56"/>
        <v>LQRGVRGP</v>
      </c>
      <c r="L134" s="4" t="str">
        <f t="shared" si="57"/>
        <v>GRRARAVLLALIWGYSAVAALPLCVFF</v>
      </c>
      <c r="M134" s="4" t="str">
        <f t="shared" si="58"/>
        <v>CTL</v>
      </c>
      <c r="N134" s="4" t="str">
        <f t="shared" si="59"/>
        <v>PGEISWDVSFVTLNFLVPGLVIVISYSKILQTSEHLLDARAVVT</v>
      </c>
      <c r="O134" s="4" t="str">
        <f t="shared" si="60"/>
        <v>IRVSQQDFRLFRTLFLLMVSFFIMWSPIIITILLILIQ</v>
      </c>
      <c r="P134" s="4" t="str">
        <f t="shared" si="61"/>
        <v>LVIWPSLFFWVVAFTFANSALNPILYNMT</v>
      </c>
      <c r="Q134" s="4" t="str">
        <f t="shared" si="62"/>
        <v>LCRNEWKKIFCC</v>
      </c>
      <c r="R134" s="5">
        <f>VLOOKUP($A134,'SegEnds_NonXtal_Prot#'!$A:$AL,3,FALSE)</f>
        <v>39</v>
      </c>
      <c r="S134" s="5" t="str">
        <f>VLOOKUP($A134,'SegEnds_NonXtal_Prot#'!$A:$AL,6,FALSE)</f>
        <v>-</v>
      </c>
      <c r="T134" s="5">
        <f>VLOOKUP($A134,'SegEnds_NonXtal_Prot#'!$A:$AL,9,FALSE)</f>
        <v>72</v>
      </c>
      <c r="U134" s="5">
        <f>VLOOKUP($A134,'SegEnds_NonXtal_Prot#'!$A:$AL,12,FALSE)</f>
        <v>103</v>
      </c>
      <c r="V134" s="5">
        <f>VLOOKUP($A134,'SegEnds_NonXtal_Prot#'!$A:$AL,15,FALSE)</f>
        <v>107</v>
      </c>
      <c r="W134" s="5">
        <f>VLOOKUP($A134,'SegEnds_NonXtal_Prot#'!$A:$AL,18,FALSE)</f>
        <v>143</v>
      </c>
      <c r="X134" s="5">
        <f>VLOOKUP($A134,'SegEnds_NonXtal_Prot#'!$A:$AL,21,FALSE)</f>
        <v>151</v>
      </c>
      <c r="Y134" s="5">
        <f>VLOOKUP($A134,'SegEnds_NonXtal_Prot#'!$A:$AL,24,FALSE)</f>
        <v>194</v>
      </c>
      <c r="Z134" s="5">
        <f>VLOOKUP($A134,'SegEnds_NonXtal_Prot#'!$A:$AL,27,FALSE)</f>
        <v>202</v>
      </c>
      <c r="AA134" s="5">
        <f>VLOOKUP($A134,'SegEnds_NonXtal_Prot#'!$A:$AL,30,FALSE)</f>
        <v>269</v>
      </c>
      <c r="AB134" s="5">
        <f>VLOOKUP($A134,'SegEnds_NonXtal_Prot#'!$A:$AL,33,FALSE)</f>
        <v>312</v>
      </c>
      <c r="AC134" s="5">
        <f>VLOOKUP($A134,'SegEnds_NonXtal_Prot#'!$A:$AL,36,FALSE)</f>
        <v>341</v>
      </c>
      <c r="AD134" s="5">
        <f>VLOOKUP($A134,'SegEnds_NonXtal_Prot#'!$A:$AL,5,FALSE)</f>
        <v>68</v>
      </c>
      <c r="AE134" s="5" t="str">
        <f>VLOOKUP($A134,'SegEnds_NonXtal_Prot#'!$A:$AL,8,FALSE)</f>
        <v>-</v>
      </c>
      <c r="AF134" s="5">
        <f>VLOOKUP($A134,'SegEnds_NonXtal_Prot#'!$A:$AL,11,FALSE)</f>
        <v>101</v>
      </c>
      <c r="AG134" s="5">
        <f>VLOOKUP($A134,'SegEnds_NonXtal_Prot#'!$A:$AL,14,FALSE)</f>
        <v>106</v>
      </c>
      <c r="AH134" s="5">
        <f>VLOOKUP($A134,'SegEnds_NonXtal_Prot#'!$A:$AL,17,FALSE)</f>
        <v>142</v>
      </c>
      <c r="AI134" s="5">
        <f>VLOOKUP($A134,'SegEnds_NonXtal_Prot#'!$A:$AL,20,FALSE)</f>
        <v>150</v>
      </c>
      <c r="AJ134" s="5">
        <f>VLOOKUP($A134,'SegEnds_NonXtal_Prot#'!$A:$AL,23,FALSE)</f>
        <v>177</v>
      </c>
      <c r="AK134" s="5">
        <f>VLOOKUP($A134,'SegEnds_NonXtal_Prot#'!$A:$AL,26,FALSE)</f>
        <v>196</v>
      </c>
      <c r="AL134" s="5">
        <f>VLOOKUP($A134,'SegEnds_NonXtal_Prot#'!$A:$AL,29,FALSE)</f>
        <v>245</v>
      </c>
      <c r="AM134" s="5">
        <f>VLOOKUP($A134,'SegEnds_NonXtal_Prot#'!$A:$AL,32,FALSE)</f>
        <v>306</v>
      </c>
      <c r="AN134" s="5">
        <f>VLOOKUP($A134,'SegEnds_NonXtal_Prot#'!$A:$AL,35,FALSE)</f>
        <v>340</v>
      </c>
      <c r="AO134" s="5">
        <f>VLOOKUP($A134,'SegEnds_NonXtal_Prot#'!$A:$AL,38,FALSE)</f>
        <v>352</v>
      </c>
      <c r="AP134" s="5">
        <f t="shared" si="63"/>
        <v>29</v>
      </c>
      <c r="AQ134" s="4" t="str">
        <f t="shared" si="64"/>
        <v>-</v>
      </c>
      <c r="AR134" s="4">
        <f t="shared" si="65"/>
        <v>29</v>
      </c>
      <c r="AS134" s="4">
        <f t="shared" si="66"/>
        <v>3</v>
      </c>
      <c r="AT134" s="4">
        <f t="shared" si="67"/>
        <v>35</v>
      </c>
      <c r="AU134" s="4">
        <f t="shared" si="68"/>
        <v>7</v>
      </c>
      <c r="AV134" s="4">
        <f t="shared" si="69"/>
        <v>26</v>
      </c>
      <c r="AW134" s="4">
        <f t="shared" si="70"/>
        <v>2</v>
      </c>
      <c r="AX134" s="4">
        <f t="shared" si="71"/>
        <v>43</v>
      </c>
      <c r="AY134" s="4">
        <f t="shared" si="72"/>
        <v>37</v>
      </c>
      <c r="AZ134" s="4">
        <f t="shared" si="73"/>
        <v>28</v>
      </c>
      <c r="BA134" s="4">
        <f t="shared" si="74"/>
        <v>11</v>
      </c>
    </row>
    <row r="135" spans="1:53" x14ac:dyDescent="0.2">
      <c r="A135" s="1" t="str">
        <f>'SegEnds_NonXtal_Prot#'!A106</f>
        <v>fpr1_human</v>
      </c>
      <c r="B135" s="1" t="str">
        <f t="shared" si="50"/>
        <v>DIITYLVFAVTFVLGVLGNGLVIWVAGFRTVTTISYLNLAVADFCFTSTLPFFMVRKAMGGWFLCKFVFTIVDINLFGSVFLIALIALDRCVCVLHTVSLAKKVIIGPWVMALLLTLPVIIRVERINVAVAMLTVRGIIRFIIGFSAPMSIVAVSYGLIATKIHKQSSRPLRVLSFVAAAFFLCWSPYQVVALIATVRYKEIGIAVDVTSALAFFNSCLNPMLYVFMGQDFRERLIHALPASLER</v>
      </c>
      <c r="C135" s="29" t="str">
        <f>IF(ISERROR(MATCH(A135,'SegEnds_Xtal_Prot#'!B:B, 0)), "NoXtal", "Xtal")</f>
        <v>NoXtal</v>
      </c>
      <c r="D135" s="4" t="str">
        <f>VLOOKUP(A135,Classification!A:D,2,FALSE)</f>
        <v>A</v>
      </c>
      <c r="E135" s="5" t="str">
        <f>VLOOKUP(A135,Seqs!A:B,2,FALSE)</f>
        <v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v>
      </c>
      <c r="F135" s="5" t="str">
        <f t="shared" si="51"/>
        <v>DIITYLVFAVTFVLGVLGNGLVIWVAGFR</v>
      </c>
      <c r="G135" s="4" t="str">
        <f t="shared" si="52"/>
        <v/>
      </c>
      <c r="H135" s="4" t="str">
        <f t="shared" si="53"/>
        <v>TVTTISYLNLAVADFCFTSTLPFFMVRKAMG</v>
      </c>
      <c r="I135" s="4" t="str">
        <f t="shared" si="54"/>
        <v>HWPF</v>
      </c>
      <c r="J135" s="4" t="str">
        <f t="shared" si="55"/>
        <v>GWFLCKFVFTIVDINLFGSVFLIALIALDRCVCVLH</v>
      </c>
      <c r="K135" s="4" t="str">
        <f t="shared" si="56"/>
        <v>PVWTQNHR</v>
      </c>
      <c r="L135" s="4" t="str">
        <f t="shared" si="57"/>
        <v>TVSLAKKVIIGPWVMALLLTLPVIIRV</v>
      </c>
      <c r="M135" s="4" t="str">
        <f t="shared" si="58"/>
        <v>CTF</v>
      </c>
      <c r="N135" s="4" t="str">
        <f t="shared" si="59"/>
        <v>ERINVAVAMLTVRGIIRFIIGFSAPMSIVAVSYGLIATKIHKQ</v>
      </c>
      <c r="O135" s="4" t="str">
        <f t="shared" si="60"/>
        <v>SSRPLRVLSFVAAAFFLCWSPYQVVALIATVR</v>
      </c>
      <c r="P135" s="4" t="str">
        <f t="shared" si="61"/>
        <v>YKEIGIAVDVTSALAFFNSCLNPMLYVFM</v>
      </c>
      <c r="Q135" s="4" t="str">
        <f t="shared" si="62"/>
        <v>GQDFRERLIHALPASLER</v>
      </c>
      <c r="R135" s="5">
        <f>VLOOKUP($A135,'SegEnds_NonXtal_Prot#'!$A:$AL,3,FALSE)</f>
        <v>26</v>
      </c>
      <c r="S135" s="5" t="str">
        <f>VLOOKUP($A135,'SegEnds_NonXtal_Prot#'!$A:$AL,6,FALSE)</f>
        <v>-</v>
      </c>
      <c r="T135" s="5">
        <f>VLOOKUP($A135,'SegEnds_NonXtal_Prot#'!$A:$AL,9,FALSE)</f>
        <v>58</v>
      </c>
      <c r="U135" s="5">
        <f>VLOOKUP($A135,'SegEnds_NonXtal_Prot#'!$A:$AL,12,FALSE)</f>
        <v>90</v>
      </c>
      <c r="V135" s="5">
        <f>VLOOKUP($A135,'SegEnds_NonXtal_Prot#'!$A:$AL,15,FALSE)</f>
        <v>94</v>
      </c>
      <c r="W135" s="5">
        <f>VLOOKUP($A135,'SegEnds_NonXtal_Prot#'!$A:$AL,18,FALSE)</f>
        <v>130</v>
      </c>
      <c r="X135" s="5">
        <f>VLOOKUP($A135,'SegEnds_NonXtal_Prot#'!$A:$AL,21,FALSE)</f>
        <v>138</v>
      </c>
      <c r="Y135" s="5">
        <f>VLOOKUP($A135,'SegEnds_NonXtal_Prot#'!$A:$AL,24,FALSE)</f>
        <v>176</v>
      </c>
      <c r="Z135" s="5">
        <f>VLOOKUP($A135,'SegEnds_NonXtal_Prot#'!$A:$AL,27,FALSE)</f>
        <v>189</v>
      </c>
      <c r="AA135" s="5">
        <f>VLOOKUP($A135,'SegEnds_NonXtal_Prot#'!$A:$AL,30,FALSE)</f>
        <v>236</v>
      </c>
      <c r="AB135" s="5">
        <f>VLOOKUP($A135,'SegEnds_NonXtal_Prot#'!$A:$AL,33,FALSE)</f>
        <v>276</v>
      </c>
      <c r="AC135" s="5">
        <f>VLOOKUP($A135,'SegEnds_NonXtal_Prot#'!$A:$AL,36,FALSE)</f>
        <v>305</v>
      </c>
      <c r="AD135" s="5">
        <f>VLOOKUP($A135,'SegEnds_NonXtal_Prot#'!$A:$AL,5,FALSE)</f>
        <v>54</v>
      </c>
      <c r="AE135" s="5" t="str">
        <f>VLOOKUP($A135,'SegEnds_NonXtal_Prot#'!$A:$AL,8,FALSE)</f>
        <v>-</v>
      </c>
      <c r="AF135" s="5">
        <f>VLOOKUP($A135,'SegEnds_NonXtal_Prot#'!$A:$AL,11,FALSE)</f>
        <v>88</v>
      </c>
      <c r="AG135" s="5">
        <f>VLOOKUP($A135,'SegEnds_NonXtal_Prot#'!$A:$AL,14,FALSE)</f>
        <v>93</v>
      </c>
      <c r="AH135" s="5">
        <f>VLOOKUP($A135,'SegEnds_NonXtal_Prot#'!$A:$AL,17,FALSE)</f>
        <v>129</v>
      </c>
      <c r="AI135" s="5">
        <f>VLOOKUP($A135,'SegEnds_NonXtal_Prot#'!$A:$AL,20,FALSE)</f>
        <v>137</v>
      </c>
      <c r="AJ135" s="5">
        <f>VLOOKUP($A135,'SegEnds_NonXtal_Prot#'!$A:$AL,23,FALSE)</f>
        <v>164</v>
      </c>
      <c r="AK135" s="5">
        <f>VLOOKUP($A135,'SegEnds_NonXtal_Prot#'!$A:$AL,26,FALSE)</f>
        <v>178</v>
      </c>
      <c r="AL135" s="5">
        <f>VLOOKUP($A135,'SegEnds_NonXtal_Prot#'!$A:$AL,29,FALSE)</f>
        <v>231</v>
      </c>
      <c r="AM135" s="5">
        <f>VLOOKUP($A135,'SegEnds_NonXtal_Prot#'!$A:$AL,32,FALSE)</f>
        <v>267</v>
      </c>
      <c r="AN135" s="5">
        <f>VLOOKUP($A135,'SegEnds_NonXtal_Prot#'!$A:$AL,35,FALSE)</f>
        <v>304</v>
      </c>
      <c r="AO135" s="5">
        <f>VLOOKUP($A135,'SegEnds_NonXtal_Prot#'!$A:$AL,38,FALSE)</f>
        <v>322</v>
      </c>
      <c r="AP135" s="5">
        <f t="shared" si="63"/>
        <v>28</v>
      </c>
      <c r="AQ135" s="4" t="str">
        <f t="shared" si="64"/>
        <v>-</v>
      </c>
      <c r="AR135" s="4">
        <f t="shared" si="65"/>
        <v>30</v>
      </c>
      <c r="AS135" s="4">
        <f t="shared" si="66"/>
        <v>3</v>
      </c>
      <c r="AT135" s="4">
        <f t="shared" si="67"/>
        <v>35</v>
      </c>
      <c r="AU135" s="4">
        <f t="shared" si="68"/>
        <v>7</v>
      </c>
      <c r="AV135" s="4">
        <f t="shared" si="69"/>
        <v>26</v>
      </c>
      <c r="AW135" s="4">
        <f t="shared" si="70"/>
        <v>2</v>
      </c>
      <c r="AX135" s="4">
        <f t="shared" si="71"/>
        <v>42</v>
      </c>
      <c r="AY135" s="4">
        <f t="shared" si="72"/>
        <v>31</v>
      </c>
      <c r="AZ135" s="4">
        <f t="shared" si="73"/>
        <v>28</v>
      </c>
      <c r="BA135" s="4">
        <f t="shared" si="74"/>
        <v>17</v>
      </c>
    </row>
    <row r="136" spans="1:53" x14ac:dyDescent="0.2">
      <c r="A136" s="1" t="str">
        <f>'SegEnds_NonXtal_Prot#'!A107</f>
        <v>fpr2_human</v>
      </c>
      <c r="B136" s="1" t="str">
        <f t="shared" si="50"/>
        <v>RILPLVVLGVTFVLGVLGNGLVIWVAGFRTVTTICYLNLALADFSFTATLPFLIVSMAMGGWFLCKLIHIVVDINLFGSVFLIGFIALDRCICVLHTVSLAMKVIVGPWILALVLTLPVFLFLERLKVAITMLTARGIIRFVIGFSLPMSIVAICYGLIAAKIHKKSSRPLRVLTAVVASFFICWFPFQLVALLGTVWFYGKYKIIDILVNPTSSLAFFNSCLNPMLYVFVGQDFRERLIHSLPTSLER</v>
      </c>
      <c r="C136" s="29" t="str">
        <f>IF(ISERROR(MATCH(A136,'SegEnds_Xtal_Prot#'!B:B, 0)), "NoXtal", "Xtal")</f>
        <v>NoXtal</v>
      </c>
      <c r="D136" s="4" t="str">
        <f>VLOOKUP(A136,Classification!A:D,2,FALSE)</f>
        <v>A</v>
      </c>
      <c r="E136" s="5" t="str">
        <f>VLOOKUP(A136,Seqs!A:B,2,FALSE)</f>
        <v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v>
      </c>
      <c r="F136" s="5" t="str">
        <f t="shared" si="51"/>
        <v>RILPLVVLGVTFVLGVLGNGLVIWVAGFR</v>
      </c>
      <c r="G136" s="4" t="str">
        <f t="shared" si="52"/>
        <v/>
      </c>
      <c r="H136" s="4" t="str">
        <f t="shared" si="53"/>
        <v>TVTTICYLNLALADFSFTATLPFLIVSMAMG</v>
      </c>
      <c r="I136" s="4" t="str">
        <f t="shared" si="54"/>
        <v>KWPF</v>
      </c>
      <c r="J136" s="4" t="str">
        <f t="shared" si="55"/>
        <v>GWFLCKLIHIVVDINLFGSVFLIGFIALDRCICVLH</v>
      </c>
      <c r="K136" s="4" t="str">
        <f t="shared" si="56"/>
        <v>PVWAQNHR</v>
      </c>
      <c r="L136" s="4" t="str">
        <f t="shared" si="57"/>
        <v>TVSLAMKVIVGPWILALVLTLPVFLFL</v>
      </c>
      <c r="M136" s="4" t="str">
        <f t="shared" si="58"/>
        <v>CTF</v>
      </c>
      <c r="N136" s="4" t="str">
        <f t="shared" si="59"/>
        <v>ERLKVAITMLTARGIIRFVIGFSLPMSIVAICYGLIAAKIHKK</v>
      </c>
      <c r="O136" s="4" t="str">
        <f t="shared" si="60"/>
        <v>SSRPLRVLTAVVASFFICWFPFQLVALLGTVW</v>
      </c>
      <c r="P136" s="4" t="str">
        <f t="shared" si="61"/>
        <v>FYGKYKIIDILVNPTSSLAFFNSCLNPMLYVFV</v>
      </c>
      <c r="Q136" s="4" t="str">
        <f t="shared" si="62"/>
        <v>GQDFRERLIHSLPTSLER</v>
      </c>
      <c r="R136" s="5">
        <f>VLOOKUP($A136,'SegEnds_NonXtal_Prot#'!$A:$AL,3,FALSE)</f>
        <v>26</v>
      </c>
      <c r="S136" s="5" t="str">
        <f>VLOOKUP($A136,'SegEnds_NonXtal_Prot#'!$A:$AL,6,FALSE)</f>
        <v>-</v>
      </c>
      <c r="T136" s="5">
        <f>VLOOKUP($A136,'SegEnds_NonXtal_Prot#'!$A:$AL,9,FALSE)</f>
        <v>58</v>
      </c>
      <c r="U136" s="5">
        <f>VLOOKUP($A136,'SegEnds_NonXtal_Prot#'!$A:$AL,12,FALSE)</f>
        <v>90</v>
      </c>
      <c r="V136" s="5">
        <f>VLOOKUP($A136,'SegEnds_NonXtal_Prot#'!$A:$AL,15,FALSE)</f>
        <v>94</v>
      </c>
      <c r="W136" s="5">
        <f>VLOOKUP($A136,'SegEnds_NonXtal_Prot#'!$A:$AL,18,FALSE)</f>
        <v>130</v>
      </c>
      <c r="X136" s="5">
        <f>VLOOKUP($A136,'SegEnds_NonXtal_Prot#'!$A:$AL,21,FALSE)</f>
        <v>138</v>
      </c>
      <c r="Y136" s="5">
        <f>VLOOKUP($A136,'SegEnds_NonXtal_Prot#'!$A:$AL,24,FALSE)</f>
        <v>176</v>
      </c>
      <c r="Z136" s="5">
        <f>VLOOKUP($A136,'SegEnds_NonXtal_Prot#'!$A:$AL,27,FALSE)</f>
        <v>189</v>
      </c>
      <c r="AA136" s="5">
        <f>VLOOKUP($A136,'SegEnds_NonXtal_Prot#'!$A:$AL,30,FALSE)</f>
        <v>236</v>
      </c>
      <c r="AB136" s="5">
        <f>VLOOKUP($A136,'SegEnds_NonXtal_Prot#'!$A:$AL,33,FALSE)</f>
        <v>273</v>
      </c>
      <c r="AC136" s="5">
        <f>VLOOKUP($A136,'SegEnds_NonXtal_Prot#'!$A:$AL,36,FALSE)</f>
        <v>306</v>
      </c>
      <c r="AD136" s="5">
        <f>VLOOKUP($A136,'SegEnds_NonXtal_Prot#'!$A:$AL,5,FALSE)</f>
        <v>54</v>
      </c>
      <c r="AE136" s="5" t="str">
        <f>VLOOKUP($A136,'SegEnds_NonXtal_Prot#'!$A:$AL,8,FALSE)</f>
        <v>-</v>
      </c>
      <c r="AF136" s="5">
        <f>VLOOKUP($A136,'SegEnds_NonXtal_Prot#'!$A:$AL,11,FALSE)</f>
        <v>88</v>
      </c>
      <c r="AG136" s="5">
        <f>VLOOKUP($A136,'SegEnds_NonXtal_Prot#'!$A:$AL,14,FALSE)</f>
        <v>93</v>
      </c>
      <c r="AH136" s="5">
        <f>VLOOKUP($A136,'SegEnds_NonXtal_Prot#'!$A:$AL,17,FALSE)</f>
        <v>129</v>
      </c>
      <c r="AI136" s="5">
        <f>VLOOKUP($A136,'SegEnds_NonXtal_Prot#'!$A:$AL,20,FALSE)</f>
        <v>137</v>
      </c>
      <c r="AJ136" s="5">
        <f>VLOOKUP($A136,'SegEnds_NonXtal_Prot#'!$A:$AL,23,FALSE)</f>
        <v>164</v>
      </c>
      <c r="AK136" s="5">
        <f>VLOOKUP($A136,'SegEnds_NonXtal_Prot#'!$A:$AL,26,FALSE)</f>
        <v>178</v>
      </c>
      <c r="AL136" s="5">
        <f>VLOOKUP($A136,'SegEnds_NonXtal_Prot#'!$A:$AL,29,FALSE)</f>
        <v>231</v>
      </c>
      <c r="AM136" s="5">
        <f>VLOOKUP($A136,'SegEnds_NonXtal_Prot#'!$A:$AL,32,FALSE)</f>
        <v>267</v>
      </c>
      <c r="AN136" s="5">
        <f>VLOOKUP($A136,'SegEnds_NonXtal_Prot#'!$A:$AL,35,FALSE)</f>
        <v>305</v>
      </c>
      <c r="AO136" s="5">
        <f>VLOOKUP($A136,'SegEnds_NonXtal_Prot#'!$A:$AL,38,FALSE)</f>
        <v>323</v>
      </c>
      <c r="AP136" s="5">
        <f t="shared" si="63"/>
        <v>28</v>
      </c>
      <c r="AQ136" s="4" t="str">
        <f t="shared" si="64"/>
        <v>-</v>
      </c>
      <c r="AR136" s="4">
        <f t="shared" si="65"/>
        <v>30</v>
      </c>
      <c r="AS136" s="4">
        <f t="shared" si="66"/>
        <v>3</v>
      </c>
      <c r="AT136" s="4">
        <f t="shared" si="67"/>
        <v>35</v>
      </c>
      <c r="AU136" s="4">
        <f t="shared" si="68"/>
        <v>7</v>
      </c>
      <c r="AV136" s="4">
        <f t="shared" si="69"/>
        <v>26</v>
      </c>
      <c r="AW136" s="4">
        <f t="shared" si="70"/>
        <v>2</v>
      </c>
      <c r="AX136" s="4">
        <f t="shared" si="71"/>
        <v>42</v>
      </c>
      <c r="AY136" s="4">
        <f t="shared" si="72"/>
        <v>31</v>
      </c>
      <c r="AZ136" s="4">
        <f t="shared" si="73"/>
        <v>32</v>
      </c>
      <c r="BA136" s="4">
        <f t="shared" si="74"/>
        <v>17</v>
      </c>
    </row>
    <row r="137" spans="1:53" x14ac:dyDescent="0.2">
      <c r="A137" s="1" t="str">
        <f>'SegEnds_NonXtal_Prot#'!A108</f>
        <v>fpr3_human</v>
      </c>
      <c r="B137" s="1" t="str">
        <f t="shared" si="50"/>
        <v>WIFSLLVHGVTFVFGVLGNGLVIWVAGFRTVNTICYLNLALADFSFSAILPFRMVSVAMRGSFLCKLVHVMIDINLFVSVYLITIIALDRCICVLHTMSLAKRVMTGLWIFTIVLTLPNFIFWERLNVFITMAKVFLILHFIIGFSVPMSIITVCYGIIAAKIHRNSSRPLRVFAAVVASFFICWFPYELIGILMAVWLNGKYKIILVLINPTSSLAFFNSCLNPILYVFMGRNFQERLIRSLPTSLER</v>
      </c>
      <c r="C137" s="29" t="str">
        <f>IF(ISERROR(MATCH(A137,'SegEnds_Xtal_Prot#'!B:B, 0)), "NoXtal", "Xtal")</f>
        <v>NoXtal</v>
      </c>
      <c r="D137" s="4" t="str">
        <f>VLOOKUP(A137,Classification!A:D,2,FALSE)</f>
        <v>A</v>
      </c>
      <c r="E137" s="5" t="str">
        <f>VLOOKUP(A137,Seqs!A:B,2,FALSE)</f>
        <v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v>
      </c>
      <c r="F137" s="5" t="str">
        <f t="shared" si="51"/>
        <v>WIFSLLVHGVTFVFGVLGNGLVIWVAGFR</v>
      </c>
      <c r="G137" s="4" t="str">
        <f t="shared" si="52"/>
        <v/>
      </c>
      <c r="H137" s="4" t="str">
        <f t="shared" si="53"/>
        <v>TVNTICYLNLALADFSFSAILPFRMVSVAMR</v>
      </c>
      <c r="I137" s="4" t="str">
        <f t="shared" si="54"/>
        <v>KWPF</v>
      </c>
      <c r="J137" s="4" t="str">
        <f t="shared" si="55"/>
        <v>GSFLCKLVHVMIDINLFVSVYLITIIALDRCICVLH</v>
      </c>
      <c r="K137" s="4" t="str">
        <f t="shared" si="56"/>
        <v>PAWAQNHR</v>
      </c>
      <c r="L137" s="4" t="str">
        <f t="shared" si="57"/>
        <v>TMSLAKRVMTGLWIFTIVLTLPNFIFW</v>
      </c>
      <c r="M137" s="4" t="str">
        <f t="shared" si="58"/>
        <v>CIF</v>
      </c>
      <c r="N137" s="4" t="str">
        <f t="shared" si="59"/>
        <v>ERLNVFITMAKVFLILHFIIGFSVPMSIITVCYGIIAAKIHRN</v>
      </c>
      <c r="O137" s="4" t="str">
        <f t="shared" si="60"/>
        <v>SSRPLRVFAAVVASFFICWFPYELIGILMAVW</v>
      </c>
      <c r="P137" s="4" t="str">
        <f t="shared" si="61"/>
        <v>LNGKYKIILVLINPTSSLAFFNSCLNPILYVFM</v>
      </c>
      <c r="Q137" s="4" t="str">
        <f t="shared" si="62"/>
        <v>GRNFQERLIRSLPTSLER</v>
      </c>
      <c r="R137" s="5">
        <f>VLOOKUP($A137,'SegEnds_NonXtal_Prot#'!$A:$AL,3,FALSE)</f>
        <v>26</v>
      </c>
      <c r="S137" s="5" t="str">
        <f>VLOOKUP($A137,'SegEnds_NonXtal_Prot#'!$A:$AL,6,FALSE)</f>
        <v>-</v>
      </c>
      <c r="T137" s="5">
        <f>VLOOKUP($A137,'SegEnds_NonXtal_Prot#'!$A:$AL,9,FALSE)</f>
        <v>58</v>
      </c>
      <c r="U137" s="5">
        <f>VLOOKUP($A137,'SegEnds_NonXtal_Prot#'!$A:$AL,12,FALSE)</f>
        <v>90</v>
      </c>
      <c r="V137" s="5">
        <f>VLOOKUP($A137,'SegEnds_NonXtal_Prot#'!$A:$AL,15,FALSE)</f>
        <v>94</v>
      </c>
      <c r="W137" s="5">
        <f>VLOOKUP($A137,'SegEnds_NonXtal_Prot#'!$A:$AL,18,FALSE)</f>
        <v>130</v>
      </c>
      <c r="X137" s="5">
        <f>VLOOKUP($A137,'SegEnds_NonXtal_Prot#'!$A:$AL,21,FALSE)</f>
        <v>138</v>
      </c>
      <c r="Y137" s="5">
        <f>VLOOKUP($A137,'SegEnds_NonXtal_Prot#'!$A:$AL,24,FALSE)</f>
        <v>176</v>
      </c>
      <c r="Z137" s="5">
        <f>VLOOKUP($A137,'SegEnds_NonXtal_Prot#'!$A:$AL,27,FALSE)</f>
        <v>189</v>
      </c>
      <c r="AA137" s="5">
        <f>VLOOKUP($A137,'SegEnds_NonXtal_Prot#'!$A:$AL,30,FALSE)</f>
        <v>236</v>
      </c>
      <c r="AB137" s="5">
        <f>VLOOKUP($A137,'SegEnds_NonXtal_Prot#'!$A:$AL,33,FALSE)</f>
        <v>273</v>
      </c>
      <c r="AC137" s="5">
        <f>VLOOKUP($A137,'SegEnds_NonXtal_Prot#'!$A:$AL,36,FALSE)</f>
        <v>306</v>
      </c>
      <c r="AD137" s="5">
        <f>VLOOKUP($A137,'SegEnds_NonXtal_Prot#'!$A:$AL,5,FALSE)</f>
        <v>54</v>
      </c>
      <c r="AE137" s="5" t="str">
        <f>VLOOKUP($A137,'SegEnds_NonXtal_Prot#'!$A:$AL,8,FALSE)</f>
        <v>-</v>
      </c>
      <c r="AF137" s="5">
        <f>VLOOKUP($A137,'SegEnds_NonXtal_Prot#'!$A:$AL,11,FALSE)</f>
        <v>88</v>
      </c>
      <c r="AG137" s="5">
        <f>VLOOKUP($A137,'SegEnds_NonXtal_Prot#'!$A:$AL,14,FALSE)</f>
        <v>93</v>
      </c>
      <c r="AH137" s="5">
        <f>VLOOKUP($A137,'SegEnds_NonXtal_Prot#'!$A:$AL,17,FALSE)</f>
        <v>129</v>
      </c>
      <c r="AI137" s="5">
        <f>VLOOKUP($A137,'SegEnds_NonXtal_Prot#'!$A:$AL,20,FALSE)</f>
        <v>137</v>
      </c>
      <c r="AJ137" s="5">
        <f>VLOOKUP($A137,'SegEnds_NonXtal_Prot#'!$A:$AL,23,FALSE)</f>
        <v>164</v>
      </c>
      <c r="AK137" s="5">
        <f>VLOOKUP($A137,'SegEnds_NonXtal_Prot#'!$A:$AL,26,FALSE)</f>
        <v>178</v>
      </c>
      <c r="AL137" s="5">
        <f>VLOOKUP($A137,'SegEnds_NonXtal_Prot#'!$A:$AL,29,FALSE)</f>
        <v>231</v>
      </c>
      <c r="AM137" s="5">
        <f>VLOOKUP($A137,'SegEnds_NonXtal_Prot#'!$A:$AL,32,FALSE)</f>
        <v>267</v>
      </c>
      <c r="AN137" s="5">
        <f>VLOOKUP($A137,'SegEnds_NonXtal_Prot#'!$A:$AL,35,FALSE)</f>
        <v>305</v>
      </c>
      <c r="AO137" s="5">
        <f>VLOOKUP($A137,'SegEnds_NonXtal_Prot#'!$A:$AL,38,FALSE)</f>
        <v>323</v>
      </c>
      <c r="AP137" s="5">
        <f t="shared" si="63"/>
        <v>28</v>
      </c>
      <c r="AQ137" s="4" t="str">
        <f t="shared" si="64"/>
        <v>-</v>
      </c>
      <c r="AR137" s="4">
        <f t="shared" si="65"/>
        <v>30</v>
      </c>
      <c r="AS137" s="4">
        <f t="shared" si="66"/>
        <v>3</v>
      </c>
      <c r="AT137" s="4">
        <f t="shared" si="67"/>
        <v>35</v>
      </c>
      <c r="AU137" s="4">
        <f t="shared" si="68"/>
        <v>7</v>
      </c>
      <c r="AV137" s="4">
        <f t="shared" si="69"/>
        <v>26</v>
      </c>
      <c r="AW137" s="4">
        <f t="shared" si="70"/>
        <v>2</v>
      </c>
      <c r="AX137" s="4">
        <f t="shared" si="71"/>
        <v>42</v>
      </c>
      <c r="AY137" s="4">
        <f t="shared" si="72"/>
        <v>31</v>
      </c>
      <c r="AZ137" s="4">
        <f t="shared" si="73"/>
        <v>32</v>
      </c>
      <c r="BA137" s="4">
        <f t="shared" si="74"/>
        <v>17</v>
      </c>
    </row>
    <row r="138" spans="1:53" x14ac:dyDescent="0.2">
      <c r="A138" s="1" t="str">
        <f>'SegEnds_NonXtal_Prot#'!A109</f>
        <v>fshr_human</v>
      </c>
      <c r="B138" s="1" t="str">
        <f t="shared" si="50"/>
        <v>EDIMGYNILRVLIWFISILAITGNIIVLVILTTSVPRFLMCNLAFADLCIGIYLLLIASVDIHTGAGCDAAGFFTVFASELSVYTLTAITLERWHTITHQLRHAASVMVMGWIFAFAAALFPIFGPLSQLYVMSLLVLNVLAFVVICGCYIHIYLTVRNSSSSDTRIAKRMAMLIFTDFLCMAPISFFAISASLKVSKAKILLVLFHPINSCANPFLYAIFTKNFRRDFFILLSKCGCYEMQAQ</v>
      </c>
      <c r="C138" s="29" t="str">
        <f>IF(ISERROR(MATCH(A138,'SegEnds_Xtal_Prot#'!B:B, 0)), "NoXtal", "Xtal")</f>
        <v>NoXtal</v>
      </c>
      <c r="D138" s="4" t="str">
        <f>VLOOKUP(A138,Classification!A:D,2,FALSE)</f>
        <v>A</v>
      </c>
      <c r="E138" s="5" t="str">
        <f>VLOOKUP(A138,Seqs!A:B,2,FALSE)</f>
        <v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v>
      </c>
      <c r="F138" s="5" t="str">
        <f t="shared" si="51"/>
        <v>EDIMGYNILRVLIWFISILAITGNIIVLVILTTS</v>
      </c>
      <c r="G138" s="4" t="str">
        <f t="shared" si="52"/>
        <v>YKLT</v>
      </c>
      <c r="H138" s="4" t="str">
        <f t="shared" si="53"/>
        <v>VPRFLMCNLAFADLCIGIYLLLIASVDIHT</v>
      </c>
      <c r="I138" s="4" t="str">
        <f t="shared" si="54"/>
        <v>DWQT</v>
      </c>
      <c r="J138" s="4" t="str">
        <f t="shared" si="55"/>
        <v>GAGCDAAGFFTVFASELSVYTLTAITLERWHTITH</v>
      </c>
      <c r="K138" s="4" t="str">
        <f t="shared" si="56"/>
        <v>AMQLDCKV</v>
      </c>
      <c r="L138" s="4" t="str">
        <f t="shared" si="57"/>
        <v>QLRHAASVMVMGWIFAFAAALFPIFG</v>
      </c>
      <c r="M138" s="4" t="str">
        <f t="shared" si="58"/>
        <v>CLP</v>
      </c>
      <c r="N138" s="4" t="str">
        <f t="shared" si="59"/>
        <v>PLSQLYVMSLLVLNVLAFVVICGCYIHIYLTVRN</v>
      </c>
      <c r="O138" s="4" t="str">
        <f t="shared" si="60"/>
        <v>SSSSDTRIAKRMAMLIFTDFLCMAPISFFAISASLK</v>
      </c>
      <c r="P138" s="4" t="str">
        <f t="shared" si="61"/>
        <v>VSKAKILLVLFHPINSCANPFLYAIF</v>
      </c>
      <c r="Q138" s="4" t="str">
        <f t="shared" si="62"/>
        <v>TKNFRRDFFILLSKCGCYEMQAQ</v>
      </c>
      <c r="R138" s="5">
        <f>VLOOKUP($A138,'SegEnds_NonXtal_Prot#'!$A:$AL,3,FALSE)</f>
        <v>357</v>
      </c>
      <c r="S138" s="5">
        <f>VLOOKUP($A138,'SegEnds_NonXtal_Prot#'!$A:$AL,6,FALSE)</f>
        <v>392</v>
      </c>
      <c r="T138" s="5">
        <f>VLOOKUP($A138,'SegEnds_NonXtal_Prot#'!$A:$AL,9,FALSE)</f>
        <v>396</v>
      </c>
      <c r="U138" s="5">
        <f>VLOOKUP($A138,'SegEnds_NonXtal_Prot#'!$A:$AL,12,FALSE)</f>
        <v>435</v>
      </c>
      <c r="V138" s="5">
        <f>VLOOKUP($A138,'SegEnds_NonXtal_Prot#'!$A:$AL,15,FALSE)</f>
        <v>439</v>
      </c>
      <c r="W138" s="5">
        <f>VLOOKUP($A138,'SegEnds_NonXtal_Prot#'!$A:$AL,18,FALSE)</f>
        <v>474</v>
      </c>
      <c r="X138" s="5">
        <f>VLOOKUP($A138,'SegEnds_NonXtal_Prot#'!$A:$AL,21,FALSE)</f>
        <v>482</v>
      </c>
      <c r="Y138" s="5">
        <f>VLOOKUP($A138,'SegEnds_NonXtal_Prot#'!$A:$AL,24,FALSE)</f>
        <v>517</v>
      </c>
      <c r="Z138" s="5">
        <f>VLOOKUP($A138,'SegEnds_NonXtal_Prot#'!$A:$AL,27,FALSE)</f>
        <v>525</v>
      </c>
      <c r="AA138" s="5">
        <f>VLOOKUP($A138,'SegEnds_NonXtal_Prot#'!$A:$AL,30,FALSE)</f>
        <v>563</v>
      </c>
      <c r="AB138" s="5">
        <f>VLOOKUP($A138,'SegEnds_NonXtal_Prot#'!$A:$AL,33,FALSE)</f>
        <v>604</v>
      </c>
      <c r="AC138" s="5">
        <f>VLOOKUP($A138,'SegEnds_NonXtal_Prot#'!$A:$AL,36,FALSE)</f>
        <v>630</v>
      </c>
      <c r="AD138" s="5">
        <f>VLOOKUP($A138,'SegEnds_NonXtal_Prot#'!$A:$AL,5,FALSE)</f>
        <v>390</v>
      </c>
      <c r="AE138" s="5">
        <f>VLOOKUP($A138,'SegEnds_NonXtal_Prot#'!$A:$AL,8,FALSE)</f>
        <v>395</v>
      </c>
      <c r="AF138" s="5">
        <f>VLOOKUP($A138,'SegEnds_NonXtal_Prot#'!$A:$AL,11,FALSE)</f>
        <v>425</v>
      </c>
      <c r="AG138" s="5">
        <f>VLOOKUP($A138,'SegEnds_NonXtal_Prot#'!$A:$AL,14,FALSE)</f>
        <v>438</v>
      </c>
      <c r="AH138" s="5">
        <f>VLOOKUP($A138,'SegEnds_NonXtal_Prot#'!$A:$AL,17,FALSE)</f>
        <v>473</v>
      </c>
      <c r="AI138" s="5">
        <f>VLOOKUP($A138,'SegEnds_NonXtal_Prot#'!$A:$AL,20,FALSE)</f>
        <v>481</v>
      </c>
      <c r="AJ138" s="5">
        <f>VLOOKUP($A138,'SegEnds_NonXtal_Prot#'!$A:$AL,23,FALSE)</f>
        <v>507</v>
      </c>
      <c r="AK138" s="5">
        <f>VLOOKUP($A138,'SegEnds_NonXtal_Prot#'!$A:$AL,26,FALSE)</f>
        <v>519</v>
      </c>
      <c r="AL138" s="5">
        <f>VLOOKUP($A138,'SegEnds_NonXtal_Prot#'!$A:$AL,29,FALSE)</f>
        <v>558</v>
      </c>
      <c r="AM138" s="5">
        <f>VLOOKUP($A138,'SegEnds_NonXtal_Prot#'!$A:$AL,32,FALSE)</f>
        <v>598</v>
      </c>
      <c r="AN138" s="5">
        <f>VLOOKUP($A138,'SegEnds_NonXtal_Prot#'!$A:$AL,35,FALSE)</f>
        <v>629</v>
      </c>
      <c r="AO138" s="5">
        <f>VLOOKUP($A138,'SegEnds_NonXtal_Prot#'!$A:$AL,38,FALSE)</f>
        <v>652</v>
      </c>
      <c r="AP138" s="5">
        <f t="shared" si="63"/>
        <v>33</v>
      </c>
      <c r="AQ138" s="4">
        <f t="shared" si="64"/>
        <v>3</v>
      </c>
      <c r="AR138" s="4">
        <f t="shared" si="65"/>
        <v>29</v>
      </c>
      <c r="AS138" s="4">
        <f t="shared" si="66"/>
        <v>3</v>
      </c>
      <c r="AT138" s="4">
        <f t="shared" si="67"/>
        <v>34</v>
      </c>
      <c r="AU138" s="4">
        <f t="shared" si="68"/>
        <v>7</v>
      </c>
      <c r="AV138" s="4">
        <f t="shared" si="69"/>
        <v>25</v>
      </c>
      <c r="AW138" s="4">
        <f t="shared" si="70"/>
        <v>2</v>
      </c>
      <c r="AX138" s="4">
        <f t="shared" si="71"/>
        <v>33</v>
      </c>
      <c r="AY138" s="4">
        <f t="shared" si="72"/>
        <v>35</v>
      </c>
      <c r="AZ138" s="4">
        <f t="shared" si="73"/>
        <v>25</v>
      </c>
      <c r="BA138" s="4">
        <f t="shared" si="74"/>
        <v>22</v>
      </c>
    </row>
    <row r="139" spans="1:53" x14ac:dyDescent="0.2">
      <c r="A139" s="1" t="str">
        <f>'SegEnds_NonXtal_Prot#'!A110</f>
        <v>galr1_human</v>
      </c>
      <c r="B139" s="1" t="str">
        <f t="shared" si="50"/>
        <v>VENFVTLVVFGLIFALGVLGNSLVITVLARSSTTNLFILNLSIADLAYLLFCIPFQATVYALGAFICKFIHYFFTVSMLVSIFTLAAMSVDRYVAIVHVSRNALLGVGCIWALSIAMASPVAYHQPDPRHKKAYVVCTFVFGYLLPLLLICFCYAKVLNHLHKKLKNMSKKKTAQTVLVVVVVFGISWLPHHIIHLWAEFGTPASFLFRITAHCLAYSNSSVNPIIYAFLSENFRKAYKQVFK</v>
      </c>
      <c r="C139" s="29" t="str">
        <f>IF(ISERROR(MATCH(A139,'SegEnds_Xtal_Prot#'!B:B, 0)), "NoXtal", "Xtal")</f>
        <v>NoXtal</v>
      </c>
      <c r="D139" s="4" t="str">
        <f>VLOOKUP(A139,Classification!A:D,2,FALSE)</f>
        <v>A</v>
      </c>
      <c r="E139" s="5" t="str">
        <f>VLOOKUP(A139,Seqs!A:B,2,FALSE)</f>
        <v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v>
      </c>
      <c r="F139" s="5" t="str">
        <f t="shared" si="51"/>
        <v>VENFVTLVVFGLIFALGVLGNSLVITVLARS</v>
      </c>
      <c r="G139" s="4" t="str">
        <f t="shared" si="52"/>
        <v/>
      </c>
      <c r="H139" s="4" t="str">
        <f t="shared" si="53"/>
        <v>STTNLFILNLSIADLAYLLFCIPFQATVYAL</v>
      </c>
      <c r="I139" s="4" t="str">
        <f t="shared" si="54"/>
        <v>TWVL</v>
      </c>
      <c r="J139" s="4" t="str">
        <f t="shared" si="55"/>
        <v>GAFICKFIHYFFTVSMLVSIFTLAAMSVDRYVAIVH</v>
      </c>
      <c r="K139" s="4" t="str">
        <f t="shared" si="56"/>
        <v>SRRSSSLR</v>
      </c>
      <c r="L139" s="4" t="str">
        <f t="shared" si="57"/>
        <v>VSRNALLGVGCIWALSIAMASPVAYHQ</v>
      </c>
      <c r="M139" s="4" t="str">
        <f t="shared" si="58"/>
        <v>CWE</v>
      </c>
      <c r="N139" s="4" t="str">
        <f t="shared" si="59"/>
        <v>PDPRHKKAYVVCTFVFGYLLPLLLICFCYAKVLNHLHKKLKNM</v>
      </c>
      <c r="O139" s="4" t="str">
        <f t="shared" si="60"/>
        <v>SKKKTAQTVLVVVVVFGISWLPHHIIHLWAEFG</v>
      </c>
      <c r="P139" s="4" t="str">
        <f t="shared" si="61"/>
        <v>TPASFLFRITAHCLAYSNSSVNPIIYAFL</v>
      </c>
      <c r="Q139" s="4" t="str">
        <f t="shared" si="62"/>
        <v>SENFRKAYKQVFK</v>
      </c>
      <c r="R139" s="5">
        <f>VLOOKUP($A139,'SegEnds_NonXtal_Prot#'!$A:$AL,3,FALSE)</f>
        <v>31</v>
      </c>
      <c r="S139" s="5" t="str">
        <f>VLOOKUP($A139,'SegEnds_NonXtal_Prot#'!$A:$AL,6,FALSE)</f>
        <v>-</v>
      </c>
      <c r="T139" s="5">
        <f>VLOOKUP($A139,'SegEnds_NonXtal_Prot#'!$A:$AL,9,FALSE)</f>
        <v>68</v>
      </c>
      <c r="U139" s="5">
        <f>VLOOKUP($A139,'SegEnds_NonXtal_Prot#'!$A:$AL,12,FALSE)</f>
        <v>100</v>
      </c>
      <c r="V139" s="5">
        <f>VLOOKUP($A139,'SegEnds_NonXtal_Prot#'!$A:$AL,15,FALSE)</f>
        <v>104</v>
      </c>
      <c r="W139" s="5">
        <f>VLOOKUP($A139,'SegEnds_NonXtal_Prot#'!$A:$AL,18,FALSE)</f>
        <v>140</v>
      </c>
      <c r="X139" s="5">
        <f>VLOOKUP($A139,'SegEnds_NonXtal_Prot#'!$A:$AL,21,FALSE)</f>
        <v>148</v>
      </c>
      <c r="Y139" s="5">
        <f>VLOOKUP($A139,'SegEnds_NonXtal_Prot#'!$A:$AL,24,FALSE)</f>
        <v>187</v>
      </c>
      <c r="Z139" s="5">
        <f>VLOOKUP($A139,'SegEnds_NonXtal_Prot#'!$A:$AL,27,FALSE)</f>
        <v>192</v>
      </c>
      <c r="AA139" s="5">
        <f>VLOOKUP($A139,'SegEnds_NonXtal_Prot#'!$A:$AL,30,FALSE)</f>
        <v>241</v>
      </c>
      <c r="AB139" s="5">
        <f>VLOOKUP($A139,'SegEnds_NonXtal_Prot#'!$A:$AL,33,FALSE)</f>
        <v>278</v>
      </c>
      <c r="AC139" s="5">
        <f>VLOOKUP($A139,'SegEnds_NonXtal_Prot#'!$A:$AL,36,FALSE)</f>
        <v>307</v>
      </c>
      <c r="AD139" s="5">
        <f>VLOOKUP($A139,'SegEnds_NonXtal_Prot#'!$A:$AL,5,FALSE)</f>
        <v>61</v>
      </c>
      <c r="AE139" s="5" t="str">
        <f>VLOOKUP($A139,'SegEnds_NonXtal_Prot#'!$A:$AL,8,FALSE)</f>
        <v>-</v>
      </c>
      <c r="AF139" s="5">
        <f>VLOOKUP($A139,'SegEnds_NonXtal_Prot#'!$A:$AL,11,FALSE)</f>
        <v>98</v>
      </c>
      <c r="AG139" s="5">
        <f>VLOOKUP($A139,'SegEnds_NonXtal_Prot#'!$A:$AL,14,FALSE)</f>
        <v>103</v>
      </c>
      <c r="AH139" s="5">
        <f>VLOOKUP($A139,'SegEnds_NonXtal_Prot#'!$A:$AL,17,FALSE)</f>
        <v>139</v>
      </c>
      <c r="AI139" s="5">
        <f>VLOOKUP($A139,'SegEnds_NonXtal_Prot#'!$A:$AL,20,FALSE)</f>
        <v>147</v>
      </c>
      <c r="AJ139" s="5">
        <f>VLOOKUP($A139,'SegEnds_NonXtal_Prot#'!$A:$AL,23,FALSE)</f>
        <v>174</v>
      </c>
      <c r="AK139" s="5">
        <f>VLOOKUP($A139,'SegEnds_NonXtal_Prot#'!$A:$AL,26,FALSE)</f>
        <v>189</v>
      </c>
      <c r="AL139" s="5">
        <f>VLOOKUP($A139,'SegEnds_NonXtal_Prot#'!$A:$AL,29,FALSE)</f>
        <v>234</v>
      </c>
      <c r="AM139" s="5">
        <f>VLOOKUP($A139,'SegEnds_NonXtal_Prot#'!$A:$AL,32,FALSE)</f>
        <v>273</v>
      </c>
      <c r="AN139" s="5">
        <f>VLOOKUP($A139,'SegEnds_NonXtal_Prot#'!$A:$AL,35,FALSE)</f>
        <v>306</v>
      </c>
      <c r="AO139" s="5">
        <f>VLOOKUP($A139,'SegEnds_NonXtal_Prot#'!$A:$AL,38,FALSE)</f>
        <v>319</v>
      </c>
      <c r="AP139" s="5">
        <f t="shared" si="63"/>
        <v>30</v>
      </c>
      <c r="AQ139" s="4" t="str">
        <f t="shared" si="64"/>
        <v>-</v>
      </c>
      <c r="AR139" s="4">
        <f t="shared" si="65"/>
        <v>30</v>
      </c>
      <c r="AS139" s="4">
        <f t="shared" si="66"/>
        <v>3</v>
      </c>
      <c r="AT139" s="4">
        <f t="shared" si="67"/>
        <v>35</v>
      </c>
      <c r="AU139" s="4">
        <f t="shared" si="68"/>
        <v>7</v>
      </c>
      <c r="AV139" s="4">
        <f t="shared" si="69"/>
        <v>26</v>
      </c>
      <c r="AW139" s="4">
        <f t="shared" si="70"/>
        <v>2</v>
      </c>
      <c r="AX139" s="4">
        <f t="shared" si="71"/>
        <v>42</v>
      </c>
      <c r="AY139" s="4">
        <f t="shared" si="72"/>
        <v>32</v>
      </c>
      <c r="AZ139" s="4">
        <f t="shared" si="73"/>
        <v>28</v>
      </c>
      <c r="BA139" s="4">
        <f t="shared" si="74"/>
        <v>12</v>
      </c>
    </row>
    <row r="140" spans="1:53" x14ac:dyDescent="0.2">
      <c r="A140" s="1" t="str">
        <f>'SegEnds_NonXtal_Prot#'!A111</f>
        <v>galr2_human</v>
      </c>
      <c r="B140" s="1" t="str">
        <f t="shared" si="50"/>
        <v>PEAVIVPLLFALIFLVGTVGNTLVLAVLLRGSTTNLFILNLGVADLCFILCCVPFQATIYTLGSLLCKAVHFLIFLTMHASSFTLAAVSLDRYLAIRYTPRNALAAIGLIWGLSLLFSGPYLSYYWSAPRRRAMDICTFVFSYLLPVLVLGLTYARTLRYLWRAVDPVSGARRAKRKVTRMILIVAALFCLCWMPHHALILCVWFGTRATYALRILSHLVSYANSCVNPIVYALVSKHFRKGFRTICA</v>
      </c>
      <c r="C140" s="29" t="str">
        <f>IF(ISERROR(MATCH(A140,'SegEnds_Xtal_Prot#'!B:B, 0)), "NoXtal", "Xtal")</f>
        <v>NoXtal</v>
      </c>
      <c r="D140" s="4" t="str">
        <f>VLOOKUP(A140,Classification!A:D,2,FALSE)</f>
        <v>A</v>
      </c>
      <c r="E140" s="5" t="str">
        <f>VLOOKUP(A140,Seqs!A:B,2,FALSE)</f>
        <v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v>
      </c>
      <c r="F140" s="5" t="str">
        <f t="shared" si="51"/>
        <v>PEAVIVPLLFALIFLVGTVGNTLVLAVLLRG</v>
      </c>
      <c r="G140" s="4" t="str">
        <f t="shared" si="52"/>
        <v>GQAV</v>
      </c>
      <c r="H140" s="4" t="str">
        <f t="shared" si="53"/>
        <v>STTNLFILNLGVADLCFILCCVPFQATIYTL</v>
      </c>
      <c r="I140" s="4" t="str">
        <f t="shared" si="54"/>
        <v>GWVF</v>
      </c>
      <c r="J140" s="4" t="str">
        <f t="shared" si="55"/>
        <v>GSLLCKAVHFLIFLTMHASSFTLAAVSLDRYLAIRY</v>
      </c>
      <c r="K140" s="4" t="str">
        <f t="shared" si="56"/>
        <v>PLHSRELR</v>
      </c>
      <c r="L140" s="4" t="str">
        <f t="shared" si="57"/>
        <v>TPRNALAAIGLIWGLSLLFSGPYLSYY</v>
      </c>
      <c r="M140" s="4" t="str">
        <f t="shared" si="58"/>
        <v>CHP</v>
      </c>
      <c r="N140" s="4" t="str">
        <f t="shared" si="59"/>
        <v>WSAPRRRAMDICTFVFSYLLPVLVLGLTYARTLRYLWRAVDPV</v>
      </c>
      <c r="O140" s="4" t="str">
        <f t="shared" si="60"/>
        <v>SGARRAKRKVTRMILIVAALFCLCWMPHHALILCVWFG</v>
      </c>
      <c r="P140" s="4" t="str">
        <f t="shared" si="61"/>
        <v>TRATYALRILSHLVSYANSCVNPIVYALV</v>
      </c>
      <c r="Q140" s="4" t="str">
        <f t="shared" si="62"/>
        <v>SKHFRKGFRTICA</v>
      </c>
      <c r="R140" s="5">
        <f>VLOOKUP($A140,'SegEnds_NonXtal_Prot#'!$A:$AL,3,FALSE)</f>
        <v>23</v>
      </c>
      <c r="S140" s="5">
        <f>VLOOKUP($A140,'SegEnds_NonXtal_Prot#'!$A:$AL,6,FALSE)</f>
        <v>54</v>
      </c>
      <c r="T140" s="5">
        <f>VLOOKUP($A140,'SegEnds_NonXtal_Prot#'!$A:$AL,9,FALSE)</f>
        <v>58</v>
      </c>
      <c r="U140" s="5">
        <f>VLOOKUP($A140,'SegEnds_NonXtal_Prot#'!$A:$AL,12,FALSE)</f>
        <v>90</v>
      </c>
      <c r="V140" s="5">
        <f>VLOOKUP($A140,'SegEnds_NonXtal_Prot#'!$A:$AL,15,FALSE)</f>
        <v>94</v>
      </c>
      <c r="W140" s="5">
        <f>VLOOKUP($A140,'SegEnds_NonXtal_Prot#'!$A:$AL,18,FALSE)</f>
        <v>130</v>
      </c>
      <c r="X140" s="5">
        <f>VLOOKUP($A140,'SegEnds_NonXtal_Prot#'!$A:$AL,21,FALSE)</f>
        <v>138</v>
      </c>
      <c r="Y140" s="5">
        <f>VLOOKUP($A140,'SegEnds_NonXtal_Prot#'!$A:$AL,24,FALSE)</f>
        <v>175</v>
      </c>
      <c r="Z140" s="5">
        <f>VLOOKUP($A140,'SegEnds_NonXtal_Prot#'!$A:$AL,27,FALSE)</f>
        <v>179</v>
      </c>
      <c r="AA140" s="5">
        <f>VLOOKUP($A140,'SegEnds_NonXtal_Prot#'!$A:$AL,30,FALSE)</f>
        <v>225</v>
      </c>
      <c r="AB140" s="5">
        <f>VLOOKUP($A140,'SegEnds_NonXtal_Prot#'!$A:$AL,33,FALSE)</f>
        <v>267</v>
      </c>
      <c r="AC140" s="5">
        <f>VLOOKUP($A140,'SegEnds_NonXtal_Prot#'!$A:$AL,36,FALSE)</f>
        <v>296</v>
      </c>
      <c r="AD140" s="5">
        <f>VLOOKUP($A140,'SegEnds_NonXtal_Prot#'!$A:$AL,5,FALSE)</f>
        <v>53</v>
      </c>
      <c r="AE140" s="5">
        <f>VLOOKUP($A140,'SegEnds_NonXtal_Prot#'!$A:$AL,8,FALSE)</f>
        <v>57</v>
      </c>
      <c r="AF140" s="5">
        <f>VLOOKUP($A140,'SegEnds_NonXtal_Prot#'!$A:$AL,11,FALSE)</f>
        <v>88</v>
      </c>
      <c r="AG140" s="5">
        <f>VLOOKUP($A140,'SegEnds_NonXtal_Prot#'!$A:$AL,14,FALSE)</f>
        <v>93</v>
      </c>
      <c r="AH140" s="5">
        <f>VLOOKUP($A140,'SegEnds_NonXtal_Prot#'!$A:$AL,17,FALSE)</f>
        <v>129</v>
      </c>
      <c r="AI140" s="5">
        <f>VLOOKUP($A140,'SegEnds_NonXtal_Prot#'!$A:$AL,20,FALSE)</f>
        <v>137</v>
      </c>
      <c r="AJ140" s="5">
        <f>VLOOKUP($A140,'SegEnds_NonXtal_Prot#'!$A:$AL,23,FALSE)</f>
        <v>164</v>
      </c>
      <c r="AK140" s="5">
        <f>VLOOKUP($A140,'SegEnds_NonXtal_Prot#'!$A:$AL,26,FALSE)</f>
        <v>177</v>
      </c>
      <c r="AL140" s="5">
        <f>VLOOKUP($A140,'SegEnds_NonXtal_Prot#'!$A:$AL,29,FALSE)</f>
        <v>221</v>
      </c>
      <c r="AM140" s="5">
        <f>VLOOKUP($A140,'SegEnds_NonXtal_Prot#'!$A:$AL,32,FALSE)</f>
        <v>262</v>
      </c>
      <c r="AN140" s="5">
        <f>VLOOKUP($A140,'SegEnds_NonXtal_Prot#'!$A:$AL,35,FALSE)</f>
        <v>295</v>
      </c>
      <c r="AO140" s="5">
        <f>VLOOKUP($A140,'SegEnds_NonXtal_Prot#'!$A:$AL,38,FALSE)</f>
        <v>308</v>
      </c>
      <c r="AP140" s="5">
        <f t="shared" si="63"/>
        <v>30</v>
      </c>
      <c r="AQ140" s="4">
        <f t="shared" si="64"/>
        <v>3</v>
      </c>
      <c r="AR140" s="4">
        <f t="shared" si="65"/>
        <v>30</v>
      </c>
      <c r="AS140" s="4">
        <f t="shared" si="66"/>
        <v>3</v>
      </c>
      <c r="AT140" s="4">
        <f t="shared" si="67"/>
        <v>35</v>
      </c>
      <c r="AU140" s="4">
        <f t="shared" si="68"/>
        <v>7</v>
      </c>
      <c r="AV140" s="4">
        <f t="shared" si="69"/>
        <v>26</v>
      </c>
      <c r="AW140" s="4">
        <f t="shared" si="70"/>
        <v>2</v>
      </c>
      <c r="AX140" s="4">
        <f t="shared" si="71"/>
        <v>42</v>
      </c>
      <c r="AY140" s="4">
        <f t="shared" si="72"/>
        <v>37</v>
      </c>
      <c r="AZ140" s="4">
        <f t="shared" si="73"/>
        <v>28</v>
      </c>
      <c r="BA140" s="4">
        <f t="shared" si="74"/>
        <v>12</v>
      </c>
    </row>
    <row r="141" spans="1:53" x14ac:dyDescent="0.2">
      <c r="A141" s="1" t="str">
        <f>'SegEnds_NonXtal_Prot#'!A112</f>
        <v>galr3_human</v>
      </c>
      <c r="B141" s="1" t="str">
        <f t="shared" si="50"/>
        <v>VGAVAVPVVFALIFLLGTVGNGLVLAVLLQPQEPGSTTDLFILNLAVADLCFILCCVPFQATIYTLGALVCKAVHLLIYLTMYASSFTLAAVSVDRYLAVRHTPRNARAAVGLVWLLAALFSAPYLSYYWEDARRRALDVATFAAGYLLPVAVVSLAYGRTLRFLWAAVGPAEARRRATGRAGRAMLAVAALYALCWGPHHALILCFWYGSPATYACRLASHCLAYANSCLNPLVYALASRHFRARFRRLWP</v>
      </c>
      <c r="C141" s="29" t="str">
        <f>IF(ISERROR(MATCH(A141,'SegEnds_Xtal_Prot#'!B:B, 0)), "NoXtal", "Xtal")</f>
        <v>NoXtal</v>
      </c>
      <c r="D141" s="4" t="str">
        <f>VLOOKUP(A141,Classification!A:D,2,FALSE)</f>
        <v>A</v>
      </c>
      <c r="E141" s="5" t="str">
        <f>VLOOKUP(A141,Seqs!A:B,2,FALSE)</f>
        <v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v>
      </c>
      <c r="F141" s="5" t="str">
        <f t="shared" si="51"/>
        <v>VGAVAVPVVFALIFLLGTVGNGLVLAVLLQP</v>
      </c>
      <c r="G141" s="4" t="str">
        <f t="shared" si="52"/>
        <v>PSAW</v>
      </c>
      <c r="H141" s="4" t="str">
        <f t="shared" si="53"/>
        <v>QEPGSTTDLFILNLAVADLCFILCCVPFQATIYTL</v>
      </c>
      <c r="I141" s="4" t="str">
        <f t="shared" si="54"/>
        <v>AWLF</v>
      </c>
      <c r="J141" s="4" t="str">
        <f t="shared" si="55"/>
        <v>GALVCKAVHLLIYLTMYASSFTLAAVSVDRYLAVRH</v>
      </c>
      <c r="K141" s="4" t="str">
        <f t="shared" si="56"/>
        <v>PLRSRALR</v>
      </c>
      <c r="L141" s="4" t="str">
        <f t="shared" si="57"/>
        <v>TPRNARAAVGLVWLLAALFSAPYLSYY</v>
      </c>
      <c r="M141" s="4" t="str">
        <f t="shared" si="58"/>
        <v>CVP</v>
      </c>
      <c r="N141" s="4" t="str">
        <f t="shared" si="59"/>
        <v>WEDARRRALDVATFAAGYLLPVAVVSLAYGRTLRFLWAAVGPA</v>
      </c>
      <c r="O141" s="4" t="str">
        <f t="shared" si="60"/>
        <v>EARRRATGRAGRAMLAVAALYALCWGPHHALILCFWYG</v>
      </c>
      <c r="P141" s="4" t="str">
        <f t="shared" si="61"/>
        <v>SPATYACRLASHCLAYANSCLNPLVYALA</v>
      </c>
      <c r="Q141" s="4" t="str">
        <f t="shared" si="62"/>
        <v>SRHFRARFRRLWP</v>
      </c>
      <c r="R141" s="5">
        <f>VLOOKUP($A141,'SegEnds_NonXtal_Prot#'!$A:$AL,3,FALSE)</f>
        <v>15</v>
      </c>
      <c r="S141" s="5">
        <f>VLOOKUP($A141,'SegEnds_NonXtal_Prot#'!$A:$AL,6,FALSE)</f>
        <v>47</v>
      </c>
      <c r="T141" s="5">
        <f>VLOOKUP($A141,'SegEnds_NonXtal_Prot#'!$A:$AL,9,FALSE)</f>
        <v>51</v>
      </c>
      <c r="U141" s="5">
        <f>VLOOKUP($A141,'SegEnds_NonXtal_Prot#'!$A:$AL,12,FALSE)</f>
        <v>87</v>
      </c>
      <c r="V141" s="5">
        <f>VLOOKUP($A141,'SegEnds_NonXtal_Prot#'!$A:$AL,15,FALSE)</f>
        <v>91</v>
      </c>
      <c r="W141" s="5">
        <f>VLOOKUP($A141,'SegEnds_NonXtal_Prot#'!$A:$AL,18,FALSE)</f>
        <v>127</v>
      </c>
      <c r="X141" s="5">
        <f>VLOOKUP($A141,'SegEnds_NonXtal_Prot#'!$A:$AL,21,FALSE)</f>
        <v>135</v>
      </c>
      <c r="Y141" s="5">
        <f>VLOOKUP($A141,'SegEnds_NonXtal_Prot#'!$A:$AL,24,FALSE)</f>
        <v>172</v>
      </c>
      <c r="Z141" s="5">
        <f>VLOOKUP($A141,'SegEnds_NonXtal_Prot#'!$A:$AL,27,FALSE)</f>
        <v>176</v>
      </c>
      <c r="AA141" s="5">
        <f>VLOOKUP($A141,'SegEnds_NonXtal_Prot#'!$A:$AL,30,FALSE)</f>
        <v>224</v>
      </c>
      <c r="AB141" s="5">
        <f>VLOOKUP($A141,'SegEnds_NonXtal_Prot#'!$A:$AL,33,FALSE)</f>
        <v>266</v>
      </c>
      <c r="AC141" s="5">
        <f>VLOOKUP($A141,'SegEnds_NonXtal_Prot#'!$A:$AL,36,FALSE)</f>
        <v>295</v>
      </c>
      <c r="AD141" s="5">
        <f>VLOOKUP($A141,'SegEnds_NonXtal_Prot#'!$A:$AL,5,FALSE)</f>
        <v>45</v>
      </c>
      <c r="AE141" s="5">
        <f>VLOOKUP($A141,'SegEnds_NonXtal_Prot#'!$A:$AL,8,FALSE)</f>
        <v>50</v>
      </c>
      <c r="AF141" s="5">
        <f>VLOOKUP($A141,'SegEnds_NonXtal_Prot#'!$A:$AL,11,FALSE)</f>
        <v>85</v>
      </c>
      <c r="AG141" s="5">
        <f>VLOOKUP($A141,'SegEnds_NonXtal_Prot#'!$A:$AL,14,FALSE)</f>
        <v>90</v>
      </c>
      <c r="AH141" s="5">
        <f>VLOOKUP($A141,'SegEnds_NonXtal_Prot#'!$A:$AL,17,FALSE)</f>
        <v>126</v>
      </c>
      <c r="AI141" s="5">
        <f>VLOOKUP($A141,'SegEnds_NonXtal_Prot#'!$A:$AL,20,FALSE)</f>
        <v>134</v>
      </c>
      <c r="AJ141" s="5">
        <f>VLOOKUP($A141,'SegEnds_NonXtal_Prot#'!$A:$AL,23,FALSE)</f>
        <v>161</v>
      </c>
      <c r="AK141" s="5">
        <f>VLOOKUP($A141,'SegEnds_NonXtal_Prot#'!$A:$AL,26,FALSE)</f>
        <v>174</v>
      </c>
      <c r="AL141" s="5">
        <f>VLOOKUP($A141,'SegEnds_NonXtal_Prot#'!$A:$AL,29,FALSE)</f>
        <v>218</v>
      </c>
      <c r="AM141" s="5">
        <f>VLOOKUP($A141,'SegEnds_NonXtal_Prot#'!$A:$AL,32,FALSE)</f>
        <v>261</v>
      </c>
      <c r="AN141" s="5">
        <f>VLOOKUP($A141,'SegEnds_NonXtal_Prot#'!$A:$AL,35,FALSE)</f>
        <v>294</v>
      </c>
      <c r="AO141" s="5">
        <f>VLOOKUP($A141,'SegEnds_NonXtal_Prot#'!$A:$AL,38,FALSE)</f>
        <v>307</v>
      </c>
      <c r="AP141" s="5">
        <f t="shared" si="63"/>
        <v>30</v>
      </c>
      <c r="AQ141" s="4">
        <f t="shared" si="64"/>
        <v>3</v>
      </c>
      <c r="AR141" s="4">
        <f t="shared" si="65"/>
        <v>34</v>
      </c>
      <c r="AS141" s="4">
        <f t="shared" si="66"/>
        <v>3</v>
      </c>
      <c r="AT141" s="4">
        <f t="shared" si="67"/>
        <v>35</v>
      </c>
      <c r="AU141" s="4">
        <f t="shared" si="68"/>
        <v>7</v>
      </c>
      <c r="AV141" s="4">
        <f t="shared" si="69"/>
        <v>26</v>
      </c>
      <c r="AW141" s="4">
        <f t="shared" si="70"/>
        <v>2</v>
      </c>
      <c r="AX141" s="4">
        <f t="shared" si="71"/>
        <v>42</v>
      </c>
      <c r="AY141" s="4">
        <f t="shared" si="72"/>
        <v>37</v>
      </c>
      <c r="AZ141" s="4">
        <f t="shared" si="73"/>
        <v>28</v>
      </c>
      <c r="BA141" s="4">
        <f t="shared" si="74"/>
        <v>12</v>
      </c>
    </row>
    <row r="142" spans="1:53" x14ac:dyDescent="0.2">
      <c r="A142" s="1" t="str">
        <f>'SegEnds_NonXtal_Prot#'!A114</f>
        <v>ghsr_human</v>
      </c>
      <c r="B142" s="1" t="str">
        <f t="shared" si="50"/>
        <v>APLLAGVTATCVALFVVGIAGNLLTMLVVSRFTTTNLYLSSMAFSDLLIFLCMPLDLVRLWQYGDLLCKLFQFVSESCTYATVLTITALSVERYFAICFTKGRVKLVIFVIWAVAFCSAGPIFVLVRSGLLTVMVWVSSIFFFLPVFCLTVLYSLIGRKLWRRRRGDSLRDQNHKQTVKMLAVVVFAFILCWLPFHVGRYLFSKSAQISQYCNLVSFVLFYLSAAINPILYNIMSKKYRVAVFRLL</v>
      </c>
      <c r="C142" s="29" t="str">
        <f>IF(ISERROR(MATCH(A142,'SegEnds_Xtal_Prot#'!B:B, 0)), "NoXtal", "Xtal")</f>
        <v>NoXtal</v>
      </c>
      <c r="D142" s="4" t="str">
        <f>VLOOKUP(A142,Classification!A:D,2,FALSE)</f>
        <v>A</v>
      </c>
      <c r="E142" s="5" t="str">
        <f>VLOOKUP(A142,Seqs!A:B,2,FALSE)</f>
        <v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v>
      </c>
      <c r="F142" s="5" t="str">
        <f t="shared" si="51"/>
        <v>APLLAGVTATCVALFVVGIAGNLLTMLVVSRF</v>
      </c>
      <c r="G142" s="4" t="str">
        <f t="shared" si="52"/>
        <v>RELR</v>
      </c>
      <c r="H142" s="4" t="str">
        <f t="shared" si="53"/>
        <v>TTTNLYLSSMAFSDLLIFLCMPLDLVRLWQY</v>
      </c>
      <c r="I142" s="4" t="str">
        <f t="shared" si="54"/>
        <v>PWNF</v>
      </c>
      <c r="J142" s="4" t="str">
        <f t="shared" si="55"/>
        <v>GDLLCKLFQFVSESCTYATVLTITALSVERYFAICF</v>
      </c>
      <c r="K142" s="4" t="str">
        <f t="shared" si="56"/>
        <v>PLRAKVVV</v>
      </c>
      <c r="L142" s="4" t="str">
        <f t="shared" si="57"/>
        <v>TKGRVKLVIFVIWAVAFCSAGPIFVLV</v>
      </c>
      <c r="M142" s="4" t="str">
        <f t="shared" si="58"/>
        <v>CRP</v>
      </c>
      <c r="N142" s="4" t="str">
        <f t="shared" si="59"/>
        <v>RSGLLTVMVWVSSIFFFLPVFCLTVLYSLIGRKLWRRRRGD</v>
      </c>
      <c r="O142" s="4" t="str">
        <f t="shared" si="60"/>
        <v>SLRDQNHKQTVKMLAVVVFAFILCWLPFHVGRYLFSKS</v>
      </c>
      <c r="P142" s="4" t="str">
        <f t="shared" si="61"/>
        <v>AQISQYCNLVSFVLFYLSAAINPILYNIM</v>
      </c>
      <c r="Q142" s="4" t="str">
        <f t="shared" si="62"/>
        <v>SKKYRVAVFRLL</v>
      </c>
      <c r="R142" s="5">
        <f>VLOOKUP($A142,'SegEnds_NonXtal_Prot#'!$A:$AL,3,FALSE)</f>
        <v>40</v>
      </c>
      <c r="S142" s="5">
        <f>VLOOKUP($A142,'SegEnds_NonXtal_Prot#'!$A:$AL,6,FALSE)</f>
        <v>72</v>
      </c>
      <c r="T142" s="5">
        <f>VLOOKUP($A142,'SegEnds_NonXtal_Prot#'!$A:$AL,9,FALSE)</f>
        <v>76</v>
      </c>
      <c r="U142" s="5">
        <f>VLOOKUP($A142,'SegEnds_NonXtal_Prot#'!$A:$AL,12,FALSE)</f>
        <v>108</v>
      </c>
      <c r="V142" s="5">
        <f>VLOOKUP($A142,'SegEnds_NonXtal_Prot#'!$A:$AL,15,FALSE)</f>
        <v>112</v>
      </c>
      <c r="W142" s="5">
        <f>VLOOKUP($A142,'SegEnds_NonXtal_Prot#'!$A:$AL,18,FALSE)</f>
        <v>148</v>
      </c>
      <c r="X142" s="5">
        <f>VLOOKUP($A142,'SegEnds_NonXtal_Prot#'!$A:$AL,21,FALSE)</f>
        <v>156</v>
      </c>
      <c r="Y142" s="5">
        <f>VLOOKUP($A142,'SegEnds_NonXtal_Prot#'!$A:$AL,24,FALSE)</f>
        <v>198</v>
      </c>
      <c r="Z142" s="5">
        <f>VLOOKUP($A142,'SegEnds_NonXtal_Prot#'!$A:$AL,27,FALSE)</f>
        <v>206</v>
      </c>
      <c r="AA142" s="5">
        <f>VLOOKUP($A142,'SegEnds_NonXtal_Prot#'!$A:$AL,30,FALSE)</f>
        <v>252</v>
      </c>
      <c r="AB142" s="5">
        <f>VLOOKUP($A142,'SegEnds_NonXtal_Prot#'!$A:$AL,33,FALSE)</f>
        <v>298</v>
      </c>
      <c r="AC142" s="5">
        <f>VLOOKUP($A142,'SegEnds_NonXtal_Prot#'!$A:$AL,36,FALSE)</f>
        <v>327</v>
      </c>
      <c r="AD142" s="5">
        <f>VLOOKUP($A142,'SegEnds_NonXtal_Prot#'!$A:$AL,5,FALSE)</f>
        <v>71</v>
      </c>
      <c r="AE142" s="5">
        <f>VLOOKUP($A142,'SegEnds_NonXtal_Prot#'!$A:$AL,8,FALSE)</f>
        <v>75</v>
      </c>
      <c r="AF142" s="5">
        <f>VLOOKUP($A142,'SegEnds_NonXtal_Prot#'!$A:$AL,11,FALSE)</f>
        <v>106</v>
      </c>
      <c r="AG142" s="5">
        <f>VLOOKUP($A142,'SegEnds_NonXtal_Prot#'!$A:$AL,14,FALSE)</f>
        <v>111</v>
      </c>
      <c r="AH142" s="5">
        <f>VLOOKUP($A142,'SegEnds_NonXtal_Prot#'!$A:$AL,17,FALSE)</f>
        <v>147</v>
      </c>
      <c r="AI142" s="5">
        <f>VLOOKUP($A142,'SegEnds_NonXtal_Prot#'!$A:$AL,20,FALSE)</f>
        <v>155</v>
      </c>
      <c r="AJ142" s="5">
        <f>VLOOKUP($A142,'SegEnds_NonXtal_Prot#'!$A:$AL,23,FALSE)</f>
        <v>182</v>
      </c>
      <c r="AK142" s="5">
        <f>VLOOKUP($A142,'SegEnds_NonXtal_Prot#'!$A:$AL,26,FALSE)</f>
        <v>200</v>
      </c>
      <c r="AL142" s="5">
        <f>VLOOKUP($A142,'SegEnds_NonXtal_Prot#'!$A:$AL,29,FALSE)</f>
        <v>246</v>
      </c>
      <c r="AM142" s="5">
        <f>VLOOKUP($A142,'SegEnds_NonXtal_Prot#'!$A:$AL,32,FALSE)</f>
        <v>289</v>
      </c>
      <c r="AN142" s="5">
        <f>VLOOKUP($A142,'SegEnds_NonXtal_Prot#'!$A:$AL,35,FALSE)</f>
        <v>326</v>
      </c>
      <c r="AO142" s="5">
        <f>VLOOKUP($A142,'SegEnds_NonXtal_Prot#'!$A:$AL,38,FALSE)</f>
        <v>338</v>
      </c>
      <c r="AP142" s="5">
        <f t="shared" si="63"/>
        <v>31</v>
      </c>
      <c r="AQ142" s="4">
        <f t="shared" si="64"/>
        <v>3</v>
      </c>
      <c r="AR142" s="4">
        <f t="shared" si="65"/>
        <v>30</v>
      </c>
      <c r="AS142" s="4">
        <f t="shared" si="66"/>
        <v>3</v>
      </c>
      <c r="AT142" s="4">
        <f t="shared" si="67"/>
        <v>35</v>
      </c>
      <c r="AU142" s="4">
        <f t="shared" si="68"/>
        <v>7</v>
      </c>
      <c r="AV142" s="4">
        <f t="shared" si="69"/>
        <v>26</v>
      </c>
      <c r="AW142" s="4">
        <f t="shared" si="70"/>
        <v>2</v>
      </c>
      <c r="AX142" s="4">
        <f t="shared" si="71"/>
        <v>40</v>
      </c>
      <c r="AY142" s="4">
        <f t="shared" si="72"/>
        <v>37</v>
      </c>
      <c r="AZ142" s="4">
        <f t="shared" si="73"/>
        <v>28</v>
      </c>
      <c r="BA142" s="4">
        <f t="shared" si="74"/>
        <v>11</v>
      </c>
    </row>
    <row r="143" spans="1:53" x14ac:dyDescent="0.2">
      <c r="A143" s="1" t="str">
        <f>'SegEnds_NonXtal_Prot#'!A115</f>
        <v>gp101_human</v>
      </c>
      <c r="B143" s="1" t="str">
        <f t="shared" si="50"/>
        <v>IIRSTVLVIFLAASFVGNIVLALVLQRKQVTNRFIFNLLVTDLLQISLVAPWVVATSVPLNSHFCTALVSLTHLFAFASVNTIVVVSVDRYLSIIHTQRRGYLLLYGTWIVAILQSTPPLYGWGQASPSYTILSVVSFIVIPLIVMIACYSVVFCAARRQHALLYNVPLPRCYQCKAAKVIFIIIFSYVLSLGPYCFLAVLAVWVPQWVITIIIWLFFLQCCIHPYVYGYMHKTIKKEIQDMLKK</v>
      </c>
      <c r="C143" s="29" t="str">
        <f>IF(ISERROR(MATCH(A143,'SegEnds_Xtal_Prot#'!B:B, 0)), "NoXtal", "Xtal")</f>
        <v>NoXtal</v>
      </c>
      <c r="D143" s="4" t="str">
        <f>VLOOKUP(A143,Classification!A:D,2,FALSE)</f>
        <v>A</v>
      </c>
      <c r="E143" s="5" t="str">
        <f>VLOOKUP(A143,Seqs!A:B,2,FALSE)</f>
        <v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v>
      </c>
      <c r="F143" s="5" t="str">
        <f t="shared" si="51"/>
        <v>IIRSTVLVIFLAASFVGNIVLALVLQRK</v>
      </c>
      <c r="G143" s="4" t="str">
        <f t="shared" si="52"/>
        <v>PQLL</v>
      </c>
      <c r="H143" s="4" t="str">
        <f t="shared" si="53"/>
        <v>QVTNRFIFNLLVTDLLQISLVAPWVVATSVPL</v>
      </c>
      <c r="I143" s="4" t="str">
        <f t="shared" si="54"/>
        <v>FWPL</v>
      </c>
      <c r="J143" s="4" t="str">
        <f t="shared" si="55"/>
        <v>NSHFCTALVSLTHLFAFASVNTIVVVSVDRYLSIIH</v>
      </c>
      <c r="K143" s="4" t="str">
        <f t="shared" si="56"/>
        <v>PLSYPSKM</v>
      </c>
      <c r="L143" s="4" t="str">
        <f t="shared" si="57"/>
        <v>TQRRGYLLLYGTWIVAILQSTPPLYGWGQA</v>
      </c>
      <c r="M143" s="4" t="str">
        <f t="shared" si="58"/>
        <v>CSM</v>
      </c>
      <c r="N143" s="4" t="str">
        <f t="shared" si="59"/>
        <v>SPSYTILSVVSFIVIPLIVMIACYSVVFCAARRQHALLYNV</v>
      </c>
      <c r="O143" s="4" t="str">
        <f t="shared" si="60"/>
        <v>PLPRCYQCKAAKVIFIIIFSYVLSLGPYCFLAVLAVWV</v>
      </c>
      <c r="P143" s="4" t="str">
        <f t="shared" si="61"/>
        <v>PQWVITIIIWLFFLQCCIHPYVYGYM</v>
      </c>
      <c r="Q143" s="4" t="str">
        <f t="shared" si="62"/>
        <v>HKTIKKEIQDMLKK</v>
      </c>
      <c r="R143" s="5">
        <f>VLOOKUP($A143,'SegEnds_NonXtal_Prot#'!$A:$AL,3,FALSE)</f>
        <v>32</v>
      </c>
      <c r="S143" s="5">
        <f>VLOOKUP($A143,'SegEnds_NonXtal_Prot#'!$A:$AL,6,FALSE)</f>
        <v>60</v>
      </c>
      <c r="T143" s="5">
        <f>VLOOKUP($A143,'SegEnds_NonXtal_Prot#'!$A:$AL,9,FALSE)</f>
        <v>64</v>
      </c>
      <c r="U143" s="5">
        <f>VLOOKUP($A143,'SegEnds_NonXtal_Prot#'!$A:$AL,12,FALSE)</f>
        <v>96</v>
      </c>
      <c r="V143" s="5">
        <f>VLOOKUP($A143,'SegEnds_NonXtal_Prot#'!$A:$AL,15,FALSE)</f>
        <v>100</v>
      </c>
      <c r="W143" s="5">
        <f>VLOOKUP($A143,'SegEnds_NonXtal_Prot#'!$A:$AL,18,FALSE)</f>
        <v>136</v>
      </c>
      <c r="X143" s="5">
        <f>VLOOKUP($A143,'SegEnds_NonXtal_Prot#'!$A:$AL,21,FALSE)</f>
        <v>144</v>
      </c>
      <c r="Y143" s="5">
        <f>VLOOKUP($A143,'SegEnds_NonXtal_Prot#'!$A:$AL,24,FALSE)</f>
        <v>182</v>
      </c>
      <c r="Z143" s="5">
        <f>VLOOKUP($A143,'SegEnds_NonXtal_Prot#'!$A:$AL,27,FALSE)</f>
        <v>189</v>
      </c>
      <c r="AA143" s="5">
        <f>VLOOKUP($A143,'SegEnds_NonXtal_Prot#'!$A:$AL,30,FALSE)</f>
        <v>388</v>
      </c>
      <c r="AB143" s="5">
        <f>VLOOKUP($A143,'SegEnds_NonXtal_Prot#'!$A:$AL,33,FALSE)</f>
        <v>432</v>
      </c>
      <c r="AC143" s="5">
        <f>VLOOKUP($A143,'SegEnds_NonXtal_Prot#'!$A:$AL,36,FALSE)</f>
        <v>458</v>
      </c>
      <c r="AD143" s="5">
        <f>VLOOKUP($A143,'SegEnds_NonXtal_Prot#'!$A:$AL,5,FALSE)</f>
        <v>59</v>
      </c>
      <c r="AE143" s="5">
        <f>VLOOKUP($A143,'SegEnds_NonXtal_Prot#'!$A:$AL,8,FALSE)</f>
        <v>63</v>
      </c>
      <c r="AF143" s="5">
        <f>VLOOKUP($A143,'SegEnds_NonXtal_Prot#'!$A:$AL,11,FALSE)</f>
        <v>95</v>
      </c>
      <c r="AG143" s="5">
        <f>VLOOKUP($A143,'SegEnds_NonXtal_Prot#'!$A:$AL,14,FALSE)</f>
        <v>99</v>
      </c>
      <c r="AH143" s="5">
        <f>VLOOKUP($A143,'SegEnds_NonXtal_Prot#'!$A:$AL,17,FALSE)</f>
        <v>135</v>
      </c>
      <c r="AI143" s="5">
        <f>VLOOKUP($A143,'SegEnds_NonXtal_Prot#'!$A:$AL,20,FALSE)</f>
        <v>143</v>
      </c>
      <c r="AJ143" s="5">
        <f>VLOOKUP($A143,'SegEnds_NonXtal_Prot#'!$A:$AL,23,FALSE)</f>
        <v>173</v>
      </c>
      <c r="AK143" s="5">
        <f>VLOOKUP($A143,'SegEnds_NonXtal_Prot#'!$A:$AL,26,FALSE)</f>
        <v>184</v>
      </c>
      <c r="AL143" s="5">
        <f>VLOOKUP($A143,'SegEnds_NonXtal_Prot#'!$A:$AL,29,FALSE)</f>
        <v>229</v>
      </c>
      <c r="AM143" s="5">
        <f>VLOOKUP($A143,'SegEnds_NonXtal_Prot#'!$A:$AL,32,FALSE)</f>
        <v>425</v>
      </c>
      <c r="AN143" s="5">
        <f>VLOOKUP($A143,'SegEnds_NonXtal_Prot#'!$A:$AL,35,FALSE)</f>
        <v>457</v>
      </c>
      <c r="AO143" s="5">
        <f>VLOOKUP($A143,'SegEnds_NonXtal_Prot#'!$A:$AL,38,FALSE)</f>
        <v>471</v>
      </c>
      <c r="AP143" s="5">
        <f t="shared" si="63"/>
        <v>27</v>
      </c>
      <c r="AQ143" s="4">
        <f t="shared" si="64"/>
        <v>3</v>
      </c>
      <c r="AR143" s="4">
        <f t="shared" si="65"/>
        <v>31</v>
      </c>
      <c r="AS143" s="4">
        <f t="shared" si="66"/>
        <v>3</v>
      </c>
      <c r="AT143" s="4">
        <f t="shared" si="67"/>
        <v>35</v>
      </c>
      <c r="AU143" s="4">
        <f t="shared" si="68"/>
        <v>7</v>
      </c>
      <c r="AV143" s="4">
        <f t="shared" si="69"/>
        <v>29</v>
      </c>
      <c r="AW143" s="4">
        <f t="shared" si="70"/>
        <v>2</v>
      </c>
      <c r="AX143" s="4">
        <f t="shared" si="71"/>
        <v>40</v>
      </c>
      <c r="AY143" s="4">
        <f t="shared" si="72"/>
        <v>37</v>
      </c>
      <c r="AZ143" s="4">
        <f t="shared" si="73"/>
        <v>25</v>
      </c>
      <c r="BA143" s="4">
        <f t="shared" si="74"/>
        <v>13</v>
      </c>
    </row>
    <row r="144" spans="1:53" x14ac:dyDescent="0.2">
      <c r="A144" s="1" t="str">
        <f>'SegEnds_NonXtal_Prot#'!A116</f>
        <v>gp119_human</v>
      </c>
      <c r="B144" s="1" t="str">
        <f t="shared" si="50"/>
        <v>MESSFSFGVILAVLASLIIATNTLVAVAVLLLGVSLCFTLNLAVADTLIGVAISGLLTDQLSRPTQKTLCSLRMAFVTSSAAASVLTVMLITFDRYLAIKQSGFVAGACIAGLWLVSYLIGFLPLGIFHPHFVLTLSCVGFFPAMLLFVFFYCDMLKIASMHSQQIRGYRSPRTPSDFKALRTVSVLIGSFALSWTPFLITGIVQVACYLVLERYLWLLGVGNSLLNPLIYAYWQKEVRLQLYHMALGVKKVLTSFL</v>
      </c>
      <c r="C144" s="29" t="str">
        <f>IF(ISERROR(MATCH(A144,'SegEnds_Xtal_Prot#'!B:B, 0)), "NoXtal", "Xtal")</f>
        <v>NoXtal</v>
      </c>
      <c r="D144" s="4" t="str">
        <f>VLOOKUP(A144,Classification!A:D,2,FALSE)</f>
        <v>A</v>
      </c>
      <c r="E144" s="5" t="str">
        <f>VLOOKUP(A144,Seqs!A:B,2,FALSE)</f>
        <v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</v>
      </c>
      <c r="F144" s="5" t="str">
        <f t="shared" si="51"/>
        <v>MESSFSFGVILAVLASLIIATNTLVAVAVLLL</v>
      </c>
      <c r="G144" s="4" t="str">
        <f t="shared" si="52"/>
        <v/>
      </c>
      <c r="H144" s="4" t="str">
        <f t="shared" si="53"/>
        <v>GVSLCFTLNLAVADTLIGVAISGLLTDQLS</v>
      </c>
      <c r="I144" s="4" t="str">
        <f t="shared" si="54"/>
        <v/>
      </c>
      <c r="J144" s="4" t="str">
        <f t="shared" si="55"/>
        <v>RPTQKTLCSLRMAFVTSSAAASVLTVMLITFDRYLAIKQ</v>
      </c>
      <c r="K144" s="4" t="str">
        <f t="shared" si="56"/>
        <v>PFRYLKIM</v>
      </c>
      <c r="L144" s="4" t="str">
        <f t="shared" si="57"/>
        <v>SGFVAGACIAGLWLVSYLIGFLPLGI</v>
      </c>
      <c r="M144" s="4" t="str">
        <f t="shared" si="58"/>
        <v>CSF</v>
      </c>
      <c r="N144" s="4" t="str">
        <f t="shared" si="59"/>
        <v>FHPHFVLTLSCVGFFPAMLLFVFFYCDMLKIASMHSQQIR</v>
      </c>
      <c r="O144" s="4" t="str">
        <f t="shared" si="60"/>
        <v>GYRSPRTPSDFKALRTVSVLIGSFALSWTPFLITGIVQVAC</v>
      </c>
      <c r="P144" s="4" t="str">
        <f t="shared" si="61"/>
        <v>YLVLERYLWLLGVGNSLLNPLIYAYW</v>
      </c>
      <c r="Q144" s="4" t="str">
        <f t="shared" si="62"/>
        <v>QKEVRLQLYHMALGVKKVLTSFL</v>
      </c>
      <c r="R144" s="5">
        <f>VLOOKUP($A144,'SegEnds_NonXtal_Prot#'!$A:$AL,3,FALSE)</f>
        <v>1</v>
      </c>
      <c r="S144" s="5" t="str">
        <f>VLOOKUP($A144,'SegEnds_NonXtal_Prot#'!$A:$AL,6,FALSE)</f>
        <v>-</v>
      </c>
      <c r="T144" s="5">
        <f>VLOOKUP($A144,'SegEnds_NonXtal_Prot#'!$A:$AL,9,FALSE)</f>
        <v>38</v>
      </c>
      <c r="U144" s="5" t="str">
        <f>VLOOKUP($A144,'SegEnds_NonXtal_Prot#'!$A:$AL,12,FALSE)</f>
        <v>-</v>
      </c>
      <c r="V144" s="5">
        <f>VLOOKUP($A144,'SegEnds_NonXtal_Prot#'!$A:$AL,15,FALSE)</f>
        <v>71</v>
      </c>
      <c r="W144" s="5">
        <f>VLOOKUP($A144,'SegEnds_NonXtal_Prot#'!$A:$AL,18,FALSE)</f>
        <v>110</v>
      </c>
      <c r="X144" s="5">
        <f>VLOOKUP($A144,'SegEnds_NonXtal_Prot#'!$A:$AL,21,FALSE)</f>
        <v>118</v>
      </c>
      <c r="Y144" s="5">
        <f>VLOOKUP($A144,'SegEnds_NonXtal_Prot#'!$A:$AL,24,FALSE)</f>
        <v>155</v>
      </c>
      <c r="Z144" s="5">
        <f>VLOOKUP($A144,'SegEnds_NonXtal_Prot#'!$A:$AL,27,FALSE)</f>
        <v>161</v>
      </c>
      <c r="AA144" s="5">
        <f>VLOOKUP($A144,'SegEnds_NonXtal_Prot#'!$A:$AL,30,FALSE)</f>
        <v>211</v>
      </c>
      <c r="AB144" s="5">
        <f>VLOOKUP($A144,'SegEnds_NonXtal_Prot#'!$A:$AL,33,FALSE)</f>
        <v>257</v>
      </c>
      <c r="AC144" s="5">
        <f>VLOOKUP($A144,'SegEnds_NonXtal_Prot#'!$A:$AL,36,FALSE)</f>
        <v>283</v>
      </c>
      <c r="AD144" s="5">
        <f>VLOOKUP($A144,'SegEnds_NonXtal_Prot#'!$A:$AL,5,FALSE)</f>
        <v>32</v>
      </c>
      <c r="AE144" s="5" t="str">
        <f>VLOOKUP($A144,'SegEnds_NonXtal_Prot#'!$A:$AL,8,FALSE)</f>
        <v>-</v>
      </c>
      <c r="AF144" s="5">
        <f>VLOOKUP($A144,'SegEnds_NonXtal_Prot#'!$A:$AL,11,FALSE)</f>
        <v>67</v>
      </c>
      <c r="AG144" s="5" t="str">
        <f>VLOOKUP($A144,'SegEnds_NonXtal_Prot#'!$A:$AL,14,FALSE)</f>
        <v>-</v>
      </c>
      <c r="AH144" s="5">
        <f>VLOOKUP($A144,'SegEnds_NonXtal_Prot#'!$A:$AL,17,FALSE)</f>
        <v>109</v>
      </c>
      <c r="AI144" s="5">
        <f>VLOOKUP($A144,'SegEnds_NonXtal_Prot#'!$A:$AL,20,FALSE)</f>
        <v>117</v>
      </c>
      <c r="AJ144" s="5">
        <f>VLOOKUP($A144,'SegEnds_NonXtal_Prot#'!$A:$AL,23,FALSE)</f>
        <v>143</v>
      </c>
      <c r="AK144" s="5">
        <f>VLOOKUP($A144,'SegEnds_NonXtal_Prot#'!$A:$AL,26,FALSE)</f>
        <v>157</v>
      </c>
      <c r="AL144" s="5">
        <f>VLOOKUP($A144,'SegEnds_NonXtal_Prot#'!$A:$AL,29,FALSE)</f>
        <v>200</v>
      </c>
      <c r="AM144" s="5">
        <f>VLOOKUP($A144,'SegEnds_NonXtal_Prot#'!$A:$AL,32,FALSE)</f>
        <v>251</v>
      </c>
      <c r="AN144" s="5">
        <f>VLOOKUP($A144,'SegEnds_NonXtal_Prot#'!$A:$AL,35,FALSE)</f>
        <v>282</v>
      </c>
      <c r="AO144" s="5">
        <f>VLOOKUP($A144,'SegEnds_NonXtal_Prot#'!$A:$AL,38,FALSE)</f>
        <v>305</v>
      </c>
      <c r="AP144" s="5">
        <f t="shared" si="63"/>
        <v>31</v>
      </c>
      <c r="AQ144" s="4" t="str">
        <f t="shared" si="64"/>
        <v>-</v>
      </c>
      <c r="AR144" s="4">
        <f t="shared" si="65"/>
        <v>29</v>
      </c>
      <c r="AS144" s="4" t="str">
        <f t="shared" si="66"/>
        <v>-</v>
      </c>
      <c r="AT144" s="4">
        <f t="shared" si="67"/>
        <v>38</v>
      </c>
      <c r="AU144" s="4">
        <f t="shared" si="68"/>
        <v>7</v>
      </c>
      <c r="AV144" s="4">
        <f t="shared" si="69"/>
        <v>25</v>
      </c>
      <c r="AW144" s="4">
        <f t="shared" si="70"/>
        <v>2</v>
      </c>
      <c r="AX144" s="4">
        <f t="shared" si="71"/>
        <v>39</v>
      </c>
      <c r="AY144" s="4">
        <f t="shared" si="72"/>
        <v>40</v>
      </c>
      <c r="AZ144" s="4">
        <f t="shared" si="73"/>
        <v>25</v>
      </c>
      <c r="BA144" s="4">
        <f t="shared" si="74"/>
        <v>22</v>
      </c>
    </row>
    <row r="145" spans="1:53" x14ac:dyDescent="0.2">
      <c r="A145" s="1" t="str">
        <f>'SegEnds_NonXtal_Prot#'!A117</f>
        <v>gp141_human</v>
      </c>
      <c r="B145" s="1" t="str">
        <f t="shared" si="50"/>
        <v>PHLISLYFIVLIGGLVGVISILFLLVKSVTTMAVINLVVVHSVFLLTVPFRLTYLIKGLPFCKFVSAMLHIHMYLTFLFYVVILVTRYLIFFKRKLHAVAASAGMWTLVIVIVVPLVVINYMIVIFVIAVAVILLVFQVFIIMLMVQKLRHSHQEFWAQLKNLFFIGVILVCFLPYQFFRIYYLNVCNSKVAFYNEIFLSVTAISCYDLLLFVFGSHWFKQKIIGLWN</v>
      </c>
      <c r="C145" s="29" t="str">
        <f>IF(ISERROR(MATCH(A145,'SegEnds_Xtal_Prot#'!B:B, 0)), "NoXtal", "Xtal")</f>
        <v>NoXtal</v>
      </c>
      <c r="D145" s="4" t="str">
        <f>VLOOKUP(A145,Classification!A:D,2,FALSE)</f>
        <v>A</v>
      </c>
      <c r="E145" s="5" t="str">
        <f>VLOOKUP(A145,Seqs!A:B,2,FALSE)</f>
        <v>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</v>
      </c>
      <c r="F145" s="5" t="str">
        <f t="shared" si="51"/>
        <v>PHLISLYFIVLIGGLVGVISILFLLVK</v>
      </c>
      <c r="G145" s="4" t="str">
        <f t="shared" si="52"/>
        <v>MNTR</v>
      </c>
      <c r="H145" s="4" t="str">
        <f t="shared" si="53"/>
        <v>SVTTMAVINLVVVHSVFLLTVPFRLTYLIK</v>
      </c>
      <c r="I145" s="4" t="str">
        <f t="shared" si="54"/>
        <v>TWMF</v>
      </c>
      <c r="J145" s="4" t="str">
        <f t="shared" si="55"/>
        <v>GLPFCKFVSAMLHIHMYLTFLFYVVILVTRYLIFFK</v>
      </c>
      <c r="K145" s="4" t="str">
        <f t="shared" si="56"/>
        <v>CKDKVEFY</v>
      </c>
      <c r="L145" s="4" t="str">
        <f t="shared" si="57"/>
        <v>RKLHAVAASAGMWTLVIVIVVPLVV</v>
      </c>
      <c r="M145" s="4" t="str">
        <f t="shared" si="58"/>
        <v>CFK</v>
      </c>
      <c r="N145" s="4" t="str">
        <f t="shared" si="59"/>
        <v>INYMIVIFVIAVAVILLVFQVFIIMLMVQKLRHS</v>
      </c>
      <c r="O145" s="4" t="str">
        <f t="shared" si="60"/>
        <v>HQEFWAQLKNLFFIGVILVCFLPYQFFRIYYLNV</v>
      </c>
      <c r="P145" s="4" t="str">
        <f t="shared" si="61"/>
        <v>CNSKVAFYNEIFLSVTAISCYDLLLFVFG</v>
      </c>
      <c r="Q145" s="4" t="str">
        <f t="shared" si="62"/>
        <v>SHWFKQKIIGLWN</v>
      </c>
      <c r="R145" s="5">
        <f>VLOOKUP($A145,'SegEnds_NonXtal_Prot#'!$A:$AL,3,FALSE)</f>
        <v>18</v>
      </c>
      <c r="S145" s="5">
        <f>VLOOKUP($A145,'SegEnds_NonXtal_Prot#'!$A:$AL,6,FALSE)</f>
        <v>45</v>
      </c>
      <c r="T145" s="5">
        <f>VLOOKUP($A145,'SegEnds_NonXtal_Prot#'!$A:$AL,9,FALSE)</f>
        <v>49</v>
      </c>
      <c r="U145" s="5">
        <f>VLOOKUP($A145,'SegEnds_NonXtal_Prot#'!$A:$AL,12,FALSE)</f>
        <v>80</v>
      </c>
      <c r="V145" s="5">
        <f>VLOOKUP($A145,'SegEnds_NonXtal_Prot#'!$A:$AL,15,FALSE)</f>
        <v>84</v>
      </c>
      <c r="W145" s="5">
        <f>VLOOKUP($A145,'SegEnds_NonXtal_Prot#'!$A:$AL,18,FALSE)</f>
        <v>120</v>
      </c>
      <c r="X145" s="5">
        <f>VLOOKUP($A145,'SegEnds_NonXtal_Prot#'!$A:$AL,21,FALSE)</f>
        <v>128</v>
      </c>
      <c r="Y145" s="5">
        <f>VLOOKUP($A145,'SegEnds_NonXtal_Prot#'!$A:$AL,24,FALSE)</f>
        <v>166</v>
      </c>
      <c r="Z145" s="5">
        <f>VLOOKUP($A145,'SegEnds_NonXtal_Prot#'!$A:$AL,27,FALSE)</f>
        <v>181</v>
      </c>
      <c r="AA145" s="5">
        <f>VLOOKUP($A145,'SegEnds_NonXtal_Prot#'!$A:$AL,30,FALSE)</f>
        <v>218</v>
      </c>
      <c r="AB145" s="5">
        <f>VLOOKUP($A145,'SegEnds_NonXtal_Prot#'!$A:$AL,33,FALSE)</f>
        <v>258</v>
      </c>
      <c r="AC145" s="5">
        <f>VLOOKUP($A145,'SegEnds_NonXtal_Prot#'!$A:$AL,36,FALSE)</f>
        <v>288</v>
      </c>
      <c r="AD145" s="5">
        <f>VLOOKUP($A145,'SegEnds_NonXtal_Prot#'!$A:$AL,5,FALSE)</f>
        <v>44</v>
      </c>
      <c r="AE145" s="5">
        <f>VLOOKUP($A145,'SegEnds_NonXtal_Prot#'!$A:$AL,8,FALSE)</f>
        <v>48</v>
      </c>
      <c r="AF145" s="5">
        <f>VLOOKUP($A145,'SegEnds_NonXtal_Prot#'!$A:$AL,11,FALSE)</f>
        <v>78</v>
      </c>
      <c r="AG145" s="5">
        <f>VLOOKUP($A145,'SegEnds_NonXtal_Prot#'!$A:$AL,14,FALSE)</f>
        <v>83</v>
      </c>
      <c r="AH145" s="5">
        <f>VLOOKUP($A145,'SegEnds_NonXtal_Prot#'!$A:$AL,17,FALSE)</f>
        <v>119</v>
      </c>
      <c r="AI145" s="5">
        <f>VLOOKUP($A145,'SegEnds_NonXtal_Prot#'!$A:$AL,20,FALSE)</f>
        <v>127</v>
      </c>
      <c r="AJ145" s="5">
        <f>VLOOKUP($A145,'SegEnds_NonXtal_Prot#'!$A:$AL,23,FALSE)</f>
        <v>152</v>
      </c>
      <c r="AK145" s="5">
        <f>VLOOKUP($A145,'SegEnds_NonXtal_Prot#'!$A:$AL,26,FALSE)</f>
        <v>168</v>
      </c>
      <c r="AL145" s="5">
        <f>VLOOKUP($A145,'SegEnds_NonXtal_Prot#'!$A:$AL,29,FALSE)</f>
        <v>214</v>
      </c>
      <c r="AM145" s="5">
        <f>VLOOKUP($A145,'SegEnds_NonXtal_Prot#'!$A:$AL,32,FALSE)</f>
        <v>251</v>
      </c>
      <c r="AN145" s="5">
        <f>VLOOKUP($A145,'SegEnds_NonXtal_Prot#'!$A:$AL,35,FALSE)</f>
        <v>286</v>
      </c>
      <c r="AO145" s="5">
        <f>VLOOKUP($A145,'SegEnds_NonXtal_Prot#'!$A:$AL,38,FALSE)</f>
        <v>300</v>
      </c>
      <c r="AP145" s="5">
        <f t="shared" si="63"/>
        <v>26</v>
      </c>
      <c r="AQ145" s="4">
        <f t="shared" si="64"/>
        <v>3</v>
      </c>
      <c r="AR145" s="4">
        <f t="shared" si="65"/>
        <v>29</v>
      </c>
      <c r="AS145" s="4">
        <f t="shared" si="66"/>
        <v>3</v>
      </c>
      <c r="AT145" s="4">
        <f t="shared" si="67"/>
        <v>35</v>
      </c>
      <c r="AU145" s="4">
        <f t="shared" si="68"/>
        <v>7</v>
      </c>
      <c r="AV145" s="4">
        <f t="shared" si="69"/>
        <v>24</v>
      </c>
      <c r="AW145" s="4">
        <f t="shared" si="70"/>
        <v>2</v>
      </c>
      <c r="AX145" s="4">
        <f t="shared" si="71"/>
        <v>33</v>
      </c>
      <c r="AY145" s="4">
        <f t="shared" si="72"/>
        <v>33</v>
      </c>
      <c r="AZ145" s="4">
        <f t="shared" si="73"/>
        <v>28</v>
      </c>
      <c r="BA145" s="4">
        <f t="shared" si="74"/>
        <v>12</v>
      </c>
    </row>
    <row r="146" spans="1:53" x14ac:dyDescent="0.2">
      <c r="A146" s="1" t="str">
        <f>'SegEnds_NonXtal_Prot#'!A118</f>
        <v>gp148_human</v>
      </c>
      <c r="B146" s="1" t="str">
        <f t="shared" si="50"/>
        <v>SSMLYWLFLPSSLLAAATLAVSPLLLVTILRNQEPHYLLPANILLSDLAYILLHMLISSSSLGGRMACGILTDAVFAACTSTILSFTAIVLHTYLAVIHSHGAAWKAVALIWLVACCFPTFLIWLEQGASYILPPSMGTQPGCGLLVIVTYTSILCVLFLCTALIANGQGYSRARGTLLIHSVLITLYVSTGVVFSLDMVLTGTHTWLLAANSEVLMMLPRAMLTYLYLLRYRQLLGMVRGHLPSRR</v>
      </c>
      <c r="C146" s="29" t="str">
        <f>IF(ISERROR(MATCH(A146,'SegEnds_Xtal_Prot#'!B:B, 0)), "NoXtal", "Xtal")</f>
        <v>NoXtal</v>
      </c>
      <c r="D146" s="4" t="str">
        <f>VLOOKUP(A146,Classification!A:D,2,FALSE)</f>
        <v>A</v>
      </c>
      <c r="E146" s="5" t="str">
        <f>VLOOKUP(A146,Seqs!A:B,2,FALSE)</f>
        <v>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</v>
      </c>
      <c r="F146" s="5" t="str">
        <f t="shared" si="51"/>
        <v>SSMLYWLFLPSSLLAAATLAVSPLLLVTILRN</v>
      </c>
      <c r="G146" s="4" t="str">
        <f t="shared" si="52"/>
        <v>QRLR</v>
      </c>
      <c r="H146" s="4" t="str">
        <f t="shared" si="53"/>
        <v>QEPHYLLPANILLSDLAYILLHMLISSSSLG</v>
      </c>
      <c r="I146" s="4" t="str">
        <f t="shared" si="54"/>
        <v>GWEL</v>
      </c>
      <c r="J146" s="4" t="str">
        <f t="shared" si="55"/>
        <v>GRMACGILTDAVFAACTSTILSFTAIVLHTYLAVIH</v>
      </c>
      <c r="K146" s="4" t="str">
        <f t="shared" si="56"/>
        <v>PLRYLSFM</v>
      </c>
      <c r="L146" s="4" t="str">
        <f t="shared" si="57"/>
        <v>SHGAAWKAVALIWLVACCFPTFLIWL</v>
      </c>
      <c r="M146" s="4" t="str">
        <f t="shared" si="58"/>
        <v/>
      </c>
      <c r="N146" s="4" t="str">
        <f t="shared" si="59"/>
        <v>EQGASYILPPSMGTQPGCGLLVIVTYTSILCVLFLCTALIAN</v>
      </c>
      <c r="O146" s="4" t="str">
        <f t="shared" si="60"/>
        <v>GQGYSRARGTLLIHSVLITLYVSTGVVFSLDMVLT</v>
      </c>
      <c r="P146" s="4" t="str">
        <f t="shared" si="61"/>
        <v>GTHTWLLAANSEVLMMLPRAML</v>
      </c>
      <c r="Q146" s="4" t="str">
        <f t="shared" si="62"/>
        <v>TYLYLLRYRQLLGMVRGHLPSRR</v>
      </c>
      <c r="R146" s="5">
        <f>VLOOKUP($A146,'SegEnds_NonXtal_Prot#'!$A:$AL,3,FALSE)</f>
        <v>46</v>
      </c>
      <c r="S146" s="5">
        <f>VLOOKUP($A146,'SegEnds_NonXtal_Prot#'!$A:$AL,6,FALSE)</f>
        <v>78</v>
      </c>
      <c r="T146" s="5">
        <f>VLOOKUP($A146,'SegEnds_NonXtal_Prot#'!$A:$AL,9,FALSE)</f>
        <v>82</v>
      </c>
      <c r="U146" s="5">
        <f>VLOOKUP($A146,'SegEnds_NonXtal_Prot#'!$A:$AL,12,FALSE)</f>
        <v>113</v>
      </c>
      <c r="V146" s="5">
        <f>VLOOKUP($A146,'SegEnds_NonXtal_Prot#'!$A:$AL,15,FALSE)</f>
        <v>117</v>
      </c>
      <c r="W146" s="5">
        <f>VLOOKUP($A146,'SegEnds_NonXtal_Prot#'!$A:$AL,18,FALSE)</f>
        <v>153</v>
      </c>
      <c r="X146" s="5">
        <f>VLOOKUP($A146,'SegEnds_NonXtal_Prot#'!$A:$AL,21,FALSE)</f>
        <v>161</v>
      </c>
      <c r="Y146" s="5" t="str">
        <f>VLOOKUP($A146,'SegEnds_NonXtal_Prot#'!$A:$AL,24,FALSE)</f>
        <v>-</v>
      </c>
      <c r="Z146" s="5">
        <f>VLOOKUP($A146,'SegEnds_NonXtal_Prot#'!$A:$AL,27,FALSE)</f>
        <v>196</v>
      </c>
      <c r="AA146" s="5">
        <f>VLOOKUP($A146,'SegEnds_NonXtal_Prot#'!$A:$AL,30,FALSE)</f>
        <v>253</v>
      </c>
      <c r="AB146" s="5">
        <f>VLOOKUP($A146,'SegEnds_NonXtal_Prot#'!$A:$AL,33,FALSE)</f>
        <v>295</v>
      </c>
      <c r="AC146" s="5">
        <f>VLOOKUP($A146,'SegEnds_NonXtal_Prot#'!$A:$AL,36,FALSE)</f>
        <v>317</v>
      </c>
      <c r="AD146" s="5">
        <f>VLOOKUP($A146,'SegEnds_NonXtal_Prot#'!$A:$AL,5,FALSE)</f>
        <v>77</v>
      </c>
      <c r="AE146" s="5">
        <f>VLOOKUP($A146,'SegEnds_NonXtal_Prot#'!$A:$AL,8,FALSE)</f>
        <v>81</v>
      </c>
      <c r="AF146" s="5">
        <f>VLOOKUP($A146,'SegEnds_NonXtal_Prot#'!$A:$AL,11,FALSE)</f>
        <v>112</v>
      </c>
      <c r="AG146" s="5">
        <f>VLOOKUP($A146,'SegEnds_NonXtal_Prot#'!$A:$AL,14,FALSE)</f>
        <v>116</v>
      </c>
      <c r="AH146" s="5">
        <f>VLOOKUP($A146,'SegEnds_NonXtal_Prot#'!$A:$AL,17,FALSE)</f>
        <v>152</v>
      </c>
      <c r="AI146" s="5">
        <f>VLOOKUP($A146,'SegEnds_NonXtal_Prot#'!$A:$AL,20,FALSE)</f>
        <v>160</v>
      </c>
      <c r="AJ146" s="5">
        <f>VLOOKUP($A146,'SegEnds_NonXtal_Prot#'!$A:$AL,23,FALSE)</f>
        <v>186</v>
      </c>
      <c r="AK146" s="5" t="str">
        <f>VLOOKUP($A146,'SegEnds_NonXtal_Prot#'!$A:$AL,26,FALSE)</f>
        <v>-</v>
      </c>
      <c r="AL146" s="5">
        <f>VLOOKUP($A146,'SegEnds_NonXtal_Prot#'!$A:$AL,29,FALSE)</f>
        <v>237</v>
      </c>
      <c r="AM146" s="5">
        <f>VLOOKUP($A146,'SegEnds_NonXtal_Prot#'!$A:$AL,32,FALSE)</f>
        <v>287</v>
      </c>
      <c r="AN146" s="5">
        <f>VLOOKUP($A146,'SegEnds_NonXtal_Prot#'!$A:$AL,35,FALSE)</f>
        <v>316</v>
      </c>
      <c r="AO146" s="5">
        <f>VLOOKUP($A146,'SegEnds_NonXtal_Prot#'!$A:$AL,38,FALSE)</f>
        <v>339</v>
      </c>
      <c r="AP146" s="5">
        <f t="shared" si="63"/>
        <v>31</v>
      </c>
      <c r="AQ146" s="4">
        <f t="shared" si="64"/>
        <v>3</v>
      </c>
      <c r="AR146" s="4">
        <f t="shared" si="65"/>
        <v>30</v>
      </c>
      <c r="AS146" s="4">
        <f t="shared" si="66"/>
        <v>3</v>
      </c>
      <c r="AT146" s="4">
        <f t="shared" si="67"/>
        <v>35</v>
      </c>
      <c r="AU146" s="4">
        <f t="shared" si="68"/>
        <v>7</v>
      </c>
      <c r="AV146" s="4">
        <f t="shared" si="69"/>
        <v>25</v>
      </c>
      <c r="AW146" s="4" t="str">
        <f t="shared" si="70"/>
        <v>-</v>
      </c>
      <c r="AX146" s="4">
        <f t="shared" si="71"/>
        <v>41</v>
      </c>
      <c r="AY146" s="4">
        <f t="shared" si="72"/>
        <v>34</v>
      </c>
      <c r="AZ146" s="4">
        <f t="shared" si="73"/>
        <v>21</v>
      </c>
      <c r="BA146" s="4">
        <f t="shared" si="74"/>
        <v>22</v>
      </c>
    </row>
    <row r="147" spans="1:53" x14ac:dyDescent="0.2">
      <c r="A147" s="1" t="str">
        <f>'SegEnds_NonXtal_Prot#'!A119</f>
        <v>gp152_human</v>
      </c>
      <c r="B147" s="1" t="str">
        <f t="shared" si="50"/>
        <v>GGWDTVFLVALLLLGLPANGLMAWLAGSQTRLALLLLSLALSDFLFLAAAAFQILEIRHGGTAACRFYYFLWGVSYSSGLFLLAALSLDRCLLALCPVRLPLWVCAGVWVLATLFSVPWLVFPEELSLRMLEVLGGFLPFLLLLVCHVLTQATACRTQQQPAACRGFARVARTILSAYVVLRLPYQLAQLLYLAFGYLLWEALVYSDYLILLNSCLSPFLCLMASADLRTLLRSVLSSFAAA</v>
      </c>
      <c r="C147" s="29" t="str">
        <f>IF(ISERROR(MATCH(A147,'SegEnds_Xtal_Prot#'!B:B, 0)), "NoXtal", "Xtal")</f>
        <v>NoXtal</v>
      </c>
      <c r="D147" s="4" t="str">
        <f>VLOOKUP(A147,Classification!A:D,2,FALSE)</f>
        <v>A</v>
      </c>
      <c r="E147" s="5" t="str">
        <f>VLOOKUP(A147,Seqs!A:B,2,FALSE)</f>
        <v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v>
      </c>
      <c r="F147" s="5" t="str">
        <f t="shared" si="51"/>
        <v>GGWDTVFLVALLLLGLPANGLMAWLAGSQ</v>
      </c>
      <c r="G147" s="4" t="str">
        <f t="shared" si="52"/>
        <v/>
      </c>
      <c r="H147" s="4" t="str">
        <f t="shared" si="53"/>
        <v>TRLALLLLSLALSDFLFLAAAAFQILEIRHG</v>
      </c>
      <c r="I147" s="4" t="str">
        <f t="shared" si="54"/>
        <v>HWPL</v>
      </c>
      <c r="J147" s="4" t="str">
        <f t="shared" si="55"/>
        <v>GTAACRFYYFLWGVSYSSGLFLLAALSLDRCLLALC</v>
      </c>
      <c r="K147" s="4" t="str">
        <f t="shared" si="56"/>
        <v>PHWYPGHR</v>
      </c>
      <c r="L147" s="4" t="str">
        <f t="shared" si="57"/>
        <v>PVRLPLWVCAGVWVLATLFSVPWLVFP</v>
      </c>
      <c r="M147" s="4" t="str">
        <f t="shared" si="58"/>
        <v>CLD</v>
      </c>
      <c r="N147" s="4" t="str">
        <f t="shared" si="59"/>
        <v>EELSLRMLEVLGGFLPFLLLLVCHVLTQATACRT</v>
      </c>
      <c r="O147" s="4" t="str">
        <f t="shared" si="60"/>
        <v>QQQPAACRGFARVARTILSAYVVLRLPYQLAQLLYLAF</v>
      </c>
      <c r="P147" s="4" t="str">
        <f t="shared" si="61"/>
        <v>GYLLWEALVYSDYLILLNSCLSPFLCLMA</v>
      </c>
      <c r="Q147" s="4" t="str">
        <f t="shared" si="62"/>
        <v>SADLRTLLRSVLSSFAAA</v>
      </c>
      <c r="R147" s="5">
        <f>VLOOKUP($A147,'SegEnds_NonXtal_Prot#'!$A:$AL,3,FALSE)</f>
        <v>29</v>
      </c>
      <c r="S147" s="5" t="str">
        <f>VLOOKUP($A147,'SegEnds_NonXtal_Prot#'!$A:$AL,6,FALSE)</f>
        <v>-</v>
      </c>
      <c r="T147" s="5">
        <f>VLOOKUP($A147,'SegEnds_NonXtal_Prot#'!$A:$AL,9,FALSE)</f>
        <v>64</v>
      </c>
      <c r="U147" s="5">
        <f>VLOOKUP($A147,'SegEnds_NonXtal_Prot#'!$A:$AL,12,FALSE)</f>
        <v>96</v>
      </c>
      <c r="V147" s="5">
        <f>VLOOKUP($A147,'SegEnds_NonXtal_Prot#'!$A:$AL,15,FALSE)</f>
        <v>100</v>
      </c>
      <c r="W147" s="5">
        <f>VLOOKUP($A147,'SegEnds_NonXtal_Prot#'!$A:$AL,18,FALSE)</f>
        <v>136</v>
      </c>
      <c r="X147" s="5">
        <f>VLOOKUP($A147,'SegEnds_NonXtal_Prot#'!$A:$AL,21,FALSE)</f>
        <v>144</v>
      </c>
      <c r="Y147" s="5">
        <f>VLOOKUP($A147,'SegEnds_NonXtal_Prot#'!$A:$AL,24,FALSE)</f>
        <v>182</v>
      </c>
      <c r="Z147" s="5">
        <f>VLOOKUP($A147,'SegEnds_NonXtal_Prot#'!$A:$AL,27,FALSE)</f>
        <v>189</v>
      </c>
      <c r="AA147" s="5">
        <f>VLOOKUP($A147,'SegEnds_NonXtal_Prot#'!$A:$AL,30,FALSE)</f>
        <v>226</v>
      </c>
      <c r="AB147" s="5">
        <f>VLOOKUP($A147,'SegEnds_NonXtal_Prot#'!$A:$AL,33,FALSE)</f>
        <v>270</v>
      </c>
      <c r="AC147" s="5">
        <f>VLOOKUP($A147,'SegEnds_NonXtal_Prot#'!$A:$AL,36,FALSE)</f>
        <v>299</v>
      </c>
      <c r="AD147" s="5">
        <f>VLOOKUP($A147,'SegEnds_NonXtal_Prot#'!$A:$AL,5,FALSE)</f>
        <v>57</v>
      </c>
      <c r="AE147" s="5" t="str">
        <f>VLOOKUP($A147,'SegEnds_NonXtal_Prot#'!$A:$AL,8,FALSE)</f>
        <v>-</v>
      </c>
      <c r="AF147" s="5">
        <f>VLOOKUP($A147,'SegEnds_NonXtal_Prot#'!$A:$AL,11,FALSE)</f>
        <v>94</v>
      </c>
      <c r="AG147" s="5">
        <f>VLOOKUP($A147,'SegEnds_NonXtal_Prot#'!$A:$AL,14,FALSE)</f>
        <v>99</v>
      </c>
      <c r="AH147" s="5">
        <f>VLOOKUP($A147,'SegEnds_NonXtal_Prot#'!$A:$AL,17,FALSE)</f>
        <v>135</v>
      </c>
      <c r="AI147" s="5">
        <f>VLOOKUP($A147,'SegEnds_NonXtal_Prot#'!$A:$AL,20,FALSE)</f>
        <v>143</v>
      </c>
      <c r="AJ147" s="5">
        <f>VLOOKUP($A147,'SegEnds_NonXtal_Prot#'!$A:$AL,23,FALSE)</f>
        <v>170</v>
      </c>
      <c r="AK147" s="5">
        <f>VLOOKUP($A147,'SegEnds_NonXtal_Prot#'!$A:$AL,26,FALSE)</f>
        <v>184</v>
      </c>
      <c r="AL147" s="5">
        <f>VLOOKUP($A147,'SegEnds_NonXtal_Prot#'!$A:$AL,29,FALSE)</f>
        <v>222</v>
      </c>
      <c r="AM147" s="5">
        <f>VLOOKUP($A147,'SegEnds_NonXtal_Prot#'!$A:$AL,32,FALSE)</f>
        <v>263</v>
      </c>
      <c r="AN147" s="5">
        <f>VLOOKUP($A147,'SegEnds_NonXtal_Prot#'!$A:$AL,35,FALSE)</f>
        <v>298</v>
      </c>
      <c r="AO147" s="5">
        <f>VLOOKUP($A147,'SegEnds_NonXtal_Prot#'!$A:$AL,38,FALSE)</f>
        <v>316</v>
      </c>
      <c r="AP147" s="5">
        <f t="shared" si="63"/>
        <v>28</v>
      </c>
      <c r="AQ147" s="4" t="str">
        <f t="shared" si="64"/>
        <v>-</v>
      </c>
      <c r="AR147" s="4">
        <f t="shared" si="65"/>
        <v>30</v>
      </c>
      <c r="AS147" s="4">
        <f t="shared" si="66"/>
        <v>3</v>
      </c>
      <c r="AT147" s="4">
        <f t="shared" si="67"/>
        <v>35</v>
      </c>
      <c r="AU147" s="4">
        <f t="shared" si="68"/>
        <v>7</v>
      </c>
      <c r="AV147" s="4">
        <f t="shared" si="69"/>
        <v>26</v>
      </c>
      <c r="AW147" s="4">
        <f t="shared" si="70"/>
        <v>2</v>
      </c>
      <c r="AX147" s="4">
        <f t="shared" si="71"/>
        <v>33</v>
      </c>
      <c r="AY147" s="4">
        <f t="shared" si="72"/>
        <v>37</v>
      </c>
      <c r="AZ147" s="4">
        <f t="shared" si="73"/>
        <v>28</v>
      </c>
      <c r="BA147" s="4">
        <f t="shared" si="74"/>
        <v>17</v>
      </c>
    </row>
    <row r="148" spans="1:53" x14ac:dyDescent="0.2">
      <c r="A148" s="1" t="str">
        <f>'SegEnds_NonXtal_Prot#'!A120</f>
        <v>gp153_human</v>
      </c>
      <c r="B148" s="1" t="str">
        <f t="shared" si="50"/>
        <v>RLPGSAVGWLVCGGLSLLANAWGILSVGAKKPLEFLLCTLAATHMLNVAVPIATYSVVQLRNEGLCKVFVSTFYTLTLATCFSVTSLSYHRMWMVCWAKKQAVHTVMGIWMVSFILSALPAVGGLGFGVCFLLLVGGSVAMGVICTAIALFQTLAVQVGRQADRREPAKTSLQTTGLVTTIVFIYDCLMGFPVLVVSFSSLRAPWMALCVLWCSVAQALLLPVFLWACDRYRADLKAVR</v>
      </c>
      <c r="C148" s="29" t="str">
        <f>IF(ISERROR(MATCH(A148,'SegEnds_Xtal_Prot#'!B:B, 0)), "NoXtal", "Xtal")</f>
        <v>NoXtal</v>
      </c>
      <c r="D148" s="4" t="str">
        <f>VLOOKUP(A148,Classification!A:D,2,FALSE)</f>
        <v>A</v>
      </c>
      <c r="E148" s="5" t="str">
        <f>VLOOKUP(A148,Seqs!A:B,2,FALSE)</f>
        <v>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</v>
      </c>
      <c r="F148" s="5" t="str">
        <f t="shared" si="51"/>
        <v>RLPGSAVGWLVCGGLSLLANAWGILSVGAK</v>
      </c>
      <c r="G148" s="4" t="str">
        <f t="shared" si="52"/>
        <v>QKKW</v>
      </c>
      <c r="H148" s="4" t="str">
        <f t="shared" si="53"/>
        <v>KPLEFLLCTLAATHMLNVAVPIATYSVVQLR</v>
      </c>
      <c r="I148" s="4" t="str">
        <f t="shared" si="54"/>
        <v>DFEW</v>
      </c>
      <c r="J148" s="4" t="str">
        <f t="shared" si="55"/>
        <v>NEGLCKVFVSTFYTLTLATCFSVTSLSYHRMWMVCW</v>
      </c>
      <c r="K148" s="4" t="str">
        <f t="shared" si="56"/>
        <v>PVNYRLSN</v>
      </c>
      <c r="L148" s="4" t="str">
        <f t="shared" si="57"/>
        <v>AKKQAVHTVMGIWMVSFILSALPAVG</v>
      </c>
      <c r="M148" s="4" t="str">
        <f t="shared" si="58"/>
        <v>CRF</v>
      </c>
      <c r="N148" s="4" t="str">
        <f t="shared" si="59"/>
        <v>GLGFGVCFLLLVGGSVAMGVICTAIALFQTLAVQVGRQADRR</v>
      </c>
      <c r="O148" s="4" t="str">
        <f t="shared" si="60"/>
        <v>EPAKTSLQTTGLVTTIVFIYDCLMGFPVLVVSFSSLRA</v>
      </c>
      <c r="P148" s="4" t="str">
        <f t="shared" si="61"/>
        <v>PWMALCVLWCSVAQALLLPVFLWA</v>
      </c>
      <c r="Q148" s="4" t="str">
        <f t="shared" si="62"/>
        <v>CDRYRADLKAVR</v>
      </c>
      <c r="R148" s="5">
        <f>VLOOKUP($A148,'SegEnds_NonXtal_Prot#'!$A:$AL,3,FALSE)</f>
        <v>6</v>
      </c>
      <c r="S148" s="5">
        <f>VLOOKUP($A148,'SegEnds_NonXtal_Prot#'!$A:$AL,6,FALSE)</f>
        <v>36</v>
      </c>
      <c r="T148" s="5">
        <f>VLOOKUP($A148,'SegEnds_NonXtal_Prot#'!$A:$AL,9,FALSE)</f>
        <v>40</v>
      </c>
      <c r="U148" s="5">
        <f>VLOOKUP($A148,'SegEnds_NonXtal_Prot#'!$A:$AL,12,FALSE)</f>
        <v>75</v>
      </c>
      <c r="V148" s="5">
        <f>VLOOKUP($A148,'SegEnds_NonXtal_Prot#'!$A:$AL,15,FALSE)</f>
        <v>79</v>
      </c>
      <c r="W148" s="5">
        <f>VLOOKUP($A148,'SegEnds_NonXtal_Prot#'!$A:$AL,18,FALSE)</f>
        <v>115</v>
      </c>
      <c r="X148" s="5">
        <f>VLOOKUP($A148,'SegEnds_NonXtal_Prot#'!$A:$AL,21,FALSE)</f>
        <v>123</v>
      </c>
      <c r="Y148" s="5">
        <f>VLOOKUP($A148,'SegEnds_NonXtal_Prot#'!$A:$AL,24,FALSE)</f>
        <v>161</v>
      </c>
      <c r="Z148" s="5">
        <f>VLOOKUP($A148,'SegEnds_NonXtal_Prot#'!$A:$AL,27,FALSE)</f>
        <v>169</v>
      </c>
      <c r="AA148" s="5">
        <f>VLOOKUP($A148,'SegEnds_NonXtal_Prot#'!$A:$AL,30,FALSE)</f>
        <v>234</v>
      </c>
      <c r="AB148" s="5">
        <f>VLOOKUP($A148,'SegEnds_NonXtal_Prot#'!$A:$AL,33,FALSE)</f>
        <v>276</v>
      </c>
      <c r="AC148" s="5">
        <f>VLOOKUP($A148,'SegEnds_NonXtal_Prot#'!$A:$AL,36,FALSE)</f>
        <v>300</v>
      </c>
      <c r="AD148" s="5">
        <f>VLOOKUP($A148,'SegEnds_NonXtal_Prot#'!$A:$AL,5,FALSE)</f>
        <v>35</v>
      </c>
      <c r="AE148" s="5">
        <f>VLOOKUP($A148,'SegEnds_NonXtal_Prot#'!$A:$AL,8,FALSE)</f>
        <v>39</v>
      </c>
      <c r="AF148" s="5">
        <f>VLOOKUP($A148,'SegEnds_NonXtal_Prot#'!$A:$AL,11,FALSE)</f>
        <v>70</v>
      </c>
      <c r="AG148" s="5">
        <f>VLOOKUP($A148,'SegEnds_NonXtal_Prot#'!$A:$AL,14,FALSE)</f>
        <v>78</v>
      </c>
      <c r="AH148" s="5">
        <f>VLOOKUP($A148,'SegEnds_NonXtal_Prot#'!$A:$AL,17,FALSE)</f>
        <v>114</v>
      </c>
      <c r="AI148" s="5">
        <f>VLOOKUP($A148,'SegEnds_NonXtal_Prot#'!$A:$AL,20,FALSE)</f>
        <v>122</v>
      </c>
      <c r="AJ148" s="5">
        <f>VLOOKUP($A148,'SegEnds_NonXtal_Prot#'!$A:$AL,23,FALSE)</f>
        <v>148</v>
      </c>
      <c r="AK148" s="5">
        <f>VLOOKUP($A148,'SegEnds_NonXtal_Prot#'!$A:$AL,26,FALSE)</f>
        <v>163</v>
      </c>
      <c r="AL148" s="5">
        <f>VLOOKUP($A148,'SegEnds_NonXtal_Prot#'!$A:$AL,29,FALSE)</f>
        <v>210</v>
      </c>
      <c r="AM148" s="5">
        <f>VLOOKUP($A148,'SegEnds_NonXtal_Prot#'!$A:$AL,32,FALSE)</f>
        <v>271</v>
      </c>
      <c r="AN148" s="5">
        <f>VLOOKUP($A148,'SegEnds_NonXtal_Prot#'!$A:$AL,35,FALSE)</f>
        <v>299</v>
      </c>
      <c r="AO148" s="5">
        <f>VLOOKUP($A148,'SegEnds_NonXtal_Prot#'!$A:$AL,38,FALSE)</f>
        <v>311</v>
      </c>
      <c r="AP148" s="5">
        <f t="shared" si="63"/>
        <v>29</v>
      </c>
      <c r="AQ148" s="4">
        <f t="shared" si="64"/>
        <v>3</v>
      </c>
      <c r="AR148" s="4">
        <f t="shared" si="65"/>
        <v>30</v>
      </c>
      <c r="AS148" s="4">
        <f t="shared" si="66"/>
        <v>3</v>
      </c>
      <c r="AT148" s="4">
        <f t="shared" si="67"/>
        <v>35</v>
      </c>
      <c r="AU148" s="4">
        <f t="shared" si="68"/>
        <v>7</v>
      </c>
      <c r="AV148" s="4">
        <f t="shared" si="69"/>
        <v>25</v>
      </c>
      <c r="AW148" s="4">
        <f t="shared" si="70"/>
        <v>2</v>
      </c>
      <c r="AX148" s="4">
        <f t="shared" si="71"/>
        <v>41</v>
      </c>
      <c r="AY148" s="4">
        <f t="shared" si="72"/>
        <v>37</v>
      </c>
      <c r="AZ148" s="4">
        <f t="shared" si="73"/>
        <v>23</v>
      </c>
      <c r="BA148" s="4">
        <f t="shared" si="74"/>
        <v>11</v>
      </c>
    </row>
    <row r="149" spans="1:53" x14ac:dyDescent="0.2">
      <c r="A149" s="1" t="str">
        <f>'SegEnds_NonXtal_Prot#'!A121</f>
        <v>gp161_human</v>
      </c>
      <c r="B149" s="1" t="str">
        <f t="shared" si="50"/>
        <v>EGGVIITQFIAIIVITIFVCLGNLVIVVTLYKKTLSNKFVFSLTLSNFLLSVLVLPFVVTSSIRRGVVWCNFSALLYLLISSASMLTLGVIAIDRYYAVLYTGNRAVMALVYIWLHSLIGCLPPLFGEPGYTAFWQIWCALFPFLVMLVCYGFIFRVARVKARKVHCGTVVYSANQCKALITILVVLGAFMVTWGPYMVVIASEALWSPSLETWATWLSFASAVCHPLIYGLWNKTVRKELLGMC</v>
      </c>
      <c r="C149" s="29" t="str">
        <f>IF(ISERROR(MATCH(A149,'SegEnds_Xtal_Prot#'!B:B, 0)), "NoXtal", "Xtal")</f>
        <v>NoXtal</v>
      </c>
      <c r="D149" s="4" t="str">
        <f>VLOOKUP(A149,Classification!A:D,2,FALSE)</f>
        <v>A</v>
      </c>
      <c r="E149" s="5" t="str">
        <f>VLOOKUP(A149,Seqs!A:B,2,FALSE)</f>
        <v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v>
      </c>
      <c r="F149" s="5" t="str">
        <f t="shared" si="51"/>
        <v>EGGVIITQFIAIIVITIFVCLGNLVIVVTLYKK</v>
      </c>
      <c r="G149" s="4" t="str">
        <f t="shared" si="52"/>
        <v>SYLL</v>
      </c>
      <c r="H149" s="4" t="str">
        <f t="shared" si="53"/>
        <v>TLSNKFVFSLTLSNFLLSVLVLPFVVTSSIRR</v>
      </c>
      <c r="I149" s="4" t="str">
        <f t="shared" si="54"/>
        <v>EWIF</v>
      </c>
      <c r="J149" s="4" t="str">
        <f t="shared" si="55"/>
        <v>GVVWCNFSALLYLLISSASMLTLGVIAIDRYYAVLY</v>
      </c>
      <c r="K149" s="4" t="str">
        <f t="shared" si="56"/>
        <v>PMVYPMKI</v>
      </c>
      <c r="L149" s="4" t="str">
        <f t="shared" si="57"/>
        <v>TGNRAVMALVYIWLHSLIGCLPPLFG</v>
      </c>
      <c r="M149" s="4" t="str">
        <f t="shared" si="58"/>
        <v>CVA</v>
      </c>
      <c r="N149" s="4" t="str">
        <f t="shared" si="59"/>
        <v>EPGYTAFWQIWCALFPFLVMLVCYGFIFRVARVKARKVHCGT</v>
      </c>
      <c r="O149" s="4" t="str">
        <f t="shared" si="60"/>
        <v>VVYSANQCKALITILVVLGAFMVTWGPYMVVIASEALW</v>
      </c>
      <c r="P149" s="4" t="str">
        <f t="shared" si="61"/>
        <v>SPSLETWATWLSFASAVCHPLIYGLW</v>
      </c>
      <c r="Q149" s="4" t="str">
        <f t="shared" si="62"/>
        <v>NKTVRKELLGMC</v>
      </c>
      <c r="R149" s="5">
        <f>VLOOKUP($A149,'SegEnds_NonXtal_Prot#'!$A:$AL,3,FALSE)</f>
        <v>23</v>
      </c>
      <c r="S149" s="5">
        <f>VLOOKUP($A149,'SegEnds_NonXtal_Prot#'!$A:$AL,6,FALSE)</f>
        <v>56</v>
      </c>
      <c r="T149" s="5">
        <f>VLOOKUP($A149,'SegEnds_NonXtal_Prot#'!$A:$AL,9,FALSE)</f>
        <v>60</v>
      </c>
      <c r="U149" s="5">
        <f>VLOOKUP($A149,'SegEnds_NonXtal_Prot#'!$A:$AL,12,FALSE)</f>
        <v>92</v>
      </c>
      <c r="V149" s="5">
        <f>VLOOKUP($A149,'SegEnds_NonXtal_Prot#'!$A:$AL,15,FALSE)</f>
        <v>96</v>
      </c>
      <c r="W149" s="5">
        <f>VLOOKUP($A149,'SegEnds_NonXtal_Prot#'!$A:$AL,18,FALSE)</f>
        <v>132</v>
      </c>
      <c r="X149" s="5">
        <f>VLOOKUP($A149,'SegEnds_NonXtal_Prot#'!$A:$AL,21,FALSE)</f>
        <v>140</v>
      </c>
      <c r="Y149" s="5">
        <f>VLOOKUP($A149,'SegEnds_NonXtal_Prot#'!$A:$AL,24,FALSE)</f>
        <v>178</v>
      </c>
      <c r="Z149" s="5">
        <f>VLOOKUP($A149,'SegEnds_NonXtal_Prot#'!$A:$AL,27,FALSE)</f>
        <v>185</v>
      </c>
      <c r="AA149" s="5">
        <f>VLOOKUP($A149,'SegEnds_NonXtal_Prot#'!$A:$AL,30,FALSE)</f>
        <v>259</v>
      </c>
      <c r="AB149" s="5">
        <f>VLOOKUP($A149,'SegEnds_NonXtal_Prot#'!$A:$AL,33,FALSE)</f>
        <v>302</v>
      </c>
      <c r="AC149" s="5">
        <f>VLOOKUP($A149,'SegEnds_NonXtal_Prot#'!$A:$AL,36,FALSE)</f>
        <v>328</v>
      </c>
      <c r="AD149" s="5">
        <f>VLOOKUP($A149,'SegEnds_NonXtal_Prot#'!$A:$AL,5,FALSE)</f>
        <v>55</v>
      </c>
      <c r="AE149" s="5">
        <f>VLOOKUP($A149,'SegEnds_NonXtal_Prot#'!$A:$AL,8,FALSE)</f>
        <v>59</v>
      </c>
      <c r="AF149" s="5">
        <f>VLOOKUP($A149,'SegEnds_NonXtal_Prot#'!$A:$AL,11,FALSE)</f>
        <v>91</v>
      </c>
      <c r="AG149" s="5">
        <f>VLOOKUP($A149,'SegEnds_NonXtal_Prot#'!$A:$AL,14,FALSE)</f>
        <v>95</v>
      </c>
      <c r="AH149" s="5">
        <f>VLOOKUP($A149,'SegEnds_NonXtal_Prot#'!$A:$AL,17,FALSE)</f>
        <v>131</v>
      </c>
      <c r="AI149" s="5">
        <f>VLOOKUP($A149,'SegEnds_NonXtal_Prot#'!$A:$AL,20,FALSE)</f>
        <v>139</v>
      </c>
      <c r="AJ149" s="5">
        <f>VLOOKUP($A149,'SegEnds_NonXtal_Prot#'!$A:$AL,23,FALSE)</f>
        <v>165</v>
      </c>
      <c r="AK149" s="5">
        <f>VLOOKUP($A149,'SegEnds_NonXtal_Prot#'!$A:$AL,26,FALSE)</f>
        <v>180</v>
      </c>
      <c r="AL149" s="5">
        <f>VLOOKUP($A149,'SegEnds_NonXtal_Prot#'!$A:$AL,29,FALSE)</f>
        <v>226</v>
      </c>
      <c r="AM149" s="5">
        <f>VLOOKUP($A149,'SegEnds_NonXtal_Prot#'!$A:$AL,32,FALSE)</f>
        <v>296</v>
      </c>
      <c r="AN149" s="5">
        <f>VLOOKUP($A149,'SegEnds_NonXtal_Prot#'!$A:$AL,35,FALSE)</f>
        <v>327</v>
      </c>
      <c r="AO149" s="5">
        <f>VLOOKUP($A149,'SegEnds_NonXtal_Prot#'!$A:$AL,38,FALSE)</f>
        <v>339</v>
      </c>
      <c r="AP149" s="5">
        <f t="shared" si="63"/>
        <v>32</v>
      </c>
      <c r="AQ149" s="4">
        <f t="shared" si="64"/>
        <v>3</v>
      </c>
      <c r="AR149" s="4">
        <f t="shared" si="65"/>
        <v>31</v>
      </c>
      <c r="AS149" s="4">
        <f t="shared" si="66"/>
        <v>3</v>
      </c>
      <c r="AT149" s="4">
        <f t="shared" si="67"/>
        <v>35</v>
      </c>
      <c r="AU149" s="4">
        <f t="shared" si="68"/>
        <v>7</v>
      </c>
      <c r="AV149" s="4">
        <f t="shared" si="69"/>
        <v>25</v>
      </c>
      <c r="AW149" s="4">
        <f t="shared" si="70"/>
        <v>2</v>
      </c>
      <c r="AX149" s="4">
        <f t="shared" si="71"/>
        <v>41</v>
      </c>
      <c r="AY149" s="4">
        <f t="shared" si="72"/>
        <v>37</v>
      </c>
      <c r="AZ149" s="4">
        <f t="shared" si="73"/>
        <v>25</v>
      </c>
      <c r="BA149" s="4">
        <f t="shared" si="74"/>
        <v>11</v>
      </c>
    </row>
    <row r="150" spans="1:53" x14ac:dyDescent="0.2">
      <c r="A150" s="1" t="str">
        <f>'SegEnds_NonXtal_Prot#'!A122</f>
        <v>gp162_human</v>
      </c>
      <c r="B150" s="1" t="str">
        <f t="shared" si="50"/>
        <v>EEASLRSNALSWLACGLLALLANAWIILSISAKKPLELLLCFLAGTHILMAAVPLTTFAVVQLRNESICKVFVSTYYTLALATCFTVASLSYHRMWMVRWAKKQALHAVMGIWMVSFILSTLPSIGWGLGFGVCFSLLLLGGIVMGLVCVAITFYQTLWARPRRARQESAKTSLQVTNLVSAIVFLYDSLTGVPILVVSFFSLKSPWMVLAVLWCSMAQTLLLPSFIWSCERYRADVRTVW</v>
      </c>
      <c r="C150" s="29" t="str">
        <f>IF(ISERROR(MATCH(A150,'SegEnds_Xtal_Prot#'!B:B, 0)), "NoXtal", "Xtal")</f>
        <v>NoXtal</v>
      </c>
      <c r="D150" s="4" t="str">
        <f>VLOOKUP(A150,Classification!A:D,2,FALSE)</f>
        <v>A</v>
      </c>
      <c r="E150" s="5" t="str">
        <f>VLOOKUP(A150,Seqs!A:B,2,FALSE)</f>
        <v>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</v>
      </c>
      <c r="F150" s="5" t="str">
        <f t="shared" si="51"/>
        <v>EEASLRSNALSWLACGLLALLANAWIILSISAK</v>
      </c>
      <c r="G150" s="4" t="str">
        <f t="shared" si="52"/>
        <v>QQKH</v>
      </c>
      <c r="H150" s="4" t="str">
        <f t="shared" si="53"/>
        <v>KPLELLLCFLAGTHILMAAVPLTTFAVVQLR</v>
      </c>
      <c r="I150" s="4" t="str">
        <f t="shared" si="54"/>
        <v>DYDW</v>
      </c>
      <c r="J150" s="4" t="str">
        <f t="shared" si="55"/>
        <v>NESICKVFVSTYYTLALATCFTVASLSYHRMWMVRW</v>
      </c>
      <c r="K150" s="4" t="str">
        <f t="shared" si="56"/>
        <v>PVNYRLSN</v>
      </c>
      <c r="L150" s="4" t="str">
        <f t="shared" si="57"/>
        <v>AKKQALHAVMGIWMVSFILSTLPSIGW</v>
      </c>
      <c r="M150" s="4" t="str">
        <f t="shared" si="58"/>
        <v>CQF</v>
      </c>
      <c r="N150" s="4" t="str">
        <f t="shared" si="59"/>
        <v>GLGFGVCFSLLLLGGIVMGLVCVAITFYQTLWARPRRARQ</v>
      </c>
      <c r="O150" s="4" t="str">
        <f t="shared" si="60"/>
        <v>ESAKTSLQVTNLVSAIVFLYDSLTGVPILVVSFFSLKS</v>
      </c>
      <c r="P150" s="4" t="str">
        <f t="shared" si="61"/>
        <v>PWMVLAVLWCSMAQTLLLPSFIWS</v>
      </c>
      <c r="Q150" s="4" t="str">
        <f t="shared" si="62"/>
        <v>CERYRADVRTVW</v>
      </c>
      <c r="R150" s="5">
        <f>VLOOKUP($A150,'SegEnds_NonXtal_Prot#'!$A:$AL,3,FALSE)</f>
        <v>9</v>
      </c>
      <c r="S150" s="5">
        <f>VLOOKUP($A150,'SegEnds_NonXtal_Prot#'!$A:$AL,6,FALSE)</f>
        <v>42</v>
      </c>
      <c r="T150" s="5">
        <f>VLOOKUP($A150,'SegEnds_NonXtal_Prot#'!$A:$AL,9,FALSE)</f>
        <v>46</v>
      </c>
      <c r="U150" s="5">
        <f>VLOOKUP($A150,'SegEnds_NonXtal_Prot#'!$A:$AL,12,FALSE)</f>
        <v>82</v>
      </c>
      <c r="V150" s="5">
        <f>VLOOKUP($A150,'SegEnds_NonXtal_Prot#'!$A:$AL,15,FALSE)</f>
        <v>86</v>
      </c>
      <c r="W150" s="5">
        <f>VLOOKUP($A150,'SegEnds_NonXtal_Prot#'!$A:$AL,18,FALSE)</f>
        <v>122</v>
      </c>
      <c r="X150" s="5">
        <f>VLOOKUP($A150,'SegEnds_NonXtal_Prot#'!$A:$AL,21,FALSE)</f>
        <v>130</v>
      </c>
      <c r="Y150" s="5">
        <f>VLOOKUP($A150,'SegEnds_NonXtal_Prot#'!$A:$AL,24,FALSE)</f>
        <v>168</v>
      </c>
      <c r="Z150" s="5">
        <f>VLOOKUP($A150,'SegEnds_NonXtal_Prot#'!$A:$AL,27,FALSE)</f>
        <v>176</v>
      </c>
      <c r="AA150" s="5">
        <f>VLOOKUP($A150,'SegEnds_NonXtal_Prot#'!$A:$AL,30,FALSE)</f>
        <v>261</v>
      </c>
      <c r="AB150" s="5">
        <f>VLOOKUP($A150,'SegEnds_NonXtal_Prot#'!$A:$AL,33,FALSE)</f>
        <v>303</v>
      </c>
      <c r="AC150" s="5">
        <f>VLOOKUP($A150,'SegEnds_NonXtal_Prot#'!$A:$AL,36,FALSE)</f>
        <v>327</v>
      </c>
      <c r="AD150" s="5">
        <f>VLOOKUP($A150,'SegEnds_NonXtal_Prot#'!$A:$AL,5,FALSE)</f>
        <v>41</v>
      </c>
      <c r="AE150" s="5">
        <f>VLOOKUP($A150,'SegEnds_NonXtal_Prot#'!$A:$AL,8,FALSE)</f>
        <v>45</v>
      </c>
      <c r="AF150" s="5">
        <f>VLOOKUP($A150,'SegEnds_NonXtal_Prot#'!$A:$AL,11,FALSE)</f>
        <v>76</v>
      </c>
      <c r="AG150" s="5">
        <f>VLOOKUP($A150,'SegEnds_NonXtal_Prot#'!$A:$AL,14,FALSE)</f>
        <v>85</v>
      </c>
      <c r="AH150" s="5">
        <f>VLOOKUP($A150,'SegEnds_NonXtal_Prot#'!$A:$AL,17,FALSE)</f>
        <v>121</v>
      </c>
      <c r="AI150" s="5">
        <f>VLOOKUP($A150,'SegEnds_NonXtal_Prot#'!$A:$AL,20,FALSE)</f>
        <v>129</v>
      </c>
      <c r="AJ150" s="5">
        <f>VLOOKUP($A150,'SegEnds_NonXtal_Prot#'!$A:$AL,23,FALSE)</f>
        <v>156</v>
      </c>
      <c r="AK150" s="5">
        <f>VLOOKUP($A150,'SegEnds_NonXtal_Prot#'!$A:$AL,26,FALSE)</f>
        <v>170</v>
      </c>
      <c r="AL150" s="5">
        <f>VLOOKUP($A150,'SegEnds_NonXtal_Prot#'!$A:$AL,29,FALSE)</f>
        <v>215</v>
      </c>
      <c r="AM150" s="5">
        <f>VLOOKUP($A150,'SegEnds_NonXtal_Prot#'!$A:$AL,32,FALSE)</f>
        <v>298</v>
      </c>
      <c r="AN150" s="5">
        <f>VLOOKUP($A150,'SegEnds_NonXtal_Prot#'!$A:$AL,35,FALSE)</f>
        <v>326</v>
      </c>
      <c r="AO150" s="5">
        <f>VLOOKUP($A150,'SegEnds_NonXtal_Prot#'!$A:$AL,38,FALSE)</f>
        <v>338</v>
      </c>
      <c r="AP150" s="5">
        <f t="shared" si="63"/>
        <v>32</v>
      </c>
      <c r="AQ150" s="4">
        <f t="shared" si="64"/>
        <v>3</v>
      </c>
      <c r="AR150" s="4">
        <f t="shared" si="65"/>
        <v>30</v>
      </c>
      <c r="AS150" s="4">
        <f t="shared" si="66"/>
        <v>3</v>
      </c>
      <c r="AT150" s="4">
        <f t="shared" si="67"/>
        <v>35</v>
      </c>
      <c r="AU150" s="4">
        <f t="shared" si="68"/>
        <v>7</v>
      </c>
      <c r="AV150" s="4">
        <f t="shared" si="69"/>
        <v>26</v>
      </c>
      <c r="AW150" s="4">
        <f t="shared" si="70"/>
        <v>2</v>
      </c>
      <c r="AX150" s="4">
        <f t="shared" si="71"/>
        <v>39</v>
      </c>
      <c r="AY150" s="4">
        <f t="shared" si="72"/>
        <v>37</v>
      </c>
      <c r="AZ150" s="4">
        <f t="shared" si="73"/>
        <v>23</v>
      </c>
      <c r="BA150" s="4">
        <f t="shared" si="74"/>
        <v>11</v>
      </c>
    </row>
    <row r="151" spans="1:53" x14ac:dyDescent="0.2">
      <c r="A151" s="1" t="str">
        <f>'SegEnds_NonXtal_Prot#'!A126</f>
        <v>gp183_human</v>
      </c>
      <c r="B151" s="1" t="str">
        <f t="shared" si="50"/>
        <v>LYAHHSTARIVMPLHYSLVFIIGLVGNLLALVVIVQNNSTTLYSTNLVISDILFTTALPTRIAYYAMGDALCRITALVFYINTYAGVNFMTCLSIDRFIAVVHRIEHAKGVCIFVWILVFAQTLPLLINPEETKSLPWILLGACFIGYVLPLIIILICYSQICCKLFRTLTEKSGVNKKALNTIILIIVVFVLCFTPYHVAIIQHMIKKLRECSQRHSFQISLHFTVCLMNFNCCMDPFIYFFACKGYKRKVMRMLK</v>
      </c>
      <c r="C151" s="29" t="str">
        <f>IF(ISERROR(MATCH(A151,'SegEnds_Xtal_Prot#'!B:B, 0)), "NoXtal", "Xtal")</f>
        <v>NoXtal</v>
      </c>
      <c r="D151" s="4" t="str">
        <f>VLOOKUP(A151,Classification!A:D,2,FALSE)</f>
        <v>A</v>
      </c>
      <c r="E151" s="5" t="str">
        <f>VLOOKUP(A151,Seqs!A:B,2,FALSE)</f>
        <v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v>
      </c>
      <c r="F151" s="5" t="str">
        <f t="shared" si="51"/>
        <v>LYAHHSTARIVMPLHYSLVFIIGLVGNLLALVVIVQN</v>
      </c>
      <c r="G151" s="4" t="str">
        <f t="shared" si="52"/>
        <v>RKKI</v>
      </c>
      <c r="H151" s="4" t="str">
        <f t="shared" si="53"/>
        <v>NSTTLYSTNLVISDILFTTALPTRIAYYAM</v>
      </c>
      <c r="I151" s="4" t="str">
        <f t="shared" si="54"/>
        <v>DWRI</v>
      </c>
      <c r="J151" s="4" t="str">
        <f t="shared" si="55"/>
        <v>GDALCRITALVFYINTYAGVNFMTCLSIDRFIAVVH</v>
      </c>
      <c r="K151" s="4" t="str">
        <f t="shared" si="56"/>
        <v>PLRYNKIK</v>
      </c>
      <c r="L151" s="4" t="str">
        <f t="shared" si="57"/>
        <v>RIEHAKGVCIFVWILVFAQTLPLLINP</v>
      </c>
      <c r="M151" s="4" t="str">
        <f t="shared" si="58"/>
        <v>CME</v>
      </c>
      <c r="N151" s="4" t="str">
        <f t="shared" si="59"/>
        <v>EETKSLPWILLGACFIGYVLPLIIILICYSQICCKLFRT</v>
      </c>
      <c r="O151" s="4" t="str">
        <f t="shared" si="60"/>
        <v>LTEKSGVNKKALNTIILIIVVFVLCFTPYHVAIIQHMIKKLR</v>
      </c>
      <c r="P151" s="4" t="str">
        <f t="shared" si="61"/>
        <v>ECSQRHSFQISLHFTVCLMNFNCCMDPFIYFFA</v>
      </c>
      <c r="Q151" s="4" t="str">
        <f t="shared" si="62"/>
        <v>CKGYKRKVMRMLK</v>
      </c>
      <c r="R151" s="5">
        <f>VLOOKUP($A151,'SegEnds_NonXtal_Prot#'!$A:$AL,3,FALSE)</f>
        <v>23</v>
      </c>
      <c r="S151" s="5">
        <f>VLOOKUP($A151,'SegEnds_NonXtal_Prot#'!$A:$AL,6,FALSE)</f>
        <v>60</v>
      </c>
      <c r="T151" s="5">
        <f>VLOOKUP($A151,'SegEnds_NonXtal_Prot#'!$A:$AL,9,FALSE)</f>
        <v>64</v>
      </c>
      <c r="U151" s="5">
        <f>VLOOKUP($A151,'SegEnds_NonXtal_Prot#'!$A:$AL,12,FALSE)</f>
        <v>96</v>
      </c>
      <c r="V151" s="5">
        <f>VLOOKUP($A151,'SegEnds_NonXtal_Prot#'!$A:$AL,15,FALSE)</f>
        <v>100</v>
      </c>
      <c r="W151" s="5">
        <f>VLOOKUP($A151,'SegEnds_NonXtal_Prot#'!$A:$AL,18,FALSE)</f>
        <v>136</v>
      </c>
      <c r="X151" s="5">
        <f>VLOOKUP($A151,'SegEnds_NonXtal_Prot#'!$A:$AL,21,FALSE)</f>
        <v>144</v>
      </c>
      <c r="Y151" s="5">
        <f>VLOOKUP($A151,'SegEnds_NonXtal_Prot#'!$A:$AL,24,FALSE)</f>
        <v>181</v>
      </c>
      <c r="Z151" s="5">
        <f>VLOOKUP($A151,'SegEnds_NonXtal_Prot#'!$A:$AL,27,FALSE)</f>
        <v>188</v>
      </c>
      <c r="AA151" s="5">
        <f>VLOOKUP($A151,'SegEnds_NonXtal_Prot#'!$A:$AL,30,FALSE)</f>
        <v>232</v>
      </c>
      <c r="AB151" s="5">
        <f>VLOOKUP($A151,'SegEnds_NonXtal_Prot#'!$A:$AL,33,FALSE)</f>
        <v>279</v>
      </c>
      <c r="AC151" s="5">
        <f>VLOOKUP($A151,'SegEnds_NonXtal_Prot#'!$A:$AL,36,FALSE)</f>
        <v>312</v>
      </c>
      <c r="AD151" s="5">
        <f>VLOOKUP($A151,'SegEnds_NonXtal_Prot#'!$A:$AL,5,FALSE)</f>
        <v>59</v>
      </c>
      <c r="AE151" s="5">
        <f>VLOOKUP($A151,'SegEnds_NonXtal_Prot#'!$A:$AL,8,FALSE)</f>
        <v>63</v>
      </c>
      <c r="AF151" s="5">
        <f>VLOOKUP($A151,'SegEnds_NonXtal_Prot#'!$A:$AL,11,FALSE)</f>
        <v>93</v>
      </c>
      <c r="AG151" s="5">
        <f>VLOOKUP($A151,'SegEnds_NonXtal_Prot#'!$A:$AL,14,FALSE)</f>
        <v>99</v>
      </c>
      <c r="AH151" s="5">
        <f>VLOOKUP($A151,'SegEnds_NonXtal_Prot#'!$A:$AL,17,FALSE)</f>
        <v>135</v>
      </c>
      <c r="AI151" s="5">
        <f>VLOOKUP($A151,'SegEnds_NonXtal_Prot#'!$A:$AL,20,FALSE)</f>
        <v>143</v>
      </c>
      <c r="AJ151" s="5">
        <f>VLOOKUP($A151,'SegEnds_NonXtal_Prot#'!$A:$AL,23,FALSE)</f>
        <v>170</v>
      </c>
      <c r="AK151" s="5">
        <f>VLOOKUP($A151,'SegEnds_NonXtal_Prot#'!$A:$AL,26,FALSE)</f>
        <v>183</v>
      </c>
      <c r="AL151" s="5">
        <f>VLOOKUP($A151,'SegEnds_NonXtal_Prot#'!$A:$AL,29,FALSE)</f>
        <v>226</v>
      </c>
      <c r="AM151" s="5">
        <f>VLOOKUP($A151,'SegEnds_NonXtal_Prot#'!$A:$AL,32,FALSE)</f>
        <v>273</v>
      </c>
      <c r="AN151" s="5">
        <f>VLOOKUP($A151,'SegEnds_NonXtal_Prot#'!$A:$AL,35,FALSE)</f>
        <v>311</v>
      </c>
      <c r="AO151" s="5">
        <f>VLOOKUP($A151,'SegEnds_NonXtal_Prot#'!$A:$AL,38,FALSE)</f>
        <v>324</v>
      </c>
      <c r="AP151" s="5">
        <f t="shared" si="63"/>
        <v>36</v>
      </c>
      <c r="AQ151" s="4">
        <f t="shared" si="64"/>
        <v>3</v>
      </c>
      <c r="AR151" s="4">
        <f t="shared" si="65"/>
        <v>29</v>
      </c>
      <c r="AS151" s="4">
        <f t="shared" si="66"/>
        <v>3</v>
      </c>
      <c r="AT151" s="4">
        <f t="shared" si="67"/>
        <v>35</v>
      </c>
      <c r="AU151" s="4">
        <f t="shared" si="68"/>
        <v>7</v>
      </c>
      <c r="AV151" s="4">
        <f t="shared" si="69"/>
        <v>26</v>
      </c>
      <c r="AW151" s="4">
        <f t="shared" si="70"/>
        <v>2</v>
      </c>
      <c r="AX151" s="4">
        <f t="shared" si="71"/>
        <v>38</v>
      </c>
      <c r="AY151" s="4">
        <f t="shared" si="72"/>
        <v>41</v>
      </c>
      <c r="AZ151" s="4">
        <f t="shared" si="73"/>
        <v>32</v>
      </c>
      <c r="BA151" s="4">
        <f t="shared" si="74"/>
        <v>12</v>
      </c>
    </row>
    <row r="152" spans="1:53" x14ac:dyDescent="0.2">
      <c r="A152" s="1" t="str">
        <f>'SegEnds_NonXtal_Prot#'!A127</f>
        <v>gper1_human</v>
      </c>
      <c r="B152" s="1" t="str">
        <f t="shared" si="50"/>
        <v>EHQQYVIGLFLSCLYTIFLFPIGFVGNILILVVNISFTIPDLYFINLAVADLILVADSLIEVFNLHEAVLCTFMSLFLQVNMYSSVFFLTWMSFDRYIALARTKHHARLSCGLIWMASVSATLVPFTAVDVREVQWLEVTLGFIVPFAIIGLCYSLIVRVLVRARGLRPRRQKALRMILAVVLVFFVCWLPENVFISVHLLQRTQKQSFRHAHPLTGHIVNLAAFSNSCLNPLIYSFLGETFRDKLRLYIE</v>
      </c>
      <c r="C152" s="29" t="str">
        <f>IF(ISERROR(MATCH(A152,'SegEnds_Xtal_Prot#'!B:B, 0)), "NoXtal", "Xtal")</f>
        <v>NoXtal</v>
      </c>
      <c r="D152" s="4" t="str">
        <f>VLOOKUP(A152,Classification!A:D,2,FALSE)</f>
        <v>A</v>
      </c>
      <c r="E152" s="5" t="str">
        <f>VLOOKUP(A152,Seqs!A:B,2,FALSE)</f>
        <v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v>
      </c>
      <c r="F152" s="5" t="str">
        <f t="shared" si="51"/>
        <v>EHQQYVIGLFLSCLYTIFLFPIGFVGNILILVVNISF</v>
      </c>
      <c r="G152" s="4" t="str">
        <f t="shared" si="52"/>
        <v>REKM</v>
      </c>
      <c r="H152" s="4" t="str">
        <f t="shared" si="53"/>
        <v>TIPDLYFINLAVADLILVADSLIEVFNLHE</v>
      </c>
      <c r="I152" s="4" t="str">
        <f t="shared" si="54"/>
        <v>YYDI</v>
      </c>
      <c r="J152" s="4" t="str">
        <f t="shared" si="55"/>
        <v>AVLCTFMSLFLQVNMYSSVFFLTWMSFDRYIALAR</v>
      </c>
      <c r="K152" s="4" t="str">
        <f t="shared" si="56"/>
        <v>AMRCSLFR</v>
      </c>
      <c r="L152" s="4" t="str">
        <f t="shared" si="57"/>
        <v>TKHHARLSCGLIWMASVSATLVPFTAV</v>
      </c>
      <c r="M152" s="4" t="str">
        <f t="shared" si="58"/>
        <v>CFC</v>
      </c>
      <c r="N152" s="4" t="str">
        <f t="shared" si="59"/>
        <v>DVREVQWLEVTLGFIVPFAIIGLCYSLIVRVLVRA</v>
      </c>
      <c r="O152" s="4" t="str">
        <f t="shared" si="60"/>
        <v>RGLRPRRQKALRMILAVVLVFFVCWLPENVFISVHLLQRTQ</v>
      </c>
      <c r="P152" s="4" t="str">
        <f t="shared" si="61"/>
        <v>KQSFRHAHPLTGHIVNLAAFSNSCLNPLIYSFL</v>
      </c>
      <c r="Q152" s="4" t="str">
        <f t="shared" si="62"/>
        <v>GETFRDKLRLYIE</v>
      </c>
      <c r="R152" s="5">
        <f>VLOOKUP($A152,'SegEnds_NonXtal_Prot#'!$A:$AL,3,FALSE)</f>
        <v>51</v>
      </c>
      <c r="S152" s="5">
        <f>VLOOKUP($A152,'SegEnds_NonXtal_Prot#'!$A:$AL,6,FALSE)</f>
        <v>88</v>
      </c>
      <c r="T152" s="5">
        <f>VLOOKUP($A152,'SegEnds_NonXtal_Prot#'!$A:$AL,9,FALSE)</f>
        <v>92</v>
      </c>
      <c r="U152" s="5">
        <f>VLOOKUP($A152,'SegEnds_NonXtal_Prot#'!$A:$AL,12,FALSE)</f>
        <v>123</v>
      </c>
      <c r="V152" s="5">
        <f>VLOOKUP($A152,'SegEnds_NonXtal_Prot#'!$A:$AL,15,FALSE)</f>
        <v>127</v>
      </c>
      <c r="W152" s="5">
        <f>VLOOKUP($A152,'SegEnds_NonXtal_Prot#'!$A:$AL,18,FALSE)</f>
        <v>162</v>
      </c>
      <c r="X152" s="5">
        <f>VLOOKUP($A152,'SegEnds_NonXtal_Prot#'!$A:$AL,21,FALSE)</f>
        <v>170</v>
      </c>
      <c r="Y152" s="5">
        <f>VLOOKUP($A152,'SegEnds_NonXtal_Prot#'!$A:$AL,24,FALSE)</f>
        <v>205</v>
      </c>
      <c r="Z152" s="5">
        <f>VLOOKUP($A152,'SegEnds_NonXtal_Prot#'!$A:$AL,27,FALSE)</f>
        <v>210</v>
      </c>
      <c r="AA152" s="5">
        <f>VLOOKUP($A152,'SegEnds_NonXtal_Prot#'!$A:$AL,30,FALSE)</f>
        <v>248</v>
      </c>
      <c r="AB152" s="5">
        <f>VLOOKUP($A152,'SegEnds_NonXtal_Prot#'!$A:$AL,33,FALSE)</f>
        <v>295</v>
      </c>
      <c r="AC152" s="5">
        <f>VLOOKUP($A152,'SegEnds_NonXtal_Prot#'!$A:$AL,36,FALSE)</f>
        <v>328</v>
      </c>
      <c r="AD152" s="5">
        <f>VLOOKUP($A152,'SegEnds_NonXtal_Prot#'!$A:$AL,5,FALSE)</f>
        <v>87</v>
      </c>
      <c r="AE152" s="5">
        <f>VLOOKUP($A152,'SegEnds_NonXtal_Prot#'!$A:$AL,8,FALSE)</f>
        <v>91</v>
      </c>
      <c r="AF152" s="5">
        <f>VLOOKUP($A152,'SegEnds_NonXtal_Prot#'!$A:$AL,11,FALSE)</f>
        <v>121</v>
      </c>
      <c r="AG152" s="5">
        <f>VLOOKUP($A152,'SegEnds_NonXtal_Prot#'!$A:$AL,14,FALSE)</f>
        <v>126</v>
      </c>
      <c r="AH152" s="5">
        <f>VLOOKUP($A152,'SegEnds_NonXtal_Prot#'!$A:$AL,17,FALSE)</f>
        <v>161</v>
      </c>
      <c r="AI152" s="5">
        <f>VLOOKUP($A152,'SegEnds_NonXtal_Prot#'!$A:$AL,20,FALSE)</f>
        <v>169</v>
      </c>
      <c r="AJ152" s="5">
        <f>VLOOKUP($A152,'SegEnds_NonXtal_Prot#'!$A:$AL,23,FALSE)</f>
        <v>196</v>
      </c>
      <c r="AK152" s="5">
        <f>VLOOKUP($A152,'SegEnds_NonXtal_Prot#'!$A:$AL,26,FALSE)</f>
        <v>207</v>
      </c>
      <c r="AL152" s="5">
        <f>VLOOKUP($A152,'SegEnds_NonXtal_Prot#'!$A:$AL,29,FALSE)</f>
        <v>244</v>
      </c>
      <c r="AM152" s="5">
        <f>VLOOKUP($A152,'SegEnds_NonXtal_Prot#'!$A:$AL,32,FALSE)</f>
        <v>288</v>
      </c>
      <c r="AN152" s="5">
        <f>VLOOKUP($A152,'SegEnds_NonXtal_Prot#'!$A:$AL,35,FALSE)</f>
        <v>327</v>
      </c>
      <c r="AO152" s="5">
        <f>VLOOKUP($A152,'SegEnds_NonXtal_Prot#'!$A:$AL,38,FALSE)</f>
        <v>340</v>
      </c>
      <c r="AP152" s="5">
        <f t="shared" si="63"/>
        <v>36</v>
      </c>
      <c r="AQ152" s="4">
        <f t="shared" si="64"/>
        <v>3</v>
      </c>
      <c r="AR152" s="4">
        <f t="shared" si="65"/>
        <v>29</v>
      </c>
      <c r="AS152" s="4">
        <f t="shared" si="66"/>
        <v>3</v>
      </c>
      <c r="AT152" s="4">
        <f t="shared" si="67"/>
        <v>34</v>
      </c>
      <c r="AU152" s="4">
        <f t="shared" si="68"/>
        <v>7</v>
      </c>
      <c r="AV152" s="4">
        <f t="shared" si="69"/>
        <v>26</v>
      </c>
      <c r="AW152" s="4">
        <f t="shared" si="70"/>
        <v>2</v>
      </c>
      <c r="AX152" s="4">
        <f t="shared" si="71"/>
        <v>34</v>
      </c>
      <c r="AY152" s="4">
        <f t="shared" si="72"/>
        <v>40</v>
      </c>
      <c r="AZ152" s="4">
        <f t="shared" si="73"/>
        <v>32</v>
      </c>
      <c r="BA152" s="4">
        <f t="shared" si="74"/>
        <v>12</v>
      </c>
    </row>
    <row r="153" spans="1:53" x14ac:dyDescent="0.2">
      <c r="A153" s="1" t="str">
        <f>'SegEnds_NonXtal_Prot#'!A128</f>
        <v>gpr1_human</v>
      </c>
      <c r="B153" s="1" t="str">
        <f t="shared" si="50"/>
        <v>VVHWVSLVLYCLAFVLGIPGNAIVIWFTGFKTVTTLWFLNLAIADFIFLLFLPLYISYVAMGIWLCKANSFTAQLNMFASVFFLTVISLDHYIHLIHTLKNSLIVIIFIWLLASLIGGPALYFRRHHVLTWVKFIIGYLFPLLTMSICYLCLIFKVKKRSSRHFWTILVVVVAFVVCWTPYHLFSIWELTIHHVMQAGIPLSTGLAFLNSCLNPILYVLISKKFQARFRSSVAEI</v>
      </c>
      <c r="C153" s="29" t="str">
        <f>IF(ISERROR(MATCH(A153,'SegEnds_Xtal_Prot#'!B:B, 0)), "NoXtal", "Xtal")</f>
        <v>NoXtal</v>
      </c>
      <c r="D153" s="4" t="str">
        <f>VLOOKUP(A153,Classification!A:D,2,FALSE)</f>
        <v>A</v>
      </c>
      <c r="E153" s="5" t="str">
        <f>VLOOKUP(A153,Seqs!A:B,2,FALSE)</f>
        <v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v>
      </c>
      <c r="F153" s="5" t="str">
        <f t="shared" si="51"/>
        <v>VVHWVSLVLYCLAFVLGIPGNAIVIWFTGFK</v>
      </c>
      <c r="G153" s="4" t="str">
        <f t="shared" si="52"/>
        <v/>
      </c>
      <c r="H153" s="4" t="str">
        <f t="shared" si="53"/>
        <v>TVTTLWFLNLAIADFIFLLFLPLYISYVAM</v>
      </c>
      <c r="I153" s="4" t="str">
        <f t="shared" si="54"/>
        <v>HWPF</v>
      </c>
      <c r="J153" s="4" t="str">
        <f t="shared" si="55"/>
        <v>GIWLCKANSFTAQLNMFASVFFLTVISLDHYIHLIH</v>
      </c>
      <c r="K153" s="4" t="str">
        <f t="shared" si="56"/>
        <v>PVLSHRHR</v>
      </c>
      <c r="L153" s="4" t="str">
        <f t="shared" si="57"/>
        <v>TLKNSLIVIIFIWLLASLIGGPALYFR</v>
      </c>
      <c r="M153" s="4" t="str">
        <f t="shared" si="58"/>
        <v>CYN</v>
      </c>
      <c r="N153" s="4" t="str">
        <f t="shared" si="59"/>
        <v>RHHVLTWVKFIIGYLFPLLTMSICYLCLIFKVKKR</v>
      </c>
      <c r="O153" s="4" t="str">
        <f t="shared" si="60"/>
        <v>SSRHFWTILVVVVAFVVCWTPYHLFSIWELTI</v>
      </c>
      <c r="P153" s="4" t="str">
        <f t="shared" si="61"/>
        <v>HHVMQAGIPLSTGLAFLNSCLNPILYVLI</v>
      </c>
      <c r="Q153" s="4" t="str">
        <f t="shared" si="62"/>
        <v>SKKFQARFRSSVAEI</v>
      </c>
      <c r="R153" s="5">
        <f>VLOOKUP($A153,'SegEnds_NonXtal_Prot#'!$A:$AL,3,FALSE)</f>
        <v>36</v>
      </c>
      <c r="S153" s="5" t="str">
        <f>VLOOKUP($A153,'SegEnds_NonXtal_Prot#'!$A:$AL,6,FALSE)</f>
        <v>-</v>
      </c>
      <c r="T153" s="5">
        <f>VLOOKUP($A153,'SegEnds_NonXtal_Prot#'!$A:$AL,9,FALSE)</f>
        <v>70</v>
      </c>
      <c r="U153" s="5">
        <f>VLOOKUP($A153,'SegEnds_NonXtal_Prot#'!$A:$AL,12,FALSE)</f>
        <v>102</v>
      </c>
      <c r="V153" s="5">
        <f>VLOOKUP($A153,'SegEnds_NonXtal_Prot#'!$A:$AL,15,FALSE)</f>
        <v>106</v>
      </c>
      <c r="W153" s="5">
        <f>VLOOKUP($A153,'SegEnds_NonXtal_Prot#'!$A:$AL,18,FALSE)</f>
        <v>142</v>
      </c>
      <c r="X153" s="5">
        <f>VLOOKUP($A153,'SegEnds_NonXtal_Prot#'!$A:$AL,21,FALSE)</f>
        <v>150</v>
      </c>
      <c r="Y153" s="5">
        <f>VLOOKUP($A153,'SegEnds_NonXtal_Prot#'!$A:$AL,24,FALSE)</f>
        <v>187</v>
      </c>
      <c r="Z153" s="5">
        <f>VLOOKUP($A153,'SegEnds_NonXtal_Prot#'!$A:$AL,27,FALSE)</f>
        <v>202</v>
      </c>
      <c r="AA153" s="5">
        <f>VLOOKUP($A153,'SegEnds_NonXtal_Prot#'!$A:$AL,30,FALSE)</f>
        <v>241</v>
      </c>
      <c r="AB153" s="5">
        <f>VLOOKUP($A153,'SegEnds_NonXtal_Prot#'!$A:$AL,33,FALSE)</f>
        <v>279</v>
      </c>
      <c r="AC153" s="5">
        <f>VLOOKUP($A153,'SegEnds_NonXtal_Prot#'!$A:$AL,36,FALSE)</f>
        <v>308</v>
      </c>
      <c r="AD153" s="5">
        <f>VLOOKUP($A153,'SegEnds_NonXtal_Prot#'!$A:$AL,5,FALSE)</f>
        <v>66</v>
      </c>
      <c r="AE153" s="5" t="str">
        <f>VLOOKUP($A153,'SegEnds_NonXtal_Prot#'!$A:$AL,8,FALSE)</f>
        <v>-</v>
      </c>
      <c r="AF153" s="5">
        <f>VLOOKUP($A153,'SegEnds_NonXtal_Prot#'!$A:$AL,11,FALSE)</f>
        <v>99</v>
      </c>
      <c r="AG153" s="5">
        <f>VLOOKUP($A153,'SegEnds_NonXtal_Prot#'!$A:$AL,14,FALSE)</f>
        <v>105</v>
      </c>
      <c r="AH153" s="5">
        <f>VLOOKUP($A153,'SegEnds_NonXtal_Prot#'!$A:$AL,17,FALSE)</f>
        <v>141</v>
      </c>
      <c r="AI153" s="5">
        <f>VLOOKUP($A153,'SegEnds_NonXtal_Prot#'!$A:$AL,20,FALSE)</f>
        <v>149</v>
      </c>
      <c r="AJ153" s="5">
        <f>VLOOKUP($A153,'SegEnds_NonXtal_Prot#'!$A:$AL,23,FALSE)</f>
        <v>176</v>
      </c>
      <c r="AK153" s="5">
        <f>VLOOKUP($A153,'SegEnds_NonXtal_Prot#'!$A:$AL,26,FALSE)</f>
        <v>189</v>
      </c>
      <c r="AL153" s="5">
        <f>VLOOKUP($A153,'SegEnds_NonXtal_Prot#'!$A:$AL,29,FALSE)</f>
        <v>236</v>
      </c>
      <c r="AM153" s="5">
        <f>VLOOKUP($A153,'SegEnds_NonXtal_Prot#'!$A:$AL,32,FALSE)</f>
        <v>272</v>
      </c>
      <c r="AN153" s="5">
        <f>VLOOKUP($A153,'SegEnds_NonXtal_Prot#'!$A:$AL,35,FALSE)</f>
        <v>307</v>
      </c>
      <c r="AO153" s="5">
        <f>VLOOKUP($A153,'SegEnds_NonXtal_Prot#'!$A:$AL,38,FALSE)</f>
        <v>322</v>
      </c>
      <c r="AP153" s="5">
        <f t="shared" si="63"/>
        <v>30</v>
      </c>
      <c r="AQ153" s="4" t="str">
        <f t="shared" si="64"/>
        <v>-</v>
      </c>
      <c r="AR153" s="4">
        <f t="shared" si="65"/>
        <v>29</v>
      </c>
      <c r="AS153" s="4">
        <f t="shared" si="66"/>
        <v>3</v>
      </c>
      <c r="AT153" s="4">
        <f t="shared" si="67"/>
        <v>35</v>
      </c>
      <c r="AU153" s="4">
        <f t="shared" si="68"/>
        <v>7</v>
      </c>
      <c r="AV153" s="4">
        <f t="shared" si="69"/>
        <v>26</v>
      </c>
      <c r="AW153" s="4">
        <f t="shared" si="70"/>
        <v>2</v>
      </c>
      <c r="AX153" s="4">
        <f t="shared" si="71"/>
        <v>34</v>
      </c>
      <c r="AY153" s="4">
        <f t="shared" si="72"/>
        <v>31</v>
      </c>
      <c r="AZ153" s="4">
        <f t="shared" si="73"/>
        <v>28</v>
      </c>
      <c r="BA153" s="4">
        <f t="shared" si="74"/>
        <v>14</v>
      </c>
    </row>
    <row r="154" spans="1:53" x14ac:dyDescent="0.2">
      <c r="A154" s="1" t="str">
        <f>'SegEnds_NonXtal_Prot#'!A129</f>
        <v>gpr12_human</v>
      </c>
      <c r="B154" s="1" t="str">
        <f t="shared" si="50"/>
        <v>LVVNPWDIVLCTSGTLISCENAIVVLIIFHNAPMFLLIGSLALADLLAGIGLITNFVQSEATKLVTIGLIVASFSASVCSLLAITVDRYLSLYYTVTFTYVMLVMLWGTSICLGLLPVMGTKNNAAILSVSFLFMFALMLQLYIQICKIVMRHAHQIALATSHYVTTRKGVSTLAIILGTFAACWMPFTLYSLIADYTYTYATLLPATYNSIINPVIYAFRNQEIQKALCLICC</v>
      </c>
      <c r="C154" s="29" t="str">
        <f>IF(ISERROR(MATCH(A154,'SegEnds_Xtal_Prot#'!B:B, 0)), "NoXtal", "Xtal")</f>
        <v>NoXtal</v>
      </c>
      <c r="D154" s="4" t="str">
        <f>VLOOKUP(A154,Classification!A:D,2,FALSE)</f>
        <v>A</v>
      </c>
      <c r="E154" s="5" t="str">
        <f>VLOOKUP(A154,Seqs!A:B,2,FALSE)</f>
        <v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v>
      </c>
      <c r="F154" s="5" t="str">
        <f t="shared" si="51"/>
        <v>LVVNPWDIVLCTSGTLISCENAIVVLIIFHN</v>
      </c>
      <c r="G154" s="4" t="str">
        <f t="shared" si="52"/>
        <v/>
      </c>
      <c r="H154" s="4" t="str">
        <f t="shared" si="53"/>
        <v>APMFLLIGSLALADLLAGIGLITNFV</v>
      </c>
      <c r="I154" s="4" t="str">
        <f t="shared" si="54"/>
        <v>AYLL</v>
      </c>
      <c r="J154" s="4" t="str">
        <f t="shared" si="55"/>
        <v>QSEATKLVTIGLIVASFSASVCSLLAITVDRYLSLYY</v>
      </c>
      <c r="K154" s="4" t="str">
        <f t="shared" si="56"/>
        <v>ALTYHSER</v>
      </c>
      <c r="L154" s="4" t="str">
        <f t="shared" si="57"/>
        <v>TVTFTYVMLVMLWGTSICLGLLPVMG</v>
      </c>
      <c r="M154" s="4" t="str">
        <f t="shared" si="58"/>
        <v/>
      </c>
      <c r="N154" s="4" t="str">
        <f t="shared" si="59"/>
        <v>TKNNAAILSVSFLFMFALMLQLYIQICKIVMRHAHQIA</v>
      </c>
      <c r="O154" s="4" t="str">
        <f t="shared" si="60"/>
        <v>LATSHYVTTRKGVSTLAIILGTFAACWMPFTLYSLIADYT</v>
      </c>
      <c r="P154" s="4" t="str">
        <f t="shared" si="61"/>
        <v>YTYATLLPATYNSIINPVIYAFR</v>
      </c>
      <c r="Q154" s="4" t="str">
        <f t="shared" si="62"/>
        <v>NQEIQKALCLICC</v>
      </c>
      <c r="R154" s="5">
        <f>VLOOKUP($A154,'SegEnds_NonXtal_Prot#'!$A:$AL,3,FALSE)</f>
        <v>42</v>
      </c>
      <c r="S154" s="5" t="str">
        <f>VLOOKUP($A154,'SegEnds_NonXtal_Prot#'!$A:$AL,6,FALSE)</f>
        <v>-</v>
      </c>
      <c r="T154" s="5">
        <f>VLOOKUP($A154,'SegEnds_NonXtal_Prot#'!$A:$AL,9,FALSE)</f>
        <v>77</v>
      </c>
      <c r="U154" s="5">
        <f>VLOOKUP($A154,'SegEnds_NonXtal_Prot#'!$A:$AL,12,FALSE)</f>
        <v>104</v>
      </c>
      <c r="V154" s="5">
        <f>VLOOKUP($A154,'SegEnds_NonXtal_Prot#'!$A:$AL,15,FALSE)</f>
        <v>108</v>
      </c>
      <c r="W154" s="5">
        <f>VLOOKUP($A154,'SegEnds_NonXtal_Prot#'!$A:$AL,18,FALSE)</f>
        <v>145</v>
      </c>
      <c r="X154" s="5">
        <f>VLOOKUP($A154,'SegEnds_NonXtal_Prot#'!$A:$AL,21,FALSE)</f>
        <v>153</v>
      </c>
      <c r="Y154" s="5" t="str">
        <f>VLOOKUP($A154,'SegEnds_NonXtal_Prot#'!$A:$AL,24,FALSE)</f>
        <v>-</v>
      </c>
      <c r="Z154" s="5">
        <f>VLOOKUP($A154,'SegEnds_NonXtal_Prot#'!$A:$AL,27,FALSE)</f>
        <v>195</v>
      </c>
      <c r="AA154" s="5">
        <f>VLOOKUP($A154,'SegEnds_NonXtal_Prot#'!$A:$AL,30,FALSE)</f>
        <v>238</v>
      </c>
      <c r="AB154" s="5">
        <f>VLOOKUP($A154,'SegEnds_NonXtal_Prot#'!$A:$AL,33,FALSE)</f>
        <v>282</v>
      </c>
      <c r="AC154" s="5">
        <f>VLOOKUP($A154,'SegEnds_NonXtal_Prot#'!$A:$AL,36,FALSE)</f>
        <v>305</v>
      </c>
      <c r="AD154" s="5">
        <f>VLOOKUP($A154,'SegEnds_NonXtal_Prot#'!$A:$AL,5,FALSE)</f>
        <v>72</v>
      </c>
      <c r="AE154" s="5" t="str">
        <f>VLOOKUP($A154,'SegEnds_NonXtal_Prot#'!$A:$AL,8,FALSE)</f>
        <v>-</v>
      </c>
      <c r="AF154" s="5">
        <f>VLOOKUP($A154,'SegEnds_NonXtal_Prot#'!$A:$AL,11,FALSE)</f>
        <v>102</v>
      </c>
      <c r="AG154" s="5">
        <f>VLOOKUP($A154,'SegEnds_NonXtal_Prot#'!$A:$AL,14,FALSE)</f>
        <v>107</v>
      </c>
      <c r="AH154" s="5">
        <f>VLOOKUP($A154,'SegEnds_NonXtal_Prot#'!$A:$AL,17,FALSE)</f>
        <v>144</v>
      </c>
      <c r="AI154" s="5">
        <f>VLOOKUP($A154,'SegEnds_NonXtal_Prot#'!$A:$AL,20,FALSE)</f>
        <v>152</v>
      </c>
      <c r="AJ154" s="5">
        <f>VLOOKUP($A154,'SegEnds_NonXtal_Prot#'!$A:$AL,23,FALSE)</f>
        <v>178</v>
      </c>
      <c r="AK154" s="5" t="str">
        <f>VLOOKUP($A154,'SegEnds_NonXtal_Prot#'!$A:$AL,26,FALSE)</f>
        <v>-</v>
      </c>
      <c r="AL154" s="5">
        <f>VLOOKUP($A154,'SegEnds_NonXtal_Prot#'!$A:$AL,29,FALSE)</f>
        <v>232</v>
      </c>
      <c r="AM154" s="5">
        <f>VLOOKUP($A154,'SegEnds_NonXtal_Prot#'!$A:$AL,32,FALSE)</f>
        <v>277</v>
      </c>
      <c r="AN154" s="5">
        <f>VLOOKUP($A154,'SegEnds_NonXtal_Prot#'!$A:$AL,35,FALSE)</f>
        <v>304</v>
      </c>
      <c r="AO154" s="5">
        <f>VLOOKUP($A154,'SegEnds_NonXtal_Prot#'!$A:$AL,38,FALSE)</f>
        <v>317</v>
      </c>
      <c r="AP154" s="5">
        <f t="shared" si="63"/>
        <v>30</v>
      </c>
      <c r="AQ154" s="4" t="str">
        <f t="shared" si="64"/>
        <v>-</v>
      </c>
      <c r="AR154" s="4">
        <f t="shared" si="65"/>
        <v>25</v>
      </c>
      <c r="AS154" s="4">
        <f t="shared" si="66"/>
        <v>3</v>
      </c>
      <c r="AT154" s="4">
        <f t="shared" si="67"/>
        <v>36</v>
      </c>
      <c r="AU154" s="4">
        <f t="shared" si="68"/>
        <v>7</v>
      </c>
      <c r="AV154" s="4">
        <f t="shared" si="69"/>
        <v>25</v>
      </c>
      <c r="AW154" s="4" t="str">
        <f t="shared" si="70"/>
        <v>-</v>
      </c>
      <c r="AX154" s="4">
        <f t="shared" si="71"/>
        <v>37</v>
      </c>
      <c r="AY154" s="4">
        <f t="shared" si="72"/>
        <v>39</v>
      </c>
      <c r="AZ154" s="4">
        <f t="shared" si="73"/>
        <v>22</v>
      </c>
      <c r="BA154" s="4">
        <f t="shared" si="74"/>
        <v>12</v>
      </c>
    </row>
    <row r="155" spans="1:53" x14ac:dyDescent="0.2">
      <c r="A155" s="1" t="str">
        <f>'SegEnds_NonXtal_Prot#'!A130</f>
        <v>gpr15_human</v>
      </c>
      <c r="B155" s="1" t="str">
        <f t="shared" si="50"/>
        <v>YTSVFLPVFYTAVFLTGVLGNLVLMGALHFKRLIDIFIINLAASDFIFLVTLPLWVDKEASGSFLCKGSSYMISVNMHCSVLLLTCMSVDRYLAIVWRTDCAYVVCASIWFISCLLGLPTLLSRIKLIWSLVALIFTFFVPLLSIVTCYCCIARKLCAHGKHNKKLKKSIKIIFIVVAAFLVSWLPFNTFKFLAIVSHYLPSAILQLGMEVSGPLAFANSCVNPFIYYIFDSYIRRAIVHCLCPC</v>
      </c>
      <c r="C155" s="29" t="str">
        <f>IF(ISERROR(MATCH(A155,'SegEnds_Xtal_Prot#'!B:B, 0)), "NoXtal", "Xtal")</f>
        <v>NoXtal</v>
      </c>
      <c r="D155" s="4" t="str">
        <f>VLOOKUP(A155,Classification!A:D,2,FALSE)</f>
        <v>A</v>
      </c>
      <c r="E155" s="5" t="str">
        <f>VLOOKUP(A155,Seqs!A:B,2,FALSE)</f>
        <v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v>
      </c>
      <c r="F155" s="5" t="str">
        <f t="shared" si="51"/>
        <v>YTSVFLPVFYTAVFLTGVLGNLVLMGALHFK</v>
      </c>
      <c r="G155" s="4" t="str">
        <f t="shared" si="52"/>
        <v/>
      </c>
      <c r="H155" s="4" t="str">
        <f t="shared" si="53"/>
        <v>RLIDIFIINLAASDFIFLVTLPLWVDKEAS</v>
      </c>
      <c r="I155" s="4" t="str">
        <f t="shared" si="54"/>
        <v>LWRT</v>
      </c>
      <c r="J155" s="4" t="str">
        <f t="shared" si="55"/>
        <v>GSFLCKGSSYMISVNMHCSVLLLTCMSVDRYLAIVW</v>
      </c>
      <c r="K155" s="4" t="str">
        <f t="shared" si="56"/>
        <v>PVVSRKFR</v>
      </c>
      <c r="L155" s="4" t="str">
        <f t="shared" si="57"/>
        <v>RTDCAYVVCASIWFISCLLGLPTLLSR</v>
      </c>
      <c r="M155" s="4" t="str">
        <f t="shared" si="58"/>
        <v>CAE</v>
      </c>
      <c r="N155" s="4" t="str">
        <f t="shared" si="59"/>
        <v>IKLIWSLVALIFTFFVPLLSIVTCYCCIARKLCAH</v>
      </c>
      <c r="O155" s="4" t="str">
        <f t="shared" si="60"/>
        <v>GKHNKKLKKSIKIIFIVVAAFLVSWLPFNTFKFLAIVS</v>
      </c>
      <c r="P155" s="4" t="str">
        <f t="shared" si="61"/>
        <v>HYLPSAILQLGMEVSGPLAFANSCVNPFIYYIF</v>
      </c>
      <c r="Q155" s="4" t="str">
        <f t="shared" si="62"/>
        <v>DSYIRRAIVHCLCPC</v>
      </c>
      <c r="R155" s="5">
        <f>VLOOKUP($A155,'SegEnds_NonXtal_Prot#'!$A:$AL,3,FALSE)</f>
        <v>31</v>
      </c>
      <c r="S155" s="5" t="str">
        <f>VLOOKUP($A155,'SegEnds_NonXtal_Prot#'!$A:$AL,6,FALSE)</f>
        <v>-</v>
      </c>
      <c r="T155" s="5">
        <f>VLOOKUP($A155,'SegEnds_NonXtal_Prot#'!$A:$AL,9,FALSE)</f>
        <v>66</v>
      </c>
      <c r="U155" s="5">
        <f>VLOOKUP($A155,'SegEnds_NonXtal_Prot#'!$A:$AL,12,FALSE)</f>
        <v>98</v>
      </c>
      <c r="V155" s="5">
        <f>VLOOKUP($A155,'SegEnds_NonXtal_Prot#'!$A:$AL,15,FALSE)</f>
        <v>102</v>
      </c>
      <c r="W155" s="5">
        <f>VLOOKUP($A155,'SegEnds_NonXtal_Prot#'!$A:$AL,18,FALSE)</f>
        <v>138</v>
      </c>
      <c r="X155" s="5">
        <f>VLOOKUP($A155,'SegEnds_NonXtal_Prot#'!$A:$AL,21,FALSE)</f>
        <v>146</v>
      </c>
      <c r="Y155" s="5">
        <f>VLOOKUP($A155,'SegEnds_NonXtal_Prot#'!$A:$AL,24,FALSE)</f>
        <v>183</v>
      </c>
      <c r="Z155" s="5">
        <f>VLOOKUP($A155,'SegEnds_NonXtal_Prot#'!$A:$AL,27,FALSE)</f>
        <v>191</v>
      </c>
      <c r="AA155" s="5">
        <f>VLOOKUP($A155,'SegEnds_NonXtal_Prot#'!$A:$AL,30,FALSE)</f>
        <v>230</v>
      </c>
      <c r="AB155" s="5">
        <f>VLOOKUP($A155,'SegEnds_NonXtal_Prot#'!$A:$AL,33,FALSE)</f>
        <v>273</v>
      </c>
      <c r="AC155" s="5">
        <f>VLOOKUP($A155,'SegEnds_NonXtal_Prot#'!$A:$AL,36,FALSE)</f>
        <v>306</v>
      </c>
      <c r="AD155" s="5">
        <f>VLOOKUP($A155,'SegEnds_NonXtal_Prot#'!$A:$AL,5,FALSE)</f>
        <v>61</v>
      </c>
      <c r="AE155" s="5" t="str">
        <f>VLOOKUP($A155,'SegEnds_NonXtal_Prot#'!$A:$AL,8,FALSE)</f>
        <v>-</v>
      </c>
      <c r="AF155" s="5">
        <f>VLOOKUP($A155,'SegEnds_NonXtal_Prot#'!$A:$AL,11,FALSE)</f>
        <v>95</v>
      </c>
      <c r="AG155" s="5">
        <f>VLOOKUP($A155,'SegEnds_NonXtal_Prot#'!$A:$AL,14,FALSE)</f>
        <v>101</v>
      </c>
      <c r="AH155" s="5">
        <f>VLOOKUP($A155,'SegEnds_NonXtal_Prot#'!$A:$AL,17,FALSE)</f>
        <v>137</v>
      </c>
      <c r="AI155" s="5">
        <f>VLOOKUP($A155,'SegEnds_NonXtal_Prot#'!$A:$AL,20,FALSE)</f>
        <v>145</v>
      </c>
      <c r="AJ155" s="5">
        <f>VLOOKUP($A155,'SegEnds_NonXtal_Prot#'!$A:$AL,23,FALSE)</f>
        <v>172</v>
      </c>
      <c r="AK155" s="5">
        <f>VLOOKUP($A155,'SegEnds_NonXtal_Prot#'!$A:$AL,26,FALSE)</f>
        <v>185</v>
      </c>
      <c r="AL155" s="5">
        <f>VLOOKUP($A155,'SegEnds_NonXtal_Prot#'!$A:$AL,29,FALSE)</f>
        <v>225</v>
      </c>
      <c r="AM155" s="5">
        <f>VLOOKUP($A155,'SegEnds_NonXtal_Prot#'!$A:$AL,32,FALSE)</f>
        <v>267</v>
      </c>
      <c r="AN155" s="5">
        <f>VLOOKUP($A155,'SegEnds_NonXtal_Prot#'!$A:$AL,35,FALSE)</f>
        <v>305</v>
      </c>
      <c r="AO155" s="5">
        <f>VLOOKUP($A155,'SegEnds_NonXtal_Prot#'!$A:$AL,38,FALSE)</f>
        <v>320</v>
      </c>
      <c r="AP155" s="5">
        <f t="shared" si="63"/>
        <v>30</v>
      </c>
      <c r="AQ155" s="4" t="str">
        <f t="shared" si="64"/>
        <v>-</v>
      </c>
      <c r="AR155" s="4">
        <f t="shared" si="65"/>
        <v>29</v>
      </c>
      <c r="AS155" s="4">
        <f t="shared" si="66"/>
        <v>3</v>
      </c>
      <c r="AT155" s="4">
        <f t="shared" si="67"/>
        <v>35</v>
      </c>
      <c r="AU155" s="4">
        <f t="shared" si="68"/>
        <v>7</v>
      </c>
      <c r="AV155" s="4">
        <f t="shared" si="69"/>
        <v>26</v>
      </c>
      <c r="AW155" s="4">
        <f t="shared" si="70"/>
        <v>2</v>
      </c>
      <c r="AX155" s="4">
        <f t="shared" si="71"/>
        <v>34</v>
      </c>
      <c r="AY155" s="4">
        <f t="shared" si="72"/>
        <v>37</v>
      </c>
      <c r="AZ155" s="4">
        <f t="shared" si="73"/>
        <v>32</v>
      </c>
      <c r="BA155" s="4">
        <f t="shared" si="74"/>
        <v>14</v>
      </c>
    </row>
    <row r="156" spans="1:53" x14ac:dyDescent="0.2">
      <c r="A156" s="1" t="str">
        <f>'SegEnds_NonXtal_Prot#'!A131</f>
        <v>gpr17_human</v>
      </c>
      <c r="B156" s="1" t="str">
        <f t="shared" si="50"/>
        <v>MLFASFYLLDFILALVGNTLALWLFIRDTPANVFLMHLAVADLSCVLVLPTRLVYHFSGGEIACRLTGFLFYLNMYASIYFLTCISADRFLAIVHRPLYAHLACAFLWVVVAVAMAPLLVSPLYREKASHHALVSLAVAFTFPFITTVTCYLLIIRSLRQEKRLKTKAVRMIAIVLAIFLVCFVPYHVNRSVYVLHYRSSCATQRILALANRITSCLTSLNGALDPIMYFFVAEKFRHALCNLLCGK</v>
      </c>
      <c r="C156" s="29" t="str">
        <f>IF(ISERROR(MATCH(A156,'SegEnds_Xtal_Prot#'!B:B, 0)), "NoXtal", "Xtal")</f>
        <v>NoXtal</v>
      </c>
      <c r="D156" s="4" t="str">
        <f>VLOOKUP(A156,Classification!A:D,2,FALSE)</f>
        <v>A</v>
      </c>
      <c r="E156" s="5" t="str">
        <f>VLOOKUP(A156,Seqs!A:B,2,FALSE)</f>
        <v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v>
      </c>
      <c r="F156" s="5" t="str">
        <f t="shared" si="51"/>
        <v>MLFASFYLLDFILALVGNTLALWLFIRD</v>
      </c>
      <c r="G156" s="4" t="str">
        <f t="shared" si="52"/>
        <v/>
      </c>
      <c r="H156" s="4" t="str">
        <f t="shared" si="53"/>
        <v>TPANVFLMHLAVADLSCVLVLPTRLVYHFSG</v>
      </c>
      <c r="I156" s="4" t="str">
        <f t="shared" si="54"/>
        <v>HWPF</v>
      </c>
      <c r="J156" s="4" t="str">
        <f t="shared" si="55"/>
        <v>GEIACRLTGFLFYLNMYASIYFLTCISADRFLAIVH</v>
      </c>
      <c r="K156" s="4" t="str">
        <f t="shared" si="56"/>
        <v>PVKSLKLR</v>
      </c>
      <c r="L156" s="4" t="str">
        <f t="shared" si="57"/>
        <v>RPLYAHLACAFLWVVVAVAMAPLLVSP</v>
      </c>
      <c r="M156" s="4" t="str">
        <f t="shared" si="58"/>
        <v>CLQ</v>
      </c>
      <c r="N156" s="4" t="str">
        <f t="shared" si="59"/>
        <v>LYREKASHHALVSLAVAFTFPFITTVTCYLLIIRSLRQ</v>
      </c>
      <c r="O156" s="4" t="str">
        <f t="shared" si="60"/>
        <v>EKRLKTKAVRMIAIVLAIFLVCFVPYHVNRSVYVLHYRS</v>
      </c>
      <c r="P156" s="4" t="str">
        <f t="shared" si="61"/>
        <v>SCATQRILALANRITSCLTSLNGALDPIMYFFV</v>
      </c>
      <c r="Q156" s="4" t="str">
        <f t="shared" si="62"/>
        <v>AEKFRHALCNLLCGK</v>
      </c>
      <c r="R156" s="5">
        <f>VLOOKUP($A156,'SegEnds_NonXtal_Prot#'!$A:$AL,3,FALSE)</f>
        <v>60</v>
      </c>
      <c r="S156" s="5" t="str">
        <f>VLOOKUP($A156,'SegEnds_NonXtal_Prot#'!$A:$AL,6,FALSE)</f>
        <v>-</v>
      </c>
      <c r="T156" s="5">
        <f>VLOOKUP($A156,'SegEnds_NonXtal_Prot#'!$A:$AL,9,FALSE)</f>
        <v>92</v>
      </c>
      <c r="U156" s="5">
        <f>VLOOKUP($A156,'SegEnds_NonXtal_Prot#'!$A:$AL,12,FALSE)</f>
        <v>124</v>
      </c>
      <c r="V156" s="5">
        <f>VLOOKUP($A156,'SegEnds_NonXtal_Prot#'!$A:$AL,15,FALSE)</f>
        <v>128</v>
      </c>
      <c r="W156" s="5">
        <f>VLOOKUP($A156,'SegEnds_NonXtal_Prot#'!$A:$AL,18,FALSE)</f>
        <v>164</v>
      </c>
      <c r="X156" s="5">
        <f>VLOOKUP($A156,'SegEnds_NonXtal_Prot#'!$A:$AL,21,FALSE)</f>
        <v>172</v>
      </c>
      <c r="Y156" s="5">
        <f>VLOOKUP($A156,'SegEnds_NonXtal_Prot#'!$A:$AL,24,FALSE)</f>
        <v>209</v>
      </c>
      <c r="Z156" s="5">
        <f>VLOOKUP($A156,'SegEnds_NonXtal_Prot#'!$A:$AL,27,FALSE)</f>
        <v>212</v>
      </c>
      <c r="AA156" s="5">
        <f>VLOOKUP($A156,'SegEnds_NonXtal_Prot#'!$A:$AL,30,FALSE)</f>
        <v>254</v>
      </c>
      <c r="AB156" s="5">
        <f>VLOOKUP($A156,'SegEnds_NonXtal_Prot#'!$A:$AL,33,FALSE)</f>
        <v>296</v>
      </c>
      <c r="AC156" s="5">
        <f>VLOOKUP($A156,'SegEnds_NonXtal_Prot#'!$A:$AL,36,FALSE)</f>
        <v>329</v>
      </c>
      <c r="AD156" s="5">
        <f>VLOOKUP($A156,'SegEnds_NonXtal_Prot#'!$A:$AL,5,FALSE)</f>
        <v>87</v>
      </c>
      <c r="AE156" s="5" t="str">
        <f>VLOOKUP($A156,'SegEnds_NonXtal_Prot#'!$A:$AL,8,FALSE)</f>
        <v>-</v>
      </c>
      <c r="AF156" s="5">
        <f>VLOOKUP($A156,'SegEnds_NonXtal_Prot#'!$A:$AL,11,FALSE)</f>
        <v>122</v>
      </c>
      <c r="AG156" s="5">
        <f>VLOOKUP($A156,'SegEnds_NonXtal_Prot#'!$A:$AL,14,FALSE)</f>
        <v>127</v>
      </c>
      <c r="AH156" s="5">
        <f>VLOOKUP($A156,'SegEnds_NonXtal_Prot#'!$A:$AL,17,FALSE)</f>
        <v>163</v>
      </c>
      <c r="AI156" s="5">
        <f>VLOOKUP($A156,'SegEnds_NonXtal_Prot#'!$A:$AL,20,FALSE)</f>
        <v>171</v>
      </c>
      <c r="AJ156" s="5">
        <f>VLOOKUP($A156,'SegEnds_NonXtal_Prot#'!$A:$AL,23,FALSE)</f>
        <v>198</v>
      </c>
      <c r="AK156" s="5">
        <f>VLOOKUP($A156,'SegEnds_NonXtal_Prot#'!$A:$AL,26,FALSE)</f>
        <v>211</v>
      </c>
      <c r="AL156" s="5">
        <f>VLOOKUP($A156,'SegEnds_NonXtal_Prot#'!$A:$AL,29,FALSE)</f>
        <v>249</v>
      </c>
      <c r="AM156" s="5">
        <f>VLOOKUP($A156,'SegEnds_NonXtal_Prot#'!$A:$AL,32,FALSE)</f>
        <v>292</v>
      </c>
      <c r="AN156" s="5">
        <f>VLOOKUP($A156,'SegEnds_NonXtal_Prot#'!$A:$AL,35,FALSE)</f>
        <v>328</v>
      </c>
      <c r="AO156" s="5">
        <f>VLOOKUP($A156,'SegEnds_NonXtal_Prot#'!$A:$AL,38,FALSE)</f>
        <v>343</v>
      </c>
      <c r="AP156" s="5">
        <f t="shared" si="63"/>
        <v>27</v>
      </c>
      <c r="AQ156" s="4" t="str">
        <f t="shared" si="64"/>
        <v>-</v>
      </c>
      <c r="AR156" s="4">
        <f t="shared" si="65"/>
        <v>30</v>
      </c>
      <c r="AS156" s="4">
        <f t="shared" si="66"/>
        <v>3</v>
      </c>
      <c r="AT156" s="4">
        <f t="shared" si="67"/>
        <v>35</v>
      </c>
      <c r="AU156" s="4">
        <f t="shared" si="68"/>
        <v>7</v>
      </c>
      <c r="AV156" s="4">
        <f t="shared" si="69"/>
        <v>26</v>
      </c>
      <c r="AW156" s="4">
        <f t="shared" si="70"/>
        <v>2</v>
      </c>
      <c r="AX156" s="4">
        <f t="shared" si="71"/>
        <v>37</v>
      </c>
      <c r="AY156" s="4">
        <f t="shared" si="72"/>
        <v>38</v>
      </c>
      <c r="AZ156" s="4">
        <f t="shared" si="73"/>
        <v>32</v>
      </c>
      <c r="BA156" s="4">
        <f t="shared" si="74"/>
        <v>14</v>
      </c>
    </row>
    <row r="157" spans="1:53" x14ac:dyDescent="0.2">
      <c r="A157" s="1" t="str">
        <f>'SegEnds_NonXtal_Prot#'!A132</f>
        <v>gpr18_human</v>
      </c>
      <c r="B157" s="1" t="str">
        <f t="shared" si="50"/>
        <v>EYKIAALVFYSCIFIIGLFVNITALWVFSCTTTVTIYMMNVALVDLIFIMTLPFRMFYYAKGEYFCQILGALTVFYPSIALWLLAFISADRYMAIVQNTCKAVLACVGVWIMTLTTTTPLLLLYIYLKAVNVLNLTRLTFFFLIPLFIMIGCYLVIIHNLLHGKLKPKVKEKSIRIIITLLVQVLVCFMPFHICFAFLMLGYNPWGAFTTFLMNLSTCLDVILYYIVSKQFQARVISVML</v>
      </c>
      <c r="C157" s="29" t="str">
        <f>IF(ISERROR(MATCH(A157,'SegEnds_Xtal_Prot#'!B:B, 0)), "NoXtal", "Xtal")</f>
        <v>NoXtal</v>
      </c>
      <c r="D157" s="4" t="str">
        <f>VLOOKUP(A157,Classification!A:D,2,FALSE)</f>
        <v>A</v>
      </c>
      <c r="E157" s="5" t="str">
        <f>VLOOKUP(A157,Seqs!A:B,2,FALSE)</f>
        <v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v>
      </c>
      <c r="F157" s="5" t="str">
        <f t="shared" si="51"/>
        <v>EYKIAALVFYSCIFIIGLFVNITALWVFSCT</v>
      </c>
      <c r="G157" s="4" t="str">
        <f t="shared" si="52"/>
        <v/>
      </c>
      <c r="H157" s="4" t="str">
        <f t="shared" si="53"/>
        <v>TTVTIYMMNVALVDLIFIMTLPFRMFYYAK</v>
      </c>
      <c r="I157" s="4" t="str">
        <f t="shared" si="54"/>
        <v>EWPF</v>
      </c>
      <c r="J157" s="4" t="str">
        <f t="shared" si="55"/>
        <v>GEYFCQILGALTVFYPSIALWLLAFISADRYMAIVQ</v>
      </c>
      <c r="K157" s="4" t="str">
        <f t="shared" si="56"/>
        <v>PKYAKELK</v>
      </c>
      <c r="L157" s="4" t="str">
        <f t="shared" si="57"/>
        <v>NTCKAVLACVGVWIMTLTTTTPLLLLY</v>
      </c>
      <c r="M157" s="4" t="str">
        <f t="shared" si="58"/>
        <v>CLK</v>
      </c>
      <c r="N157" s="4" t="str">
        <f t="shared" si="59"/>
        <v>IYLKAVNVLNLTRLTFFFLIPLFIMIGCYLVIIHNLLHG</v>
      </c>
      <c r="O157" s="4" t="str">
        <f t="shared" si="60"/>
        <v>KLKPKVKEKSIRIIITLLVQVLVCFMPFHICFAFLMLG</v>
      </c>
      <c r="P157" s="4" t="str">
        <f t="shared" si="61"/>
        <v>YNPWGAFTTFLMNLSTCLDVILYYIV</v>
      </c>
      <c r="Q157" s="4" t="str">
        <f t="shared" si="62"/>
        <v>SKQFQARVISVML</v>
      </c>
      <c r="R157" s="5">
        <f>VLOOKUP($A157,'SegEnds_NonXtal_Prot#'!$A:$AL,3,FALSE)</f>
        <v>20</v>
      </c>
      <c r="S157" s="5" t="str">
        <f>VLOOKUP($A157,'SegEnds_NonXtal_Prot#'!$A:$AL,6,FALSE)</f>
        <v>-</v>
      </c>
      <c r="T157" s="5">
        <f>VLOOKUP($A157,'SegEnds_NonXtal_Prot#'!$A:$AL,9,FALSE)</f>
        <v>55</v>
      </c>
      <c r="U157" s="5">
        <f>VLOOKUP($A157,'SegEnds_NonXtal_Prot#'!$A:$AL,12,FALSE)</f>
        <v>86</v>
      </c>
      <c r="V157" s="5">
        <f>VLOOKUP($A157,'SegEnds_NonXtal_Prot#'!$A:$AL,15,FALSE)</f>
        <v>90</v>
      </c>
      <c r="W157" s="5">
        <f>VLOOKUP($A157,'SegEnds_NonXtal_Prot#'!$A:$AL,18,FALSE)</f>
        <v>126</v>
      </c>
      <c r="X157" s="5">
        <f>VLOOKUP($A157,'SegEnds_NonXtal_Prot#'!$A:$AL,21,FALSE)</f>
        <v>134</v>
      </c>
      <c r="Y157" s="5">
        <f>VLOOKUP($A157,'SegEnds_NonXtal_Prot#'!$A:$AL,24,FALSE)</f>
        <v>172</v>
      </c>
      <c r="Z157" s="5">
        <f>VLOOKUP($A157,'SegEnds_NonXtal_Prot#'!$A:$AL,27,FALSE)</f>
        <v>179</v>
      </c>
      <c r="AA157" s="5">
        <f>VLOOKUP($A157,'SegEnds_NonXtal_Prot#'!$A:$AL,30,FALSE)</f>
        <v>221</v>
      </c>
      <c r="AB157" s="5">
        <f>VLOOKUP($A157,'SegEnds_NonXtal_Prot#'!$A:$AL,33,FALSE)</f>
        <v>264</v>
      </c>
      <c r="AC157" s="5">
        <f>VLOOKUP($A157,'SegEnds_NonXtal_Prot#'!$A:$AL,36,FALSE)</f>
        <v>290</v>
      </c>
      <c r="AD157" s="5">
        <f>VLOOKUP($A157,'SegEnds_NonXtal_Prot#'!$A:$AL,5,FALSE)</f>
        <v>50</v>
      </c>
      <c r="AE157" s="5" t="str">
        <f>VLOOKUP($A157,'SegEnds_NonXtal_Prot#'!$A:$AL,8,FALSE)</f>
        <v>-</v>
      </c>
      <c r="AF157" s="5">
        <f>VLOOKUP($A157,'SegEnds_NonXtal_Prot#'!$A:$AL,11,FALSE)</f>
        <v>84</v>
      </c>
      <c r="AG157" s="5">
        <f>VLOOKUP($A157,'SegEnds_NonXtal_Prot#'!$A:$AL,14,FALSE)</f>
        <v>89</v>
      </c>
      <c r="AH157" s="5">
        <f>VLOOKUP($A157,'SegEnds_NonXtal_Prot#'!$A:$AL,17,FALSE)</f>
        <v>125</v>
      </c>
      <c r="AI157" s="5">
        <f>VLOOKUP($A157,'SegEnds_NonXtal_Prot#'!$A:$AL,20,FALSE)</f>
        <v>133</v>
      </c>
      <c r="AJ157" s="5">
        <f>VLOOKUP($A157,'SegEnds_NonXtal_Prot#'!$A:$AL,23,FALSE)</f>
        <v>160</v>
      </c>
      <c r="AK157" s="5">
        <f>VLOOKUP($A157,'SegEnds_NonXtal_Prot#'!$A:$AL,26,FALSE)</f>
        <v>174</v>
      </c>
      <c r="AL157" s="5">
        <f>VLOOKUP($A157,'SegEnds_NonXtal_Prot#'!$A:$AL,29,FALSE)</f>
        <v>217</v>
      </c>
      <c r="AM157" s="5">
        <f>VLOOKUP($A157,'SegEnds_NonXtal_Prot#'!$A:$AL,32,FALSE)</f>
        <v>258</v>
      </c>
      <c r="AN157" s="5">
        <f>VLOOKUP($A157,'SegEnds_NonXtal_Prot#'!$A:$AL,35,FALSE)</f>
        <v>289</v>
      </c>
      <c r="AO157" s="5">
        <f>VLOOKUP($A157,'SegEnds_NonXtal_Prot#'!$A:$AL,38,FALSE)</f>
        <v>302</v>
      </c>
      <c r="AP157" s="5">
        <f t="shared" si="63"/>
        <v>30</v>
      </c>
      <c r="AQ157" s="4" t="str">
        <f t="shared" si="64"/>
        <v>-</v>
      </c>
      <c r="AR157" s="4">
        <f t="shared" si="65"/>
        <v>29</v>
      </c>
      <c r="AS157" s="4">
        <f t="shared" si="66"/>
        <v>3</v>
      </c>
      <c r="AT157" s="4">
        <f t="shared" si="67"/>
        <v>35</v>
      </c>
      <c r="AU157" s="4">
        <f t="shared" si="68"/>
        <v>7</v>
      </c>
      <c r="AV157" s="4">
        <f t="shared" si="69"/>
        <v>26</v>
      </c>
      <c r="AW157" s="4">
        <f t="shared" si="70"/>
        <v>2</v>
      </c>
      <c r="AX157" s="4">
        <f t="shared" si="71"/>
        <v>38</v>
      </c>
      <c r="AY157" s="4">
        <f t="shared" si="72"/>
        <v>37</v>
      </c>
      <c r="AZ157" s="4">
        <f t="shared" si="73"/>
        <v>25</v>
      </c>
      <c r="BA157" s="4">
        <f t="shared" si="74"/>
        <v>12</v>
      </c>
    </row>
    <row r="158" spans="1:53" x14ac:dyDescent="0.2">
      <c r="A158" s="1" t="str">
        <f>'SegEnds_NonXtal_Prot#'!A133</f>
        <v>gpr20_human</v>
      </c>
      <c r="B158" s="1" t="str">
        <f t="shared" si="50"/>
        <v>GLWLALMAVHGAIFLAGLVLNGLALYVFCCRTPSVIYTINLVVTDLLVGLSLPTRFAVYYGCAFPHVLGYFLNMHCSILFLTCICVDRYLAIVRQPACARAVCAFVWLAAGAVTLSVLGVTRVFALTVLEFLLPLLVISVFTGRIMCALSRPHQGRQRRVRAMQLLLTVLIIFLVCFTPFHARQVAVALWHHTSLVVYHVAVTLSSLNSCMDPIVYCFVTSGFQATVRGLFG</v>
      </c>
      <c r="C158" s="29" t="str">
        <f>IF(ISERROR(MATCH(A158,'SegEnds_Xtal_Prot#'!B:B, 0)), "NoXtal", "Xtal")</f>
        <v>NoXtal</v>
      </c>
      <c r="D158" s="4" t="str">
        <f>VLOOKUP(A158,Classification!A:D,2,FALSE)</f>
        <v>A</v>
      </c>
      <c r="E158" s="5" t="str">
        <f>VLOOKUP(A158,Seqs!A:B,2,FALSE)</f>
        <v>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</v>
      </c>
      <c r="F158" s="5" t="str">
        <f t="shared" si="51"/>
        <v>GLWLALMAVHGAIFLAGLVLNGLALYVFCCR</v>
      </c>
      <c r="G158" s="4" t="str">
        <f t="shared" si="52"/>
        <v>TRAK</v>
      </c>
      <c r="H158" s="4" t="str">
        <f t="shared" si="53"/>
        <v>TPSVIYTINLVVTDLLVGLSLPTRFAVYYG</v>
      </c>
      <c r="I158" s="4" t="str">
        <f t="shared" si="54"/>
        <v/>
      </c>
      <c r="J158" s="4" t="str">
        <f t="shared" si="55"/>
        <v>CAFPHVLGYFLNMHCSILFLTCICVDRYLAIVR</v>
      </c>
      <c r="K158" s="4" t="str">
        <f t="shared" si="56"/>
        <v>PEGSRRCR</v>
      </c>
      <c r="L158" s="4" t="str">
        <f t="shared" si="57"/>
        <v>QPACARAVCAFVWLAAGAVTLSVLGVT</v>
      </c>
      <c r="M158" s="4" t="str">
        <f t="shared" si="58"/>
        <v/>
      </c>
      <c r="N158" s="4" t="str">
        <f t="shared" si="59"/>
        <v>RVFALTVLEFLLPLLVISVFTGRIMCALSRP</v>
      </c>
      <c r="O158" s="4" t="str">
        <f t="shared" si="60"/>
        <v>HQGRQRRVRAMQLLLTVLIIFLVCFTPFHARQVAVALW</v>
      </c>
      <c r="P158" s="4" t="str">
        <f t="shared" si="61"/>
        <v>HHTSLVVYHVAVTLSSLNSCMDPIVYCFV</v>
      </c>
      <c r="Q158" s="4" t="str">
        <f t="shared" si="62"/>
        <v>TSGFQATVRGLFG</v>
      </c>
      <c r="R158" s="5">
        <f>VLOOKUP($A158,'SegEnds_NonXtal_Prot#'!$A:$AL,3,FALSE)</f>
        <v>51</v>
      </c>
      <c r="S158" s="5">
        <f>VLOOKUP($A158,'SegEnds_NonXtal_Prot#'!$A:$AL,6,FALSE)</f>
        <v>82</v>
      </c>
      <c r="T158" s="5">
        <f>VLOOKUP($A158,'SegEnds_NonXtal_Prot#'!$A:$AL,9,FALSE)</f>
        <v>86</v>
      </c>
      <c r="U158" s="5" t="str">
        <f>VLOOKUP($A158,'SegEnds_NonXtal_Prot#'!$A:$AL,12,FALSE)</f>
        <v>-</v>
      </c>
      <c r="V158" s="5">
        <f>VLOOKUP($A158,'SegEnds_NonXtal_Prot#'!$A:$AL,15,FALSE)</f>
        <v>122</v>
      </c>
      <c r="W158" s="5">
        <f>VLOOKUP($A158,'SegEnds_NonXtal_Prot#'!$A:$AL,18,FALSE)</f>
        <v>155</v>
      </c>
      <c r="X158" s="5">
        <f>VLOOKUP($A158,'SegEnds_NonXtal_Prot#'!$A:$AL,21,FALSE)</f>
        <v>163</v>
      </c>
      <c r="Y158" s="5" t="str">
        <f>VLOOKUP($A158,'SegEnds_NonXtal_Prot#'!$A:$AL,24,FALSE)</f>
        <v>-</v>
      </c>
      <c r="Z158" s="5">
        <f>VLOOKUP($A158,'SegEnds_NonXtal_Prot#'!$A:$AL,27,FALSE)</f>
        <v>196</v>
      </c>
      <c r="AA158" s="5">
        <f>VLOOKUP($A158,'SegEnds_NonXtal_Prot#'!$A:$AL,30,FALSE)</f>
        <v>230</v>
      </c>
      <c r="AB158" s="5">
        <f>VLOOKUP($A158,'SegEnds_NonXtal_Prot#'!$A:$AL,33,FALSE)</f>
        <v>272</v>
      </c>
      <c r="AC158" s="5">
        <f>VLOOKUP($A158,'SegEnds_NonXtal_Prot#'!$A:$AL,36,FALSE)</f>
        <v>301</v>
      </c>
      <c r="AD158" s="5">
        <f>VLOOKUP($A158,'SegEnds_NonXtal_Prot#'!$A:$AL,5,FALSE)</f>
        <v>81</v>
      </c>
      <c r="AE158" s="5">
        <f>VLOOKUP($A158,'SegEnds_NonXtal_Prot#'!$A:$AL,8,FALSE)</f>
        <v>85</v>
      </c>
      <c r="AF158" s="5">
        <f>VLOOKUP($A158,'SegEnds_NonXtal_Prot#'!$A:$AL,11,FALSE)</f>
        <v>115</v>
      </c>
      <c r="AG158" s="5" t="str">
        <f>VLOOKUP($A158,'SegEnds_NonXtal_Prot#'!$A:$AL,14,FALSE)</f>
        <v>-</v>
      </c>
      <c r="AH158" s="5">
        <f>VLOOKUP($A158,'SegEnds_NonXtal_Prot#'!$A:$AL,17,FALSE)</f>
        <v>154</v>
      </c>
      <c r="AI158" s="5">
        <f>VLOOKUP($A158,'SegEnds_NonXtal_Prot#'!$A:$AL,20,FALSE)</f>
        <v>162</v>
      </c>
      <c r="AJ158" s="5">
        <f>VLOOKUP($A158,'SegEnds_NonXtal_Prot#'!$A:$AL,23,FALSE)</f>
        <v>189</v>
      </c>
      <c r="AK158" s="5" t="str">
        <f>VLOOKUP($A158,'SegEnds_NonXtal_Prot#'!$A:$AL,26,FALSE)</f>
        <v>-</v>
      </c>
      <c r="AL158" s="5">
        <f>VLOOKUP($A158,'SegEnds_NonXtal_Prot#'!$A:$AL,29,FALSE)</f>
        <v>226</v>
      </c>
      <c r="AM158" s="5">
        <f>VLOOKUP($A158,'SegEnds_NonXtal_Prot#'!$A:$AL,32,FALSE)</f>
        <v>267</v>
      </c>
      <c r="AN158" s="5">
        <f>VLOOKUP($A158,'SegEnds_NonXtal_Prot#'!$A:$AL,35,FALSE)</f>
        <v>300</v>
      </c>
      <c r="AO158" s="5">
        <f>VLOOKUP($A158,'SegEnds_NonXtal_Prot#'!$A:$AL,38,FALSE)</f>
        <v>313</v>
      </c>
      <c r="AP158" s="5">
        <f t="shared" si="63"/>
        <v>30</v>
      </c>
      <c r="AQ158" s="4">
        <f t="shared" si="64"/>
        <v>3</v>
      </c>
      <c r="AR158" s="4">
        <f t="shared" si="65"/>
        <v>29</v>
      </c>
      <c r="AS158" s="4" t="str">
        <f t="shared" si="66"/>
        <v>-</v>
      </c>
      <c r="AT158" s="4">
        <f t="shared" si="67"/>
        <v>32</v>
      </c>
      <c r="AU158" s="4">
        <f t="shared" si="68"/>
        <v>7</v>
      </c>
      <c r="AV158" s="4">
        <f t="shared" si="69"/>
        <v>26</v>
      </c>
      <c r="AW158" s="4" t="str">
        <f t="shared" si="70"/>
        <v>-</v>
      </c>
      <c r="AX158" s="4">
        <f t="shared" si="71"/>
        <v>30</v>
      </c>
      <c r="AY158" s="4">
        <f t="shared" si="72"/>
        <v>37</v>
      </c>
      <c r="AZ158" s="4">
        <f t="shared" si="73"/>
        <v>28</v>
      </c>
      <c r="BA158" s="4">
        <f t="shared" si="74"/>
        <v>12</v>
      </c>
    </row>
    <row r="159" spans="1:53" x14ac:dyDescent="0.2">
      <c r="A159" s="1" t="str">
        <f>'SegEnds_NonXtal_Prot#'!A134</f>
        <v>gpr21_human</v>
      </c>
      <c r="B159" s="1" t="str">
        <f t="shared" si="50"/>
        <v>LLEVLIIVFLTVLIISGNIIVIFVFHCAHHTTSYFIQTMAYADLFVGVSCVVPSLSLLHPVEESLTCQIFGFVVSVLKSVSMASLACISIDRYIAITKTPWRLRLCIFLIWLYSTLVFLPSFFHWGKPTDSYFTLFIVMMLYAPAALIVCFTYFNIFRICQQHTKDISETGEVQACPDKRYAMVLFRITSVFYILWLPYIIYFLLESSTRFASFLTTWLAISNSFCNCVIYSLSNSVFQRGLKRLSGA</v>
      </c>
      <c r="C159" s="29" t="str">
        <f>IF(ISERROR(MATCH(A159,'SegEnds_Xtal_Prot#'!B:B, 0)), "NoXtal", "Xtal")</f>
        <v>NoXtal</v>
      </c>
      <c r="D159" s="4" t="str">
        <f>VLOOKUP(A159,Classification!A:D,2,FALSE)</f>
        <v>A</v>
      </c>
      <c r="E159" s="5" t="str">
        <f>VLOOKUP(A159,Seqs!A:B,2,FALSE)</f>
        <v>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</v>
      </c>
      <c r="F159" s="5" t="str">
        <f t="shared" si="51"/>
        <v>LLEVLIIVFLTVLIISGNIIVIFVFHCA</v>
      </c>
      <c r="G159" s="4" t="str">
        <f t="shared" si="52"/>
        <v>PLLN</v>
      </c>
      <c r="H159" s="4" t="str">
        <f t="shared" si="53"/>
        <v>HHTTSYFIQTMAYADLFVGVSCVVPSLSLLH</v>
      </c>
      <c r="I159" s="4" t="str">
        <f t="shared" si="54"/>
        <v/>
      </c>
      <c r="J159" s="4" t="str">
        <f t="shared" si="55"/>
        <v>PVEESLTCQIFGFVVSVLKSVSMASLACISIDRYIAITK</v>
      </c>
      <c r="K159" s="4" t="str">
        <f t="shared" si="56"/>
        <v>PLTYNTLV</v>
      </c>
      <c r="L159" s="4" t="str">
        <f t="shared" si="57"/>
        <v>TPWRLRLCIFLIWLYSTLVFLPSFFHWGKP</v>
      </c>
      <c r="M159" s="4" t="str">
        <f t="shared" si="58"/>
        <v>CAE</v>
      </c>
      <c r="N159" s="4" t="str">
        <f t="shared" si="59"/>
        <v>TDSYFTLFIVMMLYAPAALIVCFTYFNIFRICQQHTKDIS</v>
      </c>
      <c r="O159" s="4" t="str">
        <f t="shared" si="60"/>
        <v>ETGEVQACPDKRYAMVLFRITSVFYILWLPYIIYFLLESST</v>
      </c>
      <c r="P159" s="4" t="str">
        <f t="shared" si="61"/>
        <v>RFASFLTTWLAISNSFCNCVIYSLS</v>
      </c>
      <c r="Q159" s="4" t="str">
        <f t="shared" si="62"/>
        <v>NSVFQRGLKRLSGA</v>
      </c>
      <c r="R159" s="5">
        <f>VLOOKUP($A159,'SegEnds_NonXtal_Prot#'!$A:$AL,3,FALSE)</f>
        <v>29</v>
      </c>
      <c r="S159" s="5">
        <f>VLOOKUP($A159,'SegEnds_NonXtal_Prot#'!$A:$AL,6,FALSE)</f>
        <v>57</v>
      </c>
      <c r="T159" s="5">
        <f>VLOOKUP($A159,'SegEnds_NonXtal_Prot#'!$A:$AL,9,FALSE)</f>
        <v>61</v>
      </c>
      <c r="U159" s="5" t="str">
        <f>VLOOKUP($A159,'SegEnds_NonXtal_Prot#'!$A:$AL,12,FALSE)</f>
        <v>-</v>
      </c>
      <c r="V159" s="5">
        <f>VLOOKUP($A159,'SegEnds_NonXtal_Prot#'!$A:$AL,15,FALSE)</f>
        <v>95</v>
      </c>
      <c r="W159" s="5">
        <f>VLOOKUP($A159,'SegEnds_NonXtal_Prot#'!$A:$AL,18,FALSE)</f>
        <v>134</v>
      </c>
      <c r="X159" s="5">
        <f>VLOOKUP($A159,'SegEnds_NonXtal_Prot#'!$A:$AL,21,FALSE)</f>
        <v>142</v>
      </c>
      <c r="Y159" s="5">
        <f>VLOOKUP($A159,'SegEnds_NonXtal_Prot#'!$A:$AL,24,FALSE)</f>
        <v>181</v>
      </c>
      <c r="Z159" s="5">
        <f>VLOOKUP($A159,'SegEnds_NonXtal_Prot#'!$A:$AL,27,FALSE)</f>
        <v>187</v>
      </c>
      <c r="AA159" s="5">
        <f>VLOOKUP($A159,'SegEnds_NonXtal_Prot#'!$A:$AL,30,FALSE)</f>
        <v>238</v>
      </c>
      <c r="AB159" s="5">
        <f>VLOOKUP($A159,'SegEnds_NonXtal_Prot#'!$A:$AL,33,FALSE)</f>
        <v>283</v>
      </c>
      <c r="AC159" s="5">
        <f>VLOOKUP($A159,'SegEnds_NonXtal_Prot#'!$A:$AL,36,FALSE)</f>
        <v>308</v>
      </c>
      <c r="AD159" s="5">
        <f>VLOOKUP($A159,'SegEnds_NonXtal_Prot#'!$A:$AL,5,FALSE)</f>
        <v>56</v>
      </c>
      <c r="AE159" s="5">
        <f>VLOOKUP($A159,'SegEnds_NonXtal_Prot#'!$A:$AL,8,FALSE)</f>
        <v>60</v>
      </c>
      <c r="AF159" s="5">
        <f>VLOOKUP($A159,'SegEnds_NonXtal_Prot#'!$A:$AL,11,FALSE)</f>
        <v>91</v>
      </c>
      <c r="AG159" s="5" t="str">
        <f>VLOOKUP($A159,'SegEnds_NonXtal_Prot#'!$A:$AL,14,FALSE)</f>
        <v>-</v>
      </c>
      <c r="AH159" s="5">
        <f>VLOOKUP($A159,'SegEnds_NonXtal_Prot#'!$A:$AL,17,FALSE)</f>
        <v>133</v>
      </c>
      <c r="AI159" s="5">
        <f>VLOOKUP($A159,'SegEnds_NonXtal_Prot#'!$A:$AL,20,FALSE)</f>
        <v>141</v>
      </c>
      <c r="AJ159" s="5">
        <f>VLOOKUP($A159,'SegEnds_NonXtal_Prot#'!$A:$AL,23,FALSE)</f>
        <v>171</v>
      </c>
      <c r="AK159" s="5">
        <f>VLOOKUP($A159,'SegEnds_NonXtal_Prot#'!$A:$AL,26,FALSE)</f>
        <v>183</v>
      </c>
      <c r="AL159" s="5">
        <f>VLOOKUP($A159,'SegEnds_NonXtal_Prot#'!$A:$AL,29,FALSE)</f>
        <v>226</v>
      </c>
      <c r="AM159" s="5">
        <f>VLOOKUP($A159,'SegEnds_NonXtal_Prot#'!$A:$AL,32,FALSE)</f>
        <v>278</v>
      </c>
      <c r="AN159" s="5">
        <f>VLOOKUP($A159,'SegEnds_NonXtal_Prot#'!$A:$AL,35,FALSE)</f>
        <v>307</v>
      </c>
      <c r="AO159" s="5">
        <f>VLOOKUP($A159,'SegEnds_NonXtal_Prot#'!$A:$AL,38,FALSE)</f>
        <v>321</v>
      </c>
      <c r="AP159" s="5">
        <f t="shared" si="63"/>
        <v>27</v>
      </c>
      <c r="AQ159" s="4">
        <f t="shared" si="64"/>
        <v>3</v>
      </c>
      <c r="AR159" s="4">
        <f t="shared" si="65"/>
        <v>30</v>
      </c>
      <c r="AS159" s="4" t="str">
        <f t="shared" si="66"/>
        <v>-</v>
      </c>
      <c r="AT159" s="4">
        <f t="shared" si="67"/>
        <v>38</v>
      </c>
      <c r="AU159" s="4">
        <f t="shared" si="68"/>
        <v>7</v>
      </c>
      <c r="AV159" s="4">
        <f t="shared" si="69"/>
        <v>29</v>
      </c>
      <c r="AW159" s="4">
        <f t="shared" si="70"/>
        <v>2</v>
      </c>
      <c r="AX159" s="4">
        <f t="shared" si="71"/>
        <v>39</v>
      </c>
      <c r="AY159" s="4">
        <f t="shared" si="72"/>
        <v>40</v>
      </c>
      <c r="AZ159" s="4">
        <f t="shared" si="73"/>
        <v>24</v>
      </c>
      <c r="BA159" s="4">
        <f t="shared" si="74"/>
        <v>13</v>
      </c>
    </row>
    <row r="160" spans="1:53" x14ac:dyDescent="0.2">
      <c r="A160" s="1" t="str">
        <f>'SegEnds_NonXtal_Prot#'!A135</f>
        <v>gpr25_human</v>
      </c>
      <c r="B160" s="1" t="str">
        <f t="shared" si="50"/>
        <v>YGYVYIPALYLAAFAVGLLGNAFVVWLLAGRRLVDTFVLHLAAADLGFVLTLPLWAAAAALGDGLCKLSSFALAGTRCAGALLLAGMSVDRYLAVVKTPRCALASCCGVWAVALLAGLPSLVYRAFQGLSLLLLLLTFVLPLVVTLFCYCRISRRLRRRARRNSLRIIFAIESTFVGSWLPFSALRAVFHLARLGPCPLLLALRWGLTIATCLAFVNSCANPLIYLLLDRSFRARALDGACGR</v>
      </c>
      <c r="C160" s="29" t="str">
        <f>IF(ISERROR(MATCH(A160,'SegEnds_Xtal_Prot#'!B:B, 0)), "NoXtal", "Xtal")</f>
        <v>NoXtal</v>
      </c>
      <c r="D160" s="4" t="str">
        <f>VLOOKUP(A160,Classification!A:D,2,FALSE)</f>
        <v>A</v>
      </c>
      <c r="E160" s="5" t="str">
        <f>VLOOKUP(A160,Seqs!A:B,2,FALSE)</f>
        <v>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</v>
      </c>
      <c r="F160" s="5" t="str">
        <f t="shared" si="51"/>
        <v>YGYVYIPALYLAAFAVGLLGNAFVVWLLAGR</v>
      </c>
      <c r="G160" s="4" t="str">
        <f t="shared" si="52"/>
        <v>RGPR</v>
      </c>
      <c r="H160" s="4" t="str">
        <f t="shared" si="53"/>
        <v>RLVDTFVLHLAAADLGFVLTLPLWAAAAAL</v>
      </c>
      <c r="I160" s="4" t="str">
        <f t="shared" si="54"/>
        <v>RWPF</v>
      </c>
      <c r="J160" s="4" t="str">
        <f t="shared" si="55"/>
        <v>GDGLCKLSSFALAGTRCAGALLLAGMSVDRYLAVVK</v>
      </c>
      <c r="K160" s="4" t="str">
        <f t="shared" si="56"/>
        <v>LLEARPLR</v>
      </c>
      <c r="L160" s="4" t="str">
        <f t="shared" si="57"/>
        <v>TPRCALASCCGVWAVALLAGLPSLVYR</v>
      </c>
      <c r="M160" s="4" t="str">
        <f t="shared" si="58"/>
        <v>CGE</v>
      </c>
      <c r="N160" s="4" t="str">
        <f t="shared" si="59"/>
        <v>AFQGLSLLLLLLTFVLPLVVTLFCYCRISRRLRR</v>
      </c>
      <c r="O160" s="4" t="str">
        <f t="shared" si="60"/>
        <v>RARRNSLRIIFAIESTFVGSWLPFSALRAVFHLARLG</v>
      </c>
      <c r="P160" s="4" t="str">
        <f t="shared" si="61"/>
        <v>PCPLLLALRWGLTIATCLAFVNSCANPLIYLLL</v>
      </c>
      <c r="Q160" s="4" t="str">
        <f t="shared" si="62"/>
        <v>DRSFRARALDGACGR</v>
      </c>
      <c r="R160" s="5">
        <f>VLOOKUP($A160,'SegEnds_NonXtal_Prot#'!$A:$AL,3,FALSE)</f>
        <v>37</v>
      </c>
      <c r="S160" s="5">
        <f>VLOOKUP($A160,'SegEnds_NonXtal_Prot#'!$A:$AL,6,FALSE)</f>
        <v>68</v>
      </c>
      <c r="T160" s="5">
        <f>VLOOKUP($A160,'SegEnds_NonXtal_Prot#'!$A:$AL,9,FALSE)</f>
        <v>72</v>
      </c>
      <c r="U160" s="5">
        <f>VLOOKUP($A160,'SegEnds_NonXtal_Prot#'!$A:$AL,12,FALSE)</f>
        <v>104</v>
      </c>
      <c r="V160" s="5">
        <f>VLOOKUP($A160,'SegEnds_NonXtal_Prot#'!$A:$AL,15,FALSE)</f>
        <v>108</v>
      </c>
      <c r="W160" s="5">
        <f>VLOOKUP($A160,'SegEnds_NonXtal_Prot#'!$A:$AL,18,FALSE)</f>
        <v>144</v>
      </c>
      <c r="X160" s="5">
        <f>VLOOKUP($A160,'SegEnds_NonXtal_Prot#'!$A:$AL,21,FALSE)</f>
        <v>152</v>
      </c>
      <c r="Y160" s="5">
        <f>VLOOKUP($A160,'SegEnds_NonXtal_Prot#'!$A:$AL,24,FALSE)</f>
        <v>191</v>
      </c>
      <c r="Z160" s="5">
        <f>VLOOKUP($A160,'SegEnds_NonXtal_Prot#'!$A:$AL,27,FALSE)</f>
        <v>198</v>
      </c>
      <c r="AA160" s="5">
        <f>VLOOKUP($A160,'SegEnds_NonXtal_Prot#'!$A:$AL,30,FALSE)</f>
        <v>237</v>
      </c>
      <c r="AB160" s="5">
        <f>VLOOKUP($A160,'SegEnds_NonXtal_Prot#'!$A:$AL,33,FALSE)</f>
        <v>278</v>
      </c>
      <c r="AC160" s="5">
        <f>VLOOKUP($A160,'SegEnds_NonXtal_Prot#'!$A:$AL,36,FALSE)</f>
        <v>311</v>
      </c>
      <c r="AD160" s="5">
        <f>VLOOKUP($A160,'SegEnds_NonXtal_Prot#'!$A:$AL,5,FALSE)</f>
        <v>67</v>
      </c>
      <c r="AE160" s="5">
        <f>VLOOKUP($A160,'SegEnds_NonXtal_Prot#'!$A:$AL,8,FALSE)</f>
        <v>71</v>
      </c>
      <c r="AF160" s="5">
        <f>VLOOKUP($A160,'SegEnds_NonXtal_Prot#'!$A:$AL,11,FALSE)</f>
        <v>101</v>
      </c>
      <c r="AG160" s="5">
        <f>VLOOKUP($A160,'SegEnds_NonXtal_Prot#'!$A:$AL,14,FALSE)</f>
        <v>107</v>
      </c>
      <c r="AH160" s="5">
        <f>VLOOKUP($A160,'SegEnds_NonXtal_Prot#'!$A:$AL,17,FALSE)</f>
        <v>143</v>
      </c>
      <c r="AI160" s="5">
        <f>VLOOKUP($A160,'SegEnds_NonXtal_Prot#'!$A:$AL,20,FALSE)</f>
        <v>151</v>
      </c>
      <c r="AJ160" s="5">
        <f>VLOOKUP($A160,'SegEnds_NonXtal_Prot#'!$A:$AL,23,FALSE)</f>
        <v>178</v>
      </c>
      <c r="AK160" s="5">
        <f>VLOOKUP($A160,'SegEnds_NonXtal_Prot#'!$A:$AL,26,FALSE)</f>
        <v>193</v>
      </c>
      <c r="AL160" s="5">
        <f>VLOOKUP($A160,'SegEnds_NonXtal_Prot#'!$A:$AL,29,FALSE)</f>
        <v>231</v>
      </c>
      <c r="AM160" s="5">
        <f>VLOOKUP($A160,'SegEnds_NonXtal_Prot#'!$A:$AL,32,FALSE)</f>
        <v>273</v>
      </c>
      <c r="AN160" s="5">
        <f>VLOOKUP($A160,'SegEnds_NonXtal_Prot#'!$A:$AL,35,FALSE)</f>
        <v>310</v>
      </c>
      <c r="AO160" s="5">
        <f>VLOOKUP($A160,'SegEnds_NonXtal_Prot#'!$A:$AL,38,FALSE)</f>
        <v>325</v>
      </c>
      <c r="AP160" s="5">
        <f t="shared" si="63"/>
        <v>30</v>
      </c>
      <c r="AQ160" s="4">
        <f t="shared" si="64"/>
        <v>3</v>
      </c>
      <c r="AR160" s="4">
        <f t="shared" si="65"/>
        <v>29</v>
      </c>
      <c r="AS160" s="4">
        <f t="shared" si="66"/>
        <v>3</v>
      </c>
      <c r="AT160" s="4">
        <f t="shared" si="67"/>
        <v>35</v>
      </c>
      <c r="AU160" s="4">
        <f t="shared" si="68"/>
        <v>7</v>
      </c>
      <c r="AV160" s="4">
        <f t="shared" si="69"/>
        <v>26</v>
      </c>
      <c r="AW160" s="4">
        <f t="shared" si="70"/>
        <v>2</v>
      </c>
      <c r="AX160" s="4">
        <f t="shared" si="71"/>
        <v>33</v>
      </c>
      <c r="AY160" s="4">
        <f t="shared" si="72"/>
        <v>36</v>
      </c>
      <c r="AZ160" s="4">
        <f t="shared" si="73"/>
        <v>32</v>
      </c>
      <c r="BA160" s="4">
        <f t="shared" si="74"/>
        <v>14</v>
      </c>
    </row>
    <row r="161" spans="1:53" x14ac:dyDescent="0.2">
      <c r="A161" s="1" t="str">
        <f>'SegEnds_NonXtal_Prot#'!A136</f>
        <v>gpr26_human</v>
      </c>
      <c r="B161" s="1" t="str">
        <f t="shared" si="50"/>
        <v>NSWDAGLAGLLVGTMGVSLLSNALVLLCLLHSRQAPALFTLNLTCGNLLCTVVNMPLTLAGVVAQGDRLCRLAAFLDTFLAANSMLSMAALSIDRWVAVVFRLRDAALMVAYTWLHALTFPAAALAFAVFTGAFHALSFLLSFVVLCCTYLKVLKVARFHCKRIDVITEEQKRRRQRATKKISTFIGTFLVCFAPYVITRLVELFSGSHWGVLSKCLAYSKAASDPFVYSLLRHQYRKSCKEILN</v>
      </c>
      <c r="C161" s="29" t="str">
        <f>IF(ISERROR(MATCH(A161,'SegEnds_Xtal_Prot#'!B:B, 0)), "NoXtal", "Xtal")</f>
        <v>NoXtal</v>
      </c>
      <c r="D161" s="4" t="str">
        <f>VLOOKUP(A161,Classification!A:D,2,FALSE)</f>
        <v>A</v>
      </c>
      <c r="E161" s="5" t="str">
        <f>VLOOKUP(A161,Seqs!A:B,2,FALSE)</f>
        <v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v>
      </c>
      <c r="F161" s="5" t="str">
        <f t="shared" si="51"/>
        <v>NSWDAGLAGLLVGTMGVSLLSNALVLLCLLHS</v>
      </c>
      <c r="G161" s="4" t="str">
        <f t="shared" si="52"/>
        <v>ADIR</v>
      </c>
      <c r="H161" s="4" t="str">
        <f t="shared" si="53"/>
        <v>RQAPALFTLNLTCGNLLCTVVNMPLTLAGVVAQ</v>
      </c>
      <c r="I161" s="4" t="str">
        <f t="shared" si="54"/>
        <v/>
      </c>
      <c r="J161" s="4" t="str">
        <f t="shared" si="55"/>
        <v>GDRLCRLAAFLDTFLAANSMLSMAALSIDRWVAVVF</v>
      </c>
      <c r="K161" s="4" t="str">
        <f t="shared" si="56"/>
        <v>PLSYRAKM</v>
      </c>
      <c r="L161" s="4" t="str">
        <f t="shared" si="57"/>
        <v>RLRDAALMVAYTWLHALTFPAAALA</v>
      </c>
      <c r="M161" s="4" t="str">
        <f t="shared" si="58"/>
        <v>CSR</v>
      </c>
      <c r="N161" s="4" t="str">
        <f t="shared" si="59"/>
        <v>FAVFTGAFHALSFLLSFVVLCCTYLKVLKVARFHCKRIDVIT</v>
      </c>
      <c r="O161" s="4" t="str">
        <f t="shared" si="60"/>
        <v>EEQKRRRQRATKKISTFIGTFLVCFAPYVITRLVELFS</v>
      </c>
      <c r="P161" s="4" t="str">
        <f t="shared" si="61"/>
        <v>GSHWGVLSKCLAYSKAASDPFVYSLL</v>
      </c>
      <c r="Q161" s="4" t="str">
        <f t="shared" si="62"/>
        <v>RHQYRKSCKEILN</v>
      </c>
      <c r="R161" s="5">
        <f>VLOOKUP($A161,'SegEnds_NonXtal_Prot#'!$A:$AL,3,FALSE)</f>
        <v>2</v>
      </c>
      <c r="S161" s="5">
        <f>VLOOKUP($A161,'SegEnds_NonXtal_Prot#'!$A:$AL,6,FALSE)</f>
        <v>34</v>
      </c>
      <c r="T161" s="5">
        <f>VLOOKUP($A161,'SegEnds_NonXtal_Prot#'!$A:$AL,9,FALSE)</f>
        <v>38</v>
      </c>
      <c r="U161" s="5" t="str">
        <f>VLOOKUP($A161,'SegEnds_NonXtal_Prot#'!$A:$AL,12,FALSE)</f>
        <v>-</v>
      </c>
      <c r="V161" s="5">
        <f>VLOOKUP($A161,'SegEnds_NonXtal_Prot#'!$A:$AL,15,FALSE)</f>
        <v>75</v>
      </c>
      <c r="W161" s="5">
        <f>VLOOKUP($A161,'SegEnds_NonXtal_Prot#'!$A:$AL,18,FALSE)</f>
        <v>111</v>
      </c>
      <c r="X161" s="5">
        <f>VLOOKUP($A161,'SegEnds_NonXtal_Prot#'!$A:$AL,21,FALSE)</f>
        <v>119</v>
      </c>
      <c r="Y161" s="5">
        <f>VLOOKUP($A161,'SegEnds_NonXtal_Prot#'!$A:$AL,24,FALSE)</f>
        <v>159</v>
      </c>
      <c r="Z161" s="5">
        <f>VLOOKUP($A161,'SegEnds_NonXtal_Prot#'!$A:$AL,27,FALSE)</f>
        <v>169</v>
      </c>
      <c r="AA161" s="5">
        <f>VLOOKUP($A161,'SegEnds_NonXtal_Prot#'!$A:$AL,30,FALSE)</f>
        <v>230</v>
      </c>
      <c r="AB161" s="5">
        <f>VLOOKUP($A161,'SegEnds_NonXtal_Prot#'!$A:$AL,33,FALSE)</f>
        <v>272</v>
      </c>
      <c r="AC161" s="5">
        <f>VLOOKUP($A161,'SegEnds_NonXtal_Prot#'!$A:$AL,36,FALSE)</f>
        <v>298</v>
      </c>
      <c r="AD161" s="5">
        <f>VLOOKUP($A161,'SegEnds_NonXtal_Prot#'!$A:$AL,5,FALSE)</f>
        <v>33</v>
      </c>
      <c r="AE161" s="5">
        <f>VLOOKUP($A161,'SegEnds_NonXtal_Prot#'!$A:$AL,8,FALSE)</f>
        <v>37</v>
      </c>
      <c r="AF161" s="5">
        <f>VLOOKUP($A161,'SegEnds_NonXtal_Prot#'!$A:$AL,11,FALSE)</f>
        <v>70</v>
      </c>
      <c r="AG161" s="5" t="str">
        <f>VLOOKUP($A161,'SegEnds_NonXtal_Prot#'!$A:$AL,14,FALSE)</f>
        <v>-</v>
      </c>
      <c r="AH161" s="5">
        <f>VLOOKUP($A161,'SegEnds_NonXtal_Prot#'!$A:$AL,17,FALSE)</f>
        <v>110</v>
      </c>
      <c r="AI161" s="5">
        <f>VLOOKUP($A161,'SegEnds_NonXtal_Prot#'!$A:$AL,20,FALSE)</f>
        <v>118</v>
      </c>
      <c r="AJ161" s="5">
        <f>VLOOKUP($A161,'SegEnds_NonXtal_Prot#'!$A:$AL,23,FALSE)</f>
        <v>143</v>
      </c>
      <c r="AK161" s="5">
        <f>VLOOKUP($A161,'SegEnds_NonXtal_Prot#'!$A:$AL,26,FALSE)</f>
        <v>161</v>
      </c>
      <c r="AL161" s="5">
        <f>VLOOKUP($A161,'SegEnds_NonXtal_Prot#'!$A:$AL,29,FALSE)</f>
        <v>210</v>
      </c>
      <c r="AM161" s="5">
        <f>VLOOKUP($A161,'SegEnds_NonXtal_Prot#'!$A:$AL,32,FALSE)</f>
        <v>267</v>
      </c>
      <c r="AN161" s="5">
        <f>VLOOKUP($A161,'SegEnds_NonXtal_Prot#'!$A:$AL,35,FALSE)</f>
        <v>297</v>
      </c>
      <c r="AO161" s="5">
        <f>VLOOKUP($A161,'SegEnds_NonXtal_Prot#'!$A:$AL,38,FALSE)</f>
        <v>310</v>
      </c>
      <c r="AP161" s="5">
        <f t="shared" si="63"/>
        <v>31</v>
      </c>
      <c r="AQ161" s="4">
        <f t="shared" si="64"/>
        <v>3</v>
      </c>
      <c r="AR161" s="4">
        <f t="shared" si="65"/>
        <v>32</v>
      </c>
      <c r="AS161" s="4" t="str">
        <f t="shared" si="66"/>
        <v>-</v>
      </c>
      <c r="AT161" s="4">
        <f t="shared" si="67"/>
        <v>35</v>
      </c>
      <c r="AU161" s="4">
        <f t="shared" si="68"/>
        <v>7</v>
      </c>
      <c r="AV161" s="4">
        <f t="shared" si="69"/>
        <v>24</v>
      </c>
      <c r="AW161" s="4">
        <f t="shared" si="70"/>
        <v>2</v>
      </c>
      <c r="AX161" s="4">
        <f t="shared" si="71"/>
        <v>41</v>
      </c>
      <c r="AY161" s="4">
        <f t="shared" si="72"/>
        <v>37</v>
      </c>
      <c r="AZ161" s="4">
        <f t="shared" si="73"/>
        <v>25</v>
      </c>
      <c r="BA161" s="4">
        <f t="shared" si="74"/>
        <v>12</v>
      </c>
    </row>
    <row r="162" spans="1:53" x14ac:dyDescent="0.2">
      <c r="A162" s="1" t="str">
        <f>'SegEnds_NonXtal_Prot#'!A137</f>
        <v>gpr3_human</v>
      </c>
      <c r="B162" s="1" t="str">
        <f t="shared" si="50"/>
        <v>PSPKAWDVVLCISGTLVSCENALVVAIIVGTAPMFLLVGSLAVADLLAGLGLVLHFAGSAEMSLVLVGVLAMAFTASIGSLLAITVDRYLSLYNTVTRTYVMLALVWGGALGLGLLPVLASKNHLVVLAIAFFMVFGIMLQLYAQICRIVCRHAQQIALPASHYVATRKGIATLAVVLGAFAACWLPFTVYCLLGDAHYTYLTLLPATYNSMINPIIYAFRNQDVQKVLWAVCC</v>
      </c>
      <c r="C162" s="29" t="str">
        <f>IF(ISERROR(MATCH(A162,'SegEnds_Xtal_Prot#'!B:B, 0)), "NoXtal", "Xtal")</f>
        <v>NoXtal</v>
      </c>
      <c r="D162" s="4" t="str">
        <f>VLOOKUP(A162,Classification!A:D,2,FALSE)</f>
        <v>A</v>
      </c>
      <c r="E162" s="5" t="str">
        <f>VLOOKUP(A162,Seqs!A:B,2,FALSE)</f>
        <v>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</v>
      </c>
      <c r="F162" s="5" t="str">
        <f t="shared" si="51"/>
        <v>PSPKAWDVVLCISGTLVSCENALVVAIIVGT</v>
      </c>
      <c r="G162" s="4" t="str">
        <f t="shared" si="52"/>
        <v>PAFR</v>
      </c>
      <c r="H162" s="4" t="str">
        <f t="shared" si="53"/>
        <v>APMFLLVGSLAVADLLAGLGLVLHFA</v>
      </c>
      <c r="I162" s="4" t="str">
        <f t="shared" si="54"/>
        <v>VFCI</v>
      </c>
      <c r="J162" s="4" t="str">
        <f t="shared" si="55"/>
        <v>GSAEMSLVLVGVLAMAFTASIGSLLAITVDRYLSLYN</v>
      </c>
      <c r="K162" s="4" t="str">
        <f t="shared" si="56"/>
        <v>ALTYYSET</v>
      </c>
      <c r="L162" s="4" t="str">
        <f t="shared" si="57"/>
        <v>TVTRTYVMLALVWGGALGLGLLPVLA</v>
      </c>
      <c r="M162" s="4" t="str">
        <f t="shared" si="58"/>
        <v/>
      </c>
      <c r="N162" s="4" t="str">
        <f t="shared" si="59"/>
        <v>SKNHLVVLAIAFFMVFGIMLQLYAQICRIVCRHAQQIA</v>
      </c>
      <c r="O162" s="4" t="str">
        <f t="shared" si="60"/>
        <v>LPASHYVATRKGIATLAVVLGAFAACWLPFTVYCLLGDAH</v>
      </c>
      <c r="P162" s="4" t="str">
        <f t="shared" si="61"/>
        <v>YTYLTLLPATYNSMINPIIYAFR</v>
      </c>
      <c r="Q162" s="4" t="str">
        <f t="shared" si="62"/>
        <v>NQDVQKVLWAVCC</v>
      </c>
      <c r="R162" s="5">
        <f>VLOOKUP($A162,'SegEnds_NonXtal_Prot#'!$A:$AL,3,FALSE)</f>
        <v>38</v>
      </c>
      <c r="S162" s="5">
        <f>VLOOKUP($A162,'SegEnds_NonXtal_Prot#'!$A:$AL,6,FALSE)</f>
        <v>69</v>
      </c>
      <c r="T162" s="5">
        <f>VLOOKUP($A162,'SegEnds_NonXtal_Prot#'!$A:$AL,9,FALSE)</f>
        <v>73</v>
      </c>
      <c r="U162" s="5">
        <f>VLOOKUP($A162,'SegEnds_NonXtal_Prot#'!$A:$AL,12,FALSE)</f>
        <v>100</v>
      </c>
      <c r="V162" s="5">
        <f>VLOOKUP($A162,'SegEnds_NonXtal_Prot#'!$A:$AL,15,FALSE)</f>
        <v>104</v>
      </c>
      <c r="W162" s="5">
        <f>VLOOKUP($A162,'SegEnds_NonXtal_Prot#'!$A:$AL,18,FALSE)</f>
        <v>141</v>
      </c>
      <c r="X162" s="5">
        <f>VLOOKUP($A162,'SegEnds_NonXtal_Prot#'!$A:$AL,21,FALSE)</f>
        <v>149</v>
      </c>
      <c r="Y162" s="5" t="str">
        <f>VLOOKUP($A162,'SegEnds_NonXtal_Prot#'!$A:$AL,24,FALSE)</f>
        <v>-</v>
      </c>
      <c r="Z162" s="5">
        <f>VLOOKUP($A162,'SegEnds_NonXtal_Prot#'!$A:$AL,27,FALSE)</f>
        <v>191</v>
      </c>
      <c r="AA162" s="5">
        <f>VLOOKUP($A162,'SegEnds_NonXtal_Prot#'!$A:$AL,30,FALSE)</f>
        <v>234</v>
      </c>
      <c r="AB162" s="5">
        <f>VLOOKUP($A162,'SegEnds_NonXtal_Prot#'!$A:$AL,33,FALSE)</f>
        <v>278</v>
      </c>
      <c r="AC162" s="5">
        <f>VLOOKUP($A162,'SegEnds_NonXtal_Prot#'!$A:$AL,36,FALSE)</f>
        <v>301</v>
      </c>
      <c r="AD162" s="5">
        <f>VLOOKUP($A162,'SegEnds_NonXtal_Prot#'!$A:$AL,5,FALSE)</f>
        <v>68</v>
      </c>
      <c r="AE162" s="5">
        <f>VLOOKUP($A162,'SegEnds_NonXtal_Prot#'!$A:$AL,8,FALSE)</f>
        <v>72</v>
      </c>
      <c r="AF162" s="5">
        <f>VLOOKUP($A162,'SegEnds_NonXtal_Prot#'!$A:$AL,11,FALSE)</f>
        <v>98</v>
      </c>
      <c r="AG162" s="5">
        <f>VLOOKUP($A162,'SegEnds_NonXtal_Prot#'!$A:$AL,14,FALSE)</f>
        <v>103</v>
      </c>
      <c r="AH162" s="5">
        <f>VLOOKUP($A162,'SegEnds_NonXtal_Prot#'!$A:$AL,17,FALSE)</f>
        <v>140</v>
      </c>
      <c r="AI162" s="5">
        <f>VLOOKUP($A162,'SegEnds_NonXtal_Prot#'!$A:$AL,20,FALSE)</f>
        <v>148</v>
      </c>
      <c r="AJ162" s="5">
        <f>VLOOKUP($A162,'SegEnds_NonXtal_Prot#'!$A:$AL,23,FALSE)</f>
        <v>174</v>
      </c>
      <c r="AK162" s="5" t="str">
        <f>VLOOKUP($A162,'SegEnds_NonXtal_Prot#'!$A:$AL,26,FALSE)</f>
        <v>-</v>
      </c>
      <c r="AL162" s="5">
        <f>VLOOKUP($A162,'SegEnds_NonXtal_Prot#'!$A:$AL,29,FALSE)</f>
        <v>228</v>
      </c>
      <c r="AM162" s="5">
        <f>VLOOKUP($A162,'SegEnds_NonXtal_Prot#'!$A:$AL,32,FALSE)</f>
        <v>273</v>
      </c>
      <c r="AN162" s="5">
        <f>VLOOKUP($A162,'SegEnds_NonXtal_Prot#'!$A:$AL,35,FALSE)</f>
        <v>300</v>
      </c>
      <c r="AO162" s="5">
        <f>VLOOKUP($A162,'SegEnds_NonXtal_Prot#'!$A:$AL,38,FALSE)</f>
        <v>313</v>
      </c>
      <c r="AP162" s="5">
        <f t="shared" si="63"/>
        <v>30</v>
      </c>
      <c r="AQ162" s="4">
        <f t="shared" si="64"/>
        <v>3</v>
      </c>
      <c r="AR162" s="4">
        <f t="shared" si="65"/>
        <v>25</v>
      </c>
      <c r="AS162" s="4">
        <f t="shared" si="66"/>
        <v>3</v>
      </c>
      <c r="AT162" s="4">
        <f t="shared" si="67"/>
        <v>36</v>
      </c>
      <c r="AU162" s="4">
        <f t="shared" si="68"/>
        <v>7</v>
      </c>
      <c r="AV162" s="4">
        <f t="shared" si="69"/>
        <v>25</v>
      </c>
      <c r="AW162" s="4" t="str">
        <f t="shared" si="70"/>
        <v>-</v>
      </c>
      <c r="AX162" s="4">
        <f t="shared" si="71"/>
        <v>37</v>
      </c>
      <c r="AY162" s="4">
        <f t="shared" si="72"/>
        <v>39</v>
      </c>
      <c r="AZ162" s="4">
        <f t="shared" si="73"/>
        <v>22</v>
      </c>
      <c r="BA162" s="4">
        <f t="shared" si="74"/>
        <v>12</v>
      </c>
    </row>
    <row r="163" spans="1:53" x14ac:dyDescent="0.2">
      <c r="A163" s="1" t="str">
        <f>'SegEnds_NonXtal_Prot#'!A138</f>
        <v>gpr31_human</v>
      </c>
      <c r="B163" s="1" t="str">
        <f t="shared" si="50"/>
        <v>PNCSAPSTVVATAVGVLLGLECGLGLLGNAVALWTFLFRKPYAVYLLNLALADLLLAACLPFLAAFYLSGRVGCWALHFLLDLSRSVGMAFLAAVALDRYLRVVHSPQAALGVSGLVWLLMVALTCPGLLISDGSFSIIWQEALSCLQFVLPFGLIVFCNAGIIRALQKRPEKQPKLQRAQALVTLVVVLFALCFLPCFLARVLMHIFLCAVAHTSDVTGSLTYLHSVLNPVVYCFSSPTFRSSYRRVFHT</v>
      </c>
      <c r="C163" s="29" t="str">
        <f>IF(ISERROR(MATCH(A163,'SegEnds_Xtal_Prot#'!B:B, 0)), "NoXtal", "Xtal")</f>
        <v>NoXtal</v>
      </c>
      <c r="D163" s="4" t="str">
        <f>VLOOKUP(A163,Classification!A:D,2,FALSE)</f>
        <v>A</v>
      </c>
      <c r="E163" s="5" t="str">
        <f>VLOOKUP(A163,Seqs!A:B,2,FALSE)</f>
        <v>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</v>
      </c>
      <c r="F163" s="5" t="str">
        <f t="shared" si="51"/>
        <v>PNCSAPSTVVATAVGVLLGLECGLGLLGNAVALWTFLFR</v>
      </c>
      <c r="G163" s="4" t="str">
        <f t="shared" si="52"/>
        <v>VRVW</v>
      </c>
      <c r="H163" s="4" t="str">
        <f t="shared" si="53"/>
        <v>KPYAVYLLNLALADLLLAACLPFLAAFYLS</v>
      </c>
      <c r="I163" s="4" t="str">
        <f t="shared" si="54"/>
        <v>AWHL</v>
      </c>
      <c r="J163" s="4" t="str">
        <f t="shared" si="55"/>
        <v>GRVGCWALHFLLDLSRSVGMAFLAAVALDRYLRVVH</v>
      </c>
      <c r="K163" s="4" t="str">
        <f t="shared" si="56"/>
        <v>PRLKVNLL</v>
      </c>
      <c r="L163" s="4" t="str">
        <f t="shared" si="57"/>
        <v>SPQAALGVSGLVWLLMVALTCPGLLIS</v>
      </c>
      <c r="M163" s="4" t="str">
        <f t="shared" si="58"/>
        <v>CHS</v>
      </c>
      <c r="N163" s="4" t="str">
        <f t="shared" si="59"/>
        <v>DGSFSIIWQEALSCLQFVLPFGLIVFCNAGIIRALQKR</v>
      </c>
      <c r="O163" s="4" t="str">
        <f t="shared" si="60"/>
        <v>PEKQPKLQRAQALVTLVVVLFALCFLPCFLARVLMHIF</v>
      </c>
      <c r="P163" s="4" t="str">
        <f t="shared" si="61"/>
        <v>LCAVAHTSDVTGSLTYLHSVLNPVVYCFS</v>
      </c>
      <c r="Q163" s="4" t="str">
        <f t="shared" si="62"/>
        <v>SPTFRSSYRRVFHT</v>
      </c>
      <c r="R163" s="5">
        <f>VLOOKUP($A163,'SegEnds_NonXtal_Prot#'!$A:$AL,3,FALSE)</f>
        <v>4</v>
      </c>
      <c r="S163" s="5">
        <f>VLOOKUP($A163,'SegEnds_NonXtal_Prot#'!$A:$AL,6,FALSE)</f>
        <v>43</v>
      </c>
      <c r="T163" s="5">
        <f>VLOOKUP($A163,'SegEnds_NonXtal_Prot#'!$A:$AL,9,FALSE)</f>
        <v>47</v>
      </c>
      <c r="U163" s="5">
        <f>VLOOKUP($A163,'SegEnds_NonXtal_Prot#'!$A:$AL,12,FALSE)</f>
        <v>79</v>
      </c>
      <c r="V163" s="5">
        <f>VLOOKUP($A163,'SegEnds_NonXtal_Prot#'!$A:$AL,15,FALSE)</f>
        <v>83</v>
      </c>
      <c r="W163" s="5">
        <f>VLOOKUP($A163,'SegEnds_NonXtal_Prot#'!$A:$AL,18,FALSE)</f>
        <v>119</v>
      </c>
      <c r="X163" s="5">
        <f>VLOOKUP($A163,'SegEnds_NonXtal_Prot#'!$A:$AL,21,FALSE)</f>
        <v>127</v>
      </c>
      <c r="Y163" s="5">
        <f>VLOOKUP($A163,'SegEnds_NonXtal_Prot#'!$A:$AL,24,FALSE)</f>
        <v>162</v>
      </c>
      <c r="Z163" s="5">
        <f>VLOOKUP($A163,'SegEnds_NonXtal_Prot#'!$A:$AL,27,FALSE)</f>
        <v>170</v>
      </c>
      <c r="AA163" s="5">
        <f>VLOOKUP($A163,'SegEnds_NonXtal_Prot#'!$A:$AL,30,FALSE)</f>
        <v>211</v>
      </c>
      <c r="AB163" s="5">
        <f>VLOOKUP($A163,'SegEnds_NonXtal_Prot#'!$A:$AL,33,FALSE)</f>
        <v>257</v>
      </c>
      <c r="AC163" s="5">
        <f>VLOOKUP($A163,'SegEnds_NonXtal_Prot#'!$A:$AL,36,FALSE)</f>
        <v>286</v>
      </c>
      <c r="AD163" s="5">
        <f>VLOOKUP($A163,'SegEnds_NonXtal_Prot#'!$A:$AL,5,FALSE)</f>
        <v>42</v>
      </c>
      <c r="AE163" s="5">
        <f>VLOOKUP($A163,'SegEnds_NonXtal_Prot#'!$A:$AL,8,FALSE)</f>
        <v>46</v>
      </c>
      <c r="AF163" s="5">
        <f>VLOOKUP($A163,'SegEnds_NonXtal_Prot#'!$A:$AL,11,FALSE)</f>
        <v>76</v>
      </c>
      <c r="AG163" s="5">
        <f>VLOOKUP($A163,'SegEnds_NonXtal_Prot#'!$A:$AL,14,FALSE)</f>
        <v>82</v>
      </c>
      <c r="AH163" s="5">
        <f>VLOOKUP($A163,'SegEnds_NonXtal_Prot#'!$A:$AL,17,FALSE)</f>
        <v>118</v>
      </c>
      <c r="AI163" s="5">
        <f>VLOOKUP($A163,'SegEnds_NonXtal_Prot#'!$A:$AL,20,FALSE)</f>
        <v>126</v>
      </c>
      <c r="AJ163" s="5">
        <f>VLOOKUP($A163,'SegEnds_NonXtal_Prot#'!$A:$AL,23,FALSE)</f>
        <v>153</v>
      </c>
      <c r="AK163" s="5">
        <f>VLOOKUP($A163,'SegEnds_NonXtal_Prot#'!$A:$AL,26,FALSE)</f>
        <v>164</v>
      </c>
      <c r="AL163" s="5">
        <f>VLOOKUP($A163,'SegEnds_NonXtal_Prot#'!$A:$AL,29,FALSE)</f>
        <v>207</v>
      </c>
      <c r="AM163" s="5">
        <f>VLOOKUP($A163,'SegEnds_NonXtal_Prot#'!$A:$AL,32,FALSE)</f>
        <v>248</v>
      </c>
      <c r="AN163" s="5">
        <f>VLOOKUP($A163,'SegEnds_NonXtal_Prot#'!$A:$AL,35,FALSE)</f>
        <v>285</v>
      </c>
      <c r="AO163" s="5">
        <f>VLOOKUP($A163,'SegEnds_NonXtal_Prot#'!$A:$AL,38,FALSE)</f>
        <v>299</v>
      </c>
      <c r="AP163" s="5">
        <f t="shared" si="63"/>
        <v>38</v>
      </c>
      <c r="AQ163" s="4">
        <f t="shared" si="64"/>
        <v>3</v>
      </c>
      <c r="AR163" s="4">
        <f t="shared" si="65"/>
        <v>29</v>
      </c>
      <c r="AS163" s="4">
        <f t="shared" si="66"/>
        <v>3</v>
      </c>
      <c r="AT163" s="4">
        <f t="shared" si="67"/>
        <v>35</v>
      </c>
      <c r="AU163" s="4">
        <f t="shared" si="68"/>
        <v>7</v>
      </c>
      <c r="AV163" s="4">
        <f t="shared" si="69"/>
        <v>26</v>
      </c>
      <c r="AW163" s="4">
        <f t="shared" si="70"/>
        <v>2</v>
      </c>
      <c r="AX163" s="4">
        <f t="shared" si="71"/>
        <v>37</v>
      </c>
      <c r="AY163" s="4">
        <f t="shared" si="72"/>
        <v>37</v>
      </c>
      <c r="AZ163" s="4">
        <f t="shared" si="73"/>
        <v>28</v>
      </c>
      <c r="BA163" s="4">
        <f t="shared" si="74"/>
        <v>13</v>
      </c>
    </row>
    <row r="164" spans="1:53" x14ac:dyDescent="0.2">
      <c r="A164" s="1" t="str">
        <f>'SegEnds_NonXtal_Prot#'!A139</f>
        <v>gpr32_human</v>
      </c>
      <c r="B164" s="1" t="str">
        <f t="shared" si="50"/>
        <v>GCLSEEVGSLRPLTVVILSASIVVGVLGNGLVLWMTVFRTVSTVCFFHLALADFMLSLSLPIAMYYIVSGEWACKLYITFVFLSYFASNCLLVFISVDRCISVLYTVQRASWLAFGVWLLAAALCSAHLKFRVVEGHIIGTIGHFLLGFLGPLAIIGTCAHLIRAKLLREANRPKRLLLVLVSAFFIFWSPFNVVLLVHLWRHPRMLLILQASFALGCVNSSLNPFLYVFVGRDFQEKFFQSLTS</v>
      </c>
      <c r="C164" s="29" t="str">
        <f>IF(ISERROR(MATCH(A164,'SegEnds_Xtal_Prot#'!B:B, 0)), "NoXtal", "Xtal")</f>
        <v>NoXtal</v>
      </c>
      <c r="D164" s="4" t="str">
        <f>VLOOKUP(A164,Classification!A:D,2,FALSE)</f>
        <v>A</v>
      </c>
      <c r="E164" s="5" t="str">
        <f>VLOOKUP(A164,Seqs!A:B,2,FALSE)</f>
        <v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v>
      </c>
      <c r="F164" s="5" t="str">
        <f t="shared" si="51"/>
        <v>GCLSEEVGSLRPLTVVILSASIVVGVLGNGLVLWMTVFR</v>
      </c>
      <c r="G164" s="4" t="str">
        <f t="shared" si="52"/>
        <v/>
      </c>
      <c r="H164" s="4" t="str">
        <f t="shared" si="53"/>
        <v>TVSTVCFFHLALADFMLSLSLPIAMYYIVS</v>
      </c>
      <c r="I164" s="4" t="str">
        <f t="shared" si="54"/>
        <v>QWLL</v>
      </c>
      <c r="J164" s="4" t="str">
        <f t="shared" si="55"/>
        <v>GEWACKLYITFVFLSYFASNCLLVFISVDRCISVLY</v>
      </c>
      <c r="K164" s="4" t="str">
        <f t="shared" si="56"/>
        <v>PVWALNHR</v>
      </c>
      <c r="L164" s="4" t="str">
        <f t="shared" si="57"/>
        <v>TVQRASWLAFGVWLLAAALCSAHLKFR</v>
      </c>
      <c r="M164" s="4" t="str">
        <f t="shared" si="58"/>
        <v>CYL</v>
      </c>
      <c r="N164" s="4" t="str">
        <f t="shared" si="59"/>
        <v>VVEGHIIGTIGHFLLGFLGPLAIIGTCAHLIRAKLLRE</v>
      </c>
      <c r="O164" s="4" t="str">
        <f t="shared" si="60"/>
        <v>ANRPKRLLLVLVSAFFIFWSPFNVVLLVHLWR</v>
      </c>
      <c r="P164" s="4" t="str">
        <f t="shared" si="61"/>
        <v>HPRMLLILQASFALGCVNSSLNPFLYVFV</v>
      </c>
      <c r="Q164" s="4" t="str">
        <f t="shared" si="62"/>
        <v>GRDFQEKFFQSLTS</v>
      </c>
      <c r="R164" s="5">
        <f>VLOOKUP($A164,'SegEnds_NonXtal_Prot#'!$A:$AL,3,FALSE)</f>
        <v>33</v>
      </c>
      <c r="S164" s="5" t="str">
        <f>VLOOKUP($A164,'SegEnds_NonXtal_Prot#'!$A:$AL,6,FALSE)</f>
        <v>-</v>
      </c>
      <c r="T164" s="5">
        <f>VLOOKUP($A164,'SegEnds_NonXtal_Prot#'!$A:$AL,9,FALSE)</f>
        <v>75</v>
      </c>
      <c r="U164" s="5">
        <f>VLOOKUP($A164,'SegEnds_NonXtal_Prot#'!$A:$AL,12,FALSE)</f>
        <v>106</v>
      </c>
      <c r="V164" s="5">
        <f>VLOOKUP($A164,'SegEnds_NonXtal_Prot#'!$A:$AL,15,FALSE)</f>
        <v>110</v>
      </c>
      <c r="W164" s="5">
        <f>VLOOKUP($A164,'SegEnds_NonXtal_Prot#'!$A:$AL,18,FALSE)</f>
        <v>146</v>
      </c>
      <c r="X164" s="5">
        <f>VLOOKUP($A164,'SegEnds_NonXtal_Prot#'!$A:$AL,21,FALSE)</f>
        <v>154</v>
      </c>
      <c r="Y164" s="5">
        <f>VLOOKUP($A164,'SegEnds_NonXtal_Prot#'!$A:$AL,24,FALSE)</f>
        <v>191</v>
      </c>
      <c r="Z164" s="5">
        <f>VLOOKUP($A164,'SegEnds_NonXtal_Prot#'!$A:$AL,27,FALSE)</f>
        <v>209</v>
      </c>
      <c r="AA164" s="5">
        <f>VLOOKUP($A164,'SegEnds_NonXtal_Prot#'!$A:$AL,30,FALSE)</f>
        <v>251</v>
      </c>
      <c r="AB164" s="5">
        <f>VLOOKUP($A164,'SegEnds_NonXtal_Prot#'!$A:$AL,33,FALSE)</f>
        <v>291</v>
      </c>
      <c r="AC164" s="5">
        <f>VLOOKUP($A164,'SegEnds_NonXtal_Prot#'!$A:$AL,36,FALSE)</f>
        <v>320</v>
      </c>
      <c r="AD164" s="5">
        <f>VLOOKUP($A164,'SegEnds_NonXtal_Prot#'!$A:$AL,5,FALSE)</f>
        <v>71</v>
      </c>
      <c r="AE164" s="5" t="str">
        <f>VLOOKUP($A164,'SegEnds_NonXtal_Prot#'!$A:$AL,8,FALSE)</f>
        <v>-</v>
      </c>
      <c r="AF164" s="5">
        <f>VLOOKUP($A164,'SegEnds_NonXtal_Prot#'!$A:$AL,11,FALSE)</f>
        <v>104</v>
      </c>
      <c r="AG164" s="5">
        <f>VLOOKUP($A164,'SegEnds_NonXtal_Prot#'!$A:$AL,14,FALSE)</f>
        <v>109</v>
      </c>
      <c r="AH164" s="5">
        <f>VLOOKUP($A164,'SegEnds_NonXtal_Prot#'!$A:$AL,17,FALSE)</f>
        <v>145</v>
      </c>
      <c r="AI164" s="5">
        <f>VLOOKUP($A164,'SegEnds_NonXtal_Prot#'!$A:$AL,20,FALSE)</f>
        <v>153</v>
      </c>
      <c r="AJ164" s="5">
        <f>VLOOKUP($A164,'SegEnds_NonXtal_Prot#'!$A:$AL,23,FALSE)</f>
        <v>180</v>
      </c>
      <c r="AK164" s="5">
        <f>VLOOKUP($A164,'SegEnds_NonXtal_Prot#'!$A:$AL,26,FALSE)</f>
        <v>193</v>
      </c>
      <c r="AL164" s="5">
        <f>VLOOKUP($A164,'SegEnds_NonXtal_Prot#'!$A:$AL,29,FALSE)</f>
        <v>246</v>
      </c>
      <c r="AM164" s="5">
        <f>VLOOKUP($A164,'SegEnds_NonXtal_Prot#'!$A:$AL,32,FALSE)</f>
        <v>282</v>
      </c>
      <c r="AN164" s="5">
        <f>VLOOKUP($A164,'SegEnds_NonXtal_Prot#'!$A:$AL,35,FALSE)</f>
        <v>319</v>
      </c>
      <c r="AO164" s="5">
        <f>VLOOKUP($A164,'SegEnds_NonXtal_Prot#'!$A:$AL,38,FALSE)</f>
        <v>333</v>
      </c>
      <c r="AP164" s="5">
        <f t="shared" si="63"/>
        <v>38</v>
      </c>
      <c r="AQ164" s="4" t="str">
        <f t="shared" si="64"/>
        <v>-</v>
      </c>
      <c r="AR164" s="4">
        <f t="shared" si="65"/>
        <v>29</v>
      </c>
      <c r="AS164" s="4">
        <f t="shared" si="66"/>
        <v>3</v>
      </c>
      <c r="AT164" s="4">
        <f t="shared" si="67"/>
        <v>35</v>
      </c>
      <c r="AU164" s="4">
        <f t="shared" si="68"/>
        <v>7</v>
      </c>
      <c r="AV164" s="4">
        <f t="shared" si="69"/>
        <v>26</v>
      </c>
      <c r="AW164" s="4">
        <f t="shared" si="70"/>
        <v>2</v>
      </c>
      <c r="AX164" s="4">
        <f t="shared" si="71"/>
        <v>37</v>
      </c>
      <c r="AY164" s="4">
        <f t="shared" si="72"/>
        <v>31</v>
      </c>
      <c r="AZ164" s="4">
        <f t="shared" si="73"/>
        <v>28</v>
      </c>
      <c r="BA164" s="4">
        <f t="shared" si="74"/>
        <v>13</v>
      </c>
    </row>
    <row r="165" spans="1:53" x14ac:dyDescent="0.2">
      <c r="A165" s="1" t="str">
        <f>'SegEnds_NonXtal_Prot#'!A140</f>
        <v>gpr33_human</v>
      </c>
      <c r="B165" s="1" t="str">
        <f t="shared" si="50"/>
        <v>ASKMIIALSLYISSIIGTITNGLYLWVLRFKTVNTLLFFHLILSYFISTMILPFMATSQLQGTALCKVFNGTLSLGMFTSVFFLSAIGLDRYLLTLHTPRWASSIVLGVWISAAALSIPYLIFRIHVACFISRFLLGFLLPFFIIIFCYERVASKVKERSSKPFKVMMTAIISFFVCWMPYHIHQGLLLTTLELTLILTVLTTSFNTIFSPTLYLFVGENFKKVFKKSILAL</v>
      </c>
      <c r="C165" s="29" t="str">
        <f>IF(ISERROR(MATCH(A165,'SegEnds_Xtal_Prot#'!B:B, 0)), "NoXtal", "Xtal")</f>
        <v>NoXtal</v>
      </c>
      <c r="D165" s="4" t="str">
        <f>VLOOKUP(A165,Classification!A:D,2,FALSE)</f>
        <v>A</v>
      </c>
      <c r="E165" s="5" t="str">
        <f>VLOOKUP(A165,Seqs!A:B,2,FALSE)</f>
        <v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v>
      </c>
      <c r="F165" s="5" t="str">
        <f t="shared" si="51"/>
        <v>ASKMIIALSLYISSIIGTITNGLYLWVLRFK</v>
      </c>
      <c r="G165" s="4" t="str">
        <f t="shared" si="52"/>
        <v/>
      </c>
      <c r="H165" s="4" t="str">
        <f t="shared" si="53"/>
        <v>TVNTLLFFHLILSYFISTMILPFMATSQLQ</v>
      </c>
      <c r="I165" s="4" t="str">
        <f t="shared" si="54"/>
        <v>HWNF</v>
      </c>
      <c r="J165" s="4" t="str">
        <f t="shared" si="55"/>
        <v>GTALCKVFNGTLSLGMFTSVFFLSAIGLDRYLLTLH</v>
      </c>
      <c r="K165" s="4" t="str">
        <f t="shared" si="56"/>
        <v>PVWSQQHR</v>
      </c>
      <c r="L165" s="4" t="str">
        <f t="shared" si="57"/>
        <v>TPRWASSIVLGVWISAAALSIPYLIFR</v>
      </c>
      <c r="M165" s="4" t="str">
        <f t="shared" si="58"/>
        <v>CQN</v>
      </c>
      <c r="N165" s="4" t="str">
        <f t="shared" si="59"/>
        <v>IHVACFISRFLLGFLLPFFIIIFCYERVASKVKER</v>
      </c>
      <c r="O165" s="4" t="str">
        <f t="shared" si="60"/>
        <v>SSKPFKVMMTAIISFFVCWMPYHIHQGLLLTT</v>
      </c>
      <c r="P165" s="4" t="str">
        <f t="shared" si="61"/>
        <v>LELTLILTVLTTSFNTIFSPTLYLFV</v>
      </c>
      <c r="Q165" s="4" t="str">
        <f t="shared" si="62"/>
        <v>GENFKKVFKKSILAL</v>
      </c>
      <c r="R165" s="5">
        <f>VLOOKUP($A165,'SegEnds_NonXtal_Prot#'!$A:$AL,3,FALSE)</f>
        <v>27</v>
      </c>
      <c r="S165" s="5" t="str">
        <f>VLOOKUP($A165,'SegEnds_NonXtal_Prot#'!$A:$AL,6,FALSE)</f>
        <v>-</v>
      </c>
      <c r="T165" s="5">
        <f>VLOOKUP($A165,'SegEnds_NonXtal_Prot#'!$A:$AL,9,FALSE)</f>
        <v>61</v>
      </c>
      <c r="U165" s="5">
        <f>VLOOKUP($A165,'SegEnds_NonXtal_Prot#'!$A:$AL,12,FALSE)</f>
        <v>93</v>
      </c>
      <c r="V165" s="5">
        <f>VLOOKUP($A165,'SegEnds_NonXtal_Prot#'!$A:$AL,15,FALSE)</f>
        <v>97</v>
      </c>
      <c r="W165" s="5">
        <f>VLOOKUP($A165,'SegEnds_NonXtal_Prot#'!$A:$AL,18,FALSE)</f>
        <v>133</v>
      </c>
      <c r="X165" s="5">
        <f>VLOOKUP($A165,'SegEnds_NonXtal_Prot#'!$A:$AL,21,FALSE)</f>
        <v>141</v>
      </c>
      <c r="Y165" s="5">
        <f>VLOOKUP($A165,'SegEnds_NonXtal_Prot#'!$A:$AL,24,FALSE)</f>
        <v>179</v>
      </c>
      <c r="Z165" s="5">
        <f>VLOOKUP($A165,'SegEnds_NonXtal_Prot#'!$A:$AL,27,FALSE)</f>
        <v>201</v>
      </c>
      <c r="AA165" s="5">
        <f>VLOOKUP($A165,'SegEnds_NonXtal_Prot#'!$A:$AL,30,FALSE)</f>
        <v>240</v>
      </c>
      <c r="AB165" s="5">
        <f>VLOOKUP($A165,'SegEnds_NonXtal_Prot#'!$A:$AL,33,FALSE)</f>
        <v>277</v>
      </c>
      <c r="AC165" s="5">
        <f>VLOOKUP($A165,'SegEnds_NonXtal_Prot#'!$A:$AL,36,FALSE)</f>
        <v>303</v>
      </c>
      <c r="AD165" s="5">
        <f>VLOOKUP($A165,'SegEnds_NonXtal_Prot#'!$A:$AL,5,FALSE)</f>
        <v>57</v>
      </c>
      <c r="AE165" s="5" t="str">
        <f>VLOOKUP($A165,'SegEnds_NonXtal_Prot#'!$A:$AL,8,FALSE)</f>
        <v>-</v>
      </c>
      <c r="AF165" s="5">
        <f>VLOOKUP($A165,'SegEnds_NonXtal_Prot#'!$A:$AL,11,FALSE)</f>
        <v>90</v>
      </c>
      <c r="AG165" s="5">
        <f>VLOOKUP($A165,'SegEnds_NonXtal_Prot#'!$A:$AL,14,FALSE)</f>
        <v>96</v>
      </c>
      <c r="AH165" s="5">
        <f>VLOOKUP($A165,'SegEnds_NonXtal_Prot#'!$A:$AL,17,FALSE)</f>
        <v>132</v>
      </c>
      <c r="AI165" s="5">
        <f>VLOOKUP($A165,'SegEnds_NonXtal_Prot#'!$A:$AL,20,FALSE)</f>
        <v>140</v>
      </c>
      <c r="AJ165" s="5">
        <f>VLOOKUP($A165,'SegEnds_NonXtal_Prot#'!$A:$AL,23,FALSE)</f>
        <v>167</v>
      </c>
      <c r="AK165" s="5">
        <f>VLOOKUP($A165,'SegEnds_NonXtal_Prot#'!$A:$AL,26,FALSE)</f>
        <v>181</v>
      </c>
      <c r="AL165" s="5">
        <f>VLOOKUP($A165,'SegEnds_NonXtal_Prot#'!$A:$AL,29,FALSE)</f>
        <v>235</v>
      </c>
      <c r="AM165" s="5">
        <f>VLOOKUP($A165,'SegEnds_NonXtal_Prot#'!$A:$AL,32,FALSE)</f>
        <v>271</v>
      </c>
      <c r="AN165" s="5">
        <f>VLOOKUP($A165,'SegEnds_NonXtal_Prot#'!$A:$AL,35,FALSE)</f>
        <v>302</v>
      </c>
      <c r="AO165" s="5">
        <f>VLOOKUP($A165,'SegEnds_NonXtal_Prot#'!$A:$AL,38,FALSE)</f>
        <v>317</v>
      </c>
      <c r="AP165" s="5">
        <f t="shared" si="63"/>
        <v>30</v>
      </c>
      <c r="AQ165" s="4" t="str">
        <f t="shared" si="64"/>
        <v>-</v>
      </c>
      <c r="AR165" s="4">
        <f t="shared" si="65"/>
        <v>29</v>
      </c>
      <c r="AS165" s="4">
        <f t="shared" si="66"/>
        <v>3</v>
      </c>
      <c r="AT165" s="4">
        <f t="shared" si="67"/>
        <v>35</v>
      </c>
      <c r="AU165" s="4">
        <f t="shared" si="68"/>
        <v>7</v>
      </c>
      <c r="AV165" s="4">
        <f t="shared" si="69"/>
        <v>26</v>
      </c>
      <c r="AW165" s="4">
        <f t="shared" si="70"/>
        <v>2</v>
      </c>
      <c r="AX165" s="4">
        <f t="shared" si="71"/>
        <v>34</v>
      </c>
      <c r="AY165" s="4">
        <f t="shared" si="72"/>
        <v>31</v>
      </c>
      <c r="AZ165" s="4">
        <f t="shared" si="73"/>
        <v>25</v>
      </c>
      <c r="BA165" s="4">
        <f t="shared" si="74"/>
        <v>14</v>
      </c>
    </row>
    <row r="166" spans="1:53" x14ac:dyDescent="0.2">
      <c r="A166" s="1" t="str">
        <f>'SegEnds_NonXtal_Prot#'!A141</f>
        <v>gpr34_human</v>
      </c>
      <c r="B166" s="1" t="str">
        <f t="shared" si="50"/>
        <v>DEKLLSTVLTTSYSVIFIVGLVGNIIALYVFLGIHNSIQIYLLNVAIADLLLIFCLPFRIMYHINQGVILCKVVGTLFYMNMYISIILLGFISLDRYIKINRTTKQSIYVCCIVWMLALGGFLTMIILAKGEAIFNFILVVMFWLIFLLIILSYIKIGKNLLRIKFPNSGKYATTARNSFIVLIIFTICFVPYHAFRFIYISSSCYWKEIVHKTNEIMLVLSSFNSCLDPVMYFLMSSNIRKIMCQLLFRRFQ</v>
      </c>
      <c r="C166" s="29" t="str">
        <f>IF(ISERROR(MATCH(A166,'SegEnds_Xtal_Prot#'!B:B, 0)), "NoXtal", "Xtal")</f>
        <v>NoXtal</v>
      </c>
      <c r="D166" s="4" t="str">
        <f>VLOOKUP(A166,Classification!A:D,2,FALSE)</f>
        <v>A</v>
      </c>
      <c r="E166" s="5" t="str">
        <f>VLOOKUP(A166,Seqs!A:B,2,FALSE)</f>
        <v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v>
      </c>
      <c r="F166" s="5" t="str">
        <f t="shared" si="51"/>
        <v>DEKLLSTVLTTSYSVIFIVGLVGNIIALYVFLGIH</v>
      </c>
      <c r="G166" s="4" t="str">
        <f t="shared" si="52"/>
        <v/>
      </c>
      <c r="H166" s="4" t="str">
        <f t="shared" si="53"/>
        <v>NSIQIYLLNVAIADLLLIFCLPFRIMYHINQ</v>
      </c>
      <c r="I166" s="4" t="str">
        <f t="shared" si="54"/>
        <v>KWTL</v>
      </c>
      <c r="J166" s="4" t="str">
        <f t="shared" si="55"/>
        <v>GVILCKVVGTLFYMNMYISIILLGFISLDRYIKINR</v>
      </c>
      <c r="K166" s="4" t="str">
        <f t="shared" si="56"/>
        <v>SIQQRKAI</v>
      </c>
      <c r="L166" s="4" t="str">
        <f t="shared" si="57"/>
        <v>TTKQSIYVCCIVWMLALGGFLTMIIL</v>
      </c>
      <c r="M166" s="4" t="str">
        <f t="shared" si="58"/>
        <v>CFH</v>
      </c>
      <c r="N166" s="4" t="str">
        <f t="shared" si="59"/>
        <v>AKGEAIFNFILVVMFWLIFLLIILSYIKIGKNLLRI</v>
      </c>
      <c r="O166" s="4" t="str">
        <f t="shared" si="60"/>
        <v>KFPNSGKYATTARNSFIVLIIFTICFVPYHAFRFIYISS</v>
      </c>
      <c r="P166" s="4" t="str">
        <f t="shared" si="61"/>
        <v>SCYWKEIVHKTNEIMLVLSSFNSCLDPVMYFLMSSN</v>
      </c>
      <c r="Q166" s="4" t="str">
        <f t="shared" si="62"/>
        <v>IRKIMCQLLFRRFQ</v>
      </c>
      <c r="R166" s="5">
        <f>VLOOKUP($A166,'SegEnds_NonXtal_Prot#'!$A:$AL,3,FALSE)</f>
        <v>49</v>
      </c>
      <c r="S166" s="5" t="str">
        <f>VLOOKUP($A166,'SegEnds_NonXtal_Prot#'!$A:$AL,6,FALSE)</f>
        <v>-</v>
      </c>
      <c r="T166" s="5">
        <f>VLOOKUP($A166,'SegEnds_NonXtal_Prot#'!$A:$AL,9,FALSE)</f>
        <v>87</v>
      </c>
      <c r="U166" s="5">
        <f>VLOOKUP($A166,'SegEnds_NonXtal_Prot#'!$A:$AL,12,FALSE)</f>
        <v>119</v>
      </c>
      <c r="V166" s="5">
        <f>VLOOKUP($A166,'SegEnds_NonXtal_Prot#'!$A:$AL,15,FALSE)</f>
        <v>123</v>
      </c>
      <c r="W166" s="5">
        <f>VLOOKUP($A166,'SegEnds_NonXtal_Prot#'!$A:$AL,18,FALSE)</f>
        <v>159</v>
      </c>
      <c r="X166" s="5">
        <f>VLOOKUP($A166,'SegEnds_NonXtal_Prot#'!$A:$AL,21,FALSE)</f>
        <v>167</v>
      </c>
      <c r="Y166" s="5">
        <f>VLOOKUP($A166,'SegEnds_NonXtal_Prot#'!$A:$AL,24,FALSE)</f>
        <v>204</v>
      </c>
      <c r="Z166" s="5">
        <f>VLOOKUP($A166,'SegEnds_NonXtal_Prot#'!$A:$AL,27,FALSE)</f>
        <v>213</v>
      </c>
      <c r="AA166" s="5">
        <f>VLOOKUP($A166,'SegEnds_NonXtal_Prot#'!$A:$AL,30,FALSE)</f>
        <v>254</v>
      </c>
      <c r="AB166" s="5">
        <f>VLOOKUP($A166,'SegEnds_NonXtal_Prot#'!$A:$AL,33,FALSE)</f>
        <v>298</v>
      </c>
      <c r="AC166" s="5">
        <f>VLOOKUP($A166,'SegEnds_NonXtal_Prot#'!$A:$AL,36,FALSE)</f>
        <v>334</v>
      </c>
      <c r="AD166" s="5">
        <f>VLOOKUP($A166,'SegEnds_NonXtal_Prot#'!$A:$AL,5,FALSE)</f>
        <v>83</v>
      </c>
      <c r="AE166" s="5" t="str">
        <f>VLOOKUP($A166,'SegEnds_NonXtal_Prot#'!$A:$AL,8,FALSE)</f>
        <v>-</v>
      </c>
      <c r="AF166" s="5">
        <f>VLOOKUP($A166,'SegEnds_NonXtal_Prot#'!$A:$AL,11,FALSE)</f>
        <v>117</v>
      </c>
      <c r="AG166" s="5">
        <f>VLOOKUP($A166,'SegEnds_NonXtal_Prot#'!$A:$AL,14,FALSE)</f>
        <v>122</v>
      </c>
      <c r="AH166" s="5">
        <f>VLOOKUP($A166,'SegEnds_NonXtal_Prot#'!$A:$AL,17,FALSE)</f>
        <v>158</v>
      </c>
      <c r="AI166" s="5">
        <f>VLOOKUP($A166,'SegEnds_NonXtal_Prot#'!$A:$AL,20,FALSE)</f>
        <v>166</v>
      </c>
      <c r="AJ166" s="5">
        <f>VLOOKUP($A166,'SegEnds_NonXtal_Prot#'!$A:$AL,23,FALSE)</f>
        <v>192</v>
      </c>
      <c r="AK166" s="5">
        <f>VLOOKUP($A166,'SegEnds_NonXtal_Prot#'!$A:$AL,26,FALSE)</f>
        <v>206</v>
      </c>
      <c r="AL166" s="5">
        <f>VLOOKUP($A166,'SegEnds_NonXtal_Prot#'!$A:$AL,29,FALSE)</f>
        <v>248</v>
      </c>
      <c r="AM166" s="5">
        <f>VLOOKUP($A166,'SegEnds_NonXtal_Prot#'!$A:$AL,32,FALSE)</f>
        <v>292</v>
      </c>
      <c r="AN166" s="5">
        <f>VLOOKUP($A166,'SegEnds_NonXtal_Prot#'!$A:$AL,35,FALSE)</f>
        <v>333</v>
      </c>
      <c r="AO166" s="5">
        <f>VLOOKUP($A166,'SegEnds_NonXtal_Prot#'!$A:$AL,38,FALSE)</f>
        <v>347</v>
      </c>
      <c r="AP166" s="5">
        <f t="shared" si="63"/>
        <v>34</v>
      </c>
      <c r="AQ166" s="4" t="str">
        <f t="shared" si="64"/>
        <v>-</v>
      </c>
      <c r="AR166" s="4">
        <f t="shared" si="65"/>
        <v>30</v>
      </c>
      <c r="AS166" s="4">
        <f t="shared" si="66"/>
        <v>3</v>
      </c>
      <c r="AT166" s="4">
        <f t="shared" si="67"/>
        <v>35</v>
      </c>
      <c r="AU166" s="4">
        <f t="shared" si="68"/>
        <v>7</v>
      </c>
      <c r="AV166" s="4">
        <f t="shared" si="69"/>
        <v>25</v>
      </c>
      <c r="AW166" s="4">
        <f t="shared" si="70"/>
        <v>2</v>
      </c>
      <c r="AX166" s="4">
        <f t="shared" si="71"/>
        <v>35</v>
      </c>
      <c r="AY166" s="4">
        <f t="shared" si="72"/>
        <v>38</v>
      </c>
      <c r="AZ166" s="4">
        <f t="shared" si="73"/>
        <v>35</v>
      </c>
      <c r="BA166" s="4">
        <f t="shared" si="74"/>
        <v>13</v>
      </c>
    </row>
    <row r="167" spans="1:53" x14ac:dyDescent="0.2">
      <c r="A167" s="1" t="str">
        <f>'SegEnds_NonXtal_Prot#'!A142</f>
        <v>gpr35_human</v>
      </c>
      <c r="B167" s="1" t="str">
        <f t="shared" si="50"/>
        <v>WPPAIKLGFYAYLGVLLVLGLLLNSLALWVFCCRTETRIYMTNLAVADLCLLCTLPFVLHSLRDLCQLSQGIYLTNRYMSISLVTAIAVDRYVAVRHSPRQAAAVCAVLWVLVIGSLVARWLLGHNFNSMAFPLLGFYLPLAVVVFCSLKVVTALAQRVGQAEATRKAARMVWANLLVFVVCFLPLHVGLTVRLAVLETIRRALYITSKLSDANCCLDAICYYYMAKEFQEASALAV</v>
      </c>
      <c r="C167" s="29" t="str">
        <f>IF(ISERROR(MATCH(A167,'SegEnds_Xtal_Prot#'!B:B, 0)), "NoXtal", "Xtal")</f>
        <v>NoXtal</v>
      </c>
      <c r="D167" s="4" t="str">
        <f>VLOOKUP(A167,Classification!A:D,2,FALSE)</f>
        <v>A</v>
      </c>
      <c r="E167" s="5" t="str">
        <f>VLOOKUP(A167,Seqs!A:B,2,FALSE)</f>
        <v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v>
      </c>
      <c r="F167" s="5" t="str">
        <f t="shared" si="51"/>
        <v>WPPAIKLGFYAYLGVLLVLGLLLNSLALWVFCCR</v>
      </c>
      <c r="G167" s="4" t="str">
        <f t="shared" si="52"/>
        <v>MQQW</v>
      </c>
      <c r="H167" s="4" t="str">
        <f t="shared" si="53"/>
        <v>TETRIYMTNLAVADLCLLCTLPFVLHSLRD</v>
      </c>
      <c r="I167" s="4" t="str">
        <f t="shared" si="54"/>
        <v/>
      </c>
      <c r="J167" s="4" t="str">
        <f t="shared" si="55"/>
        <v>LCQLSQGIYLTNRYMSISLVTAIAVDRYVAVRH</v>
      </c>
      <c r="K167" s="4" t="str">
        <f t="shared" si="56"/>
        <v>PLRARGLR</v>
      </c>
      <c r="L167" s="4" t="str">
        <f t="shared" si="57"/>
        <v>SPRQAAAVCAVLWVLVIGSLVARWLLG</v>
      </c>
      <c r="M167" s="4" t="str">
        <f t="shared" si="58"/>
        <v>CFR</v>
      </c>
      <c r="N167" s="4" t="str">
        <f t="shared" si="59"/>
        <v>HNFNSMAFPLLGFYLPLAVVVFCSLKVVTALAQR</v>
      </c>
      <c r="O167" s="4" t="str">
        <f t="shared" si="60"/>
        <v>VGQAEATRKAARMVWANLLVFVVCFLPLHVGLTVRLAV</v>
      </c>
      <c r="P167" s="4" t="str">
        <f t="shared" si="61"/>
        <v>LETIRRALYITSKLSDANCCLDAICYYYM</v>
      </c>
      <c r="Q167" s="4" t="str">
        <f t="shared" si="62"/>
        <v>AKEFQEASALAV</v>
      </c>
      <c r="R167" s="5">
        <f>VLOOKUP($A167,'SegEnds_NonXtal_Prot#'!$A:$AL,3,FALSE)</f>
        <v>15</v>
      </c>
      <c r="S167" s="5">
        <f>VLOOKUP($A167,'SegEnds_NonXtal_Prot#'!$A:$AL,6,FALSE)</f>
        <v>49</v>
      </c>
      <c r="T167" s="5">
        <f>VLOOKUP($A167,'SegEnds_NonXtal_Prot#'!$A:$AL,9,FALSE)</f>
        <v>53</v>
      </c>
      <c r="U167" s="5" t="str">
        <f>VLOOKUP($A167,'SegEnds_NonXtal_Prot#'!$A:$AL,12,FALSE)</f>
        <v>-</v>
      </c>
      <c r="V167" s="5">
        <f>VLOOKUP($A167,'SegEnds_NonXtal_Prot#'!$A:$AL,15,FALSE)</f>
        <v>88</v>
      </c>
      <c r="W167" s="5">
        <f>VLOOKUP($A167,'SegEnds_NonXtal_Prot#'!$A:$AL,18,FALSE)</f>
        <v>121</v>
      </c>
      <c r="X167" s="5">
        <f>VLOOKUP($A167,'SegEnds_NonXtal_Prot#'!$A:$AL,21,FALSE)</f>
        <v>129</v>
      </c>
      <c r="Y167" s="5">
        <f>VLOOKUP($A167,'SegEnds_NonXtal_Prot#'!$A:$AL,24,FALSE)</f>
        <v>162</v>
      </c>
      <c r="Z167" s="5">
        <f>VLOOKUP($A167,'SegEnds_NonXtal_Prot#'!$A:$AL,27,FALSE)</f>
        <v>168</v>
      </c>
      <c r="AA167" s="5">
        <f>VLOOKUP($A167,'SegEnds_NonXtal_Prot#'!$A:$AL,30,FALSE)</f>
        <v>206</v>
      </c>
      <c r="AB167" s="5">
        <f>VLOOKUP($A167,'SegEnds_NonXtal_Prot#'!$A:$AL,33,FALSE)</f>
        <v>251</v>
      </c>
      <c r="AC167" s="5">
        <f>VLOOKUP($A167,'SegEnds_NonXtal_Prot#'!$A:$AL,36,FALSE)</f>
        <v>280</v>
      </c>
      <c r="AD167" s="5">
        <f>VLOOKUP($A167,'SegEnds_NonXtal_Prot#'!$A:$AL,5,FALSE)</f>
        <v>48</v>
      </c>
      <c r="AE167" s="5">
        <f>VLOOKUP($A167,'SegEnds_NonXtal_Prot#'!$A:$AL,8,FALSE)</f>
        <v>52</v>
      </c>
      <c r="AF167" s="5">
        <f>VLOOKUP($A167,'SegEnds_NonXtal_Prot#'!$A:$AL,11,FALSE)</f>
        <v>82</v>
      </c>
      <c r="AG167" s="5" t="str">
        <f>VLOOKUP($A167,'SegEnds_NonXtal_Prot#'!$A:$AL,14,FALSE)</f>
        <v>-</v>
      </c>
      <c r="AH167" s="5">
        <f>VLOOKUP($A167,'SegEnds_NonXtal_Prot#'!$A:$AL,17,FALSE)</f>
        <v>120</v>
      </c>
      <c r="AI167" s="5">
        <f>VLOOKUP($A167,'SegEnds_NonXtal_Prot#'!$A:$AL,20,FALSE)</f>
        <v>128</v>
      </c>
      <c r="AJ167" s="5">
        <f>VLOOKUP($A167,'SegEnds_NonXtal_Prot#'!$A:$AL,23,FALSE)</f>
        <v>155</v>
      </c>
      <c r="AK167" s="5">
        <f>VLOOKUP($A167,'SegEnds_NonXtal_Prot#'!$A:$AL,26,FALSE)</f>
        <v>164</v>
      </c>
      <c r="AL167" s="5">
        <f>VLOOKUP($A167,'SegEnds_NonXtal_Prot#'!$A:$AL,29,FALSE)</f>
        <v>201</v>
      </c>
      <c r="AM167" s="5">
        <f>VLOOKUP($A167,'SegEnds_NonXtal_Prot#'!$A:$AL,32,FALSE)</f>
        <v>243</v>
      </c>
      <c r="AN167" s="5">
        <f>VLOOKUP($A167,'SegEnds_NonXtal_Prot#'!$A:$AL,35,FALSE)</f>
        <v>279</v>
      </c>
      <c r="AO167" s="5">
        <f>VLOOKUP($A167,'SegEnds_NonXtal_Prot#'!$A:$AL,38,FALSE)</f>
        <v>291</v>
      </c>
      <c r="AP167" s="5">
        <f t="shared" si="63"/>
        <v>33</v>
      </c>
      <c r="AQ167" s="4">
        <f t="shared" si="64"/>
        <v>3</v>
      </c>
      <c r="AR167" s="4">
        <f t="shared" si="65"/>
        <v>29</v>
      </c>
      <c r="AS167" s="4" t="str">
        <f t="shared" si="66"/>
        <v>-</v>
      </c>
      <c r="AT167" s="4">
        <f t="shared" si="67"/>
        <v>32</v>
      </c>
      <c r="AU167" s="4">
        <f t="shared" si="68"/>
        <v>7</v>
      </c>
      <c r="AV167" s="4">
        <f t="shared" si="69"/>
        <v>26</v>
      </c>
      <c r="AW167" s="4">
        <f t="shared" si="70"/>
        <v>2</v>
      </c>
      <c r="AX167" s="4">
        <f t="shared" si="71"/>
        <v>33</v>
      </c>
      <c r="AY167" s="4">
        <f t="shared" si="72"/>
        <v>37</v>
      </c>
      <c r="AZ167" s="4">
        <f t="shared" si="73"/>
        <v>28</v>
      </c>
      <c r="BA167" s="4">
        <f t="shared" si="74"/>
        <v>11</v>
      </c>
    </row>
    <row r="168" spans="1:53" x14ac:dyDescent="0.2">
      <c r="A168" s="1" t="str">
        <f>'SegEnds_NonXtal_Prot#'!A143</f>
        <v>gpr37_human</v>
      </c>
      <c r="B168" s="1" t="str">
        <f t="shared" si="50"/>
        <v>FYPLTQESYGAYAVMCLSVVIFGTGIIGNLAVMCIVCHNSISNSLLANLAFWDFLIIFFCLPLVIFHELTEDFSCKIVPYIEVASLGVTTFTLCALCIDRFRAATNNCSSTTAKLAVIWVGALLLALPEVVLRYVLALTYDSARLWWYFGCYFCLPTLFTITCSLVTARKIRKAEKACKRQIQLESQMNCTVVALTILYGFCIIPENICNIVTAYMQQTMDLLNIISQFLLFFKSCVTPVLLFCLCKPFSRAFMECCCC</v>
      </c>
      <c r="C168" s="29" t="str">
        <f>IF(ISERROR(MATCH(A168,'SegEnds_Xtal_Prot#'!B:B, 0)), "NoXtal", "Xtal")</f>
        <v>NoXtal</v>
      </c>
      <c r="D168" s="4" t="str">
        <f>VLOOKUP(A168,Classification!A:D,2,FALSE)</f>
        <v>A</v>
      </c>
      <c r="E168" s="5" t="str">
        <f>VLOOKUP(A168,Seqs!A:B,2,FALSE)</f>
        <v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v>
      </c>
      <c r="F168" s="5" t="str">
        <f t="shared" si="51"/>
        <v>FYPLTQESYGAYAVMCLSVVIFGTGIIGNLAVMCIVCHN</v>
      </c>
      <c r="G168" s="4" t="str">
        <f t="shared" si="52"/>
        <v>YYMR</v>
      </c>
      <c r="H168" s="4" t="str">
        <f t="shared" si="53"/>
        <v>SISNSLLANLAFWDFLIIFFCLPLVIFHELT</v>
      </c>
      <c r="I168" s="4" t="str">
        <f t="shared" si="54"/>
        <v>KWLL</v>
      </c>
      <c r="J168" s="4" t="str">
        <f t="shared" si="55"/>
        <v>EDFSCKIVPYIEVASLGVTTFTLCALCIDRFRAATN</v>
      </c>
      <c r="K168" s="4" t="str">
        <f t="shared" si="56"/>
        <v>QMYYEMIE</v>
      </c>
      <c r="L168" s="4" t="str">
        <f t="shared" si="57"/>
        <v>NCSSTTAKLAVIWVGALLLALPEVVLR</v>
      </c>
      <c r="M168" s="4" t="str">
        <f t="shared" si="58"/>
        <v>CII</v>
      </c>
      <c r="N168" s="4" t="str">
        <f t="shared" si="59"/>
        <v>YVLALTYDSARLWWYFGCYFCLPTLFTITCSLVTARKIRKAEKAC</v>
      </c>
      <c r="O168" s="4" t="str">
        <f t="shared" si="60"/>
        <v>KRQIQLESQMNCTVVALTILYGFCIIPENICNIVTAYM</v>
      </c>
      <c r="P168" s="4" t="str">
        <f t="shared" si="61"/>
        <v>QQTMDLLNIISQFLLFFKSCVTPVLLFCL</v>
      </c>
      <c r="Q168" s="4" t="str">
        <f t="shared" si="62"/>
        <v>CKPFSRAFMECCCC</v>
      </c>
      <c r="R168" s="5">
        <f>VLOOKUP($A168,'SegEnds_NonXtal_Prot#'!$A:$AL,3,FALSE)</f>
        <v>251</v>
      </c>
      <c r="S168" s="5">
        <f>VLOOKUP($A168,'SegEnds_NonXtal_Prot#'!$A:$AL,6,FALSE)</f>
        <v>290</v>
      </c>
      <c r="T168" s="5">
        <f>VLOOKUP($A168,'SegEnds_NonXtal_Prot#'!$A:$AL,9,FALSE)</f>
        <v>294</v>
      </c>
      <c r="U168" s="5">
        <f>VLOOKUP($A168,'SegEnds_NonXtal_Prot#'!$A:$AL,12,FALSE)</f>
        <v>326</v>
      </c>
      <c r="V168" s="5">
        <f>VLOOKUP($A168,'SegEnds_NonXtal_Prot#'!$A:$AL,15,FALSE)</f>
        <v>330</v>
      </c>
      <c r="W168" s="5">
        <f>VLOOKUP($A168,'SegEnds_NonXtal_Prot#'!$A:$AL,18,FALSE)</f>
        <v>367</v>
      </c>
      <c r="X168" s="5">
        <f>VLOOKUP($A168,'SegEnds_NonXtal_Prot#'!$A:$AL,21,FALSE)</f>
        <v>375</v>
      </c>
      <c r="Y168" s="5">
        <f>VLOOKUP($A168,'SegEnds_NonXtal_Prot#'!$A:$AL,24,FALSE)</f>
        <v>419</v>
      </c>
      <c r="Z168" s="5">
        <f>VLOOKUP($A168,'SegEnds_NonXtal_Prot#'!$A:$AL,27,FALSE)</f>
        <v>432</v>
      </c>
      <c r="AA168" s="5">
        <f>VLOOKUP($A168,'SegEnds_NonXtal_Prot#'!$A:$AL,30,FALSE)</f>
        <v>481</v>
      </c>
      <c r="AB168" s="5">
        <f>VLOOKUP($A168,'SegEnds_NonXtal_Prot#'!$A:$AL,33,FALSE)</f>
        <v>524</v>
      </c>
      <c r="AC168" s="5">
        <f>VLOOKUP($A168,'SegEnds_NonXtal_Prot#'!$A:$AL,36,FALSE)</f>
        <v>553</v>
      </c>
      <c r="AD168" s="5">
        <f>VLOOKUP($A168,'SegEnds_NonXtal_Prot#'!$A:$AL,5,FALSE)</f>
        <v>289</v>
      </c>
      <c r="AE168" s="5">
        <f>VLOOKUP($A168,'SegEnds_NonXtal_Prot#'!$A:$AL,8,FALSE)</f>
        <v>293</v>
      </c>
      <c r="AF168" s="5">
        <f>VLOOKUP($A168,'SegEnds_NonXtal_Prot#'!$A:$AL,11,FALSE)</f>
        <v>324</v>
      </c>
      <c r="AG168" s="5">
        <f>VLOOKUP($A168,'SegEnds_NonXtal_Prot#'!$A:$AL,14,FALSE)</f>
        <v>329</v>
      </c>
      <c r="AH168" s="5">
        <f>VLOOKUP($A168,'SegEnds_NonXtal_Prot#'!$A:$AL,17,FALSE)</f>
        <v>365</v>
      </c>
      <c r="AI168" s="5">
        <f>VLOOKUP($A168,'SegEnds_NonXtal_Prot#'!$A:$AL,20,FALSE)</f>
        <v>374</v>
      </c>
      <c r="AJ168" s="5">
        <f>VLOOKUP($A168,'SegEnds_NonXtal_Prot#'!$A:$AL,23,FALSE)</f>
        <v>401</v>
      </c>
      <c r="AK168" s="5">
        <f>VLOOKUP($A168,'SegEnds_NonXtal_Prot#'!$A:$AL,26,FALSE)</f>
        <v>421</v>
      </c>
      <c r="AL168" s="5">
        <f>VLOOKUP($A168,'SegEnds_NonXtal_Prot#'!$A:$AL,29,FALSE)</f>
        <v>476</v>
      </c>
      <c r="AM168" s="5">
        <f>VLOOKUP($A168,'SegEnds_NonXtal_Prot#'!$A:$AL,32,FALSE)</f>
        <v>518</v>
      </c>
      <c r="AN168" s="5">
        <f>VLOOKUP($A168,'SegEnds_NonXtal_Prot#'!$A:$AL,35,FALSE)</f>
        <v>552</v>
      </c>
      <c r="AO168" s="5">
        <f>VLOOKUP($A168,'SegEnds_NonXtal_Prot#'!$A:$AL,38,FALSE)</f>
        <v>566</v>
      </c>
      <c r="AP168" s="5">
        <f t="shared" si="63"/>
        <v>38</v>
      </c>
      <c r="AQ168" s="4">
        <f t="shared" si="64"/>
        <v>3</v>
      </c>
      <c r="AR168" s="4">
        <f t="shared" si="65"/>
        <v>30</v>
      </c>
      <c r="AS168" s="4">
        <f t="shared" si="66"/>
        <v>3</v>
      </c>
      <c r="AT168" s="4">
        <f t="shared" si="67"/>
        <v>35</v>
      </c>
      <c r="AU168" s="4">
        <f t="shared" si="68"/>
        <v>7</v>
      </c>
      <c r="AV168" s="4">
        <f t="shared" si="69"/>
        <v>26</v>
      </c>
      <c r="AW168" s="4">
        <f t="shared" si="70"/>
        <v>2</v>
      </c>
      <c r="AX168" s="4">
        <f t="shared" si="71"/>
        <v>44</v>
      </c>
      <c r="AY168" s="4">
        <f t="shared" si="72"/>
        <v>37</v>
      </c>
      <c r="AZ168" s="4">
        <f t="shared" si="73"/>
        <v>28</v>
      </c>
      <c r="BA168" s="4">
        <f t="shared" si="74"/>
        <v>13</v>
      </c>
    </row>
    <row r="169" spans="1:53" x14ac:dyDescent="0.2">
      <c r="A169" s="1" t="str">
        <f>'SegEnds_NonXtal_Prot#'!A144</f>
        <v>gpr39_human</v>
      </c>
      <c r="B169" s="1" t="str">
        <f t="shared" si="50"/>
        <v>TWIKITLILVYLIIFVMGLLGNSATIRVTQVLKEVTDHMVSLACSDILVFLIGMPMEFYSIIWNTSSYTLSCKLHTFLFEACSYATLLHVLTLSFERYIAICHGPCQVKLLIGFVWVTSALVALPLLFAMRWTVFQSSIFGAFVVYLVVLLSVAFMCWNMMQVLMKSQKGSLEESRTARRQTIIFLRLIVVTLAVCWMPNQIRRIMAAAKTRSYFRAYMILLPFSETFFYLSSVINPLLYTVSSQQFRRVFVQVL</v>
      </c>
      <c r="C169" s="29" t="str">
        <f>IF(ISERROR(MATCH(A169,'SegEnds_Xtal_Prot#'!B:B, 0)), "NoXtal", "Xtal")</f>
        <v>NoXtal</v>
      </c>
      <c r="D169" s="4" t="str">
        <f>VLOOKUP(A169,Classification!A:D,2,FALSE)</f>
        <v>A</v>
      </c>
      <c r="E169" s="5" t="str">
        <f>VLOOKUP(A169,Seqs!A:B,2,FALSE)</f>
        <v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v>
      </c>
      <c r="F169" s="5" t="str">
        <f t="shared" si="51"/>
        <v>TWIKITLILVYLIIFVMGLLGNSATIRVTQVL</v>
      </c>
      <c r="G169" s="4" t="str">
        <f t="shared" si="52"/>
        <v/>
      </c>
      <c r="H169" s="4" t="str">
        <f t="shared" si="53"/>
        <v>KEVTDHMVSLACSDILVFLIGMPMEFYSIIWN</v>
      </c>
      <c r="I169" s="4" t="str">
        <f t="shared" si="54"/>
        <v/>
      </c>
      <c r="J169" s="4" t="str">
        <f t="shared" si="55"/>
        <v>TSSYTLSCKLHTFLFEACSYATLLHVLTLSFERYIAICH</v>
      </c>
      <c r="K169" s="4" t="str">
        <f t="shared" si="56"/>
        <v>PFRYKAVS</v>
      </c>
      <c r="L169" s="4" t="str">
        <f t="shared" si="57"/>
        <v>GPCQVKLLIGFVWVTSALVALPLLFAM</v>
      </c>
      <c r="M169" s="4" t="str">
        <f t="shared" si="58"/>
        <v>CTN</v>
      </c>
      <c r="N169" s="4" t="str">
        <f t="shared" si="59"/>
        <v>RWTVFQSSIFGAFVVYLVVLLSVAFMCWNMMQVLMKSQKGSL</v>
      </c>
      <c r="O169" s="4" t="str">
        <f t="shared" si="60"/>
        <v>EESRTARRQTIIFLRLIVVTLAVCWMPNQIRRIMAAAK</v>
      </c>
      <c r="P169" s="4" t="str">
        <f t="shared" si="61"/>
        <v>TRSYFRAYMILLPFSETFFYLSSVINPLLYTVS</v>
      </c>
      <c r="Q169" s="4" t="str">
        <f t="shared" si="62"/>
        <v>SQQFRRVFVQVL</v>
      </c>
      <c r="R169" s="5">
        <f>VLOOKUP($A169,'SegEnds_NonXtal_Prot#'!$A:$AL,3,FALSE)</f>
        <v>27</v>
      </c>
      <c r="S169" s="5" t="str">
        <f>VLOOKUP($A169,'SegEnds_NonXtal_Prot#'!$A:$AL,6,FALSE)</f>
        <v>-</v>
      </c>
      <c r="T169" s="5">
        <f>VLOOKUP($A169,'SegEnds_NonXtal_Prot#'!$A:$AL,9,FALSE)</f>
        <v>66</v>
      </c>
      <c r="U169" s="5" t="str">
        <f>VLOOKUP($A169,'SegEnds_NonXtal_Prot#'!$A:$AL,12,FALSE)</f>
        <v>-</v>
      </c>
      <c r="V169" s="5">
        <f>VLOOKUP($A169,'SegEnds_NonXtal_Prot#'!$A:$AL,15,FALSE)</f>
        <v>101</v>
      </c>
      <c r="W169" s="5">
        <f>VLOOKUP($A169,'SegEnds_NonXtal_Prot#'!$A:$AL,18,FALSE)</f>
        <v>140</v>
      </c>
      <c r="X169" s="5">
        <f>VLOOKUP($A169,'SegEnds_NonXtal_Prot#'!$A:$AL,21,FALSE)</f>
        <v>148</v>
      </c>
      <c r="Y169" s="5">
        <f>VLOOKUP($A169,'SegEnds_NonXtal_Prot#'!$A:$AL,24,FALSE)</f>
        <v>210</v>
      </c>
      <c r="Z169" s="5">
        <f>VLOOKUP($A169,'SegEnds_NonXtal_Prot#'!$A:$AL,27,FALSE)</f>
        <v>216</v>
      </c>
      <c r="AA169" s="5">
        <f>VLOOKUP($A169,'SegEnds_NonXtal_Prot#'!$A:$AL,30,FALSE)</f>
        <v>272</v>
      </c>
      <c r="AB169" s="5">
        <f>VLOOKUP($A169,'SegEnds_NonXtal_Prot#'!$A:$AL,33,FALSE)</f>
        <v>315</v>
      </c>
      <c r="AC169" s="5">
        <f>VLOOKUP($A169,'SegEnds_NonXtal_Prot#'!$A:$AL,36,FALSE)</f>
        <v>348</v>
      </c>
      <c r="AD169" s="5">
        <f>VLOOKUP($A169,'SegEnds_NonXtal_Prot#'!$A:$AL,5,FALSE)</f>
        <v>58</v>
      </c>
      <c r="AE169" s="5" t="str">
        <f>VLOOKUP($A169,'SegEnds_NonXtal_Prot#'!$A:$AL,8,FALSE)</f>
        <v>-</v>
      </c>
      <c r="AF169" s="5">
        <f>VLOOKUP($A169,'SegEnds_NonXtal_Prot#'!$A:$AL,11,FALSE)</f>
        <v>97</v>
      </c>
      <c r="AG169" s="5" t="str">
        <f>VLOOKUP($A169,'SegEnds_NonXtal_Prot#'!$A:$AL,14,FALSE)</f>
        <v>-</v>
      </c>
      <c r="AH169" s="5">
        <f>VLOOKUP($A169,'SegEnds_NonXtal_Prot#'!$A:$AL,17,FALSE)</f>
        <v>139</v>
      </c>
      <c r="AI169" s="5">
        <f>VLOOKUP($A169,'SegEnds_NonXtal_Prot#'!$A:$AL,20,FALSE)</f>
        <v>147</v>
      </c>
      <c r="AJ169" s="5">
        <f>VLOOKUP($A169,'SegEnds_NonXtal_Prot#'!$A:$AL,23,FALSE)</f>
        <v>174</v>
      </c>
      <c r="AK169" s="5">
        <f>VLOOKUP($A169,'SegEnds_NonXtal_Prot#'!$A:$AL,26,FALSE)</f>
        <v>212</v>
      </c>
      <c r="AL169" s="5">
        <f>VLOOKUP($A169,'SegEnds_NonXtal_Prot#'!$A:$AL,29,FALSE)</f>
        <v>257</v>
      </c>
      <c r="AM169" s="5">
        <f>VLOOKUP($A169,'SegEnds_NonXtal_Prot#'!$A:$AL,32,FALSE)</f>
        <v>309</v>
      </c>
      <c r="AN169" s="5">
        <f>VLOOKUP($A169,'SegEnds_NonXtal_Prot#'!$A:$AL,35,FALSE)</f>
        <v>347</v>
      </c>
      <c r="AO169" s="5">
        <f>VLOOKUP($A169,'SegEnds_NonXtal_Prot#'!$A:$AL,38,FALSE)</f>
        <v>359</v>
      </c>
      <c r="AP169" s="5">
        <f t="shared" si="63"/>
        <v>31</v>
      </c>
      <c r="AQ169" s="4" t="str">
        <f t="shared" si="64"/>
        <v>-</v>
      </c>
      <c r="AR169" s="4">
        <f t="shared" si="65"/>
        <v>31</v>
      </c>
      <c r="AS169" s="4" t="str">
        <f t="shared" si="66"/>
        <v>-</v>
      </c>
      <c r="AT169" s="4">
        <f t="shared" si="67"/>
        <v>38</v>
      </c>
      <c r="AU169" s="4">
        <f t="shared" si="68"/>
        <v>7</v>
      </c>
      <c r="AV169" s="4">
        <f t="shared" si="69"/>
        <v>26</v>
      </c>
      <c r="AW169" s="4">
        <f t="shared" si="70"/>
        <v>2</v>
      </c>
      <c r="AX169" s="4">
        <f t="shared" si="71"/>
        <v>41</v>
      </c>
      <c r="AY169" s="4">
        <f t="shared" si="72"/>
        <v>37</v>
      </c>
      <c r="AZ169" s="4">
        <f t="shared" si="73"/>
        <v>32</v>
      </c>
      <c r="BA169" s="4">
        <f t="shared" si="74"/>
        <v>11</v>
      </c>
    </row>
    <row r="170" spans="1:53" x14ac:dyDescent="0.2">
      <c r="A170" s="1" t="str">
        <f>'SegEnds_NonXtal_Prot#'!A145</f>
        <v>gpr4_human</v>
      </c>
      <c r="B170" s="1" t="str">
        <f t="shared" si="50"/>
        <v>DSRVDHLFPPSLYIFVIGVGLPTNCLALWAAYRQVNELGVYLMNLSIADLLYICTLPLWVDYFLHHGPGSCKLFGFIFYTNIYISIAFLCCISVDRYLAVAHRVKTAVAVSSVVWATELGANSAPLFHGWVAWMNLYRVFVGFLFPWALMLLSYRGILRAVRGERQEKAKIKRLALSLIAIVLVCFAPYHVLLLSRSAIYLGDCGFEERVFSAYHSSLAFTSLNCVADPILYCLVNEGARSDVAKALHNLLR</v>
      </c>
      <c r="C170" s="29" t="str">
        <f>IF(ISERROR(MATCH(A170,'SegEnds_Xtal_Prot#'!B:B, 0)), "NoXtal", "Xtal")</f>
        <v>NoXtal</v>
      </c>
      <c r="D170" s="4" t="str">
        <f>VLOOKUP(A170,Classification!A:D,2,FALSE)</f>
        <v>A</v>
      </c>
      <c r="E170" s="5" t="str">
        <f>VLOOKUP(A170,Seqs!A:B,2,FALSE)</f>
        <v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v>
      </c>
      <c r="F170" s="5" t="str">
        <f t="shared" si="51"/>
        <v>DSRVDHLFPPSLYIFVIGVGLPTNCLALWAAYRQV</v>
      </c>
      <c r="G170" s="4" t="str">
        <f t="shared" si="52"/>
        <v/>
      </c>
      <c r="H170" s="4" t="str">
        <f t="shared" si="53"/>
        <v>NELGVYLMNLSIADLLYICTLPLWVDYFLHH</v>
      </c>
      <c r="I170" s="4" t="str">
        <f t="shared" si="54"/>
        <v>NWIH</v>
      </c>
      <c r="J170" s="4" t="str">
        <f t="shared" si="55"/>
        <v>GPGSCKLFGFIFYTNIYISIAFLCCISVDRYLAVAH</v>
      </c>
      <c r="K170" s="4" t="str">
        <f t="shared" si="56"/>
        <v>PLRFARLR</v>
      </c>
      <c r="L170" s="4" t="str">
        <f t="shared" si="57"/>
        <v>RVKTAVAVSSVVWATELGANSAPLFH</v>
      </c>
      <c r="M170" s="4" t="str">
        <f t="shared" si="58"/>
        <v>CFE</v>
      </c>
      <c r="N170" s="4" t="str">
        <f t="shared" si="59"/>
        <v>GWVAWMNLYRVFVGFLFPWALMLLSYRGILRAVRG</v>
      </c>
      <c r="O170" s="4" t="str">
        <f t="shared" si="60"/>
        <v>ERQEKAKIKRLALSLIAIVLVCFAPYHVLLLSRSAIYLG</v>
      </c>
      <c r="P170" s="4" t="str">
        <f t="shared" si="61"/>
        <v>DCGFEERVFSAYHSSLAFTSLNCVADPILYCLVNEG</v>
      </c>
      <c r="Q170" s="4" t="str">
        <f t="shared" si="62"/>
        <v>ARSDVAKALHNLLR</v>
      </c>
      <c r="R170" s="5">
        <f>VLOOKUP($A170,'SegEnds_NonXtal_Prot#'!$A:$AL,3,FALSE)</f>
        <v>12</v>
      </c>
      <c r="S170" s="5" t="str">
        <f>VLOOKUP($A170,'SegEnds_NonXtal_Prot#'!$A:$AL,6,FALSE)</f>
        <v>-</v>
      </c>
      <c r="T170" s="5">
        <f>VLOOKUP($A170,'SegEnds_NonXtal_Prot#'!$A:$AL,9,FALSE)</f>
        <v>50</v>
      </c>
      <c r="U170" s="5">
        <f>VLOOKUP($A170,'SegEnds_NonXtal_Prot#'!$A:$AL,12,FALSE)</f>
        <v>82</v>
      </c>
      <c r="V170" s="5">
        <f>VLOOKUP($A170,'SegEnds_NonXtal_Prot#'!$A:$AL,15,FALSE)</f>
        <v>86</v>
      </c>
      <c r="W170" s="5">
        <f>VLOOKUP($A170,'SegEnds_NonXtal_Prot#'!$A:$AL,18,FALSE)</f>
        <v>122</v>
      </c>
      <c r="X170" s="5">
        <f>VLOOKUP($A170,'SegEnds_NonXtal_Prot#'!$A:$AL,21,FALSE)</f>
        <v>130</v>
      </c>
      <c r="Y170" s="5">
        <f>VLOOKUP($A170,'SegEnds_NonXtal_Prot#'!$A:$AL,24,FALSE)</f>
        <v>168</v>
      </c>
      <c r="Z170" s="5">
        <f>VLOOKUP($A170,'SegEnds_NonXtal_Prot#'!$A:$AL,27,FALSE)</f>
        <v>176</v>
      </c>
      <c r="AA170" s="5">
        <f>VLOOKUP($A170,'SegEnds_NonXtal_Prot#'!$A:$AL,30,FALSE)</f>
        <v>215</v>
      </c>
      <c r="AB170" s="5">
        <f>VLOOKUP($A170,'SegEnds_NonXtal_Prot#'!$A:$AL,33,FALSE)</f>
        <v>257</v>
      </c>
      <c r="AC170" s="5">
        <f>VLOOKUP($A170,'SegEnds_NonXtal_Prot#'!$A:$AL,36,FALSE)</f>
        <v>293</v>
      </c>
      <c r="AD170" s="5">
        <f>VLOOKUP($A170,'SegEnds_NonXtal_Prot#'!$A:$AL,5,FALSE)</f>
        <v>46</v>
      </c>
      <c r="AE170" s="5" t="str">
        <f>VLOOKUP($A170,'SegEnds_NonXtal_Prot#'!$A:$AL,8,FALSE)</f>
        <v>-</v>
      </c>
      <c r="AF170" s="5">
        <f>VLOOKUP($A170,'SegEnds_NonXtal_Prot#'!$A:$AL,11,FALSE)</f>
        <v>80</v>
      </c>
      <c r="AG170" s="5">
        <f>VLOOKUP($A170,'SegEnds_NonXtal_Prot#'!$A:$AL,14,FALSE)</f>
        <v>85</v>
      </c>
      <c r="AH170" s="5">
        <f>VLOOKUP($A170,'SegEnds_NonXtal_Prot#'!$A:$AL,17,FALSE)</f>
        <v>121</v>
      </c>
      <c r="AI170" s="5">
        <f>VLOOKUP($A170,'SegEnds_NonXtal_Prot#'!$A:$AL,20,FALSE)</f>
        <v>129</v>
      </c>
      <c r="AJ170" s="5">
        <f>VLOOKUP($A170,'SegEnds_NonXtal_Prot#'!$A:$AL,23,FALSE)</f>
        <v>155</v>
      </c>
      <c r="AK170" s="5">
        <f>VLOOKUP($A170,'SegEnds_NonXtal_Prot#'!$A:$AL,26,FALSE)</f>
        <v>170</v>
      </c>
      <c r="AL170" s="5">
        <f>VLOOKUP($A170,'SegEnds_NonXtal_Prot#'!$A:$AL,29,FALSE)</f>
        <v>210</v>
      </c>
      <c r="AM170" s="5">
        <f>VLOOKUP($A170,'SegEnds_NonXtal_Prot#'!$A:$AL,32,FALSE)</f>
        <v>253</v>
      </c>
      <c r="AN170" s="5">
        <f>VLOOKUP($A170,'SegEnds_NonXtal_Prot#'!$A:$AL,35,FALSE)</f>
        <v>292</v>
      </c>
      <c r="AO170" s="5">
        <f>VLOOKUP($A170,'SegEnds_NonXtal_Prot#'!$A:$AL,38,FALSE)</f>
        <v>306</v>
      </c>
      <c r="AP170" s="5">
        <f t="shared" si="63"/>
        <v>34</v>
      </c>
      <c r="AQ170" s="4" t="str">
        <f t="shared" si="64"/>
        <v>-</v>
      </c>
      <c r="AR170" s="4">
        <f t="shared" si="65"/>
        <v>30</v>
      </c>
      <c r="AS170" s="4">
        <f t="shared" si="66"/>
        <v>3</v>
      </c>
      <c r="AT170" s="4">
        <f t="shared" si="67"/>
        <v>35</v>
      </c>
      <c r="AU170" s="4">
        <f t="shared" si="68"/>
        <v>7</v>
      </c>
      <c r="AV170" s="4">
        <f t="shared" si="69"/>
        <v>25</v>
      </c>
      <c r="AW170" s="4">
        <f t="shared" si="70"/>
        <v>2</v>
      </c>
      <c r="AX170" s="4">
        <f t="shared" si="71"/>
        <v>34</v>
      </c>
      <c r="AY170" s="4">
        <f t="shared" si="72"/>
        <v>38</v>
      </c>
      <c r="AZ170" s="4">
        <f t="shared" si="73"/>
        <v>35</v>
      </c>
      <c r="BA170" s="4">
        <f t="shared" si="74"/>
        <v>13</v>
      </c>
    </row>
    <row r="171" spans="1:53" x14ac:dyDescent="0.2">
      <c r="A171" s="1" t="str">
        <f>'SegEnds_NonXtal_Prot#'!A146</f>
        <v>gpr42_human</v>
      </c>
      <c r="B171" s="1" t="str">
        <f t="shared" si="50"/>
        <v>SGNHWFVFSVYLLTFLVGLPLNLLALVVFVGKVAVDVLLLNLTASDLLLLLFLPFRMVEAANPFILCPLSGFIFFTTIYLTALFLAAVSIERFLSVAHRLGQAGLVSVACWLLASAHCSVVYVILAILLPVRLEMAVVLFVVPLIITSYCYSRLVWILGRGRRQRRVAGLVAATLLNFLVCFGPYNVSHVVGYICVWRIYVTLLSTLNSCVDPFVYYFSSSGFQADFHELLRRL</v>
      </c>
      <c r="C171" s="29" t="str">
        <f>IF(ISERROR(MATCH(A171,'SegEnds_Xtal_Prot#'!B:B, 0)), "NoXtal", "Xtal")</f>
        <v>NoXtal</v>
      </c>
      <c r="D171" s="4" t="str">
        <f>VLOOKUP(A171,Classification!A:D,2,FALSE)</f>
        <v>A</v>
      </c>
      <c r="E171" s="5" t="str">
        <f>VLOOKUP(A171,Seqs!A:B,2,FALSE)</f>
        <v>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</v>
      </c>
      <c r="F171" s="5" t="str">
        <f t="shared" si="51"/>
        <v>SGNHWFVFSVYLLTFLVGLPLNLLALVVFVGK</v>
      </c>
      <c r="G171" s="4" t="str">
        <f t="shared" si="52"/>
        <v/>
      </c>
      <c r="H171" s="4" t="str">
        <f t="shared" si="53"/>
        <v>VAVDVLLLNLTASDLLLLLFLPFRMVEAAN</v>
      </c>
      <c r="I171" s="4" t="str">
        <f t="shared" si="54"/>
        <v>HWPL</v>
      </c>
      <c r="J171" s="4" t="str">
        <f t="shared" si="55"/>
        <v>PFILCPLSGFIFFTTIYLTALFLAAVSIERFLSVAH</v>
      </c>
      <c r="K171" s="4" t="str">
        <f t="shared" si="56"/>
        <v>PLWYKTRP</v>
      </c>
      <c r="L171" s="4" t="str">
        <f t="shared" si="57"/>
        <v>RLGQAGLVSVACWLLASAHCSVVYVI</v>
      </c>
      <c r="M171" s="4" t="str">
        <f t="shared" si="58"/>
        <v>CYL</v>
      </c>
      <c r="N171" s="4" t="str">
        <f t="shared" si="59"/>
        <v>LAILLPVRLEMAVVLFVVPLIITSYCYSRLVWILGRG</v>
      </c>
      <c r="O171" s="4" t="str">
        <f t="shared" si="60"/>
        <v>RRQRRVAGLVAATLLNFLVCFGPYNVSHVVGYIC</v>
      </c>
      <c r="P171" s="4" t="str">
        <f t="shared" si="61"/>
        <v>VWRIYVTLLSTLNSCVDPFVYYFS</v>
      </c>
      <c r="Q171" s="4" t="str">
        <f t="shared" si="62"/>
        <v>SSGFQADFHELLRRL</v>
      </c>
      <c r="R171" s="5">
        <f>VLOOKUP($A171,'SegEnds_NonXtal_Prot#'!$A:$AL,3,FALSE)</f>
        <v>11</v>
      </c>
      <c r="S171" s="5" t="str">
        <f>VLOOKUP($A171,'SegEnds_NonXtal_Prot#'!$A:$AL,6,FALSE)</f>
        <v>-</v>
      </c>
      <c r="T171" s="5">
        <f>VLOOKUP($A171,'SegEnds_NonXtal_Prot#'!$A:$AL,9,FALSE)</f>
        <v>48</v>
      </c>
      <c r="U171" s="5">
        <f>VLOOKUP($A171,'SegEnds_NonXtal_Prot#'!$A:$AL,12,FALSE)</f>
        <v>80</v>
      </c>
      <c r="V171" s="5">
        <f>VLOOKUP($A171,'SegEnds_NonXtal_Prot#'!$A:$AL,15,FALSE)</f>
        <v>84</v>
      </c>
      <c r="W171" s="5">
        <f>VLOOKUP($A171,'SegEnds_NonXtal_Prot#'!$A:$AL,18,FALSE)</f>
        <v>120</v>
      </c>
      <c r="X171" s="5">
        <f>VLOOKUP($A171,'SegEnds_NonXtal_Prot#'!$A:$AL,21,FALSE)</f>
        <v>128</v>
      </c>
      <c r="Y171" s="5">
        <f>VLOOKUP($A171,'SegEnds_NonXtal_Prot#'!$A:$AL,24,FALSE)</f>
        <v>169</v>
      </c>
      <c r="Z171" s="5">
        <f>VLOOKUP($A171,'SegEnds_NonXtal_Prot#'!$A:$AL,27,FALSE)</f>
        <v>178</v>
      </c>
      <c r="AA171" s="5">
        <f>VLOOKUP($A171,'SegEnds_NonXtal_Prot#'!$A:$AL,30,FALSE)</f>
        <v>218</v>
      </c>
      <c r="AB171" s="5">
        <f>VLOOKUP($A171,'SegEnds_NonXtal_Prot#'!$A:$AL,33,FALSE)</f>
        <v>256</v>
      </c>
      <c r="AC171" s="5">
        <f>VLOOKUP($A171,'SegEnds_NonXtal_Prot#'!$A:$AL,36,FALSE)</f>
        <v>280</v>
      </c>
      <c r="AD171" s="5">
        <f>VLOOKUP($A171,'SegEnds_NonXtal_Prot#'!$A:$AL,5,FALSE)</f>
        <v>42</v>
      </c>
      <c r="AE171" s="5" t="str">
        <f>VLOOKUP($A171,'SegEnds_NonXtal_Prot#'!$A:$AL,8,FALSE)</f>
        <v>-</v>
      </c>
      <c r="AF171" s="5">
        <f>VLOOKUP($A171,'SegEnds_NonXtal_Prot#'!$A:$AL,11,FALSE)</f>
        <v>77</v>
      </c>
      <c r="AG171" s="5">
        <f>VLOOKUP($A171,'SegEnds_NonXtal_Prot#'!$A:$AL,14,FALSE)</f>
        <v>83</v>
      </c>
      <c r="AH171" s="5">
        <f>VLOOKUP($A171,'SegEnds_NonXtal_Prot#'!$A:$AL,17,FALSE)</f>
        <v>119</v>
      </c>
      <c r="AI171" s="5">
        <f>VLOOKUP($A171,'SegEnds_NonXtal_Prot#'!$A:$AL,20,FALSE)</f>
        <v>127</v>
      </c>
      <c r="AJ171" s="5">
        <f>VLOOKUP($A171,'SegEnds_NonXtal_Prot#'!$A:$AL,23,FALSE)</f>
        <v>153</v>
      </c>
      <c r="AK171" s="5">
        <f>VLOOKUP($A171,'SegEnds_NonXtal_Prot#'!$A:$AL,26,FALSE)</f>
        <v>171</v>
      </c>
      <c r="AL171" s="5">
        <f>VLOOKUP($A171,'SegEnds_NonXtal_Prot#'!$A:$AL,29,FALSE)</f>
        <v>214</v>
      </c>
      <c r="AM171" s="5">
        <f>VLOOKUP($A171,'SegEnds_NonXtal_Prot#'!$A:$AL,32,FALSE)</f>
        <v>251</v>
      </c>
      <c r="AN171" s="5">
        <f>VLOOKUP($A171,'SegEnds_NonXtal_Prot#'!$A:$AL,35,FALSE)</f>
        <v>279</v>
      </c>
      <c r="AO171" s="5">
        <f>VLOOKUP($A171,'SegEnds_NonXtal_Prot#'!$A:$AL,38,FALSE)</f>
        <v>294</v>
      </c>
      <c r="AP171" s="5">
        <f t="shared" si="63"/>
        <v>31</v>
      </c>
      <c r="AQ171" s="4" t="str">
        <f t="shared" si="64"/>
        <v>-</v>
      </c>
      <c r="AR171" s="4">
        <f t="shared" si="65"/>
        <v>29</v>
      </c>
      <c r="AS171" s="4">
        <f t="shared" si="66"/>
        <v>3</v>
      </c>
      <c r="AT171" s="4">
        <f t="shared" si="67"/>
        <v>35</v>
      </c>
      <c r="AU171" s="4">
        <f t="shared" si="68"/>
        <v>7</v>
      </c>
      <c r="AV171" s="4">
        <f t="shared" si="69"/>
        <v>25</v>
      </c>
      <c r="AW171" s="4">
        <f t="shared" si="70"/>
        <v>2</v>
      </c>
      <c r="AX171" s="4">
        <f t="shared" si="71"/>
        <v>36</v>
      </c>
      <c r="AY171" s="4">
        <f t="shared" si="72"/>
        <v>33</v>
      </c>
      <c r="AZ171" s="4">
        <f t="shared" si="73"/>
        <v>23</v>
      </c>
      <c r="BA171" s="4">
        <f t="shared" si="74"/>
        <v>14</v>
      </c>
    </row>
    <row r="172" spans="1:53" x14ac:dyDescent="0.2">
      <c r="A172" s="1" t="str">
        <f>'SegEnds_NonXtal_Prot#'!A147</f>
        <v>gpr52_human</v>
      </c>
      <c r="B172" s="1" t="str">
        <f t="shared" si="50"/>
        <v>VCIFETVVIVLLTFLIIAGNLTVIFVFHCAHYTTSYFIQTMAYADLFVGVSCLVPTLSLLHGVHESLTCQVFGYIISVLKSVSMACLACISVDRYLAITKTPCRLRICIILIWIYSCLIFLPSFFGWTSAYFTGFIVCLLYAPAAFVVCFTYFHIFKICRQHTKEINSSRETGHSPDRRYAMVLFRITSVFYMLWLPYIIYFLLESSRPTLSFLTTWLAISNSFCNCVIYSLSNSVFRLGLRRLS</v>
      </c>
      <c r="C172" s="29" t="str">
        <f>IF(ISERROR(MATCH(A172,'SegEnds_Xtal_Prot#'!B:B, 0)), "NoXtal", "Xtal")</f>
        <v>NoXtal</v>
      </c>
      <c r="D172" s="4" t="str">
        <f>VLOOKUP(A172,Classification!A:D,2,FALSE)</f>
        <v>A</v>
      </c>
      <c r="E172" s="5" t="str">
        <f>VLOOKUP(A172,Seqs!A:B,2,FALSE)</f>
        <v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v>
      </c>
      <c r="F172" s="5" t="str">
        <f t="shared" si="51"/>
        <v>VCIFETVVIVLLTFLIIAGNLTVIFVFHCA</v>
      </c>
      <c r="G172" s="4" t="str">
        <f t="shared" si="52"/>
        <v>PLLH</v>
      </c>
      <c r="H172" s="4" t="str">
        <f t="shared" si="53"/>
        <v>HYTTSYFIQTMAYADLFVGVSCLVPTLSLLH</v>
      </c>
      <c r="I172" s="4" t="str">
        <f t="shared" si="54"/>
        <v/>
      </c>
      <c r="J172" s="4" t="str">
        <f t="shared" si="55"/>
        <v>GVHESLTCQVFGYIISVLKSVSMACLACISVDRYLAITK</v>
      </c>
      <c r="K172" s="4" t="str">
        <f t="shared" si="56"/>
        <v>PLSYNQLV</v>
      </c>
      <c r="L172" s="4" t="str">
        <f t="shared" si="57"/>
        <v>TPCRLRICIILIWIYSCLIFLPSFFGW</v>
      </c>
      <c r="M172" s="4" t="str">
        <f t="shared" si="58"/>
        <v>CAT</v>
      </c>
      <c r="N172" s="4" t="str">
        <f t="shared" si="59"/>
        <v>TSAYFTGFIVCLLYAPAAFVVCFTYFHIFKICRQHTKEIN</v>
      </c>
      <c r="O172" s="4" t="str">
        <f t="shared" si="60"/>
        <v>SSRETGHSPDRRYAMVLFRITSVFYMLWLPYIIYFLLESSR</v>
      </c>
      <c r="P172" s="4" t="str">
        <f t="shared" si="61"/>
        <v>PTLSFLTTWLAISNSFCNCVIYSLS</v>
      </c>
      <c r="Q172" s="4" t="str">
        <f t="shared" si="62"/>
        <v>NSVFRLGLRRLS</v>
      </c>
      <c r="R172" s="5">
        <f>VLOOKUP($A172,'SegEnds_NonXtal_Prot#'!$A:$AL,3,FALSE)</f>
        <v>39</v>
      </c>
      <c r="S172" s="5">
        <f>VLOOKUP($A172,'SegEnds_NonXtal_Prot#'!$A:$AL,6,FALSE)</f>
        <v>69</v>
      </c>
      <c r="T172" s="5">
        <f>VLOOKUP($A172,'SegEnds_NonXtal_Prot#'!$A:$AL,9,FALSE)</f>
        <v>73</v>
      </c>
      <c r="U172" s="5" t="str">
        <f>VLOOKUP($A172,'SegEnds_NonXtal_Prot#'!$A:$AL,12,FALSE)</f>
        <v>-</v>
      </c>
      <c r="V172" s="5">
        <f>VLOOKUP($A172,'SegEnds_NonXtal_Prot#'!$A:$AL,15,FALSE)</f>
        <v>107</v>
      </c>
      <c r="W172" s="5">
        <f>VLOOKUP($A172,'SegEnds_NonXtal_Prot#'!$A:$AL,18,FALSE)</f>
        <v>146</v>
      </c>
      <c r="X172" s="5">
        <f>VLOOKUP($A172,'SegEnds_NonXtal_Prot#'!$A:$AL,21,FALSE)</f>
        <v>154</v>
      </c>
      <c r="Y172" s="5">
        <f>VLOOKUP($A172,'SegEnds_NonXtal_Prot#'!$A:$AL,24,FALSE)</f>
        <v>193</v>
      </c>
      <c r="Z172" s="5">
        <f>VLOOKUP($A172,'SegEnds_NonXtal_Prot#'!$A:$AL,27,FALSE)</f>
        <v>199</v>
      </c>
      <c r="AA172" s="5">
        <f>VLOOKUP($A172,'SegEnds_NonXtal_Prot#'!$A:$AL,30,FALSE)</f>
        <v>251</v>
      </c>
      <c r="AB172" s="5">
        <f>VLOOKUP($A172,'SegEnds_NonXtal_Prot#'!$A:$AL,33,FALSE)</f>
        <v>296</v>
      </c>
      <c r="AC172" s="5">
        <f>VLOOKUP($A172,'SegEnds_NonXtal_Prot#'!$A:$AL,36,FALSE)</f>
        <v>321</v>
      </c>
      <c r="AD172" s="5">
        <f>VLOOKUP($A172,'SegEnds_NonXtal_Prot#'!$A:$AL,5,FALSE)</f>
        <v>68</v>
      </c>
      <c r="AE172" s="5">
        <f>VLOOKUP($A172,'SegEnds_NonXtal_Prot#'!$A:$AL,8,FALSE)</f>
        <v>72</v>
      </c>
      <c r="AF172" s="5">
        <f>VLOOKUP($A172,'SegEnds_NonXtal_Prot#'!$A:$AL,11,FALSE)</f>
        <v>103</v>
      </c>
      <c r="AG172" s="5" t="str">
        <f>VLOOKUP($A172,'SegEnds_NonXtal_Prot#'!$A:$AL,14,FALSE)</f>
        <v>-</v>
      </c>
      <c r="AH172" s="5">
        <f>VLOOKUP($A172,'SegEnds_NonXtal_Prot#'!$A:$AL,17,FALSE)</f>
        <v>145</v>
      </c>
      <c r="AI172" s="5">
        <f>VLOOKUP($A172,'SegEnds_NonXtal_Prot#'!$A:$AL,20,FALSE)</f>
        <v>153</v>
      </c>
      <c r="AJ172" s="5">
        <f>VLOOKUP($A172,'SegEnds_NonXtal_Prot#'!$A:$AL,23,FALSE)</f>
        <v>180</v>
      </c>
      <c r="AK172" s="5">
        <f>VLOOKUP($A172,'SegEnds_NonXtal_Prot#'!$A:$AL,26,FALSE)</f>
        <v>195</v>
      </c>
      <c r="AL172" s="5">
        <f>VLOOKUP($A172,'SegEnds_NonXtal_Prot#'!$A:$AL,29,FALSE)</f>
        <v>238</v>
      </c>
      <c r="AM172" s="5">
        <f>VLOOKUP($A172,'SegEnds_NonXtal_Prot#'!$A:$AL,32,FALSE)</f>
        <v>291</v>
      </c>
      <c r="AN172" s="5">
        <f>VLOOKUP($A172,'SegEnds_NonXtal_Prot#'!$A:$AL,35,FALSE)</f>
        <v>320</v>
      </c>
      <c r="AO172" s="5">
        <f>VLOOKUP($A172,'SegEnds_NonXtal_Prot#'!$A:$AL,38,FALSE)</f>
        <v>332</v>
      </c>
      <c r="AP172" s="5">
        <f t="shared" si="63"/>
        <v>29</v>
      </c>
      <c r="AQ172" s="4">
        <f t="shared" si="64"/>
        <v>3</v>
      </c>
      <c r="AR172" s="4">
        <f t="shared" si="65"/>
        <v>30</v>
      </c>
      <c r="AS172" s="4" t="str">
        <f t="shared" si="66"/>
        <v>-</v>
      </c>
      <c r="AT172" s="4">
        <f t="shared" si="67"/>
        <v>38</v>
      </c>
      <c r="AU172" s="4">
        <f t="shared" si="68"/>
        <v>7</v>
      </c>
      <c r="AV172" s="4">
        <f t="shared" si="69"/>
        <v>26</v>
      </c>
      <c r="AW172" s="4">
        <f t="shared" si="70"/>
        <v>2</v>
      </c>
      <c r="AX172" s="4">
        <f t="shared" si="71"/>
        <v>39</v>
      </c>
      <c r="AY172" s="4">
        <f t="shared" si="72"/>
        <v>40</v>
      </c>
      <c r="AZ172" s="4">
        <f t="shared" si="73"/>
        <v>24</v>
      </c>
      <c r="BA172" s="4">
        <f t="shared" si="74"/>
        <v>11</v>
      </c>
    </row>
    <row r="173" spans="1:53" x14ac:dyDescent="0.2">
      <c r="A173" s="1" t="str">
        <f>'SegEnds_NonXtal_Prot#'!A149</f>
        <v>gpr6_human</v>
      </c>
      <c r="B173" s="1" t="str">
        <f t="shared" si="50"/>
        <v>LPAVNPWDVLLCVSGTVIAGENALVVALIASTTPMFVLVGSLATADLLAGCGLILHFVPSETVSLLTVGFLVASFAASVSSLLAITVDRYLSLYNTLLGVHLLLAATWTVSLGLGLLPVLGARSHVALLSAAFFMVFGIMLHLYVRICQVVWRHAHQIALAPPHLAATRKGVGTLAVVLGTFGASWLPFAIYCVVGSHEYTYATLLPATYNSMINPIIYAFRNQEIQRALWLLLC</v>
      </c>
      <c r="C173" s="29" t="str">
        <f>IF(ISERROR(MATCH(A173,'SegEnds_Xtal_Prot#'!B:B, 0)), "NoXtal", "Xtal")</f>
        <v>NoXtal</v>
      </c>
      <c r="D173" s="4" t="str">
        <f>VLOOKUP(A173,Classification!A:D,2,FALSE)</f>
        <v>A</v>
      </c>
      <c r="E173" s="5" t="str">
        <f>VLOOKUP(A173,Seqs!A:B,2,FALSE)</f>
        <v>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</v>
      </c>
      <c r="F173" s="5" t="str">
        <f t="shared" si="51"/>
        <v>LPAVNPWDVLLCVSGTVIAGENALVVALIAST</v>
      </c>
      <c r="G173" s="4" t="str">
        <f t="shared" si="52"/>
        <v>PALR</v>
      </c>
      <c r="H173" s="4" t="str">
        <f t="shared" si="53"/>
        <v>TPMFVLVGSLATADLLAGCGLILHFV</v>
      </c>
      <c r="I173" s="4" t="str">
        <f t="shared" si="54"/>
        <v>QYLV</v>
      </c>
      <c r="J173" s="4" t="str">
        <f t="shared" si="55"/>
        <v>PSETVSLLTVGFLVASFAASVSSLLAITVDRYLSLYN</v>
      </c>
      <c r="K173" s="4" t="str">
        <f t="shared" si="56"/>
        <v>ALTYYSRR</v>
      </c>
      <c r="L173" s="4" t="str">
        <f t="shared" si="57"/>
        <v>TLLGVHLLLAATWTVSLGLGLLPVLG</v>
      </c>
      <c r="M173" s="4" t="str">
        <f t="shared" si="58"/>
        <v/>
      </c>
      <c r="N173" s="4" t="str">
        <f t="shared" si="59"/>
        <v>ARSHVALLSAAFFMVFGIMLHLYVRICQVVWRHAHQIA</v>
      </c>
      <c r="O173" s="4" t="str">
        <f t="shared" si="60"/>
        <v>LAPPHLAATRKGVGTLAVVLGTFGASWLPFAIYCVVGSHE</v>
      </c>
      <c r="P173" s="4" t="str">
        <f t="shared" si="61"/>
        <v>YTYATLLPATYNSMINPIIYAFR</v>
      </c>
      <c r="Q173" s="4" t="str">
        <f t="shared" si="62"/>
        <v>NQEIQRALWLLLC</v>
      </c>
      <c r="R173" s="5">
        <f>VLOOKUP($A173,'SegEnds_NonXtal_Prot#'!$A:$AL,3,FALSE)</f>
        <v>69</v>
      </c>
      <c r="S173" s="5">
        <f>VLOOKUP($A173,'SegEnds_NonXtal_Prot#'!$A:$AL,6,FALSE)</f>
        <v>101</v>
      </c>
      <c r="T173" s="5">
        <f>VLOOKUP($A173,'SegEnds_NonXtal_Prot#'!$A:$AL,9,FALSE)</f>
        <v>105</v>
      </c>
      <c r="U173" s="5">
        <f>VLOOKUP($A173,'SegEnds_NonXtal_Prot#'!$A:$AL,12,FALSE)</f>
        <v>132</v>
      </c>
      <c r="V173" s="5">
        <f>VLOOKUP($A173,'SegEnds_NonXtal_Prot#'!$A:$AL,15,FALSE)</f>
        <v>136</v>
      </c>
      <c r="W173" s="5">
        <f>VLOOKUP($A173,'SegEnds_NonXtal_Prot#'!$A:$AL,18,FALSE)</f>
        <v>173</v>
      </c>
      <c r="X173" s="5">
        <f>VLOOKUP($A173,'SegEnds_NonXtal_Prot#'!$A:$AL,21,FALSE)</f>
        <v>181</v>
      </c>
      <c r="Y173" s="5" t="str">
        <f>VLOOKUP($A173,'SegEnds_NonXtal_Prot#'!$A:$AL,24,FALSE)</f>
        <v>-</v>
      </c>
      <c r="Z173" s="5">
        <f>VLOOKUP($A173,'SegEnds_NonXtal_Prot#'!$A:$AL,27,FALSE)</f>
        <v>223</v>
      </c>
      <c r="AA173" s="5">
        <f>VLOOKUP($A173,'SegEnds_NonXtal_Prot#'!$A:$AL,30,FALSE)</f>
        <v>266</v>
      </c>
      <c r="AB173" s="5">
        <f>VLOOKUP($A173,'SegEnds_NonXtal_Prot#'!$A:$AL,33,FALSE)</f>
        <v>310</v>
      </c>
      <c r="AC173" s="5">
        <f>VLOOKUP($A173,'SegEnds_NonXtal_Prot#'!$A:$AL,36,FALSE)</f>
        <v>333</v>
      </c>
      <c r="AD173" s="5">
        <f>VLOOKUP($A173,'SegEnds_NonXtal_Prot#'!$A:$AL,5,FALSE)</f>
        <v>100</v>
      </c>
      <c r="AE173" s="5">
        <f>VLOOKUP($A173,'SegEnds_NonXtal_Prot#'!$A:$AL,8,FALSE)</f>
        <v>104</v>
      </c>
      <c r="AF173" s="5">
        <f>VLOOKUP($A173,'SegEnds_NonXtal_Prot#'!$A:$AL,11,FALSE)</f>
        <v>130</v>
      </c>
      <c r="AG173" s="5">
        <f>VLOOKUP($A173,'SegEnds_NonXtal_Prot#'!$A:$AL,14,FALSE)</f>
        <v>135</v>
      </c>
      <c r="AH173" s="5">
        <f>VLOOKUP($A173,'SegEnds_NonXtal_Prot#'!$A:$AL,17,FALSE)</f>
        <v>172</v>
      </c>
      <c r="AI173" s="5">
        <f>VLOOKUP($A173,'SegEnds_NonXtal_Prot#'!$A:$AL,20,FALSE)</f>
        <v>180</v>
      </c>
      <c r="AJ173" s="5">
        <f>VLOOKUP($A173,'SegEnds_NonXtal_Prot#'!$A:$AL,23,FALSE)</f>
        <v>206</v>
      </c>
      <c r="AK173" s="5" t="str">
        <f>VLOOKUP($A173,'SegEnds_NonXtal_Prot#'!$A:$AL,26,FALSE)</f>
        <v>-</v>
      </c>
      <c r="AL173" s="5">
        <f>VLOOKUP($A173,'SegEnds_NonXtal_Prot#'!$A:$AL,29,FALSE)</f>
        <v>260</v>
      </c>
      <c r="AM173" s="5">
        <f>VLOOKUP($A173,'SegEnds_NonXtal_Prot#'!$A:$AL,32,FALSE)</f>
        <v>305</v>
      </c>
      <c r="AN173" s="5">
        <f>VLOOKUP($A173,'SegEnds_NonXtal_Prot#'!$A:$AL,35,FALSE)</f>
        <v>332</v>
      </c>
      <c r="AO173" s="5">
        <f>VLOOKUP($A173,'SegEnds_NonXtal_Prot#'!$A:$AL,38,FALSE)</f>
        <v>345</v>
      </c>
      <c r="AP173" s="5">
        <f t="shared" si="63"/>
        <v>31</v>
      </c>
      <c r="AQ173" s="4">
        <f t="shared" si="64"/>
        <v>3</v>
      </c>
      <c r="AR173" s="4">
        <f t="shared" si="65"/>
        <v>25</v>
      </c>
      <c r="AS173" s="4">
        <f t="shared" si="66"/>
        <v>3</v>
      </c>
      <c r="AT173" s="4">
        <f t="shared" si="67"/>
        <v>36</v>
      </c>
      <c r="AU173" s="4">
        <f t="shared" si="68"/>
        <v>7</v>
      </c>
      <c r="AV173" s="4">
        <f t="shared" si="69"/>
        <v>25</v>
      </c>
      <c r="AW173" s="4" t="str">
        <f t="shared" si="70"/>
        <v>-</v>
      </c>
      <c r="AX173" s="4">
        <f t="shared" si="71"/>
        <v>37</v>
      </c>
      <c r="AY173" s="4">
        <f t="shared" si="72"/>
        <v>39</v>
      </c>
      <c r="AZ173" s="4">
        <f t="shared" si="73"/>
        <v>22</v>
      </c>
      <c r="BA173" s="4">
        <f t="shared" si="74"/>
        <v>12</v>
      </c>
    </row>
    <row r="174" spans="1:53" x14ac:dyDescent="0.2">
      <c r="A174" s="1" t="str">
        <f>'SegEnds_NonXtal_Prot#'!A150</f>
        <v>gpr61_human</v>
      </c>
      <c r="B174" s="1" t="str">
        <f t="shared" si="50"/>
        <v>SESVALFFMLLLDLTAVAGNAAVMAVIAKTLRKFVFVFHLCLVDLLAALTLMPLAMLSSSALFGEVACRLYLFLSVCFVSLAILSVSAINVERYYYVVHTLGLVASVLVGVWVKALAMASVPVLGRCQLFVVVFAVLYFLLPLLLILVVYCSMFRVARVAAMQHGPLPPHRTFGGGKAAVVLLAVGGQFLLCWLPYFSFHLYVALSTGQVESVVTWIGYFCFTSNPFFYGCLNRQIRGELSKQF</v>
      </c>
      <c r="C174" s="29" t="str">
        <f>IF(ISERROR(MATCH(A174,'SegEnds_Xtal_Prot#'!B:B, 0)), "NoXtal", "Xtal")</f>
        <v>NoXtal</v>
      </c>
      <c r="D174" s="4" t="str">
        <f>VLOOKUP(A174,Classification!A:D,2,FALSE)</f>
        <v>A</v>
      </c>
      <c r="E174" s="5" t="str">
        <f>VLOOKUP(A174,Seqs!A:B,2,FALSE)</f>
        <v>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</v>
      </c>
      <c r="F174" s="5" t="str">
        <f t="shared" si="51"/>
        <v>SESVALFFMLLLDLTAVAGNAAVMAVIAKT</v>
      </c>
      <c r="G174" s="4" t="str">
        <f t="shared" si="52"/>
        <v/>
      </c>
      <c r="H174" s="4" t="str">
        <f t="shared" si="53"/>
        <v>LRKFVFVFHLCLVDLLAALTLMPLAMLSSSAL</v>
      </c>
      <c r="I174" s="4" t="str">
        <f t="shared" si="54"/>
        <v>DHAL</v>
      </c>
      <c r="J174" s="4" t="str">
        <f t="shared" si="55"/>
        <v>FGEVACRLYLFLSVCFVSLAILSVSAINVERYYYVVH</v>
      </c>
      <c r="K174" s="4" t="str">
        <f t="shared" si="56"/>
        <v>PMRYEVRM</v>
      </c>
      <c r="L174" s="4" t="str">
        <f t="shared" si="57"/>
        <v>TLGLVASVLVGVWVKALAMASVPVLGR</v>
      </c>
      <c r="M174" s="4" t="str">
        <f t="shared" si="58"/>
        <v>CSL</v>
      </c>
      <c r="N174" s="4" t="str">
        <f t="shared" si="59"/>
        <v>CQLFVVVFAVLYFLLPLLLILVVYCSMFRVARVAAMQHGPLP</v>
      </c>
      <c r="O174" s="4" t="str">
        <f t="shared" si="60"/>
        <v>PHRTFGGGKAAVVLLAVGGQFLLCWLPYFSFHLYVALS</v>
      </c>
      <c r="P174" s="4" t="str">
        <f t="shared" si="61"/>
        <v>TGQVESVVTWIGYFCFTSNPFFYGCL</v>
      </c>
      <c r="Q174" s="4" t="str">
        <f t="shared" si="62"/>
        <v>NRQIRGELSKQF</v>
      </c>
      <c r="R174" s="5">
        <f>VLOOKUP($A174,'SegEnds_NonXtal_Prot#'!$A:$AL,3,FALSE)</f>
        <v>41</v>
      </c>
      <c r="S174" s="5" t="str">
        <f>VLOOKUP($A174,'SegEnds_NonXtal_Prot#'!$A:$AL,6,FALSE)</f>
        <v>-</v>
      </c>
      <c r="T174" s="5">
        <f>VLOOKUP($A174,'SegEnds_NonXtal_Prot#'!$A:$AL,9,FALSE)</f>
        <v>73</v>
      </c>
      <c r="U174" s="5">
        <f>VLOOKUP($A174,'SegEnds_NonXtal_Prot#'!$A:$AL,12,FALSE)</f>
        <v>106</v>
      </c>
      <c r="V174" s="5">
        <f>VLOOKUP($A174,'SegEnds_NonXtal_Prot#'!$A:$AL,15,FALSE)</f>
        <v>110</v>
      </c>
      <c r="W174" s="5">
        <f>VLOOKUP($A174,'SegEnds_NonXtal_Prot#'!$A:$AL,18,FALSE)</f>
        <v>147</v>
      </c>
      <c r="X174" s="5">
        <f>VLOOKUP($A174,'SegEnds_NonXtal_Prot#'!$A:$AL,21,FALSE)</f>
        <v>155</v>
      </c>
      <c r="Y174" s="5">
        <f>VLOOKUP($A174,'SegEnds_NonXtal_Prot#'!$A:$AL,24,FALSE)</f>
        <v>195</v>
      </c>
      <c r="Z174" s="5">
        <f>VLOOKUP($A174,'SegEnds_NonXtal_Prot#'!$A:$AL,27,FALSE)</f>
        <v>205</v>
      </c>
      <c r="AA174" s="5">
        <f>VLOOKUP($A174,'SegEnds_NonXtal_Prot#'!$A:$AL,30,FALSE)</f>
        <v>276</v>
      </c>
      <c r="AB174" s="5">
        <f>VLOOKUP($A174,'SegEnds_NonXtal_Prot#'!$A:$AL,33,FALSE)</f>
        <v>319</v>
      </c>
      <c r="AC174" s="5">
        <f>VLOOKUP($A174,'SegEnds_NonXtal_Prot#'!$A:$AL,36,FALSE)</f>
        <v>345</v>
      </c>
      <c r="AD174" s="5">
        <f>VLOOKUP($A174,'SegEnds_NonXtal_Prot#'!$A:$AL,5,FALSE)</f>
        <v>70</v>
      </c>
      <c r="AE174" s="5" t="str">
        <f>VLOOKUP($A174,'SegEnds_NonXtal_Prot#'!$A:$AL,8,FALSE)</f>
        <v>-</v>
      </c>
      <c r="AF174" s="5">
        <f>VLOOKUP($A174,'SegEnds_NonXtal_Prot#'!$A:$AL,11,FALSE)</f>
        <v>104</v>
      </c>
      <c r="AG174" s="5">
        <f>VLOOKUP($A174,'SegEnds_NonXtal_Prot#'!$A:$AL,14,FALSE)</f>
        <v>109</v>
      </c>
      <c r="AH174" s="5">
        <f>VLOOKUP($A174,'SegEnds_NonXtal_Prot#'!$A:$AL,17,FALSE)</f>
        <v>146</v>
      </c>
      <c r="AI174" s="5">
        <f>VLOOKUP($A174,'SegEnds_NonXtal_Prot#'!$A:$AL,20,FALSE)</f>
        <v>154</v>
      </c>
      <c r="AJ174" s="5">
        <f>VLOOKUP($A174,'SegEnds_NonXtal_Prot#'!$A:$AL,23,FALSE)</f>
        <v>181</v>
      </c>
      <c r="AK174" s="5">
        <f>VLOOKUP($A174,'SegEnds_NonXtal_Prot#'!$A:$AL,26,FALSE)</f>
        <v>197</v>
      </c>
      <c r="AL174" s="5">
        <f>VLOOKUP($A174,'SegEnds_NonXtal_Prot#'!$A:$AL,29,FALSE)</f>
        <v>246</v>
      </c>
      <c r="AM174" s="5">
        <f>VLOOKUP($A174,'SegEnds_NonXtal_Prot#'!$A:$AL,32,FALSE)</f>
        <v>313</v>
      </c>
      <c r="AN174" s="5">
        <f>VLOOKUP($A174,'SegEnds_NonXtal_Prot#'!$A:$AL,35,FALSE)</f>
        <v>344</v>
      </c>
      <c r="AO174" s="5">
        <f>VLOOKUP($A174,'SegEnds_NonXtal_Prot#'!$A:$AL,38,FALSE)</f>
        <v>356</v>
      </c>
      <c r="AP174" s="5">
        <f t="shared" si="63"/>
        <v>29</v>
      </c>
      <c r="AQ174" s="4" t="str">
        <f t="shared" si="64"/>
        <v>-</v>
      </c>
      <c r="AR174" s="4">
        <f t="shared" si="65"/>
        <v>31</v>
      </c>
      <c r="AS174" s="4">
        <f t="shared" si="66"/>
        <v>3</v>
      </c>
      <c r="AT174" s="4">
        <f t="shared" si="67"/>
        <v>36</v>
      </c>
      <c r="AU174" s="4">
        <f t="shared" si="68"/>
        <v>7</v>
      </c>
      <c r="AV174" s="4">
        <f t="shared" si="69"/>
        <v>26</v>
      </c>
      <c r="AW174" s="4">
        <f t="shared" si="70"/>
        <v>2</v>
      </c>
      <c r="AX174" s="4">
        <f t="shared" si="71"/>
        <v>41</v>
      </c>
      <c r="AY174" s="4">
        <f t="shared" si="72"/>
        <v>37</v>
      </c>
      <c r="AZ174" s="4">
        <f t="shared" si="73"/>
        <v>25</v>
      </c>
      <c r="BA174" s="4">
        <f t="shared" si="74"/>
        <v>11</v>
      </c>
    </row>
    <row r="175" spans="1:53" x14ac:dyDescent="0.2">
      <c r="A175" s="1" t="str">
        <f>'SegEnds_NonXtal_Prot#'!A151</f>
        <v>gpr78_human</v>
      </c>
      <c r="B175" s="1" t="str">
        <f t="shared" si="50"/>
        <v>GPGEALLAGLLVMVLAVALLSNALVLLCCAYSTRASGVLLVNLSLGHLLLAALDMPFTLLGVMRGAPGACQVIGFLDTFLASNAALSVAALSADQWLAVGFRPRYAGLLLGCAWGQSLAFSGAALGFAAFTATLHAVGFVLPLAVLCLTSLQVHRVARRHCQRMDTVTIQQKRRRHRATRKIGIAIATFLICFAPYVMTRLAELVPNAQWGILSKCLTYSKAVADPFTYSLLRRPFRQVLAGMVH</v>
      </c>
      <c r="C175" s="29" t="str">
        <f>IF(ISERROR(MATCH(A175,'SegEnds_Xtal_Prot#'!B:B, 0)), "NoXtal", "Xtal")</f>
        <v>NoXtal</v>
      </c>
      <c r="D175" s="4" t="str">
        <f>VLOOKUP(A175,Classification!A:D,2,FALSE)</f>
        <v>A</v>
      </c>
      <c r="E175" s="5" t="str">
        <f>VLOOKUP(A175,Seqs!A:B,2,FALSE)</f>
        <v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v>
      </c>
      <c r="F175" s="5" t="str">
        <f t="shared" si="51"/>
        <v>GPGEALLAGLLVMVLAVALLSNALVLLCCAYS</v>
      </c>
      <c r="G175" s="4" t="str">
        <f t="shared" si="52"/>
        <v>AELR</v>
      </c>
      <c r="H175" s="4" t="str">
        <f t="shared" si="53"/>
        <v>TRASGVLLVNLSLGHLLLAALDMPFTLLGVMRG</v>
      </c>
      <c r="I175" s="4" t="str">
        <f t="shared" si="54"/>
        <v/>
      </c>
      <c r="J175" s="4" t="str">
        <f t="shared" si="55"/>
        <v>APGACQVIGFLDTFLASNAALSVAALSADQWLAVGF</v>
      </c>
      <c r="K175" s="4" t="str">
        <f t="shared" si="56"/>
        <v>PLRYAGRL</v>
      </c>
      <c r="L175" s="4" t="str">
        <f t="shared" si="57"/>
        <v>RPRYAGLLLGCAWGQSLAFSGAALG</v>
      </c>
      <c r="M175" s="4" t="str">
        <f t="shared" si="58"/>
        <v>CSL</v>
      </c>
      <c r="N175" s="4" t="str">
        <f t="shared" si="59"/>
        <v>FAAFTATLHAVGFVLPLAVLCLTSLQVHRVARRHCQRMDTVT</v>
      </c>
      <c r="O175" s="4" t="str">
        <f t="shared" si="60"/>
        <v>IQQKRRRHRATRKIGIAIATFLICFAPYVMTRLAELVP</v>
      </c>
      <c r="P175" s="4" t="str">
        <f t="shared" si="61"/>
        <v>NAQWGILSKCLTYSKAVADPFTYSLL</v>
      </c>
      <c r="Q175" s="4" t="str">
        <f t="shared" si="62"/>
        <v>RRPFRQVLAGMVH</v>
      </c>
      <c r="R175" s="5">
        <f>VLOOKUP($A175,'SegEnds_NonXtal_Prot#'!$A:$AL,3,FALSE)</f>
        <v>2</v>
      </c>
      <c r="S175" s="5">
        <f>VLOOKUP($A175,'SegEnds_NonXtal_Prot#'!$A:$AL,6,FALSE)</f>
        <v>34</v>
      </c>
      <c r="T175" s="5">
        <f>VLOOKUP($A175,'SegEnds_NonXtal_Prot#'!$A:$AL,9,FALSE)</f>
        <v>38</v>
      </c>
      <c r="U175" s="5" t="str">
        <f>VLOOKUP($A175,'SegEnds_NonXtal_Prot#'!$A:$AL,12,FALSE)</f>
        <v>-</v>
      </c>
      <c r="V175" s="5">
        <f>VLOOKUP($A175,'SegEnds_NonXtal_Prot#'!$A:$AL,15,FALSE)</f>
        <v>75</v>
      </c>
      <c r="W175" s="5">
        <f>VLOOKUP($A175,'SegEnds_NonXtal_Prot#'!$A:$AL,18,FALSE)</f>
        <v>111</v>
      </c>
      <c r="X175" s="5">
        <f>VLOOKUP($A175,'SegEnds_NonXtal_Prot#'!$A:$AL,21,FALSE)</f>
        <v>119</v>
      </c>
      <c r="Y175" s="5">
        <f>VLOOKUP($A175,'SegEnds_NonXtal_Prot#'!$A:$AL,24,FALSE)</f>
        <v>156</v>
      </c>
      <c r="Z175" s="5">
        <f>VLOOKUP($A175,'SegEnds_NonXtal_Prot#'!$A:$AL,27,FALSE)</f>
        <v>169</v>
      </c>
      <c r="AA175" s="5">
        <f>VLOOKUP($A175,'SegEnds_NonXtal_Prot#'!$A:$AL,30,FALSE)</f>
        <v>230</v>
      </c>
      <c r="AB175" s="5">
        <f>VLOOKUP($A175,'SegEnds_NonXtal_Prot#'!$A:$AL,33,FALSE)</f>
        <v>272</v>
      </c>
      <c r="AC175" s="5">
        <f>VLOOKUP($A175,'SegEnds_NonXtal_Prot#'!$A:$AL,36,FALSE)</f>
        <v>298</v>
      </c>
      <c r="AD175" s="5">
        <f>VLOOKUP($A175,'SegEnds_NonXtal_Prot#'!$A:$AL,5,FALSE)</f>
        <v>33</v>
      </c>
      <c r="AE175" s="5">
        <f>VLOOKUP($A175,'SegEnds_NonXtal_Prot#'!$A:$AL,8,FALSE)</f>
        <v>37</v>
      </c>
      <c r="AF175" s="5">
        <f>VLOOKUP($A175,'SegEnds_NonXtal_Prot#'!$A:$AL,11,FALSE)</f>
        <v>70</v>
      </c>
      <c r="AG175" s="5" t="str">
        <f>VLOOKUP($A175,'SegEnds_NonXtal_Prot#'!$A:$AL,14,FALSE)</f>
        <v>-</v>
      </c>
      <c r="AH175" s="5">
        <f>VLOOKUP($A175,'SegEnds_NonXtal_Prot#'!$A:$AL,17,FALSE)</f>
        <v>110</v>
      </c>
      <c r="AI175" s="5">
        <f>VLOOKUP($A175,'SegEnds_NonXtal_Prot#'!$A:$AL,20,FALSE)</f>
        <v>118</v>
      </c>
      <c r="AJ175" s="5">
        <f>VLOOKUP($A175,'SegEnds_NonXtal_Prot#'!$A:$AL,23,FALSE)</f>
        <v>143</v>
      </c>
      <c r="AK175" s="5">
        <f>VLOOKUP($A175,'SegEnds_NonXtal_Prot#'!$A:$AL,26,FALSE)</f>
        <v>158</v>
      </c>
      <c r="AL175" s="5">
        <f>VLOOKUP($A175,'SegEnds_NonXtal_Prot#'!$A:$AL,29,FALSE)</f>
        <v>210</v>
      </c>
      <c r="AM175" s="5">
        <f>VLOOKUP($A175,'SegEnds_NonXtal_Prot#'!$A:$AL,32,FALSE)</f>
        <v>267</v>
      </c>
      <c r="AN175" s="5">
        <f>VLOOKUP($A175,'SegEnds_NonXtal_Prot#'!$A:$AL,35,FALSE)</f>
        <v>297</v>
      </c>
      <c r="AO175" s="5">
        <f>VLOOKUP($A175,'SegEnds_NonXtal_Prot#'!$A:$AL,38,FALSE)</f>
        <v>310</v>
      </c>
      <c r="AP175" s="5">
        <f t="shared" si="63"/>
        <v>31</v>
      </c>
      <c r="AQ175" s="4">
        <f t="shared" si="64"/>
        <v>3</v>
      </c>
      <c r="AR175" s="4">
        <f t="shared" si="65"/>
        <v>32</v>
      </c>
      <c r="AS175" s="4" t="str">
        <f t="shared" si="66"/>
        <v>-</v>
      </c>
      <c r="AT175" s="4">
        <f t="shared" si="67"/>
        <v>35</v>
      </c>
      <c r="AU175" s="4">
        <f t="shared" si="68"/>
        <v>7</v>
      </c>
      <c r="AV175" s="4">
        <f t="shared" si="69"/>
        <v>24</v>
      </c>
      <c r="AW175" s="4">
        <f t="shared" si="70"/>
        <v>2</v>
      </c>
      <c r="AX175" s="4">
        <f t="shared" si="71"/>
        <v>41</v>
      </c>
      <c r="AY175" s="4">
        <f t="shared" si="72"/>
        <v>37</v>
      </c>
      <c r="AZ175" s="4">
        <f t="shared" si="73"/>
        <v>25</v>
      </c>
      <c r="BA175" s="4">
        <f t="shared" si="74"/>
        <v>12</v>
      </c>
    </row>
    <row r="176" spans="1:53" x14ac:dyDescent="0.2">
      <c r="A176" s="1" t="str">
        <f>'SegEnds_NonXtal_Prot#'!A152</f>
        <v>gpr82_human</v>
      </c>
      <c r="B176" s="1" t="str">
        <f t="shared" si="50"/>
        <v>MISSMALPIIYILLCIVGVFGNTLSQWIFLTKTSTHIYLSHLVTANLLVCSAMPFMSIYFLKGQSAQCRVVNFLGTLSMHASMFVSLLILSWIAISRYATLMQQPNFARKLCIYIWGVVLGIIIPVTVYYLGAMISQIAGLIGTTFIGFSFLVVLTSYYSFVSHLRKIIMEKDLTYSSVKRHLLVIQILLIVCFLPYSIFKPIFYVLLNYLIETKNILTCLASARSSTDPIIFLLLDKTFKKTLYNLFT</v>
      </c>
      <c r="C176" s="29" t="str">
        <f>IF(ISERROR(MATCH(A176,'SegEnds_Xtal_Prot#'!B:B, 0)), "NoXtal", "Xtal")</f>
        <v>NoXtal</v>
      </c>
      <c r="D176" s="4" t="str">
        <f>VLOOKUP(A176,Classification!A:D,2,FALSE)</f>
        <v>A</v>
      </c>
      <c r="E176" s="5" t="str">
        <f>VLOOKUP(A176,Seqs!A:B,2,FALSE)</f>
        <v>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</v>
      </c>
      <c r="F176" s="5" t="str">
        <f t="shared" si="51"/>
        <v>MISSMALPIIYILLCIVGVFGNTLSQWIFLTK</v>
      </c>
      <c r="G176" s="4" t="str">
        <f t="shared" si="52"/>
        <v/>
      </c>
      <c r="H176" s="4" t="str">
        <f t="shared" si="53"/>
        <v>TSTHIYLSHLVTANLLVCSAMPFMSIYFLKG</v>
      </c>
      <c r="I176" s="4" t="str">
        <f t="shared" si="54"/>
        <v>QWEY</v>
      </c>
      <c r="J176" s="4" t="str">
        <f t="shared" si="55"/>
        <v>QSAQCRVVNFLGTLSMHASMFVSLLILSWIAISRYATLMQ</v>
      </c>
      <c r="K176" s="4" t="str">
        <f t="shared" si="56"/>
        <v>GHLLKKFR</v>
      </c>
      <c r="L176" s="4" t="str">
        <f t="shared" si="57"/>
        <v>QPNFARKLCIYIWGVVLGIIIPVTVYY</v>
      </c>
      <c r="M176" s="4" t="str">
        <f t="shared" si="58"/>
        <v/>
      </c>
      <c r="N176" s="4" t="str">
        <f t="shared" si="59"/>
        <v>LGAMISQIAGLIGTTFIGFSFLVVLTSYYSFVSHLRKI</v>
      </c>
      <c r="O176" s="4" t="str">
        <f t="shared" si="60"/>
        <v>IMEKDLTYSSVKRHLLVIQILLIVCFLPYSIFKPIFYVL</v>
      </c>
      <c r="P176" s="4" t="str">
        <f t="shared" si="61"/>
        <v>LNYLIETKNILTCLASARSSTDPIIFLLL</v>
      </c>
      <c r="Q176" s="4" t="str">
        <f t="shared" si="62"/>
        <v>DKTFKKTLYNLFT</v>
      </c>
      <c r="R176" s="5">
        <f>VLOOKUP($A176,'SegEnds_NonXtal_Prot#'!$A:$AL,3,FALSE)</f>
        <v>12</v>
      </c>
      <c r="S176" s="5" t="str">
        <f>VLOOKUP($A176,'SegEnds_NonXtal_Prot#'!$A:$AL,6,FALSE)</f>
        <v>-</v>
      </c>
      <c r="T176" s="5">
        <f>VLOOKUP($A176,'SegEnds_NonXtal_Prot#'!$A:$AL,9,FALSE)</f>
        <v>48</v>
      </c>
      <c r="U176" s="5">
        <f>VLOOKUP($A176,'SegEnds_NonXtal_Prot#'!$A:$AL,12,FALSE)</f>
        <v>80</v>
      </c>
      <c r="V176" s="5">
        <f>VLOOKUP($A176,'SegEnds_NonXtal_Prot#'!$A:$AL,15,FALSE)</f>
        <v>84</v>
      </c>
      <c r="W176" s="5">
        <f>VLOOKUP($A176,'SegEnds_NonXtal_Prot#'!$A:$AL,18,FALSE)</f>
        <v>140</v>
      </c>
      <c r="X176" s="5">
        <f>VLOOKUP($A176,'SegEnds_NonXtal_Prot#'!$A:$AL,21,FALSE)</f>
        <v>148</v>
      </c>
      <c r="Y176" s="5" t="str">
        <f>VLOOKUP($A176,'SegEnds_NonXtal_Prot#'!$A:$AL,24,FALSE)</f>
        <v>-</v>
      </c>
      <c r="Z176" s="5">
        <f>VLOOKUP($A176,'SegEnds_NonXtal_Prot#'!$A:$AL,27,FALSE)</f>
        <v>194</v>
      </c>
      <c r="AA176" s="5">
        <f>VLOOKUP($A176,'SegEnds_NonXtal_Prot#'!$A:$AL,30,FALSE)</f>
        <v>237</v>
      </c>
      <c r="AB176" s="5">
        <f>VLOOKUP($A176,'SegEnds_NonXtal_Prot#'!$A:$AL,33,FALSE)</f>
        <v>284</v>
      </c>
      <c r="AC176" s="5">
        <f>VLOOKUP($A176,'SegEnds_NonXtal_Prot#'!$A:$AL,36,FALSE)</f>
        <v>313</v>
      </c>
      <c r="AD176" s="5">
        <f>VLOOKUP($A176,'SegEnds_NonXtal_Prot#'!$A:$AL,5,FALSE)</f>
        <v>43</v>
      </c>
      <c r="AE176" s="5" t="str">
        <f>VLOOKUP($A176,'SegEnds_NonXtal_Prot#'!$A:$AL,8,FALSE)</f>
        <v>-</v>
      </c>
      <c r="AF176" s="5">
        <f>VLOOKUP($A176,'SegEnds_NonXtal_Prot#'!$A:$AL,11,FALSE)</f>
        <v>78</v>
      </c>
      <c r="AG176" s="5">
        <f>VLOOKUP($A176,'SegEnds_NonXtal_Prot#'!$A:$AL,14,FALSE)</f>
        <v>83</v>
      </c>
      <c r="AH176" s="5">
        <f>VLOOKUP($A176,'SegEnds_NonXtal_Prot#'!$A:$AL,17,FALSE)</f>
        <v>123</v>
      </c>
      <c r="AI176" s="5">
        <f>VLOOKUP($A176,'SegEnds_NonXtal_Prot#'!$A:$AL,20,FALSE)</f>
        <v>147</v>
      </c>
      <c r="AJ176" s="5">
        <f>VLOOKUP($A176,'SegEnds_NonXtal_Prot#'!$A:$AL,23,FALSE)</f>
        <v>174</v>
      </c>
      <c r="AK176" s="5" t="str">
        <f>VLOOKUP($A176,'SegEnds_NonXtal_Prot#'!$A:$AL,26,FALSE)</f>
        <v>-</v>
      </c>
      <c r="AL176" s="5">
        <f>VLOOKUP($A176,'SegEnds_NonXtal_Prot#'!$A:$AL,29,FALSE)</f>
        <v>231</v>
      </c>
      <c r="AM176" s="5">
        <f>VLOOKUP($A176,'SegEnds_NonXtal_Prot#'!$A:$AL,32,FALSE)</f>
        <v>275</v>
      </c>
      <c r="AN176" s="5">
        <f>VLOOKUP($A176,'SegEnds_NonXtal_Prot#'!$A:$AL,35,FALSE)</f>
        <v>312</v>
      </c>
      <c r="AO176" s="5">
        <f>VLOOKUP($A176,'SegEnds_NonXtal_Prot#'!$A:$AL,38,FALSE)</f>
        <v>325</v>
      </c>
      <c r="AP176" s="5">
        <f t="shared" si="63"/>
        <v>31</v>
      </c>
      <c r="AQ176" s="4" t="str">
        <f t="shared" si="64"/>
        <v>-</v>
      </c>
      <c r="AR176" s="4">
        <f t="shared" si="65"/>
        <v>30</v>
      </c>
      <c r="AS176" s="4">
        <f t="shared" si="66"/>
        <v>3</v>
      </c>
      <c r="AT176" s="4">
        <f t="shared" si="67"/>
        <v>39</v>
      </c>
      <c r="AU176" s="4">
        <f t="shared" si="68"/>
        <v>7</v>
      </c>
      <c r="AV176" s="4">
        <f t="shared" si="69"/>
        <v>26</v>
      </c>
      <c r="AW176" s="4" t="str">
        <f t="shared" si="70"/>
        <v>-</v>
      </c>
      <c r="AX176" s="4">
        <f t="shared" si="71"/>
        <v>37</v>
      </c>
      <c r="AY176" s="4">
        <f t="shared" si="72"/>
        <v>38</v>
      </c>
      <c r="AZ176" s="4">
        <f t="shared" si="73"/>
        <v>28</v>
      </c>
      <c r="BA176" s="4">
        <f t="shared" si="74"/>
        <v>12</v>
      </c>
    </row>
    <row r="177" spans="1:53" x14ac:dyDescent="0.2">
      <c r="A177" s="1" t="str">
        <f>'SegEnds_NonXtal_Prot#'!A153</f>
        <v>gpr84_human</v>
      </c>
      <c r="B177" s="1" t="str">
        <f t="shared" si="50"/>
        <v>YVAVSWGVVVAVTGTVGNVLTLLALAIQTRFNLLIANLTLADLLYCTLLQPFSVDTYLHLGATFCRVFGLLLFASNSVSILTLCLIALGRYLLIAHSAKGIVLALVSTWVVGVASFAPLWPIYILVASIHSNHVARTDEAMPGRFQELDSRLASGGPSEGISSEPVPDSSSEFGKVTRMCFAVFLCFALSYIPFLLLNILDARVVVHMLAANLTWLNGCINPVLYAAMNRQFRQAYGSILKR</v>
      </c>
      <c r="C177" s="29" t="str">
        <f>IF(ISERROR(MATCH(A177,'SegEnds_Xtal_Prot#'!B:B, 0)), "NoXtal", "Xtal")</f>
        <v>NoXtal</v>
      </c>
      <c r="D177" s="4" t="str">
        <f>VLOOKUP(A177,Classification!A:D,2,FALSE)</f>
        <v>A</v>
      </c>
      <c r="E177" s="5" t="str">
        <f>VLOOKUP(A177,Seqs!A:B,2,FALSE)</f>
        <v>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</v>
      </c>
      <c r="F177" s="5" t="str">
        <f t="shared" si="51"/>
        <v>YVAVSWGVVVAVTGTVGNVLTLLALAIQ</v>
      </c>
      <c r="G177" s="4" t="str">
        <f t="shared" si="52"/>
        <v>PKLR</v>
      </c>
      <c r="H177" s="4" t="str">
        <f t="shared" si="53"/>
        <v>TRFNLLIANLTLADLLYCTLLQPFSVDTYLHL</v>
      </c>
      <c r="I177" s="4" t="str">
        <f t="shared" si="54"/>
        <v/>
      </c>
      <c r="J177" s="4" t="str">
        <f t="shared" si="55"/>
        <v>GATFCRVFGLLLFASNSVSILTLCLIALGRYLLIAH</v>
      </c>
      <c r="K177" s="4" t="str">
        <f t="shared" si="56"/>
        <v>PKLFPQVF</v>
      </c>
      <c r="L177" s="4" t="str">
        <f t="shared" si="57"/>
        <v>SAKGIVLALVSTWVVGVASFAPLWPIYILV</v>
      </c>
      <c r="M177" s="4" t="str">
        <f t="shared" si="58"/>
        <v>CSF</v>
      </c>
      <c r="N177" s="4" t="str">
        <f t="shared" si="59"/>
        <v>ASIHSNHVARTDEAMPGRFQELDSRLASGGPSEGISSEPV</v>
      </c>
      <c r="O177" s="4" t="str">
        <f t="shared" si="60"/>
        <v>PDSSSEFGKVTRMCFAVFLCFALSYIPFLLLNILDARV</v>
      </c>
      <c r="P177" s="4" t="str">
        <f t="shared" si="61"/>
        <v>VVHMLAANLTWLNGCINPVLYAAM</v>
      </c>
      <c r="Q177" s="4" t="str">
        <f t="shared" si="62"/>
        <v>NRQFRQAYGSILKR</v>
      </c>
      <c r="R177" s="5">
        <f>VLOOKUP($A177,'SegEnds_NonXtal_Prot#'!$A:$AL,3,FALSE)</f>
        <v>21</v>
      </c>
      <c r="S177" s="5">
        <f>VLOOKUP($A177,'SegEnds_NonXtal_Prot#'!$A:$AL,6,FALSE)</f>
        <v>49</v>
      </c>
      <c r="T177" s="5">
        <f>VLOOKUP($A177,'SegEnds_NonXtal_Prot#'!$A:$AL,9,FALSE)</f>
        <v>53</v>
      </c>
      <c r="U177" s="5" t="str">
        <f>VLOOKUP($A177,'SegEnds_NonXtal_Prot#'!$A:$AL,12,FALSE)</f>
        <v>-</v>
      </c>
      <c r="V177" s="5">
        <f>VLOOKUP($A177,'SegEnds_NonXtal_Prot#'!$A:$AL,15,FALSE)</f>
        <v>89</v>
      </c>
      <c r="W177" s="5">
        <f>VLOOKUP($A177,'SegEnds_NonXtal_Prot#'!$A:$AL,18,FALSE)</f>
        <v>125</v>
      </c>
      <c r="X177" s="5">
        <f>VLOOKUP($A177,'SegEnds_NonXtal_Prot#'!$A:$AL,21,FALSE)</f>
        <v>133</v>
      </c>
      <c r="Y177" s="5">
        <f>VLOOKUP($A177,'SegEnds_NonXtal_Prot#'!$A:$AL,24,FALSE)</f>
        <v>168</v>
      </c>
      <c r="Z177" s="5">
        <f>VLOOKUP($A177,'SegEnds_NonXtal_Prot#'!$A:$AL,27,FALSE)</f>
        <v>220</v>
      </c>
      <c r="AA177" s="5">
        <f>VLOOKUP($A177,'SegEnds_NonXtal_Prot#'!$A:$AL,30,FALSE)</f>
        <v>308</v>
      </c>
      <c r="AB177" s="5">
        <f>VLOOKUP($A177,'SegEnds_NonXtal_Prot#'!$A:$AL,33,FALSE)</f>
        <v>350</v>
      </c>
      <c r="AC177" s="5">
        <f>VLOOKUP($A177,'SegEnds_NonXtal_Prot#'!$A:$AL,36,FALSE)</f>
        <v>374</v>
      </c>
      <c r="AD177" s="5">
        <f>VLOOKUP($A177,'SegEnds_NonXtal_Prot#'!$A:$AL,5,FALSE)</f>
        <v>48</v>
      </c>
      <c r="AE177" s="5">
        <f>VLOOKUP($A177,'SegEnds_NonXtal_Prot#'!$A:$AL,8,FALSE)</f>
        <v>52</v>
      </c>
      <c r="AF177" s="5">
        <f>VLOOKUP($A177,'SegEnds_NonXtal_Prot#'!$A:$AL,11,FALSE)</f>
        <v>84</v>
      </c>
      <c r="AG177" s="5" t="str">
        <f>VLOOKUP($A177,'SegEnds_NonXtal_Prot#'!$A:$AL,14,FALSE)</f>
        <v>-</v>
      </c>
      <c r="AH177" s="5">
        <f>VLOOKUP($A177,'SegEnds_NonXtal_Prot#'!$A:$AL,17,FALSE)</f>
        <v>124</v>
      </c>
      <c r="AI177" s="5">
        <f>VLOOKUP($A177,'SegEnds_NonXtal_Prot#'!$A:$AL,20,FALSE)</f>
        <v>132</v>
      </c>
      <c r="AJ177" s="5">
        <f>VLOOKUP($A177,'SegEnds_NonXtal_Prot#'!$A:$AL,23,FALSE)</f>
        <v>162</v>
      </c>
      <c r="AK177" s="5">
        <f>VLOOKUP($A177,'SegEnds_NonXtal_Prot#'!$A:$AL,26,FALSE)</f>
        <v>170</v>
      </c>
      <c r="AL177" s="5">
        <f>VLOOKUP($A177,'SegEnds_NonXtal_Prot#'!$A:$AL,29,FALSE)</f>
        <v>259</v>
      </c>
      <c r="AM177" s="5">
        <f>VLOOKUP($A177,'SegEnds_NonXtal_Prot#'!$A:$AL,32,FALSE)</f>
        <v>345</v>
      </c>
      <c r="AN177" s="5">
        <f>VLOOKUP($A177,'SegEnds_NonXtal_Prot#'!$A:$AL,35,FALSE)</f>
        <v>373</v>
      </c>
      <c r="AO177" s="5">
        <f>VLOOKUP($A177,'SegEnds_NonXtal_Prot#'!$A:$AL,38,FALSE)</f>
        <v>387</v>
      </c>
      <c r="AP177" s="5">
        <f t="shared" si="63"/>
        <v>27</v>
      </c>
      <c r="AQ177" s="4">
        <f t="shared" si="64"/>
        <v>3</v>
      </c>
      <c r="AR177" s="4">
        <f t="shared" si="65"/>
        <v>31</v>
      </c>
      <c r="AS177" s="4" t="str">
        <f t="shared" si="66"/>
        <v>-</v>
      </c>
      <c r="AT177" s="4">
        <f t="shared" si="67"/>
        <v>35</v>
      </c>
      <c r="AU177" s="4">
        <f t="shared" si="68"/>
        <v>7</v>
      </c>
      <c r="AV177" s="4">
        <f t="shared" si="69"/>
        <v>29</v>
      </c>
      <c r="AW177" s="4">
        <f t="shared" si="70"/>
        <v>2</v>
      </c>
      <c r="AX177" s="4">
        <f t="shared" si="71"/>
        <v>39</v>
      </c>
      <c r="AY177" s="4">
        <f t="shared" si="72"/>
        <v>37</v>
      </c>
      <c r="AZ177" s="4">
        <f t="shared" si="73"/>
        <v>23</v>
      </c>
      <c r="BA177" s="4">
        <f t="shared" si="74"/>
        <v>13</v>
      </c>
    </row>
    <row r="178" spans="1:53" x14ac:dyDescent="0.2">
      <c r="A178" s="1" t="str">
        <f>'SegEnds_NonXtal_Prot#'!A154</f>
        <v>gpr85_human</v>
      </c>
      <c r="B178" s="1" t="str">
        <f t="shared" si="50"/>
        <v>FLKLTSLGFIIGVSVVGNLLISILLVKDRAPYYFLLDLCCSDILRSAICFPFVFNSVKNGGTLTCKVIAFLGVLSCFHTAFMLFCISVTRYLAIAHTFWTCLAVICMVWTLSVAMAFPPVLDVGTYVQFVAAVSQNWTFHGPGASGQAAANWLAGFGRGPTPPTLLGILDEFKMEKRISRMFYIMTFLFLTLWGPYLVACYWRVFAPGGFLTAAVWMSFAQAGINPFVCIFSNRELRRCFSTTLLY</v>
      </c>
      <c r="C178" s="29" t="str">
        <f>IF(ISERROR(MATCH(A178,'SegEnds_Xtal_Prot#'!B:B, 0)), "NoXtal", "Xtal")</f>
        <v>NoXtal</v>
      </c>
      <c r="D178" s="4" t="str">
        <f>VLOOKUP(A178,Classification!A:D,2,FALSE)</f>
        <v>A</v>
      </c>
      <c r="E178" s="5" t="str">
        <f>VLOOKUP(A178,Seqs!A:B,2,FALSE)</f>
        <v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v>
      </c>
      <c r="F178" s="5" t="str">
        <f t="shared" si="51"/>
        <v>FLKLTSLGFIIGVSVVGNLLISILLVKD</v>
      </c>
      <c r="G178" s="4" t="str">
        <f t="shared" si="52"/>
        <v>KTLH</v>
      </c>
      <c r="H178" s="4" t="str">
        <f t="shared" si="53"/>
        <v>RAPYYFLLDLCCSDILRSAICFPFVFNSVKNG</v>
      </c>
      <c r="I178" s="4" t="str">
        <f t="shared" si="54"/>
        <v>TWTY</v>
      </c>
      <c r="J178" s="4" t="str">
        <f t="shared" si="55"/>
        <v>GTLTCKVIAFLGVLSCFHTAFMLFCISVTRYLAIAH</v>
      </c>
      <c r="K178" s="4" t="str">
        <f t="shared" si="56"/>
        <v>HRFYTKRL</v>
      </c>
      <c r="L178" s="4" t="str">
        <f t="shared" si="57"/>
        <v>TFWTCLAVICMVWTLSVAMAFPPVLDVGTY</v>
      </c>
      <c r="M178" s="4" t="str">
        <f t="shared" si="58"/>
        <v>CTF</v>
      </c>
      <c r="N178" s="4" t="str">
        <f t="shared" si="59"/>
        <v>VQFVAAVSQNWTFHGPGASGQAAANWLAGFGRGPTPPTLLGI</v>
      </c>
      <c r="O178" s="4" t="str">
        <f t="shared" si="60"/>
        <v>LDEFKMEKRISRMFYIMTFLFLTLWGPYLVACYWRVFA</v>
      </c>
      <c r="P178" s="4" t="str">
        <f t="shared" si="61"/>
        <v>PGGFLTAAVWMSFAQAGINPFVCIFS</v>
      </c>
      <c r="Q178" s="4" t="str">
        <f t="shared" si="62"/>
        <v>NRELRRCFSTTLLY</v>
      </c>
      <c r="R178" s="5">
        <f>VLOOKUP($A178,'SegEnds_NonXtal_Prot#'!$A:$AL,3,FALSE)</f>
        <v>21</v>
      </c>
      <c r="S178" s="5">
        <f>VLOOKUP($A178,'SegEnds_NonXtal_Prot#'!$A:$AL,6,FALSE)</f>
        <v>49</v>
      </c>
      <c r="T178" s="5">
        <f>VLOOKUP($A178,'SegEnds_NonXtal_Prot#'!$A:$AL,9,FALSE)</f>
        <v>53</v>
      </c>
      <c r="U178" s="5">
        <f>VLOOKUP($A178,'SegEnds_NonXtal_Prot#'!$A:$AL,12,FALSE)</f>
        <v>86</v>
      </c>
      <c r="V178" s="5">
        <f>VLOOKUP($A178,'SegEnds_NonXtal_Prot#'!$A:$AL,15,FALSE)</f>
        <v>90</v>
      </c>
      <c r="W178" s="5">
        <f>VLOOKUP($A178,'SegEnds_NonXtal_Prot#'!$A:$AL,18,FALSE)</f>
        <v>126</v>
      </c>
      <c r="X178" s="5">
        <f>VLOOKUP($A178,'SegEnds_NonXtal_Prot#'!$A:$AL,21,FALSE)</f>
        <v>134</v>
      </c>
      <c r="Y178" s="5">
        <f>VLOOKUP($A178,'SegEnds_NonXtal_Prot#'!$A:$AL,24,FALSE)</f>
        <v>172</v>
      </c>
      <c r="Z178" s="5">
        <f>VLOOKUP($A178,'SegEnds_NonXtal_Prot#'!$A:$AL,27,FALSE)</f>
        <v>218</v>
      </c>
      <c r="AA178" s="5">
        <f>VLOOKUP($A178,'SegEnds_NonXtal_Prot#'!$A:$AL,30,FALSE)</f>
        <v>274</v>
      </c>
      <c r="AB178" s="5">
        <f>VLOOKUP($A178,'SegEnds_NonXtal_Prot#'!$A:$AL,33,FALSE)</f>
        <v>317</v>
      </c>
      <c r="AC178" s="5">
        <f>VLOOKUP($A178,'SegEnds_NonXtal_Prot#'!$A:$AL,36,FALSE)</f>
        <v>343</v>
      </c>
      <c r="AD178" s="5">
        <f>VLOOKUP($A178,'SegEnds_NonXtal_Prot#'!$A:$AL,5,FALSE)</f>
        <v>48</v>
      </c>
      <c r="AE178" s="5">
        <f>VLOOKUP($A178,'SegEnds_NonXtal_Prot#'!$A:$AL,8,FALSE)</f>
        <v>52</v>
      </c>
      <c r="AF178" s="5">
        <f>VLOOKUP($A178,'SegEnds_NonXtal_Prot#'!$A:$AL,11,FALSE)</f>
        <v>84</v>
      </c>
      <c r="AG178" s="5">
        <f>VLOOKUP($A178,'SegEnds_NonXtal_Prot#'!$A:$AL,14,FALSE)</f>
        <v>89</v>
      </c>
      <c r="AH178" s="5">
        <f>VLOOKUP($A178,'SegEnds_NonXtal_Prot#'!$A:$AL,17,FALSE)</f>
        <v>125</v>
      </c>
      <c r="AI178" s="5">
        <f>VLOOKUP($A178,'SegEnds_NonXtal_Prot#'!$A:$AL,20,FALSE)</f>
        <v>133</v>
      </c>
      <c r="AJ178" s="5">
        <f>VLOOKUP($A178,'SegEnds_NonXtal_Prot#'!$A:$AL,23,FALSE)</f>
        <v>163</v>
      </c>
      <c r="AK178" s="5">
        <f>VLOOKUP($A178,'SegEnds_NonXtal_Prot#'!$A:$AL,26,FALSE)</f>
        <v>174</v>
      </c>
      <c r="AL178" s="5">
        <f>VLOOKUP($A178,'SegEnds_NonXtal_Prot#'!$A:$AL,29,FALSE)</f>
        <v>259</v>
      </c>
      <c r="AM178" s="5">
        <f>VLOOKUP($A178,'SegEnds_NonXtal_Prot#'!$A:$AL,32,FALSE)</f>
        <v>311</v>
      </c>
      <c r="AN178" s="5">
        <f>VLOOKUP($A178,'SegEnds_NonXtal_Prot#'!$A:$AL,35,FALSE)</f>
        <v>342</v>
      </c>
      <c r="AO178" s="5">
        <f>VLOOKUP($A178,'SegEnds_NonXtal_Prot#'!$A:$AL,38,FALSE)</f>
        <v>356</v>
      </c>
      <c r="AP178" s="5">
        <f t="shared" si="63"/>
        <v>27</v>
      </c>
      <c r="AQ178" s="4">
        <f t="shared" si="64"/>
        <v>3</v>
      </c>
      <c r="AR178" s="4">
        <f t="shared" si="65"/>
        <v>31</v>
      </c>
      <c r="AS178" s="4">
        <f t="shared" si="66"/>
        <v>3</v>
      </c>
      <c r="AT178" s="4">
        <f t="shared" si="67"/>
        <v>35</v>
      </c>
      <c r="AU178" s="4">
        <f t="shared" si="68"/>
        <v>7</v>
      </c>
      <c r="AV178" s="4">
        <f t="shared" si="69"/>
        <v>29</v>
      </c>
      <c r="AW178" s="4">
        <f t="shared" si="70"/>
        <v>2</v>
      </c>
      <c r="AX178" s="4">
        <f t="shared" si="71"/>
        <v>41</v>
      </c>
      <c r="AY178" s="4">
        <f t="shared" si="72"/>
        <v>37</v>
      </c>
      <c r="AZ178" s="4">
        <f t="shared" si="73"/>
        <v>25</v>
      </c>
      <c r="BA178" s="4">
        <f t="shared" si="74"/>
        <v>13</v>
      </c>
    </row>
    <row r="179" spans="1:53" x14ac:dyDescent="0.2">
      <c r="A179" s="1" t="str">
        <f>'SegEnds_NonXtal_Prot#'!A155</f>
        <v>gpr87_human</v>
      </c>
      <c r="B179" s="1" t="str">
        <f t="shared" si="50"/>
        <v>NEFDTIVLPVLYLIIFVASILLNGLAVWIFFHITSFIFYLKNIVVADLIMTLTFPFRIVHDAGKFILCRYTSVLFYANMYTSIVFLGLISIDRYLKVVKSITFTKVLSVCVWVIMAVLSLPNIILTPLGVKWHTAVTYVNSCLFVAVLVILIGCYIAISRYIHKSISQSSRKRKHNQSIRVVVAVFFTCFLPYHLCRIPFTFSHLDDESAQKILYYCKEITLFLSACNVCLDPIIYFFMCRSFSRRLFKK</v>
      </c>
      <c r="C179" s="29" t="str">
        <f>IF(ISERROR(MATCH(A179,'SegEnds_Xtal_Prot#'!B:B, 0)), "NoXtal", "Xtal")</f>
        <v>NoXtal</v>
      </c>
      <c r="D179" s="4" t="str">
        <f>VLOOKUP(A179,Classification!A:D,2,FALSE)</f>
        <v>A</v>
      </c>
      <c r="E179" s="5" t="str">
        <f>VLOOKUP(A179,Seqs!A:B,2,FALSE)</f>
        <v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v>
      </c>
      <c r="F179" s="5" t="str">
        <f t="shared" si="51"/>
        <v>NEFDTIVLPVLYLIIFVASILLNGLAVWIFFHI</v>
      </c>
      <c r="G179" s="4" t="str">
        <f t="shared" si="52"/>
        <v/>
      </c>
      <c r="H179" s="4" t="str">
        <f t="shared" si="53"/>
        <v>TSFIFYLKNIVVADLIMTLTFPFRIVHDAG</v>
      </c>
      <c r="I179" s="4" t="str">
        <f t="shared" si="54"/>
        <v>PWYF</v>
      </c>
      <c r="J179" s="4" t="str">
        <f t="shared" si="55"/>
        <v>KFILCRYTSVLFYANMYTSIVFLGLISIDRYLKVVK</v>
      </c>
      <c r="K179" s="4" t="str">
        <f t="shared" si="56"/>
        <v>PFGDSRMY</v>
      </c>
      <c r="L179" s="4" t="str">
        <f t="shared" si="57"/>
        <v>SITFTKVLSVCVWVIMAVLSLPNIILT</v>
      </c>
      <c r="M179" s="4" t="str">
        <f t="shared" si="58"/>
        <v>CSK</v>
      </c>
      <c r="N179" s="4" t="str">
        <f t="shared" si="59"/>
        <v>PLGVKWHTAVTYVNSCLFVAVLVILIGCYIAISRYIHKS</v>
      </c>
      <c r="O179" s="4" t="str">
        <f t="shared" si="60"/>
        <v>ISQSSRKRKHNQSIRVVVAVFFTCFLPYHLCRIPFTFSHLD</v>
      </c>
      <c r="P179" s="4" t="str">
        <f t="shared" si="61"/>
        <v>DESAQKILYYCKEITLFLSACNVCLDPIIYFFM</v>
      </c>
      <c r="Q179" s="4" t="str">
        <f t="shared" si="62"/>
        <v>CRSFSRRLFKK</v>
      </c>
      <c r="R179" s="5">
        <f>VLOOKUP($A179,'SegEnds_NonXtal_Prot#'!$A:$AL,3,FALSE)</f>
        <v>38</v>
      </c>
      <c r="S179" s="5" t="str">
        <f>VLOOKUP($A179,'SegEnds_NonXtal_Prot#'!$A:$AL,6,FALSE)</f>
        <v>-</v>
      </c>
      <c r="T179" s="5">
        <f>VLOOKUP($A179,'SegEnds_NonXtal_Prot#'!$A:$AL,9,FALSE)</f>
        <v>74</v>
      </c>
      <c r="U179" s="5">
        <f>VLOOKUP($A179,'SegEnds_NonXtal_Prot#'!$A:$AL,12,FALSE)</f>
        <v>106</v>
      </c>
      <c r="V179" s="5">
        <f>VLOOKUP($A179,'SegEnds_NonXtal_Prot#'!$A:$AL,15,FALSE)</f>
        <v>110</v>
      </c>
      <c r="W179" s="5">
        <f>VLOOKUP($A179,'SegEnds_NonXtal_Prot#'!$A:$AL,18,FALSE)</f>
        <v>146</v>
      </c>
      <c r="X179" s="5">
        <f>VLOOKUP($A179,'SegEnds_NonXtal_Prot#'!$A:$AL,21,FALSE)</f>
        <v>154</v>
      </c>
      <c r="Y179" s="5">
        <f>VLOOKUP($A179,'SegEnds_NonXtal_Prot#'!$A:$AL,24,FALSE)</f>
        <v>192</v>
      </c>
      <c r="Z179" s="5">
        <f>VLOOKUP($A179,'SegEnds_NonXtal_Prot#'!$A:$AL,27,FALSE)</f>
        <v>198</v>
      </c>
      <c r="AA179" s="5">
        <f>VLOOKUP($A179,'SegEnds_NonXtal_Prot#'!$A:$AL,30,FALSE)</f>
        <v>241</v>
      </c>
      <c r="AB179" s="5">
        <f>VLOOKUP($A179,'SegEnds_NonXtal_Prot#'!$A:$AL,33,FALSE)</f>
        <v>285</v>
      </c>
      <c r="AC179" s="5">
        <f>VLOOKUP($A179,'SegEnds_NonXtal_Prot#'!$A:$AL,36,FALSE)</f>
        <v>318</v>
      </c>
      <c r="AD179" s="5">
        <f>VLOOKUP($A179,'SegEnds_NonXtal_Prot#'!$A:$AL,5,FALSE)</f>
        <v>70</v>
      </c>
      <c r="AE179" s="5" t="str">
        <f>VLOOKUP($A179,'SegEnds_NonXtal_Prot#'!$A:$AL,8,FALSE)</f>
        <v>-</v>
      </c>
      <c r="AF179" s="5">
        <f>VLOOKUP($A179,'SegEnds_NonXtal_Prot#'!$A:$AL,11,FALSE)</f>
        <v>103</v>
      </c>
      <c r="AG179" s="5">
        <f>VLOOKUP($A179,'SegEnds_NonXtal_Prot#'!$A:$AL,14,FALSE)</f>
        <v>109</v>
      </c>
      <c r="AH179" s="5">
        <f>VLOOKUP($A179,'SegEnds_NonXtal_Prot#'!$A:$AL,17,FALSE)</f>
        <v>145</v>
      </c>
      <c r="AI179" s="5">
        <f>VLOOKUP($A179,'SegEnds_NonXtal_Prot#'!$A:$AL,20,FALSE)</f>
        <v>153</v>
      </c>
      <c r="AJ179" s="5">
        <f>VLOOKUP($A179,'SegEnds_NonXtal_Prot#'!$A:$AL,23,FALSE)</f>
        <v>180</v>
      </c>
      <c r="AK179" s="5">
        <f>VLOOKUP($A179,'SegEnds_NonXtal_Prot#'!$A:$AL,26,FALSE)</f>
        <v>194</v>
      </c>
      <c r="AL179" s="5">
        <f>VLOOKUP($A179,'SegEnds_NonXtal_Prot#'!$A:$AL,29,FALSE)</f>
        <v>236</v>
      </c>
      <c r="AM179" s="5">
        <f>VLOOKUP($A179,'SegEnds_NonXtal_Prot#'!$A:$AL,32,FALSE)</f>
        <v>281</v>
      </c>
      <c r="AN179" s="5">
        <f>VLOOKUP($A179,'SegEnds_NonXtal_Prot#'!$A:$AL,35,FALSE)</f>
        <v>317</v>
      </c>
      <c r="AO179" s="5">
        <f>VLOOKUP($A179,'SegEnds_NonXtal_Prot#'!$A:$AL,38,FALSE)</f>
        <v>328</v>
      </c>
      <c r="AP179" s="5">
        <f t="shared" si="63"/>
        <v>32</v>
      </c>
      <c r="AQ179" s="4" t="str">
        <f t="shared" si="64"/>
        <v>-</v>
      </c>
      <c r="AR179" s="4">
        <f t="shared" si="65"/>
        <v>29</v>
      </c>
      <c r="AS179" s="4">
        <f t="shared" si="66"/>
        <v>3</v>
      </c>
      <c r="AT179" s="4">
        <f t="shared" si="67"/>
        <v>35</v>
      </c>
      <c r="AU179" s="4">
        <f t="shared" si="68"/>
        <v>7</v>
      </c>
      <c r="AV179" s="4">
        <f t="shared" si="69"/>
        <v>26</v>
      </c>
      <c r="AW179" s="4">
        <f t="shared" si="70"/>
        <v>2</v>
      </c>
      <c r="AX179" s="4">
        <f t="shared" si="71"/>
        <v>38</v>
      </c>
      <c r="AY179" s="4">
        <f t="shared" si="72"/>
        <v>40</v>
      </c>
      <c r="AZ179" s="4">
        <f t="shared" si="73"/>
        <v>32</v>
      </c>
      <c r="BA179" s="4">
        <f t="shared" si="74"/>
        <v>10</v>
      </c>
    </row>
    <row r="180" spans="1:53" x14ac:dyDescent="0.2">
      <c r="A180" s="1" t="str">
        <f>'SegEnds_NonXtal_Prot#'!A156</f>
        <v>gpr88_human</v>
      </c>
      <c r="B180" s="1" t="str">
        <f t="shared" si="50"/>
        <v>RIPVSLLYSGLAIGGTLANGMVIYLVSSFTTSNAFIVNGCAADLSVCALWMPQEAVLGLLDGAGGSYRLLRGGLLGLGLTVSLLSHCLVALNRYLLITRQRRHTAGMLALSWALALGLVLLLPPWAVKRVSVLNFHLLHQLPGCAAAAAAFPGAQHAPGPGGAAHPPALHPRRAQRRLSGLSVLLLCCVFLLATQPLVWVSLASGFSWGVQAASWLLCCALSALNPLLYTWRNEEFRRSVRSVL</v>
      </c>
      <c r="C180" s="29" t="str">
        <f>IF(ISERROR(MATCH(A180,'SegEnds_Xtal_Prot#'!B:B, 0)), "NoXtal", "Xtal")</f>
        <v>NoXtal</v>
      </c>
      <c r="D180" s="4" t="str">
        <f>VLOOKUP(A180,Classification!A:D,2,FALSE)</f>
        <v>A</v>
      </c>
      <c r="E180" s="5" t="str">
        <f>VLOOKUP(A180,Seqs!A:B,2,FALSE)</f>
        <v>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</v>
      </c>
      <c r="F180" s="5" t="str">
        <f t="shared" si="51"/>
        <v>RIPVSLLYSGLAIGGTLANGMVIYLVSSF</v>
      </c>
      <c r="G180" s="4" t="str">
        <f t="shared" si="52"/>
        <v>RKLQ</v>
      </c>
      <c r="H180" s="4" t="str">
        <f t="shared" si="53"/>
        <v>TTSNAFIVNGCAADLSVCALWMPQEAVLGLL</v>
      </c>
      <c r="I180" s="4" t="str">
        <f t="shared" si="54"/>
        <v/>
      </c>
      <c r="J180" s="4" t="str">
        <f t="shared" si="55"/>
        <v>DGAGGSYRLLRGGLLGLGLTVSLLSHCLVALNRYLLITR</v>
      </c>
      <c r="K180" s="4" t="str">
        <f t="shared" si="56"/>
        <v>PATYQALY</v>
      </c>
      <c r="L180" s="4" t="str">
        <f t="shared" si="57"/>
        <v>QRRHTAGMLALSWALALGLVLLLPPWA</v>
      </c>
      <c r="M180" s="4" t="str">
        <f t="shared" si="58"/>
        <v/>
      </c>
      <c r="N180" s="4" t="str">
        <f t="shared" si="59"/>
        <v>VKRVSVLNFHLLHQLPGCAAAAAAFPGAQHAPGPGGAAHP</v>
      </c>
      <c r="O180" s="4" t="str">
        <f t="shared" si="60"/>
        <v>PALHPRRAQRRLSGLSVLLLCCVFLLATQPLVWVSLASGFS</v>
      </c>
      <c r="P180" s="4" t="str">
        <f t="shared" si="61"/>
        <v>WGVQAASWLLCCALSALNPLLYTWR</v>
      </c>
      <c r="Q180" s="4" t="str">
        <f t="shared" si="62"/>
        <v>NEEFRRSVRSVL</v>
      </c>
      <c r="R180" s="5">
        <f>VLOOKUP($A180,'SegEnds_NonXtal_Prot#'!$A:$AL,3,FALSE)</f>
        <v>31</v>
      </c>
      <c r="S180" s="5">
        <f>VLOOKUP($A180,'SegEnds_NonXtal_Prot#'!$A:$AL,6,FALSE)</f>
        <v>60</v>
      </c>
      <c r="T180" s="5">
        <f>VLOOKUP($A180,'SegEnds_NonXtal_Prot#'!$A:$AL,9,FALSE)</f>
        <v>64</v>
      </c>
      <c r="U180" s="5" t="str">
        <f>VLOOKUP($A180,'SegEnds_NonXtal_Prot#'!$A:$AL,12,FALSE)</f>
        <v>-</v>
      </c>
      <c r="V180" s="5">
        <f>VLOOKUP($A180,'SegEnds_NonXtal_Prot#'!$A:$AL,15,FALSE)</f>
        <v>106</v>
      </c>
      <c r="W180" s="5">
        <f>VLOOKUP($A180,'SegEnds_NonXtal_Prot#'!$A:$AL,18,FALSE)</f>
        <v>146</v>
      </c>
      <c r="X180" s="5">
        <f>VLOOKUP($A180,'SegEnds_NonXtal_Prot#'!$A:$AL,21,FALSE)</f>
        <v>154</v>
      </c>
      <c r="Y180" s="5" t="str">
        <f>VLOOKUP($A180,'SegEnds_NonXtal_Prot#'!$A:$AL,24,FALSE)</f>
        <v>-</v>
      </c>
      <c r="Z180" s="5">
        <f>VLOOKUP($A180,'SegEnds_NonXtal_Prot#'!$A:$AL,27,FALSE)</f>
        <v>223</v>
      </c>
      <c r="AA180" s="5">
        <f>VLOOKUP($A180,'SegEnds_NonXtal_Prot#'!$A:$AL,30,FALSE)</f>
        <v>270</v>
      </c>
      <c r="AB180" s="5">
        <f>VLOOKUP($A180,'SegEnds_NonXtal_Prot#'!$A:$AL,33,FALSE)</f>
        <v>315</v>
      </c>
      <c r="AC180" s="5">
        <f>VLOOKUP($A180,'SegEnds_NonXtal_Prot#'!$A:$AL,36,FALSE)</f>
        <v>340</v>
      </c>
      <c r="AD180" s="5">
        <f>VLOOKUP($A180,'SegEnds_NonXtal_Prot#'!$A:$AL,5,FALSE)</f>
        <v>59</v>
      </c>
      <c r="AE180" s="5">
        <f>VLOOKUP($A180,'SegEnds_NonXtal_Prot#'!$A:$AL,8,FALSE)</f>
        <v>63</v>
      </c>
      <c r="AF180" s="5">
        <f>VLOOKUP($A180,'SegEnds_NonXtal_Prot#'!$A:$AL,11,FALSE)</f>
        <v>94</v>
      </c>
      <c r="AG180" s="5" t="str">
        <f>VLOOKUP($A180,'SegEnds_NonXtal_Prot#'!$A:$AL,14,FALSE)</f>
        <v>-</v>
      </c>
      <c r="AH180" s="5">
        <f>VLOOKUP($A180,'SegEnds_NonXtal_Prot#'!$A:$AL,17,FALSE)</f>
        <v>144</v>
      </c>
      <c r="AI180" s="5">
        <f>VLOOKUP($A180,'SegEnds_NonXtal_Prot#'!$A:$AL,20,FALSE)</f>
        <v>153</v>
      </c>
      <c r="AJ180" s="5">
        <f>VLOOKUP($A180,'SegEnds_NonXtal_Prot#'!$A:$AL,23,FALSE)</f>
        <v>180</v>
      </c>
      <c r="AK180" s="5" t="str">
        <f>VLOOKUP($A180,'SegEnds_NonXtal_Prot#'!$A:$AL,26,FALSE)</f>
        <v>-</v>
      </c>
      <c r="AL180" s="5">
        <f>VLOOKUP($A180,'SegEnds_NonXtal_Prot#'!$A:$AL,29,FALSE)</f>
        <v>262</v>
      </c>
      <c r="AM180" s="5">
        <f>VLOOKUP($A180,'SegEnds_NonXtal_Prot#'!$A:$AL,32,FALSE)</f>
        <v>310</v>
      </c>
      <c r="AN180" s="5">
        <f>VLOOKUP($A180,'SegEnds_NonXtal_Prot#'!$A:$AL,35,FALSE)</f>
        <v>339</v>
      </c>
      <c r="AO180" s="5">
        <f>VLOOKUP($A180,'SegEnds_NonXtal_Prot#'!$A:$AL,38,FALSE)</f>
        <v>351</v>
      </c>
      <c r="AP180" s="5">
        <f t="shared" si="63"/>
        <v>28</v>
      </c>
      <c r="AQ180" s="4">
        <f t="shared" si="64"/>
        <v>3</v>
      </c>
      <c r="AR180" s="4">
        <f t="shared" si="65"/>
        <v>30</v>
      </c>
      <c r="AS180" s="4" t="str">
        <f t="shared" si="66"/>
        <v>-</v>
      </c>
      <c r="AT180" s="4">
        <f t="shared" si="67"/>
        <v>38</v>
      </c>
      <c r="AU180" s="4">
        <f t="shared" si="68"/>
        <v>7</v>
      </c>
      <c r="AV180" s="4">
        <f t="shared" si="69"/>
        <v>26</v>
      </c>
      <c r="AW180" s="4" t="str">
        <f t="shared" si="70"/>
        <v>-</v>
      </c>
      <c r="AX180" s="4">
        <f t="shared" si="71"/>
        <v>39</v>
      </c>
      <c r="AY180" s="4">
        <f t="shared" si="72"/>
        <v>40</v>
      </c>
      <c r="AZ180" s="4">
        <f t="shared" si="73"/>
        <v>24</v>
      </c>
      <c r="BA180" s="4">
        <f t="shared" si="74"/>
        <v>11</v>
      </c>
    </row>
    <row r="181" spans="1:53" x14ac:dyDescent="0.2">
      <c r="A181" s="1" t="str">
        <f>'SegEnds_NonXtal_Prot#'!A157</f>
        <v>grpr_human</v>
      </c>
      <c r="B181" s="1" t="str">
        <f t="shared" si="50"/>
        <v>VNDDWSHPGILYVIPAVYGVIILIGLIGNITLIKIFCTVNVPNLFISSLALGDLLLLITCAPVDASRYLAGRIGCKLIPFIQLTSVGVSVFTLTALSADRYKAIVRALMKICLKAAFIWIISMLLAIPEAVFSPHSNELHPKIHSMASFLVFYVIPLSIISVYYYFIAKNLIQSAYNLPHVKKQIESRKRLAKTVLVFVGLFAFCWLPNHVIYLYRSYHSMLHFVTSICARLLAFTNSCVNPFALYLLSKSFRKQFNTQLLC</v>
      </c>
      <c r="C181" s="29" t="str">
        <f>IF(ISERROR(MATCH(A181,'SegEnds_Xtal_Prot#'!B:B, 0)), "NoXtal", "Xtal")</f>
        <v>NoXtal</v>
      </c>
      <c r="D181" s="4" t="str">
        <f>VLOOKUP(A181,Classification!A:D,2,FALSE)</f>
        <v>A</v>
      </c>
      <c r="E181" s="5" t="str">
        <f>VLOOKUP(A181,Seqs!A:B,2,FALSE)</f>
        <v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v>
      </c>
      <c r="F181" s="5" t="str">
        <f t="shared" si="51"/>
        <v>VNDDWSHPGILYVIPAVYGVIILIGLIGNITLIKIFCTV</v>
      </c>
      <c r="G181" s="4" t="str">
        <f t="shared" si="52"/>
        <v>KSMR</v>
      </c>
      <c r="H181" s="4" t="str">
        <f t="shared" si="53"/>
        <v>NVPNLFISSLALGDLLLLITCAPVDASRYLA</v>
      </c>
      <c r="I181" s="4" t="str">
        <f t="shared" si="54"/>
        <v>RWLF</v>
      </c>
      <c r="J181" s="4" t="str">
        <f t="shared" si="55"/>
        <v>GRIGCKLIPFIQLTSVGVSVFTLTALSADRYKAIVR</v>
      </c>
      <c r="K181" s="4" t="str">
        <f t="shared" si="56"/>
        <v>PMDIQASH</v>
      </c>
      <c r="L181" s="4" t="str">
        <f t="shared" si="57"/>
        <v>ALMKICLKAAFIWIISMLLAIPEAVFS</v>
      </c>
      <c r="M181" s="4" t="str">
        <f t="shared" si="58"/>
        <v>CAP</v>
      </c>
      <c r="N181" s="4" t="str">
        <f t="shared" si="59"/>
        <v>PHSNELHPKIHSMASFLVFYVIPLSIISVYYYFIAKNLIQSAYNLP</v>
      </c>
      <c r="O181" s="4" t="str">
        <f t="shared" si="60"/>
        <v>HVKKQIESRKRLAKTVLVFVGLFAFCWLPNHVIYLYRSYH</v>
      </c>
      <c r="P181" s="4" t="str">
        <f t="shared" si="61"/>
        <v>SMLHFVTSICARLLAFTNSCVNPFALYLL</v>
      </c>
      <c r="Q181" s="4" t="str">
        <f t="shared" si="62"/>
        <v>SKSFRKQFNTQLLC</v>
      </c>
      <c r="R181" s="5">
        <f>VLOOKUP($A181,'SegEnds_NonXtal_Prot#'!$A:$AL,3,FALSE)</f>
        <v>30</v>
      </c>
      <c r="S181" s="5">
        <f>VLOOKUP($A181,'SegEnds_NonXtal_Prot#'!$A:$AL,6,FALSE)</f>
        <v>69</v>
      </c>
      <c r="T181" s="5">
        <f>VLOOKUP($A181,'SegEnds_NonXtal_Prot#'!$A:$AL,9,FALSE)</f>
        <v>73</v>
      </c>
      <c r="U181" s="5">
        <f>VLOOKUP($A181,'SegEnds_NonXtal_Prot#'!$A:$AL,12,FALSE)</f>
        <v>105</v>
      </c>
      <c r="V181" s="5">
        <f>VLOOKUP($A181,'SegEnds_NonXtal_Prot#'!$A:$AL,15,FALSE)</f>
        <v>109</v>
      </c>
      <c r="W181" s="5">
        <f>VLOOKUP($A181,'SegEnds_NonXtal_Prot#'!$A:$AL,18,FALSE)</f>
        <v>145</v>
      </c>
      <c r="X181" s="5">
        <f>VLOOKUP($A181,'SegEnds_NonXtal_Prot#'!$A:$AL,21,FALSE)</f>
        <v>153</v>
      </c>
      <c r="Y181" s="5">
        <f>VLOOKUP($A181,'SegEnds_NonXtal_Prot#'!$A:$AL,24,FALSE)</f>
        <v>196</v>
      </c>
      <c r="Z181" s="5">
        <f>VLOOKUP($A181,'SegEnds_NonXtal_Prot#'!$A:$AL,27,FALSE)</f>
        <v>200</v>
      </c>
      <c r="AA181" s="5">
        <f>VLOOKUP($A181,'SegEnds_NonXtal_Prot#'!$A:$AL,30,FALSE)</f>
        <v>251</v>
      </c>
      <c r="AB181" s="5">
        <f>VLOOKUP($A181,'SegEnds_NonXtal_Prot#'!$A:$AL,33,FALSE)</f>
        <v>297</v>
      </c>
      <c r="AC181" s="5">
        <f>VLOOKUP($A181,'SegEnds_NonXtal_Prot#'!$A:$AL,36,FALSE)</f>
        <v>326</v>
      </c>
      <c r="AD181" s="5">
        <f>VLOOKUP($A181,'SegEnds_NonXtal_Prot#'!$A:$AL,5,FALSE)</f>
        <v>68</v>
      </c>
      <c r="AE181" s="5">
        <f>VLOOKUP($A181,'SegEnds_NonXtal_Prot#'!$A:$AL,8,FALSE)</f>
        <v>72</v>
      </c>
      <c r="AF181" s="5">
        <f>VLOOKUP($A181,'SegEnds_NonXtal_Prot#'!$A:$AL,11,FALSE)</f>
        <v>103</v>
      </c>
      <c r="AG181" s="5">
        <f>VLOOKUP($A181,'SegEnds_NonXtal_Prot#'!$A:$AL,14,FALSE)</f>
        <v>108</v>
      </c>
      <c r="AH181" s="5">
        <f>VLOOKUP($A181,'SegEnds_NonXtal_Prot#'!$A:$AL,17,FALSE)</f>
        <v>144</v>
      </c>
      <c r="AI181" s="5">
        <f>VLOOKUP($A181,'SegEnds_NonXtal_Prot#'!$A:$AL,20,FALSE)</f>
        <v>152</v>
      </c>
      <c r="AJ181" s="5">
        <f>VLOOKUP($A181,'SegEnds_NonXtal_Prot#'!$A:$AL,23,FALSE)</f>
        <v>179</v>
      </c>
      <c r="AK181" s="5">
        <f>VLOOKUP($A181,'SegEnds_NonXtal_Prot#'!$A:$AL,26,FALSE)</f>
        <v>198</v>
      </c>
      <c r="AL181" s="5">
        <f>VLOOKUP($A181,'SegEnds_NonXtal_Prot#'!$A:$AL,29,FALSE)</f>
        <v>245</v>
      </c>
      <c r="AM181" s="5">
        <f>VLOOKUP($A181,'SegEnds_NonXtal_Prot#'!$A:$AL,32,FALSE)</f>
        <v>290</v>
      </c>
      <c r="AN181" s="5">
        <f>VLOOKUP($A181,'SegEnds_NonXtal_Prot#'!$A:$AL,35,FALSE)</f>
        <v>325</v>
      </c>
      <c r="AO181" s="5">
        <f>VLOOKUP($A181,'SegEnds_NonXtal_Prot#'!$A:$AL,38,FALSE)</f>
        <v>339</v>
      </c>
      <c r="AP181" s="5">
        <f t="shared" si="63"/>
        <v>38</v>
      </c>
      <c r="AQ181" s="4">
        <f t="shared" si="64"/>
        <v>3</v>
      </c>
      <c r="AR181" s="4">
        <f t="shared" si="65"/>
        <v>30</v>
      </c>
      <c r="AS181" s="4">
        <f t="shared" si="66"/>
        <v>3</v>
      </c>
      <c r="AT181" s="4">
        <f t="shared" si="67"/>
        <v>35</v>
      </c>
      <c r="AU181" s="4">
        <f t="shared" si="68"/>
        <v>7</v>
      </c>
      <c r="AV181" s="4">
        <f t="shared" si="69"/>
        <v>26</v>
      </c>
      <c r="AW181" s="4">
        <f t="shared" si="70"/>
        <v>2</v>
      </c>
      <c r="AX181" s="4">
        <f t="shared" si="71"/>
        <v>45</v>
      </c>
      <c r="AY181" s="4">
        <f t="shared" si="72"/>
        <v>39</v>
      </c>
      <c r="AZ181" s="4">
        <f t="shared" si="73"/>
        <v>28</v>
      </c>
      <c r="BA181" s="4">
        <f t="shared" si="74"/>
        <v>13</v>
      </c>
    </row>
    <row r="182" spans="1:53" x14ac:dyDescent="0.2">
      <c r="A182" s="1" t="str">
        <f>'SegEnds_NonXtal_Prot#'!A158</f>
        <v>hcar1_human</v>
      </c>
      <c r="B182" s="1" t="str">
        <f t="shared" si="50"/>
        <v>TISQVMPPLLIVAFVLGALGNGVALCGFCFHKPSTVYLFNLAVADFLLMICLPFRTDYYLRGDIPCRVGLFTLAMNRAGSIVFLTVVAADRYFKVVHSTRVAAGIVCTLWALVILGTVYLLLENMESANGWHDIMFQLEFFMPLGIILFCSFKIVWSLRRRQARMKKATRFIMVVAIVFITCYLPSVSARLYFLWTDPSVHGALHITLSFTYMNSMLDPLVYYFSSPSFPKFYNKLKI</v>
      </c>
      <c r="C182" s="29" t="str">
        <f>IF(ISERROR(MATCH(A182,'SegEnds_Xtal_Prot#'!B:B, 0)), "NoXtal", "Xtal")</f>
        <v>NoXtal</v>
      </c>
      <c r="D182" s="4" t="str">
        <f>VLOOKUP(A182,Classification!A:D,2,FALSE)</f>
        <v>A</v>
      </c>
      <c r="E182" s="5" t="str">
        <f>VLOOKUP(A182,Seqs!A:B,2,FALSE)</f>
        <v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v>
      </c>
      <c r="F182" s="5" t="str">
        <f t="shared" si="51"/>
        <v>TISQVMPPLLIVAFVLGALGNGVALCGFCFH</v>
      </c>
      <c r="G182" s="4" t="str">
        <f t="shared" si="52"/>
        <v/>
      </c>
      <c r="H182" s="4" t="str">
        <f t="shared" si="53"/>
        <v>KPSTVYLFNLAVADFLLMICLPFRTDYYLR</v>
      </c>
      <c r="I182" s="4" t="str">
        <f t="shared" si="54"/>
        <v>HWAF</v>
      </c>
      <c r="J182" s="4" t="str">
        <f t="shared" si="55"/>
        <v>GDIPCRVGLFTLAMNRAGSIVFLTVVAADRYFKVVH</v>
      </c>
      <c r="K182" s="4" t="str">
        <f t="shared" si="56"/>
        <v>PHHAVNTI</v>
      </c>
      <c r="L182" s="4" t="str">
        <f t="shared" si="57"/>
        <v>STRVAAGIVCTLWALVILGTVYLLLEN</v>
      </c>
      <c r="M182" s="4" t="str">
        <f t="shared" si="58"/>
        <v>CES</v>
      </c>
      <c r="N182" s="4" t="str">
        <f t="shared" si="59"/>
        <v>MESANGWHDIMFQLEFFMPLGIILFCSFKIVWSLRR</v>
      </c>
      <c r="O182" s="4" t="str">
        <f t="shared" si="60"/>
        <v>RQARMKKATRFIMVVAIVFITCYLPSVSARLYFLWT</v>
      </c>
      <c r="P182" s="4" t="str">
        <f t="shared" si="61"/>
        <v>DPSVHGALHITLSFTYMNSMLDPLVYYFS</v>
      </c>
      <c r="Q182" s="4" t="str">
        <f t="shared" si="62"/>
        <v>SPSFPKFYNKLKI</v>
      </c>
      <c r="R182" s="5">
        <f>VLOOKUP($A182,'SegEnds_NonXtal_Prot#'!$A:$AL,3,FALSE)</f>
        <v>13</v>
      </c>
      <c r="S182" s="5" t="str">
        <f>VLOOKUP($A182,'SegEnds_NonXtal_Prot#'!$A:$AL,6,FALSE)</f>
        <v>-</v>
      </c>
      <c r="T182" s="5">
        <f>VLOOKUP($A182,'SegEnds_NonXtal_Prot#'!$A:$AL,9,FALSE)</f>
        <v>48</v>
      </c>
      <c r="U182" s="5">
        <f>VLOOKUP($A182,'SegEnds_NonXtal_Prot#'!$A:$AL,12,FALSE)</f>
        <v>80</v>
      </c>
      <c r="V182" s="5">
        <f>VLOOKUP($A182,'SegEnds_NonXtal_Prot#'!$A:$AL,15,FALSE)</f>
        <v>84</v>
      </c>
      <c r="W182" s="5">
        <f>VLOOKUP($A182,'SegEnds_NonXtal_Prot#'!$A:$AL,18,FALSE)</f>
        <v>120</v>
      </c>
      <c r="X182" s="5">
        <f>VLOOKUP($A182,'SegEnds_NonXtal_Prot#'!$A:$AL,21,FALSE)</f>
        <v>128</v>
      </c>
      <c r="Y182" s="5">
        <f>VLOOKUP($A182,'SegEnds_NonXtal_Prot#'!$A:$AL,24,FALSE)</f>
        <v>165</v>
      </c>
      <c r="Z182" s="5">
        <f>VLOOKUP($A182,'SegEnds_NonXtal_Prot#'!$A:$AL,27,FALSE)</f>
        <v>170</v>
      </c>
      <c r="AA182" s="5">
        <f>VLOOKUP($A182,'SegEnds_NonXtal_Prot#'!$A:$AL,30,FALSE)</f>
        <v>211</v>
      </c>
      <c r="AB182" s="5">
        <f>VLOOKUP($A182,'SegEnds_NonXtal_Prot#'!$A:$AL,33,FALSE)</f>
        <v>253</v>
      </c>
      <c r="AC182" s="5">
        <f>VLOOKUP($A182,'SegEnds_NonXtal_Prot#'!$A:$AL,36,FALSE)</f>
        <v>282</v>
      </c>
      <c r="AD182" s="5">
        <f>VLOOKUP($A182,'SegEnds_NonXtal_Prot#'!$A:$AL,5,FALSE)</f>
        <v>43</v>
      </c>
      <c r="AE182" s="5" t="str">
        <f>VLOOKUP($A182,'SegEnds_NonXtal_Prot#'!$A:$AL,8,FALSE)</f>
        <v>-</v>
      </c>
      <c r="AF182" s="5">
        <f>VLOOKUP($A182,'SegEnds_NonXtal_Prot#'!$A:$AL,11,FALSE)</f>
        <v>77</v>
      </c>
      <c r="AG182" s="5">
        <f>VLOOKUP($A182,'SegEnds_NonXtal_Prot#'!$A:$AL,14,FALSE)</f>
        <v>83</v>
      </c>
      <c r="AH182" s="5">
        <f>VLOOKUP($A182,'SegEnds_NonXtal_Prot#'!$A:$AL,17,FALSE)</f>
        <v>119</v>
      </c>
      <c r="AI182" s="5">
        <f>VLOOKUP($A182,'SegEnds_NonXtal_Prot#'!$A:$AL,20,FALSE)</f>
        <v>127</v>
      </c>
      <c r="AJ182" s="5">
        <f>VLOOKUP($A182,'SegEnds_NonXtal_Prot#'!$A:$AL,23,FALSE)</f>
        <v>154</v>
      </c>
      <c r="AK182" s="5">
        <f>VLOOKUP($A182,'SegEnds_NonXtal_Prot#'!$A:$AL,26,FALSE)</f>
        <v>167</v>
      </c>
      <c r="AL182" s="5">
        <f>VLOOKUP($A182,'SegEnds_NonXtal_Prot#'!$A:$AL,29,FALSE)</f>
        <v>205</v>
      </c>
      <c r="AM182" s="5">
        <f>VLOOKUP($A182,'SegEnds_NonXtal_Prot#'!$A:$AL,32,FALSE)</f>
        <v>246</v>
      </c>
      <c r="AN182" s="5">
        <f>VLOOKUP($A182,'SegEnds_NonXtal_Prot#'!$A:$AL,35,FALSE)</f>
        <v>281</v>
      </c>
      <c r="AO182" s="5">
        <f>VLOOKUP($A182,'SegEnds_NonXtal_Prot#'!$A:$AL,38,FALSE)</f>
        <v>294</v>
      </c>
      <c r="AP182" s="5">
        <f t="shared" si="63"/>
        <v>30</v>
      </c>
      <c r="AQ182" s="4" t="str">
        <f t="shared" si="64"/>
        <v>-</v>
      </c>
      <c r="AR182" s="4">
        <f t="shared" si="65"/>
        <v>29</v>
      </c>
      <c r="AS182" s="4">
        <f t="shared" si="66"/>
        <v>3</v>
      </c>
      <c r="AT182" s="4">
        <f t="shared" si="67"/>
        <v>35</v>
      </c>
      <c r="AU182" s="4">
        <f t="shared" si="68"/>
        <v>7</v>
      </c>
      <c r="AV182" s="4">
        <f t="shared" si="69"/>
        <v>26</v>
      </c>
      <c r="AW182" s="4">
        <f t="shared" si="70"/>
        <v>2</v>
      </c>
      <c r="AX182" s="4">
        <f t="shared" si="71"/>
        <v>35</v>
      </c>
      <c r="AY182" s="4">
        <f t="shared" si="72"/>
        <v>35</v>
      </c>
      <c r="AZ182" s="4">
        <f t="shared" si="73"/>
        <v>28</v>
      </c>
      <c r="BA182" s="4">
        <f t="shared" si="74"/>
        <v>12</v>
      </c>
    </row>
    <row r="183" spans="1:53" x14ac:dyDescent="0.2">
      <c r="A183" s="1" t="str">
        <f>'SegEnds_NonXtal_Prot#'!A160</f>
        <v>hcar3_human</v>
      </c>
      <c r="B183" s="1" t="str">
        <f t="shared" si="50"/>
        <v>FIAKVLPPVLGLEFIFGLLGNGLALWIFCFHKSSRIFLFNLAVADFLLIICLPFVMDYYVRGDIPCRLVLFMFAMNRQGSIIFLTVVAVDRYFRVVHSNWTAAIISCLLWGITVGLTVHLLKKKICHTFRWHEAMFLLEFFLPLGIILFCSARIIWSLRQRHAKIKRAITFIMVVAIVFVICFLPSVVVRIHIFWLLHTNCEVYRSVDLAFFITLSFTYMNSMLDPVVYYFSSPSFPNFFSTLIN</v>
      </c>
      <c r="C183" s="29" t="str">
        <f>IF(ISERROR(MATCH(A183,'SegEnds_Xtal_Prot#'!B:B, 0)), "NoXtal", "Xtal")</f>
        <v>NoXtal</v>
      </c>
      <c r="D183" s="4" t="str">
        <f>VLOOKUP(A183,Classification!A:D,2,FALSE)</f>
        <v>A</v>
      </c>
      <c r="E183" s="5" t="str">
        <f>VLOOKUP(A183,Seqs!A:B,2,FALSE)</f>
        <v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v>
      </c>
      <c r="F183" s="5" t="str">
        <f t="shared" si="51"/>
        <v>FIAKVLPPVLGLEFIFGLLGNGLALWIFCFH</v>
      </c>
      <c r="G183" s="4" t="str">
        <f t="shared" si="52"/>
        <v/>
      </c>
      <c r="H183" s="4" t="str">
        <f t="shared" si="53"/>
        <v>KSSRIFLFNLAVADFLLIICLPFVMDYYVR</v>
      </c>
      <c r="I183" s="4" t="str">
        <f t="shared" si="54"/>
        <v>DWKF</v>
      </c>
      <c r="J183" s="4" t="str">
        <f t="shared" si="55"/>
        <v>GDIPCRLVLFMFAMNRQGSIIFLTVVAVDRYFRVVH</v>
      </c>
      <c r="K183" s="4" t="str">
        <f t="shared" si="56"/>
        <v>PHHALNKI</v>
      </c>
      <c r="L183" s="4" t="str">
        <f t="shared" si="57"/>
        <v>SNWTAAIISCLLWGITVGLTVHLLKKK</v>
      </c>
      <c r="M183" s="4" t="str">
        <f t="shared" si="58"/>
        <v>CIS</v>
      </c>
      <c r="N183" s="4" t="str">
        <f t="shared" si="59"/>
        <v>ICHTFRWHEAMFLLEFFLPLGIILFCSARIIWSLRQ</v>
      </c>
      <c r="O183" s="4" t="str">
        <f t="shared" si="60"/>
        <v>RHAKIKRAITFIMVVAIVFVICFLPSVVVRIHIFWLLHT</v>
      </c>
      <c r="P183" s="4" t="str">
        <f t="shared" si="61"/>
        <v>NCEVYRSVDLAFFITLSFTYMNSMLDPVVYYFS</v>
      </c>
      <c r="Q183" s="4" t="str">
        <f t="shared" si="62"/>
        <v>SPSFPNFFSTLIN</v>
      </c>
      <c r="R183" s="5">
        <f>VLOOKUP($A183,'SegEnds_NonXtal_Prot#'!$A:$AL,3,FALSE)</f>
        <v>25</v>
      </c>
      <c r="S183" s="5" t="str">
        <f>VLOOKUP($A183,'SegEnds_NonXtal_Prot#'!$A:$AL,6,FALSE)</f>
        <v>-</v>
      </c>
      <c r="T183" s="5">
        <f>VLOOKUP($A183,'SegEnds_NonXtal_Prot#'!$A:$AL,9,FALSE)</f>
        <v>60</v>
      </c>
      <c r="U183" s="5">
        <f>VLOOKUP($A183,'SegEnds_NonXtal_Prot#'!$A:$AL,12,FALSE)</f>
        <v>92</v>
      </c>
      <c r="V183" s="5">
        <f>VLOOKUP($A183,'SegEnds_NonXtal_Prot#'!$A:$AL,15,FALSE)</f>
        <v>96</v>
      </c>
      <c r="W183" s="5">
        <f>VLOOKUP($A183,'SegEnds_NonXtal_Prot#'!$A:$AL,18,FALSE)</f>
        <v>132</v>
      </c>
      <c r="X183" s="5">
        <f>VLOOKUP($A183,'SegEnds_NonXtal_Prot#'!$A:$AL,21,FALSE)</f>
        <v>140</v>
      </c>
      <c r="Y183" s="5">
        <f>VLOOKUP($A183,'SegEnds_NonXtal_Prot#'!$A:$AL,24,FALSE)</f>
        <v>177</v>
      </c>
      <c r="Z183" s="5">
        <f>VLOOKUP($A183,'SegEnds_NonXtal_Prot#'!$A:$AL,27,FALSE)</f>
        <v>182</v>
      </c>
      <c r="AA183" s="5">
        <f>VLOOKUP($A183,'SegEnds_NonXtal_Prot#'!$A:$AL,30,FALSE)</f>
        <v>222</v>
      </c>
      <c r="AB183" s="5">
        <f>VLOOKUP($A183,'SegEnds_NonXtal_Prot#'!$A:$AL,33,FALSE)</f>
        <v>265</v>
      </c>
      <c r="AC183" s="5">
        <f>VLOOKUP($A183,'SegEnds_NonXtal_Prot#'!$A:$AL,36,FALSE)</f>
        <v>298</v>
      </c>
      <c r="AD183" s="5">
        <f>VLOOKUP($A183,'SegEnds_NonXtal_Prot#'!$A:$AL,5,FALSE)</f>
        <v>55</v>
      </c>
      <c r="AE183" s="5" t="str">
        <f>VLOOKUP($A183,'SegEnds_NonXtal_Prot#'!$A:$AL,8,FALSE)</f>
        <v>-</v>
      </c>
      <c r="AF183" s="5">
        <f>VLOOKUP($A183,'SegEnds_NonXtal_Prot#'!$A:$AL,11,FALSE)</f>
        <v>89</v>
      </c>
      <c r="AG183" s="5">
        <f>VLOOKUP($A183,'SegEnds_NonXtal_Prot#'!$A:$AL,14,FALSE)</f>
        <v>95</v>
      </c>
      <c r="AH183" s="5">
        <f>VLOOKUP($A183,'SegEnds_NonXtal_Prot#'!$A:$AL,17,FALSE)</f>
        <v>131</v>
      </c>
      <c r="AI183" s="5">
        <f>VLOOKUP($A183,'SegEnds_NonXtal_Prot#'!$A:$AL,20,FALSE)</f>
        <v>139</v>
      </c>
      <c r="AJ183" s="5">
        <f>VLOOKUP($A183,'SegEnds_NonXtal_Prot#'!$A:$AL,23,FALSE)</f>
        <v>166</v>
      </c>
      <c r="AK183" s="5">
        <f>VLOOKUP($A183,'SegEnds_NonXtal_Prot#'!$A:$AL,26,FALSE)</f>
        <v>179</v>
      </c>
      <c r="AL183" s="5">
        <f>VLOOKUP($A183,'SegEnds_NonXtal_Prot#'!$A:$AL,29,FALSE)</f>
        <v>217</v>
      </c>
      <c r="AM183" s="5">
        <f>VLOOKUP($A183,'SegEnds_NonXtal_Prot#'!$A:$AL,32,FALSE)</f>
        <v>260</v>
      </c>
      <c r="AN183" s="5">
        <f>VLOOKUP($A183,'SegEnds_NonXtal_Prot#'!$A:$AL,35,FALSE)</f>
        <v>297</v>
      </c>
      <c r="AO183" s="5">
        <f>VLOOKUP($A183,'SegEnds_NonXtal_Prot#'!$A:$AL,38,FALSE)</f>
        <v>310</v>
      </c>
      <c r="AP183" s="5">
        <f t="shared" si="63"/>
        <v>30</v>
      </c>
      <c r="AQ183" s="4" t="str">
        <f t="shared" si="64"/>
        <v>-</v>
      </c>
      <c r="AR183" s="4">
        <f t="shared" si="65"/>
        <v>29</v>
      </c>
      <c r="AS183" s="4">
        <f t="shared" si="66"/>
        <v>3</v>
      </c>
      <c r="AT183" s="4">
        <f t="shared" si="67"/>
        <v>35</v>
      </c>
      <c r="AU183" s="4">
        <f t="shared" si="68"/>
        <v>7</v>
      </c>
      <c r="AV183" s="4">
        <f t="shared" si="69"/>
        <v>26</v>
      </c>
      <c r="AW183" s="4">
        <f t="shared" si="70"/>
        <v>2</v>
      </c>
      <c r="AX183" s="4">
        <f t="shared" si="71"/>
        <v>35</v>
      </c>
      <c r="AY183" s="4">
        <f t="shared" si="72"/>
        <v>38</v>
      </c>
      <c r="AZ183" s="4">
        <f t="shared" si="73"/>
        <v>32</v>
      </c>
      <c r="BA183" s="4">
        <f t="shared" si="74"/>
        <v>12</v>
      </c>
    </row>
    <row r="184" spans="1:53" x14ac:dyDescent="0.2">
      <c r="A184" s="1" t="str">
        <f>'SegEnds_NonXtal_Prot#'!A161</f>
        <v>hrh1_human</v>
      </c>
      <c r="B184" s="1" t="str">
        <f t="shared" si="50"/>
        <v>PLVVVLSTICLVTVGLNLLVLYAVRSETVGNLYIVSLSVADLIVGAVVMPMNILYLLMGRPLCLFWLSMDYVASTASIFSVFILCIDRYRSVQQTKTRASATILGAWFLSFLWVIPILGVTWFKVMTAIINFYLPTLLMLWFYAKIYKAVRQHCQHRELINGLHMNRERKAAKQLGFIMAAFILCWIPYFIFFMVIAFCNEHLHMFTIWLGYINSTLNPLIYPLCNENFKKTFKRILH</v>
      </c>
      <c r="C184" s="29" t="str">
        <f>IF(ISERROR(MATCH(A184,'SegEnds_Xtal_Prot#'!B:B, 0)), "NoXtal", "Xtal")</f>
        <v>Xtal</v>
      </c>
      <c r="D184" s="4" t="str">
        <f>VLOOKUP(A184,Classification!A:D,2,FALSE)</f>
        <v>A</v>
      </c>
      <c r="E184" s="5" t="str">
        <f>VLOOKUP(A184,Seqs!A:B,2,FALSE)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F184" s="5" t="str">
        <f t="shared" si="51"/>
        <v>PLVVVLSTICLVTVGLNLLVLYAVRSE</v>
      </c>
      <c r="G184" s="4" t="str">
        <f t="shared" si="52"/>
        <v>RKLH</v>
      </c>
      <c r="H184" s="4" t="str">
        <f t="shared" si="53"/>
        <v>TVGNLYIVSLSVADLIVGAVVMPMNILYLLM</v>
      </c>
      <c r="I184" s="4" t="str">
        <f t="shared" si="54"/>
        <v>KWSL</v>
      </c>
      <c r="J184" s="4" t="str">
        <f t="shared" si="55"/>
        <v>GRPLCLFWLSMDYVASTASIFSVFILCIDRYRSVQQ</v>
      </c>
      <c r="K184" s="4" t="str">
        <f t="shared" si="56"/>
        <v>PLRYLKYR</v>
      </c>
      <c r="L184" s="4" t="str">
        <f t="shared" si="57"/>
        <v>TKTRASATILGAWFLSFLWVIPILG</v>
      </c>
      <c r="M184" s="4" t="str">
        <f t="shared" si="58"/>
        <v>CET</v>
      </c>
      <c r="N184" s="4" t="str">
        <f t="shared" si="59"/>
        <v>VTWFKVMTAIINFYLPTLLMLWFYAKIYKAVRQHCQHRELIN</v>
      </c>
      <c r="O184" s="4" t="str">
        <f t="shared" si="60"/>
        <v>GLHMNRERKAAKQLGFIMAAFILCWIPYFIFFMVIAFC</v>
      </c>
      <c r="P184" s="4" t="str">
        <f t="shared" si="61"/>
        <v>NEHLHMFTIWLGYINSTLNPLIYPLC</v>
      </c>
      <c r="Q184" s="4" t="str">
        <f t="shared" si="62"/>
        <v>NENFKKTFKRILH</v>
      </c>
      <c r="R184" s="5">
        <f>VLOOKUP($A184,'SegEnds_NonXtal_Prot#'!$A:$AL,3,FALSE)</f>
        <v>29</v>
      </c>
      <c r="S184" s="5">
        <f>VLOOKUP($A184,'SegEnds_NonXtal_Prot#'!$A:$AL,6,FALSE)</f>
        <v>56</v>
      </c>
      <c r="T184" s="5">
        <f>VLOOKUP($A184,'SegEnds_NonXtal_Prot#'!$A:$AL,9,FALSE)</f>
        <v>60</v>
      </c>
      <c r="U184" s="5">
        <f>VLOOKUP($A184,'SegEnds_NonXtal_Prot#'!$A:$AL,12,FALSE)</f>
        <v>92</v>
      </c>
      <c r="V184" s="5">
        <f>VLOOKUP($A184,'SegEnds_NonXtal_Prot#'!$A:$AL,15,FALSE)</f>
        <v>96</v>
      </c>
      <c r="W184" s="5">
        <f>VLOOKUP($A184,'SegEnds_NonXtal_Prot#'!$A:$AL,18,FALSE)</f>
        <v>132</v>
      </c>
      <c r="X184" s="5">
        <f>VLOOKUP($A184,'SegEnds_NonXtal_Prot#'!$A:$AL,21,FALSE)</f>
        <v>140</v>
      </c>
      <c r="Y184" s="5">
        <f>VLOOKUP($A184,'SegEnds_NonXtal_Prot#'!$A:$AL,24,FALSE)</f>
        <v>180</v>
      </c>
      <c r="Z184" s="5">
        <f>VLOOKUP($A184,'SegEnds_NonXtal_Prot#'!$A:$AL,27,FALSE)</f>
        <v>187</v>
      </c>
      <c r="AA184" s="5">
        <f>VLOOKUP($A184,'SegEnds_NonXtal_Prot#'!$A:$AL,30,FALSE)</f>
        <v>404</v>
      </c>
      <c r="AB184" s="5">
        <f>VLOOKUP($A184,'SegEnds_NonXtal_Prot#'!$A:$AL,33,FALSE)</f>
        <v>446</v>
      </c>
      <c r="AC184" s="5">
        <f>VLOOKUP($A184,'SegEnds_NonXtal_Prot#'!$A:$AL,36,FALSE)</f>
        <v>472</v>
      </c>
      <c r="AD184" s="5">
        <f>VLOOKUP($A184,'SegEnds_NonXtal_Prot#'!$A:$AL,5,FALSE)</f>
        <v>55</v>
      </c>
      <c r="AE184" s="5">
        <f>VLOOKUP($A184,'SegEnds_NonXtal_Prot#'!$A:$AL,8,FALSE)</f>
        <v>59</v>
      </c>
      <c r="AF184" s="5">
        <f>VLOOKUP($A184,'SegEnds_NonXtal_Prot#'!$A:$AL,11,FALSE)</f>
        <v>90</v>
      </c>
      <c r="AG184" s="5">
        <f>VLOOKUP($A184,'SegEnds_NonXtal_Prot#'!$A:$AL,14,FALSE)</f>
        <v>95</v>
      </c>
      <c r="AH184" s="5">
        <f>VLOOKUP($A184,'SegEnds_NonXtal_Prot#'!$A:$AL,17,FALSE)</f>
        <v>131</v>
      </c>
      <c r="AI184" s="5">
        <f>VLOOKUP($A184,'SegEnds_NonXtal_Prot#'!$A:$AL,20,FALSE)</f>
        <v>139</v>
      </c>
      <c r="AJ184" s="5">
        <f>VLOOKUP($A184,'SegEnds_NonXtal_Prot#'!$A:$AL,23,FALSE)</f>
        <v>164</v>
      </c>
      <c r="AK184" s="5">
        <f>VLOOKUP($A184,'SegEnds_NonXtal_Prot#'!$A:$AL,26,FALSE)</f>
        <v>182</v>
      </c>
      <c r="AL184" s="5">
        <f>VLOOKUP($A184,'SegEnds_NonXtal_Prot#'!$A:$AL,29,FALSE)</f>
        <v>228</v>
      </c>
      <c r="AM184" s="5">
        <f>VLOOKUP($A184,'SegEnds_NonXtal_Prot#'!$A:$AL,32,FALSE)</f>
        <v>441</v>
      </c>
      <c r="AN184" s="5">
        <f>VLOOKUP($A184,'SegEnds_NonXtal_Prot#'!$A:$AL,35,FALSE)</f>
        <v>471</v>
      </c>
      <c r="AO184" s="5">
        <f>VLOOKUP($A184,'SegEnds_NonXtal_Prot#'!$A:$AL,38,FALSE)</f>
        <v>484</v>
      </c>
      <c r="AP184" s="5">
        <f t="shared" si="63"/>
        <v>26</v>
      </c>
      <c r="AQ184" s="4">
        <f t="shared" si="64"/>
        <v>3</v>
      </c>
      <c r="AR184" s="4">
        <f t="shared" si="65"/>
        <v>30</v>
      </c>
      <c r="AS184" s="4">
        <f t="shared" si="66"/>
        <v>3</v>
      </c>
      <c r="AT184" s="4">
        <f t="shared" si="67"/>
        <v>35</v>
      </c>
      <c r="AU184" s="4">
        <f t="shared" si="68"/>
        <v>7</v>
      </c>
      <c r="AV184" s="4">
        <f t="shared" si="69"/>
        <v>24</v>
      </c>
      <c r="AW184" s="4">
        <f t="shared" si="70"/>
        <v>2</v>
      </c>
      <c r="AX184" s="4">
        <f t="shared" si="71"/>
        <v>41</v>
      </c>
      <c r="AY184" s="4">
        <f t="shared" si="72"/>
        <v>37</v>
      </c>
      <c r="AZ184" s="4">
        <f t="shared" si="73"/>
        <v>25</v>
      </c>
      <c r="BA184" s="4">
        <f t="shared" si="74"/>
        <v>12</v>
      </c>
    </row>
    <row r="185" spans="1:53" x14ac:dyDescent="0.2">
      <c r="A185" s="1" t="str">
        <f>'SegEnds_NonXtal_Prot#'!A162</f>
        <v>hrh2_human</v>
      </c>
      <c r="B185" s="1" t="str">
        <f t="shared" si="50"/>
        <v>CLDSTACKITITVVLAVLILITVAGNVVVCLAVGLNNLTNCFIVSLAITDLLLGLLVLPFSAIYQLSGKVFCNIYTSLDVMLCTASILNLFMISLDRYCAVMDTPVRVAISLVLIWVISITLSFLSIHLGNEVYGLVDGLVTFYLPLLIMCITYYRIFKVARDQAKRINSWKAATIREHKATVTLAAVMGAFIICWFPYFTAFVYRGLRNEVLEAIVLWLGYANSALNPILYAALNRDFRTGYQQLFC</v>
      </c>
      <c r="C185" s="29" t="str">
        <f>IF(ISERROR(MATCH(A185,'SegEnds_Xtal_Prot#'!B:B, 0)), "NoXtal", "Xtal")</f>
        <v>NoXtal</v>
      </c>
      <c r="D185" s="4" t="str">
        <f>VLOOKUP(A185,Classification!A:D,2,FALSE)</f>
        <v>A</v>
      </c>
      <c r="E185" s="5" t="str">
        <f>VLOOKUP(A185,Seqs!A:B,2,FALSE)</f>
        <v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v>
      </c>
      <c r="F185" s="5" t="str">
        <f t="shared" si="51"/>
        <v>CLDSTACKITITVVLAVLILITVAGNVVVCLAVGLN</v>
      </c>
      <c r="G185" s="4" t="str">
        <f t="shared" si="52"/>
        <v>RRLR</v>
      </c>
      <c r="H185" s="4" t="str">
        <f t="shared" si="53"/>
        <v>NLTNCFIVSLAITDLLLGLLVLPFSAIYQLS</v>
      </c>
      <c r="I185" s="4" t="str">
        <f t="shared" si="54"/>
        <v>KWSF</v>
      </c>
      <c r="J185" s="4" t="str">
        <f t="shared" si="55"/>
        <v>GKVFCNIYTSLDVMLCTASILNLFMISLDRYCAVMD</v>
      </c>
      <c r="K185" s="4" t="str">
        <f t="shared" si="56"/>
        <v>PLRYPVLV</v>
      </c>
      <c r="L185" s="4" t="str">
        <f t="shared" si="57"/>
        <v>TPVRVAISLVLIWVISITLSFLSIHLG</v>
      </c>
      <c r="M185" s="4" t="str">
        <f t="shared" si="58"/>
        <v>CKV</v>
      </c>
      <c r="N185" s="4" t="str">
        <f t="shared" si="59"/>
        <v>NEVYGLVDGLVTFYLPLLIMCITYYRIFKVARDQAKRIN</v>
      </c>
      <c r="O185" s="4" t="str">
        <f t="shared" si="60"/>
        <v>SWKAATIREHKATVTLAAVMGAFIICWFPYFTAFVYRGLR</v>
      </c>
      <c r="P185" s="4" t="str">
        <f t="shared" si="61"/>
        <v>NEVLEAIVLWLGYANSALNPILYAAL</v>
      </c>
      <c r="Q185" s="4" t="str">
        <f t="shared" si="62"/>
        <v>NRDFRTGYQQLFC</v>
      </c>
      <c r="R185" s="5">
        <f>VLOOKUP($A185,'SegEnds_NonXtal_Prot#'!$A:$AL,3,FALSE)</f>
        <v>11</v>
      </c>
      <c r="S185" s="5">
        <f>VLOOKUP($A185,'SegEnds_NonXtal_Prot#'!$A:$AL,6,FALSE)</f>
        <v>47</v>
      </c>
      <c r="T185" s="5">
        <f>VLOOKUP($A185,'SegEnds_NonXtal_Prot#'!$A:$AL,9,FALSE)</f>
        <v>51</v>
      </c>
      <c r="U185" s="5">
        <f>VLOOKUP($A185,'SegEnds_NonXtal_Prot#'!$A:$AL,12,FALSE)</f>
        <v>83</v>
      </c>
      <c r="V185" s="5">
        <f>VLOOKUP($A185,'SegEnds_NonXtal_Prot#'!$A:$AL,15,FALSE)</f>
        <v>87</v>
      </c>
      <c r="W185" s="5">
        <f>VLOOKUP($A185,'SegEnds_NonXtal_Prot#'!$A:$AL,18,FALSE)</f>
        <v>123</v>
      </c>
      <c r="X185" s="5">
        <f>VLOOKUP($A185,'SegEnds_NonXtal_Prot#'!$A:$AL,21,FALSE)</f>
        <v>131</v>
      </c>
      <c r="Y185" s="5">
        <f>VLOOKUP($A185,'SegEnds_NonXtal_Prot#'!$A:$AL,24,FALSE)</f>
        <v>174</v>
      </c>
      <c r="Z185" s="5">
        <f>VLOOKUP($A185,'SegEnds_NonXtal_Prot#'!$A:$AL,27,FALSE)</f>
        <v>179</v>
      </c>
      <c r="AA185" s="5">
        <f>VLOOKUP($A185,'SegEnds_NonXtal_Prot#'!$A:$AL,30,FALSE)</f>
        <v>221</v>
      </c>
      <c r="AB185" s="5">
        <f>VLOOKUP($A185,'SegEnds_NonXtal_Prot#'!$A:$AL,33,FALSE)</f>
        <v>266</v>
      </c>
      <c r="AC185" s="5">
        <f>VLOOKUP($A185,'SegEnds_NonXtal_Prot#'!$A:$AL,36,FALSE)</f>
        <v>292</v>
      </c>
      <c r="AD185" s="5">
        <f>VLOOKUP($A185,'SegEnds_NonXtal_Prot#'!$A:$AL,5,FALSE)</f>
        <v>46</v>
      </c>
      <c r="AE185" s="5">
        <f>VLOOKUP($A185,'SegEnds_NonXtal_Prot#'!$A:$AL,8,FALSE)</f>
        <v>50</v>
      </c>
      <c r="AF185" s="5">
        <f>VLOOKUP($A185,'SegEnds_NonXtal_Prot#'!$A:$AL,11,FALSE)</f>
        <v>81</v>
      </c>
      <c r="AG185" s="5">
        <f>VLOOKUP($A185,'SegEnds_NonXtal_Prot#'!$A:$AL,14,FALSE)</f>
        <v>86</v>
      </c>
      <c r="AH185" s="5">
        <f>VLOOKUP($A185,'SegEnds_NonXtal_Prot#'!$A:$AL,17,FALSE)</f>
        <v>122</v>
      </c>
      <c r="AI185" s="5">
        <f>VLOOKUP($A185,'SegEnds_NonXtal_Prot#'!$A:$AL,20,FALSE)</f>
        <v>130</v>
      </c>
      <c r="AJ185" s="5">
        <f>VLOOKUP($A185,'SegEnds_NonXtal_Prot#'!$A:$AL,23,FALSE)</f>
        <v>157</v>
      </c>
      <c r="AK185" s="5">
        <f>VLOOKUP($A185,'SegEnds_NonXtal_Prot#'!$A:$AL,26,FALSE)</f>
        <v>176</v>
      </c>
      <c r="AL185" s="5">
        <f>VLOOKUP($A185,'SegEnds_NonXtal_Prot#'!$A:$AL,29,FALSE)</f>
        <v>217</v>
      </c>
      <c r="AM185" s="5">
        <f>VLOOKUP($A185,'SegEnds_NonXtal_Prot#'!$A:$AL,32,FALSE)</f>
        <v>260</v>
      </c>
      <c r="AN185" s="5">
        <f>VLOOKUP($A185,'SegEnds_NonXtal_Prot#'!$A:$AL,35,FALSE)</f>
        <v>291</v>
      </c>
      <c r="AO185" s="5">
        <f>VLOOKUP($A185,'SegEnds_NonXtal_Prot#'!$A:$AL,38,FALSE)</f>
        <v>304</v>
      </c>
      <c r="AP185" s="5">
        <f t="shared" si="63"/>
        <v>35</v>
      </c>
      <c r="AQ185" s="4">
        <f t="shared" si="64"/>
        <v>3</v>
      </c>
      <c r="AR185" s="4">
        <f t="shared" si="65"/>
        <v>30</v>
      </c>
      <c r="AS185" s="4">
        <f t="shared" si="66"/>
        <v>3</v>
      </c>
      <c r="AT185" s="4">
        <f t="shared" si="67"/>
        <v>35</v>
      </c>
      <c r="AU185" s="4">
        <f t="shared" si="68"/>
        <v>7</v>
      </c>
      <c r="AV185" s="4">
        <f t="shared" si="69"/>
        <v>26</v>
      </c>
      <c r="AW185" s="4">
        <f t="shared" si="70"/>
        <v>2</v>
      </c>
      <c r="AX185" s="4">
        <f t="shared" si="71"/>
        <v>38</v>
      </c>
      <c r="AY185" s="4">
        <f t="shared" si="72"/>
        <v>39</v>
      </c>
      <c r="AZ185" s="4">
        <f t="shared" si="73"/>
        <v>25</v>
      </c>
      <c r="BA185" s="4">
        <f t="shared" si="74"/>
        <v>12</v>
      </c>
    </row>
    <row r="186" spans="1:53" x14ac:dyDescent="0.2">
      <c r="A186" s="1" t="str">
        <f>'SegEnds_NonXtal_Prot#'!A163</f>
        <v>kissr_human</v>
      </c>
      <c r="B186" s="1" t="str">
        <f t="shared" si="50"/>
        <v>VDAWLVPLFFAALMLLGLVGNSLVIYVICRHTVTNFYIANLAATDVTFLLCCVPFTALLYPLGDFMCKFVNYIQQVSVQATCATLTAMSVDRWYVTVFTPRLALAVSLSIWVGSAAVSAPVLALHPSRALERAFALYNLLALYLLPLLATCACYAAMLRHLGRVAVRPAPVLAERAGAVRAKVSRLVAAVVLLFAACWGPIQLFLVLQALGSYAAYALKTWAHCMSYSNSALNPLLYAFLGSHFRQAFRRVCP</v>
      </c>
      <c r="C186" s="29" t="str">
        <f>IF(ISERROR(MATCH(A186,'SegEnds_Xtal_Prot#'!B:B, 0)), "NoXtal", "Xtal")</f>
        <v>NoXtal</v>
      </c>
      <c r="D186" s="4" t="str">
        <f>VLOOKUP(A186,Classification!A:D,2,FALSE)</f>
        <v>A</v>
      </c>
      <c r="E186" s="5" t="str">
        <f>VLOOKUP(A186,Seqs!A:B,2,FALSE)</f>
        <v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v>
      </c>
      <c r="F186" s="5" t="str">
        <f t="shared" si="51"/>
        <v>VDAWLVPLFFAALMLLGLVGNSLVIYVICRH</v>
      </c>
      <c r="G186" s="4" t="str">
        <f t="shared" si="52"/>
        <v>KPMR</v>
      </c>
      <c r="H186" s="4" t="str">
        <f t="shared" si="53"/>
        <v>TVTNFYIANLAATDVTFLLCCVPFTALLYPL</v>
      </c>
      <c r="I186" s="4" t="str">
        <f t="shared" si="54"/>
        <v>GWVL</v>
      </c>
      <c r="J186" s="4" t="str">
        <f t="shared" si="55"/>
        <v>GDFMCKFVNYIQQVSVQATCATLTAMSVDRWYVTVF</v>
      </c>
      <c r="K186" s="4" t="str">
        <f t="shared" si="56"/>
        <v>PLRALHRR</v>
      </c>
      <c r="L186" s="4" t="str">
        <f t="shared" si="57"/>
        <v>TPRLALAVSLSIWVGSAAVSAPVLALH</v>
      </c>
      <c r="M186" s="4" t="str">
        <f t="shared" si="58"/>
        <v>CSE</v>
      </c>
      <c r="N186" s="4" t="str">
        <f t="shared" si="59"/>
        <v>PSRALERAFALYNLLALYLLPLLATCACYAAMLRHLGRVAVRPAP</v>
      </c>
      <c r="O186" s="4" t="str">
        <f t="shared" si="60"/>
        <v>VLAERAGAVRAKVSRLVAAVVLLFAACWGPIQLFLVLQALG</v>
      </c>
      <c r="P186" s="4" t="str">
        <f t="shared" si="61"/>
        <v>SYAAYALKTWAHCMSYSNSALNPLLYAFL</v>
      </c>
      <c r="Q186" s="4" t="str">
        <f t="shared" si="62"/>
        <v>GSHFRQAFRRVCP</v>
      </c>
      <c r="R186" s="5">
        <f>VLOOKUP($A186,'SegEnds_NonXtal_Prot#'!$A:$AL,3,FALSE)</f>
        <v>40</v>
      </c>
      <c r="S186" s="5">
        <f>VLOOKUP($A186,'SegEnds_NonXtal_Prot#'!$A:$AL,6,FALSE)</f>
        <v>71</v>
      </c>
      <c r="T186" s="5">
        <f>VLOOKUP($A186,'SegEnds_NonXtal_Prot#'!$A:$AL,9,FALSE)</f>
        <v>75</v>
      </c>
      <c r="U186" s="5">
        <f>VLOOKUP($A186,'SegEnds_NonXtal_Prot#'!$A:$AL,12,FALSE)</f>
        <v>107</v>
      </c>
      <c r="V186" s="5">
        <f>VLOOKUP($A186,'SegEnds_NonXtal_Prot#'!$A:$AL,15,FALSE)</f>
        <v>111</v>
      </c>
      <c r="W186" s="5">
        <f>VLOOKUP($A186,'SegEnds_NonXtal_Prot#'!$A:$AL,18,FALSE)</f>
        <v>147</v>
      </c>
      <c r="X186" s="5">
        <f>VLOOKUP($A186,'SegEnds_NonXtal_Prot#'!$A:$AL,21,FALSE)</f>
        <v>155</v>
      </c>
      <c r="Y186" s="5">
        <f>VLOOKUP($A186,'SegEnds_NonXtal_Prot#'!$A:$AL,24,FALSE)</f>
        <v>191</v>
      </c>
      <c r="Z186" s="5">
        <f>VLOOKUP($A186,'SegEnds_NonXtal_Prot#'!$A:$AL,27,FALSE)</f>
        <v>196</v>
      </c>
      <c r="AA186" s="5">
        <f>VLOOKUP($A186,'SegEnds_NonXtal_Prot#'!$A:$AL,30,FALSE)</f>
        <v>249</v>
      </c>
      <c r="AB186" s="5">
        <f>VLOOKUP($A186,'SegEnds_NonXtal_Prot#'!$A:$AL,33,FALSE)</f>
        <v>298</v>
      </c>
      <c r="AC186" s="5">
        <f>VLOOKUP($A186,'SegEnds_NonXtal_Prot#'!$A:$AL,36,FALSE)</f>
        <v>327</v>
      </c>
      <c r="AD186" s="5">
        <f>VLOOKUP($A186,'SegEnds_NonXtal_Prot#'!$A:$AL,5,FALSE)</f>
        <v>70</v>
      </c>
      <c r="AE186" s="5">
        <f>VLOOKUP($A186,'SegEnds_NonXtal_Prot#'!$A:$AL,8,FALSE)</f>
        <v>74</v>
      </c>
      <c r="AF186" s="5">
        <f>VLOOKUP($A186,'SegEnds_NonXtal_Prot#'!$A:$AL,11,FALSE)</f>
        <v>105</v>
      </c>
      <c r="AG186" s="5">
        <f>VLOOKUP($A186,'SegEnds_NonXtal_Prot#'!$A:$AL,14,FALSE)</f>
        <v>110</v>
      </c>
      <c r="AH186" s="5">
        <f>VLOOKUP($A186,'SegEnds_NonXtal_Prot#'!$A:$AL,17,FALSE)</f>
        <v>146</v>
      </c>
      <c r="AI186" s="5">
        <f>VLOOKUP($A186,'SegEnds_NonXtal_Prot#'!$A:$AL,20,FALSE)</f>
        <v>154</v>
      </c>
      <c r="AJ186" s="5">
        <f>VLOOKUP($A186,'SegEnds_NonXtal_Prot#'!$A:$AL,23,FALSE)</f>
        <v>181</v>
      </c>
      <c r="AK186" s="5">
        <f>VLOOKUP($A186,'SegEnds_NonXtal_Prot#'!$A:$AL,26,FALSE)</f>
        <v>193</v>
      </c>
      <c r="AL186" s="5">
        <f>VLOOKUP($A186,'SegEnds_NonXtal_Prot#'!$A:$AL,29,FALSE)</f>
        <v>240</v>
      </c>
      <c r="AM186" s="5">
        <f>VLOOKUP($A186,'SegEnds_NonXtal_Prot#'!$A:$AL,32,FALSE)</f>
        <v>289</v>
      </c>
      <c r="AN186" s="5">
        <f>VLOOKUP($A186,'SegEnds_NonXtal_Prot#'!$A:$AL,35,FALSE)</f>
        <v>326</v>
      </c>
      <c r="AO186" s="5">
        <f>VLOOKUP($A186,'SegEnds_NonXtal_Prot#'!$A:$AL,38,FALSE)</f>
        <v>339</v>
      </c>
      <c r="AP186" s="5">
        <f t="shared" si="63"/>
        <v>30</v>
      </c>
      <c r="AQ186" s="4">
        <f t="shared" si="64"/>
        <v>3</v>
      </c>
      <c r="AR186" s="4">
        <f t="shared" si="65"/>
        <v>30</v>
      </c>
      <c r="AS186" s="4">
        <f t="shared" si="66"/>
        <v>3</v>
      </c>
      <c r="AT186" s="4">
        <f t="shared" si="67"/>
        <v>35</v>
      </c>
      <c r="AU186" s="4">
        <f t="shared" si="68"/>
        <v>7</v>
      </c>
      <c r="AV186" s="4">
        <f t="shared" si="69"/>
        <v>26</v>
      </c>
      <c r="AW186" s="4">
        <f t="shared" si="70"/>
        <v>2</v>
      </c>
      <c r="AX186" s="4">
        <f t="shared" si="71"/>
        <v>44</v>
      </c>
      <c r="AY186" s="4">
        <f t="shared" si="72"/>
        <v>40</v>
      </c>
      <c r="AZ186" s="4">
        <f t="shared" si="73"/>
        <v>28</v>
      </c>
      <c r="BA186" s="4">
        <f t="shared" si="74"/>
        <v>12</v>
      </c>
    </row>
    <row r="187" spans="1:53" x14ac:dyDescent="0.2">
      <c r="A187" s="1" t="str">
        <f>'SegEnds_NonXtal_Prot#'!A164</f>
        <v>lgr4_human</v>
      </c>
      <c r="B187" s="1" t="str">
        <f t="shared" si="50"/>
        <v>LGSWMIRLTVWFIFLVALFFNLLVILTTFASPSSKLFIGLISVSNLFMGIYTGILTFLDAVSWWETGSGCKVAGFLAVFSSESAIFLLMLATVERSLSAKDHLKQFRVAALLAFLGATVAGCFPLFHRTPSLGFTVTLVLLNSLAFLLMAVIYTKLYCNLEKNSQSSMIKHVAWLIFTNCIFFCPVAFFSFAPLITPEIMKSVTLIFFPLPACLNPVLYVFFNPKFKEDWKLLKRRV</v>
      </c>
      <c r="C187" s="29" t="str">
        <f>IF(ISERROR(MATCH(A187,'SegEnds_Xtal_Prot#'!B:B, 0)), "NoXtal", "Xtal")</f>
        <v>NoXtal</v>
      </c>
      <c r="D187" s="4" t="str">
        <f>VLOOKUP(A187,Classification!A:D,2,FALSE)</f>
        <v>A</v>
      </c>
      <c r="E187" s="5" t="str">
        <f>VLOOKUP(A187,Seqs!A:B,2,FALSE)</f>
        <v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v>
      </c>
      <c r="F187" s="5" t="str">
        <f t="shared" si="51"/>
        <v>LGSWMIRLTVWFIFLVALFFNLLVILTTFAS</v>
      </c>
      <c r="G187" s="4" t="str">
        <f t="shared" si="52"/>
        <v/>
      </c>
      <c r="H187" s="4" t="str">
        <f t="shared" si="53"/>
        <v>PSSKLFIGLISVSNLFMGIYTGILTFLDAVS</v>
      </c>
      <c r="I187" s="4" t="str">
        <f t="shared" si="54"/>
        <v/>
      </c>
      <c r="J187" s="4" t="str">
        <f t="shared" si="55"/>
        <v>WWETGSGCKVAGFLAVFSSESAIFLLMLATVERSLSAKD</v>
      </c>
      <c r="K187" s="4" t="str">
        <f t="shared" si="56"/>
        <v>IMKNGKSN</v>
      </c>
      <c r="L187" s="4" t="str">
        <f t="shared" si="57"/>
        <v>HLKQFRVAALLAFLGATVAGCFPLFHR</v>
      </c>
      <c r="M187" s="4" t="str">
        <f t="shared" si="58"/>
        <v>CLP</v>
      </c>
      <c r="N187" s="4" t="str">
        <f t="shared" si="59"/>
        <v>TPSLGFTVTLVLLNSLAFLLMAVIYTKLYCNLEK</v>
      </c>
      <c r="O187" s="4" t="str">
        <f t="shared" si="60"/>
        <v>NSQSSMIKHVAWLIFTNCIFFCPVAFFSFAPLIT</v>
      </c>
      <c r="P187" s="4" t="str">
        <f t="shared" si="61"/>
        <v>PEIMKSVTLIFFPLPACLNPVLYVFF</v>
      </c>
      <c r="Q187" s="4" t="str">
        <f t="shared" si="62"/>
        <v>NPKFKEDWKLLKRRV</v>
      </c>
      <c r="R187" s="5">
        <f>VLOOKUP($A187,'SegEnds_NonXtal_Prot#'!$A:$AL,3,FALSE)</f>
        <v>536</v>
      </c>
      <c r="S187" s="5" t="str">
        <f>VLOOKUP($A187,'SegEnds_NonXtal_Prot#'!$A:$AL,6,FALSE)</f>
        <v>-</v>
      </c>
      <c r="T187" s="5">
        <f>VLOOKUP($A187,'SegEnds_NonXtal_Prot#'!$A:$AL,9,FALSE)</f>
        <v>571</v>
      </c>
      <c r="U187" s="5" t="str">
        <f>VLOOKUP($A187,'SegEnds_NonXtal_Prot#'!$A:$AL,12,FALSE)</f>
        <v>-</v>
      </c>
      <c r="V187" s="5">
        <f>VLOOKUP($A187,'SegEnds_NonXtal_Prot#'!$A:$AL,15,FALSE)</f>
        <v>611</v>
      </c>
      <c r="W187" s="5">
        <f>VLOOKUP($A187,'SegEnds_NonXtal_Prot#'!$A:$AL,18,FALSE)</f>
        <v>650</v>
      </c>
      <c r="X187" s="5">
        <f>VLOOKUP($A187,'SegEnds_NonXtal_Prot#'!$A:$AL,21,FALSE)</f>
        <v>658</v>
      </c>
      <c r="Y187" s="5">
        <f>VLOOKUP($A187,'SegEnds_NonXtal_Prot#'!$A:$AL,24,FALSE)</f>
        <v>693</v>
      </c>
      <c r="Z187" s="5">
        <f>VLOOKUP($A187,'SegEnds_NonXtal_Prot#'!$A:$AL,27,FALSE)</f>
        <v>701</v>
      </c>
      <c r="AA187" s="5">
        <f>VLOOKUP($A187,'SegEnds_NonXtal_Prot#'!$A:$AL,30,FALSE)</f>
        <v>740</v>
      </c>
      <c r="AB187" s="5">
        <f>VLOOKUP($A187,'SegEnds_NonXtal_Prot#'!$A:$AL,33,FALSE)</f>
        <v>779</v>
      </c>
      <c r="AC187" s="5">
        <f>VLOOKUP($A187,'SegEnds_NonXtal_Prot#'!$A:$AL,36,FALSE)</f>
        <v>805</v>
      </c>
      <c r="AD187" s="5">
        <f>VLOOKUP($A187,'SegEnds_NonXtal_Prot#'!$A:$AL,5,FALSE)</f>
        <v>566</v>
      </c>
      <c r="AE187" s="5" t="str">
        <f>VLOOKUP($A187,'SegEnds_NonXtal_Prot#'!$A:$AL,8,FALSE)</f>
        <v>-</v>
      </c>
      <c r="AF187" s="5">
        <f>VLOOKUP($A187,'SegEnds_NonXtal_Prot#'!$A:$AL,11,FALSE)</f>
        <v>601</v>
      </c>
      <c r="AG187" s="5" t="str">
        <f>VLOOKUP($A187,'SegEnds_NonXtal_Prot#'!$A:$AL,14,FALSE)</f>
        <v>-</v>
      </c>
      <c r="AH187" s="5">
        <f>VLOOKUP($A187,'SegEnds_NonXtal_Prot#'!$A:$AL,17,FALSE)</f>
        <v>649</v>
      </c>
      <c r="AI187" s="5">
        <f>VLOOKUP($A187,'SegEnds_NonXtal_Prot#'!$A:$AL,20,FALSE)</f>
        <v>657</v>
      </c>
      <c r="AJ187" s="5">
        <f>VLOOKUP($A187,'SegEnds_NonXtal_Prot#'!$A:$AL,23,FALSE)</f>
        <v>684</v>
      </c>
      <c r="AK187" s="5">
        <f>VLOOKUP($A187,'SegEnds_NonXtal_Prot#'!$A:$AL,26,FALSE)</f>
        <v>695</v>
      </c>
      <c r="AL187" s="5">
        <f>VLOOKUP($A187,'SegEnds_NonXtal_Prot#'!$A:$AL,29,FALSE)</f>
        <v>734</v>
      </c>
      <c r="AM187" s="5">
        <f>VLOOKUP($A187,'SegEnds_NonXtal_Prot#'!$A:$AL,32,FALSE)</f>
        <v>773</v>
      </c>
      <c r="AN187" s="5">
        <f>VLOOKUP($A187,'SegEnds_NonXtal_Prot#'!$A:$AL,35,FALSE)</f>
        <v>804</v>
      </c>
      <c r="AO187" s="5">
        <f>VLOOKUP($A187,'SegEnds_NonXtal_Prot#'!$A:$AL,38,FALSE)</f>
        <v>819</v>
      </c>
      <c r="AP187" s="5">
        <f t="shared" si="63"/>
        <v>30</v>
      </c>
      <c r="AQ187" s="4" t="str">
        <f t="shared" si="64"/>
        <v>-</v>
      </c>
      <c r="AR187" s="4">
        <f t="shared" si="65"/>
        <v>30</v>
      </c>
      <c r="AS187" s="4" t="str">
        <f t="shared" si="66"/>
        <v>-</v>
      </c>
      <c r="AT187" s="4">
        <f t="shared" si="67"/>
        <v>38</v>
      </c>
      <c r="AU187" s="4">
        <f t="shared" si="68"/>
        <v>7</v>
      </c>
      <c r="AV187" s="4">
        <f t="shared" si="69"/>
        <v>26</v>
      </c>
      <c r="AW187" s="4">
        <f t="shared" si="70"/>
        <v>2</v>
      </c>
      <c r="AX187" s="4">
        <f t="shared" si="71"/>
        <v>33</v>
      </c>
      <c r="AY187" s="4">
        <f t="shared" si="72"/>
        <v>33</v>
      </c>
      <c r="AZ187" s="4">
        <f t="shared" si="73"/>
        <v>25</v>
      </c>
      <c r="BA187" s="4">
        <f t="shared" si="74"/>
        <v>14</v>
      </c>
    </row>
    <row r="188" spans="1:53" x14ac:dyDescent="0.2">
      <c r="A188" s="1" t="str">
        <f>'SegEnds_NonXtal_Prot#'!A165</f>
        <v>lgr5_human</v>
      </c>
      <c r="B188" s="1" t="str">
        <f t="shared" si="50"/>
        <v>EHLLDGWLIRIGVWTIAVLALTCNALVTSTVFRSSPIKLLIGVIAAVNMLTGVSSAVLAGVDAFTWWENGVGCHVIGFLSIFASESSVFLLTLAALERGFSVKYPFSSLKVIILLCALLALTMAAVPLLGPSTMGYMVALILLNSLCFLMMTIAYTKLYCNLDKIWDCSMVKHIALLLFTNCILNCPVAFLSFSSLINPEVIKFILLVVVPLPACLNPLLYILFNPHFKEDLVSLRKQTYVWTRSKH</v>
      </c>
      <c r="C188" s="29" t="str">
        <f>IF(ISERROR(MATCH(A188,'SegEnds_Xtal_Prot#'!B:B, 0)), "NoXtal", "Xtal")</f>
        <v>NoXtal</v>
      </c>
      <c r="D188" s="4" t="str">
        <f>VLOOKUP(A188,Classification!A:D,2,FALSE)</f>
        <v>A</v>
      </c>
      <c r="E188" s="5" t="str">
        <f>VLOOKUP(A188,Seqs!A:B,2,FALSE)</f>
        <v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v>
      </c>
      <c r="F188" s="5" t="str">
        <f t="shared" si="51"/>
        <v>EHLLDGWLIRIGVWTIAVLALTCNALVTSTVFRS</v>
      </c>
      <c r="G188" s="4" t="str">
        <f t="shared" si="52"/>
        <v/>
      </c>
      <c r="H188" s="4" t="str">
        <f t="shared" si="53"/>
        <v>SPIKLLIGVIAAVNMLTGVSSAVLAGVDAFT</v>
      </c>
      <c r="I188" s="4" t="str">
        <f t="shared" si="54"/>
        <v/>
      </c>
      <c r="J188" s="4" t="str">
        <f t="shared" si="55"/>
        <v>WWENGVGCHVIGFLSIFASESSVFLLTLAALERGFSVKY</v>
      </c>
      <c r="K188" s="4" t="str">
        <f t="shared" si="56"/>
        <v>SAKFETKA</v>
      </c>
      <c r="L188" s="4" t="str">
        <f t="shared" si="57"/>
        <v>PFSSLKVIILLCALLALTMAAVPLLG</v>
      </c>
      <c r="M188" s="4" t="str">
        <f t="shared" si="58"/>
        <v>CLP</v>
      </c>
      <c r="N188" s="4" t="str">
        <f t="shared" si="59"/>
        <v>PSTMGYMVALILLNSLCFLMMTIAYTKLYCNLDK</v>
      </c>
      <c r="O188" s="4" t="str">
        <f t="shared" si="60"/>
        <v>IWDCSMVKHIALLLFTNCILNCPVAFLSFSSLIN</v>
      </c>
      <c r="P188" s="4" t="str">
        <f t="shared" si="61"/>
        <v>PEVIKFILLVVVPLPACLNPLLYILF</v>
      </c>
      <c r="Q188" s="4" t="str">
        <f t="shared" si="62"/>
        <v>NPHFKEDLVSLRKQTYVWTRSKH</v>
      </c>
      <c r="R188" s="5">
        <f>VLOOKUP($A188,'SegEnds_NonXtal_Prot#'!$A:$AL,3,FALSE)</f>
        <v>552</v>
      </c>
      <c r="S188" s="5" t="str">
        <f>VLOOKUP($A188,'SegEnds_NonXtal_Prot#'!$A:$AL,6,FALSE)</f>
        <v>-</v>
      </c>
      <c r="T188" s="5">
        <f>VLOOKUP($A188,'SegEnds_NonXtal_Prot#'!$A:$AL,9,FALSE)</f>
        <v>590</v>
      </c>
      <c r="U188" s="5" t="str">
        <f>VLOOKUP($A188,'SegEnds_NonXtal_Prot#'!$A:$AL,12,FALSE)</f>
        <v>-</v>
      </c>
      <c r="V188" s="5">
        <f>VLOOKUP($A188,'SegEnds_NonXtal_Prot#'!$A:$AL,15,FALSE)</f>
        <v>630</v>
      </c>
      <c r="W188" s="5">
        <f>VLOOKUP($A188,'SegEnds_NonXtal_Prot#'!$A:$AL,18,FALSE)</f>
        <v>669</v>
      </c>
      <c r="X188" s="5">
        <f>VLOOKUP($A188,'SegEnds_NonXtal_Prot#'!$A:$AL,21,FALSE)</f>
        <v>677</v>
      </c>
      <c r="Y188" s="5">
        <f>VLOOKUP($A188,'SegEnds_NonXtal_Prot#'!$A:$AL,24,FALSE)</f>
        <v>712</v>
      </c>
      <c r="Z188" s="5">
        <f>VLOOKUP($A188,'SegEnds_NonXtal_Prot#'!$A:$AL,27,FALSE)</f>
        <v>720</v>
      </c>
      <c r="AA188" s="5">
        <f>VLOOKUP($A188,'SegEnds_NonXtal_Prot#'!$A:$AL,30,FALSE)</f>
        <v>759</v>
      </c>
      <c r="AB188" s="5">
        <f>VLOOKUP($A188,'SegEnds_NonXtal_Prot#'!$A:$AL,33,FALSE)</f>
        <v>798</v>
      </c>
      <c r="AC188" s="5">
        <f>VLOOKUP($A188,'SegEnds_NonXtal_Prot#'!$A:$AL,36,FALSE)</f>
        <v>824</v>
      </c>
      <c r="AD188" s="5">
        <f>VLOOKUP($A188,'SegEnds_NonXtal_Prot#'!$A:$AL,5,FALSE)</f>
        <v>585</v>
      </c>
      <c r="AE188" s="5" t="str">
        <f>VLOOKUP($A188,'SegEnds_NonXtal_Prot#'!$A:$AL,8,FALSE)</f>
        <v>-</v>
      </c>
      <c r="AF188" s="5">
        <f>VLOOKUP($A188,'SegEnds_NonXtal_Prot#'!$A:$AL,11,FALSE)</f>
        <v>620</v>
      </c>
      <c r="AG188" s="5" t="str">
        <f>VLOOKUP($A188,'SegEnds_NonXtal_Prot#'!$A:$AL,14,FALSE)</f>
        <v>-</v>
      </c>
      <c r="AH188" s="5">
        <f>VLOOKUP($A188,'SegEnds_NonXtal_Prot#'!$A:$AL,17,FALSE)</f>
        <v>668</v>
      </c>
      <c r="AI188" s="5">
        <f>VLOOKUP($A188,'SegEnds_NonXtal_Prot#'!$A:$AL,20,FALSE)</f>
        <v>676</v>
      </c>
      <c r="AJ188" s="5">
        <f>VLOOKUP($A188,'SegEnds_NonXtal_Prot#'!$A:$AL,23,FALSE)</f>
        <v>702</v>
      </c>
      <c r="AK188" s="5">
        <f>VLOOKUP($A188,'SegEnds_NonXtal_Prot#'!$A:$AL,26,FALSE)</f>
        <v>714</v>
      </c>
      <c r="AL188" s="5">
        <f>VLOOKUP($A188,'SegEnds_NonXtal_Prot#'!$A:$AL,29,FALSE)</f>
        <v>753</v>
      </c>
      <c r="AM188" s="5">
        <f>VLOOKUP($A188,'SegEnds_NonXtal_Prot#'!$A:$AL,32,FALSE)</f>
        <v>792</v>
      </c>
      <c r="AN188" s="5">
        <f>VLOOKUP($A188,'SegEnds_NonXtal_Prot#'!$A:$AL,35,FALSE)</f>
        <v>823</v>
      </c>
      <c r="AO188" s="5">
        <f>VLOOKUP($A188,'SegEnds_NonXtal_Prot#'!$A:$AL,38,FALSE)</f>
        <v>846</v>
      </c>
      <c r="AP188" s="5">
        <f t="shared" si="63"/>
        <v>33</v>
      </c>
      <c r="AQ188" s="4" t="str">
        <f t="shared" si="64"/>
        <v>-</v>
      </c>
      <c r="AR188" s="4">
        <f t="shared" si="65"/>
        <v>30</v>
      </c>
      <c r="AS188" s="4" t="str">
        <f t="shared" si="66"/>
        <v>-</v>
      </c>
      <c r="AT188" s="4">
        <f t="shared" si="67"/>
        <v>38</v>
      </c>
      <c r="AU188" s="4">
        <f t="shared" si="68"/>
        <v>7</v>
      </c>
      <c r="AV188" s="4">
        <f t="shared" si="69"/>
        <v>25</v>
      </c>
      <c r="AW188" s="4">
        <f t="shared" si="70"/>
        <v>2</v>
      </c>
      <c r="AX188" s="4">
        <f t="shared" si="71"/>
        <v>33</v>
      </c>
      <c r="AY188" s="4">
        <f t="shared" si="72"/>
        <v>33</v>
      </c>
      <c r="AZ188" s="4">
        <f t="shared" si="73"/>
        <v>25</v>
      </c>
      <c r="BA188" s="4">
        <f t="shared" si="74"/>
        <v>22</v>
      </c>
    </row>
    <row r="189" spans="1:53" x14ac:dyDescent="0.2">
      <c r="A189" s="1" t="str">
        <f>'SegEnds_NonXtal_Prot#'!A166</f>
        <v>lgr6_human</v>
      </c>
      <c r="B189" s="1" t="str">
        <f t="shared" si="50"/>
        <v>PCEYLFESWGIRLAVWAIVLLSVLCNGLVLLTVFAGPPVKFVVGAIAGANTLTGISCGLLASVDALTRWETGLGCRATGFLAVLGSEASVLLLTLAAVQCSVSVSCSLGSVRAGVLGCLALAGLAAALPLASVAALGFTVALVMMNSFCFLVVAGAYIKLYCDLPRVWDCAMVRHVAWLIFADGLLYCPVAFLSFASMLGPEAVKSVLLVVLPLPACLNPLLYLLFNPHFRDDLRRLRP</v>
      </c>
      <c r="C189" s="29" t="str">
        <f>IF(ISERROR(MATCH(A189,'SegEnds_Xtal_Prot#'!B:B, 0)), "NoXtal", "Xtal")</f>
        <v>NoXtal</v>
      </c>
      <c r="D189" s="4" t="str">
        <f>VLOOKUP(A189,Classification!A:D,2,FALSE)</f>
        <v>A</v>
      </c>
      <c r="E189" s="5" t="str">
        <f>VLOOKUP(A189,Seqs!A:B,2,FALSE)</f>
        <v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v>
      </c>
      <c r="F189" s="5" t="str">
        <f t="shared" si="51"/>
        <v>PCEYLFESWGIRLAVWAIVLLSVLCNGLVLLTVFAG</v>
      </c>
      <c r="G189" s="4" t="str">
        <f t="shared" si="52"/>
        <v/>
      </c>
      <c r="H189" s="4" t="str">
        <f t="shared" si="53"/>
        <v>PPVKFVVGAIAGANTLTGISCGLLASVDALT</v>
      </c>
      <c r="I189" s="4" t="str">
        <f t="shared" si="54"/>
        <v/>
      </c>
      <c r="J189" s="4" t="str">
        <f t="shared" si="55"/>
        <v>RWETGLGCRATGFLAVLGSEASVLLLTLAAVQCSVSVSC</v>
      </c>
      <c r="K189" s="4" t="str">
        <f t="shared" si="56"/>
        <v>VRAYGKSP</v>
      </c>
      <c r="L189" s="4" t="str">
        <f t="shared" si="57"/>
        <v>SLGSVRAGVLGCLALAGLAAALPLASV</v>
      </c>
      <c r="M189" s="4" t="str">
        <f t="shared" si="58"/>
        <v>CLP</v>
      </c>
      <c r="N189" s="4" t="str">
        <f t="shared" si="59"/>
        <v>AALGFTVALVMMNSFCFLVVAGAYIKLYCDLPR</v>
      </c>
      <c r="O189" s="4" t="str">
        <f t="shared" si="60"/>
        <v>VWDCAMVRHVAWLIFADGLLYCPVAFLSFASMLG</v>
      </c>
      <c r="P189" s="4" t="str">
        <f t="shared" si="61"/>
        <v>PEAVKSVLLVVLPLPACLNPLLYLLF</v>
      </c>
      <c r="Q189" s="4" t="str">
        <f t="shared" si="62"/>
        <v>NPHFRDDLRRLRP</v>
      </c>
      <c r="R189" s="5">
        <f>VLOOKUP($A189,'SegEnds_NonXtal_Prot#'!$A:$AL,3,FALSE)</f>
        <v>554</v>
      </c>
      <c r="S189" s="5" t="str">
        <f>VLOOKUP($A189,'SegEnds_NonXtal_Prot#'!$A:$AL,6,FALSE)</f>
        <v>-</v>
      </c>
      <c r="T189" s="5">
        <f>VLOOKUP($A189,'SegEnds_NonXtal_Prot#'!$A:$AL,9,FALSE)</f>
        <v>595</v>
      </c>
      <c r="U189" s="5" t="str">
        <f>VLOOKUP($A189,'SegEnds_NonXtal_Prot#'!$A:$AL,12,FALSE)</f>
        <v>-</v>
      </c>
      <c r="V189" s="5">
        <f>VLOOKUP($A189,'SegEnds_NonXtal_Prot#'!$A:$AL,15,FALSE)</f>
        <v>635</v>
      </c>
      <c r="W189" s="5">
        <f>VLOOKUP($A189,'SegEnds_NonXtal_Prot#'!$A:$AL,18,FALSE)</f>
        <v>674</v>
      </c>
      <c r="X189" s="5">
        <f>VLOOKUP($A189,'SegEnds_NonXtal_Prot#'!$A:$AL,21,FALSE)</f>
        <v>682</v>
      </c>
      <c r="Y189" s="5">
        <f>VLOOKUP($A189,'SegEnds_NonXtal_Prot#'!$A:$AL,24,FALSE)</f>
        <v>717</v>
      </c>
      <c r="Z189" s="5">
        <f>VLOOKUP($A189,'SegEnds_NonXtal_Prot#'!$A:$AL,27,FALSE)</f>
        <v>728</v>
      </c>
      <c r="AA189" s="5">
        <f>VLOOKUP($A189,'SegEnds_NonXtal_Prot#'!$A:$AL,30,FALSE)</f>
        <v>766</v>
      </c>
      <c r="AB189" s="5">
        <f>VLOOKUP($A189,'SegEnds_NonXtal_Prot#'!$A:$AL,33,FALSE)</f>
        <v>805</v>
      </c>
      <c r="AC189" s="5">
        <f>VLOOKUP($A189,'SegEnds_NonXtal_Prot#'!$A:$AL,36,FALSE)</f>
        <v>831</v>
      </c>
      <c r="AD189" s="5">
        <f>VLOOKUP($A189,'SegEnds_NonXtal_Prot#'!$A:$AL,5,FALSE)</f>
        <v>589</v>
      </c>
      <c r="AE189" s="5" t="str">
        <f>VLOOKUP($A189,'SegEnds_NonXtal_Prot#'!$A:$AL,8,FALSE)</f>
        <v>-</v>
      </c>
      <c r="AF189" s="5">
        <f>VLOOKUP($A189,'SegEnds_NonXtal_Prot#'!$A:$AL,11,FALSE)</f>
        <v>625</v>
      </c>
      <c r="AG189" s="5" t="str">
        <f>VLOOKUP($A189,'SegEnds_NonXtal_Prot#'!$A:$AL,14,FALSE)</f>
        <v>-</v>
      </c>
      <c r="AH189" s="5">
        <f>VLOOKUP($A189,'SegEnds_NonXtal_Prot#'!$A:$AL,17,FALSE)</f>
        <v>673</v>
      </c>
      <c r="AI189" s="5">
        <f>VLOOKUP($A189,'SegEnds_NonXtal_Prot#'!$A:$AL,20,FALSE)</f>
        <v>681</v>
      </c>
      <c r="AJ189" s="5">
        <f>VLOOKUP($A189,'SegEnds_NonXtal_Prot#'!$A:$AL,23,FALSE)</f>
        <v>708</v>
      </c>
      <c r="AK189" s="5">
        <f>VLOOKUP($A189,'SegEnds_NonXtal_Prot#'!$A:$AL,26,FALSE)</f>
        <v>719</v>
      </c>
      <c r="AL189" s="5">
        <f>VLOOKUP($A189,'SegEnds_NonXtal_Prot#'!$A:$AL,29,FALSE)</f>
        <v>760</v>
      </c>
      <c r="AM189" s="5">
        <f>VLOOKUP($A189,'SegEnds_NonXtal_Prot#'!$A:$AL,32,FALSE)</f>
        <v>799</v>
      </c>
      <c r="AN189" s="5">
        <f>VLOOKUP($A189,'SegEnds_NonXtal_Prot#'!$A:$AL,35,FALSE)</f>
        <v>830</v>
      </c>
      <c r="AO189" s="5">
        <f>VLOOKUP($A189,'SegEnds_NonXtal_Prot#'!$A:$AL,38,FALSE)</f>
        <v>843</v>
      </c>
      <c r="AP189" s="5">
        <f t="shared" si="63"/>
        <v>35</v>
      </c>
      <c r="AQ189" s="4" t="str">
        <f t="shared" si="64"/>
        <v>-</v>
      </c>
      <c r="AR189" s="4">
        <f t="shared" si="65"/>
        <v>30</v>
      </c>
      <c r="AS189" s="4" t="str">
        <f t="shared" si="66"/>
        <v>-</v>
      </c>
      <c r="AT189" s="4">
        <f t="shared" si="67"/>
        <v>38</v>
      </c>
      <c r="AU189" s="4">
        <f t="shared" si="68"/>
        <v>7</v>
      </c>
      <c r="AV189" s="4">
        <f t="shared" si="69"/>
        <v>26</v>
      </c>
      <c r="AW189" s="4">
        <f t="shared" si="70"/>
        <v>2</v>
      </c>
      <c r="AX189" s="4">
        <f t="shared" si="71"/>
        <v>32</v>
      </c>
      <c r="AY189" s="4">
        <f t="shared" si="72"/>
        <v>33</v>
      </c>
      <c r="AZ189" s="4">
        <f t="shared" si="73"/>
        <v>25</v>
      </c>
      <c r="BA189" s="4">
        <f t="shared" si="74"/>
        <v>12</v>
      </c>
    </row>
    <row r="190" spans="1:53" x14ac:dyDescent="0.2">
      <c r="A190" s="1" t="str">
        <f>'SegEnds_NonXtal_Prot#'!A167</f>
        <v>lpar4_human</v>
      </c>
      <c r="B190" s="1" t="str">
        <f t="shared" si="50"/>
        <v>FKYNLNGAVYSVVFILGLITNSVSLFVFCFRSETAIFITNLAVSDLLFVCTLPFKIFYNFNGDTLCKISGTAFLTNIYGSMLFLTCISVDRFLAIVYTRRNSAIVCAGVWILVLSGGISASLFSVWKTYLSKITIFIEVVGFIIPLILNVSCSSVVLRTLRKPSQIGTNKKKVLKMITVHMAVFVVCFVPYNSVLFLYALVRSQNCFLERFAKIMYPITLCLATLNCCFDPFIYYFTLESFQKSFYINAH</v>
      </c>
      <c r="C190" s="29" t="str">
        <f>IF(ISERROR(MATCH(A190,'SegEnds_Xtal_Prot#'!B:B, 0)), "NoXtal", "Xtal")</f>
        <v>NoXtal</v>
      </c>
      <c r="D190" s="4" t="str">
        <f>VLOOKUP(A190,Classification!A:D,2,FALSE)</f>
        <v>A</v>
      </c>
      <c r="E190" s="5" t="str">
        <f>VLOOKUP(A190,Seqs!A:B,2,FALSE)</f>
        <v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v>
      </c>
      <c r="F190" s="5" t="str">
        <f t="shared" si="51"/>
        <v>FKYNLNGAVYSVVFILGLITNSVSLFVFCFR</v>
      </c>
      <c r="G190" s="4" t="str">
        <f t="shared" si="52"/>
        <v>MKMR</v>
      </c>
      <c r="H190" s="4" t="str">
        <f t="shared" si="53"/>
        <v>SETAIFITNLAVSDLLFVCTLPFKIFYNFN</v>
      </c>
      <c r="I190" s="4" t="str">
        <f t="shared" si="54"/>
        <v>HWPF</v>
      </c>
      <c r="J190" s="4" t="str">
        <f t="shared" si="55"/>
        <v>GDTLCKISGTAFLTNIYGSMLFLTCISVDRFLAIVY</v>
      </c>
      <c r="K190" s="4" t="str">
        <f t="shared" si="56"/>
        <v>PFRSRTIR</v>
      </c>
      <c r="L190" s="4" t="str">
        <f t="shared" si="57"/>
        <v>TRRNSAIVCAGVWILVLSGGISASLFS</v>
      </c>
      <c r="M190" s="4" t="str">
        <f t="shared" si="58"/>
        <v>CFE</v>
      </c>
      <c r="N190" s="4" t="str">
        <f t="shared" si="59"/>
        <v>VWKTYLSKITIFIEVVGFIIPLILNVSCSSVVLRTLRKP</v>
      </c>
      <c r="O190" s="4" t="str">
        <f t="shared" si="60"/>
        <v>SQIGTNKKKVLKMITVHMAVFVVCFVPYNSVLFLYALVRSQ</v>
      </c>
      <c r="P190" s="4" t="str">
        <f t="shared" si="61"/>
        <v>NCFLERFAKIMYPITLCLATLNCCFDPFIYYFT</v>
      </c>
      <c r="Q190" s="4" t="str">
        <f t="shared" si="62"/>
        <v>LESFQKSFYINAH</v>
      </c>
      <c r="R190" s="5">
        <f>VLOOKUP($A190,'SegEnds_NonXtal_Prot#'!$A:$AL,3,FALSE)</f>
        <v>37</v>
      </c>
      <c r="S190" s="5">
        <f>VLOOKUP($A190,'SegEnds_NonXtal_Prot#'!$A:$AL,6,FALSE)</f>
        <v>68</v>
      </c>
      <c r="T190" s="5">
        <f>VLOOKUP($A190,'SegEnds_NonXtal_Prot#'!$A:$AL,9,FALSE)</f>
        <v>72</v>
      </c>
      <c r="U190" s="5">
        <f>VLOOKUP($A190,'SegEnds_NonXtal_Prot#'!$A:$AL,12,FALSE)</f>
        <v>103</v>
      </c>
      <c r="V190" s="5">
        <f>VLOOKUP($A190,'SegEnds_NonXtal_Prot#'!$A:$AL,15,FALSE)</f>
        <v>107</v>
      </c>
      <c r="W190" s="5">
        <f>VLOOKUP($A190,'SegEnds_NonXtal_Prot#'!$A:$AL,18,FALSE)</f>
        <v>143</v>
      </c>
      <c r="X190" s="5">
        <f>VLOOKUP($A190,'SegEnds_NonXtal_Prot#'!$A:$AL,21,FALSE)</f>
        <v>151</v>
      </c>
      <c r="Y190" s="5">
        <f>VLOOKUP($A190,'SegEnds_NonXtal_Prot#'!$A:$AL,24,FALSE)</f>
        <v>188</v>
      </c>
      <c r="Z190" s="5">
        <f>VLOOKUP($A190,'SegEnds_NonXtal_Prot#'!$A:$AL,27,FALSE)</f>
        <v>196</v>
      </c>
      <c r="AA190" s="5">
        <f>VLOOKUP($A190,'SegEnds_NonXtal_Prot#'!$A:$AL,30,FALSE)</f>
        <v>238</v>
      </c>
      <c r="AB190" s="5">
        <f>VLOOKUP($A190,'SegEnds_NonXtal_Prot#'!$A:$AL,33,FALSE)</f>
        <v>282</v>
      </c>
      <c r="AC190" s="5">
        <f>VLOOKUP($A190,'SegEnds_NonXtal_Prot#'!$A:$AL,36,FALSE)</f>
        <v>315</v>
      </c>
      <c r="AD190" s="5">
        <f>VLOOKUP($A190,'SegEnds_NonXtal_Prot#'!$A:$AL,5,FALSE)</f>
        <v>67</v>
      </c>
      <c r="AE190" s="5">
        <f>VLOOKUP($A190,'SegEnds_NonXtal_Prot#'!$A:$AL,8,FALSE)</f>
        <v>71</v>
      </c>
      <c r="AF190" s="5">
        <f>VLOOKUP($A190,'SegEnds_NonXtal_Prot#'!$A:$AL,11,FALSE)</f>
        <v>101</v>
      </c>
      <c r="AG190" s="5">
        <f>VLOOKUP($A190,'SegEnds_NonXtal_Prot#'!$A:$AL,14,FALSE)</f>
        <v>106</v>
      </c>
      <c r="AH190" s="5">
        <f>VLOOKUP($A190,'SegEnds_NonXtal_Prot#'!$A:$AL,17,FALSE)</f>
        <v>142</v>
      </c>
      <c r="AI190" s="5">
        <f>VLOOKUP($A190,'SegEnds_NonXtal_Prot#'!$A:$AL,20,FALSE)</f>
        <v>150</v>
      </c>
      <c r="AJ190" s="5">
        <f>VLOOKUP($A190,'SegEnds_NonXtal_Prot#'!$A:$AL,23,FALSE)</f>
        <v>177</v>
      </c>
      <c r="AK190" s="5">
        <f>VLOOKUP($A190,'SegEnds_NonXtal_Prot#'!$A:$AL,26,FALSE)</f>
        <v>190</v>
      </c>
      <c r="AL190" s="5">
        <f>VLOOKUP($A190,'SegEnds_NonXtal_Prot#'!$A:$AL,29,FALSE)</f>
        <v>234</v>
      </c>
      <c r="AM190" s="5">
        <f>VLOOKUP($A190,'SegEnds_NonXtal_Prot#'!$A:$AL,32,FALSE)</f>
        <v>278</v>
      </c>
      <c r="AN190" s="5">
        <f>VLOOKUP($A190,'SegEnds_NonXtal_Prot#'!$A:$AL,35,FALSE)</f>
        <v>314</v>
      </c>
      <c r="AO190" s="5">
        <f>VLOOKUP($A190,'SegEnds_NonXtal_Prot#'!$A:$AL,38,FALSE)</f>
        <v>327</v>
      </c>
      <c r="AP190" s="5">
        <f t="shared" si="63"/>
        <v>30</v>
      </c>
      <c r="AQ190" s="4">
        <f t="shared" si="64"/>
        <v>3</v>
      </c>
      <c r="AR190" s="4">
        <f t="shared" si="65"/>
        <v>29</v>
      </c>
      <c r="AS190" s="4">
        <f t="shared" si="66"/>
        <v>3</v>
      </c>
      <c r="AT190" s="4">
        <f t="shared" si="67"/>
        <v>35</v>
      </c>
      <c r="AU190" s="4">
        <f t="shared" si="68"/>
        <v>7</v>
      </c>
      <c r="AV190" s="4">
        <f t="shared" si="69"/>
        <v>26</v>
      </c>
      <c r="AW190" s="4">
        <f t="shared" si="70"/>
        <v>2</v>
      </c>
      <c r="AX190" s="4">
        <f t="shared" si="71"/>
        <v>38</v>
      </c>
      <c r="AY190" s="4">
        <f t="shared" si="72"/>
        <v>40</v>
      </c>
      <c r="AZ190" s="4">
        <f t="shared" si="73"/>
        <v>32</v>
      </c>
      <c r="BA190" s="4">
        <f t="shared" si="74"/>
        <v>12</v>
      </c>
    </row>
    <row r="191" spans="1:53" x14ac:dyDescent="0.2">
      <c r="A191" s="1" t="str">
        <f>'SegEnds_NonXtal_Prot#'!A168</f>
        <v>lpar5_human</v>
      </c>
      <c r="B191" s="1" t="str">
        <f t="shared" si="50"/>
        <v>YRPTHRLHLVVYSLVLAAGLPLNALALWVFLRASVVSVYMCNLAASDLLFTLSLPVRLSYYALPDLLCQTTGAIFQMNMYGSCIFLMLINVDRYAAIVHRPRVARLLCLGVWALILVFAVPAARWKGRLLPLVLLAEALGFLLPLAAVVYSSGRVFWTLARQSQRRRKTVRLLLANLVIFLLCFVPYNSTLAVYGLLRSKSVPARDRVRGVLMVMVLLAGANCVLDPLVYYFSAEGFRNTLRGLGTPH</v>
      </c>
      <c r="C191" s="29" t="str">
        <f>IF(ISERROR(MATCH(A191,'SegEnds_Xtal_Prot#'!B:B, 0)), "NoXtal", "Xtal")</f>
        <v>NoXtal</v>
      </c>
      <c r="D191" s="4" t="str">
        <f>VLOOKUP(A191,Classification!A:D,2,FALSE)</f>
        <v>A</v>
      </c>
      <c r="E191" s="5" t="str">
        <f>VLOOKUP(A191,Seqs!A:B,2,FALSE)</f>
        <v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v>
      </c>
      <c r="F191" s="5" t="str">
        <f t="shared" si="51"/>
        <v>YRPTHRLHLVVYSLVLAAGLPLNALALWVFLRA</v>
      </c>
      <c r="G191" s="4" t="str">
        <f t="shared" si="52"/>
        <v>LRVH</v>
      </c>
      <c r="H191" s="4" t="str">
        <f t="shared" si="53"/>
        <v>SVVSVYMCNLAASDLLFTLSLPVRLSYYAL</v>
      </c>
      <c r="I191" s="4" t="str">
        <f t="shared" si="54"/>
        <v>HWPF</v>
      </c>
      <c r="J191" s="4" t="str">
        <f t="shared" si="55"/>
        <v>PDLLCQTTGAIFQMNMYGSCIFLMLINVDRYAAIVH</v>
      </c>
      <c r="K191" s="4" t="str">
        <f t="shared" si="56"/>
        <v>PLRLRHLR</v>
      </c>
      <c r="L191" s="4" t="str">
        <f t="shared" si="57"/>
        <v>RPRVARLLCLGVWALILVFAVPAAR</v>
      </c>
      <c r="M191" s="4" t="str">
        <f t="shared" si="58"/>
        <v>CFE</v>
      </c>
      <c r="N191" s="4" t="str">
        <f t="shared" si="59"/>
        <v>WKGRLLPLVLLAEALGFLLPLAAVVYSSGRVFWTLAR</v>
      </c>
      <c r="O191" s="4" t="str">
        <f t="shared" si="60"/>
        <v>QSQRRRKTVRLLLANLVIFLLCFVPYNSTLAVYGLLRSK</v>
      </c>
      <c r="P191" s="4" t="str">
        <f t="shared" si="61"/>
        <v>SVPARDRVRGVLMVMVLLAGANCVLDPLVYYFS</v>
      </c>
      <c r="Q191" s="4" t="str">
        <f t="shared" si="62"/>
        <v>AEGFRNTLRGLGTPH</v>
      </c>
      <c r="R191" s="5">
        <f>VLOOKUP($A191,'SegEnds_NonXtal_Prot#'!$A:$AL,3,FALSE)</f>
        <v>18</v>
      </c>
      <c r="S191" s="5">
        <f>VLOOKUP($A191,'SegEnds_NonXtal_Prot#'!$A:$AL,6,FALSE)</f>
        <v>51</v>
      </c>
      <c r="T191" s="5">
        <f>VLOOKUP($A191,'SegEnds_NonXtal_Prot#'!$A:$AL,9,FALSE)</f>
        <v>55</v>
      </c>
      <c r="U191" s="5">
        <f>VLOOKUP($A191,'SegEnds_NonXtal_Prot#'!$A:$AL,12,FALSE)</f>
        <v>86</v>
      </c>
      <c r="V191" s="5">
        <f>VLOOKUP($A191,'SegEnds_NonXtal_Prot#'!$A:$AL,15,FALSE)</f>
        <v>90</v>
      </c>
      <c r="W191" s="5">
        <f>VLOOKUP($A191,'SegEnds_NonXtal_Prot#'!$A:$AL,18,FALSE)</f>
        <v>126</v>
      </c>
      <c r="X191" s="5">
        <f>VLOOKUP($A191,'SegEnds_NonXtal_Prot#'!$A:$AL,21,FALSE)</f>
        <v>134</v>
      </c>
      <c r="Y191" s="5">
        <f>VLOOKUP($A191,'SegEnds_NonXtal_Prot#'!$A:$AL,24,FALSE)</f>
        <v>175</v>
      </c>
      <c r="Z191" s="5">
        <f>VLOOKUP($A191,'SegEnds_NonXtal_Prot#'!$A:$AL,27,FALSE)</f>
        <v>184</v>
      </c>
      <c r="AA191" s="5">
        <f>VLOOKUP($A191,'SegEnds_NonXtal_Prot#'!$A:$AL,30,FALSE)</f>
        <v>225</v>
      </c>
      <c r="AB191" s="5">
        <f>VLOOKUP($A191,'SegEnds_NonXtal_Prot#'!$A:$AL,33,FALSE)</f>
        <v>268</v>
      </c>
      <c r="AC191" s="5">
        <f>VLOOKUP($A191,'SegEnds_NonXtal_Prot#'!$A:$AL,36,FALSE)</f>
        <v>301</v>
      </c>
      <c r="AD191" s="5">
        <f>VLOOKUP($A191,'SegEnds_NonXtal_Prot#'!$A:$AL,5,FALSE)</f>
        <v>50</v>
      </c>
      <c r="AE191" s="5">
        <f>VLOOKUP($A191,'SegEnds_NonXtal_Prot#'!$A:$AL,8,FALSE)</f>
        <v>54</v>
      </c>
      <c r="AF191" s="5">
        <f>VLOOKUP($A191,'SegEnds_NonXtal_Prot#'!$A:$AL,11,FALSE)</f>
        <v>84</v>
      </c>
      <c r="AG191" s="5">
        <f>VLOOKUP($A191,'SegEnds_NonXtal_Prot#'!$A:$AL,14,FALSE)</f>
        <v>89</v>
      </c>
      <c r="AH191" s="5">
        <f>VLOOKUP($A191,'SegEnds_NonXtal_Prot#'!$A:$AL,17,FALSE)</f>
        <v>125</v>
      </c>
      <c r="AI191" s="5">
        <f>VLOOKUP($A191,'SegEnds_NonXtal_Prot#'!$A:$AL,20,FALSE)</f>
        <v>133</v>
      </c>
      <c r="AJ191" s="5">
        <f>VLOOKUP($A191,'SegEnds_NonXtal_Prot#'!$A:$AL,23,FALSE)</f>
        <v>158</v>
      </c>
      <c r="AK191" s="5">
        <f>VLOOKUP($A191,'SegEnds_NonXtal_Prot#'!$A:$AL,26,FALSE)</f>
        <v>177</v>
      </c>
      <c r="AL191" s="5">
        <f>VLOOKUP($A191,'SegEnds_NonXtal_Prot#'!$A:$AL,29,FALSE)</f>
        <v>220</v>
      </c>
      <c r="AM191" s="5">
        <f>VLOOKUP($A191,'SegEnds_NonXtal_Prot#'!$A:$AL,32,FALSE)</f>
        <v>263</v>
      </c>
      <c r="AN191" s="5">
        <f>VLOOKUP($A191,'SegEnds_NonXtal_Prot#'!$A:$AL,35,FALSE)</f>
        <v>300</v>
      </c>
      <c r="AO191" s="5">
        <f>VLOOKUP($A191,'SegEnds_NonXtal_Prot#'!$A:$AL,38,FALSE)</f>
        <v>315</v>
      </c>
      <c r="AP191" s="5">
        <f t="shared" si="63"/>
        <v>32</v>
      </c>
      <c r="AQ191" s="4">
        <f t="shared" si="64"/>
        <v>3</v>
      </c>
      <c r="AR191" s="4">
        <f t="shared" si="65"/>
        <v>29</v>
      </c>
      <c r="AS191" s="4">
        <f t="shared" si="66"/>
        <v>3</v>
      </c>
      <c r="AT191" s="4">
        <f t="shared" si="67"/>
        <v>35</v>
      </c>
      <c r="AU191" s="4">
        <f t="shared" si="68"/>
        <v>7</v>
      </c>
      <c r="AV191" s="4">
        <f t="shared" si="69"/>
        <v>24</v>
      </c>
      <c r="AW191" s="4">
        <f t="shared" si="70"/>
        <v>2</v>
      </c>
      <c r="AX191" s="4">
        <f t="shared" si="71"/>
        <v>36</v>
      </c>
      <c r="AY191" s="4">
        <f t="shared" si="72"/>
        <v>38</v>
      </c>
      <c r="AZ191" s="4">
        <f t="shared" si="73"/>
        <v>32</v>
      </c>
      <c r="BA191" s="4">
        <f t="shared" si="74"/>
        <v>14</v>
      </c>
    </row>
    <row r="192" spans="1:53" x14ac:dyDescent="0.2">
      <c r="A192" s="1" t="str">
        <f>'SegEnds_NonXtal_Prot#'!A169</f>
        <v>lpar6_human</v>
      </c>
      <c r="B192" s="1" t="str">
        <f t="shared" si="50"/>
        <v>NDSFKYTLYGCMFSMVFVLGLISNCVAIYIFICVNETTTYMINLAMSDLLFVFTLPFRIFYFTTGDLLCKISVMLFYTNMYGSILFLTCISVDRFLAIVYTKRNAKIVCTGVWLTVIGGSAPAVFVTYLSRIVIFIEIVGFFIPLILNVTCSSMVLKTLTKPSRSKINKTKVLKMIFVHLIIFCFCFVPYNINLILYSLVRTQNCSVVAAVRTMYPITLCIAVSNCCFDPIVYYFTSDTIQNSIKMKNWSVRR</v>
      </c>
      <c r="C192" s="29" t="str">
        <f>IF(ISERROR(MATCH(A192,'SegEnds_Xtal_Prot#'!B:B, 0)), "NoXtal", "Xtal")</f>
        <v>NoXtal</v>
      </c>
      <c r="D192" s="4" t="str">
        <f>VLOOKUP(A192,Classification!A:D,2,FALSE)</f>
        <v>A</v>
      </c>
      <c r="E192" s="5" t="str">
        <f>VLOOKUP(A192,Seqs!A:B,2,FALSE)</f>
        <v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v>
      </c>
      <c r="F192" s="5" t="str">
        <f t="shared" si="51"/>
        <v>NDSFKYTLYGCMFSMVFVLGLISNCVAIYIFICV</v>
      </c>
      <c r="G192" s="4" t="str">
        <f t="shared" si="52"/>
        <v>LKVR</v>
      </c>
      <c r="H192" s="4" t="str">
        <f t="shared" si="53"/>
        <v>NETTTYMINLAMSDLLFVFTLPFRIFYFTT</v>
      </c>
      <c r="I192" s="4" t="str">
        <f t="shared" si="54"/>
        <v>NWPF</v>
      </c>
      <c r="J192" s="4" t="str">
        <f t="shared" si="55"/>
        <v>GDLLCKISVMLFYTNMYGSILFLTCISVDRFLAIVY</v>
      </c>
      <c r="K192" s="4" t="str">
        <f t="shared" si="56"/>
        <v>PFKSKTLR</v>
      </c>
      <c r="L192" s="4" t="str">
        <f t="shared" si="57"/>
        <v>TKRNAKIVCTGVWLTVIGGSAPAVFV</v>
      </c>
      <c r="M192" s="4" t="str">
        <f t="shared" si="58"/>
        <v>CFE</v>
      </c>
      <c r="N192" s="4" t="str">
        <f t="shared" si="59"/>
        <v>TYLSRIVIFIEIVGFFIPLILNVTCSSMVLKTLTKP</v>
      </c>
      <c r="O192" s="4" t="str">
        <f t="shared" si="60"/>
        <v>SRSKINKTKVLKMIFVHLIIFCFCFVPYNINLILYSLVRTQ</v>
      </c>
      <c r="P192" s="4" t="str">
        <f t="shared" si="61"/>
        <v>NCSVVAAVRTMYPITLCIAVSNCCFDPIVYYFTSDT</v>
      </c>
      <c r="Q192" s="4" t="str">
        <f t="shared" si="62"/>
        <v>IQNSIKMKNWSVRR</v>
      </c>
      <c r="R192" s="5">
        <f>VLOOKUP($A192,'SegEnds_NonXtal_Prot#'!$A:$AL,3,FALSE)</f>
        <v>12</v>
      </c>
      <c r="S192" s="5">
        <f>VLOOKUP($A192,'SegEnds_NonXtal_Prot#'!$A:$AL,6,FALSE)</f>
        <v>46</v>
      </c>
      <c r="T192" s="5">
        <f>VLOOKUP($A192,'SegEnds_NonXtal_Prot#'!$A:$AL,9,FALSE)</f>
        <v>50</v>
      </c>
      <c r="U192" s="5">
        <f>VLOOKUP($A192,'SegEnds_NonXtal_Prot#'!$A:$AL,12,FALSE)</f>
        <v>81</v>
      </c>
      <c r="V192" s="5">
        <f>VLOOKUP($A192,'SegEnds_NonXtal_Prot#'!$A:$AL,15,FALSE)</f>
        <v>85</v>
      </c>
      <c r="W192" s="5">
        <f>VLOOKUP($A192,'SegEnds_NonXtal_Prot#'!$A:$AL,18,FALSE)</f>
        <v>121</v>
      </c>
      <c r="X192" s="5">
        <f>VLOOKUP($A192,'SegEnds_NonXtal_Prot#'!$A:$AL,21,FALSE)</f>
        <v>129</v>
      </c>
      <c r="Y192" s="5">
        <f>VLOOKUP($A192,'SegEnds_NonXtal_Prot#'!$A:$AL,24,FALSE)</f>
        <v>168</v>
      </c>
      <c r="Z192" s="5">
        <f>VLOOKUP($A192,'SegEnds_NonXtal_Prot#'!$A:$AL,27,FALSE)</f>
        <v>179</v>
      </c>
      <c r="AA192" s="5">
        <f>VLOOKUP($A192,'SegEnds_NonXtal_Prot#'!$A:$AL,30,FALSE)</f>
        <v>218</v>
      </c>
      <c r="AB192" s="5">
        <f>VLOOKUP($A192,'SegEnds_NonXtal_Prot#'!$A:$AL,33,FALSE)</f>
        <v>262</v>
      </c>
      <c r="AC192" s="5">
        <f>VLOOKUP($A192,'SegEnds_NonXtal_Prot#'!$A:$AL,36,FALSE)</f>
        <v>298</v>
      </c>
      <c r="AD192" s="5">
        <f>VLOOKUP($A192,'SegEnds_NonXtal_Prot#'!$A:$AL,5,FALSE)</f>
        <v>45</v>
      </c>
      <c r="AE192" s="5">
        <f>VLOOKUP($A192,'SegEnds_NonXtal_Prot#'!$A:$AL,8,FALSE)</f>
        <v>49</v>
      </c>
      <c r="AF192" s="5">
        <f>VLOOKUP($A192,'SegEnds_NonXtal_Prot#'!$A:$AL,11,FALSE)</f>
        <v>79</v>
      </c>
      <c r="AG192" s="5">
        <f>VLOOKUP($A192,'SegEnds_NonXtal_Prot#'!$A:$AL,14,FALSE)</f>
        <v>84</v>
      </c>
      <c r="AH192" s="5">
        <f>VLOOKUP($A192,'SegEnds_NonXtal_Prot#'!$A:$AL,17,FALSE)</f>
        <v>120</v>
      </c>
      <c r="AI192" s="5">
        <f>VLOOKUP($A192,'SegEnds_NonXtal_Prot#'!$A:$AL,20,FALSE)</f>
        <v>128</v>
      </c>
      <c r="AJ192" s="5">
        <f>VLOOKUP($A192,'SegEnds_NonXtal_Prot#'!$A:$AL,23,FALSE)</f>
        <v>154</v>
      </c>
      <c r="AK192" s="5">
        <f>VLOOKUP($A192,'SegEnds_NonXtal_Prot#'!$A:$AL,26,FALSE)</f>
        <v>170</v>
      </c>
      <c r="AL192" s="5">
        <f>VLOOKUP($A192,'SegEnds_NonXtal_Prot#'!$A:$AL,29,FALSE)</f>
        <v>214</v>
      </c>
      <c r="AM192" s="5">
        <f>VLOOKUP($A192,'SegEnds_NonXtal_Prot#'!$A:$AL,32,FALSE)</f>
        <v>258</v>
      </c>
      <c r="AN192" s="5">
        <f>VLOOKUP($A192,'SegEnds_NonXtal_Prot#'!$A:$AL,35,FALSE)</f>
        <v>297</v>
      </c>
      <c r="AO192" s="5">
        <f>VLOOKUP($A192,'SegEnds_NonXtal_Prot#'!$A:$AL,38,FALSE)</f>
        <v>311</v>
      </c>
      <c r="AP192" s="5">
        <f t="shared" si="63"/>
        <v>33</v>
      </c>
      <c r="AQ192" s="4">
        <f t="shared" si="64"/>
        <v>3</v>
      </c>
      <c r="AR192" s="4">
        <f t="shared" si="65"/>
        <v>29</v>
      </c>
      <c r="AS192" s="4">
        <f t="shared" si="66"/>
        <v>3</v>
      </c>
      <c r="AT192" s="4">
        <f t="shared" si="67"/>
        <v>35</v>
      </c>
      <c r="AU192" s="4">
        <f t="shared" si="68"/>
        <v>7</v>
      </c>
      <c r="AV192" s="4">
        <f t="shared" si="69"/>
        <v>25</v>
      </c>
      <c r="AW192" s="4">
        <f t="shared" si="70"/>
        <v>2</v>
      </c>
      <c r="AX192" s="4">
        <f t="shared" si="71"/>
        <v>35</v>
      </c>
      <c r="AY192" s="4">
        <f t="shared" si="72"/>
        <v>40</v>
      </c>
      <c r="AZ192" s="4">
        <f t="shared" si="73"/>
        <v>35</v>
      </c>
      <c r="BA192" s="4">
        <f t="shared" si="74"/>
        <v>13</v>
      </c>
    </row>
    <row r="193" spans="1:53" x14ac:dyDescent="0.2">
      <c r="A193" s="1" t="str">
        <f>'SegEnds_NonXtal_Prot#'!A170</f>
        <v>lshr_human</v>
      </c>
      <c r="B193" s="1" t="str">
        <f t="shared" si="50"/>
        <v>FLRVLIWLINILAIMGNMTVLFVLLTSVPRFLMCNLSFADFCMGLYLLLIASVDSQTGSGCSTAGFFTVFASELSVYTLTVITLERWHTITYRLRHAILIMLGGWLFSSLIAMLPLVLSQVYILTILILNVVAFFIICACYIKIYFAVRNATNKDTKIAKKMAILIFTDFTCMAPISFFAISAAFKVTNSKVLLVLFYPINSCANPFLYAIFTKTFQRDFFLLLS</v>
      </c>
      <c r="C193" s="29" t="str">
        <f>IF(ISERROR(MATCH(A193,'SegEnds_Xtal_Prot#'!B:B, 0)), "NoXtal", "Xtal")</f>
        <v>NoXtal</v>
      </c>
      <c r="D193" s="4" t="str">
        <f>VLOOKUP(A193,Classification!A:D,2,FALSE)</f>
        <v>A</v>
      </c>
      <c r="E193" s="5" t="str">
        <f>VLOOKUP(A193,Seqs!A:B,2,FALSE)</f>
        <v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v>
      </c>
      <c r="F193" s="5" t="str">
        <f t="shared" si="51"/>
        <v>FLRVLIWLINILAIMGNMTVLFVLLTS</v>
      </c>
      <c r="G193" s="4" t="str">
        <f t="shared" si="52"/>
        <v>YKLT</v>
      </c>
      <c r="H193" s="4" t="str">
        <f t="shared" si="53"/>
        <v>VPRFLMCNLSFADFCMGLYLLLIASVDSQT</v>
      </c>
      <c r="I193" s="4" t="str">
        <f t="shared" si="54"/>
        <v>DWQT</v>
      </c>
      <c r="J193" s="4" t="str">
        <f t="shared" si="55"/>
        <v>GSGCSTAGFFTVFASELSVYTLTVITLERWHTITY</v>
      </c>
      <c r="K193" s="4" t="str">
        <f t="shared" si="56"/>
        <v>AIHLDQKL</v>
      </c>
      <c r="L193" s="4" t="str">
        <f t="shared" si="57"/>
        <v>RLRHAILIMLGGWLFSSLIAMLPLV</v>
      </c>
      <c r="M193" s="4" t="str">
        <f t="shared" si="58"/>
        <v>CFP</v>
      </c>
      <c r="N193" s="4" t="str">
        <f t="shared" si="59"/>
        <v>LSQVYILTILILNVVAFFIICACYIKIYFAVRN</v>
      </c>
      <c r="O193" s="4" t="str">
        <f t="shared" si="60"/>
        <v>ATNKDTKIAKKMAILIFTDFTCMAPISFFAISAAFK</v>
      </c>
      <c r="P193" s="4" t="str">
        <f t="shared" si="61"/>
        <v>VTNSKVLLVLFYPINSCANPFLYAIF</v>
      </c>
      <c r="Q193" s="4" t="str">
        <f t="shared" si="62"/>
        <v>TKTFQRDFFLLLS</v>
      </c>
      <c r="R193" s="5">
        <f>VLOOKUP($A193,'SegEnds_NonXtal_Prot#'!$A:$AL,3,FALSE)</f>
        <v>361</v>
      </c>
      <c r="S193" s="5">
        <f>VLOOKUP($A193,'SegEnds_NonXtal_Prot#'!$A:$AL,6,FALSE)</f>
        <v>389</v>
      </c>
      <c r="T193" s="5">
        <f>VLOOKUP($A193,'SegEnds_NonXtal_Prot#'!$A:$AL,9,FALSE)</f>
        <v>393</v>
      </c>
      <c r="U193" s="5">
        <f>VLOOKUP($A193,'SegEnds_NonXtal_Prot#'!$A:$AL,12,FALSE)</f>
        <v>432</v>
      </c>
      <c r="V193" s="5">
        <f>VLOOKUP($A193,'SegEnds_NonXtal_Prot#'!$A:$AL,15,FALSE)</f>
        <v>436</v>
      </c>
      <c r="W193" s="5">
        <f>VLOOKUP($A193,'SegEnds_NonXtal_Prot#'!$A:$AL,18,FALSE)</f>
        <v>471</v>
      </c>
      <c r="X193" s="5">
        <f>VLOOKUP($A193,'SegEnds_NonXtal_Prot#'!$A:$AL,21,FALSE)</f>
        <v>479</v>
      </c>
      <c r="Y193" s="5">
        <f>VLOOKUP($A193,'SegEnds_NonXtal_Prot#'!$A:$AL,24,FALSE)</f>
        <v>514</v>
      </c>
      <c r="Z193" s="5">
        <f>VLOOKUP($A193,'SegEnds_NonXtal_Prot#'!$A:$AL,27,FALSE)</f>
        <v>523</v>
      </c>
      <c r="AA193" s="5">
        <f>VLOOKUP($A193,'SegEnds_NonXtal_Prot#'!$A:$AL,30,FALSE)</f>
        <v>560</v>
      </c>
      <c r="AB193" s="5">
        <f>VLOOKUP($A193,'SegEnds_NonXtal_Prot#'!$A:$AL,33,FALSE)</f>
        <v>601</v>
      </c>
      <c r="AC193" s="5">
        <f>VLOOKUP($A193,'SegEnds_NonXtal_Prot#'!$A:$AL,36,FALSE)</f>
        <v>627</v>
      </c>
      <c r="AD193" s="5">
        <f>VLOOKUP($A193,'SegEnds_NonXtal_Prot#'!$A:$AL,5,FALSE)</f>
        <v>387</v>
      </c>
      <c r="AE193" s="5">
        <f>VLOOKUP($A193,'SegEnds_NonXtal_Prot#'!$A:$AL,8,FALSE)</f>
        <v>392</v>
      </c>
      <c r="AF193" s="5">
        <f>VLOOKUP($A193,'SegEnds_NonXtal_Prot#'!$A:$AL,11,FALSE)</f>
        <v>422</v>
      </c>
      <c r="AG193" s="5">
        <f>VLOOKUP($A193,'SegEnds_NonXtal_Prot#'!$A:$AL,14,FALSE)</f>
        <v>435</v>
      </c>
      <c r="AH193" s="5">
        <f>VLOOKUP($A193,'SegEnds_NonXtal_Prot#'!$A:$AL,17,FALSE)</f>
        <v>470</v>
      </c>
      <c r="AI193" s="5">
        <f>VLOOKUP($A193,'SegEnds_NonXtal_Prot#'!$A:$AL,20,FALSE)</f>
        <v>478</v>
      </c>
      <c r="AJ193" s="5">
        <f>VLOOKUP($A193,'SegEnds_NonXtal_Prot#'!$A:$AL,23,FALSE)</f>
        <v>503</v>
      </c>
      <c r="AK193" s="5">
        <f>VLOOKUP($A193,'SegEnds_NonXtal_Prot#'!$A:$AL,26,FALSE)</f>
        <v>516</v>
      </c>
      <c r="AL193" s="5">
        <f>VLOOKUP($A193,'SegEnds_NonXtal_Prot#'!$A:$AL,29,FALSE)</f>
        <v>555</v>
      </c>
      <c r="AM193" s="5">
        <f>VLOOKUP($A193,'SegEnds_NonXtal_Prot#'!$A:$AL,32,FALSE)</f>
        <v>595</v>
      </c>
      <c r="AN193" s="5">
        <f>VLOOKUP($A193,'SegEnds_NonXtal_Prot#'!$A:$AL,35,FALSE)</f>
        <v>626</v>
      </c>
      <c r="AO193" s="5">
        <f>VLOOKUP($A193,'SegEnds_NonXtal_Prot#'!$A:$AL,38,FALSE)</f>
        <v>639</v>
      </c>
      <c r="AP193" s="5">
        <f t="shared" si="63"/>
        <v>26</v>
      </c>
      <c r="AQ193" s="4">
        <f t="shared" si="64"/>
        <v>3</v>
      </c>
      <c r="AR193" s="4">
        <f t="shared" si="65"/>
        <v>29</v>
      </c>
      <c r="AS193" s="4">
        <f t="shared" si="66"/>
        <v>3</v>
      </c>
      <c r="AT193" s="4">
        <f t="shared" si="67"/>
        <v>34</v>
      </c>
      <c r="AU193" s="4">
        <f t="shared" si="68"/>
        <v>7</v>
      </c>
      <c r="AV193" s="4">
        <f t="shared" si="69"/>
        <v>24</v>
      </c>
      <c r="AW193" s="4">
        <f t="shared" si="70"/>
        <v>2</v>
      </c>
      <c r="AX193" s="4">
        <f t="shared" si="71"/>
        <v>32</v>
      </c>
      <c r="AY193" s="4">
        <f t="shared" si="72"/>
        <v>35</v>
      </c>
      <c r="AZ193" s="4">
        <f t="shared" si="73"/>
        <v>25</v>
      </c>
      <c r="BA193" s="4">
        <f t="shared" si="74"/>
        <v>12</v>
      </c>
    </row>
    <row r="194" spans="1:53" x14ac:dyDescent="0.2">
      <c r="A194" s="1" t="str">
        <f>'SegEnds_NonXtal_Prot#'!A171</f>
        <v>lt4r1_human</v>
      </c>
      <c r="B194" s="1" t="str">
        <f t="shared" ref="B194:B257" si="75">F194&amp;H194&amp;J194&amp;L194&amp;N194&amp;O194&amp;P194&amp;Q194</f>
        <v>SLLAIILLSVALAVGLPGNSFVVWSILKRSVTALMVLNLALADLAVLLTAPFFLHFLAQGLAGCRLCHYVCGVSMYASVLLITAMSLDRSLAVARTKAMARRVLAGIWVLSFLLATPVLAYRYPSEGHRAFHLIFEAVTGFLLPFLAVVASYSDIGRRLQARSRRTGRLVVLIILTFAAFWLPYHVVNLAEAGRALALGLVGKRLSLARNVLIALAFLSSSVNPVLYACAGGGLLRSAGVGFVAKLLE</v>
      </c>
      <c r="C194" s="29" t="str">
        <f>IF(ISERROR(MATCH(A194,'SegEnds_Xtal_Prot#'!B:B, 0)), "NoXtal", "Xtal")</f>
        <v>NoXtal</v>
      </c>
      <c r="D194" s="4" t="str">
        <f>VLOOKUP(A194,Classification!A:D,2,FALSE)</f>
        <v>A</v>
      </c>
      <c r="E194" s="5" t="str">
        <f>VLOOKUP(A194,Seqs!A:B,2,FALSE)</f>
        <v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v>
      </c>
      <c r="F194" s="5" t="str">
        <f t="shared" ref="F194:F257" si="76">IFERROR(MID($E194,R194,(AP194+1)),"")</f>
        <v>SLLAIILLSVALAVGLPGNSFVVWSILKR</v>
      </c>
      <c r="G194" s="4" t="str">
        <f t="shared" ref="G194:G257" si="77">IFERROR(MID($E194,S194,(AQ194+1)),"")</f>
        <v>MQKR</v>
      </c>
      <c r="H194" s="4" t="str">
        <f t="shared" ref="H194:H257" si="78">IFERROR(MID($E194,T194,(AR194+1)),"")</f>
        <v>SVTALMVLNLALADLAVLLTAPFFLHFLAQ</v>
      </c>
      <c r="I194" s="4" t="str">
        <f t="shared" ref="I194:I257" si="79">IFERROR(MID($E194,U194,(AS194+1)),"")</f>
        <v>TWSF</v>
      </c>
      <c r="J194" s="4" t="str">
        <f t="shared" ref="J194:J257" si="80">IFERROR(MID($E194,V194,(AT194+1)),"")</f>
        <v>GLAGCRLCHYVCGVSMYASVLLITAMSLDRSLAVAR</v>
      </c>
      <c r="K194" s="4" t="str">
        <f t="shared" ref="K194:K257" si="81">IFERROR(MID($E194,W194,(AU194+1)),"")</f>
        <v>PFVSQKLR</v>
      </c>
      <c r="L194" s="4" t="str">
        <f t="shared" ref="L194:L257" si="82">IFERROR(MID($E194,X194,(AV194+1)),"")</f>
        <v>TKAMARRVLAGIWVLSFLLATPVLAYR</v>
      </c>
      <c r="M194" s="4" t="str">
        <f t="shared" ref="M194:M257" si="83">IFERROR(MID($E194,Y194,(AW194+1)),"")</f>
        <v>CFP</v>
      </c>
      <c r="N194" s="4" t="str">
        <f t="shared" ref="N194:N257" si="84">IFERROR(MID($E194,Z194,(AX194+1)),"")</f>
        <v>YPSEGHRAFHLIFEAVTGFLLPFLAVVASYSDIGRRLQAR</v>
      </c>
      <c r="O194" s="4" t="str">
        <f t="shared" ref="O194:O257" si="85">IFERROR(MID($E194,AA194,(AY194+1)),"")</f>
        <v>SRRTGRLVVLIILTFAAFWLPYHVVNLAEAGRALA</v>
      </c>
      <c r="P194" s="4" t="str">
        <f t="shared" ref="P194:P257" si="86">IFERROR(MID($E194,AB194,(AZ194+1)),"")</f>
        <v>LGLVGKRLSLARNVLIALAFLSSSVNPVLYACA</v>
      </c>
      <c r="Q194" s="4" t="str">
        <f t="shared" ref="Q194:Q257" si="87">IFERROR(MID($E194,AC194,(BA194+1)),"")</f>
        <v>GGGLLRSAGVGFVAKLLE</v>
      </c>
      <c r="R194" s="5">
        <f>VLOOKUP($A194,'SegEnds_NonXtal_Prot#'!$A:$AL,3,FALSE)</f>
        <v>18</v>
      </c>
      <c r="S194" s="5">
        <f>VLOOKUP($A194,'SegEnds_NonXtal_Prot#'!$A:$AL,6,FALSE)</f>
        <v>47</v>
      </c>
      <c r="T194" s="5">
        <f>VLOOKUP($A194,'SegEnds_NonXtal_Prot#'!$A:$AL,9,FALSE)</f>
        <v>51</v>
      </c>
      <c r="U194" s="5">
        <f>VLOOKUP($A194,'SegEnds_NonXtal_Prot#'!$A:$AL,12,FALSE)</f>
        <v>82</v>
      </c>
      <c r="V194" s="5">
        <f>VLOOKUP($A194,'SegEnds_NonXtal_Prot#'!$A:$AL,15,FALSE)</f>
        <v>86</v>
      </c>
      <c r="W194" s="5">
        <f>VLOOKUP($A194,'SegEnds_NonXtal_Prot#'!$A:$AL,18,FALSE)</f>
        <v>122</v>
      </c>
      <c r="X194" s="5">
        <f>VLOOKUP($A194,'SegEnds_NonXtal_Prot#'!$A:$AL,21,FALSE)</f>
        <v>130</v>
      </c>
      <c r="Y194" s="5">
        <f>VLOOKUP($A194,'SegEnds_NonXtal_Prot#'!$A:$AL,24,FALSE)</f>
        <v>168</v>
      </c>
      <c r="Z194" s="5">
        <f>VLOOKUP($A194,'SegEnds_NonXtal_Prot#'!$A:$AL,27,FALSE)</f>
        <v>172</v>
      </c>
      <c r="AA194" s="5">
        <f>VLOOKUP($A194,'SegEnds_NonXtal_Prot#'!$A:$AL,30,FALSE)</f>
        <v>216</v>
      </c>
      <c r="AB194" s="5">
        <f>VLOOKUP($A194,'SegEnds_NonXtal_Prot#'!$A:$AL,33,FALSE)</f>
        <v>256</v>
      </c>
      <c r="AC194" s="5">
        <f>VLOOKUP($A194,'SegEnds_NonXtal_Prot#'!$A:$AL,36,FALSE)</f>
        <v>289</v>
      </c>
      <c r="AD194" s="5">
        <f>VLOOKUP($A194,'SegEnds_NonXtal_Prot#'!$A:$AL,5,FALSE)</f>
        <v>46</v>
      </c>
      <c r="AE194" s="5">
        <f>VLOOKUP($A194,'SegEnds_NonXtal_Prot#'!$A:$AL,8,FALSE)</f>
        <v>50</v>
      </c>
      <c r="AF194" s="5">
        <f>VLOOKUP($A194,'SegEnds_NonXtal_Prot#'!$A:$AL,11,FALSE)</f>
        <v>80</v>
      </c>
      <c r="AG194" s="5">
        <f>VLOOKUP($A194,'SegEnds_NonXtal_Prot#'!$A:$AL,14,FALSE)</f>
        <v>85</v>
      </c>
      <c r="AH194" s="5">
        <f>VLOOKUP($A194,'SegEnds_NonXtal_Prot#'!$A:$AL,17,FALSE)</f>
        <v>121</v>
      </c>
      <c r="AI194" s="5">
        <f>VLOOKUP($A194,'SegEnds_NonXtal_Prot#'!$A:$AL,20,FALSE)</f>
        <v>129</v>
      </c>
      <c r="AJ194" s="5">
        <f>VLOOKUP($A194,'SegEnds_NonXtal_Prot#'!$A:$AL,23,FALSE)</f>
        <v>156</v>
      </c>
      <c r="AK194" s="5">
        <f>VLOOKUP($A194,'SegEnds_NonXtal_Prot#'!$A:$AL,26,FALSE)</f>
        <v>170</v>
      </c>
      <c r="AL194" s="5">
        <f>VLOOKUP($A194,'SegEnds_NonXtal_Prot#'!$A:$AL,29,FALSE)</f>
        <v>211</v>
      </c>
      <c r="AM194" s="5">
        <f>VLOOKUP($A194,'SegEnds_NonXtal_Prot#'!$A:$AL,32,FALSE)</f>
        <v>250</v>
      </c>
      <c r="AN194" s="5">
        <f>VLOOKUP($A194,'SegEnds_NonXtal_Prot#'!$A:$AL,35,FALSE)</f>
        <v>288</v>
      </c>
      <c r="AO194" s="5">
        <f>VLOOKUP($A194,'SegEnds_NonXtal_Prot#'!$A:$AL,38,FALSE)</f>
        <v>306</v>
      </c>
      <c r="AP194" s="5">
        <f t="shared" ref="AP194:AP257" si="88">IFERROR(AD194-R194,"-")</f>
        <v>28</v>
      </c>
      <c r="AQ194" s="4">
        <f t="shared" ref="AQ194:AQ257" si="89">IFERROR(AE194-S194,"-")</f>
        <v>3</v>
      </c>
      <c r="AR194" s="4">
        <f t="shared" ref="AR194:AR257" si="90">IFERROR(AF194-T194,"-")</f>
        <v>29</v>
      </c>
      <c r="AS194" s="4">
        <f t="shared" ref="AS194:AS257" si="91">IFERROR(AG194-U194,"-")</f>
        <v>3</v>
      </c>
      <c r="AT194" s="4">
        <f t="shared" ref="AT194:AT257" si="92">IFERROR(AH194-V194,"-")</f>
        <v>35</v>
      </c>
      <c r="AU194" s="4">
        <f t="shared" ref="AU194:AU257" si="93">IFERROR(AI194-W194,"-")</f>
        <v>7</v>
      </c>
      <c r="AV194" s="4">
        <f t="shared" ref="AV194:AV257" si="94">IFERROR(AJ194-X194,"-")</f>
        <v>26</v>
      </c>
      <c r="AW194" s="4">
        <f t="shared" ref="AW194:AW257" si="95">IFERROR(AK194-Y194,"-")</f>
        <v>2</v>
      </c>
      <c r="AX194" s="4">
        <f t="shared" ref="AX194:AX257" si="96">IFERROR(AL194-Z194,"-")</f>
        <v>39</v>
      </c>
      <c r="AY194" s="4">
        <f t="shared" ref="AY194:AY257" si="97">IFERROR(AM194-AA194,"-")</f>
        <v>34</v>
      </c>
      <c r="AZ194" s="4">
        <f t="shared" ref="AZ194:AZ257" si="98">IFERROR(AN194-AB194,"-")</f>
        <v>32</v>
      </c>
      <c r="BA194" s="4">
        <f t="shared" ref="BA194:BA257" si="99">IFERROR(AO194-AC194,"-")</f>
        <v>17</v>
      </c>
    </row>
    <row r="195" spans="1:53" x14ac:dyDescent="0.2">
      <c r="A195" s="1" t="str">
        <f>'SegEnds_NonXtal_Prot#'!A173</f>
        <v>mas_human</v>
      </c>
      <c r="B195" s="1" t="str">
        <f t="shared" si="75"/>
        <v>RQIPIVHWVIMSISPVGFVENGILLWFLCFRNPFTVYITHLSIADISLLFCIFILSIDYALDSSGHYYTIVTLSVTFLFGYNTGLYLLTAISVERCLSVLYPKYQSALVCALLWALSCLVTTMEYVMCRAVIIFIAILSFLVFTPLMLVSSTILVVKIRKNTWSSKLYIVIMVTIIIFLIFAMPMRLLYLLYYEYGNLHHISLLFSTINSSANPFIYFFVGSSKKKRFKESLKVV</v>
      </c>
      <c r="C195" s="29" t="str">
        <f>IF(ISERROR(MATCH(A195,'SegEnds_Xtal_Prot#'!B:B, 0)), "NoXtal", "Xtal")</f>
        <v>NoXtal</v>
      </c>
      <c r="D195" s="4" t="str">
        <f>VLOOKUP(A195,Classification!A:D,2,FALSE)</f>
        <v>A</v>
      </c>
      <c r="E195" s="5" t="str">
        <f>VLOOKUP(A195,Seqs!A:B,2,FALSE)</f>
        <v>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</v>
      </c>
      <c r="F195" s="5" t="str">
        <f t="shared" si="76"/>
        <v>RQIPIVHWVIMSISPVGFVENGILLWFLCFR</v>
      </c>
      <c r="G195" s="4" t="str">
        <f t="shared" si="77"/>
        <v/>
      </c>
      <c r="H195" s="4" t="str">
        <f t="shared" si="78"/>
        <v>NPFTVYITHLSIADISLLFCIFILSIDYALD</v>
      </c>
      <c r="I195" s="4" t="str">
        <f t="shared" si="79"/>
        <v/>
      </c>
      <c r="J195" s="4" t="str">
        <f t="shared" si="80"/>
        <v>SSGHYYTIVTLSVTFLFGYNTGLYLLTAISVERCLSVLY</v>
      </c>
      <c r="K195" s="4" t="str">
        <f t="shared" si="81"/>
        <v>PIWYRCHR</v>
      </c>
      <c r="L195" s="4" t="str">
        <f t="shared" si="82"/>
        <v>PKYQSALVCALLWALSCLVTTMEYVMC</v>
      </c>
      <c r="M195" s="4" t="str">
        <f t="shared" si="83"/>
        <v/>
      </c>
      <c r="N195" s="4" t="str">
        <f t="shared" si="84"/>
        <v>RAVIIFIAILSFLVFTPLMLVSSTILVVKIRKNTW</v>
      </c>
      <c r="O195" s="4" t="str">
        <f t="shared" si="85"/>
        <v>SSKLYIVIMVTIIIFLIFAMPMRLLYLLYYEY</v>
      </c>
      <c r="P195" s="4" t="str">
        <f t="shared" si="86"/>
        <v>GNLHHISLLFSTINSSANPFIYFFV</v>
      </c>
      <c r="Q195" s="4" t="str">
        <f t="shared" si="87"/>
        <v>GSSKKKRFKESLKVV</v>
      </c>
      <c r="R195" s="5">
        <f>VLOOKUP($A195,'SegEnds_NonXtal_Prot#'!$A:$AL,3,FALSE)</f>
        <v>30</v>
      </c>
      <c r="S195" s="5" t="str">
        <f>VLOOKUP($A195,'SegEnds_NonXtal_Prot#'!$A:$AL,6,FALSE)</f>
        <v>-</v>
      </c>
      <c r="T195" s="5">
        <f>VLOOKUP($A195,'SegEnds_NonXtal_Prot#'!$A:$AL,9,FALSE)</f>
        <v>64</v>
      </c>
      <c r="U195" s="5" t="str">
        <f>VLOOKUP($A195,'SegEnds_NonXtal_Prot#'!$A:$AL,12,FALSE)</f>
        <v>-</v>
      </c>
      <c r="V195" s="5">
        <f>VLOOKUP($A195,'SegEnds_NonXtal_Prot#'!$A:$AL,15,FALSE)</f>
        <v>98</v>
      </c>
      <c r="W195" s="5">
        <f>VLOOKUP($A195,'SegEnds_NonXtal_Prot#'!$A:$AL,18,FALSE)</f>
        <v>137</v>
      </c>
      <c r="X195" s="5">
        <f>VLOOKUP($A195,'SegEnds_NonXtal_Prot#'!$A:$AL,21,FALSE)</f>
        <v>145</v>
      </c>
      <c r="Y195" s="5" t="str">
        <f>VLOOKUP($A195,'SegEnds_NonXtal_Prot#'!$A:$AL,24,FALSE)</f>
        <v>-</v>
      </c>
      <c r="Z195" s="5">
        <f>VLOOKUP($A195,'SegEnds_NonXtal_Prot#'!$A:$AL,27,FALSE)</f>
        <v>185</v>
      </c>
      <c r="AA195" s="5">
        <f>VLOOKUP($A195,'SegEnds_NonXtal_Prot#'!$A:$AL,30,FALSE)</f>
        <v>223</v>
      </c>
      <c r="AB195" s="5">
        <f>VLOOKUP($A195,'SegEnds_NonXtal_Prot#'!$A:$AL,33,FALSE)</f>
        <v>259</v>
      </c>
      <c r="AC195" s="5">
        <f>VLOOKUP($A195,'SegEnds_NonXtal_Prot#'!$A:$AL,36,FALSE)</f>
        <v>284</v>
      </c>
      <c r="AD195" s="5">
        <f>VLOOKUP($A195,'SegEnds_NonXtal_Prot#'!$A:$AL,5,FALSE)</f>
        <v>60</v>
      </c>
      <c r="AE195" s="5" t="str">
        <f>VLOOKUP($A195,'SegEnds_NonXtal_Prot#'!$A:$AL,8,FALSE)</f>
        <v>-</v>
      </c>
      <c r="AF195" s="5">
        <f>VLOOKUP($A195,'SegEnds_NonXtal_Prot#'!$A:$AL,11,FALSE)</f>
        <v>94</v>
      </c>
      <c r="AG195" s="5" t="str">
        <f>VLOOKUP($A195,'SegEnds_NonXtal_Prot#'!$A:$AL,14,FALSE)</f>
        <v>-</v>
      </c>
      <c r="AH195" s="5">
        <f>VLOOKUP($A195,'SegEnds_NonXtal_Prot#'!$A:$AL,17,FALSE)</f>
        <v>136</v>
      </c>
      <c r="AI195" s="5">
        <f>VLOOKUP($A195,'SegEnds_NonXtal_Prot#'!$A:$AL,20,FALSE)</f>
        <v>144</v>
      </c>
      <c r="AJ195" s="5">
        <f>VLOOKUP($A195,'SegEnds_NonXtal_Prot#'!$A:$AL,23,FALSE)</f>
        <v>171</v>
      </c>
      <c r="AK195" s="5" t="str">
        <f>VLOOKUP($A195,'SegEnds_NonXtal_Prot#'!$A:$AL,26,FALSE)</f>
        <v>-</v>
      </c>
      <c r="AL195" s="5">
        <f>VLOOKUP($A195,'SegEnds_NonXtal_Prot#'!$A:$AL,29,FALSE)</f>
        <v>219</v>
      </c>
      <c r="AM195" s="5">
        <f>VLOOKUP($A195,'SegEnds_NonXtal_Prot#'!$A:$AL,32,FALSE)</f>
        <v>254</v>
      </c>
      <c r="AN195" s="5">
        <f>VLOOKUP($A195,'SegEnds_NonXtal_Prot#'!$A:$AL,35,FALSE)</f>
        <v>283</v>
      </c>
      <c r="AO195" s="5">
        <f>VLOOKUP($A195,'SegEnds_NonXtal_Prot#'!$A:$AL,38,FALSE)</f>
        <v>298</v>
      </c>
      <c r="AP195" s="5">
        <f t="shared" si="88"/>
        <v>30</v>
      </c>
      <c r="AQ195" s="4" t="str">
        <f t="shared" si="89"/>
        <v>-</v>
      </c>
      <c r="AR195" s="4">
        <f t="shared" si="90"/>
        <v>30</v>
      </c>
      <c r="AS195" s="4" t="str">
        <f t="shared" si="91"/>
        <v>-</v>
      </c>
      <c r="AT195" s="4">
        <f t="shared" si="92"/>
        <v>38</v>
      </c>
      <c r="AU195" s="4">
        <f t="shared" si="93"/>
        <v>7</v>
      </c>
      <c r="AV195" s="4">
        <f t="shared" si="94"/>
        <v>26</v>
      </c>
      <c r="AW195" s="4" t="str">
        <f t="shared" si="95"/>
        <v>-</v>
      </c>
      <c r="AX195" s="4">
        <f t="shared" si="96"/>
        <v>34</v>
      </c>
      <c r="AY195" s="4">
        <f t="shared" si="97"/>
        <v>31</v>
      </c>
      <c r="AZ195" s="4">
        <f t="shared" si="98"/>
        <v>24</v>
      </c>
      <c r="BA195" s="4">
        <f t="shared" si="99"/>
        <v>14</v>
      </c>
    </row>
    <row r="196" spans="1:53" x14ac:dyDescent="0.2">
      <c r="A196" s="1" t="str">
        <f>'SegEnds_NonXtal_Prot#'!A174</f>
        <v>mas1l_human</v>
      </c>
      <c r="B196" s="1" t="str">
        <f t="shared" si="75"/>
        <v>QQALPLNIIAPKAVLVSLCGVLLNGTVFWLLCCGNPYMVYILHLVAADVIYLCCSAVGFLQVTLHGVVFFIPDFLAILSPFSFEVCLCLLVAISTERCVCVLFPKYTSNVVCTLIWGLPFCINIVKSLFLACVIFLKLSGLFHAILSLVMCVSSLTLLIRFLCCSQATRVYAVVQISAPMFLLWALPLSVAPLITDFKTSYLISLFLIINSSANPIIYFFVGSLRKKRLKESLRVILQRALA</v>
      </c>
      <c r="C196" s="29" t="str">
        <f>IF(ISERROR(MATCH(A196,'SegEnds_Xtal_Prot#'!B:B, 0)), "NoXtal", "Xtal")</f>
        <v>NoXtal</v>
      </c>
      <c r="D196" s="4" t="str">
        <f>VLOOKUP(A196,Classification!A:D,2,FALSE)</f>
        <v>A</v>
      </c>
      <c r="E196" s="5" t="str">
        <f>VLOOKUP(A196,Seqs!A:B,2,FALSE)</f>
        <v>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</v>
      </c>
      <c r="F196" s="5" t="str">
        <f t="shared" si="76"/>
        <v>QQALPLNIIAPKAVLVSLCGVLLNGTVFWLLCCG</v>
      </c>
      <c r="G196" s="4" t="str">
        <f t="shared" si="77"/>
        <v/>
      </c>
      <c r="H196" s="4" t="str">
        <f t="shared" si="78"/>
        <v>NPYMVYILHLVAADVIYLCCSAVGFLQVTL</v>
      </c>
      <c r="I196" s="4" t="str">
        <f t="shared" si="79"/>
        <v/>
      </c>
      <c r="J196" s="4" t="str">
        <f t="shared" si="80"/>
        <v>HGVVFFIPDFLAILSPFSFEVCLCLLVAISTERCVCVLF</v>
      </c>
      <c r="K196" s="4" t="str">
        <f t="shared" si="81"/>
        <v>PIWYRCHR</v>
      </c>
      <c r="L196" s="4" t="str">
        <f t="shared" si="82"/>
        <v>PKYTSNVVCTLIWGLPFCINIVKSLFL</v>
      </c>
      <c r="M196" s="4" t="str">
        <f t="shared" si="83"/>
        <v/>
      </c>
      <c r="N196" s="4" t="str">
        <f t="shared" si="84"/>
        <v>ACVIFLKLSGLFHAILSLVMCVSSLTLLIRFLCCSQ</v>
      </c>
      <c r="O196" s="4" t="str">
        <f t="shared" si="85"/>
        <v>ATRVYAVVQISAPMFLLWALPLSVAPLITDFK</v>
      </c>
      <c r="P196" s="4" t="str">
        <f t="shared" si="86"/>
        <v>TSYLISLFLIINSSANPIIYFFV</v>
      </c>
      <c r="Q196" s="4" t="str">
        <f t="shared" si="87"/>
        <v>GSLRKKRLKESLRVILQRALA</v>
      </c>
      <c r="R196" s="5">
        <f>VLOOKUP($A196,'SegEnds_NonXtal_Prot#'!$A:$AL,3,FALSE)</f>
        <v>70</v>
      </c>
      <c r="S196" s="5" t="str">
        <f>VLOOKUP($A196,'SegEnds_NonXtal_Prot#'!$A:$AL,6,FALSE)</f>
        <v>-</v>
      </c>
      <c r="T196" s="5">
        <f>VLOOKUP($A196,'SegEnds_NonXtal_Prot#'!$A:$AL,9,FALSE)</f>
        <v>106</v>
      </c>
      <c r="U196" s="5" t="str">
        <f>VLOOKUP($A196,'SegEnds_NonXtal_Prot#'!$A:$AL,12,FALSE)</f>
        <v>-</v>
      </c>
      <c r="V196" s="5">
        <f>VLOOKUP($A196,'SegEnds_NonXtal_Prot#'!$A:$AL,15,FALSE)</f>
        <v>139</v>
      </c>
      <c r="W196" s="5">
        <f>VLOOKUP($A196,'SegEnds_NonXtal_Prot#'!$A:$AL,18,FALSE)</f>
        <v>178</v>
      </c>
      <c r="X196" s="5">
        <f>VLOOKUP($A196,'SegEnds_NonXtal_Prot#'!$A:$AL,21,FALSE)</f>
        <v>186</v>
      </c>
      <c r="Y196" s="5" t="str">
        <f>VLOOKUP($A196,'SegEnds_NonXtal_Prot#'!$A:$AL,24,FALSE)</f>
        <v>-</v>
      </c>
      <c r="Z196" s="5">
        <f>VLOOKUP($A196,'SegEnds_NonXtal_Prot#'!$A:$AL,27,FALSE)</f>
        <v>220</v>
      </c>
      <c r="AA196" s="5">
        <f>VLOOKUP($A196,'SegEnds_NonXtal_Prot#'!$A:$AL,30,FALSE)</f>
        <v>259</v>
      </c>
      <c r="AB196" s="5">
        <f>VLOOKUP($A196,'SegEnds_NonXtal_Prot#'!$A:$AL,33,FALSE)</f>
        <v>295</v>
      </c>
      <c r="AC196" s="5">
        <f>VLOOKUP($A196,'SegEnds_NonXtal_Prot#'!$A:$AL,36,FALSE)</f>
        <v>318</v>
      </c>
      <c r="AD196" s="5">
        <f>VLOOKUP($A196,'SegEnds_NonXtal_Prot#'!$A:$AL,5,FALSE)</f>
        <v>103</v>
      </c>
      <c r="AE196" s="5" t="str">
        <f>VLOOKUP($A196,'SegEnds_NonXtal_Prot#'!$A:$AL,8,FALSE)</f>
        <v>-</v>
      </c>
      <c r="AF196" s="5">
        <f>VLOOKUP($A196,'SegEnds_NonXtal_Prot#'!$A:$AL,11,FALSE)</f>
        <v>135</v>
      </c>
      <c r="AG196" s="5" t="str">
        <f>VLOOKUP($A196,'SegEnds_NonXtal_Prot#'!$A:$AL,14,FALSE)</f>
        <v>-</v>
      </c>
      <c r="AH196" s="5">
        <f>VLOOKUP($A196,'SegEnds_NonXtal_Prot#'!$A:$AL,17,FALSE)</f>
        <v>177</v>
      </c>
      <c r="AI196" s="5">
        <f>VLOOKUP($A196,'SegEnds_NonXtal_Prot#'!$A:$AL,20,FALSE)</f>
        <v>185</v>
      </c>
      <c r="AJ196" s="5">
        <f>VLOOKUP($A196,'SegEnds_NonXtal_Prot#'!$A:$AL,23,FALSE)</f>
        <v>212</v>
      </c>
      <c r="AK196" s="5" t="str">
        <f>VLOOKUP($A196,'SegEnds_NonXtal_Prot#'!$A:$AL,26,FALSE)</f>
        <v>-</v>
      </c>
      <c r="AL196" s="5">
        <f>VLOOKUP($A196,'SegEnds_NonXtal_Prot#'!$A:$AL,29,FALSE)</f>
        <v>255</v>
      </c>
      <c r="AM196" s="5">
        <f>VLOOKUP($A196,'SegEnds_NonXtal_Prot#'!$A:$AL,32,FALSE)</f>
        <v>290</v>
      </c>
      <c r="AN196" s="5">
        <f>VLOOKUP($A196,'SegEnds_NonXtal_Prot#'!$A:$AL,35,FALSE)</f>
        <v>317</v>
      </c>
      <c r="AO196" s="5">
        <f>VLOOKUP($A196,'SegEnds_NonXtal_Prot#'!$A:$AL,38,FALSE)</f>
        <v>338</v>
      </c>
      <c r="AP196" s="5">
        <f t="shared" si="88"/>
        <v>33</v>
      </c>
      <c r="AQ196" s="4" t="str">
        <f t="shared" si="89"/>
        <v>-</v>
      </c>
      <c r="AR196" s="4">
        <f t="shared" si="90"/>
        <v>29</v>
      </c>
      <c r="AS196" s="4" t="str">
        <f t="shared" si="91"/>
        <v>-</v>
      </c>
      <c r="AT196" s="4">
        <f t="shared" si="92"/>
        <v>38</v>
      </c>
      <c r="AU196" s="4">
        <f t="shared" si="93"/>
        <v>7</v>
      </c>
      <c r="AV196" s="4">
        <f t="shared" si="94"/>
        <v>26</v>
      </c>
      <c r="AW196" s="4" t="str">
        <f t="shared" si="95"/>
        <v>-</v>
      </c>
      <c r="AX196" s="4">
        <f t="shared" si="96"/>
        <v>35</v>
      </c>
      <c r="AY196" s="4">
        <f t="shared" si="97"/>
        <v>31</v>
      </c>
      <c r="AZ196" s="4">
        <f t="shared" si="98"/>
        <v>22</v>
      </c>
      <c r="BA196" s="4">
        <f t="shared" si="99"/>
        <v>20</v>
      </c>
    </row>
    <row r="197" spans="1:53" x14ac:dyDescent="0.2">
      <c r="A197" s="1" t="str">
        <f>'SegEnds_NonXtal_Prot#'!A175</f>
        <v>mc3r_human</v>
      </c>
      <c r="B197" s="1" t="str">
        <f t="shared" si="75"/>
        <v>EQVFIKPEVFLSLGIVSLLENILVILAVVRNSPMYFFLCSLAVADMLVSVSNALETIMIAIVDQFIQHMDNIFDSMICISLVASICNLLAIAVDRYVTIFYTVRKALTLIVAIWVCCGVCGVVFIVYLITMFFAMMLLMGTLYVHMFLFARLHVKRIAALPPAQHSCMKGAVTITILLGVFIFCWAPFFLHLVLIITCCICYTAHFNTYLVLIMCNSVIDPLIYAFRSLELRNTFREILC</v>
      </c>
      <c r="C197" s="29" t="str">
        <f>IF(ISERROR(MATCH(A197,'SegEnds_Xtal_Prot#'!B:B, 0)), "NoXtal", "Xtal")</f>
        <v>NoXtal</v>
      </c>
      <c r="D197" s="4" t="str">
        <f>VLOOKUP(A197,Classification!A:D,2,FALSE)</f>
        <v>A</v>
      </c>
      <c r="E197" s="5" t="str">
        <f>VLOOKUP(A197,Seqs!A:B,2,FALSE)</f>
        <v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v>
      </c>
      <c r="F197" s="5" t="str">
        <f t="shared" si="76"/>
        <v>EQVFIKPEVFLSLGIVSLLENILVILAVVRN</v>
      </c>
      <c r="G197" s="4" t="str">
        <f t="shared" si="77"/>
        <v>GNLH</v>
      </c>
      <c r="H197" s="4" t="str">
        <f t="shared" si="78"/>
        <v>SPMYFFLCSLAVADMLVSVSNALETIMIAIV</v>
      </c>
      <c r="I197" s="4" t="str">
        <f t="shared" si="79"/>
        <v/>
      </c>
      <c r="J197" s="4" t="str">
        <f t="shared" si="80"/>
        <v>DQFIQHMDNIFDSMICISLVASICNLLAIAVDRYVTIFY</v>
      </c>
      <c r="K197" s="4" t="str">
        <f t="shared" si="81"/>
        <v>ALRYHSIM</v>
      </c>
      <c r="L197" s="4" t="str">
        <f t="shared" si="82"/>
        <v>TVRKALTLIVAIWVCCGVCGVVFIVY</v>
      </c>
      <c r="M197" s="4" t="str">
        <f t="shared" si="83"/>
        <v/>
      </c>
      <c r="N197" s="4" t="str">
        <f t="shared" si="84"/>
        <v>LITMFFAMMLLMGTLYVHMFLFARLHVKRIAALPPA</v>
      </c>
      <c r="O197" s="4" t="str">
        <f t="shared" si="85"/>
        <v>QHSCMKGAVTITILLGVFIFCWAPFFLHLVLIITC</v>
      </c>
      <c r="P197" s="4" t="str">
        <f t="shared" si="86"/>
        <v>CICYTAHFNTYLVLIMCNSVIDPLIYAFR</v>
      </c>
      <c r="Q197" s="4" t="str">
        <f t="shared" si="87"/>
        <v>SLELRNTFREILC</v>
      </c>
      <c r="R197" s="5">
        <f>VLOOKUP($A197,'SegEnds_NonXtal_Prot#'!$A:$AL,3,FALSE)</f>
        <v>36</v>
      </c>
      <c r="S197" s="5">
        <f>VLOOKUP($A197,'SegEnds_NonXtal_Prot#'!$A:$AL,6,FALSE)</f>
        <v>67</v>
      </c>
      <c r="T197" s="5">
        <f>VLOOKUP($A197,'SegEnds_NonXtal_Prot#'!$A:$AL,9,FALSE)</f>
        <v>71</v>
      </c>
      <c r="U197" s="5" t="str">
        <f>VLOOKUP($A197,'SegEnds_NonXtal_Prot#'!$A:$AL,12,FALSE)</f>
        <v>-</v>
      </c>
      <c r="V197" s="5">
        <f>VLOOKUP($A197,'SegEnds_NonXtal_Prot#'!$A:$AL,15,FALSE)</f>
        <v>110</v>
      </c>
      <c r="W197" s="5">
        <f>VLOOKUP($A197,'SegEnds_NonXtal_Prot#'!$A:$AL,18,FALSE)</f>
        <v>149</v>
      </c>
      <c r="X197" s="5">
        <f>VLOOKUP($A197,'SegEnds_NonXtal_Prot#'!$A:$AL,21,FALSE)</f>
        <v>157</v>
      </c>
      <c r="Y197" s="5" t="str">
        <f>VLOOKUP($A197,'SegEnds_NonXtal_Prot#'!$A:$AL,24,FALSE)</f>
        <v>-</v>
      </c>
      <c r="Z197" s="5">
        <f>VLOOKUP($A197,'SegEnds_NonXtal_Prot#'!$A:$AL,27,FALSE)</f>
        <v>192</v>
      </c>
      <c r="AA197" s="5">
        <f>VLOOKUP($A197,'SegEnds_NonXtal_Prot#'!$A:$AL,30,FALSE)</f>
        <v>234</v>
      </c>
      <c r="AB197" s="5">
        <f>VLOOKUP($A197,'SegEnds_NonXtal_Prot#'!$A:$AL,33,FALSE)</f>
        <v>274</v>
      </c>
      <c r="AC197" s="5">
        <f>VLOOKUP($A197,'SegEnds_NonXtal_Prot#'!$A:$AL,36,FALSE)</f>
        <v>303</v>
      </c>
      <c r="AD197" s="5">
        <f>VLOOKUP($A197,'SegEnds_NonXtal_Prot#'!$A:$AL,5,FALSE)</f>
        <v>66</v>
      </c>
      <c r="AE197" s="5">
        <f>VLOOKUP($A197,'SegEnds_NonXtal_Prot#'!$A:$AL,8,FALSE)</f>
        <v>70</v>
      </c>
      <c r="AF197" s="5">
        <f>VLOOKUP($A197,'SegEnds_NonXtal_Prot#'!$A:$AL,11,FALSE)</f>
        <v>101</v>
      </c>
      <c r="AG197" s="5" t="str">
        <f>VLOOKUP($A197,'SegEnds_NonXtal_Prot#'!$A:$AL,14,FALSE)</f>
        <v>-</v>
      </c>
      <c r="AH197" s="5">
        <f>VLOOKUP($A197,'SegEnds_NonXtal_Prot#'!$A:$AL,17,FALSE)</f>
        <v>148</v>
      </c>
      <c r="AI197" s="5">
        <f>VLOOKUP($A197,'SegEnds_NonXtal_Prot#'!$A:$AL,20,FALSE)</f>
        <v>156</v>
      </c>
      <c r="AJ197" s="5">
        <f>VLOOKUP($A197,'SegEnds_NonXtal_Prot#'!$A:$AL,23,FALSE)</f>
        <v>182</v>
      </c>
      <c r="AK197" s="5" t="str">
        <f>VLOOKUP($A197,'SegEnds_NonXtal_Prot#'!$A:$AL,26,FALSE)</f>
        <v>-</v>
      </c>
      <c r="AL197" s="5">
        <f>VLOOKUP($A197,'SegEnds_NonXtal_Prot#'!$A:$AL,29,FALSE)</f>
        <v>227</v>
      </c>
      <c r="AM197" s="5">
        <f>VLOOKUP($A197,'SegEnds_NonXtal_Prot#'!$A:$AL,32,FALSE)</f>
        <v>268</v>
      </c>
      <c r="AN197" s="5">
        <f>VLOOKUP($A197,'SegEnds_NonXtal_Prot#'!$A:$AL,35,FALSE)</f>
        <v>302</v>
      </c>
      <c r="AO197" s="5">
        <f>VLOOKUP($A197,'SegEnds_NonXtal_Prot#'!$A:$AL,38,FALSE)</f>
        <v>315</v>
      </c>
      <c r="AP197" s="5">
        <f t="shared" si="88"/>
        <v>30</v>
      </c>
      <c r="AQ197" s="4">
        <f t="shared" si="89"/>
        <v>3</v>
      </c>
      <c r="AR197" s="4">
        <f t="shared" si="90"/>
        <v>30</v>
      </c>
      <c r="AS197" s="4" t="str">
        <f t="shared" si="91"/>
        <v>-</v>
      </c>
      <c r="AT197" s="4">
        <f t="shared" si="92"/>
        <v>38</v>
      </c>
      <c r="AU197" s="4">
        <f t="shared" si="93"/>
        <v>7</v>
      </c>
      <c r="AV197" s="4">
        <f t="shared" si="94"/>
        <v>25</v>
      </c>
      <c r="AW197" s="4" t="str">
        <f t="shared" si="95"/>
        <v>-</v>
      </c>
      <c r="AX197" s="4">
        <f t="shared" si="96"/>
        <v>35</v>
      </c>
      <c r="AY197" s="4">
        <f t="shared" si="97"/>
        <v>34</v>
      </c>
      <c r="AZ197" s="4">
        <f t="shared" si="98"/>
        <v>28</v>
      </c>
      <c r="BA197" s="4">
        <f t="shared" si="99"/>
        <v>12</v>
      </c>
    </row>
    <row r="198" spans="1:53" x14ac:dyDescent="0.2">
      <c r="A198" s="1" t="str">
        <f>'SegEnds_NonXtal_Prot#'!A176</f>
        <v>mc4r_human</v>
      </c>
      <c r="B198" s="1" t="str">
        <f t="shared" si="75"/>
        <v>YEQLFVSPEVFVTLGVISLLENILVIVAIAKNSPMYFFICSLAVADMLVSVSNGSETIVITLLQSFTVNIDNVIDSVICSSLLASICSLLSIAVDRYFTIFYTVKRVGIIISCIWAACTVSGILFIIYLITMFFTMLALMASLYVHMFLMARLHIKRIAVLPGQGANMKGAITLTILIGVFVVCWAPFFLHLIFYISCCVCFMSHFNLYLILIMCNSIIDPLIYALRSQELRKTFKEIIC</v>
      </c>
      <c r="C198" s="29" t="str">
        <f>IF(ISERROR(MATCH(A198,'SegEnds_Xtal_Prot#'!B:B, 0)), "NoXtal", "Xtal")</f>
        <v>NoXtal</v>
      </c>
      <c r="D198" s="4" t="str">
        <f>VLOOKUP(A198,Classification!A:D,2,FALSE)</f>
        <v>A</v>
      </c>
      <c r="E198" s="5" t="str">
        <f>VLOOKUP(A198,Seqs!A:B,2,FALSE)</f>
        <v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v>
      </c>
      <c r="F198" s="5" t="str">
        <f t="shared" si="76"/>
        <v>YEQLFVSPEVFVTLGVISLLENILVIVAIAKN</v>
      </c>
      <c r="G198" s="4" t="str">
        <f t="shared" si="77"/>
        <v>KNLH</v>
      </c>
      <c r="H198" s="4" t="str">
        <f t="shared" si="78"/>
        <v>SPMYFFICSLAVADMLVSVSNGSETIVITLL</v>
      </c>
      <c r="I198" s="4" t="str">
        <f t="shared" si="79"/>
        <v/>
      </c>
      <c r="J198" s="4" t="str">
        <f t="shared" si="80"/>
        <v>QSFTVNIDNVIDSVICSSLLASICSLLSIAVDRYFTIFY</v>
      </c>
      <c r="K198" s="4" t="str">
        <f t="shared" si="81"/>
        <v>ALQYHNIM</v>
      </c>
      <c r="L198" s="4" t="str">
        <f t="shared" si="82"/>
        <v>TVKRVGIIISCIWAACTVSGILFIIY</v>
      </c>
      <c r="M198" s="4" t="str">
        <f t="shared" si="83"/>
        <v/>
      </c>
      <c r="N198" s="4" t="str">
        <f t="shared" si="84"/>
        <v>LITMFFTMLALMASLYVHMFLMARLHIKRIAVLPG</v>
      </c>
      <c r="O198" s="4" t="str">
        <f t="shared" si="85"/>
        <v>QGANMKGAITLTILIGVFVVCWAPFFLHLIFYISC</v>
      </c>
      <c r="P198" s="4" t="str">
        <f t="shared" si="86"/>
        <v>CVCFMSHFNLYLILIMCNSIIDPLIYALR</v>
      </c>
      <c r="Q198" s="4" t="str">
        <f t="shared" si="87"/>
        <v>SQELRKTFKEIIC</v>
      </c>
      <c r="R198" s="5">
        <f>VLOOKUP($A198,'SegEnds_NonXtal_Prot#'!$A:$AL,3,FALSE)</f>
        <v>41</v>
      </c>
      <c r="S198" s="5">
        <f>VLOOKUP($A198,'SegEnds_NonXtal_Prot#'!$A:$AL,6,FALSE)</f>
        <v>73</v>
      </c>
      <c r="T198" s="5">
        <f>VLOOKUP($A198,'SegEnds_NonXtal_Prot#'!$A:$AL,9,FALSE)</f>
        <v>77</v>
      </c>
      <c r="U198" s="5" t="str">
        <f>VLOOKUP($A198,'SegEnds_NonXtal_Prot#'!$A:$AL,12,FALSE)</f>
        <v>-</v>
      </c>
      <c r="V198" s="5">
        <f>VLOOKUP($A198,'SegEnds_NonXtal_Prot#'!$A:$AL,15,FALSE)</f>
        <v>115</v>
      </c>
      <c r="W198" s="5">
        <f>VLOOKUP($A198,'SegEnds_NonXtal_Prot#'!$A:$AL,18,FALSE)</f>
        <v>154</v>
      </c>
      <c r="X198" s="5">
        <f>VLOOKUP($A198,'SegEnds_NonXtal_Prot#'!$A:$AL,21,FALSE)</f>
        <v>162</v>
      </c>
      <c r="Y198" s="5" t="str">
        <f>VLOOKUP($A198,'SegEnds_NonXtal_Prot#'!$A:$AL,24,FALSE)</f>
        <v>-</v>
      </c>
      <c r="Z198" s="5">
        <f>VLOOKUP($A198,'SegEnds_NonXtal_Prot#'!$A:$AL,27,FALSE)</f>
        <v>197</v>
      </c>
      <c r="AA198" s="5">
        <f>VLOOKUP($A198,'SegEnds_NonXtal_Prot#'!$A:$AL,30,FALSE)</f>
        <v>237</v>
      </c>
      <c r="AB198" s="5">
        <f>VLOOKUP($A198,'SegEnds_NonXtal_Prot#'!$A:$AL,33,FALSE)</f>
        <v>277</v>
      </c>
      <c r="AC198" s="5">
        <f>VLOOKUP($A198,'SegEnds_NonXtal_Prot#'!$A:$AL,36,FALSE)</f>
        <v>306</v>
      </c>
      <c r="AD198" s="5">
        <f>VLOOKUP($A198,'SegEnds_NonXtal_Prot#'!$A:$AL,5,FALSE)</f>
        <v>72</v>
      </c>
      <c r="AE198" s="5">
        <f>VLOOKUP($A198,'SegEnds_NonXtal_Prot#'!$A:$AL,8,FALSE)</f>
        <v>76</v>
      </c>
      <c r="AF198" s="5">
        <f>VLOOKUP($A198,'SegEnds_NonXtal_Prot#'!$A:$AL,11,FALSE)</f>
        <v>107</v>
      </c>
      <c r="AG198" s="5" t="str">
        <f>VLOOKUP($A198,'SegEnds_NonXtal_Prot#'!$A:$AL,14,FALSE)</f>
        <v>-</v>
      </c>
      <c r="AH198" s="5">
        <f>VLOOKUP($A198,'SegEnds_NonXtal_Prot#'!$A:$AL,17,FALSE)</f>
        <v>153</v>
      </c>
      <c r="AI198" s="5">
        <f>VLOOKUP($A198,'SegEnds_NonXtal_Prot#'!$A:$AL,20,FALSE)</f>
        <v>161</v>
      </c>
      <c r="AJ198" s="5">
        <f>VLOOKUP($A198,'SegEnds_NonXtal_Prot#'!$A:$AL,23,FALSE)</f>
        <v>187</v>
      </c>
      <c r="AK198" s="5" t="str">
        <f>VLOOKUP($A198,'SegEnds_NonXtal_Prot#'!$A:$AL,26,FALSE)</f>
        <v>-</v>
      </c>
      <c r="AL198" s="5">
        <f>VLOOKUP($A198,'SegEnds_NonXtal_Prot#'!$A:$AL,29,FALSE)</f>
        <v>231</v>
      </c>
      <c r="AM198" s="5">
        <f>VLOOKUP($A198,'SegEnds_NonXtal_Prot#'!$A:$AL,32,FALSE)</f>
        <v>271</v>
      </c>
      <c r="AN198" s="5">
        <f>VLOOKUP($A198,'SegEnds_NonXtal_Prot#'!$A:$AL,35,FALSE)</f>
        <v>305</v>
      </c>
      <c r="AO198" s="5">
        <f>VLOOKUP($A198,'SegEnds_NonXtal_Prot#'!$A:$AL,38,FALSE)</f>
        <v>318</v>
      </c>
      <c r="AP198" s="5">
        <f t="shared" si="88"/>
        <v>31</v>
      </c>
      <c r="AQ198" s="4">
        <f t="shared" si="89"/>
        <v>3</v>
      </c>
      <c r="AR198" s="4">
        <f t="shared" si="90"/>
        <v>30</v>
      </c>
      <c r="AS198" s="4" t="str">
        <f t="shared" si="91"/>
        <v>-</v>
      </c>
      <c r="AT198" s="4">
        <f t="shared" si="92"/>
        <v>38</v>
      </c>
      <c r="AU198" s="4">
        <f t="shared" si="93"/>
        <v>7</v>
      </c>
      <c r="AV198" s="4">
        <f t="shared" si="94"/>
        <v>25</v>
      </c>
      <c r="AW198" s="4" t="str">
        <f t="shared" si="95"/>
        <v>-</v>
      </c>
      <c r="AX198" s="4">
        <f t="shared" si="96"/>
        <v>34</v>
      </c>
      <c r="AY198" s="4">
        <f t="shared" si="97"/>
        <v>34</v>
      </c>
      <c r="AZ198" s="4">
        <f t="shared" si="98"/>
        <v>28</v>
      </c>
      <c r="BA198" s="4">
        <f t="shared" si="99"/>
        <v>12</v>
      </c>
    </row>
    <row r="199" spans="1:53" x14ac:dyDescent="0.2">
      <c r="A199" s="1" t="str">
        <f>'SegEnds_NonXtal_Prot#'!A177</f>
        <v>mc5r_human</v>
      </c>
      <c r="B199" s="1" t="str">
        <f t="shared" si="75"/>
        <v>EDMGIAVEVFLTLGVISLLENILVIGAIVKNSPMYFFVCSLAVADMLVSMSSAWETITDAFVRHIDNVFDSMICISVVASMCSLLAIAVDRYVTIFYTARRSGAIIAGIWAFCTGCGIVFILYLISMFFAMLFLLVSLYIHMFLLARTHVKRIAALPGQRTSMQGAVTVTMLLGVFTVCWAPFFLHLTLMLSCCSRFMSHFNMYLILIMCNSVMDPLIYAFRSQEMRKTFKEIIC</v>
      </c>
      <c r="C199" s="29" t="str">
        <f>IF(ISERROR(MATCH(A199,'SegEnds_Xtal_Prot#'!B:B, 0)), "NoXtal", "Xtal")</f>
        <v>NoXtal</v>
      </c>
      <c r="D199" s="4" t="str">
        <f>VLOOKUP(A199,Classification!A:D,2,FALSE)</f>
        <v>A</v>
      </c>
      <c r="E199" s="5" t="str">
        <f>VLOOKUP(A199,Seqs!A:B,2,FALSE)</f>
        <v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v>
      </c>
      <c r="F199" s="5" t="str">
        <f t="shared" si="76"/>
        <v>EDMGIAVEVFLTLGVISLLENILVIGAIVKN</v>
      </c>
      <c r="G199" s="4" t="str">
        <f t="shared" si="77"/>
        <v>KNLH</v>
      </c>
      <c r="H199" s="4" t="str">
        <f t="shared" si="78"/>
        <v>SPMYFFVCSLAVADMLVSMSSAWETIT</v>
      </c>
      <c r="I199" s="4" t="str">
        <f t="shared" si="79"/>
        <v/>
      </c>
      <c r="J199" s="4" t="str">
        <f t="shared" si="80"/>
        <v>DAFVRHIDNVFDSMICISVVASMCSLLAIAVDRYVTIFY</v>
      </c>
      <c r="K199" s="4" t="str">
        <f t="shared" si="81"/>
        <v>ALRYHHIM</v>
      </c>
      <c r="L199" s="4" t="str">
        <f t="shared" si="82"/>
        <v>TARRSGAIIAGIWAFCTGCGIVFILY</v>
      </c>
      <c r="M199" s="4" t="str">
        <f t="shared" si="83"/>
        <v/>
      </c>
      <c r="N199" s="4" t="str">
        <f t="shared" si="84"/>
        <v>LISMFFAMLFLLVSLYIHMFLLARTHVKRIAALPG</v>
      </c>
      <c r="O199" s="4" t="str">
        <f t="shared" si="85"/>
        <v>QRTSMQGAVTVTMLLGVFTVCWAPFFLHLTLMLSC</v>
      </c>
      <c r="P199" s="4" t="str">
        <f t="shared" si="86"/>
        <v>CSRFMSHFNMYLILIMCNSVMDPLIYAFR</v>
      </c>
      <c r="Q199" s="4" t="str">
        <f t="shared" si="87"/>
        <v>SQEMRKTFKEIIC</v>
      </c>
      <c r="R199" s="5">
        <f>VLOOKUP($A199,'SegEnds_NonXtal_Prot#'!$A:$AL,3,FALSE)</f>
        <v>34</v>
      </c>
      <c r="S199" s="5">
        <f>VLOOKUP($A199,'SegEnds_NonXtal_Prot#'!$A:$AL,6,FALSE)</f>
        <v>65</v>
      </c>
      <c r="T199" s="5">
        <f>VLOOKUP($A199,'SegEnds_NonXtal_Prot#'!$A:$AL,9,FALSE)</f>
        <v>69</v>
      </c>
      <c r="U199" s="5" t="str">
        <f>VLOOKUP($A199,'SegEnds_NonXtal_Prot#'!$A:$AL,12,FALSE)</f>
        <v>-</v>
      </c>
      <c r="V199" s="5">
        <f>VLOOKUP($A199,'SegEnds_NonXtal_Prot#'!$A:$AL,15,FALSE)</f>
        <v>108</v>
      </c>
      <c r="W199" s="5">
        <f>VLOOKUP($A199,'SegEnds_NonXtal_Prot#'!$A:$AL,18,FALSE)</f>
        <v>147</v>
      </c>
      <c r="X199" s="5">
        <f>VLOOKUP($A199,'SegEnds_NonXtal_Prot#'!$A:$AL,21,FALSE)</f>
        <v>155</v>
      </c>
      <c r="Y199" s="5" t="str">
        <f>VLOOKUP($A199,'SegEnds_NonXtal_Prot#'!$A:$AL,24,FALSE)</f>
        <v>-</v>
      </c>
      <c r="Z199" s="5">
        <f>VLOOKUP($A199,'SegEnds_NonXtal_Prot#'!$A:$AL,27,FALSE)</f>
        <v>190</v>
      </c>
      <c r="AA199" s="5">
        <f>VLOOKUP($A199,'SegEnds_NonXtal_Prot#'!$A:$AL,30,FALSE)</f>
        <v>230</v>
      </c>
      <c r="AB199" s="5">
        <f>VLOOKUP($A199,'SegEnds_NonXtal_Prot#'!$A:$AL,33,FALSE)</f>
        <v>270</v>
      </c>
      <c r="AC199" s="5">
        <f>VLOOKUP($A199,'SegEnds_NonXtal_Prot#'!$A:$AL,36,FALSE)</f>
        <v>299</v>
      </c>
      <c r="AD199" s="5">
        <f>VLOOKUP($A199,'SegEnds_NonXtal_Prot#'!$A:$AL,5,FALSE)</f>
        <v>64</v>
      </c>
      <c r="AE199" s="5">
        <f>VLOOKUP($A199,'SegEnds_NonXtal_Prot#'!$A:$AL,8,FALSE)</f>
        <v>68</v>
      </c>
      <c r="AF199" s="5">
        <f>VLOOKUP($A199,'SegEnds_NonXtal_Prot#'!$A:$AL,11,FALSE)</f>
        <v>95</v>
      </c>
      <c r="AG199" s="5" t="str">
        <f>VLOOKUP($A199,'SegEnds_NonXtal_Prot#'!$A:$AL,14,FALSE)</f>
        <v>-</v>
      </c>
      <c r="AH199" s="5">
        <f>VLOOKUP($A199,'SegEnds_NonXtal_Prot#'!$A:$AL,17,FALSE)</f>
        <v>146</v>
      </c>
      <c r="AI199" s="5">
        <f>VLOOKUP($A199,'SegEnds_NonXtal_Prot#'!$A:$AL,20,FALSE)</f>
        <v>154</v>
      </c>
      <c r="AJ199" s="5">
        <f>VLOOKUP($A199,'SegEnds_NonXtal_Prot#'!$A:$AL,23,FALSE)</f>
        <v>180</v>
      </c>
      <c r="AK199" s="5" t="str">
        <f>VLOOKUP($A199,'SegEnds_NonXtal_Prot#'!$A:$AL,26,FALSE)</f>
        <v>-</v>
      </c>
      <c r="AL199" s="5">
        <f>VLOOKUP($A199,'SegEnds_NonXtal_Prot#'!$A:$AL,29,FALSE)</f>
        <v>224</v>
      </c>
      <c r="AM199" s="5">
        <f>VLOOKUP($A199,'SegEnds_NonXtal_Prot#'!$A:$AL,32,FALSE)</f>
        <v>264</v>
      </c>
      <c r="AN199" s="5">
        <f>VLOOKUP($A199,'SegEnds_NonXtal_Prot#'!$A:$AL,35,FALSE)</f>
        <v>298</v>
      </c>
      <c r="AO199" s="5">
        <f>VLOOKUP($A199,'SegEnds_NonXtal_Prot#'!$A:$AL,38,FALSE)</f>
        <v>311</v>
      </c>
      <c r="AP199" s="5">
        <f t="shared" si="88"/>
        <v>30</v>
      </c>
      <c r="AQ199" s="4">
        <f t="shared" si="89"/>
        <v>3</v>
      </c>
      <c r="AR199" s="4">
        <f t="shared" si="90"/>
        <v>26</v>
      </c>
      <c r="AS199" s="4" t="str">
        <f t="shared" si="91"/>
        <v>-</v>
      </c>
      <c r="AT199" s="4">
        <f t="shared" si="92"/>
        <v>38</v>
      </c>
      <c r="AU199" s="4">
        <f t="shared" si="93"/>
        <v>7</v>
      </c>
      <c r="AV199" s="4">
        <f t="shared" si="94"/>
        <v>25</v>
      </c>
      <c r="AW199" s="4" t="str">
        <f t="shared" si="95"/>
        <v>-</v>
      </c>
      <c r="AX199" s="4">
        <f t="shared" si="96"/>
        <v>34</v>
      </c>
      <c r="AY199" s="4">
        <f t="shared" si="97"/>
        <v>34</v>
      </c>
      <c r="AZ199" s="4">
        <f t="shared" si="98"/>
        <v>28</v>
      </c>
      <c r="BA199" s="4">
        <f t="shared" si="99"/>
        <v>12</v>
      </c>
    </row>
    <row r="200" spans="1:53" x14ac:dyDescent="0.2">
      <c r="A200" s="1" t="str">
        <f>'SegEnds_NonXtal_Prot#'!A178</f>
        <v>mchr1_human</v>
      </c>
      <c r="B200" s="1" t="str">
        <f t="shared" si="75"/>
        <v>YINIIMPSVFGTICLLGIIGNSTVIFAVVKKWCNNVPDIFIINLSVVDLLFLLGMPFMIHQLMGNGETMCTLITAMDANSQFTSTYILTAMAIDRYLATVHKPSVATLVICLLWALSFISITPVWLYANPDTDLYWFTLYQFFLAFALPFVVITAAYVRILQRMTSSQRSIRLRTKRVTRTAIAICLVFFVCWAPYYVLQLTQLSIFVYLYNAAISLGYANSCLNPFVYIVLCETFRKRLVLSVK</v>
      </c>
      <c r="C200" s="29" t="str">
        <f>IF(ISERROR(MATCH(A200,'SegEnds_Xtal_Prot#'!B:B, 0)), "NoXtal", "Xtal")</f>
        <v>NoXtal</v>
      </c>
      <c r="D200" s="4" t="str">
        <f>VLOOKUP(A200,Classification!A:D,2,FALSE)</f>
        <v>A</v>
      </c>
      <c r="E200" s="5" t="str">
        <f>VLOOKUP(A200,Seqs!A:B,2,FALSE)</f>
        <v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v>
      </c>
      <c r="F200" s="5" t="str">
        <f t="shared" si="76"/>
        <v>YINIIMPSVFGTICLLGIIGNSTVIFAVVKK</v>
      </c>
      <c r="G200" s="4" t="str">
        <f t="shared" si="77"/>
        <v>SKLH</v>
      </c>
      <c r="H200" s="4" t="str">
        <f t="shared" si="78"/>
        <v>WCNNVPDIFIINLSVVDLLFLLGMPFMIHQLMGN</v>
      </c>
      <c r="I200" s="4" t="str">
        <f t="shared" si="79"/>
        <v>VWHF</v>
      </c>
      <c r="J200" s="4" t="str">
        <f t="shared" si="80"/>
        <v>GETMCTLITAMDANSQFTSTYILTAMAIDRYLATVH</v>
      </c>
      <c r="K200" s="4" t="str">
        <f t="shared" si="81"/>
        <v>PISSTKFR</v>
      </c>
      <c r="L200" s="4" t="str">
        <f t="shared" si="82"/>
        <v>KPSVATLVICLLWALSFISITPVWLYA</v>
      </c>
      <c r="M200" s="4" t="str">
        <f t="shared" si="83"/>
        <v>CGI</v>
      </c>
      <c r="N200" s="4" t="str">
        <f t="shared" si="84"/>
        <v>NPDTDLYWFTLYQFFLAFALPFVVITAAYVRILQRMTSS</v>
      </c>
      <c r="O200" s="4" t="str">
        <f t="shared" si="85"/>
        <v>QRSIRLRTKRVTRTAIAICLVFFVCWAPYYVLQLTQLSI</v>
      </c>
      <c r="P200" s="4" t="str">
        <f t="shared" si="86"/>
        <v>FVYLYNAAISLGYANSCLNPFVYIVL</v>
      </c>
      <c r="Q200" s="4" t="str">
        <f t="shared" si="87"/>
        <v>CETFRKRLVLSVK</v>
      </c>
      <c r="R200" s="5">
        <f>VLOOKUP($A200,'SegEnds_NonXtal_Prot#'!$A:$AL,3,FALSE)</f>
        <v>107</v>
      </c>
      <c r="S200" s="5">
        <f>VLOOKUP($A200,'SegEnds_NonXtal_Prot#'!$A:$AL,6,FALSE)</f>
        <v>138</v>
      </c>
      <c r="T200" s="5">
        <f>VLOOKUP($A200,'SegEnds_NonXtal_Prot#'!$A:$AL,9,FALSE)</f>
        <v>142</v>
      </c>
      <c r="U200" s="5">
        <f>VLOOKUP($A200,'SegEnds_NonXtal_Prot#'!$A:$AL,12,FALSE)</f>
        <v>177</v>
      </c>
      <c r="V200" s="5">
        <f>VLOOKUP($A200,'SegEnds_NonXtal_Prot#'!$A:$AL,15,FALSE)</f>
        <v>181</v>
      </c>
      <c r="W200" s="5">
        <f>VLOOKUP($A200,'SegEnds_NonXtal_Prot#'!$A:$AL,18,FALSE)</f>
        <v>217</v>
      </c>
      <c r="X200" s="5">
        <f>VLOOKUP($A200,'SegEnds_NonXtal_Prot#'!$A:$AL,21,FALSE)</f>
        <v>225</v>
      </c>
      <c r="Y200" s="5">
        <f>VLOOKUP($A200,'SegEnds_NonXtal_Prot#'!$A:$AL,24,FALSE)</f>
        <v>263</v>
      </c>
      <c r="Z200" s="5">
        <f>VLOOKUP($A200,'SegEnds_NonXtal_Prot#'!$A:$AL,27,FALSE)</f>
        <v>269</v>
      </c>
      <c r="AA200" s="5">
        <f>VLOOKUP($A200,'SegEnds_NonXtal_Prot#'!$A:$AL,30,FALSE)</f>
        <v>313</v>
      </c>
      <c r="AB200" s="5">
        <f>VLOOKUP($A200,'SegEnds_NonXtal_Prot#'!$A:$AL,33,FALSE)</f>
        <v>358</v>
      </c>
      <c r="AC200" s="5">
        <f>VLOOKUP($A200,'SegEnds_NonXtal_Prot#'!$A:$AL,36,FALSE)</f>
        <v>384</v>
      </c>
      <c r="AD200" s="5">
        <f>VLOOKUP($A200,'SegEnds_NonXtal_Prot#'!$A:$AL,5,FALSE)</f>
        <v>137</v>
      </c>
      <c r="AE200" s="5">
        <f>VLOOKUP($A200,'SegEnds_NonXtal_Prot#'!$A:$AL,8,FALSE)</f>
        <v>141</v>
      </c>
      <c r="AF200" s="5">
        <f>VLOOKUP($A200,'SegEnds_NonXtal_Prot#'!$A:$AL,11,FALSE)</f>
        <v>175</v>
      </c>
      <c r="AG200" s="5">
        <f>VLOOKUP($A200,'SegEnds_NonXtal_Prot#'!$A:$AL,14,FALSE)</f>
        <v>180</v>
      </c>
      <c r="AH200" s="5">
        <f>VLOOKUP($A200,'SegEnds_NonXtal_Prot#'!$A:$AL,17,FALSE)</f>
        <v>216</v>
      </c>
      <c r="AI200" s="5">
        <f>VLOOKUP($A200,'SegEnds_NonXtal_Prot#'!$A:$AL,20,FALSE)</f>
        <v>224</v>
      </c>
      <c r="AJ200" s="5">
        <f>VLOOKUP($A200,'SegEnds_NonXtal_Prot#'!$A:$AL,23,FALSE)</f>
        <v>251</v>
      </c>
      <c r="AK200" s="5">
        <f>VLOOKUP($A200,'SegEnds_NonXtal_Prot#'!$A:$AL,26,FALSE)</f>
        <v>265</v>
      </c>
      <c r="AL200" s="5">
        <f>VLOOKUP($A200,'SegEnds_NonXtal_Prot#'!$A:$AL,29,FALSE)</f>
        <v>307</v>
      </c>
      <c r="AM200" s="5">
        <f>VLOOKUP($A200,'SegEnds_NonXtal_Prot#'!$A:$AL,32,FALSE)</f>
        <v>351</v>
      </c>
      <c r="AN200" s="5">
        <f>VLOOKUP($A200,'SegEnds_NonXtal_Prot#'!$A:$AL,35,FALSE)</f>
        <v>383</v>
      </c>
      <c r="AO200" s="5">
        <f>VLOOKUP($A200,'SegEnds_NonXtal_Prot#'!$A:$AL,38,FALSE)</f>
        <v>396</v>
      </c>
      <c r="AP200" s="5">
        <f t="shared" si="88"/>
        <v>30</v>
      </c>
      <c r="AQ200" s="4">
        <f t="shared" si="89"/>
        <v>3</v>
      </c>
      <c r="AR200" s="4">
        <f t="shared" si="90"/>
        <v>33</v>
      </c>
      <c r="AS200" s="4">
        <f t="shared" si="91"/>
        <v>3</v>
      </c>
      <c r="AT200" s="4">
        <f t="shared" si="92"/>
        <v>35</v>
      </c>
      <c r="AU200" s="4">
        <f t="shared" si="93"/>
        <v>7</v>
      </c>
      <c r="AV200" s="4">
        <f t="shared" si="94"/>
        <v>26</v>
      </c>
      <c r="AW200" s="4">
        <f t="shared" si="95"/>
        <v>2</v>
      </c>
      <c r="AX200" s="4">
        <f t="shared" si="96"/>
        <v>38</v>
      </c>
      <c r="AY200" s="4">
        <f t="shared" si="97"/>
        <v>38</v>
      </c>
      <c r="AZ200" s="4">
        <f t="shared" si="98"/>
        <v>25</v>
      </c>
      <c r="BA200" s="4">
        <f t="shared" si="99"/>
        <v>12</v>
      </c>
    </row>
    <row r="201" spans="1:53" x14ac:dyDescent="0.2">
      <c r="A201" s="1" t="str">
        <f>'SegEnds_NonXtal_Prot#'!A179</f>
        <v>mchr2_human</v>
      </c>
      <c r="B201" s="1" t="str">
        <f t="shared" si="75"/>
        <v>FAYQTASVVDTVILPSMIGIICSTGLVGNILIVFTIIRSTVPDIYICNLAVADLVHIVGMPFLIHQWARGGPLCTIITSLDTCNQFACSAIMTVMSVDRYFALVQTRYKTIRINLGLWAASFILALPVWVYSSPDDVLWYTLYLTITTFFFPLPLILVCYILILCYTWEMYQQNKNPSVPKQRVMKLTKMVLVLVVVFILSAAPYHVIQLVNLQMFYVGYYLSICLSYASSSINPFLYILLSGNFQKRLPQIQRR</v>
      </c>
      <c r="C201" s="29" t="str">
        <f>IF(ISERROR(MATCH(A201,'SegEnds_Xtal_Prot#'!B:B, 0)), "NoXtal", "Xtal")</f>
        <v>NoXtal</v>
      </c>
      <c r="D201" s="4" t="str">
        <f>VLOOKUP(A201,Classification!A:D,2,FALSE)</f>
        <v>A</v>
      </c>
      <c r="E201" s="5" t="str">
        <f>VLOOKUP(A201,Seqs!A:B,2,FALSE)</f>
        <v>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</v>
      </c>
      <c r="F201" s="5" t="str">
        <f t="shared" si="76"/>
        <v>FAYQTASVVDTVILPSMIGIICSTGLVGNILIVFTIIRS</v>
      </c>
      <c r="G201" s="4" t="str">
        <f t="shared" si="77"/>
        <v/>
      </c>
      <c r="H201" s="4" t="str">
        <f t="shared" si="78"/>
        <v>TVPDIYICNLAVADLVHIVGMPFLIHQWAR</v>
      </c>
      <c r="I201" s="4" t="str">
        <f t="shared" si="79"/>
        <v>EWVF</v>
      </c>
      <c r="J201" s="4" t="str">
        <f t="shared" si="80"/>
        <v>GGPLCTIITSLDTCNQFACSAIMTVMSVDRYFALVQ</v>
      </c>
      <c r="K201" s="4" t="str">
        <f t="shared" si="81"/>
        <v>PFRLTRWR</v>
      </c>
      <c r="L201" s="4" t="str">
        <f t="shared" si="82"/>
        <v>TRYKTIRINLGLWAASFILALPVWVYS</v>
      </c>
      <c r="M201" s="4" t="str">
        <f t="shared" si="83"/>
        <v>CAF</v>
      </c>
      <c r="N201" s="4" t="str">
        <f t="shared" si="84"/>
        <v>SPDDVLWYTLYLTITTFFFPLPLILVCYILILCYTWEMYQQNK</v>
      </c>
      <c r="O201" s="4" t="str">
        <f t="shared" si="85"/>
        <v>NPSVPKQRVMKLTKMVLVLVVVFILSAAPYHVIQLVNLQM</v>
      </c>
      <c r="P201" s="4" t="str">
        <f t="shared" si="86"/>
        <v>FYVGYYLSICLSYASSSINPFLYILL</v>
      </c>
      <c r="Q201" s="4" t="str">
        <f t="shared" si="87"/>
        <v>SGNFQKRLPQIQRR</v>
      </c>
      <c r="R201" s="5">
        <f>VLOOKUP($A201,'SegEnds_NonXtal_Prot#'!$A:$AL,3,FALSE)</f>
        <v>24</v>
      </c>
      <c r="S201" s="5" t="str">
        <f>VLOOKUP($A201,'SegEnds_NonXtal_Prot#'!$A:$AL,6,FALSE)</f>
        <v>-</v>
      </c>
      <c r="T201" s="5">
        <f>VLOOKUP($A201,'SegEnds_NonXtal_Prot#'!$A:$AL,9,FALSE)</f>
        <v>66</v>
      </c>
      <c r="U201" s="5">
        <f>VLOOKUP($A201,'SegEnds_NonXtal_Prot#'!$A:$AL,12,FALSE)</f>
        <v>98</v>
      </c>
      <c r="V201" s="5">
        <f>VLOOKUP($A201,'SegEnds_NonXtal_Prot#'!$A:$AL,15,FALSE)</f>
        <v>102</v>
      </c>
      <c r="W201" s="5">
        <f>VLOOKUP($A201,'SegEnds_NonXtal_Prot#'!$A:$AL,18,FALSE)</f>
        <v>138</v>
      </c>
      <c r="X201" s="5">
        <f>VLOOKUP($A201,'SegEnds_NonXtal_Prot#'!$A:$AL,21,FALSE)</f>
        <v>146</v>
      </c>
      <c r="Y201" s="5">
        <f>VLOOKUP($A201,'SegEnds_NonXtal_Prot#'!$A:$AL,24,FALSE)</f>
        <v>184</v>
      </c>
      <c r="Z201" s="5">
        <f>VLOOKUP($A201,'SegEnds_NonXtal_Prot#'!$A:$AL,27,FALSE)</f>
        <v>190</v>
      </c>
      <c r="AA201" s="5">
        <f>VLOOKUP($A201,'SegEnds_NonXtal_Prot#'!$A:$AL,30,FALSE)</f>
        <v>238</v>
      </c>
      <c r="AB201" s="5">
        <f>VLOOKUP($A201,'SegEnds_NonXtal_Prot#'!$A:$AL,33,FALSE)</f>
        <v>284</v>
      </c>
      <c r="AC201" s="5">
        <f>VLOOKUP($A201,'SegEnds_NonXtal_Prot#'!$A:$AL,36,FALSE)</f>
        <v>310</v>
      </c>
      <c r="AD201" s="5">
        <f>VLOOKUP($A201,'SegEnds_NonXtal_Prot#'!$A:$AL,5,FALSE)</f>
        <v>62</v>
      </c>
      <c r="AE201" s="5" t="str">
        <f>VLOOKUP($A201,'SegEnds_NonXtal_Prot#'!$A:$AL,8,FALSE)</f>
        <v>-</v>
      </c>
      <c r="AF201" s="5">
        <f>VLOOKUP($A201,'SegEnds_NonXtal_Prot#'!$A:$AL,11,FALSE)</f>
        <v>95</v>
      </c>
      <c r="AG201" s="5">
        <f>VLOOKUP($A201,'SegEnds_NonXtal_Prot#'!$A:$AL,14,FALSE)</f>
        <v>101</v>
      </c>
      <c r="AH201" s="5">
        <f>VLOOKUP($A201,'SegEnds_NonXtal_Prot#'!$A:$AL,17,FALSE)</f>
        <v>137</v>
      </c>
      <c r="AI201" s="5">
        <f>VLOOKUP($A201,'SegEnds_NonXtal_Prot#'!$A:$AL,20,FALSE)</f>
        <v>145</v>
      </c>
      <c r="AJ201" s="5">
        <f>VLOOKUP($A201,'SegEnds_NonXtal_Prot#'!$A:$AL,23,FALSE)</f>
        <v>172</v>
      </c>
      <c r="AK201" s="5">
        <f>VLOOKUP($A201,'SegEnds_NonXtal_Prot#'!$A:$AL,26,FALSE)</f>
        <v>186</v>
      </c>
      <c r="AL201" s="5">
        <f>VLOOKUP($A201,'SegEnds_NonXtal_Prot#'!$A:$AL,29,FALSE)</f>
        <v>232</v>
      </c>
      <c r="AM201" s="5">
        <f>VLOOKUP($A201,'SegEnds_NonXtal_Prot#'!$A:$AL,32,FALSE)</f>
        <v>277</v>
      </c>
      <c r="AN201" s="5">
        <f>VLOOKUP($A201,'SegEnds_NonXtal_Prot#'!$A:$AL,35,FALSE)</f>
        <v>309</v>
      </c>
      <c r="AO201" s="5">
        <f>VLOOKUP($A201,'SegEnds_NonXtal_Prot#'!$A:$AL,38,FALSE)</f>
        <v>323</v>
      </c>
      <c r="AP201" s="5">
        <f t="shared" si="88"/>
        <v>38</v>
      </c>
      <c r="AQ201" s="4" t="str">
        <f t="shared" si="89"/>
        <v>-</v>
      </c>
      <c r="AR201" s="4">
        <f t="shared" si="90"/>
        <v>29</v>
      </c>
      <c r="AS201" s="4">
        <f t="shared" si="91"/>
        <v>3</v>
      </c>
      <c r="AT201" s="4">
        <f t="shared" si="92"/>
        <v>35</v>
      </c>
      <c r="AU201" s="4">
        <f t="shared" si="93"/>
        <v>7</v>
      </c>
      <c r="AV201" s="4">
        <f t="shared" si="94"/>
        <v>26</v>
      </c>
      <c r="AW201" s="4">
        <f t="shared" si="95"/>
        <v>2</v>
      </c>
      <c r="AX201" s="4">
        <f t="shared" si="96"/>
        <v>42</v>
      </c>
      <c r="AY201" s="4">
        <f t="shared" si="97"/>
        <v>39</v>
      </c>
      <c r="AZ201" s="4">
        <f t="shared" si="98"/>
        <v>25</v>
      </c>
      <c r="BA201" s="4">
        <f t="shared" si="99"/>
        <v>13</v>
      </c>
    </row>
    <row r="202" spans="1:53" x14ac:dyDescent="0.2">
      <c r="A202" s="1" t="str">
        <f>'SegEnds_NonXtal_Prot#'!A181</f>
        <v>mrgre_human</v>
      </c>
      <c r="B202" s="1" t="str">
        <f t="shared" si="75"/>
        <v>GAQEDVAFNLIILSLTEGLGLGGLLGNGAVLWLLSSNNPFAIYLLDVACADLIFLGCHMVAIVPDLLPGFVQTSLATLRFFCYIVGLSLLAAVSVEQCLAALFPRHLTTCVCALTWALCLLLHLLLSGACHLCRTLWLVAAVLLALLCCTMCGASLMLLLRVERGPQPRGFPGLILLTVLLFLFCGLPFGIYWLSRNLLHYFYHFSFLMAAVHCAAKPVVYFCLGSAQGRRLPLRLV</v>
      </c>
      <c r="C202" s="29" t="str">
        <f>IF(ISERROR(MATCH(A202,'SegEnds_Xtal_Prot#'!B:B, 0)), "NoXtal", "Xtal")</f>
        <v>NoXtal</v>
      </c>
      <c r="D202" s="4" t="str">
        <f>VLOOKUP(A202,Classification!A:D,2,FALSE)</f>
        <v>A</v>
      </c>
      <c r="E202" s="5" t="str">
        <f>VLOOKUP(A202,Seqs!A:B,2,FALSE)</f>
        <v>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</v>
      </c>
      <c r="F202" s="5" t="str">
        <f t="shared" si="76"/>
        <v>GAQEDVAFNLIILSLTEGLGLGGLLGNGAVLWLLSSN</v>
      </c>
      <c r="G202" s="4" t="str">
        <f t="shared" si="77"/>
        <v/>
      </c>
      <c r="H202" s="4" t="str">
        <f t="shared" si="78"/>
        <v>NPFAIYLLDVACADLIFLGCHMVAIVPDLL</v>
      </c>
      <c r="I202" s="4" t="str">
        <f t="shared" si="79"/>
        <v/>
      </c>
      <c r="J202" s="4" t="str">
        <f t="shared" si="80"/>
        <v>PGFVQTSLATLRFFCYIVGLSLLAAVSVEQCLAALF</v>
      </c>
      <c r="K202" s="4" t="str">
        <f t="shared" si="81"/>
        <v>PAWYSCRR</v>
      </c>
      <c r="L202" s="4" t="str">
        <f t="shared" si="82"/>
        <v>PRHLTTCVCALTWALCLLLHLLLSGAC</v>
      </c>
      <c r="M202" s="4" t="str">
        <f t="shared" si="83"/>
        <v/>
      </c>
      <c r="N202" s="4" t="str">
        <f t="shared" si="84"/>
        <v>HLCRTLWLVAAVLLALLCCTMCGASLMLLLRVERGPQ</v>
      </c>
      <c r="O202" s="4" t="str">
        <f t="shared" si="85"/>
        <v>PRGFPGLILLTVLLFLFCGLPFGIYWLSRNLL</v>
      </c>
      <c r="P202" s="4" t="str">
        <f t="shared" si="86"/>
        <v>HYFYHFSFLMAAVHCAAKPVVYFCL</v>
      </c>
      <c r="Q202" s="4" t="str">
        <f t="shared" si="87"/>
        <v>GSAQGRRLPLRLV</v>
      </c>
      <c r="R202" s="5">
        <f>VLOOKUP($A202,'SegEnds_NonXtal_Prot#'!$A:$AL,3,FALSE)</f>
        <v>16</v>
      </c>
      <c r="S202" s="5" t="str">
        <f>VLOOKUP($A202,'SegEnds_NonXtal_Prot#'!$A:$AL,6,FALSE)</f>
        <v>-</v>
      </c>
      <c r="T202" s="5">
        <f>VLOOKUP($A202,'SegEnds_NonXtal_Prot#'!$A:$AL,9,FALSE)</f>
        <v>56</v>
      </c>
      <c r="U202" s="5" t="str">
        <f>VLOOKUP($A202,'SegEnds_NonXtal_Prot#'!$A:$AL,12,FALSE)</f>
        <v>-</v>
      </c>
      <c r="V202" s="5">
        <f>VLOOKUP($A202,'SegEnds_NonXtal_Prot#'!$A:$AL,15,FALSE)</f>
        <v>92</v>
      </c>
      <c r="W202" s="5">
        <f>VLOOKUP($A202,'SegEnds_NonXtal_Prot#'!$A:$AL,18,FALSE)</f>
        <v>128</v>
      </c>
      <c r="X202" s="5">
        <f>VLOOKUP($A202,'SegEnds_NonXtal_Prot#'!$A:$AL,21,FALSE)</f>
        <v>136</v>
      </c>
      <c r="Y202" s="5" t="str">
        <f>VLOOKUP($A202,'SegEnds_NonXtal_Prot#'!$A:$AL,24,FALSE)</f>
        <v>-</v>
      </c>
      <c r="Z202" s="5">
        <f>VLOOKUP($A202,'SegEnds_NonXtal_Prot#'!$A:$AL,27,FALSE)</f>
        <v>172</v>
      </c>
      <c r="AA202" s="5">
        <f>VLOOKUP($A202,'SegEnds_NonXtal_Prot#'!$A:$AL,30,FALSE)</f>
        <v>212</v>
      </c>
      <c r="AB202" s="5">
        <f>VLOOKUP($A202,'SegEnds_NonXtal_Prot#'!$A:$AL,33,FALSE)</f>
        <v>248</v>
      </c>
      <c r="AC202" s="5">
        <f>VLOOKUP($A202,'SegEnds_NonXtal_Prot#'!$A:$AL,36,FALSE)</f>
        <v>273</v>
      </c>
      <c r="AD202" s="5">
        <f>VLOOKUP($A202,'SegEnds_NonXtal_Prot#'!$A:$AL,5,FALSE)</f>
        <v>52</v>
      </c>
      <c r="AE202" s="5" t="str">
        <f>VLOOKUP($A202,'SegEnds_NonXtal_Prot#'!$A:$AL,8,FALSE)</f>
        <v>-</v>
      </c>
      <c r="AF202" s="5">
        <f>VLOOKUP($A202,'SegEnds_NonXtal_Prot#'!$A:$AL,11,FALSE)</f>
        <v>85</v>
      </c>
      <c r="AG202" s="5" t="str">
        <f>VLOOKUP($A202,'SegEnds_NonXtal_Prot#'!$A:$AL,14,FALSE)</f>
        <v>-</v>
      </c>
      <c r="AH202" s="5">
        <f>VLOOKUP($A202,'SegEnds_NonXtal_Prot#'!$A:$AL,17,FALSE)</f>
        <v>127</v>
      </c>
      <c r="AI202" s="5">
        <f>VLOOKUP($A202,'SegEnds_NonXtal_Prot#'!$A:$AL,20,FALSE)</f>
        <v>135</v>
      </c>
      <c r="AJ202" s="5">
        <f>VLOOKUP($A202,'SegEnds_NonXtal_Prot#'!$A:$AL,23,FALSE)</f>
        <v>162</v>
      </c>
      <c r="AK202" s="5" t="str">
        <f>VLOOKUP($A202,'SegEnds_NonXtal_Prot#'!$A:$AL,26,FALSE)</f>
        <v>-</v>
      </c>
      <c r="AL202" s="5">
        <f>VLOOKUP($A202,'SegEnds_NonXtal_Prot#'!$A:$AL,29,FALSE)</f>
        <v>208</v>
      </c>
      <c r="AM202" s="5">
        <f>VLOOKUP($A202,'SegEnds_NonXtal_Prot#'!$A:$AL,32,FALSE)</f>
        <v>243</v>
      </c>
      <c r="AN202" s="5">
        <f>VLOOKUP($A202,'SegEnds_NonXtal_Prot#'!$A:$AL,35,FALSE)</f>
        <v>272</v>
      </c>
      <c r="AO202" s="5">
        <f>VLOOKUP($A202,'SegEnds_NonXtal_Prot#'!$A:$AL,38,FALSE)</f>
        <v>285</v>
      </c>
      <c r="AP202" s="5">
        <f t="shared" si="88"/>
        <v>36</v>
      </c>
      <c r="AQ202" s="4" t="str">
        <f t="shared" si="89"/>
        <v>-</v>
      </c>
      <c r="AR202" s="4">
        <f t="shared" si="90"/>
        <v>29</v>
      </c>
      <c r="AS202" s="4" t="str">
        <f t="shared" si="91"/>
        <v>-</v>
      </c>
      <c r="AT202" s="4">
        <f t="shared" si="92"/>
        <v>35</v>
      </c>
      <c r="AU202" s="4">
        <f t="shared" si="93"/>
        <v>7</v>
      </c>
      <c r="AV202" s="4">
        <f t="shared" si="94"/>
        <v>26</v>
      </c>
      <c r="AW202" s="4" t="str">
        <f t="shared" si="95"/>
        <v>-</v>
      </c>
      <c r="AX202" s="4">
        <f t="shared" si="96"/>
        <v>36</v>
      </c>
      <c r="AY202" s="4">
        <f t="shared" si="97"/>
        <v>31</v>
      </c>
      <c r="AZ202" s="4">
        <f t="shared" si="98"/>
        <v>24</v>
      </c>
      <c r="BA202" s="4">
        <f t="shared" si="99"/>
        <v>12</v>
      </c>
    </row>
    <row r="203" spans="1:53" x14ac:dyDescent="0.2">
      <c r="A203" s="1" t="str">
        <f>'SegEnds_NonXtal_Prot#'!A182</f>
        <v>mrgrf_human</v>
      </c>
      <c r="B203" s="1" t="str">
        <f t="shared" si="75"/>
        <v>LPPPAVMNYIFLLLCLCGLVGNGLVLWFFGFSNPFSIYFLHLASADVGYLFSKAVFSILNTGGADYIRSVCRVLGLCMFLTGVSLLPAVSAERCASVIFPKRLSAVVCALLWVLSLLVTCLHNYFCAACRHMDIFLGILLFLLCCPLMVLPCLALILHVECRARSAKLNHVILAMVSVFLVSSIYLGIDWFLFWVFPFPEYVTDLCICINSSAKPIVYFLAGRDKSQRLWE</v>
      </c>
      <c r="C203" s="29" t="str">
        <f>IF(ISERROR(MATCH(A203,'SegEnds_Xtal_Prot#'!B:B, 0)), "NoXtal", "Xtal")</f>
        <v>NoXtal</v>
      </c>
      <c r="D203" s="4" t="str">
        <f>VLOOKUP(A203,Classification!A:D,2,FALSE)</f>
        <v>A</v>
      </c>
      <c r="E203" s="5" t="str">
        <f>VLOOKUP(A203,Seqs!A:B,2,FALSE)</f>
        <v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v>
      </c>
      <c r="F203" s="5" t="str">
        <f t="shared" si="76"/>
        <v>LPPPAVMNYIFLLLCLCGLVGNGLVLWFFGFS</v>
      </c>
      <c r="G203" s="4" t="str">
        <f t="shared" si="77"/>
        <v/>
      </c>
      <c r="H203" s="4" t="str">
        <f t="shared" si="78"/>
        <v>NPFSIYFLHLASADVGYLFSKAVFSILNTGG</v>
      </c>
      <c r="I203" s="4" t="str">
        <f t="shared" si="79"/>
        <v/>
      </c>
      <c r="J203" s="4" t="str">
        <f t="shared" si="80"/>
        <v>ADYIRSVCRVLGLCMFLTGVSLLPAVSAERCASVIF</v>
      </c>
      <c r="K203" s="4" t="str">
        <f t="shared" si="81"/>
        <v>PAWYWRRR</v>
      </c>
      <c r="L203" s="4" t="str">
        <f t="shared" si="82"/>
        <v>PKRLSAVVCALLWVLSLLVTCLHNYFC</v>
      </c>
      <c r="M203" s="4" t="str">
        <f t="shared" si="83"/>
        <v/>
      </c>
      <c r="N203" s="4" t="str">
        <f t="shared" si="84"/>
        <v>AACRHMDIFLGILLFLLCCPLMVLPCLALILHVECRAR</v>
      </c>
      <c r="O203" s="4" t="str">
        <f t="shared" si="85"/>
        <v>SAKLNHVILAMVSVFLVSSIYLGIDWFLFWVF</v>
      </c>
      <c r="P203" s="4" t="str">
        <f t="shared" si="86"/>
        <v>PFPEYVTDLCICINSSAKPIVYFLA</v>
      </c>
      <c r="Q203" s="4" t="str">
        <f t="shared" si="87"/>
        <v>GRDKSQRLWE</v>
      </c>
      <c r="R203" s="5">
        <f>VLOOKUP($A203,'SegEnds_NonXtal_Prot#'!$A:$AL,3,FALSE)</f>
        <v>41</v>
      </c>
      <c r="S203" s="5" t="str">
        <f>VLOOKUP($A203,'SegEnds_NonXtal_Prot#'!$A:$AL,6,FALSE)</f>
        <v>-</v>
      </c>
      <c r="T203" s="5">
        <f>VLOOKUP($A203,'SegEnds_NonXtal_Prot#'!$A:$AL,9,FALSE)</f>
        <v>76</v>
      </c>
      <c r="U203" s="5" t="str">
        <f>VLOOKUP($A203,'SegEnds_NonXtal_Prot#'!$A:$AL,12,FALSE)</f>
        <v>-</v>
      </c>
      <c r="V203" s="5">
        <f>VLOOKUP($A203,'SegEnds_NonXtal_Prot#'!$A:$AL,15,FALSE)</f>
        <v>112</v>
      </c>
      <c r="W203" s="5">
        <f>VLOOKUP($A203,'SegEnds_NonXtal_Prot#'!$A:$AL,18,FALSE)</f>
        <v>148</v>
      </c>
      <c r="X203" s="5">
        <f>VLOOKUP($A203,'SegEnds_NonXtal_Prot#'!$A:$AL,21,FALSE)</f>
        <v>156</v>
      </c>
      <c r="Y203" s="5" t="str">
        <f>VLOOKUP($A203,'SegEnds_NonXtal_Prot#'!$A:$AL,24,FALSE)</f>
        <v>-</v>
      </c>
      <c r="Z203" s="5">
        <f>VLOOKUP($A203,'SegEnds_NonXtal_Prot#'!$A:$AL,27,FALSE)</f>
        <v>192</v>
      </c>
      <c r="AA203" s="5">
        <f>VLOOKUP($A203,'SegEnds_NonXtal_Prot#'!$A:$AL,30,FALSE)</f>
        <v>234</v>
      </c>
      <c r="AB203" s="5">
        <f>VLOOKUP($A203,'SegEnds_NonXtal_Prot#'!$A:$AL,33,FALSE)</f>
        <v>270</v>
      </c>
      <c r="AC203" s="5">
        <f>VLOOKUP($A203,'SegEnds_NonXtal_Prot#'!$A:$AL,36,FALSE)</f>
        <v>295</v>
      </c>
      <c r="AD203" s="5">
        <f>VLOOKUP($A203,'SegEnds_NonXtal_Prot#'!$A:$AL,5,FALSE)</f>
        <v>72</v>
      </c>
      <c r="AE203" s="5" t="str">
        <f>VLOOKUP($A203,'SegEnds_NonXtal_Prot#'!$A:$AL,8,FALSE)</f>
        <v>-</v>
      </c>
      <c r="AF203" s="5">
        <f>VLOOKUP($A203,'SegEnds_NonXtal_Prot#'!$A:$AL,11,FALSE)</f>
        <v>106</v>
      </c>
      <c r="AG203" s="5" t="str">
        <f>VLOOKUP($A203,'SegEnds_NonXtal_Prot#'!$A:$AL,14,FALSE)</f>
        <v>-</v>
      </c>
      <c r="AH203" s="5">
        <f>VLOOKUP($A203,'SegEnds_NonXtal_Prot#'!$A:$AL,17,FALSE)</f>
        <v>147</v>
      </c>
      <c r="AI203" s="5">
        <f>VLOOKUP($A203,'SegEnds_NonXtal_Prot#'!$A:$AL,20,FALSE)</f>
        <v>155</v>
      </c>
      <c r="AJ203" s="5">
        <f>VLOOKUP($A203,'SegEnds_NonXtal_Prot#'!$A:$AL,23,FALSE)</f>
        <v>182</v>
      </c>
      <c r="AK203" s="5" t="str">
        <f>VLOOKUP($A203,'SegEnds_NonXtal_Prot#'!$A:$AL,26,FALSE)</f>
        <v>-</v>
      </c>
      <c r="AL203" s="5">
        <f>VLOOKUP($A203,'SegEnds_NonXtal_Prot#'!$A:$AL,29,FALSE)</f>
        <v>229</v>
      </c>
      <c r="AM203" s="5">
        <f>VLOOKUP($A203,'SegEnds_NonXtal_Prot#'!$A:$AL,32,FALSE)</f>
        <v>265</v>
      </c>
      <c r="AN203" s="5">
        <f>VLOOKUP($A203,'SegEnds_NonXtal_Prot#'!$A:$AL,35,FALSE)</f>
        <v>294</v>
      </c>
      <c r="AO203" s="5">
        <f>VLOOKUP($A203,'SegEnds_NonXtal_Prot#'!$A:$AL,38,FALSE)</f>
        <v>304</v>
      </c>
      <c r="AP203" s="5">
        <f t="shared" si="88"/>
        <v>31</v>
      </c>
      <c r="AQ203" s="4" t="str">
        <f t="shared" si="89"/>
        <v>-</v>
      </c>
      <c r="AR203" s="4">
        <f t="shared" si="90"/>
        <v>30</v>
      </c>
      <c r="AS203" s="4" t="str">
        <f t="shared" si="91"/>
        <v>-</v>
      </c>
      <c r="AT203" s="4">
        <f t="shared" si="92"/>
        <v>35</v>
      </c>
      <c r="AU203" s="4">
        <f t="shared" si="93"/>
        <v>7</v>
      </c>
      <c r="AV203" s="4">
        <f t="shared" si="94"/>
        <v>26</v>
      </c>
      <c r="AW203" s="4" t="str">
        <f t="shared" si="95"/>
        <v>-</v>
      </c>
      <c r="AX203" s="4">
        <f t="shared" si="96"/>
        <v>37</v>
      </c>
      <c r="AY203" s="4">
        <f t="shared" si="97"/>
        <v>31</v>
      </c>
      <c r="AZ203" s="4">
        <f t="shared" si="98"/>
        <v>24</v>
      </c>
      <c r="BA203" s="4">
        <f t="shared" si="99"/>
        <v>9</v>
      </c>
    </row>
    <row r="204" spans="1:53" x14ac:dyDescent="0.2">
      <c r="A204" s="1" t="str">
        <f>'SegEnds_NonXtal_Prot#'!A184</f>
        <v>mrgx1_human</v>
      </c>
      <c r="B204" s="1" t="str">
        <f t="shared" si="75"/>
        <v>KQTLSLTVLTCIVSLVGLTGNAVVLWLLGCRNAFSIYILNLAAADFLFLSGRLIYSLLSFIISKILYPVMMFSYFAGLSFLSAVSTERCLSVLWPTHLSAVVCVLLWALSLLRSILEWMLCCQTSDFITVAWLIFLCVVLCGSSLVLLIRILCGSRLTRLYVTILLTVLVFLLCGLPFGIQFFLFLWIEVLFCHVHLVSIFLSALNSSANPIIYFFVGSFRQRQNRQNLKLV</v>
      </c>
      <c r="C204" s="29" t="str">
        <f>IF(ISERROR(MATCH(A204,'SegEnds_Xtal_Prot#'!B:B, 0)), "NoXtal", "Xtal")</f>
        <v>NoXtal</v>
      </c>
      <c r="D204" s="4" t="str">
        <f>VLOOKUP(A204,Classification!A:D,2,FALSE)</f>
        <v>A</v>
      </c>
      <c r="E204" s="5" t="str">
        <f>VLOOKUP(A204,Seqs!A:B,2,FALSE)</f>
        <v>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</v>
      </c>
      <c r="F204" s="5" t="str">
        <f t="shared" si="76"/>
        <v>KQTLSLTVLTCIVSLVGLTGNAVVLWLLGCR</v>
      </c>
      <c r="G204" s="4" t="str">
        <f t="shared" si="77"/>
        <v/>
      </c>
      <c r="H204" s="4" t="str">
        <f t="shared" si="78"/>
        <v>NAFSIYILNLAAADFLFLSGRLIYSLLSFI</v>
      </c>
      <c r="I204" s="4" t="str">
        <f t="shared" si="79"/>
        <v/>
      </c>
      <c r="J204" s="4" t="str">
        <f t="shared" si="80"/>
        <v>ISKILYPVMMFSYFAGLSFLSAVSTERCLSVLW</v>
      </c>
      <c r="K204" s="4" t="str">
        <f t="shared" si="81"/>
        <v>PIWYRCHR</v>
      </c>
      <c r="L204" s="4" t="str">
        <f t="shared" si="82"/>
        <v>PTHLSAVVCVLLWALSLLRSILEWMLC</v>
      </c>
      <c r="M204" s="4" t="str">
        <f t="shared" si="83"/>
        <v/>
      </c>
      <c r="N204" s="4" t="str">
        <f t="shared" si="84"/>
        <v>CQTSDFITVAWLIFLCVVLCGSSLVLLIRILCGSR</v>
      </c>
      <c r="O204" s="4" t="str">
        <f t="shared" si="85"/>
        <v>LTRLYVTILLTVLVFLLCGLPFGIQFFLFLWI</v>
      </c>
      <c r="P204" s="4" t="str">
        <f t="shared" si="86"/>
        <v>EVLFCHVHLVSIFLSALNSSANPIIYFFV</v>
      </c>
      <c r="Q204" s="4" t="str">
        <f t="shared" si="87"/>
        <v>GSFRQRQNRQNLKLV</v>
      </c>
      <c r="R204" s="5">
        <f>VLOOKUP($A204,'SegEnds_NonXtal_Prot#'!$A:$AL,3,FALSE)</f>
        <v>25</v>
      </c>
      <c r="S204" s="5" t="str">
        <f>VLOOKUP($A204,'SegEnds_NonXtal_Prot#'!$A:$AL,6,FALSE)</f>
        <v>-</v>
      </c>
      <c r="T204" s="5">
        <f>VLOOKUP($A204,'SegEnds_NonXtal_Prot#'!$A:$AL,9,FALSE)</f>
        <v>59</v>
      </c>
      <c r="U204" s="5" t="str">
        <f>VLOOKUP($A204,'SegEnds_NonXtal_Prot#'!$A:$AL,12,FALSE)</f>
        <v>-</v>
      </c>
      <c r="V204" s="5">
        <f>VLOOKUP($A204,'SegEnds_NonXtal_Prot#'!$A:$AL,15,FALSE)</f>
        <v>94</v>
      </c>
      <c r="W204" s="5">
        <f>VLOOKUP($A204,'SegEnds_NonXtal_Prot#'!$A:$AL,18,FALSE)</f>
        <v>127</v>
      </c>
      <c r="X204" s="5">
        <f>VLOOKUP($A204,'SegEnds_NonXtal_Prot#'!$A:$AL,21,FALSE)</f>
        <v>135</v>
      </c>
      <c r="Y204" s="5" t="str">
        <f>VLOOKUP($A204,'SegEnds_NonXtal_Prot#'!$A:$AL,24,FALSE)</f>
        <v>-</v>
      </c>
      <c r="Z204" s="5">
        <f>VLOOKUP($A204,'SegEnds_NonXtal_Prot#'!$A:$AL,27,FALSE)</f>
        <v>173</v>
      </c>
      <c r="AA204" s="5">
        <f>VLOOKUP($A204,'SegEnds_NonXtal_Prot#'!$A:$AL,30,FALSE)</f>
        <v>211</v>
      </c>
      <c r="AB204" s="5">
        <f>VLOOKUP($A204,'SegEnds_NonXtal_Prot#'!$A:$AL,33,FALSE)</f>
        <v>247</v>
      </c>
      <c r="AC204" s="5">
        <f>VLOOKUP($A204,'SegEnds_NonXtal_Prot#'!$A:$AL,36,FALSE)</f>
        <v>276</v>
      </c>
      <c r="AD204" s="5">
        <f>VLOOKUP($A204,'SegEnds_NonXtal_Prot#'!$A:$AL,5,FALSE)</f>
        <v>55</v>
      </c>
      <c r="AE204" s="5" t="str">
        <f>VLOOKUP($A204,'SegEnds_NonXtal_Prot#'!$A:$AL,8,FALSE)</f>
        <v>-</v>
      </c>
      <c r="AF204" s="5">
        <f>VLOOKUP($A204,'SegEnds_NonXtal_Prot#'!$A:$AL,11,FALSE)</f>
        <v>88</v>
      </c>
      <c r="AG204" s="5" t="str">
        <f>VLOOKUP($A204,'SegEnds_NonXtal_Prot#'!$A:$AL,14,FALSE)</f>
        <v>-</v>
      </c>
      <c r="AH204" s="5">
        <f>VLOOKUP($A204,'SegEnds_NonXtal_Prot#'!$A:$AL,17,FALSE)</f>
        <v>126</v>
      </c>
      <c r="AI204" s="5">
        <f>VLOOKUP($A204,'SegEnds_NonXtal_Prot#'!$A:$AL,20,FALSE)</f>
        <v>134</v>
      </c>
      <c r="AJ204" s="5">
        <f>VLOOKUP($A204,'SegEnds_NonXtal_Prot#'!$A:$AL,23,FALSE)</f>
        <v>161</v>
      </c>
      <c r="AK204" s="5" t="str">
        <f>VLOOKUP($A204,'SegEnds_NonXtal_Prot#'!$A:$AL,26,FALSE)</f>
        <v>-</v>
      </c>
      <c r="AL204" s="5">
        <f>VLOOKUP($A204,'SegEnds_NonXtal_Prot#'!$A:$AL,29,FALSE)</f>
        <v>207</v>
      </c>
      <c r="AM204" s="5">
        <f>VLOOKUP($A204,'SegEnds_NonXtal_Prot#'!$A:$AL,32,FALSE)</f>
        <v>242</v>
      </c>
      <c r="AN204" s="5">
        <f>VLOOKUP($A204,'SegEnds_NonXtal_Prot#'!$A:$AL,35,FALSE)</f>
        <v>275</v>
      </c>
      <c r="AO204" s="5">
        <f>VLOOKUP($A204,'SegEnds_NonXtal_Prot#'!$A:$AL,38,FALSE)</f>
        <v>290</v>
      </c>
      <c r="AP204" s="5">
        <f t="shared" si="88"/>
        <v>30</v>
      </c>
      <c r="AQ204" s="4" t="str">
        <f t="shared" si="89"/>
        <v>-</v>
      </c>
      <c r="AR204" s="4">
        <f t="shared" si="90"/>
        <v>29</v>
      </c>
      <c r="AS204" s="4" t="str">
        <f t="shared" si="91"/>
        <v>-</v>
      </c>
      <c r="AT204" s="4">
        <f t="shared" si="92"/>
        <v>32</v>
      </c>
      <c r="AU204" s="4">
        <f t="shared" si="93"/>
        <v>7</v>
      </c>
      <c r="AV204" s="4">
        <f t="shared" si="94"/>
        <v>26</v>
      </c>
      <c r="AW204" s="4" t="str">
        <f t="shared" si="95"/>
        <v>-</v>
      </c>
      <c r="AX204" s="4">
        <f t="shared" si="96"/>
        <v>34</v>
      </c>
      <c r="AY204" s="4">
        <f t="shared" si="97"/>
        <v>31</v>
      </c>
      <c r="AZ204" s="4">
        <f t="shared" si="98"/>
        <v>28</v>
      </c>
      <c r="BA204" s="4">
        <f t="shared" si="99"/>
        <v>14</v>
      </c>
    </row>
    <row r="205" spans="1:53" x14ac:dyDescent="0.2">
      <c r="A205" s="1" t="str">
        <f>'SegEnds_NonXtal_Prot#'!A185</f>
        <v>mrgx2_human</v>
      </c>
      <c r="B205" s="1" t="str">
        <f t="shared" si="75"/>
        <v>GKETLIPVFLILFIALVGLVGNGFVLWLLGFRNAFSVYVLSLAGADFLFLCFQIINCLVYLSNSINFPSFFTTVMTCAYLAGLSMLSTVSTERCLSVLWPRHLSAVVCVLLWALSLLLSILEGKFCSGWCQTFDFITAAWLIFLFMVLCGSSLALLVRILCGSRLTRLYLTILLTVLVFLLCGLPFGIQWFLILWIDVLFCHIHPVSVVLSSLNSSANPIIYFFVGSFRKQWRLQ</v>
      </c>
      <c r="C205" s="29" t="str">
        <f>IF(ISERROR(MATCH(A205,'SegEnds_Xtal_Prot#'!B:B, 0)), "NoXtal", "Xtal")</f>
        <v>NoXtal</v>
      </c>
      <c r="D205" s="4" t="str">
        <f>VLOOKUP(A205,Classification!A:D,2,FALSE)</f>
        <v>A</v>
      </c>
      <c r="E205" s="5" t="str">
        <f>VLOOKUP(A205,Seqs!A:B,2,FALSE)</f>
        <v>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</v>
      </c>
      <c r="F205" s="5" t="str">
        <f t="shared" si="76"/>
        <v>GKETLIPVFLILFIALVGLVGNGFVLWLLGFR</v>
      </c>
      <c r="G205" s="4" t="str">
        <f t="shared" si="77"/>
        <v/>
      </c>
      <c r="H205" s="4" t="str">
        <f t="shared" si="78"/>
        <v>NAFSVYVLSLAGADFLFLCFQIINCLVYLSN</v>
      </c>
      <c r="I205" s="4" t="str">
        <f t="shared" si="79"/>
        <v/>
      </c>
      <c r="J205" s="4" t="str">
        <f t="shared" si="80"/>
        <v>SINFPSFFTTVMTCAYLAGLSMLSTVSTERCLSVLW</v>
      </c>
      <c r="K205" s="4" t="str">
        <f t="shared" si="81"/>
        <v>PIWYRCRR</v>
      </c>
      <c r="L205" s="4" t="str">
        <f t="shared" si="82"/>
        <v>PRHLSAVVCVLLWALSLLLSILEGKFC</v>
      </c>
      <c r="M205" s="4" t="str">
        <f t="shared" si="83"/>
        <v/>
      </c>
      <c r="N205" s="4" t="str">
        <f t="shared" si="84"/>
        <v>SGWCQTFDFITAAWLIFLFMVLCGSSLALLVRILCGSR</v>
      </c>
      <c r="O205" s="4" t="str">
        <f t="shared" si="85"/>
        <v>LTRLYLTILLTVLVFLLCGLPFGIQWFLILWI</v>
      </c>
      <c r="P205" s="4" t="str">
        <f t="shared" si="86"/>
        <v>DVLFCHIHPVSVVLSSLNSSANPIIYFFV</v>
      </c>
      <c r="Q205" s="4" t="str">
        <f t="shared" si="87"/>
        <v>GSFRKQWRLQ</v>
      </c>
      <c r="R205" s="5">
        <f>VLOOKUP($A205,'SegEnds_NonXtal_Prot#'!$A:$AL,3,FALSE)</f>
        <v>27</v>
      </c>
      <c r="S205" s="5" t="str">
        <f>VLOOKUP($A205,'SegEnds_NonXtal_Prot#'!$A:$AL,6,FALSE)</f>
        <v>-</v>
      </c>
      <c r="T205" s="5">
        <f>VLOOKUP($A205,'SegEnds_NonXtal_Prot#'!$A:$AL,9,FALSE)</f>
        <v>62</v>
      </c>
      <c r="U205" s="5" t="str">
        <f>VLOOKUP($A205,'SegEnds_NonXtal_Prot#'!$A:$AL,12,FALSE)</f>
        <v>-</v>
      </c>
      <c r="V205" s="5">
        <f>VLOOKUP($A205,'SegEnds_NonXtal_Prot#'!$A:$AL,15,FALSE)</f>
        <v>98</v>
      </c>
      <c r="W205" s="5">
        <f>VLOOKUP($A205,'SegEnds_NonXtal_Prot#'!$A:$AL,18,FALSE)</f>
        <v>134</v>
      </c>
      <c r="X205" s="5">
        <f>VLOOKUP($A205,'SegEnds_NonXtal_Prot#'!$A:$AL,21,FALSE)</f>
        <v>142</v>
      </c>
      <c r="Y205" s="5" t="str">
        <f>VLOOKUP($A205,'SegEnds_NonXtal_Prot#'!$A:$AL,24,FALSE)</f>
        <v>-</v>
      </c>
      <c r="Z205" s="5">
        <f>VLOOKUP($A205,'SegEnds_NonXtal_Prot#'!$A:$AL,27,FALSE)</f>
        <v>177</v>
      </c>
      <c r="AA205" s="5">
        <f>VLOOKUP($A205,'SegEnds_NonXtal_Prot#'!$A:$AL,30,FALSE)</f>
        <v>218</v>
      </c>
      <c r="AB205" s="5">
        <f>VLOOKUP($A205,'SegEnds_NonXtal_Prot#'!$A:$AL,33,FALSE)</f>
        <v>254</v>
      </c>
      <c r="AC205" s="5">
        <f>VLOOKUP($A205,'SegEnds_NonXtal_Prot#'!$A:$AL,36,FALSE)</f>
        <v>283</v>
      </c>
      <c r="AD205" s="5">
        <f>VLOOKUP($A205,'SegEnds_NonXtal_Prot#'!$A:$AL,5,FALSE)</f>
        <v>58</v>
      </c>
      <c r="AE205" s="5" t="str">
        <f>VLOOKUP($A205,'SegEnds_NonXtal_Prot#'!$A:$AL,8,FALSE)</f>
        <v>-</v>
      </c>
      <c r="AF205" s="5">
        <f>VLOOKUP($A205,'SegEnds_NonXtal_Prot#'!$A:$AL,11,FALSE)</f>
        <v>92</v>
      </c>
      <c r="AG205" s="5" t="str">
        <f>VLOOKUP($A205,'SegEnds_NonXtal_Prot#'!$A:$AL,14,FALSE)</f>
        <v>-</v>
      </c>
      <c r="AH205" s="5">
        <f>VLOOKUP($A205,'SegEnds_NonXtal_Prot#'!$A:$AL,17,FALSE)</f>
        <v>133</v>
      </c>
      <c r="AI205" s="5">
        <f>VLOOKUP($A205,'SegEnds_NonXtal_Prot#'!$A:$AL,20,FALSE)</f>
        <v>141</v>
      </c>
      <c r="AJ205" s="5">
        <f>VLOOKUP($A205,'SegEnds_NonXtal_Prot#'!$A:$AL,23,FALSE)</f>
        <v>168</v>
      </c>
      <c r="AK205" s="5" t="str">
        <f>VLOOKUP($A205,'SegEnds_NonXtal_Prot#'!$A:$AL,26,FALSE)</f>
        <v>-</v>
      </c>
      <c r="AL205" s="5">
        <f>VLOOKUP($A205,'SegEnds_NonXtal_Prot#'!$A:$AL,29,FALSE)</f>
        <v>214</v>
      </c>
      <c r="AM205" s="5">
        <f>VLOOKUP($A205,'SegEnds_NonXtal_Prot#'!$A:$AL,32,FALSE)</f>
        <v>249</v>
      </c>
      <c r="AN205" s="5">
        <f>VLOOKUP($A205,'SegEnds_NonXtal_Prot#'!$A:$AL,35,FALSE)</f>
        <v>282</v>
      </c>
      <c r="AO205" s="5">
        <f>VLOOKUP($A205,'SegEnds_NonXtal_Prot#'!$A:$AL,38,FALSE)</f>
        <v>292</v>
      </c>
      <c r="AP205" s="5">
        <f t="shared" si="88"/>
        <v>31</v>
      </c>
      <c r="AQ205" s="4" t="str">
        <f t="shared" si="89"/>
        <v>-</v>
      </c>
      <c r="AR205" s="4">
        <f t="shared" si="90"/>
        <v>30</v>
      </c>
      <c r="AS205" s="4" t="str">
        <f t="shared" si="91"/>
        <v>-</v>
      </c>
      <c r="AT205" s="4">
        <f t="shared" si="92"/>
        <v>35</v>
      </c>
      <c r="AU205" s="4">
        <f t="shared" si="93"/>
        <v>7</v>
      </c>
      <c r="AV205" s="4">
        <f t="shared" si="94"/>
        <v>26</v>
      </c>
      <c r="AW205" s="4" t="str">
        <f t="shared" si="95"/>
        <v>-</v>
      </c>
      <c r="AX205" s="4">
        <f t="shared" si="96"/>
        <v>37</v>
      </c>
      <c r="AY205" s="4">
        <f t="shared" si="97"/>
        <v>31</v>
      </c>
      <c r="AZ205" s="4">
        <f t="shared" si="98"/>
        <v>28</v>
      </c>
      <c r="BA205" s="4">
        <f t="shared" si="99"/>
        <v>9</v>
      </c>
    </row>
    <row r="206" spans="1:53" x14ac:dyDescent="0.2">
      <c r="A206" s="1" t="str">
        <f>'SegEnds_NonXtal_Prot#'!A186</f>
        <v>mrgx3_human</v>
      </c>
      <c r="B206" s="1" t="str">
        <f t="shared" si="75"/>
        <v>TLSFTGLTCIVSLVALTGNAVVLWLLGCRNAVSIYILNLVAADFLFLSGHIICSPLRLIISKILSPVMTFPYFIGLSMLSAISTERCLSILWPRYLSSVMCVLLWALSLLRSILEWMFCFSGANSVWCETSDFITIAWLVFLCVVLCGSSLVLLVRILCGSRLTRLYVTILLTVLVFLLCGLPFGIQWALFSRIKVLFCHVHLVSIFLSALNSSANPIIYFFVGSFRQRQNRQNLKLVLQR</v>
      </c>
      <c r="C206" s="29" t="str">
        <f>IF(ISERROR(MATCH(A206,'SegEnds_Xtal_Prot#'!B:B, 0)), "NoXtal", "Xtal")</f>
        <v>NoXtal</v>
      </c>
      <c r="D206" s="4" t="str">
        <f>VLOOKUP(A206,Classification!A:D,2,FALSE)</f>
        <v>A</v>
      </c>
      <c r="E206" s="5" t="str">
        <f>VLOOKUP(A206,Seqs!A:B,2,FALSE)</f>
        <v>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</v>
      </c>
      <c r="F206" s="5" t="str">
        <f t="shared" si="76"/>
        <v>TLSFTGLTCIVSLVALTGNAVVLWLLGCR</v>
      </c>
      <c r="G206" s="4" t="str">
        <f t="shared" si="77"/>
        <v/>
      </c>
      <c r="H206" s="4" t="str">
        <f t="shared" si="78"/>
        <v>NAVSIYILNLVAADFLFLSGHIICSPLRLI</v>
      </c>
      <c r="I206" s="4" t="str">
        <f t="shared" si="79"/>
        <v/>
      </c>
      <c r="J206" s="4" t="str">
        <f t="shared" si="80"/>
        <v>ISKILSPVMTFPYFIGLSMLSAISTERCLSILW</v>
      </c>
      <c r="K206" s="4" t="str">
        <f t="shared" si="81"/>
        <v>PIWYHCRR</v>
      </c>
      <c r="L206" s="4" t="str">
        <f t="shared" si="82"/>
        <v>PRYLSSVMCVLLWALSLLRSILEWMFC</v>
      </c>
      <c r="M206" s="4" t="str">
        <f t="shared" si="83"/>
        <v/>
      </c>
      <c r="N206" s="4" t="str">
        <f t="shared" si="84"/>
        <v>FSGANSVWCETSDFITIAWLVFLCVVLCGSSLVLLVRILCGSR</v>
      </c>
      <c r="O206" s="4" t="str">
        <f t="shared" si="85"/>
        <v>LTRLYVTILLTVLVFLLCGLPFGIQWALFSRI</v>
      </c>
      <c r="P206" s="4" t="str">
        <f t="shared" si="86"/>
        <v>KVLFCHVHLVSIFLSALNSSANPIIYFFV</v>
      </c>
      <c r="Q206" s="4" t="str">
        <f t="shared" si="87"/>
        <v>GSFRQRQNRQNLKLVLQR</v>
      </c>
      <c r="R206" s="5">
        <f>VLOOKUP($A206,'SegEnds_NonXtal_Prot#'!$A:$AL,3,FALSE)</f>
        <v>27</v>
      </c>
      <c r="S206" s="5" t="str">
        <f>VLOOKUP($A206,'SegEnds_NonXtal_Prot#'!$A:$AL,6,FALSE)</f>
        <v>-</v>
      </c>
      <c r="T206" s="5">
        <f>VLOOKUP($A206,'SegEnds_NonXtal_Prot#'!$A:$AL,9,FALSE)</f>
        <v>59</v>
      </c>
      <c r="U206" s="5" t="str">
        <f>VLOOKUP($A206,'SegEnds_NonXtal_Prot#'!$A:$AL,12,FALSE)</f>
        <v>-</v>
      </c>
      <c r="V206" s="5">
        <f>VLOOKUP($A206,'SegEnds_NonXtal_Prot#'!$A:$AL,15,FALSE)</f>
        <v>94</v>
      </c>
      <c r="W206" s="5">
        <f>VLOOKUP($A206,'SegEnds_NonXtal_Prot#'!$A:$AL,18,FALSE)</f>
        <v>127</v>
      </c>
      <c r="X206" s="5">
        <f>VLOOKUP($A206,'SegEnds_NonXtal_Prot#'!$A:$AL,21,FALSE)</f>
        <v>135</v>
      </c>
      <c r="Y206" s="5" t="str">
        <f>VLOOKUP($A206,'SegEnds_NonXtal_Prot#'!$A:$AL,24,FALSE)</f>
        <v>-</v>
      </c>
      <c r="Z206" s="5">
        <f>VLOOKUP($A206,'SegEnds_NonXtal_Prot#'!$A:$AL,27,FALSE)</f>
        <v>165</v>
      </c>
      <c r="AA206" s="5">
        <f>VLOOKUP($A206,'SegEnds_NonXtal_Prot#'!$A:$AL,30,FALSE)</f>
        <v>211</v>
      </c>
      <c r="AB206" s="5">
        <f>VLOOKUP($A206,'SegEnds_NonXtal_Prot#'!$A:$AL,33,FALSE)</f>
        <v>247</v>
      </c>
      <c r="AC206" s="5">
        <f>VLOOKUP($A206,'SegEnds_NonXtal_Prot#'!$A:$AL,36,FALSE)</f>
        <v>276</v>
      </c>
      <c r="AD206" s="5">
        <f>VLOOKUP($A206,'SegEnds_NonXtal_Prot#'!$A:$AL,5,FALSE)</f>
        <v>55</v>
      </c>
      <c r="AE206" s="5" t="str">
        <f>VLOOKUP($A206,'SegEnds_NonXtal_Prot#'!$A:$AL,8,FALSE)</f>
        <v>-</v>
      </c>
      <c r="AF206" s="5">
        <f>VLOOKUP($A206,'SegEnds_NonXtal_Prot#'!$A:$AL,11,FALSE)</f>
        <v>88</v>
      </c>
      <c r="AG206" s="5" t="str">
        <f>VLOOKUP($A206,'SegEnds_NonXtal_Prot#'!$A:$AL,14,FALSE)</f>
        <v>-</v>
      </c>
      <c r="AH206" s="5">
        <f>VLOOKUP($A206,'SegEnds_NonXtal_Prot#'!$A:$AL,17,FALSE)</f>
        <v>126</v>
      </c>
      <c r="AI206" s="5">
        <f>VLOOKUP($A206,'SegEnds_NonXtal_Prot#'!$A:$AL,20,FALSE)</f>
        <v>134</v>
      </c>
      <c r="AJ206" s="5">
        <f>VLOOKUP($A206,'SegEnds_NonXtal_Prot#'!$A:$AL,23,FALSE)</f>
        <v>161</v>
      </c>
      <c r="AK206" s="5" t="str">
        <f>VLOOKUP($A206,'SegEnds_NonXtal_Prot#'!$A:$AL,26,FALSE)</f>
        <v>-</v>
      </c>
      <c r="AL206" s="5">
        <f>VLOOKUP($A206,'SegEnds_NonXtal_Prot#'!$A:$AL,29,FALSE)</f>
        <v>207</v>
      </c>
      <c r="AM206" s="5">
        <f>VLOOKUP($A206,'SegEnds_NonXtal_Prot#'!$A:$AL,32,FALSE)</f>
        <v>242</v>
      </c>
      <c r="AN206" s="5">
        <f>VLOOKUP($A206,'SegEnds_NonXtal_Prot#'!$A:$AL,35,FALSE)</f>
        <v>275</v>
      </c>
      <c r="AO206" s="5">
        <f>VLOOKUP($A206,'SegEnds_NonXtal_Prot#'!$A:$AL,38,FALSE)</f>
        <v>293</v>
      </c>
      <c r="AP206" s="5">
        <f t="shared" si="88"/>
        <v>28</v>
      </c>
      <c r="AQ206" s="4" t="str">
        <f t="shared" si="89"/>
        <v>-</v>
      </c>
      <c r="AR206" s="4">
        <f t="shared" si="90"/>
        <v>29</v>
      </c>
      <c r="AS206" s="4" t="str">
        <f t="shared" si="91"/>
        <v>-</v>
      </c>
      <c r="AT206" s="4">
        <f t="shared" si="92"/>
        <v>32</v>
      </c>
      <c r="AU206" s="4">
        <f t="shared" si="93"/>
        <v>7</v>
      </c>
      <c r="AV206" s="4">
        <f t="shared" si="94"/>
        <v>26</v>
      </c>
      <c r="AW206" s="4" t="str">
        <f t="shared" si="95"/>
        <v>-</v>
      </c>
      <c r="AX206" s="4">
        <f t="shared" si="96"/>
        <v>42</v>
      </c>
      <c r="AY206" s="4">
        <f t="shared" si="97"/>
        <v>31</v>
      </c>
      <c r="AZ206" s="4">
        <f t="shared" si="98"/>
        <v>28</v>
      </c>
      <c r="BA206" s="4">
        <f t="shared" si="99"/>
        <v>17</v>
      </c>
    </row>
    <row r="207" spans="1:53" x14ac:dyDescent="0.2">
      <c r="A207" s="1" t="str">
        <f>'SegEnds_NonXtal_Prot#'!A187</f>
        <v>mrgx4_human</v>
      </c>
      <c r="B207" s="1" t="str">
        <f t="shared" si="75"/>
        <v>YNQTLSFTVLTCIISLVGLTGNAVVLWLLGYRNAVSIYILNLAAADFLFLSFQIIRLPLRLIIRKILVSVMTFPYFTGLSMLSAISTERCLSVLWPTHLSAVVCVLLWGLSLLFSMLEWRFCSSWCETSDFIPVAWLIFLCVVLCVSSLVLLVRILCGSRLTRLYVTILLTVLVFLLCGLPFGILGALIYRMEVLYCHVYLVCMSLSSLNSSANPIIYFFVGSFRQRQNRQ</v>
      </c>
      <c r="C207" s="29" t="str">
        <f>IF(ISERROR(MATCH(A207,'SegEnds_Xtal_Prot#'!B:B, 0)), "NoXtal", "Xtal")</f>
        <v>NoXtal</v>
      </c>
      <c r="D207" s="4" t="str">
        <f>VLOOKUP(A207,Classification!A:D,2,FALSE)</f>
        <v>A</v>
      </c>
      <c r="E207" s="5" t="str">
        <f>VLOOKUP(A207,Seqs!A:B,2,FALSE)</f>
        <v>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</v>
      </c>
      <c r="F207" s="5" t="str">
        <f t="shared" si="76"/>
        <v>YNQTLSFTVLTCIISLVGLTGNAVVLWLLGYR</v>
      </c>
      <c r="G207" s="4" t="str">
        <f t="shared" si="77"/>
        <v/>
      </c>
      <c r="H207" s="4" t="str">
        <f t="shared" si="78"/>
        <v>NAVSIYILNLAAADFLFLSFQIIRLPLRLI</v>
      </c>
      <c r="I207" s="4" t="str">
        <f t="shared" si="79"/>
        <v/>
      </c>
      <c r="J207" s="4" t="str">
        <f t="shared" si="80"/>
        <v>IRKILVSVMTFPYFTGLSMLSAISTERCLSVLW</v>
      </c>
      <c r="K207" s="4" t="str">
        <f t="shared" si="81"/>
        <v>PIWYRCRR</v>
      </c>
      <c r="L207" s="4" t="str">
        <f t="shared" si="82"/>
        <v>PTHLSAVVCVLLWGLSLLFSMLEWRFC</v>
      </c>
      <c r="M207" s="4" t="str">
        <f t="shared" si="83"/>
        <v/>
      </c>
      <c r="N207" s="4" t="str">
        <f t="shared" si="84"/>
        <v>SSWCETSDFIPVAWLIFLCVVLCVSSLVLLVRILCGSR</v>
      </c>
      <c r="O207" s="4" t="str">
        <f t="shared" si="85"/>
        <v>LTRLYVTILLTVLVFLLCGLPFGILGALIYRM</v>
      </c>
      <c r="P207" s="4" t="str">
        <f t="shared" si="86"/>
        <v>EVLYCHVYLVCMSLSSLNSSANPIIYFFV</v>
      </c>
      <c r="Q207" s="4" t="str">
        <f t="shared" si="87"/>
        <v>GSFRQRQNRQ</v>
      </c>
      <c r="R207" s="5">
        <f>VLOOKUP($A207,'SegEnds_NonXtal_Prot#'!$A:$AL,3,FALSE)</f>
        <v>24</v>
      </c>
      <c r="S207" s="5" t="str">
        <f>VLOOKUP($A207,'SegEnds_NonXtal_Prot#'!$A:$AL,6,FALSE)</f>
        <v>-</v>
      </c>
      <c r="T207" s="5">
        <f>VLOOKUP($A207,'SegEnds_NonXtal_Prot#'!$A:$AL,9,FALSE)</f>
        <v>59</v>
      </c>
      <c r="U207" s="5" t="str">
        <f>VLOOKUP($A207,'SegEnds_NonXtal_Prot#'!$A:$AL,12,FALSE)</f>
        <v>-</v>
      </c>
      <c r="V207" s="5">
        <f>VLOOKUP($A207,'SegEnds_NonXtal_Prot#'!$A:$AL,15,FALSE)</f>
        <v>94</v>
      </c>
      <c r="W207" s="5">
        <f>VLOOKUP($A207,'SegEnds_NonXtal_Prot#'!$A:$AL,18,FALSE)</f>
        <v>127</v>
      </c>
      <c r="X207" s="5">
        <f>VLOOKUP($A207,'SegEnds_NonXtal_Prot#'!$A:$AL,21,FALSE)</f>
        <v>135</v>
      </c>
      <c r="Y207" s="5" t="str">
        <f>VLOOKUP($A207,'SegEnds_NonXtal_Prot#'!$A:$AL,24,FALSE)</f>
        <v>-</v>
      </c>
      <c r="Z207" s="5">
        <f>VLOOKUP($A207,'SegEnds_NonXtal_Prot#'!$A:$AL,27,FALSE)</f>
        <v>170</v>
      </c>
      <c r="AA207" s="5">
        <f>VLOOKUP($A207,'SegEnds_NonXtal_Prot#'!$A:$AL,30,FALSE)</f>
        <v>211</v>
      </c>
      <c r="AB207" s="5">
        <f>VLOOKUP($A207,'SegEnds_NonXtal_Prot#'!$A:$AL,33,FALSE)</f>
        <v>247</v>
      </c>
      <c r="AC207" s="5">
        <f>VLOOKUP($A207,'SegEnds_NonXtal_Prot#'!$A:$AL,36,FALSE)</f>
        <v>276</v>
      </c>
      <c r="AD207" s="5">
        <f>VLOOKUP($A207,'SegEnds_NonXtal_Prot#'!$A:$AL,5,FALSE)</f>
        <v>55</v>
      </c>
      <c r="AE207" s="5" t="str">
        <f>VLOOKUP($A207,'SegEnds_NonXtal_Prot#'!$A:$AL,8,FALSE)</f>
        <v>-</v>
      </c>
      <c r="AF207" s="5">
        <f>VLOOKUP($A207,'SegEnds_NonXtal_Prot#'!$A:$AL,11,FALSE)</f>
        <v>88</v>
      </c>
      <c r="AG207" s="5" t="str">
        <f>VLOOKUP($A207,'SegEnds_NonXtal_Prot#'!$A:$AL,14,FALSE)</f>
        <v>-</v>
      </c>
      <c r="AH207" s="5">
        <f>VLOOKUP($A207,'SegEnds_NonXtal_Prot#'!$A:$AL,17,FALSE)</f>
        <v>126</v>
      </c>
      <c r="AI207" s="5">
        <f>VLOOKUP($A207,'SegEnds_NonXtal_Prot#'!$A:$AL,20,FALSE)</f>
        <v>134</v>
      </c>
      <c r="AJ207" s="5">
        <f>VLOOKUP($A207,'SegEnds_NonXtal_Prot#'!$A:$AL,23,FALSE)</f>
        <v>161</v>
      </c>
      <c r="AK207" s="5" t="str">
        <f>VLOOKUP($A207,'SegEnds_NonXtal_Prot#'!$A:$AL,26,FALSE)</f>
        <v>-</v>
      </c>
      <c r="AL207" s="5">
        <f>VLOOKUP($A207,'SegEnds_NonXtal_Prot#'!$A:$AL,29,FALSE)</f>
        <v>207</v>
      </c>
      <c r="AM207" s="5">
        <f>VLOOKUP($A207,'SegEnds_NonXtal_Prot#'!$A:$AL,32,FALSE)</f>
        <v>242</v>
      </c>
      <c r="AN207" s="5">
        <f>VLOOKUP($A207,'SegEnds_NonXtal_Prot#'!$A:$AL,35,FALSE)</f>
        <v>275</v>
      </c>
      <c r="AO207" s="5">
        <f>VLOOKUP($A207,'SegEnds_NonXtal_Prot#'!$A:$AL,38,FALSE)</f>
        <v>285</v>
      </c>
      <c r="AP207" s="5">
        <f t="shared" si="88"/>
        <v>31</v>
      </c>
      <c r="AQ207" s="4" t="str">
        <f t="shared" si="89"/>
        <v>-</v>
      </c>
      <c r="AR207" s="4">
        <f t="shared" si="90"/>
        <v>29</v>
      </c>
      <c r="AS207" s="4" t="str">
        <f t="shared" si="91"/>
        <v>-</v>
      </c>
      <c r="AT207" s="4">
        <f t="shared" si="92"/>
        <v>32</v>
      </c>
      <c r="AU207" s="4">
        <f t="shared" si="93"/>
        <v>7</v>
      </c>
      <c r="AV207" s="4">
        <f t="shared" si="94"/>
        <v>26</v>
      </c>
      <c r="AW207" s="4" t="str">
        <f t="shared" si="95"/>
        <v>-</v>
      </c>
      <c r="AX207" s="4">
        <f t="shared" si="96"/>
        <v>37</v>
      </c>
      <c r="AY207" s="4">
        <f t="shared" si="97"/>
        <v>31</v>
      </c>
      <c r="AZ207" s="4">
        <f t="shared" si="98"/>
        <v>28</v>
      </c>
      <c r="BA207" s="4">
        <f t="shared" si="99"/>
        <v>9</v>
      </c>
    </row>
    <row r="208" spans="1:53" x14ac:dyDescent="0.2">
      <c r="A208" s="1" t="str">
        <f>'SegEnds_NonXtal_Prot#'!A188</f>
        <v>mshr_human</v>
      </c>
      <c r="B208" s="1" t="str">
        <f t="shared" si="75"/>
        <v>CLEVSISDGLFLSLGLVSLVENALVVATIAKNSPMYCFICCLALSDLLVSGSNVLETAVILLLAAVLQQLDNVIDVITCSSMLSSLCFLGAIAVDRYISIFYTLPRARRAVAAIWVASVVFSTLFIAYLVVFFLAMLVLMAVLYVHMLARACQHAQGIARLHKQGFGLKGAVTLTILLGIFFLCWGPFFLHLTLIVLCCGCIFKNFNLFLALIICNAIIDPLIYAFHSQELRRTLKEVLT</v>
      </c>
      <c r="C208" s="29" t="str">
        <f>IF(ISERROR(MATCH(A208,'SegEnds_Xtal_Prot#'!B:B, 0)), "NoXtal", "Xtal")</f>
        <v>NoXtal</v>
      </c>
      <c r="D208" s="4" t="str">
        <f>VLOOKUP(A208,Classification!A:D,2,FALSE)</f>
        <v>A</v>
      </c>
      <c r="E208" s="5" t="str">
        <f>VLOOKUP(A208,Seqs!A:B,2,FALSE)</f>
        <v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v>
      </c>
      <c r="F208" s="5" t="str">
        <f t="shared" si="76"/>
        <v>CLEVSISDGLFLSLGLVSLVENALVVATIAKN</v>
      </c>
      <c r="G208" s="4" t="str">
        <f t="shared" si="77"/>
        <v>RNLH</v>
      </c>
      <c r="H208" s="4" t="str">
        <f t="shared" si="78"/>
        <v>SPMYCFICCLALSDLLVSGSNVLETAVILLL</v>
      </c>
      <c r="I208" s="4" t="str">
        <f t="shared" si="79"/>
        <v/>
      </c>
      <c r="J208" s="4" t="str">
        <f t="shared" si="80"/>
        <v>AAVLQQLDNVIDVITCSSMLSSLCFLGAIAVDRYISIFY</v>
      </c>
      <c r="K208" s="4" t="str">
        <f t="shared" si="81"/>
        <v>ALRYHSIV</v>
      </c>
      <c r="L208" s="4" t="str">
        <f t="shared" si="82"/>
        <v>TLPRARRAVAAIWVASVVFSTLFIAY</v>
      </c>
      <c r="M208" s="4" t="str">
        <f t="shared" si="83"/>
        <v/>
      </c>
      <c r="N208" s="4" t="str">
        <f t="shared" si="84"/>
        <v>LVVFFLAMLVLMAVLYVHMLARACQHAQGIARLHK</v>
      </c>
      <c r="O208" s="4" t="str">
        <f t="shared" si="85"/>
        <v>QGFGLKGAVTLTILLGIFFLCWGPFFLHLTLIVLC</v>
      </c>
      <c r="P208" s="4" t="str">
        <f t="shared" si="86"/>
        <v>CGCIFKNFNLFLALIICNAIIDPLIYAFH</v>
      </c>
      <c r="Q208" s="4" t="str">
        <f t="shared" si="87"/>
        <v>SQELRRTLKEVLT</v>
      </c>
      <c r="R208" s="5">
        <f>VLOOKUP($A208,'SegEnds_NonXtal_Prot#'!$A:$AL,3,FALSE)</f>
        <v>35</v>
      </c>
      <c r="S208" s="5">
        <f>VLOOKUP($A208,'SegEnds_NonXtal_Prot#'!$A:$AL,6,FALSE)</f>
        <v>67</v>
      </c>
      <c r="T208" s="5">
        <f>VLOOKUP($A208,'SegEnds_NonXtal_Prot#'!$A:$AL,9,FALSE)</f>
        <v>71</v>
      </c>
      <c r="U208" s="5" t="str">
        <f>VLOOKUP($A208,'SegEnds_NonXtal_Prot#'!$A:$AL,12,FALSE)</f>
        <v>-</v>
      </c>
      <c r="V208" s="5">
        <f>VLOOKUP($A208,'SegEnds_NonXtal_Prot#'!$A:$AL,15,FALSE)</f>
        <v>110</v>
      </c>
      <c r="W208" s="5">
        <f>VLOOKUP($A208,'SegEnds_NonXtal_Prot#'!$A:$AL,18,FALSE)</f>
        <v>149</v>
      </c>
      <c r="X208" s="5">
        <f>VLOOKUP($A208,'SegEnds_NonXtal_Prot#'!$A:$AL,21,FALSE)</f>
        <v>157</v>
      </c>
      <c r="Y208" s="5" t="str">
        <f>VLOOKUP($A208,'SegEnds_NonXtal_Prot#'!$A:$AL,24,FALSE)</f>
        <v>-</v>
      </c>
      <c r="Z208" s="5">
        <f>VLOOKUP($A208,'SegEnds_NonXtal_Prot#'!$A:$AL,27,FALSE)</f>
        <v>192</v>
      </c>
      <c r="AA208" s="5">
        <f>VLOOKUP($A208,'SegEnds_NonXtal_Prot#'!$A:$AL,30,FALSE)</f>
        <v>233</v>
      </c>
      <c r="AB208" s="5">
        <f>VLOOKUP($A208,'SegEnds_NonXtal_Prot#'!$A:$AL,33,FALSE)</f>
        <v>273</v>
      </c>
      <c r="AC208" s="5">
        <f>VLOOKUP($A208,'SegEnds_NonXtal_Prot#'!$A:$AL,36,FALSE)</f>
        <v>302</v>
      </c>
      <c r="AD208" s="5">
        <f>VLOOKUP($A208,'SegEnds_NonXtal_Prot#'!$A:$AL,5,FALSE)</f>
        <v>66</v>
      </c>
      <c r="AE208" s="5">
        <f>VLOOKUP($A208,'SegEnds_NonXtal_Prot#'!$A:$AL,8,FALSE)</f>
        <v>70</v>
      </c>
      <c r="AF208" s="5">
        <f>VLOOKUP($A208,'SegEnds_NonXtal_Prot#'!$A:$AL,11,FALSE)</f>
        <v>101</v>
      </c>
      <c r="AG208" s="5" t="str">
        <f>VLOOKUP($A208,'SegEnds_NonXtal_Prot#'!$A:$AL,14,FALSE)</f>
        <v>-</v>
      </c>
      <c r="AH208" s="5">
        <f>VLOOKUP($A208,'SegEnds_NonXtal_Prot#'!$A:$AL,17,FALSE)</f>
        <v>148</v>
      </c>
      <c r="AI208" s="5">
        <f>VLOOKUP($A208,'SegEnds_NonXtal_Prot#'!$A:$AL,20,FALSE)</f>
        <v>156</v>
      </c>
      <c r="AJ208" s="5">
        <f>VLOOKUP($A208,'SegEnds_NonXtal_Prot#'!$A:$AL,23,FALSE)</f>
        <v>182</v>
      </c>
      <c r="AK208" s="5" t="str">
        <f>VLOOKUP($A208,'SegEnds_NonXtal_Prot#'!$A:$AL,26,FALSE)</f>
        <v>-</v>
      </c>
      <c r="AL208" s="5">
        <f>VLOOKUP($A208,'SegEnds_NonXtal_Prot#'!$A:$AL,29,FALSE)</f>
        <v>226</v>
      </c>
      <c r="AM208" s="5">
        <f>VLOOKUP($A208,'SegEnds_NonXtal_Prot#'!$A:$AL,32,FALSE)</f>
        <v>267</v>
      </c>
      <c r="AN208" s="5">
        <f>VLOOKUP($A208,'SegEnds_NonXtal_Prot#'!$A:$AL,35,FALSE)</f>
        <v>301</v>
      </c>
      <c r="AO208" s="5">
        <f>VLOOKUP($A208,'SegEnds_NonXtal_Prot#'!$A:$AL,38,FALSE)</f>
        <v>314</v>
      </c>
      <c r="AP208" s="5">
        <f t="shared" si="88"/>
        <v>31</v>
      </c>
      <c r="AQ208" s="4">
        <f t="shared" si="89"/>
        <v>3</v>
      </c>
      <c r="AR208" s="4">
        <f t="shared" si="90"/>
        <v>30</v>
      </c>
      <c r="AS208" s="4" t="str">
        <f t="shared" si="91"/>
        <v>-</v>
      </c>
      <c r="AT208" s="4">
        <f t="shared" si="92"/>
        <v>38</v>
      </c>
      <c r="AU208" s="4">
        <f t="shared" si="93"/>
        <v>7</v>
      </c>
      <c r="AV208" s="4">
        <f t="shared" si="94"/>
        <v>25</v>
      </c>
      <c r="AW208" s="4" t="str">
        <f t="shared" si="95"/>
        <v>-</v>
      </c>
      <c r="AX208" s="4">
        <f t="shared" si="96"/>
        <v>34</v>
      </c>
      <c r="AY208" s="4">
        <f t="shared" si="97"/>
        <v>34</v>
      </c>
      <c r="AZ208" s="4">
        <f t="shared" si="98"/>
        <v>28</v>
      </c>
      <c r="BA208" s="4">
        <f t="shared" si="99"/>
        <v>12</v>
      </c>
    </row>
    <row r="209" spans="1:53" x14ac:dyDescent="0.2">
      <c r="A209" s="1" t="str">
        <f>'SegEnds_NonXtal_Prot#'!A189</f>
        <v>mtlr_human</v>
      </c>
      <c r="B209" s="1" t="str">
        <f t="shared" si="75"/>
        <v>LGALVPVTAVCLCLFVVGVSGNVVTVMLIGRYTTTNLYLGSMAVSDLLILLGLPFDLYRLWRSGPLLCRLSLYVGEGCTYATLLHMTALSVERYLAICRTRRRVRALIAVLWAVALLSAGPFLFLVQLGALRVMLWVTTAYFFLPFLCLSILYGLIGRELWSSRRPLSGRERGHRQTVRVLLVVVLAFIICWLPFHVGRIIYINTMYFSQYFNIVALQLFYLSASINPILYNLISKKYRAAAFKLL</v>
      </c>
      <c r="C209" s="29" t="str">
        <f>IF(ISERROR(MATCH(A209,'SegEnds_Xtal_Prot#'!B:B, 0)), "NoXtal", "Xtal")</f>
        <v>NoXtal</v>
      </c>
      <c r="D209" s="4" t="str">
        <f>VLOOKUP(A209,Classification!A:D,2,FALSE)</f>
        <v>A</v>
      </c>
      <c r="E209" s="5" t="str">
        <f>VLOOKUP(A209,Seqs!A:B,2,FALSE)</f>
        <v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v>
      </c>
      <c r="F209" s="5" t="str">
        <f t="shared" si="76"/>
        <v>LGALVPVTAVCLCLFVVGVSGNVVTVMLIGRY</v>
      </c>
      <c r="G209" s="4" t="str">
        <f t="shared" si="77"/>
        <v>RDMR</v>
      </c>
      <c r="H209" s="4" t="str">
        <f t="shared" si="78"/>
        <v>TTTNLYLGSMAVSDLLILLGLPFDLYRLWRS</v>
      </c>
      <c r="I209" s="4" t="str">
        <f t="shared" si="79"/>
        <v>PWVF</v>
      </c>
      <c r="J209" s="4" t="str">
        <f t="shared" si="80"/>
        <v>GPLLCRLSLYVGEGCTYATLLHMTALSVERYLAICR</v>
      </c>
      <c r="K209" s="4" t="str">
        <f t="shared" si="81"/>
        <v>PLRARVLV</v>
      </c>
      <c r="L209" s="4" t="str">
        <f t="shared" si="82"/>
        <v>TRRRVRALIAVLWAVALLSAGPFLFLV</v>
      </c>
      <c r="M209" s="4" t="str">
        <f t="shared" si="83"/>
        <v>CRP</v>
      </c>
      <c r="N209" s="4" t="str">
        <f t="shared" si="84"/>
        <v>QLGALRVMLWVTTAYFFLPFLCLSILYGLIGRELWSSRRPL</v>
      </c>
      <c r="O209" s="4" t="str">
        <f t="shared" si="85"/>
        <v>SGRERGHRQTVRVLLVVVLAFIICWLPFHVGRIIYINT</v>
      </c>
      <c r="P209" s="4" t="str">
        <f t="shared" si="86"/>
        <v>MYFSQYFNIVALQLFYLSASINPILYNLI</v>
      </c>
      <c r="Q209" s="4" t="str">
        <f t="shared" si="87"/>
        <v>SKKYRAAAFKLL</v>
      </c>
      <c r="R209" s="5">
        <f>VLOOKUP($A209,'SegEnds_NonXtal_Prot#'!$A:$AL,3,FALSE)</f>
        <v>35</v>
      </c>
      <c r="S209" s="5">
        <f>VLOOKUP($A209,'SegEnds_NonXtal_Prot#'!$A:$AL,6,FALSE)</f>
        <v>67</v>
      </c>
      <c r="T209" s="5">
        <f>VLOOKUP($A209,'SegEnds_NonXtal_Prot#'!$A:$AL,9,FALSE)</f>
        <v>71</v>
      </c>
      <c r="U209" s="5">
        <f>VLOOKUP($A209,'SegEnds_NonXtal_Prot#'!$A:$AL,12,FALSE)</f>
        <v>103</v>
      </c>
      <c r="V209" s="5">
        <f>VLOOKUP($A209,'SegEnds_NonXtal_Prot#'!$A:$AL,15,FALSE)</f>
        <v>107</v>
      </c>
      <c r="W209" s="5">
        <f>VLOOKUP($A209,'SegEnds_NonXtal_Prot#'!$A:$AL,18,FALSE)</f>
        <v>143</v>
      </c>
      <c r="X209" s="5">
        <f>VLOOKUP($A209,'SegEnds_NonXtal_Prot#'!$A:$AL,21,FALSE)</f>
        <v>151</v>
      </c>
      <c r="Y209" s="5">
        <f>VLOOKUP($A209,'SegEnds_NonXtal_Prot#'!$A:$AL,24,FALSE)</f>
        <v>235</v>
      </c>
      <c r="Z209" s="5">
        <f>VLOOKUP($A209,'SegEnds_NonXtal_Prot#'!$A:$AL,27,FALSE)</f>
        <v>241</v>
      </c>
      <c r="AA209" s="5">
        <f>VLOOKUP($A209,'SegEnds_NonXtal_Prot#'!$A:$AL,30,FALSE)</f>
        <v>287</v>
      </c>
      <c r="AB209" s="5">
        <f>VLOOKUP($A209,'SegEnds_NonXtal_Prot#'!$A:$AL,33,FALSE)</f>
        <v>330</v>
      </c>
      <c r="AC209" s="5">
        <f>VLOOKUP($A209,'SegEnds_NonXtal_Prot#'!$A:$AL,36,FALSE)</f>
        <v>359</v>
      </c>
      <c r="AD209" s="5">
        <f>VLOOKUP($A209,'SegEnds_NonXtal_Prot#'!$A:$AL,5,FALSE)</f>
        <v>66</v>
      </c>
      <c r="AE209" s="5">
        <f>VLOOKUP($A209,'SegEnds_NonXtal_Prot#'!$A:$AL,8,FALSE)</f>
        <v>70</v>
      </c>
      <c r="AF209" s="5">
        <f>VLOOKUP($A209,'SegEnds_NonXtal_Prot#'!$A:$AL,11,FALSE)</f>
        <v>101</v>
      </c>
      <c r="AG209" s="5">
        <f>VLOOKUP($A209,'SegEnds_NonXtal_Prot#'!$A:$AL,14,FALSE)</f>
        <v>106</v>
      </c>
      <c r="AH209" s="5">
        <f>VLOOKUP($A209,'SegEnds_NonXtal_Prot#'!$A:$AL,17,FALSE)</f>
        <v>142</v>
      </c>
      <c r="AI209" s="5">
        <f>VLOOKUP($A209,'SegEnds_NonXtal_Prot#'!$A:$AL,20,FALSE)</f>
        <v>150</v>
      </c>
      <c r="AJ209" s="5">
        <f>VLOOKUP($A209,'SegEnds_NonXtal_Prot#'!$A:$AL,23,FALSE)</f>
        <v>177</v>
      </c>
      <c r="AK209" s="5">
        <f>VLOOKUP($A209,'SegEnds_NonXtal_Prot#'!$A:$AL,26,FALSE)</f>
        <v>237</v>
      </c>
      <c r="AL209" s="5">
        <f>VLOOKUP($A209,'SegEnds_NonXtal_Prot#'!$A:$AL,29,FALSE)</f>
        <v>281</v>
      </c>
      <c r="AM209" s="5">
        <f>VLOOKUP($A209,'SegEnds_NonXtal_Prot#'!$A:$AL,32,FALSE)</f>
        <v>324</v>
      </c>
      <c r="AN209" s="5">
        <f>VLOOKUP($A209,'SegEnds_NonXtal_Prot#'!$A:$AL,35,FALSE)</f>
        <v>358</v>
      </c>
      <c r="AO209" s="5">
        <f>VLOOKUP($A209,'SegEnds_NonXtal_Prot#'!$A:$AL,38,FALSE)</f>
        <v>370</v>
      </c>
      <c r="AP209" s="5">
        <f t="shared" si="88"/>
        <v>31</v>
      </c>
      <c r="AQ209" s="4">
        <f t="shared" si="89"/>
        <v>3</v>
      </c>
      <c r="AR209" s="4">
        <f t="shared" si="90"/>
        <v>30</v>
      </c>
      <c r="AS209" s="4">
        <f t="shared" si="91"/>
        <v>3</v>
      </c>
      <c r="AT209" s="4">
        <f t="shared" si="92"/>
        <v>35</v>
      </c>
      <c r="AU209" s="4">
        <f t="shared" si="93"/>
        <v>7</v>
      </c>
      <c r="AV209" s="4">
        <f t="shared" si="94"/>
        <v>26</v>
      </c>
      <c r="AW209" s="4">
        <f t="shared" si="95"/>
        <v>2</v>
      </c>
      <c r="AX209" s="4">
        <f t="shared" si="96"/>
        <v>40</v>
      </c>
      <c r="AY209" s="4">
        <f t="shared" si="97"/>
        <v>37</v>
      </c>
      <c r="AZ209" s="4">
        <f t="shared" si="98"/>
        <v>28</v>
      </c>
      <c r="BA209" s="4">
        <f t="shared" si="99"/>
        <v>11</v>
      </c>
    </row>
    <row r="210" spans="1:53" x14ac:dyDescent="0.2">
      <c r="A210" s="1" t="str">
        <f>'SegEnds_NonXtal_Prot#'!A191</f>
        <v>mtr1b_human</v>
      </c>
      <c r="B210" s="1" t="str">
        <f t="shared" si="75"/>
        <v>VAPALSAVLIVTTAVDVVGNLLVILSVLRNNAGNLFLVSLALADLVVAFYPYPLILVAIFYDGEEHCKASAFVMGLSVIGSVFNITAIAINRYCYICHRRWHTPLHICLIWLLTVVALLPNFFVGSTQYTAAVVVIHFLLPIAVVSFCYLRIWVLVLQARRKALCLKPSDLRSFLTMFVVFVIFAICWAPLNCIGLAVAINPQIPEGLFVTSYLLAYFNSCLNAIVYGLLNQNFRREYKRIL</v>
      </c>
      <c r="C210" s="29" t="str">
        <f>IF(ISERROR(MATCH(A210,'SegEnds_Xtal_Prot#'!B:B, 0)), "NoXtal", "Xtal")</f>
        <v>NoXtal</v>
      </c>
      <c r="D210" s="4" t="str">
        <f>VLOOKUP(A210,Classification!A:D,2,FALSE)</f>
        <v>A</v>
      </c>
      <c r="E210" s="5" t="str">
        <f>VLOOKUP(A210,Seqs!A:B,2,FALSE)</f>
        <v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v>
      </c>
      <c r="F210" s="5" t="str">
        <f t="shared" si="76"/>
        <v>VAPALSAVLIVTTAVDVVGNLLVILSVLRN</v>
      </c>
      <c r="G210" s="4" t="str">
        <f t="shared" si="77"/>
        <v>RKLR</v>
      </c>
      <c r="H210" s="4" t="str">
        <f t="shared" si="78"/>
        <v>NAGNLFLVSLALADLVVAFYPYPLILVAIFYD</v>
      </c>
      <c r="I210" s="4" t="str">
        <f t="shared" si="79"/>
        <v>GWAL</v>
      </c>
      <c r="J210" s="4" t="str">
        <f t="shared" si="80"/>
        <v>GEEHCKASAFVMGLSVIGSVFNITAIAINRYCYICH</v>
      </c>
      <c r="K210" s="4" t="str">
        <f t="shared" si="81"/>
        <v>SMAYHRIY</v>
      </c>
      <c r="L210" s="4" t="str">
        <f t="shared" si="82"/>
        <v>RRWHTPLHICLIWLLTVVALLPNFFVG</v>
      </c>
      <c r="M210" s="4" t="str">
        <f t="shared" si="83"/>
        <v>CTF</v>
      </c>
      <c r="N210" s="4" t="str">
        <f t="shared" si="84"/>
        <v>STQYTAAVVVIHFLLPIAVVSFCYLRIWVLVLQARRKA</v>
      </c>
      <c r="O210" s="4" t="str">
        <f t="shared" si="85"/>
        <v>LCLKPSDLRSFLTMFVVFVIFAICWAPLNCIGLAVAIN</v>
      </c>
      <c r="P210" s="4" t="str">
        <f t="shared" si="86"/>
        <v>PQIPEGLFVTSYLLAYFNSCLNAIVYGLL</v>
      </c>
      <c r="Q210" s="4" t="str">
        <f t="shared" si="87"/>
        <v>NQNFRREYKRIL</v>
      </c>
      <c r="R210" s="5">
        <f>VLOOKUP($A210,'SegEnds_NonXtal_Prot#'!$A:$AL,3,FALSE)</f>
        <v>39</v>
      </c>
      <c r="S210" s="5">
        <f>VLOOKUP($A210,'SegEnds_NonXtal_Prot#'!$A:$AL,6,FALSE)</f>
        <v>69</v>
      </c>
      <c r="T210" s="5">
        <f>VLOOKUP($A210,'SegEnds_NonXtal_Prot#'!$A:$AL,9,FALSE)</f>
        <v>73</v>
      </c>
      <c r="U210" s="5">
        <f>VLOOKUP($A210,'SegEnds_NonXtal_Prot#'!$A:$AL,12,FALSE)</f>
        <v>105</v>
      </c>
      <c r="V210" s="5">
        <f>VLOOKUP($A210,'SegEnds_NonXtal_Prot#'!$A:$AL,15,FALSE)</f>
        <v>109</v>
      </c>
      <c r="W210" s="5">
        <f>VLOOKUP($A210,'SegEnds_NonXtal_Prot#'!$A:$AL,18,FALSE)</f>
        <v>145</v>
      </c>
      <c r="X210" s="5">
        <f>VLOOKUP($A210,'SegEnds_NonXtal_Prot#'!$A:$AL,21,FALSE)</f>
        <v>153</v>
      </c>
      <c r="Y210" s="5">
        <f>VLOOKUP($A210,'SegEnds_NonXtal_Prot#'!$A:$AL,24,FALSE)</f>
        <v>190</v>
      </c>
      <c r="Z210" s="5">
        <f>VLOOKUP($A210,'SegEnds_NonXtal_Prot#'!$A:$AL,27,FALSE)</f>
        <v>197</v>
      </c>
      <c r="AA210" s="5">
        <f>VLOOKUP($A210,'SegEnds_NonXtal_Prot#'!$A:$AL,30,FALSE)</f>
        <v>240</v>
      </c>
      <c r="AB210" s="5">
        <f>VLOOKUP($A210,'SegEnds_NonXtal_Prot#'!$A:$AL,33,FALSE)</f>
        <v>283</v>
      </c>
      <c r="AC210" s="5">
        <f>VLOOKUP($A210,'SegEnds_NonXtal_Prot#'!$A:$AL,36,FALSE)</f>
        <v>312</v>
      </c>
      <c r="AD210" s="5">
        <f>VLOOKUP($A210,'SegEnds_NonXtal_Prot#'!$A:$AL,5,FALSE)</f>
        <v>68</v>
      </c>
      <c r="AE210" s="5">
        <f>VLOOKUP($A210,'SegEnds_NonXtal_Prot#'!$A:$AL,8,FALSE)</f>
        <v>72</v>
      </c>
      <c r="AF210" s="5">
        <f>VLOOKUP($A210,'SegEnds_NonXtal_Prot#'!$A:$AL,11,FALSE)</f>
        <v>104</v>
      </c>
      <c r="AG210" s="5">
        <f>VLOOKUP($A210,'SegEnds_NonXtal_Prot#'!$A:$AL,14,FALSE)</f>
        <v>108</v>
      </c>
      <c r="AH210" s="5">
        <f>VLOOKUP($A210,'SegEnds_NonXtal_Prot#'!$A:$AL,17,FALSE)</f>
        <v>144</v>
      </c>
      <c r="AI210" s="5">
        <f>VLOOKUP($A210,'SegEnds_NonXtal_Prot#'!$A:$AL,20,FALSE)</f>
        <v>152</v>
      </c>
      <c r="AJ210" s="5">
        <f>VLOOKUP($A210,'SegEnds_NonXtal_Prot#'!$A:$AL,23,FALSE)</f>
        <v>179</v>
      </c>
      <c r="AK210" s="5">
        <f>VLOOKUP($A210,'SegEnds_NonXtal_Prot#'!$A:$AL,26,FALSE)</f>
        <v>192</v>
      </c>
      <c r="AL210" s="5">
        <f>VLOOKUP($A210,'SegEnds_NonXtal_Prot#'!$A:$AL,29,FALSE)</f>
        <v>234</v>
      </c>
      <c r="AM210" s="5">
        <f>VLOOKUP($A210,'SegEnds_NonXtal_Prot#'!$A:$AL,32,FALSE)</f>
        <v>277</v>
      </c>
      <c r="AN210" s="5">
        <f>VLOOKUP($A210,'SegEnds_NonXtal_Prot#'!$A:$AL,35,FALSE)</f>
        <v>311</v>
      </c>
      <c r="AO210" s="5">
        <f>VLOOKUP($A210,'SegEnds_NonXtal_Prot#'!$A:$AL,38,FALSE)</f>
        <v>323</v>
      </c>
      <c r="AP210" s="5">
        <f t="shared" si="88"/>
        <v>29</v>
      </c>
      <c r="AQ210" s="4">
        <f t="shared" si="89"/>
        <v>3</v>
      </c>
      <c r="AR210" s="4">
        <f t="shared" si="90"/>
        <v>31</v>
      </c>
      <c r="AS210" s="4">
        <f t="shared" si="91"/>
        <v>3</v>
      </c>
      <c r="AT210" s="4">
        <f t="shared" si="92"/>
        <v>35</v>
      </c>
      <c r="AU210" s="4">
        <f t="shared" si="93"/>
        <v>7</v>
      </c>
      <c r="AV210" s="4">
        <f t="shared" si="94"/>
        <v>26</v>
      </c>
      <c r="AW210" s="4">
        <f t="shared" si="95"/>
        <v>2</v>
      </c>
      <c r="AX210" s="4">
        <f t="shared" si="96"/>
        <v>37</v>
      </c>
      <c r="AY210" s="4">
        <f t="shared" si="97"/>
        <v>37</v>
      </c>
      <c r="AZ210" s="4">
        <f t="shared" si="98"/>
        <v>28</v>
      </c>
      <c r="BA210" s="4">
        <f t="shared" si="99"/>
        <v>11</v>
      </c>
    </row>
    <row r="211" spans="1:53" x14ac:dyDescent="0.2">
      <c r="A211" s="1" t="str">
        <f>'SegEnds_NonXtal_Prot#'!A192</f>
        <v>mtr1l_human</v>
      </c>
      <c r="B211" s="1" t="str">
        <f t="shared" si="75"/>
        <v>LIIFMFCAMVITIVVDLIGNSMVILAVTKNNSGNIFVVSLSVADMLVAIYPYPLMLHAMSIGSQLQCQMVGFITGLSVVGSIFNIVAIAINRYCYICHSVRNTCIYLVITWIMTVLAVLPNMYIGNPVFTVTIVCIHFVLPLLIVGFCYVRIWTKVLAARDPAPDNQLAEVRNFLTMFVIFLLFAVCWCPINVLTVLVAVSGKIPNWLYLAAYFIAYFNSCLNAVIYGLLNENFRREYWTIF</v>
      </c>
      <c r="C211" s="29" t="str">
        <f>IF(ISERROR(MATCH(A211,'SegEnds_Xtal_Prot#'!B:B, 0)), "NoXtal", "Xtal")</f>
        <v>NoXtal</v>
      </c>
      <c r="D211" s="4" t="str">
        <f>VLOOKUP(A211,Classification!A:D,2,FALSE)</f>
        <v>A</v>
      </c>
      <c r="E211" s="5" t="str">
        <f>VLOOKUP(A211,Seqs!A:B,2,FALSE)</f>
        <v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v>
      </c>
      <c r="F211" s="5" t="str">
        <f t="shared" si="76"/>
        <v>LIIFMFCAMVITIVVDLIGNSMVILAVTKN</v>
      </c>
      <c r="G211" s="4" t="str">
        <f t="shared" si="77"/>
        <v>KKLR</v>
      </c>
      <c r="H211" s="4" t="str">
        <f t="shared" si="78"/>
        <v>NSGNIFVVSLSVADMLVAIYPYPLMLHAMSIG</v>
      </c>
      <c r="I211" s="4" t="str">
        <f t="shared" si="79"/>
        <v>GWDL</v>
      </c>
      <c r="J211" s="4" t="str">
        <f t="shared" si="80"/>
        <v>SQLQCQMVGFITGLSVVGSIFNIVAIAINRYCYICH</v>
      </c>
      <c r="K211" s="4" t="str">
        <f t="shared" si="81"/>
        <v>SLQYERIF</v>
      </c>
      <c r="L211" s="4" t="str">
        <f t="shared" si="82"/>
        <v>SVRNTCIYLVITWIMTVLAVLPNMYIG</v>
      </c>
      <c r="M211" s="4" t="str">
        <f t="shared" si="83"/>
        <v>CIF</v>
      </c>
      <c r="N211" s="4" t="str">
        <f t="shared" si="84"/>
        <v>NPVFTVTIVCIHFVLPLLIVGFCYVRIWTKVLAARDPA</v>
      </c>
      <c r="O211" s="4" t="str">
        <f t="shared" si="85"/>
        <v>PDNQLAEVRNFLTMFVIFLLFAVCWCPINVLTVLVAVS</v>
      </c>
      <c r="P211" s="4" t="str">
        <f t="shared" si="86"/>
        <v>GKIPNWLYLAAYFIAYFNSCLNAVIYGLL</v>
      </c>
      <c r="Q211" s="4" t="str">
        <f t="shared" si="87"/>
        <v>NENFRREYWTIF</v>
      </c>
      <c r="R211" s="5">
        <f>VLOOKUP($A211,'SegEnds_NonXtal_Prot#'!$A:$AL,3,FALSE)</f>
        <v>27</v>
      </c>
      <c r="S211" s="5">
        <f>VLOOKUP($A211,'SegEnds_NonXtal_Prot#'!$A:$AL,6,FALSE)</f>
        <v>57</v>
      </c>
      <c r="T211" s="5">
        <f>VLOOKUP($A211,'SegEnds_NonXtal_Prot#'!$A:$AL,9,FALSE)</f>
        <v>61</v>
      </c>
      <c r="U211" s="5">
        <f>VLOOKUP($A211,'SegEnds_NonXtal_Prot#'!$A:$AL,12,FALSE)</f>
        <v>93</v>
      </c>
      <c r="V211" s="5">
        <f>VLOOKUP($A211,'SegEnds_NonXtal_Prot#'!$A:$AL,15,FALSE)</f>
        <v>97</v>
      </c>
      <c r="W211" s="5">
        <f>VLOOKUP($A211,'SegEnds_NonXtal_Prot#'!$A:$AL,18,FALSE)</f>
        <v>133</v>
      </c>
      <c r="X211" s="5">
        <f>VLOOKUP($A211,'SegEnds_NonXtal_Prot#'!$A:$AL,21,FALSE)</f>
        <v>141</v>
      </c>
      <c r="Y211" s="5">
        <f>VLOOKUP($A211,'SegEnds_NonXtal_Prot#'!$A:$AL,24,FALSE)</f>
        <v>178</v>
      </c>
      <c r="Z211" s="5">
        <f>VLOOKUP($A211,'SegEnds_NonXtal_Prot#'!$A:$AL,27,FALSE)</f>
        <v>185</v>
      </c>
      <c r="AA211" s="5">
        <f>VLOOKUP($A211,'SegEnds_NonXtal_Prot#'!$A:$AL,30,FALSE)</f>
        <v>226</v>
      </c>
      <c r="AB211" s="5">
        <f>VLOOKUP($A211,'SegEnds_NonXtal_Prot#'!$A:$AL,33,FALSE)</f>
        <v>269</v>
      </c>
      <c r="AC211" s="5">
        <f>VLOOKUP($A211,'SegEnds_NonXtal_Prot#'!$A:$AL,36,FALSE)</f>
        <v>298</v>
      </c>
      <c r="AD211" s="5">
        <f>VLOOKUP($A211,'SegEnds_NonXtal_Prot#'!$A:$AL,5,FALSE)</f>
        <v>56</v>
      </c>
      <c r="AE211" s="5">
        <f>VLOOKUP($A211,'SegEnds_NonXtal_Prot#'!$A:$AL,8,FALSE)</f>
        <v>60</v>
      </c>
      <c r="AF211" s="5">
        <f>VLOOKUP($A211,'SegEnds_NonXtal_Prot#'!$A:$AL,11,FALSE)</f>
        <v>92</v>
      </c>
      <c r="AG211" s="5">
        <f>VLOOKUP($A211,'SegEnds_NonXtal_Prot#'!$A:$AL,14,FALSE)</f>
        <v>96</v>
      </c>
      <c r="AH211" s="5">
        <f>VLOOKUP($A211,'SegEnds_NonXtal_Prot#'!$A:$AL,17,FALSE)</f>
        <v>132</v>
      </c>
      <c r="AI211" s="5">
        <f>VLOOKUP($A211,'SegEnds_NonXtal_Prot#'!$A:$AL,20,FALSE)</f>
        <v>140</v>
      </c>
      <c r="AJ211" s="5">
        <f>VLOOKUP($A211,'SegEnds_NonXtal_Prot#'!$A:$AL,23,FALSE)</f>
        <v>167</v>
      </c>
      <c r="AK211" s="5">
        <f>VLOOKUP($A211,'SegEnds_NonXtal_Prot#'!$A:$AL,26,FALSE)</f>
        <v>180</v>
      </c>
      <c r="AL211" s="5">
        <f>VLOOKUP($A211,'SegEnds_NonXtal_Prot#'!$A:$AL,29,FALSE)</f>
        <v>222</v>
      </c>
      <c r="AM211" s="5">
        <f>VLOOKUP($A211,'SegEnds_NonXtal_Prot#'!$A:$AL,32,FALSE)</f>
        <v>263</v>
      </c>
      <c r="AN211" s="5">
        <f>VLOOKUP($A211,'SegEnds_NonXtal_Prot#'!$A:$AL,35,FALSE)</f>
        <v>297</v>
      </c>
      <c r="AO211" s="5">
        <f>VLOOKUP($A211,'SegEnds_NonXtal_Prot#'!$A:$AL,38,FALSE)</f>
        <v>309</v>
      </c>
      <c r="AP211" s="5">
        <f t="shared" si="88"/>
        <v>29</v>
      </c>
      <c r="AQ211" s="4">
        <f t="shared" si="89"/>
        <v>3</v>
      </c>
      <c r="AR211" s="4">
        <f t="shared" si="90"/>
        <v>31</v>
      </c>
      <c r="AS211" s="4">
        <f t="shared" si="91"/>
        <v>3</v>
      </c>
      <c r="AT211" s="4">
        <f t="shared" si="92"/>
        <v>35</v>
      </c>
      <c r="AU211" s="4">
        <f t="shared" si="93"/>
        <v>7</v>
      </c>
      <c r="AV211" s="4">
        <f t="shared" si="94"/>
        <v>26</v>
      </c>
      <c r="AW211" s="4">
        <f t="shared" si="95"/>
        <v>2</v>
      </c>
      <c r="AX211" s="4">
        <f t="shared" si="96"/>
        <v>37</v>
      </c>
      <c r="AY211" s="4">
        <f t="shared" si="97"/>
        <v>37</v>
      </c>
      <c r="AZ211" s="4">
        <f t="shared" si="98"/>
        <v>28</v>
      </c>
      <c r="BA211" s="4">
        <f t="shared" si="99"/>
        <v>11</v>
      </c>
    </row>
    <row r="212" spans="1:53" x14ac:dyDescent="0.2">
      <c r="A212" s="1" t="str">
        <f>'SegEnds_NonXtal_Prot#'!A193</f>
        <v>nmbr_human</v>
      </c>
      <c r="B212" s="1" t="str">
        <f t="shared" si="75"/>
        <v>SDGTTTELVIRCVIPSLYLLIITVGLLGNIMLVKIFITNSVPNIFISNLAAGDLLLLLTCVPVDASRYFFGKVGCKLIPVIQLTSVGVSVFTLTALSADRYRAIVNALLRTCVKAMGIWVVSVLLAVPEAVFSPQTDELHPKIHSVLIFLVYFLIPLAIISIYYYHIAKTLIKSAHNLPHTKKQMETRKRLAKIVLVFVGCFIFCWFPNHILYMYRSFNSLGHMIVTLVARVLSFGNSCVNPFALYLLSESFRRHFNSQLCC</v>
      </c>
      <c r="C212" s="29" t="str">
        <f>IF(ISERROR(MATCH(A212,'SegEnds_Xtal_Prot#'!B:B, 0)), "NoXtal", "Xtal")</f>
        <v>NoXtal</v>
      </c>
      <c r="D212" s="4" t="str">
        <f>VLOOKUP(A212,Classification!A:D,2,FALSE)</f>
        <v>A</v>
      </c>
      <c r="E212" s="5" t="str">
        <f>VLOOKUP(A212,Seqs!A:B,2,FALSE)</f>
        <v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v>
      </c>
      <c r="F212" s="5" t="str">
        <f t="shared" si="76"/>
        <v>SDGTTTELVIRCVIPSLYLLIITVGLLGNIMLVKIFITN</v>
      </c>
      <c r="G212" s="4" t="str">
        <f t="shared" si="77"/>
        <v>SAMR</v>
      </c>
      <c r="H212" s="4" t="str">
        <f t="shared" si="78"/>
        <v>SVPNIFISNLAAGDLLLLLTCVPVDASRYFF</v>
      </c>
      <c r="I212" s="4" t="str">
        <f t="shared" si="79"/>
        <v>EWMF</v>
      </c>
      <c r="J212" s="4" t="str">
        <f t="shared" si="80"/>
        <v>GKVGCKLIPVIQLTSVGVSVFTLTALSADRYRAIVN</v>
      </c>
      <c r="K212" s="4" t="str">
        <f t="shared" si="81"/>
        <v>PMDMQTSG</v>
      </c>
      <c r="L212" s="4" t="str">
        <f t="shared" si="82"/>
        <v>ALLRTCVKAMGIWVVSVLLAVPEAVFS</v>
      </c>
      <c r="M212" s="4" t="str">
        <f t="shared" si="83"/>
        <v>CIP</v>
      </c>
      <c r="N212" s="4" t="str">
        <f t="shared" si="84"/>
        <v>PQTDELHPKIHSVLIFLVYFLIPLAIISIYYYHIAKTLIKSAHNLP</v>
      </c>
      <c r="O212" s="4" t="str">
        <f t="shared" si="85"/>
        <v>HTKKQMETRKRLAKIVLVFVGCFIFCWFPNHILYMYRSFN</v>
      </c>
      <c r="P212" s="4" t="str">
        <f t="shared" si="86"/>
        <v>SLGHMIVTLVARVLSFGNSCVNPFALYLL</v>
      </c>
      <c r="Q212" s="4" t="str">
        <f t="shared" si="87"/>
        <v>SESFRRHFNSQLCC</v>
      </c>
      <c r="R212" s="5">
        <f>VLOOKUP($A212,'SegEnds_NonXtal_Prot#'!$A:$AL,3,FALSE)</f>
        <v>33</v>
      </c>
      <c r="S212" s="5">
        <f>VLOOKUP($A212,'SegEnds_NonXtal_Prot#'!$A:$AL,6,FALSE)</f>
        <v>72</v>
      </c>
      <c r="T212" s="5">
        <f>VLOOKUP($A212,'SegEnds_NonXtal_Prot#'!$A:$AL,9,FALSE)</f>
        <v>76</v>
      </c>
      <c r="U212" s="5">
        <f>VLOOKUP($A212,'SegEnds_NonXtal_Prot#'!$A:$AL,12,FALSE)</f>
        <v>108</v>
      </c>
      <c r="V212" s="5">
        <f>VLOOKUP($A212,'SegEnds_NonXtal_Prot#'!$A:$AL,15,FALSE)</f>
        <v>112</v>
      </c>
      <c r="W212" s="5">
        <f>VLOOKUP($A212,'SegEnds_NonXtal_Prot#'!$A:$AL,18,FALSE)</f>
        <v>148</v>
      </c>
      <c r="X212" s="5">
        <f>VLOOKUP($A212,'SegEnds_NonXtal_Prot#'!$A:$AL,21,FALSE)</f>
        <v>156</v>
      </c>
      <c r="Y212" s="5">
        <f>VLOOKUP($A212,'SegEnds_NonXtal_Prot#'!$A:$AL,24,FALSE)</f>
        <v>198</v>
      </c>
      <c r="Z212" s="5">
        <f>VLOOKUP($A212,'SegEnds_NonXtal_Prot#'!$A:$AL,27,FALSE)</f>
        <v>202</v>
      </c>
      <c r="AA212" s="5">
        <f>VLOOKUP($A212,'SegEnds_NonXtal_Prot#'!$A:$AL,30,FALSE)</f>
        <v>253</v>
      </c>
      <c r="AB212" s="5">
        <f>VLOOKUP($A212,'SegEnds_NonXtal_Prot#'!$A:$AL,33,FALSE)</f>
        <v>299</v>
      </c>
      <c r="AC212" s="5">
        <f>VLOOKUP($A212,'SegEnds_NonXtal_Prot#'!$A:$AL,36,FALSE)</f>
        <v>328</v>
      </c>
      <c r="AD212" s="5">
        <f>VLOOKUP($A212,'SegEnds_NonXtal_Prot#'!$A:$AL,5,FALSE)</f>
        <v>71</v>
      </c>
      <c r="AE212" s="5">
        <f>VLOOKUP($A212,'SegEnds_NonXtal_Prot#'!$A:$AL,8,FALSE)</f>
        <v>75</v>
      </c>
      <c r="AF212" s="5">
        <f>VLOOKUP($A212,'SegEnds_NonXtal_Prot#'!$A:$AL,11,FALSE)</f>
        <v>106</v>
      </c>
      <c r="AG212" s="5">
        <f>VLOOKUP($A212,'SegEnds_NonXtal_Prot#'!$A:$AL,14,FALSE)</f>
        <v>111</v>
      </c>
      <c r="AH212" s="5">
        <f>VLOOKUP($A212,'SegEnds_NonXtal_Prot#'!$A:$AL,17,FALSE)</f>
        <v>147</v>
      </c>
      <c r="AI212" s="5">
        <f>VLOOKUP($A212,'SegEnds_NonXtal_Prot#'!$A:$AL,20,FALSE)</f>
        <v>155</v>
      </c>
      <c r="AJ212" s="5">
        <f>VLOOKUP($A212,'SegEnds_NonXtal_Prot#'!$A:$AL,23,FALSE)</f>
        <v>182</v>
      </c>
      <c r="AK212" s="5">
        <f>VLOOKUP($A212,'SegEnds_NonXtal_Prot#'!$A:$AL,26,FALSE)</f>
        <v>200</v>
      </c>
      <c r="AL212" s="5">
        <f>VLOOKUP($A212,'SegEnds_NonXtal_Prot#'!$A:$AL,29,FALSE)</f>
        <v>247</v>
      </c>
      <c r="AM212" s="5">
        <f>VLOOKUP($A212,'SegEnds_NonXtal_Prot#'!$A:$AL,32,FALSE)</f>
        <v>292</v>
      </c>
      <c r="AN212" s="5">
        <f>VLOOKUP($A212,'SegEnds_NonXtal_Prot#'!$A:$AL,35,FALSE)</f>
        <v>327</v>
      </c>
      <c r="AO212" s="5">
        <f>VLOOKUP($A212,'SegEnds_NonXtal_Prot#'!$A:$AL,38,FALSE)</f>
        <v>341</v>
      </c>
      <c r="AP212" s="5">
        <f t="shared" si="88"/>
        <v>38</v>
      </c>
      <c r="AQ212" s="4">
        <f t="shared" si="89"/>
        <v>3</v>
      </c>
      <c r="AR212" s="4">
        <f t="shared" si="90"/>
        <v>30</v>
      </c>
      <c r="AS212" s="4">
        <f t="shared" si="91"/>
        <v>3</v>
      </c>
      <c r="AT212" s="4">
        <f t="shared" si="92"/>
        <v>35</v>
      </c>
      <c r="AU212" s="4">
        <f t="shared" si="93"/>
        <v>7</v>
      </c>
      <c r="AV212" s="4">
        <f t="shared" si="94"/>
        <v>26</v>
      </c>
      <c r="AW212" s="4">
        <f t="shared" si="95"/>
        <v>2</v>
      </c>
      <c r="AX212" s="4">
        <f t="shared" si="96"/>
        <v>45</v>
      </c>
      <c r="AY212" s="4">
        <f t="shared" si="97"/>
        <v>39</v>
      </c>
      <c r="AZ212" s="4">
        <f t="shared" si="98"/>
        <v>28</v>
      </c>
      <c r="BA212" s="4">
        <f t="shared" si="99"/>
        <v>13</v>
      </c>
    </row>
    <row r="213" spans="1:53" x14ac:dyDescent="0.2">
      <c r="A213" s="1" t="str">
        <f>'SegEnds_NonXtal_Prot#'!A194</f>
        <v>nmur1_human</v>
      </c>
      <c r="B213" s="1" t="str">
        <f t="shared" si="75"/>
        <v>TELFMPICATYLLIFVVGAVGNGLTCLVILRHTPTNYYLFSLAVSDLLVLLVGLPLELYEMWLLGVGGCYFRTLLFEMVCLASVLNVTALSVERYVAVVHTRAHVRRVLGAVWGLAMLCSLPNTSLHRALYNMVVQTTALLFFCLPMAIMSVLYLLIGLRLRRERLLLMQEAQQHDRGRRQVTKMLFVLVVVFGICWAPFHADRVMWSVVHLAFQHVHVISGIFFYLGSAANPVLYSLMSSRFRETFQEAL</v>
      </c>
      <c r="C213" s="29" t="str">
        <f>IF(ISERROR(MATCH(A213,'SegEnds_Xtal_Prot#'!B:B, 0)), "NoXtal", "Xtal")</f>
        <v>NoXtal</v>
      </c>
      <c r="D213" s="4" t="str">
        <f>VLOOKUP(A213,Classification!A:D,2,FALSE)</f>
        <v>A</v>
      </c>
      <c r="E213" s="5" t="str">
        <f>VLOOKUP(A213,Seqs!A:B,2,FALSE)</f>
        <v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v>
      </c>
      <c r="F213" s="5" t="str">
        <f t="shared" si="76"/>
        <v>TELFMPICATYLLIFVVGAVGNGLTCLVILRH</v>
      </c>
      <c r="G213" s="4" t="str">
        <f t="shared" si="77"/>
        <v>KAMR</v>
      </c>
      <c r="H213" s="4" t="str">
        <f t="shared" si="78"/>
        <v>TPTNYYLFSLAVSDLLVLLVGLPLELYEMW</v>
      </c>
      <c r="I213" s="4" t="str">
        <f t="shared" si="79"/>
        <v>NYPF</v>
      </c>
      <c r="J213" s="4" t="str">
        <f t="shared" si="80"/>
        <v>LLGVGGCYFRTLLFEMVCLASVLNVTALSVERYVAVVH</v>
      </c>
      <c r="K213" s="4" t="str">
        <f t="shared" si="81"/>
        <v>PLQARSMV</v>
      </c>
      <c r="L213" s="4" t="str">
        <f t="shared" si="82"/>
        <v>TRAHVRRVLGAVWGLAMLCSLPNTSLH</v>
      </c>
      <c r="M213" s="4" t="str">
        <f t="shared" si="83"/>
        <v>CML</v>
      </c>
      <c r="N213" s="4" t="str">
        <f t="shared" si="84"/>
        <v>RALYNMVVQTTALLFFCLPMAIMSVLYLLIGLRLRRERLLLMQEA</v>
      </c>
      <c r="O213" s="4" t="str">
        <f t="shared" si="85"/>
        <v>QQHDRGRRQVTKMLFVLVVVFGICWAPFHADRVMWSVV</v>
      </c>
      <c r="P213" s="4" t="str">
        <f t="shared" si="86"/>
        <v>HLAFQHVHVISGIFFYLGSAANPVLYSLM</v>
      </c>
      <c r="Q213" s="4" t="str">
        <f t="shared" si="87"/>
        <v>SSRFRETFQEAL</v>
      </c>
      <c r="R213" s="5">
        <f>VLOOKUP($A213,'SegEnds_NonXtal_Prot#'!$A:$AL,3,FALSE)</f>
        <v>57</v>
      </c>
      <c r="S213" s="5">
        <f>VLOOKUP($A213,'SegEnds_NonXtal_Prot#'!$A:$AL,6,FALSE)</f>
        <v>89</v>
      </c>
      <c r="T213" s="5">
        <f>VLOOKUP($A213,'SegEnds_NonXtal_Prot#'!$A:$AL,9,FALSE)</f>
        <v>93</v>
      </c>
      <c r="U213" s="5">
        <f>VLOOKUP($A213,'SegEnds_NonXtal_Prot#'!$A:$AL,12,FALSE)</f>
        <v>124</v>
      </c>
      <c r="V213" s="5">
        <f>VLOOKUP($A213,'SegEnds_NonXtal_Prot#'!$A:$AL,15,FALSE)</f>
        <v>128</v>
      </c>
      <c r="W213" s="5">
        <f>VLOOKUP($A213,'SegEnds_NonXtal_Prot#'!$A:$AL,18,FALSE)</f>
        <v>166</v>
      </c>
      <c r="X213" s="5">
        <f>VLOOKUP($A213,'SegEnds_NonXtal_Prot#'!$A:$AL,21,FALSE)</f>
        <v>174</v>
      </c>
      <c r="Y213" s="5">
        <f>VLOOKUP($A213,'SegEnds_NonXtal_Prot#'!$A:$AL,24,FALSE)</f>
        <v>219</v>
      </c>
      <c r="Z213" s="5">
        <f>VLOOKUP($A213,'SegEnds_NonXtal_Prot#'!$A:$AL,27,FALSE)</f>
        <v>225</v>
      </c>
      <c r="AA213" s="5">
        <f>VLOOKUP($A213,'SegEnds_NonXtal_Prot#'!$A:$AL,30,FALSE)</f>
        <v>286</v>
      </c>
      <c r="AB213" s="5">
        <f>VLOOKUP($A213,'SegEnds_NonXtal_Prot#'!$A:$AL,33,FALSE)</f>
        <v>331</v>
      </c>
      <c r="AC213" s="5">
        <f>VLOOKUP($A213,'SegEnds_NonXtal_Prot#'!$A:$AL,36,FALSE)</f>
        <v>360</v>
      </c>
      <c r="AD213" s="5">
        <f>VLOOKUP($A213,'SegEnds_NonXtal_Prot#'!$A:$AL,5,FALSE)</f>
        <v>88</v>
      </c>
      <c r="AE213" s="5">
        <f>VLOOKUP($A213,'SegEnds_NonXtal_Prot#'!$A:$AL,8,FALSE)</f>
        <v>92</v>
      </c>
      <c r="AF213" s="5">
        <f>VLOOKUP($A213,'SegEnds_NonXtal_Prot#'!$A:$AL,11,FALSE)</f>
        <v>122</v>
      </c>
      <c r="AG213" s="5">
        <f>VLOOKUP($A213,'SegEnds_NonXtal_Prot#'!$A:$AL,14,FALSE)</f>
        <v>127</v>
      </c>
      <c r="AH213" s="5">
        <f>VLOOKUP($A213,'SegEnds_NonXtal_Prot#'!$A:$AL,17,FALSE)</f>
        <v>165</v>
      </c>
      <c r="AI213" s="5">
        <f>VLOOKUP($A213,'SegEnds_NonXtal_Prot#'!$A:$AL,20,FALSE)</f>
        <v>173</v>
      </c>
      <c r="AJ213" s="5">
        <f>VLOOKUP($A213,'SegEnds_NonXtal_Prot#'!$A:$AL,23,FALSE)</f>
        <v>200</v>
      </c>
      <c r="AK213" s="5">
        <f>VLOOKUP($A213,'SegEnds_NonXtal_Prot#'!$A:$AL,26,FALSE)</f>
        <v>221</v>
      </c>
      <c r="AL213" s="5">
        <f>VLOOKUP($A213,'SegEnds_NonXtal_Prot#'!$A:$AL,29,FALSE)</f>
        <v>269</v>
      </c>
      <c r="AM213" s="5">
        <f>VLOOKUP($A213,'SegEnds_NonXtal_Prot#'!$A:$AL,32,FALSE)</f>
        <v>323</v>
      </c>
      <c r="AN213" s="5">
        <f>VLOOKUP($A213,'SegEnds_NonXtal_Prot#'!$A:$AL,35,FALSE)</f>
        <v>359</v>
      </c>
      <c r="AO213" s="5">
        <f>VLOOKUP($A213,'SegEnds_NonXtal_Prot#'!$A:$AL,38,FALSE)</f>
        <v>371</v>
      </c>
      <c r="AP213" s="5">
        <f t="shared" si="88"/>
        <v>31</v>
      </c>
      <c r="AQ213" s="4">
        <f t="shared" si="89"/>
        <v>3</v>
      </c>
      <c r="AR213" s="4">
        <f t="shared" si="90"/>
        <v>29</v>
      </c>
      <c r="AS213" s="4">
        <f t="shared" si="91"/>
        <v>3</v>
      </c>
      <c r="AT213" s="4">
        <f t="shared" si="92"/>
        <v>37</v>
      </c>
      <c r="AU213" s="4">
        <f t="shared" si="93"/>
        <v>7</v>
      </c>
      <c r="AV213" s="4">
        <f t="shared" si="94"/>
        <v>26</v>
      </c>
      <c r="AW213" s="4">
        <f t="shared" si="95"/>
        <v>2</v>
      </c>
      <c r="AX213" s="4">
        <f t="shared" si="96"/>
        <v>44</v>
      </c>
      <c r="AY213" s="4">
        <f t="shared" si="97"/>
        <v>37</v>
      </c>
      <c r="AZ213" s="4">
        <f t="shared" si="98"/>
        <v>28</v>
      </c>
      <c r="BA213" s="4">
        <f t="shared" si="99"/>
        <v>11</v>
      </c>
    </row>
    <row r="214" spans="1:53" x14ac:dyDescent="0.2">
      <c r="A214" s="1" t="str">
        <f>'SegEnds_NonXtal_Prot#'!A195</f>
        <v>nmur2_human</v>
      </c>
      <c r="B214" s="1" t="str">
        <f t="shared" si="75"/>
        <v>SHFFLPVSVVYVPIFVVGVIGNVLVCLVILQHTPTNYYLFSLAVSDLLVLLLGMPLEVYEMWLFGPVGCYFKTALFETVCFASILSITTVSVERYVAILHTRRRALRILGIVWGFSVLFSLPNTSIHMWIYNFIIQVTSFLFYLLPMTVISVLYYLMALRLKKDKSLEANANIQRPCRKSVNKMLFVLVLVFAICWAPFHIDRLFFSFVAAVFNLVHVVSGVFFYLSSAVNPIIYNLLSRRFQAAFQNVI</v>
      </c>
      <c r="C214" s="29" t="str">
        <f>IF(ISERROR(MATCH(A214,'SegEnds_Xtal_Prot#'!B:B, 0)), "NoXtal", "Xtal")</f>
        <v>NoXtal</v>
      </c>
      <c r="D214" s="4" t="str">
        <f>VLOOKUP(A214,Classification!A:D,2,FALSE)</f>
        <v>A</v>
      </c>
      <c r="E214" s="5" t="str">
        <f>VLOOKUP(A214,Seqs!A:B,2,FALSE)</f>
        <v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v>
      </c>
      <c r="F214" s="5" t="str">
        <f t="shared" si="76"/>
        <v>SHFFLPVSVVYVPIFVVGVIGNVLVCLVILQH</v>
      </c>
      <c r="G214" s="4" t="str">
        <f t="shared" si="77"/>
        <v>QAMK</v>
      </c>
      <c r="H214" s="4" t="str">
        <f t="shared" si="78"/>
        <v>TPTNYYLFSLAVSDLLVLLLGMPLEVYEMW</v>
      </c>
      <c r="I214" s="4" t="str">
        <f t="shared" si="79"/>
        <v>NYPF</v>
      </c>
      <c r="J214" s="4" t="str">
        <f t="shared" si="80"/>
        <v>LFGPVGCYFKTALFETVCFASILSITTVSVERYVAILH</v>
      </c>
      <c r="K214" s="4" t="str">
        <f t="shared" si="81"/>
        <v>PFRAKLQS</v>
      </c>
      <c r="L214" s="4" t="str">
        <f t="shared" si="82"/>
        <v>TRRRALRILGIVWGFSVLFSLPNTSIH</v>
      </c>
      <c r="M214" s="4" t="str">
        <f t="shared" si="83"/>
        <v>CTV</v>
      </c>
      <c r="N214" s="4" t="str">
        <f t="shared" si="84"/>
        <v>MWIYNFIIQVTSFLFYLLPMTVISVLYYLMALRLKKDKSLEA</v>
      </c>
      <c r="O214" s="4" t="str">
        <f t="shared" si="85"/>
        <v>NANIQRPCRKSVNKMLFVLVLVFAICWAPFHIDRLFFSFV</v>
      </c>
      <c r="P214" s="4" t="str">
        <f t="shared" si="86"/>
        <v>AAVFNLVHVVSGVFFYLSSAVNPIIYNLL</v>
      </c>
      <c r="Q214" s="4" t="str">
        <f t="shared" si="87"/>
        <v>SRRFQAAFQNVI</v>
      </c>
      <c r="R214" s="5">
        <f>VLOOKUP($A214,'SegEnds_NonXtal_Prot#'!$A:$AL,3,FALSE)</f>
        <v>42</v>
      </c>
      <c r="S214" s="5">
        <f>VLOOKUP($A214,'SegEnds_NonXtal_Prot#'!$A:$AL,6,FALSE)</f>
        <v>74</v>
      </c>
      <c r="T214" s="5">
        <f>VLOOKUP($A214,'SegEnds_NonXtal_Prot#'!$A:$AL,9,FALSE)</f>
        <v>78</v>
      </c>
      <c r="U214" s="5">
        <f>VLOOKUP($A214,'SegEnds_NonXtal_Prot#'!$A:$AL,12,FALSE)</f>
        <v>109</v>
      </c>
      <c r="V214" s="5">
        <f>VLOOKUP($A214,'SegEnds_NonXtal_Prot#'!$A:$AL,15,FALSE)</f>
        <v>113</v>
      </c>
      <c r="W214" s="5">
        <f>VLOOKUP($A214,'SegEnds_NonXtal_Prot#'!$A:$AL,18,FALSE)</f>
        <v>151</v>
      </c>
      <c r="X214" s="5">
        <f>VLOOKUP($A214,'SegEnds_NonXtal_Prot#'!$A:$AL,21,FALSE)</f>
        <v>159</v>
      </c>
      <c r="Y214" s="5">
        <f>VLOOKUP($A214,'SegEnds_NonXtal_Prot#'!$A:$AL,24,FALSE)</f>
        <v>204</v>
      </c>
      <c r="Z214" s="5">
        <f>VLOOKUP($A214,'SegEnds_NonXtal_Prot#'!$A:$AL,27,FALSE)</f>
        <v>210</v>
      </c>
      <c r="AA214" s="5">
        <f>VLOOKUP($A214,'SegEnds_NonXtal_Prot#'!$A:$AL,30,FALSE)</f>
        <v>255</v>
      </c>
      <c r="AB214" s="5">
        <f>VLOOKUP($A214,'SegEnds_NonXtal_Prot#'!$A:$AL,33,FALSE)</f>
        <v>302</v>
      </c>
      <c r="AC214" s="5">
        <f>VLOOKUP($A214,'SegEnds_NonXtal_Prot#'!$A:$AL,36,FALSE)</f>
        <v>331</v>
      </c>
      <c r="AD214" s="5">
        <f>VLOOKUP($A214,'SegEnds_NonXtal_Prot#'!$A:$AL,5,FALSE)</f>
        <v>73</v>
      </c>
      <c r="AE214" s="5">
        <f>VLOOKUP($A214,'SegEnds_NonXtal_Prot#'!$A:$AL,8,FALSE)</f>
        <v>77</v>
      </c>
      <c r="AF214" s="5">
        <f>VLOOKUP($A214,'SegEnds_NonXtal_Prot#'!$A:$AL,11,FALSE)</f>
        <v>107</v>
      </c>
      <c r="AG214" s="5">
        <f>VLOOKUP($A214,'SegEnds_NonXtal_Prot#'!$A:$AL,14,FALSE)</f>
        <v>112</v>
      </c>
      <c r="AH214" s="5">
        <f>VLOOKUP($A214,'SegEnds_NonXtal_Prot#'!$A:$AL,17,FALSE)</f>
        <v>150</v>
      </c>
      <c r="AI214" s="5">
        <f>VLOOKUP($A214,'SegEnds_NonXtal_Prot#'!$A:$AL,20,FALSE)</f>
        <v>158</v>
      </c>
      <c r="AJ214" s="5">
        <f>VLOOKUP($A214,'SegEnds_NonXtal_Prot#'!$A:$AL,23,FALSE)</f>
        <v>185</v>
      </c>
      <c r="AK214" s="5">
        <f>VLOOKUP($A214,'SegEnds_NonXtal_Prot#'!$A:$AL,26,FALSE)</f>
        <v>206</v>
      </c>
      <c r="AL214" s="5">
        <f>VLOOKUP($A214,'SegEnds_NonXtal_Prot#'!$A:$AL,29,FALSE)</f>
        <v>251</v>
      </c>
      <c r="AM214" s="5">
        <f>VLOOKUP($A214,'SegEnds_NonXtal_Prot#'!$A:$AL,32,FALSE)</f>
        <v>294</v>
      </c>
      <c r="AN214" s="5">
        <f>VLOOKUP($A214,'SegEnds_NonXtal_Prot#'!$A:$AL,35,FALSE)</f>
        <v>330</v>
      </c>
      <c r="AO214" s="5">
        <f>VLOOKUP($A214,'SegEnds_NonXtal_Prot#'!$A:$AL,38,FALSE)</f>
        <v>342</v>
      </c>
      <c r="AP214" s="5">
        <f t="shared" si="88"/>
        <v>31</v>
      </c>
      <c r="AQ214" s="4">
        <f t="shared" si="89"/>
        <v>3</v>
      </c>
      <c r="AR214" s="4">
        <f t="shared" si="90"/>
        <v>29</v>
      </c>
      <c r="AS214" s="4">
        <f t="shared" si="91"/>
        <v>3</v>
      </c>
      <c r="AT214" s="4">
        <f t="shared" si="92"/>
        <v>37</v>
      </c>
      <c r="AU214" s="4">
        <f t="shared" si="93"/>
        <v>7</v>
      </c>
      <c r="AV214" s="4">
        <f t="shared" si="94"/>
        <v>26</v>
      </c>
      <c r="AW214" s="4">
        <f t="shared" si="95"/>
        <v>2</v>
      </c>
      <c r="AX214" s="4">
        <f t="shared" si="96"/>
        <v>41</v>
      </c>
      <c r="AY214" s="4">
        <f t="shared" si="97"/>
        <v>39</v>
      </c>
      <c r="AZ214" s="4">
        <f t="shared" si="98"/>
        <v>28</v>
      </c>
      <c r="BA214" s="4">
        <f t="shared" si="99"/>
        <v>11</v>
      </c>
    </row>
    <row r="215" spans="1:53" x14ac:dyDescent="0.2">
      <c r="A215" s="1" t="str">
        <f>'SegEnds_NonXtal_Prot#'!A196</f>
        <v>ntr1_human</v>
      </c>
      <c r="B215" s="1" t="str">
        <f t="shared" si="75"/>
        <v>IYSKVLVTAVYLALFVVGTVGNTVTAFTLARKSLQSTVHYHLGSLALSDLLTLLLAMPVELYNFIWVGDAGCRGYYFLRDACTYATALNVASLSVERYLAICHSRSRTKKFISAIWLASALLAVPMLFTMTATVKVVIQVNTFMSFIFPMVVISVLNTIIANKLTVMVRQAAEQGPGRVQALRHGVRVLRAVVIAFVVCWLPYHVRRLMFCYITPFLYDFYHYFYMVTNALFYVSSTINPILYNLVSANFRHIFLATL</v>
      </c>
      <c r="C215" s="29" t="str">
        <f>IF(ISERROR(MATCH(A215,'SegEnds_Xtal_Prot#'!B:B, 0)), "NoXtal", "Xtal")</f>
        <v>NoXtal</v>
      </c>
      <c r="D215" s="4" t="str">
        <f>VLOOKUP(A215,Classification!A:D,2,FALSE)</f>
        <v>A</v>
      </c>
      <c r="E215" s="5" t="str">
        <f>VLOOKUP(A215,Seqs!A:B,2,FALSE)</f>
        <v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v>
      </c>
      <c r="F215" s="5" t="str">
        <f t="shared" si="76"/>
        <v>IYSKVLVTAVYLALFVVGTVGNTVTAFTLARK</v>
      </c>
      <c r="G215" s="4" t="str">
        <f t="shared" si="77"/>
        <v>KSLQ</v>
      </c>
      <c r="H215" s="4" t="str">
        <f t="shared" si="78"/>
        <v>SLQSTVHYHLGSLALSDLLTLLLAMPVELYNFIWV</v>
      </c>
      <c r="I215" s="4" t="str">
        <f t="shared" si="79"/>
        <v>PWAF</v>
      </c>
      <c r="J215" s="4" t="str">
        <f t="shared" si="80"/>
        <v>GDAGCRGYYFLRDACTYATALNVASLSVERYLAICH</v>
      </c>
      <c r="K215" s="4" t="str">
        <f t="shared" si="81"/>
        <v>PFKAKTLM</v>
      </c>
      <c r="L215" s="4" t="str">
        <f t="shared" si="82"/>
        <v>SRSRTKKFISAIWLASALLAVPMLFTM</v>
      </c>
      <c r="M215" s="4" t="str">
        <f t="shared" si="83"/>
        <v>CTP</v>
      </c>
      <c r="N215" s="4" t="str">
        <f t="shared" si="84"/>
        <v>TATVKVVIQVNTFMSFIFPMVVISVLNTIIANKLTVMVRQAAEQG</v>
      </c>
      <c r="O215" s="4" t="str">
        <f t="shared" si="85"/>
        <v>PGRVQALRHGVRVLRAVVIAFVVCWLPYHVRRLMFCYI</v>
      </c>
      <c r="P215" s="4" t="str">
        <f t="shared" si="86"/>
        <v>TPFLYDFYHYFYMVTNALFYVSSTINPILYNLV</v>
      </c>
      <c r="Q215" s="4" t="str">
        <f t="shared" si="87"/>
        <v>SANFRHIFLATL</v>
      </c>
      <c r="R215" s="5">
        <f>VLOOKUP($A215,'SegEnds_NonXtal_Prot#'!$A:$AL,3,FALSE)</f>
        <v>60</v>
      </c>
      <c r="S215" s="5">
        <f>VLOOKUP($A215,'SegEnds_NonXtal_Prot#'!$A:$AL,6,FALSE)</f>
        <v>92</v>
      </c>
      <c r="T215" s="5">
        <f>VLOOKUP($A215,'SegEnds_NonXtal_Prot#'!$A:$AL,9,FALSE)</f>
        <v>96</v>
      </c>
      <c r="U215" s="5">
        <f>VLOOKUP($A215,'SegEnds_NonXtal_Prot#'!$A:$AL,12,FALSE)</f>
        <v>133</v>
      </c>
      <c r="V215" s="5">
        <f>VLOOKUP($A215,'SegEnds_NonXtal_Prot#'!$A:$AL,15,FALSE)</f>
        <v>137</v>
      </c>
      <c r="W215" s="5">
        <f>VLOOKUP($A215,'SegEnds_NonXtal_Prot#'!$A:$AL,18,FALSE)</f>
        <v>173</v>
      </c>
      <c r="X215" s="5">
        <f>VLOOKUP($A215,'SegEnds_NonXtal_Prot#'!$A:$AL,21,FALSE)</f>
        <v>181</v>
      </c>
      <c r="Y215" s="5">
        <f>VLOOKUP($A215,'SegEnds_NonXtal_Prot#'!$A:$AL,24,FALSE)</f>
        <v>224</v>
      </c>
      <c r="Z215" s="5">
        <f>VLOOKUP($A215,'SegEnds_NonXtal_Prot#'!$A:$AL,27,FALSE)</f>
        <v>230</v>
      </c>
      <c r="AA215" s="5">
        <f>VLOOKUP($A215,'SegEnds_NonXtal_Prot#'!$A:$AL,30,FALSE)</f>
        <v>292</v>
      </c>
      <c r="AB215" s="5">
        <f>VLOOKUP($A215,'SegEnds_NonXtal_Prot#'!$A:$AL,33,FALSE)</f>
        <v>335</v>
      </c>
      <c r="AC215" s="5">
        <f>VLOOKUP($A215,'SegEnds_NonXtal_Prot#'!$A:$AL,36,FALSE)</f>
        <v>368</v>
      </c>
      <c r="AD215" s="5">
        <f>VLOOKUP($A215,'SegEnds_NonXtal_Prot#'!$A:$AL,5,FALSE)</f>
        <v>91</v>
      </c>
      <c r="AE215" s="5">
        <f>VLOOKUP($A215,'SegEnds_NonXtal_Prot#'!$A:$AL,8,FALSE)</f>
        <v>95</v>
      </c>
      <c r="AF215" s="5">
        <f>VLOOKUP($A215,'SegEnds_NonXtal_Prot#'!$A:$AL,11,FALSE)</f>
        <v>130</v>
      </c>
      <c r="AG215" s="5">
        <f>VLOOKUP($A215,'SegEnds_NonXtal_Prot#'!$A:$AL,14,FALSE)</f>
        <v>136</v>
      </c>
      <c r="AH215" s="5">
        <f>VLOOKUP($A215,'SegEnds_NonXtal_Prot#'!$A:$AL,17,FALSE)</f>
        <v>172</v>
      </c>
      <c r="AI215" s="5">
        <f>VLOOKUP($A215,'SegEnds_NonXtal_Prot#'!$A:$AL,20,FALSE)</f>
        <v>180</v>
      </c>
      <c r="AJ215" s="5">
        <f>VLOOKUP($A215,'SegEnds_NonXtal_Prot#'!$A:$AL,23,FALSE)</f>
        <v>207</v>
      </c>
      <c r="AK215" s="5">
        <f>VLOOKUP($A215,'SegEnds_NonXtal_Prot#'!$A:$AL,26,FALSE)</f>
        <v>226</v>
      </c>
      <c r="AL215" s="5">
        <f>VLOOKUP($A215,'SegEnds_NonXtal_Prot#'!$A:$AL,29,FALSE)</f>
        <v>274</v>
      </c>
      <c r="AM215" s="5">
        <f>VLOOKUP($A215,'SegEnds_NonXtal_Prot#'!$A:$AL,32,FALSE)</f>
        <v>329</v>
      </c>
      <c r="AN215" s="5">
        <f>VLOOKUP($A215,'SegEnds_NonXtal_Prot#'!$A:$AL,35,FALSE)</f>
        <v>367</v>
      </c>
      <c r="AO215" s="5">
        <f>VLOOKUP($A215,'SegEnds_NonXtal_Prot#'!$A:$AL,38,FALSE)</f>
        <v>379</v>
      </c>
      <c r="AP215" s="5">
        <f t="shared" si="88"/>
        <v>31</v>
      </c>
      <c r="AQ215" s="4">
        <f t="shared" si="89"/>
        <v>3</v>
      </c>
      <c r="AR215" s="4">
        <f t="shared" si="90"/>
        <v>34</v>
      </c>
      <c r="AS215" s="4">
        <f t="shared" si="91"/>
        <v>3</v>
      </c>
      <c r="AT215" s="4">
        <f t="shared" si="92"/>
        <v>35</v>
      </c>
      <c r="AU215" s="4">
        <f t="shared" si="93"/>
        <v>7</v>
      </c>
      <c r="AV215" s="4">
        <f t="shared" si="94"/>
        <v>26</v>
      </c>
      <c r="AW215" s="4">
        <f t="shared" si="95"/>
        <v>2</v>
      </c>
      <c r="AX215" s="4">
        <f t="shared" si="96"/>
        <v>44</v>
      </c>
      <c r="AY215" s="4">
        <f t="shared" si="97"/>
        <v>37</v>
      </c>
      <c r="AZ215" s="4">
        <f t="shared" si="98"/>
        <v>32</v>
      </c>
      <c r="BA215" s="4">
        <f t="shared" si="99"/>
        <v>11</v>
      </c>
    </row>
    <row r="216" spans="1:53" x14ac:dyDescent="0.2">
      <c r="A216" s="1" t="str">
        <f>'SegEnds_NonXtal_Prot#'!A197</f>
        <v>ntr1_rat</v>
      </c>
      <c r="B216" s="1" t="str">
        <f t="shared" si="75"/>
        <v>IYSKVLVTAIYLALFVVGTVGNSVTAFTLARKSLQSTVHYHLGSLALSDLLILLLAMPVELYNFIWVGDAGCRGYYFLRDACTYATALNVASLSVERYLAICHSRSRTKKFISAIWLASALLAIPMLFTMTATVKVVIQVNTFMSFLFPMLVISILNTVIANKLTVMVHQAAEQGPGRVQALRHGVLVLRAVVIAFVVCWLPYHVRRLMFCYITTFLFDFYHYFYMLTNALFYVSSAINPILYNLVSANFRQVFLSTL</v>
      </c>
      <c r="C216" s="29" t="str">
        <f>IF(ISERROR(MATCH(A216,'SegEnds_Xtal_Prot#'!B:B, 0)), "NoXtal", "Xtal")</f>
        <v>Xtal</v>
      </c>
      <c r="D216" s="4" t="str">
        <f>VLOOKUP(A216,Classification!A:D,2,FALSE)</f>
        <v>A</v>
      </c>
      <c r="E216" s="5" t="str">
        <f>VLOOKUP(A216,Seqs!A:B,2,FALSE)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F216" s="5" t="str">
        <f t="shared" si="76"/>
        <v>IYSKVLVTAIYLALFVVGTVGNSVTAFTLARK</v>
      </c>
      <c r="G216" s="4" t="str">
        <f t="shared" si="77"/>
        <v>KSLQ</v>
      </c>
      <c r="H216" s="4" t="str">
        <f t="shared" si="78"/>
        <v>SLQSTVHYHLGSLALSDLLILLLAMPVELYNFIWV</v>
      </c>
      <c r="I216" s="4" t="str">
        <f t="shared" si="79"/>
        <v>PWAF</v>
      </c>
      <c r="J216" s="4" t="str">
        <f t="shared" si="80"/>
        <v>GDAGCRGYYFLRDACTYATALNVASLSVERYLAICH</v>
      </c>
      <c r="K216" s="4" t="str">
        <f t="shared" si="81"/>
        <v>PFKAKTLM</v>
      </c>
      <c r="L216" s="4" t="str">
        <f t="shared" si="82"/>
        <v>SRSRTKKFISAIWLASALLAIPMLFTM</v>
      </c>
      <c r="M216" s="4" t="str">
        <f t="shared" si="83"/>
        <v>CTP</v>
      </c>
      <c r="N216" s="4" t="str">
        <f t="shared" si="84"/>
        <v>TATVKVVIQVNTFMSFLFPMLVISILNTVIANKLTVMVHQAAEQG</v>
      </c>
      <c r="O216" s="4" t="str">
        <f t="shared" si="85"/>
        <v>PGRVQALRHGVLVLRAVVIAFVVCWLPYHVRRLMFCYI</v>
      </c>
      <c r="P216" s="4" t="str">
        <f t="shared" si="86"/>
        <v>TTFLFDFYHYFYMLTNALFYVSSAINPILYNLV</v>
      </c>
      <c r="Q216" s="4" t="str">
        <f t="shared" si="87"/>
        <v>SANFRQVFLSTL</v>
      </c>
      <c r="R216" s="5">
        <f>VLOOKUP($A216,'SegEnds_NonXtal_Prot#'!$A:$AL,3,FALSE)</f>
        <v>61</v>
      </c>
      <c r="S216" s="5">
        <f>VLOOKUP($A216,'SegEnds_NonXtal_Prot#'!$A:$AL,6,FALSE)</f>
        <v>93</v>
      </c>
      <c r="T216" s="5">
        <f>VLOOKUP($A216,'SegEnds_NonXtal_Prot#'!$A:$AL,9,FALSE)</f>
        <v>97</v>
      </c>
      <c r="U216" s="5">
        <f>VLOOKUP($A216,'SegEnds_NonXtal_Prot#'!$A:$AL,12,FALSE)</f>
        <v>134</v>
      </c>
      <c r="V216" s="5">
        <f>VLOOKUP($A216,'SegEnds_NonXtal_Prot#'!$A:$AL,15,FALSE)</f>
        <v>138</v>
      </c>
      <c r="W216" s="5">
        <f>VLOOKUP($A216,'SegEnds_NonXtal_Prot#'!$A:$AL,18,FALSE)</f>
        <v>174</v>
      </c>
      <c r="X216" s="5">
        <f>VLOOKUP($A216,'SegEnds_NonXtal_Prot#'!$A:$AL,21,FALSE)</f>
        <v>182</v>
      </c>
      <c r="Y216" s="5">
        <f>VLOOKUP($A216,'SegEnds_NonXtal_Prot#'!$A:$AL,24,FALSE)</f>
        <v>225</v>
      </c>
      <c r="Z216" s="5">
        <f>VLOOKUP($A216,'SegEnds_NonXtal_Prot#'!$A:$AL,27,FALSE)</f>
        <v>231</v>
      </c>
      <c r="AA216" s="5">
        <f>VLOOKUP($A216,'SegEnds_NonXtal_Prot#'!$A:$AL,30,FALSE)</f>
        <v>297</v>
      </c>
      <c r="AB216" s="5">
        <f>VLOOKUP($A216,'SegEnds_NonXtal_Prot#'!$A:$AL,33,FALSE)</f>
        <v>340</v>
      </c>
      <c r="AC216" s="5">
        <f>VLOOKUP($A216,'SegEnds_NonXtal_Prot#'!$A:$AL,36,FALSE)</f>
        <v>373</v>
      </c>
      <c r="AD216" s="5">
        <f>VLOOKUP($A216,'SegEnds_NonXtal_Prot#'!$A:$AL,5,FALSE)</f>
        <v>92</v>
      </c>
      <c r="AE216" s="5">
        <f>VLOOKUP($A216,'SegEnds_NonXtal_Prot#'!$A:$AL,8,FALSE)</f>
        <v>96</v>
      </c>
      <c r="AF216" s="5">
        <f>VLOOKUP($A216,'SegEnds_NonXtal_Prot#'!$A:$AL,11,FALSE)</f>
        <v>131</v>
      </c>
      <c r="AG216" s="5">
        <f>VLOOKUP($A216,'SegEnds_NonXtal_Prot#'!$A:$AL,14,FALSE)</f>
        <v>137</v>
      </c>
      <c r="AH216" s="5">
        <f>VLOOKUP($A216,'SegEnds_NonXtal_Prot#'!$A:$AL,17,FALSE)</f>
        <v>173</v>
      </c>
      <c r="AI216" s="5">
        <f>VLOOKUP($A216,'SegEnds_NonXtal_Prot#'!$A:$AL,20,FALSE)</f>
        <v>181</v>
      </c>
      <c r="AJ216" s="5">
        <f>VLOOKUP($A216,'SegEnds_NonXtal_Prot#'!$A:$AL,23,FALSE)</f>
        <v>208</v>
      </c>
      <c r="AK216" s="5">
        <f>VLOOKUP($A216,'SegEnds_NonXtal_Prot#'!$A:$AL,26,FALSE)</f>
        <v>227</v>
      </c>
      <c r="AL216" s="5">
        <f>VLOOKUP($A216,'SegEnds_NonXtal_Prot#'!$A:$AL,29,FALSE)</f>
        <v>275</v>
      </c>
      <c r="AM216" s="5">
        <f>VLOOKUP($A216,'SegEnds_NonXtal_Prot#'!$A:$AL,32,FALSE)</f>
        <v>334</v>
      </c>
      <c r="AN216" s="5">
        <f>VLOOKUP($A216,'SegEnds_NonXtal_Prot#'!$A:$AL,35,FALSE)</f>
        <v>372</v>
      </c>
      <c r="AO216" s="5">
        <f>VLOOKUP($A216,'SegEnds_NonXtal_Prot#'!$A:$AL,38,FALSE)</f>
        <v>384</v>
      </c>
      <c r="AP216" s="5">
        <f t="shared" si="88"/>
        <v>31</v>
      </c>
      <c r="AQ216" s="4">
        <f t="shared" si="89"/>
        <v>3</v>
      </c>
      <c r="AR216" s="4">
        <f t="shared" si="90"/>
        <v>34</v>
      </c>
      <c r="AS216" s="4">
        <f t="shared" si="91"/>
        <v>3</v>
      </c>
      <c r="AT216" s="4">
        <f t="shared" si="92"/>
        <v>35</v>
      </c>
      <c r="AU216" s="4">
        <f t="shared" si="93"/>
        <v>7</v>
      </c>
      <c r="AV216" s="4">
        <f t="shared" si="94"/>
        <v>26</v>
      </c>
      <c r="AW216" s="4">
        <f t="shared" si="95"/>
        <v>2</v>
      </c>
      <c r="AX216" s="4">
        <f t="shared" si="96"/>
        <v>44</v>
      </c>
      <c r="AY216" s="4">
        <f t="shared" si="97"/>
        <v>37</v>
      </c>
      <c r="AZ216" s="4">
        <f t="shared" si="98"/>
        <v>32</v>
      </c>
      <c r="BA216" s="4">
        <f t="shared" si="99"/>
        <v>11</v>
      </c>
    </row>
    <row r="217" spans="1:53" x14ac:dyDescent="0.2">
      <c r="A217" s="1" t="str">
        <f>'SegEnds_NonXtal_Prot#'!A198</f>
        <v>ntr2_human</v>
      </c>
      <c r="B217" s="1" t="str">
        <f t="shared" si="75"/>
        <v>LWAKVLFTALYALIWALGAAGNALSAHVVLKAGRLRHHVLSLALAGLLLLLVGVPVELYSFVWFGDLGCRGYYFVHELCAYATVLSVAGLSAERCLAVCQTPRRTRWLVALSWAASLGLALPMAVIMRTALQVFIQVNVLVSFVLPLALTAFLNGVTVSHLLALCSQVPSVRRIRSLQRSVQVLRAIVVMYVICWLPYHARRLMYCYVTDPLYNFYHYFYMVTNTLFYVSSAVTPLLYNAVSSSFRKLFLEAV</v>
      </c>
      <c r="C217" s="29" t="str">
        <f>IF(ISERROR(MATCH(A217,'SegEnds_Xtal_Prot#'!B:B, 0)), "NoXtal", "Xtal")</f>
        <v>NoXtal</v>
      </c>
      <c r="D217" s="4" t="str">
        <f>VLOOKUP(A217,Classification!A:D,2,FALSE)</f>
        <v>A</v>
      </c>
      <c r="E217" s="5" t="str">
        <f>VLOOKUP(A217,Seqs!A:B,2,FALSE)</f>
        <v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v>
      </c>
      <c r="F217" s="5" t="str">
        <f t="shared" si="76"/>
        <v>LWAKVLFTALYALIWALGAAGNALSAHVVLKA</v>
      </c>
      <c r="G217" s="4" t="str">
        <f t="shared" si="77"/>
        <v/>
      </c>
      <c r="H217" s="4" t="str">
        <f t="shared" si="78"/>
        <v>GRLRHHVLSLALAGLLLLLVGVPVELYSFVWF</v>
      </c>
      <c r="I217" s="4" t="str">
        <f t="shared" si="79"/>
        <v>PWVF</v>
      </c>
      <c r="J217" s="4" t="str">
        <f t="shared" si="80"/>
        <v>GDLGCRGYYFVHELCAYATVLSVAGLSAERCLAVCQ</v>
      </c>
      <c r="K217" s="4" t="str">
        <f t="shared" si="81"/>
        <v>PLRARSLL</v>
      </c>
      <c r="L217" s="4" t="str">
        <f t="shared" si="82"/>
        <v>TPRRTRWLVALSWAASLGLALPMAVIM</v>
      </c>
      <c r="M217" s="4" t="str">
        <f t="shared" si="83"/>
        <v>CTV</v>
      </c>
      <c r="N217" s="4" t="str">
        <f t="shared" si="84"/>
        <v>RTALQVFIQVNVLVSFVLPLALTAFLNGVTVSHLLALCSQVPS</v>
      </c>
      <c r="O217" s="4" t="str">
        <f t="shared" si="85"/>
        <v>VRRIRSLQRSVQVLRAIVVMYVICWLPYHARRLMYCYV</v>
      </c>
      <c r="P217" s="4" t="str">
        <f t="shared" si="86"/>
        <v>TDPLYNFYHYFYMVTNTLFYVSSAVTPLLYNAV</v>
      </c>
      <c r="Q217" s="4" t="str">
        <f t="shared" si="87"/>
        <v>SSSFRKLFLEAV</v>
      </c>
      <c r="R217" s="5">
        <f>VLOOKUP($A217,'SegEnds_NonXtal_Prot#'!$A:$AL,3,FALSE)</f>
        <v>29</v>
      </c>
      <c r="S217" s="5" t="str">
        <f>VLOOKUP($A217,'SegEnds_NonXtal_Prot#'!$A:$AL,6,FALSE)</f>
        <v>-</v>
      </c>
      <c r="T217" s="5">
        <f>VLOOKUP($A217,'SegEnds_NonXtal_Prot#'!$A:$AL,9,FALSE)</f>
        <v>66</v>
      </c>
      <c r="U217" s="5">
        <f>VLOOKUP($A217,'SegEnds_NonXtal_Prot#'!$A:$AL,12,FALSE)</f>
        <v>100</v>
      </c>
      <c r="V217" s="5">
        <f>VLOOKUP($A217,'SegEnds_NonXtal_Prot#'!$A:$AL,15,FALSE)</f>
        <v>104</v>
      </c>
      <c r="W217" s="5">
        <f>VLOOKUP($A217,'SegEnds_NonXtal_Prot#'!$A:$AL,18,FALSE)</f>
        <v>140</v>
      </c>
      <c r="X217" s="5">
        <f>VLOOKUP($A217,'SegEnds_NonXtal_Prot#'!$A:$AL,21,FALSE)</f>
        <v>148</v>
      </c>
      <c r="Y217" s="5">
        <f>VLOOKUP($A217,'SegEnds_NonXtal_Prot#'!$A:$AL,24,FALSE)</f>
        <v>194</v>
      </c>
      <c r="Z217" s="5">
        <f>VLOOKUP($A217,'SegEnds_NonXtal_Prot#'!$A:$AL,27,FALSE)</f>
        <v>200</v>
      </c>
      <c r="AA217" s="5">
        <f>VLOOKUP($A217,'SegEnds_NonXtal_Prot#'!$A:$AL,30,FALSE)</f>
        <v>286</v>
      </c>
      <c r="AB217" s="5">
        <f>VLOOKUP($A217,'SegEnds_NonXtal_Prot#'!$A:$AL,33,FALSE)</f>
        <v>329</v>
      </c>
      <c r="AC217" s="5">
        <f>VLOOKUP($A217,'SegEnds_NonXtal_Prot#'!$A:$AL,36,FALSE)</f>
        <v>362</v>
      </c>
      <c r="AD217" s="5">
        <f>VLOOKUP($A217,'SegEnds_NonXtal_Prot#'!$A:$AL,5,FALSE)</f>
        <v>60</v>
      </c>
      <c r="AE217" s="5" t="str">
        <f>VLOOKUP($A217,'SegEnds_NonXtal_Prot#'!$A:$AL,8,FALSE)</f>
        <v>-</v>
      </c>
      <c r="AF217" s="5">
        <f>VLOOKUP($A217,'SegEnds_NonXtal_Prot#'!$A:$AL,11,FALSE)</f>
        <v>97</v>
      </c>
      <c r="AG217" s="5">
        <f>VLOOKUP($A217,'SegEnds_NonXtal_Prot#'!$A:$AL,14,FALSE)</f>
        <v>103</v>
      </c>
      <c r="AH217" s="5">
        <f>VLOOKUP($A217,'SegEnds_NonXtal_Prot#'!$A:$AL,17,FALSE)</f>
        <v>139</v>
      </c>
      <c r="AI217" s="5">
        <f>VLOOKUP($A217,'SegEnds_NonXtal_Prot#'!$A:$AL,20,FALSE)</f>
        <v>147</v>
      </c>
      <c r="AJ217" s="5">
        <f>VLOOKUP($A217,'SegEnds_NonXtal_Prot#'!$A:$AL,23,FALSE)</f>
        <v>174</v>
      </c>
      <c r="AK217" s="5">
        <f>VLOOKUP($A217,'SegEnds_NonXtal_Prot#'!$A:$AL,26,FALSE)</f>
        <v>196</v>
      </c>
      <c r="AL217" s="5">
        <f>VLOOKUP($A217,'SegEnds_NonXtal_Prot#'!$A:$AL,29,FALSE)</f>
        <v>242</v>
      </c>
      <c r="AM217" s="5">
        <f>VLOOKUP($A217,'SegEnds_NonXtal_Prot#'!$A:$AL,32,FALSE)</f>
        <v>323</v>
      </c>
      <c r="AN217" s="5">
        <f>VLOOKUP($A217,'SegEnds_NonXtal_Prot#'!$A:$AL,35,FALSE)</f>
        <v>361</v>
      </c>
      <c r="AO217" s="5">
        <f>VLOOKUP($A217,'SegEnds_NonXtal_Prot#'!$A:$AL,38,FALSE)</f>
        <v>373</v>
      </c>
      <c r="AP217" s="5">
        <f t="shared" si="88"/>
        <v>31</v>
      </c>
      <c r="AQ217" s="4" t="str">
        <f t="shared" si="89"/>
        <v>-</v>
      </c>
      <c r="AR217" s="4">
        <f t="shared" si="90"/>
        <v>31</v>
      </c>
      <c r="AS217" s="4">
        <f t="shared" si="91"/>
        <v>3</v>
      </c>
      <c r="AT217" s="4">
        <f t="shared" si="92"/>
        <v>35</v>
      </c>
      <c r="AU217" s="4">
        <f t="shared" si="93"/>
        <v>7</v>
      </c>
      <c r="AV217" s="4">
        <f t="shared" si="94"/>
        <v>26</v>
      </c>
      <c r="AW217" s="4">
        <f t="shared" si="95"/>
        <v>2</v>
      </c>
      <c r="AX217" s="4">
        <f t="shared" si="96"/>
        <v>42</v>
      </c>
      <c r="AY217" s="4">
        <f t="shared" si="97"/>
        <v>37</v>
      </c>
      <c r="AZ217" s="4">
        <f t="shared" si="98"/>
        <v>32</v>
      </c>
      <c r="BA217" s="4">
        <f t="shared" si="99"/>
        <v>11</v>
      </c>
    </row>
    <row r="218" spans="1:53" x14ac:dyDescent="0.2">
      <c r="A218" s="1" t="str">
        <f>'SegEnds_NonXtal_Prot#'!A199</f>
        <v>ogr1_human</v>
      </c>
      <c r="B218" s="1" t="str">
        <f t="shared" si="75"/>
        <v>TLAPVVYVTVLVVGFPANCLSLYFGYLQNELGVYLCNLTVADLFYICSLPFWLQYVLQGDLSCQVCGILLYENIYISVGFLCCISVDRYLAVAHTLKAAVGVSVVIWAKELLTSIYFLMHEPIQAWQRAINYYRFLVGFLFPICLLLASYQGILRAVRRQKSRKDQIQRLVLSTVVIFLACFLPYHVLLLVRSVWAKGVFNAYHFSLLLTSFNCVADPVLYCFVSETTHRDLARLRGAC</v>
      </c>
      <c r="C218" s="29" t="str">
        <f>IF(ISERROR(MATCH(A218,'SegEnds_Xtal_Prot#'!B:B, 0)), "NoXtal", "Xtal")</f>
        <v>NoXtal</v>
      </c>
      <c r="D218" s="4" t="str">
        <f>VLOOKUP(A218,Classification!A:D,2,FALSE)</f>
        <v>A</v>
      </c>
      <c r="E218" s="5" t="str">
        <f>VLOOKUP(A218,Seqs!A:B,2,FALSE)</f>
        <v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v>
      </c>
      <c r="F218" s="5" t="str">
        <f t="shared" si="76"/>
        <v>TLAPVVYVTVLVVGFPANCLSLYFGYLQ</v>
      </c>
      <c r="G218" s="4" t="str">
        <f t="shared" si="77"/>
        <v>IKAR</v>
      </c>
      <c r="H218" s="4" t="str">
        <f t="shared" si="78"/>
        <v>NELGVYLCNLTVADLFYICSLPFWLQYVLQ</v>
      </c>
      <c r="I218" s="4" t="str">
        <f t="shared" si="79"/>
        <v>NWSH</v>
      </c>
      <c r="J218" s="4" t="str">
        <f t="shared" si="80"/>
        <v>GDLSCQVCGILLYENIYISVGFLCCISVDRYLAVAH</v>
      </c>
      <c r="K218" s="4" t="str">
        <f t="shared" si="81"/>
        <v>PFRFHQFR</v>
      </c>
      <c r="L218" s="4" t="str">
        <f t="shared" si="82"/>
        <v>TLKAAVGVSVVIWAKELLTSIYFLMHE</v>
      </c>
      <c r="M218" s="4" t="str">
        <f t="shared" si="83"/>
        <v>CFE</v>
      </c>
      <c r="N218" s="4" t="str">
        <f t="shared" si="84"/>
        <v>PIQAWQRAINYYRFLVGFLFPICLLLASYQGILRAVRR</v>
      </c>
      <c r="O218" s="4" t="str">
        <f t="shared" si="85"/>
        <v>QKSRKDQIQRLVLSTVVIFLACFLPYHVLLLVRSVW</v>
      </c>
      <c r="P218" s="4" t="str">
        <f t="shared" si="86"/>
        <v>AKGVFNAYHFSLLLTSFNCVADPVLYCFV</v>
      </c>
      <c r="Q218" s="4" t="str">
        <f t="shared" si="87"/>
        <v>SETTHRDLARLRGAC</v>
      </c>
      <c r="R218" s="5">
        <f>VLOOKUP($A218,'SegEnds_NonXtal_Prot#'!$A:$AL,3,FALSE)</f>
        <v>22</v>
      </c>
      <c r="S218" s="5">
        <f>VLOOKUP($A218,'SegEnds_NonXtal_Prot#'!$A:$AL,6,FALSE)</f>
        <v>50</v>
      </c>
      <c r="T218" s="5">
        <f>VLOOKUP($A218,'SegEnds_NonXtal_Prot#'!$A:$AL,9,FALSE)</f>
        <v>54</v>
      </c>
      <c r="U218" s="5">
        <f>VLOOKUP($A218,'SegEnds_NonXtal_Prot#'!$A:$AL,12,FALSE)</f>
        <v>86</v>
      </c>
      <c r="V218" s="5">
        <f>VLOOKUP($A218,'SegEnds_NonXtal_Prot#'!$A:$AL,15,FALSE)</f>
        <v>90</v>
      </c>
      <c r="W218" s="5">
        <f>VLOOKUP($A218,'SegEnds_NonXtal_Prot#'!$A:$AL,18,FALSE)</f>
        <v>126</v>
      </c>
      <c r="X218" s="5">
        <f>VLOOKUP($A218,'SegEnds_NonXtal_Prot#'!$A:$AL,21,FALSE)</f>
        <v>134</v>
      </c>
      <c r="Y218" s="5">
        <f>VLOOKUP($A218,'SegEnds_NonXtal_Prot#'!$A:$AL,24,FALSE)</f>
        <v>172</v>
      </c>
      <c r="Z218" s="5">
        <f>VLOOKUP($A218,'SegEnds_NonXtal_Prot#'!$A:$AL,27,FALSE)</f>
        <v>177</v>
      </c>
      <c r="AA218" s="5">
        <f>VLOOKUP($A218,'SegEnds_NonXtal_Prot#'!$A:$AL,30,FALSE)</f>
        <v>219</v>
      </c>
      <c r="AB218" s="5">
        <f>VLOOKUP($A218,'SegEnds_NonXtal_Prot#'!$A:$AL,33,FALSE)</f>
        <v>261</v>
      </c>
      <c r="AC218" s="5">
        <f>VLOOKUP($A218,'SegEnds_NonXtal_Prot#'!$A:$AL,36,FALSE)</f>
        <v>290</v>
      </c>
      <c r="AD218" s="5">
        <f>VLOOKUP($A218,'SegEnds_NonXtal_Prot#'!$A:$AL,5,FALSE)</f>
        <v>49</v>
      </c>
      <c r="AE218" s="5">
        <f>VLOOKUP($A218,'SegEnds_NonXtal_Prot#'!$A:$AL,8,FALSE)</f>
        <v>53</v>
      </c>
      <c r="AF218" s="5">
        <f>VLOOKUP($A218,'SegEnds_NonXtal_Prot#'!$A:$AL,11,FALSE)</f>
        <v>83</v>
      </c>
      <c r="AG218" s="5">
        <f>VLOOKUP($A218,'SegEnds_NonXtal_Prot#'!$A:$AL,14,FALSE)</f>
        <v>89</v>
      </c>
      <c r="AH218" s="5">
        <f>VLOOKUP($A218,'SegEnds_NonXtal_Prot#'!$A:$AL,17,FALSE)</f>
        <v>125</v>
      </c>
      <c r="AI218" s="5">
        <f>VLOOKUP($A218,'SegEnds_NonXtal_Prot#'!$A:$AL,20,FALSE)</f>
        <v>133</v>
      </c>
      <c r="AJ218" s="5">
        <f>VLOOKUP($A218,'SegEnds_NonXtal_Prot#'!$A:$AL,23,FALSE)</f>
        <v>160</v>
      </c>
      <c r="AK218" s="5">
        <f>VLOOKUP($A218,'SegEnds_NonXtal_Prot#'!$A:$AL,26,FALSE)</f>
        <v>174</v>
      </c>
      <c r="AL218" s="5">
        <f>VLOOKUP($A218,'SegEnds_NonXtal_Prot#'!$A:$AL,29,FALSE)</f>
        <v>214</v>
      </c>
      <c r="AM218" s="5">
        <f>VLOOKUP($A218,'SegEnds_NonXtal_Prot#'!$A:$AL,32,FALSE)</f>
        <v>254</v>
      </c>
      <c r="AN218" s="5">
        <f>VLOOKUP($A218,'SegEnds_NonXtal_Prot#'!$A:$AL,35,FALSE)</f>
        <v>289</v>
      </c>
      <c r="AO218" s="5">
        <f>VLOOKUP($A218,'SegEnds_NonXtal_Prot#'!$A:$AL,38,FALSE)</f>
        <v>304</v>
      </c>
      <c r="AP218" s="5">
        <f t="shared" si="88"/>
        <v>27</v>
      </c>
      <c r="AQ218" s="4">
        <f t="shared" si="89"/>
        <v>3</v>
      </c>
      <c r="AR218" s="4">
        <f t="shared" si="90"/>
        <v>29</v>
      </c>
      <c r="AS218" s="4">
        <f t="shared" si="91"/>
        <v>3</v>
      </c>
      <c r="AT218" s="4">
        <f t="shared" si="92"/>
        <v>35</v>
      </c>
      <c r="AU218" s="4">
        <f t="shared" si="93"/>
        <v>7</v>
      </c>
      <c r="AV218" s="4">
        <f t="shared" si="94"/>
        <v>26</v>
      </c>
      <c r="AW218" s="4">
        <f t="shared" si="95"/>
        <v>2</v>
      </c>
      <c r="AX218" s="4">
        <f t="shared" si="96"/>
        <v>37</v>
      </c>
      <c r="AY218" s="4">
        <f t="shared" si="97"/>
        <v>35</v>
      </c>
      <c r="AZ218" s="4">
        <f t="shared" si="98"/>
        <v>28</v>
      </c>
      <c r="BA218" s="4">
        <f t="shared" si="99"/>
        <v>14</v>
      </c>
    </row>
    <row r="219" spans="1:53" x14ac:dyDescent="0.2">
      <c r="A219" s="1" t="str">
        <f>'SegEnds_NonXtal_Prot#'!A201</f>
        <v>oprd_human</v>
      </c>
      <c r="B219" s="1" t="str">
        <f t="shared" si="75"/>
        <v>GARSASSLALAIAITALYSAVCAVGLLGNVLVMFGIVRYTATNIYIFNLALADALATSTLPFQSAKYLMGELLCKAVLSIDYYNMFTSIFTLTMMSVDRYIAVCHTPAKAKLINICIWVLASGVGVPIMVMASWYWDTVTKICVFLFAFVVPILIITVCYGLMLLRLRSVSKEKDRSLRRITRMVLVVVGAFVVCWAPIHIFVIVWTLVDPLVVAALHLCIALGYANSSLNPVLYAFLDENFKRCFRQLCRK</v>
      </c>
      <c r="C219" s="29" t="str">
        <f>IF(ISERROR(MATCH(A219,'SegEnds_Xtal_Prot#'!B:B, 0)), "NoXtal", "Xtal")</f>
        <v>Xtal</v>
      </c>
      <c r="D219" s="4" t="str">
        <f>VLOOKUP(A219,Classification!A:D,2,FALSE)</f>
        <v>A</v>
      </c>
      <c r="E219" s="5" t="str">
        <f>VLOOKUP(A219,Seqs!A:B,2,FALSE)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F219" s="5" t="str">
        <f t="shared" si="76"/>
        <v>GARSASSLALAIAITALYSAVCAVGLLGNVLVMFGIVRY</v>
      </c>
      <c r="G219" s="4" t="str">
        <f t="shared" si="77"/>
        <v>TKMK</v>
      </c>
      <c r="H219" s="4" t="str">
        <f t="shared" si="78"/>
        <v>TATNIYIFNLALADALATSTLPFQSAKYLM</v>
      </c>
      <c r="I219" s="4" t="str">
        <f t="shared" si="79"/>
        <v>TWPF</v>
      </c>
      <c r="J219" s="4" t="str">
        <f t="shared" si="80"/>
        <v>GELLCKAVLSIDYYNMFTSIFTLTMMSVDRYIAVCH</v>
      </c>
      <c r="K219" s="4" t="str">
        <f t="shared" si="81"/>
        <v>PVKALDFR</v>
      </c>
      <c r="L219" s="4" t="str">
        <f t="shared" si="82"/>
        <v>TPAKAKLINICIWVLASGVGVPIMVMA</v>
      </c>
      <c r="M219" s="4" t="str">
        <f t="shared" si="83"/>
        <v>CML</v>
      </c>
      <c r="N219" s="4" t="str">
        <f t="shared" si="84"/>
        <v>SWYWDTVTKICVFLFAFVVPILIITVCYGLMLLRLRSV</v>
      </c>
      <c r="O219" s="4" t="str">
        <f t="shared" si="85"/>
        <v>SKEKDRSLRRITRMVLVVVGAFVVCWAPIHIFVIVWTLV</v>
      </c>
      <c r="P219" s="4" t="str">
        <f t="shared" si="86"/>
        <v>DPLVVAALHLCIALGYANSSLNPVLYAFL</v>
      </c>
      <c r="Q219" s="4" t="str">
        <f t="shared" si="87"/>
        <v>DENFKRCFRQLCRK</v>
      </c>
      <c r="R219" s="5">
        <f>VLOOKUP($A219,'SegEnds_NonXtal_Prot#'!$A:$AL,3,FALSE)</f>
        <v>39</v>
      </c>
      <c r="S219" s="5">
        <f>VLOOKUP($A219,'SegEnds_NonXtal_Prot#'!$A:$AL,6,FALSE)</f>
        <v>78</v>
      </c>
      <c r="T219" s="5">
        <f>VLOOKUP($A219,'SegEnds_NonXtal_Prot#'!$A:$AL,9,FALSE)</f>
        <v>82</v>
      </c>
      <c r="U219" s="5">
        <f>VLOOKUP($A219,'SegEnds_NonXtal_Prot#'!$A:$AL,12,FALSE)</f>
        <v>113</v>
      </c>
      <c r="V219" s="5">
        <f>VLOOKUP($A219,'SegEnds_NonXtal_Prot#'!$A:$AL,15,FALSE)</f>
        <v>117</v>
      </c>
      <c r="W219" s="5">
        <f>VLOOKUP($A219,'SegEnds_NonXtal_Prot#'!$A:$AL,18,FALSE)</f>
        <v>153</v>
      </c>
      <c r="X219" s="5">
        <f>VLOOKUP($A219,'SegEnds_NonXtal_Prot#'!$A:$AL,21,FALSE)</f>
        <v>161</v>
      </c>
      <c r="Y219" s="5">
        <f>VLOOKUP($A219,'SegEnds_NonXtal_Prot#'!$A:$AL,24,FALSE)</f>
        <v>198</v>
      </c>
      <c r="Z219" s="5">
        <f>VLOOKUP($A219,'SegEnds_NonXtal_Prot#'!$A:$AL,27,FALSE)</f>
        <v>206</v>
      </c>
      <c r="AA219" s="5">
        <f>VLOOKUP($A219,'SegEnds_NonXtal_Prot#'!$A:$AL,30,FALSE)</f>
        <v>249</v>
      </c>
      <c r="AB219" s="5">
        <f>VLOOKUP($A219,'SegEnds_NonXtal_Prot#'!$A:$AL,33,FALSE)</f>
        <v>293</v>
      </c>
      <c r="AC219" s="5">
        <f>VLOOKUP($A219,'SegEnds_NonXtal_Prot#'!$A:$AL,36,FALSE)</f>
        <v>322</v>
      </c>
      <c r="AD219" s="5">
        <f>VLOOKUP($A219,'SegEnds_NonXtal_Prot#'!$A:$AL,5,FALSE)</f>
        <v>77</v>
      </c>
      <c r="AE219" s="5">
        <f>VLOOKUP($A219,'SegEnds_NonXtal_Prot#'!$A:$AL,8,FALSE)</f>
        <v>81</v>
      </c>
      <c r="AF219" s="5">
        <f>VLOOKUP($A219,'SegEnds_NonXtal_Prot#'!$A:$AL,11,FALSE)</f>
        <v>111</v>
      </c>
      <c r="AG219" s="5">
        <f>VLOOKUP($A219,'SegEnds_NonXtal_Prot#'!$A:$AL,14,FALSE)</f>
        <v>116</v>
      </c>
      <c r="AH219" s="5">
        <f>VLOOKUP($A219,'SegEnds_NonXtal_Prot#'!$A:$AL,17,FALSE)</f>
        <v>152</v>
      </c>
      <c r="AI219" s="5">
        <f>VLOOKUP($A219,'SegEnds_NonXtal_Prot#'!$A:$AL,20,FALSE)</f>
        <v>160</v>
      </c>
      <c r="AJ219" s="5">
        <f>VLOOKUP($A219,'SegEnds_NonXtal_Prot#'!$A:$AL,23,FALSE)</f>
        <v>187</v>
      </c>
      <c r="AK219" s="5">
        <f>VLOOKUP($A219,'SegEnds_NonXtal_Prot#'!$A:$AL,26,FALSE)</f>
        <v>200</v>
      </c>
      <c r="AL219" s="5">
        <f>VLOOKUP($A219,'SegEnds_NonXtal_Prot#'!$A:$AL,29,FALSE)</f>
        <v>243</v>
      </c>
      <c r="AM219" s="5">
        <f>VLOOKUP($A219,'SegEnds_NonXtal_Prot#'!$A:$AL,32,FALSE)</f>
        <v>287</v>
      </c>
      <c r="AN219" s="5">
        <f>VLOOKUP($A219,'SegEnds_NonXtal_Prot#'!$A:$AL,35,FALSE)</f>
        <v>321</v>
      </c>
      <c r="AO219" s="5">
        <f>VLOOKUP($A219,'SegEnds_NonXtal_Prot#'!$A:$AL,38,FALSE)</f>
        <v>335</v>
      </c>
      <c r="AP219" s="5">
        <f t="shared" si="88"/>
        <v>38</v>
      </c>
      <c r="AQ219" s="4">
        <f t="shared" si="89"/>
        <v>3</v>
      </c>
      <c r="AR219" s="4">
        <f t="shared" si="90"/>
        <v>29</v>
      </c>
      <c r="AS219" s="4">
        <f t="shared" si="91"/>
        <v>3</v>
      </c>
      <c r="AT219" s="4">
        <f t="shared" si="92"/>
        <v>35</v>
      </c>
      <c r="AU219" s="4">
        <f t="shared" si="93"/>
        <v>7</v>
      </c>
      <c r="AV219" s="4">
        <f t="shared" si="94"/>
        <v>26</v>
      </c>
      <c r="AW219" s="4">
        <f t="shared" si="95"/>
        <v>2</v>
      </c>
      <c r="AX219" s="4">
        <f t="shared" si="96"/>
        <v>37</v>
      </c>
      <c r="AY219" s="4">
        <f t="shared" si="97"/>
        <v>38</v>
      </c>
      <c r="AZ219" s="4">
        <f t="shared" si="98"/>
        <v>28</v>
      </c>
      <c r="BA219" s="4">
        <f t="shared" si="99"/>
        <v>13</v>
      </c>
    </row>
    <row r="220" spans="1:53" x14ac:dyDescent="0.2">
      <c r="A220" s="1" t="str">
        <f>'SegEnds_NonXtal_Prot#'!A202</f>
        <v>oprd_mouse</v>
      </c>
      <c r="B220" s="1" t="str">
        <f t="shared" si="75"/>
        <v>GARSASSLALAIAITALYSAVCAVGLLGNVLVMFGIVRYTATNIYIFNLALADALATSTLPFQSAKYLMGELLCKAVLSIDYYNMFTSIFTLTMMSVDRYIAVCHTPAKAKLINICIWVLASGVGVPIMVMASWYWDTVTKICVFLFAFVVPILIITVCYGLMLLRLRSVSKEKDRSLRRITRMVLVVVGAFVVCWAPIHIFVIVWTLVDPLVVAALHLCIALGYANSSLNPVLYAFLDENFKRCFRQLCRT</v>
      </c>
      <c r="C220" s="29" t="str">
        <f>IF(ISERROR(MATCH(A220,'SegEnds_Xtal_Prot#'!B:B, 0)), "NoXtal", "Xtal")</f>
        <v>Xtal</v>
      </c>
      <c r="D220" s="4" t="str">
        <f>VLOOKUP(A220,Classification!A:D,2,FALSE)</f>
        <v>A</v>
      </c>
      <c r="E220" s="5" t="str">
        <f>VLOOKUP(A220,Seqs!A:B,2,FALSE)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F220" s="5" t="str">
        <f t="shared" si="76"/>
        <v>GARSASSLALAIAITALYSAVCAVGLLGNVLVMFGIVRY</v>
      </c>
      <c r="G220" s="4" t="str">
        <f t="shared" si="77"/>
        <v>TKLK</v>
      </c>
      <c r="H220" s="4" t="str">
        <f t="shared" si="78"/>
        <v>TATNIYIFNLALADALATSTLPFQSAKYLM</v>
      </c>
      <c r="I220" s="4" t="str">
        <f t="shared" si="79"/>
        <v>TWPF</v>
      </c>
      <c r="J220" s="4" t="str">
        <f t="shared" si="80"/>
        <v>GELLCKAVLSIDYYNMFTSIFTLTMMSVDRYIAVCH</v>
      </c>
      <c r="K220" s="4" t="str">
        <f t="shared" si="81"/>
        <v>PVKALDFR</v>
      </c>
      <c r="L220" s="4" t="str">
        <f t="shared" si="82"/>
        <v>TPAKAKLINICIWVLASGVGVPIMVMA</v>
      </c>
      <c r="M220" s="4" t="str">
        <f t="shared" si="83"/>
        <v>CML</v>
      </c>
      <c r="N220" s="4" t="str">
        <f t="shared" si="84"/>
        <v>SWYWDTVTKICVFLFAFVVPILIITVCYGLMLLRLRSV</v>
      </c>
      <c r="O220" s="4" t="str">
        <f t="shared" si="85"/>
        <v>SKEKDRSLRRITRMVLVVVGAFVVCWAPIHIFVIVWTLV</v>
      </c>
      <c r="P220" s="4" t="str">
        <f t="shared" si="86"/>
        <v>DPLVVAALHLCIALGYANSSLNPVLYAFL</v>
      </c>
      <c r="Q220" s="4" t="str">
        <f t="shared" si="87"/>
        <v>DENFKRCFRQLCRT</v>
      </c>
      <c r="R220" s="5">
        <f>VLOOKUP($A220,'SegEnds_NonXtal_Prot#'!$A:$AL,3,FALSE)</f>
        <v>39</v>
      </c>
      <c r="S220" s="5">
        <f>VLOOKUP($A220,'SegEnds_NonXtal_Prot#'!$A:$AL,6,FALSE)</f>
        <v>78</v>
      </c>
      <c r="T220" s="5">
        <f>VLOOKUP($A220,'SegEnds_NonXtal_Prot#'!$A:$AL,9,FALSE)</f>
        <v>82</v>
      </c>
      <c r="U220" s="5">
        <f>VLOOKUP($A220,'SegEnds_NonXtal_Prot#'!$A:$AL,12,FALSE)</f>
        <v>113</v>
      </c>
      <c r="V220" s="5">
        <f>VLOOKUP($A220,'SegEnds_NonXtal_Prot#'!$A:$AL,15,FALSE)</f>
        <v>117</v>
      </c>
      <c r="W220" s="5">
        <f>VLOOKUP($A220,'SegEnds_NonXtal_Prot#'!$A:$AL,18,FALSE)</f>
        <v>153</v>
      </c>
      <c r="X220" s="5">
        <f>VLOOKUP($A220,'SegEnds_NonXtal_Prot#'!$A:$AL,21,FALSE)</f>
        <v>161</v>
      </c>
      <c r="Y220" s="5">
        <f>VLOOKUP($A220,'SegEnds_NonXtal_Prot#'!$A:$AL,24,FALSE)</f>
        <v>198</v>
      </c>
      <c r="Z220" s="5">
        <f>VLOOKUP($A220,'SegEnds_NonXtal_Prot#'!$A:$AL,27,FALSE)</f>
        <v>206</v>
      </c>
      <c r="AA220" s="5">
        <f>VLOOKUP($A220,'SegEnds_NonXtal_Prot#'!$A:$AL,30,FALSE)</f>
        <v>249</v>
      </c>
      <c r="AB220" s="5">
        <f>VLOOKUP($A220,'SegEnds_NonXtal_Prot#'!$A:$AL,33,FALSE)</f>
        <v>293</v>
      </c>
      <c r="AC220" s="5">
        <f>VLOOKUP($A220,'SegEnds_NonXtal_Prot#'!$A:$AL,36,FALSE)</f>
        <v>322</v>
      </c>
      <c r="AD220" s="5">
        <f>VLOOKUP($A220,'SegEnds_NonXtal_Prot#'!$A:$AL,5,FALSE)</f>
        <v>77</v>
      </c>
      <c r="AE220" s="5">
        <f>VLOOKUP($A220,'SegEnds_NonXtal_Prot#'!$A:$AL,8,FALSE)</f>
        <v>81</v>
      </c>
      <c r="AF220" s="5">
        <f>VLOOKUP($A220,'SegEnds_NonXtal_Prot#'!$A:$AL,11,FALSE)</f>
        <v>111</v>
      </c>
      <c r="AG220" s="5">
        <f>VLOOKUP($A220,'SegEnds_NonXtal_Prot#'!$A:$AL,14,FALSE)</f>
        <v>116</v>
      </c>
      <c r="AH220" s="5">
        <f>VLOOKUP($A220,'SegEnds_NonXtal_Prot#'!$A:$AL,17,FALSE)</f>
        <v>152</v>
      </c>
      <c r="AI220" s="5">
        <f>VLOOKUP($A220,'SegEnds_NonXtal_Prot#'!$A:$AL,20,FALSE)</f>
        <v>160</v>
      </c>
      <c r="AJ220" s="5">
        <f>VLOOKUP($A220,'SegEnds_NonXtal_Prot#'!$A:$AL,23,FALSE)</f>
        <v>187</v>
      </c>
      <c r="AK220" s="5">
        <f>VLOOKUP($A220,'SegEnds_NonXtal_Prot#'!$A:$AL,26,FALSE)</f>
        <v>200</v>
      </c>
      <c r="AL220" s="5">
        <f>VLOOKUP($A220,'SegEnds_NonXtal_Prot#'!$A:$AL,29,FALSE)</f>
        <v>243</v>
      </c>
      <c r="AM220" s="5">
        <f>VLOOKUP($A220,'SegEnds_NonXtal_Prot#'!$A:$AL,32,FALSE)</f>
        <v>287</v>
      </c>
      <c r="AN220" s="5">
        <f>VLOOKUP($A220,'SegEnds_NonXtal_Prot#'!$A:$AL,35,FALSE)</f>
        <v>321</v>
      </c>
      <c r="AO220" s="5">
        <f>VLOOKUP($A220,'SegEnds_NonXtal_Prot#'!$A:$AL,38,FALSE)</f>
        <v>335</v>
      </c>
      <c r="AP220" s="5">
        <f t="shared" si="88"/>
        <v>38</v>
      </c>
      <c r="AQ220" s="4">
        <f t="shared" si="89"/>
        <v>3</v>
      </c>
      <c r="AR220" s="4">
        <f t="shared" si="90"/>
        <v>29</v>
      </c>
      <c r="AS220" s="4">
        <f t="shared" si="91"/>
        <v>3</v>
      </c>
      <c r="AT220" s="4">
        <f t="shared" si="92"/>
        <v>35</v>
      </c>
      <c r="AU220" s="4">
        <f t="shared" si="93"/>
        <v>7</v>
      </c>
      <c r="AV220" s="4">
        <f t="shared" si="94"/>
        <v>26</v>
      </c>
      <c r="AW220" s="4">
        <f t="shared" si="95"/>
        <v>2</v>
      </c>
      <c r="AX220" s="4">
        <f t="shared" si="96"/>
        <v>37</v>
      </c>
      <c r="AY220" s="4">
        <f t="shared" si="97"/>
        <v>38</v>
      </c>
      <c r="AZ220" s="4">
        <f t="shared" si="98"/>
        <v>28</v>
      </c>
      <c r="BA220" s="4">
        <f t="shared" si="99"/>
        <v>13</v>
      </c>
    </row>
    <row r="221" spans="1:53" x14ac:dyDescent="0.2">
      <c r="A221" s="1" t="str">
        <f>'SegEnds_NonXtal_Prot#'!A206</f>
        <v>oprx_human</v>
      </c>
      <c r="B221" s="1" t="str">
        <f t="shared" si="75"/>
        <v>LGLKVTIVGLYLAVCVGGLLGNCLVMYVILRHTATNIYIFNLALADTLVLLTLPFQGTDILLGNALCKTVIAIDYYNMFTSTFTLTAMSVDRYVAICHTSSKAQAVNVAIWALASVVGVPVAIMGQDYWGPVFAICIFLFSFIVPVLVISVCYSLMIRRLRGVSREKDRNLRRITRLVLVVVAVFVGCWTPVQVFVLAQGLGSETAVAILRFCTALGYVNSCLNPILYAFLDENFKACFRKFCC</v>
      </c>
      <c r="C221" s="29" t="str">
        <f>IF(ISERROR(MATCH(A221,'SegEnds_Xtal_Prot#'!B:B, 0)), "NoXtal", "Xtal")</f>
        <v>Xtal</v>
      </c>
      <c r="D221" s="4" t="str">
        <f>VLOOKUP(A221,Classification!A:D,2,FALSE)</f>
        <v>A</v>
      </c>
      <c r="E221" s="5" t="str">
        <f>VLOOKUP(A221,Seqs!A:B,2,FALSE)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F221" s="5" t="str">
        <f t="shared" si="76"/>
        <v>LGLKVTIVGLYLAVCVGGLLGNCLVMYVILRH</v>
      </c>
      <c r="G221" s="4" t="str">
        <f t="shared" si="77"/>
        <v>TKMK</v>
      </c>
      <c r="H221" s="4" t="str">
        <f t="shared" si="78"/>
        <v>TATNIYIFNLALADTLVLLTLPFQGTDILL</v>
      </c>
      <c r="I221" s="4" t="str">
        <f t="shared" si="79"/>
        <v>FWPF</v>
      </c>
      <c r="J221" s="4" t="str">
        <f t="shared" si="80"/>
        <v>GNALCKTVIAIDYYNMFTSTFTLTAMSVDRYVAICH</v>
      </c>
      <c r="K221" s="4" t="str">
        <f t="shared" si="81"/>
        <v>PIRALDVR</v>
      </c>
      <c r="L221" s="4" t="str">
        <f t="shared" si="82"/>
        <v>TSSKAQAVNVAIWALASVVGVPVAIMG</v>
      </c>
      <c r="M221" s="4" t="str">
        <f t="shared" si="83"/>
        <v>CLV</v>
      </c>
      <c r="N221" s="4" t="str">
        <f t="shared" si="84"/>
        <v>QDYWGPVFAICIFLFSFIVPVLVISVCYSLMIRRLRGV</v>
      </c>
      <c r="O221" s="4" t="str">
        <f t="shared" si="85"/>
        <v>SREKDRNLRRITRLVLVVVAVFVGCWTPVQVFVLAQGLG</v>
      </c>
      <c r="P221" s="4" t="str">
        <f t="shared" si="86"/>
        <v>SETAVAILRFCTALGYVNSCLNPILYAFL</v>
      </c>
      <c r="Q221" s="4" t="str">
        <f t="shared" si="87"/>
        <v>DENFKACFRKFCC</v>
      </c>
      <c r="R221" s="5">
        <f>VLOOKUP($A221,'SegEnds_NonXtal_Prot#'!$A:$AL,3,FALSE)</f>
        <v>48</v>
      </c>
      <c r="S221" s="5">
        <f>VLOOKUP($A221,'SegEnds_NonXtal_Prot#'!$A:$AL,6,FALSE)</f>
        <v>80</v>
      </c>
      <c r="T221" s="5">
        <f>VLOOKUP($A221,'SegEnds_NonXtal_Prot#'!$A:$AL,9,FALSE)</f>
        <v>84</v>
      </c>
      <c r="U221" s="5">
        <f>VLOOKUP($A221,'SegEnds_NonXtal_Prot#'!$A:$AL,12,FALSE)</f>
        <v>115</v>
      </c>
      <c r="V221" s="5">
        <f>VLOOKUP($A221,'SegEnds_NonXtal_Prot#'!$A:$AL,15,FALSE)</f>
        <v>119</v>
      </c>
      <c r="W221" s="5">
        <f>VLOOKUP($A221,'SegEnds_NonXtal_Prot#'!$A:$AL,18,FALSE)</f>
        <v>155</v>
      </c>
      <c r="X221" s="5">
        <f>VLOOKUP($A221,'SegEnds_NonXtal_Prot#'!$A:$AL,21,FALSE)</f>
        <v>163</v>
      </c>
      <c r="Y221" s="5">
        <f>VLOOKUP($A221,'SegEnds_NonXtal_Prot#'!$A:$AL,24,FALSE)</f>
        <v>200</v>
      </c>
      <c r="Z221" s="5">
        <f>VLOOKUP($A221,'SegEnds_NonXtal_Prot#'!$A:$AL,27,FALSE)</f>
        <v>208</v>
      </c>
      <c r="AA221" s="5">
        <f>VLOOKUP($A221,'SegEnds_NonXtal_Prot#'!$A:$AL,30,FALSE)</f>
        <v>251</v>
      </c>
      <c r="AB221" s="5">
        <f>VLOOKUP($A221,'SegEnds_NonXtal_Prot#'!$A:$AL,33,FALSE)</f>
        <v>294</v>
      </c>
      <c r="AC221" s="5">
        <f>VLOOKUP($A221,'SegEnds_NonXtal_Prot#'!$A:$AL,36,FALSE)</f>
        <v>323</v>
      </c>
      <c r="AD221" s="5">
        <f>VLOOKUP($A221,'SegEnds_NonXtal_Prot#'!$A:$AL,5,FALSE)</f>
        <v>79</v>
      </c>
      <c r="AE221" s="5">
        <f>VLOOKUP($A221,'SegEnds_NonXtal_Prot#'!$A:$AL,8,FALSE)</f>
        <v>83</v>
      </c>
      <c r="AF221" s="5">
        <f>VLOOKUP($A221,'SegEnds_NonXtal_Prot#'!$A:$AL,11,FALSE)</f>
        <v>113</v>
      </c>
      <c r="AG221" s="5">
        <f>VLOOKUP($A221,'SegEnds_NonXtal_Prot#'!$A:$AL,14,FALSE)</f>
        <v>118</v>
      </c>
      <c r="AH221" s="5">
        <f>VLOOKUP($A221,'SegEnds_NonXtal_Prot#'!$A:$AL,17,FALSE)</f>
        <v>154</v>
      </c>
      <c r="AI221" s="5">
        <f>VLOOKUP($A221,'SegEnds_NonXtal_Prot#'!$A:$AL,20,FALSE)</f>
        <v>162</v>
      </c>
      <c r="AJ221" s="5">
        <f>VLOOKUP($A221,'SegEnds_NonXtal_Prot#'!$A:$AL,23,FALSE)</f>
        <v>189</v>
      </c>
      <c r="AK221" s="5">
        <f>VLOOKUP($A221,'SegEnds_NonXtal_Prot#'!$A:$AL,26,FALSE)</f>
        <v>202</v>
      </c>
      <c r="AL221" s="5">
        <f>VLOOKUP($A221,'SegEnds_NonXtal_Prot#'!$A:$AL,29,FALSE)</f>
        <v>245</v>
      </c>
      <c r="AM221" s="5">
        <f>VLOOKUP($A221,'SegEnds_NonXtal_Prot#'!$A:$AL,32,FALSE)</f>
        <v>289</v>
      </c>
      <c r="AN221" s="5">
        <f>VLOOKUP($A221,'SegEnds_NonXtal_Prot#'!$A:$AL,35,FALSE)</f>
        <v>322</v>
      </c>
      <c r="AO221" s="5">
        <f>VLOOKUP($A221,'SegEnds_NonXtal_Prot#'!$A:$AL,38,FALSE)</f>
        <v>335</v>
      </c>
      <c r="AP221" s="5">
        <f t="shared" si="88"/>
        <v>31</v>
      </c>
      <c r="AQ221" s="4">
        <f t="shared" si="89"/>
        <v>3</v>
      </c>
      <c r="AR221" s="4">
        <f t="shared" si="90"/>
        <v>29</v>
      </c>
      <c r="AS221" s="4">
        <f t="shared" si="91"/>
        <v>3</v>
      </c>
      <c r="AT221" s="4">
        <f t="shared" si="92"/>
        <v>35</v>
      </c>
      <c r="AU221" s="4">
        <f t="shared" si="93"/>
        <v>7</v>
      </c>
      <c r="AV221" s="4">
        <f t="shared" si="94"/>
        <v>26</v>
      </c>
      <c r="AW221" s="4">
        <f t="shared" si="95"/>
        <v>2</v>
      </c>
      <c r="AX221" s="4">
        <f t="shared" si="96"/>
        <v>37</v>
      </c>
      <c r="AY221" s="4">
        <f t="shared" si="97"/>
        <v>38</v>
      </c>
      <c r="AZ221" s="4">
        <f t="shared" si="98"/>
        <v>28</v>
      </c>
      <c r="BA221" s="4">
        <f t="shared" si="99"/>
        <v>12</v>
      </c>
    </row>
    <row r="222" spans="1:53" x14ac:dyDescent="0.2">
      <c r="A222" s="1" t="str">
        <f>'SegEnds_NonXtal_Prot#'!A207</f>
        <v>opsd_todpa</v>
      </c>
      <c r="B222" s="1" t="str">
        <f t="shared" si="75"/>
        <v>DAVYYSLGIFIGICGIIGCGGNGIVIYLFTKTTPANMFIINLAFSDFTFSLVNGFPLMTISCFLKGFAACKVYGFIGGIFGFMSIMTMAMISIDRYNVIGRSHRRAFIMIIFVWLWSVLWAIGPIFDSTTRSNILCMFILGFFGPILIIFFCYFNIVMSVSNHEKEMAAMAKKELRKAQAGANAEMRLAKISIVIVSQFLLSWSPYAVVALLAQFGTPYAAQLPVMFAKASAIHNPMIYSVSHPKFREAISQTF</v>
      </c>
      <c r="C222" s="29" t="str">
        <f>IF(ISERROR(MATCH(A222,'SegEnds_Xtal_Prot#'!B:B, 0)), "NoXtal", "Xtal")</f>
        <v>Xtal</v>
      </c>
      <c r="D222" s="4" t="str">
        <f>VLOOKUP(A222,Classification!A:D,2,FALSE)</f>
        <v>A</v>
      </c>
      <c r="E222" s="5" t="str">
        <f>VLOOKUP(A222,Seqs!A:B,2,FALSE)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F222" s="5" t="str">
        <f t="shared" si="76"/>
        <v>DAVYYSLGIFIGICGIIGCGGNGIVIYLFTKT</v>
      </c>
      <c r="G222" s="4" t="str">
        <f t="shared" si="77"/>
        <v>KSLQ</v>
      </c>
      <c r="H222" s="4" t="str">
        <f t="shared" si="78"/>
        <v>TPANMFIINLAFSDFTFSLVNGFPLMTISCFLK</v>
      </c>
      <c r="I222" s="4" t="str">
        <f t="shared" si="79"/>
        <v>KWIF</v>
      </c>
      <c r="J222" s="4" t="str">
        <f t="shared" si="80"/>
        <v>GFAACKVYGFIGGIFGFMSIMTMAMISIDRYNVIGR</v>
      </c>
      <c r="K222" s="4" t="str">
        <f t="shared" si="81"/>
        <v>PMAASKKM</v>
      </c>
      <c r="L222" s="4" t="str">
        <f t="shared" si="82"/>
        <v>SHRRAFIMIIFVWLWSVLWAIGPIF</v>
      </c>
      <c r="M222" s="4" t="str">
        <f t="shared" si="83"/>
        <v>CSF</v>
      </c>
      <c r="N222" s="4" t="str">
        <f t="shared" si="84"/>
        <v>DSTTRSNILCMFILGFFGPILIIFFCYFNIVMSVSNHEKEMAAMAK</v>
      </c>
      <c r="O222" s="4" t="str">
        <f t="shared" si="85"/>
        <v>KELRKAQAGANAEMRLAKISIVIVSQFLLSWSPYAVVALLAQFG</v>
      </c>
      <c r="P222" s="4" t="str">
        <f t="shared" si="86"/>
        <v>TPYAAQLPVMFAKASAIHNPMIYSVS</v>
      </c>
      <c r="Q222" s="4" t="str">
        <f t="shared" si="87"/>
        <v>HPKFREAISQTF</v>
      </c>
      <c r="R222" s="5">
        <f>VLOOKUP($A222,'SegEnds_NonXtal_Prot#'!$A:$AL,3,FALSE)</f>
        <v>31</v>
      </c>
      <c r="S222" s="5">
        <f>VLOOKUP($A222,'SegEnds_NonXtal_Prot#'!$A:$AL,6,FALSE)</f>
        <v>63</v>
      </c>
      <c r="T222" s="5">
        <f>VLOOKUP($A222,'SegEnds_NonXtal_Prot#'!$A:$AL,9,FALSE)</f>
        <v>67</v>
      </c>
      <c r="U222" s="5">
        <f>VLOOKUP($A222,'SegEnds_NonXtal_Prot#'!$A:$AL,12,FALSE)</f>
        <v>100</v>
      </c>
      <c r="V222" s="5">
        <f>VLOOKUP($A222,'SegEnds_NonXtal_Prot#'!$A:$AL,15,FALSE)</f>
        <v>104</v>
      </c>
      <c r="W222" s="5">
        <f>VLOOKUP($A222,'SegEnds_NonXtal_Prot#'!$A:$AL,18,FALSE)</f>
        <v>140</v>
      </c>
      <c r="X222" s="5">
        <f>VLOOKUP($A222,'SegEnds_NonXtal_Prot#'!$A:$AL,21,FALSE)</f>
        <v>148</v>
      </c>
      <c r="Y222" s="5">
        <f>VLOOKUP($A222,'SegEnds_NonXtal_Prot#'!$A:$AL,24,FALSE)</f>
        <v>186</v>
      </c>
      <c r="Z222" s="5">
        <f>VLOOKUP($A222,'SegEnds_NonXtal_Prot#'!$A:$AL,27,FALSE)</f>
        <v>194</v>
      </c>
      <c r="AA222" s="5">
        <f>VLOOKUP($A222,'SegEnds_NonXtal_Prot#'!$A:$AL,30,FALSE)</f>
        <v>244</v>
      </c>
      <c r="AB222" s="5">
        <f>VLOOKUP($A222,'SegEnds_NonXtal_Prot#'!$A:$AL,33,FALSE)</f>
        <v>293</v>
      </c>
      <c r="AC222" s="5">
        <f>VLOOKUP($A222,'SegEnds_NonXtal_Prot#'!$A:$AL,36,FALSE)</f>
        <v>319</v>
      </c>
      <c r="AD222" s="5">
        <f>VLOOKUP($A222,'SegEnds_NonXtal_Prot#'!$A:$AL,5,FALSE)</f>
        <v>62</v>
      </c>
      <c r="AE222" s="5">
        <f>VLOOKUP($A222,'SegEnds_NonXtal_Prot#'!$A:$AL,8,FALSE)</f>
        <v>66</v>
      </c>
      <c r="AF222" s="5">
        <f>VLOOKUP($A222,'SegEnds_NonXtal_Prot#'!$A:$AL,11,FALSE)</f>
        <v>99</v>
      </c>
      <c r="AG222" s="5">
        <f>VLOOKUP($A222,'SegEnds_NonXtal_Prot#'!$A:$AL,14,FALSE)</f>
        <v>103</v>
      </c>
      <c r="AH222" s="5">
        <f>VLOOKUP($A222,'SegEnds_NonXtal_Prot#'!$A:$AL,17,FALSE)</f>
        <v>139</v>
      </c>
      <c r="AI222" s="5">
        <f>VLOOKUP($A222,'SegEnds_NonXtal_Prot#'!$A:$AL,20,FALSE)</f>
        <v>147</v>
      </c>
      <c r="AJ222" s="5">
        <f>VLOOKUP($A222,'SegEnds_NonXtal_Prot#'!$A:$AL,23,FALSE)</f>
        <v>172</v>
      </c>
      <c r="AK222" s="5">
        <f>VLOOKUP($A222,'SegEnds_NonXtal_Prot#'!$A:$AL,26,FALSE)</f>
        <v>188</v>
      </c>
      <c r="AL222" s="5">
        <f>VLOOKUP($A222,'SegEnds_NonXtal_Prot#'!$A:$AL,29,FALSE)</f>
        <v>239</v>
      </c>
      <c r="AM222" s="5">
        <f>VLOOKUP($A222,'SegEnds_NonXtal_Prot#'!$A:$AL,32,FALSE)</f>
        <v>287</v>
      </c>
      <c r="AN222" s="5">
        <f>VLOOKUP($A222,'SegEnds_NonXtal_Prot#'!$A:$AL,35,FALSE)</f>
        <v>318</v>
      </c>
      <c r="AO222" s="5">
        <f>VLOOKUP($A222,'SegEnds_NonXtal_Prot#'!$A:$AL,38,FALSE)</f>
        <v>330</v>
      </c>
      <c r="AP222" s="5">
        <f t="shared" si="88"/>
        <v>31</v>
      </c>
      <c r="AQ222" s="4">
        <f t="shared" si="89"/>
        <v>3</v>
      </c>
      <c r="AR222" s="4">
        <f t="shared" si="90"/>
        <v>32</v>
      </c>
      <c r="AS222" s="4">
        <f t="shared" si="91"/>
        <v>3</v>
      </c>
      <c r="AT222" s="4">
        <f t="shared" si="92"/>
        <v>35</v>
      </c>
      <c r="AU222" s="4">
        <f t="shared" si="93"/>
        <v>7</v>
      </c>
      <c r="AV222" s="4">
        <f t="shared" si="94"/>
        <v>24</v>
      </c>
      <c r="AW222" s="4">
        <f t="shared" si="95"/>
        <v>2</v>
      </c>
      <c r="AX222" s="4">
        <f t="shared" si="96"/>
        <v>45</v>
      </c>
      <c r="AY222" s="4">
        <f t="shared" si="97"/>
        <v>43</v>
      </c>
      <c r="AZ222" s="4">
        <f t="shared" si="98"/>
        <v>25</v>
      </c>
      <c r="BA222" s="4">
        <f t="shared" si="99"/>
        <v>11</v>
      </c>
    </row>
    <row r="223" spans="1:53" x14ac:dyDescent="0.2">
      <c r="A223" s="1" t="str">
        <f>'SegEnds_NonXtal_Prot#'!A208</f>
        <v>oxer1_human</v>
      </c>
      <c r="B223" s="1" t="str">
        <f t="shared" si="75"/>
        <v>SAFLAPILALEFVLGLVGNSLALFIFCIHTSNTVFLVSLVAADFLLISNLPLRVDYYLLHGAAACKVNLFMLSTNRTASVVFLTAIALNRYLKVVQSVGAAARVAGGLWVGILLLNGHLLLSTYRVGTKPSASLRWHQALYLLEFFLPLALILFAIVSIGLTIRNGQAGPQRAMRVLAMVVAVYTICFLPSIIFGMASMVALDLCTQLFHGSLAFTYLNSVLDPVLYCFSSPNFLHQSRALLGLTRGR</v>
      </c>
      <c r="C223" s="29" t="str">
        <f>IF(ISERROR(MATCH(A223,'SegEnds_Xtal_Prot#'!B:B, 0)), "NoXtal", "Xtal")</f>
        <v>NoXtal</v>
      </c>
      <c r="D223" s="4" t="str">
        <f>VLOOKUP(A223,Classification!A:D,2,FALSE)</f>
        <v>A</v>
      </c>
      <c r="E223" s="5" t="str">
        <f>VLOOKUP(A223,Seqs!A:B,2,FALSE)</f>
        <v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v>
      </c>
      <c r="F223" s="5" t="str">
        <f t="shared" si="76"/>
        <v>SAFLAPILALEFVLGLVGNSLALFIFCIH</v>
      </c>
      <c r="G223" s="4" t="str">
        <f t="shared" si="77"/>
        <v>TRPW</v>
      </c>
      <c r="H223" s="4" t="str">
        <f t="shared" si="78"/>
        <v>TSNTVFLVSLVAADFLLISNLPLRVDYYLLH</v>
      </c>
      <c r="I223" s="4" t="str">
        <f t="shared" si="79"/>
        <v>TWRF</v>
      </c>
      <c r="J223" s="4" t="str">
        <f t="shared" si="80"/>
        <v>GAAACKVNLFMLSTNRTASVVFLTAIALNRYLKVVQ</v>
      </c>
      <c r="K223" s="4" t="str">
        <f t="shared" si="81"/>
        <v>PHHVLSRA</v>
      </c>
      <c r="L223" s="4" t="str">
        <f t="shared" si="82"/>
        <v>SVGAAARVAGGLWVGILLLNGHLLLST</v>
      </c>
      <c r="M223" s="4" t="str">
        <f t="shared" si="83"/>
        <v>CLS</v>
      </c>
      <c r="N223" s="4" t="str">
        <f t="shared" si="84"/>
        <v>YRVGTKPSASLRWHQALYLLEFFLPLALILFAIVSIGLTIRN</v>
      </c>
      <c r="O223" s="4" t="str">
        <f t="shared" si="85"/>
        <v>GQAGPQRAMRVLAMVVAVYTICFLPSIIFGMASMVA</v>
      </c>
      <c r="P223" s="4" t="str">
        <f t="shared" si="86"/>
        <v>LDLCTQLFHGSLAFTYLNSVLDPVLYCFS</v>
      </c>
      <c r="Q223" s="4" t="str">
        <f t="shared" si="87"/>
        <v>SPNFLHQSRALLGLTRGR</v>
      </c>
      <c r="R223" s="5">
        <f>VLOOKUP($A223,'SegEnds_NonXtal_Prot#'!$A:$AL,3,FALSE)</f>
        <v>92</v>
      </c>
      <c r="S223" s="5">
        <f>VLOOKUP($A223,'SegEnds_NonXtal_Prot#'!$A:$AL,6,FALSE)</f>
        <v>121</v>
      </c>
      <c r="T223" s="5">
        <f>VLOOKUP($A223,'SegEnds_NonXtal_Prot#'!$A:$AL,9,FALSE)</f>
        <v>125</v>
      </c>
      <c r="U223" s="5">
        <f>VLOOKUP($A223,'SegEnds_NonXtal_Prot#'!$A:$AL,12,FALSE)</f>
        <v>157</v>
      </c>
      <c r="V223" s="5">
        <f>VLOOKUP($A223,'SegEnds_NonXtal_Prot#'!$A:$AL,15,FALSE)</f>
        <v>161</v>
      </c>
      <c r="W223" s="5">
        <f>VLOOKUP($A223,'SegEnds_NonXtal_Prot#'!$A:$AL,18,FALSE)</f>
        <v>197</v>
      </c>
      <c r="X223" s="5">
        <f>VLOOKUP($A223,'SegEnds_NonXtal_Prot#'!$A:$AL,21,FALSE)</f>
        <v>205</v>
      </c>
      <c r="Y223" s="5">
        <f>VLOOKUP($A223,'SegEnds_NonXtal_Prot#'!$A:$AL,24,FALSE)</f>
        <v>237</v>
      </c>
      <c r="Z223" s="5">
        <f>VLOOKUP($A223,'SegEnds_NonXtal_Prot#'!$A:$AL,27,FALSE)</f>
        <v>240</v>
      </c>
      <c r="AA223" s="5">
        <f>VLOOKUP($A223,'SegEnds_NonXtal_Prot#'!$A:$AL,30,FALSE)</f>
        <v>286</v>
      </c>
      <c r="AB223" s="5">
        <f>VLOOKUP($A223,'SegEnds_NonXtal_Prot#'!$A:$AL,33,FALSE)</f>
        <v>330</v>
      </c>
      <c r="AC223" s="5">
        <f>VLOOKUP($A223,'SegEnds_NonXtal_Prot#'!$A:$AL,36,FALSE)</f>
        <v>359</v>
      </c>
      <c r="AD223" s="5">
        <f>VLOOKUP($A223,'SegEnds_NonXtal_Prot#'!$A:$AL,5,FALSE)</f>
        <v>120</v>
      </c>
      <c r="AE223" s="5">
        <f>VLOOKUP($A223,'SegEnds_NonXtal_Prot#'!$A:$AL,8,FALSE)</f>
        <v>124</v>
      </c>
      <c r="AF223" s="5">
        <f>VLOOKUP($A223,'SegEnds_NonXtal_Prot#'!$A:$AL,11,FALSE)</f>
        <v>155</v>
      </c>
      <c r="AG223" s="5">
        <f>VLOOKUP($A223,'SegEnds_NonXtal_Prot#'!$A:$AL,14,FALSE)</f>
        <v>160</v>
      </c>
      <c r="AH223" s="5">
        <f>VLOOKUP($A223,'SegEnds_NonXtal_Prot#'!$A:$AL,17,FALSE)</f>
        <v>196</v>
      </c>
      <c r="AI223" s="5">
        <f>VLOOKUP($A223,'SegEnds_NonXtal_Prot#'!$A:$AL,20,FALSE)</f>
        <v>204</v>
      </c>
      <c r="AJ223" s="5">
        <f>VLOOKUP($A223,'SegEnds_NonXtal_Prot#'!$A:$AL,23,FALSE)</f>
        <v>231</v>
      </c>
      <c r="AK223" s="5">
        <f>VLOOKUP($A223,'SegEnds_NonXtal_Prot#'!$A:$AL,26,FALSE)</f>
        <v>239</v>
      </c>
      <c r="AL223" s="5">
        <f>VLOOKUP($A223,'SegEnds_NonXtal_Prot#'!$A:$AL,29,FALSE)</f>
        <v>281</v>
      </c>
      <c r="AM223" s="5">
        <f>VLOOKUP($A223,'SegEnds_NonXtal_Prot#'!$A:$AL,32,FALSE)</f>
        <v>321</v>
      </c>
      <c r="AN223" s="5">
        <f>VLOOKUP($A223,'SegEnds_NonXtal_Prot#'!$A:$AL,35,FALSE)</f>
        <v>358</v>
      </c>
      <c r="AO223" s="5">
        <f>VLOOKUP($A223,'SegEnds_NonXtal_Prot#'!$A:$AL,38,FALSE)</f>
        <v>376</v>
      </c>
      <c r="AP223" s="5">
        <f t="shared" si="88"/>
        <v>28</v>
      </c>
      <c r="AQ223" s="4">
        <f t="shared" si="89"/>
        <v>3</v>
      </c>
      <c r="AR223" s="4">
        <f t="shared" si="90"/>
        <v>30</v>
      </c>
      <c r="AS223" s="4">
        <f t="shared" si="91"/>
        <v>3</v>
      </c>
      <c r="AT223" s="4">
        <f t="shared" si="92"/>
        <v>35</v>
      </c>
      <c r="AU223" s="4">
        <f t="shared" si="93"/>
        <v>7</v>
      </c>
      <c r="AV223" s="4">
        <f t="shared" si="94"/>
        <v>26</v>
      </c>
      <c r="AW223" s="4">
        <f t="shared" si="95"/>
        <v>2</v>
      </c>
      <c r="AX223" s="4">
        <f t="shared" si="96"/>
        <v>41</v>
      </c>
      <c r="AY223" s="4">
        <f t="shared" si="97"/>
        <v>35</v>
      </c>
      <c r="AZ223" s="4">
        <f t="shared" si="98"/>
        <v>28</v>
      </c>
      <c r="BA223" s="4">
        <f t="shared" si="99"/>
        <v>17</v>
      </c>
    </row>
    <row r="224" spans="1:53" x14ac:dyDescent="0.2">
      <c r="A224" s="1" t="str">
        <f>'SegEnds_NonXtal_Prot#'!A209</f>
        <v>oxgr1_human</v>
      </c>
      <c r="B224" s="1" t="str">
        <f t="shared" si="75"/>
        <v>LKMHYLPVIYGIIFLVGFPGNAVVISTYIFKKSSTIIMLNLACTDLLYLTSLPFLIHYYASGDFMCKFIRFSFHFNLYSSILFLTCFSIFRYCVIIHKTRCAVVACAVVWIISLVAVIPMTFLILNTIKWYNLILTATTFCLPLVIVTLCYTTIIHTLTHDSCLKQKARRLTILLLLAFYVCFLPFHILRVIRIESSCSIENQIHEAYIVSRPLAALNTFGNLLLYVVVSDNFQQAVCSTVR</v>
      </c>
      <c r="C224" s="29" t="str">
        <f>IF(ISERROR(MATCH(A224,'SegEnds_Xtal_Prot#'!B:B, 0)), "NoXtal", "Xtal")</f>
        <v>NoXtal</v>
      </c>
      <c r="D224" s="4" t="str">
        <f>VLOOKUP(A224,Classification!A:D,2,FALSE)</f>
        <v>A</v>
      </c>
      <c r="E224" s="5" t="str">
        <f>VLOOKUP(A224,Seqs!A:B,2,FALSE)</f>
        <v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v>
      </c>
      <c r="F224" s="5" t="str">
        <f t="shared" si="76"/>
        <v>LKMHYLPVIYGIIFLVGFPGNAVVISTYIFK</v>
      </c>
      <c r="G224" s="4" t="str">
        <f t="shared" si="77"/>
        <v/>
      </c>
      <c r="H224" s="4" t="str">
        <f t="shared" si="78"/>
        <v>KSSTIIMLNLACTDLLYLTSLPFLIHYYAS</v>
      </c>
      <c r="I224" s="4" t="str">
        <f t="shared" si="79"/>
        <v>NWIF</v>
      </c>
      <c r="J224" s="4" t="str">
        <f t="shared" si="80"/>
        <v>GDFMCKFIRFSFHFNLYSSILFLTCFSIFRYCVIIH</v>
      </c>
      <c r="K224" s="4" t="str">
        <f t="shared" si="81"/>
        <v>PMSCFSIH</v>
      </c>
      <c r="L224" s="4" t="str">
        <f t="shared" si="82"/>
        <v>KTRCAVVACAVVWIISLVAVIPMTFLI</v>
      </c>
      <c r="M224" s="4" t="str">
        <f t="shared" si="83"/>
        <v>CLD</v>
      </c>
      <c r="N224" s="4" t="str">
        <f t="shared" si="84"/>
        <v>LNTIKWYNLILTATTFCLPLVIVTLCYTTIIHTLTH</v>
      </c>
      <c r="O224" s="4" t="str">
        <f t="shared" si="85"/>
        <v>DSCLKQKARRLTILLLLAFYVCFLPFHILRVIRIES</v>
      </c>
      <c r="P224" s="4" t="str">
        <f t="shared" si="86"/>
        <v>SCSIENQIHEAYIVSRPLAALNTFGNLLLYVVV</v>
      </c>
      <c r="Q224" s="4" t="str">
        <f t="shared" si="87"/>
        <v>SDNFQQAVCSTVR</v>
      </c>
      <c r="R224" s="5">
        <f>VLOOKUP($A224,'SegEnds_NonXtal_Prot#'!$A:$AL,3,FALSE)</f>
        <v>31</v>
      </c>
      <c r="S224" s="5" t="str">
        <f>VLOOKUP($A224,'SegEnds_NonXtal_Prot#'!$A:$AL,6,FALSE)</f>
        <v>-</v>
      </c>
      <c r="T224" s="5">
        <f>VLOOKUP($A224,'SegEnds_NonXtal_Prot#'!$A:$AL,9,FALSE)</f>
        <v>66</v>
      </c>
      <c r="U224" s="5">
        <f>VLOOKUP($A224,'SegEnds_NonXtal_Prot#'!$A:$AL,12,FALSE)</f>
        <v>98</v>
      </c>
      <c r="V224" s="5">
        <f>VLOOKUP($A224,'SegEnds_NonXtal_Prot#'!$A:$AL,15,FALSE)</f>
        <v>102</v>
      </c>
      <c r="W224" s="5">
        <f>VLOOKUP($A224,'SegEnds_NonXtal_Prot#'!$A:$AL,18,FALSE)</f>
        <v>138</v>
      </c>
      <c r="X224" s="5">
        <f>VLOOKUP($A224,'SegEnds_NonXtal_Prot#'!$A:$AL,21,FALSE)</f>
        <v>146</v>
      </c>
      <c r="Y224" s="5">
        <f>VLOOKUP($A224,'SegEnds_NonXtal_Prot#'!$A:$AL,24,FALSE)</f>
        <v>183</v>
      </c>
      <c r="Z224" s="5">
        <f>VLOOKUP($A224,'SegEnds_NonXtal_Prot#'!$A:$AL,27,FALSE)</f>
        <v>192</v>
      </c>
      <c r="AA224" s="5">
        <f>VLOOKUP($A224,'SegEnds_NonXtal_Prot#'!$A:$AL,30,FALSE)</f>
        <v>232</v>
      </c>
      <c r="AB224" s="5">
        <f>VLOOKUP($A224,'SegEnds_NonXtal_Prot#'!$A:$AL,33,FALSE)</f>
        <v>273</v>
      </c>
      <c r="AC224" s="5">
        <f>VLOOKUP($A224,'SegEnds_NonXtal_Prot#'!$A:$AL,36,FALSE)</f>
        <v>306</v>
      </c>
      <c r="AD224" s="5">
        <f>VLOOKUP($A224,'SegEnds_NonXtal_Prot#'!$A:$AL,5,FALSE)</f>
        <v>61</v>
      </c>
      <c r="AE224" s="5" t="str">
        <f>VLOOKUP($A224,'SegEnds_NonXtal_Prot#'!$A:$AL,8,FALSE)</f>
        <v>-</v>
      </c>
      <c r="AF224" s="5">
        <f>VLOOKUP($A224,'SegEnds_NonXtal_Prot#'!$A:$AL,11,FALSE)</f>
        <v>95</v>
      </c>
      <c r="AG224" s="5">
        <f>VLOOKUP($A224,'SegEnds_NonXtal_Prot#'!$A:$AL,14,FALSE)</f>
        <v>101</v>
      </c>
      <c r="AH224" s="5">
        <f>VLOOKUP($A224,'SegEnds_NonXtal_Prot#'!$A:$AL,17,FALSE)</f>
        <v>137</v>
      </c>
      <c r="AI224" s="5">
        <f>VLOOKUP($A224,'SegEnds_NonXtal_Prot#'!$A:$AL,20,FALSE)</f>
        <v>145</v>
      </c>
      <c r="AJ224" s="5">
        <f>VLOOKUP($A224,'SegEnds_NonXtal_Prot#'!$A:$AL,23,FALSE)</f>
        <v>172</v>
      </c>
      <c r="AK224" s="5">
        <f>VLOOKUP($A224,'SegEnds_NonXtal_Prot#'!$A:$AL,26,FALSE)</f>
        <v>185</v>
      </c>
      <c r="AL224" s="5">
        <f>VLOOKUP($A224,'SegEnds_NonXtal_Prot#'!$A:$AL,29,FALSE)</f>
        <v>227</v>
      </c>
      <c r="AM224" s="5">
        <f>VLOOKUP($A224,'SegEnds_NonXtal_Prot#'!$A:$AL,32,FALSE)</f>
        <v>267</v>
      </c>
      <c r="AN224" s="5">
        <f>VLOOKUP($A224,'SegEnds_NonXtal_Prot#'!$A:$AL,35,FALSE)</f>
        <v>305</v>
      </c>
      <c r="AO224" s="5">
        <f>VLOOKUP($A224,'SegEnds_NonXtal_Prot#'!$A:$AL,38,FALSE)</f>
        <v>318</v>
      </c>
      <c r="AP224" s="5">
        <f t="shared" si="88"/>
        <v>30</v>
      </c>
      <c r="AQ224" s="4" t="str">
        <f t="shared" si="89"/>
        <v>-</v>
      </c>
      <c r="AR224" s="4">
        <f t="shared" si="90"/>
        <v>29</v>
      </c>
      <c r="AS224" s="4">
        <f t="shared" si="91"/>
        <v>3</v>
      </c>
      <c r="AT224" s="4">
        <f t="shared" si="92"/>
        <v>35</v>
      </c>
      <c r="AU224" s="4">
        <f t="shared" si="93"/>
        <v>7</v>
      </c>
      <c r="AV224" s="4">
        <f t="shared" si="94"/>
        <v>26</v>
      </c>
      <c r="AW224" s="4">
        <f t="shared" si="95"/>
        <v>2</v>
      </c>
      <c r="AX224" s="4">
        <f t="shared" si="96"/>
        <v>35</v>
      </c>
      <c r="AY224" s="4">
        <f t="shared" si="97"/>
        <v>35</v>
      </c>
      <c r="AZ224" s="4">
        <f t="shared" si="98"/>
        <v>32</v>
      </c>
      <c r="BA224" s="4">
        <f t="shared" si="99"/>
        <v>12</v>
      </c>
    </row>
    <row r="225" spans="1:53" x14ac:dyDescent="0.2">
      <c r="A225" s="1" t="str">
        <f>'SegEnds_NonXtal_Prot#'!A210</f>
        <v>p2ry1_human</v>
      </c>
      <c r="B225" s="1" t="str">
        <f t="shared" si="75"/>
        <v>FQFYYLPAVYILVFIIGFLGNSVAIWMFVFHSGISVYMFNLALADFLYVLTLPALIFYYFNGDAMCKLQRFIFHVNLYGSILFLTCISAHRYSGVVYKKKNAICISVLVWLIVVVAISPILFYSLRSYFIYSMCTTVAMFCVPLVLILGCYGLIVRALIYKPLRRKSIYLVIIVLTVFAVSYIPFHVMKTMNLRARLDMCAFNDRVYATYQVTRGLASLNSCVDPILYFLAGDTFRRRLSRATR</v>
      </c>
      <c r="C225" s="29" t="str">
        <f>IF(ISERROR(MATCH(A225,'SegEnds_Xtal_Prot#'!B:B, 0)), "NoXtal", "Xtal")</f>
        <v>Xtal</v>
      </c>
      <c r="D225" s="4" t="str">
        <f>VLOOKUP(A225,Classification!A:D,2,FALSE)</f>
        <v>A</v>
      </c>
      <c r="E225" s="5" t="str">
        <f>VLOOKUP(A225,Seqs!A:B,2,FALSE)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F225" s="5" t="str">
        <f t="shared" si="76"/>
        <v>FQFYYLPAVYILVFIIGFLGNSVAIWMFVFH</v>
      </c>
      <c r="G225" s="4" t="str">
        <f t="shared" si="77"/>
        <v/>
      </c>
      <c r="H225" s="4" t="str">
        <f t="shared" si="78"/>
        <v>SGISVYMFNLALADFLYVLTLPALIFYYFN</v>
      </c>
      <c r="I225" s="4" t="str">
        <f t="shared" si="79"/>
        <v>DWIF</v>
      </c>
      <c r="J225" s="4" t="str">
        <f t="shared" si="80"/>
        <v>GDAMCKLQRFIFHVNLYGSILFLTCISAHRYSGVVY</v>
      </c>
      <c r="K225" s="4" t="str">
        <f t="shared" si="81"/>
        <v>PLKSLGRL</v>
      </c>
      <c r="L225" s="4" t="str">
        <f t="shared" si="82"/>
        <v>KKKNAICISVLVWLIVVVAISPILFYS</v>
      </c>
      <c r="M225" s="4" t="str">
        <f t="shared" si="83"/>
        <v>CYD</v>
      </c>
      <c r="N225" s="4" t="str">
        <f t="shared" si="84"/>
        <v>LRSYFIYSMCTTVAMFCVPLVLILGCYGLIVRALIYK</v>
      </c>
      <c r="O225" s="4" t="str">
        <f t="shared" si="85"/>
        <v>PLRRKSIYLVIIVLTVFAVSYIPFHVMKTMNLRARLD</v>
      </c>
      <c r="P225" s="4" t="str">
        <f t="shared" si="86"/>
        <v>MCAFNDRVYATYQVTRGLASLNSCVDPILYFLA</v>
      </c>
      <c r="Q225" s="4" t="str">
        <f t="shared" si="87"/>
        <v>GDTFRRRLSRATR</v>
      </c>
      <c r="R225" s="5">
        <f>VLOOKUP($A225,'SegEnds_NonXtal_Prot#'!$A:$AL,3,FALSE)</f>
        <v>49</v>
      </c>
      <c r="S225" s="5" t="str">
        <f>VLOOKUP($A225,'SegEnds_NonXtal_Prot#'!$A:$AL,6,FALSE)</f>
        <v>-</v>
      </c>
      <c r="T225" s="5">
        <f>VLOOKUP($A225,'SegEnds_NonXtal_Prot#'!$A:$AL,9,FALSE)</f>
        <v>84</v>
      </c>
      <c r="U225" s="5">
        <f>VLOOKUP($A225,'SegEnds_NonXtal_Prot#'!$A:$AL,12,FALSE)</f>
        <v>116</v>
      </c>
      <c r="V225" s="5">
        <f>VLOOKUP($A225,'SegEnds_NonXtal_Prot#'!$A:$AL,15,FALSE)</f>
        <v>120</v>
      </c>
      <c r="W225" s="5">
        <f>VLOOKUP($A225,'SegEnds_NonXtal_Prot#'!$A:$AL,18,FALSE)</f>
        <v>156</v>
      </c>
      <c r="X225" s="5">
        <f>VLOOKUP($A225,'SegEnds_NonXtal_Prot#'!$A:$AL,21,FALSE)</f>
        <v>164</v>
      </c>
      <c r="Y225" s="5">
        <f>VLOOKUP($A225,'SegEnds_NonXtal_Prot#'!$A:$AL,24,FALSE)</f>
        <v>202</v>
      </c>
      <c r="Z225" s="5">
        <f>VLOOKUP($A225,'SegEnds_NonXtal_Prot#'!$A:$AL,27,FALSE)</f>
        <v>211</v>
      </c>
      <c r="AA225" s="5">
        <f>VLOOKUP($A225,'SegEnds_NonXtal_Prot#'!$A:$AL,30,FALSE)</f>
        <v>253</v>
      </c>
      <c r="AB225" s="5">
        <f>VLOOKUP($A225,'SegEnds_NonXtal_Prot#'!$A:$AL,33,FALSE)</f>
        <v>295</v>
      </c>
      <c r="AC225" s="5">
        <f>VLOOKUP($A225,'SegEnds_NonXtal_Prot#'!$A:$AL,36,FALSE)</f>
        <v>328</v>
      </c>
      <c r="AD225" s="5">
        <f>VLOOKUP($A225,'SegEnds_NonXtal_Prot#'!$A:$AL,5,FALSE)</f>
        <v>79</v>
      </c>
      <c r="AE225" s="5" t="str">
        <f>VLOOKUP($A225,'SegEnds_NonXtal_Prot#'!$A:$AL,8,FALSE)</f>
        <v>-</v>
      </c>
      <c r="AF225" s="5">
        <f>VLOOKUP($A225,'SegEnds_NonXtal_Prot#'!$A:$AL,11,FALSE)</f>
        <v>113</v>
      </c>
      <c r="AG225" s="5">
        <f>VLOOKUP($A225,'SegEnds_NonXtal_Prot#'!$A:$AL,14,FALSE)</f>
        <v>119</v>
      </c>
      <c r="AH225" s="5">
        <f>VLOOKUP($A225,'SegEnds_NonXtal_Prot#'!$A:$AL,17,FALSE)</f>
        <v>155</v>
      </c>
      <c r="AI225" s="5">
        <f>VLOOKUP($A225,'SegEnds_NonXtal_Prot#'!$A:$AL,20,FALSE)</f>
        <v>163</v>
      </c>
      <c r="AJ225" s="5">
        <f>VLOOKUP($A225,'SegEnds_NonXtal_Prot#'!$A:$AL,23,FALSE)</f>
        <v>190</v>
      </c>
      <c r="AK225" s="5">
        <f>VLOOKUP($A225,'SegEnds_NonXtal_Prot#'!$A:$AL,26,FALSE)</f>
        <v>204</v>
      </c>
      <c r="AL225" s="5">
        <f>VLOOKUP($A225,'SegEnds_NonXtal_Prot#'!$A:$AL,29,FALSE)</f>
        <v>247</v>
      </c>
      <c r="AM225" s="5">
        <f>VLOOKUP($A225,'SegEnds_NonXtal_Prot#'!$A:$AL,32,FALSE)</f>
        <v>289</v>
      </c>
      <c r="AN225" s="5">
        <f>VLOOKUP($A225,'SegEnds_NonXtal_Prot#'!$A:$AL,35,FALSE)</f>
        <v>327</v>
      </c>
      <c r="AO225" s="5">
        <f>VLOOKUP($A225,'SegEnds_NonXtal_Prot#'!$A:$AL,38,FALSE)</f>
        <v>340</v>
      </c>
      <c r="AP225" s="5">
        <f t="shared" si="88"/>
        <v>30</v>
      </c>
      <c r="AQ225" s="4" t="str">
        <f t="shared" si="89"/>
        <v>-</v>
      </c>
      <c r="AR225" s="4">
        <f t="shared" si="90"/>
        <v>29</v>
      </c>
      <c r="AS225" s="4">
        <f t="shared" si="91"/>
        <v>3</v>
      </c>
      <c r="AT225" s="4">
        <f t="shared" si="92"/>
        <v>35</v>
      </c>
      <c r="AU225" s="4">
        <f t="shared" si="93"/>
        <v>7</v>
      </c>
      <c r="AV225" s="4">
        <f t="shared" si="94"/>
        <v>26</v>
      </c>
      <c r="AW225" s="4">
        <f t="shared" si="95"/>
        <v>2</v>
      </c>
      <c r="AX225" s="4">
        <f t="shared" si="96"/>
        <v>36</v>
      </c>
      <c r="AY225" s="4">
        <f t="shared" si="97"/>
        <v>36</v>
      </c>
      <c r="AZ225" s="4">
        <f t="shared" si="98"/>
        <v>32</v>
      </c>
      <c r="BA225" s="4">
        <f t="shared" si="99"/>
        <v>12</v>
      </c>
    </row>
    <row r="226" spans="1:53" x14ac:dyDescent="0.2">
      <c r="A226" s="1" t="str">
        <f>'SegEnds_NonXtal_Prot#'!A211</f>
        <v>p2ry2_human</v>
      </c>
      <c r="B226" s="1" t="str">
        <f t="shared" si="75"/>
        <v>FKYVLLPVSYGVVCVPGLCLNAVALYIFLCRNASTTYMFHLAVSDALYAASLPLLVYYYARSTVLCKLVRFLFYTNLYCSILFLTCISVHRCLGVLRRARYARRVAGAVWVLVLACQAPVLYFVFSRFVAYSSVMLGLLFAVPFAVILVCYVLMARRLLKPAYGTAKRKSVRTIAVVLAVFALCFLPFHVTRTLYYSFSCHTLNAINMAYKVTRPLASANSCLDPVLYFLAGQRLVRFARDAKP</v>
      </c>
      <c r="C226" s="29" t="str">
        <f>IF(ISERROR(MATCH(A226,'SegEnds_Xtal_Prot#'!B:B, 0)), "NoXtal", "Xtal")</f>
        <v>NoXtal</v>
      </c>
      <c r="D226" s="4" t="str">
        <f>VLOOKUP(A226,Classification!A:D,2,FALSE)</f>
        <v>A</v>
      </c>
      <c r="E226" s="5" t="str">
        <f>VLOOKUP(A226,Seqs!A:B,2,FALSE)</f>
        <v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v>
      </c>
      <c r="F226" s="5" t="str">
        <f t="shared" si="76"/>
        <v>FKYVLLPVSYGVVCVPGLCLNAVALYIFLCR</v>
      </c>
      <c r="G226" s="4" t="str">
        <f t="shared" si="77"/>
        <v/>
      </c>
      <c r="H226" s="4" t="str">
        <f t="shared" si="78"/>
        <v>NASTTYMFHLAVSDALYAASLPLLVYYYAR</v>
      </c>
      <c r="I226" s="4" t="str">
        <f t="shared" si="79"/>
        <v>HWPF</v>
      </c>
      <c r="J226" s="4" t="str">
        <f t="shared" si="80"/>
        <v>STVLCKLVRFLFYTNLYCSILFLTCISVHRCLGVLR</v>
      </c>
      <c r="K226" s="4" t="str">
        <f t="shared" si="81"/>
        <v>PLRSLRWG</v>
      </c>
      <c r="L226" s="4" t="str">
        <f t="shared" si="82"/>
        <v>RARYARRVAGAVWVLVLACQAPVLYFV</v>
      </c>
      <c r="M226" s="4" t="str">
        <f t="shared" si="83"/>
        <v>CHD</v>
      </c>
      <c r="N226" s="4" t="str">
        <f t="shared" si="84"/>
        <v>FSRFVAYSSVMLGLLFAVPFAVILVCYVLMARRLLKPAYGT</v>
      </c>
      <c r="O226" s="4" t="str">
        <f t="shared" si="85"/>
        <v>AKRKSVRTIAVVLAVFALCFLPFHVTRTLYYSF</v>
      </c>
      <c r="P226" s="4" t="str">
        <f t="shared" si="86"/>
        <v>SCHTLNAINMAYKVTRPLASANSCLDPVLYFLA</v>
      </c>
      <c r="Q226" s="4" t="str">
        <f t="shared" si="87"/>
        <v>GQRLVRFARDAKP</v>
      </c>
      <c r="R226" s="5">
        <f>VLOOKUP($A226,'SegEnds_NonXtal_Prot#'!$A:$AL,3,FALSE)</f>
        <v>31</v>
      </c>
      <c r="S226" s="5" t="str">
        <f>VLOOKUP($A226,'SegEnds_NonXtal_Prot#'!$A:$AL,6,FALSE)</f>
        <v>-</v>
      </c>
      <c r="T226" s="5">
        <f>VLOOKUP($A226,'SegEnds_NonXtal_Prot#'!$A:$AL,9,FALSE)</f>
        <v>66</v>
      </c>
      <c r="U226" s="5">
        <f>VLOOKUP($A226,'SegEnds_NonXtal_Prot#'!$A:$AL,12,FALSE)</f>
        <v>98</v>
      </c>
      <c r="V226" s="5">
        <f>VLOOKUP($A226,'SegEnds_NonXtal_Prot#'!$A:$AL,15,FALSE)</f>
        <v>102</v>
      </c>
      <c r="W226" s="5">
        <f>VLOOKUP($A226,'SegEnds_NonXtal_Prot#'!$A:$AL,18,FALSE)</f>
        <v>138</v>
      </c>
      <c r="X226" s="5">
        <f>VLOOKUP($A226,'SegEnds_NonXtal_Prot#'!$A:$AL,21,FALSE)</f>
        <v>146</v>
      </c>
      <c r="Y226" s="5">
        <f>VLOOKUP($A226,'SegEnds_NonXtal_Prot#'!$A:$AL,24,FALSE)</f>
        <v>183</v>
      </c>
      <c r="Z226" s="5">
        <f>VLOOKUP($A226,'SegEnds_NonXtal_Prot#'!$A:$AL,27,FALSE)</f>
        <v>192</v>
      </c>
      <c r="AA226" s="5">
        <f>VLOOKUP($A226,'SegEnds_NonXtal_Prot#'!$A:$AL,30,FALSE)</f>
        <v>239</v>
      </c>
      <c r="AB226" s="5">
        <f>VLOOKUP($A226,'SegEnds_NonXtal_Prot#'!$A:$AL,33,FALSE)</f>
        <v>277</v>
      </c>
      <c r="AC226" s="5">
        <f>VLOOKUP($A226,'SegEnds_NonXtal_Prot#'!$A:$AL,36,FALSE)</f>
        <v>310</v>
      </c>
      <c r="AD226" s="5">
        <f>VLOOKUP($A226,'SegEnds_NonXtal_Prot#'!$A:$AL,5,FALSE)</f>
        <v>61</v>
      </c>
      <c r="AE226" s="5" t="str">
        <f>VLOOKUP($A226,'SegEnds_NonXtal_Prot#'!$A:$AL,8,FALSE)</f>
        <v>-</v>
      </c>
      <c r="AF226" s="5">
        <f>VLOOKUP($A226,'SegEnds_NonXtal_Prot#'!$A:$AL,11,FALSE)</f>
        <v>95</v>
      </c>
      <c r="AG226" s="5">
        <f>VLOOKUP($A226,'SegEnds_NonXtal_Prot#'!$A:$AL,14,FALSE)</f>
        <v>101</v>
      </c>
      <c r="AH226" s="5">
        <f>VLOOKUP($A226,'SegEnds_NonXtal_Prot#'!$A:$AL,17,FALSE)</f>
        <v>137</v>
      </c>
      <c r="AI226" s="5">
        <f>VLOOKUP($A226,'SegEnds_NonXtal_Prot#'!$A:$AL,20,FALSE)</f>
        <v>145</v>
      </c>
      <c r="AJ226" s="5">
        <f>VLOOKUP($A226,'SegEnds_NonXtal_Prot#'!$A:$AL,23,FALSE)</f>
        <v>172</v>
      </c>
      <c r="AK226" s="5">
        <f>VLOOKUP($A226,'SegEnds_NonXtal_Prot#'!$A:$AL,26,FALSE)</f>
        <v>185</v>
      </c>
      <c r="AL226" s="5">
        <f>VLOOKUP($A226,'SegEnds_NonXtal_Prot#'!$A:$AL,29,FALSE)</f>
        <v>232</v>
      </c>
      <c r="AM226" s="5">
        <f>VLOOKUP($A226,'SegEnds_NonXtal_Prot#'!$A:$AL,32,FALSE)</f>
        <v>271</v>
      </c>
      <c r="AN226" s="5">
        <f>VLOOKUP($A226,'SegEnds_NonXtal_Prot#'!$A:$AL,35,FALSE)</f>
        <v>309</v>
      </c>
      <c r="AO226" s="5">
        <f>VLOOKUP($A226,'SegEnds_NonXtal_Prot#'!$A:$AL,38,FALSE)</f>
        <v>322</v>
      </c>
      <c r="AP226" s="5">
        <f t="shared" si="88"/>
        <v>30</v>
      </c>
      <c r="AQ226" s="4" t="str">
        <f t="shared" si="89"/>
        <v>-</v>
      </c>
      <c r="AR226" s="4">
        <f t="shared" si="90"/>
        <v>29</v>
      </c>
      <c r="AS226" s="4">
        <f t="shared" si="91"/>
        <v>3</v>
      </c>
      <c r="AT226" s="4">
        <f t="shared" si="92"/>
        <v>35</v>
      </c>
      <c r="AU226" s="4">
        <f t="shared" si="93"/>
        <v>7</v>
      </c>
      <c r="AV226" s="4">
        <f t="shared" si="94"/>
        <v>26</v>
      </c>
      <c r="AW226" s="4">
        <f t="shared" si="95"/>
        <v>2</v>
      </c>
      <c r="AX226" s="4">
        <f t="shared" si="96"/>
        <v>40</v>
      </c>
      <c r="AY226" s="4">
        <f t="shared" si="97"/>
        <v>32</v>
      </c>
      <c r="AZ226" s="4">
        <f t="shared" si="98"/>
        <v>32</v>
      </c>
      <c r="BA226" s="4">
        <f t="shared" si="99"/>
        <v>12</v>
      </c>
    </row>
    <row r="227" spans="1:53" x14ac:dyDescent="0.2">
      <c r="A227" s="1" t="str">
        <f>'SegEnds_NonXtal_Prot#'!A212</f>
        <v>p2ry4_human</v>
      </c>
      <c r="B227" s="1" t="str">
        <f t="shared" si="75"/>
        <v>FKFILLPVSYAVVFVLGLGLNAPTLWLFIFRDATATYMFHLALSDTLYVLSLPTLIYYYAAGTEICKFVRFLFYWNLYCSVLFLTCISVHRYLGICHRPRLAGLLCLAVWLVVAGCLVPNLFFVFDHYVHFSSAVMGLLFGVPCLVTLVCYGLMARRLYQPSAQSSSRLRSLRTIAVVLTVFAVCFVPFHITRTIYYLADCRVLNIVNVVYKVTRPLASANSCLDPVLYLLTGDKYRRQLRQLCG</v>
      </c>
      <c r="C227" s="29" t="str">
        <f>IF(ISERROR(MATCH(A227,'SegEnds_Xtal_Prot#'!B:B, 0)), "NoXtal", "Xtal")</f>
        <v>NoXtal</v>
      </c>
      <c r="D227" s="4" t="str">
        <f>VLOOKUP(A227,Classification!A:D,2,FALSE)</f>
        <v>A</v>
      </c>
      <c r="E227" s="5" t="str">
        <f>VLOOKUP(A227,Seqs!A:B,2,FALSE)</f>
        <v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v>
      </c>
      <c r="F227" s="5" t="str">
        <f t="shared" si="76"/>
        <v>FKFILLPVSYAVVFVLGLGLNAPTLWLFIFR</v>
      </c>
      <c r="G227" s="4" t="str">
        <f t="shared" si="77"/>
        <v/>
      </c>
      <c r="H227" s="4" t="str">
        <f t="shared" si="78"/>
        <v>DATATYMFHLALSDTLYVLSLPTLIYYYAA</v>
      </c>
      <c r="I227" s="4" t="str">
        <f t="shared" si="79"/>
        <v>HWPF</v>
      </c>
      <c r="J227" s="4" t="str">
        <f t="shared" si="80"/>
        <v>GTEICKFVRFLFYWNLYCSVLFLTCISVHRYLGICH</v>
      </c>
      <c r="K227" s="4" t="str">
        <f t="shared" si="81"/>
        <v>PLRALRWG</v>
      </c>
      <c r="L227" s="4" t="str">
        <f t="shared" si="82"/>
        <v>RPRLAGLLCLAVWLVVAGCLVPNLFFV</v>
      </c>
      <c r="M227" s="4" t="str">
        <f t="shared" si="83"/>
        <v>CHD</v>
      </c>
      <c r="N227" s="4" t="str">
        <f t="shared" si="84"/>
        <v>FDHYVHFSSAVMGLLFGVPCLVTLVCYGLMARRLYQP</v>
      </c>
      <c r="O227" s="4" t="str">
        <f t="shared" si="85"/>
        <v>SAQSSSRLRSLRTIAVVLTVFAVCFVPFHITRTIYYLA</v>
      </c>
      <c r="P227" s="4" t="str">
        <f t="shared" si="86"/>
        <v>DCRVLNIVNVVYKVTRPLASANSCLDPVLYLLT</v>
      </c>
      <c r="Q227" s="4" t="str">
        <f t="shared" si="87"/>
        <v>GDKYRRQLRQLCG</v>
      </c>
      <c r="R227" s="5">
        <f>VLOOKUP($A227,'SegEnds_NonXtal_Prot#'!$A:$AL,3,FALSE)</f>
        <v>33</v>
      </c>
      <c r="S227" s="5" t="str">
        <f>VLOOKUP($A227,'SegEnds_NonXtal_Prot#'!$A:$AL,6,FALSE)</f>
        <v>-</v>
      </c>
      <c r="T227" s="5">
        <f>VLOOKUP($A227,'SegEnds_NonXtal_Prot#'!$A:$AL,9,FALSE)</f>
        <v>68</v>
      </c>
      <c r="U227" s="5">
        <f>VLOOKUP($A227,'SegEnds_NonXtal_Prot#'!$A:$AL,12,FALSE)</f>
        <v>100</v>
      </c>
      <c r="V227" s="5">
        <f>VLOOKUP($A227,'SegEnds_NonXtal_Prot#'!$A:$AL,15,FALSE)</f>
        <v>104</v>
      </c>
      <c r="W227" s="5">
        <f>VLOOKUP($A227,'SegEnds_NonXtal_Prot#'!$A:$AL,18,FALSE)</f>
        <v>140</v>
      </c>
      <c r="X227" s="5">
        <f>VLOOKUP($A227,'SegEnds_NonXtal_Prot#'!$A:$AL,21,FALSE)</f>
        <v>148</v>
      </c>
      <c r="Y227" s="5">
        <f>VLOOKUP($A227,'SegEnds_NonXtal_Prot#'!$A:$AL,24,FALSE)</f>
        <v>185</v>
      </c>
      <c r="Z227" s="5">
        <f>VLOOKUP($A227,'SegEnds_NonXtal_Prot#'!$A:$AL,27,FALSE)</f>
        <v>194</v>
      </c>
      <c r="AA227" s="5">
        <f>VLOOKUP($A227,'SegEnds_NonXtal_Prot#'!$A:$AL,30,FALSE)</f>
        <v>234</v>
      </c>
      <c r="AB227" s="5">
        <f>VLOOKUP($A227,'SegEnds_NonXtal_Prot#'!$A:$AL,33,FALSE)</f>
        <v>277</v>
      </c>
      <c r="AC227" s="5">
        <f>VLOOKUP($A227,'SegEnds_NonXtal_Prot#'!$A:$AL,36,FALSE)</f>
        <v>310</v>
      </c>
      <c r="AD227" s="5">
        <f>VLOOKUP($A227,'SegEnds_NonXtal_Prot#'!$A:$AL,5,FALSE)</f>
        <v>63</v>
      </c>
      <c r="AE227" s="5" t="str">
        <f>VLOOKUP($A227,'SegEnds_NonXtal_Prot#'!$A:$AL,8,FALSE)</f>
        <v>-</v>
      </c>
      <c r="AF227" s="5">
        <f>VLOOKUP($A227,'SegEnds_NonXtal_Prot#'!$A:$AL,11,FALSE)</f>
        <v>97</v>
      </c>
      <c r="AG227" s="5">
        <f>VLOOKUP($A227,'SegEnds_NonXtal_Prot#'!$A:$AL,14,FALSE)</f>
        <v>103</v>
      </c>
      <c r="AH227" s="5">
        <f>VLOOKUP($A227,'SegEnds_NonXtal_Prot#'!$A:$AL,17,FALSE)</f>
        <v>139</v>
      </c>
      <c r="AI227" s="5">
        <f>VLOOKUP($A227,'SegEnds_NonXtal_Prot#'!$A:$AL,20,FALSE)</f>
        <v>147</v>
      </c>
      <c r="AJ227" s="5">
        <f>VLOOKUP($A227,'SegEnds_NonXtal_Prot#'!$A:$AL,23,FALSE)</f>
        <v>174</v>
      </c>
      <c r="AK227" s="5">
        <f>VLOOKUP($A227,'SegEnds_NonXtal_Prot#'!$A:$AL,26,FALSE)</f>
        <v>187</v>
      </c>
      <c r="AL227" s="5">
        <f>VLOOKUP($A227,'SegEnds_NonXtal_Prot#'!$A:$AL,29,FALSE)</f>
        <v>230</v>
      </c>
      <c r="AM227" s="5">
        <f>VLOOKUP($A227,'SegEnds_NonXtal_Prot#'!$A:$AL,32,FALSE)</f>
        <v>271</v>
      </c>
      <c r="AN227" s="5">
        <f>VLOOKUP($A227,'SegEnds_NonXtal_Prot#'!$A:$AL,35,FALSE)</f>
        <v>309</v>
      </c>
      <c r="AO227" s="5">
        <f>VLOOKUP($A227,'SegEnds_NonXtal_Prot#'!$A:$AL,38,FALSE)</f>
        <v>322</v>
      </c>
      <c r="AP227" s="5">
        <f t="shared" si="88"/>
        <v>30</v>
      </c>
      <c r="AQ227" s="4" t="str">
        <f t="shared" si="89"/>
        <v>-</v>
      </c>
      <c r="AR227" s="4">
        <f t="shared" si="90"/>
        <v>29</v>
      </c>
      <c r="AS227" s="4">
        <f t="shared" si="91"/>
        <v>3</v>
      </c>
      <c r="AT227" s="4">
        <f t="shared" si="92"/>
        <v>35</v>
      </c>
      <c r="AU227" s="4">
        <f t="shared" si="93"/>
        <v>7</v>
      </c>
      <c r="AV227" s="4">
        <f t="shared" si="94"/>
        <v>26</v>
      </c>
      <c r="AW227" s="4">
        <f t="shared" si="95"/>
        <v>2</v>
      </c>
      <c r="AX227" s="4">
        <f t="shared" si="96"/>
        <v>36</v>
      </c>
      <c r="AY227" s="4">
        <f t="shared" si="97"/>
        <v>37</v>
      </c>
      <c r="AZ227" s="4">
        <f t="shared" si="98"/>
        <v>32</v>
      </c>
      <c r="BA227" s="4">
        <f t="shared" si="99"/>
        <v>12</v>
      </c>
    </row>
    <row r="228" spans="1:53" x14ac:dyDescent="0.2">
      <c r="A228" s="1" t="str">
        <f>'SegEnds_NonXtal_Prot#'!A213</f>
        <v>p2ry8_human</v>
      </c>
      <c r="B228" s="1" t="str">
        <f t="shared" si="75"/>
        <v>PAIAVALPVVYSLVAAVSIPGNLFSLWVLCRRSPSVIFMINLSVTDLMLASVLPFQIYYHCNGVLLCNVVTVAFYANMYSSILTMTCISVERFLGVLYRRRYAVAACAGTWLLLLTALSPLARTVAMWAVFLFTIFILLFLIPFVITVACYTATILKLLRGREQRRRAVGLAAVVLLAFVTCFAPNNFVLLAHIVSGKSYYHVYKLTLCLSCLNNCLDPFVYYFASREFQLRLREYLGCR</v>
      </c>
      <c r="C228" s="29" t="str">
        <f>IF(ISERROR(MATCH(A228,'SegEnds_Xtal_Prot#'!B:B, 0)), "NoXtal", "Xtal")</f>
        <v>NoXtal</v>
      </c>
      <c r="D228" s="4" t="str">
        <f>VLOOKUP(A228,Classification!A:D,2,FALSE)</f>
        <v>A</v>
      </c>
      <c r="E228" s="5" t="str">
        <f>VLOOKUP(A228,Seqs!A:B,2,FALSE)</f>
        <v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v>
      </c>
      <c r="F228" s="5" t="str">
        <f t="shared" si="76"/>
        <v>PAIAVALPVVYSLVAAVSIPGNLFSLWVLCRR</v>
      </c>
      <c r="G228" s="4" t="str">
        <f t="shared" si="77"/>
        <v/>
      </c>
      <c r="H228" s="4" t="str">
        <f t="shared" si="78"/>
        <v>SPSVIFMINLSVTDLMLASVLPFQIYYHCN</v>
      </c>
      <c r="I228" s="4" t="str">
        <f t="shared" si="79"/>
        <v>HWVF</v>
      </c>
      <c r="J228" s="4" t="str">
        <f t="shared" si="80"/>
        <v>GVLLCNVVTVAFYANMYSSILTMTCISVERFLGVLY</v>
      </c>
      <c r="K228" s="4" t="str">
        <f t="shared" si="81"/>
        <v>PLSSKRWR</v>
      </c>
      <c r="L228" s="4" t="str">
        <f t="shared" si="82"/>
        <v>RRRYAVAACAGTWLLLLTALSPLART</v>
      </c>
      <c r="M228" s="4" t="str">
        <f t="shared" si="83"/>
        <v>CFD</v>
      </c>
      <c r="N228" s="4" t="str">
        <f t="shared" si="84"/>
        <v>VAMWAVFLFTIFILLFLIPFVITVACYTATILKLLR</v>
      </c>
      <c r="O228" s="4" t="str">
        <f t="shared" si="85"/>
        <v>GREQRRRAVGLAAVVLLAFVTCFAPNNFVLLAHIVS</v>
      </c>
      <c r="P228" s="4" t="str">
        <f t="shared" si="86"/>
        <v>GKSYYHVYKLTLCLSCLNNCLDPFVYYFA</v>
      </c>
      <c r="Q228" s="4" t="str">
        <f t="shared" si="87"/>
        <v>SREFQLRLREYLGCR</v>
      </c>
      <c r="R228" s="5">
        <f>VLOOKUP($A228,'SegEnds_NonXtal_Prot#'!$A:$AL,3,FALSE)</f>
        <v>20</v>
      </c>
      <c r="S228" s="5" t="str">
        <f>VLOOKUP($A228,'SegEnds_NonXtal_Prot#'!$A:$AL,6,FALSE)</f>
        <v>-</v>
      </c>
      <c r="T228" s="5">
        <f>VLOOKUP($A228,'SegEnds_NonXtal_Prot#'!$A:$AL,9,FALSE)</f>
        <v>56</v>
      </c>
      <c r="U228" s="5">
        <f>VLOOKUP($A228,'SegEnds_NonXtal_Prot#'!$A:$AL,12,FALSE)</f>
        <v>88</v>
      </c>
      <c r="V228" s="5">
        <f>VLOOKUP($A228,'SegEnds_NonXtal_Prot#'!$A:$AL,15,FALSE)</f>
        <v>92</v>
      </c>
      <c r="W228" s="5">
        <f>VLOOKUP($A228,'SegEnds_NonXtal_Prot#'!$A:$AL,18,FALSE)</f>
        <v>128</v>
      </c>
      <c r="X228" s="5">
        <f>VLOOKUP($A228,'SegEnds_NonXtal_Prot#'!$A:$AL,21,FALSE)</f>
        <v>136</v>
      </c>
      <c r="Y228" s="5">
        <f>VLOOKUP($A228,'SegEnds_NonXtal_Prot#'!$A:$AL,24,FALSE)</f>
        <v>175</v>
      </c>
      <c r="Z228" s="5">
        <f>VLOOKUP($A228,'SegEnds_NonXtal_Prot#'!$A:$AL,27,FALSE)</f>
        <v>187</v>
      </c>
      <c r="AA228" s="5">
        <f>VLOOKUP($A228,'SegEnds_NonXtal_Prot#'!$A:$AL,30,FALSE)</f>
        <v>228</v>
      </c>
      <c r="AB228" s="5">
        <f>VLOOKUP($A228,'SegEnds_NonXtal_Prot#'!$A:$AL,33,FALSE)</f>
        <v>268</v>
      </c>
      <c r="AC228" s="5">
        <f>VLOOKUP($A228,'SegEnds_NonXtal_Prot#'!$A:$AL,36,FALSE)</f>
        <v>297</v>
      </c>
      <c r="AD228" s="5">
        <f>VLOOKUP($A228,'SegEnds_NonXtal_Prot#'!$A:$AL,5,FALSE)</f>
        <v>51</v>
      </c>
      <c r="AE228" s="5" t="str">
        <f>VLOOKUP($A228,'SegEnds_NonXtal_Prot#'!$A:$AL,8,FALSE)</f>
        <v>-</v>
      </c>
      <c r="AF228" s="5">
        <f>VLOOKUP($A228,'SegEnds_NonXtal_Prot#'!$A:$AL,11,FALSE)</f>
        <v>85</v>
      </c>
      <c r="AG228" s="5">
        <f>VLOOKUP($A228,'SegEnds_NonXtal_Prot#'!$A:$AL,14,FALSE)</f>
        <v>91</v>
      </c>
      <c r="AH228" s="5">
        <f>VLOOKUP($A228,'SegEnds_NonXtal_Prot#'!$A:$AL,17,FALSE)</f>
        <v>127</v>
      </c>
      <c r="AI228" s="5">
        <f>VLOOKUP($A228,'SegEnds_NonXtal_Prot#'!$A:$AL,20,FALSE)</f>
        <v>135</v>
      </c>
      <c r="AJ228" s="5">
        <f>VLOOKUP($A228,'SegEnds_NonXtal_Prot#'!$A:$AL,23,FALSE)</f>
        <v>161</v>
      </c>
      <c r="AK228" s="5">
        <f>VLOOKUP($A228,'SegEnds_NonXtal_Prot#'!$A:$AL,26,FALSE)</f>
        <v>177</v>
      </c>
      <c r="AL228" s="5">
        <f>VLOOKUP($A228,'SegEnds_NonXtal_Prot#'!$A:$AL,29,FALSE)</f>
        <v>222</v>
      </c>
      <c r="AM228" s="5">
        <f>VLOOKUP($A228,'SegEnds_NonXtal_Prot#'!$A:$AL,32,FALSE)</f>
        <v>263</v>
      </c>
      <c r="AN228" s="5">
        <f>VLOOKUP($A228,'SegEnds_NonXtal_Prot#'!$A:$AL,35,FALSE)</f>
        <v>296</v>
      </c>
      <c r="AO228" s="5">
        <f>VLOOKUP($A228,'SegEnds_NonXtal_Prot#'!$A:$AL,38,FALSE)</f>
        <v>311</v>
      </c>
      <c r="AP228" s="5">
        <f t="shared" si="88"/>
        <v>31</v>
      </c>
      <c r="AQ228" s="4" t="str">
        <f t="shared" si="89"/>
        <v>-</v>
      </c>
      <c r="AR228" s="4">
        <f t="shared" si="90"/>
        <v>29</v>
      </c>
      <c r="AS228" s="4">
        <f t="shared" si="91"/>
        <v>3</v>
      </c>
      <c r="AT228" s="4">
        <f t="shared" si="92"/>
        <v>35</v>
      </c>
      <c r="AU228" s="4">
        <f t="shared" si="93"/>
        <v>7</v>
      </c>
      <c r="AV228" s="4">
        <f t="shared" si="94"/>
        <v>25</v>
      </c>
      <c r="AW228" s="4">
        <f t="shared" si="95"/>
        <v>2</v>
      </c>
      <c r="AX228" s="4">
        <f t="shared" si="96"/>
        <v>35</v>
      </c>
      <c r="AY228" s="4">
        <f t="shared" si="97"/>
        <v>35</v>
      </c>
      <c r="AZ228" s="4">
        <f t="shared" si="98"/>
        <v>28</v>
      </c>
      <c r="BA228" s="4">
        <f t="shared" si="99"/>
        <v>14</v>
      </c>
    </row>
    <row r="229" spans="1:53" x14ac:dyDescent="0.2">
      <c r="A229" s="1" t="str">
        <f>'SegEnds_NonXtal_Prot#'!A216</f>
        <v>p2y13_human</v>
      </c>
      <c r="B229" s="1" t="str">
        <f t="shared" si="75"/>
        <v>TRIVQLVFPALYTVVFLTGILLNTLALWVFVHISTFIIYLKNTLVADLIMTLMLPFKILSDSHWQLRAFVCRFSSVIFYETMYVGIVLLGLIAFDRFLKIIRKPVFAKTVSIFIWFFLFFISLPNTILSPLGLKWHQMVNNICQFIFWTVFILMLVFYVVIAKKVYDSYRKSNNKKLEGKVFVVVAVFFVCFAPFHFARVPYTHSQTNDCRLQNQLFIAKETTLFLAATNICMDPLIYIFLCKKFTEKLPCM</v>
      </c>
      <c r="C229" s="29" t="str">
        <f>IF(ISERROR(MATCH(A229,'SegEnds_Xtal_Prot#'!B:B, 0)), "NoXtal", "Xtal")</f>
        <v>NoXtal</v>
      </c>
      <c r="D229" s="4" t="str">
        <f>VLOOKUP(A229,Classification!A:D,2,FALSE)</f>
        <v>A</v>
      </c>
      <c r="E229" s="5" t="str">
        <f>VLOOKUP(A229,Seqs!A:B,2,FALSE)</f>
        <v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v>
      </c>
      <c r="F229" s="5" t="str">
        <f t="shared" si="76"/>
        <v>TRIVQLVFPALYTVVFLTGILLNTLALWVFVHI</v>
      </c>
      <c r="G229" s="4" t="str">
        <f t="shared" si="77"/>
        <v/>
      </c>
      <c r="H229" s="4" t="str">
        <f t="shared" si="78"/>
        <v>STFIIYLKNTLVADLIMTLMLPFKILSDSH</v>
      </c>
      <c r="I229" s="4" t="str">
        <f t="shared" si="79"/>
        <v/>
      </c>
      <c r="J229" s="4" t="str">
        <f t="shared" si="80"/>
        <v>WQLRAFVCRFSSVIFYETMYVGIVLLGLIAFDRFLKIIR</v>
      </c>
      <c r="K229" s="4" t="str">
        <f t="shared" si="81"/>
        <v>PLRNIFLK</v>
      </c>
      <c r="L229" s="4" t="str">
        <f t="shared" si="82"/>
        <v>KPVFAKTVSIFIWFFLFFISLPNTILS</v>
      </c>
      <c r="M229" s="4" t="str">
        <f t="shared" si="83"/>
        <v>CAS</v>
      </c>
      <c r="N229" s="4" t="str">
        <f t="shared" si="84"/>
        <v>PLGLKWHQMVNNICQFIFWTVFILMLVFYVVIAKKVYDSYRKS</v>
      </c>
      <c r="O229" s="4" t="str">
        <f t="shared" si="85"/>
        <v>NNKKLEGKVFVVVAVFFVCFAPFHFARVPYTHSQTN</v>
      </c>
      <c r="P229" s="4" t="str">
        <f t="shared" si="86"/>
        <v>DCRLQNQLFIAKETTLFLAATNICMDPLIYIFL</v>
      </c>
      <c r="Q229" s="4" t="str">
        <f t="shared" si="87"/>
        <v>CKKFTEKLPCM</v>
      </c>
      <c r="R229" s="5">
        <f>VLOOKUP($A229,'SegEnds_NonXtal_Prot#'!$A:$AL,3,FALSE)</f>
        <v>40</v>
      </c>
      <c r="S229" s="5" t="str">
        <f>VLOOKUP($A229,'SegEnds_NonXtal_Prot#'!$A:$AL,6,FALSE)</f>
        <v>-</v>
      </c>
      <c r="T229" s="5">
        <f>VLOOKUP($A229,'SegEnds_NonXtal_Prot#'!$A:$AL,9,FALSE)</f>
        <v>76</v>
      </c>
      <c r="U229" s="5" t="str">
        <f>VLOOKUP($A229,'SegEnds_NonXtal_Prot#'!$A:$AL,12,FALSE)</f>
        <v>-</v>
      </c>
      <c r="V229" s="5">
        <f>VLOOKUP($A229,'SegEnds_NonXtal_Prot#'!$A:$AL,15,FALSE)</f>
        <v>109</v>
      </c>
      <c r="W229" s="5">
        <f>VLOOKUP($A229,'SegEnds_NonXtal_Prot#'!$A:$AL,18,FALSE)</f>
        <v>148</v>
      </c>
      <c r="X229" s="5">
        <f>VLOOKUP($A229,'SegEnds_NonXtal_Prot#'!$A:$AL,21,FALSE)</f>
        <v>156</v>
      </c>
      <c r="Y229" s="5">
        <f>VLOOKUP($A229,'SegEnds_NonXtal_Prot#'!$A:$AL,24,FALSE)</f>
        <v>194</v>
      </c>
      <c r="Z229" s="5">
        <f>VLOOKUP($A229,'SegEnds_NonXtal_Prot#'!$A:$AL,27,FALSE)</f>
        <v>200</v>
      </c>
      <c r="AA229" s="5">
        <f>VLOOKUP($A229,'SegEnds_NonXtal_Prot#'!$A:$AL,30,FALSE)</f>
        <v>249</v>
      </c>
      <c r="AB229" s="5">
        <f>VLOOKUP($A229,'SegEnds_NonXtal_Prot#'!$A:$AL,33,FALSE)</f>
        <v>288</v>
      </c>
      <c r="AC229" s="5">
        <f>VLOOKUP($A229,'SegEnds_NonXtal_Prot#'!$A:$AL,36,FALSE)</f>
        <v>321</v>
      </c>
      <c r="AD229" s="5">
        <f>VLOOKUP($A229,'SegEnds_NonXtal_Prot#'!$A:$AL,5,FALSE)</f>
        <v>72</v>
      </c>
      <c r="AE229" s="5" t="str">
        <f>VLOOKUP($A229,'SegEnds_NonXtal_Prot#'!$A:$AL,8,FALSE)</f>
        <v>-</v>
      </c>
      <c r="AF229" s="5">
        <f>VLOOKUP($A229,'SegEnds_NonXtal_Prot#'!$A:$AL,11,FALSE)</f>
        <v>105</v>
      </c>
      <c r="AG229" s="5" t="str">
        <f>VLOOKUP($A229,'SegEnds_NonXtal_Prot#'!$A:$AL,14,FALSE)</f>
        <v>-</v>
      </c>
      <c r="AH229" s="5">
        <f>VLOOKUP($A229,'SegEnds_NonXtal_Prot#'!$A:$AL,17,FALSE)</f>
        <v>147</v>
      </c>
      <c r="AI229" s="5">
        <f>VLOOKUP($A229,'SegEnds_NonXtal_Prot#'!$A:$AL,20,FALSE)</f>
        <v>155</v>
      </c>
      <c r="AJ229" s="5">
        <f>VLOOKUP($A229,'SegEnds_NonXtal_Prot#'!$A:$AL,23,FALSE)</f>
        <v>182</v>
      </c>
      <c r="AK229" s="5">
        <f>VLOOKUP($A229,'SegEnds_NonXtal_Prot#'!$A:$AL,26,FALSE)</f>
        <v>196</v>
      </c>
      <c r="AL229" s="5">
        <f>VLOOKUP($A229,'SegEnds_NonXtal_Prot#'!$A:$AL,29,FALSE)</f>
        <v>242</v>
      </c>
      <c r="AM229" s="5">
        <f>VLOOKUP($A229,'SegEnds_NonXtal_Prot#'!$A:$AL,32,FALSE)</f>
        <v>284</v>
      </c>
      <c r="AN229" s="5">
        <f>VLOOKUP($A229,'SegEnds_NonXtal_Prot#'!$A:$AL,35,FALSE)</f>
        <v>320</v>
      </c>
      <c r="AO229" s="5">
        <f>VLOOKUP($A229,'SegEnds_NonXtal_Prot#'!$A:$AL,38,FALSE)</f>
        <v>331</v>
      </c>
      <c r="AP229" s="5">
        <f t="shared" si="88"/>
        <v>32</v>
      </c>
      <c r="AQ229" s="4" t="str">
        <f t="shared" si="89"/>
        <v>-</v>
      </c>
      <c r="AR229" s="4">
        <f t="shared" si="90"/>
        <v>29</v>
      </c>
      <c r="AS229" s="4" t="str">
        <f t="shared" si="91"/>
        <v>-</v>
      </c>
      <c r="AT229" s="4">
        <f t="shared" si="92"/>
        <v>38</v>
      </c>
      <c r="AU229" s="4">
        <f t="shared" si="93"/>
        <v>7</v>
      </c>
      <c r="AV229" s="4">
        <f t="shared" si="94"/>
        <v>26</v>
      </c>
      <c r="AW229" s="4">
        <f t="shared" si="95"/>
        <v>2</v>
      </c>
      <c r="AX229" s="4">
        <f t="shared" si="96"/>
        <v>42</v>
      </c>
      <c r="AY229" s="4">
        <f t="shared" si="97"/>
        <v>35</v>
      </c>
      <c r="AZ229" s="4">
        <f t="shared" si="98"/>
        <v>32</v>
      </c>
      <c r="BA229" s="4">
        <f t="shared" si="99"/>
        <v>10</v>
      </c>
    </row>
    <row r="230" spans="1:53" x14ac:dyDescent="0.2">
      <c r="A230" s="1" t="str">
        <f>'SegEnds_NonXtal_Prot#'!A217</f>
        <v>p2y14_human</v>
      </c>
      <c r="B230" s="1" t="str">
        <f t="shared" si="75"/>
        <v>LLITQQIIPVLYCMVFIAGILLNGVSGWIFFYVKSFIIYLKNIVIADFVMSLTFPFKILGDSGWQLNVFVCRVSAVLFYVNMYVSIVFFGLISFDRYYKIVKSVSYSKLLSVIVWMLMLLLAVPNIILTELGRKWHKASNYIFVAIFWIVFLLLIVFYTAITKKIFKSHLKSVKKKSSRNIFSIVFVFFVCFVPYHIARIPYTKSQTESCQSKEILRYMKEFTLLLSAANVCLDPIIYFFLCQPFREILCKK</v>
      </c>
      <c r="C230" s="29" t="str">
        <f>IF(ISERROR(MATCH(A230,'SegEnds_Xtal_Prot#'!B:B, 0)), "NoXtal", "Xtal")</f>
        <v>NoXtal</v>
      </c>
      <c r="D230" s="4" t="str">
        <f>VLOOKUP(A230,Classification!A:D,2,FALSE)</f>
        <v>A</v>
      </c>
      <c r="E230" s="5" t="str">
        <f>VLOOKUP(A230,Seqs!A:B,2,FALSE)</f>
        <v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v>
      </c>
      <c r="F230" s="5" t="str">
        <f t="shared" si="76"/>
        <v>LLITQQIIPVLYCMVFIAGILLNGVSGWIFFYV</v>
      </c>
      <c r="G230" s="4" t="str">
        <f t="shared" si="77"/>
        <v/>
      </c>
      <c r="H230" s="4" t="str">
        <f t="shared" si="78"/>
        <v>KSFIIYLKNIVIADFVMSLTFPFKILGDSG</v>
      </c>
      <c r="I230" s="4" t="str">
        <f t="shared" si="79"/>
        <v/>
      </c>
      <c r="J230" s="4" t="str">
        <f t="shared" si="80"/>
        <v>WQLNVFVCRVSAVLFYVNMYVSIVFFGLISFDRYYKIVK</v>
      </c>
      <c r="K230" s="4" t="str">
        <f t="shared" si="81"/>
        <v>PLWTSFIQ</v>
      </c>
      <c r="L230" s="4" t="str">
        <f t="shared" si="82"/>
        <v>SVSYSKLLSVIVWMLMLLLAVPNIILT</v>
      </c>
      <c r="M230" s="4" t="str">
        <f t="shared" si="83"/>
        <v>CIE</v>
      </c>
      <c r="N230" s="4" t="str">
        <f t="shared" si="84"/>
        <v>ELGRKWHKASNYIFVAIFWIVFLLLIVFYTAITKKIFKSHLKS</v>
      </c>
      <c r="O230" s="4" t="str">
        <f t="shared" si="85"/>
        <v>VKKKSSRNIFSIVFVFFVCFVPYHIARIPYTKSQTE</v>
      </c>
      <c r="P230" s="4" t="str">
        <f t="shared" si="86"/>
        <v>SCQSKEILRYMKEFTLLLSAANVCLDPIIYFFL</v>
      </c>
      <c r="Q230" s="4" t="str">
        <f t="shared" si="87"/>
        <v>CQPFREILCKK</v>
      </c>
      <c r="R230" s="5">
        <f>VLOOKUP($A230,'SegEnds_NonXtal_Prot#'!$A:$AL,3,FALSE)</f>
        <v>18</v>
      </c>
      <c r="S230" s="5" t="str">
        <f>VLOOKUP($A230,'SegEnds_NonXtal_Prot#'!$A:$AL,6,FALSE)</f>
        <v>-</v>
      </c>
      <c r="T230" s="5">
        <f>VLOOKUP($A230,'SegEnds_NonXtal_Prot#'!$A:$AL,9,FALSE)</f>
        <v>54</v>
      </c>
      <c r="U230" s="5" t="str">
        <f>VLOOKUP($A230,'SegEnds_NonXtal_Prot#'!$A:$AL,12,FALSE)</f>
        <v>-</v>
      </c>
      <c r="V230" s="5">
        <f>VLOOKUP($A230,'SegEnds_NonXtal_Prot#'!$A:$AL,15,FALSE)</f>
        <v>87</v>
      </c>
      <c r="W230" s="5">
        <f>VLOOKUP($A230,'SegEnds_NonXtal_Prot#'!$A:$AL,18,FALSE)</f>
        <v>126</v>
      </c>
      <c r="X230" s="5">
        <f>VLOOKUP($A230,'SegEnds_NonXtal_Prot#'!$A:$AL,21,FALSE)</f>
        <v>134</v>
      </c>
      <c r="Y230" s="5">
        <f>VLOOKUP($A230,'SegEnds_NonXtal_Prot#'!$A:$AL,24,FALSE)</f>
        <v>172</v>
      </c>
      <c r="Z230" s="5">
        <f>VLOOKUP($A230,'SegEnds_NonXtal_Prot#'!$A:$AL,27,FALSE)</f>
        <v>178</v>
      </c>
      <c r="AA230" s="5">
        <f>VLOOKUP($A230,'SegEnds_NonXtal_Prot#'!$A:$AL,30,FALSE)</f>
        <v>227</v>
      </c>
      <c r="AB230" s="5">
        <f>VLOOKUP($A230,'SegEnds_NonXtal_Prot#'!$A:$AL,33,FALSE)</f>
        <v>266</v>
      </c>
      <c r="AC230" s="5">
        <f>VLOOKUP($A230,'SegEnds_NonXtal_Prot#'!$A:$AL,36,FALSE)</f>
        <v>299</v>
      </c>
      <c r="AD230" s="5">
        <f>VLOOKUP($A230,'SegEnds_NonXtal_Prot#'!$A:$AL,5,FALSE)</f>
        <v>50</v>
      </c>
      <c r="AE230" s="5" t="str">
        <f>VLOOKUP($A230,'SegEnds_NonXtal_Prot#'!$A:$AL,8,FALSE)</f>
        <v>-</v>
      </c>
      <c r="AF230" s="5">
        <f>VLOOKUP($A230,'SegEnds_NonXtal_Prot#'!$A:$AL,11,FALSE)</f>
        <v>83</v>
      </c>
      <c r="AG230" s="5" t="str">
        <f>VLOOKUP($A230,'SegEnds_NonXtal_Prot#'!$A:$AL,14,FALSE)</f>
        <v>-</v>
      </c>
      <c r="AH230" s="5">
        <f>VLOOKUP($A230,'SegEnds_NonXtal_Prot#'!$A:$AL,17,FALSE)</f>
        <v>125</v>
      </c>
      <c r="AI230" s="5">
        <f>VLOOKUP($A230,'SegEnds_NonXtal_Prot#'!$A:$AL,20,FALSE)</f>
        <v>133</v>
      </c>
      <c r="AJ230" s="5">
        <f>VLOOKUP($A230,'SegEnds_NonXtal_Prot#'!$A:$AL,23,FALSE)</f>
        <v>160</v>
      </c>
      <c r="AK230" s="5">
        <f>VLOOKUP($A230,'SegEnds_NonXtal_Prot#'!$A:$AL,26,FALSE)</f>
        <v>174</v>
      </c>
      <c r="AL230" s="5">
        <f>VLOOKUP($A230,'SegEnds_NonXtal_Prot#'!$A:$AL,29,FALSE)</f>
        <v>220</v>
      </c>
      <c r="AM230" s="5">
        <f>VLOOKUP($A230,'SegEnds_NonXtal_Prot#'!$A:$AL,32,FALSE)</f>
        <v>262</v>
      </c>
      <c r="AN230" s="5">
        <f>VLOOKUP($A230,'SegEnds_NonXtal_Prot#'!$A:$AL,35,FALSE)</f>
        <v>298</v>
      </c>
      <c r="AO230" s="5">
        <f>VLOOKUP($A230,'SegEnds_NonXtal_Prot#'!$A:$AL,38,FALSE)</f>
        <v>309</v>
      </c>
      <c r="AP230" s="5">
        <f t="shared" si="88"/>
        <v>32</v>
      </c>
      <c r="AQ230" s="4" t="str">
        <f t="shared" si="89"/>
        <v>-</v>
      </c>
      <c r="AR230" s="4">
        <f t="shared" si="90"/>
        <v>29</v>
      </c>
      <c r="AS230" s="4" t="str">
        <f t="shared" si="91"/>
        <v>-</v>
      </c>
      <c r="AT230" s="4">
        <f t="shared" si="92"/>
        <v>38</v>
      </c>
      <c r="AU230" s="4">
        <f t="shared" si="93"/>
        <v>7</v>
      </c>
      <c r="AV230" s="4">
        <f t="shared" si="94"/>
        <v>26</v>
      </c>
      <c r="AW230" s="4">
        <f t="shared" si="95"/>
        <v>2</v>
      </c>
      <c r="AX230" s="4">
        <f t="shared" si="96"/>
        <v>42</v>
      </c>
      <c r="AY230" s="4">
        <f t="shared" si="97"/>
        <v>35</v>
      </c>
      <c r="AZ230" s="4">
        <f t="shared" si="98"/>
        <v>32</v>
      </c>
      <c r="BA230" s="4">
        <f t="shared" si="99"/>
        <v>10</v>
      </c>
    </row>
    <row r="231" spans="1:53" x14ac:dyDescent="0.2">
      <c r="A231" s="1" t="str">
        <f>'SegEnds_NonXtal_Prot#'!A218</f>
        <v>par1_human</v>
      </c>
      <c r="B231" s="1" t="str">
        <f t="shared" si="75"/>
        <v>SWLTLFVPSVYTGVFVVSLPLNIMAIVVFILKKPAVVYMLHLATADVLFVSVLPFKISYYFSGSELCRFVTAAFYCNMYASILLMTVISIDRFLAVVYTLGRASFTCLAIWALAIAGVVPLLLKEGYYAYYFSAFSAVFFFVPLIISTVCYVSIIRCLSSNRSKKSRALFLSAAVFCIFIICFGPTNVLLIAHYSFLTEAAYFAYLLCVCVSSISCCIDPLIYYYASSECQRYVYSILCCK</v>
      </c>
      <c r="C231" s="29" t="str">
        <f>IF(ISERROR(MATCH(A231,'SegEnds_Xtal_Prot#'!B:B, 0)), "NoXtal", "Xtal")</f>
        <v>Xtal</v>
      </c>
      <c r="D231" s="4" t="str">
        <f>VLOOKUP(A231,Classification!A:D,2,FALSE)</f>
        <v>A</v>
      </c>
      <c r="E231" s="5" t="str">
        <f>VLOOKUP(A231,Seqs!A:B,2,FALSE)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F231" s="5" t="str">
        <f t="shared" si="76"/>
        <v>SWLTLFVPSVYTGVFVVSLPLNIMAIVVFILK</v>
      </c>
      <c r="G231" s="4" t="str">
        <f t="shared" si="77"/>
        <v>MKVK</v>
      </c>
      <c r="H231" s="4" t="str">
        <f t="shared" si="78"/>
        <v>KPAVVYMLHLATADVLFVSVLPFKISYYFS</v>
      </c>
      <c r="I231" s="4" t="str">
        <f t="shared" si="79"/>
        <v>DWQF</v>
      </c>
      <c r="J231" s="4" t="str">
        <f t="shared" si="80"/>
        <v>GSELCRFVTAAFYCNMYASILLMTVISIDRFLAVVY</v>
      </c>
      <c r="K231" s="4" t="str">
        <f t="shared" si="81"/>
        <v>PMQSLSWR</v>
      </c>
      <c r="L231" s="4" t="str">
        <f t="shared" si="82"/>
        <v>TLGRASFTCLAIWALAIAGVVPLLLK</v>
      </c>
      <c r="M231" s="4" t="str">
        <f t="shared" si="83"/>
        <v>CHD</v>
      </c>
      <c r="N231" s="4" t="str">
        <f t="shared" si="84"/>
        <v>EGYYAYYFSAFSAVFFFVPLIISTVCYVSIIRCLSS</v>
      </c>
      <c r="O231" s="4" t="str">
        <f t="shared" si="85"/>
        <v>NRSKKSRALFLSAAVFCIFIICFGPTNVLLIAHYSFL</v>
      </c>
      <c r="P231" s="4" t="str">
        <f t="shared" si="86"/>
        <v>TEAAYFAYLLCVCVSSISCCIDPLIYYYA</v>
      </c>
      <c r="Q231" s="4" t="str">
        <f t="shared" si="87"/>
        <v>SSECQRYVYSILCCK</v>
      </c>
      <c r="R231" s="5">
        <f>VLOOKUP($A231,'SegEnds_NonXtal_Prot#'!$A:$AL,3,FALSE)</f>
        <v>99</v>
      </c>
      <c r="S231" s="5">
        <f>VLOOKUP($A231,'SegEnds_NonXtal_Prot#'!$A:$AL,6,FALSE)</f>
        <v>131</v>
      </c>
      <c r="T231" s="5">
        <f>VLOOKUP($A231,'SegEnds_NonXtal_Prot#'!$A:$AL,9,FALSE)</f>
        <v>135</v>
      </c>
      <c r="U231" s="5">
        <f>VLOOKUP($A231,'SegEnds_NonXtal_Prot#'!$A:$AL,12,FALSE)</f>
        <v>167</v>
      </c>
      <c r="V231" s="5">
        <f>VLOOKUP($A231,'SegEnds_NonXtal_Prot#'!$A:$AL,15,FALSE)</f>
        <v>171</v>
      </c>
      <c r="W231" s="5">
        <f>VLOOKUP($A231,'SegEnds_NonXtal_Prot#'!$A:$AL,18,FALSE)</f>
        <v>207</v>
      </c>
      <c r="X231" s="5">
        <f>VLOOKUP($A231,'SegEnds_NonXtal_Prot#'!$A:$AL,21,FALSE)</f>
        <v>215</v>
      </c>
      <c r="Y231" s="5">
        <f>VLOOKUP($A231,'SegEnds_NonXtal_Prot#'!$A:$AL,24,FALSE)</f>
        <v>254</v>
      </c>
      <c r="Z231" s="5">
        <f>VLOOKUP($A231,'SegEnds_NonXtal_Prot#'!$A:$AL,27,FALSE)</f>
        <v>264</v>
      </c>
      <c r="AA231" s="5">
        <f>VLOOKUP($A231,'SegEnds_NonXtal_Prot#'!$A:$AL,30,FALSE)</f>
        <v>304</v>
      </c>
      <c r="AB231" s="5">
        <f>VLOOKUP($A231,'SegEnds_NonXtal_Prot#'!$A:$AL,33,FALSE)</f>
        <v>346</v>
      </c>
      <c r="AC231" s="5">
        <f>VLOOKUP($A231,'SegEnds_NonXtal_Prot#'!$A:$AL,36,FALSE)</f>
        <v>375</v>
      </c>
      <c r="AD231" s="5">
        <f>VLOOKUP($A231,'SegEnds_NonXtal_Prot#'!$A:$AL,5,FALSE)</f>
        <v>130</v>
      </c>
      <c r="AE231" s="5">
        <f>VLOOKUP($A231,'SegEnds_NonXtal_Prot#'!$A:$AL,8,FALSE)</f>
        <v>134</v>
      </c>
      <c r="AF231" s="5">
        <f>VLOOKUP($A231,'SegEnds_NonXtal_Prot#'!$A:$AL,11,FALSE)</f>
        <v>164</v>
      </c>
      <c r="AG231" s="5">
        <f>VLOOKUP($A231,'SegEnds_NonXtal_Prot#'!$A:$AL,14,FALSE)</f>
        <v>170</v>
      </c>
      <c r="AH231" s="5">
        <f>VLOOKUP($A231,'SegEnds_NonXtal_Prot#'!$A:$AL,17,FALSE)</f>
        <v>206</v>
      </c>
      <c r="AI231" s="5">
        <f>VLOOKUP($A231,'SegEnds_NonXtal_Prot#'!$A:$AL,20,FALSE)</f>
        <v>214</v>
      </c>
      <c r="AJ231" s="5">
        <f>VLOOKUP($A231,'SegEnds_NonXtal_Prot#'!$A:$AL,23,FALSE)</f>
        <v>240</v>
      </c>
      <c r="AK231" s="5">
        <f>VLOOKUP($A231,'SegEnds_NonXtal_Prot#'!$A:$AL,26,FALSE)</f>
        <v>256</v>
      </c>
      <c r="AL231" s="5">
        <f>VLOOKUP($A231,'SegEnds_NonXtal_Prot#'!$A:$AL,29,FALSE)</f>
        <v>299</v>
      </c>
      <c r="AM231" s="5">
        <f>VLOOKUP($A231,'SegEnds_NonXtal_Prot#'!$A:$AL,32,FALSE)</f>
        <v>340</v>
      </c>
      <c r="AN231" s="5">
        <f>VLOOKUP($A231,'SegEnds_NonXtal_Prot#'!$A:$AL,35,FALSE)</f>
        <v>374</v>
      </c>
      <c r="AO231" s="5">
        <f>VLOOKUP($A231,'SegEnds_NonXtal_Prot#'!$A:$AL,38,FALSE)</f>
        <v>389</v>
      </c>
      <c r="AP231" s="5">
        <f t="shared" si="88"/>
        <v>31</v>
      </c>
      <c r="AQ231" s="4">
        <f t="shared" si="89"/>
        <v>3</v>
      </c>
      <c r="AR231" s="4">
        <f t="shared" si="90"/>
        <v>29</v>
      </c>
      <c r="AS231" s="4">
        <f t="shared" si="91"/>
        <v>3</v>
      </c>
      <c r="AT231" s="4">
        <f t="shared" si="92"/>
        <v>35</v>
      </c>
      <c r="AU231" s="4">
        <f t="shared" si="93"/>
        <v>7</v>
      </c>
      <c r="AV231" s="4">
        <f t="shared" si="94"/>
        <v>25</v>
      </c>
      <c r="AW231" s="4">
        <f t="shared" si="95"/>
        <v>2</v>
      </c>
      <c r="AX231" s="4">
        <f t="shared" si="96"/>
        <v>35</v>
      </c>
      <c r="AY231" s="4">
        <f t="shared" si="97"/>
        <v>36</v>
      </c>
      <c r="AZ231" s="4">
        <f t="shared" si="98"/>
        <v>28</v>
      </c>
      <c r="BA231" s="4">
        <f t="shared" si="99"/>
        <v>14</v>
      </c>
    </row>
    <row r="232" spans="1:53" x14ac:dyDescent="0.2">
      <c r="A232" s="1" t="str">
        <f>'SegEnds_NonXtal_Prot#'!A219</f>
        <v>par3_human</v>
      </c>
      <c r="B232" s="1" t="str">
        <f t="shared" si="75"/>
        <v>SSLSTKLIPAIYLLVFVVGVPANAVTLWMLFFRICTTVFYTNLAIADFLFCVTLPFKIAYHLNGEVLCRATTVIFYGNMYCSILLLACISINRYLAIVHKHTYALVTCGLVWATVFLYMLPFFIQLYYFISLAFFGFLIPFVLIIYCYAAIIRTLNAYWLWYVKASLLILVIFTICFAPSNIILIIHHANYTDGLYFIYLIALCLGSLNSCLDPFLYFLM</v>
      </c>
      <c r="C232" s="29" t="str">
        <f>IF(ISERROR(MATCH(A232,'SegEnds_Xtal_Prot#'!B:B, 0)), "NoXtal", "Xtal")</f>
        <v>NoXtal</v>
      </c>
      <c r="D232" s="4" t="str">
        <f>VLOOKUP(A232,Classification!A:D,2,FALSE)</f>
        <v>A</v>
      </c>
      <c r="E232" s="5" t="str">
        <f>VLOOKUP(A232,Seqs!A:B,2,FALSE)</f>
        <v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v>
      </c>
      <c r="F232" s="5" t="str">
        <f t="shared" si="76"/>
        <v>SSLSTKLIPAIYLLVFVVGVPANAVTLWMLFFR</v>
      </c>
      <c r="G232" s="4" t="str">
        <f t="shared" si="77"/>
        <v/>
      </c>
      <c r="H232" s="4" t="str">
        <f t="shared" si="78"/>
        <v>ICTTVFYTNLAIADFLFCVTLPFKIAYHLN</v>
      </c>
      <c r="I232" s="4" t="str">
        <f t="shared" si="79"/>
        <v>NWVF</v>
      </c>
      <c r="J232" s="4" t="str">
        <f t="shared" si="80"/>
        <v>GEVLCRATTVIFYGNMYCSILLLACISINRYLAIVH</v>
      </c>
      <c r="K232" s="4" t="str">
        <f t="shared" si="81"/>
        <v>PFTYRGLP</v>
      </c>
      <c r="L232" s="4" t="str">
        <f t="shared" si="82"/>
        <v>KHTYALVTCGLVWATVFLYMLPFFI</v>
      </c>
      <c r="M232" s="4" t="str">
        <f t="shared" si="83"/>
        <v>CES</v>
      </c>
      <c r="N232" s="4" t="str">
        <f t="shared" si="84"/>
        <v>QLYYFISLAFFGFLIPFVLIIYCYAAIIRTLNAY</v>
      </c>
      <c r="O232" s="4" t="str">
        <f t="shared" si="85"/>
        <v>WLWYVKASLLILVIFTICFAPSNIILIIHHANY</v>
      </c>
      <c r="P232" s="4" t="str">
        <f t="shared" si="86"/>
        <v>TDGLYFIYLIALCLGSLNSCLDPFLYFLM</v>
      </c>
      <c r="Q232" s="4" t="str">
        <f t="shared" si="87"/>
        <v/>
      </c>
      <c r="R232" s="5">
        <f>VLOOKUP($A232,'SegEnds_NonXtal_Prot#'!$A:$AL,3,FALSE)</f>
        <v>90</v>
      </c>
      <c r="S232" s="5" t="str">
        <f>VLOOKUP($A232,'SegEnds_NonXtal_Prot#'!$A:$AL,6,FALSE)</f>
        <v>-</v>
      </c>
      <c r="T232" s="5">
        <f>VLOOKUP($A232,'SegEnds_NonXtal_Prot#'!$A:$AL,9,FALSE)</f>
        <v>126</v>
      </c>
      <c r="U232" s="5">
        <f>VLOOKUP($A232,'SegEnds_NonXtal_Prot#'!$A:$AL,12,FALSE)</f>
        <v>158</v>
      </c>
      <c r="V232" s="5">
        <f>VLOOKUP($A232,'SegEnds_NonXtal_Prot#'!$A:$AL,15,FALSE)</f>
        <v>162</v>
      </c>
      <c r="W232" s="5">
        <f>VLOOKUP($A232,'SegEnds_NonXtal_Prot#'!$A:$AL,18,FALSE)</f>
        <v>198</v>
      </c>
      <c r="X232" s="5">
        <f>VLOOKUP($A232,'SegEnds_NonXtal_Prot#'!$A:$AL,21,FALSE)</f>
        <v>206</v>
      </c>
      <c r="Y232" s="5">
        <f>VLOOKUP($A232,'SegEnds_NonXtal_Prot#'!$A:$AL,24,FALSE)</f>
        <v>252</v>
      </c>
      <c r="Z232" s="5">
        <f>VLOOKUP($A232,'SegEnds_NonXtal_Prot#'!$A:$AL,27,FALSE)</f>
        <v>259</v>
      </c>
      <c r="AA232" s="5">
        <f>VLOOKUP($A232,'SegEnds_NonXtal_Prot#'!$A:$AL,30,FALSE)</f>
        <v>296</v>
      </c>
      <c r="AB232" s="5">
        <f>VLOOKUP($A232,'SegEnds_NonXtal_Prot#'!$A:$AL,33,FALSE)</f>
        <v>333</v>
      </c>
      <c r="AC232" s="5" t="str">
        <f>VLOOKUP($A232,'SegEnds_NonXtal_Prot#'!$A:$AL,36,FALSE)</f>
        <v>-</v>
      </c>
      <c r="AD232" s="5">
        <f>VLOOKUP($A232,'SegEnds_NonXtal_Prot#'!$A:$AL,5,FALSE)</f>
        <v>122</v>
      </c>
      <c r="AE232" s="5" t="str">
        <f>VLOOKUP($A232,'SegEnds_NonXtal_Prot#'!$A:$AL,8,FALSE)</f>
        <v>-</v>
      </c>
      <c r="AF232" s="5">
        <f>VLOOKUP($A232,'SegEnds_NonXtal_Prot#'!$A:$AL,11,FALSE)</f>
        <v>155</v>
      </c>
      <c r="AG232" s="5">
        <f>VLOOKUP($A232,'SegEnds_NonXtal_Prot#'!$A:$AL,14,FALSE)</f>
        <v>161</v>
      </c>
      <c r="AH232" s="5">
        <f>VLOOKUP($A232,'SegEnds_NonXtal_Prot#'!$A:$AL,17,FALSE)</f>
        <v>197</v>
      </c>
      <c r="AI232" s="5">
        <f>VLOOKUP($A232,'SegEnds_NonXtal_Prot#'!$A:$AL,20,FALSE)</f>
        <v>205</v>
      </c>
      <c r="AJ232" s="5">
        <f>VLOOKUP($A232,'SegEnds_NonXtal_Prot#'!$A:$AL,23,FALSE)</f>
        <v>230</v>
      </c>
      <c r="AK232" s="5">
        <f>VLOOKUP($A232,'SegEnds_NonXtal_Prot#'!$A:$AL,26,FALSE)</f>
        <v>254</v>
      </c>
      <c r="AL232" s="5">
        <f>VLOOKUP($A232,'SegEnds_NonXtal_Prot#'!$A:$AL,29,FALSE)</f>
        <v>292</v>
      </c>
      <c r="AM232" s="5">
        <f>VLOOKUP($A232,'SegEnds_NonXtal_Prot#'!$A:$AL,32,FALSE)</f>
        <v>328</v>
      </c>
      <c r="AN232" s="5">
        <f>VLOOKUP($A232,'SegEnds_NonXtal_Prot#'!$A:$AL,35,FALSE)</f>
        <v>361</v>
      </c>
      <c r="AO232" s="5" t="str">
        <f>VLOOKUP($A232,'SegEnds_NonXtal_Prot#'!$A:$AL,38,FALSE)</f>
        <v>-</v>
      </c>
      <c r="AP232" s="5">
        <f t="shared" si="88"/>
        <v>32</v>
      </c>
      <c r="AQ232" s="4" t="str">
        <f t="shared" si="89"/>
        <v>-</v>
      </c>
      <c r="AR232" s="4">
        <f t="shared" si="90"/>
        <v>29</v>
      </c>
      <c r="AS232" s="4">
        <f t="shared" si="91"/>
        <v>3</v>
      </c>
      <c r="AT232" s="4">
        <f t="shared" si="92"/>
        <v>35</v>
      </c>
      <c r="AU232" s="4">
        <f t="shared" si="93"/>
        <v>7</v>
      </c>
      <c r="AV232" s="4">
        <f t="shared" si="94"/>
        <v>24</v>
      </c>
      <c r="AW232" s="4">
        <f t="shared" si="95"/>
        <v>2</v>
      </c>
      <c r="AX232" s="4">
        <f t="shared" si="96"/>
        <v>33</v>
      </c>
      <c r="AY232" s="4">
        <f t="shared" si="97"/>
        <v>32</v>
      </c>
      <c r="AZ232" s="4">
        <f t="shared" si="98"/>
        <v>28</v>
      </c>
      <c r="BA232" s="4" t="str">
        <f t="shared" si="99"/>
        <v>-</v>
      </c>
    </row>
    <row r="233" spans="1:53" x14ac:dyDescent="0.2">
      <c r="A233" s="1" t="str">
        <f>'SegEnds_NonXtal_Prot#'!A220</f>
        <v>par4_human</v>
      </c>
      <c r="B233" s="1" t="str">
        <f t="shared" si="75"/>
        <v>GWVPTRLVPALYGLVLVVGLPANGLALWVLATQLPSTMLLMNLAAADLLLALALPPRIAYHLRGEAACRLATAALYGHMYGSVLLLAAVSLDRYLALVHGRRLALGLCMAAWLMAAALALPLTLQASHWQPAFTCLALLGCFLPLLAMLLCYGATLHTLAASYGHALRLTAVVLASAVAFFVPSNLLLLLHYSDPWGNLYGAYVPSLALSTLNSCVDPFIYYYVSAEFRDKVRAGLFQR</v>
      </c>
      <c r="C233" s="29" t="str">
        <f>IF(ISERROR(MATCH(A233,'SegEnds_Xtal_Prot#'!B:B, 0)), "NoXtal", "Xtal")</f>
        <v>NoXtal</v>
      </c>
      <c r="D233" s="4" t="str">
        <f>VLOOKUP(A233,Classification!A:D,2,FALSE)</f>
        <v>A</v>
      </c>
      <c r="E233" s="5" t="str">
        <f>VLOOKUP(A233,Seqs!A:B,2,FALSE)</f>
        <v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v>
      </c>
      <c r="F233" s="5" t="str">
        <f t="shared" si="76"/>
        <v>GWVPTRLVPALYGLVLVVGLPANGLALWVLATQ</v>
      </c>
      <c r="G233" s="4" t="str">
        <f t="shared" si="77"/>
        <v/>
      </c>
      <c r="H233" s="4" t="str">
        <f t="shared" si="78"/>
        <v>LPSTMLLMNLAAADLLLALALPPRIAYHLR</v>
      </c>
      <c r="I233" s="4" t="str">
        <f t="shared" si="79"/>
        <v>RWPF</v>
      </c>
      <c r="J233" s="4" t="str">
        <f t="shared" si="80"/>
        <v>GEAACRLATAALYGHMYGSVLLLAAVSLDRYLALVH</v>
      </c>
      <c r="K233" s="4" t="str">
        <f t="shared" si="81"/>
        <v>PLRARALR</v>
      </c>
      <c r="L233" s="4" t="str">
        <f t="shared" si="82"/>
        <v>GRRLALGLCMAAWLMAAALALPLTL</v>
      </c>
      <c r="M233" s="4" t="str">
        <f t="shared" si="83"/>
        <v>CHD</v>
      </c>
      <c r="N233" s="4" t="str">
        <f t="shared" si="84"/>
        <v>QASHWQPAFTCLALLGCFLPLLAMLLCYGATLHTLAAS</v>
      </c>
      <c r="O233" s="4" t="str">
        <f t="shared" si="85"/>
        <v>YGHALRLTAVVLASAVAFFVPSNLLLLLHYSDP</v>
      </c>
      <c r="P233" s="4" t="str">
        <f t="shared" si="86"/>
        <v>WGNLYGAYVPSLALSTLNSCVDPFIYYYV</v>
      </c>
      <c r="Q233" s="4" t="str">
        <f t="shared" si="87"/>
        <v>SAEFRDKVRAGLFQR</v>
      </c>
      <c r="R233" s="5">
        <f>VLOOKUP($A233,'SegEnds_NonXtal_Prot#'!$A:$AL,3,FALSE)</f>
        <v>73</v>
      </c>
      <c r="S233" s="5" t="str">
        <f>VLOOKUP($A233,'SegEnds_NonXtal_Prot#'!$A:$AL,6,FALSE)</f>
        <v>-</v>
      </c>
      <c r="T233" s="5">
        <f>VLOOKUP($A233,'SegEnds_NonXtal_Prot#'!$A:$AL,9,FALSE)</f>
        <v>109</v>
      </c>
      <c r="U233" s="5">
        <f>VLOOKUP($A233,'SegEnds_NonXtal_Prot#'!$A:$AL,12,FALSE)</f>
        <v>141</v>
      </c>
      <c r="V233" s="5">
        <f>VLOOKUP($A233,'SegEnds_NonXtal_Prot#'!$A:$AL,15,FALSE)</f>
        <v>145</v>
      </c>
      <c r="W233" s="5">
        <f>VLOOKUP($A233,'SegEnds_NonXtal_Prot#'!$A:$AL,18,FALSE)</f>
        <v>181</v>
      </c>
      <c r="X233" s="5">
        <f>VLOOKUP($A233,'SegEnds_NonXtal_Prot#'!$A:$AL,21,FALSE)</f>
        <v>189</v>
      </c>
      <c r="Y233" s="5">
        <f>VLOOKUP($A233,'SegEnds_NonXtal_Prot#'!$A:$AL,24,FALSE)</f>
        <v>228</v>
      </c>
      <c r="Z233" s="5">
        <f>VLOOKUP($A233,'SegEnds_NonXtal_Prot#'!$A:$AL,27,FALSE)</f>
        <v>237</v>
      </c>
      <c r="AA233" s="5">
        <f>VLOOKUP($A233,'SegEnds_NonXtal_Prot#'!$A:$AL,30,FALSE)</f>
        <v>278</v>
      </c>
      <c r="AB233" s="5">
        <f>VLOOKUP($A233,'SegEnds_NonXtal_Prot#'!$A:$AL,33,FALSE)</f>
        <v>315</v>
      </c>
      <c r="AC233" s="5">
        <f>VLOOKUP($A233,'SegEnds_NonXtal_Prot#'!$A:$AL,36,FALSE)</f>
        <v>344</v>
      </c>
      <c r="AD233" s="5">
        <f>VLOOKUP($A233,'SegEnds_NonXtal_Prot#'!$A:$AL,5,FALSE)</f>
        <v>105</v>
      </c>
      <c r="AE233" s="5" t="str">
        <f>VLOOKUP($A233,'SegEnds_NonXtal_Prot#'!$A:$AL,8,FALSE)</f>
        <v>-</v>
      </c>
      <c r="AF233" s="5">
        <f>VLOOKUP($A233,'SegEnds_NonXtal_Prot#'!$A:$AL,11,FALSE)</f>
        <v>138</v>
      </c>
      <c r="AG233" s="5">
        <f>VLOOKUP($A233,'SegEnds_NonXtal_Prot#'!$A:$AL,14,FALSE)</f>
        <v>144</v>
      </c>
      <c r="AH233" s="5">
        <f>VLOOKUP($A233,'SegEnds_NonXtal_Prot#'!$A:$AL,17,FALSE)</f>
        <v>180</v>
      </c>
      <c r="AI233" s="5">
        <f>VLOOKUP($A233,'SegEnds_NonXtal_Prot#'!$A:$AL,20,FALSE)</f>
        <v>188</v>
      </c>
      <c r="AJ233" s="5">
        <f>VLOOKUP($A233,'SegEnds_NonXtal_Prot#'!$A:$AL,23,FALSE)</f>
        <v>213</v>
      </c>
      <c r="AK233" s="5">
        <f>VLOOKUP($A233,'SegEnds_NonXtal_Prot#'!$A:$AL,26,FALSE)</f>
        <v>230</v>
      </c>
      <c r="AL233" s="5">
        <f>VLOOKUP($A233,'SegEnds_NonXtal_Prot#'!$A:$AL,29,FALSE)</f>
        <v>274</v>
      </c>
      <c r="AM233" s="5">
        <f>VLOOKUP($A233,'SegEnds_NonXtal_Prot#'!$A:$AL,32,FALSE)</f>
        <v>310</v>
      </c>
      <c r="AN233" s="5">
        <f>VLOOKUP($A233,'SegEnds_NonXtal_Prot#'!$A:$AL,35,FALSE)</f>
        <v>343</v>
      </c>
      <c r="AO233" s="5">
        <f>VLOOKUP($A233,'SegEnds_NonXtal_Prot#'!$A:$AL,38,FALSE)</f>
        <v>358</v>
      </c>
      <c r="AP233" s="5">
        <f t="shared" si="88"/>
        <v>32</v>
      </c>
      <c r="AQ233" s="4" t="str">
        <f t="shared" si="89"/>
        <v>-</v>
      </c>
      <c r="AR233" s="4">
        <f t="shared" si="90"/>
        <v>29</v>
      </c>
      <c r="AS233" s="4">
        <f t="shared" si="91"/>
        <v>3</v>
      </c>
      <c r="AT233" s="4">
        <f t="shared" si="92"/>
        <v>35</v>
      </c>
      <c r="AU233" s="4">
        <f t="shared" si="93"/>
        <v>7</v>
      </c>
      <c r="AV233" s="4">
        <f t="shared" si="94"/>
        <v>24</v>
      </c>
      <c r="AW233" s="4">
        <f t="shared" si="95"/>
        <v>2</v>
      </c>
      <c r="AX233" s="4">
        <f t="shared" si="96"/>
        <v>37</v>
      </c>
      <c r="AY233" s="4">
        <f t="shared" si="97"/>
        <v>32</v>
      </c>
      <c r="AZ233" s="4">
        <f t="shared" si="98"/>
        <v>28</v>
      </c>
      <c r="BA233" s="4">
        <f t="shared" si="99"/>
        <v>14</v>
      </c>
    </row>
    <row r="234" spans="1:53" x14ac:dyDescent="0.2">
      <c r="A234" s="1" t="str">
        <f>'SegEnds_NonXtal_Prot#'!A221</f>
        <v>pd2r_human</v>
      </c>
      <c r="B234" s="1" t="str">
        <f t="shared" si="75"/>
        <v>GNSAVMGGVLFSTGLLGNLLALGLLASVFYMLVCGLTVTDLLGKCLLSPVVLAAYAQPALDNSLCQAFAFFMSFFGLSSTLQLLAMALECWLSLGHTLRLGALVAPVVSAFSLAFCALPFMGSLSVLGYSVLYSSLMALLVLATVLCNLGAMRNLYAMHRRLQRHPRSSPQPLEELDHLLLLALMTVLFTMCSLPVIYRAYYGAFKRTSEEAEDLRALRFLSVISIVDPWIFIIFRSPVFRIFFHKIFI</v>
      </c>
      <c r="C234" s="29" t="str">
        <f>IF(ISERROR(MATCH(A234,'SegEnds_Xtal_Prot#'!B:B, 0)), "NoXtal", "Xtal")</f>
        <v>NoXtal</v>
      </c>
      <c r="D234" s="4" t="str">
        <f>VLOOKUP(A234,Classification!A:D,2,FALSE)</f>
        <v>A</v>
      </c>
      <c r="E234" s="5" t="str">
        <f>VLOOKUP(A234,Seqs!A:B,2,FALSE)</f>
        <v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v>
      </c>
      <c r="F234" s="5" t="str">
        <f t="shared" si="76"/>
        <v>GNSAVMGGVLFSTGLLGNLLALGLLA</v>
      </c>
      <c r="G234" s="4" t="str">
        <f t="shared" si="77"/>
        <v/>
      </c>
      <c r="H234" s="4" t="str">
        <f t="shared" si="78"/>
        <v>SVFYMLVCGLTVTDLLGKCLLSPVVLAAYAQ</v>
      </c>
      <c r="I234" s="4" t="str">
        <f t="shared" si="79"/>
        <v/>
      </c>
      <c r="J234" s="4" t="str">
        <f t="shared" si="80"/>
        <v>PALDNSLCQAFAFFMSFFGLSSTLQLLAMALECWLSLGH</v>
      </c>
      <c r="K234" s="4" t="str">
        <f t="shared" si="81"/>
        <v>PFFYRRHI</v>
      </c>
      <c r="L234" s="4" t="str">
        <f t="shared" si="82"/>
        <v>TLRLGALVAPVVSAFSLAFCALPFMG</v>
      </c>
      <c r="M234" s="4" t="str">
        <f t="shared" si="83"/>
        <v>CFI</v>
      </c>
      <c r="N234" s="4" t="str">
        <f t="shared" si="84"/>
        <v>SLSVLGYSVLYSSLMALLVLATVLCNLGAMRNLYAMHRRLQRHPRS</v>
      </c>
      <c r="O234" s="4" t="str">
        <f t="shared" si="85"/>
        <v>SPQPLEELDHLLLLALMTVLFTMCSLPVIYRAYYGAFK</v>
      </c>
      <c r="P234" s="4" t="str">
        <f t="shared" si="86"/>
        <v>RTSEEAEDLRALRFLSVISIVDPWIFIIF</v>
      </c>
      <c r="Q234" s="4" t="str">
        <f t="shared" si="87"/>
        <v>RSPVFRIFFHKIFI</v>
      </c>
      <c r="R234" s="5">
        <f>VLOOKUP($A234,'SegEnds_NonXtal_Prot#'!$A:$AL,3,FALSE)</f>
        <v>17</v>
      </c>
      <c r="S234" s="5" t="str">
        <f>VLOOKUP($A234,'SegEnds_NonXtal_Prot#'!$A:$AL,6,FALSE)</f>
        <v>-</v>
      </c>
      <c r="T234" s="5">
        <f>VLOOKUP($A234,'SegEnds_NonXtal_Prot#'!$A:$AL,9,FALSE)</f>
        <v>59</v>
      </c>
      <c r="U234" s="5" t="str">
        <f>VLOOKUP($A234,'SegEnds_NonXtal_Prot#'!$A:$AL,12,FALSE)</f>
        <v>-</v>
      </c>
      <c r="V234" s="5">
        <f>VLOOKUP($A234,'SegEnds_NonXtal_Prot#'!$A:$AL,15,FALSE)</f>
        <v>98</v>
      </c>
      <c r="W234" s="5">
        <f>VLOOKUP($A234,'SegEnds_NonXtal_Prot#'!$A:$AL,18,FALSE)</f>
        <v>137</v>
      </c>
      <c r="X234" s="5">
        <f>VLOOKUP($A234,'SegEnds_NonXtal_Prot#'!$A:$AL,21,FALSE)</f>
        <v>145</v>
      </c>
      <c r="Y234" s="5">
        <f>VLOOKUP($A234,'SegEnds_NonXtal_Prot#'!$A:$AL,24,FALSE)</f>
        <v>183</v>
      </c>
      <c r="Z234" s="5">
        <f>VLOOKUP($A234,'SegEnds_NonXtal_Prot#'!$A:$AL,27,FALSE)</f>
        <v>193</v>
      </c>
      <c r="AA234" s="5">
        <f>VLOOKUP($A234,'SegEnds_NonXtal_Prot#'!$A:$AL,30,FALSE)</f>
        <v>254</v>
      </c>
      <c r="AB234" s="5">
        <f>VLOOKUP($A234,'SegEnds_NonXtal_Prot#'!$A:$AL,33,FALSE)</f>
        <v>298</v>
      </c>
      <c r="AC234" s="5">
        <f>VLOOKUP($A234,'SegEnds_NonXtal_Prot#'!$A:$AL,36,FALSE)</f>
        <v>327</v>
      </c>
      <c r="AD234" s="5">
        <f>VLOOKUP($A234,'SegEnds_NonXtal_Prot#'!$A:$AL,5,FALSE)</f>
        <v>42</v>
      </c>
      <c r="AE234" s="5" t="str">
        <f>VLOOKUP($A234,'SegEnds_NonXtal_Prot#'!$A:$AL,8,FALSE)</f>
        <v>-</v>
      </c>
      <c r="AF234" s="5">
        <f>VLOOKUP($A234,'SegEnds_NonXtal_Prot#'!$A:$AL,11,FALSE)</f>
        <v>89</v>
      </c>
      <c r="AG234" s="5" t="str">
        <f>VLOOKUP($A234,'SegEnds_NonXtal_Prot#'!$A:$AL,14,FALSE)</f>
        <v>-</v>
      </c>
      <c r="AH234" s="5">
        <f>VLOOKUP($A234,'SegEnds_NonXtal_Prot#'!$A:$AL,17,FALSE)</f>
        <v>136</v>
      </c>
      <c r="AI234" s="5">
        <f>VLOOKUP($A234,'SegEnds_NonXtal_Prot#'!$A:$AL,20,FALSE)</f>
        <v>144</v>
      </c>
      <c r="AJ234" s="5">
        <f>VLOOKUP($A234,'SegEnds_NonXtal_Prot#'!$A:$AL,23,FALSE)</f>
        <v>170</v>
      </c>
      <c r="AK234" s="5">
        <f>VLOOKUP($A234,'SegEnds_NonXtal_Prot#'!$A:$AL,26,FALSE)</f>
        <v>185</v>
      </c>
      <c r="AL234" s="5">
        <f>VLOOKUP($A234,'SegEnds_NonXtal_Prot#'!$A:$AL,29,FALSE)</f>
        <v>238</v>
      </c>
      <c r="AM234" s="5">
        <f>VLOOKUP($A234,'SegEnds_NonXtal_Prot#'!$A:$AL,32,FALSE)</f>
        <v>291</v>
      </c>
      <c r="AN234" s="5">
        <f>VLOOKUP($A234,'SegEnds_NonXtal_Prot#'!$A:$AL,35,FALSE)</f>
        <v>326</v>
      </c>
      <c r="AO234" s="5">
        <f>VLOOKUP($A234,'SegEnds_NonXtal_Prot#'!$A:$AL,38,FALSE)</f>
        <v>340</v>
      </c>
      <c r="AP234" s="5">
        <f t="shared" si="88"/>
        <v>25</v>
      </c>
      <c r="AQ234" s="4" t="str">
        <f t="shared" si="89"/>
        <v>-</v>
      </c>
      <c r="AR234" s="4">
        <f t="shared" si="90"/>
        <v>30</v>
      </c>
      <c r="AS234" s="4" t="str">
        <f t="shared" si="91"/>
        <v>-</v>
      </c>
      <c r="AT234" s="4">
        <f t="shared" si="92"/>
        <v>38</v>
      </c>
      <c r="AU234" s="4">
        <f t="shared" si="93"/>
        <v>7</v>
      </c>
      <c r="AV234" s="4">
        <f t="shared" si="94"/>
        <v>25</v>
      </c>
      <c r="AW234" s="4">
        <f t="shared" si="95"/>
        <v>2</v>
      </c>
      <c r="AX234" s="4">
        <f t="shared" si="96"/>
        <v>45</v>
      </c>
      <c r="AY234" s="4">
        <f t="shared" si="97"/>
        <v>37</v>
      </c>
      <c r="AZ234" s="4">
        <f t="shared" si="98"/>
        <v>28</v>
      </c>
      <c r="BA234" s="4">
        <f t="shared" si="99"/>
        <v>13</v>
      </c>
    </row>
    <row r="235" spans="1:53" x14ac:dyDescent="0.2">
      <c r="A235" s="1" t="str">
        <f>'SegEnds_NonXtal_Prot#'!A222</f>
        <v>pd2r2_human</v>
      </c>
      <c r="B235" s="1" t="str">
        <f t="shared" si="75"/>
        <v>DHAAVLLHGLASLLGLVENGVILFVVGCRTVVTTWVLHLALSDLLASASLPFFTYFLAVGGTTFCKLHSSIFFLNMFASGFLLSAISLDRCLQVVRTVAAAHKVCLVLWALAVLNTVPYFVFRDRDATCNSRQVALAVSKFLLAFLVPLAIIASSHAAVSLRLQHRPGRFVRLVAAVVAAFALCWGPYHVFSLLEARALRPLVWRGLPFVTSLAFFNSVANPVLYVLTCPDMLRKLRRSLRTVLES</v>
      </c>
      <c r="C235" s="29" t="str">
        <f>IF(ISERROR(MATCH(A235,'SegEnds_Xtal_Prot#'!B:B, 0)), "NoXtal", "Xtal")</f>
        <v>Xtal</v>
      </c>
      <c r="D235" s="4" t="str">
        <f>VLOOKUP(A235,Classification!A:D,2,FALSE)</f>
        <v>A</v>
      </c>
      <c r="E235" s="5" t="str">
        <f>VLOOKUP(A235,Seqs!A:B,2,FALSE)</f>
        <v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v>
      </c>
      <c r="F235" s="5" t="str">
        <f t="shared" si="76"/>
        <v>DHAAVLLHGLASLLGLVENGVILFVVGCR</v>
      </c>
      <c r="G235" s="4" t="str">
        <f t="shared" si="77"/>
        <v/>
      </c>
      <c r="H235" s="4" t="str">
        <f t="shared" si="78"/>
        <v>TVVTTWVLHLALSDLLASASLPFFTYFLAVG</v>
      </c>
      <c r="I235" s="4" t="str">
        <f t="shared" si="79"/>
        <v>SWEL</v>
      </c>
      <c r="J235" s="4" t="str">
        <f t="shared" si="80"/>
        <v>GTTFCKLHSSIFFLNMFASGFLLSAISLDRCLQVVR</v>
      </c>
      <c r="K235" s="4" t="str">
        <f t="shared" si="81"/>
        <v>PVWAQNHR</v>
      </c>
      <c r="L235" s="4" t="str">
        <f t="shared" si="82"/>
        <v>TVAAAHKVCLVLWALAVLNTVPYFVFR</v>
      </c>
      <c r="M235" s="4" t="str">
        <f t="shared" si="83"/>
        <v>CYY</v>
      </c>
      <c r="N235" s="4" t="str">
        <f t="shared" si="84"/>
        <v>DRDATCNSRQVALAVSKFLLAFLVPLAIIASSHAAVSLRLQHR</v>
      </c>
      <c r="O235" s="4" t="str">
        <f t="shared" si="85"/>
        <v>PGRFVRLVAAVVAAFALCWGPYHVFSLLEARA</v>
      </c>
      <c r="P235" s="4" t="str">
        <f t="shared" si="86"/>
        <v>LRPLVWRGLPFVTSLAFFNSVANPVLYVLT</v>
      </c>
      <c r="Q235" s="4" t="str">
        <f t="shared" si="87"/>
        <v>CPDMLRKLRRSLRTVLES</v>
      </c>
      <c r="R235" s="5">
        <f>VLOOKUP($A235,'SegEnds_NonXtal_Prot#'!$A:$AL,3,FALSE)</f>
        <v>32</v>
      </c>
      <c r="S235" s="5" t="str">
        <f>VLOOKUP($A235,'SegEnds_NonXtal_Prot#'!$A:$AL,6,FALSE)</f>
        <v>-</v>
      </c>
      <c r="T235" s="5">
        <f>VLOOKUP($A235,'SegEnds_NonXtal_Prot#'!$A:$AL,9,FALSE)</f>
        <v>64</v>
      </c>
      <c r="U235" s="5">
        <f>VLOOKUP($A235,'SegEnds_NonXtal_Prot#'!$A:$AL,12,FALSE)</f>
        <v>96</v>
      </c>
      <c r="V235" s="5">
        <f>VLOOKUP($A235,'SegEnds_NonXtal_Prot#'!$A:$AL,15,FALSE)</f>
        <v>100</v>
      </c>
      <c r="W235" s="5">
        <f>VLOOKUP($A235,'SegEnds_NonXtal_Prot#'!$A:$AL,18,FALSE)</f>
        <v>136</v>
      </c>
      <c r="X235" s="5">
        <f>VLOOKUP($A235,'SegEnds_NonXtal_Prot#'!$A:$AL,21,FALSE)</f>
        <v>144</v>
      </c>
      <c r="Y235" s="5">
        <f>VLOOKUP($A235,'SegEnds_NonXtal_Prot#'!$A:$AL,24,FALSE)</f>
        <v>182</v>
      </c>
      <c r="Z235" s="5">
        <f>VLOOKUP($A235,'SegEnds_NonXtal_Prot#'!$A:$AL,27,FALSE)</f>
        <v>194</v>
      </c>
      <c r="AA235" s="5">
        <f>VLOOKUP($A235,'SegEnds_NonXtal_Prot#'!$A:$AL,30,FALSE)</f>
        <v>241</v>
      </c>
      <c r="AB235" s="5">
        <f>VLOOKUP($A235,'SegEnds_NonXtal_Prot#'!$A:$AL,33,FALSE)</f>
        <v>278</v>
      </c>
      <c r="AC235" s="5">
        <f>VLOOKUP($A235,'SegEnds_NonXtal_Prot#'!$A:$AL,36,FALSE)</f>
        <v>308</v>
      </c>
      <c r="AD235" s="5">
        <f>VLOOKUP($A235,'SegEnds_NonXtal_Prot#'!$A:$AL,5,FALSE)</f>
        <v>60</v>
      </c>
      <c r="AE235" s="5" t="str">
        <f>VLOOKUP($A235,'SegEnds_NonXtal_Prot#'!$A:$AL,8,FALSE)</f>
        <v>-</v>
      </c>
      <c r="AF235" s="5">
        <f>VLOOKUP($A235,'SegEnds_NonXtal_Prot#'!$A:$AL,11,FALSE)</f>
        <v>94</v>
      </c>
      <c r="AG235" s="5">
        <f>VLOOKUP($A235,'SegEnds_NonXtal_Prot#'!$A:$AL,14,FALSE)</f>
        <v>99</v>
      </c>
      <c r="AH235" s="5">
        <f>VLOOKUP($A235,'SegEnds_NonXtal_Prot#'!$A:$AL,17,FALSE)</f>
        <v>135</v>
      </c>
      <c r="AI235" s="5">
        <f>VLOOKUP($A235,'SegEnds_NonXtal_Prot#'!$A:$AL,20,FALSE)</f>
        <v>143</v>
      </c>
      <c r="AJ235" s="5">
        <f>VLOOKUP($A235,'SegEnds_NonXtal_Prot#'!$A:$AL,23,FALSE)</f>
        <v>170</v>
      </c>
      <c r="AK235" s="5">
        <f>VLOOKUP($A235,'SegEnds_NonXtal_Prot#'!$A:$AL,26,FALSE)</f>
        <v>184</v>
      </c>
      <c r="AL235" s="5">
        <f>VLOOKUP($A235,'SegEnds_NonXtal_Prot#'!$A:$AL,29,FALSE)</f>
        <v>236</v>
      </c>
      <c r="AM235" s="5">
        <f>VLOOKUP($A235,'SegEnds_NonXtal_Prot#'!$A:$AL,32,FALSE)</f>
        <v>272</v>
      </c>
      <c r="AN235" s="5">
        <f>VLOOKUP($A235,'SegEnds_NonXtal_Prot#'!$A:$AL,35,FALSE)</f>
        <v>307</v>
      </c>
      <c r="AO235" s="5">
        <f>VLOOKUP($A235,'SegEnds_NonXtal_Prot#'!$A:$AL,38,FALSE)</f>
        <v>325</v>
      </c>
      <c r="AP235" s="5">
        <f t="shared" si="88"/>
        <v>28</v>
      </c>
      <c r="AQ235" s="4" t="str">
        <f t="shared" si="89"/>
        <v>-</v>
      </c>
      <c r="AR235" s="4">
        <f t="shared" si="90"/>
        <v>30</v>
      </c>
      <c r="AS235" s="4">
        <f t="shared" si="91"/>
        <v>3</v>
      </c>
      <c r="AT235" s="4">
        <f t="shared" si="92"/>
        <v>35</v>
      </c>
      <c r="AU235" s="4">
        <f t="shared" si="93"/>
        <v>7</v>
      </c>
      <c r="AV235" s="4">
        <f t="shared" si="94"/>
        <v>26</v>
      </c>
      <c r="AW235" s="4">
        <f t="shared" si="95"/>
        <v>2</v>
      </c>
      <c r="AX235" s="4">
        <f t="shared" si="96"/>
        <v>42</v>
      </c>
      <c r="AY235" s="4">
        <f t="shared" si="97"/>
        <v>31</v>
      </c>
      <c r="AZ235" s="4">
        <f t="shared" si="98"/>
        <v>29</v>
      </c>
      <c r="BA235" s="4">
        <f t="shared" si="99"/>
        <v>17</v>
      </c>
    </row>
    <row r="236" spans="1:53" x14ac:dyDescent="0.2">
      <c r="A236" s="1" t="str">
        <f>'SegEnds_NonXtal_Prot#'!A223</f>
        <v>pe2r1_human</v>
      </c>
      <c r="B236" s="1" t="str">
        <f t="shared" si="75"/>
        <v>PALPIFSMTLGAVSNLLALALLAQAARRRSAATFLLFVASLLATDLAGHVIPGALVLRLYTGGACHFLGGCMVFFGLCPLLLGCGMAVERCVGVTRSVARARLALAAVAAVALAVALLPLARWRQALLAGLFASLGLVALLAALVCNTLSGLALLRARWRRRSRRRRARAHDVEMVGQLVGIMVVSCICWSPMLVLVALAVGGLQRPLFLAVRLASWNQILDPWVYILLRQAVLRQLLRLLPPRAGAKG</v>
      </c>
      <c r="C236" s="29" t="str">
        <f>IF(ISERROR(MATCH(A236,'SegEnds_Xtal_Prot#'!B:B, 0)), "NoXtal", "Xtal")</f>
        <v>NoXtal</v>
      </c>
      <c r="D236" s="4" t="str">
        <f>VLOOKUP(A236,Classification!A:D,2,FALSE)</f>
        <v>A</v>
      </c>
      <c r="E236" s="5" t="str">
        <f>VLOOKUP(A236,Seqs!A:B,2,FALSE)</f>
        <v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v>
      </c>
      <c r="F236" s="5" t="str">
        <f t="shared" si="76"/>
        <v>PALPIFSMTLGAVSNLLALALLAQAA</v>
      </c>
      <c r="G236" s="4" t="str">
        <f t="shared" si="77"/>
        <v>GRLR</v>
      </c>
      <c r="H236" s="4" t="str">
        <f t="shared" si="78"/>
        <v>RRRSAATFLLFVASLLATDLAGHVIPGALVLRLYT</v>
      </c>
      <c r="I236" s="4" t="str">
        <f t="shared" si="79"/>
        <v>RAPA</v>
      </c>
      <c r="J236" s="4" t="str">
        <f t="shared" si="80"/>
        <v>GGACHFLGGCMVFFGLCPLLLGCGMAVERCVGVTR</v>
      </c>
      <c r="K236" s="4" t="str">
        <f t="shared" si="81"/>
        <v>PLLHAARV</v>
      </c>
      <c r="L236" s="4" t="str">
        <f t="shared" si="82"/>
        <v>SVARARLALAAVAAVALAVALLPLAR</v>
      </c>
      <c r="M236" s="4" t="str">
        <f t="shared" si="83"/>
        <v>CFI</v>
      </c>
      <c r="N236" s="4" t="str">
        <f t="shared" si="84"/>
        <v>WRQALLAGLFASLGLVALLAALVCNTLSGLALLRARWRRRSRR</v>
      </c>
      <c r="O236" s="4" t="str">
        <f t="shared" si="85"/>
        <v>RRARAHDVEMVGQLVGIMVVSCICWSPMLVLVALAVGG</v>
      </c>
      <c r="P236" s="4" t="str">
        <f t="shared" si="86"/>
        <v>LQRPLFLAVRLASWNQILDPWVY</v>
      </c>
      <c r="Q236" s="4" t="str">
        <f t="shared" si="87"/>
        <v>ILLRQAVLRQLLRLLPPRAGAKG</v>
      </c>
      <c r="R236" s="5">
        <f>VLOOKUP($A236,'SegEnds_NonXtal_Prot#'!$A:$AL,3,FALSE)</f>
        <v>36</v>
      </c>
      <c r="S236" s="5">
        <f>VLOOKUP($A236,'SegEnds_NonXtal_Prot#'!$A:$AL,6,FALSE)</f>
        <v>62</v>
      </c>
      <c r="T236" s="5">
        <f>VLOOKUP($A236,'SegEnds_NonXtal_Prot#'!$A:$AL,9,FALSE)</f>
        <v>66</v>
      </c>
      <c r="U236" s="5">
        <f>VLOOKUP($A236,'SegEnds_NonXtal_Prot#'!$A:$AL,12,FALSE)</f>
        <v>103</v>
      </c>
      <c r="V236" s="5">
        <f>VLOOKUP($A236,'SegEnds_NonXtal_Prot#'!$A:$AL,15,FALSE)</f>
        <v>107</v>
      </c>
      <c r="W236" s="5">
        <f>VLOOKUP($A236,'SegEnds_NonXtal_Prot#'!$A:$AL,18,FALSE)</f>
        <v>142</v>
      </c>
      <c r="X236" s="5">
        <f>VLOOKUP($A236,'SegEnds_NonXtal_Prot#'!$A:$AL,21,FALSE)</f>
        <v>150</v>
      </c>
      <c r="Y236" s="5">
        <f>VLOOKUP($A236,'SegEnds_NonXtal_Prot#'!$A:$AL,24,FALSE)</f>
        <v>188</v>
      </c>
      <c r="Z236" s="5">
        <f>VLOOKUP($A236,'SegEnds_NonXtal_Prot#'!$A:$AL,27,FALSE)</f>
        <v>198</v>
      </c>
      <c r="AA236" s="5">
        <f>VLOOKUP($A236,'SegEnds_NonXtal_Prot#'!$A:$AL,30,FALSE)</f>
        <v>286</v>
      </c>
      <c r="AB236" s="5">
        <f>VLOOKUP($A236,'SegEnds_NonXtal_Prot#'!$A:$AL,33,FALSE)</f>
        <v>329</v>
      </c>
      <c r="AC236" s="5">
        <f>VLOOKUP($A236,'SegEnds_NonXtal_Prot#'!$A:$AL,36,FALSE)</f>
        <v>352</v>
      </c>
      <c r="AD236" s="5">
        <f>VLOOKUP($A236,'SegEnds_NonXtal_Prot#'!$A:$AL,5,FALSE)</f>
        <v>61</v>
      </c>
      <c r="AE236" s="5">
        <f>VLOOKUP($A236,'SegEnds_NonXtal_Prot#'!$A:$AL,8,FALSE)</f>
        <v>65</v>
      </c>
      <c r="AF236" s="5">
        <f>VLOOKUP($A236,'SegEnds_NonXtal_Prot#'!$A:$AL,11,FALSE)</f>
        <v>100</v>
      </c>
      <c r="AG236" s="5">
        <f>VLOOKUP($A236,'SegEnds_NonXtal_Prot#'!$A:$AL,14,FALSE)</f>
        <v>106</v>
      </c>
      <c r="AH236" s="5">
        <f>VLOOKUP($A236,'SegEnds_NonXtal_Prot#'!$A:$AL,17,FALSE)</f>
        <v>141</v>
      </c>
      <c r="AI236" s="5">
        <f>VLOOKUP($A236,'SegEnds_NonXtal_Prot#'!$A:$AL,20,FALSE)</f>
        <v>149</v>
      </c>
      <c r="AJ236" s="5">
        <f>VLOOKUP($A236,'SegEnds_NonXtal_Prot#'!$A:$AL,23,FALSE)</f>
        <v>175</v>
      </c>
      <c r="AK236" s="5">
        <f>VLOOKUP($A236,'SegEnds_NonXtal_Prot#'!$A:$AL,26,FALSE)</f>
        <v>190</v>
      </c>
      <c r="AL236" s="5">
        <f>VLOOKUP($A236,'SegEnds_NonXtal_Prot#'!$A:$AL,29,FALSE)</f>
        <v>240</v>
      </c>
      <c r="AM236" s="5">
        <f>VLOOKUP($A236,'SegEnds_NonXtal_Prot#'!$A:$AL,32,FALSE)</f>
        <v>323</v>
      </c>
      <c r="AN236" s="5">
        <f>VLOOKUP($A236,'SegEnds_NonXtal_Prot#'!$A:$AL,35,FALSE)</f>
        <v>351</v>
      </c>
      <c r="AO236" s="5">
        <f>VLOOKUP($A236,'SegEnds_NonXtal_Prot#'!$A:$AL,38,FALSE)</f>
        <v>374</v>
      </c>
      <c r="AP236" s="5">
        <f t="shared" si="88"/>
        <v>25</v>
      </c>
      <c r="AQ236" s="4">
        <f t="shared" si="89"/>
        <v>3</v>
      </c>
      <c r="AR236" s="4">
        <f t="shared" si="90"/>
        <v>34</v>
      </c>
      <c r="AS236" s="4">
        <f t="shared" si="91"/>
        <v>3</v>
      </c>
      <c r="AT236" s="4">
        <f t="shared" si="92"/>
        <v>34</v>
      </c>
      <c r="AU236" s="4">
        <f t="shared" si="93"/>
        <v>7</v>
      </c>
      <c r="AV236" s="4">
        <f t="shared" si="94"/>
        <v>25</v>
      </c>
      <c r="AW236" s="4">
        <f t="shared" si="95"/>
        <v>2</v>
      </c>
      <c r="AX236" s="4">
        <f t="shared" si="96"/>
        <v>42</v>
      </c>
      <c r="AY236" s="4">
        <f t="shared" si="97"/>
        <v>37</v>
      </c>
      <c r="AZ236" s="4">
        <f t="shared" si="98"/>
        <v>22</v>
      </c>
      <c r="BA236" s="4">
        <f t="shared" si="99"/>
        <v>22</v>
      </c>
    </row>
    <row r="237" spans="1:53" x14ac:dyDescent="0.2">
      <c r="A237" s="1" t="str">
        <f>'SegEnds_NonXtal_Prot#'!A224</f>
        <v>pe2r2_human</v>
      </c>
      <c r="B237" s="1" t="str">
        <f t="shared" si="75"/>
        <v>GESPAISSVMFSAGVLGNLIALALLARRSSLSLFHVLVTELVFTDLLGTCLISPVVLASYARLAPESRACTYFAFAMTFFSLATMLMLFAMALERYLSIGHSRSGGLAVLPVIYAVSLLFCSLPLLDTAYLQLYATLLLLLIVSVLACNFSVILNLIRMHRRSRRSRCGRVSMAEETDHLILLAIMTITFAVCSLPFTIFAYMNETSKWDLQALRFLSINSIIDPWVFAILRPPVLRLMRSVLCC</v>
      </c>
      <c r="C237" s="29" t="str">
        <f>IF(ISERROR(MATCH(A237,'SegEnds_Xtal_Prot#'!B:B, 0)), "NoXtal", "Xtal")</f>
        <v>NoXtal</v>
      </c>
      <c r="D237" s="4" t="str">
        <f>VLOOKUP(A237,Classification!A:D,2,FALSE)</f>
        <v>A</v>
      </c>
      <c r="E237" s="5" t="str">
        <f>VLOOKUP(A237,Seqs!A:B,2,FALSE)</f>
        <v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v>
      </c>
      <c r="F237" s="5" t="str">
        <f t="shared" si="76"/>
        <v>GESPAISSVMFSAGVLGNLIALALLA</v>
      </c>
      <c r="G237" s="4" t="str">
        <f t="shared" si="77"/>
        <v>CSAG</v>
      </c>
      <c r="H237" s="4" t="str">
        <f t="shared" si="78"/>
        <v>RRSSLSLFHVLVTELVFTDLLGTCLISPVVLASYAR</v>
      </c>
      <c r="I237" s="4" t="str">
        <f t="shared" si="79"/>
        <v/>
      </c>
      <c r="J237" s="4" t="str">
        <f t="shared" si="80"/>
        <v>LAPESRACTYFAFAMTFFSLATMLMLFAMALERYLSIGH</v>
      </c>
      <c r="K237" s="4" t="str">
        <f t="shared" si="81"/>
        <v>PYFYQRRV</v>
      </c>
      <c r="L237" s="4" t="str">
        <f t="shared" si="82"/>
        <v>SRSGGLAVLPVIYAVSLLFCSLPLLD</v>
      </c>
      <c r="M237" s="4" t="str">
        <f t="shared" si="83"/>
        <v>CFI</v>
      </c>
      <c r="N237" s="4" t="str">
        <f t="shared" si="84"/>
        <v>TAYLQLYATLLLLLIVSVLACNFSVILNLIRMHRRSRRSRCG</v>
      </c>
      <c r="O237" s="4" t="str">
        <f t="shared" si="85"/>
        <v>RVSMAEETDHLILLAIMTITFAVCSLPFTIFAYMNETS</v>
      </c>
      <c r="P237" s="4" t="str">
        <f t="shared" si="86"/>
        <v>KWDLQALRFLSINSIIDPWVFAIL</v>
      </c>
      <c r="Q237" s="4" t="str">
        <f t="shared" si="87"/>
        <v>RPPVLRLMRSVLCC</v>
      </c>
      <c r="R237" s="5">
        <f>VLOOKUP($A237,'SegEnds_NonXtal_Prot#'!$A:$AL,3,FALSE)</f>
        <v>22</v>
      </c>
      <c r="S237" s="5">
        <f>VLOOKUP($A237,'SegEnds_NonXtal_Prot#'!$A:$AL,6,FALSE)</f>
        <v>56</v>
      </c>
      <c r="T237" s="5">
        <f>VLOOKUP($A237,'SegEnds_NonXtal_Prot#'!$A:$AL,9,FALSE)</f>
        <v>60</v>
      </c>
      <c r="U237" s="5" t="str">
        <f>VLOOKUP($A237,'SegEnds_NonXtal_Prot#'!$A:$AL,12,FALSE)</f>
        <v>-</v>
      </c>
      <c r="V237" s="5">
        <f>VLOOKUP($A237,'SegEnds_NonXtal_Prot#'!$A:$AL,15,FALSE)</f>
        <v>102</v>
      </c>
      <c r="W237" s="5">
        <f>VLOOKUP($A237,'SegEnds_NonXtal_Prot#'!$A:$AL,18,FALSE)</f>
        <v>141</v>
      </c>
      <c r="X237" s="5">
        <f>VLOOKUP($A237,'SegEnds_NonXtal_Prot#'!$A:$AL,21,FALSE)</f>
        <v>149</v>
      </c>
      <c r="Y237" s="5">
        <f>VLOOKUP($A237,'SegEnds_NonXtal_Prot#'!$A:$AL,24,FALSE)</f>
        <v>187</v>
      </c>
      <c r="Z237" s="5">
        <f>VLOOKUP($A237,'SegEnds_NonXtal_Prot#'!$A:$AL,27,FALSE)</f>
        <v>194</v>
      </c>
      <c r="AA237" s="5">
        <f>VLOOKUP($A237,'SegEnds_NonXtal_Prot#'!$A:$AL,30,FALSE)</f>
        <v>253</v>
      </c>
      <c r="AB237" s="5">
        <f>VLOOKUP($A237,'SegEnds_NonXtal_Prot#'!$A:$AL,33,FALSE)</f>
        <v>295</v>
      </c>
      <c r="AC237" s="5">
        <f>VLOOKUP($A237,'SegEnds_NonXtal_Prot#'!$A:$AL,36,FALSE)</f>
        <v>319</v>
      </c>
      <c r="AD237" s="5">
        <f>VLOOKUP($A237,'SegEnds_NonXtal_Prot#'!$A:$AL,5,FALSE)</f>
        <v>47</v>
      </c>
      <c r="AE237" s="5">
        <f>VLOOKUP($A237,'SegEnds_NonXtal_Prot#'!$A:$AL,8,FALSE)</f>
        <v>59</v>
      </c>
      <c r="AF237" s="5">
        <f>VLOOKUP($A237,'SegEnds_NonXtal_Prot#'!$A:$AL,11,FALSE)</f>
        <v>95</v>
      </c>
      <c r="AG237" s="5" t="str">
        <f>VLOOKUP($A237,'SegEnds_NonXtal_Prot#'!$A:$AL,14,FALSE)</f>
        <v>-</v>
      </c>
      <c r="AH237" s="5">
        <f>VLOOKUP($A237,'SegEnds_NonXtal_Prot#'!$A:$AL,17,FALSE)</f>
        <v>140</v>
      </c>
      <c r="AI237" s="5">
        <f>VLOOKUP($A237,'SegEnds_NonXtal_Prot#'!$A:$AL,20,FALSE)</f>
        <v>148</v>
      </c>
      <c r="AJ237" s="5">
        <f>VLOOKUP($A237,'SegEnds_NonXtal_Prot#'!$A:$AL,23,FALSE)</f>
        <v>174</v>
      </c>
      <c r="AK237" s="5">
        <f>VLOOKUP($A237,'SegEnds_NonXtal_Prot#'!$A:$AL,26,FALSE)</f>
        <v>189</v>
      </c>
      <c r="AL237" s="5">
        <f>VLOOKUP($A237,'SegEnds_NonXtal_Prot#'!$A:$AL,29,FALSE)</f>
        <v>235</v>
      </c>
      <c r="AM237" s="5">
        <f>VLOOKUP($A237,'SegEnds_NonXtal_Prot#'!$A:$AL,32,FALSE)</f>
        <v>290</v>
      </c>
      <c r="AN237" s="5">
        <f>VLOOKUP($A237,'SegEnds_NonXtal_Prot#'!$A:$AL,35,FALSE)</f>
        <v>318</v>
      </c>
      <c r="AO237" s="5">
        <f>VLOOKUP($A237,'SegEnds_NonXtal_Prot#'!$A:$AL,38,FALSE)</f>
        <v>332</v>
      </c>
      <c r="AP237" s="5">
        <f t="shared" si="88"/>
        <v>25</v>
      </c>
      <c r="AQ237" s="4">
        <f t="shared" si="89"/>
        <v>3</v>
      </c>
      <c r="AR237" s="4">
        <f t="shared" si="90"/>
        <v>35</v>
      </c>
      <c r="AS237" s="4" t="str">
        <f t="shared" si="91"/>
        <v>-</v>
      </c>
      <c r="AT237" s="4">
        <f t="shared" si="92"/>
        <v>38</v>
      </c>
      <c r="AU237" s="4">
        <f t="shared" si="93"/>
        <v>7</v>
      </c>
      <c r="AV237" s="4">
        <f t="shared" si="94"/>
        <v>25</v>
      </c>
      <c r="AW237" s="4">
        <f t="shared" si="95"/>
        <v>2</v>
      </c>
      <c r="AX237" s="4">
        <f t="shared" si="96"/>
        <v>41</v>
      </c>
      <c r="AY237" s="4">
        <f t="shared" si="97"/>
        <v>37</v>
      </c>
      <c r="AZ237" s="4">
        <f t="shared" si="98"/>
        <v>23</v>
      </c>
      <c r="BA237" s="4">
        <f t="shared" si="99"/>
        <v>13</v>
      </c>
    </row>
    <row r="238" spans="1:53" x14ac:dyDescent="0.2">
      <c r="A238" s="1" t="str">
        <f>'SegEnds_NonXtal_Prot#'!A225</f>
        <v>pe2r3_human</v>
      </c>
      <c r="B238" s="1" t="str">
        <f t="shared" si="75"/>
        <v>VAFPITMLLTGFVGNALAMLLVSRSYRKSFLLCIGWLALTDLVGQLLTTPVVIVVYLSKIDPSGRLCTFFGLTMTVFGLSSLFIASAMAVERALAIRAKTRATRAVLLGVWLAVLAFALLPVLGWGNLFFASAFAFLGLLALTVTFSCNLATIKALVSRCRAKATAQWGRITTETAIQLMGIMCVLSVCWSPLLIMMLKMIFNQTSTHTEKQKECNFFLIAVRLASLNQILDPWVYLLLRKILLRKFCQIRYHTNNYAS</v>
      </c>
      <c r="C238" s="29" t="str">
        <f>IF(ISERROR(MATCH(A238,'SegEnds_Xtal_Prot#'!B:B, 0)), "NoXtal", "Xtal")</f>
        <v>Xtal</v>
      </c>
      <c r="D238" s="4" t="str">
        <f>VLOOKUP(A238,Classification!A:D,2,FALSE)</f>
        <v>A</v>
      </c>
      <c r="E238" s="5" t="str">
        <f>VLOOKUP(A238,Seqs!A:B,2,FALSE)</f>
        <v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v>
      </c>
      <c r="F238" s="5" t="str">
        <f t="shared" si="76"/>
        <v>VAFPITMLLTGFVGNALAMLLVSRSYR</v>
      </c>
      <c r="G238" s="4" t="str">
        <f t="shared" si="77"/>
        <v/>
      </c>
      <c r="H238" s="4" t="str">
        <f t="shared" si="78"/>
        <v>KSFLLCIGWLALTDLVGQLLTTPVVIVVYLSK</v>
      </c>
      <c r="I238" s="4" t="str">
        <f t="shared" si="79"/>
        <v>RWEH</v>
      </c>
      <c r="J238" s="4" t="str">
        <f t="shared" si="80"/>
        <v>IDPSGRLCTFFGLTMTVFGLSSLFIASAMAVERALAIRA</v>
      </c>
      <c r="K238" s="4" t="str">
        <f t="shared" si="81"/>
        <v>PHWYASHM</v>
      </c>
      <c r="L238" s="4" t="str">
        <f t="shared" si="82"/>
        <v>KTRATRAVLLGVWLAVLAFALLPVLG</v>
      </c>
      <c r="M238" s="4" t="str">
        <f t="shared" si="83"/>
        <v>CFI</v>
      </c>
      <c r="N238" s="4" t="str">
        <f t="shared" si="84"/>
        <v>WGNLFFASAFAFLGLLALTVTFSCNLATIKALVSRCRAKAT</v>
      </c>
      <c r="O238" s="4" t="str">
        <f t="shared" si="85"/>
        <v>AQWGRITTETAIQLMGIMCVLSVCWSPLLIMMLKMIFNQTS</v>
      </c>
      <c r="P238" s="4" t="str">
        <f t="shared" si="86"/>
        <v>THTEKQKECNFFLIAVRLASLNQILDPWVY</v>
      </c>
      <c r="Q238" s="4" t="str">
        <f t="shared" si="87"/>
        <v>LLLRKILLRKFCQIRYHTNNYAS</v>
      </c>
      <c r="R238" s="5">
        <f>VLOOKUP($A238,'SegEnds_NonXtal_Prot#'!$A:$AL,3,FALSE)</f>
        <v>52</v>
      </c>
      <c r="S238" s="5" t="str">
        <f>VLOOKUP($A238,'SegEnds_NonXtal_Prot#'!$A:$AL,6,FALSE)</f>
        <v>-</v>
      </c>
      <c r="T238" s="5">
        <f>VLOOKUP($A238,'SegEnds_NonXtal_Prot#'!$A:$AL,9,FALSE)</f>
        <v>86</v>
      </c>
      <c r="U238" s="5">
        <f>VLOOKUP($A238,'SegEnds_NonXtal_Prot#'!$A:$AL,12,FALSE)</f>
        <v>119</v>
      </c>
      <c r="V238" s="5">
        <f>VLOOKUP($A238,'SegEnds_NonXtal_Prot#'!$A:$AL,15,FALSE)</f>
        <v>123</v>
      </c>
      <c r="W238" s="5">
        <f>VLOOKUP($A238,'SegEnds_NonXtal_Prot#'!$A:$AL,18,FALSE)</f>
        <v>162</v>
      </c>
      <c r="X238" s="5">
        <f>VLOOKUP($A238,'SegEnds_NonXtal_Prot#'!$A:$AL,21,FALSE)</f>
        <v>170</v>
      </c>
      <c r="Y238" s="5">
        <f>VLOOKUP($A238,'SegEnds_NonXtal_Prot#'!$A:$AL,24,FALSE)</f>
        <v>208</v>
      </c>
      <c r="Z238" s="5">
        <f>VLOOKUP($A238,'SegEnds_NonXtal_Prot#'!$A:$AL,27,FALSE)</f>
        <v>225</v>
      </c>
      <c r="AA238" s="5">
        <f>VLOOKUP($A238,'SegEnds_NonXtal_Prot#'!$A:$AL,30,FALSE)</f>
        <v>271</v>
      </c>
      <c r="AB238" s="5">
        <f>VLOOKUP($A238,'SegEnds_NonXtal_Prot#'!$A:$AL,33,FALSE)</f>
        <v>317</v>
      </c>
      <c r="AC238" s="5">
        <f>VLOOKUP($A238,'SegEnds_NonXtal_Prot#'!$A:$AL,36,FALSE)</f>
        <v>347</v>
      </c>
      <c r="AD238" s="5">
        <f>VLOOKUP($A238,'SegEnds_NonXtal_Prot#'!$A:$AL,5,FALSE)</f>
        <v>78</v>
      </c>
      <c r="AE238" s="5" t="str">
        <f>VLOOKUP($A238,'SegEnds_NonXtal_Prot#'!$A:$AL,8,FALSE)</f>
        <v>-</v>
      </c>
      <c r="AF238" s="5">
        <f>VLOOKUP($A238,'SegEnds_NonXtal_Prot#'!$A:$AL,11,FALSE)</f>
        <v>117</v>
      </c>
      <c r="AG238" s="5">
        <f>VLOOKUP($A238,'SegEnds_NonXtal_Prot#'!$A:$AL,14,FALSE)</f>
        <v>122</v>
      </c>
      <c r="AH238" s="5">
        <f>VLOOKUP($A238,'SegEnds_NonXtal_Prot#'!$A:$AL,17,FALSE)</f>
        <v>161</v>
      </c>
      <c r="AI238" s="5">
        <f>VLOOKUP($A238,'SegEnds_NonXtal_Prot#'!$A:$AL,20,FALSE)</f>
        <v>169</v>
      </c>
      <c r="AJ238" s="5">
        <f>VLOOKUP($A238,'SegEnds_NonXtal_Prot#'!$A:$AL,23,FALSE)</f>
        <v>195</v>
      </c>
      <c r="AK238" s="5">
        <f>VLOOKUP($A238,'SegEnds_NonXtal_Prot#'!$A:$AL,26,FALSE)</f>
        <v>210</v>
      </c>
      <c r="AL238" s="5">
        <f>VLOOKUP($A238,'SegEnds_NonXtal_Prot#'!$A:$AL,29,FALSE)</f>
        <v>265</v>
      </c>
      <c r="AM238" s="5">
        <f>VLOOKUP($A238,'SegEnds_NonXtal_Prot#'!$A:$AL,32,FALSE)</f>
        <v>311</v>
      </c>
      <c r="AN238" s="5">
        <f>VLOOKUP($A238,'SegEnds_NonXtal_Prot#'!$A:$AL,35,FALSE)</f>
        <v>346</v>
      </c>
      <c r="AO238" s="5">
        <f>VLOOKUP($A238,'SegEnds_NonXtal_Prot#'!$A:$AL,38,FALSE)</f>
        <v>369</v>
      </c>
      <c r="AP238" s="5">
        <f t="shared" si="88"/>
        <v>26</v>
      </c>
      <c r="AQ238" s="4" t="str">
        <f t="shared" si="89"/>
        <v>-</v>
      </c>
      <c r="AR238" s="4">
        <f t="shared" si="90"/>
        <v>31</v>
      </c>
      <c r="AS238" s="4">
        <f t="shared" si="91"/>
        <v>3</v>
      </c>
      <c r="AT238" s="4">
        <f t="shared" si="92"/>
        <v>38</v>
      </c>
      <c r="AU238" s="4">
        <f t="shared" si="93"/>
        <v>7</v>
      </c>
      <c r="AV238" s="4">
        <f t="shared" si="94"/>
        <v>25</v>
      </c>
      <c r="AW238" s="4">
        <f t="shared" si="95"/>
        <v>2</v>
      </c>
      <c r="AX238" s="4">
        <f t="shared" si="96"/>
        <v>40</v>
      </c>
      <c r="AY238" s="4">
        <f t="shared" si="97"/>
        <v>40</v>
      </c>
      <c r="AZ238" s="4">
        <f t="shared" si="98"/>
        <v>29</v>
      </c>
      <c r="BA238" s="4">
        <f t="shared" si="99"/>
        <v>22</v>
      </c>
    </row>
    <row r="239" spans="1:53" x14ac:dyDescent="0.2">
      <c r="A239" s="1" t="str">
        <f>'SegEnds_NonXtal_Prot#'!A226</f>
        <v>pe2r4_human</v>
      </c>
      <c r="B239" s="1" t="str">
        <f t="shared" si="75"/>
        <v>NSPVTIPAVMFIFGVVGNLVAIVVLCTTFYTLVCGLAVTDLLGTLLVSPVTIATYMKGQPLCEYSTFILLFFSLSGLSIICAMSVERYLAINHDKRLAGLTLFAVYASNVLFCALPNMGVTAHAAYSYMYAGFSSFLILATVLCNVLVCGALLRMHRQFMRRTSLRRIAGAEIQMVILLIATSLVVLICSIPLVVRVFVNQLYREVSKNPDLQAIRIASVNPILDPWIYILLRKTVLSKAIEKIKC</v>
      </c>
      <c r="C239" s="29" t="str">
        <f>IF(ISERROR(MATCH(A239,'SegEnds_Xtal_Prot#'!B:B, 0)), "NoXtal", "Xtal")</f>
        <v>Xtal</v>
      </c>
      <c r="D239" s="4" t="str">
        <f>VLOOKUP(A239,Classification!A:D,2,FALSE)</f>
        <v>A</v>
      </c>
      <c r="E239" s="5" t="str">
        <f>VLOOKUP(A239,Seqs!A:B,2,FALSE)</f>
        <v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v>
      </c>
      <c r="F239" s="5" t="str">
        <f t="shared" si="76"/>
        <v>NSPVTIPAVMFIFGVVGNLVAIVVLC</v>
      </c>
      <c r="G239" s="4" t="str">
        <f t="shared" si="77"/>
        <v/>
      </c>
      <c r="H239" s="4" t="str">
        <f t="shared" si="78"/>
        <v>TTFYTLVCGLAVTDLLGTLLVSPVTIATYMK</v>
      </c>
      <c r="I239" s="4" t="str">
        <f t="shared" si="79"/>
        <v/>
      </c>
      <c r="J239" s="4" t="str">
        <f t="shared" si="80"/>
        <v>GQPLCEYSTFILLFFSLSGLSIICAMSVERYLAINH</v>
      </c>
      <c r="K239" s="4" t="str">
        <f t="shared" si="81"/>
        <v>AYFYSHYV</v>
      </c>
      <c r="L239" s="4" t="str">
        <f t="shared" si="82"/>
        <v>DKRLAGLTLFAVYASNVLFCALPNMG</v>
      </c>
      <c r="M239" s="4" t="str">
        <f t="shared" si="83"/>
        <v>CFI</v>
      </c>
      <c r="N239" s="4" t="str">
        <f t="shared" si="84"/>
        <v>VTAHAAYSYMYAGFSSFLILATVLCNVLVCGALLRMHRQFMRRTSL</v>
      </c>
      <c r="O239" s="4" t="str">
        <f t="shared" si="85"/>
        <v>RRIAGAEIQMVILLIATSLVVLICSIPLVVRVFVNQLY</v>
      </c>
      <c r="P239" s="4" t="str">
        <f t="shared" si="86"/>
        <v>REVSKNPDLQAIRIASVNPILDPWIYILL</v>
      </c>
      <c r="Q239" s="4" t="str">
        <f t="shared" si="87"/>
        <v>RKTVLSKAIEKIKC</v>
      </c>
      <c r="R239" s="5">
        <f>VLOOKUP($A239,'SegEnds_NonXtal_Prot#'!$A:$AL,3,FALSE)</f>
        <v>18</v>
      </c>
      <c r="S239" s="5" t="str">
        <f>VLOOKUP($A239,'SegEnds_NonXtal_Prot#'!$A:$AL,6,FALSE)</f>
        <v>-</v>
      </c>
      <c r="T239" s="5">
        <f>VLOOKUP($A239,'SegEnds_NonXtal_Prot#'!$A:$AL,9,FALSE)</f>
        <v>52</v>
      </c>
      <c r="U239" s="5" t="str">
        <f>VLOOKUP($A239,'SegEnds_NonXtal_Prot#'!$A:$AL,12,FALSE)</f>
        <v>-</v>
      </c>
      <c r="V239" s="5">
        <f>VLOOKUP($A239,'SegEnds_NonXtal_Prot#'!$A:$AL,15,FALSE)</f>
        <v>88</v>
      </c>
      <c r="W239" s="5">
        <f>VLOOKUP($A239,'SegEnds_NonXtal_Prot#'!$A:$AL,18,FALSE)</f>
        <v>124</v>
      </c>
      <c r="X239" s="5">
        <f>VLOOKUP($A239,'SegEnds_NonXtal_Prot#'!$A:$AL,21,FALSE)</f>
        <v>132</v>
      </c>
      <c r="Y239" s="5">
        <f>VLOOKUP($A239,'SegEnds_NonXtal_Prot#'!$A:$AL,24,FALSE)</f>
        <v>170</v>
      </c>
      <c r="Z239" s="5">
        <f>VLOOKUP($A239,'SegEnds_NonXtal_Prot#'!$A:$AL,27,FALSE)</f>
        <v>178</v>
      </c>
      <c r="AA239" s="5">
        <f>VLOOKUP($A239,'SegEnds_NonXtal_Prot#'!$A:$AL,30,FALSE)</f>
        <v>261</v>
      </c>
      <c r="AB239" s="5">
        <f>VLOOKUP($A239,'SegEnds_NonXtal_Prot#'!$A:$AL,33,FALSE)</f>
        <v>304</v>
      </c>
      <c r="AC239" s="5">
        <f>VLOOKUP($A239,'SegEnds_NonXtal_Prot#'!$A:$AL,36,FALSE)</f>
        <v>333</v>
      </c>
      <c r="AD239" s="5">
        <f>VLOOKUP($A239,'SegEnds_NonXtal_Prot#'!$A:$AL,5,FALSE)</f>
        <v>43</v>
      </c>
      <c r="AE239" s="5" t="str">
        <f>VLOOKUP($A239,'SegEnds_NonXtal_Prot#'!$A:$AL,8,FALSE)</f>
        <v>-</v>
      </c>
      <c r="AF239" s="5">
        <f>VLOOKUP($A239,'SegEnds_NonXtal_Prot#'!$A:$AL,11,FALSE)</f>
        <v>82</v>
      </c>
      <c r="AG239" s="5" t="str">
        <f>VLOOKUP($A239,'SegEnds_NonXtal_Prot#'!$A:$AL,14,FALSE)</f>
        <v>-</v>
      </c>
      <c r="AH239" s="5">
        <f>VLOOKUP($A239,'SegEnds_NonXtal_Prot#'!$A:$AL,17,FALSE)</f>
        <v>123</v>
      </c>
      <c r="AI239" s="5">
        <f>VLOOKUP($A239,'SegEnds_NonXtal_Prot#'!$A:$AL,20,FALSE)</f>
        <v>131</v>
      </c>
      <c r="AJ239" s="5">
        <f>VLOOKUP($A239,'SegEnds_NonXtal_Prot#'!$A:$AL,23,FALSE)</f>
        <v>157</v>
      </c>
      <c r="AK239" s="5">
        <f>VLOOKUP($A239,'SegEnds_NonXtal_Prot#'!$A:$AL,26,FALSE)</f>
        <v>172</v>
      </c>
      <c r="AL239" s="5">
        <f>VLOOKUP($A239,'SegEnds_NonXtal_Prot#'!$A:$AL,29,FALSE)</f>
        <v>223</v>
      </c>
      <c r="AM239" s="5">
        <f>VLOOKUP($A239,'SegEnds_NonXtal_Prot#'!$A:$AL,32,FALSE)</f>
        <v>298</v>
      </c>
      <c r="AN239" s="5">
        <f>VLOOKUP($A239,'SegEnds_NonXtal_Prot#'!$A:$AL,35,FALSE)</f>
        <v>332</v>
      </c>
      <c r="AO239" s="5">
        <f>VLOOKUP($A239,'SegEnds_NonXtal_Prot#'!$A:$AL,38,FALSE)</f>
        <v>346</v>
      </c>
      <c r="AP239" s="5">
        <f t="shared" si="88"/>
        <v>25</v>
      </c>
      <c r="AQ239" s="4" t="str">
        <f t="shared" si="89"/>
        <v>-</v>
      </c>
      <c r="AR239" s="4">
        <f t="shared" si="90"/>
        <v>30</v>
      </c>
      <c r="AS239" s="4" t="str">
        <f t="shared" si="91"/>
        <v>-</v>
      </c>
      <c r="AT239" s="4">
        <f t="shared" si="92"/>
        <v>35</v>
      </c>
      <c r="AU239" s="4">
        <f t="shared" si="93"/>
        <v>7</v>
      </c>
      <c r="AV239" s="4">
        <f t="shared" si="94"/>
        <v>25</v>
      </c>
      <c r="AW239" s="4">
        <f t="shared" si="95"/>
        <v>2</v>
      </c>
      <c r="AX239" s="4">
        <f t="shared" si="96"/>
        <v>45</v>
      </c>
      <c r="AY239" s="4">
        <f t="shared" si="97"/>
        <v>37</v>
      </c>
      <c r="AZ239" s="4">
        <f t="shared" si="98"/>
        <v>28</v>
      </c>
      <c r="BA239" s="4">
        <f t="shared" si="99"/>
        <v>13</v>
      </c>
    </row>
    <row r="240" spans="1:53" x14ac:dyDescent="0.2">
      <c r="A240" s="1" t="str">
        <f>'SegEnds_NonXtal_Prot#'!A227</f>
        <v>pf2r_human</v>
      </c>
      <c r="B240" s="1" t="str">
        <f t="shared" si="75"/>
        <v>VFFSVIFMTVGILSNSLAIAILMKAYQKSKASFLLLASGLVITDFFGHLINGAIAVFVYASDFDQSNVLCSIFGICMVFSGLCPLLLGSVMAIERCIGVTKTSKHVKMMLSGVCLFAVFIALLPILGRFYLLLFSFLGLLALGVSLLCNAITGITLLRVKFKSQQHHLEMVIQLLAIMCVSCICWSPFLVTMANIGINTCETTLFALRMATWNQILDPWVYILLRKAVLKNLYKLASQCCGVHV</v>
      </c>
      <c r="C240" s="29" t="str">
        <f>IF(ISERROR(MATCH(A240,'SegEnds_Xtal_Prot#'!B:B, 0)), "NoXtal", "Xtal")</f>
        <v>NoXtal</v>
      </c>
      <c r="D240" s="4" t="str">
        <f>VLOOKUP(A240,Classification!A:D,2,FALSE)</f>
        <v>A</v>
      </c>
      <c r="E240" s="5" t="str">
        <f>VLOOKUP(A240,Seqs!A:B,2,FALSE)</f>
        <v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v>
      </c>
      <c r="F240" s="5" t="str">
        <f t="shared" si="76"/>
        <v>VFFSVIFMTVGILSNSLAIAILMKAY</v>
      </c>
      <c r="G240" s="4" t="str">
        <f t="shared" si="77"/>
        <v>QRFR</v>
      </c>
      <c r="H240" s="4" t="str">
        <f t="shared" si="78"/>
        <v>QKSKASFLLLASGLVITDFFGHLINGAIAVFVYASD</v>
      </c>
      <c r="I240" s="4" t="str">
        <f t="shared" si="79"/>
        <v>EWIR</v>
      </c>
      <c r="J240" s="4" t="str">
        <f t="shared" si="80"/>
        <v>FDQSNVLCSIFGICMVFSGLCPLLLGSVMAIERCIGVTK</v>
      </c>
      <c r="K240" s="4" t="str">
        <f t="shared" si="81"/>
        <v>PIFHSTKI</v>
      </c>
      <c r="L240" s="4" t="str">
        <f t="shared" si="82"/>
        <v>TSKHVKMMLSGVCLFAVFIALLPILG</v>
      </c>
      <c r="M240" s="4" t="str">
        <f t="shared" si="83"/>
        <v>CFY</v>
      </c>
      <c r="N240" s="4" t="str">
        <f t="shared" si="84"/>
        <v>RFYLLLFSFLGLLALGVSLLCNAITGITLLRVKFKSQQ</v>
      </c>
      <c r="O240" s="4" t="str">
        <f t="shared" si="85"/>
        <v>HHLEMVIQLLAIMCVSCICWSPFLVTMANIGIN</v>
      </c>
      <c r="P240" s="4" t="str">
        <f t="shared" si="86"/>
        <v>TCETTLFALRMATWNQILDPWVYILL</v>
      </c>
      <c r="Q240" s="4" t="str">
        <f t="shared" si="87"/>
        <v>RKAVLKNLYKLASQCCGVHV</v>
      </c>
      <c r="R240" s="5">
        <f>VLOOKUP($A240,'SegEnds_NonXtal_Prot#'!$A:$AL,3,FALSE)</f>
        <v>30</v>
      </c>
      <c r="S240" s="5">
        <f>VLOOKUP($A240,'SegEnds_NonXtal_Prot#'!$A:$AL,6,FALSE)</f>
        <v>56</v>
      </c>
      <c r="T240" s="5">
        <f>VLOOKUP($A240,'SegEnds_NonXtal_Prot#'!$A:$AL,9,FALSE)</f>
        <v>60</v>
      </c>
      <c r="U240" s="5">
        <f>VLOOKUP($A240,'SegEnds_NonXtal_Prot#'!$A:$AL,12,FALSE)</f>
        <v>97</v>
      </c>
      <c r="V240" s="5">
        <f>VLOOKUP($A240,'SegEnds_NonXtal_Prot#'!$A:$AL,15,FALSE)</f>
        <v>101</v>
      </c>
      <c r="W240" s="5">
        <f>VLOOKUP($A240,'SegEnds_NonXtal_Prot#'!$A:$AL,18,FALSE)</f>
        <v>140</v>
      </c>
      <c r="X240" s="5">
        <f>VLOOKUP($A240,'SegEnds_NonXtal_Prot#'!$A:$AL,21,FALSE)</f>
        <v>148</v>
      </c>
      <c r="Y240" s="5">
        <f>VLOOKUP($A240,'SegEnds_NonXtal_Prot#'!$A:$AL,24,FALSE)</f>
        <v>186</v>
      </c>
      <c r="Z240" s="5">
        <f>VLOOKUP($A240,'SegEnds_NonXtal_Prot#'!$A:$AL,27,FALSE)</f>
        <v>199</v>
      </c>
      <c r="AA240" s="5">
        <f>VLOOKUP($A240,'SegEnds_NonXtal_Prot#'!$A:$AL,30,FALSE)</f>
        <v>243</v>
      </c>
      <c r="AB240" s="5">
        <f>VLOOKUP($A240,'SegEnds_NonXtal_Prot#'!$A:$AL,33,FALSE)</f>
        <v>282</v>
      </c>
      <c r="AC240" s="5">
        <f>VLOOKUP($A240,'SegEnds_NonXtal_Prot#'!$A:$AL,36,FALSE)</f>
        <v>308</v>
      </c>
      <c r="AD240" s="5">
        <f>VLOOKUP($A240,'SegEnds_NonXtal_Prot#'!$A:$AL,5,FALSE)</f>
        <v>55</v>
      </c>
      <c r="AE240" s="5">
        <f>VLOOKUP($A240,'SegEnds_NonXtal_Prot#'!$A:$AL,8,FALSE)</f>
        <v>59</v>
      </c>
      <c r="AF240" s="5">
        <f>VLOOKUP($A240,'SegEnds_NonXtal_Prot#'!$A:$AL,11,FALSE)</f>
        <v>95</v>
      </c>
      <c r="AG240" s="5">
        <f>VLOOKUP($A240,'SegEnds_NonXtal_Prot#'!$A:$AL,14,FALSE)</f>
        <v>100</v>
      </c>
      <c r="AH240" s="5">
        <f>VLOOKUP($A240,'SegEnds_NonXtal_Prot#'!$A:$AL,17,FALSE)</f>
        <v>139</v>
      </c>
      <c r="AI240" s="5">
        <f>VLOOKUP($A240,'SegEnds_NonXtal_Prot#'!$A:$AL,20,FALSE)</f>
        <v>147</v>
      </c>
      <c r="AJ240" s="5">
        <f>VLOOKUP($A240,'SegEnds_NonXtal_Prot#'!$A:$AL,23,FALSE)</f>
        <v>173</v>
      </c>
      <c r="AK240" s="5">
        <f>VLOOKUP($A240,'SegEnds_NonXtal_Prot#'!$A:$AL,26,FALSE)</f>
        <v>188</v>
      </c>
      <c r="AL240" s="5">
        <f>VLOOKUP($A240,'SegEnds_NonXtal_Prot#'!$A:$AL,29,FALSE)</f>
        <v>236</v>
      </c>
      <c r="AM240" s="5">
        <f>VLOOKUP($A240,'SegEnds_NonXtal_Prot#'!$A:$AL,32,FALSE)</f>
        <v>275</v>
      </c>
      <c r="AN240" s="5">
        <f>VLOOKUP($A240,'SegEnds_NonXtal_Prot#'!$A:$AL,35,FALSE)</f>
        <v>307</v>
      </c>
      <c r="AO240" s="5">
        <f>VLOOKUP($A240,'SegEnds_NonXtal_Prot#'!$A:$AL,38,FALSE)</f>
        <v>327</v>
      </c>
      <c r="AP240" s="5">
        <f t="shared" si="88"/>
        <v>25</v>
      </c>
      <c r="AQ240" s="4">
        <f t="shared" si="89"/>
        <v>3</v>
      </c>
      <c r="AR240" s="4">
        <f t="shared" si="90"/>
        <v>35</v>
      </c>
      <c r="AS240" s="4">
        <f t="shared" si="91"/>
        <v>3</v>
      </c>
      <c r="AT240" s="4">
        <f t="shared" si="92"/>
        <v>38</v>
      </c>
      <c r="AU240" s="4">
        <f t="shared" si="93"/>
        <v>7</v>
      </c>
      <c r="AV240" s="4">
        <f t="shared" si="94"/>
        <v>25</v>
      </c>
      <c r="AW240" s="4">
        <f t="shared" si="95"/>
        <v>2</v>
      </c>
      <c r="AX240" s="4">
        <f t="shared" si="96"/>
        <v>37</v>
      </c>
      <c r="AY240" s="4">
        <f t="shared" si="97"/>
        <v>32</v>
      </c>
      <c r="AZ240" s="4">
        <f t="shared" si="98"/>
        <v>25</v>
      </c>
      <c r="BA240" s="4">
        <f t="shared" si="99"/>
        <v>19</v>
      </c>
    </row>
    <row r="241" spans="1:53" x14ac:dyDescent="0.2">
      <c r="A241" s="1" t="str">
        <f>'SegEnds_NonXtal_Prot#'!A229</f>
        <v>psyr_human</v>
      </c>
      <c r="B241" s="1" t="str">
        <f t="shared" si="75"/>
        <v>LDHYLFPIVYIFVIIVSIPANIGSLCVSFLQSELGIYLFSLSLSDLLYALTLPLWIDYTWNSPALCKGSAFLMYMNFYSSTAFLTCIAVDRYLAVVYTRRFALMVSLSIWILETIFNAVMLWEDEKWQINLNLFRTCTGYAIPLVTILICNRKVYQAVRHENKEKKRIIKLLVSITVTFVLCFTPFHVMLLIRCILEHAHSNSGKRTYTMYRITVALTSLNCVADPILYCFVTETGRYDMWNILK</v>
      </c>
      <c r="C241" s="29" t="str">
        <f>IF(ISERROR(MATCH(A241,'SegEnds_Xtal_Prot#'!B:B, 0)), "NoXtal", "Xtal")</f>
        <v>NoXtal</v>
      </c>
      <c r="D241" s="4" t="str">
        <f>VLOOKUP(A241,Classification!A:D,2,FALSE)</f>
        <v>A</v>
      </c>
      <c r="E241" s="5" t="str">
        <f>VLOOKUP(A241,Seqs!A:B,2,FALSE)</f>
        <v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v>
      </c>
      <c r="F241" s="5" t="str">
        <f t="shared" si="76"/>
        <v>LDHYLFPIVYIFVIIVSIPANIGSLCVSFLQ</v>
      </c>
      <c r="G241" s="4" t="str">
        <f t="shared" si="77"/>
        <v/>
      </c>
      <c r="H241" s="4" t="str">
        <f t="shared" si="78"/>
        <v>SELGIYLFSLSLSDLLYALTLPLWIDYTWN</v>
      </c>
      <c r="I241" s="4" t="str">
        <f t="shared" si="79"/>
        <v>NWTF</v>
      </c>
      <c r="J241" s="4" t="str">
        <f t="shared" si="80"/>
        <v>SPALCKGSAFLMYMNFYSSTAFLTCIAVDRYLAVVY</v>
      </c>
      <c r="K241" s="4" t="str">
        <f t="shared" si="81"/>
        <v>PLKFFFLR</v>
      </c>
      <c r="L241" s="4" t="str">
        <f t="shared" si="82"/>
        <v>TRRFALMVSLSIWILETIFNAVMLWED</v>
      </c>
      <c r="M241" s="4" t="str">
        <f t="shared" si="83"/>
        <v>CYD</v>
      </c>
      <c r="N241" s="4" t="str">
        <f t="shared" si="84"/>
        <v>EKWQINLNLFRTCTGYAIPLVTILICNRKVYQAVRH</v>
      </c>
      <c r="O241" s="4" t="str">
        <f t="shared" si="85"/>
        <v>ENKEKKRIIKLLVSITVTFVLCFTPFHVMLLIRCILEHA</v>
      </c>
      <c r="P241" s="4" t="str">
        <f t="shared" si="86"/>
        <v>HSNSGKRTYTMYRITVALTSLNCVADPILYCFV</v>
      </c>
      <c r="Q241" s="4" t="str">
        <f t="shared" si="87"/>
        <v>TETGRYDMWNILK</v>
      </c>
      <c r="R241" s="5">
        <f>VLOOKUP($A241,'SegEnds_NonXtal_Prot#'!$A:$AL,3,FALSE)</f>
        <v>12</v>
      </c>
      <c r="S241" s="5" t="str">
        <f>VLOOKUP($A241,'SegEnds_NonXtal_Prot#'!$A:$AL,6,FALSE)</f>
        <v>-</v>
      </c>
      <c r="T241" s="5">
        <f>VLOOKUP($A241,'SegEnds_NonXtal_Prot#'!$A:$AL,9,FALSE)</f>
        <v>47</v>
      </c>
      <c r="U241" s="5">
        <f>VLOOKUP($A241,'SegEnds_NonXtal_Prot#'!$A:$AL,12,FALSE)</f>
        <v>79</v>
      </c>
      <c r="V241" s="5">
        <f>VLOOKUP($A241,'SegEnds_NonXtal_Prot#'!$A:$AL,15,FALSE)</f>
        <v>83</v>
      </c>
      <c r="W241" s="5">
        <f>VLOOKUP($A241,'SegEnds_NonXtal_Prot#'!$A:$AL,18,FALSE)</f>
        <v>119</v>
      </c>
      <c r="X241" s="5">
        <f>VLOOKUP($A241,'SegEnds_NonXtal_Prot#'!$A:$AL,21,FALSE)</f>
        <v>127</v>
      </c>
      <c r="Y241" s="5">
        <f>VLOOKUP($A241,'SegEnds_NonXtal_Prot#'!$A:$AL,24,FALSE)</f>
        <v>170</v>
      </c>
      <c r="Z241" s="5">
        <f>VLOOKUP($A241,'SegEnds_NonXtal_Prot#'!$A:$AL,27,FALSE)</f>
        <v>177</v>
      </c>
      <c r="AA241" s="5">
        <f>VLOOKUP($A241,'SegEnds_NonXtal_Prot#'!$A:$AL,30,FALSE)</f>
        <v>217</v>
      </c>
      <c r="AB241" s="5">
        <f>VLOOKUP($A241,'SegEnds_NonXtal_Prot#'!$A:$AL,33,FALSE)</f>
        <v>261</v>
      </c>
      <c r="AC241" s="5">
        <f>VLOOKUP($A241,'SegEnds_NonXtal_Prot#'!$A:$AL,36,FALSE)</f>
        <v>294</v>
      </c>
      <c r="AD241" s="5">
        <f>VLOOKUP($A241,'SegEnds_NonXtal_Prot#'!$A:$AL,5,FALSE)</f>
        <v>42</v>
      </c>
      <c r="AE241" s="5" t="str">
        <f>VLOOKUP($A241,'SegEnds_NonXtal_Prot#'!$A:$AL,8,FALSE)</f>
        <v>-</v>
      </c>
      <c r="AF241" s="5">
        <f>VLOOKUP($A241,'SegEnds_NonXtal_Prot#'!$A:$AL,11,FALSE)</f>
        <v>76</v>
      </c>
      <c r="AG241" s="5">
        <f>VLOOKUP($A241,'SegEnds_NonXtal_Prot#'!$A:$AL,14,FALSE)</f>
        <v>82</v>
      </c>
      <c r="AH241" s="5">
        <f>VLOOKUP($A241,'SegEnds_NonXtal_Prot#'!$A:$AL,17,FALSE)</f>
        <v>118</v>
      </c>
      <c r="AI241" s="5">
        <f>VLOOKUP($A241,'SegEnds_NonXtal_Prot#'!$A:$AL,20,FALSE)</f>
        <v>126</v>
      </c>
      <c r="AJ241" s="5">
        <f>VLOOKUP($A241,'SegEnds_NonXtal_Prot#'!$A:$AL,23,FALSE)</f>
        <v>153</v>
      </c>
      <c r="AK241" s="5">
        <f>VLOOKUP($A241,'SegEnds_NonXtal_Prot#'!$A:$AL,26,FALSE)</f>
        <v>172</v>
      </c>
      <c r="AL241" s="5">
        <f>VLOOKUP($A241,'SegEnds_NonXtal_Prot#'!$A:$AL,29,FALSE)</f>
        <v>212</v>
      </c>
      <c r="AM241" s="5">
        <f>VLOOKUP($A241,'SegEnds_NonXtal_Prot#'!$A:$AL,32,FALSE)</f>
        <v>255</v>
      </c>
      <c r="AN241" s="5">
        <f>VLOOKUP($A241,'SegEnds_NonXtal_Prot#'!$A:$AL,35,FALSE)</f>
        <v>293</v>
      </c>
      <c r="AO241" s="5">
        <f>VLOOKUP($A241,'SegEnds_NonXtal_Prot#'!$A:$AL,38,FALSE)</f>
        <v>306</v>
      </c>
      <c r="AP241" s="5">
        <f t="shared" si="88"/>
        <v>30</v>
      </c>
      <c r="AQ241" s="4" t="str">
        <f t="shared" si="89"/>
        <v>-</v>
      </c>
      <c r="AR241" s="4">
        <f t="shared" si="90"/>
        <v>29</v>
      </c>
      <c r="AS241" s="4">
        <f t="shared" si="91"/>
        <v>3</v>
      </c>
      <c r="AT241" s="4">
        <f t="shared" si="92"/>
        <v>35</v>
      </c>
      <c r="AU241" s="4">
        <f t="shared" si="93"/>
        <v>7</v>
      </c>
      <c r="AV241" s="4">
        <f t="shared" si="94"/>
        <v>26</v>
      </c>
      <c r="AW241" s="4">
        <f t="shared" si="95"/>
        <v>2</v>
      </c>
      <c r="AX241" s="4">
        <f t="shared" si="96"/>
        <v>35</v>
      </c>
      <c r="AY241" s="4">
        <f t="shared" si="97"/>
        <v>38</v>
      </c>
      <c r="AZ241" s="4">
        <f t="shared" si="98"/>
        <v>32</v>
      </c>
      <c r="BA241" s="4">
        <f t="shared" si="99"/>
        <v>12</v>
      </c>
    </row>
    <row r="242" spans="1:53" x14ac:dyDescent="0.2">
      <c r="A242" s="1" t="str">
        <f>'SegEnds_NonXtal_Prot#'!A230</f>
        <v>ptafr_human</v>
      </c>
      <c r="B242" s="1" t="str">
        <f t="shared" si="75"/>
        <v>DSEFRYTLFPIVYSIIFVLGVIANGYVLWVFARLYFNEIKIFMVNLTMADMLFLITLPLWIVYYQNQPKFLCNVAGCLFFINTYCSVAFLGVITYNRFQAVTRTRKRGISLSLVIWVAIVGAASYFLILSVPVLIIHIFIVFSFFLVFLIILFCNLVIIRTLLMQQRNAEVKRRALWMVCTVLAVFIICFVPHHVVQLPWTLAELGDSKFHQAINDAHQVTLCLLSTNCVLDPVIYCFLTKKFRKHLTEKFYSMRS</v>
      </c>
      <c r="C242" s="29" t="str">
        <f>IF(ISERROR(MATCH(A242,'SegEnds_Xtal_Prot#'!B:B, 0)), "NoXtal", "Xtal")</f>
        <v>Xtal</v>
      </c>
      <c r="D242" s="4" t="str">
        <f>VLOOKUP(A242,Classification!A:D,2,FALSE)</f>
        <v>A</v>
      </c>
      <c r="E242" s="5" t="str">
        <f>VLOOKUP(A242,Seqs!A:B,2,FALSE)</f>
        <v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v>
      </c>
      <c r="F242" s="5" t="str">
        <f t="shared" si="76"/>
        <v>DSEFRYTLFPIVYSIIFVLGVIANGYVLWVFARLY</v>
      </c>
      <c r="G242" s="4" t="str">
        <f t="shared" si="77"/>
        <v/>
      </c>
      <c r="H242" s="4" t="str">
        <f t="shared" si="78"/>
        <v>FNEIKIFMVNLTMADMLFLITLPLWIVYYQNQ</v>
      </c>
      <c r="I242" s="4" t="str">
        <f t="shared" si="79"/>
        <v>NWIL</v>
      </c>
      <c r="J242" s="4" t="str">
        <f t="shared" si="80"/>
        <v>PKFLCNVAGCLFFINTYCSVAFLGVITYNRFQAVTR</v>
      </c>
      <c r="K242" s="4" t="str">
        <f t="shared" si="81"/>
        <v>PIKTAQAN</v>
      </c>
      <c r="L242" s="4" t="str">
        <f t="shared" si="82"/>
        <v>TRKRGISLSLVIWVAIVGAASYFLIL</v>
      </c>
      <c r="M242" s="4" t="str">
        <f t="shared" si="83"/>
        <v>CFE</v>
      </c>
      <c r="N242" s="4" t="str">
        <f t="shared" si="84"/>
        <v>SVPVLIIHIFIVFSFFLVFLIILFCNLVIIRTLLMQ</v>
      </c>
      <c r="O242" s="4" t="str">
        <f t="shared" si="85"/>
        <v>QRNAEVKRRALWMVCTVLAVFIICFVPHHVVQLPWTLAELG</v>
      </c>
      <c r="P242" s="4" t="str">
        <f t="shared" si="86"/>
        <v>DSKFHQAINDAHQVTLCLLSTNCVLDPVIYCFLTKK</v>
      </c>
      <c r="Q242" s="4" t="str">
        <f t="shared" si="87"/>
        <v>FRKHLTEKFYSMRS</v>
      </c>
      <c r="R242" s="5">
        <f>VLOOKUP($A242,'SegEnds_NonXtal_Prot#'!$A:$AL,3,FALSE)</f>
        <v>10</v>
      </c>
      <c r="S242" s="5" t="str">
        <f>VLOOKUP($A242,'SegEnds_NonXtal_Prot#'!$A:$AL,6,FALSE)</f>
        <v>-</v>
      </c>
      <c r="T242" s="5">
        <f>VLOOKUP($A242,'SegEnds_NonXtal_Prot#'!$A:$AL,9,FALSE)</f>
        <v>49</v>
      </c>
      <c r="U242" s="5">
        <f>VLOOKUP($A242,'SegEnds_NonXtal_Prot#'!$A:$AL,12,FALSE)</f>
        <v>82</v>
      </c>
      <c r="V242" s="5">
        <f>VLOOKUP($A242,'SegEnds_NonXtal_Prot#'!$A:$AL,15,FALSE)</f>
        <v>86</v>
      </c>
      <c r="W242" s="5">
        <f>VLOOKUP($A242,'SegEnds_NonXtal_Prot#'!$A:$AL,18,FALSE)</f>
        <v>122</v>
      </c>
      <c r="X242" s="5">
        <f>VLOOKUP($A242,'SegEnds_NonXtal_Prot#'!$A:$AL,21,FALSE)</f>
        <v>130</v>
      </c>
      <c r="Y242" s="5">
        <f>VLOOKUP($A242,'SegEnds_NonXtal_Prot#'!$A:$AL,24,FALSE)</f>
        <v>173</v>
      </c>
      <c r="Z242" s="5">
        <f>VLOOKUP($A242,'SegEnds_NonXtal_Prot#'!$A:$AL,27,FALSE)</f>
        <v>181</v>
      </c>
      <c r="AA242" s="5">
        <f>VLOOKUP($A242,'SegEnds_NonXtal_Prot#'!$A:$AL,30,FALSE)</f>
        <v>221</v>
      </c>
      <c r="AB242" s="5">
        <f>VLOOKUP($A242,'SegEnds_NonXtal_Prot#'!$A:$AL,33,FALSE)</f>
        <v>264</v>
      </c>
      <c r="AC242" s="5">
        <f>VLOOKUP($A242,'SegEnds_NonXtal_Prot#'!$A:$AL,36,FALSE)</f>
        <v>300</v>
      </c>
      <c r="AD242" s="5">
        <f>VLOOKUP($A242,'SegEnds_NonXtal_Prot#'!$A:$AL,5,FALSE)</f>
        <v>44</v>
      </c>
      <c r="AE242" s="5" t="str">
        <f>VLOOKUP($A242,'SegEnds_NonXtal_Prot#'!$A:$AL,8,FALSE)</f>
        <v>-</v>
      </c>
      <c r="AF242" s="5">
        <f>VLOOKUP($A242,'SegEnds_NonXtal_Prot#'!$A:$AL,11,FALSE)</f>
        <v>80</v>
      </c>
      <c r="AG242" s="5">
        <f>VLOOKUP($A242,'SegEnds_NonXtal_Prot#'!$A:$AL,14,FALSE)</f>
        <v>85</v>
      </c>
      <c r="AH242" s="5">
        <f>VLOOKUP($A242,'SegEnds_NonXtal_Prot#'!$A:$AL,17,FALSE)</f>
        <v>121</v>
      </c>
      <c r="AI242" s="5">
        <f>VLOOKUP($A242,'SegEnds_NonXtal_Prot#'!$A:$AL,20,FALSE)</f>
        <v>129</v>
      </c>
      <c r="AJ242" s="5">
        <f>VLOOKUP($A242,'SegEnds_NonXtal_Prot#'!$A:$AL,23,FALSE)</f>
        <v>155</v>
      </c>
      <c r="AK242" s="5">
        <f>VLOOKUP($A242,'SegEnds_NonXtal_Prot#'!$A:$AL,26,FALSE)</f>
        <v>175</v>
      </c>
      <c r="AL242" s="5">
        <f>VLOOKUP($A242,'SegEnds_NonXtal_Prot#'!$A:$AL,29,FALSE)</f>
        <v>216</v>
      </c>
      <c r="AM242" s="5">
        <f>VLOOKUP($A242,'SegEnds_NonXtal_Prot#'!$A:$AL,32,FALSE)</f>
        <v>261</v>
      </c>
      <c r="AN242" s="5">
        <f>VLOOKUP($A242,'SegEnds_NonXtal_Prot#'!$A:$AL,35,FALSE)</f>
        <v>299</v>
      </c>
      <c r="AO242" s="5">
        <f>VLOOKUP($A242,'SegEnds_NonXtal_Prot#'!$A:$AL,38,FALSE)</f>
        <v>313</v>
      </c>
      <c r="AP242" s="5">
        <f t="shared" si="88"/>
        <v>34</v>
      </c>
      <c r="AQ242" s="4" t="str">
        <f t="shared" si="89"/>
        <v>-</v>
      </c>
      <c r="AR242" s="4">
        <f t="shared" si="90"/>
        <v>31</v>
      </c>
      <c r="AS242" s="4">
        <f t="shared" si="91"/>
        <v>3</v>
      </c>
      <c r="AT242" s="4">
        <f t="shared" si="92"/>
        <v>35</v>
      </c>
      <c r="AU242" s="4">
        <f t="shared" si="93"/>
        <v>7</v>
      </c>
      <c r="AV242" s="4">
        <f t="shared" si="94"/>
        <v>25</v>
      </c>
      <c r="AW242" s="4">
        <f t="shared" si="95"/>
        <v>2</v>
      </c>
      <c r="AX242" s="4">
        <f t="shared" si="96"/>
        <v>35</v>
      </c>
      <c r="AY242" s="4">
        <f t="shared" si="97"/>
        <v>40</v>
      </c>
      <c r="AZ242" s="4">
        <f t="shared" si="98"/>
        <v>35</v>
      </c>
      <c r="BA242" s="4">
        <f t="shared" si="99"/>
        <v>13</v>
      </c>
    </row>
    <row r="243" spans="1:53" x14ac:dyDescent="0.2">
      <c r="A243" s="1" t="str">
        <f>'SegEnds_NonXtal_Prot#'!A231</f>
        <v>qrfpr_human</v>
      </c>
      <c r="B243" s="1" t="str">
        <f t="shared" si="75"/>
        <v>AKLALVLTGVLIFALALFGNALVFYVVTRSTVTNIFICSLALSDLLITFFCIPVTMLQNISDGAFICKMVPFVQSTAVVTEILTMTCIAVERHQGLVHTNRRAFTMLGVVWLVAVIVGSPMWHVQVHQKIYTTFILVILFLLPLMVMLILYSKIGYELWIKKRVGDGKEMSKIARKKKRAVIMMVTVVALFAVCWAPFHVVHMMIEYSDVTIKMIFAIVQIIGFSNSICNPIVYAFMNENFKKNVLSAV</v>
      </c>
      <c r="C243" s="29" t="str">
        <f>IF(ISERROR(MATCH(A243,'SegEnds_Xtal_Prot#'!B:B, 0)), "NoXtal", "Xtal")</f>
        <v>NoXtal</v>
      </c>
      <c r="D243" s="4" t="str">
        <f>VLOOKUP(A243,Classification!A:D,2,FALSE)</f>
        <v>A</v>
      </c>
      <c r="E243" s="5" t="str">
        <f>VLOOKUP(A243,Seqs!A:B,2,FALSE)</f>
        <v>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</v>
      </c>
      <c r="F243" s="5" t="str">
        <f t="shared" si="76"/>
        <v>AKLALVLTGVLIFALALFGNALVFYVVTRS</v>
      </c>
      <c r="G243" s="4" t="str">
        <f t="shared" si="77"/>
        <v>KAMR</v>
      </c>
      <c r="H243" s="4" t="str">
        <f t="shared" si="78"/>
        <v>TVTNIFICSLALSDLLITFFCIPVTMLQNISD</v>
      </c>
      <c r="I243" s="4" t="str">
        <f t="shared" si="79"/>
        <v>NWLG</v>
      </c>
      <c r="J243" s="4" t="str">
        <f t="shared" si="80"/>
        <v>GAFICKMVPFVQSTAVVTEILTMTCIAVERHQGLVH</v>
      </c>
      <c r="K243" s="4" t="str">
        <f t="shared" si="81"/>
        <v>PFKMKWQY</v>
      </c>
      <c r="L243" s="4" t="str">
        <f t="shared" si="82"/>
        <v>TNRRAFTMLGVVWLVAVIVGSPMWHVQ</v>
      </c>
      <c r="M243" s="4" t="str">
        <f t="shared" si="83"/>
        <v>CLE</v>
      </c>
      <c r="N243" s="4" t="str">
        <f t="shared" si="84"/>
        <v>VHQKIYTTFILVILFLLPLMVMLILYSKIGYELWIKKRVGDG</v>
      </c>
      <c r="O243" s="4" t="str">
        <f t="shared" si="85"/>
        <v>KEMSKIARKKKRAVIMMVTVVALFAVCWAPFHVVHMMIEYS</v>
      </c>
      <c r="P243" s="4" t="str">
        <f t="shared" si="86"/>
        <v>DVTIKMIFAIVQIIGFSNSICNPIVYAFM</v>
      </c>
      <c r="Q243" s="4" t="str">
        <f t="shared" si="87"/>
        <v>NENFKKNVLSAV</v>
      </c>
      <c r="R243" s="5">
        <f>VLOOKUP($A243,'SegEnds_NonXtal_Prot#'!$A:$AL,3,FALSE)</f>
        <v>44</v>
      </c>
      <c r="S243" s="5">
        <f>VLOOKUP($A243,'SegEnds_NonXtal_Prot#'!$A:$AL,6,FALSE)</f>
        <v>74</v>
      </c>
      <c r="T243" s="5">
        <f>VLOOKUP($A243,'SegEnds_NonXtal_Prot#'!$A:$AL,9,FALSE)</f>
        <v>78</v>
      </c>
      <c r="U243" s="5">
        <f>VLOOKUP($A243,'SegEnds_NonXtal_Prot#'!$A:$AL,12,FALSE)</f>
        <v>110</v>
      </c>
      <c r="V243" s="5">
        <f>VLOOKUP($A243,'SegEnds_NonXtal_Prot#'!$A:$AL,15,FALSE)</f>
        <v>114</v>
      </c>
      <c r="W243" s="5">
        <f>VLOOKUP($A243,'SegEnds_NonXtal_Prot#'!$A:$AL,18,FALSE)</f>
        <v>150</v>
      </c>
      <c r="X243" s="5">
        <f>VLOOKUP($A243,'SegEnds_NonXtal_Prot#'!$A:$AL,21,FALSE)</f>
        <v>158</v>
      </c>
      <c r="Y243" s="5">
        <f>VLOOKUP($A243,'SegEnds_NonXtal_Prot#'!$A:$AL,24,FALSE)</f>
        <v>201</v>
      </c>
      <c r="Z243" s="5">
        <f>VLOOKUP($A243,'SegEnds_NonXtal_Prot#'!$A:$AL,27,FALSE)</f>
        <v>209</v>
      </c>
      <c r="AA243" s="5">
        <f>VLOOKUP($A243,'SegEnds_NonXtal_Prot#'!$A:$AL,30,FALSE)</f>
        <v>259</v>
      </c>
      <c r="AB243" s="5">
        <f>VLOOKUP($A243,'SegEnds_NonXtal_Prot#'!$A:$AL,33,FALSE)</f>
        <v>307</v>
      </c>
      <c r="AC243" s="5">
        <f>VLOOKUP($A243,'SegEnds_NonXtal_Prot#'!$A:$AL,36,FALSE)</f>
        <v>336</v>
      </c>
      <c r="AD243" s="5">
        <f>VLOOKUP($A243,'SegEnds_NonXtal_Prot#'!$A:$AL,5,FALSE)</f>
        <v>73</v>
      </c>
      <c r="AE243" s="5">
        <f>VLOOKUP($A243,'SegEnds_NonXtal_Prot#'!$A:$AL,8,FALSE)</f>
        <v>77</v>
      </c>
      <c r="AF243" s="5">
        <f>VLOOKUP($A243,'SegEnds_NonXtal_Prot#'!$A:$AL,11,FALSE)</f>
        <v>109</v>
      </c>
      <c r="AG243" s="5">
        <f>VLOOKUP($A243,'SegEnds_NonXtal_Prot#'!$A:$AL,14,FALSE)</f>
        <v>113</v>
      </c>
      <c r="AH243" s="5">
        <f>VLOOKUP($A243,'SegEnds_NonXtal_Prot#'!$A:$AL,17,FALSE)</f>
        <v>149</v>
      </c>
      <c r="AI243" s="5">
        <f>VLOOKUP($A243,'SegEnds_NonXtal_Prot#'!$A:$AL,20,FALSE)</f>
        <v>157</v>
      </c>
      <c r="AJ243" s="5">
        <f>VLOOKUP($A243,'SegEnds_NonXtal_Prot#'!$A:$AL,23,FALSE)</f>
        <v>184</v>
      </c>
      <c r="AK243" s="5">
        <f>VLOOKUP($A243,'SegEnds_NonXtal_Prot#'!$A:$AL,26,FALSE)</f>
        <v>203</v>
      </c>
      <c r="AL243" s="5">
        <f>VLOOKUP($A243,'SegEnds_NonXtal_Prot#'!$A:$AL,29,FALSE)</f>
        <v>250</v>
      </c>
      <c r="AM243" s="5">
        <f>VLOOKUP($A243,'SegEnds_NonXtal_Prot#'!$A:$AL,32,FALSE)</f>
        <v>299</v>
      </c>
      <c r="AN243" s="5">
        <f>VLOOKUP($A243,'SegEnds_NonXtal_Prot#'!$A:$AL,35,FALSE)</f>
        <v>335</v>
      </c>
      <c r="AO243" s="5">
        <f>VLOOKUP($A243,'SegEnds_NonXtal_Prot#'!$A:$AL,38,FALSE)</f>
        <v>347</v>
      </c>
      <c r="AP243" s="5">
        <f t="shared" si="88"/>
        <v>29</v>
      </c>
      <c r="AQ243" s="4">
        <f t="shared" si="89"/>
        <v>3</v>
      </c>
      <c r="AR243" s="4">
        <f t="shared" si="90"/>
        <v>31</v>
      </c>
      <c r="AS243" s="4">
        <f t="shared" si="91"/>
        <v>3</v>
      </c>
      <c r="AT243" s="4">
        <f t="shared" si="92"/>
        <v>35</v>
      </c>
      <c r="AU243" s="4">
        <f t="shared" si="93"/>
        <v>7</v>
      </c>
      <c r="AV243" s="4">
        <f t="shared" si="94"/>
        <v>26</v>
      </c>
      <c r="AW243" s="4">
        <f t="shared" si="95"/>
        <v>2</v>
      </c>
      <c r="AX243" s="4">
        <f t="shared" si="96"/>
        <v>41</v>
      </c>
      <c r="AY243" s="4">
        <f t="shared" si="97"/>
        <v>40</v>
      </c>
      <c r="AZ243" s="4">
        <f t="shared" si="98"/>
        <v>28</v>
      </c>
      <c r="BA243" s="4">
        <f t="shared" si="99"/>
        <v>11</v>
      </c>
    </row>
    <row r="244" spans="1:53" x14ac:dyDescent="0.2">
      <c r="A244" s="1" t="str">
        <f>'SegEnds_NonXtal_Prot#'!A232</f>
        <v>rl3r2_human</v>
      </c>
      <c r="B244" s="1" t="str">
        <f t="shared" si="75"/>
        <v>ALRLMVALAYGLVGAIGLLGNLAVLWVLSNCGPPSDTFVFNLALADLGLALTLPFWAAESALGGALCKMVLTATVLNVYASIFLITALSVARYWVVAMSLFWARIATLAVWAAAALVTVPTAVFGWLGAYQLQRVVLAFMVPLGVITTSYLLLLAFLQRQDSRVVARSVRILVASFFLCWFPNHVVTLWGVLVKFDNSTFYTIQTYVFPVTTCLAHSNSCLNPVLYCLLRREPRQALAGTFRDL</v>
      </c>
      <c r="C244" s="29" t="str">
        <f>IF(ISERROR(MATCH(A244,'SegEnds_Xtal_Prot#'!B:B, 0)), "NoXtal", "Xtal")</f>
        <v>NoXtal</v>
      </c>
      <c r="D244" s="4" t="str">
        <f>VLOOKUP(A244,Classification!A:D,2,FALSE)</f>
        <v>A</v>
      </c>
      <c r="E244" s="5" t="str">
        <f>VLOOKUP(A244,Seqs!A:B,2,FALSE)</f>
        <v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v>
      </c>
      <c r="F244" s="5" t="str">
        <f t="shared" si="76"/>
        <v>ALRLMVALAYGLVGAIGLLGNLAVLWVLSNC</v>
      </c>
      <c r="G244" s="4" t="str">
        <f t="shared" si="77"/>
        <v>RRAP</v>
      </c>
      <c r="H244" s="4" t="str">
        <f t="shared" si="78"/>
        <v>GPPSDTFVFNLALADLGLALTLPFWAAESAL</v>
      </c>
      <c r="I244" s="4" t="str">
        <f t="shared" si="79"/>
        <v>HWPF</v>
      </c>
      <c r="J244" s="4" t="str">
        <f t="shared" si="80"/>
        <v>GGALCKMVLTATVLNVYASIFLITALSVARYWVVAM</v>
      </c>
      <c r="K244" s="4" t="str">
        <f t="shared" si="81"/>
        <v>AAGPGTHL</v>
      </c>
      <c r="L244" s="4" t="str">
        <f t="shared" si="82"/>
        <v>SLFWARIATLAVWAAAALVTVPTAVFG</v>
      </c>
      <c r="M244" s="4" t="str">
        <f t="shared" si="83"/>
        <v>CLL</v>
      </c>
      <c r="N244" s="4" t="str">
        <f t="shared" si="84"/>
        <v>WLGAYQLQRVVLAFMVPLGVITTSYLLLLAFLQR</v>
      </c>
      <c r="O244" s="4" t="str">
        <f t="shared" si="85"/>
        <v>QDSRVVARSVRILVASFFLCWFPNHVVTLWGVLVKFD</v>
      </c>
      <c r="P244" s="4" t="str">
        <f t="shared" si="86"/>
        <v>NSTFYTIQTYVFPVTTCLAHSNSCLNPVLYCLL</v>
      </c>
      <c r="Q244" s="4" t="str">
        <f t="shared" si="87"/>
        <v>RREPRQALAGTFRDL</v>
      </c>
      <c r="R244" s="5">
        <f>VLOOKUP($A244,'SegEnds_NonXtal_Prot#'!$A:$AL,3,FALSE)</f>
        <v>37</v>
      </c>
      <c r="S244" s="5">
        <f>VLOOKUP($A244,'SegEnds_NonXtal_Prot#'!$A:$AL,6,FALSE)</f>
        <v>69</v>
      </c>
      <c r="T244" s="5">
        <f>VLOOKUP($A244,'SegEnds_NonXtal_Prot#'!$A:$AL,9,FALSE)</f>
        <v>73</v>
      </c>
      <c r="U244" s="5">
        <f>VLOOKUP($A244,'SegEnds_NonXtal_Prot#'!$A:$AL,12,FALSE)</f>
        <v>106</v>
      </c>
      <c r="V244" s="5">
        <f>VLOOKUP($A244,'SegEnds_NonXtal_Prot#'!$A:$AL,15,FALSE)</f>
        <v>110</v>
      </c>
      <c r="W244" s="5">
        <f>VLOOKUP($A244,'SegEnds_NonXtal_Prot#'!$A:$AL,18,FALSE)</f>
        <v>146</v>
      </c>
      <c r="X244" s="5">
        <f>VLOOKUP($A244,'SegEnds_NonXtal_Prot#'!$A:$AL,21,FALSE)</f>
        <v>154</v>
      </c>
      <c r="Y244" s="5">
        <f>VLOOKUP($A244,'SegEnds_NonXtal_Prot#'!$A:$AL,24,FALSE)</f>
        <v>191</v>
      </c>
      <c r="Z244" s="5">
        <f>VLOOKUP($A244,'SegEnds_NonXtal_Prot#'!$A:$AL,27,FALSE)</f>
        <v>200</v>
      </c>
      <c r="AA244" s="5">
        <f>VLOOKUP($A244,'SegEnds_NonXtal_Prot#'!$A:$AL,30,FALSE)</f>
        <v>239</v>
      </c>
      <c r="AB244" s="5">
        <f>VLOOKUP($A244,'SegEnds_NonXtal_Prot#'!$A:$AL,33,FALSE)</f>
        <v>280</v>
      </c>
      <c r="AC244" s="5">
        <f>VLOOKUP($A244,'SegEnds_NonXtal_Prot#'!$A:$AL,36,FALSE)</f>
        <v>313</v>
      </c>
      <c r="AD244" s="5">
        <f>VLOOKUP($A244,'SegEnds_NonXtal_Prot#'!$A:$AL,5,FALSE)</f>
        <v>67</v>
      </c>
      <c r="AE244" s="5">
        <f>VLOOKUP($A244,'SegEnds_NonXtal_Prot#'!$A:$AL,8,FALSE)</f>
        <v>72</v>
      </c>
      <c r="AF244" s="5">
        <f>VLOOKUP($A244,'SegEnds_NonXtal_Prot#'!$A:$AL,11,FALSE)</f>
        <v>103</v>
      </c>
      <c r="AG244" s="5">
        <f>VLOOKUP($A244,'SegEnds_NonXtal_Prot#'!$A:$AL,14,FALSE)</f>
        <v>109</v>
      </c>
      <c r="AH244" s="5">
        <f>VLOOKUP($A244,'SegEnds_NonXtal_Prot#'!$A:$AL,17,FALSE)</f>
        <v>145</v>
      </c>
      <c r="AI244" s="5">
        <f>VLOOKUP($A244,'SegEnds_NonXtal_Prot#'!$A:$AL,20,FALSE)</f>
        <v>153</v>
      </c>
      <c r="AJ244" s="5">
        <f>VLOOKUP($A244,'SegEnds_NonXtal_Prot#'!$A:$AL,23,FALSE)</f>
        <v>180</v>
      </c>
      <c r="AK244" s="5">
        <f>VLOOKUP($A244,'SegEnds_NonXtal_Prot#'!$A:$AL,26,FALSE)</f>
        <v>193</v>
      </c>
      <c r="AL244" s="5">
        <f>VLOOKUP($A244,'SegEnds_NonXtal_Prot#'!$A:$AL,29,FALSE)</f>
        <v>233</v>
      </c>
      <c r="AM244" s="5">
        <f>VLOOKUP($A244,'SegEnds_NonXtal_Prot#'!$A:$AL,32,FALSE)</f>
        <v>275</v>
      </c>
      <c r="AN244" s="5">
        <f>VLOOKUP($A244,'SegEnds_NonXtal_Prot#'!$A:$AL,35,FALSE)</f>
        <v>312</v>
      </c>
      <c r="AO244" s="5">
        <f>VLOOKUP($A244,'SegEnds_NonXtal_Prot#'!$A:$AL,38,FALSE)</f>
        <v>327</v>
      </c>
      <c r="AP244" s="5">
        <f t="shared" si="88"/>
        <v>30</v>
      </c>
      <c r="AQ244" s="4">
        <f t="shared" si="89"/>
        <v>3</v>
      </c>
      <c r="AR244" s="4">
        <f t="shared" si="90"/>
        <v>30</v>
      </c>
      <c r="AS244" s="4">
        <f t="shared" si="91"/>
        <v>3</v>
      </c>
      <c r="AT244" s="4">
        <f t="shared" si="92"/>
        <v>35</v>
      </c>
      <c r="AU244" s="4">
        <f t="shared" si="93"/>
        <v>7</v>
      </c>
      <c r="AV244" s="4">
        <f t="shared" si="94"/>
        <v>26</v>
      </c>
      <c r="AW244" s="4">
        <f t="shared" si="95"/>
        <v>2</v>
      </c>
      <c r="AX244" s="4">
        <f t="shared" si="96"/>
        <v>33</v>
      </c>
      <c r="AY244" s="4">
        <f t="shared" si="97"/>
        <v>36</v>
      </c>
      <c r="AZ244" s="4">
        <f t="shared" si="98"/>
        <v>32</v>
      </c>
      <c r="BA244" s="4">
        <f t="shared" si="99"/>
        <v>14</v>
      </c>
    </row>
    <row r="245" spans="1:53" x14ac:dyDescent="0.2">
      <c r="A245" s="1" t="str">
        <f>'SegEnds_NonXtal_Prot#'!A233</f>
        <v>s1pr4_human</v>
      </c>
      <c r="B245" s="1" t="str">
        <f t="shared" si="75"/>
        <v>DGGLGALRGLSVAASCLVVLENLLVLAAITSHRWVYYCLVNITLSDLLTGAAYLANVLLAPAQWFLREGLLFTALAASTFSLLFTAGERFATMVRKTSRVYGFIGLCWLLAALLGMLPLLGSKRYILFCLVIFAGVLATIMGLYGAIFRLVQASRPAARRKARRLLKTVLMILLAFLVCWGPLFGLLLADVFGEYLRGMDWILALAVLNSAVNPIIYSFRSREVCRAVLSFLC</v>
      </c>
      <c r="C245" s="29" t="str">
        <f>IF(ISERROR(MATCH(A245,'SegEnds_Xtal_Prot#'!B:B, 0)), "NoXtal", "Xtal")</f>
        <v>NoXtal</v>
      </c>
      <c r="D245" s="4" t="str">
        <f>VLOOKUP(A245,Classification!A:D,2,FALSE)</f>
        <v>A</v>
      </c>
      <c r="E245" s="5" t="str">
        <f>VLOOKUP(A245,Seqs!A:B,2,FALSE)</f>
        <v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v>
      </c>
      <c r="F245" s="5" t="str">
        <f t="shared" si="76"/>
        <v>DGGLGALRGLSVAASCLVVLENLLVLAAITSH</v>
      </c>
      <c r="G245" s="4" t="str">
        <f t="shared" si="77"/>
        <v>MRSR</v>
      </c>
      <c r="H245" s="4" t="str">
        <f t="shared" si="78"/>
        <v>RWVYYCLVNITLSDLLTGAAYLANVLL</v>
      </c>
      <c r="I245" s="4" t="str">
        <f t="shared" si="79"/>
        <v>GARTFRL</v>
      </c>
      <c r="J245" s="4" t="str">
        <f t="shared" si="80"/>
        <v>APAQWFLREGLLFTALAASTFSLLFTAGERFATMVR</v>
      </c>
      <c r="K245" s="4" t="str">
        <f t="shared" si="81"/>
        <v>PVAESGAT</v>
      </c>
      <c r="L245" s="4" t="str">
        <f t="shared" si="82"/>
        <v>KTSRVYGFIGLCWLLAALLGMLPLLG</v>
      </c>
      <c r="M245" s="4" t="str">
        <f t="shared" si="83"/>
        <v/>
      </c>
      <c r="N245" s="4" t="str">
        <f t="shared" si="84"/>
        <v>SKRYILFCLVIFAGVLATIMGLYGAIFRLVQAS</v>
      </c>
      <c r="O245" s="4" t="str">
        <f t="shared" si="85"/>
        <v>RPAARRKARRLLKTVLMILLAFLVCWGPLFGLLLADVFG</v>
      </c>
      <c r="P245" s="4" t="str">
        <f t="shared" si="86"/>
        <v>EYLRGMDWILALAVLNSAVNPIIYSFR</v>
      </c>
      <c r="Q245" s="4" t="str">
        <f t="shared" si="87"/>
        <v>SREVCRAVLSFLC</v>
      </c>
      <c r="R245" s="5">
        <f>VLOOKUP($A245,'SegEnds_NonXtal_Prot#'!$A:$AL,3,FALSE)</f>
        <v>43</v>
      </c>
      <c r="S245" s="5">
        <f>VLOOKUP($A245,'SegEnds_NonXtal_Prot#'!$A:$AL,6,FALSE)</f>
        <v>75</v>
      </c>
      <c r="T245" s="5">
        <f>VLOOKUP($A245,'SegEnds_NonXtal_Prot#'!$A:$AL,9,FALSE)</f>
        <v>79</v>
      </c>
      <c r="U245" s="5">
        <f>VLOOKUP($A245,'SegEnds_NonXtal_Prot#'!$A:$AL,12,FALSE)</f>
        <v>107</v>
      </c>
      <c r="V245" s="5">
        <f>VLOOKUP($A245,'SegEnds_NonXtal_Prot#'!$A:$AL,15,FALSE)</f>
        <v>114</v>
      </c>
      <c r="W245" s="5">
        <f>VLOOKUP($A245,'SegEnds_NonXtal_Prot#'!$A:$AL,18,FALSE)</f>
        <v>150</v>
      </c>
      <c r="X245" s="5">
        <f>VLOOKUP($A245,'SegEnds_NonXtal_Prot#'!$A:$AL,21,FALSE)</f>
        <v>158</v>
      </c>
      <c r="Y245" s="5" t="str">
        <f>VLOOKUP($A245,'SegEnds_NonXtal_Prot#'!$A:$AL,24,FALSE)</f>
        <v>-</v>
      </c>
      <c r="Z245" s="5">
        <f>VLOOKUP($A245,'SegEnds_NonXtal_Prot#'!$A:$AL,27,FALSE)</f>
        <v>201</v>
      </c>
      <c r="AA245" s="5">
        <f>VLOOKUP($A245,'SegEnds_NonXtal_Prot#'!$A:$AL,30,FALSE)</f>
        <v>239</v>
      </c>
      <c r="AB245" s="5">
        <f>VLOOKUP($A245,'SegEnds_NonXtal_Prot#'!$A:$AL,33,FALSE)</f>
        <v>284</v>
      </c>
      <c r="AC245" s="5">
        <f>VLOOKUP($A245,'SegEnds_NonXtal_Prot#'!$A:$AL,36,FALSE)</f>
        <v>311</v>
      </c>
      <c r="AD245" s="5">
        <f>VLOOKUP($A245,'SegEnds_NonXtal_Prot#'!$A:$AL,5,FALSE)</f>
        <v>74</v>
      </c>
      <c r="AE245" s="5">
        <f>VLOOKUP($A245,'SegEnds_NonXtal_Prot#'!$A:$AL,8,FALSE)</f>
        <v>78</v>
      </c>
      <c r="AF245" s="5">
        <f>VLOOKUP($A245,'SegEnds_NonXtal_Prot#'!$A:$AL,11,FALSE)</f>
        <v>105</v>
      </c>
      <c r="AG245" s="5">
        <f>VLOOKUP($A245,'SegEnds_NonXtal_Prot#'!$A:$AL,14,FALSE)</f>
        <v>113</v>
      </c>
      <c r="AH245" s="5">
        <f>VLOOKUP($A245,'SegEnds_NonXtal_Prot#'!$A:$AL,17,FALSE)</f>
        <v>149</v>
      </c>
      <c r="AI245" s="5">
        <f>VLOOKUP($A245,'SegEnds_NonXtal_Prot#'!$A:$AL,20,FALSE)</f>
        <v>157</v>
      </c>
      <c r="AJ245" s="5">
        <f>VLOOKUP($A245,'SegEnds_NonXtal_Prot#'!$A:$AL,23,FALSE)</f>
        <v>183</v>
      </c>
      <c r="AK245" s="5" t="str">
        <f>VLOOKUP($A245,'SegEnds_NonXtal_Prot#'!$A:$AL,26,FALSE)</f>
        <v>-</v>
      </c>
      <c r="AL245" s="5">
        <f>VLOOKUP($A245,'SegEnds_NonXtal_Prot#'!$A:$AL,29,FALSE)</f>
        <v>233</v>
      </c>
      <c r="AM245" s="5">
        <f>VLOOKUP($A245,'SegEnds_NonXtal_Prot#'!$A:$AL,32,FALSE)</f>
        <v>277</v>
      </c>
      <c r="AN245" s="5">
        <f>VLOOKUP($A245,'SegEnds_NonXtal_Prot#'!$A:$AL,35,FALSE)</f>
        <v>310</v>
      </c>
      <c r="AO245" s="5">
        <f>VLOOKUP($A245,'SegEnds_NonXtal_Prot#'!$A:$AL,38,FALSE)</f>
        <v>323</v>
      </c>
      <c r="AP245" s="5">
        <f t="shared" si="88"/>
        <v>31</v>
      </c>
      <c r="AQ245" s="4">
        <f t="shared" si="89"/>
        <v>3</v>
      </c>
      <c r="AR245" s="4">
        <f t="shared" si="90"/>
        <v>26</v>
      </c>
      <c r="AS245" s="4">
        <f t="shared" si="91"/>
        <v>6</v>
      </c>
      <c r="AT245" s="4">
        <f t="shared" si="92"/>
        <v>35</v>
      </c>
      <c r="AU245" s="4">
        <f t="shared" si="93"/>
        <v>7</v>
      </c>
      <c r="AV245" s="4">
        <f t="shared" si="94"/>
        <v>25</v>
      </c>
      <c r="AW245" s="4" t="str">
        <f t="shared" si="95"/>
        <v>-</v>
      </c>
      <c r="AX245" s="4">
        <f t="shared" si="96"/>
        <v>32</v>
      </c>
      <c r="AY245" s="4">
        <f t="shared" si="97"/>
        <v>38</v>
      </c>
      <c r="AZ245" s="4">
        <f t="shared" si="98"/>
        <v>26</v>
      </c>
      <c r="BA245" s="4">
        <f t="shared" si="99"/>
        <v>12</v>
      </c>
    </row>
    <row r="246" spans="1:53" x14ac:dyDescent="0.2">
      <c r="A246" s="1" t="str">
        <f>'SegEnds_NonXtal_Prot#'!A234</f>
        <v>ssr1_human</v>
      </c>
      <c r="B246" s="1" t="str">
        <f t="shared" si="75"/>
        <v>GSAILISFIYSVVCLVGLCGNSMVIYVILRYTATNIYILNLAIADELLMLSVPFLVTSTLLGALLCRLVLSVDAVNMFTSIYCLTVLSVDRYVAVVHRPTVAKVVNLGVWVLSLLVILPIVVFSPAQRWLVGFVLYTFLMGFLLPVGAICLCYVLIIAKMRMVWQQRKRSERKITLMVMMVVMVFVICWMPFYVVQLVNVFAATVSQLSVILGYANSCANPILYGFLSDNFKRSFQRILC</v>
      </c>
      <c r="C246" s="29" t="str">
        <f>IF(ISERROR(MATCH(A246,'SegEnds_Xtal_Prot#'!B:B, 0)), "NoXtal", "Xtal")</f>
        <v>NoXtal</v>
      </c>
      <c r="D246" s="4" t="str">
        <f>VLOOKUP(A246,Classification!A:D,2,FALSE)</f>
        <v>A</v>
      </c>
      <c r="E246" s="5" t="str">
        <f>VLOOKUP(A246,Seqs!A:B,2,FALSE)</f>
        <v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v>
      </c>
      <c r="F246" s="5" t="str">
        <f t="shared" si="76"/>
        <v>GSAILISFIYSVVCLVGLCGNSMVIYVILRY</v>
      </c>
      <c r="G246" s="4" t="str">
        <f t="shared" si="77"/>
        <v>AKMK</v>
      </c>
      <c r="H246" s="4" t="str">
        <f t="shared" si="78"/>
        <v>TATNIYILNLAIADELLMLSVPFLVTSTLL</v>
      </c>
      <c r="I246" s="4" t="str">
        <f t="shared" si="79"/>
        <v>HWPF</v>
      </c>
      <c r="J246" s="4" t="str">
        <f t="shared" si="80"/>
        <v>GALLCRLVLSVDAVNMFTSIYCLTVLSVDRYVAVVH</v>
      </c>
      <c r="K246" s="4" t="str">
        <f t="shared" si="81"/>
        <v>PIKAARYR</v>
      </c>
      <c r="L246" s="4" t="str">
        <f t="shared" si="82"/>
        <v>RPTVAKVVNLGVWVLSLLVILPIVVFS</v>
      </c>
      <c r="M246" s="4" t="str">
        <f t="shared" si="83"/>
        <v>CNM</v>
      </c>
      <c r="N246" s="4" t="str">
        <f t="shared" si="84"/>
        <v>PAQRWLVGFVLYTFLMGFLLPVGAICLCYVLIIAKMRMV</v>
      </c>
      <c r="O246" s="4" t="str">
        <f t="shared" si="85"/>
        <v>WQQRKRSERKITLMVMMVVMVFVICWMPFYVVQLVNVFA</v>
      </c>
      <c r="P246" s="4" t="str">
        <f t="shared" si="86"/>
        <v>ATVSQLSVILGYANSCANPILYGFL</v>
      </c>
      <c r="Q246" s="4" t="str">
        <f t="shared" si="87"/>
        <v>SDNFKRSFQRILC</v>
      </c>
      <c r="R246" s="5">
        <f>VLOOKUP($A246,'SegEnds_NonXtal_Prot#'!$A:$AL,3,FALSE)</f>
        <v>56</v>
      </c>
      <c r="S246" s="5">
        <f>VLOOKUP($A246,'SegEnds_NonXtal_Prot#'!$A:$AL,6,FALSE)</f>
        <v>87</v>
      </c>
      <c r="T246" s="5">
        <f>VLOOKUP($A246,'SegEnds_NonXtal_Prot#'!$A:$AL,9,FALSE)</f>
        <v>91</v>
      </c>
      <c r="U246" s="5">
        <f>VLOOKUP($A246,'SegEnds_NonXtal_Prot#'!$A:$AL,12,FALSE)</f>
        <v>122</v>
      </c>
      <c r="V246" s="5">
        <f>VLOOKUP($A246,'SegEnds_NonXtal_Prot#'!$A:$AL,15,FALSE)</f>
        <v>126</v>
      </c>
      <c r="W246" s="5">
        <f>VLOOKUP($A246,'SegEnds_NonXtal_Prot#'!$A:$AL,18,FALSE)</f>
        <v>162</v>
      </c>
      <c r="X246" s="5">
        <f>VLOOKUP($A246,'SegEnds_NonXtal_Prot#'!$A:$AL,21,FALSE)</f>
        <v>170</v>
      </c>
      <c r="Y246" s="5">
        <f>VLOOKUP($A246,'SegEnds_NonXtal_Prot#'!$A:$AL,24,FALSE)</f>
        <v>208</v>
      </c>
      <c r="Z246" s="5">
        <f>VLOOKUP($A246,'SegEnds_NonXtal_Prot#'!$A:$AL,27,FALSE)</f>
        <v>215</v>
      </c>
      <c r="AA246" s="5">
        <f>VLOOKUP($A246,'SegEnds_NonXtal_Prot#'!$A:$AL,30,FALSE)</f>
        <v>259</v>
      </c>
      <c r="AB246" s="5">
        <f>VLOOKUP($A246,'SegEnds_NonXtal_Prot#'!$A:$AL,33,FALSE)</f>
        <v>302</v>
      </c>
      <c r="AC246" s="5">
        <f>VLOOKUP($A246,'SegEnds_NonXtal_Prot#'!$A:$AL,36,FALSE)</f>
        <v>327</v>
      </c>
      <c r="AD246" s="5">
        <f>VLOOKUP($A246,'SegEnds_NonXtal_Prot#'!$A:$AL,5,FALSE)</f>
        <v>86</v>
      </c>
      <c r="AE246" s="5">
        <f>VLOOKUP($A246,'SegEnds_NonXtal_Prot#'!$A:$AL,8,FALSE)</f>
        <v>90</v>
      </c>
      <c r="AF246" s="5">
        <f>VLOOKUP($A246,'SegEnds_NonXtal_Prot#'!$A:$AL,11,FALSE)</f>
        <v>120</v>
      </c>
      <c r="AG246" s="5">
        <f>VLOOKUP($A246,'SegEnds_NonXtal_Prot#'!$A:$AL,14,FALSE)</f>
        <v>125</v>
      </c>
      <c r="AH246" s="5">
        <f>VLOOKUP($A246,'SegEnds_NonXtal_Prot#'!$A:$AL,17,FALSE)</f>
        <v>161</v>
      </c>
      <c r="AI246" s="5">
        <f>VLOOKUP($A246,'SegEnds_NonXtal_Prot#'!$A:$AL,20,FALSE)</f>
        <v>169</v>
      </c>
      <c r="AJ246" s="5">
        <f>VLOOKUP($A246,'SegEnds_NonXtal_Prot#'!$A:$AL,23,FALSE)</f>
        <v>196</v>
      </c>
      <c r="AK246" s="5">
        <f>VLOOKUP($A246,'SegEnds_NonXtal_Prot#'!$A:$AL,26,FALSE)</f>
        <v>210</v>
      </c>
      <c r="AL246" s="5">
        <f>VLOOKUP($A246,'SegEnds_NonXtal_Prot#'!$A:$AL,29,FALSE)</f>
        <v>253</v>
      </c>
      <c r="AM246" s="5">
        <f>VLOOKUP($A246,'SegEnds_NonXtal_Prot#'!$A:$AL,32,FALSE)</f>
        <v>297</v>
      </c>
      <c r="AN246" s="5">
        <f>VLOOKUP($A246,'SegEnds_NonXtal_Prot#'!$A:$AL,35,FALSE)</f>
        <v>326</v>
      </c>
      <c r="AO246" s="5">
        <f>VLOOKUP($A246,'SegEnds_NonXtal_Prot#'!$A:$AL,38,FALSE)</f>
        <v>339</v>
      </c>
      <c r="AP246" s="5">
        <f t="shared" si="88"/>
        <v>30</v>
      </c>
      <c r="AQ246" s="4">
        <f t="shared" si="89"/>
        <v>3</v>
      </c>
      <c r="AR246" s="4">
        <f t="shared" si="90"/>
        <v>29</v>
      </c>
      <c r="AS246" s="4">
        <f t="shared" si="91"/>
        <v>3</v>
      </c>
      <c r="AT246" s="4">
        <f t="shared" si="92"/>
        <v>35</v>
      </c>
      <c r="AU246" s="4">
        <f t="shared" si="93"/>
        <v>7</v>
      </c>
      <c r="AV246" s="4">
        <f t="shared" si="94"/>
        <v>26</v>
      </c>
      <c r="AW246" s="4">
        <f t="shared" si="95"/>
        <v>2</v>
      </c>
      <c r="AX246" s="4">
        <f t="shared" si="96"/>
        <v>38</v>
      </c>
      <c r="AY246" s="4">
        <f t="shared" si="97"/>
        <v>38</v>
      </c>
      <c r="AZ246" s="4">
        <f t="shared" si="98"/>
        <v>24</v>
      </c>
      <c r="BA246" s="4">
        <f t="shared" si="99"/>
        <v>12</v>
      </c>
    </row>
    <row r="247" spans="1:53" x14ac:dyDescent="0.2">
      <c r="A247" s="1" t="str">
        <f>'SegEnds_NonXtal_Prot#'!A235</f>
        <v>ssr2_human</v>
      </c>
      <c r="B247" s="1" t="str">
        <f t="shared" si="75"/>
        <v>TSNAVLTFIYFVVCIIGLCGNTLVIYVILRYTITNIYILNLAIADELFMLGLPFLAMQVALGKAICRVVMTVDGINQFTSIFCLTVMSIDRYLAVVHRPRTAKMITMAVWGVSLLVILPIMIYAESGAWYTGFIIYTFILGFLVPLTIICLCYLFIIIKVKSSSSKRKKSEKKVTRMVSIVVAVFIFCWLPFYIFNVSSVSMTPALKGMFDFVVVLTYANSCANPILYAFLSDNFKKSFQNVLC</v>
      </c>
      <c r="C247" s="29" t="str">
        <f>IF(ISERROR(MATCH(A247,'SegEnds_Xtal_Prot#'!B:B, 0)), "NoXtal", "Xtal")</f>
        <v>NoXtal</v>
      </c>
      <c r="D247" s="4" t="str">
        <f>VLOOKUP(A247,Classification!A:D,2,FALSE)</f>
        <v>A</v>
      </c>
      <c r="E247" s="5" t="str">
        <f>VLOOKUP(A247,Seqs!A:B,2,FALSE)</f>
        <v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v>
      </c>
      <c r="F247" s="5" t="str">
        <f t="shared" si="76"/>
        <v>TSNAVLTFIYFVVCIIGLCGNTLVIYVILRY</v>
      </c>
      <c r="G247" s="4" t="str">
        <f t="shared" si="77"/>
        <v>AKMK</v>
      </c>
      <c r="H247" s="4" t="str">
        <f t="shared" si="78"/>
        <v>TITNIYILNLAIADELFMLGLPFLAMQVAL</v>
      </c>
      <c r="I247" s="4" t="str">
        <f t="shared" si="79"/>
        <v>HWPF</v>
      </c>
      <c r="J247" s="4" t="str">
        <f t="shared" si="80"/>
        <v>GKAICRVVMTVDGINQFTSIFCLTVMSIDRYLAVVH</v>
      </c>
      <c r="K247" s="4" t="str">
        <f t="shared" si="81"/>
        <v>PIKSAKWR</v>
      </c>
      <c r="L247" s="4" t="str">
        <f t="shared" si="82"/>
        <v>RPRTAKMITMAVWGVSLLVILPIMIYA</v>
      </c>
      <c r="M247" s="4" t="str">
        <f t="shared" si="83"/>
        <v>CTI</v>
      </c>
      <c r="N247" s="4" t="str">
        <f t="shared" si="84"/>
        <v>ESGAWYTGFIIYTFILGFLVPLTIICLCYLFIIIKVKSS</v>
      </c>
      <c r="O247" s="4" t="str">
        <f t="shared" si="85"/>
        <v>SSKRKKSEKKVTRMVSIVVAVFIFCWLPFYIFNVSSVSM</v>
      </c>
      <c r="P247" s="4" t="str">
        <f t="shared" si="86"/>
        <v>TPALKGMFDFVVVLTYANSCANPILYAFL</v>
      </c>
      <c r="Q247" s="4" t="str">
        <f t="shared" si="87"/>
        <v>SDNFKKSFQNVLC</v>
      </c>
      <c r="R247" s="5">
        <f>VLOOKUP($A247,'SegEnds_NonXtal_Prot#'!$A:$AL,3,FALSE)</f>
        <v>41</v>
      </c>
      <c r="S247" s="5">
        <f>VLOOKUP($A247,'SegEnds_NonXtal_Prot#'!$A:$AL,6,FALSE)</f>
        <v>72</v>
      </c>
      <c r="T247" s="5">
        <f>VLOOKUP($A247,'SegEnds_NonXtal_Prot#'!$A:$AL,9,FALSE)</f>
        <v>76</v>
      </c>
      <c r="U247" s="5">
        <f>VLOOKUP($A247,'SegEnds_NonXtal_Prot#'!$A:$AL,12,FALSE)</f>
        <v>107</v>
      </c>
      <c r="V247" s="5">
        <f>VLOOKUP($A247,'SegEnds_NonXtal_Prot#'!$A:$AL,15,FALSE)</f>
        <v>111</v>
      </c>
      <c r="W247" s="5">
        <f>VLOOKUP($A247,'SegEnds_NonXtal_Prot#'!$A:$AL,18,FALSE)</f>
        <v>147</v>
      </c>
      <c r="X247" s="5">
        <f>VLOOKUP($A247,'SegEnds_NonXtal_Prot#'!$A:$AL,21,FALSE)</f>
        <v>155</v>
      </c>
      <c r="Y247" s="5">
        <f>VLOOKUP($A247,'SegEnds_NonXtal_Prot#'!$A:$AL,24,FALSE)</f>
        <v>193</v>
      </c>
      <c r="Z247" s="5">
        <f>VLOOKUP($A247,'SegEnds_NonXtal_Prot#'!$A:$AL,27,FALSE)</f>
        <v>200</v>
      </c>
      <c r="AA247" s="5">
        <f>VLOOKUP($A247,'SegEnds_NonXtal_Prot#'!$A:$AL,30,FALSE)</f>
        <v>244</v>
      </c>
      <c r="AB247" s="5">
        <f>VLOOKUP($A247,'SegEnds_NonXtal_Prot#'!$A:$AL,33,FALSE)</f>
        <v>287</v>
      </c>
      <c r="AC247" s="5">
        <f>VLOOKUP($A247,'SegEnds_NonXtal_Prot#'!$A:$AL,36,FALSE)</f>
        <v>316</v>
      </c>
      <c r="AD247" s="5">
        <f>VLOOKUP($A247,'SegEnds_NonXtal_Prot#'!$A:$AL,5,FALSE)</f>
        <v>71</v>
      </c>
      <c r="AE247" s="5">
        <f>VLOOKUP($A247,'SegEnds_NonXtal_Prot#'!$A:$AL,8,FALSE)</f>
        <v>75</v>
      </c>
      <c r="AF247" s="5">
        <f>VLOOKUP($A247,'SegEnds_NonXtal_Prot#'!$A:$AL,11,FALSE)</f>
        <v>105</v>
      </c>
      <c r="AG247" s="5">
        <f>VLOOKUP($A247,'SegEnds_NonXtal_Prot#'!$A:$AL,14,FALSE)</f>
        <v>110</v>
      </c>
      <c r="AH247" s="5">
        <f>VLOOKUP($A247,'SegEnds_NonXtal_Prot#'!$A:$AL,17,FALSE)</f>
        <v>146</v>
      </c>
      <c r="AI247" s="5">
        <f>VLOOKUP($A247,'SegEnds_NonXtal_Prot#'!$A:$AL,20,FALSE)</f>
        <v>154</v>
      </c>
      <c r="AJ247" s="5">
        <f>VLOOKUP($A247,'SegEnds_NonXtal_Prot#'!$A:$AL,23,FALSE)</f>
        <v>181</v>
      </c>
      <c r="AK247" s="5">
        <f>VLOOKUP($A247,'SegEnds_NonXtal_Prot#'!$A:$AL,26,FALSE)</f>
        <v>195</v>
      </c>
      <c r="AL247" s="5">
        <f>VLOOKUP($A247,'SegEnds_NonXtal_Prot#'!$A:$AL,29,FALSE)</f>
        <v>238</v>
      </c>
      <c r="AM247" s="5">
        <f>VLOOKUP($A247,'SegEnds_NonXtal_Prot#'!$A:$AL,32,FALSE)</f>
        <v>282</v>
      </c>
      <c r="AN247" s="5">
        <f>VLOOKUP($A247,'SegEnds_NonXtal_Prot#'!$A:$AL,35,FALSE)</f>
        <v>315</v>
      </c>
      <c r="AO247" s="5">
        <f>VLOOKUP($A247,'SegEnds_NonXtal_Prot#'!$A:$AL,38,FALSE)</f>
        <v>328</v>
      </c>
      <c r="AP247" s="5">
        <f t="shared" si="88"/>
        <v>30</v>
      </c>
      <c r="AQ247" s="4">
        <f t="shared" si="89"/>
        <v>3</v>
      </c>
      <c r="AR247" s="4">
        <f t="shared" si="90"/>
        <v>29</v>
      </c>
      <c r="AS247" s="4">
        <f t="shared" si="91"/>
        <v>3</v>
      </c>
      <c r="AT247" s="4">
        <f t="shared" si="92"/>
        <v>35</v>
      </c>
      <c r="AU247" s="4">
        <f t="shared" si="93"/>
        <v>7</v>
      </c>
      <c r="AV247" s="4">
        <f t="shared" si="94"/>
        <v>26</v>
      </c>
      <c r="AW247" s="4">
        <f t="shared" si="95"/>
        <v>2</v>
      </c>
      <c r="AX247" s="4">
        <f t="shared" si="96"/>
        <v>38</v>
      </c>
      <c r="AY247" s="4">
        <f t="shared" si="97"/>
        <v>38</v>
      </c>
      <c r="AZ247" s="4">
        <f t="shared" si="98"/>
        <v>28</v>
      </c>
      <c r="BA247" s="4">
        <f t="shared" si="99"/>
        <v>12</v>
      </c>
    </row>
    <row r="248" spans="1:53" x14ac:dyDescent="0.2">
      <c r="A248" s="1" t="str">
        <f>'SegEnds_NonXtal_Prot#'!A236</f>
        <v>ssr3_human</v>
      </c>
      <c r="B248" s="1" t="str">
        <f t="shared" si="75"/>
        <v>VSGVLIPLVYLVVCVVGLLGNSLVIYVVLRHSVTNVYILNLALADELFMLGLPFLAAQNALGSLMCRLVMAVDGINQFTSIFCLTVMSVDRYLAVVHTAPVARTVSAAVWVASAVVVLPVVVFSPAAAWRAGFIIYTAALGFFGPLLVICLCYLLIVVKVRSAGRRVQRRRRSERRVTRMVVAVVALFVLCWMPFYVLNIVNVVCEPAFFGLYFLVVALPYANSCANPILYGFLSYRFKQGFRRVLL</v>
      </c>
      <c r="C248" s="29" t="str">
        <f>IF(ISERROR(MATCH(A248,'SegEnds_Xtal_Prot#'!B:B, 0)), "NoXtal", "Xtal")</f>
        <v>NoXtal</v>
      </c>
      <c r="D248" s="4" t="str">
        <f>VLOOKUP(A248,Classification!A:D,2,FALSE)</f>
        <v>A</v>
      </c>
      <c r="E248" s="5" t="str">
        <f>VLOOKUP(A248,Seqs!A:B,2,FALSE)</f>
        <v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v>
      </c>
      <c r="F248" s="5" t="str">
        <f t="shared" si="76"/>
        <v>VSGVLIPLVYLVVCVVGLLGNSLVIYVVLRH</v>
      </c>
      <c r="G248" s="4" t="str">
        <f t="shared" si="77"/>
        <v>TASP</v>
      </c>
      <c r="H248" s="4" t="str">
        <f t="shared" si="78"/>
        <v>SVTNVYILNLALADELFMLGLPFLAAQNAL</v>
      </c>
      <c r="I248" s="4" t="str">
        <f t="shared" si="79"/>
        <v>YWPF</v>
      </c>
      <c r="J248" s="4" t="str">
        <f t="shared" si="80"/>
        <v>GSLMCRLVMAVDGINQFTSIFCLTVMSVDRYLAVVH</v>
      </c>
      <c r="K248" s="4" t="str">
        <f t="shared" si="81"/>
        <v>PTRSARWR</v>
      </c>
      <c r="L248" s="4" t="str">
        <f t="shared" si="82"/>
        <v>TAPVARTVSAAVWVASAVVVLPVVVFS</v>
      </c>
      <c r="M248" s="4" t="str">
        <f t="shared" si="83"/>
        <v>CHM</v>
      </c>
      <c r="N248" s="4" t="str">
        <f t="shared" si="84"/>
        <v>PAAAWRAGFIIYTAALGFFGPLLVICLCYLLIVVKVRSAGRRV</v>
      </c>
      <c r="O248" s="4" t="str">
        <f t="shared" si="85"/>
        <v>QRRRRSERRVTRMVVAVVALFVLCWMPFYVLNIVNVVC</v>
      </c>
      <c r="P248" s="4" t="str">
        <f t="shared" si="86"/>
        <v>EPAFFGLYFLVVALPYANSCANPILYGFL</v>
      </c>
      <c r="Q248" s="4" t="str">
        <f t="shared" si="87"/>
        <v>SYRFKQGFRRVLL</v>
      </c>
      <c r="R248" s="5">
        <f>VLOOKUP($A248,'SegEnds_NonXtal_Prot#'!$A:$AL,3,FALSE)</f>
        <v>42</v>
      </c>
      <c r="S248" s="5">
        <f>VLOOKUP($A248,'SegEnds_NonXtal_Prot#'!$A:$AL,6,FALSE)</f>
        <v>73</v>
      </c>
      <c r="T248" s="5">
        <f>VLOOKUP($A248,'SegEnds_NonXtal_Prot#'!$A:$AL,9,FALSE)</f>
        <v>77</v>
      </c>
      <c r="U248" s="5">
        <f>VLOOKUP($A248,'SegEnds_NonXtal_Prot#'!$A:$AL,12,FALSE)</f>
        <v>108</v>
      </c>
      <c r="V248" s="5">
        <f>VLOOKUP($A248,'SegEnds_NonXtal_Prot#'!$A:$AL,15,FALSE)</f>
        <v>112</v>
      </c>
      <c r="W248" s="5">
        <f>VLOOKUP($A248,'SegEnds_NonXtal_Prot#'!$A:$AL,18,FALSE)</f>
        <v>148</v>
      </c>
      <c r="X248" s="5">
        <f>VLOOKUP($A248,'SegEnds_NonXtal_Prot#'!$A:$AL,21,FALSE)</f>
        <v>156</v>
      </c>
      <c r="Y248" s="5">
        <f>VLOOKUP($A248,'SegEnds_NonXtal_Prot#'!$A:$AL,24,FALSE)</f>
        <v>191</v>
      </c>
      <c r="Z248" s="5">
        <f>VLOOKUP($A248,'SegEnds_NonXtal_Prot#'!$A:$AL,27,FALSE)</f>
        <v>198</v>
      </c>
      <c r="AA248" s="5">
        <f>VLOOKUP($A248,'SegEnds_NonXtal_Prot#'!$A:$AL,30,FALSE)</f>
        <v>246</v>
      </c>
      <c r="AB248" s="5">
        <f>VLOOKUP($A248,'SegEnds_NonXtal_Prot#'!$A:$AL,33,FALSE)</f>
        <v>288</v>
      </c>
      <c r="AC248" s="5">
        <f>VLOOKUP($A248,'SegEnds_NonXtal_Prot#'!$A:$AL,36,FALSE)</f>
        <v>317</v>
      </c>
      <c r="AD248" s="5">
        <f>VLOOKUP($A248,'SegEnds_NonXtal_Prot#'!$A:$AL,5,FALSE)</f>
        <v>72</v>
      </c>
      <c r="AE248" s="5">
        <f>VLOOKUP($A248,'SegEnds_NonXtal_Prot#'!$A:$AL,8,FALSE)</f>
        <v>76</v>
      </c>
      <c r="AF248" s="5">
        <f>VLOOKUP($A248,'SegEnds_NonXtal_Prot#'!$A:$AL,11,FALSE)</f>
        <v>106</v>
      </c>
      <c r="AG248" s="5">
        <f>VLOOKUP($A248,'SegEnds_NonXtal_Prot#'!$A:$AL,14,FALSE)</f>
        <v>111</v>
      </c>
      <c r="AH248" s="5">
        <f>VLOOKUP($A248,'SegEnds_NonXtal_Prot#'!$A:$AL,17,FALSE)</f>
        <v>147</v>
      </c>
      <c r="AI248" s="5">
        <f>VLOOKUP($A248,'SegEnds_NonXtal_Prot#'!$A:$AL,20,FALSE)</f>
        <v>155</v>
      </c>
      <c r="AJ248" s="5">
        <f>VLOOKUP($A248,'SegEnds_NonXtal_Prot#'!$A:$AL,23,FALSE)</f>
        <v>182</v>
      </c>
      <c r="AK248" s="5">
        <f>VLOOKUP($A248,'SegEnds_NonXtal_Prot#'!$A:$AL,26,FALSE)</f>
        <v>193</v>
      </c>
      <c r="AL248" s="5">
        <f>VLOOKUP($A248,'SegEnds_NonXtal_Prot#'!$A:$AL,29,FALSE)</f>
        <v>240</v>
      </c>
      <c r="AM248" s="5">
        <f>VLOOKUP($A248,'SegEnds_NonXtal_Prot#'!$A:$AL,32,FALSE)</f>
        <v>283</v>
      </c>
      <c r="AN248" s="5">
        <f>VLOOKUP($A248,'SegEnds_NonXtal_Prot#'!$A:$AL,35,FALSE)</f>
        <v>316</v>
      </c>
      <c r="AO248" s="5">
        <f>VLOOKUP($A248,'SegEnds_NonXtal_Prot#'!$A:$AL,38,FALSE)</f>
        <v>329</v>
      </c>
      <c r="AP248" s="5">
        <f t="shared" si="88"/>
        <v>30</v>
      </c>
      <c r="AQ248" s="4">
        <f t="shared" si="89"/>
        <v>3</v>
      </c>
      <c r="AR248" s="4">
        <f t="shared" si="90"/>
        <v>29</v>
      </c>
      <c r="AS248" s="4">
        <f t="shared" si="91"/>
        <v>3</v>
      </c>
      <c r="AT248" s="4">
        <f t="shared" si="92"/>
        <v>35</v>
      </c>
      <c r="AU248" s="4">
        <f t="shared" si="93"/>
        <v>7</v>
      </c>
      <c r="AV248" s="4">
        <f t="shared" si="94"/>
        <v>26</v>
      </c>
      <c r="AW248" s="4">
        <f t="shared" si="95"/>
        <v>2</v>
      </c>
      <c r="AX248" s="4">
        <f t="shared" si="96"/>
        <v>42</v>
      </c>
      <c r="AY248" s="4">
        <f t="shared" si="97"/>
        <v>37</v>
      </c>
      <c r="AZ248" s="4">
        <f t="shared" si="98"/>
        <v>28</v>
      </c>
      <c r="BA248" s="4">
        <f t="shared" si="99"/>
        <v>12</v>
      </c>
    </row>
    <row r="249" spans="1:53" x14ac:dyDescent="0.2">
      <c r="A249" s="1" t="str">
        <f>'SegEnds_NonXtal_Prot#'!A237</f>
        <v>ssr4_human</v>
      </c>
      <c r="B249" s="1" t="str">
        <f t="shared" si="75"/>
        <v>AGPGDARAAGMVAIQCIYALVCLVGLVGNALVIFVILRYTATNIYLLNLAVADELFMLSVPFVASSAALGSVLCRAVLSVDGLNMFTSVFCLTVLSVDRYVAVVHRPSVAKLINLGVWLASLLVTLPIAIFAHPAWSAVFVVYTFLLGFLLPVLAIGLCYLLIVGKMRAVWQQRRRSEKKITRLVLMVVVVFVLCWMPFYVVQLLNLFVATVNHVSLILSYANSCANPILYGFLSDNFRRFFQRVLCL</v>
      </c>
      <c r="C249" s="29" t="str">
        <f>IF(ISERROR(MATCH(A249,'SegEnds_Xtal_Prot#'!B:B, 0)), "NoXtal", "Xtal")</f>
        <v>NoXtal</v>
      </c>
      <c r="D249" s="4" t="str">
        <f>VLOOKUP(A249,Classification!A:D,2,FALSE)</f>
        <v>A</v>
      </c>
      <c r="E249" s="5" t="str">
        <f>VLOOKUP(A249,Seqs!A:B,2,FALSE)</f>
        <v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v>
      </c>
      <c r="F249" s="5" t="str">
        <f t="shared" si="76"/>
        <v>AGPGDARAAGMVAIQCIYALVCLVGLVGNALVIFVILRY</v>
      </c>
      <c r="G249" s="4" t="str">
        <f t="shared" si="77"/>
        <v>AKMK</v>
      </c>
      <c r="H249" s="4" t="str">
        <f t="shared" si="78"/>
        <v>TATNIYLLNLAVADELFMLSVPFVASSAAL</v>
      </c>
      <c r="I249" s="4" t="str">
        <f t="shared" si="79"/>
        <v>HWPF</v>
      </c>
      <c r="J249" s="4" t="str">
        <f t="shared" si="80"/>
        <v>GSVLCRAVLSVDGLNMFTSVFCLTVLSVDRYVAVVH</v>
      </c>
      <c r="K249" s="4" t="str">
        <f t="shared" si="81"/>
        <v>PLRAATYR</v>
      </c>
      <c r="L249" s="4" t="str">
        <f t="shared" si="82"/>
        <v>RPSVAKLINLGVWLASLLVTLPIAIFA</v>
      </c>
      <c r="M249" s="4" t="str">
        <f t="shared" si="83"/>
        <v>CNL</v>
      </c>
      <c r="N249" s="4" t="str">
        <f t="shared" si="84"/>
        <v>HPAWSAVFVVYTFLLGFLLPVLAIGLCYLLIVGKMRAV</v>
      </c>
      <c r="O249" s="4" t="str">
        <f t="shared" si="85"/>
        <v>WQQRRRSEKKITRLVLMVVVVFVLCWMPFYVVQLLNLFV</v>
      </c>
      <c r="P249" s="4" t="str">
        <f t="shared" si="86"/>
        <v>ATVNHVSLILSYANSCANPILYGFL</v>
      </c>
      <c r="Q249" s="4" t="str">
        <f t="shared" si="87"/>
        <v>SDNFRRFFQRVLCL</v>
      </c>
      <c r="R249" s="5">
        <f>VLOOKUP($A249,'SegEnds_NonXtal_Prot#'!$A:$AL,3,FALSE)</f>
        <v>37</v>
      </c>
      <c r="S249" s="5">
        <f>VLOOKUP($A249,'SegEnds_NonXtal_Prot#'!$A:$AL,6,FALSE)</f>
        <v>76</v>
      </c>
      <c r="T249" s="5">
        <f>VLOOKUP($A249,'SegEnds_NonXtal_Prot#'!$A:$AL,9,FALSE)</f>
        <v>80</v>
      </c>
      <c r="U249" s="5">
        <f>VLOOKUP($A249,'SegEnds_NonXtal_Prot#'!$A:$AL,12,FALSE)</f>
        <v>111</v>
      </c>
      <c r="V249" s="5">
        <f>VLOOKUP($A249,'SegEnds_NonXtal_Prot#'!$A:$AL,15,FALSE)</f>
        <v>115</v>
      </c>
      <c r="W249" s="5">
        <f>VLOOKUP($A249,'SegEnds_NonXtal_Prot#'!$A:$AL,18,FALSE)</f>
        <v>151</v>
      </c>
      <c r="X249" s="5">
        <f>VLOOKUP($A249,'SegEnds_NonXtal_Prot#'!$A:$AL,21,FALSE)</f>
        <v>159</v>
      </c>
      <c r="Y249" s="5">
        <f>VLOOKUP($A249,'SegEnds_NonXtal_Prot#'!$A:$AL,24,FALSE)</f>
        <v>198</v>
      </c>
      <c r="Z249" s="5">
        <f>VLOOKUP($A249,'SegEnds_NonXtal_Prot#'!$A:$AL,27,FALSE)</f>
        <v>204</v>
      </c>
      <c r="AA249" s="5">
        <f>VLOOKUP($A249,'SegEnds_NonXtal_Prot#'!$A:$AL,30,FALSE)</f>
        <v>247</v>
      </c>
      <c r="AB249" s="5">
        <f>VLOOKUP($A249,'SegEnds_NonXtal_Prot#'!$A:$AL,33,FALSE)</f>
        <v>290</v>
      </c>
      <c r="AC249" s="5">
        <f>VLOOKUP($A249,'SegEnds_NonXtal_Prot#'!$A:$AL,36,FALSE)</f>
        <v>315</v>
      </c>
      <c r="AD249" s="5">
        <f>VLOOKUP($A249,'SegEnds_NonXtal_Prot#'!$A:$AL,5,FALSE)</f>
        <v>75</v>
      </c>
      <c r="AE249" s="5">
        <f>VLOOKUP($A249,'SegEnds_NonXtal_Prot#'!$A:$AL,8,FALSE)</f>
        <v>79</v>
      </c>
      <c r="AF249" s="5">
        <f>VLOOKUP($A249,'SegEnds_NonXtal_Prot#'!$A:$AL,11,FALSE)</f>
        <v>109</v>
      </c>
      <c r="AG249" s="5">
        <f>VLOOKUP($A249,'SegEnds_NonXtal_Prot#'!$A:$AL,14,FALSE)</f>
        <v>114</v>
      </c>
      <c r="AH249" s="5">
        <f>VLOOKUP($A249,'SegEnds_NonXtal_Prot#'!$A:$AL,17,FALSE)</f>
        <v>150</v>
      </c>
      <c r="AI249" s="5">
        <f>VLOOKUP($A249,'SegEnds_NonXtal_Prot#'!$A:$AL,20,FALSE)</f>
        <v>158</v>
      </c>
      <c r="AJ249" s="5">
        <f>VLOOKUP($A249,'SegEnds_NonXtal_Prot#'!$A:$AL,23,FALSE)</f>
        <v>185</v>
      </c>
      <c r="AK249" s="5">
        <f>VLOOKUP($A249,'SegEnds_NonXtal_Prot#'!$A:$AL,26,FALSE)</f>
        <v>200</v>
      </c>
      <c r="AL249" s="5">
        <f>VLOOKUP($A249,'SegEnds_NonXtal_Prot#'!$A:$AL,29,FALSE)</f>
        <v>241</v>
      </c>
      <c r="AM249" s="5">
        <f>VLOOKUP($A249,'SegEnds_NonXtal_Prot#'!$A:$AL,32,FALSE)</f>
        <v>285</v>
      </c>
      <c r="AN249" s="5">
        <f>VLOOKUP($A249,'SegEnds_NonXtal_Prot#'!$A:$AL,35,FALSE)</f>
        <v>314</v>
      </c>
      <c r="AO249" s="5">
        <f>VLOOKUP($A249,'SegEnds_NonXtal_Prot#'!$A:$AL,38,FALSE)</f>
        <v>328</v>
      </c>
      <c r="AP249" s="5">
        <f t="shared" si="88"/>
        <v>38</v>
      </c>
      <c r="AQ249" s="4">
        <f t="shared" si="89"/>
        <v>3</v>
      </c>
      <c r="AR249" s="4">
        <f t="shared" si="90"/>
        <v>29</v>
      </c>
      <c r="AS249" s="4">
        <f t="shared" si="91"/>
        <v>3</v>
      </c>
      <c r="AT249" s="4">
        <f t="shared" si="92"/>
        <v>35</v>
      </c>
      <c r="AU249" s="4">
        <f t="shared" si="93"/>
        <v>7</v>
      </c>
      <c r="AV249" s="4">
        <f t="shared" si="94"/>
        <v>26</v>
      </c>
      <c r="AW249" s="4">
        <f t="shared" si="95"/>
        <v>2</v>
      </c>
      <c r="AX249" s="4">
        <f t="shared" si="96"/>
        <v>37</v>
      </c>
      <c r="AY249" s="4">
        <f t="shared" si="97"/>
        <v>38</v>
      </c>
      <c r="AZ249" s="4">
        <f t="shared" si="98"/>
        <v>24</v>
      </c>
      <c r="BA249" s="4">
        <f t="shared" si="99"/>
        <v>13</v>
      </c>
    </row>
    <row r="250" spans="1:53" x14ac:dyDescent="0.2">
      <c r="A250" s="1" t="str">
        <f>'SegEnds_NonXtal_Prot#'!A238</f>
        <v>ssr5_human</v>
      </c>
      <c r="B250" s="1" t="str">
        <f t="shared" si="75"/>
        <v>ARAVLVPVLYLLVCAAGLGGNTLVIYVVLRFTVTNIYILNLAVADVLYMLGLPFLATQNAAGPVLCRLVMTLDGVNQFTSVFCLTVMSVDRYLAVVHRPRVAKLASAAAWVLSLCMSLPLLVFAPVGLWGAVFIIYTAVLGFFAPLLVICLCYLLIVVKVRAAGVRVSERKVTRMVLVVVLVFAGCWLPFFTVNIVNLAVEPASAGLYFFVVILSYANSCANPVLYGFLSDNFRQSFQKVLC</v>
      </c>
      <c r="C250" s="29" t="str">
        <f>IF(ISERROR(MATCH(A250,'SegEnds_Xtal_Prot#'!B:B, 0)), "NoXtal", "Xtal")</f>
        <v>NoXtal</v>
      </c>
      <c r="D250" s="4" t="str">
        <f>VLOOKUP(A250,Classification!A:D,2,FALSE)</f>
        <v>A</v>
      </c>
      <c r="E250" s="5" t="str">
        <f>VLOOKUP(A250,Seqs!A:B,2,FALSE)</f>
        <v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v>
      </c>
      <c r="F250" s="5" t="str">
        <f t="shared" si="76"/>
        <v>ARAVLVPVLYLLVCAAGLGGNTLVIYVVLRF</v>
      </c>
      <c r="G250" s="4" t="str">
        <f t="shared" si="77"/>
        <v>AKMK</v>
      </c>
      <c r="H250" s="4" t="str">
        <f t="shared" si="78"/>
        <v>TVTNIYILNLAVADVLYMLGLPFLATQNAA</v>
      </c>
      <c r="I250" s="4" t="str">
        <f t="shared" si="79"/>
        <v>FWPF</v>
      </c>
      <c r="J250" s="4" t="str">
        <f t="shared" si="80"/>
        <v>GPVLCRLVMTLDGVNQFTSVFCLTVMSVDRYLAVVH</v>
      </c>
      <c r="K250" s="4" t="str">
        <f t="shared" si="81"/>
        <v>PLSSARWR</v>
      </c>
      <c r="L250" s="4" t="str">
        <f t="shared" si="82"/>
        <v>RPRVAKLASAAAWVLSLCMSLPLLVFA</v>
      </c>
      <c r="M250" s="4" t="str">
        <f t="shared" si="83"/>
        <v>CNA</v>
      </c>
      <c r="N250" s="4" t="str">
        <f t="shared" si="84"/>
        <v>PVGLWGAVFIIYTAVLGFFAPLLVICLCYLLIVVKVRAAGVRV</v>
      </c>
      <c r="O250" s="4" t="str">
        <f t="shared" si="85"/>
        <v>SERKVTRMVLVVVLVFAGCWLPFFTVNIVNLAV</v>
      </c>
      <c r="P250" s="4" t="str">
        <f t="shared" si="86"/>
        <v>EPASAGLYFFVVILSYANSCANPVLYGFL</v>
      </c>
      <c r="Q250" s="4" t="str">
        <f t="shared" si="87"/>
        <v>SDNFRQSFQKVLC</v>
      </c>
      <c r="R250" s="5">
        <f>VLOOKUP($A250,'SegEnds_NonXtal_Prot#'!$A:$AL,3,FALSE)</f>
        <v>38</v>
      </c>
      <c r="S250" s="5">
        <f>VLOOKUP($A250,'SegEnds_NonXtal_Prot#'!$A:$AL,6,FALSE)</f>
        <v>69</v>
      </c>
      <c r="T250" s="5">
        <f>VLOOKUP($A250,'SegEnds_NonXtal_Prot#'!$A:$AL,9,FALSE)</f>
        <v>73</v>
      </c>
      <c r="U250" s="5">
        <f>VLOOKUP($A250,'SegEnds_NonXtal_Prot#'!$A:$AL,12,FALSE)</f>
        <v>104</v>
      </c>
      <c r="V250" s="5">
        <f>VLOOKUP($A250,'SegEnds_NonXtal_Prot#'!$A:$AL,15,FALSE)</f>
        <v>108</v>
      </c>
      <c r="W250" s="5">
        <f>VLOOKUP($A250,'SegEnds_NonXtal_Prot#'!$A:$AL,18,FALSE)</f>
        <v>144</v>
      </c>
      <c r="X250" s="5">
        <f>VLOOKUP($A250,'SegEnds_NonXtal_Prot#'!$A:$AL,21,FALSE)</f>
        <v>152</v>
      </c>
      <c r="Y250" s="5">
        <f>VLOOKUP($A250,'SegEnds_NonXtal_Prot#'!$A:$AL,24,FALSE)</f>
        <v>186</v>
      </c>
      <c r="Z250" s="5">
        <f>VLOOKUP($A250,'SegEnds_NonXtal_Prot#'!$A:$AL,27,FALSE)</f>
        <v>193</v>
      </c>
      <c r="AA250" s="5">
        <f>VLOOKUP($A250,'SegEnds_NonXtal_Prot#'!$A:$AL,30,FALSE)</f>
        <v>242</v>
      </c>
      <c r="AB250" s="5">
        <f>VLOOKUP($A250,'SegEnds_NonXtal_Prot#'!$A:$AL,33,FALSE)</f>
        <v>279</v>
      </c>
      <c r="AC250" s="5">
        <f>VLOOKUP($A250,'SegEnds_NonXtal_Prot#'!$A:$AL,36,FALSE)</f>
        <v>308</v>
      </c>
      <c r="AD250" s="5">
        <f>VLOOKUP($A250,'SegEnds_NonXtal_Prot#'!$A:$AL,5,FALSE)</f>
        <v>68</v>
      </c>
      <c r="AE250" s="5">
        <f>VLOOKUP($A250,'SegEnds_NonXtal_Prot#'!$A:$AL,8,FALSE)</f>
        <v>72</v>
      </c>
      <c r="AF250" s="5">
        <f>VLOOKUP($A250,'SegEnds_NonXtal_Prot#'!$A:$AL,11,FALSE)</f>
        <v>102</v>
      </c>
      <c r="AG250" s="5">
        <f>VLOOKUP($A250,'SegEnds_NonXtal_Prot#'!$A:$AL,14,FALSE)</f>
        <v>107</v>
      </c>
      <c r="AH250" s="5">
        <f>VLOOKUP($A250,'SegEnds_NonXtal_Prot#'!$A:$AL,17,FALSE)</f>
        <v>143</v>
      </c>
      <c r="AI250" s="5">
        <f>VLOOKUP($A250,'SegEnds_NonXtal_Prot#'!$A:$AL,20,FALSE)</f>
        <v>151</v>
      </c>
      <c r="AJ250" s="5">
        <f>VLOOKUP($A250,'SegEnds_NonXtal_Prot#'!$A:$AL,23,FALSE)</f>
        <v>178</v>
      </c>
      <c r="AK250" s="5">
        <f>VLOOKUP($A250,'SegEnds_NonXtal_Prot#'!$A:$AL,26,FALSE)</f>
        <v>188</v>
      </c>
      <c r="AL250" s="5">
        <f>VLOOKUP($A250,'SegEnds_NonXtal_Prot#'!$A:$AL,29,FALSE)</f>
        <v>235</v>
      </c>
      <c r="AM250" s="5">
        <f>VLOOKUP($A250,'SegEnds_NonXtal_Prot#'!$A:$AL,32,FALSE)</f>
        <v>274</v>
      </c>
      <c r="AN250" s="5">
        <f>VLOOKUP($A250,'SegEnds_NonXtal_Prot#'!$A:$AL,35,FALSE)</f>
        <v>307</v>
      </c>
      <c r="AO250" s="5">
        <f>VLOOKUP($A250,'SegEnds_NonXtal_Prot#'!$A:$AL,38,FALSE)</f>
        <v>320</v>
      </c>
      <c r="AP250" s="5">
        <f t="shared" si="88"/>
        <v>30</v>
      </c>
      <c r="AQ250" s="4">
        <f t="shared" si="89"/>
        <v>3</v>
      </c>
      <c r="AR250" s="4">
        <f t="shared" si="90"/>
        <v>29</v>
      </c>
      <c r="AS250" s="4">
        <f t="shared" si="91"/>
        <v>3</v>
      </c>
      <c r="AT250" s="4">
        <f t="shared" si="92"/>
        <v>35</v>
      </c>
      <c r="AU250" s="4">
        <f t="shared" si="93"/>
        <v>7</v>
      </c>
      <c r="AV250" s="4">
        <f t="shared" si="94"/>
        <v>26</v>
      </c>
      <c r="AW250" s="4">
        <f t="shared" si="95"/>
        <v>2</v>
      </c>
      <c r="AX250" s="4">
        <f t="shared" si="96"/>
        <v>42</v>
      </c>
      <c r="AY250" s="4">
        <f t="shared" si="97"/>
        <v>32</v>
      </c>
      <c r="AZ250" s="4">
        <f t="shared" si="98"/>
        <v>28</v>
      </c>
      <c r="BA250" s="4">
        <f t="shared" si="99"/>
        <v>12</v>
      </c>
    </row>
    <row r="251" spans="1:53" x14ac:dyDescent="0.2">
      <c r="A251" s="1" t="str">
        <f>'SegEnds_NonXtal_Prot#'!A239</f>
        <v>sucr1_human</v>
      </c>
      <c r="B251" s="1" t="str">
        <f t="shared" si="75"/>
        <v>LEKYYLSIFYGIEFVVGVLGNTIVVYGYIFSNSSNIYLFNLSVSDLAFLCTLPMLIRSYANGDVLCISNRYVLHANLYTSILFLTFISIDRYLIIKYKKEFAILISLAIWVLVTLELLPILPLIPNYNLIYSMCLTLLGFLIPLFVMCFFYYKIALFLKQRVATALPLEKPLNLVIMAVVIFSVLFTPYHVMRNVRIASRLGYQCTQVVINSFYIVTRPLAFLNSVINPVFYFLLGDHFRDMLMNQLR</v>
      </c>
      <c r="C251" s="29" t="str">
        <f>IF(ISERROR(MATCH(A251,'SegEnds_Xtal_Prot#'!B:B, 0)), "NoXtal", "Xtal")</f>
        <v>NoXtal</v>
      </c>
      <c r="D251" s="4" t="str">
        <f>VLOOKUP(A251,Classification!A:D,2,FALSE)</f>
        <v>A</v>
      </c>
      <c r="E251" s="5" t="str">
        <f>VLOOKUP(A251,Seqs!A:B,2,FALSE)</f>
        <v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v>
      </c>
      <c r="F251" s="5" t="str">
        <f t="shared" si="76"/>
        <v>LEKYYLSIFYGIEFVVGVLGNTIVVYGYIFS</v>
      </c>
      <c r="G251" s="4" t="str">
        <f t="shared" si="77"/>
        <v/>
      </c>
      <c r="H251" s="4" t="str">
        <f t="shared" si="78"/>
        <v>NSSNIYLFNLSVSDLAFLCTLPMLIRSYAN</v>
      </c>
      <c r="I251" s="4" t="str">
        <f t="shared" si="79"/>
        <v>NWIY</v>
      </c>
      <c r="J251" s="4" t="str">
        <f t="shared" si="80"/>
        <v>GDVLCISNRYVLHANLYTSILFLTFISIDRYLIIKY</v>
      </c>
      <c r="K251" s="4" t="str">
        <f t="shared" si="81"/>
        <v>PFREHLLQ</v>
      </c>
      <c r="L251" s="4" t="str">
        <f t="shared" si="82"/>
        <v>KKEFAILISLAIWVLVTLELLPILPLI</v>
      </c>
      <c r="M251" s="4" t="str">
        <f t="shared" si="83"/>
        <v>CND</v>
      </c>
      <c r="N251" s="4" t="str">
        <f t="shared" si="84"/>
        <v>PNYNLIYSMCLTLLGFLIPLFVMCFFYYKIALFLKQR</v>
      </c>
      <c r="O251" s="4" t="str">
        <f t="shared" si="85"/>
        <v>VATALPLEKPLNLVIMAVVIFSVLFTPYHVMRNVRIASRLG</v>
      </c>
      <c r="P251" s="4" t="str">
        <f t="shared" si="86"/>
        <v>YQCTQVVINSFYIVTRPLAFLNSVINPVFYFLL</v>
      </c>
      <c r="Q251" s="4" t="str">
        <f t="shared" si="87"/>
        <v>GDHFRDMLMNQLR</v>
      </c>
      <c r="R251" s="5">
        <f>VLOOKUP($A251,'SegEnds_NonXtal_Prot#'!$A:$AL,3,FALSE)</f>
        <v>21</v>
      </c>
      <c r="S251" s="5" t="str">
        <f>VLOOKUP($A251,'SegEnds_NonXtal_Prot#'!$A:$AL,6,FALSE)</f>
        <v>-</v>
      </c>
      <c r="T251" s="5">
        <f>VLOOKUP($A251,'SegEnds_NonXtal_Prot#'!$A:$AL,9,FALSE)</f>
        <v>56</v>
      </c>
      <c r="U251" s="5">
        <f>VLOOKUP($A251,'SegEnds_NonXtal_Prot#'!$A:$AL,12,FALSE)</f>
        <v>87</v>
      </c>
      <c r="V251" s="5">
        <f>VLOOKUP($A251,'SegEnds_NonXtal_Prot#'!$A:$AL,15,FALSE)</f>
        <v>91</v>
      </c>
      <c r="W251" s="5">
        <f>VLOOKUP($A251,'SegEnds_NonXtal_Prot#'!$A:$AL,18,FALSE)</f>
        <v>127</v>
      </c>
      <c r="X251" s="5">
        <f>VLOOKUP($A251,'SegEnds_NonXtal_Prot#'!$A:$AL,21,FALSE)</f>
        <v>135</v>
      </c>
      <c r="Y251" s="5">
        <f>VLOOKUP($A251,'SegEnds_NonXtal_Prot#'!$A:$AL,24,FALSE)</f>
        <v>172</v>
      </c>
      <c r="Z251" s="5">
        <f>VLOOKUP($A251,'SegEnds_NonXtal_Prot#'!$A:$AL,27,FALSE)</f>
        <v>181</v>
      </c>
      <c r="AA251" s="5">
        <f>VLOOKUP($A251,'SegEnds_NonXtal_Prot#'!$A:$AL,30,FALSE)</f>
        <v>221</v>
      </c>
      <c r="AB251" s="5">
        <f>VLOOKUP($A251,'SegEnds_NonXtal_Prot#'!$A:$AL,33,FALSE)</f>
        <v>266</v>
      </c>
      <c r="AC251" s="5">
        <f>VLOOKUP($A251,'SegEnds_NonXtal_Prot#'!$A:$AL,36,FALSE)</f>
        <v>299</v>
      </c>
      <c r="AD251" s="5">
        <f>VLOOKUP($A251,'SegEnds_NonXtal_Prot#'!$A:$AL,5,FALSE)</f>
        <v>51</v>
      </c>
      <c r="AE251" s="5" t="str">
        <f>VLOOKUP($A251,'SegEnds_NonXtal_Prot#'!$A:$AL,8,FALSE)</f>
        <v>-</v>
      </c>
      <c r="AF251" s="5">
        <f>VLOOKUP($A251,'SegEnds_NonXtal_Prot#'!$A:$AL,11,FALSE)</f>
        <v>85</v>
      </c>
      <c r="AG251" s="5">
        <f>VLOOKUP($A251,'SegEnds_NonXtal_Prot#'!$A:$AL,14,FALSE)</f>
        <v>90</v>
      </c>
      <c r="AH251" s="5">
        <f>VLOOKUP($A251,'SegEnds_NonXtal_Prot#'!$A:$AL,17,FALSE)</f>
        <v>126</v>
      </c>
      <c r="AI251" s="5">
        <f>VLOOKUP($A251,'SegEnds_NonXtal_Prot#'!$A:$AL,20,FALSE)</f>
        <v>134</v>
      </c>
      <c r="AJ251" s="5">
        <f>VLOOKUP($A251,'SegEnds_NonXtal_Prot#'!$A:$AL,23,FALSE)</f>
        <v>161</v>
      </c>
      <c r="AK251" s="5">
        <f>VLOOKUP($A251,'SegEnds_NonXtal_Prot#'!$A:$AL,26,FALSE)</f>
        <v>174</v>
      </c>
      <c r="AL251" s="5">
        <f>VLOOKUP($A251,'SegEnds_NonXtal_Prot#'!$A:$AL,29,FALSE)</f>
        <v>217</v>
      </c>
      <c r="AM251" s="5">
        <f>VLOOKUP($A251,'SegEnds_NonXtal_Prot#'!$A:$AL,32,FALSE)</f>
        <v>261</v>
      </c>
      <c r="AN251" s="5">
        <f>VLOOKUP($A251,'SegEnds_NonXtal_Prot#'!$A:$AL,35,FALSE)</f>
        <v>298</v>
      </c>
      <c r="AO251" s="5">
        <f>VLOOKUP($A251,'SegEnds_NonXtal_Prot#'!$A:$AL,38,FALSE)</f>
        <v>311</v>
      </c>
      <c r="AP251" s="5">
        <f t="shared" si="88"/>
        <v>30</v>
      </c>
      <c r="AQ251" s="4" t="str">
        <f t="shared" si="89"/>
        <v>-</v>
      </c>
      <c r="AR251" s="4">
        <f t="shared" si="90"/>
        <v>29</v>
      </c>
      <c r="AS251" s="4">
        <f t="shared" si="91"/>
        <v>3</v>
      </c>
      <c r="AT251" s="4">
        <f t="shared" si="92"/>
        <v>35</v>
      </c>
      <c r="AU251" s="4">
        <f t="shared" si="93"/>
        <v>7</v>
      </c>
      <c r="AV251" s="4">
        <f t="shared" si="94"/>
        <v>26</v>
      </c>
      <c r="AW251" s="4">
        <f t="shared" si="95"/>
        <v>2</v>
      </c>
      <c r="AX251" s="4">
        <f t="shared" si="96"/>
        <v>36</v>
      </c>
      <c r="AY251" s="4">
        <f t="shared" si="97"/>
        <v>40</v>
      </c>
      <c r="AZ251" s="4">
        <f t="shared" si="98"/>
        <v>32</v>
      </c>
      <c r="BA251" s="4">
        <f t="shared" si="99"/>
        <v>12</v>
      </c>
    </row>
    <row r="252" spans="1:53" x14ac:dyDescent="0.2">
      <c r="A252" s="1" t="str">
        <f>'SegEnds_NonXtal_Prot#'!A240</f>
        <v>ta2r_human</v>
      </c>
      <c r="B252" s="1" t="str">
        <f t="shared" si="75"/>
        <v>PWFAASFCVVGLASNLLALSVLAGARQSSFLTFLCGLVLTDFLGLLVTGTIVVSQHAAVDPGCRLCRFMGVVMIFFGLSPLLLGAAMASERYLGITRSQRRAWATVGLVWAAALALGLLPLLGFSMLGGLSVGLSFLLNTVSVATLCHVYHGQEAAQQRPEVEMMAQLLGIMVVASVCWLPLLVFIAQTVLRNPPAGQLSRTTEKELLIYLRVATWNQILDPWVYILFRRAVLRRLQPRLSTRPRSLS</v>
      </c>
      <c r="C252" s="29" t="str">
        <f>IF(ISERROR(MATCH(A252,'SegEnds_Xtal_Prot#'!B:B, 0)), "NoXtal", "Xtal")</f>
        <v>NoXtal</v>
      </c>
      <c r="D252" s="4" t="str">
        <f>VLOOKUP(A252,Classification!A:D,2,FALSE)</f>
        <v>A</v>
      </c>
      <c r="E252" s="5" t="str">
        <f>VLOOKUP(A252,Seqs!A:B,2,FALSE)</f>
        <v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v>
      </c>
      <c r="F252" s="5" t="str">
        <f t="shared" si="76"/>
        <v>PWFAASFCVVGLASNLLALSVLAGARQ</v>
      </c>
      <c r="G252" s="4" t="str">
        <f t="shared" si="77"/>
        <v/>
      </c>
      <c r="H252" s="4" t="str">
        <f t="shared" si="78"/>
        <v>SSFLTFLCGLVLTDFLGLLVTGTIVVSQHAA</v>
      </c>
      <c r="I252" s="4" t="str">
        <f t="shared" si="79"/>
        <v>EWHA</v>
      </c>
      <c r="J252" s="4" t="str">
        <f t="shared" si="80"/>
        <v>VDPGCRLCRFMGVVMIFFGLSPLLLGAAMASERYLGITR</v>
      </c>
      <c r="K252" s="4" t="str">
        <f t="shared" si="81"/>
        <v>PFSRPAVA</v>
      </c>
      <c r="L252" s="4" t="str">
        <f t="shared" si="82"/>
        <v>SQRRAWATVGLVWAAALALGLLPLLG</v>
      </c>
      <c r="M252" s="4" t="str">
        <f t="shared" si="83"/>
        <v>CFL</v>
      </c>
      <c r="N252" s="4" t="str">
        <f t="shared" si="84"/>
        <v>FSMLGGLSVGLSFLLNTVSVATLCHVYHGQEAAQQRP</v>
      </c>
      <c r="O252" s="4" t="str">
        <f t="shared" si="85"/>
        <v>EVEMMAQLLGIMVVASVCWLPLLVFIAQTVLRNPP</v>
      </c>
      <c r="P252" s="4" t="str">
        <f t="shared" si="86"/>
        <v>AGQLSRTTEKELLIYLRVATWNQILDPWVY</v>
      </c>
      <c r="Q252" s="4" t="str">
        <f t="shared" si="87"/>
        <v>ILFRRAVLRRLQPRLSTRPRSLS</v>
      </c>
      <c r="R252" s="5">
        <f>VLOOKUP($A252,'SegEnds_NonXtal_Prot#'!$A:$AL,3,FALSE)</f>
        <v>28</v>
      </c>
      <c r="S252" s="5" t="str">
        <f>VLOOKUP($A252,'SegEnds_NonXtal_Prot#'!$A:$AL,6,FALSE)</f>
        <v>-</v>
      </c>
      <c r="T252" s="5">
        <f>VLOOKUP($A252,'SegEnds_NonXtal_Prot#'!$A:$AL,9,FALSE)</f>
        <v>61</v>
      </c>
      <c r="U252" s="5">
        <f>VLOOKUP($A252,'SegEnds_NonXtal_Prot#'!$A:$AL,12,FALSE)</f>
        <v>94</v>
      </c>
      <c r="V252" s="5">
        <f>VLOOKUP($A252,'SegEnds_NonXtal_Prot#'!$A:$AL,15,FALSE)</f>
        <v>98</v>
      </c>
      <c r="W252" s="5">
        <f>VLOOKUP($A252,'SegEnds_NonXtal_Prot#'!$A:$AL,18,FALSE)</f>
        <v>137</v>
      </c>
      <c r="X252" s="5">
        <f>VLOOKUP($A252,'SegEnds_NonXtal_Prot#'!$A:$AL,21,FALSE)</f>
        <v>145</v>
      </c>
      <c r="Y252" s="5">
        <f>VLOOKUP($A252,'SegEnds_NonXtal_Prot#'!$A:$AL,24,FALSE)</f>
        <v>183</v>
      </c>
      <c r="Z252" s="5">
        <f>VLOOKUP($A252,'SegEnds_NonXtal_Prot#'!$A:$AL,27,FALSE)</f>
        <v>200</v>
      </c>
      <c r="AA252" s="5">
        <f>VLOOKUP($A252,'SegEnds_NonXtal_Prot#'!$A:$AL,30,FALSE)</f>
        <v>240</v>
      </c>
      <c r="AB252" s="5">
        <f>VLOOKUP($A252,'SegEnds_NonXtal_Prot#'!$A:$AL,33,FALSE)</f>
        <v>279</v>
      </c>
      <c r="AC252" s="5">
        <f>VLOOKUP($A252,'SegEnds_NonXtal_Prot#'!$A:$AL,36,FALSE)</f>
        <v>309</v>
      </c>
      <c r="AD252" s="5">
        <f>VLOOKUP($A252,'SegEnds_NonXtal_Prot#'!$A:$AL,5,FALSE)</f>
        <v>54</v>
      </c>
      <c r="AE252" s="5" t="str">
        <f>VLOOKUP($A252,'SegEnds_NonXtal_Prot#'!$A:$AL,8,FALSE)</f>
        <v>-</v>
      </c>
      <c r="AF252" s="5">
        <f>VLOOKUP($A252,'SegEnds_NonXtal_Prot#'!$A:$AL,11,FALSE)</f>
        <v>91</v>
      </c>
      <c r="AG252" s="5">
        <f>VLOOKUP($A252,'SegEnds_NonXtal_Prot#'!$A:$AL,14,FALSE)</f>
        <v>97</v>
      </c>
      <c r="AH252" s="5">
        <f>VLOOKUP($A252,'SegEnds_NonXtal_Prot#'!$A:$AL,17,FALSE)</f>
        <v>136</v>
      </c>
      <c r="AI252" s="5">
        <f>VLOOKUP($A252,'SegEnds_NonXtal_Prot#'!$A:$AL,20,FALSE)</f>
        <v>144</v>
      </c>
      <c r="AJ252" s="5">
        <f>VLOOKUP($A252,'SegEnds_NonXtal_Prot#'!$A:$AL,23,FALSE)</f>
        <v>170</v>
      </c>
      <c r="AK252" s="5">
        <f>VLOOKUP($A252,'SegEnds_NonXtal_Prot#'!$A:$AL,26,FALSE)</f>
        <v>185</v>
      </c>
      <c r="AL252" s="5">
        <f>VLOOKUP($A252,'SegEnds_NonXtal_Prot#'!$A:$AL,29,FALSE)</f>
        <v>236</v>
      </c>
      <c r="AM252" s="5">
        <f>VLOOKUP($A252,'SegEnds_NonXtal_Prot#'!$A:$AL,32,FALSE)</f>
        <v>274</v>
      </c>
      <c r="AN252" s="5">
        <f>VLOOKUP($A252,'SegEnds_NonXtal_Prot#'!$A:$AL,35,FALSE)</f>
        <v>308</v>
      </c>
      <c r="AO252" s="5">
        <f>VLOOKUP($A252,'SegEnds_NonXtal_Prot#'!$A:$AL,38,FALSE)</f>
        <v>331</v>
      </c>
      <c r="AP252" s="5">
        <f t="shared" si="88"/>
        <v>26</v>
      </c>
      <c r="AQ252" s="4" t="str">
        <f t="shared" si="89"/>
        <v>-</v>
      </c>
      <c r="AR252" s="4">
        <f t="shared" si="90"/>
        <v>30</v>
      </c>
      <c r="AS252" s="4">
        <f t="shared" si="91"/>
        <v>3</v>
      </c>
      <c r="AT252" s="4">
        <f t="shared" si="92"/>
        <v>38</v>
      </c>
      <c r="AU252" s="4">
        <f t="shared" si="93"/>
        <v>7</v>
      </c>
      <c r="AV252" s="4">
        <f t="shared" si="94"/>
        <v>25</v>
      </c>
      <c r="AW252" s="4">
        <f t="shared" si="95"/>
        <v>2</v>
      </c>
      <c r="AX252" s="4">
        <f t="shared" si="96"/>
        <v>36</v>
      </c>
      <c r="AY252" s="4">
        <f t="shared" si="97"/>
        <v>34</v>
      </c>
      <c r="AZ252" s="4">
        <f t="shared" si="98"/>
        <v>29</v>
      </c>
      <c r="BA252" s="4">
        <f t="shared" si="99"/>
        <v>22</v>
      </c>
    </row>
    <row r="253" spans="1:53" x14ac:dyDescent="0.2">
      <c r="A253" s="1" t="str">
        <f>'SegEnds_NonXtal_Prot#'!A241</f>
        <v>taar1_human</v>
      </c>
      <c r="B253" s="1" t="str">
        <f t="shared" si="75"/>
        <v>NDVRASLYSLMVLIILTTLVGNLIVIVSISHFTPTNWLIHSMATVDFLLGCLVMPYSMVRSAEHGEVFCKIHTSTDIMLSSASIFHLSFISIDRYYAVCDNILVICVMIFISWSVPAVFAFGMIFSKISGVLTFMTSFYIPGSIMLCVYYRIYLIAKEQARLISDMKNGISQSKERKAVKTLGIVMGVFLICWCPFFICTVMDPFLPPTLNDVLIWFGYLNSTFNPMVYAFFYPWFRKALKMMLF</v>
      </c>
      <c r="C253" s="29" t="str">
        <f>IF(ISERROR(MATCH(A253,'SegEnds_Xtal_Prot#'!B:B, 0)), "NoXtal", "Xtal")</f>
        <v>NoXtal</v>
      </c>
      <c r="D253" s="4" t="str">
        <f>VLOOKUP(A253,Classification!A:D,2,FALSE)</f>
        <v>A</v>
      </c>
      <c r="E253" s="5" t="str">
        <f>VLOOKUP(A253,Seqs!A:B,2,FALSE)</f>
        <v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v>
      </c>
      <c r="F253" s="5" t="str">
        <f t="shared" si="76"/>
        <v>NDVRASLYSLMVLIILTTLVGNLIVIVSISHF</v>
      </c>
      <c r="G253" s="4" t="str">
        <f t="shared" si="77"/>
        <v>KQLH</v>
      </c>
      <c r="H253" s="4" t="str">
        <f t="shared" si="78"/>
        <v>TPTNWLIHSMATVDFLLGCLVMPYSMVRSAEH</v>
      </c>
      <c r="I253" s="4" t="str">
        <f t="shared" si="79"/>
        <v>CWYF</v>
      </c>
      <c r="J253" s="4" t="str">
        <f t="shared" si="80"/>
        <v>GEVFCKIHTSTDIMLSSASIFHLSFISIDRYYAVCD</v>
      </c>
      <c r="K253" s="4" t="str">
        <f t="shared" si="81"/>
        <v>PLRYKAKM</v>
      </c>
      <c r="L253" s="4" t="str">
        <f t="shared" si="82"/>
        <v>NILVICVMIFISWSVPAVFAFGMIF</v>
      </c>
      <c r="M253" s="4" t="str">
        <f t="shared" si="83"/>
        <v>CSV</v>
      </c>
      <c r="N253" s="4" t="str">
        <f t="shared" si="84"/>
        <v>SKISGVLTFMTSFYIPGSIMLCVYYRIYLIAKEQARLISD</v>
      </c>
      <c r="O253" s="4" t="str">
        <f t="shared" si="85"/>
        <v>MKNGISQSKERKAVKTLGIVMGVFLICWCPFFICTVMDPFL</v>
      </c>
      <c r="P253" s="4" t="str">
        <f t="shared" si="86"/>
        <v>PPTLNDVLIWFGYLNSTFNPMVYAFF</v>
      </c>
      <c r="Q253" s="4" t="str">
        <f t="shared" si="87"/>
        <v>YPWFRKALKMMLF</v>
      </c>
      <c r="R253" s="5">
        <f>VLOOKUP($A253,'SegEnds_NonXtal_Prot#'!$A:$AL,3,FALSE)</f>
        <v>20</v>
      </c>
      <c r="S253" s="5">
        <f>VLOOKUP($A253,'SegEnds_NonXtal_Prot#'!$A:$AL,6,FALSE)</f>
        <v>52</v>
      </c>
      <c r="T253" s="5">
        <f>VLOOKUP($A253,'SegEnds_NonXtal_Prot#'!$A:$AL,9,FALSE)</f>
        <v>56</v>
      </c>
      <c r="U253" s="5">
        <f>VLOOKUP($A253,'SegEnds_NonXtal_Prot#'!$A:$AL,12,FALSE)</f>
        <v>88</v>
      </c>
      <c r="V253" s="5">
        <f>VLOOKUP($A253,'SegEnds_NonXtal_Prot#'!$A:$AL,15,FALSE)</f>
        <v>92</v>
      </c>
      <c r="W253" s="5">
        <f>VLOOKUP($A253,'SegEnds_NonXtal_Prot#'!$A:$AL,18,FALSE)</f>
        <v>128</v>
      </c>
      <c r="X253" s="5">
        <f>VLOOKUP($A253,'SegEnds_NonXtal_Prot#'!$A:$AL,21,FALSE)</f>
        <v>136</v>
      </c>
      <c r="Y253" s="5">
        <f>VLOOKUP($A253,'SegEnds_NonXtal_Prot#'!$A:$AL,24,FALSE)</f>
        <v>182</v>
      </c>
      <c r="Z253" s="5">
        <f>VLOOKUP($A253,'SegEnds_NonXtal_Prot#'!$A:$AL,27,FALSE)</f>
        <v>187</v>
      </c>
      <c r="AA253" s="5">
        <f>VLOOKUP($A253,'SegEnds_NonXtal_Prot#'!$A:$AL,30,FALSE)</f>
        <v>237</v>
      </c>
      <c r="AB253" s="5">
        <f>VLOOKUP($A253,'SegEnds_NonXtal_Prot#'!$A:$AL,33,FALSE)</f>
        <v>282</v>
      </c>
      <c r="AC253" s="5">
        <f>VLOOKUP($A253,'SegEnds_NonXtal_Prot#'!$A:$AL,36,FALSE)</f>
        <v>308</v>
      </c>
      <c r="AD253" s="5">
        <f>VLOOKUP($A253,'SegEnds_NonXtal_Prot#'!$A:$AL,5,FALSE)</f>
        <v>51</v>
      </c>
      <c r="AE253" s="5">
        <f>VLOOKUP($A253,'SegEnds_NonXtal_Prot#'!$A:$AL,8,FALSE)</f>
        <v>55</v>
      </c>
      <c r="AF253" s="5">
        <f>VLOOKUP($A253,'SegEnds_NonXtal_Prot#'!$A:$AL,11,FALSE)</f>
        <v>87</v>
      </c>
      <c r="AG253" s="5">
        <f>VLOOKUP($A253,'SegEnds_NonXtal_Prot#'!$A:$AL,14,FALSE)</f>
        <v>91</v>
      </c>
      <c r="AH253" s="5">
        <f>VLOOKUP($A253,'SegEnds_NonXtal_Prot#'!$A:$AL,17,FALSE)</f>
        <v>127</v>
      </c>
      <c r="AI253" s="5">
        <f>VLOOKUP($A253,'SegEnds_NonXtal_Prot#'!$A:$AL,20,FALSE)</f>
        <v>135</v>
      </c>
      <c r="AJ253" s="5">
        <f>VLOOKUP($A253,'SegEnds_NonXtal_Prot#'!$A:$AL,23,FALSE)</f>
        <v>160</v>
      </c>
      <c r="AK253" s="5">
        <f>VLOOKUP($A253,'SegEnds_NonXtal_Prot#'!$A:$AL,26,FALSE)</f>
        <v>184</v>
      </c>
      <c r="AL253" s="5">
        <f>VLOOKUP($A253,'SegEnds_NonXtal_Prot#'!$A:$AL,29,FALSE)</f>
        <v>226</v>
      </c>
      <c r="AM253" s="5">
        <f>VLOOKUP($A253,'SegEnds_NonXtal_Prot#'!$A:$AL,32,FALSE)</f>
        <v>277</v>
      </c>
      <c r="AN253" s="5">
        <f>VLOOKUP($A253,'SegEnds_NonXtal_Prot#'!$A:$AL,35,FALSE)</f>
        <v>307</v>
      </c>
      <c r="AO253" s="5">
        <f>VLOOKUP($A253,'SegEnds_NonXtal_Prot#'!$A:$AL,38,FALSE)</f>
        <v>320</v>
      </c>
      <c r="AP253" s="5">
        <f t="shared" si="88"/>
        <v>31</v>
      </c>
      <c r="AQ253" s="4">
        <f t="shared" si="89"/>
        <v>3</v>
      </c>
      <c r="AR253" s="4">
        <f t="shared" si="90"/>
        <v>31</v>
      </c>
      <c r="AS253" s="4">
        <f t="shared" si="91"/>
        <v>3</v>
      </c>
      <c r="AT253" s="4">
        <f t="shared" si="92"/>
        <v>35</v>
      </c>
      <c r="AU253" s="4">
        <f t="shared" si="93"/>
        <v>7</v>
      </c>
      <c r="AV253" s="4">
        <f t="shared" si="94"/>
        <v>24</v>
      </c>
      <c r="AW253" s="4">
        <f t="shared" si="95"/>
        <v>2</v>
      </c>
      <c r="AX253" s="4">
        <f t="shared" si="96"/>
        <v>39</v>
      </c>
      <c r="AY253" s="4">
        <f t="shared" si="97"/>
        <v>40</v>
      </c>
      <c r="AZ253" s="4">
        <f t="shared" si="98"/>
        <v>25</v>
      </c>
      <c r="BA253" s="4">
        <f t="shared" si="99"/>
        <v>12</v>
      </c>
    </row>
    <row r="254" spans="1:53" x14ac:dyDescent="0.2">
      <c r="A254" s="1" t="str">
        <f>'SegEnds_NonXtal_Prot#'!A242</f>
        <v>taar2_human</v>
      </c>
      <c r="B254" s="1" t="str">
        <f t="shared" si="75"/>
        <v>LGVRVAMYSFMAGSIFITIFGNLAMIISISYFTPTNFLILSMAITDFLLGFTIMPYSMIRSVENGLTFCKIYYSFDLMLSITSIFHLCSVAIDRFYAICYTIPVIKRLLLLCWSVPGAFAFGVVFNKLWGTTLFMAGFFTPGSMMVGIYGKIFAVSRKHAHAINNQNNQVKKDKKAAKTLGIVIGVFLLCWFPCFFTILLDPFLPVVLFDALTWFGYFNSTCNPLIYGFFYPWFRRALKYILL</v>
      </c>
      <c r="C254" s="29" t="str">
        <f>IF(ISERROR(MATCH(A254,'SegEnds_Xtal_Prot#'!B:B, 0)), "NoXtal", "Xtal")</f>
        <v>NoXtal</v>
      </c>
      <c r="D254" s="4" t="str">
        <f>VLOOKUP(A254,Classification!A:D,2,FALSE)</f>
        <v>A</v>
      </c>
      <c r="E254" s="5" t="str">
        <f>VLOOKUP(A254,Seqs!A:B,2,FALSE)</f>
        <v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v>
      </c>
      <c r="F254" s="5" t="str">
        <f t="shared" si="76"/>
        <v>LGVRVAMYSFMAGSIFITIFGNLAMIISISYF</v>
      </c>
      <c r="G254" s="4" t="str">
        <f t="shared" si="77"/>
        <v>KQLH</v>
      </c>
      <c r="H254" s="4" t="str">
        <f t="shared" si="78"/>
        <v>TPTNFLILSMAITDFLLGFTIMPYSMIRSVEN</v>
      </c>
      <c r="I254" s="4" t="str">
        <f t="shared" si="79"/>
        <v>CWYF</v>
      </c>
      <c r="J254" s="4" t="str">
        <f t="shared" si="80"/>
        <v>GLTFCKIYYSFDLMLSITSIFHLCSVAIDRFYAICY</v>
      </c>
      <c r="K254" s="4" t="str">
        <f t="shared" si="81"/>
        <v>PLLYSTKI</v>
      </c>
      <c r="L254" s="4" t="str">
        <f t="shared" si="82"/>
        <v>TIPVIKRLLLLCWSVPGAFAFGVVF</v>
      </c>
      <c r="M254" s="4" t="str">
        <f t="shared" si="83"/>
        <v>CPV</v>
      </c>
      <c r="N254" s="4" t="str">
        <f t="shared" si="84"/>
        <v>NKLWGTTLFMAGFFTPGSMMVGIYGKIFAVSRKHAHAIN</v>
      </c>
      <c r="O254" s="4" t="str">
        <f t="shared" si="85"/>
        <v>NQNNQVKKDKKAAKTLGIVIGVFLLCWFPCFFTILLDPFL</v>
      </c>
      <c r="P254" s="4" t="str">
        <f t="shared" si="86"/>
        <v>PVVLFDALTWFGYFNSTCNPLIYGFF</v>
      </c>
      <c r="Q254" s="4" t="str">
        <f t="shared" si="87"/>
        <v>YPWFRRALKYILL</v>
      </c>
      <c r="R254" s="5">
        <f>VLOOKUP($A254,'SegEnds_NonXtal_Prot#'!$A:$AL,3,FALSE)</f>
        <v>40</v>
      </c>
      <c r="S254" s="5">
        <f>VLOOKUP($A254,'SegEnds_NonXtal_Prot#'!$A:$AL,6,FALSE)</f>
        <v>72</v>
      </c>
      <c r="T254" s="5">
        <f>VLOOKUP($A254,'SegEnds_NonXtal_Prot#'!$A:$AL,9,FALSE)</f>
        <v>76</v>
      </c>
      <c r="U254" s="5">
        <f>VLOOKUP($A254,'SegEnds_NonXtal_Prot#'!$A:$AL,12,FALSE)</f>
        <v>108</v>
      </c>
      <c r="V254" s="5">
        <f>VLOOKUP($A254,'SegEnds_NonXtal_Prot#'!$A:$AL,15,FALSE)</f>
        <v>112</v>
      </c>
      <c r="W254" s="5">
        <f>VLOOKUP($A254,'SegEnds_NonXtal_Prot#'!$A:$AL,18,FALSE)</f>
        <v>148</v>
      </c>
      <c r="X254" s="5">
        <f>VLOOKUP($A254,'SegEnds_NonXtal_Prot#'!$A:$AL,21,FALSE)</f>
        <v>156</v>
      </c>
      <c r="Y254" s="5">
        <f>VLOOKUP($A254,'SegEnds_NonXtal_Prot#'!$A:$AL,24,FALSE)</f>
        <v>201</v>
      </c>
      <c r="Z254" s="5">
        <f>VLOOKUP($A254,'SegEnds_NonXtal_Prot#'!$A:$AL,27,FALSE)</f>
        <v>206</v>
      </c>
      <c r="AA254" s="5">
        <f>VLOOKUP($A254,'SegEnds_NonXtal_Prot#'!$A:$AL,30,FALSE)</f>
        <v>249</v>
      </c>
      <c r="AB254" s="5">
        <f>VLOOKUP($A254,'SegEnds_NonXtal_Prot#'!$A:$AL,33,FALSE)</f>
        <v>293</v>
      </c>
      <c r="AC254" s="5">
        <f>VLOOKUP($A254,'SegEnds_NonXtal_Prot#'!$A:$AL,36,FALSE)</f>
        <v>319</v>
      </c>
      <c r="AD254" s="5">
        <f>VLOOKUP($A254,'SegEnds_NonXtal_Prot#'!$A:$AL,5,FALSE)</f>
        <v>71</v>
      </c>
      <c r="AE254" s="5">
        <f>VLOOKUP($A254,'SegEnds_NonXtal_Prot#'!$A:$AL,8,FALSE)</f>
        <v>75</v>
      </c>
      <c r="AF254" s="5">
        <f>VLOOKUP($A254,'SegEnds_NonXtal_Prot#'!$A:$AL,11,FALSE)</f>
        <v>107</v>
      </c>
      <c r="AG254" s="5">
        <f>VLOOKUP($A254,'SegEnds_NonXtal_Prot#'!$A:$AL,14,FALSE)</f>
        <v>111</v>
      </c>
      <c r="AH254" s="5">
        <f>VLOOKUP($A254,'SegEnds_NonXtal_Prot#'!$A:$AL,17,FALSE)</f>
        <v>147</v>
      </c>
      <c r="AI254" s="5">
        <f>VLOOKUP($A254,'SegEnds_NonXtal_Prot#'!$A:$AL,20,FALSE)</f>
        <v>155</v>
      </c>
      <c r="AJ254" s="5">
        <f>VLOOKUP($A254,'SegEnds_NonXtal_Prot#'!$A:$AL,23,FALSE)</f>
        <v>180</v>
      </c>
      <c r="AK254" s="5">
        <f>VLOOKUP($A254,'SegEnds_NonXtal_Prot#'!$A:$AL,26,FALSE)</f>
        <v>203</v>
      </c>
      <c r="AL254" s="5">
        <f>VLOOKUP($A254,'SegEnds_NonXtal_Prot#'!$A:$AL,29,FALSE)</f>
        <v>244</v>
      </c>
      <c r="AM254" s="5">
        <f>VLOOKUP($A254,'SegEnds_NonXtal_Prot#'!$A:$AL,32,FALSE)</f>
        <v>288</v>
      </c>
      <c r="AN254" s="5">
        <f>VLOOKUP($A254,'SegEnds_NonXtal_Prot#'!$A:$AL,35,FALSE)</f>
        <v>318</v>
      </c>
      <c r="AO254" s="5">
        <f>VLOOKUP($A254,'SegEnds_NonXtal_Prot#'!$A:$AL,38,FALSE)</f>
        <v>331</v>
      </c>
      <c r="AP254" s="5">
        <f t="shared" si="88"/>
        <v>31</v>
      </c>
      <c r="AQ254" s="4">
        <f t="shared" si="89"/>
        <v>3</v>
      </c>
      <c r="AR254" s="4">
        <f t="shared" si="90"/>
        <v>31</v>
      </c>
      <c r="AS254" s="4">
        <f t="shared" si="91"/>
        <v>3</v>
      </c>
      <c r="AT254" s="4">
        <f t="shared" si="92"/>
        <v>35</v>
      </c>
      <c r="AU254" s="4">
        <f t="shared" si="93"/>
        <v>7</v>
      </c>
      <c r="AV254" s="4">
        <f t="shared" si="94"/>
        <v>24</v>
      </c>
      <c r="AW254" s="4">
        <f t="shared" si="95"/>
        <v>2</v>
      </c>
      <c r="AX254" s="4">
        <f t="shared" si="96"/>
        <v>38</v>
      </c>
      <c r="AY254" s="4">
        <f t="shared" si="97"/>
        <v>39</v>
      </c>
      <c r="AZ254" s="4">
        <f t="shared" si="98"/>
        <v>25</v>
      </c>
      <c r="BA254" s="4">
        <f t="shared" si="99"/>
        <v>12</v>
      </c>
    </row>
    <row r="255" spans="1:53" x14ac:dyDescent="0.2">
      <c r="A255" s="1" t="str">
        <f>'SegEnds_NonXtal_Prot#'!A243</f>
        <v>taar3_human</v>
      </c>
      <c r="B255" s="1" t="str">
        <f t="shared" si="75"/>
        <v>FSCPGDNVFGYDWSHDYPLFGNLVIMVSISHFSPTNFLILSMATTDFLLGFVIMPYSIMRSVESGDGFCKFHTSFDMMLRLTSIFHLCSIAIDRFYAVCYTNSTIKQLLAFCWSVPALFSFGLVLNKFWGTILFTTCFFTPGSIMVGIYGKIFIVSKQHARVISHVKKHLSKKKDRKAAKTLGIVMGVFLACWLPCFLAVLIDPYLPILILDLLVWLRYFNSTCNPLIHGFFNPWFQKAFKYIVS</v>
      </c>
      <c r="C255" s="29" t="str">
        <f>IF(ISERROR(MATCH(A255,'SegEnds_Xtal_Prot#'!B:B, 0)), "NoXtal", "Xtal")</f>
        <v>NoXtal</v>
      </c>
      <c r="D255" s="4" t="str">
        <f>VLOOKUP(A255,Classification!A:D,2,FALSE)</f>
        <v>A</v>
      </c>
      <c r="E255" s="5" t="str">
        <f>VLOOKUP(A255,Seqs!A:B,2,FALSE)</f>
        <v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v>
      </c>
      <c r="F255" s="5" t="str">
        <f t="shared" si="76"/>
        <v>FSCPGDNVFGYDWSHDYPLFGNLVIMVSISHF</v>
      </c>
      <c r="G255" s="4" t="str">
        <f t="shared" si="77"/>
        <v>KQLH</v>
      </c>
      <c r="H255" s="4" t="str">
        <f t="shared" si="78"/>
        <v>SPTNFLILSMATTDFLLGFVIMPYSIMRSVES</v>
      </c>
      <c r="I255" s="4" t="str">
        <f t="shared" si="79"/>
        <v>CWYF</v>
      </c>
      <c r="J255" s="4" t="str">
        <f t="shared" si="80"/>
        <v>GDGFCKFHTSFDMMLRLTSIFHLCSIAIDRFYAVCY</v>
      </c>
      <c r="K255" s="4" t="str">
        <f t="shared" si="81"/>
        <v>PLHYTTKM</v>
      </c>
      <c r="L255" s="4" t="str">
        <f t="shared" si="82"/>
        <v>TNSTIKQLLAFCWSVPALFSFGLVL</v>
      </c>
      <c r="M255" s="4" t="str">
        <f t="shared" si="83"/>
        <v>CAL</v>
      </c>
      <c r="N255" s="4" t="str">
        <f t="shared" si="84"/>
        <v>NKFWGTILFTTCFFTPGSIMVGIYGKIFIVSKQHARVISH</v>
      </c>
      <c r="O255" s="4" t="str">
        <f t="shared" si="85"/>
        <v>VKKHLSKKKDRKAAKTLGIVMGVFLACWLPCFLAVLIDPYL</v>
      </c>
      <c r="P255" s="4" t="str">
        <f t="shared" si="86"/>
        <v>PILILDLLVWLRYFNSTCNPLIHGFF</v>
      </c>
      <c r="Q255" s="4" t="str">
        <f t="shared" si="87"/>
        <v>NPWFQKAFKYIVS</v>
      </c>
      <c r="R255" s="5">
        <f>VLOOKUP($A255,'SegEnds_NonXtal_Prot#'!$A:$AL,3,FALSE)</f>
        <v>28</v>
      </c>
      <c r="S255" s="5">
        <f>VLOOKUP($A255,'SegEnds_NonXtal_Prot#'!$A:$AL,6,FALSE)</f>
        <v>60</v>
      </c>
      <c r="T255" s="5">
        <f>VLOOKUP($A255,'SegEnds_NonXtal_Prot#'!$A:$AL,9,FALSE)</f>
        <v>64</v>
      </c>
      <c r="U255" s="5">
        <f>VLOOKUP($A255,'SegEnds_NonXtal_Prot#'!$A:$AL,12,FALSE)</f>
        <v>96</v>
      </c>
      <c r="V255" s="5">
        <f>VLOOKUP($A255,'SegEnds_NonXtal_Prot#'!$A:$AL,15,FALSE)</f>
        <v>100</v>
      </c>
      <c r="W255" s="5">
        <f>VLOOKUP($A255,'SegEnds_NonXtal_Prot#'!$A:$AL,18,FALSE)</f>
        <v>136</v>
      </c>
      <c r="X255" s="5">
        <f>VLOOKUP($A255,'SegEnds_NonXtal_Prot#'!$A:$AL,21,FALSE)</f>
        <v>144</v>
      </c>
      <c r="Y255" s="5">
        <f>VLOOKUP($A255,'SegEnds_NonXtal_Prot#'!$A:$AL,24,FALSE)</f>
        <v>189</v>
      </c>
      <c r="Z255" s="5">
        <f>VLOOKUP($A255,'SegEnds_NonXtal_Prot#'!$A:$AL,27,FALSE)</f>
        <v>194</v>
      </c>
      <c r="AA255" s="5">
        <f>VLOOKUP($A255,'SegEnds_NonXtal_Prot#'!$A:$AL,30,FALSE)</f>
        <v>242</v>
      </c>
      <c r="AB255" s="5">
        <f>VLOOKUP($A255,'SegEnds_NonXtal_Prot#'!$A:$AL,33,FALSE)</f>
        <v>287</v>
      </c>
      <c r="AC255" s="5">
        <f>VLOOKUP($A255,'SegEnds_NonXtal_Prot#'!$A:$AL,36,FALSE)</f>
        <v>313</v>
      </c>
      <c r="AD255" s="5">
        <f>VLOOKUP($A255,'SegEnds_NonXtal_Prot#'!$A:$AL,5,FALSE)</f>
        <v>59</v>
      </c>
      <c r="AE255" s="5">
        <f>VLOOKUP($A255,'SegEnds_NonXtal_Prot#'!$A:$AL,8,FALSE)</f>
        <v>63</v>
      </c>
      <c r="AF255" s="5">
        <f>VLOOKUP($A255,'SegEnds_NonXtal_Prot#'!$A:$AL,11,FALSE)</f>
        <v>95</v>
      </c>
      <c r="AG255" s="5">
        <f>VLOOKUP($A255,'SegEnds_NonXtal_Prot#'!$A:$AL,14,FALSE)</f>
        <v>99</v>
      </c>
      <c r="AH255" s="5">
        <f>VLOOKUP($A255,'SegEnds_NonXtal_Prot#'!$A:$AL,17,FALSE)</f>
        <v>135</v>
      </c>
      <c r="AI255" s="5">
        <f>VLOOKUP($A255,'SegEnds_NonXtal_Prot#'!$A:$AL,20,FALSE)</f>
        <v>143</v>
      </c>
      <c r="AJ255" s="5">
        <f>VLOOKUP($A255,'SegEnds_NonXtal_Prot#'!$A:$AL,23,FALSE)</f>
        <v>168</v>
      </c>
      <c r="AK255" s="5">
        <f>VLOOKUP($A255,'SegEnds_NonXtal_Prot#'!$A:$AL,26,FALSE)</f>
        <v>191</v>
      </c>
      <c r="AL255" s="5">
        <f>VLOOKUP($A255,'SegEnds_NonXtal_Prot#'!$A:$AL,29,FALSE)</f>
        <v>233</v>
      </c>
      <c r="AM255" s="5">
        <f>VLOOKUP($A255,'SegEnds_NonXtal_Prot#'!$A:$AL,32,FALSE)</f>
        <v>282</v>
      </c>
      <c r="AN255" s="5">
        <f>VLOOKUP($A255,'SegEnds_NonXtal_Prot#'!$A:$AL,35,FALSE)</f>
        <v>312</v>
      </c>
      <c r="AO255" s="5">
        <f>VLOOKUP($A255,'SegEnds_NonXtal_Prot#'!$A:$AL,38,FALSE)</f>
        <v>325</v>
      </c>
      <c r="AP255" s="5">
        <f t="shared" si="88"/>
        <v>31</v>
      </c>
      <c r="AQ255" s="4">
        <f t="shared" si="89"/>
        <v>3</v>
      </c>
      <c r="AR255" s="4">
        <f t="shared" si="90"/>
        <v>31</v>
      </c>
      <c r="AS255" s="4">
        <f t="shared" si="91"/>
        <v>3</v>
      </c>
      <c r="AT255" s="4">
        <f t="shared" si="92"/>
        <v>35</v>
      </c>
      <c r="AU255" s="4">
        <f t="shared" si="93"/>
        <v>7</v>
      </c>
      <c r="AV255" s="4">
        <f t="shared" si="94"/>
        <v>24</v>
      </c>
      <c r="AW255" s="4">
        <f t="shared" si="95"/>
        <v>2</v>
      </c>
      <c r="AX255" s="4">
        <f t="shared" si="96"/>
        <v>39</v>
      </c>
      <c r="AY255" s="4">
        <f t="shared" si="97"/>
        <v>40</v>
      </c>
      <c r="AZ255" s="4">
        <f t="shared" si="98"/>
        <v>25</v>
      </c>
      <c r="BA255" s="4">
        <f t="shared" si="99"/>
        <v>12</v>
      </c>
    </row>
    <row r="256" spans="1:53" x14ac:dyDescent="0.2">
      <c r="A256" s="1" t="str">
        <f>'SegEnds_NonXtal_Prot#'!A244</f>
        <v>taar5_human</v>
      </c>
      <c r="B256" s="1" t="str">
        <f t="shared" si="75"/>
        <v>TLGIQLVIYLACAAGMLIIVLGNVFVAFAVSYFTPTNFLLLSLALADMFLGLLVLPLSTIRSVESGDFLCRLHTYLDTLFCLTSIFHLCFISIDRHCAICDTVRVALRYILAGWGVPAAYTSLFLYTLNKFWGWLNFPLFFVPCLIMISLYVKIFVVATRQAQQITSLAGAAKHERKAAKTLGIAVGIYLLCWLPFTIDTMVDSLLPPLVFDIFIWFAYFNSACNPIIYVFSYQWFRKALKLTL</v>
      </c>
      <c r="C256" s="29" t="str">
        <f>IF(ISERROR(MATCH(A256,'SegEnds_Xtal_Prot#'!B:B, 0)), "NoXtal", "Xtal")</f>
        <v>NoXtal</v>
      </c>
      <c r="D256" s="4" t="str">
        <f>VLOOKUP(A256,Classification!A:D,2,FALSE)</f>
        <v>A</v>
      </c>
      <c r="E256" s="5" t="str">
        <f>VLOOKUP(A256,Seqs!A:B,2,FALSE)</f>
        <v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v>
      </c>
      <c r="F256" s="5" t="str">
        <f t="shared" si="76"/>
        <v>TLGIQLVIYLACAAGMLIIVLGNVFVAFAVSYF</v>
      </c>
      <c r="G256" s="4" t="str">
        <f t="shared" si="77"/>
        <v>KALH</v>
      </c>
      <c r="H256" s="4" t="str">
        <f t="shared" si="78"/>
        <v>TPTNFLLLSLALADMFLGLLVLPLSTIRSVES</v>
      </c>
      <c r="I256" s="4" t="str">
        <f t="shared" si="79"/>
        <v>CWFF</v>
      </c>
      <c r="J256" s="4" t="str">
        <f t="shared" si="80"/>
        <v>GDFLCRLHTYLDTLFCLTSIFHLCFISIDRHCAICD</v>
      </c>
      <c r="K256" s="4" t="str">
        <f t="shared" si="81"/>
        <v>PLLYPSKF</v>
      </c>
      <c r="L256" s="4" t="str">
        <f t="shared" si="82"/>
        <v>TVRVALRYILAGWGVPAAYTSLFLYT</v>
      </c>
      <c r="M256" s="4" t="str">
        <f t="shared" si="83"/>
        <v>CQL</v>
      </c>
      <c r="N256" s="4" t="str">
        <f t="shared" si="84"/>
        <v>LNKFWGWLNFPLFFVPCLIMISLYVKIFVVATRQAQQIT</v>
      </c>
      <c r="O256" s="4" t="str">
        <f t="shared" si="85"/>
        <v>SLAGAAKHERKAAKTLGIAVGIYLLCWLPFTIDTMVDSLL</v>
      </c>
      <c r="P256" s="4" t="str">
        <f t="shared" si="86"/>
        <v>PPLVFDIFIWFAYFNSACNPIIYVFS</v>
      </c>
      <c r="Q256" s="4" t="str">
        <f t="shared" si="87"/>
        <v>YQWFRKALKLTL</v>
      </c>
      <c r="R256" s="5">
        <f>VLOOKUP($A256,'SegEnds_NonXtal_Prot#'!$A:$AL,3,FALSE)</f>
        <v>30</v>
      </c>
      <c r="S256" s="5">
        <f>VLOOKUP($A256,'SegEnds_NonXtal_Prot#'!$A:$AL,6,FALSE)</f>
        <v>63</v>
      </c>
      <c r="T256" s="5">
        <f>VLOOKUP($A256,'SegEnds_NonXtal_Prot#'!$A:$AL,9,FALSE)</f>
        <v>67</v>
      </c>
      <c r="U256" s="5">
        <f>VLOOKUP($A256,'SegEnds_NonXtal_Prot#'!$A:$AL,12,FALSE)</f>
        <v>99</v>
      </c>
      <c r="V256" s="5">
        <f>VLOOKUP($A256,'SegEnds_NonXtal_Prot#'!$A:$AL,15,FALSE)</f>
        <v>103</v>
      </c>
      <c r="W256" s="5">
        <f>VLOOKUP($A256,'SegEnds_NonXtal_Prot#'!$A:$AL,18,FALSE)</f>
        <v>139</v>
      </c>
      <c r="X256" s="5">
        <f>VLOOKUP($A256,'SegEnds_NonXtal_Prot#'!$A:$AL,21,FALSE)</f>
        <v>147</v>
      </c>
      <c r="Y256" s="5">
        <f>VLOOKUP($A256,'SegEnds_NonXtal_Prot#'!$A:$AL,24,FALSE)</f>
        <v>192</v>
      </c>
      <c r="Z256" s="5">
        <f>VLOOKUP($A256,'SegEnds_NonXtal_Prot#'!$A:$AL,27,FALSE)</f>
        <v>196</v>
      </c>
      <c r="AA256" s="5">
        <f>VLOOKUP($A256,'SegEnds_NonXtal_Prot#'!$A:$AL,30,FALSE)</f>
        <v>239</v>
      </c>
      <c r="AB256" s="5">
        <f>VLOOKUP($A256,'SegEnds_NonXtal_Prot#'!$A:$AL,33,FALSE)</f>
        <v>283</v>
      </c>
      <c r="AC256" s="5">
        <f>VLOOKUP($A256,'SegEnds_NonXtal_Prot#'!$A:$AL,36,FALSE)</f>
        <v>309</v>
      </c>
      <c r="AD256" s="5">
        <f>VLOOKUP($A256,'SegEnds_NonXtal_Prot#'!$A:$AL,5,FALSE)</f>
        <v>62</v>
      </c>
      <c r="AE256" s="5">
        <f>VLOOKUP($A256,'SegEnds_NonXtal_Prot#'!$A:$AL,8,FALSE)</f>
        <v>66</v>
      </c>
      <c r="AF256" s="5">
        <f>VLOOKUP($A256,'SegEnds_NonXtal_Prot#'!$A:$AL,11,FALSE)</f>
        <v>98</v>
      </c>
      <c r="AG256" s="5">
        <f>VLOOKUP($A256,'SegEnds_NonXtal_Prot#'!$A:$AL,14,FALSE)</f>
        <v>102</v>
      </c>
      <c r="AH256" s="5">
        <f>VLOOKUP($A256,'SegEnds_NonXtal_Prot#'!$A:$AL,17,FALSE)</f>
        <v>138</v>
      </c>
      <c r="AI256" s="5">
        <f>VLOOKUP($A256,'SegEnds_NonXtal_Prot#'!$A:$AL,20,FALSE)</f>
        <v>146</v>
      </c>
      <c r="AJ256" s="5">
        <f>VLOOKUP($A256,'SegEnds_NonXtal_Prot#'!$A:$AL,23,FALSE)</f>
        <v>172</v>
      </c>
      <c r="AK256" s="5">
        <f>VLOOKUP($A256,'SegEnds_NonXtal_Prot#'!$A:$AL,26,FALSE)</f>
        <v>194</v>
      </c>
      <c r="AL256" s="5">
        <f>VLOOKUP($A256,'SegEnds_NonXtal_Prot#'!$A:$AL,29,FALSE)</f>
        <v>234</v>
      </c>
      <c r="AM256" s="5">
        <f>VLOOKUP($A256,'SegEnds_NonXtal_Prot#'!$A:$AL,32,FALSE)</f>
        <v>278</v>
      </c>
      <c r="AN256" s="5">
        <f>VLOOKUP($A256,'SegEnds_NonXtal_Prot#'!$A:$AL,35,FALSE)</f>
        <v>308</v>
      </c>
      <c r="AO256" s="5">
        <f>VLOOKUP($A256,'SegEnds_NonXtal_Prot#'!$A:$AL,38,FALSE)</f>
        <v>320</v>
      </c>
      <c r="AP256" s="5">
        <f t="shared" si="88"/>
        <v>32</v>
      </c>
      <c r="AQ256" s="4">
        <f t="shared" si="89"/>
        <v>3</v>
      </c>
      <c r="AR256" s="4">
        <f t="shared" si="90"/>
        <v>31</v>
      </c>
      <c r="AS256" s="4">
        <f t="shared" si="91"/>
        <v>3</v>
      </c>
      <c r="AT256" s="4">
        <f t="shared" si="92"/>
        <v>35</v>
      </c>
      <c r="AU256" s="4">
        <f t="shared" si="93"/>
        <v>7</v>
      </c>
      <c r="AV256" s="4">
        <f t="shared" si="94"/>
        <v>25</v>
      </c>
      <c r="AW256" s="4">
        <f t="shared" si="95"/>
        <v>2</v>
      </c>
      <c r="AX256" s="4">
        <f t="shared" si="96"/>
        <v>38</v>
      </c>
      <c r="AY256" s="4">
        <f t="shared" si="97"/>
        <v>39</v>
      </c>
      <c r="AZ256" s="4">
        <f t="shared" si="98"/>
        <v>25</v>
      </c>
      <c r="BA256" s="4">
        <f t="shared" si="99"/>
        <v>11</v>
      </c>
    </row>
    <row r="257" spans="1:53" x14ac:dyDescent="0.2">
      <c r="A257" s="1" t="str">
        <f>'SegEnds_NonXtal_Prot#'!A245</f>
        <v>taar6_human</v>
      </c>
      <c r="B257" s="1" t="str">
        <f t="shared" si="75"/>
        <v>SPGSRVILYIVFGFGAVLAVFGNLLVMISILHFSPTNFLVASLACADFLVGVTVMPFSMVRTVESGRSFCTFHTCCDVAFCYSSLFHLCFISIDRYIAVTDTVSVSGICISVSWILPLMYSGAVFYTVNQNWVLTDFLSFFIPTFIMIILYGNIFLVARRQAKKIENSYKARVARRERKAAKTLGVTVVAFMISWLPYSIDSLIDAFMPACIYEICCWCAYYNSAMNPLIYALFYPWFRKAIKVIV</v>
      </c>
      <c r="C257" s="29" t="str">
        <f>IF(ISERROR(MATCH(A257,'SegEnds_Xtal_Prot#'!B:B, 0)), "NoXtal", "Xtal")</f>
        <v>NoXtal</v>
      </c>
      <c r="D257" s="4" t="str">
        <f>VLOOKUP(A257,Classification!A:D,2,FALSE)</f>
        <v>A</v>
      </c>
      <c r="E257" s="5" t="str">
        <f>VLOOKUP(A257,Seqs!A:B,2,FALSE)</f>
        <v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v>
      </c>
      <c r="F257" s="5" t="str">
        <f t="shared" si="76"/>
        <v>SPGSRVILYIVFGFGAVLAVFGNLLVMISILHF</v>
      </c>
      <c r="G257" s="4" t="str">
        <f t="shared" si="77"/>
        <v>KQLH</v>
      </c>
      <c r="H257" s="4" t="str">
        <f t="shared" si="78"/>
        <v>SPTNFLVASLACADFLVGVTVMPFSMVRTVES</v>
      </c>
      <c r="I257" s="4" t="str">
        <f t="shared" si="79"/>
        <v>CWYF</v>
      </c>
      <c r="J257" s="4" t="str">
        <f t="shared" si="80"/>
        <v>GRSFCTFHTCCDVAFCYSSLFHLCFISIDRYIAVTD</v>
      </c>
      <c r="K257" s="4" t="str">
        <f t="shared" si="81"/>
        <v>PLVYPTKF</v>
      </c>
      <c r="L257" s="4" t="str">
        <f t="shared" si="82"/>
        <v>TVSVSGICISVSWILPLMYSGAVFYT</v>
      </c>
      <c r="M257" s="4" t="str">
        <f t="shared" si="83"/>
        <v>CQT</v>
      </c>
      <c r="N257" s="4" t="str">
        <f t="shared" si="84"/>
        <v>VNQNWVLTDFLSFFIPTFIMIILYGNIFLVARRQAKKIEN</v>
      </c>
      <c r="O257" s="4" t="str">
        <f t="shared" si="85"/>
        <v>SYKARVARRERKAAKTLGVTVVAFMISWLPYSIDSLIDAFM</v>
      </c>
      <c r="P257" s="4" t="str">
        <f t="shared" si="86"/>
        <v>PACIYEICCWCAYYNSAMNPLIYALF</v>
      </c>
      <c r="Q257" s="4" t="str">
        <f t="shared" si="87"/>
        <v>YPWFRKAIKVIV</v>
      </c>
      <c r="R257" s="5">
        <f>VLOOKUP($A257,'SegEnds_NonXtal_Prot#'!$A:$AL,3,FALSE)</f>
        <v>28</v>
      </c>
      <c r="S257" s="5">
        <f>VLOOKUP($A257,'SegEnds_NonXtal_Prot#'!$A:$AL,6,FALSE)</f>
        <v>61</v>
      </c>
      <c r="T257" s="5">
        <f>VLOOKUP($A257,'SegEnds_NonXtal_Prot#'!$A:$AL,9,FALSE)</f>
        <v>65</v>
      </c>
      <c r="U257" s="5">
        <f>VLOOKUP($A257,'SegEnds_NonXtal_Prot#'!$A:$AL,12,FALSE)</f>
        <v>97</v>
      </c>
      <c r="V257" s="5">
        <f>VLOOKUP($A257,'SegEnds_NonXtal_Prot#'!$A:$AL,15,FALSE)</f>
        <v>101</v>
      </c>
      <c r="W257" s="5">
        <f>VLOOKUP($A257,'SegEnds_NonXtal_Prot#'!$A:$AL,18,FALSE)</f>
        <v>137</v>
      </c>
      <c r="X257" s="5">
        <f>VLOOKUP($A257,'SegEnds_NonXtal_Prot#'!$A:$AL,21,FALSE)</f>
        <v>145</v>
      </c>
      <c r="Y257" s="5">
        <f>VLOOKUP($A257,'SegEnds_NonXtal_Prot#'!$A:$AL,24,FALSE)</f>
        <v>190</v>
      </c>
      <c r="Z257" s="5">
        <f>VLOOKUP($A257,'SegEnds_NonXtal_Prot#'!$A:$AL,27,FALSE)</f>
        <v>194</v>
      </c>
      <c r="AA257" s="5">
        <f>VLOOKUP($A257,'SegEnds_NonXtal_Prot#'!$A:$AL,30,FALSE)</f>
        <v>244</v>
      </c>
      <c r="AB257" s="5">
        <f>VLOOKUP($A257,'SegEnds_NonXtal_Prot#'!$A:$AL,33,FALSE)</f>
        <v>289</v>
      </c>
      <c r="AC257" s="5">
        <f>VLOOKUP($A257,'SegEnds_NonXtal_Prot#'!$A:$AL,36,FALSE)</f>
        <v>315</v>
      </c>
      <c r="AD257" s="5">
        <f>VLOOKUP($A257,'SegEnds_NonXtal_Prot#'!$A:$AL,5,FALSE)</f>
        <v>60</v>
      </c>
      <c r="AE257" s="5">
        <f>VLOOKUP($A257,'SegEnds_NonXtal_Prot#'!$A:$AL,8,FALSE)</f>
        <v>64</v>
      </c>
      <c r="AF257" s="5">
        <f>VLOOKUP($A257,'SegEnds_NonXtal_Prot#'!$A:$AL,11,FALSE)</f>
        <v>96</v>
      </c>
      <c r="AG257" s="5">
        <f>VLOOKUP($A257,'SegEnds_NonXtal_Prot#'!$A:$AL,14,FALSE)</f>
        <v>100</v>
      </c>
      <c r="AH257" s="5">
        <f>VLOOKUP($A257,'SegEnds_NonXtal_Prot#'!$A:$AL,17,FALSE)</f>
        <v>136</v>
      </c>
      <c r="AI257" s="5">
        <f>VLOOKUP($A257,'SegEnds_NonXtal_Prot#'!$A:$AL,20,FALSE)</f>
        <v>144</v>
      </c>
      <c r="AJ257" s="5">
        <f>VLOOKUP($A257,'SegEnds_NonXtal_Prot#'!$A:$AL,23,FALSE)</f>
        <v>170</v>
      </c>
      <c r="AK257" s="5">
        <f>VLOOKUP($A257,'SegEnds_NonXtal_Prot#'!$A:$AL,26,FALSE)</f>
        <v>192</v>
      </c>
      <c r="AL257" s="5">
        <f>VLOOKUP($A257,'SegEnds_NonXtal_Prot#'!$A:$AL,29,FALSE)</f>
        <v>233</v>
      </c>
      <c r="AM257" s="5">
        <f>VLOOKUP($A257,'SegEnds_NonXtal_Prot#'!$A:$AL,32,FALSE)</f>
        <v>284</v>
      </c>
      <c r="AN257" s="5">
        <f>VLOOKUP($A257,'SegEnds_NonXtal_Prot#'!$A:$AL,35,FALSE)</f>
        <v>314</v>
      </c>
      <c r="AO257" s="5">
        <f>VLOOKUP($A257,'SegEnds_NonXtal_Prot#'!$A:$AL,38,FALSE)</f>
        <v>326</v>
      </c>
      <c r="AP257" s="5">
        <f t="shared" si="88"/>
        <v>32</v>
      </c>
      <c r="AQ257" s="4">
        <f t="shared" si="89"/>
        <v>3</v>
      </c>
      <c r="AR257" s="4">
        <f t="shared" si="90"/>
        <v>31</v>
      </c>
      <c r="AS257" s="4">
        <f t="shared" si="91"/>
        <v>3</v>
      </c>
      <c r="AT257" s="4">
        <f t="shared" si="92"/>
        <v>35</v>
      </c>
      <c r="AU257" s="4">
        <f t="shared" si="93"/>
        <v>7</v>
      </c>
      <c r="AV257" s="4">
        <f t="shared" si="94"/>
        <v>25</v>
      </c>
      <c r="AW257" s="4">
        <f t="shared" si="95"/>
        <v>2</v>
      </c>
      <c r="AX257" s="4">
        <f t="shared" si="96"/>
        <v>39</v>
      </c>
      <c r="AY257" s="4">
        <f t="shared" si="97"/>
        <v>40</v>
      </c>
      <c r="AZ257" s="4">
        <f t="shared" si="98"/>
        <v>25</v>
      </c>
      <c r="BA257" s="4">
        <f t="shared" si="99"/>
        <v>11</v>
      </c>
    </row>
    <row r="258" spans="1:53" x14ac:dyDescent="0.2">
      <c r="A258" s="1" t="str">
        <f>'SegEnds_NonXtal_Prot#'!A246</f>
        <v>taar8_human</v>
      </c>
      <c r="B258" s="1" t="str">
        <f t="shared" ref="B258:B321" si="100">F258&amp;H258&amp;J258&amp;L258&amp;N258&amp;O258&amp;P258&amp;Q258</f>
        <v>SPGSRVILYTAFSFGSLLAVFGNLLVMTSVLHFSPTNFLIASLACADFLVGVTVMLFSMVRTVESGAKFCTLHSCCDVAFCYSSVLHLCFICIDRYIVVTDTVSVSGICISVSWILPLTYSGAVFYTVSQGWVLIDFLLFFIPTLVMIILYSKIFLIAKQQAIKIETSYKIRVAKRERKAAKTLGVTVLAFVISWLPYTVDILIDAFMPAYIYEICCWSAYYNSAMNPLIYALFYPWFRKAIKLIL</v>
      </c>
      <c r="C258" s="29" t="str">
        <f>IF(ISERROR(MATCH(A258,'SegEnds_Xtal_Prot#'!B:B, 0)), "NoXtal", "Xtal")</f>
        <v>NoXtal</v>
      </c>
      <c r="D258" s="4" t="str">
        <f>VLOOKUP(A258,Classification!A:D,2,FALSE)</f>
        <v>A</v>
      </c>
      <c r="E258" s="5" t="str">
        <f>VLOOKUP(A258,Seqs!A:B,2,FALSE)</f>
        <v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v>
      </c>
      <c r="F258" s="5" t="str">
        <f t="shared" ref="F258:F321" si="101">IFERROR(MID($E258,R258,(AP258+1)),"")</f>
        <v>SPGSRVILYTAFSFGSLLAVFGNLLVMTSVLHF</v>
      </c>
      <c r="G258" s="4" t="str">
        <f t="shared" ref="G258:G321" si="102">IFERROR(MID($E258,S258,(AQ258+1)),"")</f>
        <v>KQLH</v>
      </c>
      <c r="H258" s="4" t="str">
        <f t="shared" ref="H258:H321" si="103">IFERROR(MID($E258,T258,(AR258+1)),"")</f>
        <v>SPTNFLIASLACADFLVGVTVMLFSMVRTVES</v>
      </c>
      <c r="I258" s="4" t="str">
        <f t="shared" ref="I258:I321" si="104">IFERROR(MID($E258,U258,(AS258+1)),"")</f>
        <v>CWYF</v>
      </c>
      <c r="J258" s="4" t="str">
        <f t="shared" ref="J258:J321" si="105">IFERROR(MID($E258,V258,(AT258+1)),"")</f>
        <v>GAKFCTLHSCCDVAFCYSSVLHLCFICIDRYIVVTD</v>
      </c>
      <c r="K258" s="4" t="str">
        <f t="shared" ref="K258:K321" si="106">IFERROR(MID($E258,W258,(AU258+1)),"")</f>
        <v>PLVYATKF</v>
      </c>
      <c r="L258" s="4" t="str">
        <f t="shared" ref="L258:L321" si="107">IFERROR(MID($E258,X258,(AV258+1)),"")</f>
        <v>TVSVSGICISVSWILPLTYSGAVFYT</v>
      </c>
      <c r="M258" s="4" t="str">
        <f t="shared" ref="M258:M321" si="108">IFERROR(MID($E258,Y258,(AW258+1)),"")</f>
        <v>CQI</v>
      </c>
      <c r="N258" s="4" t="str">
        <f t="shared" ref="N258:N321" si="109">IFERROR(MID($E258,Z258,(AX258+1)),"")</f>
        <v>VSQGWVLIDFLLFFIPTLVMIILYSKIFLIAKQQAIKIET</v>
      </c>
      <c r="O258" s="4" t="str">
        <f t="shared" ref="O258:O321" si="110">IFERROR(MID($E258,AA258,(AY258+1)),"")</f>
        <v>SYKIRVAKRERKAAKTLGVTVLAFVISWLPYTVDILIDAFM</v>
      </c>
      <c r="P258" s="4" t="str">
        <f t="shared" ref="P258:P321" si="111">IFERROR(MID($E258,AB258,(AZ258+1)),"")</f>
        <v>PAYIYEICCWSAYYNSAMNPLIYALF</v>
      </c>
      <c r="Q258" s="4" t="str">
        <f t="shared" ref="Q258:Q321" si="112">IFERROR(MID($E258,AC258,(BA258+1)),"")</f>
        <v>YPWFRKAIKLIL</v>
      </c>
      <c r="R258" s="5">
        <f>VLOOKUP($A258,'SegEnds_NonXtal_Prot#'!$A:$AL,3,FALSE)</f>
        <v>27</v>
      </c>
      <c r="S258" s="5">
        <f>VLOOKUP($A258,'SegEnds_NonXtal_Prot#'!$A:$AL,6,FALSE)</f>
        <v>60</v>
      </c>
      <c r="T258" s="5">
        <f>VLOOKUP($A258,'SegEnds_NonXtal_Prot#'!$A:$AL,9,FALSE)</f>
        <v>64</v>
      </c>
      <c r="U258" s="5">
        <f>VLOOKUP($A258,'SegEnds_NonXtal_Prot#'!$A:$AL,12,FALSE)</f>
        <v>96</v>
      </c>
      <c r="V258" s="5">
        <f>VLOOKUP($A258,'SegEnds_NonXtal_Prot#'!$A:$AL,15,FALSE)</f>
        <v>100</v>
      </c>
      <c r="W258" s="5">
        <f>VLOOKUP($A258,'SegEnds_NonXtal_Prot#'!$A:$AL,18,FALSE)</f>
        <v>136</v>
      </c>
      <c r="X258" s="5">
        <f>VLOOKUP($A258,'SegEnds_NonXtal_Prot#'!$A:$AL,21,FALSE)</f>
        <v>144</v>
      </c>
      <c r="Y258" s="5">
        <f>VLOOKUP($A258,'SegEnds_NonXtal_Prot#'!$A:$AL,24,FALSE)</f>
        <v>189</v>
      </c>
      <c r="Z258" s="5">
        <f>VLOOKUP($A258,'SegEnds_NonXtal_Prot#'!$A:$AL,27,FALSE)</f>
        <v>193</v>
      </c>
      <c r="AA258" s="5">
        <f>VLOOKUP($A258,'SegEnds_NonXtal_Prot#'!$A:$AL,30,FALSE)</f>
        <v>243</v>
      </c>
      <c r="AB258" s="5">
        <f>VLOOKUP($A258,'SegEnds_NonXtal_Prot#'!$A:$AL,33,FALSE)</f>
        <v>288</v>
      </c>
      <c r="AC258" s="5">
        <f>VLOOKUP($A258,'SegEnds_NonXtal_Prot#'!$A:$AL,36,FALSE)</f>
        <v>314</v>
      </c>
      <c r="AD258" s="5">
        <f>VLOOKUP($A258,'SegEnds_NonXtal_Prot#'!$A:$AL,5,FALSE)</f>
        <v>59</v>
      </c>
      <c r="AE258" s="5">
        <f>VLOOKUP($A258,'SegEnds_NonXtal_Prot#'!$A:$AL,8,FALSE)</f>
        <v>63</v>
      </c>
      <c r="AF258" s="5">
        <f>VLOOKUP($A258,'SegEnds_NonXtal_Prot#'!$A:$AL,11,FALSE)</f>
        <v>95</v>
      </c>
      <c r="AG258" s="5">
        <f>VLOOKUP($A258,'SegEnds_NonXtal_Prot#'!$A:$AL,14,FALSE)</f>
        <v>99</v>
      </c>
      <c r="AH258" s="5">
        <f>VLOOKUP($A258,'SegEnds_NonXtal_Prot#'!$A:$AL,17,FALSE)</f>
        <v>135</v>
      </c>
      <c r="AI258" s="5">
        <f>VLOOKUP($A258,'SegEnds_NonXtal_Prot#'!$A:$AL,20,FALSE)</f>
        <v>143</v>
      </c>
      <c r="AJ258" s="5">
        <f>VLOOKUP($A258,'SegEnds_NonXtal_Prot#'!$A:$AL,23,FALSE)</f>
        <v>169</v>
      </c>
      <c r="AK258" s="5">
        <f>VLOOKUP($A258,'SegEnds_NonXtal_Prot#'!$A:$AL,26,FALSE)</f>
        <v>191</v>
      </c>
      <c r="AL258" s="5">
        <f>VLOOKUP($A258,'SegEnds_NonXtal_Prot#'!$A:$AL,29,FALSE)</f>
        <v>232</v>
      </c>
      <c r="AM258" s="5">
        <f>VLOOKUP($A258,'SegEnds_NonXtal_Prot#'!$A:$AL,32,FALSE)</f>
        <v>283</v>
      </c>
      <c r="AN258" s="5">
        <f>VLOOKUP($A258,'SegEnds_NonXtal_Prot#'!$A:$AL,35,FALSE)</f>
        <v>313</v>
      </c>
      <c r="AO258" s="5">
        <f>VLOOKUP($A258,'SegEnds_NonXtal_Prot#'!$A:$AL,38,FALSE)</f>
        <v>325</v>
      </c>
      <c r="AP258" s="5">
        <f t="shared" ref="AP258:AP321" si="113">IFERROR(AD258-R258,"-")</f>
        <v>32</v>
      </c>
      <c r="AQ258" s="4">
        <f t="shared" ref="AQ258:AQ321" si="114">IFERROR(AE258-S258,"-")</f>
        <v>3</v>
      </c>
      <c r="AR258" s="4">
        <f t="shared" ref="AR258:AR321" si="115">IFERROR(AF258-T258,"-")</f>
        <v>31</v>
      </c>
      <c r="AS258" s="4">
        <f t="shared" ref="AS258:AS321" si="116">IFERROR(AG258-U258,"-")</f>
        <v>3</v>
      </c>
      <c r="AT258" s="4">
        <f t="shared" ref="AT258:AT321" si="117">IFERROR(AH258-V258,"-")</f>
        <v>35</v>
      </c>
      <c r="AU258" s="4">
        <f t="shared" ref="AU258:AU321" si="118">IFERROR(AI258-W258,"-")</f>
        <v>7</v>
      </c>
      <c r="AV258" s="4">
        <f t="shared" ref="AV258:AV321" si="119">IFERROR(AJ258-X258,"-")</f>
        <v>25</v>
      </c>
      <c r="AW258" s="4">
        <f t="shared" ref="AW258:AW321" si="120">IFERROR(AK258-Y258,"-")</f>
        <v>2</v>
      </c>
      <c r="AX258" s="4">
        <f t="shared" ref="AX258:AX321" si="121">IFERROR(AL258-Z258,"-")</f>
        <v>39</v>
      </c>
      <c r="AY258" s="4">
        <f t="shared" ref="AY258:AY321" si="122">IFERROR(AM258-AA258,"-")</f>
        <v>40</v>
      </c>
      <c r="AZ258" s="4">
        <f t="shared" ref="AZ258:AZ321" si="123">IFERROR(AN258-AB258,"-")</f>
        <v>25</v>
      </c>
      <c r="BA258" s="4">
        <f t="shared" ref="BA258:BA321" si="124">IFERROR(AO258-AC258,"-")</f>
        <v>11</v>
      </c>
    </row>
    <row r="259" spans="1:53" x14ac:dyDescent="0.2">
      <c r="A259" s="1" t="str">
        <f>'SegEnds_NonXtal_Prot#'!A248</f>
        <v>trfr_human</v>
      </c>
      <c r="B259" s="1" t="str">
        <f t="shared" si="100"/>
        <v>LEYQVVTILLVLIICGLGIVGNIMVVLVVMRTTPTNCYLVSLAVADLMVLVAAGLPNITDSIGYVGCLCITYLQYLGINASSCSITAFTIERYIAICHTFSRAKKIIIFVWAFTSLYCMLWFFLLSRNYYSPIYLMDFGVFYVVPMILATVLYGFIARILFLNPIPSDPKENSTVSSRKQVTKMLAVVVILFALLWMPYRTLVVVNSFLENWFLLFCRICIYLNSAINPVIYNLMSQKFRAAFRKLCN</v>
      </c>
      <c r="C259" s="29" t="str">
        <f>IF(ISERROR(MATCH(A259,'SegEnds_Xtal_Prot#'!B:B, 0)), "NoXtal", "Xtal")</f>
        <v>NoXtal</v>
      </c>
      <c r="D259" s="4" t="str">
        <f>VLOOKUP(A259,Classification!A:D,2,FALSE)</f>
        <v>A</v>
      </c>
      <c r="E259" s="5" t="str">
        <f>VLOOKUP(A259,Seqs!A:B,2,FALSE)</f>
        <v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v>
      </c>
      <c r="F259" s="5" t="str">
        <f t="shared" si="101"/>
        <v>LEYQVVTILLVLIICGLGIVGNIMVVLVVMRT</v>
      </c>
      <c r="G259" s="4" t="str">
        <f t="shared" si="102"/>
        <v>KHMR</v>
      </c>
      <c r="H259" s="4" t="str">
        <f t="shared" si="103"/>
        <v>TPTNCYLVSLAVADLMVLVAAGLPNITDSI</v>
      </c>
      <c r="I259" s="4" t="str">
        <f t="shared" si="104"/>
        <v>SWVY</v>
      </c>
      <c r="J259" s="4" t="str">
        <f t="shared" si="105"/>
        <v>GYVGCLCITYLQYLGINASSCSITAFTIERYIAICH</v>
      </c>
      <c r="K259" s="4" t="str">
        <f t="shared" si="106"/>
        <v>PIKAQFLC</v>
      </c>
      <c r="L259" s="4" t="str">
        <f t="shared" si="107"/>
        <v>TFSRAKKIIIFVWAFTSLYCMLWFFLL</v>
      </c>
      <c r="M259" s="4" t="str">
        <f t="shared" si="108"/>
        <v>CGY</v>
      </c>
      <c r="N259" s="4" t="str">
        <f t="shared" si="109"/>
        <v>SRNYYSPIYLMDFGVFYVVPMILATVLYGFIARILFLNPIPSDPKE</v>
      </c>
      <c r="O259" s="4" t="str">
        <f t="shared" si="110"/>
        <v>NSTVSSRKQVTKMLAVVVILFALLWMPYRTLVVVNSFL</v>
      </c>
      <c r="P259" s="4" t="str">
        <f t="shared" si="111"/>
        <v>ENWFLLFCRICIYLNSAINPVIYNLM</v>
      </c>
      <c r="Q259" s="4" t="str">
        <f t="shared" si="112"/>
        <v>SQKFRAAFRKLCN</v>
      </c>
      <c r="R259" s="5">
        <f>VLOOKUP($A259,'SegEnds_NonXtal_Prot#'!$A:$AL,3,FALSE)</f>
        <v>22</v>
      </c>
      <c r="S259" s="5">
        <f>VLOOKUP($A259,'SegEnds_NonXtal_Prot#'!$A:$AL,6,FALSE)</f>
        <v>54</v>
      </c>
      <c r="T259" s="5">
        <f>VLOOKUP($A259,'SegEnds_NonXtal_Prot#'!$A:$AL,9,FALSE)</f>
        <v>58</v>
      </c>
      <c r="U259" s="5">
        <f>VLOOKUP($A259,'SegEnds_NonXtal_Prot#'!$A:$AL,12,FALSE)</f>
        <v>90</v>
      </c>
      <c r="V259" s="5">
        <f>VLOOKUP($A259,'SegEnds_NonXtal_Prot#'!$A:$AL,15,FALSE)</f>
        <v>94</v>
      </c>
      <c r="W259" s="5">
        <f>VLOOKUP($A259,'SegEnds_NonXtal_Prot#'!$A:$AL,18,FALSE)</f>
        <v>130</v>
      </c>
      <c r="X259" s="5">
        <f>VLOOKUP($A259,'SegEnds_NonXtal_Prot#'!$A:$AL,21,FALSE)</f>
        <v>138</v>
      </c>
      <c r="Y259" s="5">
        <f>VLOOKUP($A259,'SegEnds_NonXtal_Prot#'!$A:$AL,24,FALSE)</f>
        <v>179</v>
      </c>
      <c r="Z259" s="5">
        <f>VLOOKUP($A259,'SegEnds_NonXtal_Prot#'!$A:$AL,27,FALSE)</f>
        <v>184</v>
      </c>
      <c r="AA259" s="5">
        <f>VLOOKUP($A259,'SegEnds_NonXtal_Prot#'!$A:$AL,30,FALSE)</f>
        <v>255</v>
      </c>
      <c r="AB259" s="5">
        <f>VLOOKUP($A259,'SegEnds_NonXtal_Prot#'!$A:$AL,33,FALSE)</f>
        <v>298</v>
      </c>
      <c r="AC259" s="5">
        <f>VLOOKUP($A259,'SegEnds_NonXtal_Prot#'!$A:$AL,36,FALSE)</f>
        <v>324</v>
      </c>
      <c r="AD259" s="5">
        <f>VLOOKUP($A259,'SegEnds_NonXtal_Prot#'!$A:$AL,5,FALSE)</f>
        <v>53</v>
      </c>
      <c r="AE259" s="5">
        <f>VLOOKUP($A259,'SegEnds_NonXtal_Prot#'!$A:$AL,8,FALSE)</f>
        <v>57</v>
      </c>
      <c r="AF259" s="5">
        <f>VLOOKUP($A259,'SegEnds_NonXtal_Prot#'!$A:$AL,11,FALSE)</f>
        <v>87</v>
      </c>
      <c r="AG259" s="5">
        <f>VLOOKUP($A259,'SegEnds_NonXtal_Prot#'!$A:$AL,14,FALSE)</f>
        <v>93</v>
      </c>
      <c r="AH259" s="5">
        <f>VLOOKUP($A259,'SegEnds_NonXtal_Prot#'!$A:$AL,17,FALSE)</f>
        <v>129</v>
      </c>
      <c r="AI259" s="5">
        <f>VLOOKUP($A259,'SegEnds_NonXtal_Prot#'!$A:$AL,20,FALSE)</f>
        <v>137</v>
      </c>
      <c r="AJ259" s="5">
        <f>VLOOKUP($A259,'SegEnds_NonXtal_Prot#'!$A:$AL,23,FALSE)</f>
        <v>164</v>
      </c>
      <c r="AK259" s="5">
        <f>VLOOKUP($A259,'SegEnds_NonXtal_Prot#'!$A:$AL,26,FALSE)</f>
        <v>181</v>
      </c>
      <c r="AL259" s="5">
        <f>VLOOKUP($A259,'SegEnds_NonXtal_Prot#'!$A:$AL,29,FALSE)</f>
        <v>229</v>
      </c>
      <c r="AM259" s="5">
        <f>VLOOKUP($A259,'SegEnds_NonXtal_Prot#'!$A:$AL,32,FALSE)</f>
        <v>292</v>
      </c>
      <c r="AN259" s="5">
        <f>VLOOKUP($A259,'SegEnds_NonXtal_Prot#'!$A:$AL,35,FALSE)</f>
        <v>323</v>
      </c>
      <c r="AO259" s="5">
        <f>VLOOKUP($A259,'SegEnds_NonXtal_Prot#'!$A:$AL,38,FALSE)</f>
        <v>336</v>
      </c>
      <c r="AP259" s="5">
        <f t="shared" si="113"/>
        <v>31</v>
      </c>
      <c r="AQ259" s="4">
        <f t="shared" si="114"/>
        <v>3</v>
      </c>
      <c r="AR259" s="4">
        <f t="shared" si="115"/>
        <v>29</v>
      </c>
      <c r="AS259" s="4">
        <f t="shared" si="116"/>
        <v>3</v>
      </c>
      <c r="AT259" s="4">
        <f t="shared" si="117"/>
        <v>35</v>
      </c>
      <c r="AU259" s="4">
        <f t="shared" si="118"/>
        <v>7</v>
      </c>
      <c r="AV259" s="4">
        <f t="shared" si="119"/>
        <v>26</v>
      </c>
      <c r="AW259" s="4">
        <f t="shared" si="120"/>
        <v>2</v>
      </c>
      <c r="AX259" s="4">
        <f t="shared" si="121"/>
        <v>45</v>
      </c>
      <c r="AY259" s="4">
        <f t="shared" si="122"/>
        <v>37</v>
      </c>
      <c r="AZ259" s="4">
        <f t="shared" si="123"/>
        <v>25</v>
      </c>
      <c r="BA259" s="4">
        <f t="shared" si="124"/>
        <v>12</v>
      </c>
    </row>
    <row r="260" spans="1:53" x14ac:dyDescent="0.2">
      <c r="A260" s="1" t="str">
        <f>'SegEnds_NonXtal_Prot#'!A249</f>
        <v>tshr_human</v>
      </c>
      <c r="B260" s="1" t="str">
        <f t="shared" si="100"/>
        <v>EDIMGYKFLRIVVWFVSLLALLGNVFVLLILLTSVPRFLMCNLAFADFCMGMYLLLIASVDLYTGPGCNTAGFFTVFASELSVYTLTVITLERWYAITFRLRHACAIMVGGWVCCFLLALLPLVGPLALAYIVFVLTLNIVAFVIVCCCYVKIYITVRNPGDKDTKIAKRMAVLIFTDFICMAPISFYALSAILNVSNSKILLVLFYPLNSCANPFLYAIFTKAFQRDVFILLSKFGICKRQAQ</v>
      </c>
      <c r="C260" s="29" t="str">
        <f>IF(ISERROR(MATCH(A260,'SegEnds_Xtal_Prot#'!B:B, 0)), "NoXtal", "Xtal")</f>
        <v>NoXtal</v>
      </c>
      <c r="D260" s="4" t="str">
        <f>VLOOKUP(A260,Classification!A:D,2,FALSE)</f>
        <v>A</v>
      </c>
      <c r="E260" s="5" t="str">
        <f>VLOOKUP(A260,Seqs!A:B,2,FALSE)</f>
        <v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v>
      </c>
      <c r="F260" s="5" t="str">
        <f t="shared" si="101"/>
        <v>EDIMGYKFLRIVVWFVSLLALLGNVFVLLILLTS</v>
      </c>
      <c r="G260" s="4" t="str">
        <f t="shared" si="102"/>
        <v>YKLN</v>
      </c>
      <c r="H260" s="4" t="str">
        <f t="shared" si="103"/>
        <v>VPRFLMCNLAFADFCMGMYLLLIASVDLYT</v>
      </c>
      <c r="I260" s="4" t="str">
        <f t="shared" si="104"/>
        <v>DWQT</v>
      </c>
      <c r="J260" s="4" t="str">
        <f t="shared" si="105"/>
        <v>GPGCNTAGFFTVFASELSVYTLTVITLERWYAITF</v>
      </c>
      <c r="K260" s="4" t="str">
        <f t="shared" si="106"/>
        <v>AMRLDRKI</v>
      </c>
      <c r="L260" s="4" t="str">
        <f t="shared" si="107"/>
        <v>RLRHACAIMVGGWVCCFLLALLPLVG</v>
      </c>
      <c r="M260" s="4" t="str">
        <f t="shared" si="108"/>
        <v>CLP</v>
      </c>
      <c r="N260" s="4" t="str">
        <f t="shared" si="109"/>
        <v>PLALAYIVFVLTLNIVAFVIVCCCYVKIYITVRN</v>
      </c>
      <c r="O260" s="4" t="str">
        <f t="shared" si="110"/>
        <v>PGDKDTKIAKRMAVLIFTDFICMAPISFYALSAILN</v>
      </c>
      <c r="P260" s="4" t="str">
        <f t="shared" si="111"/>
        <v>VSNSKILLVLFYPLNSCANPFLYAIF</v>
      </c>
      <c r="Q260" s="4" t="str">
        <f t="shared" si="112"/>
        <v>TKAFQRDVFILLSKFGICKRQAQ</v>
      </c>
      <c r="R260" s="5">
        <f>VLOOKUP($A260,'SegEnds_NonXtal_Prot#'!$A:$AL,3,FALSE)</f>
        <v>409</v>
      </c>
      <c r="S260" s="5">
        <f>VLOOKUP($A260,'SegEnds_NonXtal_Prot#'!$A:$AL,6,FALSE)</f>
        <v>444</v>
      </c>
      <c r="T260" s="5">
        <f>VLOOKUP($A260,'SegEnds_NonXtal_Prot#'!$A:$AL,9,FALSE)</f>
        <v>448</v>
      </c>
      <c r="U260" s="5">
        <f>VLOOKUP($A260,'SegEnds_NonXtal_Prot#'!$A:$AL,12,FALSE)</f>
        <v>487</v>
      </c>
      <c r="V260" s="5">
        <f>VLOOKUP($A260,'SegEnds_NonXtal_Prot#'!$A:$AL,15,FALSE)</f>
        <v>491</v>
      </c>
      <c r="W260" s="5">
        <f>VLOOKUP($A260,'SegEnds_NonXtal_Prot#'!$A:$AL,18,FALSE)</f>
        <v>526</v>
      </c>
      <c r="X260" s="5">
        <f>VLOOKUP($A260,'SegEnds_NonXtal_Prot#'!$A:$AL,21,FALSE)</f>
        <v>534</v>
      </c>
      <c r="Y260" s="5">
        <f>VLOOKUP($A260,'SegEnds_NonXtal_Prot#'!$A:$AL,24,FALSE)</f>
        <v>569</v>
      </c>
      <c r="Z260" s="5">
        <f>VLOOKUP($A260,'SegEnds_NonXtal_Prot#'!$A:$AL,27,FALSE)</f>
        <v>577</v>
      </c>
      <c r="AA260" s="5">
        <f>VLOOKUP($A260,'SegEnds_NonXtal_Prot#'!$A:$AL,30,FALSE)</f>
        <v>615</v>
      </c>
      <c r="AB260" s="5">
        <f>VLOOKUP($A260,'SegEnds_NonXtal_Prot#'!$A:$AL,33,FALSE)</f>
        <v>656</v>
      </c>
      <c r="AC260" s="5">
        <f>VLOOKUP($A260,'SegEnds_NonXtal_Prot#'!$A:$AL,36,FALSE)</f>
        <v>682</v>
      </c>
      <c r="AD260" s="5">
        <f>VLOOKUP($A260,'SegEnds_NonXtal_Prot#'!$A:$AL,5,FALSE)</f>
        <v>442</v>
      </c>
      <c r="AE260" s="5">
        <f>VLOOKUP($A260,'SegEnds_NonXtal_Prot#'!$A:$AL,8,FALSE)</f>
        <v>447</v>
      </c>
      <c r="AF260" s="5">
        <f>VLOOKUP($A260,'SegEnds_NonXtal_Prot#'!$A:$AL,11,FALSE)</f>
        <v>477</v>
      </c>
      <c r="AG260" s="5">
        <f>VLOOKUP($A260,'SegEnds_NonXtal_Prot#'!$A:$AL,14,FALSE)</f>
        <v>490</v>
      </c>
      <c r="AH260" s="5">
        <f>VLOOKUP($A260,'SegEnds_NonXtal_Prot#'!$A:$AL,17,FALSE)</f>
        <v>525</v>
      </c>
      <c r="AI260" s="5">
        <f>VLOOKUP($A260,'SegEnds_NonXtal_Prot#'!$A:$AL,20,FALSE)</f>
        <v>533</v>
      </c>
      <c r="AJ260" s="5">
        <f>VLOOKUP($A260,'SegEnds_NonXtal_Prot#'!$A:$AL,23,FALSE)</f>
        <v>559</v>
      </c>
      <c r="AK260" s="5">
        <f>VLOOKUP($A260,'SegEnds_NonXtal_Prot#'!$A:$AL,26,FALSE)</f>
        <v>571</v>
      </c>
      <c r="AL260" s="5">
        <f>VLOOKUP($A260,'SegEnds_NonXtal_Prot#'!$A:$AL,29,FALSE)</f>
        <v>610</v>
      </c>
      <c r="AM260" s="5">
        <f>VLOOKUP($A260,'SegEnds_NonXtal_Prot#'!$A:$AL,32,FALSE)</f>
        <v>650</v>
      </c>
      <c r="AN260" s="5">
        <f>VLOOKUP($A260,'SegEnds_NonXtal_Prot#'!$A:$AL,35,FALSE)</f>
        <v>681</v>
      </c>
      <c r="AO260" s="5">
        <f>VLOOKUP($A260,'SegEnds_NonXtal_Prot#'!$A:$AL,38,FALSE)</f>
        <v>704</v>
      </c>
      <c r="AP260" s="5">
        <f t="shared" si="113"/>
        <v>33</v>
      </c>
      <c r="AQ260" s="4">
        <f t="shared" si="114"/>
        <v>3</v>
      </c>
      <c r="AR260" s="4">
        <f t="shared" si="115"/>
        <v>29</v>
      </c>
      <c r="AS260" s="4">
        <f t="shared" si="116"/>
        <v>3</v>
      </c>
      <c r="AT260" s="4">
        <f t="shared" si="117"/>
        <v>34</v>
      </c>
      <c r="AU260" s="4">
        <f t="shared" si="118"/>
        <v>7</v>
      </c>
      <c r="AV260" s="4">
        <f t="shared" si="119"/>
        <v>25</v>
      </c>
      <c r="AW260" s="4">
        <f t="shared" si="120"/>
        <v>2</v>
      </c>
      <c r="AX260" s="4">
        <f t="shared" si="121"/>
        <v>33</v>
      </c>
      <c r="AY260" s="4">
        <f t="shared" si="122"/>
        <v>35</v>
      </c>
      <c r="AZ260" s="4">
        <f t="shared" si="123"/>
        <v>25</v>
      </c>
      <c r="BA260" s="4">
        <f t="shared" si="124"/>
        <v>22</v>
      </c>
    </row>
    <row r="261" spans="1:53" x14ac:dyDescent="0.2">
      <c r="A261" s="1" t="str">
        <f>'SegEnds_NonXtal_Prot#'!A250</f>
        <v>v2r_human</v>
      </c>
      <c r="B261" s="1" t="str">
        <f t="shared" si="100"/>
        <v>PLLARAELALLSIVFVAVALSNGLVLAALARRWAPIHVFIGHLCLADLAVALFQVLPQLAWKARGPDALCRAVKYLQMVGMYASSYMILAMTLDRHRAICRSGAHWNRPVLVAWAFSLLLSLPQLFIFPWGRRTYVTWIALMVFVAPTLGIAACQVLIFREIHASLVPGPSERAHVSAAVAKTVRMTLVIVVVYVLCWAPFFLVQLWAAWDEGAPFVLLMLLASLNSCTNPWIYASFSSSVSSELRSLL</v>
      </c>
      <c r="C261" s="29" t="str">
        <f>IF(ISERROR(MATCH(A261,'SegEnds_Xtal_Prot#'!B:B, 0)), "NoXtal", "Xtal")</f>
        <v>NoXtal</v>
      </c>
      <c r="D261" s="4" t="str">
        <f>VLOOKUP(A261,Classification!A:D,2,FALSE)</f>
        <v>A</v>
      </c>
      <c r="E261" s="5" t="str">
        <f>VLOOKUP(A261,Seqs!A:B,2,FALSE)</f>
        <v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v>
      </c>
      <c r="F261" s="5" t="str">
        <f t="shared" si="101"/>
        <v>PLLARAELALLSIVFVAVALSNGLVLAALARR</v>
      </c>
      <c r="G261" s="4" t="str">
        <f t="shared" si="102"/>
        <v>RRGH</v>
      </c>
      <c r="H261" s="4" t="str">
        <f t="shared" si="103"/>
        <v>WAPIHVFIGHLCLADLAVALFQVLPQLAWKA</v>
      </c>
      <c r="I261" s="4" t="str">
        <f t="shared" si="104"/>
        <v>TDRF</v>
      </c>
      <c r="J261" s="4" t="str">
        <f t="shared" si="105"/>
        <v>RGPDALCRAVKYLQMVGMYASSYMILAMTLDRHRAICR</v>
      </c>
      <c r="K261" s="4" t="str">
        <f t="shared" si="106"/>
        <v>PMLAYRHG</v>
      </c>
      <c r="L261" s="4" t="str">
        <f t="shared" si="107"/>
        <v>SGAHWNRPVLVAWAFSLLLSLPQLFIF</v>
      </c>
      <c r="M261" s="4" t="str">
        <f t="shared" si="108"/>
        <v>CWA</v>
      </c>
      <c r="N261" s="4" t="str">
        <f t="shared" si="109"/>
        <v>PWGRRTYVTWIALMVFVAPTLGIAACQVLIFREIHASLVPGPSER</v>
      </c>
      <c r="O261" s="4" t="str">
        <f t="shared" si="110"/>
        <v>AHVSAAVAKTVRMTLVIVVVYVLCWAPFFLVQLWAAWD</v>
      </c>
      <c r="P261" s="4" t="str">
        <f t="shared" si="111"/>
        <v>EGAPFVLLMLLASLNSCTNPWIYASF</v>
      </c>
      <c r="Q261" s="4" t="str">
        <f t="shared" si="112"/>
        <v>SSSVSSELRSLL</v>
      </c>
      <c r="R261" s="5">
        <f>VLOOKUP($A261,'SegEnds_NonXtal_Prot#'!$A:$AL,3,FALSE)</f>
        <v>34</v>
      </c>
      <c r="S261" s="5">
        <f>VLOOKUP($A261,'SegEnds_NonXtal_Prot#'!$A:$AL,6,FALSE)</f>
        <v>67</v>
      </c>
      <c r="T261" s="5">
        <f>VLOOKUP($A261,'SegEnds_NonXtal_Prot#'!$A:$AL,9,FALSE)</f>
        <v>71</v>
      </c>
      <c r="U261" s="5">
        <f>VLOOKUP($A261,'SegEnds_NonXtal_Prot#'!$A:$AL,12,FALSE)</f>
        <v>102</v>
      </c>
      <c r="V261" s="5">
        <f>VLOOKUP($A261,'SegEnds_NonXtal_Prot#'!$A:$AL,15,FALSE)</f>
        <v>106</v>
      </c>
      <c r="W261" s="5">
        <f>VLOOKUP($A261,'SegEnds_NonXtal_Prot#'!$A:$AL,18,FALSE)</f>
        <v>144</v>
      </c>
      <c r="X261" s="5">
        <f>VLOOKUP($A261,'SegEnds_NonXtal_Prot#'!$A:$AL,21,FALSE)</f>
        <v>152</v>
      </c>
      <c r="Y261" s="5">
        <f>VLOOKUP($A261,'SegEnds_NonXtal_Prot#'!$A:$AL,24,FALSE)</f>
        <v>192</v>
      </c>
      <c r="Z261" s="5">
        <f>VLOOKUP($A261,'SegEnds_NonXtal_Prot#'!$A:$AL,27,FALSE)</f>
        <v>199</v>
      </c>
      <c r="AA261" s="5">
        <f>VLOOKUP($A261,'SegEnds_NonXtal_Prot#'!$A:$AL,30,FALSE)</f>
        <v>260</v>
      </c>
      <c r="AB261" s="5">
        <f>VLOOKUP($A261,'SegEnds_NonXtal_Prot#'!$A:$AL,33,FALSE)</f>
        <v>303</v>
      </c>
      <c r="AC261" s="5">
        <f>VLOOKUP($A261,'SegEnds_NonXtal_Prot#'!$A:$AL,36,FALSE)</f>
        <v>329</v>
      </c>
      <c r="AD261" s="5">
        <f>VLOOKUP($A261,'SegEnds_NonXtal_Prot#'!$A:$AL,5,FALSE)</f>
        <v>65</v>
      </c>
      <c r="AE261" s="5">
        <f>VLOOKUP($A261,'SegEnds_NonXtal_Prot#'!$A:$AL,8,FALSE)</f>
        <v>70</v>
      </c>
      <c r="AF261" s="5">
        <f>VLOOKUP($A261,'SegEnds_NonXtal_Prot#'!$A:$AL,11,FALSE)</f>
        <v>101</v>
      </c>
      <c r="AG261" s="5">
        <f>VLOOKUP($A261,'SegEnds_NonXtal_Prot#'!$A:$AL,14,FALSE)</f>
        <v>105</v>
      </c>
      <c r="AH261" s="5">
        <f>VLOOKUP($A261,'SegEnds_NonXtal_Prot#'!$A:$AL,17,FALSE)</f>
        <v>143</v>
      </c>
      <c r="AI261" s="5">
        <f>VLOOKUP($A261,'SegEnds_NonXtal_Prot#'!$A:$AL,20,FALSE)</f>
        <v>151</v>
      </c>
      <c r="AJ261" s="5">
        <f>VLOOKUP($A261,'SegEnds_NonXtal_Prot#'!$A:$AL,23,FALSE)</f>
        <v>178</v>
      </c>
      <c r="AK261" s="5">
        <f>VLOOKUP($A261,'SegEnds_NonXtal_Prot#'!$A:$AL,26,FALSE)</f>
        <v>194</v>
      </c>
      <c r="AL261" s="5">
        <f>VLOOKUP($A261,'SegEnds_NonXtal_Prot#'!$A:$AL,29,FALSE)</f>
        <v>243</v>
      </c>
      <c r="AM261" s="5">
        <f>VLOOKUP($A261,'SegEnds_NonXtal_Prot#'!$A:$AL,32,FALSE)</f>
        <v>297</v>
      </c>
      <c r="AN261" s="5">
        <f>VLOOKUP($A261,'SegEnds_NonXtal_Prot#'!$A:$AL,35,FALSE)</f>
        <v>328</v>
      </c>
      <c r="AO261" s="5">
        <f>VLOOKUP($A261,'SegEnds_NonXtal_Prot#'!$A:$AL,38,FALSE)</f>
        <v>340</v>
      </c>
      <c r="AP261" s="5">
        <f t="shared" si="113"/>
        <v>31</v>
      </c>
      <c r="AQ261" s="4">
        <f t="shared" si="114"/>
        <v>3</v>
      </c>
      <c r="AR261" s="4">
        <f t="shared" si="115"/>
        <v>30</v>
      </c>
      <c r="AS261" s="4">
        <f t="shared" si="116"/>
        <v>3</v>
      </c>
      <c r="AT261" s="4">
        <f t="shared" si="117"/>
        <v>37</v>
      </c>
      <c r="AU261" s="4">
        <f t="shared" si="118"/>
        <v>7</v>
      </c>
      <c r="AV261" s="4">
        <f t="shared" si="119"/>
        <v>26</v>
      </c>
      <c r="AW261" s="4">
        <f t="shared" si="120"/>
        <v>2</v>
      </c>
      <c r="AX261" s="4">
        <f t="shared" si="121"/>
        <v>44</v>
      </c>
      <c r="AY261" s="4">
        <f t="shared" si="122"/>
        <v>37</v>
      </c>
      <c r="AZ261" s="4">
        <f t="shared" si="123"/>
        <v>25</v>
      </c>
      <c r="BA261" s="4">
        <f t="shared" si="124"/>
        <v>11</v>
      </c>
    </row>
    <row r="262" spans="1:53" x14ac:dyDescent="0.2">
      <c r="A262" s="1" t="str">
        <f>'SegEnds_NonXtal_Prot#'!A251</f>
        <v>xcr1_human</v>
      </c>
      <c r="B262" s="1" t="str">
        <f t="shared" si="100"/>
        <v>ENQAWVFATLATTVLYCLVFLLSLVGNSLVLWVLVKYSLTNIFILNLCLSDLVFACLLPVWISPYHWGDFLCKLLNMIFSISLYSSIFFLTIMTIHRYLSVVSTLRCRVLVTMAVWVASILSSILDTIFHWYLTSVYQHNLFFLLSLGIILFCYVEILRTLFRSRHRTVKLIFAIVVAYFLSWGPYNFTLFLQTLFRTQSCEAKQQLEYALLICRNLAFSHCCFNPVLYVFVGVKFRTHLKHVLR</v>
      </c>
      <c r="C262" s="29" t="str">
        <f>IF(ISERROR(MATCH(A262,'SegEnds_Xtal_Prot#'!B:B, 0)), "NoXtal", "Xtal")</f>
        <v>NoXtal</v>
      </c>
      <c r="D262" s="4" t="str">
        <f>VLOOKUP(A262,Classification!A:D,2,FALSE)</f>
        <v>A</v>
      </c>
      <c r="E262" s="5" t="str">
        <f>VLOOKUP(A262,Seqs!A:B,2,FALSE)</f>
        <v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v>
      </c>
      <c r="F262" s="5" t="str">
        <f t="shared" si="101"/>
        <v>ENQAWVFATLATTVLYCLVFLLSLVGNSLVLWVLVKY</v>
      </c>
      <c r="G262" s="4" t="str">
        <f t="shared" si="102"/>
        <v>ESLE</v>
      </c>
      <c r="H262" s="4" t="str">
        <f t="shared" si="103"/>
        <v>SLTNIFILNLCLSDLVFACLLPVWISPYHW</v>
      </c>
      <c r="I262" s="4" t="str">
        <f t="shared" si="104"/>
        <v>GWVL</v>
      </c>
      <c r="J262" s="4" t="str">
        <f t="shared" si="105"/>
        <v>GDFLCKLLNMIFSISLYSSIFFLTIMTIHRYLSVVS</v>
      </c>
      <c r="K262" s="4" t="str">
        <f t="shared" si="106"/>
        <v>PLSTLRVP</v>
      </c>
      <c r="L262" s="4" t="str">
        <f t="shared" si="107"/>
        <v>TLRCRVLVTMAVWVASILSSILDTIFH</v>
      </c>
      <c r="M262" s="4" t="str">
        <f t="shared" si="108"/>
        <v>CDY</v>
      </c>
      <c r="N262" s="4" t="str">
        <f t="shared" si="109"/>
        <v>WYLTSVYQHNLFFLLSLGIILFCYVEILRTLFRS</v>
      </c>
      <c r="O262" s="4" t="str">
        <f t="shared" si="110"/>
        <v>RHRTVKLIFAIVVAYFLSWGPYNFTLFLQTLFRTQ</v>
      </c>
      <c r="P262" s="4" t="str">
        <f t="shared" si="111"/>
        <v>SCEAKQQLEYALLICRNLAFSHCCFNPVLYVFV</v>
      </c>
      <c r="Q262" s="4" t="str">
        <f t="shared" si="112"/>
        <v>GVKFRTHLKHVLR</v>
      </c>
      <c r="R262" s="5">
        <f>VLOOKUP($A262,'SegEnds_NonXtal_Prot#'!$A:$AL,3,FALSE)</f>
        <v>23</v>
      </c>
      <c r="S262" s="5">
        <f>VLOOKUP($A262,'SegEnds_NonXtal_Prot#'!$A:$AL,6,FALSE)</f>
        <v>60</v>
      </c>
      <c r="T262" s="5">
        <f>VLOOKUP($A262,'SegEnds_NonXtal_Prot#'!$A:$AL,9,FALSE)</f>
        <v>64</v>
      </c>
      <c r="U262" s="5">
        <f>VLOOKUP($A262,'SegEnds_NonXtal_Prot#'!$A:$AL,12,FALSE)</f>
        <v>94</v>
      </c>
      <c r="V262" s="5">
        <f>VLOOKUP($A262,'SegEnds_NonXtal_Prot#'!$A:$AL,15,FALSE)</f>
        <v>98</v>
      </c>
      <c r="W262" s="5">
        <f>VLOOKUP($A262,'SegEnds_NonXtal_Prot#'!$A:$AL,18,FALSE)</f>
        <v>134</v>
      </c>
      <c r="X262" s="5">
        <f>VLOOKUP($A262,'SegEnds_NonXtal_Prot#'!$A:$AL,21,FALSE)</f>
        <v>142</v>
      </c>
      <c r="Y262" s="5">
        <f>VLOOKUP($A262,'SegEnds_NonXtal_Prot#'!$A:$AL,24,FALSE)</f>
        <v>175</v>
      </c>
      <c r="Z262" s="5">
        <f>VLOOKUP($A262,'SegEnds_NonXtal_Prot#'!$A:$AL,27,FALSE)</f>
        <v>182</v>
      </c>
      <c r="AA262" s="5">
        <f>VLOOKUP($A262,'SegEnds_NonXtal_Prot#'!$A:$AL,30,FALSE)</f>
        <v>220</v>
      </c>
      <c r="AB262" s="5">
        <f>VLOOKUP($A262,'SegEnds_NonXtal_Prot#'!$A:$AL,33,FALSE)</f>
        <v>258</v>
      </c>
      <c r="AC262" s="5">
        <f>VLOOKUP($A262,'SegEnds_NonXtal_Prot#'!$A:$AL,36,FALSE)</f>
        <v>291</v>
      </c>
      <c r="AD262" s="5">
        <f>VLOOKUP($A262,'SegEnds_NonXtal_Prot#'!$A:$AL,5,FALSE)</f>
        <v>59</v>
      </c>
      <c r="AE262" s="5">
        <f>VLOOKUP($A262,'SegEnds_NonXtal_Prot#'!$A:$AL,8,FALSE)</f>
        <v>63</v>
      </c>
      <c r="AF262" s="5">
        <f>VLOOKUP($A262,'SegEnds_NonXtal_Prot#'!$A:$AL,11,FALSE)</f>
        <v>93</v>
      </c>
      <c r="AG262" s="5">
        <f>VLOOKUP($A262,'SegEnds_NonXtal_Prot#'!$A:$AL,14,FALSE)</f>
        <v>97</v>
      </c>
      <c r="AH262" s="5">
        <f>VLOOKUP($A262,'SegEnds_NonXtal_Prot#'!$A:$AL,17,FALSE)</f>
        <v>133</v>
      </c>
      <c r="AI262" s="5">
        <f>VLOOKUP($A262,'SegEnds_NonXtal_Prot#'!$A:$AL,20,FALSE)</f>
        <v>141</v>
      </c>
      <c r="AJ262" s="5">
        <f>VLOOKUP($A262,'SegEnds_NonXtal_Prot#'!$A:$AL,23,FALSE)</f>
        <v>168</v>
      </c>
      <c r="AK262" s="5">
        <f>VLOOKUP($A262,'SegEnds_NonXtal_Prot#'!$A:$AL,26,FALSE)</f>
        <v>177</v>
      </c>
      <c r="AL262" s="5">
        <f>VLOOKUP($A262,'SegEnds_NonXtal_Prot#'!$A:$AL,29,FALSE)</f>
        <v>215</v>
      </c>
      <c r="AM262" s="5">
        <f>VLOOKUP($A262,'SegEnds_NonXtal_Prot#'!$A:$AL,32,FALSE)</f>
        <v>254</v>
      </c>
      <c r="AN262" s="5">
        <f>VLOOKUP($A262,'SegEnds_NonXtal_Prot#'!$A:$AL,35,FALSE)</f>
        <v>290</v>
      </c>
      <c r="AO262" s="5">
        <f>VLOOKUP($A262,'SegEnds_NonXtal_Prot#'!$A:$AL,38,FALSE)</f>
        <v>303</v>
      </c>
      <c r="AP262" s="5">
        <f t="shared" si="113"/>
        <v>36</v>
      </c>
      <c r="AQ262" s="4">
        <f t="shared" si="114"/>
        <v>3</v>
      </c>
      <c r="AR262" s="4">
        <f t="shared" si="115"/>
        <v>29</v>
      </c>
      <c r="AS262" s="4">
        <f t="shared" si="116"/>
        <v>3</v>
      </c>
      <c r="AT262" s="4">
        <f t="shared" si="117"/>
        <v>35</v>
      </c>
      <c r="AU262" s="4">
        <f t="shared" si="118"/>
        <v>7</v>
      </c>
      <c r="AV262" s="4">
        <f t="shared" si="119"/>
        <v>26</v>
      </c>
      <c r="AW262" s="4">
        <f t="shared" si="120"/>
        <v>2</v>
      </c>
      <c r="AX262" s="4">
        <f t="shared" si="121"/>
        <v>33</v>
      </c>
      <c r="AY262" s="4">
        <f t="shared" si="122"/>
        <v>34</v>
      </c>
      <c r="AZ262" s="4">
        <f t="shared" si="123"/>
        <v>32</v>
      </c>
      <c r="BA262" s="4">
        <f t="shared" si="124"/>
        <v>12</v>
      </c>
    </row>
    <row r="263" spans="1:53" x14ac:dyDescent="0.2">
      <c r="A263" s="1" t="str">
        <f>'SegEnds_NonXtal_Prot#'!A252</f>
        <v>ccrl2_human</v>
      </c>
      <c r="B263" s="1" t="str">
        <f t="shared" si="100"/>
        <v>KYDAQALSAQLVPSLCSAVFVIGVLDNLLVVLILVKYRVENIYLLNLAVSNLCFLLTLPFWAHAMCKILIGLYFVGLYSETFFNCLLTVQRYLVFLHRVPCGIITSVLAWVTAILATLPEFVVYDETFWKHFLTLKMNISVLVLPLFIFTFLYVQMRKTLRFRYSLFKLVFAIMVVFLLMWAPYNIAFFLSTFKEHFDCKSSYNLDKSVHITKLIATTHCCINPLLYAFLDGTFSKYLCRCFH</v>
      </c>
      <c r="C263" s="29" t="str">
        <f>IF(ISERROR(MATCH(A263,'SegEnds_Xtal_Prot#'!B:B, 0)), "NoXtal", "Xtal")</f>
        <v>NoXtal</v>
      </c>
      <c r="D263" s="4" t="str">
        <f>VLOOKUP(A263,Classification!A:D,2,FALSE)</f>
        <v>A</v>
      </c>
      <c r="E263" s="5" t="str">
        <f>VLOOKUP(A263,Seqs!A:B,2,FALSE)</f>
        <v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v>
      </c>
      <c r="F263" s="5" t="str">
        <f t="shared" si="101"/>
        <v>KYDAQALSAQLVPSLCSAVFVIGVLDNLLVVLILVKY</v>
      </c>
      <c r="G263" s="4" t="str">
        <f t="shared" si="102"/>
        <v>KGLK</v>
      </c>
      <c r="H263" s="4" t="str">
        <f t="shared" si="103"/>
        <v>RVENIYLLNLAVSNLCFLLTLPFWAHA</v>
      </c>
      <c r="I263" s="4" t="str">
        <f t="shared" si="104"/>
        <v/>
      </c>
      <c r="J263" s="4" t="str">
        <f t="shared" si="105"/>
        <v>MCKILIGLYFVGLYSETFFNCLLTVQRYLVFLH</v>
      </c>
      <c r="K263" s="4" t="str">
        <f t="shared" si="106"/>
        <v>KGNFFSARR</v>
      </c>
      <c r="L263" s="4" t="str">
        <f t="shared" si="107"/>
        <v>RVPCGIITSVLAWVTAILATLPEFVVY</v>
      </c>
      <c r="M263" s="4" t="str">
        <f t="shared" si="108"/>
        <v>CAF</v>
      </c>
      <c r="N263" s="4" t="str">
        <f t="shared" si="109"/>
        <v>DETFWKHFLTLKMNISVLVLPLFIFTFLYVQMRKTLRF</v>
      </c>
      <c r="O263" s="4" t="str">
        <f t="shared" si="110"/>
        <v>RYSLFKLVFAIMVVFLLMWAPYNIAFFLSTFKEHF</v>
      </c>
      <c r="P263" s="4" t="str">
        <f t="shared" si="111"/>
        <v>DCKSSYNLDKSVHITKLIATTHCCINPLLYAFL</v>
      </c>
      <c r="Q263" s="4" t="str">
        <f t="shared" si="112"/>
        <v>DGTFSKYLCRCFH</v>
      </c>
      <c r="R263" s="5">
        <f>VLOOKUP($A263,'SegEnds_NonXtal_Prot#'!$A:$AL,3,FALSE)</f>
        <v>30</v>
      </c>
      <c r="S263" s="5">
        <f>VLOOKUP($A263,'SegEnds_NonXtal_Prot#'!$A:$AL,6,FALSE)</f>
        <v>67</v>
      </c>
      <c r="T263" s="5">
        <f>VLOOKUP($A263,'SegEnds_NonXtal_Prot#'!$A:$AL,9,FALSE)</f>
        <v>71</v>
      </c>
      <c r="U263" s="5" t="str">
        <f>VLOOKUP($A263,'SegEnds_NonXtal_Prot#'!$A:$AL,12,FALSE)</f>
        <v>-</v>
      </c>
      <c r="V263" s="5">
        <f>VLOOKUP($A263,'SegEnds_NonXtal_Prot#'!$A:$AL,15,FALSE)</f>
        <v>102</v>
      </c>
      <c r="W263" s="5">
        <f>VLOOKUP($A263,'SegEnds_NonXtal_Prot#'!$A:$AL,18,FALSE)</f>
        <v>135</v>
      </c>
      <c r="X263" s="5">
        <f>VLOOKUP($A263,'SegEnds_NonXtal_Prot#'!$A:$AL,21,FALSE)</f>
        <v>144</v>
      </c>
      <c r="Y263" s="5">
        <f>VLOOKUP($A263,'SegEnds_NonXtal_Prot#'!$A:$AL,24,FALSE)</f>
        <v>181</v>
      </c>
      <c r="Z263" s="5">
        <f>VLOOKUP($A263,'SegEnds_NonXtal_Prot#'!$A:$AL,27,FALSE)</f>
        <v>192</v>
      </c>
      <c r="AA263" s="5">
        <f>VLOOKUP($A263,'SegEnds_NonXtal_Prot#'!$A:$AL,30,FALSE)</f>
        <v>233</v>
      </c>
      <c r="AB263" s="5">
        <f>VLOOKUP($A263,'SegEnds_NonXtal_Prot#'!$A:$AL,33,FALSE)</f>
        <v>271</v>
      </c>
      <c r="AC263" s="5">
        <f>VLOOKUP($A263,'SegEnds_NonXtal_Prot#'!$A:$AL,36,FALSE)</f>
        <v>304</v>
      </c>
      <c r="AD263" s="5">
        <f>VLOOKUP($A263,'SegEnds_NonXtal_Prot#'!$A:$AL,5,FALSE)</f>
        <v>66</v>
      </c>
      <c r="AE263" s="5">
        <f>VLOOKUP($A263,'SegEnds_NonXtal_Prot#'!$A:$AL,8,FALSE)</f>
        <v>70</v>
      </c>
      <c r="AF263" s="5">
        <f>VLOOKUP($A263,'SegEnds_NonXtal_Prot#'!$A:$AL,11,FALSE)</f>
        <v>97</v>
      </c>
      <c r="AG263" s="5" t="str">
        <f>VLOOKUP($A263,'SegEnds_NonXtal_Prot#'!$A:$AL,14,FALSE)</f>
        <v>-</v>
      </c>
      <c r="AH263" s="5">
        <f>VLOOKUP($A263,'SegEnds_NonXtal_Prot#'!$A:$AL,17,FALSE)</f>
        <v>134</v>
      </c>
      <c r="AI263" s="5">
        <f>VLOOKUP($A263,'SegEnds_NonXtal_Prot#'!$A:$AL,20,FALSE)</f>
        <v>143</v>
      </c>
      <c r="AJ263" s="5">
        <f>VLOOKUP($A263,'SegEnds_NonXtal_Prot#'!$A:$AL,23,FALSE)</f>
        <v>170</v>
      </c>
      <c r="AK263" s="5">
        <f>VLOOKUP($A263,'SegEnds_NonXtal_Prot#'!$A:$AL,26,FALSE)</f>
        <v>183</v>
      </c>
      <c r="AL263" s="5">
        <f>VLOOKUP($A263,'SegEnds_NonXtal_Prot#'!$A:$AL,29,FALSE)</f>
        <v>229</v>
      </c>
      <c r="AM263" s="5">
        <f>VLOOKUP($A263,'SegEnds_NonXtal_Prot#'!$A:$AL,32,FALSE)</f>
        <v>267</v>
      </c>
      <c r="AN263" s="5">
        <f>VLOOKUP($A263,'SegEnds_NonXtal_Prot#'!$A:$AL,35,FALSE)</f>
        <v>303</v>
      </c>
      <c r="AO263" s="5">
        <f>VLOOKUP($A263,'SegEnds_NonXtal_Prot#'!$A:$AL,38,FALSE)</f>
        <v>316</v>
      </c>
      <c r="AP263" s="5">
        <f t="shared" si="113"/>
        <v>36</v>
      </c>
      <c r="AQ263" s="4">
        <f t="shared" si="114"/>
        <v>3</v>
      </c>
      <c r="AR263" s="4">
        <f t="shared" si="115"/>
        <v>26</v>
      </c>
      <c r="AS263" s="4" t="str">
        <f t="shared" si="116"/>
        <v>-</v>
      </c>
      <c r="AT263" s="4">
        <f t="shared" si="117"/>
        <v>32</v>
      </c>
      <c r="AU263" s="4">
        <f t="shared" si="118"/>
        <v>8</v>
      </c>
      <c r="AV263" s="4">
        <f t="shared" si="119"/>
        <v>26</v>
      </c>
      <c r="AW263" s="4">
        <f t="shared" si="120"/>
        <v>2</v>
      </c>
      <c r="AX263" s="4">
        <f t="shared" si="121"/>
        <v>37</v>
      </c>
      <c r="AY263" s="4">
        <f t="shared" si="122"/>
        <v>34</v>
      </c>
      <c r="AZ263" s="4">
        <f t="shared" si="123"/>
        <v>32</v>
      </c>
      <c r="BA263" s="4">
        <f t="shared" si="124"/>
        <v>12</v>
      </c>
    </row>
    <row r="264" spans="1:53" x14ac:dyDescent="0.2">
      <c r="A264" s="1" t="str">
        <f>'SegEnds_NonXtal_Prot#'!A254</f>
        <v>gpr27_human</v>
      </c>
      <c r="B264" s="1" t="str">
        <f t="shared" si="100"/>
        <v>LGLKLATLSLLLCVSLAGNVLFALLIVRERAPYYLLLDLCLADGLRALACLPAVMLAARRAPPGALGCKLLAFLAALFCFHAAFLLLGVGVTRYLAIAHGWPCAAMLVCAAWALALAAAFPPVLDGEQRPDGAPGALGFLLLLAVVVGATHLVYLRLLFFIHDRRKMRLEEFKTEKRLCKMFYAVTLLFLLLWGPYVVASYLRVLVPQAYLTASVWLTFAQAGINPVVCFLFNRELRDCFRAQF</v>
      </c>
      <c r="C264" s="29" t="str">
        <f>IF(ISERROR(MATCH(A264,'SegEnds_Xtal_Prot#'!B:B, 0)), "NoXtal", "Xtal")</f>
        <v>NoXtal</v>
      </c>
      <c r="D264" s="4" t="str">
        <f>VLOOKUP(A264,Classification!A:D,2,FALSE)</f>
        <v>A</v>
      </c>
      <c r="E264" s="5" t="str">
        <f>VLOOKUP(A264,Seqs!A:B,2,FALSE)</f>
        <v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v>
      </c>
      <c r="F264" s="5" t="str">
        <f t="shared" si="101"/>
        <v>LGLKLATLSLLLCVSLAGNVLFALLIVRE</v>
      </c>
      <c r="G264" s="4" t="str">
        <f t="shared" si="102"/>
        <v>RSLH</v>
      </c>
      <c r="H264" s="4" t="str">
        <f t="shared" si="103"/>
        <v>RAPYYLLLDLCLADGLRALACLPAVMLAARR</v>
      </c>
      <c r="I264" s="4" t="str">
        <f t="shared" si="104"/>
        <v/>
      </c>
      <c r="J264" s="4" t="str">
        <f t="shared" si="105"/>
        <v>APPGALGCKLLAFLAALFCFHAAFLLLGVGVTRYLAIAH</v>
      </c>
      <c r="K264" s="4" t="str">
        <f t="shared" si="106"/>
        <v>HRFYAERLA</v>
      </c>
      <c r="L264" s="4" t="str">
        <f t="shared" si="107"/>
        <v>GWPCAAMLVCAAWALALAAAFPPVLDG</v>
      </c>
      <c r="M264" s="4" t="str">
        <f t="shared" si="108"/>
        <v>CAL</v>
      </c>
      <c r="N264" s="4" t="str">
        <f t="shared" si="109"/>
        <v>EQRPDGAPGALGFLLLLAVVVGATHLVYLRLLFFIHDRRKMR</v>
      </c>
      <c r="O264" s="4" t="str">
        <f t="shared" si="110"/>
        <v>LEEFKTEKRLCKMFYAVTLLFLLLWGPYVVASYLRVLV</v>
      </c>
      <c r="P264" s="4" t="str">
        <f t="shared" si="111"/>
        <v>PQAYLTASVWLTFAQAGINPVVCFLF</v>
      </c>
      <c r="Q264" s="4" t="str">
        <f t="shared" si="112"/>
        <v>NRELRDCFRAQF</v>
      </c>
      <c r="R264" s="5">
        <f>VLOOKUP($A264,'SegEnds_NonXtal_Prot#'!$A:$AL,3,FALSE)</f>
        <v>18</v>
      </c>
      <c r="S264" s="5">
        <f>VLOOKUP($A264,'SegEnds_NonXtal_Prot#'!$A:$AL,6,FALSE)</f>
        <v>47</v>
      </c>
      <c r="T264" s="5">
        <f>VLOOKUP($A264,'SegEnds_NonXtal_Prot#'!$A:$AL,9,FALSE)</f>
        <v>51</v>
      </c>
      <c r="U264" s="5" t="str">
        <f>VLOOKUP($A264,'SegEnds_NonXtal_Prot#'!$A:$AL,12,FALSE)</f>
        <v>-</v>
      </c>
      <c r="V264" s="5">
        <f>VLOOKUP($A264,'SegEnds_NonXtal_Prot#'!$A:$AL,15,FALSE)</f>
        <v>88</v>
      </c>
      <c r="W264" s="5">
        <f>VLOOKUP($A264,'SegEnds_NonXtal_Prot#'!$A:$AL,18,FALSE)</f>
        <v>127</v>
      </c>
      <c r="X264" s="5">
        <f>VLOOKUP($A264,'SegEnds_NonXtal_Prot#'!$A:$AL,21,FALSE)</f>
        <v>136</v>
      </c>
      <c r="Y264" s="5">
        <f>VLOOKUP($A264,'SegEnds_NonXtal_Prot#'!$A:$AL,24,FALSE)</f>
        <v>171</v>
      </c>
      <c r="Z264" s="5">
        <f>VLOOKUP($A264,'SegEnds_NonXtal_Prot#'!$A:$AL,27,FALSE)</f>
        <v>174</v>
      </c>
      <c r="AA264" s="5">
        <f>VLOOKUP($A264,'SegEnds_NonXtal_Prot#'!$A:$AL,30,FALSE)</f>
        <v>273</v>
      </c>
      <c r="AB264" s="5">
        <f>VLOOKUP($A264,'SegEnds_NonXtal_Prot#'!$A:$AL,33,FALSE)</f>
        <v>316</v>
      </c>
      <c r="AC264" s="5">
        <f>VLOOKUP($A264,'SegEnds_NonXtal_Prot#'!$A:$AL,36,FALSE)</f>
        <v>342</v>
      </c>
      <c r="AD264" s="5">
        <f>VLOOKUP($A264,'SegEnds_NonXtal_Prot#'!$A:$AL,5,FALSE)</f>
        <v>46</v>
      </c>
      <c r="AE264" s="5">
        <f>VLOOKUP($A264,'SegEnds_NonXtal_Prot#'!$A:$AL,8,FALSE)</f>
        <v>50</v>
      </c>
      <c r="AF264" s="5">
        <f>VLOOKUP($A264,'SegEnds_NonXtal_Prot#'!$A:$AL,11,FALSE)</f>
        <v>81</v>
      </c>
      <c r="AG264" s="5" t="str">
        <f>VLOOKUP($A264,'SegEnds_NonXtal_Prot#'!$A:$AL,14,FALSE)</f>
        <v>-</v>
      </c>
      <c r="AH264" s="5">
        <f>VLOOKUP($A264,'SegEnds_NonXtal_Prot#'!$A:$AL,17,FALSE)</f>
        <v>126</v>
      </c>
      <c r="AI264" s="5">
        <f>VLOOKUP($A264,'SegEnds_NonXtal_Prot#'!$A:$AL,20,FALSE)</f>
        <v>135</v>
      </c>
      <c r="AJ264" s="5">
        <f>VLOOKUP($A264,'SegEnds_NonXtal_Prot#'!$A:$AL,23,FALSE)</f>
        <v>162</v>
      </c>
      <c r="AK264" s="5">
        <f>VLOOKUP($A264,'SegEnds_NonXtal_Prot#'!$A:$AL,26,FALSE)</f>
        <v>173</v>
      </c>
      <c r="AL264" s="5">
        <f>VLOOKUP($A264,'SegEnds_NonXtal_Prot#'!$A:$AL,29,FALSE)</f>
        <v>215</v>
      </c>
      <c r="AM264" s="5">
        <f>VLOOKUP($A264,'SegEnds_NonXtal_Prot#'!$A:$AL,32,FALSE)</f>
        <v>310</v>
      </c>
      <c r="AN264" s="5">
        <f>VLOOKUP($A264,'SegEnds_NonXtal_Prot#'!$A:$AL,35,FALSE)</f>
        <v>341</v>
      </c>
      <c r="AO264" s="5">
        <f>VLOOKUP($A264,'SegEnds_NonXtal_Prot#'!$A:$AL,38,FALSE)</f>
        <v>353</v>
      </c>
      <c r="AP264" s="5">
        <f t="shared" si="113"/>
        <v>28</v>
      </c>
      <c r="AQ264" s="4">
        <f t="shared" si="114"/>
        <v>3</v>
      </c>
      <c r="AR264" s="4">
        <f t="shared" si="115"/>
        <v>30</v>
      </c>
      <c r="AS264" s="4" t="str">
        <f t="shared" si="116"/>
        <v>-</v>
      </c>
      <c r="AT264" s="4">
        <f t="shared" si="117"/>
        <v>38</v>
      </c>
      <c r="AU264" s="4">
        <f t="shared" si="118"/>
        <v>8</v>
      </c>
      <c r="AV264" s="4">
        <f t="shared" si="119"/>
        <v>26</v>
      </c>
      <c r="AW264" s="4">
        <f t="shared" si="120"/>
        <v>2</v>
      </c>
      <c r="AX264" s="4">
        <f t="shared" si="121"/>
        <v>41</v>
      </c>
      <c r="AY264" s="4">
        <f t="shared" si="122"/>
        <v>37</v>
      </c>
      <c r="AZ264" s="4">
        <f t="shared" si="123"/>
        <v>25</v>
      </c>
      <c r="BA264" s="4">
        <f t="shared" si="124"/>
        <v>11</v>
      </c>
    </row>
    <row r="265" spans="1:53" x14ac:dyDescent="0.2">
      <c r="A265" s="1" t="str">
        <f>'SegEnds_NonXtal_Prot#'!A255</f>
        <v>hrh3_human</v>
      </c>
      <c r="B265" s="1" t="str">
        <f t="shared" si="100"/>
        <v>VLAALMALLIVATVLGNALVMLAFVADTQNNFFLLNLAISDFLVGAFCIPLYVPYVLTGRGLCKLWLVVDYLLCTSSAFNIVLISYDRFLSVTRDTRRAVRKMLLVWVLAFLLYGPAILSNWYFLITASTLEFFTPFLSVTFFNLSIYLNIQRRTRLRLDGRFRLSRDRKVAKSLAVIVSIFGLCWAPYTLLMIIRAACPDYWYETSFWLLWANSAVNPVLYPLCHHSFRRAFTKLLC</v>
      </c>
      <c r="C265" s="29" t="str">
        <f>IF(ISERROR(MATCH(A265,'SegEnds_Xtal_Prot#'!B:B, 0)), "NoXtal", "Xtal")</f>
        <v>NoXtal</v>
      </c>
      <c r="D265" s="4" t="str">
        <f>VLOOKUP(A265,Classification!A:D,2,FALSE)</f>
        <v>A</v>
      </c>
      <c r="E265" s="5" t="str">
        <f>VLOOKUP(A265,Seqs!A:B,2,FALSE)</f>
        <v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v>
      </c>
      <c r="F265" s="5" t="str">
        <f t="shared" si="101"/>
        <v>VLAALMALLIVATVLGNALVMLAFVAD</v>
      </c>
      <c r="G265" s="4" t="str">
        <f t="shared" si="102"/>
        <v>SSLR</v>
      </c>
      <c r="H265" s="4" t="str">
        <f t="shared" si="103"/>
        <v>TQNNFFLLNLAISDFLVGAFCIPLYVPYVLT</v>
      </c>
      <c r="I265" s="4" t="str">
        <f t="shared" si="104"/>
        <v>RWTF</v>
      </c>
      <c r="J265" s="4" t="str">
        <f t="shared" si="105"/>
        <v>GRGLCKLWLVVDYLLCTSSAFNIVLISYDRFLSVTR</v>
      </c>
      <c r="K265" s="4" t="str">
        <f t="shared" si="106"/>
        <v>AVSYRAQQG</v>
      </c>
      <c r="L265" s="4" t="str">
        <f t="shared" si="107"/>
        <v>DTRRAVRKMLLVWVLAFLLYGPAILS</v>
      </c>
      <c r="M265" s="4" t="str">
        <f t="shared" si="108"/>
        <v>CYA</v>
      </c>
      <c r="N265" s="4" t="str">
        <f t="shared" si="109"/>
        <v>NWYFLITASTLEFFTPFLSVTFFNLSIYLNIQRRTRLRLDG</v>
      </c>
      <c r="O265" s="4" t="str">
        <f t="shared" si="110"/>
        <v>RFRLSRDRKVAKSLAVIVSIFGLCWAPYTLLMIIRAAC</v>
      </c>
      <c r="P265" s="4" t="str">
        <f t="shared" si="111"/>
        <v>PDYWYETSFWLLWANSAVNPVLYPLC</v>
      </c>
      <c r="Q265" s="4" t="str">
        <f t="shared" si="112"/>
        <v>HHSFRRAFTKLLC</v>
      </c>
      <c r="R265" s="5">
        <f>VLOOKUP($A265,'SegEnds_NonXtal_Prot#'!$A:$AL,3,FALSE)</f>
        <v>36</v>
      </c>
      <c r="S265" s="5">
        <f>VLOOKUP($A265,'SegEnds_NonXtal_Prot#'!$A:$AL,6,FALSE)</f>
        <v>63</v>
      </c>
      <c r="T265" s="5">
        <f>VLOOKUP($A265,'SegEnds_NonXtal_Prot#'!$A:$AL,9,FALSE)</f>
        <v>67</v>
      </c>
      <c r="U265" s="5">
        <f>VLOOKUP($A265,'SegEnds_NonXtal_Prot#'!$A:$AL,12,FALSE)</f>
        <v>99</v>
      </c>
      <c r="V265" s="5">
        <f>VLOOKUP($A265,'SegEnds_NonXtal_Prot#'!$A:$AL,15,FALSE)</f>
        <v>103</v>
      </c>
      <c r="W265" s="5">
        <f>VLOOKUP($A265,'SegEnds_NonXtal_Prot#'!$A:$AL,18,FALSE)</f>
        <v>139</v>
      </c>
      <c r="X265" s="5">
        <f>VLOOKUP($A265,'SegEnds_NonXtal_Prot#'!$A:$AL,21,FALSE)</f>
        <v>148</v>
      </c>
      <c r="Y265" s="5">
        <f>VLOOKUP($A265,'SegEnds_NonXtal_Prot#'!$A:$AL,24,FALSE)</f>
        <v>188</v>
      </c>
      <c r="Z265" s="5">
        <f>VLOOKUP($A265,'SegEnds_NonXtal_Prot#'!$A:$AL,27,FALSE)</f>
        <v>195</v>
      </c>
      <c r="AA265" s="5">
        <f>VLOOKUP($A265,'SegEnds_NonXtal_Prot#'!$A:$AL,30,FALSE)</f>
        <v>347</v>
      </c>
      <c r="AB265" s="5">
        <f>VLOOKUP($A265,'SegEnds_NonXtal_Prot#'!$A:$AL,33,FALSE)</f>
        <v>390</v>
      </c>
      <c r="AC265" s="5">
        <f>VLOOKUP($A265,'SegEnds_NonXtal_Prot#'!$A:$AL,36,FALSE)</f>
        <v>416</v>
      </c>
      <c r="AD265" s="5">
        <f>VLOOKUP($A265,'SegEnds_NonXtal_Prot#'!$A:$AL,5,FALSE)</f>
        <v>62</v>
      </c>
      <c r="AE265" s="5">
        <f>VLOOKUP($A265,'SegEnds_NonXtal_Prot#'!$A:$AL,8,FALSE)</f>
        <v>66</v>
      </c>
      <c r="AF265" s="5">
        <f>VLOOKUP($A265,'SegEnds_NonXtal_Prot#'!$A:$AL,11,FALSE)</f>
        <v>97</v>
      </c>
      <c r="AG265" s="5">
        <f>VLOOKUP($A265,'SegEnds_NonXtal_Prot#'!$A:$AL,14,FALSE)</f>
        <v>102</v>
      </c>
      <c r="AH265" s="5">
        <f>VLOOKUP($A265,'SegEnds_NonXtal_Prot#'!$A:$AL,17,FALSE)</f>
        <v>138</v>
      </c>
      <c r="AI265" s="5">
        <f>VLOOKUP($A265,'SegEnds_NonXtal_Prot#'!$A:$AL,20,FALSE)</f>
        <v>147</v>
      </c>
      <c r="AJ265" s="5">
        <f>VLOOKUP($A265,'SegEnds_NonXtal_Prot#'!$A:$AL,23,FALSE)</f>
        <v>173</v>
      </c>
      <c r="AK265" s="5">
        <f>VLOOKUP($A265,'SegEnds_NonXtal_Prot#'!$A:$AL,26,FALSE)</f>
        <v>190</v>
      </c>
      <c r="AL265" s="5">
        <f>VLOOKUP($A265,'SegEnds_NonXtal_Prot#'!$A:$AL,29,FALSE)</f>
        <v>235</v>
      </c>
      <c r="AM265" s="5">
        <f>VLOOKUP($A265,'SegEnds_NonXtal_Prot#'!$A:$AL,32,FALSE)</f>
        <v>384</v>
      </c>
      <c r="AN265" s="5">
        <f>VLOOKUP($A265,'SegEnds_NonXtal_Prot#'!$A:$AL,35,FALSE)</f>
        <v>415</v>
      </c>
      <c r="AO265" s="5">
        <f>VLOOKUP($A265,'SegEnds_NonXtal_Prot#'!$A:$AL,38,FALSE)</f>
        <v>428</v>
      </c>
      <c r="AP265" s="5">
        <f t="shared" si="113"/>
        <v>26</v>
      </c>
      <c r="AQ265" s="4">
        <f t="shared" si="114"/>
        <v>3</v>
      </c>
      <c r="AR265" s="4">
        <f t="shared" si="115"/>
        <v>30</v>
      </c>
      <c r="AS265" s="4">
        <f t="shared" si="116"/>
        <v>3</v>
      </c>
      <c r="AT265" s="4">
        <f t="shared" si="117"/>
        <v>35</v>
      </c>
      <c r="AU265" s="4">
        <f t="shared" si="118"/>
        <v>8</v>
      </c>
      <c r="AV265" s="4">
        <f t="shared" si="119"/>
        <v>25</v>
      </c>
      <c r="AW265" s="4">
        <f t="shared" si="120"/>
        <v>2</v>
      </c>
      <c r="AX265" s="4">
        <f t="shared" si="121"/>
        <v>40</v>
      </c>
      <c r="AY265" s="4">
        <f t="shared" si="122"/>
        <v>37</v>
      </c>
      <c r="AZ265" s="4">
        <f t="shared" si="123"/>
        <v>25</v>
      </c>
      <c r="BA265" s="4">
        <f t="shared" si="124"/>
        <v>12</v>
      </c>
    </row>
    <row r="266" spans="1:53" x14ac:dyDescent="0.2">
      <c r="A266" s="1" t="str">
        <f>'SegEnds_NonXtal_Prot#'!A256</f>
        <v>hrh4_human</v>
      </c>
      <c r="B266" s="1" t="str">
        <f t="shared" si="100"/>
        <v>LSTRVTLAFFMSLVAFAIMLGNALVILAFVVDHRSSYFFLNLAISDFFVGVISIPLYIPHTLGKEICVFWLTTDYLLCTASVYNIVLISYDRYLSVSNGVLKIVTLMVAVWVLAFLVNGPMILVEWYILAITSFLEFVIPVILVAYFNMNIYWSLWKRDHLSRCQSHVELLRARRLAKSLAILLGVFAVCWAPYSLFTIVLSFYKSVWYRIAFWLQWFNSFVNPLLYPLCHKRFQKAFLKIF</v>
      </c>
      <c r="C266" s="29" t="str">
        <f>IF(ISERROR(MATCH(A266,'SegEnds_Xtal_Prot#'!B:B, 0)), "NoXtal", "Xtal")</f>
        <v>NoXtal</v>
      </c>
      <c r="D266" s="4" t="str">
        <f>VLOOKUP(A266,Classification!A:D,2,FALSE)</f>
        <v>A</v>
      </c>
      <c r="E266" s="5" t="str">
        <f>VLOOKUP(A266,Seqs!A:B,2,FALSE)</f>
        <v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v>
      </c>
      <c r="F266" s="5" t="str">
        <f t="shared" si="101"/>
        <v>LSTRVTLAFFMSLVAFAIMLGNALVILAFVVD</v>
      </c>
      <c r="G266" s="4" t="str">
        <f t="shared" si="102"/>
        <v>KNLR</v>
      </c>
      <c r="H266" s="4" t="str">
        <f t="shared" si="103"/>
        <v>HRSSYFFLNLAISDFFVGVISIPLYIPHTL</v>
      </c>
      <c r="I266" s="4" t="str">
        <f t="shared" si="104"/>
        <v>EWDF</v>
      </c>
      <c r="J266" s="4" t="str">
        <f t="shared" si="105"/>
        <v>GKEICVFWLTTDYLLCTASVYNIVLISYDRYLSVSN</v>
      </c>
      <c r="K266" s="4" t="str">
        <f t="shared" si="106"/>
        <v>AVSYRTQHT</v>
      </c>
      <c r="L266" s="4" t="str">
        <f t="shared" si="107"/>
        <v>GVLKIVTLMVAVWVLAFLVNGPMILV</v>
      </c>
      <c r="M266" s="4" t="str">
        <f t="shared" si="108"/>
        <v>CEP</v>
      </c>
      <c r="N266" s="4" t="str">
        <f t="shared" si="109"/>
        <v>EWYILAITSFLEFVIPVILVAYFNMNIYWSLWKRDHLSRCQS</v>
      </c>
      <c r="O266" s="4" t="str">
        <f t="shared" si="110"/>
        <v>HVELLRARRLAKSLAILLGVFAVCWAPYSLFTIVLSFY</v>
      </c>
      <c r="P266" s="4" t="str">
        <f t="shared" si="111"/>
        <v>KSVWYRIAFWLQWFNSFVNPLLYPLC</v>
      </c>
      <c r="Q266" s="4" t="str">
        <f t="shared" si="112"/>
        <v>HKRFQKAFLKIF</v>
      </c>
      <c r="R266" s="5">
        <f>VLOOKUP($A266,'SegEnds_NonXtal_Prot#'!$A:$AL,3,FALSE)</f>
        <v>12</v>
      </c>
      <c r="S266" s="5">
        <f>VLOOKUP($A266,'SegEnds_NonXtal_Prot#'!$A:$AL,6,FALSE)</f>
        <v>44</v>
      </c>
      <c r="T266" s="5">
        <f>VLOOKUP($A266,'SegEnds_NonXtal_Prot#'!$A:$AL,9,FALSE)</f>
        <v>48</v>
      </c>
      <c r="U266" s="5">
        <f>VLOOKUP($A266,'SegEnds_NonXtal_Prot#'!$A:$AL,12,FALSE)</f>
        <v>79</v>
      </c>
      <c r="V266" s="5">
        <f>VLOOKUP($A266,'SegEnds_NonXtal_Prot#'!$A:$AL,15,FALSE)</f>
        <v>83</v>
      </c>
      <c r="W266" s="5">
        <f>VLOOKUP($A266,'SegEnds_NonXtal_Prot#'!$A:$AL,18,FALSE)</f>
        <v>119</v>
      </c>
      <c r="X266" s="5">
        <f>VLOOKUP($A266,'SegEnds_NonXtal_Prot#'!$A:$AL,21,FALSE)</f>
        <v>128</v>
      </c>
      <c r="Y266" s="5">
        <f>VLOOKUP($A266,'SegEnds_NonXtal_Prot#'!$A:$AL,24,FALSE)</f>
        <v>164</v>
      </c>
      <c r="Z266" s="5">
        <f>VLOOKUP($A266,'SegEnds_NonXtal_Prot#'!$A:$AL,27,FALSE)</f>
        <v>171</v>
      </c>
      <c r="AA266" s="5">
        <f>VLOOKUP($A266,'SegEnds_NonXtal_Prot#'!$A:$AL,30,FALSE)</f>
        <v>292</v>
      </c>
      <c r="AB266" s="5">
        <f>VLOOKUP($A266,'SegEnds_NonXtal_Prot#'!$A:$AL,33,FALSE)</f>
        <v>336</v>
      </c>
      <c r="AC266" s="5">
        <f>VLOOKUP($A266,'SegEnds_NonXtal_Prot#'!$A:$AL,36,FALSE)</f>
        <v>362</v>
      </c>
      <c r="AD266" s="5">
        <f>VLOOKUP($A266,'SegEnds_NonXtal_Prot#'!$A:$AL,5,FALSE)</f>
        <v>43</v>
      </c>
      <c r="AE266" s="5">
        <f>VLOOKUP($A266,'SegEnds_NonXtal_Prot#'!$A:$AL,8,FALSE)</f>
        <v>47</v>
      </c>
      <c r="AF266" s="5">
        <f>VLOOKUP($A266,'SegEnds_NonXtal_Prot#'!$A:$AL,11,FALSE)</f>
        <v>77</v>
      </c>
      <c r="AG266" s="5">
        <f>VLOOKUP($A266,'SegEnds_NonXtal_Prot#'!$A:$AL,14,FALSE)</f>
        <v>82</v>
      </c>
      <c r="AH266" s="5">
        <f>VLOOKUP($A266,'SegEnds_NonXtal_Prot#'!$A:$AL,17,FALSE)</f>
        <v>118</v>
      </c>
      <c r="AI266" s="5">
        <f>VLOOKUP($A266,'SegEnds_NonXtal_Prot#'!$A:$AL,20,FALSE)</f>
        <v>127</v>
      </c>
      <c r="AJ266" s="5">
        <f>VLOOKUP($A266,'SegEnds_NonXtal_Prot#'!$A:$AL,23,FALSE)</f>
        <v>153</v>
      </c>
      <c r="AK266" s="5">
        <f>VLOOKUP($A266,'SegEnds_NonXtal_Prot#'!$A:$AL,26,FALSE)</f>
        <v>166</v>
      </c>
      <c r="AL266" s="5">
        <f>VLOOKUP($A266,'SegEnds_NonXtal_Prot#'!$A:$AL,29,FALSE)</f>
        <v>212</v>
      </c>
      <c r="AM266" s="5">
        <f>VLOOKUP($A266,'SegEnds_NonXtal_Prot#'!$A:$AL,32,FALSE)</f>
        <v>329</v>
      </c>
      <c r="AN266" s="5">
        <f>VLOOKUP($A266,'SegEnds_NonXtal_Prot#'!$A:$AL,35,FALSE)</f>
        <v>361</v>
      </c>
      <c r="AO266" s="5">
        <f>VLOOKUP($A266,'SegEnds_NonXtal_Prot#'!$A:$AL,38,FALSE)</f>
        <v>373</v>
      </c>
      <c r="AP266" s="5">
        <f t="shared" si="113"/>
        <v>31</v>
      </c>
      <c r="AQ266" s="4">
        <f t="shared" si="114"/>
        <v>3</v>
      </c>
      <c r="AR266" s="4">
        <f t="shared" si="115"/>
        <v>29</v>
      </c>
      <c r="AS266" s="4">
        <f t="shared" si="116"/>
        <v>3</v>
      </c>
      <c r="AT266" s="4">
        <f t="shared" si="117"/>
        <v>35</v>
      </c>
      <c r="AU266" s="4">
        <f t="shared" si="118"/>
        <v>8</v>
      </c>
      <c r="AV266" s="4">
        <f t="shared" si="119"/>
        <v>25</v>
      </c>
      <c r="AW266" s="4">
        <f t="shared" si="120"/>
        <v>2</v>
      </c>
      <c r="AX266" s="4">
        <f t="shared" si="121"/>
        <v>41</v>
      </c>
      <c r="AY266" s="4">
        <f t="shared" si="122"/>
        <v>37</v>
      </c>
      <c r="AZ266" s="4">
        <f t="shared" si="123"/>
        <v>25</v>
      </c>
      <c r="BA266" s="4">
        <f t="shared" si="124"/>
        <v>11</v>
      </c>
    </row>
    <row r="267" spans="1:53" x14ac:dyDescent="0.2">
      <c r="A267" s="1" t="str">
        <f>'SegEnds_NonXtal_Prot#'!A257</f>
        <v>p2ry6_human</v>
      </c>
      <c r="B267" s="1" t="str">
        <f t="shared" si="100"/>
        <v>FKQLLLPPVYSAVLAAGLPLNICVITQICTSTRTAVYTLNLALADLLYACSLPLLIYNYAQGDFACRLVRFLFYANLHGSILFLTCISFQRYLGICHGRRAAWLVCVAVWLAVTTQCLPTAIFAATHYMPYGMALTVIGFLLPFAALLACYCLLACRLCRQDGPARRGKAARMAVVVAAAFAISFLPFHITKTAYLAVRSTPCTVLEAFAAAYKGTRPFASANSVLDPILFYFTQKKFRRRPHELLQ</v>
      </c>
      <c r="C267" s="29" t="str">
        <f>IF(ISERROR(MATCH(A267,'SegEnds_Xtal_Prot#'!B:B, 0)), "NoXtal", "Xtal")</f>
        <v>NoXtal</v>
      </c>
      <c r="D267" s="4" t="str">
        <f>VLOOKUP(A267,Classification!A:D,2,FALSE)</f>
        <v>A</v>
      </c>
      <c r="E267" s="5" t="str">
        <f>VLOOKUP(A267,Seqs!A:B,2,FALSE)</f>
        <v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v>
      </c>
      <c r="F267" s="5" t="str">
        <f t="shared" si="101"/>
        <v>FKQLLLPPVYSAVLAAGLPLNICVITQICTS</v>
      </c>
      <c r="G267" s="4" t="str">
        <f t="shared" si="102"/>
        <v>RRAL</v>
      </c>
      <c r="H267" s="4" t="str">
        <f t="shared" si="103"/>
        <v>TRTAVYTLNLALADLLYACSLPLLIYNYAQ</v>
      </c>
      <c r="I267" s="4" t="str">
        <f t="shared" si="104"/>
        <v>HWPF</v>
      </c>
      <c r="J267" s="4" t="str">
        <f t="shared" si="105"/>
        <v>GDFACRLVRFLFYANLHGSILFLTCISFQRYLGICH</v>
      </c>
      <c r="K267" s="4" t="str">
        <f t="shared" si="106"/>
        <v>PLAPWHKRG</v>
      </c>
      <c r="L267" s="4" t="str">
        <f t="shared" si="107"/>
        <v>GRRAAWLVCVAVWLAVTTQCLPTAIFA</v>
      </c>
      <c r="M267" s="4" t="str">
        <f t="shared" si="108"/>
        <v>CYD</v>
      </c>
      <c r="N267" s="4" t="str">
        <f t="shared" si="109"/>
        <v>ATHYMPYGMALTVIGFLLPFAALLACYCLLACRLCRQDGPA</v>
      </c>
      <c r="O267" s="4" t="str">
        <f t="shared" si="110"/>
        <v>RRGKAARMAVVVAAAFAISFLPFHITKTAYLAVRST</v>
      </c>
      <c r="P267" s="4" t="str">
        <f t="shared" si="111"/>
        <v>PCTVLEAFAAAYKGTRPFASANSVLDPILFYFT</v>
      </c>
      <c r="Q267" s="4" t="str">
        <f t="shared" si="112"/>
        <v>QKKFRRRPHELLQ</v>
      </c>
      <c r="R267" s="5">
        <f>VLOOKUP($A267,'SegEnds_NonXtal_Prot#'!$A:$AL,3,FALSE)</f>
        <v>24</v>
      </c>
      <c r="S267" s="5">
        <f>VLOOKUP($A267,'SegEnds_NonXtal_Prot#'!$A:$AL,6,FALSE)</f>
        <v>55</v>
      </c>
      <c r="T267" s="5">
        <f>VLOOKUP($A267,'SegEnds_NonXtal_Prot#'!$A:$AL,9,FALSE)</f>
        <v>59</v>
      </c>
      <c r="U267" s="5">
        <f>VLOOKUP($A267,'SegEnds_NonXtal_Prot#'!$A:$AL,12,FALSE)</f>
        <v>91</v>
      </c>
      <c r="V267" s="5">
        <f>VLOOKUP($A267,'SegEnds_NonXtal_Prot#'!$A:$AL,15,FALSE)</f>
        <v>95</v>
      </c>
      <c r="W267" s="5">
        <f>VLOOKUP($A267,'SegEnds_NonXtal_Prot#'!$A:$AL,18,FALSE)</f>
        <v>131</v>
      </c>
      <c r="X267" s="5">
        <f>VLOOKUP($A267,'SegEnds_NonXtal_Prot#'!$A:$AL,21,FALSE)</f>
        <v>140</v>
      </c>
      <c r="Y267" s="5">
        <f>VLOOKUP($A267,'SegEnds_NonXtal_Prot#'!$A:$AL,24,FALSE)</f>
        <v>177</v>
      </c>
      <c r="Z267" s="5">
        <f>VLOOKUP($A267,'SegEnds_NonXtal_Prot#'!$A:$AL,27,FALSE)</f>
        <v>186</v>
      </c>
      <c r="AA267" s="5">
        <f>VLOOKUP($A267,'SegEnds_NonXtal_Prot#'!$A:$AL,30,FALSE)</f>
        <v>233</v>
      </c>
      <c r="AB267" s="5">
        <f>VLOOKUP($A267,'SegEnds_NonXtal_Prot#'!$A:$AL,33,FALSE)</f>
        <v>272</v>
      </c>
      <c r="AC267" s="5">
        <f>VLOOKUP($A267,'SegEnds_NonXtal_Prot#'!$A:$AL,36,FALSE)</f>
        <v>305</v>
      </c>
      <c r="AD267" s="5">
        <f>VLOOKUP($A267,'SegEnds_NonXtal_Prot#'!$A:$AL,5,FALSE)</f>
        <v>54</v>
      </c>
      <c r="AE267" s="5">
        <f>VLOOKUP($A267,'SegEnds_NonXtal_Prot#'!$A:$AL,8,FALSE)</f>
        <v>58</v>
      </c>
      <c r="AF267" s="5">
        <f>VLOOKUP($A267,'SegEnds_NonXtal_Prot#'!$A:$AL,11,FALSE)</f>
        <v>88</v>
      </c>
      <c r="AG267" s="5">
        <f>VLOOKUP($A267,'SegEnds_NonXtal_Prot#'!$A:$AL,14,FALSE)</f>
        <v>94</v>
      </c>
      <c r="AH267" s="5">
        <f>VLOOKUP($A267,'SegEnds_NonXtal_Prot#'!$A:$AL,17,FALSE)</f>
        <v>130</v>
      </c>
      <c r="AI267" s="5">
        <f>VLOOKUP($A267,'SegEnds_NonXtal_Prot#'!$A:$AL,20,FALSE)</f>
        <v>139</v>
      </c>
      <c r="AJ267" s="5">
        <f>VLOOKUP($A267,'SegEnds_NonXtal_Prot#'!$A:$AL,23,FALSE)</f>
        <v>166</v>
      </c>
      <c r="AK267" s="5">
        <f>VLOOKUP($A267,'SegEnds_NonXtal_Prot#'!$A:$AL,26,FALSE)</f>
        <v>179</v>
      </c>
      <c r="AL267" s="5">
        <f>VLOOKUP($A267,'SegEnds_NonXtal_Prot#'!$A:$AL,29,FALSE)</f>
        <v>226</v>
      </c>
      <c r="AM267" s="5">
        <f>VLOOKUP($A267,'SegEnds_NonXtal_Prot#'!$A:$AL,32,FALSE)</f>
        <v>268</v>
      </c>
      <c r="AN267" s="5">
        <f>VLOOKUP($A267,'SegEnds_NonXtal_Prot#'!$A:$AL,35,FALSE)</f>
        <v>304</v>
      </c>
      <c r="AO267" s="5">
        <f>VLOOKUP($A267,'SegEnds_NonXtal_Prot#'!$A:$AL,38,FALSE)</f>
        <v>317</v>
      </c>
      <c r="AP267" s="5">
        <f t="shared" si="113"/>
        <v>30</v>
      </c>
      <c r="AQ267" s="4">
        <f t="shared" si="114"/>
        <v>3</v>
      </c>
      <c r="AR267" s="4">
        <f t="shared" si="115"/>
        <v>29</v>
      </c>
      <c r="AS267" s="4">
        <f t="shared" si="116"/>
        <v>3</v>
      </c>
      <c r="AT267" s="4">
        <f t="shared" si="117"/>
        <v>35</v>
      </c>
      <c r="AU267" s="4">
        <f t="shared" si="118"/>
        <v>8</v>
      </c>
      <c r="AV267" s="4">
        <f t="shared" si="119"/>
        <v>26</v>
      </c>
      <c r="AW267" s="4">
        <f t="shared" si="120"/>
        <v>2</v>
      </c>
      <c r="AX267" s="4">
        <f t="shared" si="121"/>
        <v>40</v>
      </c>
      <c r="AY267" s="4">
        <f t="shared" si="122"/>
        <v>35</v>
      </c>
      <c r="AZ267" s="4">
        <f t="shared" si="123"/>
        <v>32</v>
      </c>
      <c r="BA267" s="4">
        <f t="shared" si="124"/>
        <v>12</v>
      </c>
    </row>
    <row r="268" spans="1:53" x14ac:dyDescent="0.2">
      <c r="A268" s="1" t="str">
        <f>'SegEnds_NonXtal_Prot#'!A258</f>
        <v>ccr6_human</v>
      </c>
      <c r="B268" s="1" t="str">
        <f t="shared" si="100"/>
        <v>VRQFSRLFVPIAYSLICVFGLLGNILVVITFAFYSMTDVYLLNMAIADILFVLTLPFWAVSHATSNATCKLLKGIYAINFNCGMLLLTCISMDRYIAIVQTLPRSKIICLVVWGLSVIISSSTFVFNRWKLLMLGLELLFGFFIPLMFMIFCYTFIVKTLVQARHKAIRVIIAVVLVFLACQIPHNMVLLVTAANLGKMSCQSEKLIGYTKTVTEVLAFLHCCLNPVLYAFIGQKFRNYFLKILKDLWCVRRK</v>
      </c>
      <c r="C268" s="29" t="str">
        <f>IF(ISERROR(MATCH(A268,'SegEnds_Xtal_Prot#'!B:B, 0)), "NoXtal", "Xtal")</f>
        <v>NoXtal</v>
      </c>
      <c r="D268" s="4" t="str">
        <f>VLOOKUP(A268,Classification!A:D,2,FALSE)</f>
        <v>A</v>
      </c>
      <c r="E268" s="5" t="str">
        <f>VLOOKUP(A268,Seqs!A:B,2,FALSE)</f>
        <v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v>
      </c>
      <c r="F268" s="5" t="str">
        <f t="shared" si="101"/>
        <v>VRQFSRLFVPIAYSLICVFGLLGNILVVITFAFY</v>
      </c>
      <c r="G268" s="4" t="str">
        <f t="shared" si="102"/>
        <v>KKAR</v>
      </c>
      <c r="H268" s="4" t="str">
        <f t="shared" si="103"/>
        <v>SMTDVYLLNMAIADILFVLTLPFWAVSHAT</v>
      </c>
      <c r="I268" s="4" t="str">
        <f t="shared" si="104"/>
        <v>AWVF</v>
      </c>
      <c r="J268" s="4" t="str">
        <f t="shared" si="105"/>
        <v>SNATCKLLKGIYAINFNCGMLLLTCISMDRYIAIVQ</v>
      </c>
      <c r="K268" s="4" t="str">
        <f t="shared" si="106"/>
        <v>ATKSFRLRS</v>
      </c>
      <c r="L268" s="4" t="str">
        <f t="shared" si="107"/>
        <v>TLPRSKIICLVVWGLSVIISSSTFVFN</v>
      </c>
      <c r="M268" s="4" t="str">
        <f t="shared" si="108"/>
        <v>CEP</v>
      </c>
      <c r="N268" s="4" t="str">
        <f t="shared" si="109"/>
        <v>RWKLLMLGLELLFGFFIPLMFMIFCYTFIVKTLVQA</v>
      </c>
      <c r="O268" s="4" t="str">
        <f t="shared" si="110"/>
        <v>RHKAIRVIIAVVLVFLACQIPHNMVLLVTAANLGKM</v>
      </c>
      <c r="P268" s="4" t="str">
        <f t="shared" si="111"/>
        <v>SCQSEKLIGYTKTVTEVLAFLHCCLNPVLYAFI</v>
      </c>
      <c r="Q268" s="4" t="str">
        <f t="shared" si="112"/>
        <v>GQKFRNYFLKILKDLWCVRRK</v>
      </c>
      <c r="R268" s="5">
        <f>VLOOKUP($A268,'SegEnds_NonXtal_Prot#'!$A:$AL,3,FALSE)</f>
        <v>41</v>
      </c>
      <c r="S268" s="5">
        <f>VLOOKUP($A268,'SegEnds_NonXtal_Prot#'!$A:$AL,6,FALSE)</f>
        <v>75</v>
      </c>
      <c r="T268" s="5">
        <f>VLOOKUP($A268,'SegEnds_NonXtal_Prot#'!$A:$AL,9,FALSE)</f>
        <v>79</v>
      </c>
      <c r="U268" s="5">
        <f>VLOOKUP($A268,'SegEnds_NonXtal_Prot#'!$A:$AL,12,FALSE)</f>
        <v>110</v>
      </c>
      <c r="V268" s="5">
        <f>VLOOKUP($A268,'SegEnds_NonXtal_Prot#'!$A:$AL,15,FALSE)</f>
        <v>114</v>
      </c>
      <c r="W268" s="5">
        <f>VLOOKUP($A268,'SegEnds_NonXtal_Prot#'!$A:$AL,18,FALSE)</f>
        <v>150</v>
      </c>
      <c r="X268" s="5">
        <f>VLOOKUP($A268,'SegEnds_NonXtal_Prot#'!$A:$AL,21,FALSE)</f>
        <v>160</v>
      </c>
      <c r="Y268" s="5">
        <f>VLOOKUP($A268,'SegEnds_NonXtal_Prot#'!$A:$AL,24,FALSE)</f>
        <v>197</v>
      </c>
      <c r="Z268" s="5">
        <f>VLOOKUP($A268,'SegEnds_NonXtal_Prot#'!$A:$AL,27,FALSE)</f>
        <v>209</v>
      </c>
      <c r="AA268" s="5">
        <f>VLOOKUP($A268,'SegEnds_NonXtal_Prot#'!$A:$AL,30,FALSE)</f>
        <v>249</v>
      </c>
      <c r="AB268" s="5">
        <f>VLOOKUP($A268,'SegEnds_NonXtal_Prot#'!$A:$AL,33,FALSE)</f>
        <v>287</v>
      </c>
      <c r="AC268" s="5">
        <f>VLOOKUP($A268,'SegEnds_NonXtal_Prot#'!$A:$AL,36,FALSE)</f>
        <v>320</v>
      </c>
      <c r="AD268" s="5">
        <f>VLOOKUP($A268,'SegEnds_NonXtal_Prot#'!$A:$AL,5,FALSE)</f>
        <v>74</v>
      </c>
      <c r="AE268" s="5">
        <f>VLOOKUP($A268,'SegEnds_NonXtal_Prot#'!$A:$AL,8,FALSE)</f>
        <v>78</v>
      </c>
      <c r="AF268" s="5">
        <f>VLOOKUP($A268,'SegEnds_NonXtal_Prot#'!$A:$AL,11,FALSE)</f>
        <v>108</v>
      </c>
      <c r="AG268" s="5">
        <f>VLOOKUP($A268,'SegEnds_NonXtal_Prot#'!$A:$AL,14,FALSE)</f>
        <v>113</v>
      </c>
      <c r="AH268" s="5">
        <f>VLOOKUP($A268,'SegEnds_NonXtal_Prot#'!$A:$AL,17,FALSE)</f>
        <v>149</v>
      </c>
      <c r="AI268" s="5">
        <f>VLOOKUP($A268,'SegEnds_NonXtal_Prot#'!$A:$AL,20,FALSE)</f>
        <v>158</v>
      </c>
      <c r="AJ268" s="5">
        <f>VLOOKUP($A268,'SegEnds_NonXtal_Prot#'!$A:$AL,23,FALSE)</f>
        <v>186</v>
      </c>
      <c r="AK268" s="5">
        <f>VLOOKUP($A268,'SegEnds_NonXtal_Prot#'!$A:$AL,26,FALSE)</f>
        <v>199</v>
      </c>
      <c r="AL268" s="5">
        <f>VLOOKUP($A268,'SegEnds_NonXtal_Prot#'!$A:$AL,29,FALSE)</f>
        <v>244</v>
      </c>
      <c r="AM268" s="5">
        <f>VLOOKUP($A268,'SegEnds_NonXtal_Prot#'!$A:$AL,32,FALSE)</f>
        <v>284</v>
      </c>
      <c r="AN268" s="5">
        <f>VLOOKUP($A268,'SegEnds_NonXtal_Prot#'!$A:$AL,35,FALSE)</f>
        <v>319</v>
      </c>
      <c r="AO268" s="5">
        <f>VLOOKUP($A268,'SegEnds_NonXtal_Prot#'!$A:$AL,38,FALSE)</f>
        <v>340</v>
      </c>
      <c r="AP268" s="5">
        <f t="shared" si="113"/>
        <v>33</v>
      </c>
      <c r="AQ268" s="4">
        <f t="shared" si="114"/>
        <v>3</v>
      </c>
      <c r="AR268" s="4">
        <f t="shared" si="115"/>
        <v>29</v>
      </c>
      <c r="AS268" s="4">
        <f t="shared" si="116"/>
        <v>3</v>
      </c>
      <c r="AT268" s="4">
        <f t="shared" si="117"/>
        <v>35</v>
      </c>
      <c r="AU268" s="4">
        <f t="shared" si="118"/>
        <v>8</v>
      </c>
      <c r="AV268" s="4">
        <f t="shared" si="119"/>
        <v>26</v>
      </c>
      <c r="AW268" s="4">
        <f t="shared" si="120"/>
        <v>2</v>
      </c>
      <c r="AX268" s="4">
        <f t="shared" si="121"/>
        <v>35</v>
      </c>
      <c r="AY268" s="4">
        <f t="shared" si="122"/>
        <v>35</v>
      </c>
      <c r="AZ268" s="4">
        <f t="shared" si="123"/>
        <v>32</v>
      </c>
      <c r="BA268" s="4">
        <f t="shared" si="124"/>
        <v>20</v>
      </c>
    </row>
    <row r="269" spans="1:53" x14ac:dyDescent="0.2">
      <c r="A269" s="1" t="str">
        <f>'SegEnds_NonXtal_Prot#'!A259</f>
        <v>ccr7_human</v>
      </c>
      <c r="B269" s="1" t="str">
        <f t="shared" si="100"/>
        <v>VRNFKAWFLPIMYSIICFVGLLGNGLVVLTYIYFTMTDTYLLNLAVADILFLLTLPFWAYSAAKGVHFCKLIFAIYKMSFFSGMLLLLCISIDRYVAIVQVLLISKLSCVGIWILATVLSIPELLYSEAFITIQVAQMVIGFLVPLLAMSFCYLVIIRTLLQARNKAIKVIIAVVVVFIVFQLPYNGVVLAQTVANFNITCELSKQLNIAYDVTYSLACVRCCVNPFLYAFIGVKFRNDLFKLFKDLGCLSQE</v>
      </c>
      <c r="C269" s="29" t="str">
        <f>IF(ISERROR(MATCH(A269,'SegEnds_Xtal_Prot#'!B:B, 0)), "NoXtal", "Xtal")</f>
        <v>NoXtal</v>
      </c>
      <c r="D269" s="4" t="str">
        <f>VLOOKUP(A269,Classification!A:D,2,FALSE)</f>
        <v>A</v>
      </c>
      <c r="E269" s="5" t="str">
        <f>VLOOKUP(A269,Seqs!A:B,2,FALSE)</f>
        <v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v>
      </c>
      <c r="F269" s="5" t="str">
        <f t="shared" si="101"/>
        <v>VRNFKAWFLPIMYSIICFVGLLGNGLVVLTYIYF</v>
      </c>
      <c r="G269" s="4" t="str">
        <f t="shared" si="102"/>
        <v>KRLK</v>
      </c>
      <c r="H269" s="4" t="str">
        <f t="shared" si="103"/>
        <v>TMTDTYLLNLAVADILFLLTLPFWAYSAAK</v>
      </c>
      <c r="I269" s="4" t="str">
        <f t="shared" si="104"/>
        <v>SWVF</v>
      </c>
      <c r="J269" s="4" t="str">
        <f t="shared" si="105"/>
        <v>GVHFCKLIFAIYKMSFFSGMLLLLCISIDRYVAIVQ</v>
      </c>
      <c r="K269" s="4" t="str">
        <f t="shared" si="106"/>
        <v>AVSAHRHRA</v>
      </c>
      <c r="L269" s="4" t="str">
        <f t="shared" si="107"/>
        <v>VLLISKLSCVGIWILATVLSIPELLYS</v>
      </c>
      <c r="M269" s="4" t="str">
        <f t="shared" si="108"/>
        <v>CSL</v>
      </c>
      <c r="N269" s="4" t="str">
        <f t="shared" si="109"/>
        <v>EAFITIQVAQMVIGFLVPLLAMSFCYLVIIRTLLQA</v>
      </c>
      <c r="O269" s="4" t="str">
        <f t="shared" si="110"/>
        <v>RNKAIKVIIAVVVVFIVFQLPYNGVVLAQTVANFNI</v>
      </c>
      <c r="P269" s="4" t="str">
        <f t="shared" si="111"/>
        <v>TCELSKQLNIAYDVTYSLACVRCCVNPFLYAFI</v>
      </c>
      <c r="Q269" s="4" t="str">
        <f t="shared" si="112"/>
        <v>GVKFRNDLFKLFKDLGCLSQE</v>
      </c>
      <c r="R269" s="5">
        <f>VLOOKUP($A269,'SegEnds_NonXtal_Prot#'!$A:$AL,3,FALSE)</f>
        <v>53</v>
      </c>
      <c r="S269" s="5">
        <f>VLOOKUP($A269,'SegEnds_NonXtal_Prot#'!$A:$AL,6,FALSE)</f>
        <v>87</v>
      </c>
      <c r="T269" s="5">
        <f>VLOOKUP($A269,'SegEnds_NonXtal_Prot#'!$A:$AL,9,FALSE)</f>
        <v>91</v>
      </c>
      <c r="U269" s="5">
        <f>VLOOKUP($A269,'SegEnds_NonXtal_Prot#'!$A:$AL,12,FALSE)</f>
        <v>121</v>
      </c>
      <c r="V269" s="5">
        <f>VLOOKUP($A269,'SegEnds_NonXtal_Prot#'!$A:$AL,15,FALSE)</f>
        <v>125</v>
      </c>
      <c r="W269" s="5">
        <f>VLOOKUP($A269,'SegEnds_NonXtal_Prot#'!$A:$AL,18,FALSE)</f>
        <v>161</v>
      </c>
      <c r="X269" s="5">
        <f>VLOOKUP($A269,'SegEnds_NonXtal_Prot#'!$A:$AL,21,FALSE)</f>
        <v>171</v>
      </c>
      <c r="Y269" s="5">
        <f>VLOOKUP($A269,'SegEnds_NonXtal_Prot#'!$A:$AL,24,FALSE)</f>
        <v>210</v>
      </c>
      <c r="Z269" s="5">
        <f>VLOOKUP($A269,'SegEnds_NonXtal_Prot#'!$A:$AL,27,FALSE)</f>
        <v>218</v>
      </c>
      <c r="AA269" s="5">
        <f>VLOOKUP($A269,'SegEnds_NonXtal_Prot#'!$A:$AL,30,FALSE)</f>
        <v>258</v>
      </c>
      <c r="AB269" s="5">
        <f>VLOOKUP($A269,'SegEnds_NonXtal_Prot#'!$A:$AL,33,FALSE)</f>
        <v>297</v>
      </c>
      <c r="AC269" s="5">
        <f>VLOOKUP($A269,'SegEnds_NonXtal_Prot#'!$A:$AL,36,FALSE)</f>
        <v>330</v>
      </c>
      <c r="AD269" s="5">
        <f>VLOOKUP($A269,'SegEnds_NonXtal_Prot#'!$A:$AL,5,FALSE)</f>
        <v>86</v>
      </c>
      <c r="AE269" s="5">
        <f>VLOOKUP($A269,'SegEnds_NonXtal_Prot#'!$A:$AL,8,FALSE)</f>
        <v>90</v>
      </c>
      <c r="AF269" s="5">
        <f>VLOOKUP($A269,'SegEnds_NonXtal_Prot#'!$A:$AL,11,FALSE)</f>
        <v>120</v>
      </c>
      <c r="AG269" s="5">
        <f>VLOOKUP($A269,'SegEnds_NonXtal_Prot#'!$A:$AL,14,FALSE)</f>
        <v>124</v>
      </c>
      <c r="AH269" s="5">
        <f>VLOOKUP($A269,'SegEnds_NonXtal_Prot#'!$A:$AL,17,FALSE)</f>
        <v>160</v>
      </c>
      <c r="AI269" s="5">
        <f>VLOOKUP($A269,'SegEnds_NonXtal_Prot#'!$A:$AL,20,FALSE)</f>
        <v>169</v>
      </c>
      <c r="AJ269" s="5">
        <f>VLOOKUP($A269,'SegEnds_NonXtal_Prot#'!$A:$AL,23,FALSE)</f>
        <v>197</v>
      </c>
      <c r="AK269" s="5">
        <f>VLOOKUP($A269,'SegEnds_NonXtal_Prot#'!$A:$AL,26,FALSE)</f>
        <v>212</v>
      </c>
      <c r="AL269" s="5">
        <f>VLOOKUP($A269,'SegEnds_NonXtal_Prot#'!$A:$AL,29,FALSE)</f>
        <v>253</v>
      </c>
      <c r="AM269" s="5">
        <f>VLOOKUP($A269,'SegEnds_NonXtal_Prot#'!$A:$AL,32,FALSE)</f>
        <v>293</v>
      </c>
      <c r="AN269" s="5">
        <f>VLOOKUP($A269,'SegEnds_NonXtal_Prot#'!$A:$AL,35,FALSE)</f>
        <v>329</v>
      </c>
      <c r="AO269" s="5">
        <f>VLOOKUP($A269,'SegEnds_NonXtal_Prot#'!$A:$AL,38,FALSE)</f>
        <v>350</v>
      </c>
      <c r="AP269" s="5">
        <f t="shared" si="113"/>
        <v>33</v>
      </c>
      <c r="AQ269" s="4">
        <f t="shared" si="114"/>
        <v>3</v>
      </c>
      <c r="AR269" s="4">
        <f t="shared" si="115"/>
        <v>29</v>
      </c>
      <c r="AS269" s="4">
        <f t="shared" si="116"/>
        <v>3</v>
      </c>
      <c r="AT269" s="4">
        <f t="shared" si="117"/>
        <v>35</v>
      </c>
      <c r="AU269" s="4">
        <f t="shared" si="118"/>
        <v>8</v>
      </c>
      <c r="AV269" s="4">
        <f t="shared" si="119"/>
        <v>26</v>
      </c>
      <c r="AW269" s="4">
        <f t="shared" si="120"/>
        <v>2</v>
      </c>
      <c r="AX269" s="4">
        <f t="shared" si="121"/>
        <v>35</v>
      </c>
      <c r="AY269" s="4">
        <f t="shared" si="122"/>
        <v>35</v>
      </c>
      <c r="AZ269" s="4">
        <f t="shared" si="123"/>
        <v>32</v>
      </c>
      <c r="BA269" s="4">
        <f t="shared" si="124"/>
        <v>20</v>
      </c>
    </row>
    <row r="270" spans="1:53" x14ac:dyDescent="0.2">
      <c r="A270" s="1" t="str">
        <f>'SegEnds_NonXtal_Prot#'!A260</f>
        <v>ccr9_human</v>
      </c>
      <c r="B270" s="1" t="str">
        <f t="shared" si="100"/>
        <v>VRQFASHFLPPLYWLVFIVGALGNSLVILVYWYCTMTDMFLLNLAIADLLFLVTLPFWAIAAADQTFMCKVVNSMYKMNFYSCVLLIMCISVDRYIAIAQREKRLLYSKMVCFTIWVLAAALCIPEILYSKLKSAVLTLKVILGFFLPFVVMACCYTIIIHTLIQAKHKALKVTITVLTVFVLSQFPYNCILLVQTIDAYAMNCAVSTNIDICFQVTQTIAFFHSCLNPVLYVFVGERFRRDLVKTLKNLGCISQA</v>
      </c>
      <c r="C270" s="29" t="str">
        <f>IF(ISERROR(MATCH(A270,'SegEnds_Xtal_Prot#'!B:B, 0)), "NoXtal", "Xtal")</f>
        <v>Xtal</v>
      </c>
      <c r="D270" s="4" t="str">
        <f>VLOOKUP(A270,Classification!A:D,2,FALSE)</f>
        <v>A</v>
      </c>
      <c r="E270" s="5" t="str">
        <f>VLOOKUP(A270,Seqs!A:B,2,FALSE)</f>
        <v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v>
      </c>
      <c r="F270" s="5" t="str">
        <f t="shared" si="101"/>
        <v>VRQFASHFLPPLYWLVFIVGALGNSLVILVYWYC</v>
      </c>
      <c r="G270" s="4" t="str">
        <f t="shared" si="102"/>
        <v>TRVK</v>
      </c>
      <c r="H270" s="4" t="str">
        <f t="shared" si="103"/>
        <v>TMTDMFLLNLAIADLLFLVTLPFWAIAAAD</v>
      </c>
      <c r="I270" s="4" t="str">
        <f t="shared" si="104"/>
        <v>QWKF</v>
      </c>
      <c r="J270" s="4" t="str">
        <f t="shared" si="105"/>
        <v>QTFMCKVVNSMYKMNFYSCVLLIMCISVDRYIAIAQ</v>
      </c>
      <c r="K270" s="4" t="str">
        <f t="shared" si="106"/>
        <v>AMRAHTW</v>
      </c>
      <c r="L270" s="4" t="str">
        <f t="shared" si="107"/>
        <v>REKRLLYSKMVCFTIWVLAAALCIPEILYS</v>
      </c>
      <c r="M270" s="4" t="str">
        <f t="shared" si="108"/>
        <v>CTM</v>
      </c>
      <c r="N270" s="4" t="str">
        <f t="shared" si="109"/>
        <v>KLKSAVLTLKVILGFFLPFVVMACCYTIIIHTLIQA</v>
      </c>
      <c r="O270" s="4" t="str">
        <f t="shared" si="110"/>
        <v>KHKALKVTITVLTVFVLSQFPYNCILLVQTIDAYAM</v>
      </c>
      <c r="P270" s="4" t="str">
        <f t="shared" si="111"/>
        <v>NCAVSTNIDICFQVTQTIAFFHSCLNPVLYVFV</v>
      </c>
      <c r="Q270" s="4" t="str">
        <f t="shared" si="112"/>
        <v>GERFRRDLVKTLKNLGCISQA</v>
      </c>
      <c r="R270" s="5">
        <f>VLOOKUP($A270,'SegEnds_NonXtal_Prot#'!$A:$AL,3,FALSE)</f>
        <v>43</v>
      </c>
      <c r="S270" s="5">
        <f>VLOOKUP($A270,'SegEnds_NonXtal_Prot#'!$A:$AL,6,FALSE)</f>
        <v>77</v>
      </c>
      <c r="T270" s="5">
        <f>VLOOKUP($A270,'SegEnds_NonXtal_Prot#'!$A:$AL,9,FALSE)</f>
        <v>81</v>
      </c>
      <c r="U270" s="5">
        <f>VLOOKUP($A270,'SegEnds_NonXtal_Prot#'!$A:$AL,12,FALSE)</f>
        <v>111</v>
      </c>
      <c r="V270" s="5">
        <f>VLOOKUP($A270,'SegEnds_NonXtal_Prot#'!$A:$AL,15,FALSE)</f>
        <v>115</v>
      </c>
      <c r="W270" s="5">
        <f>VLOOKUP($A270,'SegEnds_NonXtal_Prot#'!$A:$AL,18,FALSE)</f>
        <v>151</v>
      </c>
      <c r="X270" s="5">
        <f>VLOOKUP($A270,'SegEnds_NonXtal_Prot#'!$A:$AL,21,FALSE)</f>
        <v>158</v>
      </c>
      <c r="Y270" s="5">
        <f>VLOOKUP($A270,'SegEnds_NonXtal_Prot#'!$A:$AL,24,FALSE)</f>
        <v>198</v>
      </c>
      <c r="Z270" s="5">
        <f>VLOOKUP($A270,'SegEnds_NonXtal_Prot#'!$A:$AL,27,FALSE)</f>
        <v>209</v>
      </c>
      <c r="AA270" s="5">
        <f>VLOOKUP($A270,'SegEnds_NonXtal_Prot#'!$A:$AL,30,FALSE)</f>
        <v>249</v>
      </c>
      <c r="AB270" s="5">
        <f>VLOOKUP($A270,'SegEnds_NonXtal_Prot#'!$A:$AL,33,FALSE)</f>
        <v>288</v>
      </c>
      <c r="AC270" s="5">
        <f>VLOOKUP($A270,'SegEnds_NonXtal_Prot#'!$A:$AL,36,FALSE)</f>
        <v>321</v>
      </c>
      <c r="AD270" s="5">
        <f>VLOOKUP($A270,'SegEnds_NonXtal_Prot#'!$A:$AL,5,FALSE)</f>
        <v>76</v>
      </c>
      <c r="AE270" s="5">
        <f>VLOOKUP($A270,'SegEnds_NonXtal_Prot#'!$A:$AL,8,FALSE)</f>
        <v>80</v>
      </c>
      <c r="AF270" s="5">
        <f>VLOOKUP($A270,'SegEnds_NonXtal_Prot#'!$A:$AL,11,FALSE)</f>
        <v>110</v>
      </c>
      <c r="AG270" s="5">
        <f>VLOOKUP($A270,'SegEnds_NonXtal_Prot#'!$A:$AL,14,FALSE)</f>
        <v>114</v>
      </c>
      <c r="AH270" s="5">
        <f>VLOOKUP($A270,'SegEnds_NonXtal_Prot#'!$A:$AL,17,FALSE)</f>
        <v>150</v>
      </c>
      <c r="AI270" s="5">
        <f>VLOOKUP($A270,'SegEnds_NonXtal_Prot#'!$A:$AL,20,FALSE)</f>
        <v>157</v>
      </c>
      <c r="AJ270" s="5">
        <f>VLOOKUP($A270,'SegEnds_NonXtal_Prot#'!$A:$AL,23,FALSE)</f>
        <v>187</v>
      </c>
      <c r="AK270" s="5">
        <f>VLOOKUP($A270,'SegEnds_NonXtal_Prot#'!$A:$AL,26,FALSE)</f>
        <v>200</v>
      </c>
      <c r="AL270" s="5">
        <f>VLOOKUP($A270,'SegEnds_NonXtal_Prot#'!$A:$AL,29,FALSE)</f>
        <v>244</v>
      </c>
      <c r="AM270" s="5">
        <f>VLOOKUP($A270,'SegEnds_NonXtal_Prot#'!$A:$AL,32,FALSE)</f>
        <v>284</v>
      </c>
      <c r="AN270" s="5">
        <f>VLOOKUP($A270,'SegEnds_NonXtal_Prot#'!$A:$AL,35,FALSE)</f>
        <v>320</v>
      </c>
      <c r="AO270" s="5">
        <f>VLOOKUP($A270,'SegEnds_NonXtal_Prot#'!$A:$AL,38,FALSE)</f>
        <v>341</v>
      </c>
      <c r="AP270" s="5">
        <f t="shared" si="113"/>
        <v>33</v>
      </c>
      <c r="AQ270" s="4">
        <f t="shared" si="114"/>
        <v>3</v>
      </c>
      <c r="AR270" s="4">
        <f t="shared" si="115"/>
        <v>29</v>
      </c>
      <c r="AS270" s="4">
        <f t="shared" si="116"/>
        <v>3</v>
      </c>
      <c r="AT270" s="4">
        <f t="shared" si="117"/>
        <v>35</v>
      </c>
      <c r="AU270" s="4">
        <f t="shared" si="118"/>
        <v>6</v>
      </c>
      <c r="AV270" s="4">
        <f t="shared" si="119"/>
        <v>29</v>
      </c>
      <c r="AW270" s="4">
        <f t="shared" si="120"/>
        <v>2</v>
      </c>
      <c r="AX270" s="4">
        <f t="shared" si="121"/>
        <v>35</v>
      </c>
      <c r="AY270" s="4">
        <f t="shared" si="122"/>
        <v>35</v>
      </c>
      <c r="AZ270" s="4">
        <f t="shared" si="123"/>
        <v>32</v>
      </c>
      <c r="BA270" s="4">
        <f t="shared" si="124"/>
        <v>20</v>
      </c>
    </row>
    <row r="271" spans="1:53" x14ac:dyDescent="0.2">
      <c r="A271" s="1" t="str">
        <f>'SegEnds_NonXtal_Prot#'!A261</f>
        <v>cxcr6_human</v>
      </c>
      <c r="B271" s="1" t="str">
        <f t="shared" si="100"/>
        <v>FLQFSKVFLPCMYLVVFVCGLVGNSLVLVISIFYSLTDVFLVNLPLADLVFVCTLPFWAYAGIHGQVMCKSLLGIYTINFYTSMLILTCITVDRFIVVVKRMTWGKVTSLLIWVISLLVSLPQIIYGAISTVVLATQMTLGFFLPLLTMIVCYSVIIKTLLHAKHRSLKIIFLVMAVFLLTQMPFNLMKFIRSTHMTSFHYTIMVTEAIAYLRACLNPVLYAFVSLKFRKNFWKLVKDIGCLPYL</v>
      </c>
      <c r="C271" s="29" t="str">
        <f>IF(ISERROR(MATCH(A271,'SegEnds_Xtal_Prot#'!B:B, 0)), "NoXtal", "Xtal")</f>
        <v>NoXtal</v>
      </c>
      <c r="D271" s="4" t="str">
        <f>VLOOKUP(A271,Classification!A:D,2,FALSE)</f>
        <v>A</v>
      </c>
      <c r="E271" s="5" t="str">
        <f>VLOOKUP(A271,Seqs!A:B,2,FALSE)</f>
        <v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v>
      </c>
      <c r="F271" s="5" t="str">
        <f t="shared" si="101"/>
        <v>FLQFSKVFLPCMYLVVFVCGLVGNSLVLVISIFY</v>
      </c>
      <c r="G271" s="4" t="str">
        <f t="shared" si="102"/>
        <v>HKLQ</v>
      </c>
      <c r="H271" s="4" t="str">
        <f t="shared" si="103"/>
        <v>SLTDVFLVNLPLADLVFVCTLPFWAYAGIH</v>
      </c>
      <c r="I271" s="4" t="str">
        <f t="shared" si="104"/>
        <v>EWVF</v>
      </c>
      <c r="J271" s="4" t="str">
        <f t="shared" si="105"/>
        <v>GQVMCKSLLGIYTINFYTSMLILTCITVDRFIVVVK</v>
      </c>
      <c r="K271" s="4" t="str">
        <f t="shared" si="106"/>
        <v>ATKAYNQQA</v>
      </c>
      <c r="L271" s="4" t="str">
        <f t="shared" si="107"/>
        <v>RMTWGKVTSLLIWVISLLVSLPQIIYG</v>
      </c>
      <c r="M271" s="4" t="str">
        <f t="shared" si="108"/>
        <v>CGY</v>
      </c>
      <c r="N271" s="4" t="str">
        <f t="shared" si="109"/>
        <v>AISTVVLATQMTLGFFLPLLTMIVCYSVIIKTLLHA</v>
      </c>
      <c r="O271" s="4" t="str">
        <f t="shared" si="110"/>
        <v>KHRSLKIIFLVMAVFLLTQMPFNLMKFIRSTH</v>
      </c>
      <c r="P271" s="4" t="str">
        <f t="shared" si="111"/>
        <v>MTSFHYTIMVTEAIAYLRACLNPVLYAFV</v>
      </c>
      <c r="Q271" s="4" t="str">
        <f t="shared" si="112"/>
        <v>SLKFRKNFWKLVKDIGCLPYL</v>
      </c>
      <c r="R271" s="5">
        <f>VLOOKUP($A271,'SegEnds_NonXtal_Prot#'!$A:$AL,3,FALSE)</f>
        <v>26</v>
      </c>
      <c r="S271" s="5">
        <f>VLOOKUP($A271,'SegEnds_NonXtal_Prot#'!$A:$AL,6,FALSE)</f>
        <v>60</v>
      </c>
      <c r="T271" s="5">
        <f>VLOOKUP($A271,'SegEnds_NonXtal_Prot#'!$A:$AL,9,FALSE)</f>
        <v>64</v>
      </c>
      <c r="U271" s="5">
        <f>VLOOKUP($A271,'SegEnds_NonXtal_Prot#'!$A:$AL,12,FALSE)</f>
        <v>94</v>
      </c>
      <c r="V271" s="5">
        <f>VLOOKUP($A271,'SegEnds_NonXtal_Prot#'!$A:$AL,15,FALSE)</f>
        <v>98</v>
      </c>
      <c r="W271" s="5">
        <f>VLOOKUP($A271,'SegEnds_NonXtal_Prot#'!$A:$AL,18,FALSE)</f>
        <v>134</v>
      </c>
      <c r="X271" s="5">
        <f>VLOOKUP($A271,'SegEnds_NonXtal_Prot#'!$A:$AL,21,FALSE)</f>
        <v>144</v>
      </c>
      <c r="Y271" s="5">
        <f>VLOOKUP($A271,'SegEnds_NonXtal_Prot#'!$A:$AL,24,FALSE)</f>
        <v>180</v>
      </c>
      <c r="Z271" s="5">
        <f>VLOOKUP($A271,'SegEnds_NonXtal_Prot#'!$A:$AL,27,FALSE)</f>
        <v>186</v>
      </c>
      <c r="AA271" s="5">
        <f>VLOOKUP($A271,'SegEnds_NonXtal_Prot#'!$A:$AL,30,FALSE)</f>
        <v>226</v>
      </c>
      <c r="AB271" s="5">
        <f>VLOOKUP($A271,'SegEnds_NonXtal_Prot#'!$A:$AL,33,FALSE)</f>
        <v>263</v>
      </c>
      <c r="AC271" s="5">
        <f>VLOOKUP($A271,'SegEnds_NonXtal_Prot#'!$A:$AL,36,FALSE)</f>
        <v>292</v>
      </c>
      <c r="AD271" s="5">
        <f>VLOOKUP($A271,'SegEnds_NonXtal_Prot#'!$A:$AL,5,FALSE)</f>
        <v>59</v>
      </c>
      <c r="AE271" s="5">
        <f>VLOOKUP($A271,'SegEnds_NonXtal_Prot#'!$A:$AL,8,FALSE)</f>
        <v>63</v>
      </c>
      <c r="AF271" s="5">
        <f>VLOOKUP($A271,'SegEnds_NonXtal_Prot#'!$A:$AL,11,FALSE)</f>
        <v>93</v>
      </c>
      <c r="AG271" s="5">
        <f>VLOOKUP($A271,'SegEnds_NonXtal_Prot#'!$A:$AL,14,FALSE)</f>
        <v>97</v>
      </c>
      <c r="AH271" s="5">
        <f>VLOOKUP($A271,'SegEnds_NonXtal_Prot#'!$A:$AL,17,FALSE)</f>
        <v>133</v>
      </c>
      <c r="AI271" s="5">
        <f>VLOOKUP($A271,'SegEnds_NonXtal_Prot#'!$A:$AL,20,FALSE)</f>
        <v>142</v>
      </c>
      <c r="AJ271" s="5">
        <f>VLOOKUP($A271,'SegEnds_NonXtal_Prot#'!$A:$AL,23,FALSE)</f>
        <v>170</v>
      </c>
      <c r="AK271" s="5">
        <f>VLOOKUP($A271,'SegEnds_NonXtal_Prot#'!$A:$AL,26,FALSE)</f>
        <v>182</v>
      </c>
      <c r="AL271" s="5">
        <f>VLOOKUP($A271,'SegEnds_NonXtal_Prot#'!$A:$AL,29,FALSE)</f>
        <v>221</v>
      </c>
      <c r="AM271" s="5">
        <f>VLOOKUP($A271,'SegEnds_NonXtal_Prot#'!$A:$AL,32,FALSE)</f>
        <v>257</v>
      </c>
      <c r="AN271" s="5">
        <f>VLOOKUP($A271,'SegEnds_NonXtal_Prot#'!$A:$AL,35,FALSE)</f>
        <v>291</v>
      </c>
      <c r="AO271" s="5">
        <f>VLOOKUP($A271,'SegEnds_NonXtal_Prot#'!$A:$AL,38,FALSE)</f>
        <v>312</v>
      </c>
      <c r="AP271" s="5">
        <f t="shared" si="113"/>
        <v>33</v>
      </c>
      <c r="AQ271" s="4">
        <f t="shared" si="114"/>
        <v>3</v>
      </c>
      <c r="AR271" s="4">
        <f t="shared" si="115"/>
        <v>29</v>
      </c>
      <c r="AS271" s="4">
        <f t="shared" si="116"/>
        <v>3</v>
      </c>
      <c r="AT271" s="4">
        <f t="shared" si="117"/>
        <v>35</v>
      </c>
      <c r="AU271" s="4">
        <f t="shared" si="118"/>
        <v>8</v>
      </c>
      <c r="AV271" s="4">
        <f t="shared" si="119"/>
        <v>26</v>
      </c>
      <c r="AW271" s="4">
        <f t="shared" si="120"/>
        <v>2</v>
      </c>
      <c r="AX271" s="4">
        <f t="shared" si="121"/>
        <v>35</v>
      </c>
      <c r="AY271" s="4">
        <f t="shared" si="122"/>
        <v>31</v>
      </c>
      <c r="AZ271" s="4">
        <f t="shared" si="123"/>
        <v>28</v>
      </c>
      <c r="BA271" s="4">
        <f t="shared" si="124"/>
        <v>20</v>
      </c>
    </row>
    <row r="272" spans="1:53" x14ac:dyDescent="0.2">
      <c r="A272" s="1" t="str">
        <f>'SegEnds_NonXtal_Prot#'!A262</f>
        <v>drd3_human</v>
      </c>
      <c r="B272" s="1" t="str">
        <f t="shared" si="100"/>
        <v>ARPHAYYALSYCALILAIVFGNGLVCMAVLKETTTNYLVVSLAVADLLVATLVMPWVVYLEVTSRICCDVFVTLDVMMCTASILNLCAISIDRYTAVVMSCRRVALMITAVWVLAFAVSCPLLFGNPDFVIYSSVVSFYLPFGVTVLVYARIYVVLKQRRRKRILTRRGVPLREKKATQMVAIVLGAFIVCWLPFFLTHVLNTHSPELYSATTWLGYVNSALNPVIYTTFNIEFRKAFLKILS</v>
      </c>
      <c r="C272" s="29" t="str">
        <f>IF(ISERROR(MATCH(A272,'SegEnds_Xtal_Prot#'!B:B, 0)), "NoXtal", "Xtal")</f>
        <v>Xtal</v>
      </c>
      <c r="D272" s="4" t="str">
        <f>VLOOKUP(A272,Classification!A:D,2,FALSE)</f>
        <v>A</v>
      </c>
      <c r="E272" s="5" t="str">
        <f>VLOOKUP(A272,Seqs!A:B,2,FALSE)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F272" s="5" t="str">
        <f t="shared" si="101"/>
        <v>ARPHAYYALSYCALILAIVFGNGLVCMAVLKE</v>
      </c>
      <c r="G272" s="4" t="str">
        <f t="shared" si="102"/>
        <v>RALQ</v>
      </c>
      <c r="H272" s="4" t="str">
        <f t="shared" si="103"/>
        <v>TTTNYLVVSLAVADLLVATLVMPWVVYLEVT</v>
      </c>
      <c r="I272" s="4" t="str">
        <f t="shared" si="104"/>
        <v>VWNF</v>
      </c>
      <c r="J272" s="4" t="str">
        <f t="shared" si="105"/>
        <v>SRICCDVFVTLDVMMCTASILNLCAISIDRYTAVVM</v>
      </c>
      <c r="K272" s="4" t="str">
        <f t="shared" si="106"/>
        <v>PVHYQHGTG</v>
      </c>
      <c r="L272" s="4" t="str">
        <f t="shared" si="107"/>
        <v>SCRRVALMITAVWVLAFAVSCPLLFG</v>
      </c>
      <c r="M272" s="4" t="str">
        <f t="shared" si="108"/>
        <v>CSI</v>
      </c>
      <c r="N272" s="4" t="str">
        <f t="shared" si="109"/>
        <v>NPDFVIYSSVVSFYLPFGVTVLVYARIYVVLKQRRRKRILTR</v>
      </c>
      <c r="O272" s="4" t="str">
        <f t="shared" si="110"/>
        <v>RGVPLREKKATQMVAIVLGAFIVCWLPFFLTHVLNTH</v>
      </c>
      <c r="P272" s="4" t="str">
        <f t="shared" si="111"/>
        <v>SPELYSATTWLGYVNSALNPVIYTTF</v>
      </c>
      <c r="Q272" s="4" t="str">
        <f t="shared" si="112"/>
        <v>NIEFRKAFLKILS</v>
      </c>
      <c r="R272" s="5">
        <f>VLOOKUP($A272,'SegEnds_NonXtal_Prot#'!$A:$AL,3,FALSE)</f>
        <v>26</v>
      </c>
      <c r="S272" s="5">
        <f>VLOOKUP($A272,'SegEnds_NonXtal_Prot#'!$A:$AL,6,FALSE)</f>
        <v>58</v>
      </c>
      <c r="T272" s="5">
        <f>VLOOKUP($A272,'SegEnds_NonXtal_Prot#'!$A:$AL,9,FALSE)</f>
        <v>62</v>
      </c>
      <c r="U272" s="5">
        <f>VLOOKUP($A272,'SegEnds_NonXtal_Prot#'!$A:$AL,12,FALSE)</f>
        <v>95</v>
      </c>
      <c r="V272" s="5">
        <f>VLOOKUP($A272,'SegEnds_NonXtal_Prot#'!$A:$AL,15,FALSE)</f>
        <v>99</v>
      </c>
      <c r="W272" s="5">
        <f>VLOOKUP($A272,'SegEnds_NonXtal_Prot#'!$A:$AL,18,FALSE)</f>
        <v>135</v>
      </c>
      <c r="X272" s="5">
        <f>VLOOKUP($A272,'SegEnds_NonXtal_Prot#'!$A:$AL,21,FALSE)</f>
        <v>146</v>
      </c>
      <c r="Y272" s="5">
        <f>VLOOKUP($A272,'SegEnds_NonXtal_Prot#'!$A:$AL,24,FALSE)</f>
        <v>181</v>
      </c>
      <c r="Z272" s="5">
        <f>VLOOKUP($A272,'SegEnds_NonXtal_Prot#'!$A:$AL,27,FALSE)</f>
        <v>185</v>
      </c>
      <c r="AA272" s="5">
        <f>VLOOKUP($A272,'SegEnds_NonXtal_Prot#'!$A:$AL,30,FALSE)</f>
        <v>318</v>
      </c>
      <c r="AB272" s="5">
        <f>VLOOKUP($A272,'SegEnds_NonXtal_Prot#'!$A:$AL,33,FALSE)</f>
        <v>361</v>
      </c>
      <c r="AC272" s="5">
        <f>VLOOKUP($A272,'SegEnds_NonXtal_Prot#'!$A:$AL,36,FALSE)</f>
        <v>387</v>
      </c>
      <c r="AD272" s="5">
        <f>VLOOKUP($A272,'SegEnds_NonXtal_Prot#'!$A:$AL,5,FALSE)</f>
        <v>57</v>
      </c>
      <c r="AE272" s="5">
        <f>VLOOKUP($A272,'SegEnds_NonXtal_Prot#'!$A:$AL,8,FALSE)</f>
        <v>61</v>
      </c>
      <c r="AF272" s="5">
        <f>VLOOKUP($A272,'SegEnds_NonXtal_Prot#'!$A:$AL,11,FALSE)</f>
        <v>92</v>
      </c>
      <c r="AG272" s="5">
        <f>VLOOKUP($A272,'SegEnds_NonXtal_Prot#'!$A:$AL,14,FALSE)</f>
        <v>98</v>
      </c>
      <c r="AH272" s="5">
        <f>VLOOKUP($A272,'SegEnds_NonXtal_Prot#'!$A:$AL,17,FALSE)</f>
        <v>134</v>
      </c>
      <c r="AI272" s="5">
        <f>VLOOKUP($A272,'SegEnds_NonXtal_Prot#'!$A:$AL,20,FALSE)</f>
        <v>143</v>
      </c>
      <c r="AJ272" s="5">
        <f>VLOOKUP($A272,'SegEnds_NonXtal_Prot#'!$A:$AL,23,FALSE)</f>
        <v>171</v>
      </c>
      <c r="AK272" s="5">
        <f>VLOOKUP($A272,'SegEnds_NonXtal_Prot#'!$A:$AL,26,FALSE)</f>
        <v>183</v>
      </c>
      <c r="AL272" s="5">
        <f>VLOOKUP($A272,'SegEnds_NonXtal_Prot#'!$A:$AL,29,FALSE)</f>
        <v>226</v>
      </c>
      <c r="AM272" s="5">
        <f>VLOOKUP($A272,'SegEnds_NonXtal_Prot#'!$A:$AL,32,FALSE)</f>
        <v>354</v>
      </c>
      <c r="AN272" s="5">
        <f>VLOOKUP($A272,'SegEnds_NonXtal_Prot#'!$A:$AL,35,FALSE)</f>
        <v>386</v>
      </c>
      <c r="AO272" s="5">
        <f>VLOOKUP($A272,'SegEnds_NonXtal_Prot#'!$A:$AL,38,FALSE)</f>
        <v>399</v>
      </c>
      <c r="AP272" s="5">
        <f t="shared" si="113"/>
        <v>31</v>
      </c>
      <c r="AQ272" s="4">
        <f t="shared" si="114"/>
        <v>3</v>
      </c>
      <c r="AR272" s="4">
        <f t="shared" si="115"/>
        <v>30</v>
      </c>
      <c r="AS272" s="4">
        <f t="shared" si="116"/>
        <v>3</v>
      </c>
      <c r="AT272" s="4">
        <f t="shared" si="117"/>
        <v>35</v>
      </c>
      <c r="AU272" s="4">
        <f t="shared" si="118"/>
        <v>8</v>
      </c>
      <c r="AV272" s="4">
        <f t="shared" si="119"/>
        <v>25</v>
      </c>
      <c r="AW272" s="4">
        <f t="shared" si="120"/>
        <v>2</v>
      </c>
      <c r="AX272" s="4">
        <f t="shared" si="121"/>
        <v>41</v>
      </c>
      <c r="AY272" s="4">
        <f t="shared" si="122"/>
        <v>36</v>
      </c>
      <c r="AZ272" s="4">
        <f t="shared" si="123"/>
        <v>25</v>
      </c>
      <c r="BA272" s="4">
        <f t="shared" si="124"/>
        <v>12</v>
      </c>
    </row>
    <row r="273" spans="1:53" x14ac:dyDescent="0.2">
      <c r="A273" s="1" t="str">
        <f>'SegEnds_NonXtal_Prot#'!A263</f>
        <v>ackr1_human</v>
      </c>
      <c r="B273" s="1" t="str">
        <f t="shared" si="100"/>
        <v>NLLDDSALPFFILTSVLGILASSTVLFMLFRPCPGWPVLAQLAVGSALFSIVVPVLAPGLGSLCSLGYCVWYGSAFAQALLLGCHASLGHRLGAGVPGLTLGLTVGIWGVAALLTLPVTLASYSTELKALQATHTVACLAIFVLLPLGLFGAKGLKPGPWMNILWAWFIFWWPHGVVLGLDFLVRSKTCLAQQALDLLLNLAEALAILHCVATPLLLALFCHQATRTLLP</v>
      </c>
      <c r="C273" s="29" t="str">
        <f>IF(ISERROR(MATCH(A273,'SegEnds_Xtal_Prot#'!B:B, 0)), "NoXtal", "Xtal")</f>
        <v>NoXtal</v>
      </c>
      <c r="D273" s="4" t="str">
        <f>VLOOKUP(A273,Classification!A:D,2,FALSE)</f>
        <v>A</v>
      </c>
      <c r="E273" s="5" t="str">
        <f>VLOOKUP(A273,Seqs!A:B,2,FALSE)</f>
        <v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v>
      </c>
      <c r="F273" s="5" t="str">
        <f t="shared" si="101"/>
        <v>NLLDDSALPFFILTSVLGILASSTVLFMLFRP</v>
      </c>
      <c r="G273" s="4" t="str">
        <f t="shared" si="102"/>
        <v/>
      </c>
      <c r="H273" s="4" t="str">
        <f t="shared" si="103"/>
        <v>CPGWPVLAQLAVGSALFSIVVPVLAPGLGS</v>
      </c>
      <c r="I273" s="4" t="str">
        <f t="shared" si="104"/>
        <v/>
      </c>
      <c r="J273" s="4" t="str">
        <f t="shared" si="105"/>
        <v>LCSLGYCVWYGSAFAQALLLGCHASLGHRLGAG</v>
      </c>
      <c r="K273" s="4" t="str">
        <f t="shared" si="106"/>
        <v/>
      </c>
      <c r="L273" s="4" t="str">
        <f t="shared" si="107"/>
        <v>VPGLTLGLTVGIWGVAALLTLPVTLAS</v>
      </c>
      <c r="M273" s="4" t="str">
        <f t="shared" si="108"/>
        <v>CTL</v>
      </c>
      <c r="N273" s="4" t="str">
        <f t="shared" si="109"/>
        <v>YSTELKALQATHTVACLAIFVLLPLGLFGAKGLK</v>
      </c>
      <c r="O273" s="4" t="str">
        <f t="shared" si="110"/>
        <v>PGPWMNILWAWFIFWWPHGVVLGLDFLVRSK</v>
      </c>
      <c r="P273" s="4" t="str">
        <f t="shared" si="111"/>
        <v>TCLAQQALDLLLNLAEALAILHCVATPLLLALF</v>
      </c>
      <c r="Q273" s="4" t="str">
        <f t="shared" si="112"/>
        <v>CHQATRTLLP</v>
      </c>
      <c r="R273" s="5">
        <f>VLOOKUP($A273,'SegEnds_NonXtal_Prot#'!$A:$AL,3,FALSE)</f>
        <v>55</v>
      </c>
      <c r="S273" s="5" t="str">
        <f>VLOOKUP($A273,'SegEnds_NonXtal_Prot#'!$A:$AL,6,FALSE)</f>
        <v>-</v>
      </c>
      <c r="T273" s="5">
        <f>VLOOKUP($A273,'SegEnds_NonXtal_Prot#'!$A:$AL,9,FALSE)</f>
        <v>93</v>
      </c>
      <c r="U273" s="5" t="str">
        <f>VLOOKUP($A273,'SegEnds_NonXtal_Prot#'!$A:$AL,12,FALSE)</f>
        <v>-</v>
      </c>
      <c r="V273" s="5">
        <f>VLOOKUP($A273,'SegEnds_NonXtal_Prot#'!$A:$AL,15,FALSE)</f>
        <v>128</v>
      </c>
      <c r="W273" s="5" t="str">
        <f>VLOOKUP($A273,'SegEnds_NonXtal_Prot#'!$A:$AL,18,FALSE)</f>
        <v>-</v>
      </c>
      <c r="X273" s="5">
        <f>VLOOKUP($A273,'SegEnds_NonXtal_Prot#'!$A:$AL,21,FALSE)</f>
        <v>162</v>
      </c>
      <c r="Y273" s="5">
        <f>VLOOKUP($A273,'SegEnds_NonXtal_Prot#'!$A:$AL,24,FALSE)</f>
        <v>195</v>
      </c>
      <c r="Z273" s="5">
        <f>VLOOKUP($A273,'SegEnds_NonXtal_Prot#'!$A:$AL,27,FALSE)</f>
        <v>199</v>
      </c>
      <c r="AA273" s="5">
        <f>VLOOKUP($A273,'SegEnds_NonXtal_Prot#'!$A:$AL,30,FALSE)</f>
        <v>239</v>
      </c>
      <c r="AB273" s="5">
        <f>VLOOKUP($A273,'SegEnds_NonXtal_Prot#'!$A:$AL,33,FALSE)</f>
        <v>275</v>
      </c>
      <c r="AC273" s="5">
        <f>VLOOKUP($A273,'SegEnds_NonXtal_Prot#'!$A:$AL,36,FALSE)</f>
        <v>308</v>
      </c>
      <c r="AD273" s="5">
        <f>VLOOKUP($A273,'SegEnds_NonXtal_Prot#'!$A:$AL,5,FALSE)</f>
        <v>86</v>
      </c>
      <c r="AE273" s="5" t="str">
        <f>VLOOKUP($A273,'SegEnds_NonXtal_Prot#'!$A:$AL,8,FALSE)</f>
        <v>-</v>
      </c>
      <c r="AF273" s="5">
        <f>VLOOKUP($A273,'SegEnds_NonXtal_Prot#'!$A:$AL,11,FALSE)</f>
        <v>122</v>
      </c>
      <c r="AG273" s="5" t="str">
        <f>VLOOKUP($A273,'SegEnds_NonXtal_Prot#'!$A:$AL,14,FALSE)</f>
        <v>-</v>
      </c>
      <c r="AH273" s="5">
        <f>VLOOKUP($A273,'SegEnds_NonXtal_Prot#'!$A:$AL,17,FALSE)</f>
        <v>160</v>
      </c>
      <c r="AI273" s="5" t="str">
        <f>VLOOKUP($A273,'SegEnds_NonXtal_Prot#'!$A:$AL,20,FALSE)</f>
        <v>-</v>
      </c>
      <c r="AJ273" s="5">
        <f>VLOOKUP($A273,'SegEnds_NonXtal_Prot#'!$A:$AL,23,FALSE)</f>
        <v>188</v>
      </c>
      <c r="AK273" s="5">
        <f>VLOOKUP($A273,'SegEnds_NonXtal_Prot#'!$A:$AL,26,FALSE)</f>
        <v>197</v>
      </c>
      <c r="AL273" s="5">
        <f>VLOOKUP($A273,'SegEnds_NonXtal_Prot#'!$A:$AL,29,FALSE)</f>
        <v>232</v>
      </c>
      <c r="AM273" s="5">
        <f>VLOOKUP($A273,'SegEnds_NonXtal_Prot#'!$A:$AL,32,FALSE)</f>
        <v>269</v>
      </c>
      <c r="AN273" s="5">
        <f>VLOOKUP($A273,'SegEnds_NonXtal_Prot#'!$A:$AL,35,FALSE)</f>
        <v>307</v>
      </c>
      <c r="AO273" s="5">
        <f>VLOOKUP($A273,'SegEnds_NonXtal_Prot#'!$A:$AL,38,FALSE)</f>
        <v>317</v>
      </c>
      <c r="AP273" s="5">
        <f t="shared" si="113"/>
        <v>31</v>
      </c>
      <c r="AQ273" s="4" t="str">
        <f t="shared" si="114"/>
        <v>-</v>
      </c>
      <c r="AR273" s="4">
        <f t="shared" si="115"/>
        <v>29</v>
      </c>
      <c r="AS273" s="4" t="str">
        <f t="shared" si="116"/>
        <v>-</v>
      </c>
      <c r="AT273" s="4">
        <f t="shared" si="117"/>
        <v>32</v>
      </c>
      <c r="AU273" s="4" t="str">
        <f t="shared" si="118"/>
        <v>-</v>
      </c>
      <c r="AV273" s="4">
        <f t="shared" si="119"/>
        <v>26</v>
      </c>
      <c r="AW273" s="4">
        <f t="shared" si="120"/>
        <v>2</v>
      </c>
      <c r="AX273" s="4">
        <f t="shared" si="121"/>
        <v>33</v>
      </c>
      <c r="AY273" s="4">
        <f t="shared" si="122"/>
        <v>30</v>
      </c>
      <c r="AZ273" s="4">
        <f t="shared" si="123"/>
        <v>32</v>
      </c>
      <c r="BA273" s="4">
        <f t="shared" si="124"/>
        <v>9</v>
      </c>
    </row>
    <row r="274" spans="1:53" x14ac:dyDescent="0.2">
      <c r="A274" s="1" t="str">
        <f>'SegEnds_NonXtal_Prot#'!A265</f>
        <v>ackr4_human</v>
      </c>
      <c r="B274" s="1" t="str">
        <f t="shared" si="100"/>
        <v>VREFAKVFLPVFLTIVFVIGLAGNSMVVAIYAYYTKTDVYILNLAVADLLLLFTLPFWAVNAVHGKIMCKITSALYTLNFVSGMQFLACISIDRYVAVTKVGKPCWIICFCVWMAAILLSIPQLVFYSMKALIQMLEICIGFVVPFLIMGVCYFITARTLMKMISRPLKVLLTVVIVFIVTQLPYNIVKFCRAIDIIYSCNMSKRMDIAIQVTESIALFHSCLNPILYVFMGASFKNYVMKVAKKYGSWRRQ</v>
      </c>
      <c r="C274" s="29" t="str">
        <f>IF(ISERROR(MATCH(A274,'SegEnds_Xtal_Prot#'!B:B, 0)), "NoXtal", "Xtal")</f>
        <v>NoXtal</v>
      </c>
      <c r="D274" s="4" t="str">
        <f>VLOOKUP(A274,Classification!A:D,2,FALSE)</f>
        <v>A</v>
      </c>
      <c r="E274" s="5" t="str">
        <f>VLOOKUP(A274,Seqs!A:B,2,FALSE)</f>
        <v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v>
      </c>
      <c r="F274" s="5" t="str">
        <f t="shared" si="101"/>
        <v>VREFAKVFLPVFLTIVFVIGLAGNSMVVAIYAYY</v>
      </c>
      <c r="G274" s="4" t="str">
        <f t="shared" si="102"/>
        <v>KKQR</v>
      </c>
      <c r="H274" s="4" t="str">
        <f t="shared" si="103"/>
        <v>TKTDVYILNLAVADLLLLFTLPFWAVNAVH</v>
      </c>
      <c r="I274" s="4" t="str">
        <f t="shared" si="104"/>
        <v>GWVL</v>
      </c>
      <c r="J274" s="4" t="str">
        <f t="shared" si="105"/>
        <v>GKIMCKITSALYTLNFVSGMQFLACISIDRYVAVTK</v>
      </c>
      <c r="K274" s="4" t="str">
        <f t="shared" si="106"/>
        <v/>
      </c>
      <c r="L274" s="4" t="str">
        <f t="shared" si="107"/>
        <v>VGKPCWIICFCVWMAAILLSIPQLVFY</v>
      </c>
      <c r="M274" s="4" t="str">
        <f t="shared" si="108"/>
        <v>CIP</v>
      </c>
      <c r="N274" s="4" t="str">
        <f t="shared" si="109"/>
        <v>SMKALIQMLEICIGFVVPFLIMGVCYFITARTLMKM</v>
      </c>
      <c r="O274" s="4" t="str">
        <f t="shared" si="110"/>
        <v>ISRPLKVLLTVVIVFIVTQLPYNIVKFCRAIDIIY</v>
      </c>
      <c r="P274" s="4" t="str">
        <f t="shared" si="111"/>
        <v>SCNMSKRMDIAIQVTESIALFHSCLNPILYVFM</v>
      </c>
      <c r="Q274" s="4" t="str">
        <f t="shared" si="112"/>
        <v>GASFKNYVMKVAKKYGSWRRQ</v>
      </c>
      <c r="R274" s="5">
        <f>VLOOKUP($A274,'SegEnds_NonXtal_Prot#'!$A:$AL,3,FALSE)</f>
        <v>36</v>
      </c>
      <c r="S274" s="5">
        <f>VLOOKUP($A274,'SegEnds_NonXtal_Prot#'!$A:$AL,6,FALSE)</f>
        <v>70</v>
      </c>
      <c r="T274" s="5">
        <f>VLOOKUP($A274,'SegEnds_NonXtal_Prot#'!$A:$AL,9,FALSE)</f>
        <v>74</v>
      </c>
      <c r="U274" s="5">
        <f>VLOOKUP($A274,'SegEnds_NonXtal_Prot#'!$A:$AL,12,FALSE)</f>
        <v>104</v>
      </c>
      <c r="V274" s="5">
        <f>VLOOKUP($A274,'SegEnds_NonXtal_Prot#'!$A:$AL,15,FALSE)</f>
        <v>108</v>
      </c>
      <c r="W274" s="5" t="str">
        <f>VLOOKUP($A274,'SegEnds_NonXtal_Prot#'!$A:$AL,18,FALSE)</f>
        <v>-</v>
      </c>
      <c r="X274" s="5">
        <f>VLOOKUP($A274,'SegEnds_NonXtal_Prot#'!$A:$AL,21,FALSE)</f>
        <v>150</v>
      </c>
      <c r="Y274" s="5">
        <f>VLOOKUP($A274,'SegEnds_NonXtal_Prot#'!$A:$AL,24,FALSE)</f>
        <v>184</v>
      </c>
      <c r="Z274" s="5">
        <f>VLOOKUP($A274,'SegEnds_NonXtal_Prot#'!$A:$AL,27,FALSE)</f>
        <v>195</v>
      </c>
      <c r="AA274" s="5">
        <f>VLOOKUP($A274,'SegEnds_NonXtal_Prot#'!$A:$AL,30,FALSE)</f>
        <v>235</v>
      </c>
      <c r="AB274" s="5">
        <f>VLOOKUP($A274,'SegEnds_NonXtal_Prot#'!$A:$AL,33,FALSE)</f>
        <v>274</v>
      </c>
      <c r="AC274" s="5">
        <f>VLOOKUP($A274,'SegEnds_NonXtal_Prot#'!$A:$AL,36,FALSE)</f>
        <v>307</v>
      </c>
      <c r="AD274" s="5">
        <f>VLOOKUP($A274,'SegEnds_NonXtal_Prot#'!$A:$AL,5,FALSE)</f>
        <v>69</v>
      </c>
      <c r="AE274" s="5">
        <f>VLOOKUP($A274,'SegEnds_NonXtal_Prot#'!$A:$AL,8,FALSE)</f>
        <v>73</v>
      </c>
      <c r="AF274" s="5">
        <f>VLOOKUP($A274,'SegEnds_NonXtal_Prot#'!$A:$AL,11,FALSE)</f>
        <v>103</v>
      </c>
      <c r="AG274" s="5">
        <f>VLOOKUP($A274,'SegEnds_NonXtal_Prot#'!$A:$AL,14,FALSE)</f>
        <v>107</v>
      </c>
      <c r="AH274" s="5">
        <f>VLOOKUP($A274,'SegEnds_NonXtal_Prot#'!$A:$AL,17,FALSE)</f>
        <v>143</v>
      </c>
      <c r="AI274" s="5" t="str">
        <f>VLOOKUP($A274,'SegEnds_NonXtal_Prot#'!$A:$AL,20,FALSE)</f>
        <v>-</v>
      </c>
      <c r="AJ274" s="5">
        <f>VLOOKUP($A274,'SegEnds_NonXtal_Prot#'!$A:$AL,23,FALSE)</f>
        <v>176</v>
      </c>
      <c r="AK274" s="5">
        <f>VLOOKUP($A274,'SegEnds_NonXtal_Prot#'!$A:$AL,26,FALSE)</f>
        <v>186</v>
      </c>
      <c r="AL274" s="5">
        <f>VLOOKUP($A274,'SegEnds_NonXtal_Prot#'!$A:$AL,29,FALSE)</f>
        <v>230</v>
      </c>
      <c r="AM274" s="5">
        <f>VLOOKUP($A274,'SegEnds_NonXtal_Prot#'!$A:$AL,32,FALSE)</f>
        <v>269</v>
      </c>
      <c r="AN274" s="5">
        <f>VLOOKUP($A274,'SegEnds_NonXtal_Prot#'!$A:$AL,35,FALSE)</f>
        <v>306</v>
      </c>
      <c r="AO274" s="5">
        <f>VLOOKUP($A274,'SegEnds_NonXtal_Prot#'!$A:$AL,38,FALSE)</f>
        <v>327</v>
      </c>
      <c r="AP274" s="5">
        <f t="shared" si="113"/>
        <v>33</v>
      </c>
      <c r="AQ274" s="4">
        <f t="shared" si="114"/>
        <v>3</v>
      </c>
      <c r="AR274" s="4">
        <f t="shared" si="115"/>
        <v>29</v>
      </c>
      <c r="AS274" s="4">
        <f t="shared" si="116"/>
        <v>3</v>
      </c>
      <c r="AT274" s="4">
        <f t="shared" si="117"/>
        <v>35</v>
      </c>
      <c r="AU274" s="4" t="str">
        <f t="shared" si="118"/>
        <v>-</v>
      </c>
      <c r="AV274" s="4">
        <f t="shared" si="119"/>
        <v>26</v>
      </c>
      <c r="AW274" s="4">
        <f t="shared" si="120"/>
        <v>2</v>
      </c>
      <c r="AX274" s="4">
        <f t="shared" si="121"/>
        <v>35</v>
      </c>
      <c r="AY274" s="4">
        <f t="shared" si="122"/>
        <v>34</v>
      </c>
      <c r="AZ274" s="4">
        <f t="shared" si="123"/>
        <v>32</v>
      </c>
      <c r="BA274" s="4">
        <f t="shared" si="124"/>
        <v>20</v>
      </c>
    </row>
    <row r="275" spans="1:53" x14ac:dyDescent="0.2">
      <c r="A275" s="1" t="str">
        <f>'SegEnds_NonXtal_Prot#'!A266</f>
        <v>ccr10_human</v>
      </c>
      <c r="B275" s="1" t="str">
        <f t="shared" si="100"/>
        <v>VQAFSRAFQPSVSLTVAALGLAGNGLVLATHLAARSPTSAHLLQLALADLLLALTLPFAAAGALQGSATCRTISGLYSASFHAGFLFLACISADRYVAIARTPGRAHLVSVIVWLLSLLLALPALLFSTVKGASAVAQVALGFALPLGVMVACYALLGRTLLAARRRALRVVVALVAAFVVLQLPYSLALLLDTADLLAASCPASKRKDVALLVTSGLALARCGLNPVLYAFLGLRFRQDLRRLLRGGSCPSGP</v>
      </c>
      <c r="C275" s="29" t="str">
        <f>IF(ISERROR(MATCH(A275,'SegEnds_Xtal_Prot#'!B:B, 0)), "NoXtal", "Xtal")</f>
        <v>NoXtal</v>
      </c>
      <c r="D275" s="4" t="str">
        <f>VLOOKUP(A275,Classification!A:D,2,FALSE)</f>
        <v>A</v>
      </c>
      <c r="E275" s="5" t="str">
        <f>VLOOKUP(A275,Seqs!A:B,2,FALSE)</f>
        <v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v>
      </c>
      <c r="F275" s="5" t="str">
        <f t="shared" si="101"/>
        <v>VQAFSRAFQPSVSLTVAALGLAGNGLVLATHLAA</v>
      </c>
      <c r="G275" s="4" t="str">
        <f t="shared" si="102"/>
        <v>RRAA</v>
      </c>
      <c r="H275" s="4" t="str">
        <f t="shared" si="103"/>
        <v>RSPTSAHLLQLALADLLLALTLPFAAAGALQ</v>
      </c>
      <c r="I275" s="4" t="str">
        <f t="shared" si="104"/>
        <v>GWSL</v>
      </c>
      <c r="J275" s="4" t="str">
        <f t="shared" si="105"/>
        <v>GSATCRTISGLYSASFHAGFLFLACISADRYVAIAR</v>
      </c>
      <c r="K275" s="4" t="str">
        <f t="shared" si="106"/>
        <v/>
      </c>
      <c r="L275" s="4" t="str">
        <f t="shared" si="107"/>
        <v>TPGRAHLVSVIVWLLSLLLALPALLFS</v>
      </c>
      <c r="M275" s="4" t="str">
        <f t="shared" si="108"/>
        <v>CRL</v>
      </c>
      <c r="N275" s="4" t="str">
        <f t="shared" si="109"/>
        <v>TVKGASAVAQVALGFALPLGVMVACYALLGRTLLAA</v>
      </c>
      <c r="O275" s="4" t="str">
        <f t="shared" si="110"/>
        <v>RRRALRVVVALVAAFVVLQLPYSLALLLDTADLLAA</v>
      </c>
      <c r="P275" s="4" t="str">
        <f t="shared" si="111"/>
        <v>SCPASKRKDVALLVTSGLALARCGLNPVLYAFL</v>
      </c>
      <c r="Q275" s="4" t="str">
        <f t="shared" si="112"/>
        <v>GLRFRQDLRRLLRGGSCPSGP</v>
      </c>
      <c r="R275" s="5">
        <f>VLOOKUP($A275,'SegEnds_NonXtal_Prot#'!$A:$AL,3,FALSE)</f>
        <v>36</v>
      </c>
      <c r="S275" s="5">
        <f>VLOOKUP($A275,'SegEnds_NonXtal_Prot#'!$A:$AL,6,FALSE)</f>
        <v>70</v>
      </c>
      <c r="T275" s="5">
        <f>VLOOKUP($A275,'SegEnds_NonXtal_Prot#'!$A:$AL,9,FALSE)</f>
        <v>74</v>
      </c>
      <c r="U275" s="5">
        <f>VLOOKUP($A275,'SegEnds_NonXtal_Prot#'!$A:$AL,12,FALSE)</f>
        <v>105</v>
      </c>
      <c r="V275" s="5">
        <f>VLOOKUP($A275,'SegEnds_NonXtal_Prot#'!$A:$AL,15,FALSE)</f>
        <v>109</v>
      </c>
      <c r="W275" s="5" t="str">
        <f>VLOOKUP($A275,'SegEnds_NonXtal_Prot#'!$A:$AL,18,FALSE)</f>
        <v>-</v>
      </c>
      <c r="X275" s="5">
        <f>VLOOKUP($A275,'SegEnds_NonXtal_Prot#'!$A:$AL,21,FALSE)</f>
        <v>154</v>
      </c>
      <c r="Y275" s="5">
        <f>VLOOKUP($A275,'SegEnds_NonXtal_Prot#'!$A:$AL,24,FALSE)</f>
        <v>191</v>
      </c>
      <c r="Z275" s="5">
        <f>VLOOKUP($A275,'SegEnds_NonXtal_Prot#'!$A:$AL,27,FALSE)</f>
        <v>202</v>
      </c>
      <c r="AA275" s="5">
        <f>VLOOKUP($A275,'SegEnds_NonXtal_Prot#'!$A:$AL,30,FALSE)</f>
        <v>242</v>
      </c>
      <c r="AB275" s="5">
        <f>VLOOKUP($A275,'SegEnds_NonXtal_Prot#'!$A:$AL,33,FALSE)</f>
        <v>281</v>
      </c>
      <c r="AC275" s="5">
        <f>VLOOKUP($A275,'SegEnds_NonXtal_Prot#'!$A:$AL,36,FALSE)</f>
        <v>314</v>
      </c>
      <c r="AD275" s="5">
        <f>VLOOKUP($A275,'SegEnds_NonXtal_Prot#'!$A:$AL,5,FALSE)</f>
        <v>69</v>
      </c>
      <c r="AE275" s="5">
        <f>VLOOKUP($A275,'SegEnds_NonXtal_Prot#'!$A:$AL,8,FALSE)</f>
        <v>73</v>
      </c>
      <c r="AF275" s="5">
        <f>VLOOKUP($A275,'SegEnds_NonXtal_Prot#'!$A:$AL,11,FALSE)</f>
        <v>104</v>
      </c>
      <c r="AG275" s="5">
        <f>VLOOKUP($A275,'SegEnds_NonXtal_Prot#'!$A:$AL,14,FALSE)</f>
        <v>108</v>
      </c>
      <c r="AH275" s="5">
        <f>VLOOKUP($A275,'SegEnds_NonXtal_Prot#'!$A:$AL,17,FALSE)</f>
        <v>144</v>
      </c>
      <c r="AI275" s="5" t="str">
        <f>VLOOKUP($A275,'SegEnds_NonXtal_Prot#'!$A:$AL,20,FALSE)</f>
        <v>-</v>
      </c>
      <c r="AJ275" s="5">
        <f>VLOOKUP($A275,'SegEnds_NonXtal_Prot#'!$A:$AL,23,FALSE)</f>
        <v>180</v>
      </c>
      <c r="AK275" s="5">
        <f>VLOOKUP($A275,'SegEnds_NonXtal_Prot#'!$A:$AL,26,FALSE)</f>
        <v>193</v>
      </c>
      <c r="AL275" s="5">
        <f>VLOOKUP($A275,'SegEnds_NonXtal_Prot#'!$A:$AL,29,FALSE)</f>
        <v>237</v>
      </c>
      <c r="AM275" s="5">
        <f>VLOOKUP($A275,'SegEnds_NonXtal_Prot#'!$A:$AL,32,FALSE)</f>
        <v>277</v>
      </c>
      <c r="AN275" s="5">
        <f>VLOOKUP($A275,'SegEnds_NonXtal_Prot#'!$A:$AL,35,FALSE)</f>
        <v>313</v>
      </c>
      <c r="AO275" s="5">
        <f>VLOOKUP($A275,'SegEnds_NonXtal_Prot#'!$A:$AL,38,FALSE)</f>
        <v>334</v>
      </c>
      <c r="AP275" s="5">
        <f t="shared" si="113"/>
        <v>33</v>
      </c>
      <c r="AQ275" s="4">
        <f t="shared" si="114"/>
        <v>3</v>
      </c>
      <c r="AR275" s="4">
        <f t="shared" si="115"/>
        <v>30</v>
      </c>
      <c r="AS275" s="4">
        <f t="shared" si="116"/>
        <v>3</v>
      </c>
      <c r="AT275" s="4">
        <f t="shared" si="117"/>
        <v>35</v>
      </c>
      <c r="AU275" s="4" t="str">
        <f t="shared" si="118"/>
        <v>-</v>
      </c>
      <c r="AV275" s="4">
        <f t="shared" si="119"/>
        <v>26</v>
      </c>
      <c r="AW275" s="4">
        <f t="shared" si="120"/>
        <v>2</v>
      </c>
      <c r="AX275" s="4">
        <f t="shared" si="121"/>
        <v>35</v>
      </c>
      <c r="AY275" s="4">
        <f t="shared" si="122"/>
        <v>35</v>
      </c>
      <c r="AZ275" s="4">
        <f t="shared" si="123"/>
        <v>32</v>
      </c>
      <c r="BA275" s="4">
        <f t="shared" si="124"/>
        <v>20</v>
      </c>
    </row>
    <row r="276" spans="1:53" x14ac:dyDescent="0.2">
      <c r="A276" s="1" t="str">
        <f>'SegEnds_NonXtal_Prot#'!A267</f>
        <v>gp132_human</v>
      </c>
      <c r="B276" s="1" t="str">
        <f t="shared" si="100"/>
        <v>ESRIVLVVVYSAVCTLGVPANCLTAWLALLQNVLAVYLLCLALCELLYTGTLPLWVIYIRNGLLACKVTAYIFFCNIYVSILFLCCISCDRFVAVVYRRRTAILISACIFILVGIVHYPVFQTEDSRIAGYYYARFTVGFAIPLSIIAFTNHRIFRSIKQSAAQKAKVKHSAIAVVVIFLVCFAPYHLVLLVKAAAFSYMCGLEERLYTASVVFLCLSTVNGVADPIIYVLATDHSRQEVSRIHK</v>
      </c>
      <c r="C276" s="29" t="str">
        <f>IF(ISERROR(MATCH(A276,'SegEnds_Xtal_Prot#'!B:B, 0)), "NoXtal", "Xtal")</f>
        <v>NoXtal</v>
      </c>
      <c r="D276" s="4" t="str">
        <f>VLOOKUP(A276,Classification!A:D,2,FALSE)</f>
        <v>A</v>
      </c>
      <c r="E276" s="5" t="str">
        <f>VLOOKUP(A276,Seqs!A:B,2,FALSE)</f>
        <v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v>
      </c>
      <c r="F276" s="5" t="str">
        <f t="shared" si="101"/>
        <v>ESRIVLVVVYSAVCTLGVPANCLTAWLALLQ</v>
      </c>
      <c r="G276" s="4" t="str">
        <f t="shared" si="102"/>
        <v/>
      </c>
      <c r="H276" s="4" t="str">
        <f t="shared" si="103"/>
        <v>NVLAVYLLCLALCELLYTGTLPLWVIYIRN</v>
      </c>
      <c r="I276" s="4" t="str">
        <f t="shared" si="104"/>
        <v>RWTL</v>
      </c>
      <c r="J276" s="4" t="str">
        <f t="shared" si="105"/>
        <v>GLLACKVTAYIFFCNIYVSILFLCCISCDRFVAVVY</v>
      </c>
      <c r="K276" s="4" t="str">
        <f t="shared" si="106"/>
        <v/>
      </c>
      <c r="L276" s="4" t="str">
        <f t="shared" si="107"/>
        <v>RRRTAILISACIFILVGIVHYPVFQTE</v>
      </c>
      <c r="M276" s="4" t="str">
        <f t="shared" si="108"/>
        <v>CFD</v>
      </c>
      <c r="N276" s="4" t="str">
        <f t="shared" si="109"/>
        <v>DSRIAGYYYARFTVGFAIPLSIIAFTNHRIFRSIKQ</v>
      </c>
      <c r="O276" s="4" t="str">
        <f t="shared" si="110"/>
        <v>SAAQKAKVKHSAIAVVVIFLVCFAPYHLVLLVKAAAFSY</v>
      </c>
      <c r="P276" s="4" t="str">
        <f t="shared" si="111"/>
        <v>MCGLEERLYTASVVFLCLSTVNGVADPIIYVLA</v>
      </c>
      <c r="Q276" s="4" t="str">
        <f t="shared" si="112"/>
        <v>TDHSRQEVSRIHK</v>
      </c>
      <c r="R276" s="5">
        <f>VLOOKUP($A276,'SegEnds_NonXtal_Prot#'!$A:$AL,3,FALSE)</f>
        <v>40</v>
      </c>
      <c r="S276" s="5" t="str">
        <f>VLOOKUP($A276,'SegEnds_NonXtal_Prot#'!$A:$AL,6,FALSE)</f>
        <v>-</v>
      </c>
      <c r="T276" s="5">
        <f>VLOOKUP($A276,'SegEnds_NonXtal_Prot#'!$A:$AL,9,FALSE)</f>
        <v>75</v>
      </c>
      <c r="U276" s="5">
        <f>VLOOKUP($A276,'SegEnds_NonXtal_Prot#'!$A:$AL,12,FALSE)</f>
        <v>107</v>
      </c>
      <c r="V276" s="5">
        <f>VLOOKUP($A276,'SegEnds_NonXtal_Prot#'!$A:$AL,15,FALSE)</f>
        <v>111</v>
      </c>
      <c r="W276" s="5" t="str">
        <f>VLOOKUP($A276,'SegEnds_NonXtal_Prot#'!$A:$AL,18,FALSE)</f>
        <v>-</v>
      </c>
      <c r="X276" s="5">
        <f>VLOOKUP($A276,'SegEnds_NonXtal_Prot#'!$A:$AL,21,FALSE)</f>
        <v>155</v>
      </c>
      <c r="Y276" s="5">
        <f>VLOOKUP($A276,'SegEnds_NonXtal_Prot#'!$A:$AL,24,FALSE)</f>
        <v>186</v>
      </c>
      <c r="Z276" s="5">
        <f>VLOOKUP($A276,'SegEnds_NonXtal_Prot#'!$A:$AL,27,FALSE)</f>
        <v>193</v>
      </c>
      <c r="AA276" s="5">
        <f>VLOOKUP($A276,'SegEnds_NonXtal_Prot#'!$A:$AL,30,FALSE)</f>
        <v>233</v>
      </c>
      <c r="AB276" s="5">
        <f>VLOOKUP($A276,'SegEnds_NonXtal_Prot#'!$A:$AL,33,FALSE)</f>
        <v>279</v>
      </c>
      <c r="AC276" s="5">
        <f>VLOOKUP($A276,'SegEnds_NonXtal_Prot#'!$A:$AL,36,FALSE)</f>
        <v>312</v>
      </c>
      <c r="AD276" s="5">
        <f>VLOOKUP($A276,'SegEnds_NonXtal_Prot#'!$A:$AL,5,FALSE)</f>
        <v>70</v>
      </c>
      <c r="AE276" s="5" t="str">
        <f>VLOOKUP($A276,'SegEnds_NonXtal_Prot#'!$A:$AL,8,FALSE)</f>
        <v>-</v>
      </c>
      <c r="AF276" s="5">
        <f>VLOOKUP($A276,'SegEnds_NonXtal_Prot#'!$A:$AL,11,FALSE)</f>
        <v>104</v>
      </c>
      <c r="AG276" s="5">
        <f>VLOOKUP($A276,'SegEnds_NonXtal_Prot#'!$A:$AL,14,FALSE)</f>
        <v>110</v>
      </c>
      <c r="AH276" s="5">
        <f>VLOOKUP($A276,'SegEnds_NonXtal_Prot#'!$A:$AL,17,FALSE)</f>
        <v>146</v>
      </c>
      <c r="AI276" s="5" t="str">
        <f>VLOOKUP($A276,'SegEnds_NonXtal_Prot#'!$A:$AL,20,FALSE)</f>
        <v>-</v>
      </c>
      <c r="AJ276" s="5">
        <f>VLOOKUP($A276,'SegEnds_NonXtal_Prot#'!$A:$AL,23,FALSE)</f>
        <v>181</v>
      </c>
      <c r="AK276" s="5">
        <f>VLOOKUP($A276,'SegEnds_NonXtal_Prot#'!$A:$AL,26,FALSE)</f>
        <v>188</v>
      </c>
      <c r="AL276" s="5">
        <f>VLOOKUP($A276,'SegEnds_NonXtal_Prot#'!$A:$AL,29,FALSE)</f>
        <v>228</v>
      </c>
      <c r="AM276" s="5">
        <f>VLOOKUP($A276,'SegEnds_NonXtal_Prot#'!$A:$AL,32,FALSE)</f>
        <v>271</v>
      </c>
      <c r="AN276" s="5">
        <f>VLOOKUP($A276,'SegEnds_NonXtal_Prot#'!$A:$AL,35,FALSE)</f>
        <v>311</v>
      </c>
      <c r="AO276" s="5">
        <f>VLOOKUP($A276,'SegEnds_NonXtal_Prot#'!$A:$AL,38,FALSE)</f>
        <v>324</v>
      </c>
      <c r="AP276" s="5">
        <f t="shared" si="113"/>
        <v>30</v>
      </c>
      <c r="AQ276" s="4" t="str">
        <f t="shared" si="114"/>
        <v>-</v>
      </c>
      <c r="AR276" s="4">
        <f t="shared" si="115"/>
        <v>29</v>
      </c>
      <c r="AS276" s="4">
        <f t="shared" si="116"/>
        <v>3</v>
      </c>
      <c r="AT276" s="4">
        <f t="shared" si="117"/>
        <v>35</v>
      </c>
      <c r="AU276" s="4" t="str">
        <f t="shared" si="118"/>
        <v>-</v>
      </c>
      <c r="AV276" s="4">
        <f t="shared" si="119"/>
        <v>26</v>
      </c>
      <c r="AW276" s="4">
        <f t="shared" si="120"/>
        <v>2</v>
      </c>
      <c r="AX276" s="4">
        <f t="shared" si="121"/>
        <v>35</v>
      </c>
      <c r="AY276" s="4">
        <f t="shared" si="122"/>
        <v>38</v>
      </c>
      <c r="AZ276" s="4">
        <f t="shared" si="123"/>
        <v>32</v>
      </c>
      <c r="BA276" s="4">
        <f t="shared" si="124"/>
        <v>12</v>
      </c>
    </row>
    <row r="277" spans="1:53" x14ac:dyDescent="0.2">
      <c r="A277" s="1" t="str">
        <f>'SegEnds_NonXtal_Prot#'!A268</f>
        <v>gp135_human</v>
      </c>
      <c r="B277" s="1" t="str">
        <f t="shared" si="100"/>
        <v>VAAQALVLLLIFLLSSLGNCAVMGVIVKHTVTNAFILSLSLSDLLTALLCLPAAFLDLFTAGPWRGFCAASRFFSSCFGIVSTLSVALISLDRYCAIVRGRRRALQLLAGAWLTALGFSLPWELLGAQLGAAFSVGLVVACYLLPFLLMCFCHYHICKTVRLSDVRVRARVLRFFSEVRTATTVLIMIVFVICCWGPYCFLVLLAAARMQAPSLLSVVAVWLTWANGAINPVIYAIRNPNISMLLGRNR</v>
      </c>
      <c r="C277" s="29" t="str">
        <f>IF(ISERROR(MATCH(A277,'SegEnds_Xtal_Prot#'!B:B, 0)), "NoXtal", "Xtal")</f>
        <v>NoXtal</v>
      </c>
      <c r="D277" s="4" t="str">
        <f>VLOOKUP(A277,Classification!A:D,2,FALSE)</f>
        <v>A</v>
      </c>
      <c r="E277" s="5" t="str">
        <f>VLOOKUP(A277,Seqs!A:B,2,FALSE)</f>
        <v>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</v>
      </c>
      <c r="F277" s="5" t="str">
        <f t="shared" si="101"/>
        <v>VAAQALVLLLIFLLSSLGNCAVMGVIVKH</v>
      </c>
      <c r="G277" s="4" t="str">
        <f t="shared" si="102"/>
        <v>RQLR</v>
      </c>
      <c r="H277" s="4" t="str">
        <f t="shared" si="103"/>
        <v>TVTNAFILSLSLSDLLTALLCLPAAFLDLFT</v>
      </c>
      <c r="I277" s="4" t="str">
        <f t="shared" si="104"/>
        <v/>
      </c>
      <c r="J277" s="4" t="str">
        <f t="shared" si="105"/>
        <v>AGPWRGFCAASRFFSSCFGIVSTLSVALISLDRYCAIVR</v>
      </c>
      <c r="K277" s="4" t="str">
        <f t="shared" si="106"/>
        <v/>
      </c>
      <c r="L277" s="4" t="str">
        <f t="shared" si="107"/>
        <v>GRRRALQLLAGAWLTALGFSLPWELLG</v>
      </c>
      <c r="M277" s="4" t="str">
        <f t="shared" si="108"/>
        <v>CLY</v>
      </c>
      <c r="N277" s="4" t="str">
        <f t="shared" si="109"/>
        <v>AQLGAAFSVGLVVACYLLPFLLMCFCHYHICKTVRLSDVRVR</v>
      </c>
      <c r="O277" s="4" t="str">
        <f t="shared" si="110"/>
        <v>ARVLRFFSEVRTATTVLIMIVFVICCWGPYCFLVLLAAAR</v>
      </c>
      <c r="P277" s="4" t="str">
        <f t="shared" si="111"/>
        <v>MQAPSLLSVVAVWLTWANGAINPVIYAIR</v>
      </c>
      <c r="Q277" s="4" t="str">
        <f t="shared" si="112"/>
        <v>NPNISMLLGRNR</v>
      </c>
      <c r="R277" s="5">
        <f>VLOOKUP($A277,'SegEnds_NonXtal_Prot#'!$A:$AL,3,FALSE)</f>
        <v>103</v>
      </c>
      <c r="S277" s="5">
        <f>VLOOKUP($A277,'SegEnds_NonXtal_Prot#'!$A:$AL,6,FALSE)</f>
        <v>132</v>
      </c>
      <c r="T277" s="5">
        <f>VLOOKUP($A277,'SegEnds_NonXtal_Prot#'!$A:$AL,9,FALSE)</f>
        <v>136</v>
      </c>
      <c r="U277" s="5" t="str">
        <f>VLOOKUP($A277,'SegEnds_NonXtal_Prot#'!$A:$AL,12,FALSE)</f>
        <v>-</v>
      </c>
      <c r="V277" s="5">
        <f>VLOOKUP($A277,'SegEnds_NonXtal_Prot#'!$A:$AL,15,FALSE)</f>
        <v>177</v>
      </c>
      <c r="W277" s="5" t="str">
        <f>VLOOKUP($A277,'SegEnds_NonXtal_Prot#'!$A:$AL,18,FALSE)</f>
        <v>-</v>
      </c>
      <c r="X277" s="5">
        <f>VLOOKUP($A277,'SegEnds_NonXtal_Prot#'!$A:$AL,21,FALSE)</f>
        <v>222</v>
      </c>
      <c r="Y277" s="5">
        <f>VLOOKUP($A277,'SegEnds_NonXtal_Prot#'!$A:$AL,24,FALSE)</f>
        <v>262</v>
      </c>
      <c r="Z277" s="5">
        <f>VLOOKUP($A277,'SegEnds_NonXtal_Prot#'!$A:$AL,27,FALSE)</f>
        <v>271</v>
      </c>
      <c r="AA277" s="5">
        <f>VLOOKUP($A277,'SegEnds_NonXtal_Prot#'!$A:$AL,30,FALSE)</f>
        <v>318</v>
      </c>
      <c r="AB277" s="5">
        <f>VLOOKUP($A277,'SegEnds_NonXtal_Prot#'!$A:$AL,33,FALSE)</f>
        <v>362</v>
      </c>
      <c r="AC277" s="5">
        <f>VLOOKUP($A277,'SegEnds_NonXtal_Prot#'!$A:$AL,36,FALSE)</f>
        <v>391</v>
      </c>
      <c r="AD277" s="5">
        <f>VLOOKUP($A277,'SegEnds_NonXtal_Prot#'!$A:$AL,5,FALSE)</f>
        <v>131</v>
      </c>
      <c r="AE277" s="5">
        <f>VLOOKUP($A277,'SegEnds_NonXtal_Prot#'!$A:$AL,8,FALSE)</f>
        <v>135</v>
      </c>
      <c r="AF277" s="5">
        <f>VLOOKUP($A277,'SegEnds_NonXtal_Prot#'!$A:$AL,11,FALSE)</f>
        <v>166</v>
      </c>
      <c r="AG277" s="5" t="str">
        <f>VLOOKUP($A277,'SegEnds_NonXtal_Prot#'!$A:$AL,14,FALSE)</f>
        <v>-</v>
      </c>
      <c r="AH277" s="5">
        <f>VLOOKUP($A277,'SegEnds_NonXtal_Prot#'!$A:$AL,17,FALSE)</f>
        <v>215</v>
      </c>
      <c r="AI277" s="5" t="str">
        <f>VLOOKUP($A277,'SegEnds_NonXtal_Prot#'!$A:$AL,20,FALSE)</f>
        <v>-</v>
      </c>
      <c r="AJ277" s="5">
        <f>VLOOKUP($A277,'SegEnds_NonXtal_Prot#'!$A:$AL,23,FALSE)</f>
        <v>248</v>
      </c>
      <c r="AK277" s="5">
        <f>VLOOKUP($A277,'SegEnds_NonXtal_Prot#'!$A:$AL,26,FALSE)</f>
        <v>264</v>
      </c>
      <c r="AL277" s="5">
        <f>VLOOKUP($A277,'SegEnds_NonXtal_Prot#'!$A:$AL,29,FALSE)</f>
        <v>312</v>
      </c>
      <c r="AM277" s="5">
        <f>VLOOKUP($A277,'SegEnds_NonXtal_Prot#'!$A:$AL,32,FALSE)</f>
        <v>357</v>
      </c>
      <c r="AN277" s="5">
        <f>VLOOKUP($A277,'SegEnds_NonXtal_Prot#'!$A:$AL,35,FALSE)</f>
        <v>390</v>
      </c>
      <c r="AO277" s="5">
        <f>VLOOKUP($A277,'SegEnds_NonXtal_Prot#'!$A:$AL,38,FALSE)</f>
        <v>402</v>
      </c>
      <c r="AP277" s="5">
        <f t="shared" si="113"/>
        <v>28</v>
      </c>
      <c r="AQ277" s="4">
        <f t="shared" si="114"/>
        <v>3</v>
      </c>
      <c r="AR277" s="4">
        <f t="shared" si="115"/>
        <v>30</v>
      </c>
      <c r="AS277" s="4" t="str">
        <f t="shared" si="116"/>
        <v>-</v>
      </c>
      <c r="AT277" s="4">
        <f t="shared" si="117"/>
        <v>38</v>
      </c>
      <c r="AU277" s="4" t="str">
        <f t="shared" si="118"/>
        <v>-</v>
      </c>
      <c r="AV277" s="4">
        <f t="shared" si="119"/>
        <v>26</v>
      </c>
      <c r="AW277" s="4">
        <f t="shared" si="120"/>
        <v>2</v>
      </c>
      <c r="AX277" s="4">
        <f t="shared" si="121"/>
        <v>41</v>
      </c>
      <c r="AY277" s="4">
        <f t="shared" si="122"/>
        <v>39</v>
      </c>
      <c r="AZ277" s="4">
        <f t="shared" si="123"/>
        <v>28</v>
      </c>
      <c r="BA277" s="4">
        <f t="shared" si="124"/>
        <v>11</v>
      </c>
    </row>
    <row r="278" spans="1:53" x14ac:dyDescent="0.2">
      <c r="A278" s="1" t="str">
        <f>'SegEnds_NonXtal_Prot#'!A269</f>
        <v>gp146_human</v>
      </c>
      <c r="B278" s="1" t="str">
        <f t="shared" si="100"/>
        <v>GLSLLSLLGLVVGVPVGLCYNALLVLANLHSYFVNMAVAGLVLSALAPVHLLGPPSSRGGEVHVALQIPFNVSSLVAMYSTALLSLDHYIERALSVYNTRHVCGFVWGGALLTSFSSLLFYNAEAADATLVFIGYVVPALATLYALVLLSRVRREDRDTGRLEPSAHRLLVATVCTQFGLWTPHYLILLGHTVIISRDAHYLGLLHFVKDFSKLLAFSSSFVTPLLYRYMNQSFPSKLQRLMKKL</v>
      </c>
      <c r="C278" s="29" t="str">
        <f>IF(ISERROR(MATCH(A278,'SegEnds_Xtal_Prot#'!B:B, 0)), "NoXtal", "Xtal")</f>
        <v>NoXtal</v>
      </c>
      <c r="D278" s="4" t="str">
        <f>VLOOKUP(A278,Classification!A:D,2,FALSE)</f>
        <v>A</v>
      </c>
      <c r="E278" s="5" t="str">
        <f>VLOOKUP(A278,Seqs!A:B,2,FALSE)</f>
        <v>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</v>
      </c>
      <c r="F278" s="5" t="str">
        <f t="shared" si="101"/>
        <v>GLSLLSLLGLVVGVPVGLCYNALLVLANLHS</v>
      </c>
      <c r="G278" s="4" t="str">
        <f t="shared" si="102"/>
        <v/>
      </c>
      <c r="H278" s="4" t="str">
        <f t="shared" si="103"/>
        <v>YFVNMAVAGLVLSALAPVHLLGPPSSR</v>
      </c>
      <c r="I278" s="4" t="str">
        <f t="shared" si="104"/>
        <v>LWSV</v>
      </c>
      <c r="J278" s="4" t="str">
        <f t="shared" si="105"/>
        <v>GGEVHVALQIPFNVSSLVAMYSTALLSLDHYIERAL</v>
      </c>
      <c r="K278" s="4" t="str">
        <f t="shared" si="106"/>
        <v/>
      </c>
      <c r="L278" s="4" t="str">
        <f t="shared" si="107"/>
        <v>SVYNTRHVCGFVWGGALLTSFSSLLFY</v>
      </c>
      <c r="M278" s="4" t="str">
        <f t="shared" si="108"/>
        <v/>
      </c>
      <c r="N278" s="4" t="str">
        <f t="shared" si="109"/>
        <v>NAEAADATLVFIGYVVPALATLYALVLLSRVRRED</v>
      </c>
      <c r="O278" s="4" t="str">
        <f t="shared" si="110"/>
        <v>RDTGRLEPSAHRLLVATVCTQFGLWTPHYLILLGHTVIISR</v>
      </c>
      <c r="P278" s="4" t="str">
        <f t="shared" si="111"/>
        <v>DAHYLGLLHFVKDFSKLLAFSSSFVTPLLYRYM</v>
      </c>
      <c r="Q278" s="4" t="str">
        <f t="shared" si="112"/>
        <v>NQSFPSKLQRLMKKL</v>
      </c>
      <c r="R278" s="5">
        <f>VLOOKUP($A278,'SegEnds_NonXtal_Prot#'!$A:$AL,3,FALSE)</f>
        <v>25</v>
      </c>
      <c r="S278" s="5" t="str">
        <f>VLOOKUP($A278,'SegEnds_NonXtal_Prot#'!$A:$AL,6,FALSE)</f>
        <v>-</v>
      </c>
      <c r="T278" s="5">
        <f>VLOOKUP($A278,'SegEnds_NonXtal_Prot#'!$A:$AL,9,FALSE)</f>
        <v>65</v>
      </c>
      <c r="U278" s="5">
        <f>VLOOKUP($A278,'SegEnds_NonXtal_Prot#'!$A:$AL,12,FALSE)</f>
        <v>94</v>
      </c>
      <c r="V278" s="5">
        <f>VLOOKUP($A278,'SegEnds_NonXtal_Prot#'!$A:$AL,15,FALSE)</f>
        <v>98</v>
      </c>
      <c r="W278" s="5" t="str">
        <f>VLOOKUP($A278,'SegEnds_NonXtal_Prot#'!$A:$AL,18,FALSE)</f>
        <v>-</v>
      </c>
      <c r="X278" s="5">
        <f>VLOOKUP($A278,'SegEnds_NonXtal_Prot#'!$A:$AL,21,FALSE)</f>
        <v>140</v>
      </c>
      <c r="Y278" s="5" t="str">
        <f>VLOOKUP($A278,'SegEnds_NonXtal_Prot#'!$A:$AL,24,FALSE)</f>
        <v>-</v>
      </c>
      <c r="Z278" s="5">
        <f>VLOOKUP($A278,'SegEnds_NonXtal_Prot#'!$A:$AL,27,FALSE)</f>
        <v>183</v>
      </c>
      <c r="AA278" s="5">
        <f>VLOOKUP($A278,'SegEnds_NonXtal_Prot#'!$A:$AL,30,FALSE)</f>
        <v>222</v>
      </c>
      <c r="AB278" s="5">
        <f>VLOOKUP($A278,'SegEnds_NonXtal_Prot#'!$A:$AL,33,FALSE)</f>
        <v>267</v>
      </c>
      <c r="AC278" s="5">
        <f>VLOOKUP($A278,'SegEnds_NonXtal_Prot#'!$A:$AL,36,FALSE)</f>
        <v>300</v>
      </c>
      <c r="AD278" s="5">
        <f>VLOOKUP($A278,'SegEnds_NonXtal_Prot#'!$A:$AL,5,FALSE)</f>
        <v>55</v>
      </c>
      <c r="AE278" s="5" t="str">
        <f>VLOOKUP($A278,'SegEnds_NonXtal_Prot#'!$A:$AL,8,FALSE)</f>
        <v>-</v>
      </c>
      <c r="AF278" s="5">
        <f>VLOOKUP($A278,'SegEnds_NonXtal_Prot#'!$A:$AL,11,FALSE)</f>
        <v>91</v>
      </c>
      <c r="AG278" s="5">
        <f>VLOOKUP($A278,'SegEnds_NonXtal_Prot#'!$A:$AL,14,FALSE)</f>
        <v>97</v>
      </c>
      <c r="AH278" s="5">
        <f>VLOOKUP($A278,'SegEnds_NonXtal_Prot#'!$A:$AL,17,FALSE)</f>
        <v>133</v>
      </c>
      <c r="AI278" s="5" t="str">
        <f>VLOOKUP($A278,'SegEnds_NonXtal_Prot#'!$A:$AL,20,FALSE)</f>
        <v>-</v>
      </c>
      <c r="AJ278" s="5">
        <f>VLOOKUP($A278,'SegEnds_NonXtal_Prot#'!$A:$AL,23,FALSE)</f>
        <v>166</v>
      </c>
      <c r="AK278" s="5" t="str">
        <f>VLOOKUP($A278,'SegEnds_NonXtal_Prot#'!$A:$AL,26,FALSE)</f>
        <v>-</v>
      </c>
      <c r="AL278" s="5">
        <f>VLOOKUP($A278,'SegEnds_NonXtal_Prot#'!$A:$AL,29,FALSE)</f>
        <v>217</v>
      </c>
      <c r="AM278" s="5">
        <f>VLOOKUP($A278,'SegEnds_NonXtal_Prot#'!$A:$AL,32,FALSE)</f>
        <v>262</v>
      </c>
      <c r="AN278" s="5">
        <f>VLOOKUP($A278,'SegEnds_NonXtal_Prot#'!$A:$AL,35,FALSE)</f>
        <v>299</v>
      </c>
      <c r="AO278" s="5">
        <f>VLOOKUP($A278,'SegEnds_NonXtal_Prot#'!$A:$AL,38,FALSE)</f>
        <v>314</v>
      </c>
      <c r="AP278" s="5">
        <f t="shared" si="113"/>
        <v>30</v>
      </c>
      <c r="AQ278" s="4" t="str">
        <f t="shared" si="114"/>
        <v>-</v>
      </c>
      <c r="AR278" s="4">
        <f t="shared" si="115"/>
        <v>26</v>
      </c>
      <c r="AS278" s="4">
        <f t="shared" si="116"/>
        <v>3</v>
      </c>
      <c r="AT278" s="4">
        <f t="shared" si="117"/>
        <v>35</v>
      </c>
      <c r="AU278" s="4" t="str">
        <f t="shared" si="118"/>
        <v>-</v>
      </c>
      <c r="AV278" s="4">
        <f t="shared" si="119"/>
        <v>26</v>
      </c>
      <c r="AW278" s="4" t="str">
        <f t="shared" si="120"/>
        <v>-</v>
      </c>
      <c r="AX278" s="4">
        <f t="shared" si="121"/>
        <v>34</v>
      </c>
      <c r="AY278" s="4">
        <f t="shared" si="122"/>
        <v>40</v>
      </c>
      <c r="AZ278" s="4">
        <f t="shared" si="123"/>
        <v>32</v>
      </c>
      <c r="BA278" s="4">
        <f t="shared" si="124"/>
        <v>14</v>
      </c>
    </row>
    <row r="279" spans="1:53" x14ac:dyDescent="0.2">
      <c r="A279" s="1" t="str">
        <f>'SegEnds_NonXtal_Prot#'!A270</f>
        <v>gp149_human</v>
      </c>
      <c r="B279" s="1" t="str">
        <f t="shared" si="100"/>
        <v>DSSLWKENHNSTDLLNPPGTLNIYLFCLTCLMVGSIYSLISLLKMQNRTVVSMLVASWSVDDLLQWPNEVPGYFQFLCTTSALMYLCQGLSSNLKATLLVSYNFYTMHRGRSGQVLGVVLTVWAASLLLSALPLCGVYALAFGLLVGLSVPLTHRLLCSEEPPRLHSNYQEISRGASTRSFTVSVAQKRFALILALTKVVLWLPMMMHMVVQNVVLPLETFSFLLTLLATTVTPVFVLSKRWTHLPCGCIINC</v>
      </c>
      <c r="C279" s="29" t="str">
        <f>IF(ISERROR(MATCH(A279,'SegEnds_Xtal_Prot#'!B:B, 0)), "NoXtal", "Xtal")</f>
        <v>NoXtal</v>
      </c>
      <c r="D279" s="4" t="str">
        <f>VLOOKUP(A279,Classification!A:D,2,FALSE)</f>
        <v>A</v>
      </c>
      <c r="E279" s="5" t="str">
        <f>VLOOKUP(A279,Seqs!A:B,2,FALSE)</f>
        <v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v>
      </c>
      <c r="F279" s="5" t="str">
        <f t="shared" si="101"/>
        <v>DSSLWKENHNSTDLLNPPGTLNIYLFCLTCLM</v>
      </c>
      <c r="G279" s="4" t="str">
        <f t="shared" si="102"/>
        <v/>
      </c>
      <c r="H279" s="4" t="str">
        <f t="shared" si="103"/>
        <v>VGSIYSLISLLKMQNRTVVSMLVASWSVDDL</v>
      </c>
      <c r="I279" s="4" t="str">
        <f t="shared" si="104"/>
        <v>IFMF</v>
      </c>
      <c r="J279" s="4" t="str">
        <f t="shared" si="105"/>
        <v>LQWPNEVPGYFQFLCTTSALMYLCQGLSSNLKATLLVSYNFYTMHRG</v>
      </c>
      <c r="K279" s="4" t="str">
        <f t="shared" si="106"/>
        <v/>
      </c>
      <c r="L279" s="4" t="str">
        <f t="shared" si="107"/>
        <v>RSGQVLGVVLTVWAASLLLSALPLCG</v>
      </c>
      <c r="M279" s="4" t="str">
        <f t="shared" si="108"/>
        <v/>
      </c>
      <c r="N279" s="4" t="str">
        <f t="shared" si="109"/>
        <v>VYALAFGLLVGLSVPLTHRLLCSEEPPRLHSNYQEISRGAS</v>
      </c>
      <c r="O279" s="4" t="str">
        <f t="shared" si="110"/>
        <v>TRSFTVSVAQKRFALILALTKVVLWLPMMMHMVVQNVV</v>
      </c>
      <c r="P279" s="4" t="str">
        <f t="shared" si="111"/>
        <v>LPLETFSFLLTLLATTVTPVFVLSK</v>
      </c>
      <c r="Q279" s="4" t="str">
        <f t="shared" si="112"/>
        <v>RWTHLPCGCIINC</v>
      </c>
      <c r="R279" s="5">
        <f>VLOOKUP($A279,'SegEnds_NonXtal_Prot#'!$A:$AL,3,FALSE)</f>
        <v>12</v>
      </c>
      <c r="S279" s="5" t="str">
        <f>VLOOKUP($A279,'SegEnds_NonXtal_Prot#'!$A:$AL,6,FALSE)</f>
        <v>-</v>
      </c>
      <c r="T279" s="5">
        <f>VLOOKUP($A279,'SegEnds_NonXtal_Prot#'!$A:$AL,9,FALSE)</f>
        <v>49</v>
      </c>
      <c r="U279" s="5">
        <f>VLOOKUP($A279,'SegEnds_NonXtal_Prot#'!$A:$AL,12,FALSE)</f>
        <v>87</v>
      </c>
      <c r="V279" s="5">
        <f>VLOOKUP($A279,'SegEnds_NonXtal_Prot#'!$A:$AL,15,FALSE)</f>
        <v>91</v>
      </c>
      <c r="W279" s="5" t="str">
        <f>VLOOKUP($A279,'SegEnds_NonXtal_Prot#'!$A:$AL,18,FALSE)</f>
        <v>-</v>
      </c>
      <c r="X279" s="5">
        <f>VLOOKUP($A279,'SegEnds_NonXtal_Prot#'!$A:$AL,21,FALSE)</f>
        <v>146</v>
      </c>
      <c r="Y279" s="5" t="str">
        <f>VLOOKUP($A279,'SegEnds_NonXtal_Prot#'!$A:$AL,24,FALSE)</f>
        <v>-</v>
      </c>
      <c r="Z279" s="5">
        <f>VLOOKUP($A279,'SegEnds_NonXtal_Prot#'!$A:$AL,27,FALSE)</f>
        <v>197</v>
      </c>
      <c r="AA279" s="5">
        <f>VLOOKUP($A279,'SegEnds_NonXtal_Prot#'!$A:$AL,30,FALSE)</f>
        <v>299</v>
      </c>
      <c r="AB279" s="5">
        <f>VLOOKUP($A279,'SegEnds_NonXtal_Prot#'!$A:$AL,33,FALSE)</f>
        <v>341</v>
      </c>
      <c r="AC279" s="5">
        <f>VLOOKUP($A279,'SegEnds_NonXtal_Prot#'!$A:$AL,36,FALSE)</f>
        <v>366</v>
      </c>
      <c r="AD279" s="5">
        <f>VLOOKUP($A279,'SegEnds_NonXtal_Prot#'!$A:$AL,5,FALSE)</f>
        <v>43</v>
      </c>
      <c r="AE279" s="5" t="str">
        <f>VLOOKUP($A279,'SegEnds_NonXtal_Prot#'!$A:$AL,8,FALSE)</f>
        <v>-</v>
      </c>
      <c r="AF279" s="5">
        <f>VLOOKUP($A279,'SegEnds_NonXtal_Prot#'!$A:$AL,11,FALSE)</f>
        <v>79</v>
      </c>
      <c r="AG279" s="5">
        <f>VLOOKUP($A279,'SegEnds_NonXtal_Prot#'!$A:$AL,14,FALSE)</f>
        <v>90</v>
      </c>
      <c r="AH279" s="5">
        <f>VLOOKUP($A279,'SegEnds_NonXtal_Prot#'!$A:$AL,17,FALSE)</f>
        <v>137</v>
      </c>
      <c r="AI279" s="5" t="str">
        <f>VLOOKUP($A279,'SegEnds_NonXtal_Prot#'!$A:$AL,20,FALSE)</f>
        <v>-</v>
      </c>
      <c r="AJ279" s="5">
        <f>VLOOKUP($A279,'SegEnds_NonXtal_Prot#'!$A:$AL,23,FALSE)</f>
        <v>171</v>
      </c>
      <c r="AK279" s="5" t="str">
        <f>VLOOKUP($A279,'SegEnds_NonXtal_Prot#'!$A:$AL,26,FALSE)</f>
        <v>-</v>
      </c>
      <c r="AL279" s="5">
        <f>VLOOKUP($A279,'SegEnds_NonXtal_Prot#'!$A:$AL,29,FALSE)</f>
        <v>237</v>
      </c>
      <c r="AM279" s="5">
        <f>VLOOKUP($A279,'SegEnds_NonXtal_Prot#'!$A:$AL,32,FALSE)</f>
        <v>336</v>
      </c>
      <c r="AN279" s="5">
        <f>VLOOKUP($A279,'SegEnds_NonXtal_Prot#'!$A:$AL,35,FALSE)</f>
        <v>365</v>
      </c>
      <c r="AO279" s="5">
        <f>VLOOKUP($A279,'SegEnds_NonXtal_Prot#'!$A:$AL,38,FALSE)</f>
        <v>378</v>
      </c>
      <c r="AP279" s="5">
        <f t="shared" si="113"/>
        <v>31</v>
      </c>
      <c r="AQ279" s="4" t="str">
        <f t="shared" si="114"/>
        <v>-</v>
      </c>
      <c r="AR279" s="4">
        <f t="shared" si="115"/>
        <v>30</v>
      </c>
      <c r="AS279" s="4">
        <f t="shared" si="116"/>
        <v>3</v>
      </c>
      <c r="AT279" s="4">
        <f t="shared" si="117"/>
        <v>46</v>
      </c>
      <c r="AU279" s="4" t="str">
        <f t="shared" si="118"/>
        <v>-</v>
      </c>
      <c r="AV279" s="4">
        <f t="shared" si="119"/>
        <v>25</v>
      </c>
      <c r="AW279" s="4" t="str">
        <f t="shared" si="120"/>
        <v>-</v>
      </c>
      <c r="AX279" s="4">
        <f t="shared" si="121"/>
        <v>40</v>
      </c>
      <c r="AY279" s="4">
        <f t="shared" si="122"/>
        <v>37</v>
      </c>
      <c r="AZ279" s="4">
        <f t="shared" si="123"/>
        <v>24</v>
      </c>
      <c r="BA279" s="4">
        <f t="shared" si="124"/>
        <v>12</v>
      </c>
    </row>
    <row r="280" spans="1:53" x14ac:dyDescent="0.2">
      <c r="A280" s="1" t="str">
        <f>'SegEnds_NonXtal_Prot#'!A271</f>
        <v>gp150_human</v>
      </c>
      <c r="B280" s="1" t="str">
        <f t="shared" si="100"/>
        <v>SRRVRLVFLGVILVVAVAGNTTVLCRLCGGRKMDFLLVQLALADLYACGGTALSQLAWELLGAATGDLACRFLQLLQASGRGASAHLVVLIALERRRAVRLRPLPARALAALGWLLALLLALPPAFVVWHLQVYAFYEAVAGFVAPVTVLGVACGHLLSVWWRHRPQAPAPAPSALPRAKVQSLKMSLLLALLFVGCELPYFAARLAAAWSDWEGEGLSAALRVVAMANSALNPFVYLFFQAGDCRLRRQLR</v>
      </c>
      <c r="C280" s="29" t="str">
        <f>IF(ISERROR(MATCH(A280,'SegEnds_Xtal_Prot#'!B:B, 0)), "NoXtal", "Xtal")</f>
        <v>NoXtal</v>
      </c>
      <c r="D280" s="4" t="str">
        <f>VLOOKUP(A280,Classification!A:D,2,FALSE)</f>
        <v>A</v>
      </c>
      <c r="E280" s="5" t="str">
        <f>VLOOKUP(A280,Seqs!A:B,2,FALSE)</f>
        <v>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</v>
      </c>
      <c r="F280" s="5" t="str">
        <f t="shared" si="101"/>
        <v>SRRVRLVFLGVILVVAVAGNTTVLCRLCGG</v>
      </c>
      <c r="G280" s="4" t="str">
        <f t="shared" si="102"/>
        <v/>
      </c>
      <c r="H280" s="4" t="str">
        <f t="shared" si="103"/>
        <v>RKMDFLLVQLALADLYACGGTALSQLAWELLG</v>
      </c>
      <c r="I280" s="4" t="str">
        <f t="shared" si="104"/>
        <v/>
      </c>
      <c r="J280" s="4" t="str">
        <f t="shared" si="105"/>
        <v>AATGDLACRFLQLLQASGRGASAHLVVLIALERRRAVRL</v>
      </c>
      <c r="K280" s="4" t="str">
        <f t="shared" si="106"/>
        <v/>
      </c>
      <c r="L280" s="4" t="str">
        <f t="shared" si="107"/>
        <v>RPLPARALAALGWLLALLLALPPAFVV</v>
      </c>
      <c r="M280" s="4" t="str">
        <f t="shared" si="108"/>
        <v>CHG</v>
      </c>
      <c r="N280" s="4" t="str">
        <f t="shared" si="109"/>
        <v>WHLQVYAFYEAVAGFVAPVTVLGVACGHLLSVWWRHRPQAPA</v>
      </c>
      <c r="O280" s="4" t="str">
        <f t="shared" si="110"/>
        <v>PAPSALPRAKVQSLKMSLLLALLFVGCELPYFAARLAAAWS</v>
      </c>
      <c r="P280" s="4" t="str">
        <f t="shared" si="111"/>
        <v>DWEGEGLSAALRVVAMANSALNPFVYLFF</v>
      </c>
      <c r="Q280" s="4" t="str">
        <f t="shared" si="112"/>
        <v>QAGDCRLRRQLR</v>
      </c>
      <c r="R280" s="5">
        <f>VLOOKUP($A280,'SegEnds_NonXtal_Prot#'!$A:$AL,3,FALSE)</f>
        <v>41</v>
      </c>
      <c r="S280" s="5" t="str">
        <f>VLOOKUP($A280,'SegEnds_NonXtal_Prot#'!$A:$AL,6,FALSE)</f>
        <v>-</v>
      </c>
      <c r="T280" s="5">
        <f>VLOOKUP($A280,'SegEnds_NonXtal_Prot#'!$A:$AL,9,FALSE)</f>
        <v>80</v>
      </c>
      <c r="U280" s="5" t="str">
        <f>VLOOKUP($A280,'SegEnds_NonXtal_Prot#'!$A:$AL,12,FALSE)</f>
        <v>-</v>
      </c>
      <c r="V280" s="5">
        <f>VLOOKUP($A280,'SegEnds_NonXtal_Prot#'!$A:$AL,15,FALSE)</f>
        <v>115</v>
      </c>
      <c r="W280" s="5" t="str">
        <f>VLOOKUP($A280,'SegEnds_NonXtal_Prot#'!$A:$AL,18,FALSE)</f>
        <v>-</v>
      </c>
      <c r="X280" s="5">
        <f>VLOOKUP($A280,'SegEnds_NonXtal_Prot#'!$A:$AL,21,FALSE)</f>
        <v>157</v>
      </c>
      <c r="Y280" s="5">
        <f>VLOOKUP($A280,'SegEnds_NonXtal_Prot#'!$A:$AL,24,FALSE)</f>
        <v>217</v>
      </c>
      <c r="Z280" s="5">
        <f>VLOOKUP($A280,'SegEnds_NonXtal_Prot#'!$A:$AL,27,FALSE)</f>
        <v>227</v>
      </c>
      <c r="AA280" s="5">
        <f>VLOOKUP($A280,'SegEnds_NonXtal_Prot#'!$A:$AL,30,FALSE)</f>
        <v>281</v>
      </c>
      <c r="AB280" s="5">
        <f>VLOOKUP($A280,'SegEnds_NonXtal_Prot#'!$A:$AL,33,FALSE)</f>
        <v>327</v>
      </c>
      <c r="AC280" s="5">
        <f>VLOOKUP($A280,'SegEnds_NonXtal_Prot#'!$A:$AL,36,FALSE)</f>
        <v>356</v>
      </c>
      <c r="AD280" s="5">
        <f>VLOOKUP($A280,'SegEnds_NonXtal_Prot#'!$A:$AL,5,FALSE)</f>
        <v>70</v>
      </c>
      <c r="AE280" s="5" t="str">
        <f>VLOOKUP($A280,'SegEnds_NonXtal_Prot#'!$A:$AL,8,FALSE)</f>
        <v>-</v>
      </c>
      <c r="AF280" s="5">
        <f>VLOOKUP($A280,'SegEnds_NonXtal_Prot#'!$A:$AL,11,FALSE)</f>
        <v>111</v>
      </c>
      <c r="AG280" s="5" t="str">
        <f>VLOOKUP($A280,'SegEnds_NonXtal_Prot#'!$A:$AL,14,FALSE)</f>
        <v>-</v>
      </c>
      <c r="AH280" s="5">
        <f>VLOOKUP($A280,'SegEnds_NonXtal_Prot#'!$A:$AL,17,FALSE)</f>
        <v>153</v>
      </c>
      <c r="AI280" s="5" t="str">
        <f>VLOOKUP($A280,'SegEnds_NonXtal_Prot#'!$A:$AL,20,FALSE)</f>
        <v>-</v>
      </c>
      <c r="AJ280" s="5">
        <f>VLOOKUP($A280,'SegEnds_NonXtal_Prot#'!$A:$AL,23,FALSE)</f>
        <v>183</v>
      </c>
      <c r="AK280" s="5">
        <f>VLOOKUP($A280,'SegEnds_NonXtal_Prot#'!$A:$AL,26,FALSE)</f>
        <v>219</v>
      </c>
      <c r="AL280" s="5">
        <f>VLOOKUP($A280,'SegEnds_NonXtal_Prot#'!$A:$AL,29,FALSE)</f>
        <v>268</v>
      </c>
      <c r="AM280" s="5">
        <f>VLOOKUP($A280,'SegEnds_NonXtal_Prot#'!$A:$AL,32,FALSE)</f>
        <v>321</v>
      </c>
      <c r="AN280" s="5">
        <f>VLOOKUP($A280,'SegEnds_NonXtal_Prot#'!$A:$AL,35,FALSE)</f>
        <v>355</v>
      </c>
      <c r="AO280" s="5">
        <f>VLOOKUP($A280,'SegEnds_NonXtal_Prot#'!$A:$AL,38,FALSE)</f>
        <v>367</v>
      </c>
      <c r="AP280" s="5">
        <f t="shared" si="113"/>
        <v>29</v>
      </c>
      <c r="AQ280" s="4" t="str">
        <f t="shared" si="114"/>
        <v>-</v>
      </c>
      <c r="AR280" s="4">
        <f t="shared" si="115"/>
        <v>31</v>
      </c>
      <c r="AS280" s="4" t="str">
        <f t="shared" si="116"/>
        <v>-</v>
      </c>
      <c r="AT280" s="4">
        <f t="shared" si="117"/>
        <v>38</v>
      </c>
      <c r="AU280" s="4" t="str">
        <f t="shared" si="118"/>
        <v>-</v>
      </c>
      <c r="AV280" s="4">
        <f t="shared" si="119"/>
        <v>26</v>
      </c>
      <c r="AW280" s="4">
        <f t="shared" si="120"/>
        <v>2</v>
      </c>
      <c r="AX280" s="4">
        <f t="shared" si="121"/>
        <v>41</v>
      </c>
      <c r="AY280" s="4">
        <f t="shared" si="122"/>
        <v>40</v>
      </c>
      <c r="AZ280" s="4">
        <f t="shared" si="123"/>
        <v>28</v>
      </c>
      <c r="BA280" s="4">
        <f t="shared" si="124"/>
        <v>11</v>
      </c>
    </row>
    <row r="281" spans="1:53" x14ac:dyDescent="0.2">
      <c r="A281" s="1" t="str">
        <f>'SegEnds_NonXtal_Prot#'!A272</f>
        <v>gp160_human</v>
      </c>
      <c r="B281" s="1" t="str">
        <f t="shared" si="100"/>
        <v>TNQPLDVNYLLFLIILGKILLNILTLGMRRKNNFMEYFCISLAFVDLLLLVNISIILYFRDFRFTKYHICLFTQIISFTYGFLHYPVFLTACIDYCLNFSKQKLFYFFTVILIWISVLAYVLGDPAIQSYWLSFFMVMILFVAFITCWEEVTTLVQAIRITSYMNESHSSYTVRSKKIFLSKLIVCFLSTWLPFVLLQVIIVLLPAYIEMNIPWLYFVNSFLIATVYWFNCHKLNLKDIGLPLDP</v>
      </c>
      <c r="C281" s="29" t="str">
        <f>IF(ISERROR(MATCH(A281,'SegEnds_Xtal_Prot#'!B:B, 0)), "NoXtal", "Xtal")</f>
        <v>NoXtal</v>
      </c>
      <c r="D281" s="4" t="str">
        <f>VLOOKUP(A281,Classification!A:D,2,FALSE)</f>
        <v>A</v>
      </c>
      <c r="E281" s="5" t="str">
        <f>VLOOKUP(A281,Seqs!A:B,2,FALSE)</f>
        <v>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</v>
      </c>
      <c r="F281" s="5" t="str">
        <f t="shared" si="101"/>
        <v>TNQPLDVNYLLFLIILGKILLNILTLGMRRKN</v>
      </c>
      <c r="G281" s="4" t="str">
        <f t="shared" si="102"/>
        <v/>
      </c>
      <c r="H281" s="4" t="str">
        <f t="shared" si="103"/>
        <v>NFMEYFCISLAFVDLLLLVNISIILYFRDF</v>
      </c>
      <c r="I281" s="4" t="str">
        <f t="shared" si="104"/>
        <v/>
      </c>
      <c r="J281" s="4" t="str">
        <f t="shared" si="105"/>
        <v>RFTKYHICLFTQIISFTYGFLHYPVFLTACIDYCLNFSK</v>
      </c>
      <c r="K281" s="4" t="str">
        <f t="shared" si="106"/>
        <v/>
      </c>
      <c r="L281" s="4" t="str">
        <f t="shared" si="107"/>
        <v>QKLFYFFTVILIWISVLAYVLGDPAI</v>
      </c>
      <c r="M281" s="4" t="str">
        <f t="shared" si="108"/>
        <v>CPF</v>
      </c>
      <c r="N281" s="4" t="str">
        <f t="shared" si="109"/>
        <v>QSYWLSFFMVMILFVAFITCWEEVTTLVQAIRITSYMNE</v>
      </c>
      <c r="O281" s="4" t="str">
        <f t="shared" si="110"/>
        <v>SHSSYTVRSKKIFLSKLIVCFLSTWLPFVLLQVIIVLL</v>
      </c>
      <c r="P281" s="4" t="str">
        <f t="shared" si="111"/>
        <v>PAYIEMNIPWLYFVNSFLIATVYWFN</v>
      </c>
      <c r="Q281" s="4" t="str">
        <f t="shared" si="112"/>
        <v>CHKLNLKDIGLPLDP</v>
      </c>
      <c r="R281" s="5">
        <f>VLOOKUP($A281,'SegEnds_NonXtal_Prot#'!$A:$AL,3,FALSE)</f>
        <v>18</v>
      </c>
      <c r="S281" s="5" t="str">
        <f>VLOOKUP($A281,'SegEnds_NonXtal_Prot#'!$A:$AL,6,FALSE)</f>
        <v>-</v>
      </c>
      <c r="T281" s="5">
        <f>VLOOKUP($A281,'SegEnds_NonXtal_Prot#'!$A:$AL,9,FALSE)</f>
        <v>53</v>
      </c>
      <c r="U281" s="5" t="str">
        <f>VLOOKUP($A281,'SegEnds_NonXtal_Prot#'!$A:$AL,12,FALSE)</f>
        <v>-</v>
      </c>
      <c r="V281" s="5">
        <f>VLOOKUP($A281,'SegEnds_NonXtal_Prot#'!$A:$AL,15,FALSE)</f>
        <v>88</v>
      </c>
      <c r="W281" s="5" t="str">
        <f>VLOOKUP($A281,'SegEnds_NonXtal_Prot#'!$A:$AL,18,FALSE)</f>
        <v>-</v>
      </c>
      <c r="X281" s="5">
        <f>VLOOKUP($A281,'SegEnds_NonXtal_Prot#'!$A:$AL,21,FALSE)</f>
        <v>135</v>
      </c>
      <c r="Y281" s="5">
        <f>VLOOKUP($A281,'SegEnds_NonXtal_Prot#'!$A:$AL,24,FALSE)</f>
        <v>174</v>
      </c>
      <c r="Z281" s="5">
        <f>VLOOKUP($A281,'SegEnds_NonXtal_Prot#'!$A:$AL,27,FALSE)</f>
        <v>181</v>
      </c>
      <c r="AA281" s="5">
        <f>VLOOKUP($A281,'SegEnds_NonXtal_Prot#'!$A:$AL,30,FALSE)</f>
        <v>228</v>
      </c>
      <c r="AB281" s="5">
        <f>VLOOKUP($A281,'SegEnds_NonXtal_Prot#'!$A:$AL,33,FALSE)</f>
        <v>270</v>
      </c>
      <c r="AC281" s="5">
        <f>VLOOKUP($A281,'SegEnds_NonXtal_Prot#'!$A:$AL,36,FALSE)</f>
        <v>296</v>
      </c>
      <c r="AD281" s="5">
        <f>VLOOKUP($A281,'SegEnds_NonXtal_Prot#'!$A:$AL,5,FALSE)</f>
        <v>49</v>
      </c>
      <c r="AE281" s="5" t="str">
        <f>VLOOKUP($A281,'SegEnds_NonXtal_Prot#'!$A:$AL,8,FALSE)</f>
        <v>-</v>
      </c>
      <c r="AF281" s="5">
        <f>VLOOKUP($A281,'SegEnds_NonXtal_Prot#'!$A:$AL,11,FALSE)</f>
        <v>82</v>
      </c>
      <c r="AG281" s="5" t="str">
        <f>VLOOKUP($A281,'SegEnds_NonXtal_Prot#'!$A:$AL,14,FALSE)</f>
        <v>-</v>
      </c>
      <c r="AH281" s="5">
        <f>VLOOKUP($A281,'SegEnds_NonXtal_Prot#'!$A:$AL,17,FALSE)</f>
        <v>126</v>
      </c>
      <c r="AI281" s="5" t="str">
        <f>VLOOKUP($A281,'SegEnds_NonXtal_Prot#'!$A:$AL,20,FALSE)</f>
        <v>-</v>
      </c>
      <c r="AJ281" s="5">
        <f>VLOOKUP($A281,'SegEnds_NonXtal_Prot#'!$A:$AL,23,FALSE)</f>
        <v>160</v>
      </c>
      <c r="AK281" s="5">
        <f>VLOOKUP($A281,'SegEnds_NonXtal_Prot#'!$A:$AL,26,FALSE)</f>
        <v>176</v>
      </c>
      <c r="AL281" s="5">
        <f>VLOOKUP($A281,'SegEnds_NonXtal_Prot#'!$A:$AL,29,FALSE)</f>
        <v>219</v>
      </c>
      <c r="AM281" s="5">
        <f>VLOOKUP($A281,'SegEnds_NonXtal_Prot#'!$A:$AL,32,FALSE)</f>
        <v>265</v>
      </c>
      <c r="AN281" s="5">
        <f>VLOOKUP($A281,'SegEnds_NonXtal_Prot#'!$A:$AL,35,FALSE)</f>
        <v>295</v>
      </c>
      <c r="AO281" s="5">
        <f>VLOOKUP($A281,'SegEnds_NonXtal_Prot#'!$A:$AL,38,FALSE)</f>
        <v>310</v>
      </c>
      <c r="AP281" s="5">
        <f t="shared" si="113"/>
        <v>31</v>
      </c>
      <c r="AQ281" s="4" t="str">
        <f t="shared" si="114"/>
        <v>-</v>
      </c>
      <c r="AR281" s="4">
        <f t="shared" si="115"/>
        <v>29</v>
      </c>
      <c r="AS281" s="4" t="str">
        <f t="shared" si="116"/>
        <v>-</v>
      </c>
      <c r="AT281" s="4">
        <f t="shared" si="117"/>
        <v>38</v>
      </c>
      <c r="AU281" s="4" t="str">
        <f t="shared" si="118"/>
        <v>-</v>
      </c>
      <c r="AV281" s="4">
        <f t="shared" si="119"/>
        <v>25</v>
      </c>
      <c r="AW281" s="4">
        <f t="shared" si="120"/>
        <v>2</v>
      </c>
      <c r="AX281" s="4">
        <f t="shared" si="121"/>
        <v>38</v>
      </c>
      <c r="AY281" s="4">
        <f t="shared" si="122"/>
        <v>37</v>
      </c>
      <c r="AZ281" s="4">
        <f t="shared" si="123"/>
        <v>25</v>
      </c>
      <c r="BA281" s="4">
        <f t="shared" si="124"/>
        <v>14</v>
      </c>
    </row>
    <row r="282" spans="1:53" x14ac:dyDescent="0.2">
      <c r="A282" s="1" t="str">
        <f>'SegEnds_NonXtal_Prot#'!A273</f>
        <v>gp176_human</v>
      </c>
      <c r="B282" s="1" t="str">
        <f t="shared" si="100"/>
        <v>RQFTTTVQVVIFIGSLLGNFMVLWSTCRTSVTNRFIKNLACSGICASLVCVPFDIILSTSYTMLFCKVVKFLHKVFCSVTILSFPAIALDRYYSVLYSDAKSRELVMYIWAHAVVASVPVFAVTSLGHLVYVLVYNITTVIVPVVVVFLFLILIRRALSASQKKKVIISIPYASQREAELHATLLSMVMVFILCSVPYATLVVYQTVLSVFLLLTAVWLPKVSLLANPVLFLTVNKSVRKCLIGTL</v>
      </c>
      <c r="C282" s="29" t="str">
        <f>IF(ISERROR(MATCH(A282,'SegEnds_Xtal_Prot#'!B:B, 0)), "NoXtal", "Xtal")</f>
        <v>NoXtal</v>
      </c>
      <c r="D282" s="4" t="str">
        <f>VLOOKUP(A282,Classification!A:D,2,FALSE)</f>
        <v>A</v>
      </c>
      <c r="E282" s="5" t="str">
        <f>VLOOKUP(A282,Seqs!A:B,2,FALSE)</f>
        <v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v>
      </c>
      <c r="F282" s="5" t="str">
        <f t="shared" si="101"/>
        <v>RQFTTTVQVVIFIGSLLGNFMVLWSTCRT</v>
      </c>
      <c r="G282" s="4" t="str">
        <f t="shared" si="102"/>
        <v>TVFK</v>
      </c>
      <c r="H282" s="4" t="str">
        <f t="shared" si="103"/>
        <v>SVTNRFIKNLACSGICASLVCVPFDIILSTS</v>
      </c>
      <c r="I282" s="4" t="str">
        <f t="shared" si="104"/>
        <v>CWWI</v>
      </c>
      <c r="J282" s="4" t="str">
        <f t="shared" si="105"/>
        <v>YTMLFCKVVKFLHKVFCSVTILSFPAIALDRYYSVLY</v>
      </c>
      <c r="K282" s="4" t="str">
        <f t="shared" si="106"/>
        <v/>
      </c>
      <c r="L282" s="4" t="str">
        <f t="shared" si="107"/>
        <v>SDAKSRELVMYIWAHAVVASVPVFAVT</v>
      </c>
      <c r="M282" s="4" t="str">
        <f t="shared" si="108"/>
        <v>CTE</v>
      </c>
      <c r="N282" s="4" t="str">
        <f t="shared" si="109"/>
        <v>SLGHLVYVLVYNITTVIVPVVVVFLFLILIRRALSASQKKKVI</v>
      </c>
      <c r="O282" s="4" t="str">
        <f t="shared" si="110"/>
        <v>ISIPYASQREAELHATLLSMVMVFILCSVPYATLVVYQTVL</v>
      </c>
      <c r="P282" s="4" t="str">
        <f t="shared" si="111"/>
        <v>SVFLLLTAVWLPKVSLLANPVLFLTV</v>
      </c>
      <c r="Q282" s="4" t="str">
        <f t="shared" si="112"/>
        <v>NKSVRKCLIGTL</v>
      </c>
      <c r="R282" s="5">
        <f>VLOOKUP($A282,'SegEnds_NonXtal_Prot#'!$A:$AL,3,FALSE)</f>
        <v>41</v>
      </c>
      <c r="S282" s="5">
        <f>VLOOKUP($A282,'SegEnds_NonXtal_Prot#'!$A:$AL,6,FALSE)</f>
        <v>70</v>
      </c>
      <c r="T282" s="5">
        <f>VLOOKUP($A282,'SegEnds_NonXtal_Prot#'!$A:$AL,9,FALSE)</f>
        <v>74</v>
      </c>
      <c r="U282" s="5">
        <f>VLOOKUP($A282,'SegEnds_NonXtal_Prot#'!$A:$AL,12,FALSE)</f>
        <v>108</v>
      </c>
      <c r="V282" s="5">
        <f>VLOOKUP($A282,'SegEnds_NonXtal_Prot#'!$A:$AL,15,FALSE)</f>
        <v>112</v>
      </c>
      <c r="W282" s="5" t="str">
        <f>VLOOKUP($A282,'SegEnds_NonXtal_Prot#'!$A:$AL,18,FALSE)</f>
        <v>-</v>
      </c>
      <c r="X282" s="5">
        <f>VLOOKUP($A282,'SegEnds_NonXtal_Prot#'!$A:$AL,21,FALSE)</f>
        <v>155</v>
      </c>
      <c r="Y282" s="5">
        <f>VLOOKUP($A282,'SegEnds_NonXtal_Prot#'!$A:$AL,24,FALSE)</f>
        <v>192</v>
      </c>
      <c r="Z282" s="5">
        <f>VLOOKUP($A282,'SegEnds_NonXtal_Prot#'!$A:$AL,27,FALSE)</f>
        <v>199</v>
      </c>
      <c r="AA282" s="5">
        <f>VLOOKUP($A282,'SegEnds_NonXtal_Prot#'!$A:$AL,30,FALSE)</f>
        <v>252</v>
      </c>
      <c r="AB282" s="5">
        <f>VLOOKUP($A282,'SegEnds_NonXtal_Prot#'!$A:$AL,33,FALSE)</f>
        <v>298</v>
      </c>
      <c r="AC282" s="5">
        <f>VLOOKUP($A282,'SegEnds_NonXtal_Prot#'!$A:$AL,36,FALSE)</f>
        <v>324</v>
      </c>
      <c r="AD282" s="5">
        <f>VLOOKUP($A282,'SegEnds_NonXtal_Prot#'!$A:$AL,5,FALSE)</f>
        <v>69</v>
      </c>
      <c r="AE282" s="5">
        <f>VLOOKUP($A282,'SegEnds_NonXtal_Prot#'!$A:$AL,8,FALSE)</f>
        <v>73</v>
      </c>
      <c r="AF282" s="5">
        <f>VLOOKUP($A282,'SegEnds_NonXtal_Prot#'!$A:$AL,11,FALSE)</f>
        <v>104</v>
      </c>
      <c r="AG282" s="5">
        <f>VLOOKUP($A282,'SegEnds_NonXtal_Prot#'!$A:$AL,14,FALSE)</f>
        <v>111</v>
      </c>
      <c r="AH282" s="5">
        <f>VLOOKUP($A282,'SegEnds_NonXtal_Prot#'!$A:$AL,17,FALSE)</f>
        <v>148</v>
      </c>
      <c r="AI282" s="5" t="str">
        <f>VLOOKUP($A282,'SegEnds_NonXtal_Prot#'!$A:$AL,20,FALSE)</f>
        <v>-</v>
      </c>
      <c r="AJ282" s="5">
        <f>VLOOKUP($A282,'SegEnds_NonXtal_Prot#'!$A:$AL,23,FALSE)</f>
        <v>181</v>
      </c>
      <c r="AK282" s="5">
        <f>VLOOKUP($A282,'SegEnds_NonXtal_Prot#'!$A:$AL,26,FALSE)</f>
        <v>194</v>
      </c>
      <c r="AL282" s="5">
        <f>VLOOKUP($A282,'SegEnds_NonXtal_Prot#'!$A:$AL,29,FALSE)</f>
        <v>241</v>
      </c>
      <c r="AM282" s="5">
        <f>VLOOKUP($A282,'SegEnds_NonXtal_Prot#'!$A:$AL,32,FALSE)</f>
        <v>292</v>
      </c>
      <c r="AN282" s="5">
        <f>VLOOKUP($A282,'SegEnds_NonXtal_Prot#'!$A:$AL,35,FALSE)</f>
        <v>323</v>
      </c>
      <c r="AO282" s="5">
        <f>VLOOKUP($A282,'SegEnds_NonXtal_Prot#'!$A:$AL,38,FALSE)</f>
        <v>335</v>
      </c>
      <c r="AP282" s="5">
        <f t="shared" si="113"/>
        <v>28</v>
      </c>
      <c r="AQ282" s="4">
        <f t="shared" si="114"/>
        <v>3</v>
      </c>
      <c r="AR282" s="4">
        <f t="shared" si="115"/>
        <v>30</v>
      </c>
      <c r="AS282" s="4">
        <f t="shared" si="116"/>
        <v>3</v>
      </c>
      <c r="AT282" s="4">
        <f t="shared" si="117"/>
        <v>36</v>
      </c>
      <c r="AU282" s="4" t="str">
        <f t="shared" si="118"/>
        <v>-</v>
      </c>
      <c r="AV282" s="4">
        <f t="shared" si="119"/>
        <v>26</v>
      </c>
      <c r="AW282" s="4">
        <f t="shared" si="120"/>
        <v>2</v>
      </c>
      <c r="AX282" s="4">
        <f t="shared" si="121"/>
        <v>42</v>
      </c>
      <c r="AY282" s="4">
        <f t="shared" si="122"/>
        <v>40</v>
      </c>
      <c r="AZ282" s="4">
        <f t="shared" si="123"/>
        <v>25</v>
      </c>
      <c r="BA282" s="4">
        <f t="shared" si="124"/>
        <v>11</v>
      </c>
    </row>
    <row r="283" spans="1:53" x14ac:dyDescent="0.2">
      <c r="A283" s="1" t="str">
        <f>'SegEnds_NonXtal_Prot#'!A274</f>
        <v>gpbar_human</v>
      </c>
      <c r="B283" s="1" t="str">
        <f t="shared" si="100"/>
        <v>PIPKGALGLSLALASLIITANLLLALGIAWDSPPAGCFFLSLLLAGLLTGLALPTLPGLWNQSCLLVYLAPNFSFLSLLANLLLVHGERYMAVLRPPGSIRLALLLTWAGPLLFASLPALGFPAPYLYLEVYGLLLPAVGAAAFLSVRVLATAHRQLQDICEPSALARALTWRQARAQAGAMLLFGLCWGPYVATLLLSVLAPPLGPGTLLSLLSLGSASAAAVPVAMGLGDQRYTAPWRAAAQ</v>
      </c>
      <c r="C283" s="29" t="str">
        <f>IF(ISERROR(MATCH(A283,'SegEnds_Xtal_Prot#'!B:B, 0)), "NoXtal", "Xtal")</f>
        <v>NoXtal</v>
      </c>
      <c r="D283" s="4" t="str">
        <f>VLOOKUP(A283,Classification!A:D,2,FALSE)</f>
        <v>A</v>
      </c>
      <c r="E283" s="5" t="str">
        <f>VLOOKUP(A283,Seqs!A:B,2,FALSE)</f>
        <v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v>
      </c>
      <c r="F283" s="5" t="str">
        <f t="shared" si="101"/>
        <v>PIPKGALGLSLALASLIITANLLLALGIAWD</v>
      </c>
      <c r="G283" s="4" t="str">
        <f t="shared" si="102"/>
        <v>RRLR</v>
      </c>
      <c r="H283" s="4" t="str">
        <f t="shared" si="103"/>
        <v>SPPAGCFFLSLLLAGLLTGLALPTLPGLWNQ</v>
      </c>
      <c r="I283" s="4" t="str">
        <f t="shared" si="104"/>
        <v/>
      </c>
      <c r="J283" s="4" t="str">
        <f t="shared" si="105"/>
        <v>SCLLVYLAPNFSFLSLLANLLLVHGERYMAVLR</v>
      </c>
      <c r="K283" s="4" t="str">
        <f t="shared" si="106"/>
        <v/>
      </c>
      <c r="L283" s="4" t="str">
        <f t="shared" si="107"/>
        <v>PPGSIRLALLLTWAGPLLFASLPALG</v>
      </c>
      <c r="M283" s="4" t="str">
        <f t="shared" si="108"/>
        <v>CSS</v>
      </c>
      <c r="N283" s="4" t="str">
        <f t="shared" si="109"/>
        <v>FPAPYLYLEVYGLLLPAVGAAAFLSVRVLATAHRQLQDIC</v>
      </c>
      <c r="O283" s="4" t="str">
        <f t="shared" si="110"/>
        <v>EPSALARALTWRQARAQAGAMLLFGLCWGPYVATLLLSVLA</v>
      </c>
      <c r="P283" s="4" t="str">
        <f t="shared" si="111"/>
        <v>PPLGPGTLLSLLSLGSASAAAVPVAMGLG</v>
      </c>
      <c r="Q283" s="4" t="str">
        <f t="shared" si="112"/>
        <v>DQRYTAPWRAAAQ</v>
      </c>
      <c r="R283" s="5">
        <f>VLOOKUP($A283,'SegEnds_NonXtal_Prot#'!$A:$AL,3,FALSE)</f>
        <v>12</v>
      </c>
      <c r="S283" s="5">
        <f>VLOOKUP($A283,'SegEnds_NonXtal_Prot#'!$A:$AL,6,FALSE)</f>
        <v>43</v>
      </c>
      <c r="T283" s="5">
        <f>VLOOKUP($A283,'SegEnds_NonXtal_Prot#'!$A:$AL,9,FALSE)</f>
        <v>47</v>
      </c>
      <c r="U283" s="5" t="str">
        <f>VLOOKUP($A283,'SegEnds_NonXtal_Prot#'!$A:$AL,12,FALSE)</f>
        <v>-</v>
      </c>
      <c r="V283" s="5">
        <f>VLOOKUP($A283,'SegEnds_NonXtal_Prot#'!$A:$AL,15,FALSE)</f>
        <v>84</v>
      </c>
      <c r="W283" s="5" t="str">
        <f>VLOOKUP($A283,'SegEnds_NonXtal_Prot#'!$A:$AL,18,FALSE)</f>
        <v>-</v>
      </c>
      <c r="X283" s="5">
        <f>VLOOKUP($A283,'SegEnds_NonXtal_Prot#'!$A:$AL,21,FALSE)</f>
        <v>120</v>
      </c>
      <c r="Y283" s="5">
        <f>VLOOKUP($A283,'SegEnds_NonXtal_Prot#'!$A:$AL,24,FALSE)</f>
        <v>155</v>
      </c>
      <c r="Z283" s="5">
        <f>VLOOKUP($A283,'SegEnds_NonXtal_Prot#'!$A:$AL,27,FALSE)</f>
        <v>161</v>
      </c>
      <c r="AA283" s="5">
        <f>VLOOKUP($A283,'SegEnds_NonXtal_Prot#'!$A:$AL,30,FALSE)</f>
        <v>210</v>
      </c>
      <c r="AB283" s="5">
        <f>VLOOKUP($A283,'SegEnds_NonXtal_Prot#'!$A:$AL,33,FALSE)</f>
        <v>255</v>
      </c>
      <c r="AC283" s="5">
        <f>VLOOKUP($A283,'SegEnds_NonXtal_Prot#'!$A:$AL,36,FALSE)</f>
        <v>284</v>
      </c>
      <c r="AD283" s="5">
        <f>VLOOKUP($A283,'SegEnds_NonXtal_Prot#'!$A:$AL,5,FALSE)</f>
        <v>42</v>
      </c>
      <c r="AE283" s="5">
        <f>VLOOKUP($A283,'SegEnds_NonXtal_Prot#'!$A:$AL,8,FALSE)</f>
        <v>46</v>
      </c>
      <c r="AF283" s="5">
        <f>VLOOKUP($A283,'SegEnds_NonXtal_Prot#'!$A:$AL,11,FALSE)</f>
        <v>77</v>
      </c>
      <c r="AG283" s="5" t="str">
        <f>VLOOKUP($A283,'SegEnds_NonXtal_Prot#'!$A:$AL,14,FALSE)</f>
        <v>-</v>
      </c>
      <c r="AH283" s="5">
        <f>VLOOKUP($A283,'SegEnds_NonXtal_Prot#'!$A:$AL,17,FALSE)</f>
        <v>116</v>
      </c>
      <c r="AI283" s="5" t="str">
        <f>VLOOKUP($A283,'SegEnds_NonXtal_Prot#'!$A:$AL,20,FALSE)</f>
        <v>-</v>
      </c>
      <c r="AJ283" s="5">
        <f>VLOOKUP($A283,'SegEnds_NonXtal_Prot#'!$A:$AL,23,FALSE)</f>
        <v>145</v>
      </c>
      <c r="AK283" s="5">
        <f>VLOOKUP($A283,'SegEnds_NonXtal_Prot#'!$A:$AL,26,FALSE)</f>
        <v>157</v>
      </c>
      <c r="AL283" s="5">
        <f>VLOOKUP($A283,'SegEnds_NonXtal_Prot#'!$A:$AL,29,FALSE)</f>
        <v>200</v>
      </c>
      <c r="AM283" s="5">
        <f>VLOOKUP($A283,'SegEnds_NonXtal_Prot#'!$A:$AL,32,FALSE)</f>
        <v>250</v>
      </c>
      <c r="AN283" s="5">
        <f>VLOOKUP($A283,'SegEnds_NonXtal_Prot#'!$A:$AL,35,FALSE)</f>
        <v>283</v>
      </c>
      <c r="AO283" s="5">
        <f>VLOOKUP($A283,'SegEnds_NonXtal_Prot#'!$A:$AL,38,FALSE)</f>
        <v>296</v>
      </c>
      <c r="AP283" s="5">
        <f t="shared" si="113"/>
        <v>30</v>
      </c>
      <c r="AQ283" s="4">
        <f t="shared" si="114"/>
        <v>3</v>
      </c>
      <c r="AR283" s="4">
        <f t="shared" si="115"/>
        <v>30</v>
      </c>
      <c r="AS283" s="4" t="str">
        <f t="shared" si="116"/>
        <v>-</v>
      </c>
      <c r="AT283" s="4">
        <f t="shared" si="117"/>
        <v>32</v>
      </c>
      <c r="AU283" s="4" t="str">
        <f t="shared" si="118"/>
        <v>-</v>
      </c>
      <c r="AV283" s="4">
        <f t="shared" si="119"/>
        <v>25</v>
      </c>
      <c r="AW283" s="4">
        <f t="shared" si="120"/>
        <v>2</v>
      </c>
      <c r="AX283" s="4">
        <f t="shared" si="121"/>
        <v>39</v>
      </c>
      <c r="AY283" s="4">
        <f t="shared" si="122"/>
        <v>40</v>
      </c>
      <c r="AZ283" s="4">
        <f t="shared" si="123"/>
        <v>28</v>
      </c>
      <c r="BA283" s="4">
        <f t="shared" si="124"/>
        <v>12</v>
      </c>
    </row>
    <row r="284" spans="1:53" x14ac:dyDescent="0.2">
      <c r="A284" s="1" t="str">
        <f>'SegEnds_NonXtal_Prot#'!A275</f>
        <v>gpr45_human</v>
      </c>
      <c r="B284" s="1" t="str">
        <f t="shared" si="100"/>
        <v>APLRISLAIVMLLMTVVGFLGNTVVCIIVYQRSAINLLLATLAFSDIMLSLCCMPFTAVTLITVGDHFCRLSATLYWFFVLEGVAILLIISVDRFLIIVQNPRRAKVIIAVSWVLSFCIAGPSLTDRAYVVTLVVAVFFAPFGVMLCAYMCILNTVRKNAVRVHNQSSVDLSFKTKAFTTILILFVGFSLCWLPHSVYSLLSVFSGSSFYATSTCVLWLSYLKSVFNPIVYCWRIKKFREACIELLP</v>
      </c>
      <c r="C284" s="29" t="str">
        <f>IF(ISERROR(MATCH(A284,'SegEnds_Xtal_Prot#'!B:B, 0)), "NoXtal", "Xtal")</f>
        <v>NoXtal</v>
      </c>
      <c r="D284" s="4" t="str">
        <f>VLOOKUP(A284,Classification!A:D,2,FALSE)</f>
        <v>A</v>
      </c>
      <c r="E284" s="5" t="str">
        <f>VLOOKUP(A284,Seqs!A:B,2,FALSE)</f>
        <v>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</v>
      </c>
      <c r="F284" s="5" t="str">
        <f t="shared" si="101"/>
        <v>APLRISLAIVMLLMTVVGFLGNTVVCIIVYQR</v>
      </c>
      <c r="G284" s="4" t="str">
        <f t="shared" si="102"/>
        <v>PAMR</v>
      </c>
      <c r="H284" s="4" t="str">
        <f t="shared" si="103"/>
        <v>SAINLLLATLAFSDIMLSLCCMPFTAVTLITV</v>
      </c>
      <c r="I284" s="4" t="str">
        <f t="shared" si="104"/>
        <v>RWHF</v>
      </c>
      <c r="J284" s="4" t="str">
        <f t="shared" si="105"/>
        <v>GDHFCRLSATLYWFFVLEGVAILLIISVDRFLIIVQ</v>
      </c>
      <c r="K284" s="4" t="str">
        <f t="shared" si="106"/>
        <v/>
      </c>
      <c r="L284" s="4" t="str">
        <f t="shared" si="107"/>
        <v>NPRRAKVIIAVSWVLSFCIAGPSLT</v>
      </c>
      <c r="M284" s="4" t="str">
        <f t="shared" si="108"/>
        <v>CVL</v>
      </c>
      <c r="N284" s="4" t="str">
        <f t="shared" si="109"/>
        <v>DRAYVVTLVVAVFFAPFGVMLCAYMCILNTVRKNAVRVHNQS</v>
      </c>
      <c r="O284" s="4" t="str">
        <f t="shared" si="110"/>
        <v>SVDLSFKTKAFTTILILFVGFSLCWLPHSVYSLLSVFS</v>
      </c>
      <c r="P284" s="4" t="str">
        <f t="shared" si="111"/>
        <v>GSSFYATSTCVLWLSYLKSVFNPIVYCWR</v>
      </c>
      <c r="Q284" s="4" t="str">
        <f t="shared" si="112"/>
        <v>IKKFREACIELLP</v>
      </c>
      <c r="R284" s="5">
        <f>VLOOKUP($A284,'SegEnds_NonXtal_Prot#'!$A:$AL,3,FALSE)</f>
        <v>31</v>
      </c>
      <c r="S284" s="5">
        <f>VLOOKUP($A284,'SegEnds_NonXtal_Prot#'!$A:$AL,6,FALSE)</f>
        <v>63</v>
      </c>
      <c r="T284" s="5">
        <f>VLOOKUP($A284,'SegEnds_NonXtal_Prot#'!$A:$AL,9,FALSE)</f>
        <v>67</v>
      </c>
      <c r="U284" s="5">
        <f>VLOOKUP($A284,'SegEnds_NonXtal_Prot#'!$A:$AL,12,FALSE)</f>
        <v>99</v>
      </c>
      <c r="V284" s="5">
        <f>VLOOKUP($A284,'SegEnds_NonXtal_Prot#'!$A:$AL,15,FALSE)</f>
        <v>103</v>
      </c>
      <c r="W284" s="5" t="str">
        <f>VLOOKUP($A284,'SegEnds_NonXtal_Prot#'!$A:$AL,18,FALSE)</f>
        <v>-</v>
      </c>
      <c r="X284" s="5">
        <f>VLOOKUP($A284,'SegEnds_NonXtal_Prot#'!$A:$AL,21,FALSE)</f>
        <v>144</v>
      </c>
      <c r="Y284" s="5">
        <f>VLOOKUP($A284,'SegEnds_NonXtal_Prot#'!$A:$AL,24,FALSE)</f>
        <v>182</v>
      </c>
      <c r="Z284" s="5">
        <f>VLOOKUP($A284,'SegEnds_NonXtal_Prot#'!$A:$AL,27,FALSE)</f>
        <v>192</v>
      </c>
      <c r="AA284" s="5">
        <f>VLOOKUP($A284,'SegEnds_NonXtal_Prot#'!$A:$AL,30,FALSE)</f>
        <v>256</v>
      </c>
      <c r="AB284" s="5">
        <f>VLOOKUP($A284,'SegEnds_NonXtal_Prot#'!$A:$AL,33,FALSE)</f>
        <v>299</v>
      </c>
      <c r="AC284" s="5">
        <f>VLOOKUP($A284,'SegEnds_NonXtal_Prot#'!$A:$AL,36,FALSE)</f>
        <v>328</v>
      </c>
      <c r="AD284" s="5">
        <f>VLOOKUP($A284,'SegEnds_NonXtal_Prot#'!$A:$AL,5,FALSE)</f>
        <v>62</v>
      </c>
      <c r="AE284" s="5">
        <f>VLOOKUP($A284,'SegEnds_NonXtal_Prot#'!$A:$AL,8,FALSE)</f>
        <v>66</v>
      </c>
      <c r="AF284" s="5">
        <f>VLOOKUP($A284,'SegEnds_NonXtal_Prot#'!$A:$AL,11,FALSE)</f>
        <v>98</v>
      </c>
      <c r="AG284" s="5">
        <f>VLOOKUP($A284,'SegEnds_NonXtal_Prot#'!$A:$AL,14,FALSE)</f>
        <v>102</v>
      </c>
      <c r="AH284" s="5">
        <f>VLOOKUP($A284,'SegEnds_NonXtal_Prot#'!$A:$AL,17,FALSE)</f>
        <v>138</v>
      </c>
      <c r="AI284" s="5" t="str">
        <f>VLOOKUP($A284,'SegEnds_NonXtal_Prot#'!$A:$AL,20,FALSE)</f>
        <v>-</v>
      </c>
      <c r="AJ284" s="5">
        <f>VLOOKUP($A284,'SegEnds_NonXtal_Prot#'!$A:$AL,23,FALSE)</f>
        <v>168</v>
      </c>
      <c r="AK284" s="5">
        <f>VLOOKUP($A284,'SegEnds_NonXtal_Prot#'!$A:$AL,26,FALSE)</f>
        <v>184</v>
      </c>
      <c r="AL284" s="5">
        <f>VLOOKUP($A284,'SegEnds_NonXtal_Prot#'!$A:$AL,29,FALSE)</f>
        <v>233</v>
      </c>
      <c r="AM284" s="5">
        <f>VLOOKUP($A284,'SegEnds_NonXtal_Prot#'!$A:$AL,32,FALSE)</f>
        <v>293</v>
      </c>
      <c r="AN284" s="5">
        <f>VLOOKUP($A284,'SegEnds_NonXtal_Prot#'!$A:$AL,35,FALSE)</f>
        <v>327</v>
      </c>
      <c r="AO284" s="5">
        <f>VLOOKUP($A284,'SegEnds_NonXtal_Prot#'!$A:$AL,38,FALSE)</f>
        <v>340</v>
      </c>
      <c r="AP284" s="5">
        <f t="shared" si="113"/>
        <v>31</v>
      </c>
      <c r="AQ284" s="4">
        <f t="shared" si="114"/>
        <v>3</v>
      </c>
      <c r="AR284" s="4">
        <f t="shared" si="115"/>
        <v>31</v>
      </c>
      <c r="AS284" s="4">
        <f t="shared" si="116"/>
        <v>3</v>
      </c>
      <c r="AT284" s="4">
        <f t="shared" si="117"/>
        <v>35</v>
      </c>
      <c r="AU284" s="4" t="str">
        <f t="shared" si="118"/>
        <v>-</v>
      </c>
      <c r="AV284" s="4">
        <f t="shared" si="119"/>
        <v>24</v>
      </c>
      <c r="AW284" s="4">
        <f t="shared" si="120"/>
        <v>2</v>
      </c>
      <c r="AX284" s="4">
        <f t="shared" si="121"/>
        <v>41</v>
      </c>
      <c r="AY284" s="4">
        <f t="shared" si="122"/>
        <v>37</v>
      </c>
      <c r="AZ284" s="4">
        <f t="shared" si="123"/>
        <v>28</v>
      </c>
      <c r="BA284" s="4">
        <f t="shared" si="124"/>
        <v>12</v>
      </c>
    </row>
    <row r="285" spans="1:53" x14ac:dyDescent="0.2">
      <c r="A285" s="1" t="str">
        <f>'SegEnds_NonXtal_Prot#'!A276</f>
        <v>gpr62_human</v>
      </c>
      <c r="B285" s="1" t="str">
        <f t="shared" si="100"/>
        <v>EVAGSLGLILAAVVEVGALLGNGALLVVVLRTLRDALYLAHLCVVDLLAAASIMPLGLLAAPPVRLGPAPCRAARFLSAALLPACTLGVAALGLARYRLIVHSRPPPVLVLTAVWAAAGLLGALSLLGLGPFRPLWALLAFALPALLLLGAYGGIFVVARRAALRPPRPALRPRLPGGKAALAPALAVGQFAACWLPYGCACLAPEAAVTWVAYSAFAAHPFLYGLLQRPVRLALGRLSR</v>
      </c>
      <c r="C285" s="29" t="str">
        <f>IF(ISERROR(MATCH(A285,'SegEnds_Xtal_Prot#'!B:B, 0)), "NoXtal", "Xtal")</f>
        <v>NoXtal</v>
      </c>
      <c r="D285" s="4" t="str">
        <f>VLOOKUP(A285,Classification!A:D,2,FALSE)</f>
        <v>A</v>
      </c>
      <c r="E285" s="5" t="str">
        <f>VLOOKUP(A285,Seqs!A:B,2,FALSE)</f>
        <v>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</v>
      </c>
      <c r="F285" s="5" t="str">
        <f t="shared" si="101"/>
        <v>EVAGSLGLILAAVVEVGALLGNGALLVVVLRT</v>
      </c>
      <c r="G285" s="4" t="str">
        <f t="shared" si="102"/>
        <v/>
      </c>
      <c r="H285" s="4" t="str">
        <f t="shared" si="103"/>
        <v>LRDALYLAHLCVVDLLAAASIMPLGLLAAPP</v>
      </c>
      <c r="I285" s="4" t="str">
        <f t="shared" si="104"/>
        <v/>
      </c>
      <c r="J285" s="4" t="str">
        <f t="shared" si="105"/>
        <v>VRLGPAPCRAARFLSAALLPACTLGVAALGLARYRLIVH</v>
      </c>
      <c r="K285" s="4" t="str">
        <f t="shared" si="106"/>
        <v/>
      </c>
      <c r="L285" s="4" t="str">
        <f t="shared" si="107"/>
        <v>SRPPPVLVLTAVWAAAGLLGALSLLG</v>
      </c>
      <c r="M285" s="4" t="str">
        <f t="shared" si="108"/>
        <v>CSV</v>
      </c>
      <c r="N285" s="4" t="str">
        <f t="shared" si="109"/>
        <v>LGPFRPLWALLAFALPALLLLGAYGGIFVVARRAALRPPRPA</v>
      </c>
      <c r="O285" s="4" t="str">
        <f t="shared" si="110"/>
        <v>LRPRLPGGKAALAPALAVGQFAACWLPYGCACLAP</v>
      </c>
      <c r="P285" s="4" t="str">
        <f t="shared" si="111"/>
        <v>EAAVTWVAYSAFAAHPFLYGLL</v>
      </c>
      <c r="Q285" s="4" t="str">
        <f t="shared" si="112"/>
        <v>QRPVRLALGRLSR</v>
      </c>
      <c r="R285" s="5">
        <f>VLOOKUP($A285,'SegEnds_NonXtal_Prot#'!$A:$AL,3,FALSE)</f>
        <v>11</v>
      </c>
      <c r="S285" s="5" t="str">
        <f>VLOOKUP($A285,'SegEnds_NonXtal_Prot#'!$A:$AL,6,FALSE)</f>
        <v>-</v>
      </c>
      <c r="T285" s="5">
        <f>VLOOKUP($A285,'SegEnds_NonXtal_Prot#'!$A:$AL,9,FALSE)</f>
        <v>45</v>
      </c>
      <c r="U285" s="5" t="str">
        <f>VLOOKUP($A285,'SegEnds_NonXtal_Prot#'!$A:$AL,12,FALSE)</f>
        <v>-</v>
      </c>
      <c r="V285" s="5">
        <f>VLOOKUP($A285,'SegEnds_NonXtal_Prot#'!$A:$AL,15,FALSE)</f>
        <v>81</v>
      </c>
      <c r="W285" s="5" t="str">
        <f>VLOOKUP($A285,'SegEnds_NonXtal_Prot#'!$A:$AL,18,FALSE)</f>
        <v>-</v>
      </c>
      <c r="X285" s="5">
        <f>VLOOKUP($A285,'SegEnds_NonXtal_Prot#'!$A:$AL,21,FALSE)</f>
        <v>125</v>
      </c>
      <c r="Y285" s="5">
        <f>VLOOKUP($A285,'SegEnds_NonXtal_Prot#'!$A:$AL,24,FALSE)</f>
        <v>162</v>
      </c>
      <c r="Z285" s="5">
        <f>VLOOKUP($A285,'SegEnds_NonXtal_Prot#'!$A:$AL,27,FALSE)</f>
        <v>169</v>
      </c>
      <c r="AA285" s="5">
        <f>VLOOKUP($A285,'SegEnds_NonXtal_Prot#'!$A:$AL,30,FALSE)</f>
        <v>230</v>
      </c>
      <c r="AB285" s="5">
        <f>VLOOKUP($A285,'SegEnds_NonXtal_Prot#'!$A:$AL,33,FALSE)</f>
        <v>272</v>
      </c>
      <c r="AC285" s="5">
        <f>VLOOKUP($A285,'SegEnds_NonXtal_Prot#'!$A:$AL,36,FALSE)</f>
        <v>294</v>
      </c>
      <c r="AD285" s="5">
        <f>VLOOKUP($A285,'SegEnds_NonXtal_Prot#'!$A:$AL,5,FALSE)</f>
        <v>42</v>
      </c>
      <c r="AE285" s="5" t="str">
        <f>VLOOKUP($A285,'SegEnds_NonXtal_Prot#'!$A:$AL,8,FALSE)</f>
        <v>-</v>
      </c>
      <c r="AF285" s="5">
        <f>VLOOKUP($A285,'SegEnds_NonXtal_Prot#'!$A:$AL,11,FALSE)</f>
        <v>75</v>
      </c>
      <c r="AG285" s="5" t="str">
        <f>VLOOKUP($A285,'SegEnds_NonXtal_Prot#'!$A:$AL,14,FALSE)</f>
        <v>-</v>
      </c>
      <c r="AH285" s="5">
        <f>VLOOKUP($A285,'SegEnds_NonXtal_Prot#'!$A:$AL,17,FALSE)</f>
        <v>119</v>
      </c>
      <c r="AI285" s="5" t="str">
        <f>VLOOKUP($A285,'SegEnds_NonXtal_Prot#'!$A:$AL,20,FALSE)</f>
        <v>-</v>
      </c>
      <c r="AJ285" s="5">
        <f>VLOOKUP($A285,'SegEnds_NonXtal_Prot#'!$A:$AL,23,FALSE)</f>
        <v>150</v>
      </c>
      <c r="AK285" s="5">
        <f>VLOOKUP($A285,'SegEnds_NonXtal_Prot#'!$A:$AL,26,FALSE)</f>
        <v>164</v>
      </c>
      <c r="AL285" s="5">
        <f>VLOOKUP($A285,'SegEnds_NonXtal_Prot#'!$A:$AL,29,FALSE)</f>
        <v>210</v>
      </c>
      <c r="AM285" s="5">
        <f>VLOOKUP($A285,'SegEnds_NonXtal_Prot#'!$A:$AL,32,FALSE)</f>
        <v>264</v>
      </c>
      <c r="AN285" s="5">
        <f>VLOOKUP($A285,'SegEnds_NonXtal_Prot#'!$A:$AL,35,FALSE)</f>
        <v>293</v>
      </c>
      <c r="AO285" s="5">
        <f>VLOOKUP($A285,'SegEnds_NonXtal_Prot#'!$A:$AL,38,FALSE)</f>
        <v>306</v>
      </c>
      <c r="AP285" s="5">
        <f t="shared" si="113"/>
        <v>31</v>
      </c>
      <c r="AQ285" s="4" t="str">
        <f t="shared" si="114"/>
        <v>-</v>
      </c>
      <c r="AR285" s="4">
        <f t="shared" si="115"/>
        <v>30</v>
      </c>
      <c r="AS285" s="4" t="str">
        <f t="shared" si="116"/>
        <v>-</v>
      </c>
      <c r="AT285" s="4">
        <f t="shared" si="117"/>
        <v>38</v>
      </c>
      <c r="AU285" s="4" t="str">
        <f t="shared" si="118"/>
        <v>-</v>
      </c>
      <c r="AV285" s="4">
        <f t="shared" si="119"/>
        <v>25</v>
      </c>
      <c r="AW285" s="4">
        <f t="shared" si="120"/>
        <v>2</v>
      </c>
      <c r="AX285" s="4">
        <f t="shared" si="121"/>
        <v>41</v>
      </c>
      <c r="AY285" s="4">
        <f t="shared" si="122"/>
        <v>34</v>
      </c>
      <c r="AZ285" s="4">
        <f t="shared" si="123"/>
        <v>21</v>
      </c>
      <c r="BA285" s="4">
        <f t="shared" si="124"/>
        <v>12</v>
      </c>
    </row>
    <row r="286" spans="1:53" x14ac:dyDescent="0.2">
      <c r="A286" s="1" t="str">
        <f>'SegEnds_NonXtal_Prot#'!A277</f>
        <v>gpr63_human</v>
      </c>
      <c r="B286" s="1" t="str">
        <f t="shared" si="100"/>
        <v>ITLSAIMIFILFVSFLGNLVVCLMVYQKSAINILLASLAFADMLLAVLNMPFALVTILTTGKFFCRVSAMFFWLFVIEGVAILLIISIDRFLIIVQNPYRAKVLIAVSWATSFCVAFPLAVGNPDLYQAYVILISLISFFIPFLVILYSFMGILNTLRHNALRIHSYPSIDMGFKTRAFTTILILFAVFIVCWAPFTTYSLVATFSQHNFFEISTWLLWLCYLKSALNPLIYYWRIKKFHDACLDMMPK</v>
      </c>
      <c r="C286" s="29" t="str">
        <f>IF(ISERROR(MATCH(A286,'SegEnds_Xtal_Prot#'!B:B, 0)), "NoXtal", "Xtal")</f>
        <v>NoXtal</v>
      </c>
      <c r="D286" s="4" t="str">
        <f>VLOOKUP(A286,Classification!A:D,2,FALSE)</f>
        <v>A</v>
      </c>
      <c r="E286" s="5" t="str">
        <f>VLOOKUP(A286,Seqs!A:B,2,FALSE)</f>
        <v>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</v>
      </c>
      <c r="F286" s="5" t="str">
        <f t="shared" si="101"/>
        <v>ITLSAIMIFILFVSFLGNLVVCLMVYQK</v>
      </c>
      <c r="G286" s="4" t="str">
        <f t="shared" si="102"/>
        <v>AAMR</v>
      </c>
      <c r="H286" s="4" t="str">
        <f t="shared" si="103"/>
        <v>SAINILLASLAFADMLLAVLNMPFALVTILTT</v>
      </c>
      <c r="I286" s="4" t="str">
        <f t="shared" si="104"/>
        <v>RWIF</v>
      </c>
      <c r="J286" s="4" t="str">
        <f t="shared" si="105"/>
        <v>GKFFCRVSAMFFWLFVIEGVAILLIISIDRFLIIVQ</v>
      </c>
      <c r="K286" s="4" t="str">
        <f t="shared" si="106"/>
        <v/>
      </c>
      <c r="L286" s="4" t="str">
        <f t="shared" si="107"/>
        <v>NPYRAKVLIAVSWATSFCVAFPLAVGNPDL</v>
      </c>
      <c r="M286" s="4" t="str">
        <f t="shared" si="108"/>
        <v>CVF</v>
      </c>
      <c r="N286" s="4" t="str">
        <f t="shared" si="109"/>
        <v>YQAYVILISLISFFIPFLVILYSFMGILNTLRHNALRIHSYP</v>
      </c>
      <c r="O286" s="4" t="str">
        <f t="shared" si="110"/>
        <v>SIDMGFKTRAFTTILILFAVFIVCWAPFTTYSLVATFS</v>
      </c>
      <c r="P286" s="4" t="str">
        <f t="shared" si="111"/>
        <v>QHNFFEISTWLLWLCYLKSALNPLIYYWR</v>
      </c>
      <c r="Q286" s="4" t="str">
        <f t="shared" si="112"/>
        <v>IKKFHDACLDMMPK</v>
      </c>
      <c r="R286" s="5">
        <f>VLOOKUP($A286,'SegEnds_NonXtal_Prot#'!$A:$AL,3,FALSE)</f>
        <v>82</v>
      </c>
      <c r="S286" s="5">
        <f>VLOOKUP($A286,'SegEnds_NonXtal_Prot#'!$A:$AL,6,FALSE)</f>
        <v>110</v>
      </c>
      <c r="T286" s="5">
        <f>VLOOKUP($A286,'SegEnds_NonXtal_Prot#'!$A:$AL,9,FALSE)</f>
        <v>114</v>
      </c>
      <c r="U286" s="5">
        <f>VLOOKUP($A286,'SegEnds_NonXtal_Prot#'!$A:$AL,12,FALSE)</f>
        <v>146</v>
      </c>
      <c r="V286" s="5">
        <f>VLOOKUP($A286,'SegEnds_NonXtal_Prot#'!$A:$AL,15,FALSE)</f>
        <v>150</v>
      </c>
      <c r="W286" s="5" t="str">
        <f>VLOOKUP($A286,'SegEnds_NonXtal_Prot#'!$A:$AL,18,FALSE)</f>
        <v>-</v>
      </c>
      <c r="X286" s="5">
        <f>VLOOKUP($A286,'SegEnds_NonXtal_Prot#'!$A:$AL,21,FALSE)</f>
        <v>191</v>
      </c>
      <c r="Y286" s="5">
        <f>VLOOKUP($A286,'SegEnds_NonXtal_Prot#'!$A:$AL,24,FALSE)</f>
        <v>229</v>
      </c>
      <c r="Z286" s="5">
        <f>VLOOKUP($A286,'SegEnds_NonXtal_Prot#'!$A:$AL,27,FALSE)</f>
        <v>239</v>
      </c>
      <c r="AA286" s="5">
        <f>VLOOKUP($A286,'SegEnds_NonXtal_Prot#'!$A:$AL,30,FALSE)</f>
        <v>303</v>
      </c>
      <c r="AB286" s="5">
        <f>VLOOKUP($A286,'SegEnds_NonXtal_Prot#'!$A:$AL,33,FALSE)</f>
        <v>346</v>
      </c>
      <c r="AC286" s="5">
        <f>VLOOKUP($A286,'SegEnds_NonXtal_Prot#'!$A:$AL,36,FALSE)</f>
        <v>375</v>
      </c>
      <c r="AD286" s="5">
        <f>VLOOKUP($A286,'SegEnds_NonXtal_Prot#'!$A:$AL,5,FALSE)</f>
        <v>109</v>
      </c>
      <c r="AE286" s="5">
        <f>VLOOKUP($A286,'SegEnds_NonXtal_Prot#'!$A:$AL,8,FALSE)</f>
        <v>113</v>
      </c>
      <c r="AF286" s="5">
        <f>VLOOKUP($A286,'SegEnds_NonXtal_Prot#'!$A:$AL,11,FALSE)</f>
        <v>145</v>
      </c>
      <c r="AG286" s="5">
        <f>VLOOKUP($A286,'SegEnds_NonXtal_Prot#'!$A:$AL,14,FALSE)</f>
        <v>149</v>
      </c>
      <c r="AH286" s="5">
        <f>VLOOKUP($A286,'SegEnds_NonXtal_Prot#'!$A:$AL,17,FALSE)</f>
        <v>185</v>
      </c>
      <c r="AI286" s="5" t="str">
        <f>VLOOKUP($A286,'SegEnds_NonXtal_Prot#'!$A:$AL,20,FALSE)</f>
        <v>-</v>
      </c>
      <c r="AJ286" s="5">
        <f>VLOOKUP($A286,'SegEnds_NonXtal_Prot#'!$A:$AL,23,FALSE)</f>
        <v>220</v>
      </c>
      <c r="AK286" s="5">
        <f>VLOOKUP($A286,'SegEnds_NonXtal_Prot#'!$A:$AL,26,FALSE)</f>
        <v>231</v>
      </c>
      <c r="AL286" s="5">
        <f>VLOOKUP($A286,'SegEnds_NonXtal_Prot#'!$A:$AL,29,FALSE)</f>
        <v>280</v>
      </c>
      <c r="AM286" s="5">
        <f>VLOOKUP($A286,'SegEnds_NonXtal_Prot#'!$A:$AL,32,FALSE)</f>
        <v>340</v>
      </c>
      <c r="AN286" s="5">
        <f>VLOOKUP($A286,'SegEnds_NonXtal_Prot#'!$A:$AL,35,FALSE)</f>
        <v>374</v>
      </c>
      <c r="AO286" s="5">
        <f>VLOOKUP($A286,'SegEnds_NonXtal_Prot#'!$A:$AL,38,FALSE)</f>
        <v>388</v>
      </c>
      <c r="AP286" s="5">
        <f t="shared" si="113"/>
        <v>27</v>
      </c>
      <c r="AQ286" s="4">
        <f t="shared" si="114"/>
        <v>3</v>
      </c>
      <c r="AR286" s="4">
        <f t="shared" si="115"/>
        <v>31</v>
      </c>
      <c r="AS286" s="4">
        <f t="shared" si="116"/>
        <v>3</v>
      </c>
      <c r="AT286" s="4">
        <f t="shared" si="117"/>
        <v>35</v>
      </c>
      <c r="AU286" s="4" t="str">
        <f t="shared" si="118"/>
        <v>-</v>
      </c>
      <c r="AV286" s="4">
        <f t="shared" si="119"/>
        <v>29</v>
      </c>
      <c r="AW286" s="4">
        <f t="shared" si="120"/>
        <v>2</v>
      </c>
      <c r="AX286" s="4">
        <f t="shared" si="121"/>
        <v>41</v>
      </c>
      <c r="AY286" s="4">
        <f t="shared" si="122"/>
        <v>37</v>
      </c>
      <c r="AZ286" s="4">
        <f t="shared" si="123"/>
        <v>28</v>
      </c>
      <c r="BA286" s="4">
        <f t="shared" si="124"/>
        <v>13</v>
      </c>
    </row>
    <row r="287" spans="1:53" x14ac:dyDescent="0.2">
      <c r="A287" s="1" t="str">
        <f>'SegEnds_NonXtal_Prot#'!A279</f>
        <v>gpr83_human</v>
      </c>
      <c r="B287" s="1" t="str">
        <f t="shared" si="100"/>
        <v>VKALLIVAYSFIIVFSLFGNVLVCHVIFKNSATSLFIVNLAVADIMITLLNTPFTLVRFVNSGKGMCHVSRFAQYCSLHVSALTLTAIAVDRHQVIMHSITKGVIYIAVIWTMATFFSLPHAICQLFWKYLDLATFILLYILPLLIISVAYARVAKKLWLCNMIGDQYFALRRKKKKTIKMLMLVVVLFALCWFPLNCYVLLLSSKNNALYFAFHWFAMSSTCYNPFIYCWLNENFRIELKALL</v>
      </c>
      <c r="C287" s="29" t="str">
        <f>IF(ISERROR(MATCH(A287,'SegEnds_Xtal_Prot#'!B:B, 0)), "NoXtal", "Xtal")</f>
        <v>NoXtal</v>
      </c>
      <c r="D287" s="4" t="str">
        <f>VLOOKUP(A287,Classification!A:D,2,FALSE)</f>
        <v>A</v>
      </c>
      <c r="E287" s="5" t="str">
        <f>VLOOKUP(A287,Seqs!A:B,2,FALSE)</f>
        <v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v>
      </c>
      <c r="F287" s="5" t="str">
        <f t="shared" si="101"/>
        <v>VKALLIVAYSFIIVFSLFGNVLVCHVIFKN</v>
      </c>
      <c r="G287" s="4" t="str">
        <f t="shared" si="102"/>
        <v>QRMH</v>
      </c>
      <c r="H287" s="4" t="str">
        <f t="shared" si="103"/>
        <v>SATSLFIVNLAVADIMITLLNTPFTLVRFVNS</v>
      </c>
      <c r="I287" s="4" t="str">
        <f t="shared" si="104"/>
        <v>TWIF</v>
      </c>
      <c r="J287" s="4" t="str">
        <f t="shared" si="105"/>
        <v>GKGMCHVSRFAQYCSLHVSALTLTAIAVDRHQVIMH</v>
      </c>
      <c r="K287" s="4" t="str">
        <f t="shared" si="106"/>
        <v/>
      </c>
      <c r="L287" s="4" t="str">
        <f t="shared" si="107"/>
        <v>SITKGVIYIAVIWTMATFFSLPHAICQ</v>
      </c>
      <c r="M287" s="4" t="str">
        <f t="shared" si="108"/>
        <v>CLP</v>
      </c>
      <c r="N287" s="4" t="str">
        <f t="shared" si="109"/>
        <v>LFWKYLDLATFILLYILPLLIISVAYARVAKKLWLCNMIGD</v>
      </c>
      <c r="O287" s="4" t="str">
        <f t="shared" si="110"/>
        <v>QYFALRRKKKKTIKMLMLVVVLFALCWFPLNCYVLLLSSK</v>
      </c>
      <c r="P287" s="4" t="str">
        <f t="shared" si="111"/>
        <v>NNALYFAFHWFAMSSTCYNPFIYCWL</v>
      </c>
      <c r="Q287" s="4" t="str">
        <f t="shared" si="112"/>
        <v>NENFRIELKALL</v>
      </c>
      <c r="R287" s="5">
        <f>VLOOKUP($A287,'SegEnds_NonXtal_Prot#'!$A:$AL,3,FALSE)</f>
        <v>70</v>
      </c>
      <c r="S287" s="5">
        <f>VLOOKUP($A287,'SegEnds_NonXtal_Prot#'!$A:$AL,6,FALSE)</f>
        <v>100</v>
      </c>
      <c r="T287" s="5">
        <f>VLOOKUP($A287,'SegEnds_NonXtal_Prot#'!$A:$AL,9,FALSE)</f>
        <v>104</v>
      </c>
      <c r="U287" s="5">
        <f>VLOOKUP($A287,'SegEnds_NonXtal_Prot#'!$A:$AL,12,FALSE)</f>
        <v>136</v>
      </c>
      <c r="V287" s="5">
        <f>VLOOKUP($A287,'SegEnds_NonXtal_Prot#'!$A:$AL,15,FALSE)</f>
        <v>140</v>
      </c>
      <c r="W287" s="5" t="str">
        <f>VLOOKUP($A287,'SegEnds_NonXtal_Prot#'!$A:$AL,18,FALSE)</f>
        <v>-</v>
      </c>
      <c r="X287" s="5">
        <f>VLOOKUP($A287,'SegEnds_NonXtal_Prot#'!$A:$AL,21,FALSE)</f>
        <v>182</v>
      </c>
      <c r="Y287" s="5">
        <f>VLOOKUP($A287,'SegEnds_NonXtal_Prot#'!$A:$AL,24,FALSE)</f>
        <v>224</v>
      </c>
      <c r="Z287" s="5">
        <f>VLOOKUP($A287,'SegEnds_NonXtal_Prot#'!$A:$AL,27,FALSE)</f>
        <v>234</v>
      </c>
      <c r="AA287" s="5">
        <f>VLOOKUP($A287,'SegEnds_NonXtal_Prot#'!$A:$AL,30,FALSE)</f>
        <v>279</v>
      </c>
      <c r="AB287" s="5">
        <f>VLOOKUP($A287,'SegEnds_NonXtal_Prot#'!$A:$AL,33,FALSE)</f>
        <v>323</v>
      </c>
      <c r="AC287" s="5">
        <f>VLOOKUP($A287,'SegEnds_NonXtal_Prot#'!$A:$AL,36,FALSE)</f>
        <v>349</v>
      </c>
      <c r="AD287" s="5">
        <f>VLOOKUP($A287,'SegEnds_NonXtal_Prot#'!$A:$AL,5,FALSE)</f>
        <v>99</v>
      </c>
      <c r="AE287" s="5">
        <f>VLOOKUP($A287,'SegEnds_NonXtal_Prot#'!$A:$AL,8,FALSE)</f>
        <v>103</v>
      </c>
      <c r="AF287" s="5">
        <f>VLOOKUP($A287,'SegEnds_NonXtal_Prot#'!$A:$AL,11,FALSE)</f>
        <v>135</v>
      </c>
      <c r="AG287" s="5">
        <f>VLOOKUP($A287,'SegEnds_NonXtal_Prot#'!$A:$AL,14,FALSE)</f>
        <v>139</v>
      </c>
      <c r="AH287" s="5">
        <f>VLOOKUP($A287,'SegEnds_NonXtal_Prot#'!$A:$AL,17,FALSE)</f>
        <v>175</v>
      </c>
      <c r="AI287" s="5" t="str">
        <f>VLOOKUP($A287,'SegEnds_NonXtal_Prot#'!$A:$AL,20,FALSE)</f>
        <v>-</v>
      </c>
      <c r="AJ287" s="5">
        <f>VLOOKUP($A287,'SegEnds_NonXtal_Prot#'!$A:$AL,23,FALSE)</f>
        <v>208</v>
      </c>
      <c r="AK287" s="5">
        <f>VLOOKUP($A287,'SegEnds_NonXtal_Prot#'!$A:$AL,26,FALSE)</f>
        <v>226</v>
      </c>
      <c r="AL287" s="5">
        <f>VLOOKUP($A287,'SegEnds_NonXtal_Prot#'!$A:$AL,29,FALSE)</f>
        <v>274</v>
      </c>
      <c r="AM287" s="5">
        <f>VLOOKUP($A287,'SegEnds_NonXtal_Prot#'!$A:$AL,32,FALSE)</f>
        <v>318</v>
      </c>
      <c r="AN287" s="5">
        <f>VLOOKUP($A287,'SegEnds_NonXtal_Prot#'!$A:$AL,35,FALSE)</f>
        <v>348</v>
      </c>
      <c r="AO287" s="5">
        <f>VLOOKUP($A287,'SegEnds_NonXtal_Prot#'!$A:$AL,38,FALSE)</f>
        <v>360</v>
      </c>
      <c r="AP287" s="5">
        <f t="shared" si="113"/>
        <v>29</v>
      </c>
      <c r="AQ287" s="4">
        <f t="shared" si="114"/>
        <v>3</v>
      </c>
      <c r="AR287" s="4">
        <f t="shared" si="115"/>
        <v>31</v>
      </c>
      <c r="AS287" s="4">
        <f t="shared" si="116"/>
        <v>3</v>
      </c>
      <c r="AT287" s="4">
        <f t="shared" si="117"/>
        <v>35</v>
      </c>
      <c r="AU287" s="4" t="str">
        <f t="shared" si="118"/>
        <v>-</v>
      </c>
      <c r="AV287" s="4">
        <f t="shared" si="119"/>
        <v>26</v>
      </c>
      <c r="AW287" s="4">
        <f t="shared" si="120"/>
        <v>2</v>
      </c>
      <c r="AX287" s="4">
        <f t="shared" si="121"/>
        <v>40</v>
      </c>
      <c r="AY287" s="4">
        <f t="shared" si="122"/>
        <v>39</v>
      </c>
      <c r="AZ287" s="4">
        <f t="shared" si="123"/>
        <v>25</v>
      </c>
      <c r="BA287" s="4">
        <f t="shared" si="124"/>
        <v>11</v>
      </c>
    </row>
    <row r="288" spans="1:53" x14ac:dyDescent="0.2">
      <c r="A288" s="1" t="str">
        <f>'SegEnds_NonXtal_Prot#'!A280</f>
        <v>nk1r_human</v>
      </c>
      <c r="B288" s="1" t="str">
        <f t="shared" si="100"/>
        <v>QIVLWAAAYTVIVVTSVVGNVVVMWIILAHTVTNYFLVNLAFAEASMAAFNTVVNFTYAVGLFYCKFHNFFPIAAVFASIYSMTAVAFDRYMAIIHSATATKVVICVIWVLALLLAFPQGYYSPNKIYEKVYHICVTVLIYFLPLLVIGYAYTVVGITLWASEIPGDRYHEQVSAKRKVVKMMIVVVCTFAICWLPFHIFFLLPYINKKFIQQVYLAIMWLAMSSTMYNPIIYCCLNDRFRLGFKHAF</v>
      </c>
      <c r="C288" s="29" t="str">
        <f>IF(ISERROR(MATCH(A288,'SegEnds_Xtal_Prot#'!B:B, 0)), "NoXtal", "Xtal")</f>
        <v>Xtal</v>
      </c>
      <c r="D288" s="4" t="str">
        <f>VLOOKUP(A288,Classification!A:D,2,FALSE)</f>
        <v>A</v>
      </c>
      <c r="E288" s="5" t="str">
        <f>VLOOKUP(A288,Seqs!A:B,2,FALSE)</f>
        <v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v>
      </c>
      <c r="F288" s="5" t="str">
        <f t="shared" si="101"/>
        <v>QIVLWAAAYTVIVVTSVVGNVVVMWIILAH</v>
      </c>
      <c r="G288" s="4" t="str">
        <f t="shared" si="102"/>
        <v>KRMR</v>
      </c>
      <c r="H288" s="4" t="str">
        <f t="shared" si="103"/>
        <v>TVTNYFLVNLAFAEASMAAFNTVVNFTYAV</v>
      </c>
      <c r="I288" s="4" t="str">
        <f t="shared" si="104"/>
        <v>EWYY</v>
      </c>
      <c r="J288" s="4" t="str">
        <f t="shared" si="105"/>
        <v>GLFYCKFHNFFPIAAVFASIYSMTAVAFDRYMAIIH</v>
      </c>
      <c r="K288" s="4" t="str">
        <f t="shared" si="106"/>
        <v/>
      </c>
      <c r="L288" s="4" t="str">
        <f t="shared" si="107"/>
        <v>SATATKVVICVIWVLALLLAFPQGYYS</v>
      </c>
      <c r="M288" s="4" t="str">
        <f t="shared" si="108"/>
        <v>CMI</v>
      </c>
      <c r="N288" s="4" t="str">
        <f t="shared" si="109"/>
        <v>PNKIYEKVYHICVTVLIYFLPLLVIGYAYTVVGITLWASEIPGD</v>
      </c>
      <c r="O288" s="4" t="str">
        <f t="shared" si="110"/>
        <v>RYHEQVSAKRKVVKMMIVVVCTFAICWLPFHIFFLLPYIN</v>
      </c>
      <c r="P288" s="4" t="str">
        <f t="shared" si="111"/>
        <v>KKFIQQVYLAIMWLAMSSTMYNPIIYCCL</v>
      </c>
      <c r="Q288" s="4" t="str">
        <f t="shared" si="112"/>
        <v>NDRFRLGFKHAF</v>
      </c>
      <c r="R288" s="5">
        <f>VLOOKUP($A288,'SegEnds_NonXtal_Prot#'!$A:$AL,3,FALSE)</f>
        <v>31</v>
      </c>
      <c r="S288" s="5">
        <f>VLOOKUP($A288,'SegEnds_NonXtal_Prot#'!$A:$AL,6,FALSE)</f>
        <v>61</v>
      </c>
      <c r="T288" s="5">
        <f>VLOOKUP($A288,'SegEnds_NonXtal_Prot#'!$A:$AL,9,FALSE)</f>
        <v>65</v>
      </c>
      <c r="U288" s="5">
        <f>VLOOKUP($A288,'SegEnds_NonXtal_Prot#'!$A:$AL,12,FALSE)</f>
        <v>97</v>
      </c>
      <c r="V288" s="5">
        <f>VLOOKUP($A288,'SegEnds_NonXtal_Prot#'!$A:$AL,15,FALSE)</f>
        <v>101</v>
      </c>
      <c r="W288" s="5" t="str">
        <f>VLOOKUP($A288,'SegEnds_NonXtal_Prot#'!$A:$AL,18,FALSE)</f>
        <v>-</v>
      </c>
      <c r="X288" s="5">
        <f>VLOOKUP($A288,'SegEnds_NonXtal_Prot#'!$A:$AL,21,FALSE)</f>
        <v>143</v>
      </c>
      <c r="Y288" s="5">
        <f>VLOOKUP($A288,'SegEnds_NonXtal_Prot#'!$A:$AL,24,FALSE)</f>
        <v>180</v>
      </c>
      <c r="Z288" s="5">
        <f>VLOOKUP($A288,'SegEnds_NonXtal_Prot#'!$A:$AL,27,FALSE)</f>
        <v>188</v>
      </c>
      <c r="AA288" s="5">
        <f>VLOOKUP($A288,'SegEnds_NonXtal_Prot#'!$A:$AL,30,FALSE)</f>
        <v>235</v>
      </c>
      <c r="AB288" s="5">
        <f>VLOOKUP($A288,'SegEnds_NonXtal_Prot#'!$A:$AL,33,FALSE)</f>
        <v>280</v>
      </c>
      <c r="AC288" s="5">
        <f>VLOOKUP($A288,'SegEnds_NonXtal_Prot#'!$A:$AL,36,FALSE)</f>
        <v>309</v>
      </c>
      <c r="AD288" s="5">
        <f>VLOOKUP($A288,'SegEnds_NonXtal_Prot#'!$A:$AL,5,FALSE)</f>
        <v>60</v>
      </c>
      <c r="AE288" s="5">
        <f>VLOOKUP($A288,'SegEnds_NonXtal_Prot#'!$A:$AL,8,FALSE)</f>
        <v>64</v>
      </c>
      <c r="AF288" s="5">
        <f>VLOOKUP($A288,'SegEnds_NonXtal_Prot#'!$A:$AL,11,FALSE)</f>
        <v>94</v>
      </c>
      <c r="AG288" s="5">
        <f>VLOOKUP($A288,'SegEnds_NonXtal_Prot#'!$A:$AL,14,FALSE)</f>
        <v>100</v>
      </c>
      <c r="AH288" s="5">
        <f>VLOOKUP($A288,'SegEnds_NonXtal_Prot#'!$A:$AL,17,FALSE)</f>
        <v>136</v>
      </c>
      <c r="AI288" s="5" t="str">
        <f>VLOOKUP($A288,'SegEnds_NonXtal_Prot#'!$A:$AL,20,FALSE)</f>
        <v>-</v>
      </c>
      <c r="AJ288" s="5">
        <f>VLOOKUP($A288,'SegEnds_NonXtal_Prot#'!$A:$AL,23,FALSE)</f>
        <v>169</v>
      </c>
      <c r="AK288" s="5">
        <f>VLOOKUP($A288,'SegEnds_NonXtal_Prot#'!$A:$AL,26,FALSE)</f>
        <v>182</v>
      </c>
      <c r="AL288" s="5">
        <f>VLOOKUP($A288,'SegEnds_NonXtal_Prot#'!$A:$AL,29,FALSE)</f>
        <v>231</v>
      </c>
      <c r="AM288" s="5">
        <f>VLOOKUP($A288,'SegEnds_NonXtal_Prot#'!$A:$AL,32,FALSE)</f>
        <v>274</v>
      </c>
      <c r="AN288" s="5">
        <f>VLOOKUP($A288,'SegEnds_NonXtal_Prot#'!$A:$AL,35,FALSE)</f>
        <v>308</v>
      </c>
      <c r="AO288" s="5">
        <f>VLOOKUP($A288,'SegEnds_NonXtal_Prot#'!$A:$AL,38,FALSE)</f>
        <v>320</v>
      </c>
      <c r="AP288" s="5">
        <f t="shared" si="113"/>
        <v>29</v>
      </c>
      <c r="AQ288" s="4">
        <f t="shared" si="114"/>
        <v>3</v>
      </c>
      <c r="AR288" s="4">
        <f t="shared" si="115"/>
        <v>29</v>
      </c>
      <c r="AS288" s="4">
        <f t="shared" si="116"/>
        <v>3</v>
      </c>
      <c r="AT288" s="4">
        <f t="shared" si="117"/>
        <v>35</v>
      </c>
      <c r="AU288" s="4" t="str">
        <f t="shared" si="118"/>
        <v>-</v>
      </c>
      <c r="AV288" s="4">
        <f t="shared" si="119"/>
        <v>26</v>
      </c>
      <c r="AW288" s="4">
        <f t="shared" si="120"/>
        <v>2</v>
      </c>
      <c r="AX288" s="4">
        <f t="shared" si="121"/>
        <v>43</v>
      </c>
      <c r="AY288" s="4">
        <f t="shared" si="122"/>
        <v>39</v>
      </c>
      <c r="AZ288" s="4">
        <f t="shared" si="123"/>
        <v>28</v>
      </c>
      <c r="BA288" s="4">
        <f t="shared" si="124"/>
        <v>11</v>
      </c>
    </row>
    <row r="289" spans="1:53" x14ac:dyDescent="0.2">
      <c r="A289" s="1" t="str">
        <f>'SegEnds_NonXtal_Prot#'!A281</f>
        <v>nk2r_human</v>
      </c>
      <c r="B289" s="1" t="str">
        <f t="shared" si="100"/>
        <v>QLALWATAYLALVLVAVTGNAIVIWIILAHTVTNYFIVNLALADLCMAAFNAAFNFVYASGRAFCYFQNLFPITAMFVSIYSMTAIAADRYMAIVHSAPSTKAVIAGIWLVALALASPQCFYSSGGKTLLLYHLVVIALIYFLPLAVMFVAYSVIGLTLWRRAVPGHANLRHLQAMKKFVKTMVLVVLTFAICWLPYHLYFILGSFQHKFIQQVYLALFWLAMSSTMYNPIIYCCLNHRFRSGFRLAF</v>
      </c>
      <c r="C289" s="29" t="str">
        <f>IF(ISERROR(MATCH(A289,'SegEnds_Xtal_Prot#'!B:B, 0)), "NoXtal", "Xtal")</f>
        <v>NoXtal</v>
      </c>
      <c r="D289" s="4" t="str">
        <f>VLOOKUP(A289,Classification!A:D,2,FALSE)</f>
        <v>A</v>
      </c>
      <c r="E289" s="5" t="str">
        <f>VLOOKUP(A289,Seqs!A:B,2,FALSE)</f>
        <v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v>
      </c>
      <c r="F289" s="5" t="str">
        <f t="shared" si="101"/>
        <v>QLALWATAYLALVLVAVTGNAIVIWIILAH</v>
      </c>
      <c r="G289" s="4" t="str">
        <f t="shared" si="102"/>
        <v>RRMR</v>
      </c>
      <c r="H289" s="4" t="str">
        <f t="shared" si="103"/>
        <v>TVTNYFIVNLALADLCMAAFNAAFNFVYAS</v>
      </c>
      <c r="I289" s="4" t="str">
        <f t="shared" si="104"/>
        <v>IWYF</v>
      </c>
      <c r="J289" s="4" t="str">
        <f t="shared" si="105"/>
        <v>GRAFCYFQNLFPITAMFVSIYSMTAIAADRYMAIVH</v>
      </c>
      <c r="K289" s="4" t="str">
        <f t="shared" si="106"/>
        <v/>
      </c>
      <c r="L289" s="4" t="str">
        <f t="shared" si="107"/>
        <v>SAPSTKAVIAGIWLVALALASPQCFYS</v>
      </c>
      <c r="M289" s="4" t="str">
        <f t="shared" si="108"/>
        <v>CVV</v>
      </c>
      <c r="N289" s="4" t="str">
        <f t="shared" si="109"/>
        <v>SGGKTLLLYHLVVIALIYFLPLAVMFVAYSVIGLTLWRRAVPGH</v>
      </c>
      <c r="O289" s="4" t="str">
        <f t="shared" si="110"/>
        <v>ANLRHLQAMKKFVKTMVLVVLTFAICWLPYHLYFILGSFQ</v>
      </c>
      <c r="P289" s="4" t="str">
        <f t="shared" si="111"/>
        <v>HKFIQQVYLALFWLAMSSTMYNPIIYCCL</v>
      </c>
      <c r="Q289" s="4" t="str">
        <f t="shared" si="112"/>
        <v>NHRFRSGFRLAF</v>
      </c>
      <c r="R289" s="5">
        <f>VLOOKUP($A289,'SegEnds_NonXtal_Prot#'!$A:$AL,3,FALSE)</f>
        <v>32</v>
      </c>
      <c r="S289" s="5">
        <f>VLOOKUP($A289,'SegEnds_NonXtal_Prot#'!$A:$AL,6,FALSE)</f>
        <v>62</v>
      </c>
      <c r="T289" s="5">
        <f>VLOOKUP($A289,'SegEnds_NonXtal_Prot#'!$A:$AL,9,FALSE)</f>
        <v>66</v>
      </c>
      <c r="U289" s="5">
        <f>VLOOKUP($A289,'SegEnds_NonXtal_Prot#'!$A:$AL,12,FALSE)</f>
        <v>98</v>
      </c>
      <c r="V289" s="5">
        <f>VLOOKUP($A289,'SegEnds_NonXtal_Prot#'!$A:$AL,15,FALSE)</f>
        <v>102</v>
      </c>
      <c r="W289" s="5" t="str">
        <f>VLOOKUP($A289,'SegEnds_NonXtal_Prot#'!$A:$AL,18,FALSE)</f>
        <v>-</v>
      </c>
      <c r="X289" s="5">
        <f>VLOOKUP($A289,'SegEnds_NonXtal_Prot#'!$A:$AL,21,FALSE)</f>
        <v>144</v>
      </c>
      <c r="Y289" s="5">
        <f>VLOOKUP($A289,'SegEnds_NonXtal_Prot#'!$A:$AL,24,FALSE)</f>
        <v>181</v>
      </c>
      <c r="Z289" s="5">
        <f>VLOOKUP($A289,'SegEnds_NonXtal_Prot#'!$A:$AL,27,FALSE)</f>
        <v>189</v>
      </c>
      <c r="AA289" s="5">
        <f>VLOOKUP($A289,'SegEnds_NonXtal_Prot#'!$A:$AL,30,FALSE)</f>
        <v>237</v>
      </c>
      <c r="AB289" s="5">
        <f>VLOOKUP($A289,'SegEnds_NonXtal_Prot#'!$A:$AL,33,FALSE)</f>
        <v>282</v>
      </c>
      <c r="AC289" s="5">
        <f>VLOOKUP($A289,'SegEnds_NonXtal_Prot#'!$A:$AL,36,FALSE)</f>
        <v>311</v>
      </c>
      <c r="AD289" s="5">
        <f>VLOOKUP($A289,'SegEnds_NonXtal_Prot#'!$A:$AL,5,FALSE)</f>
        <v>61</v>
      </c>
      <c r="AE289" s="5">
        <f>VLOOKUP($A289,'SegEnds_NonXtal_Prot#'!$A:$AL,8,FALSE)</f>
        <v>65</v>
      </c>
      <c r="AF289" s="5">
        <f>VLOOKUP($A289,'SegEnds_NonXtal_Prot#'!$A:$AL,11,FALSE)</f>
        <v>95</v>
      </c>
      <c r="AG289" s="5">
        <f>VLOOKUP($A289,'SegEnds_NonXtal_Prot#'!$A:$AL,14,FALSE)</f>
        <v>101</v>
      </c>
      <c r="AH289" s="5">
        <f>VLOOKUP($A289,'SegEnds_NonXtal_Prot#'!$A:$AL,17,FALSE)</f>
        <v>137</v>
      </c>
      <c r="AI289" s="5" t="str">
        <f>VLOOKUP($A289,'SegEnds_NonXtal_Prot#'!$A:$AL,20,FALSE)</f>
        <v>-</v>
      </c>
      <c r="AJ289" s="5">
        <f>VLOOKUP($A289,'SegEnds_NonXtal_Prot#'!$A:$AL,23,FALSE)</f>
        <v>170</v>
      </c>
      <c r="AK289" s="5">
        <f>VLOOKUP($A289,'SegEnds_NonXtal_Prot#'!$A:$AL,26,FALSE)</f>
        <v>183</v>
      </c>
      <c r="AL289" s="5">
        <f>VLOOKUP($A289,'SegEnds_NonXtal_Prot#'!$A:$AL,29,FALSE)</f>
        <v>232</v>
      </c>
      <c r="AM289" s="5">
        <f>VLOOKUP($A289,'SegEnds_NonXtal_Prot#'!$A:$AL,32,FALSE)</f>
        <v>276</v>
      </c>
      <c r="AN289" s="5">
        <f>VLOOKUP($A289,'SegEnds_NonXtal_Prot#'!$A:$AL,35,FALSE)</f>
        <v>310</v>
      </c>
      <c r="AO289" s="5">
        <f>VLOOKUP($A289,'SegEnds_NonXtal_Prot#'!$A:$AL,38,FALSE)</f>
        <v>322</v>
      </c>
      <c r="AP289" s="5">
        <f t="shared" si="113"/>
        <v>29</v>
      </c>
      <c r="AQ289" s="4">
        <f t="shared" si="114"/>
        <v>3</v>
      </c>
      <c r="AR289" s="4">
        <f t="shared" si="115"/>
        <v>29</v>
      </c>
      <c r="AS289" s="4">
        <f t="shared" si="116"/>
        <v>3</v>
      </c>
      <c r="AT289" s="4">
        <f t="shared" si="117"/>
        <v>35</v>
      </c>
      <c r="AU289" s="4" t="str">
        <f t="shared" si="118"/>
        <v>-</v>
      </c>
      <c r="AV289" s="4">
        <f t="shared" si="119"/>
        <v>26</v>
      </c>
      <c r="AW289" s="4">
        <f t="shared" si="120"/>
        <v>2</v>
      </c>
      <c r="AX289" s="4">
        <f t="shared" si="121"/>
        <v>43</v>
      </c>
      <c r="AY289" s="4">
        <f t="shared" si="122"/>
        <v>39</v>
      </c>
      <c r="AZ289" s="4">
        <f t="shared" si="123"/>
        <v>28</v>
      </c>
      <c r="BA289" s="4">
        <f t="shared" si="124"/>
        <v>11</v>
      </c>
    </row>
    <row r="290" spans="1:53" x14ac:dyDescent="0.2">
      <c r="A290" s="1" t="str">
        <f>'SegEnds_NonXtal_Prot#'!A282</f>
        <v>nk3r_human</v>
      </c>
      <c r="B290" s="1" t="str">
        <f t="shared" si="100"/>
        <v>RIALWSLAYGVVVAVAVLGNLIVIWIILAHTVTNYFLVNLAFSDASMAAFNTLVNFIYALGANYCRFQNFFPITAVFASIYSMTAIAVDRYMAIIDSATATKIVIGSIWILAFLLAFPQCLYSEGPKQHFTYHIIVIILVYCFPLLIMGITYTIVGITLWGGEIPGDKYHEQLKAKRKVVKMMIIVVMTFAICWLPYHIYFILTAIYWKYIQQVYLASFWLAMSSTMYNPIIYCCLNKRFRAGFKRAF</v>
      </c>
      <c r="C290" s="29" t="str">
        <f>IF(ISERROR(MATCH(A290,'SegEnds_Xtal_Prot#'!B:B, 0)), "NoXtal", "Xtal")</f>
        <v>NoXtal</v>
      </c>
      <c r="D290" s="4" t="str">
        <f>VLOOKUP(A290,Classification!A:D,2,FALSE)</f>
        <v>A</v>
      </c>
      <c r="E290" s="5" t="str">
        <f>VLOOKUP(A290,Seqs!A:B,2,FALSE)</f>
        <v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v>
      </c>
      <c r="F290" s="5" t="str">
        <f t="shared" si="101"/>
        <v>RIALWSLAYGVVVAVAVLGNLIVIWIILAH</v>
      </c>
      <c r="G290" s="4" t="str">
        <f t="shared" si="102"/>
        <v>KRMR</v>
      </c>
      <c r="H290" s="4" t="str">
        <f t="shared" si="103"/>
        <v>TVTNYFLVNLAFSDASMAAFNTLVNFIYAL</v>
      </c>
      <c r="I290" s="4" t="str">
        <f t="shared" si="104"/>
        <v>EWYF</v>
      </c>
      <c r="J290" s="4" t="str">
        <f t="shared" si="105"/>
        <v>GANYCRFQNFFPITAVFASIYSMTAIAVDRYMAIID</v>
      </c>
      <c r="K290" s="4" t="str">
        <f t="shared" si="106"/>
        <v/>
      </c>
      <c r="L290" s="4" t="str">
        <f t="shared" si="107"/>
        <v>SATATKIVIGSIWILAFLLAFPQCLYS</v>
      </c>
      <c r="M290" s="4" t="str">
        <f t="shared" si="108"/>
        <v>CFV</v>
      </c>
      <c r="N290" s="4" t="str">
        <f t="shared" si="109"/>
        <v>EGPKQHFTYHIIVIILVYCFPLLIMGITYTIVGITLWGGEIPGD</v>
      </c>
      <c r="O290" s="4" t="str">
        <f t="shared" si="110"/>
        <v>KYHEQLKAKRKVVKMMIIVVMTFAICWLPYHIYFILTAIY</v>
      </c>
      <c r="P290" s="4" t="str">
        <f t="shared" si="111"/>
        <v>WKYIQQVYLASFWLAMSSTMYNPIIYCCL</v>
      </c>
      <c r="Q290" s="4" t="str">
        <f t="shared" si="112"/>
        <v>NKRFRAGFKRAF</v>
      </c>
      <c r="R290" s="5">
        <f>VLOOKUP($A290,'SegEnds_NonXtal_Prot#'!$A:$AL,3,FALSE)</f>
        <v>84</v>
      </c>
      <c r="S290" s="5">
        <f>VLOOKUP($A290,'SegEnds_NonXtal_Prot#'!$A:$AL,6,FALSE)</f>
        <v>114</v>
      </c>
      <c r="T290" s="5">
        <f>VLOOKUP($A290,'SegEnds_NonXtal_Prot#'!$A:$AL,9,FALSE)</f>
        <v>118</v>
      </c>
      <c r="U290" s="5">
        <f>VLOOKUP($A290,'SegEnds_NonXtal_Prot#'!$A:$AL,12,FALSE)</f>
        <v>150</v>
      </c>
      <c r="V290" s="5">
        <f>VLOOKUP($A290,'SegEnds_NonXtal_Prot#'!$A:$AL,15,FALSE)</f>
        <v>154</v>
      </c>
      <c r="W290" s="5" t="str">
        <f>VLOOKUP($A290,'SegEnds_NonXtal_Prot#'!$A:$AL,18,FALSE)</f>
        <v>-</v>
      </c>
      <c r="X290" s="5">
        <f>VLOOKUP($A290,'SegEnds_NonXtal_Prot#'!$A:$AL,21,FALSE)</f>
        <v>196</v>
      </c>
      <c r="Y290" s="5">
        <f>VLOOKUP($A290,'SegEnds_NonXtal_Prot#'!$A:$AL,24,FALSE)</f>
        <v>233</v>
      </c>
      <c r="Z290" s="5">
        <f>VLOOKUP($A290,'SegEnds_NonXtal_Prot#'!$A:$AL,27,FALSE)</f>
        <v>239</v>
      </c>
      <c r="AA290" s="5">
        <f>VLOOKUP($A290,'SegEnds_NonXtal_Prot#'!$A:$AL,30,FALSE)</f>
        <v>286</v>
      </c>
      <c r="AB290" s="5">
        <f>VLOOKUP($A290,'SegEnds_NonXtal_Prot#'!$A:$AL,33,FALSE)</f>
        <v>331</v>
      </c>
      <c r="AC290" s="5">
        <f>VLOOKUP($A290,'SegEnds_NonXtal_Prot#'!$A:$AL,36,FALSE)</f>
        <v>360</v>
      </c>
      <c r="AD290" s="5">
        <f>VLOOKUP($A290,'SegEnds_NonXtal_Prot#'!$A:$AL,5,FALSE)</f>
        <v>113</v>
      </c>
      <c r="AE290" s="5">
        <f>VLOOKUP($A290,'SegEnds_NonXtal_Prot#'!$A:$AL,8,FALSE)</f>
        <v>117</v>
      </c>
      <c r="AF290" s="5">
        <f>VLOOKUP($A290,'SegEnds_NonXtal_Prot#'!$A:$AL,11,FALSE)</f>
        <v>147</v>
      </c>
      <c r="AG290" s="5">
        <f>VLOOKUP($A290,'SegEnds_NonXtal_Prot#'!$A:$AL,14,FALSE)</f>
        <v>153</v>
      </c>
      <c r="AH290" s="5">
        <f>VLOOKUP($A290,'SegEnds_NonXtal_Prot#'!$A:$AL,17,FALSE)</f>
        <v>189</v>
      </c>
      <c r="AI290" s="5" t="str">
        <f>VLOOKUP($A290,'SegEnds_NonXtal_Prot#'!$A:$AL,20,FALSE)</f>
        <v>-</v>
      </c>
      <c r="AJ290" s="5">
        <f>VLOOKUP($A290,'SegEnds_NonXtal_Prot#'!$A:$AL,23,FALSE)</f>
        <v>222</v>
      </c>
      <c r="AK290" s="5">
        <f>VLOOKUP($A290,'SegEnds_NonXtal_Prot#'!$A:$AL,26,FALSE)</f>
        <v>235</v>
      </c>
      <c r="AL290" s="5">
        <f>VLOOKUP($A290,'SegEnds_NonXtal_Prot#'!$A:$AL,29,FALSE)</f>
        <v>282</v>
      </c>
      <c r="AM290" s="5">
        <f>VLOOKUP($A290,'SegEnds_NonXtal_Prot#'!$A:$AL,32,FALSE)</f>
        <v>325</v>
      </c>
      <c r="AN290" s="5">
        <f>VLOOKUP($A290,'SegEnds_NonXtal_Prot#'!$A:$AL,35,FALSE)</f>
        <v>359</v>
      </c>
      <c r="AO290" s="5">
        <f>VLOOKUP($A290,'SegEnds_NonXtal_Prot#'!$A:$AL,38,FALSE)</f>
        <v>371</v>
      </c>
      <c r="AP290" s="5">
        <f t="shared" si="113"/>
        <v>29</v>
      </c>
      <c r="AQ290" s="4">
        <f t="shared" si="114"/>
        <v>3</v>
      </c>
      <c r="AR290" s="4">
        <f t="shared" si="115"/>
        <v>29</v>
      </c>
      <c r="AS290" s="4">
        <f t="shared" si="116"/>
        <v>3</v>
      </c>
      <c r="AT290" s="4">
        <f t="shared" si="117"/>
        <v>35</v>
      </c>
      <c r="AU290" s="4" t="str">
        <f t="shared" si="118"/>
        <v>-</v>
      </c>
      <c r="AV290" s="4">
        <f t="shared" si="119"/>
        <v>26</v>
      </c>
      <c r="AW290" s="4">
        <f t="shared" si="120"/>
        <v>2</v>
      </c>
      <c r="AX290" s="4">
        <f t="shared" si="121"/>
        <v>43</v>
      </c>
      <c r="AY290" s="4">
        <f t="shared" si="122"/>
        <v>39</v>
      </c>
      <c r="AZ290" s="4">
        <f t="shared" si="123"/>
        <v>28</v>
      </c>
      <c r="BA290" s="4">
        <f t="shared" si="124"/>
        <v>11</v>
      </c>
    </row>
    <row r="291" spans="1:53" x14ac:dyDescent="0.2">
      <c r="A291" s="1" t="str">
        <f>'SegEnds_NonXtal_Prot#'!A283</f>
        <v>npbw1_human</v>
      </c>
      <c r="B291" s="1" t="str">
        <f t="shared" si="100"/>
        <v>PLAVAVPVVYAVICAVGLAGNSAVLYVLLRATVTNLFILNLAIADELFTLVLPINIADFLLGELMCKLIVAIDQYNTFSSLYFLTVMSADRYLVVLATYSAARAVSLAVWGIVTLVVLPFAVFAPEAFWWRASRLYTLVLGFAIPVSTICVLYTTLLCRLHAMAKALERAKKRVTFLVVAILAVCLLCWTPYHLSTVVALTTTPLVIAISYFITSLSYANSCLNPFLYAFLDASFRRNLRQLIT</v>
      </c>
      <c r="C291" s="29" t="str">
        <f>IF(ISERROR(MATCH(A291,'SegEnds_Xtal_Prot#'!B:B, 0)), "NoXtal", "Xtal")</f>
        <v>NoXtal</v>
      </c>
      <c r="D291" s="4" t="str">
        <f>VLOOKUP(A291,Classification!A:D,2,FALSE)</f>
        <v>A</v>
      </c>
      <c r="E291" s="5" t="str">
        <f>VLOOKUP(A291,Seqs!A:B,2,FALSE)</f>
        <v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v>
      </c>
      <c r="F291" s="5" t="str">
        <f t="shared" si="101"/>
        <v>PLAVAVPVVYAVICAVGLAGNSAVLYVLLRA</v>
      </c>
      <c r="G291" s="4" t="str">
        <f t="shared" si="102"/>
        <v>PRMK</v>
      </c>
      <c r="H291" s="4" t="str">
        <f t="shared" si="103"/>
        <v>TVTNLFILNLAIADELFTLVLPINIADFLL</v>
      </c>
      <c r="I291" s="4" t="str">
        <f t="shared" si="104"/>
        <v>QWPF</v>
      </c>
      <c r="J291" s="4" t="str">
        <f t="shared" si="105"/>
        <v>GELMCKLIVAIDQYNTFSSLYFLTVMSADRYLVVLA</v>
      </c>
      <c r="K291" s="4" t="str">
        <f t="shared" si="106"/>
        <v/>
      </c>
      <c r="L291" s="4" t="str">
        <f t="shared" si="107"/>
        <v>TYSAARAVSLAVWGIVTLVVLPFAVFA</v>
      </c>
      <c r="M291" s="4" t="str">
        <f t="shared" si="108"/>
        <v>CVL</v>
      </c>
      <c r="N291" s="4" t="str">
        <f t="shared" si="109"/>
        <v>PEAFWWRASRLYTLVLGFAIPVSTICVLYTTLLCRLHAM</v>
      </c>
      <c r="O291" s="4" t="str">
        <f t="shared" si="110"/>
        <v>AKALERAKKRVTFLVVAILAVCLLCWTPYHLSTVVALTT</v>
      </c>
      <c r="P291" s="4" t="str">
        <f t="shared" si="111"/>
        <v>TPLVIAISYFITSLSYANSCLNPFLYAFL</v>
      </c>
      <c r="Q291" s="4" t="str">
        <f t="shared" si="112"/>
        <v>DASFRRNLRQLIT</v>
      </c>
      <c r="R291" s="5">
        <f>VLOOKUP($A291,'SegEnds_NonXtal_Prot#'!$A:$AL,3,FALSE)</f>
        <v>35</v>
      </c>
      <c r="S291" s="5">
        <f>VLOOKUP($A291,'SegEnds_NonXtal_Prot#'!$A:$AL,6,FALSE)</f>
        <v>66</v>
      </c>
      <c r="T291" s="5">
        <f>VLOOKUP($A291,'SegEnds_NonXtal_Prot#'!$A:$AL,9,FALSE)</f>
        <v>70</v>
      </c>
      <c r="U291" s="5">
        <f>VLOOKUP($A291,'SegEnds_NonXtal_Prot#'!$A:$AL,12,FALSE)</f>
        <v>101</v>
      </c>
      <c r="V291" s="5">
        <f>VLOOKUP($A291,'SegEnds_NonXtal_Prot#'!$A:$AL,15,FALSE)</f>
        <v>105</v>
      </c>
      <c r="W291" s="5" t="str">
        <f>VLOOKUP($A291,'SegEnds_NonXtal_Prot#'!$A:$AL,18,FALSE)</f>
        <v>-</v>
      </c>
      <c r="X291" s="5">
        <f>VLOOKUP($A291,'SegEnds_NonXtal_Prot#'!$A:$AL,21,FALSE)</f>
        <v>151</v>
      </c>
      <c r="Y291" s="5">
        <f>VLOOKUP($A291,'SegEnds_NonXtal_Prot#'!$A:$AL,24,FALSE)</f>
        <v>188</v>
      </c>
      <c r="Z291" s="5">
        <f>VLOOKUP($A291,'SegEnds_NonXtal_Prot#'!$A:$AL,27,FALSE)</f>
        <v>195</v>
      </c>
      <c r="AA291" s="5">
        <f>VLOOKUP($A291,'SegEnds_NonXtal_Prot#'!$A:$AL,30,FALSE)</f>
        <v>239</v>
      </c>
      <c r="AB291" s="5">
        <f>VLOOKUP($A291,'SegEnds_NonXtal_Prot#'!$A:$AL,33,FALSE)</f>
        <v>282</v>
      </c>
      <c r="AC291" s="5">
        <f>VLOOKUP($A291,'SegEnds_NonXtal_Prot#'!$A:$AL,36,FALSE)</f>
        <v>311</v>
      </c>
      <c r="AD291" s="5">
        <f>VLOOKUP($A291,'SegEnds_NonXtal_Prot#'!$A:$AL,5,FALSE)</f>
        <v>65</v>
      </c>
      <c r="AE291" s="5">
        <f>VLOOKUP($A291,'SegEnds_NonXtal_Prot#'!$A:$AL,8,FALSE)</f>
        <v>69</v>
      </c>
      <c r="AF291" s="5">
        <f>VLOOKUP($A291,'SegEnds_NonXtal_Prot#'!$A:$AL,11,FALSE)</f>
        <v>99</v>
      </c>
      <c r="AG291" s="5">
        <f>VLOOKUP($A291,'SegEnds_NonXtal_Prot#'!$A:$AL,14,FALSE)</f>
        <v>104</v>
      </c>
      <c r="AH291" s="5">
        <f>VLOOKUP($A291,'SegEnds_NonXtal_Prot#'!$A:$AL,17,FALSE)</f>
        <v>140</v>
      </c>
      <c r="AI291" s="5" t="str">
        <f>VLOOKUP($A291,'SegEnds_NonXtal_Prot#'!$A:$AL,20,FALSE)</f>
        <v>-</v>
      </c>
      <c r="AJ291" s="5">
        <f>VLOOKUP($A291,'SegEnds_NonXtal_Prot#'!$A:$AL,23,FALSE)</f>
        <v>177</v>
      </c>
      <c r="AK291" s="5">
        <f>VLOOKUP($A291,'SegEnds_NonXtal_Prot#'!$A:$AL,26,FALSE)</f>
        <v>190</v>
      </c>
      <c r="AL291" s="5">
        <f>VLOOKUP($A291,'SegEnds_NonXtal_Prot#'!$A:$AL,29,FALSE)</f>
        <v>233</v>
      </c>
      <c r="AM291" s="5">
        <f>VLOOKUP($A291,'SegEnds_NonXtal_Prot#'!$A:$AL,32,FALSE)</f>
        <v>277</v>
      </c>
      <c r="AN291" s="5">
        <f>VLOOKUP($A291,'SegEnds_NonXtal_Prot#'!$A:$AL,35,FALSE)</f>
        <v>310</v>
      </c>
      <c r="AO291" s="5">
        <f>VLOOKUP($A291,'SegEnds_NonXtal_Prot#'!$A:$AL,38,FALSE)</f>
        <v>323</v>
      </c>
      <c r="AP291" s="5">
        <f t="shared" si="113"/>
        <v>30</v>
      </c>
      <c r="AQ291" s="4">
        <f t="shared" si="114"/>
        <v>3</v>
      </c>
      <c r="AR291" s="4">
        <f t="shared" si="115"/>
        <v>29</v>
      </c>
      <c r="AS291" s="4">
        <f t="shared" si="116"/>
        <v>3</v>
      </c>
      <c r="AT291" s="4">
        <f t="shared" si="117"/>
        <v>35</v>
      </c>
      <c r="AU291" s="4" t="str">
        <f t="shared" si="118"/>
        <v>-</v>
      </c>
      <c r="AV291" s="4">
        <f t="shared" si="119"/>
        <v>26</v>
      </c>
      <c r="AW291" s="4">
        <f t="shared" si="120"/>
        <v>2</v>
      </c>
      <c r="AX291" s="4">
        <f t="shared" si="121"/>
        <v>38</v>
      </c>
      <c r="AY291" s="4">
        <f t="shared" si="122"/>
        <v>38</v>
      </c>
      <c r="AZ291" s="4">
        <f t="shared" si="123"/>
        <v>28</v>
      </c>
      <c r="BA291" s="4">
        <f t="shared" si="124"/>
        <v>12</v>
      </c>
    </row>
    <row r="292" spans="1:53" x14ac:dyDescent="0.2">
      <c r="A292" s="1" t="str">
        <f>'SegEnds_NonXtal_Prot#'!A284</f>
        <v>npbw2_human</v>
      </c>
      <c r="B292" s="1" t="str">
        <f t="shared" si="100"/>
        <v>ATFSEPLPFLYVLLPAVYSGICAVGLTGNTAVILVILRATVTNVFILNLAVADGLFTLVLPVNIAEHLLGELLCKLVLAVDHYNIFSSIYFLAVMSVDRYLVVLATYRGAKVASLCVWLGVTVLVLPFFSFAEQVWFKASRVYTLVLGFVLPVCTICVLYTDLLRRLRAVAKALGKARRKVTVLVLVVLAVCLLCWTPFHLASVVALTTTPLVISMSYVITSLSYANSCLNPFLYAFLDDNFRKNFRSILRC</v>
      </c>
      <c r="C292" s="29" t="str">
        <f>IF(ISERROR(MATCH(A292,'SegEnds_Xtal_Prot#'!B:B, 0)), "NoXtal", "Xtal")</f>
        <v>NoXtal</v>
      </c>
      <c r="D292" s="4" t="str">
        <f>VLOOKUP(A292,Classification!A:D,2,FALSE)</f>
        <v>A</v>
      </c>
      <c r="E292" s="5" t="str">
        <f>VLOOKUP(A292,Seqs!A:B,2,FALSE)</f>
        <v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v>
      </c>
      <c r="F292" s="5" t="str">
        <f t="shared" si="101"/>
        <v>ATFSEPLPFLYVLLPAVYSGICAVGLTGNTAVILVILRA</v>
      </c>
      <c r="G292" s="4" t="str">
        <f t="shared" si="102"/>
        <v>PKMK</v>
      </c>
      <c r="H292" s="4" t="str">
        <f t="shared" si="103"/>
        <v>TVTNVFILNLAVADGLFTLVLPVNIAEHLL</v>
      </c>
      <c r="I292" s="4" t="str">
        <f t="shared" si="104"/>
        <v>YWPF</v>
      </c>
      <c r="J292" s="4" t="str">
        <f t="shared" si="105"/>
        <v>GELLCKLVLAVDHYNIFSSIYFLAVMSVDRYLVVLA</v>
      </c>
      <c r="K292" s="4" t="str">
        <f t="shared" si="106"/>
        <v/>
      </c>
      <c r="L292" s="4" t="str">
        <f t="shared" si="107"/>
        <v>TYRGAKVASLCVWLGVTVLVLPFFSFA</v>
      </c>
      <c r="M292" s="4" t="str">
        <f t="shared" si="108"/>
        <v>CGL</v>
      </c>
      <c r="N292" s="4" t="str">
        <f t="shared" si="109"/>
        <v>EQVWFKASRVYTLVLGFVLPVCTICVLYTDLLRRLRAV</v>
      </c>
      <c r="O292" s="4" t="str">
        <f t="shared" si="110"/>
        <v>AKALGKARRKVTVLVLVVLAVCLLCWTPFHLASVVALTT</v>
      </c>
      <c r="P292" s="4" t="str">
        <f t="shared" si="111"/>
        <v>TPLVISMSYVITSLSYANSCLNPFLYAFL</v>
      </c>
      <c r="Q292" s="4" t="str">
        <f t="shared" si="112"/>
        <v>DDNFRKNFRSILRC</v>
      </c>
      <c r="R292" s="5">
        <f>VLOOKUP($A292,'SegEnds_NonXtal_Prot#'!$A:$AL,3,FALSE)</f>
        <v>35</v>
      </c>
      <c r="S292" s="5">
        <f>VLOOKUP($A292,'SegEnds_NonXtal_Prot#'!$A:$AL,6,FALSE)</f>
        <v>74</v>
      </c>
      <c r="T292" s="5">
        <f>VLOOKUP($A292,'SegEnds_NonXtal_Prot#'!$A:$AL,9,FALSE)</f>
        <v>78</v>
      </c>
      <c r="U292" s="5">
        <f>VLOOKUP($A292,'SegEnds_NonXtal_Prot#'!$A:$AL,12,FALSE)</f>
        <v>109</v>
      </c>
      <c r="V292" s="5">
        <f>VLOOKUP($A292,'SegEnds_NonXtal_Prot#'!$A:$AL,15,FALSE)</f>
        <v>113</v>
      </c>
      <c r="W292" s="5" t="str">
        <f>VLOOKUP($A292,'SegEnds_NonXtal_Prot#'!$A:$AL,18,FALSE)</f>
        <v>-</v>
      </c>
      <c r="X292" s="5">
        <f>VLOOKUP($A292,'SegEnds_NonXtal_Prot#'!$A:$AL,21,FALSE)</f>
        <v>159</v>
      </c>
      <c r="Y292" s="5">
        <f>VLOOKUP($A292,'SegEnds_NonXtal_Prot#'!$A:$AL,24,FALSE)</f>
        <v>197</v>
      </c>
      <c r="Z292" s="5">
        <f>VLOOKUP($A292,'SegEnds_NonXtal_Prot#'!$A:$AL,27,FALSE)</f>
        <v>205</v>
      </c>
      <c r="AA292" s="5">
        <f>VLOOKUP($A292,'SegEnds_NonXtal_Prot#'!$A:$AL,30,FALSE)</f>
        <v>248</v>
      </c>
      <c r="AB292" s="5">
        <f>VLOOKUP($A292,'SegEnds_NonXtal_Prot#'!$A:$AL,33,FALSE)</f>
        <v>291</v>
      </c>
      <c r="AC292" s="5">
        <f>VLOOKUP($A292,'SegEnds_NonXtal_Prot#'!$A:$AL,36,FALSE)</f>
        <v>320</v>
      </c>
      <c r="AD292" s="5">
        <f>VLOOKUP($A292,'SegEnds_NonXtal_Prot#'!$A:$AL,5,FALSE)</f>
        <v>73</v>
      </c>
      <c r="AE292" s="5">
        <f>VLOOKUP($A292,'SegEnds_NonXtal_Prot#'!$A:$AL,8,FALSE)</f>
        <v>77</v>
      </c>
      <c r="AF292" s="5">
        <f>VLOOKUP($A292,'SegEnds_NonXtal_Prot#'!$A:$AL,11,FALSE)</f>
        <v>107</v>
      </c>
      <c r="AG292" s="5">
        <f>VLOOKUP($A292,'SegEnds_NonXtal_Prot#'!$A:$AL,14,FALSE)</f>
        <v>112</v>
      </c>
      <c r="AH292" s="5">
        <f>VLOOKUP($A292,'SegEnds_NonXtal_Prot#'!$A:$AL,17,FALSE)</f>
        <v>148</v>
      </c>
      <c r="AI292" s="5" t="str">
        <f>VLOOKUP($A292,'SegEnds_NonXtal_Prot#'!$A:$AL,20,FALSE)</f>
        <v>-</v>
      </c>
      <c r="AJ292" s="5">
        <f>VLOOKUP($A292,'SegEnds_NonXtal_Prot#'!$A:$AL,23,FALSE)</f>
        <v>185</v>
      </c>
      <c r="AK292" s="5">
        <f>VLOOKUP($A292,'SegEnds_NonXtal_Prot#'!$A:$AL,26,FALSE)</f>
        <v>199</v>
      </c>
      <c r="AL292" s="5">
        <f>VLOOKUP($A292,'SegEnds_NonXtal_Prot#'!$A:$AL,29,FALSE)</f>
        <v>242</v>
      </c>
      <c r="AM292" s="5">
        <f>VLOOKUP($A292,'SegEnds_NonXtal_Prot#'!$A:$AL,32,FALSE)</f>
        <v>286</v>
      </c>
      <c r="AN292" s="5">
        <f>VLOOKUP($A292,'SegEnds_NonXtal_Prot#'!$A:$AL,35,FALSE)</f>
        <v>319</v>
      </c>
      <c r="AO292" s="5">
        <f>VLOOKUP($A292,'SegEnds_NonXtal_Prot#'!$A:$AL,38,FALSE)</f>
        <v>333</v>
      </c>
      <c r="AP292" s="5">
        <f t="shared" si="113"/>
        <v>38</v>
      </c>
      <c r="AQ292" s="4">
        <f t="shared" si="114"/>
        <v>3</v>
      </c>
      <c r="AR292" s="4">
        <f t="shared" si="115"/>
        <v>29</v>
      </c>
      <c r="AS292" s="4">
        <f t="shared" si="116"/>
        <v>3</v>
      </c>
      <c r="AT292" s="4">
        <f t="shared" si="117"/>
        <v>35</v>
      </c>
      <c r="AU292" s="4" t="str">
        <f t="shared" si="118"/>
        <v>-</v>
      </c>
      <c r="AV292" s="4">
        <f t="shared" si="119"/>
        <v>26</v>
      </c>
      <c r="AW292" s="4">
        <f t="shared" si="120"/>
        <v>2</v>
      </c>
      <c r="AX292" s="4">
        <f t="shared" si="121"/>
        <v>37</v>
      </c>
      <c r="AY292" s="4">
        <f t="shared" si="122"/>
        <v>38</v>
      </c>
      <c r="AZ292" s="4">
        <f t="shared" si="123"/>
        <v>28</v>
      </c>
      <c r="BA292" s="4">
        <f t="shared" si="124"/>
        <v>13</v>
      </c>
    </row>
    <row r="293" spans="1:53" x14ac:dyDescent="0.2">
      <c r="A293" s="1" t="str">
        <f>'SegEnds_NonXtal_Prot#'!A285</f>
        <v>npff1_human</v>
      </c>
      <c r="B293" s="1" t="str">
        <f t="shared" si="100"/>
        <v>AAMFIVAYALIFLLCMVGNTLVCFIVLKNTVTNMFILNLAVSDLLVGIFCMPTTLVDNLIDNATCKMSGLVQGMSVSASVFTLVAIAVERFRCIVHTLRKALVTIAVIWALALLIMCPSAVTLKGMRRVYTTVLFSHIYLAPLALIVVMYARIARKLCQAPGPAPADPRASRRRARVVHMLVMVALFFTLSWLPLWALLLLIDYGHLVTVYAFPFAHWLAFFNSSANPIIYGYFNENFRRGFQAAF</v>
      </c>
      <c r="C293" s="29" t="str">
        <f>IF(ISERROR(MATCH(A293,'SegEnds_Xtal_Prot#'!B:B, 0)), "NoXtal", "Xtal")</f>
        <v>NoXtal</v>
      </c>
      <c r="D293" s="4" t="str">
        <f>VLOOKUP(A293,Classification!A:D,2,FALSE)</f>
        <v>A</v>
      </c>
      <c r="E293" s="5" t="str">
        <f>VLOOKUP(A293,Seqs!A:B,2,FALSE)</f>
        <v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v>
      </c>
      <c r="F293" s="5" t="str">
        <f t="shared" si="101"/>
        <v>AAMFIVAYALIFLLCMVGNTLVCFIVLKN</v>
      </c>
      <c r="G293" s="4" t="str">
        <f t="shared" si="102"/>
        <v>RHMH</v>
      </c>
      <c r="H293" s="4" t="str">
        <f t="shared" si="103"/>
        <v>TVTNMFILNLAVSDLLVGIFCMPTTLVDNLI</v>
      </c>
      <c r="I293" s="4" t="str">
        <f t="shared" si="104"/>
        <v>GWPF</v>
      </c>
      <c r="J293" s="4" t="str">
        <f t="shared" si="105"/>
        <v>DNATCKMSGLVQGMSVSASVFTLVAIAVERFRCIVH</v>
      </c>
      <c r="K293" s="4" t="str">
        <f t="shared" si="106"/>
        <v/>
      </c>
      <c r="L293" s="4" t="str">
        <f t="shared" si="107"/>
        <v>TLRKALVTIAVIWALALLIMCPSAVTL</v>
      </c>
      <c r="M293" s="4" t="str">
        <f t="shared" si="108"/>
        <v>CWE</v>
      </c>
      <c r="N293" s="4" t="str">
        <f t="shared" si="109"/>
        <v>KGMRRVYTTVLFSHIYLAPLALIVVMYARIARKLCQAPGPAP</v>
      </c>
      <c r="O293" s="4" t="str">
        <f t="shared" si="110"/>
        <v>ADPRASRRRARVVHMLVMVALFFTLSWLPLWALLLLIDYG</v>
      </c>
      <c r="P293" s="4" t="str">
        <f t="shared" si="111"/>
        <v>HLVTVYAFPFAHWLAFFNSSANPIIYGYF</v>
      </c>
      <c r="Q293" s="4" t="str">
        <f t="shared" si="112"/>
        <v>NENFRRGFQAAF</v>
      </c>
      <c r="R293" s="5">
        <f>VLOOKUP($A293,'SegEnds_NonXtal_Prot#'!$A:$AL,3,FALSE)</f>
        <v>43</v>
      </c>
      <c r="S293" s="5">
        <f>VLOOKUP($A293,'SegEnds_NonXtal_Prot#'!$A:$AL,6,FALSE)</f>
        <v>72</v>
      </c>
      <c r="T293" s="5">
        <f>VLOOKUP($A293,'SegEnds_NonXtal_Prot#'!$A:$AL,9,FALSE)</f>
        <v>76</v>
      </c>
      <c r="U293" s="5">
        <f>VLOOKUP($A293,'SegEnds_NonXtal_Prot#'!$A:$AL,12,FALSE)</f>
        <v>108</v>
      </c>
      <c r="V293" s="5">
        <f>VLOOKUP($A293,'SegEnds_NonXtal_Prot#'!$A:$AL,15,FALSE)</f>
        <v>112</v>
      </c>
      <c r="W293" s="5" t="str">
        <f>VLOOKUP($A293,'SegEnds_NonXtal_Prot#'!$A:$AL,18,FALSE)</f>
        <v>-</v>
      </c>
      <c r="X293" s="5">
        <f>VLOOKUP($A293,'SegEnds_NonXtal_Prot#'!$A:$AL,21,FALSE)</f>
        <v>154</v>
      </c>
      <c r="Y293" s="5">
        <f>VLOOKUP($A293,'SegEnds_NonXtal_Prot#'!$A:$AL,24,FALSE)</f>
        <v>203</v>
      </c>
      <c r="Z293" s="5">
        <f>VLOOKUP($A293,'SegEnds_NonXtal_Prot#'!$A:$AL,27,FALSE)</f>
        <v>210</v>
      </c>
      <c r="AA293" s="5">
        <f>VLOOKUP($A293,'SegEnds_NonXtal_Prot#'!$A:$AL,30,FALSE)</f>
        <v>257</v>
      </c>
      <c r="AB293" s="5">
        <f>VLOOKUP($A293,'SegEnds_NonXtal_Prot#'!$A:$AL,33,FALSE)</f>
        <v>304</v>
      </c>
      <c r="AC293" s="5">
        <f>VLOOKUP($A293,'SegEnds_NonXtal_Prot#'!$A:$AL,36,FALSE)</f>
        <v>333</v>
      </c>
      <c r="AD293" s="5">
        <f>VLOOKUP($A293,'SegEnds_NonXtal_Prot#'!$A:$AL,5,FALSE)</f>
        <v>71</v>
      </c>
      <c r="AE293" s="5">
        <f>VLOOKUP($A293,'SegEnds_NonXtal_Prot#'!$A:$AL,8,FALSE)</f>
        <v>75</v>
      </c>
      <c r="AF293" s="5">
        <f>VLOOKUP($A293,'SegEnds_NonXtal_Prot#'!$A:$AL,11,FALSE)</f>
        <v>106</v>
      </c>
      <c r="AG293" s="5">
        <f>VLOOKUP($A293,'SegEnds_NonXtal_Prot#'!$A:$AL,14,FALSE)</f>
        <v>111</v>
      </c>
      <c r="AH293" s="5">
        <f>VLOOKUP($A293,'SegEnds_NonXtal_Prot#'!$A:$AL,17,FALSE)</f>
        <v>147</v>
      </c>
      <c r="AI293" s="5" t="str">
        <f>VLOOKUP($A293,'SegEnds_NonXtal_Prot#'!$A:$AL,20,FALSE)</f>
        <v>-</v>
      </c>
      <c r="AJ293" s="5">
        <f>VLOOKUP($A293,'SegEnds_NonXtal_Prot#'!$A:$AL,23,FALSE)</f>
        <v>180</v>
      </c>
      <c r="AK293" s="5">
        <f>VLOOKUP($A293,'SegEnds_NonXtal_Prot#'!$A:$AL,26,FALSE)</f>
        <v>205</v>
      </c>
      <c r="AL293" s="5">
        <f>VLOOKUP($A293,'SegEnds_NonXtal_Prot#'!$A:$AL,29,FALSE)</f>
        <v>251</v>
      </c>
      <c r="AM293" s="5">
        <f>VLOOKUP($A293,'SegEnds_NonXtal_Prot#'!$A:$AL,32,FALSE)</f>
        <v>296</v>
      </c>
      <c r="AN293" s="5">
        <f>VLOOKUP($A293,'SegEnds_NonXtal_Prot#'!$A:$AL,35,FALSE)</f>
        <v>332</v>
      </c>
      <c r="AO293" s="5">
        <f>VLOOKUP($A293,'SegEnds_NonXtal_Prot#'!$A:$AL,38,FALSE)</f>
        <v>344</v>
      </c>
      <c r="AP293" s="5">
        <f t="shared" si="113"/>
        <v>28</v>
      </c>
      <c r="AQ293" s="4">
        <f t="shared" si="114"/>
        <v>3</v>
      </c>
      <c r="AR293" s="4">
        <f t="shared" si="115"/>
        <v>30</v>
      </c>
      <c r="AS293" s="4">
        <f t="shared" si="116"/>
        <v>3</v>
      </c>
      <c r="AT293" s="4">
        <f t="shared" si="117"/>
        <v>35</v>
      </c>
      <c r="AU293" s="4" t="str">
        <f t="shared" si="118"/>
        <v>-</v>
      </c>
      <c r="AV293" s="4">
        <f t="shared" si="119"/>
        <v>26</v>
      </c>
      <c r="AW293" s="4">
        <f t="shared" si="120"/>
        <v>2</v>
      </c>
      <c r="AX293" s="4">
        <f t="shared" si="121"/>
        <v>41</v>
      </c>
      <c r="AY293" s="4">
        <f t="shared" si="122"/>
        <v>39</v>
      </c>
      <c r="AZ293" s="4">
        <f t="shared" si="123"/>
        <v>28</v>
      </c>
      <c r="BA293" s="4">
        <f t="shared" si="124"/>
        <v>11</v>
      </c>
    </row>
    <row r="294" spans="1:53" x14ac:dyDescent="0.2">
      <c r="A294" s="1" t="str">
        <f>'SegEnds_NonXtal_Prot#'!A286</f>
        <v>npff2_human</v>
      </c>
      <c r="B294" s="1" t="str">
        <f t="shared" si="100"/>
        <v>AAIFIISYFLIFFLCMMGNTVVCFIVMRNTVTNLFILNLAISDLLVGIFCMPITLLDNIIGNTMCKISGLVQGISVAASVFTLVAIAVDRFQCVVYTIKTAFVIIMIIWVLAITIMSPSAVMLQEMRKIYTTVLFANIYLAPLSLIVIMYGRIGISLFRAAVPHTHVVSRKKQKIIKMLLIVALLFILSWLPLWTLMMLSDYAQIINIYIYPFAHWLAFGNSSVNPIIYGFFNENFRRGFQEAF</v>
      </c>
      <c r="C294" s="29" t="str">
        <f>IF(ISERROR(MATCH(A294,'SegEnds_Xtal_Prot#'!B:B, 0)), "NoXtal", "Xtal")</f>
        <v>NoXtal</v>
      </c>
      <c r="D294" s="4" t="str">
        <f>VLOOKUP(A294,Classification!A:D,2,FALSE)</f>
        <v>A</v>
      </c>
      <c r="E294" s="5" t="str">
        <f>VLOOKUP(A294,Seqs!A:B,2,FALSE)</f>
        <v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v>
      </c>
      <c r="F294" s="5" t="str">
        <f t="shared" si="101"/>
        <v>AAIFIISYFLIFFLCMMGNTVVCFIVMRN</v>
      </c>
      <c r="G294" s="4" t="str">
        <f t="shared" si="102"/>
        <v>KHMH</v>
      </c>
      <c r="H294" s="4" t="str">
        <f t="shared" si="103"/>
        <v>TVTNLFILNLAISDLLVGIFCMPITLLDNII</v>
      </c>
      <c r="I294" s="4" t="str">
        <f t="shared" si="104"/>
        <v>GWPF</v>
      </c>
      <c r="J294" s="4" t="str">
        <f t="shared" si="105"/>
        <v>GNTMCKISGLVQGISVAASVFTLVAIAVDRFQCVVY</v>
      </c>
      <c r="K294" s="4" t="str">
        <f t="shared" si="106"/>
        <v/>
      </c>
      <c r="L294" s="4" t="str">
        <f t="shared" si="107"/>
        <v>TIKTAFVIIMIIWVLAITIMSPSAVML</v>
      </c>
      <c r="M294" s="4" t="str">
        <f t="shared" si="108"/>
        <v>CRE</v>
      </c>
      <c r="N294" s="4" t="str">
        <f t="shared" si="109"/>
        <v>QEMRKIYTTVLFANIYLAPLSLIVIMYGRIGISLFRAAVPHT</v>
      </c>
      <c r="O294" s="4" t="str">
        <f t="shared" si="110"/>
        <v>HVVSRKKQKIIKMLLIVALLFILSWLPLWTLMMLSDYA</v>
      </c>
      <c r="P294" s="4" t="str">
        <f t="shared" si="111"/>
        <v>QIINIYIYPFAHWLAFGNSSVNPIIYGFF</v>
      </c>
      <c r="Q294" s="4" t="str">
        <f t="shared" si="112"/>
        <v>NENFRRGFQEAF</v>
      </c>
      <c r="R294" s="5">
        <f>VLOOKUP($A294,'SegEnds_NonXtal_Prot#'!$A:$AL,3,FALSE)</f>
        <v>147</v>
      </c>
      <c r="S294" s="5">
        <f>VLOOKUP($A294,'SegEnds_NonXtal_Prot#'!$A:$AL,6,FALSE)</f>
        <v>176</v>
      </c>
      <c r="T294" s="5">
        <f>VLOOKUP($A294,'SegEnds_NonXtal_Prot#'!$A:$AL,9,FALSE)</f>
        <v>180</v>
      </c>
      <c r="U294" s="5">
        <f>VLOOKUP($A294,'SegEnds_NonXtal_Prot#'!$A:$AL,12,FALSE)</f>
        <v>212</v>
      </c>
      <c r="V294" s="5">
        <f>VLOOKUP($A294,'SegEnds_NonXtal_Prot#'!$A:$AL,15,FALSE)</f>
        <v>216</v>
      </c>
      <c r="W294" s="5" t="str">
        <f>VLOOKUP($A294,'SegEnds_NonXtal_Prot#'!$A:$AL,18,FALSE)</f>
        <v>-</v>
      </c>
      <c r="X294" s="5">
        <f>VLOOKUP($A294,'SegEnds_NonXtal_Prot#'!$A:$AL,21,FALSE)</f>
        <v>258</v>
      </c>
      <c r="Y294" s="5">
        <f>VLOOKUP($A294,'SegEnds_NonXtal_Prot#'!$A:$AL,24,FALSE)</f>
        <v>308</v>
      </c>
      <c r="Z294" s="5">
        <f>VLOOKUP($A294,'SegEnds_NonXtal_Prot#'!$A:$AL,27,FALSE)</f>
        <v>315</v>
      </c>
      <c r="AA294" s="5">
        <f>VLOOKUP($A294,'SegEnds_NonXtal_Prot#'!$A:$AL,30,FALSE)</f>
        <v>365</v>
      </c>
      <c r="AB294" s="5">
        <f>VLOOKUP($A294,'SegEnds_NonXtal_Prot#'!$A:$AL,33,FALSE)</f>
        <v>410</v>
      </c>
      <c r="AC294" s="5">
        <f>VLOOKUP($A294,'SegEnds_NonXtal_Prot#'!$A:$AL,36,FALSE)</f>
        <v>439</v>
      </c>
      <c r="AD294" s="5">
        <f>VLOOKUP($A294,'SegEnds_NonXtal_Prot#'!$A:$AL,5,FALSE)</f>
        <v>175</v>
      </c>
      <c r="AE294" s="5">
        <f>VLOOKUP($A294,'SegEnds_NonXtal_Prot#'!$A:$AL,8,FALSE)</f>
        <v>179</v>
      </c>
      <c r="AF294" s="5">
        <f>VLOOKUP($A294,'SegEnds_NonXtal_Prot#'!$A:$AL,11,FALSE)</f>
        <v>210</v>
      </c>
      <c r="AG294" s="5">
        <f>VLOOKUP($A294,'SegEnds_NonXtal_Prot#'!$A:$AL,14,FALSE)</f>
        <v>215</v>
      </c>
      <c r="AH294" s="5">
        <f>VLOOKUP($A294,'SegEnds_NonXtal_Prot#'!$A:$AL,17,FALSE)</f>
        <v>251</v>
      </c>
      <c r="AI294" s="5" t="str">
        <f>VLOOKUP($A294,'SegEnds_NonXtal_Prot#'!$A:$AL,20,FALSE)</f>
        <v>-</v>
      </c>
      <c r="AJ294" s="5">
        <f>VLOOKUP($A294,'SegEnds_NonXtal_Prot#'!$A:$AL,23,FALSE)</f>
        <v>284</v>
      </c>
      <c r="AK294" s="5">
        <f>VLOOKUP($A294,'SegEnds_NonXtal_Prot#'!$A:$AL,26,FALSE)</f>
        <v>310</v>
      </c>
      <c r="AL294" s="5">
        <f>VLOOKUP($A294,'SegEnds_NonXtal_Prot#'!$A:$AL,29,FALSE)</f>
        <v>356</v>
      </c>
      <c r="AM294" s="5">
        <f>VLOOKUP($A294,'SegEnds_NonXtal_Prot#'!$A:$AL,32,FALSE)</f>
        <v>402</v>
      </c>
      <c r="AN294" s="5">
        <f>VLOOKUP($A294,'SegEnds_NonXtal_Prot#'!$A:$AL,35,FALSE)</f>
        <v>438</v>
      </c>
      <c r="AO294" s="5">
        <f>VLOOKUP($A294,'SegEnds_NonXtal_Prot#'!$A:$AL,38,FALSE)</f>
        <v>450</v>
      </c>
      <c r="AP294" s="5">
        <f t="shared" si="113"/>
        <v>28</v>
      </c>
      <c r="AQ294" s="4">
        <f t="shared" si="114"/>
        <v>3</v>
      </c>
      <c r="AR294" s="4">
        <f t="shared" si="115"/>
        <v>30</v>
      </c>
      <c r="AS294" s="4">
        <f t="shared" si="116"/>
        <v>3</v>
      </c>
      <c r="AT294" s="4">
        <f t="shared" si="117"/>
        <v>35</v>
      </c>
      <c r="AU294" s="4" t="str">
        <f t="shared" si="118"/>
        <v>-</v>
      </c>
      <c r="AV294" s="4">
        <f t="shared" si="119"/>
        <v>26</v>
      </c>
      <c r="AW294" s="4">
        <f t="shared" si="120"/>
        <v>2</v>
      </c>
      <c r="AX294" s="4">
        <f t="shared" si="121"/>
        <v>41</v>
      </c>
      <c r="AY294" s="4">
        <f t="shared" si="122"/>
        <v>37</v>
      </c>
      <c r="AZ294" s="4">
        <f t="shared" si="123"/>
        <v>28</v>
      </c>
      <c r="BA294" s="4">
        <f t="shared" si="124"/>
        <v>11</v>
      </c>
    </row>
    <row r="295" spans="1:53" x14ac:dyDescent="0.2">
      <c r="A295" s="1" t="str">
        <f>'SegEnds_NonXtal_Prot#'!A287</f>
        <v>npy1r_human</v>
      </c>
      <c r="B295" s="1" t="str">
        <f t="shared" si="100"/>
        <v>PLAMIFTLALAYGAVIILGVSGNLALIIIILKQNVTNILIVNLSFSDLLVAIMCLPFTFVYTLMDGEAMCKLNPFVQCVSITVSIFSLVLIAVERHQLIINNNRHAYVGIAVIWVLAVASSLPFLIYQSDSHRLSYTTLLLVLQYFGPLCFIFICYFKIYIRLKRRNNMMDDNKYRSSETKRINIMLLSIVVAFAVCWLPLTIFNTVFDWNTCNHNLLFLLCHLTAMISTCVNPIFYGFLNKNFQRDLQFFF</v>
      </c>
      <c r="C295" s="29" t="str">
        <f>IF(ISERROR(MATCH(A295,'SegEnds_Xtal_Prot#'!B:B, 0)), "NoXtal", "Xtal")</f>
        <v>Xtal</v>
      </c>
      <c r="D295" s="4" t="str">
        <f>VLOOKUP(A295,Classification!A:D,2,FALSE)</f>
        <v>A</v>
      </c>
      <c r="E295" s="5" t="str">
        <f>VLOOKUP(A295,Seqs!A:B,2,FALSE)</f>
        <v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v>
      </c>
      <c r="F295" s="5" t="str">
        <f t="shared" si="101"/>
        <v>PLAMIFTLALAYGAVIILGVSGNLALIIIILKQ</v>
      </c>
      <c r="G295" s="4" t="str">
        <f t="shared" si="102"/>
        <v>KEMR</v>
      </c>
      <c r="H295" s="4" t="str">
        <f t="shared" si="103"/>
        <v>NVTNILIVNLSFSDLLVAIMCLPFTFVYTLMD</v>
      </c>
      <c r="I295" s="4" t="str">
        <f t="shared" si="104"/>
        <v>HWVF</v>
      </c>
      <c r="J295" s="4" t="str">
        <f t="shared" si="105"/>
        <v>GEAMCKLNPFVQCVSITVSIFSLVLIAVERHQLIIN</v>
      </c>
      <c r="K295" s="4" t="str">
        <f t="shared" si="106"/>
        <v/>
      </c>
      <c r="L295" s="4" t="str">
        <f t="shared" si="107"/>
        <v>NNRHAYVGIAVIWVLAVASSLPFLIYQ</v>
      </c>
      <c r="M295" s="4" t="str">
        <f t="shared" si="108"/>
        <v>CFD</v>
      </c>
      <c r="N295" s="4" t="str">
        <f t="shared" si="109"/>
        <v>SDSHRLSYTTLLLVLQYFGPLCFIFICYFKIYIRLKRRNNMMD</v>
      </c>
      <c r="O295" s="4" t="str">
        <f t="shared" si="110"/>
        <v>DNKYRSSETKRINIMLLSIVVAFAVCWLPLTIFNTVFDWN</v>
      </c>
      <c r="P295" s="4" t="str">
        <f t="shared" si="111"/>
        <v>TCNHNLLFLLCHLTAMISTCVNPIFYGFL</v>
      </c>
      <c r="Q295" s="4" t="str">
        <f t="shared" si="112"/>
        <v>NKNFQRDLQFFF</v>
      </c>
      <c r="R295" s="5">
        <f>VLOOKUP($A295,'SegEnds_NonXtal_Prot#'!$A:$AL,3,FALSE)</f>
        <v>36</v>
      </c>
      <c r="S295" s="5">
        <f>VLOOKUP($A295,'SegEnds_NonXtal_Prot#'!$A:$AL,6,FALSE)</f>
        <v>69</v>
      </c>
      <c r="T295" s="5">
        <f>VLOOKUP($A295,'SegEnds_NonXtal_Prot#'!$A:$AL,9,FALSE)</f>
        <v>73</v>
      </c>
      <c r="U295" s="5">
        <f>VLOOKUP($A295,'SegEnds_NonXtal_Prot#'!$A:$AL,12,FALSE)</f>
        <v>105</v>
      </c>
      <c r="V295" s="5">
        <f>VLOOKUP($A295,'SegEnds_NonXtal_Prot#'!$A:$AL,15,FALSE)</f>
        <v>109</v>
      </c>
      <c r="W295" s="5" t="str">
        <f>VLOOKUP($A295,'SegEnds_NonXtal_Prot#'!$A:$AL,18,FALSE)</f>
        <v>-</v>
      </c>
      <c r="X295" s="5">
        <f>VLOOKUP($A295,'SegEnds_NonXtal_Prot#'!$A:$AL,21,FALSE)</f>
        <v>151</v>
      </c>
      <c r="Y295" s="5">
        <f>VLOOKUP($A295,'SegEnds_NonXtal_Prot#'!$A:$AL,24,FALSE)</f>
        <v>198</v>
      </c>
      <c r="Z295" s="5">
        <f>VLOOKUP($A295,'SegEnds_NonXtal_Prot#'!$A:$AL,27,FALSE)</f>
        <v>204</v>
      </c>
      <c r="AA295" s="5">
        <f>VLOOKUP($A295,'SegEnds_NonXtal_Prot#'!$A:$AL,30,FALSE)</f>
        <v>250</v>
      </c>
      <c r="AB295" s="5">
        <f>VLOOKUP($A295,'SegEnds_NonXtal_Prot#'!$A:$AL,33,FALSE)</f>
        <v>295</v>
      </c>
      <c r="AC295" s="5">
        <f>VLOOKUP($A295,'SegEnds_NonXtal_Prot#'!$A:$AL,36,FALSE)</f>
        <v>324</v>
      </c>
      <c r="AD295" s="5">
        <f>VLOOKUP($A295,'SegEnds_NonXtal_Prot#'!$A:$AL,5,FALSE)</f>
        <v>68</v>
      </c>
      <c r="AE295" s="5">
        <f>VLOOKUP($A295,'SegEnds_NonXtal_Prot#'!$A:$AL,8,FALSE)</f>
        <v>72</v>
      </c>
      <c r="AF295" s="5">
        <f>VLOOKUP($A295,'SegEnds_NonXtal_Prot#'!$A:$AL,11,FALSE)</f>
        <v>104</v>
      </c>
      <c r="AG295" s="5">
        <f>VLOOKUP($A295,'SegEnds_NonXtal_Prot#'!$A:$AL,14,FALSE)</f>
        <v>108</v>
      </c>
      <c r="AH295" s="5">
        <f>VLOOKUP($A295,'SegEnds_NonXtal_Prot#'!$A:$AL,17,FALSE)</f>
        <v>144</v>
      </c>
      <c r="AI295" s="5" t="str">
        <f>VLOOKUP($A295,'SegEnds_NonXtal_Prot#'!$A:$AL,20,FALSE)</f>
        <v>-</v>
      </c>
      <c r="AJ295" s="5">
        <f>VLOOKUP($A295,'SegEnds_NonXtal_Prot#'!$A:$AL,23,FALSE)</f>
        <v>177</v>
      </c>
      <c r="AK295" s="5">
        <f>VLOOKUP($A295,'SegEnds_NonXtal_Prot#'!$A:$AL,26,FALSE)</f>
        <v>200</v>
      </c>
      <c r="AL295" s="5">
        <f>VLOOKUP($A295,'SegEnds_NonXtal_Prot#'!$A:$AL,29,FALSE)</f>
        <v>246</v>
      </c>
      <c r="AM295" s="5">
        <f>VLOOKUP($A295,'SegEnds_NonXtal_Prot#'!$A:$AL,32,FALSE)</f>
        <v>289</v>
      </c>
      <c r="AN295" s="5">
        <f>VLOOKUP($A295,'SegEnds_NonXtal_Prot#'!$A:$AL,35,FALSE)</f>
        <v>323</v>
      </c>
      <c r="AO295" s="5">
        <f>VLOOKUP($A295,'SegEnds_NonXtal_Prot#'!$A:$AL,38,FALSE)</f>
        <v>335</v>
      </c>
      <c r="AP295" s="5">
        <f t="shared" si="113"/>
        <v>32</v>
      </c>
      <c r="AQ295" s="4">
        <f t="shared" si="114"/>
        <v>3</v>
      </c>
      <c r="AR295" s="4">
        <f t="shared" si="115"/>
        <v>31</v>
      </c>
      <c r="AS295" s="4">
        <f t="shared" si="116"/>
        <v>3</v>
      </c>
      <c r="AT295" s="4">
        <f t="shared" si="117"/>
        <v>35</v>
      </c>
      <c r="AU295" s="4" t="str">
        <f t="shared" si="118"/>
        <v>-</v>
      </c>
      <c r="AV295" s="4">
        <f t="shared" si="119"/>
        <v>26</v>
      </c>
      <c r="AW295" s="4">
        <f t="shared" si="120"/>
        <v>2</v>
      </c>
      <c r="AX295" s="4">
        <f t="shared" si="121"/>
        <v>42</v>
      </c>
      <c r="AY295" s="4">
        <f t="shared" si="122"/>
        <v>39</v>
      </c>
      <c r="AZ295" s="4">
        <f t="shared" si="123"/>
        <v>28</v>
      </c>
      <c r="BA295" s="4">
        <f t="shared" si="124"/>
        <v>11</v>
      </c>
    </row>
    <row r="296" spans="1:53" x14ac:dyDescent="0.2">
      <c r="A296" s="1" t="str">
        <f>'SegEnds_NonXtal_Prot#'!A288</f>
        <v>npy2r_human</v>
      </c>
      <c r="B296" s="1" t="str">
        <f t="shared" si="100"/>
        <v>VQVVLILAYCSIILLGVIGNSLVIHVVIKFTVTNFFIANLAVADLLVNTLCLPFTLTYTLMGGPVLCHLVPYAQGLAVQVSTITLTVIALDRHRCIVYSKRISFLIIGLAWGISALLASPLAIFRIYGTVYSLSSLLILYVLPLGIISFSYTRIWSKLKNHVSPGDHYHQRRQKTTKMLVCVVVVFAVSWLPLHAFQLAVDIDLKEYKLIFTVFHIIAMCSTFANPLLYGWMNSNYRKAFLSAF</v>
      </c>
      <c r="C296" s="29" t="str">
        <f>IF(ISERROR(MATCH(A296,'SegEnds_Xtal_Prot#'!B:B, 0)), "NoXtal", "Xtal")</f>
        <v>NoXtal</v>
      </c>
      <c r="D296" s="4" t="str">
        <f>VLOOKUP(A296,Classification!A:D,2,FALSE)</f>
        <v>A</v>
      </c>
      <c r="E296" s="5" t="str">
        <f>VLOOKUP(A296,Seqs!A:B,2,FALSE)</f>
        <v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v>
      </c>
      <c r="F296" s="5" t="str">
        <f t="shared" si="101"/>
        <v>VQVVLILAYCSIILLGVIGNSLVIHVVIKF</v>
      </c>
      <c r="G296" s="4" t="str">
        <f t="shared" si="102"/>
        <v>KSMR</v>
      </c>
      <c r="H296" s="4" t="str">
        <f t="shared" si="103"/>
        <v>TVTNFFIANLAVADLLVNTLCLPFTLTYTLMG</v>
      </c>
      <c r="I296" s="4" t="str">
        <f t="shared" si="104"/>
        <v>EWKM</v>
      </c>
      <c r="J296" s="4" t="str">
        <f t="shared" si="105"/>
        <v>GPVLCHLVPYAQGLAVQVSTITLTVIALDRHRCIVY</v>
      </c>
      <c r="K296" s="4" t="str">
        <f t="shared" si="106"/>
        <v/>
      </c>
      <c r="L296" s="4" t="str">
        <f t="shared" si="107"/>
        <v>SKRISFLIIGLAWGISALLASPLAIFR</v>
      </c>
      <c r="M296" s="4" t="str">
        <f t="shared" si="108"/>
        <v>CTE</v>
      </c>
      <c r="N296" s="4" t="str">
        <f t="shared" si="109"/>
        <v>IYGTVYSLSSLLILYVLPLGIISFSYTRIWSKLKNHVSPG</v>
      </c>
      <c r="O296" s="4" t="str">
        <f t="shared" si="110"/>
        <v>DHYHQRRQKTTKMLVCVVVVFAVSWLPLHAFQLAVDID</v>
      </c>
      <c r="P296" s="4" t="str">
        <f t="shared" si="111"/>
        <v>LKEYKLIFTVFHIIAMCSTFANPLLYGWM</v>
      </c>
      <c r="Q296" s="4" t="str">
        <f t="shared" si="112"/>
        <v>NSNYRKAFLSAF</v>
      </c>
      <c r="R296" s="5">
        <f>VLOOKUP($A296,'SegEnds_NonXtal_Prot#'!$A:$AL,3,FALSE)</f>
        <v>49</v>
      </c>
      <c r="S296" s="5">
        <f>VLOOKUP($A296,'SegEnds_NonXtal_Prot#'!$A:$AL,6,FALSE)</f>
        <v>79</v>
      </c>
      <c r="T296" s="5">
        <f>VLOOKUP($A296,'SegEnds_NonXtal_Prot#'!$A:$AL,9,FALSE)</f>
        <v>83</v>
      </c>
      <c r="U296" s="5">
        <f>VLOOKUP($A296,'SegEnds_NonXtal_Prot#'!$A:$AL,12,FALSE)</f>
        <v>115</v>
      </c>
      <c r="V296" s="5">
        <f>VLOOKUP($A296,'SegEnds_NonXtal_Prot#'!$A:$AL,15,FALSE)</f>
        <v>119</v>
      </c>
      <c r="W296" s="5" t="str">
        <f>VLOOKUP($A296,'SegEnds_NonXtal_Prot#'!$A:$AL,18,FALSE)</f>
        <v>-</v>
      </c>
      <c r="X296" s="5">
        <f>VLOOKUP($A296,'SegEnds_NonXtal_Prot#'!$A:$AL,21,FALSE)</f>
        <v>161</v>
      </c>
      <c r="Y296" s="5">
        <f>VLOOKUP($A296,'SegEnds_NonXtal_Prot#'!$A:$AL,24,FALSE)</f>
        <v>203</v>
      </c>
      <c r="Z296" s="5">
        <f>VLOOKUP($A296,'SegEnds_NonXtal_Prot#'!$A:$AL,27,FALSE)</f>
        <v>214</v>
      </c>
      <c r="AA296" s="5">
        <f>VLOOKUP($A296,'SegEnds_NonXtal_Prot#'!$A:$AL,30,FALSE)</f>
        <v>257</v>
      </c>
      <c r="AB296" s="5">
        <f>VLOOKUP($A296,'SegEnds_NonXtal_Prot#'!$A:$AL,33,FALSE)</f>
        <v>300</v>
      </c>
      <c r="AC296" s="5">
        <f>VLOOKUP($A296,'SegEnds_NonXtal_Prot#'!$A:$AL,36,FALSE)</f>
        <v>329</v>
      </c>
      <c r="AD296" s="5">
        <f>VLOOKUP($A296,'SegEnds_NonXtal_Prot#'!$A:$AL,5,FALSE)</f>
        <v>78</v>
      </c>
      <c r="AE296" s="5">
        <f>VLOOKUP($A296,'SegEnds_NonXtal_Prot#'!$A:$AL,8,FALSE)</f>
        <v>82</v>
      </c>
      <c r="AF296" s="5">
        <f>VLOOKUP($A296,'SegEnds_NonXtal_Prot#'!$A:$AL,11,FALSE)</f>
        <v>114</v>
      </c>
      <c r="AG296" s="5">
        <f>VLOOKUP($A296,'SegEnds_NonXtal_Prot#'!$A:$AL,14,FALSE)</f>
        <v>118</v>
      </c>
      <c r="AH296" s="5">
        <f>VLOOKUP($A296,'SegEnds_NonXtal_Prot#'!$A:$AL,17,FALSE)</f>
        <v>154</v>
      </c>
      <c r="AI296" s="5" t="str">
        <f>VLOOKUP($A296,'SegEnds_NonXtal_Prot#'!$A:$AL,20,FALSE)</f>
        <v>-</v>
      </c>
      <c r="AJ296" s="5">
        <f>VLOOKUP($A296,'SegEnds_NonXtal_Prot#'!$A:$AL,23,FALSE)</f>
        <v>187</v>
      </c>
      <c r="AK296" s="5">
        <f>VLOOKUP($A296,'SegEnds_NonXtal_Prot#'!$A:$AL,26,FALSE)</f>
        <v>205</v>
      </c>
      <c r="AL296" s="5">
        <f>VLOOKUP($A296,'SegEnds_NonXtal_Prot#'!$A:$AL,29,FALSE)</f>
        <v>253</v>
      </c>
      <c r="AM296" s="5">
        <f>VLOOKUP($A296,'SegEnds_NonXtal_Prot#'!$A:$AL,32,FALSE)</f>
        <v>294</v>
      </c>
      <c r="AN296" s="5">
        <f>VLOOKUP($A296,'SegEnds_NonXtal_Prot#'!$A:$AL,35,FALSE)</f>
        <v>328</v>
      </c>
      <c r="AO296" s="5">
        <f>VLOOKUP($A296,'SegEnds_NonXtal_Prot#'!$A:$AL,38,FALSE)</f>
        <v>340</v>
      </c>
      <c r="AP296" s="5">
        <f t="shared" si="113"/>
        <v>29</v>
      </c>
      <c r="AQ296" s="4">
        <f t="shared" si="114"/>
        <v>3</v>
      </c>
      <c r="AR296" s="4">
        <f t="shared" si="115"/>
        <v>31</v>
      </c>
      <c r="AS296" s="4">
        <f t="shared" si="116"/>
        <v>3</v>
      </c>
      <c r="AT296" s="4">
        <f t="shared" si="117"/>
        <v>35</v>
      </c>
      <c r="AU296" s="4" t="str">
        <f t="shared" si="118"/>
        <v>-</v>
      </c>
      <c r="AV296" s="4">
        <f t="shared" si="119"/>
        <v>26</v>
      </c>
      <c r="AW296" s="4">
        <f t="shared" si="120"/>
        <v>2</v>
      </c>
      <c r="AX296" s="4">
        <f t="shared" si="121"/>
        <v>39</v>
      </c>
      <c r="AY296" s="4">
        <f t="shared" si="122"/>
        <v>37</v>
      </c>
      <c r="AZ296" s="4">
        <f t="shared" si="123"/>
        <v>28</v>
      </c>
      <c r="BA296" s="4">
        <f t="shared" si="124"/>
        <v>11</v>
      </c>
    </row>
    <row r="297" spans="1:53" x14ac:dyDescent="0.2">
      <c r="A297" s="1" t="str">
        <f>'SegEnds_NonXtal_Prot#'!A289</f>
        <v>npy4r_human</v>
      </c>
      <c r="B297" s="1" t="str">
        <f t="shared" si="100"/>
        <v>SVDVMVFIVTSYSIETVVGVLGNLCLMCVTVRQNVTNLLIANLAFSDFLMCLLCQPLTAVYTIMDGETLCKMSAFIQCMSVTVSILSLVLVALERHQLIINSISQAYLGIVLIWVIACVLSLPFLANSLAHHRTIYTTFLLLFQYCLPLGFILVCYARIYRRLQRQGRVFSLRAGHMKQVNVVLVVMVVAFAVLWLPLHVFNSLEDWHICHGNLIFLVCHLLAMASTCVNPFIYGFLNTNFKKEIKALV</v>
      </c>
      <c r="C297" s="29" t="str">
        <f>IF(ISERROR(MATCH(A297,'SegEnds_Xtal_Prot#'!B:B, 0)), "NoXtal", "Xtal")</f>
        <v>NoXtal</v>
      </c>
      <c r="D297" s="4" t="str">
        <f>VLOOKUP(A297,Classification!A:D,2,FALSE)</f>
        <v>A</v>
      </c>
      <c r="E297" s="5" t="str">
        <f>VLOOKUP(A297,Seqs!A:B,2,FALSE)</f>
        <v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v>
      </c>
      <c r="F297" s="5" t="str">
        <f t="shared" si="101"/>
        <v>SVDVMVFIVTSYSIETVVGVLGNLCLMCVTVRQ</v>
      </c>
      <c r="G297" s="4" t="str">
        <f t="shared" si="102"/>
        <v>KEKA</v>
      </c>
      <c r="H297" s="4" t="str">
        <f t="shared" si="103"/>
        <v>NVTNLLIANLAFSDFLMCLLCQPLTAVYTIMD</v>
      </c>
      <c r="I297" s="4" t="str">
        <f t="shared" si="104"/>
        <v>YWIF</v>
      </c>
      <c r="J297" s="4" t="str">
        <f t="shared" si="105"/>
        <v>GETLCKMSAFIQCMSVTVSILSLVLVALERHQLIIN</v>
      </c>
      <c r="K297" s="4" t="str">
        <f t="shared" si="106"/>
        <v/>
      </c>
      <c r="L297" s="4" t="str">
        <f t="shared" si="107"/>
        <v>SISQAYLGIVLIWVIACVLSLPFLANS</v>
      </c>
      <c r="M297" s="4" t="str">
        <f t="shared" si="108"/>
        <v>CTE</v>
      </c>
      <c r="N297" s="4" t="str">
        <f t="shared" si="109"/>
        <v>LAHHRTIYTTFLLLFQYCLPLGFILVCYARIYRRLQRQGRVF</v>
      </c>
      <c r="O297" s="4" t="str">
        <f t="shared" si="110"/>
        <v>SLRAGHMKQVNVVLVVMVVAFAVLWLPLHVFNSLEDWH</v>
      </c>
      <c r="P297" s="4" t="str">
        <f t="shared" si="111"/>
        <v>ICHGNLIFLVCHLLAMASTCVNPFIYGFL</v>
      </c>
      <c r="Q297" s="4" t="str">
        <f t="shared" si="112"/>
        <v>NTNFKKEIKALV</v>
      </c>
      <c r="R297" s="5">
        <f>VLOOKUP($A297,'SegEnds_NonXtal_Prot#'!$A:$AL,3,FALSE)</f>
        <v>37</v>
      </c>
      <c r="S297" s="5">
        <f>VLOOKUP($A297,'SegEnds_NonXtal_Prot#'!$A:$AL,6,FALSE)</f>
        <v>70</v>
      </c>
      <c r="T297" s="5">
        <f>VLOOKUP($A297,'SegEnds_NonXtal_Prot#'!$A:$AL,9,FALSE)</f>
        <v>74</v>
      </c>
      <c r="U297" s="5">
        <f>VLOOKUP($A297,'SegEnds_NonXtal_Prot#'!$A:$AL,12,FALSE)</f>
        <v>106</v>
      </c>
      <c r="V297" s="5">
        <f>VLOOKUP($A297,'SegEnds_NonXtal_Prot#'!$A:$AL,15,FALSE)</f>
        <v>110</v>
      </c>
      <c r="W297" s="5" t="str">
        <f>VLOOKUP($A297,'SegEnds_NonXtal_Prot#'!$A:$AL,18,FALSE)</f>
        <v>-</v>
      </c>
      <c r="X297" s="5">
        <f>VLOOKUP($A297,'SegEnds_NonXtal_Prot#'!$A:$AL,21,FALSE)</f>
        <v>152</v>
      </c>
      <c r="Y297" s="5">
        <f>VLOOKUP($A297,'SegEnds_NonXtal_Prot#'!$A:$AL,24,FALSE)</f>
        <v>201</v>
      </c>
      <c r="Z297" s="5">
        <f>VLOOKUP($A297,'SegEnds_NonXtal_Prot#'!$A:$AL,27,FALSE)</f>
        <v>207</v>
      </c>
      <c r="AA297" s="5">
        <f>VLOOKUP($A297,'SegEnds_NonXtal_Prot#'!$A:$AL,30,FALSE)</f>
        <v>254</v>
      </c>
      <c r="AB297" s="5">
        <f>VLOOKUP($A297,'SegEnds_NonXtal_Prot#'!$A:$AL,33,FALSE)</f>
        <v>297</v>
      </c>
      <c r="AC297" s="5">
        <f>VLOOKUP($A297,'SegEnds_NonXtal_Prot#'!$A:$AL,36,FALSE)</f>
        <v>326</v>
      </c>
      <c r="AD297" s="5">
        <f>VLOOKUP($A297,'SegEnds_NonXtal_Prot#'!$A:$AL,5,FALSE)</f>
        <v>69</v>
      </c>
      <c r="AE297" s="5">
        <f>VLOOKUP($A297,'SegEnds_NonXtal_Prot#'!$A:$AL,8,FALSE)</f>
        <v>73</v>
      </c>
      <c r="AF297" s="5">
        <f>VLOOKUP($A297,'SegEnds_NonXtal_Prot#'!$A:$AL,11,FALSE)</f>
        <v>105</v>
      </c>
      <c r="AG297" s="5">
        <f>VLOOKUP($A297,'SegEnds_NonXtal_Prot#'!$A:$AL,14,FALSE)</f>
        <v>109</v>
      </c>
      <c r="AH297" s="5">
        <f>VLOOKUP($A297,'SegEnds_NonXtal_Prot#'!$A:$AL,17,FALSE)</f>
        <v>145</v>
      </c>
      <c r="AI297" s="5" t="str">
        <f>VLOOKUP($A297,'SegEnds_NonXtal_Prot#'!$A:$AL,20,FALSE)</f>
        <v>-</v>
      </c>
      <c r="AJ297" s="5">
        <f>VLOOKUP($A297,'SegEnds_NonXtal_Prot#'!$A:$AL,23,FALSE)</f>
        <v>178</v>
      </c>
      <c r="AK297" s="5">
        <f>VLOOKUP($A297,'SegEnds_NonXtal_Prot#'!$A:$AL,26,FALSE)</f>
        <v>203</v>
      </c>
      <c r="AL297" s="5">
        <f>VLOOKUP($A297,'SegEnds_NonXtal_Prot#'!$A:$AL,29,FALSE)</f>
        <v>248</v>
      </c>
      <c r="AM297" s="5">
        <f>VLOOKUP($A297,'SegEnds_NonXtal_Prot#'!$A:$AL,32,FALSE)</f>
        <v>291</v>
      </c>
      <c r="AN297" s="5">
        <f>VLOOKUP($A297,'SegEnds_NonXtal_Prot#'!$A:$AL,35,FALSE)</f>
        <v>325</v>
      </c>
      <c r="AO297" s="5">
        <f>VLOOKUP($A297,'SegEnds_NonXtal_Prot#'!$A:$AL,38,FALSE)</f>
        <v>337</v>
      </c>
      <c r="AP297" s="5">
        <f t="shared" si="113"/>
        <v>32</v>
      </c>
      <c r="AQ297" s="4">
        <f t="shared" si="114"/>
        <v>3</v>
      </c>
      <c r="AR297" s="4">
        <f t="shared" si="115"/>
        <v>31</v>
      </c>
      <c r="AS297" s="4">
        <f t="shared" si="116"/>
        <v>3</v>
      </c>
      <c r="AT297" s="4">
        <f t="shared" si="117"/>
        <v>35</v>
      </c>
      <c r="AU297" s="4" t="str">
        <f t="shared" si="118"/>
        <v>-</v>
      </c>
      <c r="AV297" s="4">
        <f t="shared" si="119"/>
        <v>26</v>
      </c>
      <c r="AW297" s="4">
        <f t="shared" si="120"/>
        <v>2</v>
      </c>
      <c r="AX297" s="4">
        <f t="shared" si="121"/>
        <v>41</v>
      </c>
      <c r="AY297" s="4">
        <f t="shared" si="122"/>
        <v>37</v>
      </c>
      <c r="AZ297" s="4">
        <f t="shared" si="123"/>
        <v>28</v>
      </c>
      <c r="BA297" s="4">
        <f t="shared" si="124"/>
        <v>11</v>
      </c>
    </row>
    <row r="298" spans="1:53" x14ac:dyDescent="0.2">
      <c r="A298" s="1" t="str">
        <f>'SegEnds_NonXtal_Prot#'!A290</f>
        <v>npy5r_human</v>
      </c>
      <c r="B298" s="1" t="str">
        <f t="shared" si="100"/>
        <v>VDDLQYFLIGLYTFVSLLGFMGNLLILMALMKKTTVNFLIGNLAFSDILVVLFCSPFTLTSVLLDGKVMCHIMPFLQCVSVLVSTLILISIAIVRYHMIKHTANHGYFLIATVWTLGFAICSPLPVFHSDSYRIAFTISLLLVQYILPLVCLTVSHTSVCRSISCGLSNKENRLTRIKKRSRSVFYRLTILILVFAVSWMPLHLFHVVTDFNNRHFKLVYCICHLLGMMSCCLNPILYGFLNNGIKADLVSLI</v>
      </c>
      <c r="C298" s="29" t="str">
        <f>IF(ISERROR(MATCH(A298,'SegEnds_Xtal_Prot#'!B:B, 0)), "NoXtal", "Xtal")</f>
        <v>NoXtal</v>
      </c>
      <c r="D298" s="4" t="str">
        <f>VLOOKUP(A298,Classification!A:D,2,FALSE)</f>
        <v>A</v>
      </c>
      <c r="E298" s="5" t="str">
        <f>VLOOKUP(A298,Seqs!A:B,2,FALSE)</f>
        <v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v>
      </c>
      <c r="F298" s="5" t="str">
        <f t="shared" si="101"/>
        <v>VDDLQYFLIGLYTFVSLLGFMGNLLILMALMKK</v>
      </c>
      <c r="G298" s="4" t="str">
        <f t="shared" si="102"/>
        <v>RNQK</v>
      </c>
      <c r="H298" s="4" t="str">
        <f t="shared" si="103"/>
        <v>TTVNFLIGNLAFSDILVVLFCSPFTLTSVLLD</v>
      </c>
      <c r="I298" s="4" t="str">
        <f t="shared" si="104"/>
        <v>QWMF</v>
      </c>
      <c r="J298" s="4" t="str">
        <f t="shared" si="105"/>
        <v>GKVMCHIMPFLQCVSVLVSTLILISIAIVRYHMIKH</v>
      </c>
      <c r="K298" s="4" t="str">
        <f t="shared" si="106"/>
        <v/>
      </c>
      <c r="L298" s="4" t="str">
        <f t="shared" si="107"/>
        <v>TANHGYFLIATVWTLGFAICSPLPVFH</v>
      </c>
      <c r="M298" s="4" t="str">
        <f t="shared" si="108"/>
        <v>CVE</v>
      </c>
      <c r="N298" s="4" t="str">
        <f t="shared" si="109"/>
        <v>SDSYRIAFTISLLLVQYILPLVCLTVSHTSVCRSISCGLSNKENRL</v>
      </c>
      <c r="O298" s="4" t="str">
        <f t="shared" si="110"/>
        <v>TRIKKRSRSVFYRLTILILVFAVSWMPLHLFHVVTDFN</v>
      </c>
      <c r="P298" s="4" t="str">
        <f t="shared" si="111"/>
        <v>NRHFKLVYCICHLLGMMSCCLNPILYGFL</v>
      </c>
      <c r="Q298" s="4" t="str">
        <f t="shared" si="112"/>
        <v>NNGIKADLVSLI</v>
      </c>
      <c r="R298" s="5">
        <f>VLOOKUP($A298,'SegEnds_NonXtal_Prot#'!$A:$AL,3,FALSE)</f>
        <v>37</v>
      </c>
      <c r="S298" s="5">
        <f>VLOOKUP($A298,'SegEnds_NonXtal_Prot#'!$A:$AL,6,FALSE)</f>
        <v>70</v>
      </c>
      <c r="T298" s="5">
        <f>VLOOKUP($A298,'SegEnds_NonXtal_Prot#'!$A:$AL,9,FALSE)</f>
        <v>74</v>
      </c>
      <c r="U298" s="5">
        <f>VLOOKUP($A298,'SegEnds_NonXtal_Prot#'!$A:$AL,12,FALSE)</f>
        <v>106</v>
      </c>
      <c r="V298" s="5">
        <f>VLOOKUP($A298,'SegEnds_NonXtal_Prot#'!$A:$AL,15,FALSE)</f>
        <v>110</v>
      </c>
      <c r="W298" s="5" t="str">
        <f>VLOOKUP($A298,'SegEnds_NonXtal_Prot#'!$A:$AL,18,FALSE)</f>
        <v>-</v>
      </c>
      <c r="X298" s="5">
        <f>VLOOKUP($A298,'SegEnds_NonXtal_Prot#'!$A:$AL,21,FALSE)</f>
        <v>152</v>
      </c>
      <c r="Y298" s="5">
        <f>VLOOKUP($A298,'SegEnds_NonXtal_Prot#'!$A:$AL,24,FALSE)</f>
        <v>198</v>
      </c>
      <c r="Z298" s="5">
        <f>VLOOKUP($A298,'SegEnds_NonXtal_Prot#'!$A:$AL,27,FALSE)</f>
        <v>204</v>
      </c>
      <c r="AA298" s="5">
        <f>VLOOKUP($A298,'SegEnds_NonXtal_Prot#'!$A:$AL,30,FALSE)</f>
        <v>357</v>
      </c>
      <c r="AB298" s="5">
        <f>VLOOKUP($A298,'SegEnds_NonXtal_Prot#'!$A:$AL,33,FALSE)</f>
        <v>400</v>
      </c>
      <c r="AC298" s="5">
        <f>VLOOKUP($A298,'SegEnds_NonXtal_Prot#'!$A:$AL,36,FALSE)</f>
        <v>429</v>
      </c>
      <c r="AD298" s="5">
        <f>VLOOKUP($A298,'SegEnds_NonXtal_Prot#'!$A:$AL,5,FALSE)</f>
        <v>69</v>
      </c>
      <c r="AE298" s="5">
        <f>VLOOKUP($A298,'SegEnds_NonXtal_Prot#'!$A:$AL,8,FALSE)</f>
        <v>73</v>
      </c>
      <c r="AF298" s="5">
        <f>VLOOKUP($A298,'SegEnds_NonXtal_Prot#'!$A:$AL,11,FALSE)</f>
        <v>105</v>
      </c>
      <c r="AG298" s="5">
        <f>VLOOKUP($A298,'SegEnds_NonXtal_Prot#'!$A:$AL,14,FALSE)</f>
        <v>109</v>
      </c>
      <c r="AH298" s="5">
        <f>VLOOKUP($A298,'SegEnds_NonXtal_Prot#'!$A:$AL,17,FALSE)</f>
        <v>145</v>
      </c>
      <c r="AI298" s="5" t="str">
        <f>VLOOKUP($A298,'SegEnds_NonXtal_Prot#'!$A:$AL,20,FALSE)</f>
        <v>-</v>
      </c>
      <c r="AJ298" s="5">
        <f>VLOOKUP($A298,'SegEnds_NonXtal_Prot#'!$A:$AL,23,FALSE)</f>
        <v>178</v>
      </c>
      <c r="AK298" s="5">
        <f>VLOOKUP($A298,'SegEnds_NonXtal_Prot#'!$A:$AL,26,FALSE)</f>
        <v>200</v>
      </c>
      <c r="AL298" s="5">
        <f>VLOOKUP($A298,'SegEnds_NonXtal_Prot#'!$A:$AL,29,FALSE)</f>
        <v>249</v>
      </c>
      <c r="AM298" s="5">
        <f>VLOOKUP($A298,'SegEnds_NonXtal_Prot#'!$A:$AL,32,FALSE)</f>
        <v>394</v>
      </c>
      <c r="AN298" s="5">
        <f>VLOOKUP($A298,'SegEnds_NonXtal_Prot#'!$A:$AL,35,FALSE)</f>
        <v>428</v>
      </c>
      <c r="AO298" s="5">
        <f>VLOOKUP($A298,'SegEnds_NonXtal_Prot#'!$A:$AL,38,FALSE)</f>
        <v>440</v>
      </c>
      <c r="AP298" s="5">
        <f t="shared" si="113"/>
        <v>32</v>
      </c>
      <c r="AQ298" s="4">
        <f t="shared" si="114"/>
        <v>3</v>
      </c>
      <c r="AR298" s="4">
        <f t="shared" si="115"/>
        <v>31</v>
      </c>
      <c r="AS298" s="4">
        <f t="shared" si="116"/>
        <v>3</v>
      </c>
      <c r="AT298" s="4">
        <f t="shared" si="117"/>
        <v>35</v>
      </c>
      <c r="AU298" s="4" t="str">
        <f t="shared" si="118"/>
        <v>-</v>
      </c>
      <c r="AV298" s="4">
        <f t="shared" si="119"/>
        <v>26</v>
      </c>
      <c r="AW298" s="4">
        <f t="shared" si="120"/>
        <v>2</v>
      </c>
      <c r="AX298" s="4">
        <f t="shared" si="121"/>
        <v>45</v>
      </c>
      <c r="AY298" s="4">
        <f t="shared" si="122"/>
        <v>37</v>
      </c>
      <c r="AZ298" s="4">
        <f t="shared" si="123"/>
        <v>28</v>
      </c>
      <c r="BA298" s="4">
        <f t="shared" si="124"/>
        <v>11</v>
      </c>
    </row>
    <row r="299" spans="1:53" x14ac:dyDescent="0.2">
      <c r="A299" s="1" t="str">
        <f>'SegEnds_NonXtal_Prot#'!A291</f>
        <v>npy6r_human</v>
      </c>
      <c r="B299" s="1" t="str">
        <f t="shared" si="100"/>
        <v>PSPALLLLCIAYTVVLIVGLFGNLSLIIIIFKKNFTSILIANLSLSDTLVCVMCIHFTIIYTLMDGDTMCRLTSYVQSVSISVSIFSLVFTAVERYQLIVNSVTHAYWGITLIWLFSLLLSIPFFLSYSKKDRLLFTTSLFLLQYFVPLGFILICYLKIVICLRRRNAKVDENEGRLNENKRINTMLISIVVTFGACWLPRISSMSSLTGI</v>
      </c>
      <c r="C299" s="29" t="str">
        <f>IF(ISERROR(MATCH(A299,'SegEnds_Xtal_Prot#'!B:B, 0)), "NoXtal", "Xtal")</f>
        <v>NoXtal</v>
      </c>
      <c r="D299" s="4" t="str">
        <f>VLOOKUP(A299,Classification!A:D,2,FALSE)</f>
        <v>A</v>
      </c>
      <c r="E299" s="5" t="str">
        <f>VLOOKUP(A299,Seqs!A:B,2,FALSE)</f>
        <v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v>
      </c>
      <c r="F299" s="5" t="str">
        <f t="shared" si="101"/>
        <v>PSPALLLLCIAYTVVLIVGLFGNLSLIIIIFKK</v>
      </c>
      <c r="G299" s="4" t="str">
        <f t="shared" si="102"/>
        <v>RKAQ</v>
      </c>
      <c r="H299" s="4" t="str">
        <f t="shared" si="103"/>
        <v>NFTSILIANLSLSDTLVCVMCIHFTIIYTLMD</v>
      </c>
      <c r="I299" s="4" t="str">
        <f t="shared" si="104"/>
        <v>HWIF</v>
      </c>
      <c r="J299" s="4" t="str">
        <f t="shared" si="105"/>
        <v>GDTMCRLTSYVQSVSISVSIFSLVFTAVERYQLIVN</v>
      </c>
      <c r="K299" s="4" t="str">
        <f t="shared" si="106"/>
        <v/>
      </c>
      <c r="L299" s="4" t="str">
        <f t="shared" si="107"/>
        <v>SVTHAYWGITLIWLFSLLLSIPFFLSY</v>
      </c>
      <c r="M299" s="4" t="str">
        <f t="shared" si="108"/>
        <v/>
      </c>
      <c r="N299" s="4" t="str">
        <f t="shared" si="109"/>
        <v>SKKDRLLFTTSLFLLQYFVPLGFILICYLKIVICLRRRNAKVD</v>
      </c>
      <c r="O299" s="4" t="str">
        <f t="shared" si="110"/>
        <v>ENEGRLNENKRINTMLISIVVTFGACWLPRISSMSSLTGI</v>
      </c>
      <c r="P299" s="4" t="str">
        <f t="shared" si="111"/>
        <v/>
      </c>
      <c r="Q299" s="4" t="str">
        <f t="shared" si="112"/>
        <v/>
      </c>
      <c r="R299" s="5">
        <f>VLOOKUP($A299,'SegEnds_NonXtal_Prot#'!$A:$AL,3,FALSE)</f>
        <v>31</v>
      </c>
      <c r="S299" s="5">
        <f>VLOOKUP($A299,'SegEnds_NonXtal_Prot#'!$A:$AL,6,FALSE)</f>
        <v>65</v>
      </c>
      <c r="T299" s="5">
        <f>VLOOKUP($A299,'SegEnds_NonXtal_Prot#'!$A:$AL,9,FALSE)</f>
        <v>69</v>
      </c>
      <c r="U299" s="5">
        <f>VLOOKUP($A299,'SegEnds_NonXtal_Prot#'!$A:$AL,12,FALSE)</f>
        <v>101</v>
      </c>
      <c r="V299" s="5">
        <f>VLOOKUP($A299,'SegEnds_NonXtal_Prot#'!$A:$AL,15,FALSE)</f>
        <v>105</v>
      </c>
      <c r="W299" s="5" t="str">
        <f>VLOOKUP($A299,'SegEnds_NonXtal_Prot#'!$A:$AL,18,FALSE)</f>
        <v>-</v>
      </c>
      <c r="X299" s="5">
        <f>VLOOKUP($A299,'SegEnds_NonXtal_Prot#'!$A:$AL,21,FALSE)</f>
        <v>147</v>
      </c>
      <c r="Y299" s="5" t="str">
        <f>VLOOKUP($A299,'SegEnds_NonXtal_Prot#'!$A:$AL,24,FALSE)</f>
        <v>-</v>
      </c>
      <c r="Z299" s="5">
        <f>VLOOKUP($A299,'SegEnds_NonXtal_Prot#'!$A:$AL,27,FALSE)</f>
        <v>202</v>
      </c>
      <c r="AA299" s="5">
        <f>VLOOKUP($A299,'SegEnds_NonXtal_Prot#'!$A:$AL,30,FALSE)</f>
        <v>248</v>
      </c>
      <c r="AB299" s="5" t="str">
        <f>VLOOKUP($A299,'SegEnds_NonXtal_Prot#'!$A:$AL,33,FALSE)</f>
        <v>-</v>
      </c>
      <c r="AC299" s="5" t="str">
        <f>VLOOKUP($A299,'SegEnds_NonXtal_Prot#'!$A:$AL,36,FALSE)</f>
        <v>-</v>
      </c>
      <c r="AD299" s="5">
        <f>VLOOKUP($A299,'SegEnds_NonXtal_Prot#'!$A:$AL,5,FALSE)</f>
        <v>63</v>
      </c>
      <c r="AE299" s="5">
        <f>VLOOKUP($A299,'SegEnds_NonXtal_Prot#'!$A:$AL,8,FALSE)</f>
        <v>68</v>
      </c>
      <c r="AF299" s="5">
        <f>VLOOKUP($A299,'SegEnds_NonXtal_Prot#'!$A:$AL,11,FALSE)</f>
        <v>100</v>
      </c>
      <c r="AG299" s="5">
        <f>VLOOKUP($A299,'SegEnds_NonXtal_Prot#'!$A:$AL,14,FALSE)</f>
        <v>104</v>
      </c>
      <c r="AH299" s="5">
        <f>VLOOKUP($A299,'SegEnds_NonXtal_Prot#'!$A:$AL,17,FALSE)</f>
        <v>140</v>
      </c>
      <c r="AI299" s="5" t="str">
        <f>VLOOKUP($A299,'SegEnds_NonXtal_Prot#'!$A:$AL,20,FALSE)</f>
        <v>-</v>
      </c>
      <c r="AJ299" s="5">
        <f>VLOOKUP($A299,'SegEnds_NonXtal_Prot#'!$A:$AL,23,FALSE)</f>
        <v>173</v>
      </c>
      <c r="AK299" s="5" t="str">
        <f>VLOOKUP($A299,'SegEnds_NonXtal_Prot#'!$A:$AL,26,FALSE)</f>
        <v>-</v>
      </c>
      <c r="AL299" s="5">
        <f>VLOOKUP($A299,'SegEnds_NonXtal_Prot#'!$A:$AL,29,FALSE)</f>
        <v>244</v>
      </c>
      <c r="AM299" s="5">
        <f>VLOOKUP($A299,'SegEnds_NonXtal_Prot#'!$A:$AL,32,FALSE)</f>
        <v>287</v>
      </c>
      <c r="AN299" s="5" t="str">
        <f>VLOOKUP($A299,'SegEnds_NonXtal_Prot#'!$A:$AL,35,FALSE)</f>
        <v>-</v>
      </c>
      <c r="AO299" s="5" t="str">
        <f>VLOOKUP($A299,'SegEnds_NonXtal_Prot#'!$A:$AL,38,FALSE)</f>
        <v>-</v>
      </c>
      <c r="AP299" s="5">
        <f t="shared" si="113"/>
        <v>32</v>
      </c>
      <c r="AQ299" s="4">
        <f t="shared" si="114"/>
        <v>3</v>
      </c>
      <c r="AR299" s="4">
        <f t="shared" si="115"/>
        <v>31</v>
      </c>
      <c r="AS299" s="4">
        <f t="shared" si="116"/>
        <v>3</v>
      </c>
      <c r="AT299" s="4">
        <f t="shared" si="117"/>
        <v>35</v>
      </c>
      <c r="AU299" s="4" t="str">
        <f t="shared" si="118"/>
        <v>-</v>
      </c>
      <c r="AV299" s="4">
        <f t="shared" si="119"/>
        <v>26</v>
      </c>
      <c r="AW299" s="4" t="str">
        <f t="shared" si="120"/>
        <v>-</v>
      </c>
      <c r="AX299" s="4">
        <f t="shared" si="121"/>
        <v>42</v>
      </c>
      <c r="AY299" s="4">
        <f t="shared" si="122"/>
        <v>39</v>
      </c>
      <c r="AZ299" s="4" t="str">
        <f t="shared" si="123"/>
        <v>-</v>
      </c>
      <c r="BA299" s="4" t="str">
        <f t="shared" si="124"/>
        <v>-</v>
      </c>
    </row>
    <row r="300" spans="1:53" x14ac:dyDescent="0.2">
      <c r="A300" s="1" t="str">
        <f>'SegEnds_NonXtal_Prot#'!A292</f>
        <v>opn3_human</v>
      </c>
      <c r="B300" s="1" t="str">
        <f t="shared" si="100"/>
        <v>SPGTYERLALLLGSIGLLGVGNNLLVLVLYYKFTPTHLLLVNISLSDLLVSLFGVTFTFVSCLRDTVGCVWDGFSGSLFGIVSIATLTVLAYERYIRVVHNFSWAWRAITYIWLYSLAWAGAPLLNDSSFVLFLFLGCLVVPLGVIAHCYGHILYSIRMLRCVEDQVIKILKYEKKLAKMCFLMIFTFLVCWMPYIVICFLVVNGTPTISIVSYLFAKSNTVYNPVIYVFMIRKFRRSLLQLLC</v>
      </c>
      <c r="C300" s="29" t="str">
        <f>IF(ISERROR(MATCH(A300,'SegEnds_Xtal_Prot#'!B:B, 0)), "NoXtal", "Xtal")</f>
        <v>NoXtal</v>
      </c>
      <c r="D300" s="4" t="str">
        <f>VLOOKUP(A300,Classification!A:D,2,FALSE)</f>
        <v>A</v>
      </c>
      <c r="E300" s="5" t="str">
        <f>VLOOKUP(A300,Seqs!A:B,2,FALSE)</f>
        <v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v>
      </c>
      <c r="F300" s="5" t="str">
        <f t="shared" si="101"/>
        <v>SPGTYERLALLLGSIGLLGVGNNLLVLVLYYKF</v>
      </c>
      <c r="G300" s="4" t="str">
        <f t="shared" si="102"/>
        <v>QRLR</v>
      </c>
      <c r="H300" s="4" t="str">
        <f t="shared" si="103"/>
        <v>TPTHLLLVNISLSDLLVSLFGVTFTFVSCLR</v>
      </c>
      <c r="I300" s="4" t="str">
        <f t="shared" si="104"/>
        <v>GWVW</v>
      </c>
      <c r="J300" s="4" t="str">
        <f t="shared" si="105"/>
        <v>DTVGCVWDGFSGSLFGIVSIATLTVLAYERYIRVVH</v>
      </c>
      <c r="K300" s="4" t="str">
        <f t="shared" si="106"/>
        <v/>
      </c>
      <c r="L300" s="4" t="str">
        <f t="shared" si="107"/>
        <v>NFSWAWRAITYIWLYSLAWAGAPLL</v>
      </c>
      <c r="M300" s="4" t="str">
        <f t="shared" si="108"/>
        <v>CTV</v>
      </c>
      <c r="N300" s="4" t="str">
        <f t="shared" si="109"/>
        <v>NDSSFVLFLFLGCLVVPLGVIAHCYGHILYSIRMLRCVED</v>
      </c>
      <c r="O300" s="4" t="str">
        <f t="shared" si="110"/>
        <v>QVIKILKYEKKLAKMCFLMIFTFLVCWMPYIVICFLVVNG</v>
      </c>
      <c r="P300" s="4" t="str">
        <f t="shared" si="111"/>
        <v>TPTISIVSYLFAKSNTVYNPVIYVFM</v>
      </c>
      <c r="Q300" s="4" t="str">
        <f t="shared" si="112"/>
        <v>IRKFRRSLLQLLC</v>
      </c>
      <c r="R300" s="5">
        <f>VLOOKUP($A300,'SegEnds_NonXtal_Prot#'!$A:$AL,3,FALSE)</f>
        <v>37</v>
      </c>
      <c r="S300" s="5">
        <f>VLOOKUP($A300,'SegEnds_NonXtal_Prot#'!$A:$AL,6,FALSE)</f>
        <v>70</v>
      </c>
      <c r="T300" s="5">
        <f>VLOOKUP($A300,'SegEnds_NonXtal_Prot#'!$A:$AL,9,FALSE)</f>
        <v>74</v>
      </c>
      <c r="U300" s="5">
        <f>VLOOKUP($A300,'SegEnds_NonXtal_Prot#'!$A:$AL,12,FALSE)</f>
        <v>106</v>
      </c>
      <c r="V300" s="5">
        <f>VLOOKUP($A300,'SegEnds_NonXtal_Prot#'!$A:$AL,15,FALSE)</f>
        <v>110</v>
      </c>
      <c r="W300" s="5" t="str">
        <f>VLOOKUP($A300,'SegEnds_NonXtal_Prot#'!$A:$AL,18,FALSE)</f>
        <v>-</v>
      </c>
      <c r="X300" s="5">
        <f>VLOOKUP($A300,'SegEnds_NonXtal_Prot#'!$A:$AL,21,FALSE)</f>
        <v>150</v>
      </c>
      <c r="Y300" s="5">
        <f>VLOOKUP($A300,'SegEnds_NonXtal_Prot#'!$A:$AL,24,FALSE)</f>
        <v>188</v>
      </c>
      <c r="Z300" s="5">
        <f>VLOOKUP($A300,'SegEnds_NonXtal_Prot#'!$A:$AL,27,FALSE)</f>
        <v>198</v>
      </c>
      <c r="AA300" s="5">
        <f>VLOOKUP($A300,'SegEnds_NonXtal_Prot#'!$A:$AL,30,FALSE)</f>
        <v>242</v>
      </c>
      <c r="AB300" s="5">
        <f>VLOOKUP($A300,'SegEnds_NonXtal_Prot#'!$A:$AL,33,FALSE)</f>
        <v>287</v>
      </c>
      <c r="AC300" s="5">
        <f>VLOOKUP($A300,'SegEnds_NonXtal_Prot#'!$A:$AL,36,FALSE)</f>
        <v>313</v>
      </c>
      <c r="AD300" s="5">
        <f>VLOOKUP($A300,'SegEnds_NonXtal_Prot#'!$A:$AL,5,FALSE)</f>
        <v>69</v>
      </c>
      <c r="AE300" s="5">
        <f>VLOOKUP($A300,'SegEnds_NonXtal_Prot#'!$A:$AL,8,FALSE)</f>
        <v>73</v>
      </c>
      <c r="AF300" s="5">
        <f>VLOOKUP($A300,'SegEnds_NonXtal_Prot#'!$A:$AL,11,FALSE)</f>
        <v>104</v>
      </c>
      <c r="AG300" s="5">
        <f>VLOOKUP($A300,'SegEnds_NonXtal_Prot#'!$A:$AL,14,FALSE)</f>
        <v>109</v>
      </c>
      <c r="AH300" s="5">
        <f>VLOOKUP($A300,'SegEnds_NonXtal_Prot#'!$A:$AL,17,FALSE)</f>
        <v>145</v>
      </c>
      <c r="AI300" s="5" t="str">
        <f>VLOOKUP($A300,'SegEnds_NonXtal_Prot#'!$A:$AL,20,FALSE)</f>
        <v>-</v>
      </c>
      <c r="AJ300" s="5">
        <f>VLOOKUP($A300,'SegEnds_NonXtal_Prot#'!$A:$AL,23,FALSE)</f>
        <v>174</v>
      </c>
      <c r="AK300" s="5">
        <f>VLOOKUP($A300,'SegEnds_NonXtal_Prot#'!$A:$AL,26,FALSE)</f>
        <v>190</v>
      </c>
      <c r="AL300" s="5">
        <f>VLOOKUP($A300,'SegEnds_NonXtal_Prot#'!$A:$AL,29,FALSE)</f>
        <v>237</v>
      </c>
      <c r="AM300" s="5">
        <f>VLOOKUP($A300,'SegEnds_NonXtal_Prot#'!$A:$AL,32,FALSE)</f>
        <v>281</v>
      </c>
      <c r="AN300" s="5">
        <f>VLOOKUP($A300,'SegEnds_NonXtal_Prot#'!$A:$AL,35,FALSE)</f>
        <v>312</v>
      </c>
      <c r="AO300" s="5">
        <f>VLOOKUP($A300,'SegEnds_NonXtal_Prot#'!$A:$AL,38,FALSE)</f>
        <v>325</v>
      </c>
      <c r="AP300" s="5">
        <f t="shared" si="113"/>
        <v>32</v>
      </c>
      <c r="AQ300" s="4">
        <f t="shared" si="114"/>
        <v>3</v>
      </c>
      <c r="AR300" s="4">
        <f t="shared" si="115"/>
        <v>30</v>
      </c>
      <c r="AS300" s="4">
        <f t="shared" si="116"/>
        <v>3</v>
      </c>
      <c r="AT300" s="4">
        <f t="shared" si="117"/>
        <v>35</v>
      </c>
      <c r="AU300" s="4" t="str">
        <f t="shared" si="118"/>
        <v>-</v>
      </c>
      <c r="AV300" s="4">
        <f t="shared" si="119"/>
        <v>24</v>
      </c>
      <c r="AW300" s="4">
        <f t="shared" si="120"/>
        <v>2</v>
      </c>
      <c r="AX300" s="4">
        <f t="shared" si="121"/>
        <v>39</v>
      </c>
      <c r="AY300" s="4">
        <f t="shared" si="122"/>
        <v>39</v>
      </c>
      <c r="AZ300" s="4">
        <f t="shared" si="123"/>
        <v>25</v>
      </c>
      <c r="BA300" s="4">
        <f t="shared" si="124"/>
        <v>12</v>
      </c>
    </row>
    <row r="301" spans="1:53" x14ac:dyDescent="0.2">
      <c r="A301" s="1" t="str">
        <f>'SegEnds_NonXtal_Prot#'!A293</f>
        <v>oxyr_human</v>
      </c>
      <c r="B301" s="1" t="str">
        <f t="shared" si="100"/>
        <v>LARVEVAVLCLILLLALSGNACVLLALRTTSRLFFFMKHLSIADLVVAVFQVLPQLLWDIYGPDLLCRLVKYLQVVGMFASTYLLLLMSLDRCLAICQRRRTDRLAVLATWLGCLVASAPQVHIFWGPKAYITWITLAVYIVPVIVLAACYGLISFKIWQNLRLKTAAAKLISKAKIRTVKMTFIIVLAFIVCWTPFFFVQMWSVWDEASAFIIVMLLASLNSCCNPWIYMLFTGHLFHELVQRF</v>
      </c>
      <c r="C301" s="29" t="str">
        <f>IF(ISERROR(MATCH(A301,'SegEnds_Xtal_Prot#'!B:B, 0)), "NoXtal", "Xtal")</f>
        <v>NoXtal</v>
      </c>
      <c r="D301" s="4" t="str">
        <f>VLOOKUP(A301,Classification!A:D,2,FALSE)</f>
        <v>A</v>
      </c>
      <c r="E301" s="5" t="str">
        <f>VLOOKUP(A301,Seqs!A:B,2,FALSE)</f>
        <v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v>
      </c>
      <c r="F301" s="5" t="str">
        <f t="shared" si="101"/>
        <v>LARVEVAVLCLILLLALSGNACVLLALRTT</v>
      </c>
      <c r="G301" s="4" t="str">
        <f t="shared" si="102"/>
        <v>RQKH</v>
      </c>
      <c r="H301" s="4" t="str">
        <f t="shared" si="103"/>
        <v>SRLFFFMKHLSIADLVVAVFQVLPQLLWDI</v>
      </c>
      <c r="I301" s="4" t="str">
        <f t="shared" si="104"/>
        <v>TFRF</v>
      </c>
      <c r="J301" s="4" t="str">
        <f t="shared" si="105"/>
        <v>YGPDLLCRLVKYLQVVGMFASTYLLLLMSLDRCLAICQ</v>
      </c>
      <c r="K301" s="4" t="str">
        <f t="shared" si="106"/>
        <v/>
      </c>
      <c r="L301" s="4" t="str">
        <f t="shared" si="107"/>
        <v>RRRTDRLAVLATWLGCLVASAPQVHIF</v>
      </c>
      <c r="M301" s="4" t="str">
        <f t="shared" si="108"/>
        <v>CWA</v>
      </c>
      <c r="N301" s="4" t="str">
        <f t="shared" si="109"/>
        <v>WGPKAYITWITLAVYIVPVIVLAACYGLISFKIWQNLRLKTAAA</v>
      </c>
      <c r="O301" s="4" t="str">
        <f t="shared" si="110"/>
        <v>KLISKAKIRTVKMTFIIVLAFIVCWTPFFFVQMWSVWD</v>
      </c>
      <c r="P301" s="4" t="str">
        <f t="shared" si="111"/>
        <v>EASAFIIVMLLASLNSCCNPWIYMLF</v>
      </c>
      <c r="Q301" s="4" t="str">
        <f t="shared" si="112"/>
        <v>TGHLFHELVQRF</v>
      </c>
      <c r="R301" s="5">
        <f>VLOOKUP($A301,'SegEnds_NonXtal_Prot#'!$A:$AL,3,FALSE)</f>
        <v>38</v>
      </c>
      <c r="S301" s="5">
        <f>VLOOKUP($A301,'SegEnds_NonXtal_Prot#'!$A:$AL,6,FALSE)</f>
        <v>68</v>
      </c>
      <c r="T301" s="5">
        <f>VLOOKUP($A301,'SegEnds_NonXtal_Prot#'!$A:$AL,9,FALSE)</f>
        <v>72</v>
      </c>
      <c r="U301" s="5">
        <f>VLOOKUP($A301,'SegEnds_NonXtal_Prot#'!$A:$AL,12,FALSE)</f>
        <v>102</v>
      </c>
      <c r="V301" s="5">
        <f>VLOOKUP($A301,'SegEnds_NonXtal_Prot#'!$A:$AL,15,FALSE)</f>
        <v>106</v>
      </c>
      <c r="W301" s="5" t="str">
        <f>VLOOKUP($A301,'SegEnds_NonXtal_Prot#'!$A:$AL,18,FALSE)</f>
        <v>-</v>
      </c>
      <c r="X301" s="5">
        <f>VLOOKUP($A301,'SegEnds_NonXtal_Prot#'!$A:$AL,21,FALSE)</f>
        <v>149</v>
      </c>
      <c r="Y301" s="5">
        <f>VLOOKUP($A301,'SegEnds_NonXtal_Prot#'!$A:$AL,24,FALSE)</f>
        <v>187</v>
      </c>
      <c r="Z301" s="5">
        <f>VLOOKUP($A301,'SegEnds_NonXtal_Prot#'!$A:$AL,27,FALSE)</f>
        <v>195</v>
      </c>
      <c r="AA301" s="5">
        <f>VLOOKUP($A301,'SegEnds_NonXtal_Prot#'!$A:$AL,30,FALSE)</f>
        <v>264</v>
      </c>
      <c r="AB301" s="5">
        <f>VLOOKUP($A301,'SegEnds_NonXtal_Prot#'!$A:$AL,33,FALSE)</f>
        <v>307</v>
      </c>
      <c r="AC301" s="5">
        <f>VLOOKUP($A301,'SegEnds_NonXtal_Prot#'!$A:$AL,36,FALSE)</f>
        <v>333</v>
      </c>
      <c r="AD301" s="5">
        <f>VLOOKUP($A301,'SegEnds_NonXtal_Prot#'!$A:$AL,5,FALSE)</f>
        <v>67</v>
      </c>
      <c r="AE301" s="5">
        <f>VLOOKUP($A301,'SegEnds_NonXtal_Prot#'!$A:$AL,8,FALSE)</f>
        <v>71</v>
      </c>
      <c r="AF301" s="5">
        <f>VLOOKUP($A301,'SegEnds_NonXtal_Prot#'!$A:$AL,11,FALSE)</f>
        <v>101</v>
      </c>
      <c r="AG301" s="5">
        <f>VLOOKUP($A301,'SegEnds_NonXtal_Prot#'!$A:$AL,14,FALSE)</f>
        <v>105</v>
      </c>
      <c r="AH301" s="5">
        <f>VLOOKUP($A301,'SegEnds_NonXtal_Prot#'!$A:$AL,17,FALSE)</f>
        <v>143</v>
      </c>
      <c r="AI301" s="5" t="str">
        <f>VLOOKUP($A301,'SegEnds_NonXtal_Prot#'!$A:$AL,20,FALSE)</f>
        <v>-</v>
      </c>
      <c r="AJ301" s="5">
        <f>VLOOKUP($A301,'SegEnds_NonXtal_Prot#'!$A:$AL,23,FALSE)</f>
        <v>175</v>
      </c>
      <c r="AK301" s="5">
        <f>VLOOKUP($A301,'SegEnds_NonXtal_Prot#'!$A:$AL,26,FALSE)</f>
        <v>189</v>
      </c>
      <c r="AL301" s="5">
        <f>VLOOKUP($A301,'SegEnds_NonXtal_Prot#'!$A:$AL,29,FALSE)</f>
        <v>238</v>
      </c>
      <c r="AM301" s="5">
        <f>VLOOKUP($A301,'SegEnds_NonXtal_Prot#'!$A:$AL,32,FALSE)</f>
        <v>301</v>
      </c>
      <c r="AN301" s="5">
        <f>VLOOKUP($A301,'SegEnds_NonXtal_Prot#'!$A:$AL,35,FALSE)</f>
        <v>332</v>
      </c>
      <c r="AO301" s="5">
        <f>VLOOKUP($A301,'SegEnds_NonXtal_Prot#'!$A:$AL,38,FALSE)</f>
        <v>344</v>
      </c>
      <c r="AP301" s="5">
        <f t="shared" si="113"/>
        <v>29</v>
      </c>
      <c r="AQ301" s="4">
        <f t="shared" si="114"/>
        <v>3</v>
      </c>
      <c r="AR301" s="4">
        <f t="shared" si="115"/>
        <v>29</v>
      </c>
      <c r="AS301" s="4">
        <f t="shared" si="116"/>
        <v>3</v>
      </c>
      <c r="AT301" s="4">
        <f t="shared" si="117"/>
        <v>37</v>
      </c>
      <c r="AU301" s="4" t="str">
        <f t="shared" si="118"/>
        <v>-</v>
      </c>
      <c r="AV301" s="4">
        <f t="shared" si="119"/>
        <v>26</v>
      </c>
      <c r="AW301" s="4">
        <f t="shared" si="120"/>
        <v>2</v>
      </c>
      <c r="AX301" s="4">
        <f t="shared" si="121"/>
        <v>43</v>
      </c>
      <c r="AY301" s="4">
        <f t="shared" si="122"/>
        <v>37</v>
      </c>
      <c r="AZ301" s="4">
        <f t="shared" si="123"/>
        <v>25</v>
      </c>
      <c r="BA301" s="4">
        <f t="shared" si="124"/>
        <v>11</v>
      </c>
    </row>
    <row r="302" spans="1:53" x14ac:dyDescent="0.2">
      <c r="A302" s="1" t="str">
        <f>'SegEnds_NonXtal_Prot#'!A294</f>
        <v>pkr1_human</v>
      </c>
      <c r="B302" s="1" t="str">
        <f t="shared" si="100"/>
        <v>KIVIGMALVGIMLVCGIGNFIFIAALVRYNLTNLLIANLAISDFLVAIVCCPFEMDYYVVGHVLCTSVNYLRTVSLYVSTNALLAIAIDRYLAIVHKCQTATGLIALVWTVSILIAIPSAYFTQLYYKSYFLFIFGIEFVGPVVTMTLCYARISRELWFKAVPGFQIRKRLRCRRKTVLVLMCILTAYVLCWAPFYGFTIVRDFFEKHYLTAFYIVECIAMSNSMINTLCFVTVNDTVKYFKKIML</v>
      </c>
      <c r="C302" s="29" t="str">
        <f>IF(ISERROR(MATCH(A302,'SegEnds_Xtal_Prot#'!B:B, 0)), "NoXtal", "Xtal")</f>
        <v>NoXtal</v>
      </c>
      <c r="D302" s="4" t="str">
        <f>VLOOKUP(A302,Classification!A:D,2,FALSE)</f>
        <v>A</v>
      </c>
      <c r="E302" s="5" t="str">
        <f>VLOOKUP(A302,Seqs!A:B,2,FALSE)</f>
        <v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v>
      </c>
      <c r="F302" s="5" t="str">
        <f t="shared" si="101"/>
        <v>KIVIGMALVGIMLVCGIGNFIFIAALVRY</v>
      </c>
      <c r="G302" s="4" t="str">
        <f t="shared" si="102"/>
        <v>KKLR</v>
      </c>
      <c r="H302" s="4" t="str">
        <f t="shared" si="103"/>
        <v>NLTNLLIANLAISDFLVAIVCCPFEMDYYVV</v>
      </c>
      <c r="I302" s="4" t="str">
        <f t="shared" si="104"/>
        <v>SWEH</v>
      </c>
      <c r="J302" s="4" t="str">
        <f t="shared" si="105"/>
        <v>GHVLCTSVNYLRTVSLYVSTNALLAIAIDRYLAIVH</v>
      </c>
      <c r="K302" s="4" t="str">
        <f t="shared" si="106"/>
        <v/>
      </c>
      <c r="L302" s="4" t="str">
        <f t="shared" si="107"/>
        <v>KCQTATGLIALVWTVSILIAIPSAYFT</v>
      </c>
      <c r="M302" s="4" t="str">
        <f t="shared" si="108"/>
        <v>CGQ</v>
      </c>
      <c r="N302" s="4" t="str">
        <f t="shared" si="109"/>
        <v>QLYYKSYFLFIFGIEFVGPVVTMTLCYARISRELWFKAVPGF</v>
      </c>
      <c r="O302" s="4" t="str">
        <f t="shared" si="110"/>
        <v>QIRKRLRCRRKTVLVLMCILTAYVLCWAPFYGFTIVRDFF</v>
      </c>
      <c r="P302" s="4" t="str">
        <f t="shared" si="111"/>
        <v>EKHYLTAFYIVECIAMSNSMINTLCFVTV</v>
      </c>
      <c r="Q302" s="4" t="str">
        <f t="shared" si="112"/>
        <v>NDTVKYFKKIML</v>
      </c>
      <c r="R302" s="5">
        <f>VLOOKUP($A302,'SegEnds_NonXtal_Prot#'!$A:$AL,3,FALSE)</f>
        <v>62</v>
      </c>
      <c r="S302" s="5">
        <f>VLOOKUP($A302,'SegEnds_NonXtal_Prot#'!$A:$AL,6,FALSE)</f>
        <v>91</v>
      </c>
      <c r="T302" s="5">
        <f>VLOOKUP($A302,'SegEnds_NonXtal_Prot#'!$A:$AL,9,FALSE)</f>
        <v>95</v>
      </c>
      <c r="U302" s="5">
        <f>VLOOKUP($A302,'SegEnds_NonXtal_Prot#'!$A:$AL,12,FALSE)</f>
        <v>129</v>
      </c>
      <c r="V302" s="5">
        <f>VLOOKUP($A302,'SegEnds_NonXtal_Prot#'!$A:$AL,15,FALSE)</f>
        <v>133</v>
      </c>
      <c r="W302" s="5" t="str">
        <f>VLOOKUP($A302,'SegEnds_NonXtal_Prot#'!$A:$AL,18,FALSE)</f>
        <v>-</v>
      </c>
      <c r="X302" s="5">
        <f>VLOOKUP($A302,'SegEnds_NonXtal_Prot#'!$A:$AL,21,FALSE)</f>
        <v>175</v>
      </c>
      <c r="Y302" s="5">
        <f>VLOOKUP($A302,'SegEnds_NonXtal_Prot#'!$A:$AL,24,FALSE)</f>
        <v>217</v>
      </c>
      <c r="Z302" s="5">
        <f>VLOOKUP($A302,'SegEnds_NonXtal_Prot#'!$A:$AL,27,FALSE)</f>
        <v>226</v>
      </c>
      <c r="AA302" s="5">
        <f>VLOOKUP($A302,'SegEnds_NonXtal_Prot#'!$A:$AL,30,FALSE)</f>
        <v>271</v>
      </c>
      <c r="AB302" s="5">
        <f>VLOOKUP($A302,'SegEnds_NonXtal_Prot#'!$A:$AL,33,FALSE)</f>
        <v>317</v>
      </c>
      <c r="AC302" s="5">
        <f>VLOOKUP($A302,'SegEnds_NonXtal_Prot#'!$A:$AL,36,FALSE)</f>
        <v>347</v>
      </c>
      <c r="AD302" s="5">
        <f>VLOOKUP($A302,'SegEnds_NonXtal_Prot#'!$A:$AL,5,FALSE)</f>
        <v>90</v>
      </c>
      <c r="AE302" s="5">
        <f>VLOOKUP($A302,'SegEnds_NonXtal_Prot#'!$A:$AL,8,FALSE)</f>
        <v>94</v>
      </c>
      <c r="AF302" s="5">
        <f>VLOOKUP($A302,'SegEnds_NonXtal_Prot#'!$A:$AL,11,FALSE)</f>
        <v>125</v>
      </c>
      <c r="AG302" s="5">
        <f>VLOOKUP($A302,'SegEnds_NonXtal_Prot#'!$A:$AL,14,FALSE)</f>
        <v>132</v>
      </c>
      <c r="AH302" s="5">
        <f>VLOOKUP($A302,'SegEnds_NonXtal_Prot#'!$A:$AL,17,FALSE)</f>
        <v>168</v>
      </c>
      <c r="AI302" s="5" t="str">
        <f>VLOOKUP($A302,'SegEnds_NonXtal_Prot#'!$A:$AL,20,FALSE)</f>
        <v>-</v>
      </c>
      <c r="AJ302" s="5">
        <f>VLOOKUP($A302,'SegEnds_NonXtal_Prot#'!$A:$AL,23,FALSE)</f>
        <v>201</v>
      </c>
      <c r="AK302" s="5">
        <f>VLOOKUP($A302,'SegEnds_NonXtal_Prot#'!$A:$AL,26,FALSE)</f>
        <v>219</v>
      </c>
      <c r="AL302" s="5">
        <f>VLOOKUP($A302,'SegEnds_NonXtal_Prot#'!$A:$AL,29,FALSE)</f>
        <v>267</v>
      </c>
      <c r="AM302" s="5">
        <f>VLOOKUP($A302,'SegEnds_NonXtal_Prot#'!$A:$AL,32,FALSE)</f>
        <v>310</v>
      </c>
      <c r="AN302" s="5">
        <f>VLOOKUP($A302,'SegEnds_NonXtal_Prot#'!$A:$AL,35,FALSE)</f>
        <v>345</v>
      </c>
      <c r="AO302" s="5">
        <f>VLOOKUP($A302,'SegEnds_NonXtal_Prot#'!$A:$AL,38,FALSE)</f>
        <v>358</v>
      </c>
      <c r="AP302" s="5">
        <f t="shared" si="113"/>
        <v>28</v>
      </c>
      <c r="AQ302" s="4">
        <f t="shared" si="114"/>
        <v>3</v>
      </c>
      <c r="AR302" s="4">
        <f t="shared" si="115"/>
        <v>30</v>
      </c>
      <c r="AS302" s="4">
        <f t="shared" si="116"/>
        <v>3</v>
      </c>
      <c r="AT302" s="4">
        <f t="shared" si="117"/>
        <v>35</v>
      </c>
      <c r="AU302" s="4" t="str">
        <f t="shared" si="118"/>
        <v>-</v>
      </c>
      <c r="AV302" s="4">
        <f t="shared" si="119"/>
        <v>26</v>
      </c>
      <c r="AW302" s="4">
        <f t="shared" si="120"/>
        <v>2</v>
      </c>
      <c r="AX302" s="4">
        <f t="shared" si="121"/>
        <v>41</v>
      </c>
      <c r="AY302" s="4">
        <f t="shared" si="122"/>
        <v>39</v>
      </c>
      <c r="AZ302" s="4">
        <f t="shared" si="123"/>
        <v>28</v>
      </c>
      <c r="BA302" s="4">
        <f t="shared" si="124"/>
        <v>11</v>
      </c>
    </row>
    <row r="303" spans="1:53" x14ac:dyDescent="0.2">
      <c r="A303" s="1" t="str">
        <f>'SegEnds_NonXtal_Prot#'!A296</f>
        <v>rl3r1_human</v>
      </c>
      <c r="B303" s="1" t="str">
        <f t="shared" si="100"/>
        <v>RVRILISVVYWVVCALGLAGNLLVLYLMKSMKSSINLFVTNLALTDFQFVLTLPFWAVENALGKAMCKIVSMVTSMNMYASVFFLTAMSVTRYHSVASCCFSAKALCVWIWALAALASLPSAIFSWLGLYHSQKVLLGFVLPLGIIILCYLLLVRFIADRRAAGTKRPTGASARRLSKVTKSVTIVVLSFFLCWLPNQALTTWSILIKFNSQEYFLCQVYAFPVSVCLAHSNSCLNPVLYCLVRREFRKALKSLLWRI</v>
      </c>
      <c r="C303" s="29" t="str">
        <f>IF(ISERROR(MATCH(A303,'SegEnds_Xtal_Prot#'!B:B, 0)), "NoXtal", "Xtal")</f>
        <v>NoXtal</v>
      </c>
      <c r="D303" s="4" t="str">
        <f>VLOOKUP(A303,Classification!A:D,2,FALSE)</f>
        <v>A</v>
      </c>
      <c r="E303" s="5" t="str">
        <f>VLOOKUP(A303,Seqs!A:B,2,FALSE)</f>
        <v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v>
      </c>
      <c r="F303" s="5" t="str">
        <f t="shared" si="101"/>
        <v>RVRILISVVYWVVCALGLAGNLLVLYLMKSM</v>
      </c>
      <c r="G303" s="4" t="str">
        <f t="shared" si="102"/>
        <v>QGWR</v>
      </c>
      <c r="H303" s="4" t="str">
        <f t="shared" si="103"/>
        <v>KSSINLFVTNLALTDFQFVLTLPFWAVENAL</v>
      </c>
      <c r="I303" s="4" t="str">
        <f t="shared" si="104"/>
        <v>KWPF</v>
      </c>
      <c r="J303" s="4" t="str">
        <f t="shared" si="105"/>
        <v>GKAMCKIVSMVTSMNMYASVFFLTAMSVTRYHSVAS</v>
      </c>
      <c r="K303" s="4" t="str">
        <f t="shared" si="106"/>
        <v/>
      </c>
      <c r="L303" s="4" t="str">
        <f t="shared" si="107"/>
        <v>CCFSAKALCVWIWALAALASLPSAIFS</v>
      </c>
      <c r="M303" s="4" t="str">
        <f t="shared" si="108"/>
        <v>CLV</v>
      </c>
      <c r="N303" s="4" t="str">
        <f t="shared" si="109"/>
        <v>WLGLYHSQKVLLGFVLPLGIIILCYLLLVRFIADRRAAGTK</v>
      </c>
      <c r="O303" s="4" t="str">
        <f t="shared" si="110"/>
        <v>RPTGASARRLSKVTKSVTIVVLSFFLCWLPNQALTTWSILIKFN</v>
      </c>
      <c r="P303" s="4" t="str">
        <f t="shared" si="111"/>
        <v>SQEYFLCQVYAFPVSVCLAHSNSCLNPVLYCLV</v>
      </c>
      <c r="Q303" s="4" t="str">
        <f t="shared" si="112"/>
        <v>RREFRKALKSLLWRI</v>
      </c>
      <c r="R303" s="5">
        <f>VLOOKUP($A303,'SegEnds_NonXtal_Prot#'!$A:$AL,3,FALSE)</f>
        <v>79</v>
      </c>
      <c r="S303" s="5">
        <f>VLOOKUP($A303,'SegEnds_NonXtal_Prot#'!$A:$AL,6,FALSE)</f>
        <v>110</v>
      </c>
      <c r="T303" s="5">
        <f>VLOOKUP($A303,'SegEnds_NonXtal_Prot#'!$A:$AL,9,FALSE)</f>
        <v>114</v>
      </c>
      <c r="U303" s="5">
        <f>VLOOKUP($A303,'SegEnds_NonXtal_Prot#'!$A:$AL,12,FALSE)</f>
        <v>147</v>
      </c>
      <c r="V303" s="5">
        <f>VLOOKUP($A303,'SegEnds_NonXtal_Prot#'!$A:$AL,15,FALSE)</f>
        <v>151</v>
      </c>
      <c r="W303" s="5" t="str">
        <f>VLOOKUP($A303,'SegEnds_NonXtal_Prot#'!$A:$AL,18,FALSE)</f>
        <v>-</v>
      </c>
      <c r="X303" s="5">
        <f>VLOOKUP($A303,'SegEnds_NonXtal_Prot#'!$A:$AL,21,FALSE)</f>
        <v>210</v>
      </c>
      <c r="Y303" s="5">
        <f>VLOOKUP($A303,'SegEnds_NonXtal_Prot#'!$A:$AL,24,FALSE)</f>
        <v>247</v>
      </c>
      <c r="Z303" s="5">
        <f>VLOOKUP($A303,'SegEnds_NonXtal_Prot#'!$A:$AL,27,FALSE)</f>
        <v>263</v>
      </c>
      <c r="AA303" s="5">
        <f>VLOOKUP($A303,'SegEnds_NonXtal_Prot#'!$A:$AL,30,FALSE)</f>
        <v>312</v>
      </c>
      <c r="AB303" s="5">
        <f>VLOOKUP($A303,'SegEnds_NonXtal_Prot#'!$A:$AL,33,FALSE)</f>
        <v>360</v>
      </c>
      <c r="AC303" s="5">
        <f>VLOOKUP($A303,'SegEnds_NonXtal_Prot#'!$A:$AL,36,FALSE)</f>
        <v>393</v>
      </c>
      <c r="AD303" s="5">
        <f>VLOOKUP($A303,'SegEnds_NonXtal_Prot#'!$A:$AL,5,FALSE)</f>
        <v>109</v>
      </c>
      <c r="AE303" s="5">
        <f>VLOOKUP($A303,'SegEnds_NonXtal_Prot#'!$A:$AL,8,FALSE)</f>
        <v>113</v>
      </c>
      <c r="AF303" s="5">
        <f>VLOOKUP($A303,'SegEnds_NonXtal_Prot#'!$A:$AL,11,FALSE)</f>
        <v>144</v>
      </c>
      <c r="AG303" s="5">
        <f>VLOOKUP($A303,'SegEnds_NonXtal_Prot#'!$A:$AL,14,FALSE)</f>
        <v>150</v>
      </c>
      <c r="AH303" s="5">
        <f>VLOOKUP($A303,'SegEnds_NonXtal_Prot#'!$A:$AL,17,FALSE)</f>
        <v>186</v>
      </c>
      <c r="AI303" s="5" t="str">
        <f>VLOOKUP($A303,'SegEnds_NonXtal_Prot#'!$A:$AL,20,FALSE)</f>
        <v>-</v>
      </c>
      <c r="AJ303" s="5">
        <f>VLOOKUP($A303,'SegEnds_NonXtal_Prot#'!$A:$AL,23,FALSE)</f>
        <v>236</v>
      </c>
      <c r="AK303" s="5">
        <f>VLOOKUP($A303,'SegEnds_NonXtal_Prot#'!$A:$AL,26,FALSE)</f>
        <v>249</v>
      </c>
      <c r="AL303" s="5">
        <f>VLOOKUP($A303,'SegEnds_NonXtal_Prot#'!$A:$AL,29,FALSE)</f>
        <v>303</v>
      </c>
      <c r="AM303" s="5">
        <f>VLOOKUP($A303,'SegEnds_NonXtal_Prot#'!$A:$AL,32,FALSE)</f>
        <v>355</v>
      </c>
      <c r="AN303" s="5">
        <f>VLOOKUP($A303,'SegEnds_NonXtal_Prot#'!$A:$AL,35,FALSE)</f>
        <v>392</v>
      </c>
      <c r="AO303" s="5">
        <f>VLOOKUP($A303,'SegEnds_NonXtal_Prot#'!$A:$AL,38,FALSE)</f>
        <v>407</v>
      </c>
      <c r="AP303" s="5">
        <f t="shared" si="113"/>
        <v>30</v>
      </c>
      <c r="AQ303" s="4">
        <f t="shared" si="114"/>
        <v>3</v>
      </c>
      <c r="AR303" s="4">
        <f t="shared" si="115"/>
        <v>30</v>
      </c>
      <c r="AS303" s="4">
        <f t="shared" si="116"/>
        <v>3</v>
      </c>
      <c r="AT303" s="4">
        <f t="shared" si="117"/>
        <v>35</v>
      </c>
      <c r="AU303" s="4" t="str">
        <f t="shared" si="118"/>
        <v>-</v>
      </c>
      <c r="AV303" s="4">
        <f t="shared" si="119"/>
        <v>26</v>
      </c>
      <c r="AW303" s="4">
        <f t="shared" si="120"/>
        <v>2</v>
      </c>
      <c r="AX303" s="4">
        <f t="shared" si="121"/>
        <v>40</v>
      </c>
      <c r="AY303" s="4">
        <f t="shared" si="122"/>
        <v>43</v>
      </c>
      <c r="AZ303" s="4">
        <f t="shared" si="123"/>
        <v>32</v>
      </c>
      <c r="BA303" s="4">
        <f t="shared" si="124"/>
        <v>14</v>
      </c>
    </row>
    <row r="304" spans="1:53" x14ac:dyDescent="0.2">
      <c r="A304" s="1" t="str">
        <f>'SegEnds_NonXtal_Prot#'!A297</f>
        <v>us28_hcmva</v>
      </c>
      <c r="B304" s="1" t="str">
        <f t="shared" si="100"/>
        <v>FTDVLNQSKPVTLFLYGVVFLFGSIGNFLVIFTITWRCSGDVYFINLAAADLLFVCTLPLWMQYLLDASVPCTLLTACFYVAMFASLCFITEIALDRYYAIVPVKQACLFSIFWWIFAVIIAIPHFMSYPIILNVELMLGAFVIPLSVISYCYYRISRIVAVSHKGRIVRVLIAVVLVFIIFWLPYHLTLFVDTLKLLKSCEFERSLKRALILTESLAFCHCCLNPLLYVFVGTKFRQELHCLLAEFR</v>
      </c>
      <c r="C304" s="29" t="str">
        <f>IF(ISERROR(MATCH(A304,'SegEnds_Xtal_Prot#'!B:B, 0)), "NoXtal", "Xtal")</f>
        <v>Xtal</v>
      </c>
      <c r="D304" s="4" t="str">
        <f>VLOOKUP(A304,Classification!A:D,2,FALSE)</f>
        <v>A</v>
      </c>
      <c r="E304" s="5" t="str">
        <f>VLOOKUP(A304,Seqs!A:B,2,FALSE)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F304" s="5" t="str">
        <f t="shared" si="101"/>
        <v>FTDVLNQSKPVTLFLYGVVFLFGSIGNFLVIFTITWR</v>
      </c>
      <c r="G304" s="4" t="str">
        <f t="shared" si="102"/>
        <v>RRIQ</v>
      </c>
      <c r="H304" s="4" t="str">
        <f t="shared" si="103"/>
        <v>CSGDVYFINLAAADLLFVCTLPLWMQYLLD</v>
      </c>
      <c r="I304" s="4" t="str">
        <f t="shared" si="104"/>
        <v/>
      </c>
      <c r="J304" s="4" t="str">
        <f t="shared" si="105"/>
        <v>ASVPCTLLTACFYVAMFASLCFITEIALDRYYAIV</v>
      </c>
      <c r="K304" s="4" t="str">
        <f t="shared" si="106"/>
        <v/>
      </c>
      <c r="L304" s="4" t="str">
        <f t="shared" si="107"/>
        <v>PVKQACLFSIFWWIFAVIIAIPHFM</v>
      </c>
      <c r="M304" s="4" t="str">
        <f t="shared" si="108"/>
        <v>CMT</v>
      </c>
      <c r="N304" s="4" t="str">
        <f t="shared" si="109"/>
        <v>SYPIILNVELMLGAFVIPLSVISYCYYRISRIVAVS</v>
      </c>
      <c r="O304" s="4" t="str">
        <f t="shared" si="110"/>
        <v>HKGRIVRVLIAVVLVFIIFWLPYHLTLFVDTLKLLK</v>
      </c>
      <c r="P304" s="4" t="str">
        <f t="shared" si="111"/>
        <v>SCEFERSLKRALILTESLAFCHCCLNPLLYVFV</v>
      </c>
      <c r="Q304" s="4" t="str">
        <f t="shared" si="112"/>
        <v>GTKFRQELHCLLAEFR</v>
      </c>
      <c r="R304" s="5">
        <f>VLOOKUP($A304,'SegEnds_NonXtal_Prot#'!$A:$AL,3,FALSE)</f>
        <v>25</v>
      </c>
      <c r="S304" s="5">
        <f>VLOOKUP($A304,'SegEnds_NonXtal_Prot#'!$A:$AL,6,FALSE)</f>
        <v>62</v>
      </c>
      <c r="T304" s="5">
        <f>VLOOKUP($A304,'SegEnds_NonXtal_Prot#'!$A:$AL,9,FALSE)</f>
        <v>66</v>
      </c>
      <c r="U304" s="5" t="str">
        <f>VLOOKUP($A304,'SegEnds_NonXtal_Prot#'!$A:$AL,12,FALSE)</f>
        <v>-</v>
      </c>
      <c r="V304" s="5">
        <f>VLOOKUP($A304,'SegEnds_NonXtal_Prot#'!$A:$AL,15,FALSE)</f>
        <v>100</v>
      </c>
      <c r="W304" s="5" t="str">
        <f>VLOOKUP($A304,'SegEnds_NonXtal_Prot#'!$A:$AL,18,FALSE)</f>
        <v>-</v>
      </c>
      <c r="X304" s="5">
        <f>VLOOKUP($A304,'SegEnds_NonXtal_Prot#'!$A:$AL,21,FALSE)</f>
        <v>140</v>
      </c>
      <c r="Y304" s="5">
        <f>VLOOKUP($A304,'SegEnds_NonXtal_Prot#'!$A:$AL,24,FALSE)</f>
        <v>173</v>
      </c>
      <c r="Z304" s="5">
        <f>VLOOKUP($A304,'SegEnds_NonXtal_Prot#'!$A:$AL,27,FALSE)</f>
        <v>183</v>
      </c>
      <c r="AA304" s="5">
        <f>VLOOKUP($A304,'SegEnds_NonXtal_Prot#'!$A:$AL,30,FALSE)</f>
        <v>222</v>
      </c>
      <c r="AB304" s="5">
        <f>VLOOKUP($A304,'SegEnds_NonXtal_Prot#'!$A:$AL,33,FALSE)</f>
        <v>262</v>
      </c>
      <c r="AC304" s="5">
        <f>VLOOKUP($A304,'SegEnds_NonXtal_Prot#'!$A:$AL,36,FALSE)</f>
        <v>295</v>
      </c>
      <c r="AD304" s="5">
        <f>VLOOKUP($A304,'SegEnds_NonXtal_Prot#'!$A:$AL,5,FALSE)</f>
        <v>61</v>
      </c>
      <c r="AE304" s="5">
        <f>VLOOKUP($A304,'SegEnds_NonXtal_Prot#'!$A:$AL,8,FALSE)</f>
        <v>65</v>
      </c>
      <c r="AF304" s="5">
        <f>VLOOKUP($A304,'SegEnds_NonXtal_Prot#'!$A:$AL,11,FALSE)</f>
        <v>95</v>
      </c>
      <c r="AG304" s="5" t="str">
        <f>VLOOKUP($A304,'SegEnds_NonXtal_Prot#'!$A:$AL,14,FALSE)</f>
        <v>-</v>
      </c>
      <c r="AH304" s="5">
        <f>VLOOKUP($A304,'SegEnds_NonXtal_Prot#'!$A:$AL,17,FALSE)</f>
        <v>134</v>
      </c>
      <c r="AI304" s="5" t="str">
        <f>VLOOKUP($A304,'SegEnds_NonXtal_Prot#'!$A:$AL,20,FALSE)</f>
        <v>-</v>
      </c>
      <c r="AJ304" s="5">
        <f>VLOOKUP($A304,'SegEnds_NonXtal_Prot#'!$A:$AL,23,FALSE)</f>
        <v>164</v>
      </c>
      <c r="AK304" s="5">
        <f>VLOOKUP($A304,'SegEnds_NonXtal_Prot#'!$A:$AL,26,FALSE)</f>
        <v>175</v>
      </c>
      <c r="AL304" s="5">
        <f>VLOOKUP($A304,'SegEnds_NonXtal_Prot#'!$A:$AL,29,FALSE)</f>
        <v>218</v>
      </c>
      <c r="AM304" s="5">
        <f>VLOOKUP($A304,'SegEnds_NonXtal_Prot#'!$A:$AL,32,FALSE)</f>
        <v>257</v>
      </c>
      <c r="AN304" s="5">
        <f>VLOOKUP($A304,'SegEnds_NonXtal_Prot#'!$A:$AL,35,FALSE)</f>
        <v>294</v>
      </c>
      <c r="AO304" s="5">
        <f>VLOOKUP($A304,'SegEnds_NonXtal_Prot#'!$A:$AL,38,FALSE)</f>
        <v>310</v>
      </c>
      <c r="AP304" s="5">
        <f t="shared" si="113"/>
        <v>36</v>
      </c>
      <c r="AQ304" s="4">
        <f t="shared" si="114"/>
        <v>3</v>
      </c>
      <c r="AR304" s="4">
        <f t="shared" si="115"/>
        <v>29</v>
      </c>
      <c r="AS304" s="4" t="str">
        <f t="shared" si="116"/>
        <v>-</v>
      </c>
      <c r="AT304" s="4">
        <f t="shared" si="117"/>
        <v>34</v>
      </c>
      <c r="AU304" s="4" t="str">
        <f t="shared" si="118"/>
        <v>-</v>
      </c>
      <c r="AV304" s="4">
        <f t="shared" si="119"/>
        <v>24</v>
      </c>
      <c r="AW304" s="4">
        <f t="shared" si="120"/>
        <v>2</v>
      </c>
      <c r="AX304" s="4">
        <f t="shared" si="121"/>
        <v>35</v>
      </c>
      <c r="AY304" s="4">
        <f t="shared" si="122"/>
        <v>35</v>
      </c>
      <c r="AZ304" s="4">
        <f t="shared" si="123"/>
        <v>32</v>
      </c>
      <c r="BA304" s="4">
        <f t="shared" si="124"/>
        <v>15</v>
      </c>
    </row>
    <row r="305" spans="1:53" x14ac:dyDescent="0.2">
      <c r="A305" s="1" t="str">
        <f>'SegEnds_NonXtal_Prot#'!A299</f>
        <v>calcr_human</v>
      </c>
      <c r="B305" s="1" t="str">
        <f t="shared" si="100"/>
        <v>TMCNAFTPEKLKNAYVLYYLAIVGHSLSIFTLVISLGIFVFFCQRVTLHKNMFLTYILNSMIIIIHLVEVVSCKILHFFHQYMMACNYFWMLCEGIYLHTLIVVRLRWYYLLGWGFPLVPTTIHAITRAVYFLYIIHGPVMAALVVNFFFLLNIVRVLVTKMRYLKAVKATMILVPLLGIQFVVFPWKMLGKIYDYVMHSLIHFQGFFVATIYCFCNNEVQTTVKRQWAQFKIQWNQRWGRR</v>
      </c>
      <c r="C305" s="29" t="str">
        <f>IF(ISERROR(MATCH(A305,'SegEnds_Xtal_Prot#'!B:B, 0)), "NoXtal", "Xtal")</f>
        <v>Xtal</v>
      </c>
      <c r="D305" s="4" t="str">
        <f>VLOOKUP(A305,Classification!A:D,2,FALSE)</f>
        <v>B1</v>
      </c>
      <c r="E305" s="5" t="str">
        <f>VLOOKUP(A305,Seqs!A:B,2,FALSE)</f>
        <v>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v>
      </c>
      <c r="F305" s="5" t="str">
        <f t="shared" si="101"/>
        <v>TMCNAFTPEKLKNAYVLYYLAIVGHSLSIFTLVISLGIFVFF</v>
      </c>
      <c r="G305" s="4" t="str">
        <f t="shared" si="102"/>
        <v>RSLG</v>
      </c>
      <c r="H305" s="4" t="str">
        <f t="shared" si="103"/>
        <v>CQRVTLHKNMFLTYILNSMIIIIHLVEV</v>
      </c>
      <c r="I305" s="4" t="str">
        <f t="shared" si="104"/>
        <v/>
      </c>
      <c r="J305" s="4" t="str">
        <f t="shared" si="105"/>
        <v>VSCKILHFFHQYMMACNYFWMLCEGIYLHTLIVV</v>
      </c>
      <c r="K305" s="4" t="str">
        <f t="shared" si="106"/>
        <v/>
      </c>
      <c r="L305" s="4" t="str">
        <f t="shared" si="107"/>
        <v>RLRWYYLLGWGFPLVPTTIHAITRAVYF</v>
      </c>
      <c r="M305" s="4" t="str">
        <f t="shared" si="108"/>
        <v>CWL</v>
      </c>
      <c r="N305" s="4" t="str">
        <f t="shared" si="109"/>
        <v>LYIIHGPVMAALVVNFFFLLNIVRVLVTKMR</v>
      </c>
      <c r="O305" s="4" t="str">
        <f t="shared" si="110"/>
        <v>YLKAVKATMILVPLLGIQFVVFPW</v>
      </c>
      <c r="P305" s="4" t="str">
        <f t="shared" si="111"/>
        <v>KMLGKIYDYVMHSLIHFQGFFVATIYCFC</v>
      </c>
      <c r="Q305" s="4" t="str">
        <f t="shared" si="112"/>
        <v>NNEVQTTVKRQWAQFKIQWNQRWGRR</v>
      </c>
      <c r="R305" s="5">
        <f>VLOOKUP($A305,'SegEnds_NonXtal_Prot#'!$A:$AL,3,FALSE)</f>
        <v>132</v>
      </c>
      <c r="S305" s="5">
        <f>VLOOKUP($A305,'SegEnds_NonXtal_Prot#'!$A:$AL,6,FALSE)</f>
        <v>174</v>
      </c>
      <c r="T305" s="5">
        <f>VLOOKUP($A305,'SegEnds_NonXtal_Prot#'!$A:$AL,9,FALSE)</f>
        <v>178</v>
      </c>
      <c r="U305" s="5" t="str">
        <f>VLOOKUP($A305,'SegEnds_NonXtal_Prot#'!$A:$AL,12,FALSE)</f>
        <v>-</v>
      </c>
      <c r="V305" s="5">
        <f>VLOOKUP($A305,'SegEnds_NonXtal_Prot#'!$A:$AL,15,FALSE)</f>
        <v>217</v>
      </c>
      <c r="W305" s="5" t="str">
        <f>VLOOKUP($A305,'SegEnds_NonXtal_Prot#'!$A:$AL,18,FALSE)</f>
        <v>-</v>
      </c>
      <c r="X305" s="5">
        <f>VLOOKUP($A305,'SegEnds_NonXtal_Prot#'!$A:$AL,21,FALSE)</f>
        <v>258</v>
      </c>
      <c r="Y305" s="5">
        <f>VLOOKUP($A305,'SegEnds_NonXtal_Prot#'!$A:$AL,24,FALSE)</f>
        <v>289</v>
      </c>
      <c r="Z305" s="5">
        <f>VLOOKUP($A305,'SegEnds_NonXtal_Prot#'!$A:$AL,27,FALSE)</f>
        <v>298</v>
      </c>
      <c r="AA305" s="5">
        <f>VLOOKUP($A305,'SegEnds_NonXtal_Prot#'!$A:$AL,30,FALSE)</f>
        <v>338</v>
      </c>
      <c r="AB305" s="5">
        <f>VLOOKUP($A305,'SegEnds_NonXtal_Prot#'!$A:$AL,33,FALSE)</f>
        <v>366</v>
      </c>
      <c r="AC305" s="5">
        <f>VLOOKUP($A305,'SegEnds_NonXtal_Prot#'!$A:$AL,36,FALSE)</f>
        <v>395</v>
      </c>
      <c r="AD305" s="5">
        <f>VLOOKUP($A305,'SegEnds_NonXtal_Prot#'!$A:$AL,5,FALSE)</f>
        <v>173</v>
      </c>
      <c r="AE305" s="5">
        <f>VLOOKUP($A305,'SegEnds_NonXtal_Prot#'!$A:$AL,8,FALSE)</f>
        <v>177</v>
      </c>
      <c r="AF305" s="5">
        <f>VLOOKUP($A305,'SegEnds_NonXtal_Prot#'!$A:$AL,11,FALSE)</f>
        <v>205</v>
      </c>
      <c r="AG305" s="5" t="str">
        <f>VLOOKUP($A305,'SegEnds_NonXtal_Prot#'!$A:$AL,14,FALSE)</f>
        <v>-</v>
      </c>
      <c r="AH305" s="5">
        <f>VLOOKUP($A305,'SegEnds_NonXtal_Prot#'!$A:$AL,17,FALSE)</f>
        <v>250</v>
      </c>
      <c r="AI305" s="5" t="str">
        <f>VLOOKUP($A305,'SegEnds_NonXtal_Prot#'!$A:$AL,20,FALSE)</f>
        <v>-</v>
      </c>
      <c r="AJ305" s="5">
        <f>VLOOKUP($A305,'SegEnds_NonXtal_Prot#'!$A:$AL,23,FALSE)</f>
        <v>285</v>
      </c>
      <c r="AK305" s="5">
        <f>VLOOKUP($A305,'SegEnds_NonXtal_Prot#'!$A:$AL,26,FALSE)</f>
        <v>291</v>
      </c>
      <c r="AL305" s="5">
        <f>VLOOKUP($A305,'SegEnds_NonXtal_Prot#'!$A:$AL,29,FALSE)</f>
        <v>328</v>
      </c>
      <c r="AM305" s="5">
        <f>VLOOKUP($A305,'SegEnds_NonXtal_Prot#'!$A:$AL,32,FALSE)</f>
        <v>361</v>
      </c>
      <c r="AN305" s="5">
        <f>VLOOKUP($A305,'SegEnds_NonXtal_Prot#'!$A:$AL,35,FALSE)</f>
        <v>394</v>
      </c>
      <c r="AO305" s="5">
        <f>VLOOKUP($A305,'SegEnds_NonXtal_Prot#'!$A:$AL,38,FALSE)</f>
        <v>420</v>
      </c>
      <c r="AP305" s="5">
        <f t="shared" si="113"/>
        <v>41</v>
      </c>
      <c r="AQ305" s="4">
        <f t="shared" si="114"/>
        <v>3</v>
      </c>
      <c r="AR305" s="4">
        <f t="shared" si="115"/>
        <v>27</v>
      </c>
      <c r="AS305" s="4" t="str">
        <f t="shared" si="116"/>
        <v>-</v>
      </c>
      <c r="AT305" s="4">
        <f t="shared" si="117"/>
        <v>33</v>
      </c>
      <c r="AU305" s="4" t="str">
        <f t="shared" si="118"/>
        <v>-</v>
      </c>
      <c r="AV305" s="4">
        <f t="shared" si="119"/>
        <v>27</v>
      </c>
      <c r="AW305" s="4">
        <f t="shared" si="120"/>
        <v>2</v>
      </c>
      <c r="AX305" s="4">
        <f t="shared" si="121"/>
        <v>30</v>
      </c>
      <c r="AY305" s="4">
        <f t="shared" si="122"/>
        <v>23</v>
      </c>
      <c r="AZ305" s="4">
        <f t="shared" si="123"/>
        <v>28</v>
      </c>
      <c r="BA305" s="4">
        <f t="shared" si="124"/>
        <v>25</v>
      </c>
    </row>
    <row r="306" spans="1:53" x14ac:dyDescent="0.2">
      <c r="A306" s="1" t="str">
        <f>'SegEnds_NonXtal_Prot#'!A300</f>
        <v>calrl_human</v>
      </c>
      <c r="B306" s="1" t="str">
        <f t="shared" si="100"/>
        <v>NTHEKVKTALNLFYLTIIGHGLSIASLLISLGIFFYFCQRITLHKNLFFSFVCNSVVTIIHLTAVVSCKVSQFIHLYLMGCNYFWMLCEGIYLHTLIVVHLMWYYFLGWGFPLIPACIHAIARSLYLLYIIHGPICAALLVNLFFLLNIVRVLITKLKYMKAVRATLILVPLLGIEFVLIPWKIAEEVYDYIMHILMHFQGLLVSTIFCFFNGEVQAILRRNWNQYKIQFGNSFSNS</v>
      </c>
      <c r="C306" s="29" t="str">
        <f>IF(ISERROR(MATCH(A306,'SegEnds_Xtal_Prot#'!B:B, 0)), "NoXtal", "Xtal")</f>
        <v>Xtal</v>
      </c>
      <c r="D306" s="4" t="str">
        <f>VLOOKUP(A306,Classification!A:D,2,FALSE)</f>
        <v>B1</v>
      </c>
      <c r="E306" s="5" t="str">
        <f>VLOOKUP(A306,Seqs!A:B,2,FALSE)</f>
        <v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v>
      </c>
      <c r="F306" s="5" t="str">
        <f t="shared" si="101"/>
        <v>NTHEKVKTALNLFYLTIIGHGLSIASLLISLGIFFYF</v>
      </c>
      <c r="G306" s="4" t="str">
        <f t="shared" si="102"/>
        <v>KSLS</v>
      </c>
      <c r="H306" s="4" t="str">
        <f t="shared" si="103"/>
        <v>CQRITLHKNLFFSFVCNSVVTIIHLTAV</v>
      </c>
      <c r="I306" s="4" t="str">
        <f t="shared" si="104"/>
        <v/>
      </c>
      <c r="J306" s="4" t="str">
        <f t="shared" si="105"/>
        <v>VSCKVSQFIHLYLMGCNYFWMLCEGIYLHTLIVV</v>
      </c>
      <c r="K306" s="4" t="str">
        <f t="shared" si="106"/>
        <v/>
      </c>
      <c r="L306" s="4" t="str">
        <f t="shared" si="107"/>
        <v>HLMWYYFLGWGFPLIPACIHAIARSLY</v>
      </c>
      <c r="M306" s="4" t="str">
        <f t="shared" si="108"/>
        <v>CWI</v>
      </c>
      <c r="N306" s="4" t="str">
        <f t="shared" si="109"/>
        <v>LLYIIHGPICAALLVNLFFLLNIVRVLITKLK</v>
      </c>
      <c r="O306" s="4" t="str">
        <f t="shared" si="110"/>
        <v>YMKAVRATLILVPLLGIEFVLIPW</v>
      </c>
      <c r="P306" s="4" t="str">
        <f t="shared" si="111"/>
        <v>KIAEEVYDYIMHILMHFQGLLVSTIFCFF</v>
      </c>
      <c r="Q306" s="4" t="str">
        <f t="shared" si="112"/>
        <v>NGEVQAILRRNWNQYKIQFGNSFSNS</v>
      </c>
      <c r="R306" s="5">
        <f>VLOOKUP($A306,'SegEnds_NonXtal_Prot#'!$A:$AL,3,FALSE)</f>
        <v>130</v>
      </c>
      <c r="S306" s="5">
        <f>VLOOKUP($A306,'SegEnds_NonXtal_Prot#'!$A:$AL,6,FALSE)</f>
        <v>167</v>
      </c>
      <c r="T306" s="5">
        <f>VLOOKUP($A306,'SegEnds_NonXtal_Prot#'!$A:$AL,9,FALSE)</f>
        <v>171</v>
      </c>
      <c r="U306" s="5" t="str">
        <f>VLOOKUP($A306,'SegEnds_NonXtal_Prot#'!$A:$AL,12,FALSE)</f>
        <v>-</v>
      </c>
      <c r="V306" s="5">
        <f>VLOOKUP($A306,'SegEnds_NonXtal_Prot#'!$A:$AL,15,FALSE)</f>
        <v>210</v>
      </c>
      <c r="W306" s="5" t="str">
        <f>VLOOKUP($A306,'SegEnds_NonXtal_Prot#'!$A:$AL,18,FALSE)</f>
        <v>-</v>
      </c>
      <c r="X306" s="5">
        <f>VLOOKUP($A306,'SegEnds_NonXtal_Prot#'!$A:$AL,21,FALSE)</f>
        <v>251</v>
      </c>
      <c r="Y306" s="5">
        <f>VLOOKUP($A306,'SegEnds_NonXtal_Prot#'!$A:$AL,24,FALSE)</f>
        <v>282</v>
      </c>
      <c r="Z306" s="5">
        <f>VLOOKUP($A306,'SegEnds_NonXtal_Prot#'!$A:$AL,27,FALSE)</f>
        <v>290</v>
      </c>
      <c r="AA306" s="5">
        <f>VLOOKUP($A306,'SegEnds_NonXtal_Prot#'!$A:$AL,30,FALSE)</f>
        <v>331</v>
      </c>
      <c r="AB306" s="5">
        <f>VLOOKUP($A306,'SegEnds_NonXtal_Prot#'!$A:$AL,33,FALSE)</f>
        <v>359</v>
      </c>
      <c r="AC306" s="5">
        <f>VLOOKUP($A306,'SegEnds_NonXtal_Prot#'!$A:$AL,36,FALSE)</f>
        <v>388</v>
      </c>
      <c r="AD306" s="5">
        <f>VLOOKUP($A306,'SegEnds_NonXtal_Prot#'!$A:$AL,5,FALSE)</f>
        <v>166</v>
      </c>
      <c r="AE306" s="5">
        <f>VLOOKUP($A306,'SegEnds_NonXtal_Prot#'!$A:$AL,8,FALSE)</f>
        <v>170</v>
      </c>
      <c r="AF306" s="5">
        <f>VLOOKUP($A306,'SegEnds_NonXtal_Prot#'!$A:$AL,11,FALSE)</f>
        <v>198</v>
      </c>
      <c r="AG306" s="5" t="str">
        <f>VLOOKUP($A306,'SegEnds_NonXtal_Prot#'!$A:$AL,14,FALSE)</f>
        <v>-</v>
      </c>
      <c r="AH306" s="5">
        <f>VLOOKUP($A306,'SegEnds_NonXtal_Prot#'!$A:$AL,17,FALSE)</f>
        <v>243</v>
      </c>
      <c r="AI306" s="5" t="str">
        <f>VLOOKUP($A306,'SegEnds_NonXtal_Prot#'!$A:$AL,20,FALSE)</f>
        <v>-</v>
      </c>
      <c r="AJ306" s="5">
        <f>VLOOKUP($A306,'SegEnds_NonXtal_Prot#'!$A:$AL,23,FALSE)</f>
        <v>277</v>
      </c>
      <c r="AK306" s="5">
        <f>VLOOKUP($A306,'SegEnds_NonXtal_Prot#'!$A:$AL,26,FALSE)</f>
        <v>284</v>
      </c>
      <c r="AL306" s="5">
        <f>VLOOKUP($A306,'SegEnds_NonXtal_Prot#'!$A:$AL,29,FALSE)</f>
        <v>321</v>
      </c>
      <c r="AM306" s="5">
        <f>VLOOKUP($A306,'SegEnds_NonXtal_Prot#'!$A:$AL,32,FALSE)</f>
        <v>354</v>
      </c>
      <c r="AN306" s="5">
        <f>VLOOKUP($A306,'SegEnds_NonXtal_Prot#'!$A:$AL,35,FALSE)</f>
        <v>387</v>
      </c>
      <c r="AO306" s="5">
        <f>VLOOKUP($A306,'SegEnds_NonXtal_Prot#'!$A:$AL,38,FALSE)</f>
        <v>413</v>
      </c>
      <c r="AP306" s="5">
        <f t="shared" si="113"/>
        <v>36</v>
      </c>
      <c r="AQ306" s="4">
        <f t="shared" si="114"/>
        <v>3</v>
      </c>
      <c r="AR306" s="4">
        <f t="shared" si="115"/>
        <v>27</v>
      </c>
      <c r="AS306" s="4" t="str">
        <f t="shared" si="116"/>
        <v>-</v>
      </c>
      <c r="AT306" s="4">
        <f t="shared" si="117"/>
        <v>33</v>
      </c>
      <c r="AU306" s="4" t="str">
        <f t="shared" si="118"/>
        <v>-</v>
      </c>
      <c r="AV306" s="4">
        <f t="shared" si="119"/>
        <v>26</v>
      </c>
      <c r="AW306" s="4">
        <f t="shared" si="120"/>
        <v>2</v>
      </c>
      <c r="AX306" s="4">
        <f t="shared" si="121"/>
        <v>31</v>
      </c>
      <c r="AY306" s="4">
        <f t="shared" si="122"/>
        <v>23</v>
      </c>
      <c r="AZ306" s="4">
        <f t="shared" si="123"/>
        <v>28</v>
      </c>
      <c r="BA306" s="4">
        <f t="shared" si="124"/>
        <v>25</v>
      </c>
    </row>
    <row r="307" spans="1:53" x14ac:dyDescent="0.2">
      <c r="A307" s="1" t="str">
        <f>'SegEnds_NonXtal_Prot#'!A301</f>
        <v>crfr1_human</v>
      </c>
      <c r="B307" s="1" t="str">
        <f t="shared" si="100"/>
        <v>QEILNEEKKSKVHYHVAVIINYLGHCISLVALLVAFVLFLRLCLRNIIHWNLISAFILRNATWFVVQLTVGWCRLVTAAYNYFHVTNFFWMFGEGCYLHTAIVLLRKWMFICIGWGVPFPIIVAWAIGKLYYDTDYIYQGPMILVLLINFIFLFNIVRILMTKLSETIQYRKAVKATLVLLPLLGITYMLFFVVSRVVFIYFNSFLESFQGFFVSVFYCFLNSEVRSAIRKRWHRWQDKHSIRARVA</v>
      </c>
      <c r="C307" s="29" t="str">
        <f>IF(ISERROR(MATCH(A307,'SegEnds_Xtal_Prot#'!B:B, 0)), "NoXtal", "Xtal")</f>
        <v>Xtal</v>
      </c>
      <c r="D307" s="4" t="str">
        <f>VLOOKUP(A307,Classification!A:D,2,FALSE)</f>
        <v>B1</v>
      </c>
      <c r="E307" s="5" t="str">
        <f>VLOOKUP(A307,Seqs!A:B,2,FALSE)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F307" s="5" t="str">
        <f t="shared" si="101"/>
        <v>QEILNEEKKSKVHYHVAVIINYLGHCISLVALLVAFVLFLRL</v>
      </c>
      <c r="G307" s="4" t="str">
        <f t="shared" si="102"/>
        <v>RSIR</v>
      </c>
      <c r="H307" s="4" t="str">
        <f t="shared" si="103"/>
        <v>CLRNIIHWNLISAFILRNATWFVVQLT</v>
      </c>
      <c r="I307" s="4" t="str">
        <f t="shared" si="104"/>
        <v/>
      </c>
      <c r="J307" s="4" t="str">
        <f t="shared" si="105"/>
        <v>VGWCRLVTAAYNYFHVTNFFWMFGEGCYLHTAIVL</v>
      </c>
      <c r="K307" s="4" t="str">
        <f t="shared" si="106"/>
        <v/>
      </c>
      <c r="L307" s="4" t="str">
        <f t="shared" si="107"/>
        <v>LRKWMFICIGWGVPFPIIVAWAIGKLYYD</v>
      </c>
      <c r="M307" s="4" t="str">
        <f t="shared" si="108"/>
        <v>CWF</v>
      </c>
      <c r="N307" s="4" t="str">
        <f t="shared" si="109"/>
        <v>TDYIYQGPMILVLLINFIFLFNIVRILMTKL</v>
      </c>
      <c r="O307" s="4" t="str">
        <f t="shared" si="110"/>
        <v>SETIQYRKAVKATLVLLPLLGITYMLFFV</v>
      </c>
      <c r="P307" s="4" t="str">
        <f t="shared" si="111"/>
        <v>VSRVVFIYFNSFLESFQGFFVSVFYCFL</v>
      </c>
      <c r="Q307" s="4" t="str">
        <f t="shared" si="112"/>
        <v>NSEVRSAIRKRWHRWQDKHSIRARVA</v>
      </c>
      <c r="R307" s="5">
        <f>VLOOKUP($A307,'SegEnds_NonXtal_Prot#'!$A:$AL,3,FALSE)</f>
        <v>103</v>
      </c>
      <c r="S307" s="5">
        <f>VLOOKUP($A307,'SegEnds_NonXtal_Prot#'!$A:$AL,6,FALSE)</f>
        <v>145</v>
      </c>
      <c r="T307" s="5">
        <f>VLOOKUP($A307,'SegEnds_NonXtal_Prot#'!$A:$AL,9,FALSE)</f>
        <v>149</v>
      </c>
      <c r="U307" s="5" t="str">
        <f>VLOOKUP($A307,'SegEnds_NonXtal_Prot#'!$A:$AL,12,FALSE)</f>
        <v>-</v>
      </c>
      <c r="V307" s="5">
        <f>VLOOKUP($A307,'SegEnds_NonXtal_Prot#'!$A:$AL,15,FALSE)</f>
        <v>185</v>
      </c>
      <c r="W307" s="5" t="str">
        <f>VLOOKUP($A307,'SegEnds_NonXtal_Prot#'!$A:$AL,18,FALSE)</f>
        <v>-</v>
      </c>
      <c r="X307" s="5">
        <f>VLOOKUP($A307,'SegEnds_NonXtal_Prot#'!$A:$AL,21,FALSE)</f>
        <v>226</v>
      </c>
      <c r="Y307" s="5">
        <f>VLOOKUP($A307,'SegEnds_NonXtal_Prot#'!$A:$AL,24,FALSE)</f>
        <v>258</v>
      </c>
      <c r="Z307" s="5">
        <f>VLOOKUP($A307,'SegEnds_NonXtal_Prot#'!$A:$AL,27,FALSE)</f>
        <v>268</v>
      </c>
      <c r="AA307" s="5">
        <f>VLOOKUP($A307,'SegEnds_NonXtal_Prot#'!$A:$AL,30,FALSE)</f>
        <v>304</v>
      </c>
      <c r="AB307" s="5">
        <f>VLOOKUP($A307,'SegEnds_NonXtal_Prot#'!$A:$AL,33,FALSE)</f>
        <v>339</v>
      </c>
      <c r="AC307" s="5">
        <f>VLOOKUP($A307,'SegEnds_NonXtal_Prot#'!$A:$AL,36,FALSE)</f>
        <v>367</v>
      </c>
      <c r="AD307" s="5">
        <f>VLOOKUP($A307,'SegEnds_NonXtal_Prot#'!$A:$AL,5,FALSE)</f>
        <v>144</v>
      </c>
      <c r="AE307" s="5">
        <f>VLOOKUP($A307,'SegEnds_NonXtal_Prot#'!$A:$AL,8,FALSE)</f>
        <v>148</v>
      </c>
      <c r="AF307" s="5">
        <f>VLOOKUP($A307,'SegEnds_NonXtal_Prot#'!$A:$AL,11,FALSE)</f>
        <v>175</v>
      </c>
      <c r="AG307" s="5" t="str">
        <f>VLOOKUP($A307,'SegEnds_NonXtal_Prot#'!$A:$AL,14,FALSE)</f>
        <v>-</v>
      </c>
      <c r="AH307" s="5">
        <f>VLOOKUP($A307,'SegEnds_NonXtal_Prot#'!$A:$AL,17,FALSE)</f>
        <v>219</v>
      </c>
      <c r="AI307" s="5" t="str">
        <f>VLOOKUP($A307,'SegEnds_NonXtal_Prot#'!$A:$AL,20,FALSE)</f>
        <v>-</v>
      </c>
      <c r="AJ307" s="5">
        <f>VLOOKUP($A307,'SegEnds_NonXtal_Prot#'!$A:$AL,23,FALSE)</f>
        <v>254</v>
      </c>
      <c r="AK307" s="5">
        <f>VLOOKUP($A307,'SegEnds_NonXtal_Prot#'!$A:$AL,26,FALSE)</f>
        <v>260</v>
      </c>
      <c r="AL307" s="5">
        <f>VLOOKUP($A307,'SegEnds_NonXtal_Prot#'!$A:$AL,29,FALSE)</f>
        <v>298</v>
      </c>
      <c r="AM307" s="5">
        <f>VLOOKUP($A307,'SegEnds_NonXtal_Prot#'!$A:$AL,32,FALSE)</f>
        <v>332</v>
      </c>
      <c r="AN307" s="5">
        <f>VLOOKUP($A307,'SegEnds_NonXtal_Prot#'!$A:$AL,35,FALSE)</f>
        <v>366</v>
      </c>
      <c r="AO307" s="5">
        <f>VLOOKUP($A307,'SegEnds_NonXtal_Prot#'!$A:$AL,38,FALSE)</f>
        <v>392</v>
      </c>
      <c r="AP307" s="5">
        <f t="shared" si="113"/>
        <v>41</v>
      </c>
      <c r="AQ307" s="4">
        <f t="shared" si="114"/>
        <v>3</v>
      </c>
      <c r="AR307" s="4">
        <f t="shared" si="115"/>
        <v>26</v>
      </c>
      <c r="AS307" s="4" t="str">
        <f t="shared" si="116"/>
        <v>-</v>
      </c>
      <c r="AT307" s="4">
        <f t="shared" si="117"/>
        <v>34</v>
      </c>
      <c r="AU307" s="4" t="str">
        <f t="shared" si="118"/>
        <v>-</v>
      </c>
      <c r="AV307" s="4">
        <f t="shared" si="119"/>
        <v>28</v>
      </c>
      <c r="AW307" s="4">
        <f t="shared" si="120"/>
        <v>2</v>
      </c>
      <c r="AX307" s="4">
        <f t="shared" si="121"/>
        <v>30</v>
      </c>
      <c r="AY307" s="4">
        <f t="shared" si="122"/>
        <v>28</v>
      </c>
      <c r="AZ307" s="4">
        <f t="shared" si="123"/>
        <v>27</v>
      </c>
      <c r="BA307" s="4">
        <f t="shared" si="124"/>
        <v>25</v>
      </c>
    </row>
    <row r="308" spans="1:53" x14ac:dyDescent="0.2">
      <c r="A308" s="1" t="str">
        <f>'SegEnds_NonXtal_Prot#'!A302</f>
        <v>crfr2_human</v>
      </c>
      <c r="B308" s="1" t="str">
        <f t="shared" si="100"/>
        <v>PILDDKQRKYDLHYRIALVVNYLGHCVSVAALVAAFLLFLALCLRNVIHWNLITTFILRNVMWFLLQLVEVWCRCITTIFNYFVVTNFFWMFVEGCYLHTAIVMLRKCLFLFIGWCIPFPIIVAWAIGKLYYEVDYIYQGPIILVLLINFVFLFNIVRILMTKLSETIQYRKAVKATLVLLPLLGITYMLFFVLSQIMFIYFNSFLQSFQGFFVSVFYCFFNGEVRSAVRKRWHRWQDHHSLRVPMA</v>
      </c>
      <c r="C308" s="29" t="str">
        <f>IF(ISERROR(MATCH(A308,'SegEnds_Xtal_Prot#'!B:B, 0)), "NoXtal", "Xtal")</f>
        <v>NoXtal</v>
      </c>
      <c r="D308" s="4" t="str">
        <f>VLOOKUP(A308,Classification!A:D,2,FALSE)</f>
        <v>B1</v>
      </c>
      <c r="E308" s="5" t="str">
        <f>VLOOKUP(A308,Seqs!A:B,2,FALSE)</f>
        <v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v>
      </c>
      <c r="F308" s="5" t="str">
        <f t="shared" si="101"/>
        <v>PILDDKQRKYDLHYRIALVVNYLGHCVSVAALVAAFLLFLAL</v>
      </c>
      <c r="G308" s="4" t="str">
        <f t="shared" si="102"/>
        <v>RSIR</v>
      </c>
      <c r="H308" s="4" t="str">
        <f t="shared" si="103"/>
        <v>CLRNVIHWNLITTFILRNVMWFLLQLV</v>
      </c>
      <c r="I308" s="4" t="str">
        <f t="shared" si="104"/>
        <v/>
      </c>
      <c r="J308" s="4" t="str">
        <f t="shared" si="105"/>
        <v>EVWCRCITTIFNYFVVTNFFWMFVEGCYLHTAIVM</v>
      </c>
      <c r="K308" s="4" t="str">
        <f t="shared" si="106"/>
        <v/>
      </c>
      <c r="L308" s="4" t="str">
        <f t="shared" si="107"/>
        <v>LRKCLFLFIGWCIPFPIIVAWAIGKLYYE</v>
      </c>
      <c r="M308" s="4" t="str">
        <f t="shared" si="108"/>
        <v>CWF</v>
      </c>
      <c r="N308" s="4" t="str">
        <f t="shared" si="109"/>
        <v>VDYIYQGPIILVLLINFVFLFNIVRILMTKL</v>
      </c>
      <c r="O308" s="4" t="str">
        <f t="shared" si="110"/>
        <v>SETIQYRKAVKATLVLLPLLGITYMLFFV</v>
      </c>
      <c r="P308" s="4" t="str">
        <f t="shared" si="111"/>
        <v>LSQIMFIYFNSFLQSFQGFFVSVFYCFF</v>
      </c>
      <c r="Q308" s="4" t="str">
        <f t="shared" si="112"/>
        <v>NGEVRSAVRKRWHRWQDHHSLRVPMA</v>
      </c>
      <c r="R308" s="5">
        <f>VLOOKUP($A308,'SegEnds_NonXtal_Prot#'!$A:$AL,3,FALSE)</f>
        <v>100</v>
      </c>
      <c r="S308" s="5">
        <f>VLOOKUP($A308,'SegEnds_NonXtal_Prot#'!$A:$AL,6,FALSE)</f>
        <v>142</v>
      </c>
      <c r="T308" s="5">
        <f>VLOOKUP($A308,'SegEnds_NonXtal_Prot#'!$A:$AL,9,FALSE)</f>
        <v>146</v>
      </c>
      <c r="U308" s="5" t="str">
        <f>VLOOKUP($A308,'SegEnds_NonXtal_Prot#'!$A:$AL,12,FALSE)</f>
        <v>-</v>
      </c>
      <c r="V308" s="5">
        <f>VLOOKUP($A308,'SegEnds_NonXtal_Prot#'!$A:$AL,15,FALSE)</f>
        <v>181</v>
      </c>
      <c r="W308" s="5" t="str">
        <f>VLOOKUP($A308,'SegEnds_NonXtal_Prot#'!$A:$AL,18,FALSE)</f>
        <v>-</v>
      </c>
      <c r="X308" s="5">
        <f>VLOOKUP($A308,'SegEnds_NonXtal_Prot#'!$A:$AL,21,FALSE)</f>
        <v>222</v>
      </c>
      <c r="Y308" s="5">
        <f>VLOOKUP($A308,'SegEnds_NonXtal_Prot#'!$A:$AL,24,FALSE)</f>
        <v>254</v>
      </c>
      <c r="Z308" s="5">
        <f>VLOOKUP($A308,'SegEnds_NonXtal_Prot#'!$A:$AL,27,FALSE)</f>
        <v>264</v>
      </c>
      <c r="AA308" s="5">
        <f>VLOOKUP($A308,'SegEnds_NonXtal_Prot#'!$A:$AL,30,FALSE)</f>
        <v>300</v>
      </c>
      <c r="AB308" s="5">
        <f>VLOOKUP($A308,'SegEnds_NonXtal_Prot#'!$A:$AL,33,FALSE)</f>
        <v>335</v>
      </c>
      <c r="AC308" s="5">
        <f>VLOOKUP($A308,'SegEnds_NonXtal_Prot#'!$A:$AL,36,FALSE)</f>
        <v>363</v>
      </c>
      <c r="AD308" s="5">
        <f>VLOOKUP($A308,'SegEnds_NonXtal_Prot#'!$A:$AL,5,FALSE)</f>
        <v>141</v>
      </c>
      <c r="AE308" s="5">
        <f>VLOOKUP($A308,'SegEnds_NonXtal_Prot#'!$A:$AL,8,FALSE)</f>
        <v>145</v>
      </c>
      <c r="AF308" s="5">
        <f>VLOOKUP($A308,'SegEnds_NonXtal_Prot#'!$A:$AL,11,FALSE)</f>
        <v>172</v>
      </c>
      <c r="AG308" s="5" t="str">
        <f>VLOOKUP($A308,'SegEnds_NonXtal_Prot#'!$A:$AL,14,FALSE)</f>
        <v>-</v>
      </c>
      <c r="AH308" s="5">
        <f>VLOOKUP($A308,'SegEnds_NonXtal_Prot#'!$A:$AL,17,FALSE)</f>
        <v>215</v>
      </c>
      <c r="AI308" s="5" t="str">
        <f>VLOOKUP($A308,'SegEnds_NonXtal_Prot#'!$A:$AL,20,FALSE)</f>
        <v>-</v>
      </c>
      <c r="AJ308" s="5">
        <f>VLOOKUP($A308,'SegEnds_NonXtal_Prot#'!$A:$AL,23,FALSE)</f>
        <v>250</v>
      </c>
      <c r="AK308" s="5">
        <f>VLOOKUP($A308,'SegEnds_NonXtal_Prot#'!$A:$AL,26,FALSE)</f>
        <v>256</v>
      </c>
      <c r="AL308" s="5">
        <f>VLOOKUP($A308,'SegEnds_NonXtal_Prot#'!$A:$AL,29,FALSE)</f>
        <v>294</v>
      </c>
      <c r="AM308" s="5">
        <f>VLOOKUP($A308,'SegEnds_NonXtal_Prot#'!$A:$AL,32,FALSE)</f>
        <v>328</v>
      </c>
      <c r="AN308" s="5">
        <f>VLOOKUP($A308,'SegEnds_NonXtal_Prot#'!$A:$AL,35,FALSE)</f>
        <v>362</v>
      </c>
      <c r="AO308" s="5">
        <f>VLOOKUP($A308,'SegEnds_NonXtal_Prot#'!$A:$AL,38,FALSE)</f>
        <v>388</v>
      </c>
      <c r="AP308" s="5">
        <f t="shared" si="113"/>
        <v>41</v>
      </c>
      <c r="AQ308" s="4">
        <f t="shared" si="114"/>
        <v>3</v>
      </c>
      <c r="AR308" s="4">
        <f t="shared" si="115"/>
        <v>26</v>
      </c>
      <c r="AS308" s="4" t="str">
        <f t="shared" si="116"/>
        <v>-</v>
      </c>
      <c r="AT308" s="4">
        <f t="shared" si="117"/>
        <v>34</v>
      </c>
      <c r="AU308" s="4" t="str">
        <f t="shared" si="118"/>
        <v>-</v>
      </c>
      <c r="AV308" s="4">
        <f t="shared" si="119"/>
        <v>28</v>
      </c>
      <c r="AW308" s="4">
        <f t="shared" si="120"/>
        <v>2</v>
      </c>
      <c r="AX308" s="4">
        <f t="shared" si="121"/>
        <v>30</v>
      </c>
      <c r="AY308" s="4">
        <f t="shared" si="122"/>
        <v>28</v>
      </c>
      <c r="AZ308" s="4">
        <f t="shared" si="123"/>
        <v>27</v>
      </c>
      <c r="BA308" s="4">
        <f t="shared" si="124"/>
        <v>25</v>
      </c>
    </row>
    <row r="309" spans="1:53" x14ac:dyDescent="0.2">
      <c r="A309" s="1" t="str">
        <f>'SegEnds_NonXtal_Prot#'!A303</f>
        <v>g1sgd4_rabit</v>
      </c>
      <c r="B309" s="1" t="str">
        <f t="shared" si="100"/>
        <v>PEEQLLSLYIIYTVGYALSFSALVIASAILLGFCTRNYIHLNLFASFILRALSVFIKDAALKWMYSTAAQQLGCRLVFLLMQYCVAANYYWLLVEGAYLYTLLAFSEQRIFKLYLSIGWGVPLLFVIPWGIVKYLYEYWLIIRLPILFAIGVNFLIFIRVICIVVSKLKAKCRLAKSTLTLIPLLGTHEVIFAFLRFVKLFTELSFTSFQGLMVAILYCFVNNEVQMEFRKSWERWRLEHLRVQRDS</v>
      </c>
      <c r="C309" s="29" t="str">
        <f>IF(ISERROR(MATCH(A309,'SegEnds_Xtal_Prot#'!B:B, 0)), "NoXtal", "Xtal")</f>
        <v>Xtal</v>
      </c>
      <c r="D309" s="4" t="str">
        <f>VLOOKUP(A309,Classification!A:D,2,FALSE)</f>
        <v>B1</v>
      </c>
      <c r="E309" s="5" t="str">
        <f>VLOOKUP(A309,Seqs!A:B,2,FALSE)</f>
        <v>MAGAPSPLRLALLLLGAVGRAGPRPQGATVSLSETVQKWREYRRQCQHFLTEAPPLATGLFCNRTFDDYACWPDGAPGSFVNVSCPWYLPWASNVLQGHVYRFCTTEGHWLHKDNSSLPWRDLSECEESRRGEKSSPEEQLLSLYIIYTVGYALSFSALVIASAILLGFRHLHCTRNYIHLNLFASFILRALSVFIKDAALKWMYSTAAQQHQWDGLLSYQDSLGCRLVFLLMQYCVAANYYWLLVEGAYLYTLLAFAVFSEQRIFKLYLSIGWGVPLLFVIPWGIVKYLYEDEGCWTRNSNMNYWLIIRLPILFAIGVNFLIFIRVICIVVSKLKANLMCKTDIKCRLAKSTLTLIPLLGTHEVIFAFVMDEHARGTLRFVKLFTELSFTSFQGLMVAILYCFVNNEVQMEFRKSWERWRLEHLRVQRDSSMKPLKCPTSSLSSGATGGSSVYAATSQACS</v>
      </c>
      <c r="F309" s="5" t="str">
        <f t="shared" si="101"/>
        <v>PEEQLLSLYIIYTVGYALSFSALVIASAILLGF</v>
      </c>
      <c r="G309" s="4" t="str">
        <f t="shared" si="102"/>
        <v>RHLH</v>
      </c>
      <c r="H309" s="4" t="str">
        <f t="shared" si="103"/>
        <v>CTRNYIHLNLFASFILRALSVFIKDAALKWMYSTAAQQ</v>
      </c>
      <c r="I309" s="4" t="str">
        <f t="shared" si="104"/>
        <v/>
      </c>
      <c r="J309" s="4" t="str">
        <f t="shared" si="105"/>
        <v>LGCRLVFLLMQYCVAANYYWLLVEGAYLYTLLAF</v>
      </c>
      <c r="K309" s="4" t="str">
        <f t="shared" si="106"/>
        <v/>
      </c>
      <c r="L309" s="4" t="str">
        <f t="shared" si="107"/>
        <v>SEQRIFKLYLSIGWGVPLLFVIPWGIVKYLYE</v>
      </c>
      <c r="M309" s="4" t="str">
        <f t="shared" si="108"/>
        <v>CWT</v>
      </c>
      <c r="N309" s="4" t="str">
        <f t="shared" si="109"/>
        <v>YWLIIRLPILFAIGVNFLIFIRVICIVVSKLKA</v>
      </c>
      <c r="O309" s="4" t="str">
        <f t="shared" si="110"/>
        <v>KCRLAKSTLTLIPLLGTHEVIFAF</v>
      </c>
      <c r="P309" s="4" t="str">
        <f t="shared" si="111"/>
        <v>LRFVKLFTELSFTSFQGLMVAILYCFV</v>
      </c>
      <c r="Q309" s="4" t="str">
        <f t="shared" si="112"/>
        <v>NNEVQMEFRKSWERWRLEHLRVQRDS</v>
      </c>
      <c r="R309" s="5">
        <f>VLOOKUP($A309,'SegEnds_NonXtal_Prot#'!$A:$AL,3,FALSE)</f>
        <v>137</v>
      </c>
      <c r="S309" s="5">
        <f>VLOOKUP($A309,'SegEnds_NonXtal_Prot#'!$A:$AL,6,FALSE)</f>
        <v>170</v>
      </c>
      <c r="T309" s="5">
        <f>VLOOKUP($A309,'SegEnds_NonXtal_Prot#'!$A:$AL,9,FALSE)</f>
        <v>174</v>
      </c>
      <c r="U309" s="5" t="str">
        <f>VLOOKUP($A309,'SegEnds_NonXtal_Prot#'!$A:$AL,12,FALSE)</f>
        <v>-</v>
      </c>
      <c r="V309" s="5">
        <f>VLOOKUP($A309,'SegEnds_NonXtal_Prot#'!$A:$AL,15,FALSE)</f>
        <v>224</v>
      </c>
      <c r="W309" s="5" t="str">
        <f>VLOOKUP($A309,'SegEnds_NonXtal_Prot#'!$A:$AL,18,FALSE)</f>
        <v>-</v>
      </c>
      <c r="X309" s="5">
        <f>VLOOKUP($A309,'SegEnds_NonXtal_Prot#'!$A:$AL,21,FALSE)</f>
        <v>261</v>
      </c>
      <c r="Y309" s="5">
        <f>VLOOKUP($A309,'SegEnds_NonXtal_Prot#'!$A:$AL,24,FALSE)</f>
        <v>296</v>
      </c>
      <c r="Z309" s="5">
        <f>VLOOKUP($A309,'SegEnds_NonXtal_Prot#'!$A:$AL,27,FALSE)</f>
        <v>305</v>
      </c>
      <c r="AA309" s="5">
        <f>VLOOKUP($A309,'SegEnds_NonXtal_Prot#'!$A:$AL,30,FALSE)</f>
        <v>346</v>
      </c>
      <c r="AB309" s="5">
        <f>VLOOKUP($A309,'SegEnds_NonXtal_Prot#'!$A:$AL,33,FALSE)</f>
        <v>379</v>
      </c>
      <c r="AC309" s="5">
        <f>VLOOKUP($A309,'SegEnds_NonXtal_Prot#'!$A:$AL,36,FALSE)</f>
        <v>406</v>
      </c>
      <c r="AD309" s="5">
        <f>VLOOKUP($A309,'SegEnds_NonXtal_Prot#'!$A:$AL,5,FALSE)</f>
        <v>169</v>
      </c>
      <c r="AE309" s="5">
        <f>VLOOKUP($A309,'SegEnds_NonXtal_Prot#'!$A:$AL,8,FALSE)</f>
        <v>173</v>
      </c>
      <c r="AF309" s="5">
        <f>VLOOKUP($A309,'SegEnds_NonXtal_Prot#'!$A:$AL,11,FALSE)</f>
        <v>211</v>
      </c>
      <c r="AG309" s="5" t="str">
        <f>VLOOKUP($A309,'SegEnds_NonXtal_Prot#'!$A:$AL,14,FALSE)</f>
        <v>-</v>
      </c>
      <c r="AH309" s="5">
        <f>VLOOKUP($A309,'SegEnds_NonXtal_Prot#'!$A:$AL,17,FALSE)</f>
        <v>257</v>
      </c>
      <c r="AI309" s="5" t="str">
        <f>VLOOKUP($A309,'SegEnds_NonXtal_Prot#'!$A:$AL,20,FALSE)</f>
        <v>-</v>
      </c>
      <c r="AJ309" s="5">
        <f>VLOOKUP($A309,'SegEnds_NonXtal_Prot#'!$A:$AL,23,FALSE)</f>
        <v>292</v>
      </c>
      <c r="AK309" s="5">
        <f>VLOOKUP($A309,'SegEnds_NonXtal_Prot#'!$A:$AL,26,FALSE)</f>
        <v>298</v>
      </c>
      <c r="AL309" s="5">
        <f>VLOOKUP($A309,'SegEnds_NonXtal_Prot#'!$A:$AL,29,FALSE)</f>
        <v>337</v>
      </c>
      <c r="AM309" s="5">
        <f>VLOOKUP($A309,'SegEnds_NonXtal_Prot#'!$A:$AL,32,FALSE)</f>
        <v>369</v>
      </c>
      <c r="AN309" s="5">
        <f>VLOOKUP($A309,'SegEnds_NonXtal_Prot#'!$A:$AL,35,FALSE)</f>
        <v>405</v>
      </c>
      <c r="AO309" s="5">
        <f>VLOOKUP($A309,'SegEnds_NonXtal_Prot#'!$A:$AL,38,FALSE)</f>
        <v>431</v>
      </c>
      <c r="AP309" s="5">
        <f t="shared" si="113"/>
        <v>32</v>
      </c>
      <c r="AQ309" s="4">
        <f t="shared" si="114"/>
        <v>3</v>
      </c>
      <c r="AR309" s="4">
        <f t="shared" si="115"/>
        <v>37</v>
      </c>
      <c r="AS309" s="4" t="str">
        <f t="shared" si="116"/>
        <v>-</v>
      </c>
      <c r="AT309" s="4">
        <f t="shared" si="117"/>
        <v>33</v>
      </c>
      <c r="AU309" s="4" t="str">
        <f t="shared" si="118"/>
        <v>-</v>
      </c>
      <c r="AV309" s="4">
        <f t="shared" si="119"/>
        <v>31</v>
      </c>
      <c r="AW309" s="4">
        <f t="shared" si="120"/>
        <v>2</v>
      </c>
      <c r="AX309" s="4">
        <f t="shared" si="121"/>
        <v>32</v>
      </c>
      <c r="AY309" s="4">
        <f t="shared" si="122"/>
        <v>23</v>
      </c>
      <c r="AZ309" s="4">
        <f t="shared" si="123"/>
        <v>26</v>
      </c>
      <c r="BA309" s="4">
        <f t="shared" si="124"/>
        <v>25</v>
      </c>
    </row>
    <row r="310" spans="1:53" x14ac:dyDescent="0.2">
      <c r="A310" s="1" t="str">
        <f>'SegEnds_NonXtal_Prot#'!A304</f>
        <v>ghrhr_human</v>
      </c>
      <c r="B310" s="1" t="str">
        <f t="shared" si="100"/>
        <v>EEESYFSTVKIIYTVGHSISIVALFVAITILVALCPRNYVHTQLFTTFILKAGAVFLKDAALVLCKVSVAASHFATMTNFSWLLAEAVYLNCLLASSSRRAFWWLVLAGWGLPVLFTGTWVSCKLAFEYWWIIKGPIVLSVGVNFGLFLNIIRILVRKLHTQSQYWRLSKSTLFLIPLFGIHYIIFNFLLGIRLPLELGLGSFQGFIVAILYCFLNQEVRTEISRKWHGHDPELLPAWRTR</v>
      </c>
      <c r="C310" s="29" t="str">
        <f>IF(ISERROR(MATCH(A310,'SegEnds_Xtal_Prot#'!B:B, 0)), "NoXtal", "Xtal")</f>
        <v>NoXtal</v>
      </c>
      <c r="D310" s="4" t="str">
        <f>VLOOKUP(A310,Classification!A:D,2,FALSE)</f>
        <v>B1</v>
      </c>
      <c r="E310" s="5" t="str">
        <f>VLOOKUP(A310,Seqs!A:B,2,FALSE)</f>
        <v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v>
      </c>
      <c r="F310" s="5" t="str">
        <f t="shared" si="101"/>
        <v>EEESYFSTVKIIYTVGHSISIVALFVAITILVAL</v>
      </c>
      <c r="G310" s="4" t="str">
        <f t="shared" si="102"/>
        <v>RRLH</v>
      </c>
      <c r="H310" s="4" t="str">
        <f t="shared" si="103"/>
        <v>CPRNYVHTQLFTTFILKAGAVFLKDAAL</v>
      </c>
      <c r="I310" s="4" t="str">
        <f t="shared" si="104"/>
        <v/>
      </c>
      <c r="J310" s="4" t="str">
        <f t="shared" si="105"/>
        <v>VLCKVSVAASHFATMTNFSWLLAEAVYLNCLLAS</v>
      </c>
      <c r="K310" s="4" t="str">
        <f t="shared" si="106"/>
        <v/>
      </c>
      <c r="L310" s="4" t="str">
        <f t="shared" si="107"/>
        <v>SSRRAFWWLVLAGWGLPVLFTGTWVSCKLAFE</v>
      </c>
      <c r="M310" s="4" t="str">
        <f t="shared" si="108"/>
        <v>CWD</v>
      </c>
      <c r="N310" s="4" t="str">
        <f t="shared" si="109"/>
        <v>YWWIIKGPIVLSVGVNFGLFLNIIRILVRKL</v>
      </c>
      <c r="O310" s="4" t="str">
        <f t="shared" si="110"/>
        <v>HTQSQYWRLSKSTLFLIPLFGIHYIIFNFL</v>
      </c>
      <c r="P310" s="4" t="str">
        <f t="shared" si="111"/>
        <v>LGIRLPLELGLGSFQGFIVAILYCFL</v>
      </c>
      <c r="Q310" s="4" t="str">
        <f t="shared" si="112"/>
        <v>NQEVRTEISRKWHGHDPELLPAWRTR</v>
      </c>
      <c r="R310" s="5">
        <f>VLOOKUP($A310,'SegEnds_NonXtal_Prot#'!$A:$AL,3,FALSE)</f>
        <v>121</v>
      </c>
      <c r="S310" s="5">
        <f>VLOOKUP($A310,'SegEnds_NonXtal_Prot#'!$A:$AL,6,FALSE)</f>
        <v>155</v>
      </c>
      <c r="T310" s="5">
        <f>VLOOKUP($A310,'SegEnds_NonXtal_Prot#'!$A:$AL,9,FALSE)</f>
        <v>159</v>
      </c>
      <c r="U310" s="5" t="str">
        <f>VLOOKUP($A310,'SegEnds_NonXtal_Prot#'!$A:$AL,12,FALSE)</f>
        <v>-</v>
      </c>
      <c r="V310" s="5">
        <f>VLOOKUP($A310,'SegEnds_NonXtal_Prot#'!$A:$AL,15,FALSE)</f>
        <v>200</v>
      </c>
      <c r="W310" s="5" t="str">
        <f>VLOOKUP($A310,'SegEnds_NonXtal_Prot#'!$A:$AL,18,FALSE)</f>
        <v>-</v>
      </c>
      <c r="X310" s="5">
        <f>VLOOKUP($A310,'SegEnds_NonXtal_Prot#'!$A:$AL,21,FALSE)</f>
        <v>237</v>
      </c>
      <c r="Y310" s="5">
        <f>VLOOKUP($A310,'SegEnds_NonXtal_Prot#'!$A:$AL,24,FALSE)</f>
        <v>272</v>
      </c>
      <c r="Z310" s="5">
        <f>VLOOKUP($A310,'SegEnds_NonXtal_Prot#'!$A:$AL,27,FALSE)</f>
        <v>281</v>
      </c>
      <c r="AA310" s="5">
        <f>VLOOKUP($A310,'SegEnds_NonXtal_Prot#'!$A:$AL,30,FALSE)</f>
        <v>319</v>
      </c>
      <c r="AB310" s="5">
        <f>VLOOKUP($A310,'SegEnds_NonXtal_Prot#'!$A:$AL,33,FALSE)</f>
        <v>354</v>
      </c>
      <c r="AC310" s="5">
        <f>VLOOKUP($A310,'SegEnds_NonXtal_Prot#'!$A:$AL,36,FALSE)</f>
        <v>380</v>
      </c>
      <c r="AD310" s="5">
        <f>VLOOKUP($A310,'SegEnds_NonXtal_Prot#'!$A:$AL,5,FALSE)</f>
        <v>154</v>
      </c>
      <c r="AE310" s="5">
        <f>VLOOKUP($A310,'SegEnds_NonXtal_Prot#'!$A:$AL,8,FALSE)</f>
        <v>158</v>
      </c>
      <c r="AF310" s="5">
        <f>VLOOKUP($A310,'SegEnds_NonXtal_Prot#'!$A:$AL,11,FALSE)</f>
        <v>186</v>
      </c>
      <c r="AG310" s="5" t="str">
        <f>VLOOKUP($A310,'SegEnds_NonXtal_Prot#'!$A:$AL,14,FALSE)</f>
        <v>-</v>
      </c>
      <c r="AH310" s="5">
        <f>VLOOKUP($A310,'SegEnds_NonXtal_Prot#'!$A:$AL,17,FALSE)</f>
        <v>233</v>
      </c>
      <c r="AI310" s="5" t="str">
        <f>VLOOKUP($A310,'SegEnds_NonXtal_Prot#'!$A:$AL,20,FALSE)</f>
        <v>-</v>
      </c>
      <c r="AJ310" s="5">
        <f>VLOOKUP($A310,'SegEnds_NonXtal_Prot#'!$A:$AL,23,FALSE)</f>
        <v>268</v>
      </c>
      <c r="AK310" s="5">
        <f>VLOOKUP($A310,'SegEnds_NonXtal_Prot#'!$A:$AL,26,FALSE)</f>
        <v>274</v>
      </c>
      <c r="AL310" s="5">
        <f>VLOOKUP($A310,'SegEnds_NonXtal_Prot#'!$A:$AL,29,FALSE)</f>
        <v>311</v>
      </c>
      <c r="AM310" s="5">
        <f>VLOOKUP($A310,'SegEnds_NonXtal_Prot#'!$A:$AL,32,FALSE)</f>
        <v>348</v>
      </c>
      <c r="AN310" s="5">
        <f>VLOOKUP($A310,'SegEnds_NonXtal_Prot#'!$A:$AL,35,FALSE)</f>
        <v>379</v>
      </c>
      <c r="AO310" s="5">
        <f>VLOOKUP($A310,'SegEnds_NonXtal_Prot#'!$A:$AL,38,FALSE)</f>
        <v>405</v>
      </c>
      <c r="AP310" s="5">
        <f t="shared" si="113"/>
        <v>33</v>
      </c>
      <c r="AQ310" s="4">
        <f t="shared" si="114"/>
        <v>3</v>
      </c>
      <c r="AR310" s="4">
        <f t="shared" si="115"/>
        <v>27</v>
      </c>
      <c r="AS310" s="4" t="str">
        <f t="shared" si="116"/>
        <v>-</v>
      </c>
      <c r="AT310" s="4">
        <f t="shared" si="117"/>
        <v>33</v>
      </c>
      <c r="AU310" s="4" t="str">
        <f t="shared" si="118"/>
        <v>-</v>
      </c>
      <c r="AV310" s="4">
        <f t="shared" si="119"/>
        <v>31</v>
      </c>
      <c r="AW310" s="4">
        <f t="shared" si="120"/>
        <v>2</v>
      </c>
      <c r="AX310" s="4">
        <f t="shared" si="121"/>
        <v>30</v>
      </c>
      <c r="AY310" s="4">
        <f t="shared" si="122"/>
        <v>29</v>
      </c>
      <c r="AZ310" s="4">
        <f t="shared" si="123"/>
        <v>25</v>
      </c>
      <c r="BA310" s="4">
        <f t="shared" si="124"/>
        <v>25</v>
      </c>
    </row>
    <row r="311" spans="1:53" x14ac:dyDescent="0.2">
      <c r="A311" s="1" t="str">
        <f>'SegEnds_NonXtal_Prot#'!A305</f>
        <v>gipr_human</v>
      </c>
      <c r="B311" s="1" t="str">
        <f t="shared" si="100"/>
        <v>FLDQRLILERLQVMYTVGYSLSLATLLLALLILSLFCTRNYIHINLFTSFMLRAAAILSRDRLLAACRTAQIVTQYCVGANYTWLLVEGVYLHSLLVLGHFRYYLLLGWGAPALFVIPWVIVRYLYEIWWIIRTPILMTILINFLIFIRILGILLSKLRTDYRLRLARSTLTLVPLLGVHEVVFAPGALRFAKLGFEIFLSSFQGFLVSVLYCFINKEVQSEIRRGWHHCRLRRSLGEEQR</v>
      </c>
      <c r="C311" s="29" t="str">
        <f>IF(ISERROR(MATCH(A311,'SegEnds_Xtal_Prot#'!B:B, 0)), "NoXtal", "Xtal")</f>
        <v>NoXtal</v>
      </c>
      <c r="D311" s="4" t="str">
        <f>VLOOKUP(A311,Classification!A:D,2,FALSE)</f>
        <v>B1</v>
      </c>
      <c r="E311" s="5" t="str">
        <f>VLOOKUP(A311,Seqs!A:B,2,FALSE)</f>
        <v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v>
      </c>
      <c r="F311" s="5" t="str">
        <f t="shared" si="101"/>
        <v>FLDQRLILERLQVMYTVGYSLSLATLLLALLILSLF</v>
      </c>
      <c r="G311" s="4" t="str">
        <f t="shared" si="102"/>
        <v>RRLH</v>
      </c>
      <c r="H311" s="4" t="str">
        <f t="shared" si="103"/>
        <v>CTRNYIHINLFTSFMLRAAAILSRDRLL</v>
      </c>
      <c r="I311" s="4" t="str">
        <f t="shared" si="104"/>
        <v/>
      </c>
      <c r="J311" s="4" t="str">
        <f t="shared" si="105"/>
        <v>AACRTAQIVTQYCVGANYTWLLVEGVYLHSLLVL</v>
      </c>
      <c r="K311" s="4" t="str">
        <f t="shared" si="106"/>
        <v/>
      </c>
      <c r="L311" s="4" t="str">
        <f t="shared" si="107"/>
        <v>GHFRYYLLLGWGAPALFVIPWVIVRYLYE</v>
      </c>
      <c r="M311" s="4" t="str">
        <f t="shared" si="108"/>
        <v>CWE</v>
      </c>
      <c r="N311" s="4" t="str">
        <f t="shared" si="109"/>
        <v>IWWIIRTPILMTILINFLIFIRILGILLSKLRT</v>
      </c>
      <c r="O311" s="4" t="str">
        <f t="shared" si="110"/>
        <v>DYRLRLARSTLTLVPLLGVHEVVFAP</v>
      </c>
      <c r="P311" s="4" t="str">
        <f t="shared" si="111"/>
        <v>GALRFAKLGFEIFLSSFQGFLVSVLYCFI</v>
      </c>
      <c r="Q311" s="4" t="str">
        <f t="shared" si="112"/>
        <v>NKEVQSEIRRGWHHCRLRRSLGEEQR</v>
      </c>
      <c r="R311" s="5">
        <f>VLOOKUP($A311,'SegEnds_NonXtal_Prot#'!$A:$AL,3,FALSE)</f>
        <v>127</v>
      </c>
      <c r="S311" s="5">
        <f>VLOOKUP($A311,'SegEnds_NonXtal_Prot#'!$A:$AL,6,FALSE)</f>
        <v>163</v>
      </c>
      <c r="T311" s="5">
        <f>VLOOKUP($A311,'SegEnds_NonXtal_Prot#'!$A:$AL,9,FALSE)</f>
        <v>167</v>
      </c>
      <c r="U311" s="5" t="str">
        <f>VLOOKUP($A311,'SegEnds_NonXtal_Prot#'!$A:$AL,12,FALSE)</f>
        <v>-</v>
      </c>
      <c r="V311" s="5">
        <f>VLOOKUP($A311,'SegEnds_NonXtal_Prot#'!$A:$AL,15,FALSE)</f>
        <v>214</v>
      </c>
      <c r="W311" s="5" t="str">
        <f>VLOOKUP($A311,'SegEnds_NonXtal_Prot#'!$A:$AL,18,FALSE)</f>
        <v>-</v>
      </c>
      <c r="X311" s="5">
        <f>VLOOKUP($A311,'SegEnds_NonXtal_Prot#'!$A:$AL,21,FALSE)</f>
        <v>254</v>
      </c>
      <c r="Y311" s="5">
        <f>VLOOKUP($A311,'SegEnds_NonXtal_Prot#'!$A:$AL,24,FALSE)</f>
        <v>286</v>
      </c>
      <c r="Z311" s="5">
        <f>VLOOKUP($A311,'SegEnds_NonXtal_Prot#'!$A:$AL,27,FALSE)</f>
        <v>295</v>
      </c>
      <c r="AA311" s="5">
        <f>VLOOKUP($A311,'SegEnds_NonXtal_Prot#'!$A:$AL,30,FALSE)</f>
        <v>334</v>
      </c>
      <c r="AB311" s="5">
        <f>VLOOKUP($A311,'SegEnds_NonXtal_Prot#'!$A:$AL,33,FALSE)</f>
        <v>367</v>
      </c>
      <c r="AC311" s="5">
        <f>VLOOKUP($A311,'SegEnds_NonXtal_Prot#'!$A:$AL,36,FALSE)</f>
        <v>396</v>
      </c>
      <c r="AD311" s="5">
        <f>VLOOKUP($A311,'SegEnds_NonXtal_Prot#'!$A:$AL,5,FALSE)</f>
        <v>162</v>
      </c>
      <c r="AE311" s="5">
        <f>VLOOKUP($A311,'SegEnds_NonXtal_Prot#'!$A:$AL,8,FALSE)</f>
        <v>166</v>
      </c>
      <c r="AF311" s="5">
        <f>VLOOKUP($A311,'SegEnds_NonXtal_Prot#'!$A:$AL,11,FALSE)</f>
        <v>194</v>
      </c>
      <c r="AG311" s="5" t="str">
        <f>VLOOKUP($A311,'SegEnds_NonXtal_Prot#'!$A:$AL,14,FALSE)</f>
        <v>-</v>
      </c>
      <c r="AH311" s="5">
        <f>VLOOKUP($A311,'SegEnds_NonXtal_Prot#'!$A:$AL,17,FALSE)</f>
        <v>247</v>
      </c>
      <c r="AI311" s="5" t="str">
        <f>VLOOKUP($A311,'SegEnds_NonXtal_Prot#'!$A:$AL,20,FALSE)</f>
        <v>-</v>
      </c>
      <c r="AJ311" s="5">
        <f>VLOOKUP($A311,'SegEnds_NonXtal_Prot#'!$A:$AL,23,FALSE)</f>
        <v>282</v>
      </c>
      <c r="AK311" s="5">
        <f>VLOOKUP($A311,'SegEnds_NonXtal_Prot#'!$A:$AL,26,FALSE)</f>
        <v>288</v>
      </c>
      <c r="AL311" s="5">
        <f>VLOOKUP($A311,'SegEnds_NonXtal_Prot#'!$A:$AL,29,FALSE)</f>
        <v>327</v>
      </c>
      <c r="AM311" s="5">
        <f>VLOOKUP($A311,'SegEnds_NonXtal_Prot#'!$A:$AL,32,FALSE)</f>
        <v>359</v>
      </c>
      <c r="AN311" s="5">
        <f>VLOOKUP($A311,'SegEnds_NonXtal_Prot#'!$A:$AL,35,FALSE)</f>
        <v>395</v>
      </c>
      <c r="AO311" s="5">
        <f>VLOOKUP($A311,'SegEnds_NonXtal_Prot#'!$A:$AL,38,FALSE)</f>
        <v>421</v>
      </c>
      <c r="AP311" s="5">
        <f t="shared" si="113"/>
        <v>35</v>
      </c>
      <c r="AQ311" s="4">
        <f t="shared" si="114"/>
        <v>3</v>
      </c>
      <c r="AR311" s="4">
        <f t="shared" si="115"/>
        <v>27</v>
      </c>
      <c r="AS311" s="4" t="str">
        <f t="shared" si="116"/>
        <v>-</v>
      </c>
      <c r="AT311" s="4">
        <f t="shared" si="117"/>
        <v>33</v>
      </c>
      <c r="AU311" s="4" t="str">
        <f t="shared" si="118"/>
        <v>-</v>
      </c>
      <c r="AV311" s="4">
        <f t="shared" si="119"/>
        <v>28</v>
      </c>
      <c r="AW311" s="4">
        <f t="shared" si="120"/>
        <v>2</v>
      </c>
      <c r="AX311" s="4">
        <f t="shared" si="121"/>
        <v>32</v>
      </c>
      <c r="AY311" s="4">
        <f t="shared" si="122"/>
        <v>25</v>
      </c>
      <c r="AZ311" s="4">
        <f t="shared" si="123"/>
        <v>28</v>
      </c>
      <c r="BA311" s="4">
        <f t="shared" si="124"/>
        <v>25</v>
      </c>
    </row>
    <row r="312" spans="1:53" x14ac:dyDescent="0.2">
      <c r="A312" s="1" t="str">
        <f>'SegEnds_NonXtal_Prot#'!A306</f>
        <v>glp1r_human</v>
      </c>
      <c r="B312" s="1" t="str">
        <f t="shared" si="100"/>
        <v>EEQLLFLYIIYTVGYALSFSALVIASAILLGFCTRNYIHLNLFASFILRALSVFIKDAALLSCRLVFLLMQYCVAANYYWLLVEGVYLYTLLAFEQWIFRLYVSIGWGVPLLFVVPWGIVKYLYEYWLIIRLPILFAIGVNFLIFVRVICIVVSKLKADIKCRLAKSTLTLIPLLGTHEVIFAFGTLRFIKLFTELSFTSFQGLMVAILYCFVNNEVQLEFRKSWERWRLEHLHIQRDS</v>
      </c>
      <c r="C312" s="29" t="str">
        <f>IF(ISERROR(MATCH(A312,'SegEnds_Xtal_Prot#'!B:B, 0)), "NoXtal", "Xtal")</f>
        <v>Xtal</v>
      </c>
      <c r="D312" s="4" t="str">
        <f>VLOOKUP(A312,Classification!A:D,2,FALSE)</f>
        <v>B1</v>
      </c>
      <c r="E312" s="5" t="str">
        <f>VLOOKUP(A312,Seqs!A:B,2,FALSE)</f>
        <v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v>
      </c>
      <c r="F312" s="5" t="str">
        <f t="shared" si="101"/>
        <v>EEQLLFLYIIYTVGYALSFSALVIASAILLGF</v>
      </c>
      <c r="G312" s="4" t="str">
        <f t="shared" si="102"/>
        <v>RHLH</v>
      </c>
      <c r="H312" s="4" t="str">
        <f t="shared" si="103"/>
        <v>CTRNYIHLNLFASFILRALSVFIKDAAL</v>
      </c>
      <c r="I312" s="4" t="str">
        <f t="shared" si="104"/>
        <v/>
      </c>
      <c r="J312" s="4" t="str">
        <f t="shared" si="105"/>
        <v>LSCRLVFLLMQYCVAANYYWLLVEGVYLYTLLAF</v>
      </c>
      <c r="K312" s="4" t="str">
        <f t="shared" si="106"/>
        <v/>
      </c>
      <c r="L312" s="4" t="str">
        <f t="shared" si="107"/>
        <v>EQWIFRLYVSIGWGVPLLFVVPWGIVKYLYE</v>
      </c>
      <c r="M312" s="4" t="str">
        <f t="shared" si="108"/>
        <v>CWT</v>
      </c>
      <c r="N312" s="4" t="str">
        <f t="shared" si="109"/>
        <v>YWLIIRLPILFAIGVNFLIFVRVICIVVSKLKA</v>
      </c>
      <c r="O312" s="4" t="str">
        <f t="shared" si="110"/>
        <v>DIKCRLAKSTLTLIPLLGTHEVIFAF</v>
      </c>
      <c r="P312" s="4" t="str">
        <f t="shared" si="111"/>
        <v>GTLRFIKLFTELSFTSFQGLMVAILYCFV</v>
      </c>
      <c r="Q312" s="4" t="str">
        <f t="shared" si="112"/>
        <v>NNEVQLEFRKSWERWRLEHLHIQRDS</v>
      </c>
      <c r="R312" s="5">
        <f>VLOOKUP($A312,'SegEnds_NonXtal_Prot#'!$A:$AL,3,FALSE)</f>
        <v>138</v>
      </c>
      <c r="S312" s="5">
        <f>VLOOKUP($A312,'SegEnds_NonXtal_Prot#'!$A:$AL,6,FALSE)</f>
        <v>170</v>
      </c>
      <c r="T312" s="5">
        <f>VLOOKUP($A312,'SegEnds_NonXtal_Prot#'!$A:$AL,9,FALSE)</f>
        <v>174</v>
      </c>
      <c r="U312" s="5" t="str">
        <f>VLOOKUP($A312,'SegEnds_NonXtal_Prot#'!$A:$AL,12,FALSE)</f>
        <v>-</v>
      </c>
      <c r="V312" s="5">
        <f>VLOOKUP($A312,'SegEnds_NonXtal_Prot#'!$A:$AL,15,FALSE)</f>
        <v>224</v>
      </c>
      <c r="W312" s="5" t="str">
        <f>VLOOKUP($A312,'SegEnds_NonXtal_Prot#'!$A:$AL,18,FALSE)</f>
        <v>-</v>
      </c>
      <c r="X312" s="5">
        <f>VLOOKUP($A312,'SegEnds_NonXtal_Prot#'!$A:$AL,21,FALSE)</f>
        <v>262</v>
      </c>
      <c r="Y312" s="5">
        <f>VLOOKUP($A312,'SegEnds_NonXtal_Prot#'!$A:$AL,24,FALSE)</f>
        <v>296</v>
      </c>
      <c r="Z312" s="5">
        <f>VLOOKUP($A312,'SegEnds_NonXtal_Prot#'!$A:$AL,27,FALSE)</f>
        <v>305</v>
      </c>
      <c r="AA312" s="5">
        <f>VLOOKUP($A312,'SegEnds_NonXtal_Prot#'!$A:$AL,30,FALSE)</f>
        <v>344</v>
      </c>
      <c r="AB312" s="5">
        <f>VLOOKUP($A312,'SegEnds_NonXtal_Prot#'!$A:$AL,33,FALSE)</f>
        <v>377</v>
      </c>
      <c r="AC312" s="5">
        <f>VLOOKUP($A312,'SegEnds_NonXtal_Prot#'!$A:$AL,36,FALSE)</f>
        <v>406</v>
      </c>
      <c r="AD312" s="5">
        <f>VLOOKUP($A312,'SegEnds_NonXtal_Prot#'!$A:$AL,5,FALSE)</f>
        <v>169</v>
      </c>
      <c r="AE312" s="5">
        <f>VLOOKUP($A312,'SegEnds_NonXtal_Prot#'!$A:$AL,8,FALSE)</f>
        <v>173</v>
      </c>
      <c r="AF312" s="5">
        <f>VLOOKUP($A312,'SegEnds_NonXtal_Prot#'!$A:$AL,11,FALSE)</f>
        <v>201</v>
      </c>
      <c r="AG312" s="5" t="str">
        <f>VLOOKUP($A312,'SegEnds_NonXtal_Prot#'!$A:$AL,14,FALSE)</f>
        <v>-</v>
      </c>
      <c r="AH312" s="5">
        <f>VLOOKUP($A312,'SegEnds_NonXtal_Prot#'!$A:$AL,17,FALSE)</f>
        <v>257</v>
      </c>
      <c r="AI312" s="5" t="str">
        <f>VLOOKUP($A312,'SegEnds_NonXtal_Prot#'!$A:$AL,20,FALSE)</f>
        <v>-</v>
      </c>
      <c r="AJ312" s="5">
        <f>VLOOKUP($A312,'SegEnds_NonXtal_Prot#'!$A:$AL,23,FALSE)</f>
        <v>292</v>
      </c>
      <c r="AK312" s="5">
        <f>VLOOKUP($A312,'SegEnds_NonXtal_Prot#'!$A:$AL,26,FALSE)</f>
        <v>298</v>
      </c>
      <c r="AL312" s="5">
        <f>VLOOKUP($A312,'SegEnds_NonXtal_Prot#'!$A:$AL,29,FALSE)</f>
        <v>337</v>
      </c>
      <c r="AM312" s="5">
        <f>VLOOKUP($A312,'SegEnds_NonXtal_Prot#'!$A:$AL,32,FALSE)</f>
        <v>369</v>
      </c>
      <c r="AN312" s="5">
        <f>VLOOKUP($A312,'SegEnds_NonXtal_Prot#'!$A:$AL,35,FALSE)</f>
        <v>405</v>
      </c>
      <c r="AO312" s="5">
        <f>VLOOKUP($A312,'SegEnds_NonXtal_Prot#'!$A:$AL,38,FALSE)</f>
        <v>431</v>
      </c>
      <c r="AP312" s="5">
        <f t="shared" si="113"/>
        <v>31</v>
      </c>
      <c r="AQ312" s="4">
        <f t="shared" si="114"/>
        <v>3</v>
      </c>
      <c r="AR312" s="4">
        <f t="shared" si="115"/>
        <v>27</v>
      </c>
      <c r="AS312" s="4" t="str">
        <f t="shared" si="116"/>
        <v>-</v>
      </c>
      <c r="AT312" s="4">
        <f t="shared" si="117"/>
        <v>33</v>
      </c>
      <c r="AU312" s="4" t="str">
        <f t="shared" si="118"/>
        <v>-</v>
      </c>
      <c r="AV312" s="4">
        <f t="shared" si="119"/>
        <v>30</v>
      </c>
      <c r="AW312" s="4">
        <f t="shared" si="120"/>
        <v>2</v>
      </c>
      <c r="AX312" s="4">
        <f t="shared" si="121"/>
        <v>32</v>
      </c>
      <c r="AY312" s="4">
        <f t="shared" si="122"/>
        <v>25</v>
      </c>
      <c r="AZ312" s="4">
        <f t="shared" si="123"/>
        <v>28</v>
      </c>
      <c r="BA312" s="4">
        <f t="shared" si="124"/>
        <v>25</v>
      </c>
    </row>
    <row r="313" spans="1:53" x14ac:dyDescent="0.2">
      <c r="A313" s="1" t="str">
        <f>'SegEnds_NonXtal_Prot#'!A307</f>
        <v>glp2r_human</v>
      </c>
      <c r="B313" s="1" t="str">
        <f t="shared" si="100"/>
        <v>NVDRYALLSTLQLMYTVGYSFSLISLFLALTLLLFLCTRNYIHMNLFASFILRTLAVLVKDVVFTSCRSVQVLLHYFVGANYLWLLVEGLYLHTLLEPRLWPRYLLLGWAFPVLFVVPWGFARAHLEIWWIIRGPMMLCVTVNFFIFLKILKLLISKLKADYKYRLAKSTLVLIPLLGVHEILFSFGFAKLIRLFIQLTLSSFHGFLVALQYGFANGEVKAELRKYWVRFLLARHSGCRAC</v>
      </c>
      <c r="C313" s="29" t="str">
        <f>IF(ISERROR(MATCH(A313,'SegEnds_Xtal_Prot#'!B:B, 0)), "NoXtal", "Xtal")</f>
        <v>NoXtal</v>
      </c>
      <c r="D313" s="4" t="str">
        <f>VLOOKUP(A313,Classification!A:D,2,FALSE)</f>
        <v>B1</v>
      </c>
      <c r="E313" s="5" t="str">
        <f>VLOOKUP(A313,Seqs!A:B,2,FALSE)</f>
        <v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v>
      </c>
      <c r="F313" s="5" t="str">
        <f t="shared" si="101"/>
        <v>NVDRYALLSTLQLMYTVGYSFSLISLFLALTLLLFL</v>
      </c>
      <c r="G313" s="4" t="str">
        <f t="shared" si="102"/>
        <v>RKLH</v>
      </c>
      <c r="H313" s="4" t="str">
        <f t="shared" si="103"/>
        <v>CTRNYIHMNLFASFILRTLAVLVKDVVF</v>
      </c>
      <c r="I313" s="4" t="str">
        <f t="shared" si="104"/>
        <v/>
      </c>
      <c r="J313" s="4" t="str">
        <f t="shared" si="105"/>
        <v>TSCRSVQVLLHYFVGANYLWLLVEGLYLHTLLEP</v>
      </c>
      <c r="K313" s="4" t="str">
        <f t="shared" si="106"/>
        <v/>
      </c>
      <c r="L313" s="4" t="str">
        <f t="shared" si="107"/>
        <v>RLWPRYLLLGWAFPVLFVVPWGFARAHLE</v>
      </c>
      <c r="M313" s="4" t="str">
        <f t="shared" si="108"/>
        <v>CWT</v>
      </c>
      <c r="N313" s="4" t="str">
        <f t="shared" si="109"/>
        <v>IWWIIRGPMMLCVTVNFFIFLKILKLLISKLKA</v>
      </c>
      <c r="O313" s="4" t="str">
        <f t="shared" si="110"/>
        <v>DYKYRLAKSTLVLIPLLGVHEILFSF</v>
      </c>
      <c r="P313" s="4" t="str">
        <f t="shared" si="111"/>
        <v>GFAKLIRLFIQLTLSSFHGFLVALQYGFA</v>
      </c>
      <c r="Q313" s="4" t="str">
        <f t="shared" si="112"/>
        <v>NGEVKAELRKYWVRFLLARHSGCRAC</v>
      </c>
      <c r="R313" s="5">
        <f>VLOOKUP($A313,'SegEnds_NonXtal_Prot#'!$A:$AL,3,FALSE)</f>
        <v>168</v>
      </c>
      <c r="S313" s="5">
        <f>VLOOKUP($A313,'SegEnds_NonXtal_Prot#'!$A:$AL,6,FALSE)</f>
        <v>204</v>
      </c>
      <c r="T313" s="5">
        <f>VLOOKUP($A313,'SegEnds_NonXtal_Prot#'!$A:$AL,9,FALSE)</f>
        <v>208</v>
      </c>
      <c r="U313" s="5" t="str">
        <f>VLOOKUP($A313,'SegEnds_NonXtal_Prot#'!$A:$AL,12,FALSE)</f>
        <v>-</v>
      </c>
      <c r="V313" s="5">
        <f>VLOOKUP($A313,'SegEnds_NonXtal_Prot#'!$A:$AL,15,FALSE)</f>
        <v>258</v>
      </c>
      <c r="W313" s="5" t="str">
        <f>VLOOKUP($A313,'SegEnds_NonXtal_Prot#'!$A:$AL,18,FALSE)</f>
        <v>-</v>
      </c>
      <c r="X313" s="5">
        <f>VLOOKUP($A313,'SegEnds_NonXtal_Prot#'!$A:$AL,21,FALSE)</f>
        <v>298</v>
      </c>
      <c r="Y313" s="5">
        <f>VLOOKUP($A313,'SegEnds_NonXtal_Prot#'!$A:$AL,24,FALSE)</f>
        <v>330</v>
      </c>
      <c r="Z313" s="5">
        <f>VLOOKUP($A313,'SegEnds_NonXtal_Prot#'!$A:$AL,27,FALSE)</f>
        <v>339</v>
      </c>
      <c r="AA313" s="5">
        <f>VLOOKUP($A313,'SegEnds_NonXtal_Prot#'!$A:$AL,30,FALSE)</f>
        <v>378</v>
      </c>
      <c r="AB313" s="5">
        <f>VLOOKUP($A313,'SegEnds_NonXtal_Prot#'!$A:$AL,33,FALSE)</f>
        <v>411</v>
      </c>
      <c r="AC313" s="5">
        <f>VLOOKUP($A313,'SegEnds_NonXtal_Prot#'!$A:$AL,36,FALSE)</f>
        <v>440</v>
      </c>
      <c r="AD313" s="5">
        <f>VLOOKUP($A313,'SegEnds_NonXtal_Prot#'!$A:$AL,5,FALSE)</f>
        <v>203</v>
      </c>
      <c r="AE313" s="5">
        <f>VLOOKUP($A313,'SegEnds_NonXtal_Prot#'!$A:$AL,8,FALSE)</f>
        <v>207</v>
      </c>
      <c r="AF313" s="5">
        <f>VLOOKUP($A313,'SegEnds_NonXtal_Prot#'!$A:$AL,11,FALSE)</f>
        <v>235</v>
      </c>
      <c r="AG313" s="5" t="str">
        <f>VLOOKUP($A313,'SegEnds_NonXtal_Prot#'!$A:$AL,14,FALSE)</f>
        <v>-</v>
      </c>
      <c r="AH313" s="5">
        <f>VLOOKUP($A313,'SegEnds_NonXtal_Prot#'!$A:$AL,17,FALSE)</f>
        <v>291</v>
      </c>
      <c r="AI313" s="5" t="str">
        <f>VLOOKUP($A313,'SegEnds_NonXtal_Prot#'!$A:$AL,20,FALSE)</f>
        <v>-</v>
      </c>
      <c r="AJ313" s="5">
        <f>VLOOKUP($A313,'SegEnds_NonXtal_Prot#'!$A:$AL,23,FALSE)</f>
        <v>326</v>
      </c>
      <c r="AK313" s="5">
        <f>VLOOKUP($A313,'SegEnds_NonXtal_Prot#'!$A:$AL,26,FALSE)</f>
        <v>332</v>
      </c>
      <c r="AL313" s="5">
        <f>VLOOKUP($A313,'SegEnds_NonXtal_Prot#'!$A:$AL,29,FALSE)</f>
        <v>371</v>
      </c>
      <c r="AM313" s="5">
        <f>VLOOKUP($A313,'SegEnds_NonXtal_Prot#'!$A:$AL,32,FALSE)</f>
        <v>403</v>
      </c>
      <c r="AN313" s="5">
        <f>VLOOKUP($A313,'SegEnds_NonXtal_Prot#'!$A:$AL,35,FALSE)</f>
        <v>439</v>
      </c>
      <c r="AO313" s="5">
        <f>VLOOKUP($A313,'SegEnds_NonXtal_Prot#'!$A:$AL,38,FALSE)</f>
        <v>465</v>
      </c>
      <c r="AP313" s="5">
        <f t="shared" si="113"/>
        <v>35</v>
      </c>
      <c r="AQ313" s="4">
        <f t="shared" si="114"/>
        <v>3</v>
      </c>
      <c r="AR313" s="4">
        <f t="shared" si="115"/>
        <v>27</v>
      </c>
      <c r="AS313" s="4" t="str">
        <f t="shared" si="116"/>
        <v>-</v>
      </c>
      <c r="AT313" s="4">
        <f t="shared" si="117"/>
        <v>33</v>
      </c>
      <c r="AU313" s="4" t="str">
        <f t="shared" si="118"/>
        <v>-</v>
      </c>
      <c r="AV313" s="4">
        <f t="shared" si="119"/>
        <v>28</v>
      </c>
      <c r="AW313" s="4">
        <f t="shared" si="120"/>
        <v>2</v>
      </c>
      <c r="AX313" s="4">
        <f t="shared" si="121"/>
        <v>32</v>
      </c>
      <c r="AY313" s="4">
        <f t="shared" si="122"/>
        <v>25</v>
      </c>
      <c r="AZ313" s="4">
        <f t="shared" si="123"/>
        <v>28</v>
      </c>
      <c r="BA313" s="4">
        <f t="shared" si="124"/>
        <v>25</v>
      </c>
    </row>
    <row r="314" spans="1:53" x14ac:dyDescent="0.2">
      <c r="A314" s="1" t="str">
        <f>'SegEnds_NonXtal_Prot#'!A308</f>
        <v>glr_human</v>
      </c>
      <c r="B314" s="1" t="str">
        <f t="shared" si="100"/>
        <v>QKEVAKMYSSFQVMYTVGYSLSLGALLLALAILGGLCTRNAIHANLFASFVLKASSVLVIDGLLRTRYSAVAGCRVAAVFMQYGIVANYCWLLVEGLYLHNLLGLSFFSLYLGIGWGAPMLFVVPWAVVKCLFENMGFWWILRFPVFLAILINFFIFVRIVQLLVAKLRADYKFRLAKSTLTLIPLLGVHEVVFAFQGTLRSAKLFFDLFLSSFQGLLVAVLYCFLNKEVQSELRRRWHRWRLGKVLWEERN</v>
      </c>
      <c r="C314" s="29" t="str">
        <f>IF(ISERROR(MATCH(A314,'SegEnds_Xtal_Prot#'!B:B, 0)), "NoXtal", "Xtal")</f>
        <v>Xtal</v>
      </c>
      <c r="D314" s="4" t="str">
        <f>VLOOKUP(A314,Classification!A:D,2,FALSE)</f>
        <v>B1</v>
      </c>
      <c r="E314" s="5" t="str">
        <f>VLOOKUP(A314,Seqs!A:B,2,FALSE)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F314" s="5" t="str">
        <f t="shared" si="101"/>
        <v>QKEVAKMYSSFQVMYTVGYSLSLGALLLALAILGGL</v>
      </c>
      <c r="G314" s="4" t="str">
        <f t="shared" si="102"/>
        <v>SKLH</v>
      </c>
      <c r="H314" s="4" t="str">
        <f t="shared" si="103"/>
        <v>CTRNAIHANLFASFVLKASSVLVIDGLLRTRYS</v>
      </c>
      <c r="I314" s="4" t="str">
        <f t="shared" si="104"/>
        <v/>
      </c>
      <c r="J314" s="4" t="str">
        <f t="shared" si="105"/>
        <v>AVAGCRVAAVFMQYGIVANYCWLLVEGLYLHNLLGL</v>
      </c>
      <c r="K314" s="4" t="str">
        <f t="shared" si="106"/>
        <v/>
      </c>
      <c r="L314" s="4" t="str">
        <f t="shared" si="107"/>
        <v>SFFSLYLGIGWGAPMLFVVPWAVVKCLFE</v>
      </c>
      <c r="M314" s="4" t="str">
        <f t="shared" si="108"/>
        <v>CWT</v>
      </c>
      <c r="N314" s="4" t="str">
        <f t="shared" si="109"/>
        <v>NMGFWWILRFPVFLAILINFFIFVRIVQLLVAKLRA</v>
      </c>
      <c r="O314" s="4" t="str">
        <f t="shared" si="110"/>
        <v>DYKFRLAKSTLTLIPLLGVHEVVFAF</v>
      </c>
      <c r="P314" s="4" t="str">
        <f t="shared" si="111"/>
        <v>QGTLRSAKLFFDLFLSSFQGLLVAVLYCFL</v>
      </c>
      <c r="Q314" s="4" t="str">
        <f t="shared" si="112"/>
        <v>NKEVQSELRRRWHRWRLGKVLWEERN</v>
      </c>
      <c r="R314" s="5">
        <f>VLOOKUP($A314,'SegEnds_NonXtal_Prot#'!$A:$AL,3,FALSE)</f>
        <v>131</v>
      </c>
      <c r="S314" s="5">
        <f>VLOOKUP($A314,'SegEnds_NonXtal_Prot#'!$A:$AL,6,FALSE)</f>
        <v>167</v>
      </c>
      <c r="T314" s="5">
        <f>VLOOKUP($A314,'SegEnds_NonXtal_Prot#'!$A:$AL,9,FALSE)</f>
        <v>171</v>
      </c>
      <c r="U314" s="5" t="str">
        <f>VLOOKUP($A314,'SegEnds_NonXtal_Prot#'!$A:$AL,12,FALSE)</f>
        <v>-</v>
      </c>
      <c r="V314" s="5">
        <f>VLOOKUP($A314,'SegEnds_NonXtal_Prot#'!$A:$AL,15,FALSE)</f>
        <v>220</v>
      </c>
      <c r="W314" s="5" t="str">
        <f>VLOOKUP($A314,'SegEnds_NonXtal_Prot#'!$A:$AL,18,FALSE)</f>
        <v>-</v>
      </c>
      <c r="X314" s="5">
        <f>VLOOKUP($A314,'SegEnds_NonXtal_Prot#'!$A:$AL,21,FALSE)</f>
        <v>262</v>
      </c>
      <c r="Y314" s="5">
        <f>VLOOKUP($A314,'SegEnds_NonXtal_Prot#'!$A:$AL,24,FALSE)</f>
        <v>294</v>
      </c>
      <c r="Z314" s="5">
        <f>VLOOKUP($A314,'SegEnds_NonXtal_Prot#'!$A:$AL,27,FALSE)</f>
        <v>300</v>
      </c>
      <c r="AA314" s="5">
        <f>VLOOKUP($A314,'SegEnds_NonXtal_Prot#'!$A:$AL,30,FALSE)</f>
        <v>342</v>
      </c>
      <c r="AB314" s="5">
        <f>VLOOKUP($A314,'SegEnds_NonXtal_Prot#'!$A:$AL,33,FALSE)</f>
        <v>374</v>
      </c>
      <c r="AC314" s="5">
        <f>VLOOKUP($A314,'SegEnds_NonXtal_Prot#'!$A:$AL,36,FALSE)</f>
        <v>404</v>
      </c>
      <c r="AD314" s="5">
        <f>VLOOKUP($A314,'SegEnds_NonXtal_Prot#'!$A:$AL,5,FALSE)</f>
        <v>166</v>
      </c>
      <c r="AE314" s="5">
        <f>VLOOKUP($A314,'SegEnds_NonXtal_Prot#'!$A:$AL,8,FALSE)</f>
        <v>170</v>
      </c>
      <c r="AF314" s="5">
        <f>VLOOKUP($A314,'SegEnds_NonXtal_Prot#'!$A:$AL,11,FALSE)</f>
        <v>203</v>
      </c>
      <c r="AG314" s="5" t="str">
        <f>VLOOKUP($A314,'SegEnds_NonXtal_Prot#'!$A:$AL,14,FALSE)</f>
        <v>-</v>
      </c>
      <c r="AH314" s="5">
        <f>VLOOKUP($A314,'SegEnds_NonXtal_Prot#'!$A:$AL,17,FALSE)</f>
        <v>255</v>
      </c>
      <c r="AI314" s="5" t="str">
        <f>VLOOKUP($A314,'SegEnds_NonXtal_Prot#'!$A:$AL,20,FALSE)</f>
        <v>-</v>
      </c>
      <c r="AJ314" s="5">
        <f>VLOOKUP($A314,'SegEnds_NonXtal_Prot#'!$A:$AL,23,FALSE)</f>
        <v>290</v>
      </c>
      <c r="AK314" s="5">
        <f>VLOOKUP($A314,'SegEnds_NonXtal_Prot#'!$A:$AL,26,FALSE)</f>
        <v>296</v>
      </c>
      <c r="AL314" s="5">
        <f>VLOOKUP($A314,'SegEnds_NonXtal_Prot#'!$A:$AL,29,FALSE)</f>
        <v>335</v>
      </c>
      <c r="AM314" s="5">
        <f>VLOOKUP($A314,'SegEnds_NonXtal_Prot#'!$A:$AL,32,FALSE)</f>
        <v>367</v>
      </c>
      <c r="AN314" s="5">
        <f>VLOOKUP($A314,'SegEnds_NonXtal_Prot#'!$A:$AL,35,FALSE)</f>
        <v>403</v>
      </c>
      <c r="AO314" s="5">
        <f>VLOOKUP($A314,'SegEnds_NonXtal_Prot#'!$A:$AL,38,FALSE)</f>
        <v>429</v>
      </c>
      <c r="AP314" s="5">
        <f t="shared" si="113"/>
        <v>35</v>
      </c>
      <c r="AQ314" s="4">
        <f t="shared" si="114"/>
        <v>3</v>
      </c>
      <c r="AR314" s="4">
        <f t="shared" si="115"/>
        <v>32</v>
      </c>
      <c r="AS314" s="4" t="str">
        <f t="shared" si="116"/>
        <v>-</v>
      </c>
      <c r="AT314" s="4">
        <f t="shared" si="117"/>
        <v>35</v>
      </c>
      <c r="AU314" s="4" t="str">
        <f t="shared" si="118"/>
        <v>-</v>
      </c>
      <c r="AV314" s="4">
        <f t="shared" si="119"/>
        <v>28</v>
      </c>
      <c r="AW314" s="4">
        <f t="shared" si="120"/>
        <v>2</v>
      </c>
      <c r="AX314" s="4">
        <f t="shared" si="121"/>
        <v>35</v>
      </c>
      <c r="AY314" s="4">
        <f t="shared" si="122"/>
        <v>25</v>
      </c>
      <c r="AZ314" s="4">
        <f t="shared" si="123"/>
        <v>29</v>
      </c>
      <c r="BA314" s="4">
        <f t="shared" si="124"/>
        <v>25</v>
      </c>
    </row>
    <row r="315" spans="1:53" x14ac:dyDescent="0.2">
      <c r="A315" s="1" t="str">
        <f>'SegEnds_NonXtal_Prot#'!A309</f>
        <v>pacr_human</v>
      </c>
      <c r="B315" s="1" t="str">
        <f t="shared" si="100"/>
        <v>DQDYYYLSVKALYTVGYSTSLVTLTTAMVILCRFCTRNFIHMNLFVSFMLRAISVFIKDWILVECKAVMVFFHYCVVSNYFWLFIEGLYLFTLLVEPERRYFYWYTIIGWGTPTVCVTVWATLRLYFDLWWVIKGPVVGSIMVNFVLFIGIIVILVQKLNESSIYLRLARSTLLLIPLFGIHYTVFAFSKRERLVFELGLGSFQGFVVAVLYCFLNGEVQAEIKRKWRSWKVNRYFAVDFK</v>
      </c>
      <c r="C315" s="29" t="str">
        <f>IF(ISERROR(MATCH(A315,'SegEnds_Xtal_Prot#'!B:B, 0)), "NoXtal", "Xtal")</f>
        <v>NoXtal</v>
      </c>
      <c r="D315" s="4" t="str">
        <f>VLOOKUP(A315,Classification!A:D,2,FALSE)</f>
        <v>B1</v>
      </c>
      <c r="E315" s="5" t="str">
        <f>VLOOKUP(A315,Seqs!A:B,2,FALSE)</f>
        <v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v>
      </c>
      <c r="F315" s="5" t="str">
        <f t="shared" si="101"/>
        <v>DQDYYYLSVKALYTVGYSTSLVTLTTAMVILCRF</v>
      </c>
      <c r="G315" s="4" t="str">
        <f t="shared" si="102"/>
        <v>RKLH</v>
      </c>
      <c r="H315" s="4" t="str">
        <f t="shared" si="103"/>
        <v>CTRNFIHMNLFVSFMLRAISVFIKDWIL</v>
      </c>
      <c r="I315" s="4" t="str">
        <f t="shared" si="104"/>
        <v/>
      </c>
      <c r="J315" s="4" t="str">
        <f t="shared" si="105"/>
        <v>VECKAVMVFFHYCVVSNYFWLFIEGLYLFTLLVE</v>
      </c>
      <c r="K315" s="4" t="str">
        <f t="shared" si="106"/>
        <v/>
      </c>
      <c r="L315" s="4" t="str">
        <f t="shared" si="107"/>
        <v>PERRYFYWYTIIGWGTPTVCVTVWATLRLYFD</v>
      </c>
      <c r="M315" s="4" t="str">
        <f t="shared" si="108"/>
        <v>CWD</v>
      </c>
      <c r="N315" s="4" t="str">
        <f t="shared" si="109"/>
        <v>LWWVIKGPVVGSIMVNFVLFIGIIVILVQKL</v>
      </c>
      <c r="O315" s="4" t="str">
        <f t="shared" si="110"/>
        <v>NESSIYLRLARSTLLLIPLFGIHYTVFAFS</v>
      </c>
      <c r="P315" s="4" t="str">
        <f t="shared" si="111"/>
        <v>KRERLVFELGLGSFQGFVVAVLYCFL</v>
      </c>
      <c r="Q315" s="4" t="str">
        <f t="shared" si="112"/>
        <v>NGEVQAEIKRKWRSWKVNRYFAVDFK</v>
      </c>
      <c r="R315" s="5">
        <f>VLOOKUP($A315,'SegEnds_NonXtal_Prot#'!$A:$AL,3,FALSE)</f>
        <v>145</v>
      </c>
      <c r="S315" s="5">
        <f>VLOOKUP($A315,'SegEnds_NonXtal_Prot#'!$A:$AL,6,FALSE)</f>
        <v>179</v>
      </c>
      <c r="T315" s="5">
        <f>VLOOKUP($A315,'SegEnds_NonXtal_Prot#'!$A:$AL,9,FALSE)</f>
        <v>183</v>
      </c>
      <c r="U315" s="5" t="str">
        <f>VLOOKUP($A315,'SegEnds_NonXtal_Prot#'!$A:$AL,12,FALSE)</f>
        <v>-</v>
      </c>
      <c r="V315" s="5">
        <f>VLOOKUP($A315,'SegEnds_NonXtal_Prot#'!$A:$AL,15,FALSE)</f>
        <v>224</v>
      </c>
      <c r="W315" s="5" t="str">
        <f>VLOOKUP($A315,'SegEnds_NonXtal_Prot#'!$A:$AL,18,FALSE)</f>
        <v>-</v>
      </c>
      <c r="X315" s="5">
        <f>VLOOKUP($A315,'SegEnds_NonXtal_Prot#'!$A:$AL,21,FALSE)</f>
        <v>261</v>
      </c>
      <c r="Y315" s="5">
        <f>VLOOKUP($A315,'SegEnds_NonXtal_Prot#'!$A:$AL,24,FALSE)</f>
        <v>296</v>
      </c>
      <c r="Z315" s="5">
        <f>VLOOKUP($A315,'SegEnds_NonXtal_Prot#'!$A:$AL,27,FALSE)</f>
        <v>305</v>
      </c>
      <c r="AA315" s="5">
        <f>VLOOKUP($A315,'SegEnds_NonXtal_Prot#'!$A:$AL,30,FALSE)</f>
        <v>343</v>
      </c>
      <c r="AB315" s="5">
        <f>VLOOKUP($A315,'SegEnds_NonXtal_Prot#'!$A:$AL,33,FALSE)</f>
        <v>378</v>
      </c>
      <c r="AC315" s="5">
        <f>VLOOKUP($A315,'SegEnds_NonXtal_Prot#'!$A:$AL,36,FALSE)</f>
        <v>404</v>
      </c>
      <c r="AD315" s="5">
        <f>VLOOKUP($A315,'SegEnds_NonXtal_Prot#'!$A:$AL,5,FALSE)</f>
        <v>178</v>
      </c>
      <c r="AE315" s="5">
        <f>VLOOKUP($A315,'SegEnds_NonXtal_Prot#'!$A:$AL,8,FALSE)</f>
        <v>182</v>
      </c>
      <c r="AF315" s="5">
        <f>VLOOKUP($A315,'SegEnds_NonXtal_Prot#'!$A:$AL,11,FALSE)</f>
        <v>210</v>
      </c>
      <c r="AG315" s="5" t="str">
        <f>VLOOKUP($A315,'SegEnds_NonXtal_Prot#'!$A:$AL,14,FALSE)</f>
        <v>-</v>
      </c>
      <c r="AH315" s="5">
        <f>VLOOKUP($A315,'SegEnds_NonXtal_Prot#'!$A:$AL,17,FALSE)</f>
        <v>257</v>
      </c>
      <c r="AI315" s="5" t="str">
        <f>VLOOKUP($A315,'SegEnds_NonXtal_Prot#'!$A:$AL,20,FALSE)</f>
        <v>-</v>
      </c>
      <c r="AJ315" s="5">
        <f>VLOOKUP($A315,'SegEnds_NonXtal_Prot#'!$A:$AL,23,FALSE)</f>
        <v>292</v>
      </c>
      <c r="AK315" s="5">
        <f>VLOOKUP($A315,'SegEnds_NonXtal_Prot#'!$A:$AL,26,FALSE)</f>
        <v>298</v>
      </c>
      <c r="AL315" s="5">
        <f>VLOOKUP($A315,'SegEnds_NonXtal_Prot#'!$A:$AL,29,FALSE)</f>
        <v>335</v>
      </c>
      <c r="AM315" s="5">
        <f>VLOOKUP($A315,'SegEnds_NonXtal_Prot#'!$A:$AL,32,FALSE)</f>
        <v>372</v>
      </c>
      <c r="AN315" s="5">
        <f>VLOOKUP($A315,'SegEnds_NonXtal_Prot#'!$A:$AL,35,FALSE)</f>
        <v>403</v>
      </c>
      <c r="AO315" s="5">
        <f>VLOOKUP($A315,'SegEnds_NonXtal_Prot#'!$A:$AL,38,FALSE)</f>
        <v>429</v>
      </c>
      <c r="AP315" s="5">
        <f t="shared" si="113"/>
        <v>33</v>
      </c>
      <c r="AQ315" s="4">
        <f t="shared" si="114"/>
        <v>3</v>
      </c>
      <c r="AR315" s="4">
        <f t="shared" si="115"/>
        <v>27</v>
      </c>
      <c r="AS315" s="4" t="str">
        <f t="shared" si="116"/>
        <v>-</v>
      </c>
      <c r="AT315" s="4">
        <f t="shared" si="117"/>
        <v>33</v>
      </c>
      <c r="AU315" s="4" t="str">
        <f t="shared" si="118"/>
        <v>-</v>
      </c>
      <c r="AV315" s="4">
        <f t="shared" si="119"/>
        <v>31</v>
      </c>
      <c r="AW315" s="4">
        <f t="shared" si="120"/>
        <v>2</v>
      </c>
      <c r="AX315" s="4">
        <f t="shared" si="121"/>
        <v>30</v>
      </c>
      <c r="AY315" s="4">
        <f t="shared" si="122"/>
        <v>29</v>
      </c>
      <c r="AZ315" s="4">
        <f t="shared" si="123"/>
        <v>25</v>
      </c>
      <c r="BA315" s="4">
        <f t="shared" si="124"/>
        <v>25</v>
      </c>
    </row>
    <row r="316" spans="1:53" x14ac:dyDescent="0.2">
      <c r="A316" s="1" t="str">
        <f>'SegEnds_NonXtal_Prot#'!A310</f>
        <v>pth1r_human</v>
      </c>
      <c r="B316" s="1" t="str">
        <f t="shared" si="100"/>
        <v>REREVFDRLGMIYTVGYSVSLASLTVAVLILAYFCTRNYIHMHLFLSFMLRAVSIFVKDAVLYSGATGYAGCRVAVTFFLYFLATNYYWILVEGLYLHSLIFMSEKKYLWGFTVFGWGLPAVFVAVWVSVRATLAKKWIIQVPILASIVLNFILFINIVRVLATKLDTRQQYRKLLKSTLVLMPLFGVHYIVFMATGTLWQVQMHYEMLFNSFQGFFVAIIYCFCNGEVQAEIKKSWSRWTLALDFKRKAR</v>
      </c>
      <c r="C316" s="29" t="str">
        <f>IF(ISERROR(MATCH(A316,'SegEnds_Xtal_Prot#'!B:B, 0)), "NoXtal", "Xtal")</f>
        <v>Xtal</v>
      </c>
      <c r="D316" s="4" t="str">
        <f>VLOOKUP(A316,Classification!A:D,2,FALSE)</f>
        <v>B1</v>
      </c>
      <c r="E316" s="5" t="str">
        <f>VLOOKUP(A316,Seqs!A:B,2,FALSE)</f>
        <v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v>
      </c>
      <c r="F316" s="5" t="str">
        <f t="shared" si="101"/>
        <v>REREVFDRLGMIYTVGYSVSLASLTVAVLILAYF</v>
      </c>
      <c r="G316" s="4" t="str">
        <f t="shared" si="102"/>
        <v>RRLH</v>
      </c>
      <c r="H316" s="4" t="str">
        <f t="shared" si="103"/>
        <v>CTRNYIHMHLFLSFMLRAVSIFVKDAVLYSGAT</v>
      </c>
      <c r="I316" s="4" t="str">
        <f t="shared" si="104"/>
        <v/>
      </c>
      <c r="J316" s="4" t="str">
        <f t="shared" si="105"/>
        <v>GYAGCRVAVTFFLYFLATNYYWILVEGLYLHSLIFM</v>
      </c>
      <c r="K316" s="4" t="str">
        <f t="shared" si="106"/>
        <v/>
      </c>
      <c r="L316" s="4" t="str">
        <f t="shared" si="107"/>
        <v>SEKKYLWGFTVFGWGLPAVFVAVWVSVRATLA</v>
      </c>
      <c r="M316" s="4" t="str">
        <f t="shared" si="108"/>
        <v>CWD</v>
      </c>
      <c r="N316" s="4" t="str">
        <f t="shared" si="109"/>
        <v>KKWIIQVPILASIVLNFILFINIVRVLATKL</v>
      </c>
      <c r="O316" s="4" t="str">
        <f t="shared" si="110"/>
        <v>DTRQQYRKLLKSTLVLMPLFGVHYIVFMAT</v>
      </c>
      <c r="P316" s="4" t="str">
        <f t="shared" si="111"/>
        <v>GTLWQVQMHYEMLFNSFQGFFVAIIYCFC</v>
      </c>
      <c r="Q316" s="4" t="str">
        <f t="shared" si="112"/>
        <v>NGEVQAEIKKSWSRWTLALDFKRKAR</v>
      </c>
      <c r="R316" s="5">
        <f>VLOOKUP($A316,'SegEnds_NonXtal_Prot#'!$A:$AL,3,FALSE)</f>
        <v>179</v>
      </c>
      <c r="S316" s="5">
        <f>VLOOKUP($A316,'SegEnds_NonXtal_Prot#'!$A:$AL,6,FALSE)</f>
        <v>213</v>
      </c>
      <c r="T316" s="5">
        <f>VLOOKUP($A316,'SegEnds_NonXtal_Prot#'!$A:$AL,9,FALSE)</f>
        <v>217</v>
      </c>
      <c r="U316" s="5" t="str">
        <f>VLOOKUP($A316,'SegEnds_NonXtal_Prot#'!$A:$AL,12,FALSE)</f>
        <v>-</v>
      </c>
      <c r="V316" s="5">
        <f>VLOOKUP($A316,'SegEnds_NonXtal_Prot#'!$A:$AL,15,FALSE)</f>
        <v>277</v>
      </c>
      <c r="W316" s="5" t="str">
        <f>VLOOKUP($A316,'SegEnds_NonXtal_Prot#'!$A:$AL,18,FALSE)</f>
        <v>-</v>
      </c>
      <c r="X316" s="5">
        <f>VLOOKUP($A316,'SegEnds_NonXtal_Prot#'!$A:$AL,21,FALSE)</f>
        <v>316</v>
      </c>
      <c r="Y316" s="5">
        <f>VLOOKUP($A316,'SegEnds_NonXtal_Prot#'!$A:$AL,24,FALSE)</f>
        <v>351</v>
      </c>
      <c r="Z316" s="5">
        <f>VLOOKUP($A316,'SegEnds_NonXtal_Prot#'!$A:$AL,27,FALSE)</f>
        <v>359</v>
      </c>
      <c r="AA316" s="5">
        <f>VLOOKUP($A316,'SegEnds_NonXtal_Prot#'!$A:$AL,30,FALSE)</f>
        <v>398</v>
      </c>
      <c r="AB316" s="5">
        <f>VLOOKUP($A316,'SegEnds_NonXtal_Prot#'!$A:$AL,33,FALSE)</f>
        <v>434</v>
      </c>
      <c r="AC316" s="5">
        <f>VLOOKUP($A316,'SegEnds_NonXtal_Prot#'!$A:$AL,36,FALSE)</f>
        <v>463</v>
      </c>
      <c r="AD316" s="5">
        <f>VLOOKUP($A316,'SegEnds_NonXtal_Prot#'!$A:$AL,5,FALSE)</f>
        <v>212</v>
      </c>
      <c r="AE316" s="5">
        <f>VLOOKUP($A316,'SegEnds_NonXtal_Prot#'!$A:$AL,8,FALSE)</f>
        <v>216</v>
      </c>
      <c r="AF316" s="5">
        <f>VLOOKUP($A316,'SegEnds_NonXtal_Prot#'!$A:$AL,11,FALSE)</f>
        <v>249</v>
      </c>
      <c r="AG316" s="5" t="str">
        <f>VLOOKUP($A316,'SegEnds_NonXtal_Prot#'!$A:$AL,14,FALSE)</f>
        <v>-</v>
      </c>
      <c r="AH316" s="5">
        <f>VLOOKUP($A316,'SegEnds_NonXtal_Prot#'!$A:$AL,17,FALSE)</f>
        <v>312</v>
      </c>
      <c r="AI316" s="5" t="str">
        <f>VLOOKUP($A316,'SegEnds_NonXtal_Prot#'!$A:$AL,20,FALSE)</f>
        <v>-</v>
      </c>
      <c r="AJ316" s="5">
        <f>VLOOKUP($A316,'SegEnds_NonXtal_Prot#'!$A:$AL,23,FALSE)</f>
        <v>347</v>
      </c>
      <c r="AK316" s="5">
        <f>VLOOKUP($A316,'SegEnds_NonXtal_Prot#'!$A:$AL,26,FALSE)</f>
        <v>353</v>
      </c>
      <c r="AL316" s="5">
        <f>VLOOKUP($A316,'SegEnds_NonXtal_Prot#'!$A:$AL,29,FALSE)</f>
        <v>389</v>
      </c>
      <c r="AM316" s="5">
        <f>VLOOKUP($A316,'SegEnds_NonXtal_Prot#'!$A:$AL,32,FALSE)</f>
        <v>427</v>
      </c>
      <c r="AN316" s="5">
        <f>VLOOKUP($A316,'SegEnds_NonXtal_Prot#'!$A:$AL,35,FALSE)</f>
        <v>462</v>
      </c>
      <c r="AO316" s="5">
        <f>VLOOKUP($A316,'SegEnds_NonXtal_Prot#'!$A:$AL,38,FALSE)</f>
        <v>488</v>
      </c>
      <c r="AP316" s="5">
        <f t="shared" si="113"/>
        <v>33</v>
      </c>
      <c r="AQ316" s="4">
        <f t="shared" si="114"/>
        <v>3</v>
      </c>
      <c r="AR316" s="4">
        <f t="shared" si="115"/>
        <v>32</v>
      </c>
      <c r="AS316" s="4" t="str">
        <f t="shared" si="116"/>
        <v>-</v>
      </c>
      <c r="AT316" s="4">
        <f t="shared" si="117"/>
        <v>35</v>
      </c>
      <c r="AU316" s="4" t="str">
        <f t="shared" si="118"/>
        <v>-</v>
      </c>
      <c r="AV316" s="4">
        <f t="shared" si="119"/>
        <v>31</v>
      </c>
      <c r="AW316" s="4">
        <f t="shared" si="120"/>
        <v>2</v>
      </c>
      <c r="AX316" s="4">
        <f t="shared" si="121"/>
        <v>30</v>
      </c>
      <c r="AY316" s="4">
        <f t="shared" si="122"/>
        <v>29</v>
      </c>
      <c r="AZ316" s="4">
        <f t="shared" si="123"/>
        <v>28</v>
      </c>
      <c r="BA316" s="4">
        <f t="shared" si="124"/>
        <v>25</v>
      </c>
    </row>
    <row r="317" spans="1:53" x14ac:dyDescent="0.2">
      <c r="A317" s="1" t="str">
        <f>'SegEnds_NonXtal_Prot#'!A311</f>
        <v>pth2r_human</v>
      </c>
      <c r="B317" s="1" t="str">
        <f t="shared" si="100"/>
        <v>GKQEFFERLYVMYTVGYSISFGSLAVAILIIGYFCTRNYIHMHLFVSFMLRATSIFVKDRVVHAHIGQYIGCKIAVVMFIYFLATNYYWILVEGLYLHNLIFVSDTKYLWGFILIGWGFPAAFVAAWAVARATLAIKWIYQAPILAAIGLNFILFLNTVRVLATKIDTRKQYRKLAKSTLVLVLVFGVHYIVFVCLGLGWEIRMHCELFFNSFQGFFVSIIYCYCNGEVQAEVKKMWSRWNLSVDWKRTPP</v>
      </c>
      <c r="C317" s="29" t="str">
        <f>IF(ISERROR(MATCH(A317,'SegEnds_Xtal_Prot#'!B:B, 0)), "NoXtal", "Xtal")</f>
        <v>NoXtal</v>
      </c>
      <c r="D317" s="4" t="str">
        <f>VLOOKUP(A317,Classification!A:D,2,FALSE)</f>
        <v>B1</v>
      </c>
      <c r="E317" s="5" t="str">
        <f>VLOOKUP(A317,Seqs!A:B,2,FALSE)</f>
        <v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v>
      </c>
      <c r="F317" s="5" t="str">
        <f t="shared" si="101"/>
        <v>GKQEFFERLYVMYTVGYSISFGSLAVAILIIGYF</v>
      </c>
      <c r="G317" s="4" t="str">
        <f t="shared" si="102"/>
        <v>RRLH</v>
      </c>
      <c r="H317" s="4" t="str">
        <f t="shared" si="103"/>
        <v>CTRNYIHMHLFVSFMLRATSIFVKDRVVHAHIG</v>
      </c>
      <c r="I317" s="4" t="str">
        <f t="shared" si="104"/>
        <v/>
      </c>
      <c r="J317" s="4" t="str">
        <f t="shared" si="105"/>
        <v>QYIGCKIAVVMFIYFLATNYYWILVEGLYLHNLIFV</v>
      </c>
      <c r="K317" s="4" t="str">
        <f t="shared" si="106"/>
        <v/>
      </c>
      <c r="L317" s="4" t="str">
        <f t="shared" si="107"/>
        <v>SDTKYLWGFILIGWGFPAAFVAAWAVARATLA</v>
      </c>
      <c r="M317" s="4" t="str">
        <f t="shared" si="108"/>
        <v>CWE</v>
      </c>
      <c r="N317" s="4" t="str">
        <f t="shared" si="109"/>
        <v>IKWIYQAPILAAIGLNFILFLNTVRVLATKI</v>
      </c>
      <c r="O317" s="4" t="str">
        <f t="shared" si="110"/>
        <v>DTRKQYRKLAKSTLVLVLVFGVHYIVFVCL</v>
      </c>
      <c r="P317" s="4" t="str">
        <f t="shared" si="111"/>
        <v>GLGWEIRMHCELFFNSFQGFFVSIIYCYC</v>
      </c>
      <c r="Q317" s="4" t="str">
        <f t="shared" si="112"/>
        <v>NGEVQAEVKKMWSRWNLSVDWKRTPP</v>
      </c>
      <c r="R317" s="5">
        <f>VLOOKUP($A317,'SegEnds_NonXtal_Prot#'!$A:$AL,3,FALSE)</f>
        <v>136</v>
      </c>
      <c r="S317" s="5">
        <f>VLOOKUP($A317,'SegEnds_NonXtal_Prot#'!$A:$AL,6,FALSE)</f>
        <v>170</v>
      </c>
      <c r="T317" s="5">
        <f>VLOOKUP($A317,'SegEnds_NonXtal_Prot#'!$A:$AL,9,FALSE)</f>
        <v>174</v>
      </c>
      <c r="U317" s="5" t="str">
        <f>VLOOKUP($A317,'SegEnds_NonXtal_Prot#'!$A:$AL,12,FALSE)</f>
        <v>-</v>
      </c>
      <c r="V317" s="5">
        <f>VLOOKUP($A317,'SegEnds_NonXtal_Prot#'!$A:$AL,15,FALSE)</f>
        <v>232</v>
      </c>
      <c r="W317" s="5" t="str">
        <f>VLOOKUP($A317,'SegEnds_NonXtal_Prot#'!$A:$AL,18,FALSE)</f>
        <v>-</v>
      </c>
      <c r="X317" s="5">
        <f>VLOOKUP($A317,'SegEnds_NonXtal_Prot#'!$A:$AL,21,FALSE)</f>
        <v>271</v>
      </c>
      <c r="Y317" s="5">
        <f>VLOOKUP($A317,'SegEnds_NonXtal_Prot#'!$A:$AL,24,FALSE)</f>
        <v>306</v>
      </c>
      <c r="Z317" s="5">
        <f>VLOOKUP($A317,'SegEnds_NonXtal_Prot#'!$A:$AL,27,FALSE)</f>
        <v>314</v>
      </c>
      <c r="AA317" s="5">
        <f>VLOOKUP($A317,'SegEnds_NonXtal_Prot#'!$A:$AL,30,FALSE)</f>
        <v>353</v>
      </c>
      <c r="AB317" s="5">
        <f>VLOOKUP($A317,'SegEnds_NonXtal_Prot#'!$A:$AL,33,FALSE)</f>
        <v>388</v>
      </c>
      <c r="AC317" s="5">
        <f>VLOOKUP($A317,'SegEnds_NonXtal_Prot#'!$A:$AL,36,FALSE)</f>
        <v>417</v>
      </c>
      <c r="AD317" s="5">
        <f>VLOOKUP($A317,'SegEnds_NonXtal_Prot#'!$A:$AL,5,FALSE)</f>
        <v>169</v>
      </c>
      <c r="AE317" s="5">
        <f>VLOOKUP($A317,'SegEnds_NonXtal_Prot#'!$A:$AL,8,FALSE)</f>
        <v>173</v>
      </c>
      <c r="AF317" s="5">
        <f>VLOOKUP($A317,'SegEnds_NonXtal_Prot#'!$A:$AL,11,FALSE)</f>
        <v>206</v>
      </c>
      <c r="AG317" s="5" t="str">
        <f>VLOOKUP($A317,'SegEnds_NonXtal_Prot#'!$A:$AL,14,FALSE)</f>
        <v>-</v>
      </c>
      <c r="AH317" s="5">
        <f>VLOOKUP($A317,'SegEnds_NonXtal_Prot#'!$A:$AL,17,FALSE)</f>
        <v>267</v>
      </c>
      <c r="AI317" s="5" t="str">
        <f>VLOOKUP($A317,'SegEnds_NonXtal_Prot#'!$A:$AL,20,FALSE)</f>
        <v>-</v>
      </c>
      <c r="AJ317" s="5">
        <f>VLOOKUP($A317,'SegEnds_NonXtal_Prot#'!$A:$AL,23,FALSE)</f>
        <v>302</v>
      </c>
      <c r="AK317" s="5">
        <f>VLOOKUP($A317,'SegEnds_NonXtal_Prot#'!$A:$AL,26,FALSE)</f>
        <v>308</v>
      </c>
      <c r="AL317" s="5">
        <f>VLOOKUP($A317,'SegEnds_NonXtal_Prot#'!$A:$AL,29,FALSE)</f>
        <v>344</v>
      </c>
      <c r="AM317" s="5">
        <f>VLOOKUP($A317,'SegEnds_NonXtal_Prot#'!$A:$AL,32,FALSE)</f>
        <v>382</v>
      </c>
      <c r="AN317" s="5">
        <f>VLOOKUP($A317,'SegEnds_NonXtal_Prot#'!$A:$AL,35,FALSE)</f>
        <v>416</v>
      </c>
      <c r="AO317" s="5">
        <f>VLOOKUP($A317,'SegEnds_NonXtal_Prot#'!$A:$AL,38,FALSE)</f>
        <v>442</v>
      </c>
      <c r="AP317" s="5">
        <f t="shared" si="113"/>
        <v>33</v>
      </c>
      <c r="AQ317" s="4">
        <f t="shared" si="114"/>
        <v>3</v>
      </c>
      <c r="AR317" s="4">
        <f t="shared" si="115"/>
        <v>32</v>
      </c>
      <c r="AS317" s="4" t="str">
        <f t="shared" si="116"/>
        <v>-</v>
      </c>
      <c r="AT317" s="4">
        <f t="shared" si="117"/>
        <v>35</v>
      </c>
      <c r="AU317" s="4" t="str">
        <f t="shared" si="118"/>
        <v>-</v>
      </c>
      <c r="AV317" s="4">
        <f t="shared" si="119"/>
        <v>31</v>
      </c>
      <c r="AW317" s="4">
        <f t="shared" si="120"/>
        <v>2</v>
      </c>
      <c r="AX317" s="4">
        <f t="shared" si="121"/>
        <v>30</v>
      </c>
      <c r="AY317" s="4">
        <f t="shared" si="122"/>
        <v>29</v>
      </c>
      <c r="AZ317" s="4">
        <f t="shared" si="123"/>
        <v>28</v>
      </c>
      <c r="BA317" s="4">
        <f t="shared" si="124"/>
        <v>25</v>
      </c>
    </row>
    <row r="318" spans="1:53" x14ac:dyDescent="0.2">
      <c r="A318" s="1" t="str">
        <f>'SegEnds_NonXtal_Prot#'!A312</f>
        <v>sctr_human</v>
      </c>
      <c r="B318" s="1" t="str">
        <f t="shared" si="100"/>
        <v>KRHSYLLKLKVMYTVGYSSSLVMLLVALGILCAFCTRNYIHMHLFVSFILRALSNFIKDAVLAGCKLVMVLFQYCIMANYSWLLVEGLYLHTLLAISERKYLQGFVAFGWGSPAIFVALWAIARHFLEIWWIIRGPVILSILINFILFINILRILMRKLNEVSHYKRLARSTLLLIPLFGIHYIVFAFSMEIQLFFELALGSFQGLVVAVLYCFLNGEVQLEVQKKWQQWHLREFPLHPVA</v>
      </c>
      <c r="C318" s="29" t="str">
        <f>IF(ISERROR(MATCH(A318,'SegEnds_Xtal_Prot#'!B:B, 0)), "NoXtal", "Xtal")</f>
        <v>NoXtal</v>
      </c>
      <c r="D318" s="4" t="str">
        <f>VLOOKUP(A318,Classification!A:D,2,FALSE)</f>
        <v>B1</v>
      </c>
      <c r="E318" s="5" t="str">
        <f>VLOOKUP(A318,Seqs!A:B,2,FALSE)</f>
        <v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v>
      </c>
      <c r="F318" s="5" t="str">
        <f t="shared" si="101"/>
        <v>KRHSYLLKLKVMYTVGYSSSLVMLLVALGILCAF</v>
      </c>
      <c r="G318" s="4" t="str">
        <f t="shared" si="102"/>
        <v>RRLH</v>
      </c>
      <c r="H318" s="4" t="str">
        <f t="shared" si="103"/>
        <v>CTRNYIHMHLFVSFILRALSNFIKDAVL</v>
      </c>
      <c r="I318" s="4" t="str">
        <f t="shared" si="104"/>
        <v/>
      </c>
      <c r="J318" s="4" t="str">
        <f t="shared" si="105"/>
        <v>AGCKLVMVLFQYCIMANYSWLLVEGLYLHTLLAI</v>
      </c>
      <c r="K318" s="4" t="str">
        <f t="shared" si="106"/>
        <v/>
      </c>
      <c r="L318" s="4" t="str">
        <f t="shared" si="107"/>
        <v>SERKYLQGFVAFGWGSPAIFVALWAIARHFLE</v>
      </c>
      <c r="M318" s="4" t="str">
        <f t="shared" si="108"/>
        <v>CWD</v>
      </c>
      <c r="N318" s="4" t="str">
        <f t="shared" si="109"/>
        <v>IWWIIRGPVILSILINFILFINILRILMRKL</v>
      </c>
      <c r="O318" s="4" t="str">
        <f t="shared" si="110"/>
        <v>NEVSHYKRLARSTLLLIPLFGIHYIVFAFS</v>
      </c>
      <c r="P318" s="4" t="str">
        <f t="shared" si="111"/>
        <v>MEIQLFFELALGSFQGLVVAVLYCFL</v>
      </c>
      <c r="Q318" s="4" t="str">
        <f t="shared" si="112"/>
        <v>NGEVQLEVQKKWQQWHLREFPLHPVA</v>
      </c>
      <c r="R318" s="5">
        <f>VLOOKUP($A318,'SegEnds_NonXtal_Prot#'!$A:$AL,3,FALSE)</f>
        <v>134</v>
      </c>
      <c r="S318" s="5">
        <f>VLOOKUP($A318,'SegEnds_NonXtal_Prot#'!$A:$AL,6,FALSE)</f>
        <v>168</v>
      </c>
      <c r="T318" s="5">
        <f>VLOOKUP($A318,'SegEnds_NonXtal_Prot#'!$A:$AL,9,FALSE)</f>
        <v>172</v>
      </c>
      <c r="U318" s="5" t="str">
        <f>VLOOKUP($A318,'SegEnds_NonXtal_Prot#'!$A:$AL,12,FALSE)</f>
        <v>-</v>
      </c>
      <c r="V318" s="5">
        <f>VLOOKUP($A318,'SegEnds_NonXtal_Prot#'!$A:$AL,15,FALSE)</f>
        <v>213</v>
      </c>
      <c r="W318" s="5" t="str">
        <f>VLOOKUP($A318,'SegEnds_NonXtal_Prot#'!$A:$AL,18,FALSE)</f>
        <v>-</v>
      </c>
      <c r="X318" s="5">
        <f>VLOOKUP($A318,'SegEnds_NonXtal_Prot#'!$A:$AL,21,FALSE)</f>
        <v>250</v>
      </c>
      <c r="Y318" s="5">
        <f>VLOOKUP($A318,'SegEnds_NonXtal_Prot#'!$A:$AL,24,FALSE)</f>
        <v>285</v>
      </c>
      <c r="Z318" s="5">
        <f>VLOOKUP($A318,'SegEnds_NonXtal_Prot#'!$A:$AL,27,FALSE)</f>
        <v>294</v>
      </c>
      <c r="AA318" s="5">
        <f>VLOOKUP($A318,'SegEnds_NonXtal_Prot#'!$A:$AL,30,FALSE)</f>
        <v>332</v>
      </c>
      <c r="AB318" s="5">
        <f>VLOOKUP($A318,'SegEnds_NonXtal_Prot#'!$A:$AL,33,FALSE)</f>
        <v>366</v>
      </c>
      <c r="AC318" s="5">
        <f>VLOOKUP($A318,'SegEnds_NonXtal_Prot#'!$A:$AL,36,FALSE)</f>
        <v>392</v>
      </c>
      <c r="AD318" s="5">
        <f>VLOOKUP($A318,'SegEnds_NonXtal_Prot#'!$A:$AL,5,FALSE)</f>
        <v>167</v>
      </c>
      <c r="AE318" s="5">
        <f>VLOOKUP($A318,'SegEnds_NonXtal_Prot#'!$A:$AL,8,FALSE)</f>
        <v>171</v>
      </c>
      <c r="AF318" s="5">
        <f>VLOOKUP($A318,'SegEnds_NonXtal_Prot#'!$A:$AL,11,FALSE)</f>
        <v>199</v>
      </c>
      <c r="AG318" s="5" t="str">
        <f>VLOOKUP($A318,'SegEnds_NonXtal_Prot#'!$A:$AL,14,FALSE)</f>
        <v>-</v>
      </c>
      <c r="AH318" s="5">
        <f>VLOOKUP($A318,'SegEnds_NonXtal_Prot#'!$A:$AL,17,FALSE)</f>
        <v>246</v>
      </c>
      <c r="AI318" s="5" t="str">
        <f>VLOOKUP($A318,'SegEnds_NonXtal_Prot#'!$A:$AL,20,FALSE)</f>
        <v>-</v>
      </c>
      <c r="AJ318" s="5">
        <f>VLOOKUP($A318,'SegEnds_NonXtal_Prot#'!$A:$AL,23,FALSE)</f>
        <v>281</v>
      </c>
      <c r="AK318" s="5">
        <f>VLOOKUP($A318,'SegEnds_NonXtal_Prot#'!$A:$AL,26,FALSE)</f>
        <v>287</v>
      </c>
      <c r="AL318" s="5">
        <f>VLOOKUP($A318,'SegEnds_NonXtal_Prot#'!$A:$AL,29,FALSE)</f>
        <v>324</v>
      </c>
      <c r="AM318" s="5">
        <f>VLOOKUP($A318,'SegEnds_NonXtal_Prot#'!$A:$AL,32,FALSE)</f>
        <v>361</v>
      </c>
      <c r="AN318" s="5">
        <f>VLOOKUP($A318,'SegEnds_NonXtal_Prot#'!$A:$AL,35,FALSE)</f>
        <v>391</v>
      </c>
      <c r="AO318" s="5">
        <f>VLOOKUP($A318,'SegEnds_NonXtal_Prot#'!$A:$AL,38,FALSE)</f>
        <v>417</v>
      </c>
      <c r="AP318" s="5">
        <f t="shared" si="113"/>
        <v>33</v>
      </c>
      <c r="AQ318" s="4">
        <f t="shared" si="114"/>
        <v>3</v>
      </c>
      <c r="AR318" s="4">
        <f t="shared" si="115"/>
        <v>27</v>
      </c>
      <c r="AS318" s="4" t="str">
        <f t="shared" si="116"/>
        <v>-</v>
      </c>
      <c r="AT318" s="4">
        <f t="shared" si="117"/>
        <v>33</v>
      </c>
      <c r="AU318" s="4" t="str">
        <f t="shared" si="118"/>
        <v>-</v>
      </c>
      <c r="AV318" s="4">
        <f t="shared" si="119"/>
        <v>31</v>
      </c>
      <c r="AW318" s="4">
        <f t="shared" si="120"/>
        <v>2</v>
      </c>
      <c r="AX318" s="4">
        <f t="shared" si="121"/>
        <v>30</v>
      </c>
      <c r="AY318" s="4">
        <f t="shared" si="122"/>
        <v>29</v>
      </c>
      <c r="AZ318" s="4">
        <f t="shared" si="123"/>
        <v>25</v>
      </c>
      <c r="BA318" s="4">
        <f t="shared" si="124"/>
        <v>25</v>
      </c>
    </row>
    <row r="319" spans="1:53" x14ac:dyDescent="0.2">
      <c r="A319" s="1" t="str">
        <f>'SegEnds_NonXtal_Prot#'!A313</f>
        <v>vipr1_human</v>
      </c>
      <c r="B319" s="1" t="str">
        <f t="shared" si="100"/>
        <v>QQTMFYGSVKTGYTIGYGLSLATLLVATAILSLFCTRNYIHMHLFISFILRAAAVFIKDLALVGCKAAMVFFQYCVMANFFWLLVEGLYLYTLLAVSERKYFWGYILIGWGVPSTFTMVWTIARIHFELWWIIKGPILTSILVNFILFICIIRILLQKLSDSSPYSRLARSTLLLIPLFGVHYIMFAFFPEVKMVFELVVGSFQGFVVAILYCFLNGEVQAELRRKWRRWHLQGVLGWNPK</v>
      </c>
      <c r="C319" s="29" t="str">
        <f>IF(ISERROR(MATCH(A319,'SegEnds_Xtal_Prot#'!B:B, 0)), "NoXtal", "Xtal")</f>
        <v>NoXtal</v>
      </c>
      <c r="D319" s="4" t="str">
        <f>VLOOKUP(A319,Classification!A:D,2,FALSE)</f>
        <v>B1</v>
      </c>
      <c r="E319" s="5" t="str">
        <f>VLOOKUP(A319,Seqs!A:B,2,FALSE)</f>
        <v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v>
      </c>
      <c r="F319" s="5" t="str">
        <f t="shared" si="101"/>
        <v>QQTMFYGSVKTGYTIGYGLSLATLLVATAILSLF</v>
      </c>
      <c r="G319" s="4" t="str">
        <f t="shared" si="102"/>
        <v>RKLH</v>
      </c>
      <c r="H319" s="4" t="str">
        <f t="shared" si="103"/>
        <v>CTRNYIHMHLFISFILRAAAVFIKDLAL</v>
      </c>
      <c r="I319" s="4" t="str">
        <f t="shared" si="104"/>
        <v/>
      </c>
      <c r="J319" s="4" t="str">
        <f t="shared" si="105"/>
        <v>VGCKAAMVFFQYCVMANFFWLLVEGLYLYTLLAV</v>
      </c>
      <c r="K319" s="4" t="str">
        <f t="shared" si="106"/>
        <v/>
      </c>
      <c r="L319" s="4" t="str">
        <f t="shared" si="107"/>
        <v>SERKYFWGYILIGWGVPSTFTMVWTIARIHFE</v>
      </c>
      <c r="M319" s="4" t="str">
        <f t="shared" si="108"/>
        <v>CWD</v>
      </c>
      <c r="N319" s="4" t="str">
        <f t="shared" si="109"/>
        <v>LWWIIKGPILTSILVNFILFICIIRILLQKL</v>
      </c>
      <c r="O319" s="4" t="str">
        <f t="shared" si="110"/>
        <v>SDSSPYSRLARSTLLLIPLFGVHYIMFAFF</v>
      </c>
      <c r="P319" s="4" t="str">
        <f t="shared" si="111"/>
        <v>PEVKMVFELVVGSFQGFVVAILYCFL</v>
      </c>
      <c r="Q319" s="4" t="str">
        <f t="shared" si="112"/>
        <v>NGEVQAELRRKWRRWHLQGVLGWNPK</v>
      </c>
      <c r="R319" s="5">
        <f>VLOOKUP($A319,'SegEnds_NonXtal_Prot#'!$A:$AL,3,FALSE)</f>
        <v>134</v>
      </c>
      <c r="S319" s="5">
        <f>VLOOKUP($A319,'SegEnds_NonXtal_Prot#'!$A:$AL,6,FALSE)</f>
        <v>168</v>
      </c>
      <c r="T319" s="5">
        <f>VLOOKUP($A319,'SegEnds_NonXtal_Prot#'!$A:$AL,9,FALSE)</f>
        <v>172</v>
      </c>
      <c r="U319" s="5" t="str">
        <f>VLOOKUP($A319,'SegEnds_NonXtal_Prot#'!$A:$AL,12,FALSE)</f>
        <v>-</v>
      </c>
      <c r="V319" s="5">
        <f>VLOOKUP($A319,'SegEnds_NonXtal_Prot#'!$A:$AL,15,FALSE)</f>
        <v>213</v>
      </c>
      <c r="W319" s="5" t="str">
        <f>VLOOKUP($A319,'SegEnds_NonXtal_Prot#'!$A:$AL,18,FALSE)</f>
        <v>-</v>
      </c>
      <c r="X319" s="5">
        <f>VLOOKUP($A319,'SegEnds_NonXtal_Prot#'!$A:$AL,21,FALSE)</f>
        <v>250</v>
      </c>
      <c r="Y319" s="5">
        <f>VLOOKUP($A319,'SegEnds_NonXtal_Prot#'!$A:$AL,24,FALSE)</f>
        <v>285</v>
      </c>
      <c r="Z319" s="5">
        <f>VLOOKUP($A319,'SegEnds_NonXtal_Prot#'!$A:$AL,27,FALSE)</f>
        <v>293</v>
      </c>
      <c r="AA319" s="5">
        <f>VLOOKUP($A319,'SegEnds_NonXtal_Prot#'!$A:$AL,30,FALSE)</f>
        <v>331</v>
      </c>
      <c r="AB319" s="5">
        <f>VLOOKUP($A319,'SegEnds_NonXtal_Prot#'!$A:$AL,33,FALSE)</f>
        <v>366</v>
      </c>
      <c r="AC319" s="5">
        <f>VLOOKUP($A319,'SegEnds_NonXtal_Prot#'!$A:$AL,36,FALSE)</f>
        <v>392</v>
      </c>
      <c r="AD319" s="5">
        <f>VLOOKUP($A319,'SegEnds_NonXtal_Prot#'!$A:$AL,5,FALSE)</f>
        <v>167</v>
      </c>
      <c r="AE319" s="5">
        <f>VLOOKUP($A319,'SegEnds_NonXtal_Prot#'!$A:$AL,8,FALSE)</f>
        <v>171</v>
      </c>
      <c r="AF319" s="5">
        <f>VLOOKUP($A319,'SegEnds_NonXtal_Prot#'!$A:$AL,11,FALSE)</f>
        <v>199</v>
      </c>
      <c r="AG319" s="5" t="str">
        <f>VLOOKUP($A319,'SegEnds_NonXtal_Prot#'!$A:$AL,14,FALSE)</f>
        <v>-</v>
      </c>
      <c r="AH319" s="5">
        <f>VLOOKUP($A319,'SegEnds_NonXtal_Prot#'!$A:$AL,17,FALSE)</f>
        <v>246</v>
      </c>
      <c r="AI319" s="5" t="str">
        <f>VLOOKUP($A319,'SegEnds_NonXtal_Prot#'!$A:$AL,20,FALSE)</f>
        <v>-</v>
      </c>
      <c r="AJ319" s="5">
        <f>VLOOKUP($A319,'SegEnds_NonXtal_Prot#'!$A:$AL,23,FALSE)</f>
        <v>281</v>
      </c>
      <c r="AK319" s="5">
        <f>VLOOKUP($A319,'SegEnds_NonXtal_Prot#'!$A:$AL,26,FALSE)</f>
        <v>287</v>
      </c>
      <c r="AL319" s="5">
        <f>VLOOKUP($A319,'SegEnds_NonXtal_Prot#'!$A:$AL,29,FALSE)</f>
        <v>323</v>
      </c>
      <c r="AM319" s="5">
        <f>VLOOKUP($A319,'SegEnds_NonXtal_Prot#'!$A:$AL,32,FALSE)</f>
        <v>360</v>
      </c>
      <c r="AN319" s="5">
        <f>VLOOKUP($A319,'SegEnds_NonXtal_Prot#'!$A:$AL,35,FALSE)</f>
        <v>391</v>
      </c>
      <c r="AO319" s="5">
        <f>VLOOKUP($A319,'SegEnds_NonXtal_Prot#'!$A:$AL,38,FALSE)</f>
        <v>417</v>
      </c>
      <c r="AP319" s="5">
        <f t="shared" si="113"/>
        <v>33</v>
      </c>
      <c r="AQ319" s="4">
        <f t="shared" si="114"/>
        <v>3</v>
      </c>
      <c r="AR319" s="4">
        <f t="shared" si="115"/>
        <v>27</v>
      </c>
      <c r="AS319" s="4" t="str">
        <f t="shared" si="116"/>
        <v>-</v>
      </c>
      <c r="AT319" s="4">
        <f t="shared" si="117"/>
        <v>33</v>
      </c>
      <c r="AU319" s="4" t="str">
        <f t="shared" si="118"/>
        <v>-</v>
      </c>
      <c r="AV319" s="4">
        <f t="shared" si="119"/>
        <v>31</v>
      </c>
      <c r="AW319" s="4">
        <f t="shared" si="120"/>
        <v>2</v>
      </c>
      <c r="AX319" s="4">
        <f t="shared" si="121"/>
        <v>30</v>
      </c>
      <c r="AY319" s="4">
        <f t="shared" si="122"/>
        <v>29</v>
      </c>
      <c r="AZ319" s="4">
        <f t="shared" si="123"/>
        <v>25</v>
      </c>
      <c r="BA319" s="4">
        <f t="shared" si="124"/>
        <v>25</v>
      </c>
    </row>
    <row r="320" spans="1:53" x14ac:dyDescent="0.2">
      <c r="A320" s="1" t="str">
        <f>'SegEnds_NonXtal_Prot#'!A314</f>
        <v>vipr2_human</v>
      </c>
      <c r="B320" s="1" t="str">
        <f t="shared" si="100"/>
        <v>SKITFYILVKAIYTLGYSVSLMSLATGSIILCLFCTRNYIHLNLFLSFILRAISVLVKDDVLVGCKLSLVFLQYCIMANFFWLLVEGLYLHTLLVAPPRRCFLAYLLIGWGLPTVCIGAWTAARLYLEPWWVIRIPILISIIVNFVLFISIIRILLQKLNDQSQYKRLAKSTLLLIPLFGVHYMVFAVFSKYQILFELCLGSFQGLVVAVLYCFLNSEVQCELKRKWRSRCPTPSASRDYR</v>
      </c>
      <c r="C320" s="29" t="str">
        <f>IF(ISERROR(MATCH(A320,'SegEnds_Xtal_Prot#'!B:B, 0)), "NoXtal", "Xtal")</f>
        <v>NoXtal</v>
      </c>
      <c r="D320" s="4" t="str">
        <f>VLOOKUP(A320,Classification!A:D,2,FALSE)</f>
        <v>B1</v>
      </c>
      <c r="E320" s="5" t="str">
        <f>VLOOKUP(A320,Seqs!A:B,2,FALSE)</f>
        <v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v>
      </c>
      <c r="F320" s="5" t="str">
        <f t="shared" si="101"/>
        <v>SKITFYILVKAIYTLGYSVSLMSLATGSIILCLF</v>
      </c>
      <c r="G320" s="4" t="str">
        <f t="shared" si="102"/>
        <v>RKLH</v>
      </c>
      <c r="H320" s="4" t="str">
        <f t="shared" si="103"/>
        <v>CTRNYIHLNLFLSFILRAISVLVKDDVL</v>
      </c>
      <c r="I320" s="4" t="str">
        <f t="shared" si="104"/>
        <v/>
      </c>
      <c r="J320" s="4" t="str">
        <f t="shared" si="105"/>
        <v>VGCKLSLVFLQYCIMANFFWLLVEGLYLHTLLVA</v>
      </c>
      <c r="K320" s="4" t="str">
        <f t="shared" si="106"/>
        <v/>
      </c>
      <c r="L320" s="4" t="str">
        <f t="shared" si="107"/>
        <v>PPRRCFLAYLLIGWGLPTVCIGAWTAARLYLE</v>
      </c>
      <c r="M320" s="4" t="str">
        <f t="shared" si="108"/>
        <v>CWD</v>
      </c>
      <c r="N320" s="4" t="str">
        <f t="shared" si="109"/>
        <v>PWWVIRIPILISIIVNFVLFISIIRILLQKL</v>
      </c>
      <c r="O320" s="4" t="str">
        <f t="shared" si="110"/>
        <v>NDQSQYKRLAKSTLLLIPLFGVHYMVFAVF</v>
      </c>
      <c r="P320" s="4" t="str">
        <f t="shared" si="111"/>
        <v>SKYQILFELCLGSFQGLVVAVLYCFL</v>
      </c>
      <c r="Q320" s="4" t="str">
        <f t="shared" si="112"/>
        <v>NSEVQCELKRKWRSRCPTPSASRDYR</v>
      </c>
      <c r="R320" s="5">
        <f>VLOOKUP($A320,'SegEnds_NonXtal_Prot#'!$A:$AL,3,FALSE)</f>
        <v>118</v>
      </c>
      <c r="S320" s="5">
        <f>VLOOKUP($A320,'SegEnds_NonXtal_Prot#'!$A:$AL,6,FALSE)</f>
        <v>152</v>
      </c>
      <c r="T320" s="5">
        <f>VLOOKUP($A320,'SegEnds_NonXtal_Prot#'!$A:$AL,9,FALSE)</f>
        <v>156</v>
      </c>
      <c r="U320" s="5" t="str">
        <f>VLOOKUP($A320,'SegEnds_NonXtal_Prot#'!$A:$AL,12,FALSE)</f>
        <v>-</v>
      </c>
      <c r="V320" s="5">
        <f>VLOOKUP($A320,'SegEnds_NonXtal_Prot#'!$A:$AL,15,FALSE)</f>
        <v>200</v>
      </c>
      <c r="W320" s="5" t="str">
        <f>VLOOKUP($A320,'SegEnds_NonXtal_Prot#'!$A:$AL,18,FALSE)</f>
        <v>-</v>
      </c>
      <c r="X320" s="5">
        <f>VLOOKUP($A320,'SegEnds_NonXtal_Prot#'!$A:$AL,21,FALSE)</f>
        <v>236</v>
      </c>
      <c r="Y320" s="5">
        <f>VLOOKUP($A320,'SegEnds_NonXtal_Prot#'!$A:$AL,24,FALSE)</f>
        <v>271</v>
      </c>
      <c r="Z320" s="5">
        <f>VLOOKUP($A320,'SegEnds_NonXtal_Prot#'!$A:$AL,27,FALSE)</f>
        <v>280</v>
      </c>
      <c r="AA320" s="5">
        <f>VLOOKUP($A320,'SegEnds_NonXtal_Prot#'!$A:$AL,30,FALSE)</f>
        <v>318</v>
      </c>
      <c r="AB320" s="5">
        <f>VLOOKUP($A320,'SegEnds_NonXtal_Prot#'!$A:$AL,33,FALSE)</f>
        <v>353</v>
      </c>
      <c r="AC320" s="5">
        <f>VLOOKUP($A320,'SegEnds_NonXtal_Prot#'!$A:$AL,36,FALSE)</f>
        <v>379</v>
      </c>
      <c r="AD320" s="5">
        <f>VLOOKUP($A320,'SegEnds_NonXtal_Prot#'!$A:$AL,5,FALSE)</f>
        <v>151</v>
      </c>
      <c r="AE320" s="5">
        <f>VLOOKUP($A320,'SegEnds_NonXtal_Prot#'!$A:$AL,8,FALSE)</f>
        <v>155</v>
      </c>
      <c r="AF320" s="5">
        <f>VLOOKUP($A320,'SegEnds_NonXtal_Prot#'!$A:$AL,11,FALSE)</f>
        <v>183</v>
      </c>
      <c r="AG320" s="5" t="str">
        <f>VLOOKUP($A320,'SegEnds_NonXtal_Prot#'!$A:$AL,14,FALSE)</f>
        <v>-</v>
      </c>
      <c r="AH320" s="5">
        <f>VLOOKUP($A320,'SegEnds_NonXtal_Prot#'!$A:$AL,17,FALSE)</f>
        <v>233</v>
      </c>
      <c r="AI320" s="5" t="str">
        <f>VLOOKUP($A320,'SegEnds_NonXtal_Prot#'!$A:$AL,20,FALSE)</f>
        <v>-</v>
      </c>
      <c r="AJ320" s="5">
        <f>VLOOKUP($A320,'SegEnds_NonXtal_Prot#'!$A:$AL,23,FALSE)</f>
        <v>267</v>
      </c>
      <c r="AK320" s="5">
        <f>VLOOKUP($A320,'SegEnds_NonXtal_Prot#'!$A:$AL,26,FALSE)</f>
        <v>273</v>
      </c>
      <c r="AL320" s="5">
        <f>VLOOKUP($A320,'SegEnds_NonXtal_Prot#'!$A:$AL,29,FALSE)</f>
        <v>310</v>
      </c>
      <c r="AM320" s="5">
        <f>VLOOKUP($A320,'SegEnds_NonXtal_Prot#'!$A:$AL,32,FALSE)</f>
        <v>347</v>
      </c>
      <c r="AN320" s="5">
        <f>VLOOKUP($A320,'SegEnds_NonXtal_Prot#'!$A:$AL,35,FALSE)</f>
        <v>378</v>
      </c>
      <c r="AO320" s="5">
        <f>VLOOKUP($A320,'SegEnds_NonXtal_Prot#'!$A:$AL,38,FALSE)</f>
        <v>404</v>
      </c>
      <c r="AP320" s="5">
        <f t="shared" si="113"/>
        <v>33</v>
      </c>
      <c r="AQ320" s="4">
        <f t="shared" si="114"/>
        <v>3</v>
      </c>
      <c r="AR320" s="4">
        <f t="shared" si="115"/>
        <v>27</v>
      </c>
      <c r="AS320" s="4" t="str">
        <f t="shared" si="116"/>
        <v>-</v>
      </c>
      <c r="AT320" s="4">
        <f t="shared" si="117"/>
        <v>33</v>
      </c>
      <c r="AU320" s="4" t="str">
        <f t="shared" si="118"/>
        <v>-</v>
      </c>
      <c r="AV320" s="4">
        <f t="shared" si="119"/>
        <v>31</v>
      </c>
      <c r="AW320" s="4">
        <f t="shared" si="120"/>
        <v>2</v>
      </c>
      <c r="AX320" s="4">
        <f t="shared" si="121"/>
        <v>30</v>
      </c>
      <c r="AY320" s="4">
        <f t="shared" si="122"/>
        <v>29</v>
      </c>
      <c r="AZ320" s="4">
        <f t="shared" si="123"/>
        <v>25</v>
      </c>
      <c r="BA320" s="4">
        <f t="shared" si="124"/>
        <v>25</v>
      </c>
    </row>
    <row r="321" spans="1:53" x14ac:dyDescent="0.2">
      <c r="A321" s="1" t="str">
        <f>'SegEnds_NonXtal_Prot#'!A315</f>
        <v>agra1_human</v>
      </c>
      <c r="B321" s="1" t="str">
        <f t="shared" si="100"/>
        <v>SLPRYPGEFLHPVVYACTAVMLLCLLASFVTYIVHQSAISRKGRHTLLNFCFHAALTFTVFAGGIILCQAVGIVLHYSTLSTMLWIGVTARNIYKQVTKQPLLRFYLVSGGVPFIICGVTAATNIRNYWEPSLGAFYGPAAIITLVTCVYFLGTYVQLRRHPSFQAQLRAAAFTLFLFTATWAFGALFLDMVFSCLYGAFCVTLGLFVLIHHCAKREDVWQCWWACCPPRKD</v>
      </c>
      <c r="C321" s="29" t="str">
        <f>IF(ISERROR(MATCH(A321,'SegEnds_Xtal_Prot#'!B:B, 0)), "NoXtal", "Xtal")</f>
        <v>NoXtal</v>
      </c>
      <c r="D321" s="4" t="str">
        <f>VLOOKUP(A321,Classification!A:D,2,FALSE)</f>
        <v>B2</v>
      </c>
      <c r="E321" s="5" t="str">
        <f>VLOOKUP(A321,Seqs!A:B,2,FALSE)</f>
        <v>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</v>
      </c>
      <c r="F321" s="5" t="str">
        <f t="shared" si="101"/>
        <v>SLPRYPGEFLHPVVYACTAVMLLCLLASFVTYIVHQSA</v>
      </c>
      <c r="G321" s="4" t="str">
        <f t="shared" si="102"/>
        <v/>
      </c>
      <c r="H321" s="4" t="str">
        <f t="shared" si="103"/>
        <v>ISRKGRHTLLNFCFHAALTFTVFAGGI</v>
      </c>
      <c r="I321" s="4" t="str">
        <f t="shared" si="104"/>
        <v/>
      </c>
      <c r="J321" s="4" t="str">
        <f t="shared" si="105"/>
        <v>ILCQAVGIVLHYSTLSTMLWIGVTARNIYKQVTK</v>
      </c>
      <c r="K321" s="4" t="str">
        <f t="shared" si="106"/>
        <v/>
      </c>
      <c r="L321" s="4" t="str">
        <f t="shared" si="107"/>
        <v>QPLLRFYLVSGGVPFIICGVTAATNIRNY</v>
      </c>
      <c r="M321" s="4" t="str">
        <f t="shared" si="108"/>
        <v>CWM</v>
      </c>
      <c r="N321" s="4" t="str">
        <f t="shared" si="109"/>
        <v>WEPSLGAFYGPAAIITLVTCVYFLGTYVQLRRHP</v>
      </c>
      <c r="O321" s="4" t="str">
        <f t="shared" si="110"/>
        <v>SFQAQLRAAAFTLFLFTATWAFGAL</v>
      </c>
      <c r="P321" s="4" t="str">
        <f t="shared" si="111"/>
        <v>FLDMVFSCLYGAFCVTLGLFVLIHHCAK</v>
      </c>
      <c r="Q321" s="4" t="str">
        <f t="shared" si="112"/>
        <v>REDVWQCWWACCPPRKD</v>
      </c>
      <c r="R321" s="5">
        <f>VLOOKUP($A321,'SegEnds_NonXtal_Prot#'!$A:$AL,3,FALSE)</f>
        <v>8</v>
      </c>
      <c r="S321" s="5" t="str">
        <f>VLOOKUP($A321,'SegEnds_NonXtal_Prot#'!$A:$AL,6,FALSE)</f>
        <v>-</v>
      </c>
      <c r="T321" s="5">
        <f>VLOOKUP($A321,'SegEnds_NonXtal_Prot#'!$A:$AL,9,FALSE)</f>
        <v>48</v>
      </c>
      <c r="U321" s="5" t="str">
        <f>VLOOKUP($A321,'SegEnds_NonXtal_Prot#'!$A:$AL,12,FALSE)</f>
        <v>-</v>
      </c>
      <c r="V321" s="5">
        <f>VLOOKUP($A321,'SegEnds_NonXtal_Prot#'!$A:$AL,15,FALSE)</f>
        <v>81</v>
      </c>
      <c r="W321" s="5" t="str">
        <f>VLOOKUP($A321,'SegEnds_NonXtal_Prot#'!$A:$AL,18,FALSE)</f>
        <v>-</v>
      </c>
      <c r="X321" s="5">
        <f>VLOOKUP($A321,'SegEnds_NonXtal_Prot#'!$A:$AL,21,FALSE)</f>
        <v>130</v>
      </c>
      <c r="Y321" s="5">
        <f>VLOOKUP($A321,'SegEnds_NonXtal_Prot#'!$A:$AL,24,FALSE)</f>
        <v>168</v>
      </c>
      <c r="Z321" s="5">
        <f>VLOOKUP($A321,'SegEnds_NonXtal_Prot#'!$A:$AL,27,FALSE)</f>
        <v>172</v>
      </c>
      <c r="AA321" s="5">
        <f>VLOOKUP($A321,'SegEnds_NonXtal_Prot#'!$A:$AL,30,FALSE)</f>
        <v>251</v>
      </c>
      <c r="AB321" s="5">
        <f>VLOOKUP($A321,'SegEnds_NonXtal_Prot#'!$A:$AL,33,FALSE)</f>
        <v>282</v>
      </c>
      <c r="AC321" s="5">
        <f>VLOOKUP($A321,'SegEnds_NonXtal_Prot#'!$A:$AL,36,FALSE)</f>
        <v>310</v>
      </c>
      <c r="AD321" s="5">
        <f>VLOOKUP($A321,'SegEnds_NonXtal_Prot#'!$A:$AL,5,FALSE)</f>
        <v>45</v>
      </c>
      <c r="AE321" s="5" t="str">
        <f>VLOOKUP($A321,'SegEnds_NonXtal_Prot#'!$A:$AL,8,FALSE)</f>
        <v>-</v>
      </c>
      <c r="AF321" s="5">
        <f>VLOOKUP($A321,'SegEnds_NonXtal_Prot#'!$A:$AL,11,FALSE)</f>
        <v>74</v>
      </c>
      <c r="AG321" s="5" t="str">
        <f>VLOOKUP($A321,'SegEnds_NonXtal_Prot#'!$A:$AL,14,FALSE)</f>
        <v>-</v>
      </c>
      <c r="AH321" s="5">
        <f>VLOOKUP($A321,'SegEnds_NonXtal_Prot#'!$A:$AL,17,FALSE)</f>
        <v>114</v>
      </c>
      <c r="AI321" s="5" t="str">
        <f>VLOOKUP($A321,'SegEnds_NonXtal_Prot#'!$A:$AL,20,FALSE)</f>
        <v>-</v>
      </c>
      <c r="AJ321" s="5">
        <f>VLOOKUP($A321,'SegEnds_NonXtal_Prot#'!$A:$AL,23,FALSE)</f>
        <v>158</v>
      </c>
      <c r="AK321" s="5">
        <f>VLOOKUP($A321,'SegEnds_NonXtal_Prot#'!$A:$AL,26,FALSE)</f>
        <v>170</v>
      </c>
      <c r="AL321" s="5">
        <f>VLOOKUP($A321,'SegEnds_NonXtal_Prot#'!$A:$AL,29,FALSE)</f>
        <v>205</v>
      </c>
      <c r="AM321" s="5">
        <f>VLOOKUP($A321,'SegEnds_NonXtal_Prot#'!$A:$AL,32,FALSE)</f>
        <v>275</v>
      </c>
      <c r="AN321" s="5">
        <f>VLOOKUP($A321,'SegEnds_NonXtal_Prot#'!$A:$AL,35,FALSE)</f>
        <v>309</v>
      </c>
      <c r="AO321" s="5">
        <f>VLOOKUP($A321,'SegEnds_NonXtal_Prot#'!$A:$AL,38,FALSE)</f>
        <v>326</v>
      </c>
      <c r="AP321" s="5">
        <f t="shared" si="113"/>
        <v>37</v>
      </c>
      <c r="AQ321" s="4" t="str">
        <f t="shared" si="114"/>
        <v>-</v>
      </c>
      <c r="AR321" s="4">
        <f t="shared" si="115"/>
        <v>26</v>
      </c>
      <c r="AS321" s="4" t="str">
        <f t="shared" si="116"/>
        <v>-</v>
      </c>
      <c r="AT321" s="4">
        <f t="shared" si="117"/>
        <v>33</v>
      </c>
      <c r="AU321" s="4" t="str">
        <f t="shared" si="118"/>
        <v>-</v>
      </c>
      <c r="AV321" s="4">
        <f t="shared" si="119"/>
        <v>28</v>
      </c>
      <c r="AW321" s="4">
        <f t="shared" si="120"/>
        <v>2</v>
      </c>
      <c r="AX321" s="4">
        <f t="shared" si="121"/>
        <v>33</v>
      </c>
      <c r="AY321" s="4">
        <f t="shared" si="122"/>
        <v>24</v>
      </c>
      <c r="AZ321" s="4">
        <f t="shared" si="123"/>
        <v>27</v>
      </c>
      <c r="BA321" s="4">
        <f t="shared" si="124"/>
        <v>16</v>
      </c>
    </row>
    <row r="322" spans="1:53" x14ac:dyDescent="0.2">
      <c r="A322" s="1" t="str">
        <f>'SegEnds_NonXtal_Prot#'!A316</f>
        <v>agra2_human</v>
      </c>
      <c r="B322" s="1" t="str">
        <f t="shared" ref="B322:B385" si="125">F322&amp;H322&amp;J322&amp;L322&amp;N322&amp;O322&amp;P322&amp;Q322</f>
        <v>REVGGAGAGLHPVVYPCTALLLLCLFATIITYILNHSSVSRKGWHMLLNLCFHIAMTSAVFAGGIMVCQAVGITLHYSSLSTLLWMGVKARVLHKELTWSPMLRFYLIAGGIPLIICGITAAVNIHNYWRPSLGAFYIPVALILLITWIYFLCAGLRLRGPLSPGVQLGALVTTHFLYLAMWACGALLPRVVCSCLYGVAASALGLFVFTHHCARRRDVRASWRACCPPASP</v>
      </c>
      <c r="C322" s="29" t="str">
        <f>IF(ISERROR(MATCH(A322,'SegEnds_Xtal_Prot#'!B:B, 0)), "NoXtal", "Xtal")</f>
        <v>NoXtal</v>
      </c>
      <c r="D322" s="4" t="str">
        <f>VLOOKUP(A322,Classification!A:D,2,FALSE)</f>
        <v>B2</v>
      </c>
      <c r="E322" s="5" t="str">
        <f>VLOOKUP(A322,Seqs!A:B,2,FALSE)</f>
        <v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v>
      </c>
      <c r="F322" s="5" t="str">
        <f t="shared" ref="F322:F385" si="126">IFERROR(MID($E322,R322,(AP322+1)),"")</f>
        <v>REVGGAGAGLHPVVYPCTALLLLCLFATIITYILNHSS</v>
      </c>
      <c r="G322" s="4" t="str">
        <f t="shared" ref="G322:G385" si="127">IFERROR(MID($E322,S322,(AQ322+1)),"")</f>
        <v/>
      </c>
      <c r="H322" s="4" t="str">
        <f t="shared" ref="H322:H385" si="128">IFERROR(MID($E322,T322,(AR322+1)),"")</f>
        <v>VSRKGWHMLLNLCFHIAMTSAVFAGGI</v>
      </c>
      <c r="I322" s="4" t="str">
        <f t="shared" ref="I322:I385" si="129">IFERROR(MID($E322,U322,(AS322+1)),"")</f>
        <v/>
      </c>
      <c r="J322" s="4" t="str">
        <f t="shared" ref="J322:J385" si="130">IFERROR(MID($E322,V322,(AT322+1)),"")</f>
        <v>MVCQAVGITLHYSSLSTLLWMGVKARVLHKELTW</v>
      </c>
      <c r="K322" s="4" t="str">
        <f t="shared" ref="K322:K385" si="131">IFERROR(MID($E322,W322,(AU322+1)),"")</f>
        <v/>
      </c>
      <c r="L322" s="4" t="str">
        <f t="shared" ref="L322:L385" si="132">IFERROR(MID($E322,X322,(AV322+1)),"")</f>
        <v>SPMLRFYLIAGGIPLIICGITAAVNIHNY</v>
      </c>
      <c r="M322" s="4" t="str">
        <f t="shared" ref="M322:M385" si="133">IFERROR(MID($E322,Y322,(AW322+1)),"")</f>
        <v>CWL</v>
      </c>
      <c r="N322" s="4" t="str">
        <f t="shared" ref="N322:N385" si="134">IFERROR(MID($E322,Z322,(AX322+1)),"")</f>
        <v>WRPSLGAFYIPVALILLITWIYFLCAGLRLRGPL</v>
      </c>
      <c r="O322" s="4" t="str">
        <f t="shared" ref="O322:O385" si="135">IFERROR(MID($E322,AA322,(AY322+1)),"")</f>
        <v>SPGVQLGALVTTHFLYLAMWACGAL</v>
      </c>
      <c r="P322" s="4" t="str">
        <f t="shared" ref="P322:P385" si="136">IFERROR(MID($E322,AB322,(AZ322+1)),"")</f>
        <v>LPRVVCSCLYGVAASALGLFVFTHHCAR</v>
      </c>
      <c r="Q322" s="4" t="str">
        <f t="shared" ref="Q322:Q385" si="137">IFERROR(MID($E322,AC322,(BA322+1)),"")</f>
        <v>RRDVRASWRACCPPASP</v>
      </c>
      <c r="R322" s="5">
        <f>VLOOKUP($A322,'SegEnds_NonXtal_Prot#'!$A:$AL,3,FALSE)</f>
        <v>760</v>
      </c>
      <c r="S322" s="5" t="str">
        <f>VLOOKUP($A322,'SegEnds_NonXtal_Prot#'!$A:$AL,6,FALSE)</f>
        <v>-</v>
      </c>
      <c r="T322" s="5">
        <f>VLOOKUP($A322,'SegEnds_NonXtal_Prot#'!$A:$AL,9,FALSE)</f>
        <v>800</v>
      </c>
      <c r="U322" s="5" t="str">
        <f>VLOOKUP($A322,'SegEnds_NonXtal_Prot#'!$A:$AL,12,FALSE)</f>
        <v>-</v>
      </c>
      <c r="V322" s="5">
        <f>VLOOKUP($A322,'SegEnds_NonXtal_Prot#'!$A:$AL,15,FALSE)</f>
        <v>833</v>
      </c>
      <c r="W322" s="5" t="str">
        <f>VLOOKUP($A322,'SegEnds_NonXtal_Prot#'!$A:$AL,18,FALSE)</f>
        <v>-</v>
      </c>
      <c r="X322" s="5">
        <f>VLOOKUP($A322,'SegEnds_NonXtal_Prot#'!$A:$AL,21,FALSE)</f>
        <v>882</v>
      </c>
      <c r="Y322" s="5">
        <f>VLOOKUP($A322,'SegEnds_NonXtal_Prot#'!$A:$AL,24,FALSE)</f>
        <v>917</v>
      </c>
      <c r="Z322" s="5">
        <f>VLOOKUP($A322,'SegEnds_NonXtal_Prot#'!$A:$AL,27,FALSE)</f>
        <v>921</v>
      </c>
      <c r="AA322" s="5">
        <f>VLOOKUP($A322,'SegEnds_NonXtal_Prot#'!$A:$AL,30,FALSE)</f>
        <v>1014</v>
      </c>
      <c r="AB322" s="5">
        <f>VLOOKUP($A322,'SegEnds_NonXtal_Prot#'!$A:$AL,33,FALSE)</f>
        <v>1045</v>
      </c>
      <c r="AC322" s="5">
        <f>VLOOKUP($A322,'SegEnds_NonXtal_Prot#'!$A:$AL,36,FALSE)</f>
        <v>1073</v>
      </c>
      <c r="AD322" s="5">
        <f>VLOOKUP($A322,'SegEnds_NonXtal_Prot#'!$A:$AL,5,FALSE)</f>
        <v>797</v>
      </c>
      <c r="AE322" s="5" t="str">
        <f>VLOOKUP($A322,'SegEnds_NonXtal_Prot#'!$A:$AL,8,FALSE)</f>
        <v>-</v>
      </c>
      <c r="AF322" s="5">
        <f>VLOOKUP($A322,'SegEnds_NonXtal_Prot#'!$A:$AL,11,FALSE)</f>
        <v>826</v>
      </c>
      <c r="AG322" s="5" t="str">
        <f>VLOOKUP($A322,'SegEnds_NonXtal_Prot#'!$A:$AL,14,FALSE)</f>
        <v>-</v>
      </c>
      <c r="AH322" s="5">
        <f>VLOOKUP($A322,'SegEnds_NonXtal_Prot#'!$A:$AL,17,FALSE)</f>
        <v>866</v>
      </c>
      <c r="AI322" s="5" t="str">
        <f>VLOOKUP($A322,'SegEnds_NonXtal_Prot#'!$A:$AL,20,FALSE)</f>
        <v>-</v>
      </c>
      <c r="AJ322" s="5">
        <f>VLOOKUP($A322,'SegEnds_NonXtal_Prot#'!$A:$AL,23,FALSE)</f>
        <v>910</v>
      </c>
      <c r="AK322" s="5">
        <f>VLOOKUP($A322,'SegEnds_NonXtal_Prot#'!$A:$AL,26,FALSE)</f>
        <v>919</v>
      </c>
      <c r="AL322" s="5">
        <f>VLOOKUP($A322,'SegEnds_NonXtal_Prot#'!$A:$AL,29,FALSE)</f>
        <v>954</v>
      </c>
      <c r="AM322" s="5">
        <f>VLOOKUP($A322,'SegEnds_NonXtal_Prot#'!$A:$AL,32,FALSE)</f>
        <v>1038</v>
      </c>
      <c r="AN322" s="5">
        <f>VLOOKUP($A322,'SegEnds_NonXtal_Prot#'!$A:$AL,35,FALSE)</f>
        <v>1072</v>
      </c>
      <c r="AO322" s="5">
        <f>VLOOKUP($A322,'SegEnds_NonXtal_Prot#'!$A:$AL,38,FALSE)</f>
        <v>1089</v>
      </c>
      <c r="AP322" s="5">
        <f t="shared" ref="AP322:AP385" si="138">IFERROR(AD322-R322,"-")</f>
        <v>37</v>
      </c>
      <c r="AQ322" s="4" t="str">
        <f t="shared" ref="AQ322:AQ385" si="139">IFERROR(AE322-S322,"-")</f>
        <v>-</v>
      </c>
      <c r="AR322" s="4">
        <f t="shared" ref="AR322:AR385" si="140">IFERROR(AF322-T322,"-")</f>
        <v>26</v>
      </c>
      <c r="AS322" s="4" t="str">
        <f t="shared" ref="AS322:AS385" si="141">IFERROR(AG322-U322,"-")</f>
        <v>-</v>
      </c>
      <c r="AT322" s="4">
        <f t="shared" ref="AT322:AT385" si="142">IFERROR(AH322-V322,"-")</f>
        <v>33</v>
      </c>
      <c r="AU322" s="4" t="str">
        <f t="shared" ref="AU322:AU385" si="143">IFERROR(AI322-W322,"-")</f>
        <v>-</v>
      </c>
      <c r="AV322" s="4">
        <f t="shared" ref="AV322:AV385" si="144">IFERROR(AJ322-X322,"-")</f>
        <v>28</v>
      </c>
      <c r="AW322" s="4">
        <f t="shared" ref="AW322:AW385" si="145">IFERROR(AK322-Y322,"-")</f>
        <v>2</v>
      </c>
      <c r="AX322" s="4">
        <f t="shared" ref="AX322:AX385" si="146">IFERROR(AL322-Z322,"-")</f>
        <v>33</v>
      </c>
      <c r="AY322" s="4">
        <f t="shared" ref="AY322:AY385" si="147">IFERROR(AM322-AA322,"-")</f>
        <v>24</v>
      </c>
      <c r="AZ322" s="4">
        <f t="shared" ref="AZ322:AZ385" si="148">IFERROR(AN322-AB322,"-")</f>
        <v>27</v>
      </c>
      <c r="BA322" s="4">
        <f t="shared" ref="BA322:BA385" si="149">IFERROR(AO322-AC322,"-")</f>
        <v>16</v>
      </c>
    </row>
    <row r="323" spans="1:53" x14ac:dyDescent="0.2">
      <c r="A323" s="1" t="str">
        <f>'SegEnds_NonXtal_Prot#'!A317</f>
        <v>agra3_human</v>
      </c>
      <c r="B323" s="1" t="str">
        <f t="shared" si="125"/>
        <v>ELYTQAASLLHPVVYTTAIILLLCLLAVIVSYIYHHSLISLKSWHMLVNLCFHIFLTCVVFVGGISICQAVGIILHYSTLATVLWVGVTARNIYKQVTKRPMLRFYLIGGGIPIIVCGITAAANIKNYWEPSLGAFYGPASFITFVNCMYFLSIFIQLKRHPTFHSQLLGASLTLLLYVALWMFGALPLDLVFSFVFGATSLSFSAFFVVHHCVNREDVRLAWIMTCCPGRS</v>
      </c>
      <c r="C323" s="29" t="str">
        <f>IF(ISERROR(MATCH(A323,'SegEnds_Xtal_Prot#'!B:B, 0)), "NoXtal", "Xtal")</f>
        <v>NoXtal</v>
      </c>
      <c r="D323" s="4" t="str">
        <f>VLOOKUP(A323,Classification!A:D,2,FALSE)</f>
        <v>B2</v>
      </c>
      <c r="E323" s="5" t="str">
        <f>VLOOKUP(A323,Seqs!A:B,2,FALSE)</f>
        <v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v>
      </c>
      <c r="F323" s="5" t="str">
        <f t="shared" si="126"/>
        <v>ELYTQAASLLHPVVYTTAIILLLCLLAVIVSYIYHHSL</v>
      </c>
      <c r="G323" s="4" t="str">
        <f t="shared" si="127"/>
        <v/>
      </c>
      <c r="H323" s="4" t="str">
        <f t="shared" si="128"/>
        <v>ISLKSWHMLVNLCFHIFLTCVVFVGGI</v>
      </c>
      <c r="I323" s="4" t="str">
        <f t="shared" si="129"/>
        <v/>
      </c>
      <c r="J323" s="4" t="str">
        <f t="shared" si="130"/>
        <v>SICQAVGIILHYSTLATVLWVGVTARNIYKQVTK</v>
      </c>
      <c r="K323" s="4" t="str">
        <f t="shared" si="131"/>
        <v/>
      </c>
      <c r="L323" s="4" t="str">
        <f t="shared" si="132"/>
        <v>RPMLRFYLIGGGIPIIVCGITAAANIKNY</v>
      </c>
      <c r="M323" s="4" t="str">
        <f t="shared" si="133"/>
        <v>CWM</v>
      </c>
      <c r="N323" s="4" t="str">
        <f t="shared" si="134"/>
        <v>WEPSLGAFYGPASFITFVNCMYFLSIFIQLKRHP</v>
      </c>
      <c r="O323" s="4" t="str">
        <f t="shared" si="135"/>
        <v>TFHSQLLGASLTLLLYVALWMFGAL</v>
      </c>
      <c r="P323" s="4" t="str">
        <f t="shared" si="136"/>
        <v>PLDLVFSFVFGATSLSFSAFFVVHHCVN</v>
      </c>
      <c r="Q323" s="4" t="str">
        <f t="shared" si="137"/>
        <v>REDVRLAWIMTCCPGRS</v>
      </c>
      <c r="R323" s="5">
        <f>VLOOKUP($A323,'SegEnds_NonXtal_Prot#'!$A:$AL,3,FALSE)</f>
        <v>750</v>
      </c>
      <c r="S323" s="5" t="str">
        <f>VLOOKUP($A323,'SegEnds_NonXtal_Prot#'!$A:$AL,6,FALSE)</f>
        <v>-</v>
      </c>
      <c r="T323" s="5">
        <f>VLOOKUP($A323,'SegEnds_NonXtal_Prot#'!$A:$AL,9,FALSE)</f>
        <v>790</v>
      </c>
      <c r="U323" s="5" t="str">
        <f>VLOOKUP($A323,'SegEnds_NonXtal_Prot#'!$A:$AL,12,FALSE)</f>
        <v>-</v>
      </c>
      <c r="V323" s="5">
        <f>VLOOKUP($A323,'SegEnds_NonXtal_Prot#'!$A:$AL,15,FALSE)</f>
        <v>823</v>
      </c>
      <c r="W323" s="5" t="str">
        <f>VLOOKUP($A323,'SegEnds_NonXtal_Prot#'!$A:$AL,18,FALSE)</f>
        <v>-</v>
      </c>
      <c r="X323" s="5">
        <f>VLOOKUP($A323,'SegEnds_NonXtal_Prot#'!$A:$AL,21,FALSE)</f>
        <v>872</v>
      </c>
      <c r="Y323" s="5">
        <f>VLOOKUP($A323,'SegEnds_NonXtal_Prot#'!$A:$AL,24,FALSE)</f>
        <v>909</v>
      </c>
      <c r="Z323" s="5">
        <f>VLOOKUP($A323,'SegEnds_NonXtal_Prot#'!$A:$AL,27,FALSE)</f>
        <v>913</v>
      </c>
      <c r="AA323" s="5">
        <f>VLOOKUP($A323,'SegEnds_NonXtal_Prot#'!$A:$AL,30,FALSE)</f>
        <v>991</v>
      </c>
      <c r="AB323" s="5">
        <f>VLOOKUP($A323,'SegEnds_NonXtal_Prot#'!$A:$AL,33,FALSE)</f>
        <v>1022</v>
      </c>
      <c r="AC323" s="5">
        <f>VLOOKUP($A323,'SegEnds_NonXtal_Prot#'!$A:$AL,36,FALSE)</f>
        <v>1050</v>
      </c>
      <c r="AD323" s="5">
        <f>VLOOKUP($A323,'SegEnds_NonXtal_Prot#'!$A:$AL,5,FALSE)</f>
        <v>787</v>
      </c>
      <c r="AE323" s="5" t="str">
        <f>VLOOKUP($A323,'SegEnds_NonXtal_Prot#'!$A:$AL,8,FALSE)</f>
        <v>-</v>
      </c>
      <c r="AF323" s="5">
        <f>VLOOKUP($A323,'SegEnds_NonXtal_Prot#'!$A:$AL,11,FALSE)</f>
        <v>816</v>
      </c>
      <c r="AG323" s="5" t="str">
        <f>VLOOKUP($A323,'SegEnds_NonXtal_Prot#'!$A:$AL,14,FALSE)</f>
        <v>-</v>
      </c>
      <c r="AH323" s="5">
        <f>VLOOKUP($A323,'SegEnds_NonXtal_Prot#'!$A:$AL,17,FALSE)</f>
        <v>856</v>
      </c>
      <c r="AI323" s="5" t="str">
        <f>VLOOKUP($A323,'SegEnds_NonXtal_Prot#'!$A:$AL,20,FALSE)</f>
        <v>-</v>
      </c>
      <c r="AJ323" s="5">
        <f>VLOOKUP($A323,'SegEnds_NonXtal_Prot#'!$A:$AL,23,FALSE)</f>
        <v>900</v>
      </c>
      <c r="AK323" s="5">
        <f>VLOOKUP($A323,'SegEnds_NonXtal_Prot#'!$A:$AL,26,FALSE)</f>
        <v>911</v>
      </c>
      <c r="AL323" s="5">
        <f>VLOOKUP($A323,'SegEnds_NonXtal_Prot#'!$A:$AL,29,FALSE)</f>
        <v>946</v>
      </c>
      <c r="AM323" s="5">
        <f>VLOOKUP($A323,'SegEnds_NonXtal_Prot#'!$A:$AL,32,FALSE)</f>
        <v>1015</v>
      </c>
      <c r="AN323" s="5">
        <f>VLOOKUP($A323,'SegEnds_NonXtal_Prot#'!$A:$AL,35,FALSE)</f>
        <v>1049</v>
      </c>
      <c r="AO323" s="5">
        <f>VLOOKUP($A323,'SegEnds_NonXtal_Prot#'!$A:$AL,38,FALSE)</f>
        <v>1066</v>
      </c>
      <c r="AP323" s="5">
        <f t="shared" si="138"/>
        <v>37</v>
      </c>
      <c r="AQ323" s="4" t="str">
        <f t="shared" si="139"/>
        <v>-</v>
      </c>
      <c r="AR323" s="4">
        <f t="shared" si="140"/>
        <v>26</v>
      </c>
      <c r="AS323" s="4" t="str">
        <f t="shared" si="141"/>
        <v>-</v>
      </c>
      <c r="AT323" s="4">
        <f t="shared" si="142"/>
        <v>33</v>
      </c>
      <c r="AU323" s="4" t="str">
        <f t="shared" si="143"/>
        <v>-</v>
      </c>
      <c r="AV323" s="4">
        <f t="shared" si="144"/>
        <v>28</v>
      </c>
      <c r="AW323" s="4">
        <f t="shared" si="145"/>
        <v>2</v>
      </c>
      <c r="AX323" s="4">
        <f t="shared" si="146"/>
        <v>33</v>
      </c>
      <c r="AY323" s="4">
        <f t="shared" si="147"/>
        <v>24</v>
      </c>
      <c r="AZ323" s="4">
        <f t="shared" si="148"/>
        <v>27</v>
      </c>
      <c r="BA323" s="4">
        <f t="shared" si="149"/>
        <v>16</v>
      </c>
    </row>
    <row r="324" spans="1:53" x14ac:dyDescent="0.2">
      <c r="A324" s="1" t="str">
        <f>'SegEnds_NonXtal_Prot#'!A318</f>
        <v>agrb2_human</v>
      </c>
      <c r="B324" s="1" t="str">
        <f t="shared" si="125"/>
        <v>PPKDLTLELAGSPSVPLVIGCAVSCMALLTLLAIYAAFSERSIILLNFCLSILASNILILVGQSRGVCTMTAAFLHFFFLSSFCWVLTEAWQSYLAVIGLVRKRFLCLGWGLPALVVAVSVGFTRTKGEGGLLYAFVGPAAVIVLVNMLIGIIVFNKLMARDNAMASLWSSCVVLPLLALTWMSAVLSVLFQALFAVFNSAQGFVITAVHCFLRREVQDVVKCQMGVCRA</v>
      </c>
      <c r="C324" s="29" t="str">
        <f>IF(ISERROR(MATCH(A324,'SegEnds_Xtal_Prot#'!B:B, 0)), "NoXtal", "Xtal")</f>
        <v>NoXtal</v>
      </c>
      <c r="D324" s="4" t="str">
        <f>VLOOKUP(A324,Classification!A:D,2,FALSE)</f>
        <v>B2</v>
      </c>
      <c r="E324" s="5" t="str">
        <f>VLOOKUP(A324,Seqs!A:B,2,FALSE)</f>
        <v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v>
      </c>
      <c r="F324" s="5" t="str">
        <f t="shared" si="126"/>
        <v>PPKDLTLELAGSPSVPLVIGCAVSCMALLTLLAIYAAF</v>
      </c>
      <c r="G324" s="4" t="str">
        <f t="shared" si="127"/>
        <v/>
      </c>
      <c r="H324" s="4" t="str">
        <f t="shared" si="128"/>
        <v>SERSIILLNFCLSILASNILILVGQSR</v>
      </c>
      <c r="I324" s="4" t="str">
        <f t="shared" si="129"/>
        <v/>
      </c>
      <c r="J324" s="4" t="str">
        <f t="shared" si="130"/>
        <v>GVCTMTAAFLHFFFLSSFCWVLTEAWQSYLAVIG</v>
      </c>
      <c r="K324" s="4" t="str">
        <f t="shared" si="131"/>
        <v/>
      </c>
      <c r="L324" s="4" t="str">
        <f t="shared" si="132"/>
        <v>LVRKRFLCLGWGLPALVVAVSVGFTRTKG</v>
      </c>
      <c r="M324" s="4" t="str">
        <f t="shared" si="133"/>
        <v>CWL</v>
      </c>
      <c r="N324" s="4" t="str">
        <f t="shared" si="134"/>
        <v>EGGLLYAFVGPAAVIVLVNMLIGIIVFNKLMARD</v>
      </c>
      <c r="O324" s="4" t="str">
        <f t="shared" si="135"/>
        <v>NAMASLWSSCVVLPLLALTWMSAVL</v>
      </c>
      <c r="P324" s="4" t="str">
        <f t="shared" si="136"/>
        <v>SVLFQALFAVFNSAQGFVITAVHCFL</v>
      </c>
      <c r="Q324" s="4" t="str">
        <f t="shared" si="137"/>
        <v>RREVQDVVKCQMGVCRA</v>
      </c>
      <c r="R324" s="5">
        <f>VLOOKUP($A324,'SegEnds_NonXtal_Prot#'!$A:$AL,3,FALSE)</f>
        <v>920</v>
      </c>
      <c r="S324" s="5" t="str">
        <f>VLOOKUP($A324,'SegEnds_NonXtal_Prot#'!$A:$AL,6,FALSE)</f>
        <v>-</v>
      </c>
      <c r="T324" s="5">
        <f>VLOOKUP($A324,'SegEnds_NonXtal_Prot#'!$A:$AL,9,FALSE)</f>
        <v>963</v>
      </c>
      <c r="U324" s="5" t="str">
        <f>VLOOKUP($A324,'SegEnds_NonXtal_Prot#'!$A:$AL,12,FALSE)</f>
        <v>-</v>
      </c>
      <c r="V324" s="5">
        <f>VLOOKUP($A324,'SegEnds_NonXtal_Prot#'!$A:$AL,15,FALSE)</f>
        <v>994</v>
      </c>
      <c r="W324" s="5" t="str">
        <f>VLOOKUP($A324,'SegEnds_NonXtal_Prot#'!$A:$AL,18,FALSE)</f>
        <v>-</v>
      </c>
      <c r="X324" s="5">
        <f>VLOOKUP($A324,'SegEnds_NonXtal_Prot#'!$A:$AL,21,FALSE)</f>
        <v>1033</v>
      </c>
      <c r="Y324" s="5">
        <f>VLOOKUP($A324,'SegEnds_NonXtal_Prot#'!$A:$AL,24,FALSE)</f>
        <v>1068</v>
      </c>
      <c r="Z324" s="5">
        <f>VLOOKUP($A324,'SegEnds_NonXtal_Prot#'!$A:$AL,27,FALSE)</f>
        <v>1073</v>
      </c>
      <c r="AA324" s="5">
        <f>VLOOKUP($A324,'SegEnds_NonXtal_Prot#'!$A:$AL,30,FALSE)</f>
        <v>1149</v>
      </c>
      <c r="AB324" s="5">
        <f>VLOOKUP($A324,'SegEnds_NonXtal_Prot#'!$A:$AL,33,FALSE)</f>
        <v>1180</v>
      </c>
      <c r="AC324" s="5">
        <f>VLOOKUP($A324,'SegEnds_NonXtal_Prot#'!$A:$AL,36,FALSE)</f>
        <v>1206</v>
      </c>
      <c r="AD324" s="5">
        <f>VLOOKUP($A324,'SegEnds_NonXtal_Prot#'!$A:$AL,5,FALSE)</f>
        <v>957</v>
      </c>
      <c r="AE324" s="5" t="str">
        <f>VLOOKUP($A324,'SegEnds_NonXtal_Prot#'!$A:$AL,8,FALSE)</f>
        <v>-</v>
      </c>
      <c r="AF324" s="5">
        <f>VLOOKUP($A324,'SegEnds_NonXtal_Prot#'!$A:$AL,11,FALSE)</f>
        <v>989</v>
      </c>
      <c r="AG324" s="5" t="str">
        <f>VLOOKUP($A324,'SegEnds_NonXtal_Prot#'!$A:$AL,14,FALSE)</f>
        <v>-</v>
      </c>
      <c r="AH324" s="5">
        <f>VLOOKUP($A324,'SegEnds_NonXtal_Prot#'!$A:$AL,17,FALSE)</f>
        <v>1027</v>
      </c>
      <c r="AI324" s="5" t="str">
        <f>VLOOKUP($A324,'SegEnds_NonXtal_Prot#'!$A:$AL,20,FALSE)</f>
        <v>-</v>
      </c>
      <c r="AJ324" s="5">
        <f>VLOOKUP($A324,'SegEnds_NonXtal_Prot#'!$A:$AL,23,FALSE)</f>
        <v>1061</v>
      </c>
      <c r="AK324" s="5">
        <f>VLOOKUP($A324,'SegEnds_NonXtal_Prot#'!$A:$AL,26,FALSE)</f>
        <v>1070</v>
      </c>
      <c r="AL324" s="5">
        <f>VLOOKUP($A324,'SegEnds_NonXtal_Prot#'!$A:$AL,29,FALSE)</f>
        <v>1106</v>
      </c>
      <c r="AM324" s="5">
        <f>VLOOKUP($A324,'SegEnds_NonXtal_Prot#'!$A:$AL,32,FALSE)</f>
        <v>1173</v>
      </c>
      <c r="AN324" s="5">
        <f>VLOOKUP($A324,'SegEnds_NonXtal_Prot#'!$A:$AL,35,FALSE)</f>
        <v>1205</v>
      </c>
      <c r="AO324" s="5">
        <f>VLOOKUP($A324,'SegEnds_NonXtal_Prot#'!$A:$AL,38,FALSE)</f>
        <v>1222</v>
      </c>
      <c r="AP324" s="5">
        <f t="shared" si="138"/>
        <v>37</v>
      </c>
      <c r="AQ324" s="4" t="str">
        <f t="shared" si="139"/>
        <v>-</v>
      </c>
      <c r="AR324" s="4">
        <f t="shared" si="140"/>
        <v>26</v>
      </c>
      <c r="AS324" s="4" t="str">
        <f t="shared" si="141"/>
        <v>-</v>
      </c>
      <c r="AT324" s="4">
        <f t="shared" si="142"/>
        <v>33</v>
      </c>
      <c r="AU324" s="4" t="str">
        <f t="shared" si="143"/>
        <v>-</v>
      </c>
      <c r="AV324" s="4">
        <f t="shared" si="144"/>
        <v>28</v>
      </c>
      <c r="AW324" s="4">
        <f t="shared" si="145"/>
        <v>2</v>
      </c>
      <c r="AX324" s="4">
        <f t="shared" si="146"/>
        <v>33</v>
      </c>
      <c r="AY324" s="4">
        <f t="shared" si="147"/>
        <v>24</v>
      </c>
      <c r="AZ324" s="4">
        <f t="shared" si="148"/>
        <v>25</v>
      </c>
      <c r="BA324" s="4">
        <f t="shared" si="149"/>
        <v>16</v>
      </c>
    </row>
    <row r="325" spans="1:53" x14ac:dyDescent="0.2">
      <c r="A325" s="1" t="str">
        <f>'SegEnds_NonXtal_Prot#'!A319</f>
        <v>agrb3_human</v>
      </c>
      <c r="B325" s="1" t="str">
        <f t="shared" si="125"/>
        <v>QPREIIMESSGTPSVTLIVGSGLSCLALITLAVVYAALSERSIILINFCLSIISSNILILVGQTQSICTTTTAFLHFFFLASFCWVLTEAWQSYMAVTGLIRKRFLCLGWGLPALVVATSVGFTRTKGEGGLLYAFVGPAAAVVLVNMVIGILVFNKLVSRDNAMASLWSSCVVLPLLALTWMSAVLSILFQILFAVFDSLQGFVIVMVHCILRREVQDAFRCRLRNCQD</v>
      </c>
      <c r="C325" s="29" t="str">
        <f>IF(ISERROR(MATCH(A325,'SegEnds_Xtal_Prot#'!B:B, 0)), "NoXtal", "Xtal")</f>
        <v>NoXtal</v>
      </c>
      <c r="D325" s="4" t="str">
        <f>VLOOKUP(A325,Classification!A:D,2,FALSE)</f>
        <v>B2</v>
      </c>
      <c r="E325" s="5" t="str">
        <f>VLOOKUP(A325,Seqs!A:B,2,FALSE)</f>
        <v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v>
      </c>
      <c r="F325" s="5" t="str">
        <f t="shared" si="126"/>
        <v>QPREIIMESSGTPSVTLIVGSGLSCLALITLAVVYAAL</v>
      </c>
      <c r="G325" s="4" t="str">
        <f t="shared" si="127"/>
        <v/>
      </c>
      <c r="H325" s="4" t="str">
        <f t="shared" si="128"/>
        <v>SERSIILINFCLSIISSNILILVGQTQ</v>
      </c>
      <c r="I325" s="4" t="str">
        <f t="shared" si="129"/>
        <v/>
      </c>
      <c r="J325" s="4" t="str">
        <f t="shared" si="130"/>
        <v>SICTTTTAFLHFFFLASFCWVLTEAWQSYMAVTG</v>
      </c>
      <c r="K325" s="4" t="str">
        <f t="shared" si="131"/>
        <v/>
      </c>
      <c r="L325" s="4" t="str">
        <f t="shared" si="132"/>
        <v>LIRKRFLCLGWGLPALVVATSVGFTRTKG</v>
      </c>
      <c r="M325" s="4" t="str">
        <f t="shared" si="133"/>
        <v>CWL</v>
      </c>
      <c r="N325" s="4" t="str">
        <f t="shared" si="134"/>
        <v>EGGLLYAFVGPAAAVVLVNMVIGILVFNKLVSRD</v>
      </c>
      <c r="O325" s="4" t="str">
        <f t="shared" si="135"/>
        <v>NAMASLWSSCVVLPLLALTWMSAVL</v>
      </c>
      <c r="P325" s="4" t="str">
        <f t="shared" si="136"/>
        <v>SILFQILFAVFDSLQGFVIVMVHCIL</v>
      </c>
      <c r="Q325" s="4" t="str">
        <f t="shared" si="137"/>
        <v>RREVQDAFRCRLRNCQD</v>
      </c>
      <c r="R325" s="5">
        <f>VLOOKUP($A325,'SegEnds_NonXtal_Prot#'!$A:$AL,3,FALSE)</f>
        <v>865</v>
      </c>
      <c r="S325" s="5" t="str">
        <f>VLOOKUP($A325,'SegEnds_NonXtal_Prot#'!$A:$AL,6,FALSE)</f>
        <v>-</v>
      </c>
      <c r="T325" s="5">
        <f>VLOOKUP($A325,'SegEnds_NonXtal_Prot#'!$A:$AL,9,FALSE)</f>
        <v>908</v>
      </c>
      <c r="U325" s="5" t="str">
        <f>VLOOKUP($A325,'SegEnds_NonXtal_Prot#'!$A:$AL,12,FALSE)</f>
        <v>-</v>
      </c>
      <c r="V325" s="5">
        <f>VLOOKUP($A325,'SegEnds_NonXtal_Prot#'!$A:$AL,15,FALSE)</f>
        <v>939</v>
      </c>
      <c r="W325" s="5" t="str">
        <f>VLOOKUP($A325,'SegEnds_NonXtal_Prot#'!$A:$AL,18,FALSE)</f>
        <v>-</v>
      </c>
      <c r="X325" s="5">
        <f>VLOOKUP($A325,'SegEnds_NonXtal_Prot#'!$A:$AL,21,FALSE)</f>
        <v>978</v>
      </c>
      <c r="Y325" s="5">
        <f>VLOOKUP($A325,'SegEnds_NonXtal_Prot#'!$A:$AL,24,FALSE)</f>
        <v>1013</v>
      </c>
      <c r="Z325" s="5">
        <f>VLOOKUP($A325,'SegEnds_NonXtal_Prot#'!$A:$AL,27,FALSE)</f>
        <v>1018</v>
      </c>
      <c r="AA325" s="5">
        <f>VLOOKUP($A325,'SegEnds_NonXtal_Prot#'!$A:$AL,30,FALSE)</f>
        <v>1094</v>
      </c>
      <c r="AB325" s="5">
        <f>VLOOKUP($A325,'SegEnds_NonXtal_Prot#'!$A:$AL,33,FALSE)</f>
        <v>1125</v>
      </c>
      <c r="AC325" s="5">
        <f>VLOOKUP($A325,'SegEnds_NonXtal_Prot#'!$A:$AL,36,FALSE)</f>
        <v>1151</v>
      </c>
      <c r="AD325" s="5">
        <f>VLOOKUP($A325,'SegEnds_NonXtal_Prot#'!$A:$AL,5,FALSE)</f>
        <v>902</v>
      </c>
      <c r="AE325" s="5" t="str">
        <f>VLOOKUP($A325,'SegEnds_NonXtal_Prot#'!$A:$AL,8,FALSE)</f>
        <v>-</v>
      </c>
      <c r="AF325" s="5">
        <f>VLOOKUP($A325,'SegEnds_NonXtal_Prot#'!$A:$AL,11,FALSE)</f>
        <v>934</v>
      </c>
      <c r="AG325" s="5" t="str">
        <f>VLOOKUP($A325,'SegEnds_NonXtal_Prot#'!$A:$AL,14,FALSE)</f>
        <v>-</v>
      </c>
      <c r="AH325" s="5">
        <f>VLOOKUP($A325,'SegEnds_NonXtal_Prot#'!$A:$AL,17,FALSE)</f>
        <v>972</v>
      </c>
      <c r="AI325" s="5" t="str">
        <f>VLOOKUP($A325,'SegEnds_NonXtal_Prot#'!$A:$AL,20,FALSE)</f>
        <v>-</v>
      </c>
      <c r="AJ325" s="5">
        <f>VLOOKUP($A325,'SegEnds_NonXtal_Prot#'!$A:$AL,23,FALSE)</f>
        <v>1006</v>
      </c>
      <c r="AK325" s="5">
        <f>VLOOKUP($A325,'SegEnds_NonXtal_Prot#'!$A:$AL,26,FALSE)</f>
        <v>1015</v>
      </c>
      <c r="AL325" s="5">
        <f>VLOOKUP($A325,'SegEnds_NonXtal_Prot#'!$A:$AL,29,FALSE)</f>
        <v>1051</v>
      </c>
      <c r="AM325" s="5">
        <f>VLOOKUP($A325,'SegEnds_NonXtal_Prot#'!$A:$AL,32,FALSE)</f>
        <v>1118</v>
      </c>
      <c r="AN325" s="5">
        <f>VLOOKUP($A325,'SegEnds_NonXtal_Prot#'!$A:$AL,35,FALSE)</f>
        <v>1150</v>
      </c>
      <c r="AO325" s="5">
        <f>VLOOKUP($A325,'SegEnds_NonXtal_Prot#'!$A:$AL,38,FALSE)</f>
        <v>1167</v>
      </c>
      <c r="AP325" s="5">
        <f t="shared" si="138"/>
        <v>37</v>
      </c>
      <c r="AQ325" s="4" t="str">
        <f t="shared" si="139"/>
        <v>-</v>
      </c>
      <c r="AR325" s="4">
        <f t="shared" si="140"/>
        <v>26</v>
      </c>
      <c r="AS325" s="4" t="str">
        <f t="shared" si="141"/>
        <v>-</v>
      </c>
      <c r="AT325" s="4">
        <f t="shared" si="142"/>
        <v>33</v>
      </c>
      <c r="AU325" s="4" t="str">
        <f t="shared" si="143"/>
        <v>-</v>
      </c>
      <c r="AV325" s="4">
        <f t="shared" si="144"/>
        <v>28</v>
      </c>
      <c r="AW325" s="4">
        <f t="shared" si="145"/>
        <v>2</v>
      </c>
      <c r="AX325" s="4">
        <f t="shared" si="146"/>
        <v>33</v>
      </c>
      <c r="AY325" s="4">
        <f t="shared" si="147"/>
        <v>24</v>
      </c>
      <c r="AZ325" s="4">
        <f t="shared" si="148"/>
        <v>25</v>
      </c>
      <c r="BA325" s="4">
        <f t="shared" si="149"/>
        <v>16</v>
      </c>
    </row>
    <row r="326" spans="1:53" x14ac:dyDescent="0.2">
      <c r="A326" s="1" t="str">
        <f>'SegEnds_NonXtal_Prot#'!A320</f>
        <v>agrd1_human</v>
      </c>
      <c r="B326" s="1" t="str">
        <f t="shared" si="125"/>
        <v>VPLELARGHQVALSSISYVGCSLSVLCLVATLVTFAVLTIRNQRYHIHANLSFAVLVAQVLLLISFRLTPCQVMAVLLHYFFLSAFAWMLVEGLHLYSMVIKSKHRYYYGMGWGFPLLICIISLSFAMDSYASGAIWAFVAPALFVIVVNIGILIAVTRVISQISAFKLTAKAVAVLLPILGTSWVFGVLAVVFQYMFATLNSLQGLFIFLFHCLLNSEVRAAFKHKTKVWSL</v>
      </c>
      <c r="C326" s="29" t="str">
        <f>IF(ISERROR(MATCH(A326,'SegEnds_Xtal_Prot#'!B:B, 0)), "NoXtal", "Xtal")</f>
        <v>NoXtal</v>
      </c>
      <c r="D326" s="4" t="str">
        <f>VLOOKUP(A326,Classification!A:D,2,FALSE)</f>
        <v>B2</v>
      </c>
      <c r="E326" s="5" t="str">
        <f>VLOOKUP(A326,Seqs!A:B,2,FALSE)</f>
        <v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</v>
      </c>
      <c r="F326" s="5" t="str">
        <f t="shared" si="126"/>
        <v>VPLELARGHQVALSSISYVGCSLSVLCLVATLVTFAVL</v>
      </c>
      <c r="G326" s="4" t="str">
        <f t="shared" si="127"/>
        <v>SSVS</v>
      </c>
      <c r="H326" s="4" t="str">
        <f t="shared" si="128"/>
        <v>TIRNQRYHIHANLSFAVLVAQVLLLISFRL</v>
      </c>
      <c r="I326" s="4" t="str">
        <f t="shared" si="129"/>
        <v/>
      </c>
      <c r="J326" s="4" t="str">
        <f t="shared" si="130"/>
        <v>TPCQVMAVLLHYFFLSAFAWMLVEGLHLYSMVIK</v>
      </c>
      <c r="K326" s="4" t="str">
        <f t="shared" si="131"/>
        <v/>
      </c>
      <c r="L326" s="4" t="str">
        <f t="shared" si="132"/>
        <v>SKHRYYYGMGWGFPLLICIISLSFAMDSY</v>
      </c>
      <c r="M326" s="4" t="str">
        <f t="shared" si="133"/>
        <v>CWL</v>
      </c>
      <c r="N326" s="4" t="str">
        <f t="shared" si="134"/>
        <v>ASGAIWAFVAPALFVIVVNIGILIAVTRVISQIS</v>
      </c>
      <c r="O326" s="4" t="str">
        <f t="shared" si="135"/>
        <v>AFKLTAKAVAVLLPILGTSWVFGVL</v>
      </c>
      <c r="P326" s="4" t="str">
        <f t="shared" si="136"/>
        <v>AVVFQYMFATLNSLQGLFIFLFHCLL</v>
      </c>
      <c r="Q326" s="4" t="str">
        <f t="shared" si="137"/>
        <v>NSEVRAAFKHKTKVWSL</v>
      </c>
      <c r="R326" s="5">
        <f>VLOOKUP($A326,'SegEnds_NonXtal_Prot#'!$A:$AL,3,FALSE)</f>
        <v>554</v>
      </c>
      <c r="S326" s="5">
        <f>VLOOKUP($A326,'SegEnds_NonXtal_Prot#'!$A:$AL,6,FALSE)</f>
        <v>592</v>
      </c>
      <c r="T326" s="5">
        <f>VLOOKUP($A326,'SegEnds_NonXtal_Prot#'!$A:$AL,9,FALSE)</f>
        <v>596</v>
      </c>
      <c r="U326" s="5" t="str">
        <f>VLOOKUP($A326,'SegEnds_NonXtal_Prot#'!$A:$AL,12,FALSE)</f>
        <v>-</v>
      </c>
      <c r="V326" s="5">
        <f>VLOOKUP($A326,'SegEnds_NonXtal_Prot#'!$A:$AL,15,FALSE)</f>
        <v>630</v>
      </c>
      <c r="W326" s="5" t="str">
        <f>VLOOKUP($A326,'SegEnds_NonXtal_Prot#'!$A:$AL,18,FALSE)</f>
        <v>-</v>
      </c>
      <c r="X326" s="5">
        <f>VLOOKUP($A326,'SegEnds_NonXtal_Prot#'!$A:$AL,21,FALSE)</f>
        <v>670</v>
      </c>
      <c r="Y326" s="5">
        <f>VLOOKUP($A326,'SegEnds_NonXtal_Prot#'!$A:$AL,24,FALSE)</f>
        <v>704</v>
      </c>
      <c r="Z326" s="5">
        <f>VLOOKUP($A326,'SegEnds_NonXtal_Prot#'!$A:$AL,27,FALSE)</f>
        <v>709</v>
      </c>
      <c r="AA326" s="5">
        <f>VLOOKUP($A326,'SegEnds_NonXtal_Prot#'!$A:$AL,30,FALSE)</f>
        <v>754</v>
      </c>
      <c r="AB326" s="5">
        <f>VLOOKUP($A326,'SegEnds_NonXtal_Prot#'!$A:$AL,33,FALSE)</f>
        <v>784</v>
      </c>
      <c r="AC326" s="5">
        <f>VLOOKUP($A326,'SegEnds_NonXtal_Prot#'!$A:$AL,36,FALSE)</f>
        <v>810</v>
      </c>
      <c r="AD326" s="5">
        <f>VLOOKUP($A326,'SegEnds_NonXtal_Prot#'!$A:$AL,5,FALSE)</f>
        <v>591</v>
      </c>
      <c r="AE326" s="5">
        <f>VLOOKUP($A326,'SegEnds_NonXtal_Prot#'!$A:$AL,8,FALSE)</f>
        <v>595</v>
      </c>
      <c r="AF326" s="5">
        <f>VLOOKUP($A326,'SegEnds_NonXtal_Prot#'!$A:$AL,11,FALSE)</f>
        <v>625</v>
      </c>
      <c r="AG326" s="5" t="str">
        <f>VLOOKUP($A326,'SegEnds_NonXtal_Prot#'!$A:$AL,14,FALSE)</f>
        <v>-</v>
      </c>
      <c r="AH326" s="5">
        <f>VLOOKUP($A326,'SegEnds_NonXtal_Prot#'!$A:$AL,17,FALSE)</f>
        <v>663</v>
      </c>
      <c r="AI326" s="5" t="str">
        <f>VLOOKUP($A326,'SegEnds_NonXtal_Prot#'!$A:$AL,20,FALSE)</f>
        <v>-</v>
      </c>
      <c r="AJ326" s="5">
        <f>VLOOKUP($A326,'SegEnds_NonXtal_Prot#'!$A:$AL,23,FALSE)</f>
        <v>698</v>
      </c>
      <c r="AK326" s="5">
        <f>VLOOKUP($A326,'SegEnds_NonXtal_Prot#'!$A:$AL,26,FALSE)</f>
        <v>706</v>
      </c>
      <c r="AL326" s="5">
        <f>VLOOKUP($A326,'SegEnds_NonXtal_Prot#'!$A:$AL,29,FALSE)</f>
        <v>742</v>
      </c>
      <c r="AM326" s="5">
        <f>VLOOKUP($A326,'SegEnds_NonXtal_Prot#'!$A:$AL,32,FALSE)</f>
        <v>778</v>
      </c>
      <c r="AN326" s="5">
        <f>VLOOKUP($A326,'SegEnds_NonXtal_Prot#'!$A:$AL,35,FALSE)</f>
        <v>809</v>
      </c>
      <c r="AO326" s="5">
        <f>VLOOKUP($A326,'SegEnds_NonXtal_Prot#'!$A:$AL,38,FALSE)</f>
        <v>826</v>
      </c>
      <c r="AP326" s="5">
        <f t="shared" si="138"/>
        <v>37</v>
      </c>
      <c r="AQ326" s="4">
        <f t="shared" si="139"/>
        <v>3</v>
      </c>
      <c r="AR326" s="4">
        <f t="shared" si="140"/>
        <v>29</v>
      </c>
      <c r="AS326" s="4" t="str">
        <f t="shared" si="141"/>
        <v>-</v>
      </c>
      <c r="AT326" s="4">
        <f t="shared" si="142"/>
        <v>33</v>
      </c>
      <c r="AU326" s="4" t="str">
        <f t="shared" si="143"/>
        <v>-</v>
      </c>
      <c r="AV326" s="4">
        <f t="shared" si="144"/>
        <v>28</v>
      </c>
      <c r="AW326" s="4">
        <f t="shared" si="145"/>
        <v>2</v>
      </c>
      <c r="AX326" s="4">
        <f t="shared" si="146"/>
        <v>33</v>
      </c>
      <c r="AY326" s="4">
        <f t="shared" si="147"/>
        <v>24</v>
      </c>
      <c r="AZ326" s="4">
        <f t="shared" si="148"/>
        <v>25</v>
      </c>
      <c r="BA326" s="4">
        <f t="shared" si="149"/>
        <v>16</v>
      </c>
    </row>
    <row r="327" spans="1:53" x14ac:dyDescent="0.2">
      <c r="A327" s="1" t="str">
        <f>'SegEnds_NonXtal_Prot#'!A322</f>
        <v>agre1_human</v>
      </c>
      <c r="B327" s="1" t="str">
        <f t="shared" si="125"/>
        <v>IMASGELTMDFSLYIISHVGIIISLVCLVLAIATFLLCNHNTYLHLHLCVCLLLAKTLFLAGIHKMGCAIIAGFLHYLFLACFFWMLVEAVILFLMVRNSRNIKMLHICAFGYGLPMLVVVISASVQPQGYETGFIWSFLGPVCTVIVINSLLLTWTLWILRQRLDTRLLTFKAFAQLFILGCSWVLGIFQAGVMAYLFTIINSLQGAFIFLIHCLLNGQVREEYKRWITGKTK</v>
      </c>
      <c r="C327" s="29" t="str">
        <f>IF(ISERROR(MATCH(A327,'SegEnds_Xtal_Prot#'!B:B, 0)), "NoXtal", "Xtal")</f>
        <v>NoXtal</v>
      </c>
      <c r="D327" s="4" t="str">
        <f>VLOOKUP(A327,Classification!A:D,2,FALSE)</f>
        <v>B2</v>
      </c>
      <c r="E327" s="5" t="str">
        <f>VLOOKUP(A327,Seqs!A:B,2,FALSE)</f>
        <v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v>
      </c>
      <c r="F327" s="5" t="str">
        <f t="shared" si="126"/>
        <v>IMASGELTMDFSLYIISHVGIIISLVCLVLAIATFLLC</v>
      </c>
      <c r="G327" s="4" t="str">
        <f t="shared" si="127"/>
        <v/>
      </c>
      <c r="H327" s="4" t="str">
        <f t="shared" si="128"/>
        <v>NHNTYLHLHLCVCLLLAKTLFLAGIHK</v>
      </c>
      <c r="I327" s="4" t="str">
        <f t="shared" si="129"/>
        <v/>
      </c>
      <c r="J327" s="4" t="str">
        <f t="shared" si="130"/>
        <v>MGCAIIAGFLHYLFLACFFWMLVEAVILFLMVRN</v>
      </c>
      <c r="K327" s="4" t="str">
        <f t="shared" si="131"/>
        <v/>
      </c>
      <c r="L327" s="4" t="str">
        <f t="shared" si="132"/>
        <v>SRNIKMLHICAFGYGLPMLVVVISASVQPQGY</v>
      </c>
      <c r="M327" s="4" t="str">
        <f t="shared" si="133"/>
        <v>CWL</v>
      </c>
      <c r="N327" s="4" t="str">
        <f t="shared" si="134"/>
        <v>ETGFIWSFLGPVCTVIVINSLLLTWTLWILRQRL</v>
      </c>
      <c r="O327" s="4" t="str">
        <f t="shared" si="135"/>
        <v>DTRLLTFKAFAQLFILGCSWVLGIFQ</v>
      </c>
      <c r="P327" s="4" t="str">
        <f t="shared" si="136"/>
        <v>AGVMAYLFTIINSLQGAFIFLIHCLL</v>
      </c>
      <c r="Q327" s="4" t="str">
        <f t="shared" si="137"/>
        <v>NGQVREEYKRWITGKTK</v>
      </c>
      <c r="R327" s="5">
        <f>VLOOKUP($A327,'SegEnds_NonXtal_Prot#'!$A:$AL,3,FALSE)</f>
        <v>590</v>
      </c>
      <c r="S327" s="5" t="str">
        <f>VLOOKUP($A327,'SegEnds_NonXtal_Prot#'!$A:$AL,6,FALSE)</f>
        <v>-</v>
      </c>
      <c r="T327" s="5">
        <f>VLOOKUP($A327,'SegEnds_NonXtal_Prot#'!$A:$AL,9,FALSE)</f>
        <v>632</v>
      </c>
      <c r="U327" s="5" t="str">
        <f>VLOOKUP($A327,'SegEnds_NonXtal_Prot#'!$A:$AL,12,FALSE)</f>
        <v>-</v>
      </c>
      <c r="V327" s="5">
        <f>VLOOKUP($A327,'SegEnds_NonXtal_Prot#'!$A:$AL,15,FALSE)</f>
        <v>663</v>
      </c>
      <c r="W327" s="5" t="str">
        <f>VLOOKUP($A327,'SegEnds_NonXtal_Prot#'!$A:$AL,18,FALSE)</f>
        <v>-</v>
      </c>
      <c r="X327" s="5">
        <f>VLOOKUP($A327,'SegEnds_NonXtal_Prot#'!$A:$AL,21,FALSE)</f>
        <v>705</v>
      </c>
      <c r="Y327" s="5">
        <f>VLOOKUP($A327,'SegEnds_NonXtal_Prot#'!$A:$AL,24,FALSE)</f>
        <v>742</v>
      </c>
      <c r="Z327" s="5">
        <f>VLOOKUP($A327,'SegEnds_NonXtal_Prot#'!$A:$AL,27,FALSE)</f>
        <v>747</v>
      </c>
      <c r="AA327" s="5">
        <f>VLOOKUP($A327,'SegEnds_NonXtal_Prot#'!$A:$AL,30,FALSE)</f>
        <v>792</v>
      </c>
      <c r="AB327" s="5">
        <f>VLOOKUP($A327,'SegEnds_NonXtal_Prot#'!$A:$AL,33,FALSE)</f>
        <v>822</v>
      </c>
      <c r="AC327" s="5">
        <f>VLOOKUP($A327,'SegEnds_NonXtal_Prot#'!$A:$AL,36,FALSE)</f>
        <v>848</v>
      </c>
      <c r="AD327" s="5">
        <f>VLOOKUP($A327,'SegEnds_NonXtal_Prot#'!$A:$AL,5,FALSE)</f>
        <v>627</v>
      </c>
      <c r="AE327" s="5" t="str">
        <f>VLOOKUP($A327,'SegEnds_NonXtal_Prot#'!$A:$AL,8,FALSE)</f>
        <v>-</v>
      </c>
      <c r="AF327" s="5">
        <f>VLOOKUP($A327,'SegEnds_NonXtal_Prot#'!$A:$AL,11,FALSE)</f>
        <v>658</v>
      </c>
      <c r="AG327" s="5" t="str">
        <f>VLOOKUP($A327,'SegEnds_NonXtal_Prot#'!$A:$AL,14,FALSE)</f>
        <v>-</v>
      </c>
      <c r="AH327" s="5">
        <f>VLOOKUP($A327,'SegEnds_NonXtal_Prot#'!$A:$AL,17,FALSE)</f>
        <v>696</v>
      </c>
      <c r="AI327" s="5" t="str">
        <f>VLOOKUP($A327,'SegEnds_NonXtal_Prot#'!$A:$AL,20,FALSE)</f>
        <v>-</v>
      </c>
      <c r="AJ327" s="5">
        <f>VLOOKUP($A327,'SegEnds_NonXtal_Prot#'!$A:$AL,23,FALSE)</f>
        <v>736</v>
      </c>
      <c r="AK327" s="5">
        <f>VLOOKUP($A327,'SegEnds_NonXtal_Prot#'!$A:$AL,26,FALSE)</f>
        <v>744</v>
      </c>
      <c r="AL327" s="5">
        <f>VLOOKUP($A327,'SegEnds_NonXtal_Prot#'!$A:$AL,29,FALSE)</f>
        <v>780</v>
      </c>
      <c r="AM327" s="5">
        <f>VLOOKUP($A327,'SegEnds_NonXtal_Prot#'!$A:$AL,32,FALSE)</f>
        <v>817</v>
      </c>
      <c r="AN327" s="5">
        <f>VLOOKUP($A327,'SegEnds_NonXtal_Prot#'!$A:$AL,35,FALSE)</f>
        <v>847</v>
      </c>
      <c r="AO327" s="5">
        <f>VLOOKUP($A327,'SegEnds_NonXtal_Prot#'!$A:$AL,38,FALSE)</f>
        <v>864</v>
      </c>
      <c r="AP327" s="5">
        <f t="shared" si="138"/>
        <v>37</v>
      </c>
      <c r="AQ327" s="4" t="str">
        <f t="shared" si="139"/>
        <v>-</v>
      </c>
      <c r="AR327" s="4">
        <f t="shared" si="140"/>
        <v>26</v>
      </c>
      <c r="AS327" s="4" t="str">
        <f t="shared" si="141"/>
        <v>-</v>
      </c>
      <c r="AT327" s="4">
        <f t="shared" si="142"/>
        <v>33</v>
      </c>
      <c r="AU327" s="4" t="str">
        <f t="shared" si="143"/>
        <v>-</v>
      </c>
      <c r="AV327" s="4">
        <f t="shared" si="144"/>
        <v>31</v>
      </c>
      <c r="AW327" s="4">
        <f t="shared" si="145"/>
        <v>2</v>
      </c>
      <c r="AX327" s="4">
        <f t="shared" si="146"/>
        <v>33</v>
      </c>
      <c r="AY327" s="4">
        <f t="shared" si="147"/>
        <v>25</v>
      </c>
      <c r="AZ327" s="4">
        <f t="shared" si="148"/>
        <v>25</v>
      </c>
      <c r="BA327" s="4">
        <f t="shared" si="149"/>
        <v>16</v>
      </c>
    </row>
    <row r="328" spans="1:53" x14ac:dyDescent="0.2">
      <c r="A328" s="1" t="str">
        <f>'SegEnds_NonXtal_Prot#'!A323</f>
        <v>agre2_human</v>
      </c>
      <c r="B328" s="1" t="str">
        <f t="shared" si="125"/>
        <v>MAHYDVQEEDPVLTVITYMGLSVSLLCLLLAALTFLLCNTSTSLHLQLSLCLFLAHLLFLVAIDQVLCSIIAGTLHYLYLATLTWMLLEALYLFLTARNNRFMKKLMFPVGYGVPAVTVAISAASRPHLYEKGFIWGFLGPVCAIFSVNLVLFLVTLWILKNRLNTRMLAFKATAQLFILGCTWCLGILARVMAYLFTIINSLQGVFIFLVYCLLSQQVREQYGKWSKGIRK</v>
      </c>
      <c r="C328" s="29" t="str">
        <f>IF(ISERROR(MATCH(A328,'SegEnds_Xtal_Prot#'!B:B, 0)), "NoXtal", "Xtal")</f>
        <v>NoXtal</v>
      </c>
      <c r="D328" s="4" t="str">
        <f>VLOOKUP(A328,Classification!A:D,2,FALSE)</f>
        <v>B2</v>
      </c>
      <c r="E328" s="5" t="str">
        <f>VLOOKUP(A328,Seqs!A:B,2,FALSE)</f>
        <v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v>
      </c>
      <c r="F328" s="5" t="str">
        <f t="shared" si="126"/>
        <v>MAHYDVQEEDPVLTVITYMGLSVSLLCLLLAALTFLLC</v>
      </c>
      <c r="G328" s="4" t="str">
        <f t="shared" si="127"/>
        <v>KAIQ</v>
      </c>
      <c r="H328" s="4" t="str">
        <f t="shared" si="128"/>
        <v>NTSTSLHLQLSLCLFLAHLLFLVAIDQ</v>
      </c>
      <c r="I328" s="4" t="str">
        <f t="shared" si="129"/>
        <v/>
      </c>
      <c r="J328" s="4" t="str">
        <f t="shared" si="130"/>
        <v>VLCSIIAGTLHYLYLATLTWMLLEALYLFLTARN</v>
      </c>
      <c r="K328" s="4" t="str">
        <f t="shared" si="131"/>
        <v/>
      </c>
      <c r="L328" s="4" t="str">
        <f t="shared" si="132"/>
        <v>NRFMKKLMFPVGYGVPAVTVAISAASRPHLY</v>
      </c>
      <c r="M328" s="4" t="str">
        <f t="shared" si="133"/>
        <v>CWL</v>
      </c>
      <c r="N328" s="4" t="str">
        <f t="shared" si="134"/>
        <v>EKGFIWGFLGPVCAIFSVNLVLFLVTLWILKNRL</v>
      </c>
      <c r="O328" s="4" t="str">
        <f t="shared" si="135"/>
        <v>NTRMLAFKATAQLFILGCTWCLGIL</v>
      </c>
      <c r="P328" s="4" t="str">
        <f t="shared" si="136"/>
        <v>ARVMAYLFTIINSLQGVFIFLVYCLL</v>
      </c>
      <c r="Q328" s="4" t="str">
        <f t="shared" si="137"/>
        <v>SQQVREQYGKWSKGIRK</v>
      </c>
      <c r="R328" s="5">
        <f>VLOOKUP($A328,'SegEnds_NonXtal_Prot#'!$A:$AL,3,FALSE)</f>
        <v>524</v>
      </c>
      <c r="S328" s="5">
        <f>VLOOKUP($A328,'SegEnds_NonXtal_Prot#'!$A:$AL,6,FALSE)</f>
        <v>562</v>
      </c>
      <c r="T328" s="5">
        <f>VLOOKUP($A328,'SegEnds_NonXtal_Prot#'!$A:$AL,9,FALSE)</f>
        <v>566</v>
      </c>
      <c r="U328" s="5" t="str">
        <f>VLOOKUP($A328,'SegEnds_NonXtal_Prot#'!$A:$AL,12,FALSE)</f>
        <v>-</v>
      </c>
      <c r="V328" s="5">
        <f>VLOOKUP($A328,'SegEnds_NonXtal_Prot#'!$A:$AL,15,FALSE)</f>
        <v>597</v>
      </c>
      <c r="W328" s="5" t="str">
        <f>VLOOKUP($A328,'SegEnds_NonXtal_Prot#'!$A:$AL,18,FALSE)</f>
        <v>-</v>
      </c>
      <c r="X328" s="5">
        <f>VLOOKUP($A328,'SegEnds_NonXtal_Prot#'!$A:$AL,21,FALSE)</f>
        <v>640</v>
      </c>
      <c r="Y328" s="5">
        <f>VLOOKUP($A328,'SegEnds_NonXtal_Prot#'!$A:$AL,24,FALSE)</f>
        <v>676</v>
      </c>
      <c r="Z328" s="5">
        <f>VLOOKUP($A328,'SegEnds_NonXtal_Prot#'!$A:$AL,27,FALSE)</f>
        <v>681</v>
      </c>
      <c r="AA328" s="5">
        <f>VLOOKUP($A328,'SegEnds_NonXtal_Prot#'!$A:$AL,30,FALSE)</f>
        <v>726</v>
      </c>
      <c r="AB328" s="5">
        <f>VLOOKUP($A328,'SegEnds_NonXtal_Prot#'!$A:$AL,33,FALSE)</f>
        <v>756</v>
      </c>
      <c r="AC328" s="5">
        <f>VLOOKUP($A328,'SegEnds_NonXtal_Prot#'!$A:$AL,36,FALSE)</f>
        <v>782</v>
      </c>
      <c r="AD328" s="5">
        <f>VLOOKUP($A328,'SegEnds_NonXtal_Prot#'!$A:$AL,5,FALSE)</f>
        <v>561</v>
      </c>
      <c r="AE328" s="5">
        <f>VLOOKUP($A328,'SegEnds_NonXtal_Prot#'!$A:$AL,8,FALSE)</f>
        <v>565</v>
      </c>
      <c r="AF328" s="5">
        <f>VLOOKUP($A328,'SegEnds_NonXtal_Prot#'!$A:$AL,11,FALSE)</f>
        <v>592</v>
      </c>
      <c r="AG328" s="5" t="str">
        <f>VLOOKUP($A328,'SegEnds_NonXtal_Prot#'!$A:$AL,14,FALSE)</f>
        <v>-</v>
      </c>
      <c r="AH328" s="5">
        <f>VLOOKUP($A328,'SegEnds_NonXtal_Prot#'!$A:$AL,17,FALSE)</f>
        <v>630</v>
      </c>
      <c r="AI328" s="5" t="str">
        <f>VLOOKUP($A328,'SegEnds_NonXtal_Prot#'!$A:$AL,20,FALSE)</f>
        <v>-</v>
      </c>
      <c r="AJ328" s="5">
        <f>VLOOKUP($A328,'SegEnds_NonXtal_Prot#'!$A:$AL,23,FALSE)</f>
        <v>670</v>
      </c>
      <c r="AK328" s="5">
        <f>VLOOKUP($A328,'SegEnds_NonXtal_Prot#'!$A:$AL,26,FALSE)</f>
        <v>678</v>
      </c>
      <c r="AL328" s="5">
        <f>VLOOKUP($A328,'SegEnds_NonXtal_Prot#'!$A:$AL,29,FALSE)</f>
        <v>714</v>
      </c>
      <c r="AM328" s="5">
        <f>VLOOKUP($A328,'SegEnds_NonXtal_Prot#'!$A:$AL,32,FALSE)</f>
        <v>750</v>
      </c>
      <c r="AN328" s="5">
        <f>VLOOKUP($A328,'SegEnds_NonXtal_Prot#'!$A:$AL,35,FALSE)</f>
        <v>781</v>
      </c>
      <c r="AO328" s="5">
        <f>VLOOKUP($A328,'SegEnds_NonXtal_Prot#'!$A:$AL,38,FALSE)</f>
        <v>798</v>
      </c>
      <c r="AP328" s="5">
        <f t="shared" si="138"/>
        <v>37</v>
      </c>
      <c r="AQ328" s="4">
        <f t="shared" si="139"/>
        <v>3</v>
      </c>
      <c r="AR328" s="4">
        <f t="shared" si="140"/>
        <v>26</v>
      </c>
      <c r="AS328" s="4" t="str">
        <f t="shared" si="141"/>
        <v>-</v>
      </c>
      <c r="AT328" s="4">
        <f t="shared" si="142"/>
        <v>33</v>
      </c>
      <c r="AU328" s="4" t="str">
        <f t="shared" si="143"/>
        <v>-</v>
      </c>
      <c r="AV328" s="4">
        <f t="shared" si="144"/>
        <v>30</v>
      </c>
      <c r="AW328" s="4">
        <f t="shared" si="145"/>
        <v>2</v>
      </c>
      <c r="AX328" s="4">
        <f t="shared" si="146"/>
        <v>33</v>
      </c>
      <c r="AY328" s="4">
        <f t="shared" si="147"/>
        <v>24</v>
      </c>
      <c r="AZ328" s="4">
        <f t="shared" si="148"/>
        <v>25</v>
      </c>
      <c r="BA328" s="4">
        <f t="shared" si="149"/>
        <v>16</v>
      </c>
    </row>
    <row r="329" spans="1:53" x14ac:dyDescent="0.2">
      <c r="A329" s="1" t="str">
        <f>'SegEnds_NonXtal_Prot#'!A324</f>
        <v>agre3_human</v>
      </c>
      <c r="B329" s="1" t="str">
        <f t="shared" si="125"/>
        <v>LMALTSQEEDPVLTVITYVGLSVSLLCLLLAALTFLLCNTSTSLHLQLSLCLFLAHLLFLVGIDRVLCSIIAGALHYLYLAAFTWMLLEGVHLFLTARNINRLMKWIMFPVGYGVPAVTVAISAASWPHLYDQGFMWSFLGPVCAIFSANLVLFILVFWILKRKLNTRMLAFKATAQLFILGCTWCLGLLQAQVMAYLFTIINSLQGFFIFLVYCLLSQQVQKQYQKWFREIVK</v>
      </c>
      <c r="C329" s="29" t="str">
        <f>IF(ISERROR(MATCH(A329,'SegEnds_Xtal_Prot#'!B:B, 0)), "NoXtal", "Xtal")</f>
        <v>NoXtal</v>
      </c>
      <c r="D329" s="4" t="str">
        <f>VLOOKUP(A329,Classification!A:D,2,FALSE)</f>
        <v>B2</v>
      </c>
      <c r="E329" s="5" t="str">
        <f>VLOOKUP(A329,Seqs!A:B,2,FALSE)</f>
        <v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v>
      </c>
      <c r="F329" s="5" t="str">
        <f t="shared" si="126"/>
        <v>LMALTSQEEDPVLTVITYVGLSVSLLCLLLAALTFLLC</v>
      </c>
      <c r="G329" s="4" t="str">
        <f t="shared" si="127"/>
        <v>KAIR</v>
      </c>
      <c r="H329" s="4" t="str">
        <f t="shared" si="128"/>
        <v>NTSTSLHLQLSLCLFLAHLLFLVGIDR</v>
      </c>
      <c r="I329" s="4" t="str">
        <f t="shared" si="129"/>
        <v/>
      </c>
      <c r="J329" s="4" t="str">
        <f t="shared" si="130"/>
        <v>VLCSIIAGALHYLYLAAFTWMLLEGVHLFLTARN</v>
      </c>
      <c r="K329" s="4" t="str">
        <f t="shared" si="131"/>
        <v/>
      </c>
      <c r="L329" s="4" t="str">
        <f t="shared" si="132"/>
        <v>INRLMKWIMFPVGYGVPAVTVAISAASWPHLY</v>
      </c>
      <c r="M329" s="4" t="str">
        <f t="shared" si="133"/>
        <v>CWL</v>
      </c>
      <c r="N329" s="4" t="str">
        <f t="shared" si="134"/>
        <v>DQGFMWSFLGPVCAIFSANLVLFILVFWILKRKL</v>
      </c>
      <c r="O329" s="4" t="str">
        <f t="shared" si="135"/>
        <v>NTRMLAFKATAQLFILGCTWCLGLLQ</v>
      </c>
      <c r="P329" s="4" t="str">
        <f t="shared" si="136"/>
        <v>AQVMAYLFTIINSLQGFFIFLVYCLL</v>
      </c>
      <c r="Q329" s="4" t="str">
        <f t="shared" si="137"/>
        <v>SQQVQKQYQKWFREIVK</v>
      </c>
      <c r="R329" s="5">
        <f>VLOOKUP($A329,'SegEnds_NonXtal_Prot#'!$A:$AL,3,FALSE)</f>
        <v>344</v>
      </c>
      <c r="S329" s="5">
        <f>VLOOKUP($A329,'SegEnds_NonXtal_Prot#'!$A:$AL,6,FALSE)</f>
        <v>382</v>
      </c>
      <c r="T329" s="5">
        <f>VLOOKUP($A329,'SegEnds_NonXtal_Prot#'!$A:$AL,9,FALSE)</f>
        <v>386</v>
      </c>
      <c r="U329" s="5" t="str">
        <f>VLOOKUP($A329,'SegEnds_NonXtal_Prot#'!$A:$AL,12,FALSE)</f>
        <v>-</v>
      </c>
      <c r="V329" s="5">
        <f>VLOOKUP($A329,'SegEnds_NonXtal_Prot#'!$A:$AL,15,FALSE)</f>
        <v>417</v>
      </c>
      <c r="W329" s="5" t="str">
        <f>VLOOKUP($A329,'SegEnds_NonXtal_Prot#'!$A:$AL,18,FALSE)</f>
        <v>-</v>
      </c>
      <c r="X329" s="5">
        <f>VLOOKUP($A329,'SegEnds_NonXtal_Prot#'!$A:$AL,21,FALSE)</f>
        <v>459</v>
      </c>
      <c r="Y329" s="5">
        <f>VLOOKUP($A329,'SegEnds_NonXtal_Prot#'!$A:$AL,24,FALSE)</f>
        <v>496</v>
      </c>
      <c r="Z329" s="5">
        <f>VLOOKUP($A329,'SegEnds_NonXtal_Prot#'!$A:$AL,27,FALSE)</f>
        <v>501</v>
      </c>
      <c r="AA329" s="5">
        <f>VLOOKUP($A329,'SegEnds_NonXtal_Prot#'!$A:$AL,30,FALSE)</f>
        <v>546</v>
      </c>
      <c r="AB329" s="5">
        <f>VLOOKUP($A329,'SegEnds_NonXtal_Prot#'!$A:$AL,33,FALSE)</f>
        <v>576</v>
      </c>
      <c r="AC329" s="5">
        <f>VLOOKUP($A329,'SegEnds_NonXtal_Prot#'!$A:$AL,36,FALSE)</f>
        <v>602</v>
      </c>
      <c r="AD329" s="5">
        <f>VLOOKUP($A329,'SegEnds_NonXtal_Prot#'!$A:$AL,5,FALSE)</f>
        <v>381</v>
      </c>
      <c r="AE329" s="5">
        <f>VLOOKUP($A329,'SegEnds_NonXtal_Prot#'!$A:$AL,8,FALSE)</f>
        <v>385</v>
      </c>
      <c r="AF329" s="5">
        <f>VLOOKUP($A329,'SegEnds_NonXtal_Prot#'!$A:$AL,11,FALSE)</f>
        <v>412</v>
      </c>
      <c r="AG329" s="5" t="str">
        <f>VLOOKUP($A329,'SegEnds_NonXtal_Prot#'!$A:$AL,14,FALSE)</f>
        <v>-</v>
      </c>
      <c r="AH329" s="5">
        <f>VLOOKUP($A329,'SegEnds_NonXtal_Prot#'!$A:$AL,17,FALSE)</f>
        <v>450</v>
      </c>
      <c r="AI329" s="5" t="str">
        <f>VLOOKUP($A329,'SegEnds_NonXtal_Prot#'!$A:$AL,20,FALSE)</f>
        <v>-</v>
      </c>
      <c r="AJ329" s="5">
        <f>VLOOKUP($A329,'SegEnds_NonXtal_Prot#'!$A:$AL,23,FALSE)</f>
        <v>490</v>
      </c>
      <c r="AK329" s="5">
        <f>VLOOKUP($A329,'SegEnds_NonXtal_Prot#'!$A:$AL,26,FALSE)</f>
        <v>498</v>
      </c>
      <c r="AL329" s="5">
        <f>VLOOKUP($A329,'SegEnds_NonXtal_Prot#'!$A:$AL,29,FALSE)</f>
        <v>534</v>
      </c>
      <c r="AM329" s="5">
        <f>VLOOKUP($A329,'SegEnds_NonXtal_Prot#'!$A:$AL,32,FALSE)</f>
        <v>571</v>
      </c>
      <c r="AN329" s="5">
        <f>VLOOKUP($A329,'SegEnds_NonXtal_Prot#'!$A:$AL,35,FALSE)</f>
        <v>601</v>
      </c>
      <c r="AO329" s="5">
        <f>VLOOKUP($A329,'SegEnds_NonXtal_Prot#'!$A:$AL,38,FALSE)</f>
        <v>618</v>
      </c>
      <c r="AP329" s="5">
        <f t="shared" si="138"/>
        <v>37</v>
      </c>
      <c r="AQ329" s="4">
        <f t="shared" si="139"/>
        <v>3</v>
      </c>
      <c r="AR329" s="4">
        <f t="shared" si="140"/>
        <v>26</v>
      </c>
      <c r="AS329" s="4" t="str">
        <f t="shared" si="141"/>
        <v>-</v>
      </c>
      <c r="AT329" s="4">
        <f t="shared" si="142"/>
        <v>33</v>
      </c>
      <c r="AU329" s="4" t="str">
        <f t="shared" si="143"/>
        <v>-</v>
      </c>
      <c r="AV329" s="4">
        <f t="shared" si="144"/>
        <v>31</v>
      </c>
      <c r="AW329" s="4">
        <f t="shared" si="145"/>
        <v>2</v>
      </c>
      <c r="AX329" s="4">
        <f t="shared" si="146"/>
        <v>33</v>
      </c>
      <c r="AY329" s="4">
        <f t="shared" si="147"/>
        <v>25</v>
      </c>
      <c r="AZ329" s="4">
        <f t="shared" si="148"/>
        <v>25</v>
      </c>
      <c r="BA329" s="4">
        <f t="shared" si="149"/>
        <v>16</v>
      </c>
    </row>
    <row r="330" spans="1:53" x14ac:dyDescent="0.2">
      <c r="A330" s="1" t="str">
        <f>'SegEnds_NonXtal_Prot#'!A325</f>
        <v>agre4_human</v>
      </c>
      <c r="B330" s="1" t="str">
        <f t="shared" si="125"/>
        <v>VLVALAPKEDPVLTVITQVGLTISLLCLFLAILTFLLCNTSTSLHLELSLCLFLAHLLFLTGINRVLCSIIAGLLHFLYLACFTWMLLEGLHLFLTVRNGRFKKRFMYPVGYGIPAVIIAVSAIVGPQNYDKGFIWSFMGPVAVIILINLVFYFQVLWILRSKLDTRVMTFKAISQLFILGCSWGLGFFKTIGSIIAYSFTIINTLQGVLLFVVHCLLNRQVRLIILSVISLVPK</v>
      </c>
      <c r="C330" s="29" t="str">
        <f>IF(ISERROR(MATCH(A330,'SegEnds_Xtal_Prot#'!B:B, 0)), "NoXtal", "Xtal")</f>
        <v>NoXtal</v>
      </c>
      <c r="D330" s="4" t="str">
        <f>VLOOKUP(A330,Classification!A:D,2,FALSE)</f>
        <v>B2</v>
      </c>
      <c r="E330" s="5" t="str">
        <f>VLOOKUP(A330,Seqs!A:B,2,FALSE)</f>
        <v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v>
      </c>
      <c r="F330" s="5" t="str">
        <f t="shared" si="126"/>
        <v>VLVALAPKEDPVLTVITQVGLTISLLCLFLAILTFLLC</v>
      </c>
      <c r="G330" s="4" t="str">
        <f t="shared" si="127"/>
        <v>RPIQ</v>
      </c>
      <c r="H330" s="4" t="str">
        <f t="shared" si="128"/>
        <v>NTSTSLHLELSLCLFLAHLLFLTGINR</v>
      </c>
      <c r="I330" s="4" t="str">
        <f t="shared" si="129"/>
        <v/>
      </c>
      <c r="J330" s="4" t="str">
        <f t="shared" si="130"/>
        <v>VLCSIIAGLLHFLYLACFTWMLLEGLHLFLTVRN</v>
      </c>
      <c r="K330" s="4" t="str">
        <f t="shared" si="131"/>
        <v/>
      </c>
      <c r="L330" s="4" t="str">
        <f t="shared" si="132"/>
        <v>GRFKKRFMYPVGYGIPAVIIAVSAIVGPQNY</v>
      </c>
      <c r="M330" s="4" t="str">
        <f t="shared" si="133"/>
        <v>CWL</v>
      </c>
      <c r="N330" s="4" t="str">
        <f t="shared" si="134"/>
        <v>DKGFIWSFMGPVAVIILINLVFYFQVLWILRSKL</v>
      </c>
      <c r="O330" s="4" t="str">
        <f t="shared" si="135"/>
        <v>DTRVMTFKAISQLFILGCSWGLGFF</v>
      </c>
      <c r="P330" s="4" t="str">
        <f t="shared" si="136"/>
        <v>KTIGSIIAYSFTIINTLQGVLLFVVHCLL</v>
      </c>
      <c r="Q330" s="4" t="str">
        <f t="shared" si="137"/>
        <v>NRQVRLIILSVISLVPK</v>
      </c>
      <c r="R330" s="5">
        <f>VLOOKUP($A330,'SegEnds_NonXtal_Prot#'!$A:$AL,3,FALSE)</f>
        <v>178</v>
      </c>
      <c r="S330" s="5">
        <f>VLOOKUP($A330,'SegEnds_NonXtal_Prot#'!$A:$AL,6,FALSE)</f>
        <v>216</v>
      </c>
      <c r="T330" s="5">
        <f>VLOOKUP($A330,'SegEnds_NonXtal_Prot#'!$A:$AL,9,FALSE)</f>
        <v>220</v>
      </c>
      <c r="U330" s="5" t="str">
        <f>VLOOKUP($A330,'SegEnds_NonXtal_Prot#'!$A:$AL,12,FALSE)</f>
        <v>-</v>
      </c>
      <c r="V330" s="5">
        <f>VLOOKUP($A330,'SegEnds_NonXtal_Prot#'!$A:$AL,15,FALSE)</f>
        <v>251</v>
      </c>
      <c r="W330" s="5" t="str">
        <f>VLOOKUP($A330,'SegEnds_NonXtal_Prot#'!$A:$AL,18,FALSE)</f>
        <v>-</v>
      </c>
      <c r="X330" s="5">
        <f>VLOOKUP($A330,'SegEnds_NonXtal_Prot#'!$A:$AL,21,FALSE)</f>
        <v>294</v>
      </c>
      <c r="Y330" s="5">
        <f>VLOOKUP($A330,'SegEnds_NonXtal_Prot#'!$A:$AL,24,FALSE)</f>
        <v>329</v>
      </c>
      <c r="Z330" s="5">
        <f>VLOOKUP($A330,'SegEnds_NonXtal_Prot#'!$A:$AL,27,FALSE)</f>
        <v>334</v>
      </c>
      <c r="AA330" s="5">
        <f>VLOOKUP($A330,'SegEnds_NonXtal_Prot#'!$A:$AL,30,FALSE)</f>
        <v>379</v>
      </c>
      <c r="AB330" s="5">
        <f>VLOOKUP($A330,'SegEnds_NonXtal_Prot#'!$A:$AL,33,FALSE)</f>
        <v>410</v>
      </c>
      <c r="AC330" s="5">
        <f>VLOOKUP($A330,'SegEnds_NonXtal_Prot#'!$A:$AL,36,FALSE)</f>
        <v>439</v>
      </c>
      <c r="AD330" s="5">
        <f>VLOOKUP($A330,'SegEnds_NonXtal_Prot#'!$A:$AL,5,FALSE)</f>
        <v>215</v>
      </c>
      <c r="AE330" s="5">
        <f>VLOOKUP($A330,'SegEnds_NonXtal_Prot#'!$A:$AL,8,FALSE)</f>
        <v>219</v>
      </c>
      <c r="AF330" s="5">
        <f>VLOOKUP($A330,'SegEnds_NonXtal_Prot#'!$A:$AL,11,FALSE)</f>
        <v>246</v>
      </c>
      <c r="AG330" s="5" t="str">
        <f>VLOOKUP($A330,'SegEnds_NonXtal_Prot#'!$A:$AL,14,FALSE)</f>
        <v>-</v>
      </c>
      <c r="AH330" s="5">
        <f>VLOOKUP($A330,'SegEnds_NonXtal_Prot#'!$A:$AL,17,FALSE)</f>
        <v>284</v>
      </c>
      <c r="AI330" s="5" t="str">
        <f>VLOOKUP($A330,'SegEnds_NonXtal_Prot#'!$A:$AL,20,FALSE)</f>
        <v>-</v>
      </c>
      <c r="AJ330" s="5">
        <f>VLOOKUP($A330,'SegEnds_NonXtal_Prot#'!$A:$AL,23,FALSE)</f>
        <v>324</v>
      </c>
      <c r="AK330" s="5">
        <f>VLOOKUP($A330,'SegEnds_NonXtal_Prot#'!$A:$AL,26,FALSE)</f>
        <v>331</v>
      </c>
      <c r="AL330" s="5">
        <f>VLOOKUP($A330,'SegEnds_NonXtal_Prot#'!$A:$AL,29,FALSE)</f>
        <v>367</v>
      </c>
      <c r="AM330" s="5">
        <f>VLOOKUP($A330,'SegEnds_NonXtal_Prot#'!$A:$AL,32,FALSE)</f>
        <v>403</v>
      </c>
      <c r="AN330" s="5">
        <f>VLOOKUP($A330,'SegEnds_NonXtal_Prot#'!$A:$AL,35,FALSE)</f>
        <v>438</v>
      </c>
      <c r="AO330" s="5">
        <f>VLOOKUP($A330,'SegEnds_NonXtal_Prot#'!$A:$AL,38,FALSE)</f>
        <v>455</v>
      </c>
      <c r="AP330" s="5">
        <f t="shared" si="138"/>
        <v>37</v>
      </c>
      <c r="AQ330" s="4">
        <f t="shared" si="139"/>
        <v>3</v>
      </c>
      <c r="AR330" s="4">
        <f t="shared" si="140"/>
        <v>26</v>
      </c>
      <c r="AS330" s="4" t="str">
        <f t="shared" si="141"/>
        <v>-</v>
      </c>
      <c r="AT330" s="4">
        <f t="shared" si="142"/>
        <v>33</v>
      </c>
      <c r="AU330" s="4" t="str">
        <f t="shared" si="143"/>
        <v>-</v>
      </c>
      <c r="AV330" s="4">
        <f t="shared" si="144"/>
        <v>30</v>
      </c>
      <c r="AW330" s="4">
        <f t="shared" si="145"/>
        <v>2</v>
      </c>
      <c r="AX330" s="4">
        <f t="shared" si="146"/>
        <v>33</v>
      </c>
      <c r="AY330" s="4">
        <f t="shared" si="147"/>
        <v>24</v>
      </c>
      <c r="AZ330" s="4">
        <f t="shared" si="148"/>
        <v>28</v>
      </c>
      <c r="BA330" s="4">
        <f t="shared" si="149"/>
        <v>16</v>
      </c>
    </row>
    <row r="331" spans="1:53" x14ac:dyDescent="0.2">
      <c r="A331" s="1" t="str">
        <f>'SegEnds_NonXtal_Prot#'!A326</f>
        <v>agrf1_human</v>
      </c>
      <c r="B331" s="1" t="str">
        <f t="shared" si="125"/>
        <v>MSPFVPSTIFPVVKWITYVGLGISIGSLILCLIIEALFQTSHTRRICMVNIALSLLIADVWFIVGGVCTAAVFFTHFFYLSLFFWMLMLGILLAYRIILAQHLMMAVGFCLGYGCPLIISVITIAVTQPSNGSKPLLAFVVPALAIVAVNFVVVLLVLTKLWRPTTIIRVGKSLLILTPLLGLTWGFGIGTNLAWHVIFALLNAFQGFFILCFGILLDSKLRQLLFNKLSALSS</v>
      </c>
      <c r="C331" s="29" t="str">
        <f>IF(ISERROR(MATCH(A331,'SegEnds_Xtal_Prot#'!B:B, 0)), "NoXtal", "Xtal")</f>
        <v>NoXtal</v>
      </c>
      <c r="D331" s="4" t="str">
        <f>VLOOKUP(A331,Classification!A:D,2,FALSE)</f>
        <v>B2</v>
      </c>
      <c r="E331" s="5" t="str">
        <f>VLOOKUP(A331,Seqs!A:B,2,FALSE)</f>
        <v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v>
      </c>
      <c r="F331" s="5" t="str">
        <f t="shared" si="126"/>
        <v>MSPFVPSTIFPVVKWITYVGLGISIGSLILCLIIEALF</v>
      </c>
      <c r="G331" s="4" t="str">
        <f t="shared" si="127"/>
        <v/>
      </c>
      <c r="H331" s="4" t="str">
        <f t="shared" si="128"/>
        <v>QTSHTRRICMVNIALSLLIADVWFIVG</v>
      </c>
      <c r="I331" s="4" t="str">
        <f t="shared" si="129"/>
        <v/>
      </c>
      <c r="J331" s="4" t="str">
        <f t="shared" si="130"/>
        <v>GVCTAAVFFTHFFYLSLFFWMLMLGILLAYRIIL</v>
      </c>
      <c r="K331" s="4" t="str">
        <f t="shared" si="131"/>
        <v/>
      </c>
      <c r="L331" s="4" t="str">
        <f t="shared" si="132"/>
        <v>AQHLMMAVGFCLGYGCPLIISVITIAVTQPSN</v>
      </c>
      <c r="M331" s="4" t="str">
        <f t="shared" si="133"/>
        <v>CWL</v>
      </c>
      <c r="N331" s="4" t="str">
        <f t="shared" si="134"/>
        <v>GSKPLLAFVVPALAIVAVNFVVVLLVLTKLWRPT</v>
      </c>
      <c r="O331" s="4" t="str">
        <f t="shared" si="135"/>
        <v>TIIRVGKSLLILTPLLGLTWGFGIGT</v>
      </c>
      <c r="P331" s="4" t="str">
        <f t="shared" si="136"/>
        <v>NLAWHVIFALLNAFQGFFILCFGILL</v>
      </c>
      <c r="Q331" s="4" t="str">
        <f t="shared" si="137"/>
        <v>DSKLRQLLFNKLSALSS</v>
      </c>
      <c r="R331" s="5">
        <f>VLOOKUP($A331,'SegEnds_NonXtal_Prot#'!$A:$AL,3,FALSE)</f>
        <v>573</v>
      </c>
      <c r="S331" s="5" t="str">
        <f>VLOOKUP($A331,'SegEnds_NonXtal_Prot#'!$A:$AL,6,FALSE)</f>
        <v>-</v>
      </c>
      <c r="T331" s="5">
        <f>VLOOKUP($A331,'SegEnds_NonXtal_Prot#'!$A:$AL,9,FALSE)</f>
        <v>618</v>
      </c>
      <c r="U331" s="5" t="str">
        <f>VLOOKUP($A331,'SegEnds_NonXtal_Prot#'!$A:$AL,12,FALSE)</f>
        <v>-</v>
      </c>
      <c r="V331" s="5">
        <f>VLOOKUP($A331,'SegEnds_NonXtal_Prot#'!$A:$AL,15,FALSE)</f>
        <v>655</v>
      </c>
      <c r="W331" s="5" t="str">
        <f>VLOOKUP($A331,'SegEnds_NonXtal_Prot#'!$A:$AL,18,FALSE)</f>
        <v>-</v>
      </c>
      <c r="X331" s="5">
        <f>VLOOKUP($A331,'SegEnds_NonXtal_Prot#'!$A:$AL,21,FALSE)</f>
        <v>694</v>
      </c>
      <c r="Y331" s="5">
        <f>VLOOKUP($A331,'SegEnds_NonXtal_Prot#'!$A:$AL,24,FALSE)</f>
        <v>733</v>
      </c>
      <c r="Z331" s="5">
        <f>VLOOKUP($A331,'SegEnds_NonXtal_Prot#'!$A:$AL,27,FALSE)</f>
        <v>740</v>
      </c>
      <c r="AA331" s="5">
        <f>VLOOKUP($A331,'SegEnds_NonXtal_Prot#'!$A:$AL,30,FALSE)</f>
        <v>785</v>
      </c>
      <c r="AB331" s="5">
        <f>VLOOKUP($A331,'SegEnds_NonXtal_Prot#'!$A:$AL,33,FALSE)</f>
        <v>816</v>
      </c>
      <c r="AC331" s="5">
        <f>VLOOKUP($A331,'SegEnds_NonXtal_Prot#'!$A:$AL,36,FALSE)</f>
        <v>842</v>
      </c>
      <c r="AD331" s="5">
        <f>VLOOKUP($A331,'SegEnds_NonXtal_Prot#'!$A:$AL,5,FALSE)</f>
        <v>610</v>
      </c>
      <c r="AE331" s="5" t="str">
        <f>VLOOKUP($A331,'SegEnds_NonXtal_Prot#'!$A:$AL,8,FALSE)</f>
        <v>-</v>
      </c>
      <c r="AF331" s="5">
        <f>VLOOKUP($A331,'SegEnds_NonXtal_Prot#'!$A:$AL,11,FALSE)</f>
        <v>644</v>
      </c>
      <c r="AG331" s="5" t="str">
        <f>VLOOKUP($A331,'SegEnds_NonXtal_Prot#'!$A:$AL,14,FALSE)</f>
        <v>-</v>
      </c>
      <c r="AH331" s="5">
        <f>VLOOKUP($A331,'SegEnds_NonXtal_Prot#'!$A:$AL,17,FALSE)</f>
        <v>688</v>
      </c>
      <c r="AI331" s="5" t="str">
        <f>VLOOKUP($A331,'SegEnds_NonXtal_Prot#'!$A:$AL,20,FALSE)</f>
        <v>-</v>
      </c>
      <c r="AJ331" s="5">
        <f>VLOOKUP($A331,'SegEnds_NonXtal_Prot#'!$A:$AL,23,FALSE)</f>
        <v>725</v>
      </c>
      <c r="AK331" s="5">
        <f>VLOOKUP($A331,'SegEnds_NonXtal_Prot#'!$A:$AL,26,FALSE)</f>
        <v>735</v>
      </c>
      <c r="AL331" s="5">
        <f>VLOOKUP($A331,'SegEnds_NonXtal_Prot#'!$A:$AL,29,FALSE)</f>
        <v>773</v>
      </c>
      <c r="AM331" s="5">
        <f>VLOOKUP($A331,'SegEnds_NonXtal_Prot#'!$A:$AL,32,FALSE)</f>
        <v>810</v>
      </c>
      <c r="AN331" s="5">
        <f>VLOOKUP($A331,'SegEnds_NonXtal_Prot#'!$A:$AL,35,FALSE)</f>
        <v>841</v>
      </c>
      <c r="AO331" s="5">
        <f>VLOOKUP($A331,'SegEnds_NonXtal_Prot#'!$A:$AL,38,FALSE)</f>
        <v>858</v>
      </c>
      <c r="AP331" s="5">
        <f t="shared" si="138"/>
        <v>37</v>
      </c>
      <c r="AQ331" s="4" t="str">
        <f t="shared" si="139"/>
        <v>-</v>
      </c>
      <c r="AR331" s="4">
        <f t="shared" si="140"/>
        <v>26</v>
      </c>
      <c r="AS331" s="4" t="str">
        <f t="shared" si="141"/>
        <v>-</v>
      </c>
      <c r="AT331" s="4">
        <f t="shared" si="142"/>
        <v>33</v>
      </c>
      <c r="AU331" s="4" t="str">
        <f t="shared" si="143"/>
        <v>-</v>
      </c>
      <c r="AV331" s="4">
        <f t="shared" si="144"/>
        <v>31</v>
      </c>
      <c r="AW331" s="4">
        <f t="shared" si="145"/>
        <v>2</v>
      </c>
      <c r="AX331" s="4">
        <f t="shared" si="146"/>
        <v>33</v>
      </c>
      <c r="AY331" s="4">
        <f t="shared" si="147"/>
        <v>25</v>
      </c>
      <c r="AZ331" s="4">
        <f t="shared" si="148"/>
        <v>25</v>
      </c>
      <c r="BA331" s="4">
        <f t="shared" si="149"/>
        <v>16</v>
      </c>
    </row>
    <row r="332" spans="1:53" x14ac:dyDescent="0.2">
      <c r="A332" s="1" t="str">
        <f>'SegEnds_NonXtal_Prot#'!A328</f>
        <v>agrf3_human</v>
      </c>
      <c r="B332" s="1" t="str">
        <f t="shared" si="125"/>
        <v>LMSPHTVPEEPALALLTQVGLGASILALLVCLGVYWLVKISYFRHAALLNMVFCLLAADTCFLGAPLCLAAAFLCHFLYLATFFWMLAQALVLAHQLLFVLPLMVLLGYLCPLGLAGVTLGLYLPQKGGALYTFVGPVLAIIGVNGLVLAMAMLKLLRPSALLGVIKALLILTPIFGLTWGLGLASTVPHYIFTILNTLQGVFILLFGCLMDRKIQEALRKRFCRAQA</v>
      </c>
      <c r="C332" s="29" t="str">
        <f>IF(ISERROR(MATCH(A332,'SegEnds_Xtal_Prot#'!B:B, 0)), "NoXtal", "Xtal")</f>
        <v>NoXtal</v>
      </c>
      <c r="D332" s="4" t="str">
        <f>VLOOKUP(A332,Classification!A:D,2,FALSE)</f>
        <v>B2</v>
      </c>
      <c r="E332" s="5" t="str">
        <f>VLOOKUP(A332,Seqs!A:B,2,FALSE)</f>
        <v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v>
      </c>
      <c r="F332" s="5" t="str">
        <f t="shared" si="126"/>
        <v>LMSPHTVPEEPALALLTQVGLGASILALLVCLGVYWLV</v>
      </c>
      <c r="G332" s="4" t="str">
        <f t="shared" si="127"/>
        <v/>
      </c>
      <c r="H332" s="4" t="str">
        <f t="shared" si="128"/>
        <v>KISYFRHAALLNMVFCLLAADTCFLGA</v>
      </c>
      <c r="I332" s="4" t="str">
        <f t="shared" si="129"/>
        <v/>
      </c>
      <c r="J332" s="4" t="str">
        <f t="shared" si="130"/>
        <v>PLCLAAAFLCHFLYLATFFWMLAQALVLAHQLLF</v>
      </c>
      <c r="K332" s="4" t="str">
        <f t="shared" si="131"/>
        <v/>
      </c>
      <c r="L332" s="4" t="str">
        <f t="shared" si="132"/>
        <v>VLPLMVLLGYLCPLGLAGVTLGLYLPQ</v>
      </c>
      <c r="M332" s="4" t="str">
        <f t="shared" si="133"/>
        <v>CWL</v>
      </c>
      <c r="N332" s="4" t="str">
        <f t="shared" si="134"/>
        <v>KGGALYTFVGPVLAIIGVNGLVLAMAMLKLLRPS</v>
      </c>
      <c r="O332" s="4" t="str">
        <f t="shared" si="135"/>
        <v>ALLGVIKALLILTPIFGLTWGLGLA</v>
      </c>
      <c r="P332" s="4" t="str">
        <f t="shared" si="136"/>
        <v>STVPHYIFTILNTLQGVFILLFGCLM</v>
      </c>
      <c r="Q332" s="4" t="str">
        <f t="shared" si="137"/>
        <v>DRKIQEALRKRFCRAQA</v>
      </c>
      <c r="R332" s="5">
        <f>VLOOKUP($A332,'SegEnds_NonXtal_Prot#'!$A:$AL,3,FALSE)</f>
        <v>758</v>
      </c>
      <c r="S332" s="5" t="str">
        <f>VLOOKUP($A332,'SegEnds_NonXtal_Prot#'!$A:$AL,6,FALSE)</f>
        <v>-</v>
      </c>
      <c r="T332" s="5">
        <f>VLOOKUP($A332,'SegEnds_NonXtal_Prot#'!$A:$AL,9,FALSE)</f>
        <v>803</v>
      </c>
      <c r="U332" s="5" t="str">
        <f>VLOOKUP($A332,'SegEnds_NonXtal_Prot#'!$A:$AL,12,FALSE)</f>
        <v>-</v>
      </c>
      <c r="V332" s="5">
        <f>VLOOKUP($A332,'SegEnds_NonXtal_Prot#'!$A:$AL,15,FALSE)</f>
        <v>839</v>
      </c>
      <c r="W332" s="5" t="str">
        <f>VLOOKUP($A332,'SegEnds_NonXtal_Prot#'!$A:$AL,18,FALSE)</f>
        <v>-</v>
      </c>
      <c r="X332" s="5">
        <f>VLOOKUP($A332,'SegEnds_NonXtal_Prot#'!$A:$AL,21,FALSE)</f>
        <v>882</v>
      </c>
      <c r="Y332" s="5">
        <f>VLOOKUP($A332,'SegEnds_NonXtal_Prot#'!$A:$AL,24,FALSE)</f>
        <v>917</v>
      </c>
      <c r="Z332" s="5">
        <f>VLOOKUP($A332,'SegEnds_NonXtal_Prot#'!$A:$AL,27,FALSE)</f>
        <v>922</v>
      </c>
      <c r="AA332" s="5">
        <f>VLOOKUP($A332,'SegEnds_NonXtal_Prot#'!$A:$AL,30,FALSE)</f>
        <v>967</v>
      </c>
      <c r="AB332" s="5">
        <f>VLOOKUP($A332,'SegEnds_NonXtal_Prot#'!$A:$AL,33,FALSE)</f>
        <v>998</v>
      </c>
      <c r="AC332" s="5">
        <f>VLOOKUP($A332,'SegEnds_NonXtal_Prot#'!$A:$AL,36,FALSE)</f>
        <v>1024</v>
      </c>
      <c r="AD332" s="5">
        <f>VLOOKUP($A332,'SegEnds_NonXtal_Prot#'!$A:$AL,5,FALSE)</f>
        <v>795</v>
      </c>
      <c r="AE332" s="5" t="str">
        <f>VLOOKUP($A332,'SegEnds_NonXtal_Prot#'!$A:$AL,8,FALSE)</f>
        <v>-</v>
      </c>
      <c r="AF332" s="5">
        <f>VLOOKUP($A332,'SegEnds_NonXtal_Prot#'!$A:$AL,11,FALSE)</f>
        <v>829</v>
      </c>
      <c r="AG332" s="5" t="str">
        <f>VLOOKUP($A332,'SegEnds_NonXtal_Prot#'!$A:$AL,14,FALSE)</f>
        <v>-</v>
      </c>
      <c r="AH332" s="5">
        <f>VLOOKUP($A332,'SegEnds_NonXtal_Prot#'!$A:$AL,17,FALSE)</f>
        <v>872</v>
      </c>
      <c r="AI332" s="5" t="str">
        <f>VLOOKUP($A332,'SegEnds_NonXtal_Prot#'!$A:$AL,20,FALSE)</f>
        <v>-</v>
      </c>
      <c r="AJ332" s="5">
        <f>VLOOKUP($A332,'SegEnds_NonXtal_Prot#'!$A:$AL,23,FALSE)</f>
        <v>908</v>
      </c>
      <c r="AK332" s="5">
        <f>VLOOKUP($A332,'SegEnds_NonXtal_Prot#'!$A:$AL,26,FALSE)</f>
        <v>919</v>
      </c>
      <c r="AL332" s="5">
        <f>VLOOKUP($A332,'SegEnds_NonXtal_Prot#'!$A:$AL,29,FALSE)</f>
        <v>955</v>
      </c>
      <c r="AM332" s="5">
        <f>VLOOKUP($A332,'SegEnds_NonXtal_Prot#'!$A:$AL,32,FALSE)</f>
        <v>991</v>
      </c>
      <c r="AN332" s="5">
        <f>VLOOKUP($A332,'SegEnds_NonXtal_Prot#'!$A:$AL,35,FALSE)</f>
        <v>1023</v>
      </c>
      <c r="AO332" s="5">
        <f>VLOOKUP($A332,'SegEnds_NonXtal_Prot#'!$A:$AL,38,FALSE)</f>
        <v>1040</v>
      </c>
      <c r="AP332" s="5">
        <f t="shared" si="138"/>
        <v>37</v>
      </c>
      <c r="AQ332" s="4" t="str">
        <f t="shared" si="139"/>
        <v>-</v>
      </c>
      <c r="AR332" s="4">
        <f t="shared" si="140"/>
        <v>26</v>
      </c>
      <c r="AS332" s="4" t="str">
        <f t="shared" si="141"/>
        <v>-</v>
      </c>
      <c r="AT332" s="4">
        <f t="shared" si="142"/>
        <v>33</v>
      </c>
      <c r="AU332" s="4" t="str">
        <f t="shared" si="143"/>
        <v>-</v>
      </c>
      <c r="AV332" s="4">
        <f t="shared" si="144"/>
        <v>26</v>
      </c>
      <c r="AW332" s="4">
        <f t="shared" si="145"/>
        <v>2</v>
      </c>
      <c r="AX332" s="4">
        <f t="shared" si="146"/>
        <v>33</v>
      </c>
      <c r="AY332" s="4">
        <f t="shared" si="147"/>
        <v>24</v>
      </c>
      <c r="AZ332" s="4">
        <f t="shared" si="148"/>
        <v>25</v>
      </c>
      <c r="BA332" s="4">
        <f t="shared" si="149"/>
        <v>16</v>
      </c>
    </row>
    <row r="333" spans="1:53" x14ac:dyDescent="0.2">
      <c r="A333" s="1" t="str">
        <f>'SegEnds_NonXtal_Prot#'!A329</f>
        <v>agrf4_human</v>
      </c>
      <c r="B333" s="1" t="str">
        <f t="shared" si="125"/>
        <v>ILMSSKSMTDKVLDYITCIGLSVSILSLVLCLIIEATVEISYMRHVCIVNIAVSLLTANVWFIIGNMCVAVTFFSHFFYLSLFFWMLFKALLIIYGILVRMMVIGFAIGYGCPLIIAVTTVAITEPEKNTKALLAFAIPAFVIVAVNLIVVLVVAVNTQRPSIIMRISKNVAILTPLLGLTWGFGIASLTFHIIFALLNAFQGFFILLFGTIMDHKIRDALRMRMSSLKG</v>
      </c>
      <c r="C333" s="29" t="str">
        <f>IF(ISERROR(MATCH(A333,'SegEnds_Xtal_Prot#'!B:B, 0)), "NoXtal", "Xtal")</f>
        <v>NoXtal</v>
      </c>
      <c r="D333" s="4" t="str">
        <f>VLOOKUP(A333,Classification!A:D,2,FALSE)</f>
        <v>B2</v>
      </c>
      <c r="E333" s="5" t="str">
        <f>VLOOKUP(A333,Seqs!A:B,2,FALSE)</f>
        <v>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</v>
      </c>
      <c r="F333" s="5" t="str">
        <f t="shared" si="126"/>
        <v>ILMSSKSMTDKVLDYITCIGLSVSILSLVLCLIIEATV</v>
      </c>
      <c r="G333" s="4" t="str">
        <f t="shared" si="127"/>
        <v/>
      </c>
      <c r="H333" s="4" t="str">
        <f t="shared" si="128"/>
        <v>EISYMRHVCIVNIAVSLLTANVWFIIG</v>
      </c>
      <c r="I333" s="4" t="str">
        <f t="shared" si="129"/>
        <v/>
      </c>
      <c r="J333" s="4" t="str">
        <f t="shared" si="130"/>
        <v>NMCVAVTFFSHFFYLSLFFWMLFKALLIIYGILV</v>
      </c>
      <c r="K333" s="4" t="str">
        <f t="shared" si="131"/>
        <v/>
      </c>
      <c r="L333" s="4" t="str">
        <f t="shared" si="132"/>
        <v>RMMVIGFAIGYGCPLIIAVTTVAITEPEK</v>
      </c>
      <c r="M333" s="4" t="str">
        <f t="shared" si="133"/>
        <v>CWL</v>
      </c>
      <c r="N333" s="4" t="str">
        <f t="shared" si="134"/>
        <v>NTKALLAFAIPAFVIVAVNLIVVLVVAVNTQRPS</v>
      </c>
      <c r="O333" s="4" t="str">
        <f t="shared" si="135"/>
        <v>IIMRISKNVAILTPLLGLTWGFGIA</v>
      </c>
      <c r="P333" s="4" t="str">
        <f t="shared" si="136"/>
        <v>SLTFHIIFALLNAFQGFFILLFGTIM</v>
      </c>
      <c r="Q333" s="4" t="str">
        <f t="shared" si="137"/>
        <v>DHKIRDALRMRMSSLKG</v>
      </c>
      <c r="R333" s="5">
        <f>VLOOKUP($A333,'SegEnds_NonXtal_Prot#'!$A:$AL,3,FALSE)</f>
        <v>389</v>
      </c>
      <c r="S333" s="5" t="str">
        <f>VLOOKUP($A333,'SegEnds_NonXtal_Prot#'!$A:$AL,6,FALSE)</f>
        <v>-</v>
      </c>
      <c r="T333" s="5">
        <f>VLOOKUP($A333,'SegEnds_NonXtal_Prot#'!$A:$AL,9,FALSE)</f>
        <v>434</v>
      </c>
      <c r="U333" s="5" t="str">
        <f>VLOOKUP($A333,'SegEnds_NonXtal_Prot#'!$A:$AL,12,FALSE)</f>
        <v>-</v>
      </c>
      <c r="V333" s="5">
        <f>VLOOKUP($A333,'SegEnds_NonXtal_Prot#'!$A:$AL,15,FALSE)</f>
        <v>471</v>
      </c>
      <c r="W333" s="5" t="str">
        <f>VLOOKUP($A333,'SegEnds_NonXtal_Prot#'!$A:$AL,18,FALSE)</f>
        <v>-</v>
      </c>
      <c r="X333" s="5">
        <f>VLOOKUP($A333,'SegEnds_NonXtal_Prot#'!$A:$AL,21,FALSE)</f>
        <v>513</v>
      </c>
      <c r="Y333" s="5">
        <f>VLOOKUP($A333,'SegEnds_NonXtal_Prot#'!$A:$AL,24,FALSE)</f>
        <v>549</v>
      </c>
      <c r="Z333" s="5">
        <f>VLOOKUP($A333,'SegEnds_NonXtal_Prot#'!$A:$AL,27,FALSE)</f>
        <v>555</v>
      </c>
      <c r="AA333" s="5">
        <f>VLOOKUP($A333,'SegEnds_NonXtal_Prot#'!$A:$AL,30,FALSE)</f>
        <v>599</v>
      </c>
      <c r="AB333" s="5">
        <f>VLOOKUP($A333,'SegEnds_NonXtal_Prot#'!$A:$AL,33,FALSE)</f>
        <v>630</v>
      </c>
      <c r="AC333" s="5">
        <f>VLOOKUP($A333,'SegEnds_NonXtal_Prot#'!$A:$AL,36,FALSE)</f>
        <v>656</v>
      </c>
      <c r="AD333" s="5">
        <f>VLOOKUP($A333,'SegEnds_NonXtal_Prot#'!$A:$AL,5,FALSE)</f>
        <v>426</v>
      </c>
      <c r="AE333" s="5" t="str">
        <f>VLOOKUP($A333,'SegEnds_NonXtal_Prot#'!$A:$AL,8,FALSE)</f>
        <v>-</v>
      </c>
      <c r="AF333" s="5">
        <f>VLOOKUP($A333,'SegEnds_NonXtal_Prot#'!$A:$AL,11,FALSE)</f>
        <v>460</v>
      </c>
      <c r="AG333" s="5" t="str">
        <f>VLOOKUP($A333,'SegEnds_NonXtal_Prot#'!$A:$AL,14,FALSE)</f>
        <v>-</v>
      </c>
      <c r="AH333" s="5">
        <f>VLOOKUP($A333,'SegEnds_NonXtal_Prot#'!$A:$AL,17,FALSE)</f>
        <v>504</v>
      </c>
      <c r="AI333" s="5" t="str">
        <f>VLOOKUP($A333,'SegEnds_NonXtal_Prot#'!$A:$AL,20,FALSE)</f>
        <v>-</v>
      </c>
      <c r="AJ333" s="5">
        <f>VLOOKUP($A333,'SegEnds_NonXtal_Prot#'!$A:$AL,23,FALSE)</f>
        <v>541</v>
      </c>
      <c r="AK333" s="5">
        <f>VLOOKUP($A333,'SegEnds_NonXtal_Prot#'!$A:$AL,26,FALSE)</f>
        <v>551</v>
      </c>
      <c r="AL333" s="5">
        <f>VLOOKUP($A333,'SegEnds_NonXtal_Prot#'!$A:$AL,29,FALSE)</f>
        <v>588</v>
      </c>
      <c r="AM333" s="5">
        <f>VLOOKUP($A333,'SegEnds_NonXtal_Prot#'!$A:$AL,32,FALSE)</f>
        <v>623</v>
      </c>
      <c r="AN333" s="5">
        <f>VLOOKUP($A333,'SegEnds_NonXtal_Prot#'!$A:$AL,35,FALSE)</f>
        <v>655</v>
      </c>
      <c r="AO333" s="5">
        <f>VLOOKUP($A333,'SegEnds_NonXtal_Prot#'!$A:$AL,38,FALSE)</f>
        <v>672</v>
      </c>
      <c r="AP333" s="5">
        <f t="shared" si="138"/>
        <v>37</v>
      </c>
      <c r="AQ333" s="4" t="str">
        <f t="shared" si="139"/>
        <v>-</v>
      </c>
      <c r="AR333" s="4">
        <f t="shared" si="140"/>
        <v>26</v>
      </c>
      <c r="AS333" s="4" t="str">
        <f t="shared" si="141"/>
        <v>-</v>
      </c>
      <c r="AT333" s="4">
        <f t="shared" si="142"/>
        <v>33</v>
      </c>
      <c r="AU333" s="4" t="str">
        <f t="shared" si="143"/>
        <v>-</v>
      </c>
      <c r="AV333" s="4">
        <f t="shared" si="144"/>
        <v>28</v>
      </c>
      <c r="AW333" s="4">
        <f t="shared" si="145"/>
        <v>2</v>
      </c>
      <c r="AX333" s="4">
        <f t="shared" si="146"/>
        <v>33</v>
      </c>
      <c r="AY333" s="4">
        <f t="shared" si="147"/>
        <v>24</v>
      </c>
      <c r="AZ333" s="4">
        <f t="shared" si="148"/>
        <v>25</v>
      </c>
      <c r="BA333" s="4">
        <f t="shared" si="149"/>
        <v>16</v>
      </c>
    </row>
    <row r="334" spans="1:53" x14ac:dyDescent="0.2">
      <c r="A334" s="1" t="str">
        <f>'SegEnds_NonXtal_Prot#'!A330</f>
        <v>agrf5_human</v>
      </c>
      <c r="B334" s="1" t="str">
        <f t="shared" si="125"/>
        <v>DSPDPSSLLGILLDIISYVGVGFSILSLAACLVVEAVVKNRTSYMRHTCIVNIAASLLVANTWFIVVTACVAATFFIHFFYLSVFFWMLTLGLMLFYRLVFTQKAIAFCLGYGCPLAISVITLGATQPREDTKALLAFAIPALIIVVVNITITIVVITKILRPSSLFQISKSIGVLTPLLGLTWGFGLTNLVFHIIFAILNVFQGLFILLFGCLWDLKVQEALLNKFSLSRW</v>
      </c>
      <c r="C334" s="29" t="str">
        <f>IF(ISERROR(MATCH(A334,'SegEnds_Xtal_Prot#'!B:B, 0)), "NoXtal", "Xtal")</f>
        <v>NoXtal</v>
      </c>
      <c r="D334" s="4" t="str">
        <f>VLOOKUP(A334,Classification!A:D,2,FALSE)</f>
        <v>B2</v>
      </c>
      <c r="E334" s="5" t="str">
        <f>VLOOKUP(A334,Seqs!A:B,2,FALSE)</f>
        <v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v>
      </c>
      <c r="F334" s="5" t="str">
        <f t="shared" si="126"/>
        <v>DSPDPSSLLGILLDIISYVGVGFSILSLAACLVVEAVV</v>
      </c>
      <c r="G334" s="4" t="str">
        <f t="shared" si="127"/>
        <v>KSVT</v>
      </c>
      <c r="H334" s="4" t="str">
        <f t="shared" si="128"/>
        <v>KNRTSYMRHTCIVNIAASLLVANTWFIVV</v>
      </c>
      <c r="I334" s="4" t="str">
        <f t="shared" si="129"/>
        <v/>
      </c>
      <c r="J334" s="4" t="str">
        <f t="shared" si="130"/>
        <v>TACVAATFFIHFFYLSVFFWMLTLGLMLFYRLVF</v>
      </c>
      <c r="K334" s="4" t="str">
        <f t="shared" si="131"/>
        <v/>
      </c>
      <c r="L334" s="4" t="str">
        <f t="shared" si="132"/>
        <v>TQKAIAFCLGYGCPLAISVITLGATQPRE</v>
      </c>
      <c r="M334" s="4" t="str">
        <f t="shared" si="133"/>
        <v>CWL</v>
      </c>
      <c r="N334" s="4" t="str">
        <f t="shared" si="134"/>
        <v>DTKALLAFAIPALIIVVVNITITIVVITKILRPS</v>
      </c>
      <c r="O334" s="4" t="str">
        <f t="shared" si="135"/>
        <v>SLFQISKSIGVLTPLLGLTWGFGLT</v>
      </c>
      <c r="P334" s="4" t="str">
        <f t="shared" si="136"/>
        <v>NLVFHIIFAILNVFQGLFILLFGCLW</v>
      </c>
      <c r="Q334" s="4" t="str">
        <f t="shared" si="137"/>
        <v>DLKVQEALLNKFSLSRW</v>
      </c>
      <c r="R334" s="5">
        <f>VLOOKUP($A334,'SegEnds_NonXtal_Prot#'!$A:$AL,3,FALSE)</f>
        <v>1000</v>
      </c>
      <c r="S334" s="5">
        <f>VLOOKUP($A334,'SegEnds_NonXtal_Prot#'!$A:$AL,6,FALSE)</f>
        <v>1039</v>
      </c>
      <c r="T334" s="5">
        <f>VLOOKUP($A334,'SegEnds_NonXtal_Prot#'!$A:$AL,9,FALSE)</f>
        <v>1043</v>
      </c>
      <c r="U334" s="5" t="str">
        <f>VLOOKUP($A334,'SegEnds_NonXtal_Prot#'!$A:$AL,12,FALSE)</f>
        <v>-</v>
      </c>
      <c r="V334" s="5">
        <f>VLOOKUP($A334,'SegEnds_NonXtal_Prot#'!$A:$AL,15,FALSE)</f>
        <v>1084</v>
      </c>
      <c r="W334" s="5" t="str">
        <f>VLOOKUP($A334,'SegEnds_NonXtal_Prot#'!$A:$AL,18,FALSE)</f>
        <v>-</v>
      </c>
      <c r="X334" s="5">
        <f>VLOOKUP($A334,'SegEnds_NonXtal_Prot#'!$A:$AL,21,FALSE)</f>
        <v>1126</v>
      </c>
      <c r="Y334" s="5">
        <f>VLOOKUP($A334,'SegEnds_NonXtal_Prot#'!$A:$AL,24,FALSE)</f>
        <v>1162</v>
      </c>
      <c r="Z334" s="5">
        <f>VLOOKUP($A334,'SegEnds_NonXtal_Prot#'!$A:$AL,27,FALSE)</f>
        <v>1168</v>
      </c>
      <c r="AA334" s="5">
        <f>VLOOKUP($A334,'SegEnds_NonXtal_Prot#'!$A:$AL,30,FALSE)</f>
        <v>1213</v>
      </c>
      <c r="AB334" s="5">
        <f>VLOOKUP($A334,'SegEnds_NonXtal_Prot#'!$A:$AL,33,FALSE)</f>
        <v>1244</v>
      </c>
      <c r="AC334" s="5">
        <f>VLOOKUP($A334,'SegEnds_NonXtal_Prot#'!$A:$AL,36,FALSE)</f>
        <v>1270</v>
      </c>
      <c r="AD334" s="5">
        <f>VLOOKUP($A334,'SegEnds_NonXtal_Prot#'!$A:$AL,5,FALSE)</f>
        <v>1037</v>
      </c>
      <c r="AE334" s="5">
        <f>VLOOKUP($A334,'SegEnds_NonXtal_Prot#'!$A:$AL,8,FALSE)</f>
        <v>1042</v>
      </c>
      <c r="AF334" s="5">
        <f>VLOOKUP($A334,'SegEnds_NonXtal_Prot#'!$A:$AL,11,FALSE)</f>
        <v>1071</v>
      </c>
      <c r="AG334" s="5" t="str">
        <f>VLOOKUP($A334,'SegEnds_NonXtal_Prot#'!$A:$AL,14,FALSE)</f>
        <v>-</v>
      </c>
      <c r="AH334" s="5">
        <f>VLOOKUP($A334,'SegEnds_NonXtal_Prot#'!$A:$AL,17,FALSE)</f>
        <v>1117</v>
      </c>
      <c r="AI334" s="5" t="str">
        <f>VLOOKUP($A334,'SegEnds_NonXtal_Prot#'!$A:$AL,20,FALSE)</f>
        <v>-</v>
      </c>
      <c r="AJ334" s="5">
        <f>VLOOKUP($A334,'SegEnds_NonXtal_Prot#'!$A:$AL,23,FALSE)</f>
        <v>1154</v>
      </c>
      <c r="AK334" s="5">
        <f>VLOOKUP($A334,'SegEnds_NonXtal_Prot#'!$A:$AL,26,FALSE)</f>
        <v>1164</v>
      </c>
      <c r="AL334" s="5">
        <f>VLOOKUP($A334,'SegEnds_NonXtal_Prot#'!$A:$AL,29,FALSE)</f>
        <v>1201</v>
      </c>
      <c r="AM334" s="5">
        <f>VLOOKUP($A334,'SegEnds_NonXtal_Prot#'!$A:$AL,32,FALSE)</f>
        <v>1237</v>
      </c>
      <c r="AN334" s="5">
        <f>VLOOKUP($A334,'SegEnds_NonXtal_Prot#'!$A:$AL,35,FALSE)</f>
        <v>1269</v>
      </c>
      <c r="AO334" s="5">
        <f>VLOOKUP($A334,'SegEnds_NonXtal_Prot#'!$A:$AL,38,FALSE)</f>
        <v>1286</v>
      </c>
      <c r="AP334" s="5">
        <f t="shared" si="138"/>
        <v>37</v>
      </c>
      <c r="AQ334" s="4">
        <f t="shared" si="139"/>
        <v>3</v>
      </c>
      <c r="AR334" s="4">
        <f t="shared" si="140"/>
        <v>28</v>
      </c>
      <c r="AS334" s="4" t="str">
        <f t="shared" si="141"/>
        <v>-</v>
      </c>
      <c r="AT334" s="4">
        <f t="shared" si="142"/>
        <v>33</v>
      </c>
      <c r="AU334" s="4" t="str">
        <f t="shared" si="143"/>
        <v>-</v>
      </c>
      <c r="AV334" s="4">
        <f t="shared" si="144"/>
        <v>28</v>
      </c>
      <c r="AW334" s="4">
        <f t="shared" si="145"/>
        <v>2</v>
      </c>
      <c r="AX334" s="4">
        <f t="shared" si="146"/>
        <v>33</v>
      </c>
      <c r="AY334" s="4">
        <f t="shared" si="147"/>
        <v>24</v>
      </c>
      <c r="AZ334" s="4">
        <f t="shared" si="148"/>
        <v>25</v>
      </c>
      <c r="BA334" s="4">
        <f t="shared" si="149"/>
        <v>16</v>
      </c>
    </row>
    <row r="335" spans="1:53" x14ac:dyDescent="0.2">
      <c r="A335" s="1" t="str">
        <f>'SegEnds_NonXtal_Prot#'!A331</f>
        <v>agrg1_human</v>
      </c>
      <c r="B335" s="1" t="str">
        <f t="shared" si="125"/>
        <v>SSVEVDAVHKHYLSLLSYVGCVVSALACLVTIAAYLCSCRRKPRDYTIKVHMNLLLAVFLLDTSFLLSEPVAGCRASAIFLHFSLLTCLSWMGLEGYNLYRLVVEGYLLKLSAMGWGFPIFLVTLVALVDVDNYSLVSYITNLGLFSLVFLFNMAMLATMVVQILRLRQKWSHVLTLLGLSLVLGLPWALIFFGTFQLVVLYLFSIITSFQGFLIFIWYWSMRLQARGGPSPLKSNSDS</v>
      </c>
      <c r="C335" s="29" t="str">
        <f>IF(ISERROR(MATCH(A335,'SegEnds_Xtal_Prot#'!B:B, 0)), "NoXtal", "Xtal")</f>
        <v>NoXtal</v>
      </c>
      <c r="D335" s="4" t="str">
        <f>VLOOKUP(A335,Classification!A:D,2,FALSE)</f>
        <v>B2</v>
      </c>
      <c r="E335" s="5" t="str">
        <f>VLOOKUP(A335,Seqs!A:B,2,FALSE)</f>
        <v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v>
      </c>
      <c r="F335" s="5" t="str">
        <f t="shared" si="126"/>
        <v>SSVEVDAVHKHYLSLLSYVGCVVSALACLVTIAAYLCS</v>
      </c>
      <c r="G335" s="4" t="str">
        <f t="shared" si="127"/>
        <v>VPLP</v>
      </c>
      <c r="H335" s="4" t="str">
        <f t="shared" si="128"/>
        <v>CRRKPRDYTIKVHMNLLLAVFLLDTSFLLSEPV</v>
      </c>
      <c r="I335" s="4" t="str">
        <f t="shared" si="129"/>
        <v/>
      </c>
      <c r="J335" s="4" t="str">
        <f t="shared" si="130"/>
        <v>AGCRASAIFLHFSLLTCLSWMGLEGYNLYRLVVE</v>
      </c>
      <c r="K335" s="4" t="str">
        <f t="shared" si="131"/>
        <v/>
      </c>
      <c r="L335" s="4" t="str">
        <f t="shared" si="132"/>
        <v>GYLLKLSAMGWGFPIFLVTLVALVDVDNY</v>
      </c>
      <c r="M335" s="4" t="str">
        <f t="shared" si="133"/>
        <v>CWI</v>
      </c>
      <c r="N335" s="4" t="str">
        <f t="shared" si="134"/>
        <v>SLVSYITNLGLFSLVFLFNMAMLATMVVQILRLR</v>
      </c>
      <c r="O335" s="4" t="str">
        <f t="shared" si="135"/>
        <v>QKWSHVLTLLGLSLVLGLPWALIFF</v>
      </c>
      <c r="P335" s="4" t="str">
        <f t="shared" si="136"/>
        <v>GTFQLVVLYLFSIITSFQGFLIFIWYWSM</v>
      </c>
      <c r="Q335" s="4" t="str">
        <f t="shared" si="137"/>
        <v>RLQARGGPSPLKSNSDS</v>
      </c>
      <c r="R335" s="5">
        <f>VLOOKUP($A335,'SegEnds_NonXtal_Prot#'!$A:$AL,3,FALSE)</f>
        <v>391</v>
      </c>
      <c r="S335" s="5">
        <f>VLOOKUP($A335,'SegEnds_NonXtal_Prot#'!$A:$AL,6,FALSE)</f>
        <v>430</v>
      </c>
      <c r="T335" s="5">
        <f>VLOOKUP($A335,'SegEnds_NonXtal_Prot#'!$A:$AL,9,FALSE)</f>
        <v>434</v>
      </c>
      <c r="U335" s="5" t="str">
        <f>VLOOKUP($A335,'SegEnds_NonXtal_Prot#'!$A:$AL,12,FALSE)</f>
        <v>-</v>
      </c>
      <c r="V335" s="5">
        <f>VLOOKUP($A335,'SegEnds_NonXtal_Prot#'!$A:$AL,15,FALSE)</f>
        <v>473</v>
      </c>
      <c r="W335" s="5" t="str">
        <f>VLOOKUP($A335,'SegEnds_NonXtal_Prot#'!$A:$AL,18,FALSE)</f>
        <v>-</v>
      </c>
      <c r="X335" s="5">
        <f>VLOOKUP($A335,'SegEnds_NonXtal_Prot#'!$A:$AL,21,FALSE)</f>
        <v>514</v>
      </c>
      <c r="Y335" s="5">
        <f>VLOOKUP($A335,'SegEnds_NonXtal_Prot#'!$A:$AL,24,FALSE)</f>
        <v>562</v>
      </c>
      <c r="Z335" s="5">
        <f>VLOOKUP($A335,'SegEnds_NonXtal_Prot#'!$A:$AL,27,FALSE)</f>
        <v>567</v>
      </c>
      <c r="AA335" s="5">
        <f>VLOOKUP($A335,'SegEnds_NonXtal_Prot#'!$A:$AL,30,FALSE)</f>
        <v>604</v>
      </c>
      <c r="AB335" s="5">
        <f>VLOOKUP($A335,'SegEnds_NonXtal_Prot#'!$A:$AL,33,FALSE)</f>
        <v>633</v>
      </c>
      <c r="AC335" s="5">
        <f>VLOOKUP($A335,'SegEnds_NonXtal_Prot#'!$A:$AL,36,FALSE)</f>
        <v>662</v>
      </c>
      <c r="AD335" s="5">
        <f>VLOOKUP($A335,'SegEnds_NonXtal_Prot#'!$A:$AL,5,FALSE)</f>
        <v>428</v>
      </c>
      <c r="AE335" s="5">
        <f>VLOOKUP($A335,'SegEnds_NonXtal_Prot#'!$A:$AL,8,FALSE)</f>
        <v>433</v>
      </c>
      <c r="AF335" s="5">
        <f>VLOOKUP($A335,'SegEnds_NonXtal_Prot#'!$A:$AL,11,FALSE)</f>
        <v>466</v>
      </c>
      <c r="AG335" s="5" t="str">
        <f>VLOOKUP($A335,'SegEnds_NonXtal_Prot#'!$A:$AL,14,FALSE)</f>
        <v>-</v>
      </c>
      <c r="AH335" s="5">
        <f>VLOOKUP($A335,'SegEnds_NonXtal_Prot#'!$A:$AL,17,FALSE)</f>
        <v>506</v>
      </c>
      <c r="AI335" s="5" t="str">
        <f>VLOOKUP($A335,'SegEnds_NonXtal_Prot#'!$A:$AL,20,FALSE)</f>
        <v>-</v>
      </c>
      <c r="AJ335" s="5">
        <f>VLOOKUP($A335,'SegEnds_NonXtal_Prot#'!$A:$AL,23,FALSE)</f>
        <v>542</v>
      </c>
      <c r="AK335" s="5">
        <f>VLOOKUP($A335,'SegEnds_NonXtal_Prot#'!$A:$AL,26,FALSE)</f>
        <v>564</v>
      </c>
      <c r="AL335" s="5">
        <f>VLOOKUP($A335,'SegEnds_NonXtal_Prot#'!$A:$AL,29,FALSE)</f>
        <v>600</v>
      </c>
      <c r="AM335" s="5">
        <f>VLOOKUP($A335,'SegEnds_NonXtal_Prot#'!$A:$AL,32,FALSE)</f>
        <v>628</v>
      </c>
      <c r="AN335" s="5">
        <f>VLOOKUP($A335,'SegEnds_NonXtal_Prot#'!$A:$AL,35,FALSE)</f>
        <v>661</v>
      </c>
      <c r="AO335" s="5">
        <f>VLOOKUP($A335,'SegEnds_NonXtal_Prot#'!$A:$AL,38,FALSE)</f>
        <v>678</v>
      </c>
      <c r="AP335" s="5">
        <f t="shared" si="138"/>
        <v>37</v>
      </c>
      <c r="AQ335" s="4">
        <f t="shared" si="139"/>
        <v>3</v>
      </c>
      <c r="AR335" s="4">
        <f t="shared" si="140"/>
        <v>32</v>
      </c>
      <c r="AS335" s="4" t="str">
        <f t="shared" si="141"/>
        <v>-</v>
      </c>
      <c r="AT335" s="4">
        <f t="shared" si="142"/>
        <v>33</v>
      </c>
      <c r="AU335" s="4" t="str">
        <f t="shared" si="143"/>
        <v>-</v>
      </c>
      <c r="AV335" s="4">
        <f t="shared" si="144"/>
        <v>28</v>
      </c>
      <c r="AW335" s="4">
        <f t="shared" si="145"/>
        <v>2</v>
      </c>
      <c r="AX335" s="4">
        <f t="shared" si="146"/>
        <v>33</v>
      </c>
      <c r="AY335" s="4">
        <f t="shared" si="147"/>
        <v>24</v>
      </c>
      <c r="AZ335" s="4">
        <f t="shared" si="148"/>
        <v>28</v>
      </c>
      <c r="BA335" s="4">
        <f t="shared" si="149"/>
        <v>16</v>
      </c>
    </row>
    <row r="336" spans="1:53" x14ac:dyDescent="0.2">
      <c r="A336" s="1" t="str">
        <f>'SegEnds_NonXtal_Prot#'!A332</f>
        <v>agrg2_human</v>
      </c>
      <c r="B336" s="1" t="str">
        <f t="shared" si="125"/>
        <v>SRTSVLPAQMMALTFITYIGCGLSSIFLSVTLVTYIAFDYPSKILIQLCAALLLLNLVFLLDSWIGLCISVAVFLHYFLLVSFTWMGLEAFHMYLALVKYIRKYILKFCIVGWGVPAVVVTIILTISPDNYNAVFYITVVGYFCVIFLLNVSMFIVVLVQLCRIKTSIQDLRSIAGLTFLLGITWGFAFFANVTFMYLFAIFNTLQGFFIFIFYCVAKENVRKQWRRYLCCGKL</v>
      </c>
      <c r="C336" s="29" t="str">
        <f>IF(ISERROR(MATCH(A336,'SegEnds_Xtal_Prot#'!B:B, 0)), "NoXtal", "Xtal")</f>
        <v>NoXtal</v>
      </c>
      <c r="D336" s="4" t="str">
        <f>VLOOKUP(A336,Classification!A:D,2,FALSE)</f>
        <v>B2</v>
      </c>
      <c r="E336" s="5" t="str">
        <f>VLOOKUP(A336,Seqs!A:B,2,FALSE)</f>
        <v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v>
      </c>
      <c r="F336" s="5" t="str">
        <f t="shared" si="126"/>
        <v>SRTSVLPAQMMALTFITYIGCGLSSIFLSVTLVTYIAF</v>
      </c>
      <c r="G336" s="4" t="str">
        <f t="shared" si="127"/>
        <v/>
      </c>
      <c r="H336" s="4" t="str">
        <f t="shared" si="128"/>
        <v>DYPSKILIQLCAALLLLNLVFLLDSWI</v>
      </c>
      <c r="I336" s="4" t="str">
        <f t="shared" si="129"/>
        <v/>
      </c>
      <c r="J336" s="4" t="str">
        <f t="shared" si="130"/>
        <v>GLCISVAVFLHYFLLVSFTWMGLEAFHMYLALVK</v>
      </c>
      <c r="K336" s="4" t="str">
        <f t="shared" si="131"/>
        <v/>
      </c>
      <c r="L336" s="4" t="str">
        <f t="shared" si="132"/>
        <v>YIRKYILKFCIVGWGVPAVVVTIILTISPDNY</v>
      </c>
      <c r="M336" s="4" t="str">
        <f t="shared" si="133"/>
        <v>CWI</v>
      </c>
      <c r="N336" s="4" t="str">
        <f t="shared" si="134"/>
        <v>NAVFYITVVGYFCVIFLLNVSMFIVVLVQLCRIK</v>
      </c>
      <c r="O336" s="4" t="str">
        <f t="shared" si="135"/>
        <v>TSIQDLRSIAGLTFLLGITWGFAFFA</v>
      </c>
      <c r="P336" s="4" t="str">
        <f t="shared" si="136"/>
        <v>NVTFMYLFAIFNTLQGFFIFIFYCVA</v>
      </c>
      <c r="Q336" s="4" t="str">
        <f t="shared" si="137"/>
        <v>KENVRKQWRRYLCCGKL</v>
      </c>
      <c r="R336" s="5">
        <f>VLOOKUP($A336,'SegEnds_NonXtal_Prot#'!$A:$AL,3,FALSE)</f>
        <v>616</v>
      </c>
      <c r="S336" s="5" t="str">
        <f>VLOOKUP($A336,'SegEnds_NonXtal_Prot#'!$A:$AL,6,FALSE)</f>
        <v>-</v>
      </c>
      <c r="T336" s="5">
        <f>VLOOKUP($A336,'SegEnds_NonXtal_Prot#'!$A:$AL,9,FALSE)</f>
        <v>659</v>
      </c>
      <c r="U336" s="5" t="str">
        <f>VLOOKUP($A336,'SegEnds_NonXtal_Prot#'!$A:$AL,12,FALSE)</f>
        <v>-</v>
      </c>
      <c r="V336" s="5">
        <f>VLOOKUP($A336,'SegEnds_NonXtal_Prot#'!$A:$AL,15,FALSE)</f>
        <v>692</v>
      </c>
      <c r="W336" s="5" t="str">
        <f>VLOOKUP($A336,'SegEnds_NonXtal_Prot#'!$A:$AL,18,FALSE)</f>
        <v>-</v>
      </c>
      <c r="X336" s="5">
        <f>VLOOKUP($A336,'SegEnds_NonXtal_Prot#'!$A:$AL,21,FALSE)</f>
        <v>730</v>
      </c>
      <c r="Y336" s="5">
        <f>VLOOKUP($A336,'SegEnds_NonXtal_Prot#'!$A:$AL,24,FALSE)</f>
        <v>778</v>
      </c>
      <c r="Z336" s="5">
        <f>VLOOKUP($A336,'SegEnds_NonXtal_Prot#'!$A:$AL,27,FALSE)</f>
        <v>783</v>
      </c>
      <c r="AA336" s="5">
        <f>VLOOKUP($A336,'SegEnds_NonXtal_Prot#'!$A:$AL,30,FALSE)</f>
        <v>827</v>
      </c>
      <c r="AB336" s="5">
        <f>VLOOKUP($A336,'SegEnds_NonXtal_Prot#'!$A:$AL,33,FALSE)</f>
        <v>857</v>
      </c>
      <c r="AC336" s="5">
        <f>VLOOKUP($A336,'SegEnds_NonXtal_Prot#'!$A:$AL,36,FALSE)</f>
        <v>883</v>
      </c>
      <c r="AD336" s="5">
        <f>VLOOKUP($A336,'SegEnds_NonXtal_Prot#'!$A:$AL,5,FALSE)</f>
        <v>653</v>
      </c>
      <c r="AE336" s="5" t="str">
        <f>VLOOKUP($A336,'SegEnds_NonXtal_Prot#'!$A:$AL,8,FALSE)</f>
        <v>-</v>
      </c>
      <c r="AF336" s="5">
        <f>VLOOKUP($A336,'SegEnds_NonXtal_Prot#'!$A:$AL,11,FALSE)</f>
        <v>685</v>
      </c>
      <c r="AG336" s="5" t="str">
        <f>VLOOKUP($A336,'SegEnds_NonXtal_Prot#'!$A:$AL,14,FALSE)</f>
        <v>-</v>
      </c>
      <c r="AH336" s="5">
        <f>VLOOKUP($A336,'SegEnds_NonXtal_Prot#'!$A:$AL,17,FALSE)</f>
        <v>725</v>
      </c>
      <c r="AI336" s="5" t="str">
        <f>VLOOKUP($A336,'SegEnds_NonXtal_Prot#'!$A:$AL,20,FALSE)</f>
        <v>-</v>
      </c>
      <c r="AJ336" s="5">
        <f>VLOOKUP($A336,'SegEnds_NonXtal_Prot#'!$A:$AL,23,FALSE)</f>
        <v>761</v>
      </c>
      <c r="AK336" s="5">
        <f>VLOOKUP($A336,'SegEnds_NonXtal_Prot#'!$A:$AL,26,FALSE)</f>
        <v>780</v>
      </c>
      <c r="AL336" s="5">
        <f>VLOOKUP($A336,'SegEnds_NonXtal_Prot#'!$A:$AL,29,FALSE)</f>
        <v>816</v>
      </c>
      <c r="AM336" s="5">
        <f>VLOOKUP($A336,'SegEnds_NonXtal_Prot#'!$A:$AL,32,FALSE)</f>
        <v>852</v>
      </c>
      <c r="AN336" s="5">
        <f>VLOOKUP($A336,'SegEnds_NonXtal_Prot#'!$A:$AL,35,FALSE)</f>
        <v>882</v>
      </c>
      <c r="AO336" s="5">
        <f>VLOOKUP($A336,'SegEnds_NonXtal_Prot#'!$A:$AL,38,FALSE)</f>
        <v>899</v>
      </c>
      <c r="AP336" s="5">
        <f t="shared" si="138"/>
        <v>37</v>
      </c>
      <c r="AQ336" s="4" t="str">
        <f t="shared" si="139"/>
        <v>-</v>
      </c>
      <c r="AR336" s="4">
        <f t="shared" si="140"/>
        <v>26</v>
      </c>
      <c r="AS336" s="4" t="str">
        <f t="shared" si="141"/>
        <v>-</v>
      </c>
      <c r="AT336" s="4">
        <f t="shared" si="142"/>
        <v>33</v>
      </c>
      <c r="AU336" s="4" t="str">
        <f t="shared" si="143"/>
        <v>-</v>
      </c>
      <c r="AV336" s="4">
        <f t="shared" si="144"/>
        <v>31</v>
      </c>
      <c r="AW336" s="4">
        <f t="shared" si="145"/>
        <v>2</v>
      </c>
      <c r="AX336" s="4">
        <f t="shared" si="146"/>
        <v>33</v>
      </c>
      <c r="AY336" s="4">
        <f t="shared" si="147"/>
        <v>25</v>
      </c>
      <c r="AZ336" s="4">
        <f t="shared" si="148"/>
        <v>25</v>
      </c>
      <c r="BA336" s="4">
        <f t="shared" si="149"/>
        <v>16</v>
      </c>
    </row>
    <row r="337" spans="1:53" x14ac:dyDescent="0.2">
      <c r="A337" s="1" t="str">
        <f>'SegEnds_NonXtal_Prot#'!A333</f>
        <v>agrg3_human</v>
      </c>
      <c r="B337" s="1" t="str">
        <f t="shared" si="125"/>
        <v>LRPTLDQSTVHILTRISQAGCGVSMIFLAFTIILYAFLEDAPKIHVALGGSLFLLNLAFLVNVGSAACWARGAVFHYFLLCAFTWMGLEAFHLYLLAVRYFGHYFLKLSLVGWGLPALMVIGTGSANSYGLEGTTMYALYITVHGYFLITFLFGMVVLALVVWKIKNRKKVLTLLGLSSLVGVTWGLGLSTVYIFALFNSLQGVFICCWFTILYLPSQSTTVSSSTARLD</v>
      </c>
      <c r="C337" s="29" t="str">
        <f>IF(ISERROR(MATCH(A337,'SegEnds_Xtal_Prot#'!B:B, 0)), "NoXtal", "Xtal")</f>
        <v>NoXtal</v>
      </c>
      <c r="D337" s="4" t="str">
        <f>VLOOKUP(A337,Classification!A:D,2,FALSE)</f>
        <v>B2</v>
      </c>
      <c r="E337" s="5" t="str">
        <f>VLOOKUP(A337,Seqs!A:B,2,FALSE)</f>
        <v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v>
      </c>
      <c r="F337" s="5" t="str">
        <f t="shared" si="126"/>
        <v>LRPTLDQSTVHILTRISQAGCGVSMIFLAFTIILYAFL</v>
      </c>
      <c r="G337" s="4" t="str">
        <f t="shared" si="127"/>
        <v/>
      </c>
      <c r="H337" s="4" t="str">
        <f t="shared" si="128"/>
        <v>EDAPKIHVALGGSLFLLNLAFLVNVGS</v>
      </c>
      <c r="I337" s="4" t="str">
        <f t="shared" si="129"/>
        <v/>
      </c>
      <c r="J337" s="4" t="str">
        <f t="shared" si="130"/>
        <v>AACWARGAVFHYFLLCAFTWMGLEAFHLYLLAVR</v>
      </c>
      <c r="K337" s="4" t="str">
        <f t="shared" si="131"/>
        <v/>
      </c>
      <c r="L337" s="4" t="str">
        <f t="shared" si="132"/>
        <v>YFGHYFLKLSLVGWGLPALMVIGTGSANSYGL</v>
      </c>
      <c r="M337" s="4" t="str">
        <f t="shared" si="133"/>
        <v>CWF</v>
      </c>
      <c r="N337" s="4" t="str">
        <f t="shared" si="134"/>
        <v>EGTTMYALYITVHGYFLITFLFGMVVLALVVWKI</v>
      </c>
      <c r="O337" s="4" t="str">
        <f t="shared" si="135"/>
        <v>KNRKKVLTLLGLSSLVGVTWGL</v>
      </c>
      <c r="P337" s="4" t="str">
        <f t="shared" si="136"/>
        <v>GLSTVYIFALFNSLQGVFICCWFTIL</v>
      </c>
      <c r="Q337" s="4" t="str">
        <f t="shared" si="137"/>
        <v>YLPSQSTTVSSSTARLD</v>
      </c>
      <c r="R337" s="5">
        <f>VLOOKUP($A337,'SegEnds_NonXtal_Prot#'!$A:$AL,3,FALSE)</f>
        <v>256</v>
      </c>
      <c r="S337" s="5" t="str">
        <f>VLOOKUP($A337,'SegEnds_NonXtal_Prot#'!$A:$AL,6,FALSE)</f>
        <v>-</v>
      </c>
      <c r="T337" s="5">
        <f>VLOOKUP($A337,'SegEnds_NonXtal_Prot#'!$A:$AL,9,FALSE)</f>
        <v>303</v>
      </c>
      <c r="U337" s="5" t="str">
        <f>VLOOKUP($A337,'SegEnds_NonXtal_Prot#'!$A:$AL,12,FALSE)</f>
        <v>-</v>
      </c>
      <c r="V337" s="5">
        <f>VLOOKUP($A337,'SegEnds_NonXtal_Prot#'!$A:$AL,15,FALSE)</f>
        <v>336</v>
      </c>
      <c r="W337" s="5" t="str">
        <f>VLOOKUP($A337,'SegEnds_NonXtal_Prot#'!$A:$AL,18,FALSE)</f>
        <v>-</v>
      </c>
      <c r="X337" s="5">
        <f>VLOOKUP($A337,'SegEnds_NonXtal_Prot#'!$A:$AL,21,FALSE)</f>
        <v>374</v>
      </c>
      <c r="Y337" s="5">
        <f>VLOOKUP($A337,'SegEnds_NonXtal_Prot#'!$A:$AL,24,FALSE)</f>
        <v>420</v>
      </c>
      <c r="Z337" s="5">
        <f>VLOOKUP($A337,'SegEnds_NonXtal_Prot#'!$A:$AL,27,FALSE)</f>
        <v>424</v>
      </c>
      <c r="AA337" s="5">
        <f>VLOOKUP($A337,'SegEnds_NonXtal_Prot#'!$A:$AL,30,FALSE)</f>
        <v>471</v>
      </c>
      <c r="AB337" s="5">
        <f>VLOOKUP($A337,'SegEnds_NonXtal_Prot#'!$A:$AL,33,FALSE)</f>
        <v>499</v>
      </c>
      <c r="AC337" s="5">
        <f>VLOOKUP($A337,'SegEnds_NonXtal_Prot#'!$A:$AL,36,FALSE)</f>
        <v>525</v>
      </c>
      <c r="AD337" s="5">
        <f>VLOOKUP($A337,'SegEnds_NonXtal_Prot#'!$A:$AL,5,FALSE)</f>
        <v>293</v>
      </c>
      <c r="AE337" s="5" t="str">
        <f>VLOOKUP($A337,'SegEnds_NonXtal_Prot#'!$A:$AL,8,FALSE)</f>
        <v>-</v>
      </c>
      <c r="AF337" s="5">
        <f>VLOOKUP($A337,'SegEnds_NonXtal_Prot#'!$A:$AL,11,FALSE)</f>
        <v>329</v>
      </c>
      <c r="AG337" s="5" t="str">
        <f>VLOOKUP($A337,'SegEnds_NonXtal_Prot#'!$A:$AL,14,FALSE)</f>
        <v>-</v>
      </c>
      <c r="AH337" s="5">
        <f>VLOOKUP($A337,'SegEnds_NonXtal_Prot#'!$A:$AL,17,FALSE)</f>
        <v>369</v>
      </c>
      <c r="AI337" s="5" t="str">
        <f>VLOOKUP($A337,'SegEnds_NonXtal_Prot#'!$A:$AL,20,FALSE)</f>
        <v>-</v>
      </c>
      <c r="AJ337" s="5">
        <f>VLOOKUP($A337,'SegEnds_NonXtal_Prot#'!$A:$AL,23,FALSE)</f>
        <v>405</v>
      </c>
      <c r="AK337" s="5">
        <f>VLOOKUP($A337,'SegEnds_NonXtal_Prot#'!$A:$AL,26,FALSE)</f>
        <v>422</v>
      </c>
      <c r="AL337" s="5">
        <f>VLOOKUP($A337,'SegEnds_NonXtal_Prot#'!$A:$AL,29,FALSE)</f>
        <v>457</v>
      </c>
      <c r="AM337" s="5">
        <f>VLOOKUP($A337,'SegEnds_NonXtal_Prot#'!$A:$AL,32,FALSE)</f>
        <v>492</v>
      </c>
      <c r="AN337" s="5">
        <f>VLOOKUP($A337,'SegEnds_NonXtal_Prot#'!$A:$AL,35,FALSE)</f>
        <v>524</v>
      </c>
      <c r="AO337" s="5">
        <f>VLOOKUP($A337,'SegEnds_NonXtal_Prot#'!$A:$AL,38,FALSE)</f>
        <v>541</v>
      </c>
      <c r="AP337" s="5">
        <f t="shared" si="138"/>
        <v>37</v>
      </c>
      <c r="AQ337" s="4" t="str">
        <f t="shared" si="139"/>
        <v>-</v>
      </c>
      <c r="AR337" s="4">
        <f t="shared" si="140"/>
        <v>26</v>
      </c>
      <c r="AS337" s="4" t="str">
        <f t="shared" si="141"/>
        <v>-</v>
      </c>
      <c r="AT337" s="4">
        <f t="shared" si="142"/>
        <v>33</v>
      </c>
      <c r="AU337" s="4" t="str">
        <f t="shared" si="143"/>
        <v>-</v>
      </c>
      <c r="AV337" s="4">
        <f t="shared" si="144"/>
        <v>31</v>
      </c>
      <c r="AW337" s="4">
        <f t="shared" si="145"/>
        <v>2</v>
      </c>
      <c r="AX337" s="4">
        <f t="shared" si="146"/>
        <v>33</v>
      </c>
      <c r="AY337" s="4">
        <f t="shared" si="147"/>
        <v>21</v>
      </c>
      <c r="AZ337" s="4">
        <f t="shared" si="148"/>
        <v>25</v>
      </c>
      <c r="BA337" s="4">
        <f t="shared" si="149"/>
        <v>16</v>
      </c>
    </row>
    <row r="338" spans="1:53" x14ac:dyDescent="0.2">
      <c r="A338" s="1" t="str">
        <f>'SegEnds_NonXtal_Prot#'!A334</f>
        <v>agrg4_human</v>
      </c>
      <c r="B338" s="1" t="str">
        <f t="shared" si="125"/>
        <v>SRSTVDSVNEQILALITYTGCGISSIFLGVAVVTYIAFDYPAKILINLCTALLMLNLVFLINSWLGVCITAAVALHYFLLVSFTWMGLEAVHMYLALVKYIPNYILKFCLVGWGIPAIMVAITVSVKKDLYDSIFYISVVAYFCLIFLMNLSMFCTVLVQLNSVKMILHDLKGTMSLTFLLGLTWGFAFFARNFFLYLFAIFNTLQGFFIFVFHCVMKESVREQWQIHLCCGWL</v>
      </c>
      <c r="C338" s="29" t="str">
        <f>IF(ISERROR(MATCH(A338,'SegEnds_Xtal_Prot#'!B:B, 0)), "NoXtal", "Xtal")</f>
        <v>NoXtal</v>
      </c>
      <c r="D338" s="4" t="str">
        <f>VLOOKUP(A338,Classification!A:D,2,FALSE)</f>
        <v>B2</v>
      </c>
      <c r="E338" s="5" t="str">
        <f>VLOOKUP(A338,Seqs!A:B,2,FALSE)</f>
        <v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v>
      </c>
      <c r="F338" s="5" t="str">
        <f t="shared" si="126"/>
        <v>SRSTVDSVNEQILALITYTGCGISSIFLGVAVVTYIAF</v>
      </c>
      <c r="G338" s="4" t="str">
        <f t="shared" si="127"/>
        <v/>
      </c>
      <c r="H338" s="4" t="str">
        <f t="shared" si="128"/>
        <v>DYPAKILINLCTALLMLNLVFLINSWL</v>
      </c>
      <c r="I338" s="4" t="str">
        <f t="shared" si="129"/>
        <v/>
      </c>
      <c r="J338" s="4" t="str">
        <f t="shared" si="130"/>
        <v>GVCITAAVALHYFLLVSFTWMGLEAVHMYLALVK</v>
      </c>
      <c r="K338" s="4" t="str">
        <f t="shared" si="131"/>
        <v/>
      </c>
      <c r="L338" s="4" t="str">
        <f t="shared" si="132"/>
        <v>YIPNYILKFCLVGWGIPAIMVAITVSVKKDLY</v>
      </c>
      <c r="M338" s="4" t="str">
        <f t="shared" si="133"/>
        <v>CWI</v>
      </c>
      <c r="N338" s="4" t="str">
        <f t="shared" si="134"/>
        <v>DSIFYISVVAYFCLIFLMNLSMFCTVLVQLNSVK</v>
      </c>
      <c r="O338" s="4" t="str">
        <f t="shared" si="135"/>
        <v>MILHDLKGTMSLTFLLGLTWGFAFFA</v>
      </c>
      <c r="P338" s="4" t="str">
        <f t="shared" si="136"/>
        <v>RNFFLYLFAIFNTLQGFFIFVFHCVM</v>
      </c>
      <c r="Q338" s="4" t="str">
        <f t="shared" si="137"/>
        <v>KESVREQWQIHLCCGWL</v>
      </c>
      <c r="R338" s="5">
        <f>VLOOKUP($A338,'SegEnds_NonXtal_Prot#'!$A:$AL,3,FALSE)</f>
        <v>2731</v>
      </c>
      <c r="S338" s="5" t="str">
        <f>VLOOKUP($A338,'SegEnds_NonXtal_Prot#'!$A:$AL,6,FALSE)</f>
        <v>-</v>
      </c>
      <c r="T338" s="5">
        <f>VLOOKUP($A338,'SegEnds_NonXtal_Prot#'!$A:$AL,9,FALSE)</f>
        <v>2774</v>
      </c>
      <c r="U338" s="5" t="str">
        <f>VLOOKUP($A338,'SegEnds_NonXtal_Prot#'!$A:$AL,12,FALSE)</f>
        <v>-</v>
      </c>
      <c r="V338" s="5">
        <f>VLOOKUP($A338,'SegEnds_NonXtal_Prot#'!$A:$AL,15,FALSE)</f>
        <v>2807</v>
      </c>
      <c r="W338" s="5" t="str">
        <f>VLOOKUP($A338,'SegEnds_NonXtal_Prot#'!$A:$AL,18,FALSE)</f>
        <v>-</v>
      </c>
      <c r="X338" s="5">
        <f>VLOOKUP($A338,'SegEnds_NonXtal_Prot#'!$A:$AL,21,FALSE)</f>
        <v>2845</v>
      </c>
      <c r="Y338" s="5">
        <f>VLOOKUP($A338,'SegEnds_NonXtal_Prot#'!$A:$AL,24,FALSE)</f>
        <v>2886</v>
      </c>
      <c r="Z338" s="5">
        <f>VLOOKUP($A338,'SegEnds_NonXtal_Prot#'!$A:$AL,27,FALSE)</f>
        <v>2891</v>
      </c>
      <c r="AA338" s="5">
        <f>VLOOKUP($A338,'SegEnds_NonXtal_Prot#'!$A:$AL,30,FALSE)</f>
        <v>2934</v>
      </c>
      <c r="AB338" s="5">
        <f>VLOOKUP($A338,'SegEnds_NonXtal_Prot#'!$A:$AL,33,FALSE)</f>
        <v>2964</v>
      </c>
      <c r="AC338" s="5">
        <f>VLOOKUP($A338,'SegEnds_NonXtal_Prot#'!$A:$AL,36,FALSE)</f>
        <v>2990</v>
      </c>
      <c r="AD338" s="5">
        <f>VLOOKUP($A338,'SegEnds_NonXtal_Prot#'!$A:$AL,5,FALSE)</f>
        <v>2768</v>
      </c>
      <c r="AE338" s="5" t="str">
        <f>VLOOKUP($A338,'SegEnds_NonXtal_Prot#'!$A:$AL,8,FALSE)</f>
        <v>-</v>
      </c>
      <c r="AF338" s="5">
        <f>VLOOKUP($A338,'SegEnds_NonXtal_Prot#'!$A:$AL,11,FALSE)</f>
        <v>2800</v>
      </c>
      <c r="AG338" s="5" t="str">
        <f>VLOOKUP($A338,'SegEnds_NonXtal_Prot#'!$A:$AL,14,FALSE)</f>
        <v>-</v>
      </c>
      <c r="AH338" s="5">
        <f>VLOOKUP($A338,'SegEnds_NonXtal_Prot#'!$A:$AL,17,FALSE)</f>
        <v>2840</v>
      </c>
      <c r="AI338" s="5" t="str">
        <f>VLOOKUP($A338,'SegEnds_NonXtal_Prot#'!$A:$AL,20,FALSE)</f>
        <v>-</v>
      </c>
      <c r="AJ338" s="5">
        <f>VLOOKUP($A338,'SegEnds_NonXtal_Prot#'!$A:$AL,23,FALSE)</f>
        <v>2876</v>
      </c>
      <c r="AK338" s="5">
        <f>VLOOKUP($A338,'SegEnds_NonXtal_Prot#'!$A:$AL,26,FALSE)</f>
        <v>2888</v>
      </c>
      <c r="AL338" s="5">
        <f>VLOOKUP($A338,'SegEnds_NonXtal_Prot#'!$A:$AL,29,FALSE)</f>
        <v>2924</v>
      </c>
      <c r="AM338" s="5">
        <f>VLOOKUP($A338,'SegEnds_NonXtal_Prot#'!$A:$AL,32,FALSE)</f>
        <v>2959</v>
      </c>
      <c r="AN338" s="5">
        <f>VLOOKUP($A338,'SegEnds_NonXtal_Prot#'!$A:$AL,35,FALSE)</f>
        <v>2989</v>
      </c>
      <c r="AO338" s="5">
        <f>VLOOKUP($A338,'SegEnds_NonXtal_Prot#'!$A:$AL,38,FALSE)</f>
        <v>3006</v>
      </c>
      <c r="AP338" s="5">
        <f t="shared" si="138"/>
        <v>37</v>
      </c>
      <c r="AQ338" s="4" t="str">
        <f t="shared" si="139"/>
        <v>-</v>
      </c>
      <c r="AR338" s="4">
        <f t="shared" si="140"/>
        <v>26</v>
      </c>
      <c r="AS338" s="4" t="str">
        <f t="shared" si="141"/>
        <v>-</v>
      </c>
      <c r="AT338" s="4">
        <f t="shared" si="142"/>
        <v>33</v>
      </c>
      <c r="AU338" s="4" t="str">
        <f t="shared" si="143"/>
        <v>-</v>
      </c>
      <c r="AV338" s="4">
        <f t="shared" si="144"/>
        <v>31</v>
      </c>
      <c r="AW338" s="4">
        <f t="shared" si="145"/>
        <v>2</v>
      </c>
      <c r="AX338" s="4">
        <f t="shared" si="146"/>
        <v>33</v>
      </c>
      <c r="AY338" s="4">
        <f t="shared" si="147"/>
        <v>25</v>
      </c>
      <c r="AZ338" s="4">
        <f t="shared" si="148"/>
        <v>25</v>
      </c>
      <c r="BA338" s="4">
        <f t="shared" si="149"/>
        <v>16</v>
      </c>
    </row>
    <row r="339" spans="1:53" x14ac:dyDescent="0.2">
      <c r="A339" s="1" t="str">
        <f>'SegEnds_NonXtal_Prot#'!A335</f>
        <v>agrg5_human</v>
      </c>
      <c r="B339" s="1" t="str">
        <f t="shared" si="125"/>
        <v>SPALVPAELLAPLTYISLVGCSISIVASLITVLLHFHFDSLTRIHMNLHASVLLLNIAFLLSPAFSACTALAAALHYALLSCLTWMAIEGFNLYLLLGRYIRRYVFKLGVLGWGAPALLVLLSLSVKSSVYPVVHSVLVMGYGGLTSLFNLVVLAWALWTLRRLRRACHDTVTVLGLTVLLGTTWALAFFSLLPQLFLFTILNSLYGFFLFLWFCSQRCRSEAEAKAQIEAFSS</v>
      </c>
      <c r="C339" s="29" t="str">
        <f>IF(ISERROR(MATCH(A339,'SegEnds_Xtal_Prot#'!B:B, 0)), "NoXtal", "Xtal")</f>
        <v>NoXtal</v>
      </c>
      <c r="D339" s="4" t="str">
        <f>VLOOKUP(A339,Classification!A:D,2,FALSE)</f>
        <v>B2</v>
      </c>
      <c r="E339" s="5" t="str">
        <f>VLOOKUP(A339,Seqs!A:B,2,FALSE)</f>
        <v>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</v>
      </c>
      <c r="F339" s="5" t="str">
        <f t="shared" si="126"/>
        <v>SPALVPAELLAPLTYISLVGCSISIVASLITVLLHFHF</v>
      </c>
      <c r="G339" s="4" t="str">
        <f t="shared" si="127"/>
        <v/>
      </c>
      <c r="H339" s="4" t="str">
        <f t="shared" si="128"/>
        <v>DSLTRIHMNLHASVLLLNIAFLLSPAF</v>
      </c>
      <c r="I339" s="4" t="str">
        <f t="shared" si="129"/>
        <v/>
      </c>
      <c r="J339" s="4" t="str">
        <f t="shared" si="130"/>
        <v>SACTALAAALHYALLSCLTWMAIEGFNLYLLLGR</v>
      </c>
      <c r="K339" s="4" t="str">
        <f t="shared" si="131"/>
        <v/>
      </c>
      <c r="L339" s="4" t="str">
        <f t="shared" si="132"/>
        <v>YIRRYVFKLGVLGWGAPALLVLLSLSVKSSVY</v>
      </c>
      <c r="M339" s="4" t="str">
        <f t="shared" si="133"/>
        <v>CWV</v>
      </c>
      <c r="N339" s="4" t="str">
        <f t="shared" si="134"/>
        <v>PVVHSVLVMGYGGLTSLFNLVVLAWALWTLRRLR</v>
      </c>
      <c r="O339" s="4" t="str">
        <f t="shared" si="135"/>
        <v>RACHDTVTVLGLTVLLGTTWALAFFS</v>
      </c>
      <c r="P339" s="4" t="str">
        <f t="shared" si="136"/>
        <v>LLPQLFLFTILNSLYGFFLFLWFCSQ</v>
      </c>
      <c r="Q339" s="4" t="str">
        <f t="shared" si="137"/>
        <v>RCRSEAEAKAQIEAFSS</v>
      </c>
      <c r="R339" s="5">
        <f>VLOOKUP($A339,'SegEnds_NonXtal_Prot#'!$A:$AL,3,FALSE)</f>
        <v>236</v>
      </c>
      <c r="S339" s="5" t="str">
        <f>VLOOKUP($A339,'SegEnds_NonXtal_Prot#'!$A:$AL,6,FALSE)</f>
        <v>-</v>
      </c>
      <c r="T339" s="5">
        <f>VLOOKUP($A339,'SegEnds_NonXtal_Prot#'!$A:$AL,9,FALSE)</f>
        <v>278</v>
      </c>
      <c r="U339" s="5" t="str">
        <f>VLOOKUP($A339,'SegEnds_NonXtal_Prot#'!$A:$AL,12,FALSE)</f>
        <v>-</v>
      </c>
      <c r="V339" s="5">
        <f>VLOOKUP($A339,'SegEnds_NonXtal_Prot#'!$A:$AL,15,FALSE)</f>
        <v>312</v>
      </c>
      <c r="W339" s="5" t="str">
        <f>VLOOKUP($A339,'SegEnds_NonXtal_Prot#'!$A:$AL,18,FALSE)</f>
        <v>-</v>
      </c>
      <c r="X339" s="5">
        <f>VLOOKUP($A339,'SegEnds_NonXtal_Prot#'!$A:$AL,21,FALSE)</f>
        <v>350</v>
      </c>
      <c r="Y339" s="5">
        <f>VLOOKUP($A339,'SegEnds_NonXtal_Prot#'!$A:$AL,24,FALSE)</f>
        <v>404</v>
      </c>
      <c r="Z339" s="5">
        <f>VLOOKUP($A339,'SegEnds_NonXtal_Prot#'!$A:$AL,27,FALSE)</f>
        <v>409</v>
      </c>
      <c r="AA339" s="5">
        <f>VLOOKUP($A339,'SegEnds_NonXtal_Prot#'!$A:$AL,30,FALSE)</f>
        <v>451</v>
      </c>
      <c r="AB339" s="5">
        <f>VLOOKUP($A339,'SegEnds_NonXtal_Prot#'!$A:$AL,33,FALSE)</f>
        <v>481</v>
      </c>
      <c r="AC339" s="5">
        <f>VLOOKUP($A339,'SegEnds_NonXtal_Prot#'!$A:$AL,36,FALSE)</f>
        <v>507</v>
      </c>
      <c r="AD339" s="5">
        <f>VLOOKUP($A339,'SegEnds_NonXtal_Prot#'!$A:$AL,5,FALSE)</f>
        <v>273</v>
      </c>
      <c r="AE339" s="5" t="str">
        <f>VLOOKUP($A339,'SegEnds_NonXtal_Prot#'!$A:$AL,8,FALSE)</f>
        <v>-</v>
      </c>
      <c r="AF339" s="5">
        <f>VLOOKUP($A339,'SegEnds_NonXtal_Prot#'!$A:$AL,11,FALSE)</f>
        <v>304</v>
      </c>
      <c r="AG339" s="5" t="str">
        <f>VLOOKUP($A339,'SegEnds_NonXtal_Prot#'!$A:$AL,14,FALSE)</f>
        <v>-</v>
      </c>
      <c r="AH339" s="5">
        <f>VLOOKUP($A339,'SegEnds_NonXtal_Prot#'!$A:$AL,17,FALSE)</f>
        <v>345</v>
      </c>
      <c r="AI339" s="5" t="str">
        <f>VLOOKUP($A339,'SegEnds_NonXtal_Prot#'!$A:$AL,20,FALSE)</f>
        <v>-</v>
      </c>
      <c r="AJ339" s="5">
        <f>VLOOKUP($A339,'SegEnds_NonXtal_Prot#'!$A:$AL,23,FALSE)</f>
        <v>381</v>
      </c>
      <c r="AK339" s="5">
        <f>VLOOKUP($A339,'SegEnds_NonXtal_Prot#'!$A:$AL,26,FALSE)</f>
        <v>406</v>
      </c>
      <c r="AL339" s="5">
        <f>VLOOKUP($A339,'SegEnds_NonXtal_Prot#'!$A:$AL,29,FALSE)</f>
        <v>442</v>
      </c>
      <c r="AM339" s="5">
        <f>VLOOKUP($A339,'SegEnds_NonXtal_Prot#'!$A:$AL,32,FALSE)</f>
        <v>476</v>
      </c>
      <c r="AN339" s="5">
        <f>VLOOKUP($A339,'SegEnds_NonXtal_Prot#'!$A:$AL,35,FALSE)</f>
        <v>506</v>
      </c>
      <c r="AO339" s="5">
        <f>VLOOKUP($A339,'SegEnds_NonXtal_Prot#'!$A:$AL,38,FALSE)</f>
        <v>523</v>
      </c>
      <c r="AP339" s="5">
        <f t="shared" si="138"/>
        <v>37</v>
      </c>
      <c r="AQ339" s="4" t="str">
        <f t="shared" si="139"/>
        <v>-</v>
      </c>
      <c r="AR339" s="4">
        <f t="shared" si="140"/>
        <v>26</v>
      </c>
      <c r="AS339" s="4" t="str">
        <f t="shared" si="141"/>
        <v>-</v>
      </c>
      <c r="AT339" s="4">
        <f t="shared" si="142"/>
        <v>33</v>
      </c>
      <c r="AU339" s="4" t="str">
        <f t="shared" si="143"/>
        <v>-</v>
      </c>
      <c r="AV339" s="4">
        <f t="shared" si="144"/>
        <v>31</v>
      </c>
      <c r="AW339" s="4">
        <f t="shared" si="145"/>
        <v>2</v>
      </c>
      <c r="AX339" s="4">
        <f t="shared" si="146"/>
        <v>33</v>
      </c>
      <c r="AY339" s="4">
        <f t="shared" si="147"/>
        <v>25</v>
      </c>
      <c r="AZ339" s="4">
        <f t="shared" si="148"/>
        <v>25</v>
      </c>
      <c r="BA339" s="4">
        <f t="shared" si="149"/>
        <v>16</v>
      </c>
    </row>
    <row r="340" spans="1:53" x14ac:dyDescent="0.2">
      <c r="A340" s="1" t="str">
        <f>'SegEnds_NonXtal_Prot#'!A336</f>
        <v>agrg6_human</v>
      </c>
      <c r="B340" s="1" t="str">
        <f t="shared" si="125"/>
        <v>SASQLDARNTKVLTFISYIGCGISAIFSAATLLTYVAFRDYPSKILMNLSTALLFLNLLFLLDGWIGLCIAVAVLLHFFLLATFTWMGLEAIHMYIALVKRYILKFCIIGWGLPALVVSVVLASRNNNEPVIFYVTCAGYFGVMFFLNIAMFIVVMVQICGRNEVLRNLRSVVSLTFLLGMTWGFAFFNIPFMYLFSIFNSLQGLFIFIFHCAMKENVQKQWRQHLCCGRF</v>
      </c>
      <c r="C340" s="29" t="str">
        <f>IF(ISERROR(MATCH(A340,'SegEnds_Xtal_Prot#'!B:B, 0)), "NoXtal", "Xtal")</f>
        <v>NoXtal</v>
      </c>
      <c r="D340" s="4" t="str">
        <f>VLOOKUP(A340,Classification!A:D,2,FALSE)</f>
        <v>B2</v>
      </c>
      <c r="E340" s="5" t="str">
        <f>VLOOKUP(A340,Seqs!A:B,2,FALSE)</f>
        <v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v>
      </c>
      <c r="F340" s="5" t="str">
        <f t="shared" si="126"/>
        <v>SASQLDARNTKVLTFISYIGCGISAIFSAATLLTYVAF</v>
      </c>
      <c r="G340" s="4" t="str">
        <f t="shared" si="127"/>
        <v>EKLR</v>
      </c>
      <c r="H340" s="4" t="str">
        <f t="shared" si="128"/>
        <v>RDYPSKILMNLSTALLFLNLLFLLDGWI</v>
      </c>
      <c r="I340" s="4" t="str">
        <f t="shared" si="129"/>
        <v/>
      </c>
      <c r="J340" s="4" t="str">
        <f t="shared" si="130"/>
        <v>GLCIAVAVLLHFFLLATFTWMGLEAIHMYIALVK</v>
      </c>
      <c r="K340" s="4" t="str">
        <f t="shared" si="131"/>
        <v/>
      </c>
      <c r="L340" s="4" t="str">
        <f t="shared" si="132"/>
        <v>RYILKFCIIGWGLPALVVSVVLASRNNNE</v>
      </c>
      <c r="M340" s="4" t="str">
        <f t="shared" si="133"/>
        <v>CWI</v>
      </c>
      <c r="N340" s="4" t="str">
        <f t="shared" si="134"/>
        <v>PVIFYVTCAGYFGVMFFLNIAMFIVVMVQICGRN</v>
      </c>
      <c r="O340" s="4" t="str">
        <f t="shared" si="135"/>
        <v>EVLRNLRSVVSLTFLLGMTWGFAFF</v>
      </c>
      <c r="P340" s="4" t="str">
        <f t="shared" si="136"/>
        <v>NIPFMYLFSIFNSLQGLFIFIFHCAM</v>
      </c>
      <c r="Q340" s="4" t="str">
        <f t="shared" si="137"/>
        <v>KENVQKQWRQHLCCGRF</v>
      </c>
      <c r="R340" s="5">
        <f>VLOOKUP($A340,'SegEnds_NonXtal_Prot#'!$A:$AL,3,FALSE)</f>
        <v>852</v>
      </c>
      <c r="S340" s="5">
        <f>VLOOKUP($A340,'SegEnds_NonXtal_Prot#'!$A:$AL,6,FALSE)</f>
        <v>890</v>
      </c>
      <c r="T340" s="5">
        <f>VLOOKUP($A340,'SegEnds_NonXtal_Prot#'!$A:$AL,9,FALSE)</f>
        <v>894</v>
      </c>
      <c r="U340" s="5" t="str">
        <f>VLOOKUP($A340,'SegEnds_NonXtal_Prot#'!$A:$AL,12,FALSE)</f>
        <v>-</v>
      </c>
      <c r="V340" s="5">
        <f>VLOOKUP($A340,'SegEnds_NonXtal_Prot#'!$A:$AL,15,FALSE)</f>
        <v>928</v>
      </c>
      <c r="W340" s="5" t="str">
        <f>VLOOKUP($A340,'SegEnds_NonXtal_Prot#'!$A:$AL,18,FALSE)</f>
        <v>-</v>
      </c>
      <c r="X340" s="5">
        <f>VLOOKUP($A340,'SegEnds_NonXtal_Prot#'!$A:$AL,21,FALSE)</f>
        <v>969</v>
      </c>
      <c r="Y340" s="5">
        <f>VLOOKUP($A340,'SegEnds_NonXtal_Prot#'!$A:$AL,24,FALSE)</f>
        <v>1013</v>
      </c>
      <c r="Z340" s="5">
        <f>VLOOKUP($A340,'SegEnds_NonXtal_Prot#'!$A:$AL,27,FALSE)</f>
        <v>1018</v>
      </c>
      <c r="AA340" s="5">
        <f>VLOOKUP($A340,'SegEnds_NonXtal_Prot#'!$A:$AL,30,FALSE)</f>
        <v>1062</v>
      </c>
      <c r="AB340" s="5">
        <f>VLOOKUP($A340,'SegEnds_NonXtal_Prot#'!$A:$AL,33,FALSE)</f>
        <v>1092</v>
      </c>
      <c r="AC340" s="5">
        <f>VLOOKUP($A340,'SegEnds_NonXtal_Prot#'!$A:$AL,36,FALSE)</f>
        <v>1118</v>
      </c>
      <c r="AD340" s="5">
        <f>VLOOKUP($A340,'SegEnds_NonXtal_Prot#'!$A:$AL,5,FALSE)</f>
        <v>889</v>
      </c>
      <c r="AE340" s="5">
        <f>VLOOKUP($A340,'SegEnds_NonXtal_Prot#'!$A:$AL,8,FALSE)</f>
        <v>893</v>
      </c>
      <c r="AF340" s="5">
        <f>VLOOKUP($A340,'SegEnds_NonXtal_Prot#'!$A:$AL,11,FALSE)</f>
        <v>921</v>
      </c>
      <c r="AG340" s="5" t="str">
        <f>VLOOKUP($A340,'SegEnds_NonXtal_Prot#'!$A:$AL,14,FALSE)</f>
        <v>-</v>
      </c>
      <c r="AH340" s="5">
        <f>VLOOKUP($A340,'SegEnds_NonXtal_Prot#'!$A:$AL,17,FALSE)</f>
        <v>961</v>
      </c>
      <c r="AI340" s="5" t="str">
        <f>VLOOKUP($A340,'SegEnds_NonXtal_Prot#'!$A:$AL,20,FALSE)</f>
        <v>-</v>
      </c>
      <c r="AJ340" s="5">
        <f>VLOOKUP($A340,'SegEnds_NonXtal_Prot#'!$A:$AL,23,FALSE)</f>
        <v>997</v>
      </c>
      <c r="AK340" s="5">
        <f>VLOOKUP($A340,'SegEnds_NonXtal_Prot#'!$A:$AL,26,FALSE)</f>
        <v>1015</v>
      </c>
      <c r="AL340" s="5">
        <f>VLOOKUP($A340,'SegEnds_NonXtal_Prot#'!$A:$AL,29,FALSE)</f>
        <v>1051</v>
      </c>
      <c r="AM340" s="5">
        <f>VLOOKUP($A340,'SegEnds_NonXtal_Prot#'!$A:$AL,32,FALSE)</f>
        <v>1086</v>
      </c>
      <c r="AN340" s="5">
        <f>VLOOKUP($A340,'SegEnds_NonXtal_Prot#'!$A:$AL,35,FALSE)</f>
        <v>1117</v>
      </c>
      <c r="AO340" s="5">
        <f>VLOOKUP($A340,'SegEnds_NonXtal_Prot#'!$A:$AL,38,FALSE)</f>
        <v>1134</v>
      </c>
      <c r="AP340" s="5">
        <f t="shared" si="138"/>
        <v>37</v>
      </c>
      <c r="AQ340" s="4">
        <f t="shared" si="139"/>
        <v>3</v>
      </c>
      <c r="AR340" s="4">
        <f t="shared" si="140"/>
        <v>27</v>
      </c>
      <c r="AS340" s="4" t="str">
        <f t="shared" si="141"/>
        <v>-</v>
      </c>
      <c r="AT340" s="4">
        <f t="shared" si="142"/>
        <v>33</v>
      </c>
      <c r="AU340" s="4" t="str">
        <f t="shared" si="143"/>
        <v>-</v>
      </c>
      <c r="AV340" s="4">
        <f t="shared" si="144"/>
        <v>28</v>
      </c>
      <c r="AW340" s="4">
        <f t="shared" si="145"/>
        <v>2</v>
      </c>
      <c r="AX340" s="4">
        <f t="shared" si="146"/>
        <v>33</v>
      </c>
      <c r="AY340" s="4">
        <f t="shared" si="147"/>
        <v>24</v>
      </c>
      <c r="AZ340" s="4">
        <f t="shared" si="148"/>
        <v>25</v>
      </c>
      <c r="BA340" s="4">
        <f t="shared" si="149"/>
        <v>16</v>
      </c>
    </row>
    <row r="341" spans="1:53" x14ac:dyDescent="0.2">
      <c r="A341" s="1" t="str">
        <f>'SegEnds_NonXtal_Prot#'!A337</f>
        <v>agrg7_human</v>
      </c>
      <c r="B341" s="1" t="str">
        <f t="shared" si="125"/>
        <v>MTFKKDYQYPKSLDILSNVGCALSVTGLALTVIFQIVTTSVTWVLVNLCISMLIFNLLFVFGIENSNINIPNPMCTAIAALLHYFLLVTFTWNALSAAQLYYLLIRLPRHFILFISLIGWGVPAIVVAITVGVIYSQNKSPLLWSFIVPVTIILISNVVMFITISIKVLWKNSSMKKIVSTLSVAVVFGITWILAYLMSIRIVFSYIFCLFNTTQGLQIFILYTVRTKVFQSEASKVLMLLSS</v>
      </c>
      <c r="C341" s="29" t="str">
        <f>IF(ISERROR(MATCH(A341,'SegEnds_Xtal_Prot#'!B:B, 0)), "NoXtal", "Xtal")</f>
        <v>NoXtal</v>
      </c>
      <c r="D341" s="4" t="str">
        <f>VLOOKUP(A341,Classification!A:D,2,FALSE)</f>
        <v>B2</v>
      </c>
      <c r="E341" s="5" t="str">
        <f>VLOOKUP(A341,Seqs!A:B,2,FALSE)</f>
        <v>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</v>
      </c>
      <c r="F341" s="5" t="str">
        <f t="shared" si="126"/>
        <v>MTFKKDYQYPKSLDILSNVGCALSVTGLALTVIFQIVT</v>
      </c>
      <c r="G341" s="4" t="str">
        <f t="shared" si="127"/>
        <v/>
      </c>
      <c r="H341" s="4" t="str">
        <f t="shared" si="128"/>
        <v>TSVTWVLVNLCISMLIFNLLFVFGIENSN</v>
      </c>
      <c r="I341" s="4" t="str">
        <f t="shared" si="129"/>
        <v/>
      </c>
      <c r="J341" s="4" t="str">
        <f t="shared" si="130"/>
        <v>INIPNPMCTAIAALLHYFLLVTFTWNALSAAQLYYLLIR</v>
      </c>
      <c r="K341" s="4" t="str">
        <f t="shared" si="131"/>
        <v/>
      </c>
      <c r="L341" s="4" t="str">
        <f t="shared" si="132"/>
        <v>LPRHFILFISLIGWGVPAIVVAITVGVIYSQN</v>
      </c>
      <c r="M341" s="4" t="str">
        <f t="shared" si="133"/>
        <v>CWL</v>
      </c>
      <c r="N341" s="4" t="str">
        <f t="shared" si="134"/>
        <v>KSPLLWSFIVPVTIILISNVVMFITISIKVLWKN</v>
      </c>
      <c r="O341" s="4" t="str">
        <f t="shared" si="135"/>
        <v>SSMKKIVSTLSVAVVFGITWILAYLM</v>
      </c>
      <c r="P341" s="4" t="str">
        <f t="shared" si="136"/>
        <v>SIRIVFSYIFCLFNTTQGLQIFILYTVR</v>
      </c>
      <c r="Q341" s="4" t="str">
        <f t="shared" si="137"/>
        <v>TKVFQSEASKVLMLLSS</v>
      </c>
      <c r="R341" s="5">
        <f>VLOOKUP($A341,'SegEnds_NonXtal_Prot#'!$A:$AL,3,FALSE)</f>
        <v>422</v>
      </c>
      <c r="S341" s="5" t="str">
        <f>VLOOKUP($A341,'SegEnds_NonXtal_Prot#'!$A:$AL,6,FALSE)</f>
        <v>-</v>
      </c>
      <c r="T341" s="5">
        <f>VLOOKUP($A341,'SegEnds_NonXtal_Prot#'!$A:$AL,9,FALSE)</f>
        <v>465</v>
      </c>
      <c r="U341" s="5" t="str">
        <f>VLOOKUP($A341,'SegEnds_NonXtal_Prot#'!$A:$AL,12,FALSE)</f>
        <v>-</v>
      </c>
      <c r="V341" s="5">
        <f>VLOOKUP($A341,'SegEnds_NonXtal_Prot#'!$A:$AL,15,FALSE)</f>
        <v>519</v>
      </c>
      <c r="W341" s="5" t="str">
        <f>VLOOKUP($A341,'SegEnds_NonXtal_Prot#'!$A:$AL,18,FALSE)</f>
        <v>-</v>
      </c>
      <c r="X341" s="5">
        <f>VLOOKUP($A341,'SegEnds_NonXtal_Prot#'!$A:$AL,21,FALSE)</f>
        <v>562</v>
      </c>
      <c r="Y341" s="5">
        <f>VLOOKUP($A341,'SegEnds_NonXtal_Prot#'!$A:$AL,24,FALSE)</f>
        <v>609</v>
      </c>
      <c r="Z341" s="5">
        <f>VLOOKUP($A341,'SegEnds_NonXtal_Prot#'!$A:$AL,27,FALSE)</f>
        <v>621</v>
      </c>
      <c r="AA341" s="5">
        <f>VLOOKUP($A341,'SegEnds_NonXtal_Prot#'!$A:$AL,30,FALSE)</f>
        <v>665</v>
      </c>
      <c r="AB341" s="5">
        <f>VLOOKUP($A341,'SegEnds_NonXtal_Prot#'!$A:$AL,33,FALSE)</f>
        <v>696</v>
      </c>
      <c r="AC341" s="5">
        <f>VLOOKUP($A341,'SegEnds_NonXtal_Prot#'!$A:$AL,36,FALSE)</f>
        <v>724</v>
      </c>
      <c r="AD341" s="5">
        <f>VLOOKUP($A341,'SegEnds_NonXtal_Prot#'!$A:$AL,5,FALSE)</f>
        <v>459</v>
      </c>
      <c r="AE341" s="5" t="str">
        <f>VLOOKUP($A341,'SegEnds_NonXtal_Prot#'!$A:$AL,8,FALSE)</f>
        <v>-</v>
      </c>
      <c r="AF341" s="5">
        <f>VLOOKUP($A341,'SegEnds_NonXtal_Prot#'!$A:$AL,11,FALSE)</f>
        <v>493</v>
      </c>
      <c r="AG341" s="5" t="str">
        <f>VLOOKUP($A341,'SegEnds_NonXtal_Prot#'!$A:$AL,14,FALSE)</f>
        <v>-</v>
      </c>
      <c r="AH341" s="5">
        <f>VLOOKUP($A341,'SegEnds_NonXtal_Prot#'!$A:$AL,17,FALSE)</f>
        <v>557</v>
      </c>
      <c r="AI341" s="5" t="str">
        <f>VLOOKUP($A341,'SegEnds_NonXtal_Prot#'!$A:$AL,20,FALSE)</f>
        <v>-</v>
      </c>
      <c r="AJ341" s="5">
        <f>VLOOKUP($A341,'SegEnds_NonXtal_Prot#'!$A:$AL,23,FALSE)</f>
        <v>593</v>
      </c>
      <c r="AK341" s="5">
        <f>VLOOKUP($A341,'SegEnds_NonXtal_Prot#'!$A:$AL,26,FALSE)</f>
        <v>611</v>
      </c>
      <c r="AL341" s="5">
        <f>VLOOKUP($A341,'SegEnds_NonXtal_Prot#'!$A:$AL,29,FALSE)</f>
        <v>654</v>
      </c>
      <c r="AM341" s="5">
        <f>VLOOKUP($A341,'SegEnds_NonXtal_Prot#'!$A:$AL,32,FALSE)</f>
        <v>690</v>
      </c>
      <c r="AN341" s="5">
        <f>VLOOKUP($A341,'SegEnds_NonXtal_Prot#'!$A:$AL,35,FALSE)</f>
        <v>723</v>
      </c>
      <c r="AO341" s="5">
        <f>VLOOKUP($A341,'SegEnds_NonXtal_Prot#'!$A:$AL,38,FALSE)</f>
        <v>740</v>
      </c>
      <c r="AP341" s="5">
        <f t="shared" si="138"/>
        <v>37</v>
      </c>
      <c r="AQ341" s="4" t="str">
        <f t="shared" si="139"/>
        <v>-</v>
      </c>
      <c r="AR341" s="4">
        <f t="shared" si="140"/>
        <v>28</v>
      </c>
      <c r="AS341" s="4" t="str">
        <f t="shared" si="141"/>
        <v>-</v>
      </c>
      <c r="AT341" s="4">
        <f t="shared" si="142"/>
        <v>38</v>
      </c>
      <c r="AU341" s="4" t="str">
        <f t="shared" si="143"/>
        <v>-</v>
      </c>
      <c r="AV341" s="4">
        <f t="shared" si="144"/>
        <v>31</v>
      </c>
      <c r="AW341" s="4">
        <f t="shared" si="145"/>
        <v>2</v>
      </c>
      <c r="AX341" s="4">
        <f t="shared" si="146"/>
        <v>33</v>
      </c>
      <c r="AY341" s="4">
        <f t="shared" si="147"/>
        <v>25</v>
      </c>
      <c r="AZ341" s="4">
        <f t="shared" si="148"/>
        <v>27</v>
      </c>
      <c r="BA341" s="4">
        <f t="shared" si="149"/>
        <v>16</v>
      </c>
    </row>
    <row r="342" spans="1:53" x14ac:dyDescent="0.2">
      <c r="A342" s="1" t="str">
        <f>'SegEnds_NonXtal_Prot#'!A338</f>
        <v>agrl1_human</v>
      </c>
      <c r="B342" s="1" t="str">
        <f t="shared" si="125"/>
        <v>REIYQGRINELLLSVITWVGIVISLVCLAICISTFCFLTDRNTIHKNLCINLFLAELLFLVGIDKIACPIFAGLLHYFFLAAFSWLCLEGVHLYLLLVERTKYYYLGGYCFPALVVGIAAAIDYRSYDNYFIWSFIGPVSFVIVVNLVFLMVTLHKMIRSSNIKSWALGAIALLFLLGLTWAFGLLSVVMAYLFTTFNAFQGVFIFVFHCALQKKVHKEYSKCLRHSYC</v>
      </c>
      <c r="C342" s="29" t="str">
        <f>IF(ISERROR(MATCH(A342,'SegEnds_Xtal_Prot#'!B:B, 0)), "NoXtal", "Xtal")</f>
        <v>NoXtal</v>
      </c>
      <c r="D342" s="4" t="str">
        <f>VLOOKUP(A342,Classification!A:D,2,FALSE)</f>
        <v>B2</v>
      </c>
      <c r="E342" s="5" t="str">
        <f>VLOOKUP(A342,Seqs!A:B,2,FALSE)</f>
        <v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v>
      </c>
      <c r="F342" s="5" t="str">
        <f t="shared" si="126"/>
        <v>REIYQGRINELLLSVITWVGIVISLVCLAICISTFCFL</v>
      </c>
      <c r="G342" s="4" t="str">
        <f t="shared" si="127"/>
        <v>RGLQ</v>
      </c>
      <c r="H342" s="4" t="str">
        <f t="shared" si="128"/>
        <v>TDRNTIHKNLCINLFLAELLFLVGIDK</v>
      </c>
      <c r="I342" s="4" t="str">
        <f t="shared" si="129"/>
        <v/>
      </c>
      <c r="J342" s="4" t="str">
        <f t="shared" si="130"/>
        <v>IACPIFAGLLHYFFLAAFSWLCLEGVHLYLLLVE</v>
      </c>
      <c r="K342" s="4" t="str">
        <f t="shared" si="131"/>
        <v/>
      </c>
      <c r="L342" s="4" t="str">
        <f t="shared" si="132"/>
        <v>RTKYYYLGGYCFPALVVGIAAAIDYRSY</v>
      </c>
      <c r="M342" s="4" t="str">
        <f t="shared" si="133"/>
        <v>CWL</v>
      </c>
      <c r="N342" s="4" t="str">
        <f t="shared" si="134"/>
        <v>DNYFIWSFIGPVSFVIVVNLVFLMVTLHKMIRSS</v>
      </c>
      <c r="O342" s="4" t="str">
        <f t="shared" si="135"/>
        <v>NIKSWALGAIALLFLLGLTWAFGLL</v>
      </c>
      <c r="P342" s="4" t="str">
        <f t="shared" si="136"/>
        <v>SVVMAYLFTTFNAFQGVFIFVFHCAL</v>
      </c>
      <c r="Q342" s="4" t="str">
        <f t="shared" si="137"/>
        <v>QKKVHKEYSKCLRHSYC</v>
      </c>
      <c r="R342" s="5">
        <f>VLOOKUP($A342,'SegEnds_NonXtal_Prot#'!$A:$AL,3,FALSE)</f>
        <v>848</v>
      </c>
      <c r="S342" s="5">
        <f>VLOOKUP($A342,'SegEnds_NonXtal_Prot#'!$A:$AL,6,FALSE)</f>
        <v>886</v>
      </c>
      <c r="T342" s="5">
        <f>VLOOKUP($A342,'SegEnds_NonXtal_Prot#'!$A:$AL,9,FALSE)</f>
        <v>890</v>
      </c>
      <c r="U342" s="5" t="str">
        <f>VLOOKUP($A342,'SegEnds_NonXtal_Prot#'!$A:$AL,12,FALSE)</f>
        <v>-</v>
      </c>
      <c r="V342" s="5">
        <f>VLOOKUP($A342,'SegEnds_NonXtal_Prot#'!$A:$AL,15,FALSE)</f>
        <v>921</v>
      </c>
      <c r="W342" s="5" t="str">
        <f>VLOOKUP($A342,'SegEnds_NonXtal_Prot#'!$A:$AL,18,FALSE)</f>
        <v>-</v>
      </c>
      <c r="X342" s="5">
        <f>VLOOKUP($A342,'SegEnds_NonXtal_Prot#'!$A:$AL,21,FALSE)</f>
        <v>962</v>
      </c>
      <c r="Y342" s="5">
        <f>VLOOKUP($A342,'SegEnds_NonXtal_Prot#'!$A:$AL,24,FALSE)</f>
        <v>995</v>
      </c>
      <c r="Z342" s="5">
        <f>VLOOKUP($A342,'SegEnds_NonXtal_Prot#'!$A:$AL,27,FALSE)</f>
        <v>1000</v>
      </c>
      <c r="AA342" s="5">
        <f>VLOOKUP($A342,'SegEnds_NonXtal_Prot#'!$A:$AL,30,FALSE)</f>
        <v>1045</v>
      </c>
      <c r="AB342" s="5">
        <f>VLOOKUP($A342,'SegEnds_NonXtal_Prot#'!$A:$AL,33,FALSE)</f>
        <v>1075</v>
      </c>
      <c r="AC342" s="5">
        <f>VLOOKUP($A342,'SegEnds_NonXtal_Prot#'!$A:$AL,36,FALSE)</f>
        <v>1101</v>
      </c>
      <c r="AD342" s="5">
        <f>VLOOKUP($A342,'SegEnds_NonXtal_Prot#'!$A:$AL,5,FALSE)</f>
        <v>885</v>
      </c>
      <c r="AE342" s="5">
        <f>VLOOKUP($A342,'SegEnds_NonXtal_Prot#'!$A:$AL,8,FALSE)</f>
        <v>889</v>
      </c>
      <c r="AF342" s="5">
        <f>VLOOKUP($A342,'SegEnds_NonXtal_Prot#'!$A:$AL,11,FALSE)</f>
        <v>916</v>
      </c>
      <c r="AG342" s="5" t="str">
        <f>VLOOKUP($A342,'SegEnds_NonXtal_Prot#'!$A:$AL,14,FALSE)</f>
        <v>-</v>
      </c>
      <c r="AH342" s="5">
        <f>VLOOKUP($A342,'SegEnds_NonXtal_Prot#'!$A:$AL,17,FALSE)</f>
        <v>954</v>
      </c>
      <c r="AI342" s="5" t="str">
        <f>VLOOKUP($A342,'SegEnds_NonXtal_Prot#'!$A:$AL,20,FALSE)</f>
        <v>-</v>
      </c>
      <c r="AJ342" s="5">
        <f>VLOOKUP($A342,'SegEnds_NonXtal_Prot#'!$A:$AL,23,FALSE)</f>
        <v>989</v>
      </c>
      <c r="AK342" s="5">
        <f>VLOOKUP($A342,'SegEnds_NonXtal_Prot#'!$A:$AL,26,FALSE)</f>
        <v>997</v>
      </c>
      <c r="AL342" s="5">
        <f>VLOOKUP($A342,'SegEnds_NonXtal_Prot#'!$A:$AL,29,FALSE)</f>
        <v>1033</v>
      </c>
      <c r="AM342" s="5">
        <f>VLOOKUP($A342,'SegEnds_NonXtal_Prot#'!$A:$AL,32,FALSE)</f>
        <v>1069</v>
      </c>
      <c r="AN342" s="5">
        <f>VLOOKUP($A342,'SegEnds_NonXtal_Prot#'!$A:$AL,35,FALSE)</f>
        <v>1100</v>
      </c>
      <c r="AO342" s="5">
        <f>VLOOKUP($A342,'SegEnds_NonXtal_Prot#'!$A:$AL,38,FALSE)</f>
        <v>1117</v>
      </c>
      <c r="AP342" s="5">
        <f t="shared" si="138"/>
        <v>37</v>
      </c>
      <c r="AQ342" s="4">
        <f t="shared" si="139"/>
        <v>3</v>
      </c>
      <c r="AR342" s="4">
        <f t="shared" si="140"/>
        <v>26</v>
      </c>
      <c r="AS342" s="4" t="str">
        <f t="shared" si="141"/>
        <v>-</v>
      </c>
      <c r="AT342" s="4">
        <f t="shared" si="142"/>
        <v>33</v>
      </c>
      <c r="AU342" s="4" t="str">
        <f t="shared" si="143"/>
        <v>-</v>
      </c>
      <c r="AV342" s="4">
        <f t="shared" si="144"/>
        <v>27</v>
      </c>
      <c r="AW342" s="4">
        <f t="shared" si="145"/>
        <v>2</v>
      </c>
      <c r="AX342" s="4">
        <f t="shared" si="146"/>
        <v>33</v>
      </c>
      <c r="AY342" s="4">
        <f t="shared" si="147"/>
        <v>24</v>
      </c>
      <c r="AZ342" s="4">
        <f t="shared" si="148"/>
        <v>25</v>
      </c>
      <c r="BA342" s="4">
        <f t="shared" si="149"/>
        <v>16</v>
      </c>
    </row>
    <row r="343" spans="1:53" x14ac:dyDescent="0.2">
      <c r="A343" s="1" t="str">
        <f>'SegEnds_NonXtal_Prot#'!A339</f>
        <v>agrl2_human</v>
      </c>
      <c r="B343" s="1" t="str">
        <f t="shared" si="125"/>
        <v>EIAYKDGVHELLLTVITWVGIVISLVCLAICIFTFCFFSDRNTIHKNLCINLFIAEFIFLIGIDKIACPIFAGLLHFFFLAAFAWMCLEGVQLYLMLVERKKYYYVAGYLFPATVVGVSAAIDYKSYDNYFIWSFIGPVTFIILLNIIFLVITLCKMVKHSNIKSWVLGAFALLCLLGLTWSFGLLTIVMAYLFTIFNAFQGVFIFIFHCALQKKVRKEYGKCFRHSYC</v>
      </c>
      <c r="C343" s="29" t="str">
        <f>IF(ISERROR(MATCH(A343,'SegEnds_Xtal_Prot#'!B:B, 0)), "NoXtal", "Xtal")</f>
        <v>NoXtal</v>
      </c>
      <c r="D343" s="4" t="str">
        <f>VLOOKUP(A343,Classification!A:D,2,FALSE)</f>
        <v>B2</v>
      </c>
      <c r="E343" s="5" t="str">
        <f>VLOOKUP(A343,Seqs!A:B,2,FALSE)</f>
        <v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v>
      </c>
      <c r="F343" s="5" t="str">
        <f t="shared" si="126"/>
        <v>EIAYKDGVHELLLTVITWVGIVISLVCLAICIFTFCFF</v>
      </c>
      <c r="G343" s="4" t="str">
        <f t="shared" si="127"/>
        <v/>
      </c>
      <c r="H343" s="4" t="str">
        <f t="shared" si="128"/>
        <v>SDRNTIHKNLCINLFIAEFIFLIGIDK</v>
      </c>
      <c r="I343" s="4" t="str">
        <f t="shared" si="129"/>
        <v/>
      </c>
      <c r="J343" s="4" t="str">
        <f t="shared" si="130"/>
        <v>IACPIFAGLLHFFFLAAFAWMCLEGVQLYLMLVE</v>
      </c>
      <c r="K343" s="4" t="str">
        <f t="shared" si="131"/>
        <v/>
      </c>
      <c r="L343" s="4" t="str">
        <f t="shared" si="132"/>
        <v>RKKYYYVAGYLFPATVVGVSAAIDYKSY</v>
      </c>
      <c r="M343" s="4" t="str">
        <f t="shared" si="133"/>
        <v>CWL</v>
      </c>
      <c r="N343" s="4" t="str">
        <f t="shared" si="134"/>
        <v>DNYFIWSFIGPVTFIILLNIIFLVITLCKMVKHS</v>
      </c>
      <c r="O343" s="4" t="str">
        <f t="shared" si="135"/>
        <v>NIKSWVLGAFALLCLLGLTWSFGLL</v>
      </c>
      <c r="P343" s="4" t="str">
        <f t="shared" si="136"/>
        <v>TIVMAYLFTIFNAFQGVFIFIFHCAL</v>
      </c>
      <c r="Q343" s="4" t="str">
        <f t="shared" si="137"/>
        <v>QKKVRKEYGKCFRHSYC</v>
      </c>
      <c r="R343" s="5">
        <f>VLOOKUP($A343,'SegEnds_NonXtal_Prot#'!$A:$AL,3,FALSE)</f>
        <v>835</v>
      </c>
      <c r="S343" s="5" t="str">
        <f>VLOOKUP($A343,'SegEnds_NonXtal_Prot#'!$A:$AL,6,FALSE)</f>
        <v>-</v>
      </c>
      <c r="T343" s="5">
        <f>VLOOKUP($A343,'SegEnds_NonXtal_Prot#'!$A:$AL,9,FALSE)</f>
        <v>877</v>
      </c>
      <c r="U343" s="5" t="str">
        <f>VLOOKUP($A343,'SegEnds_NonXtal_Prot#'!$A:$AL,12,FALSE)</f>
        <v>-</v>
      </c>
      <c r="V343" s="5">
        <f>VLOOKUP($A343,'SegEnds_NonXtal_Prot#'!$A:$AL,15,FALSE)</f>
        <v>908</v>
      </c>
      <c r="W343" s="5" t="str">
        <f>VLOOKUP($A343,'SegEnds_NonXtal_Prot#'!$A:$AL,18,FALSE)</f>
        <v>-</v>
      </c>
      <c r="X343" s="5">
        <f>VLOOKUP($A343,'SegEnds_NonXtal_Prot#'!$A:$AL,21,FALSE)</f>
        <v>949</v>
      </c>
      <c r="Y343" s="5">
        <f>VLOOKUP($A343,'SegEnds_NonXtal_Prot#'!$A:$AL,24,FALSE)</f>
        <v>982</v>
      </c>
      <c r="Z343" s="5">
        <f>VLOOKUP($A343,'SegEnds_NonXtal_Prot#'!$A:$AL,27,FALSE)</f>
        <v>987</v>
      </c>
      <c r="AA343" s="5">
        <f>VLOOKUP($A343,'SegEnds_NonXtal_Prot#'!$A:$AL,30,FALSE)</f>
        <v>1032</v>
      </c>
      <c r="AB343" s="5">
        <f>VLOOKUP($A343,'SegEnds_NonXtal_Prot#'!$A:$AL,33,FALSE)</f>
        <v>1062</v>
      </c>
      <c r="AC343" s="5">
        <f>VLOOKUP($A343,'SegEnds_NonXtal_Prot#'!$A:$AL,36,FALSE)</f>
        <v>1088</v>
      </c>
      <c r="AD343" s="5">
        <f>VLOOKUP($A343,'SegEnds_NonXtal_Prot#'!$A:$AL,5,FALSE)</f>
        <v>872</v>
      </c>
      <c r="AE343" s="5" t="str">
        <f>VLOOKUP($A343,'SegEnds_NonXtal_Prot#'!$A:$AL,8,FALSE)</f>
        <v>-</v>
      </c>
      <c r="AF343" s="5">
        <f>VLOOKUP($A343,'SegEnds_NonXtal_Prot#'!$A:$AL,11,FALSE)</f>
        <v>903</v>
      </c>
      <c r="AG343" s="5" t="str">
        <f>VLOOKUP($A343,'SegEnds_NonXtal_Prot#'!$A:$AL,14,FALSE)</f>
        <v>-</v>
      </c>
      <c r="AH343" s="5">
        <f>VLOOKUP($A343,'SegEnds_NonXtal_Prot#'!$A:$AL,17,FALSE)</f>
        <v>941</v>
      </c>
      <c r="AI343" s="5" t="str">
        <f>VLOOKUP($A343,'SegEnds_NonXtal_Prot#'!$A:$AL,20,FALSE)</f>
        <v>-</v>
      </c>
      <c r="AJ343" s="5">
        <f>VLOOKUP($A343,'SegEnds_NonXtal_Prot#'!$A:$AL,23,FALSE)</f>
        <v>976</v>
      </c>
      <c r="AK343" s="5">
        <f>VLOOKUP($A343,'SegEnds_NonXtal_Prot#'!$A:$AL,26,FALSE)</f>
        <v>984</v>
      </c>
      <c r="AL343" s="5">
        <f>VLOOKUP($A343,'SegEnds_NonXtal_Prot#'!$A:$AL,29,FALSE)</f>
        <v>1020</v>
      </c>
      <c r="AM343" s="5">
        <f>VLOOKUP($A343,'SegEnds_NonXtal_Prot#'!$A:$AL,32,FALSE)</f>
        <v>1056</v>
      </c>
      <c r="AN343" s="5">
        <f>VLOOKUP($A343,'SegEnds_NonXtal_Prot#'!$A:$AL,35,FALSE)</f>
        <v>1087</v>
      </c>
      <c r="AO343" s="5">
        <f>VLOOKUP($A343,'SegEnds_NonXtal_Prot#'!$A:$AL,38,FALSE)</f>
        <v>1104</v>
      </c>
      <c r="AP343" s="5">
        <f t="shared" si="138"/>
        <v>37</v>
      </c>
      <c r="AQ343" s="4" t="str">
        <f t="shared" si="139"/>
        <v>-</v>
      </c>
      <c r="AR343" s="4">
        <f t="shared" si="140"/>
        <v>26</v>
      </c>
      <c r="AS343" s="4" t="str">
        <f t="shared" si="141"/>
        <v>-</v>
      </c>
      <c r="AT343" s="4">
        <f t="shared" si="142"/>
        <v>33</v>
      </c>
      <c r="AU343" s="4" t="str">
        <f t="shared" si="143"/>
        <v>-</v>
      </c>
      <c r="AV343" s="4">
        <f t="shared" si="144"/>
        <v>27</v>
      </c>
      <c r="AW343" s="4">
        <f t="shared" si="145"/>
        <v>2</v>
      </c>
      <c r="AX343" s="4">
        <f t="shared" si="146"/>
        <v>33</v>
      </c>
      <c r="AY343" s="4">
        <f t="shared" si="147"/>
        <v>24</v>
      </c>
      <c r="AZ343" s="4">
        <f t="shared" si="148"/>
        <v>25</v>
      </c>
      <c r="BA343" s="4">
        <f t="shared" si="149"/>
        <v>16</v>
      </c>
    </row>
    <row r="344" spans="1:53" x14ac:dyDescent="0.2">
      <c r="A344" s="1" t="str">
        <f>'SegEnds_NonXtal_Prot#'!A340</f>
        <v>agrl3_human</v>
      </c>
      <c r="B344" s="1" t="str">
        <f t="shared" si="125"/>
        <v>EVKHSDAVHDLLLDVITWVGILLSLVCLLICIFTFCFFSDRNTIHKNLCISLFVAELLFLIGINRIACAVFAALLHFFFLAAFTWMFLEGVQLYIMLVESRRKYFYLVGYGMPALIVAVSAAVDYRSYDTYFIWSFIGPATLIIMLNVIFLGIALYKMFHHTNIKSWVIGAIALLCLLGLTWAFGLMTVIMAYLFTIFNSLQGMFIFIFHCVLQKKVRKEYGKCLRTHCC</v>
      </c>
      <c r="C344" s="29" t="str">
        <f>IF(ISERROR(MATCH(A344,'SegEnds_Xtal_Prot#'!B:B, 0)), "NoXtal", "Xtal")</f>
        <v>NoXtal</v>
      </c>
      <c r="D344" s="4" t="str">
        <f>VLOOKUP(A344,Classification!A:D,2,FALSE)</f>
        <v>B2</v>
      </c>
      <c r="E344" s="5" t="str">
        <f>VLOOKUP(A344,Seqs!A:B,2,FALSE)</f>
        <v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v>
      </c>
      <c r="F344" s="5" t="str">
        <f t="shared" si="126"/>
        <v>EVKHSDAVHDLLLDVITWVGILLSLVCLLICIFTFCFF</v>
      </c>
      <c r="G344" s="4" t="str">
        <f t="shared" si="127"/>
        <v>RGLQ</v>
      </c>
      <c r="H344" s="4" t="str">
        <f t="shared" si="128"/>
        <v>SDRNTIHKNLCISLFVAELLFLIGINR</v>
      </c>
      <c r="I344" s="4" t="str">
        <f t="shared" si="129"/>
        <v/>
      </c>
      <c r="J344" s="4" t="str">
        <f t="shared" si="130"/>
        <v>IACAVFAALLHFFFLAAFTWMFLEGVQLYIMLVE</v>
      </c>
      <c r="K344" s="4" t="str">
        <f t="shared" si="131"/>
        <v/>
      </c>
      <c r="L344" s="4" t="str">
        <f t="shared" si="132"/>
        <v>SRRKYFYLVGYGMPALIVAVSAAVDYRSY</v>
      </c>
      <c r="M344" s="4" t="str">
        <f t="shared" si="133"/>
        <v>CWL</v>
      </c>
      <c r="N344" s="4" t="str">
        <f t="shared" si="134"/>
        <v>DTYFIWSFIGPATLIIMLNVIFLGIALYKMFHHT</v>
      </c>
      <c r="O344" s="4" t="str">
        <f t="shared" si="135"/>
        <v>NIKSWVIGAIALLCLLGLTWAFGLM</v>
      </c>
      <c r="P344" s="4" t="str">
        <f t="shared" si="136"/>
        <v>TVIMAYLFTIFNSLQGMFIFIFHCVL</v>
      </c>
      <c r="Q344" s="4" t="str">
        <f t="shared" si="137"/>
        <v>QKKVRKEYGKCLRTHCC</v>
      </c>
      <c r="R344" s="5">
        <f>VLOOKUP($A344,'SegEnds_NonXtal_Prot#'!$A:$AL,3,FALSE)</f>
        <v>852</v>
      </c>
      <c r="S344" s="5">
        <f>VLOOKUP($A344,'SegEnds_NonXtal_Prot#'!$A:$AL,6,FALSE)</f>
        <v>890</v>
      </c>
      <c r="T344" s="5">
        <f>VLOOKUP($A344,'SegEnds_NonXtal_Prot#'!$A:$AL,9,FALSE)</f>
        <v>894</v>
      </c>
      <c r="U344" s="5" t="str">
        <f>VLOOKUP($A344,'SegEnds_NonXtal_Prot#'!$A:$AL,12,FALSE)</f>
        <v>-</v>
      </c>
      <c r="V344" s="5">
        <f>VLOOKUP($A344,'SegEnds_NonXtal_Prot#'!$A:$AL,15,FALSE)</f>
        <v>925</v>
      </c>
      <c r="W344" s="5" t="str">
        <f>VLOOKUP($A344,'SegEnds_NonXtal_Prot#'!$A:$AL,18,FALSE)</f>
        <v>-</v>
      </c>
      <c r="X344" s="5">
        <f>VLOOKUP($A344,'SegEnds_NonXtal_Prot#'!$A:$AL,21,FALSE)</f>
        <v>965</v>
      </c>
      <c r="Y344" s="5">
        <f>VLOOKUP($A344,'SegEnds_NonXtal_Prot#'!$A:$AL,24,FALSE)</f>
        <v>999</v>
      </c>
      <c r="Z344" s="5">
        <f>VLOOKUP($A344,'SegEnds_NonXtal_Prot#'!$A:$AL,27,FALSE)</f>
        <v>1004</v>
      </c>
      <c r="AA344" s="5">
        <f>VLOOKUP($A344,'SegEnds_NonXtal_Prot#'!$A:$AL,30,FALSE)</f>
        <v>1049</v>
      </c>
      <c r="AB344" s="5">
        <f>VLOOKUP($A344,'SegEnds_NonXtal_Prot#'!$A:$AL,33,FALSE)</f>
        <v>1079</v>
      </c>
      <c r="AC344" s="5">
        <f>VLOOKUP($A344,'SegEnds_NonXtal_Prot#'!$A:$AL,36,FALSE)</f>
        <v>1105</v>
      </c>
      <c r="AD344" s="5">
        <f>VLOOKUP($A344,'SegEnds_NonXtal_Prot#'!$A:$AL,5,FALSE)</f>
        <v>889</v>
      </c>
      <c r="AE344" s="5">
        <f>VLOOKUP($A344,'SegEnds_NonXtal_Prot#'!$A:$AL,8,FALSE)</f>
        <v>893</v>
      </c>
      <c r="AF344" s="5">
        <f>VLOOKUP($A344,'SegEnds_NonXtal_Prot#'!$A:$AL,11,FALSE)</f>
        <v>920</v>
      </c>
      <c r="AG344" s="5" t="str">
        <f>VLOOKUP($A344,'SegEnds_NonXtal_Prot#'!$A:$AL,14,FALSE)</f>
        <v>-</v>
      </c>
      <c r="AH344" s="5">
        <f>VLOOKUP($A344,'SegEnds_NonXtal_Prot#'!$A:$AL,17,FALSE)</f>
        <v>958</v>
      </c>
      <c r="AI344" s="5" t="str">
        <f>VLOOKUP($A344,'SegEnds_NonXtal_Prot#'!$A:$AL,20,FALSE)</f>
        <v>-</v>
      </c>
      <c r="AJ344" s="5">
        <f>VLOOKUP($A344,'SegEnds_NonXtal_Prot#'!$A:$AL,23,FALSE)</f>
        <v>993</v>
      </c>
      <c r="AK344" s="5">
        <f>VLOOKUP($A344,'SegEnds_NonXtal_Prot#'!$A:$AL,26,FALSE)</f>
        <v>1001</v>
      </c>
      <c r="AL344" s="5">
        <f>VLOOKUP($A344,'SegEnds_NonXtal_Prot#'!$A:$AL,29,FALSE)</f>
        <v>1037</v>
      </c>
      <c r="AM344" s="5">
        <f>VLOOKUP($A344,'SegEnds_NonXtal_Prot#'!$A:$AL,32,FALSE)</f>
        <v>1073</v>
      </c>
      <c r="AN344" s="5">
        <f>VLOOKUP($A344,'SegEnds_NonXtal_Prot#'!$A:$AL,35,FALSE)</f>
        <v>1104</v>
      </c>
      <c r="AO344" s="5">
        <f>VLOOKUP($A344,'SegEnds_NonXtal_Prot#'!$A:$AL,38,FALSE)</f>
        <v>1121</v>
      </c>
      <c r="AP344" s="5">
        <f t="shared" si="138"/>
        <v>37</v>
      </c>
      <c r="AQ344" s="4">
        <f t="shared" si="139"/>
        <v>3</v>
      </c>
      <c r="AR344" s="4">
        <f t="shared" si="140"/>
        <v>26</v>
      </c>
      <c r="AS344" s="4" t="str">
        <f t="shared" si="141"/>
        <v>-</v>
      </c>
      <c r="AT344" s="4">
        <f t="shared" si="142"/>
        <v>33</v>
      </c>
      <c r="AU344" s="4" t="str">
        <f t="shared" si="143"/>
        <v>-</v>
      </c>
      <c r="AV344" s="4">
        <f t="shared" si="144"/>
        <v>28</v>
      </c>
      <c r="AW344" s="4">
        <f t="shared" si="145"/>
        <v>2</v>
      </c>
      <c r="AX344" s="4">
        <f t="shared" si="146"/>
        <v>33</v>
      </c>
      <c r="AY344" s="4">
        <f t="shared" si="147"/>
        <v>24</v>
      </c>
      <c r="AZ344" s="4">
        <f t="shared" si="148"/>
        <v>25</v>
      </c>
      <c r="BA344" s="4">
        <f t="shared" si="149"/>
        <v>16</v>
      </c>
    </row>
    <row r="345" spans="1:53" x14ac:dyDescent="0.2">
      <c r="A345" s="1" t="str">
        <f>'SegEnds_NonXtal_Prot#'!A341</f>
        <v>agrl4_human</v>
      </c>
      <c r="B345" s="1" t="str">
        <f t="shared" si="125"/>
        <v>SGPSIGIKDYNILTRITQLGIIISLICLAICIFTFWFFSTRTTIHKNLCCSLFLAELVFLVGINTLFCSIIAGLLHYFFLAAFAWMCIEGIHLYLIVVGFLHKNFYIFGYLSPAVVVGFSAALGYRYYENNFIWSFIGPACLIILVNLLAFGVIIYKVFRHTNIRSCARGALALLFLLGTTWIFGVLSVVTAYLFTVSNAFQGMFIFLFLCVLSRKIQEEYYRLFKNVPC</v>
      </c>
      <c r="C345" s="29" t="str">
        <f>IF(ISERROR(MATCH(A345,'SegEnds_Xtal_Prot#'!B:B, 0)), "NoXtal", "Xtal")</f>
        <v>NoXtal</v>
      </c>
      <c r="D345" s="4" t="str">
        <f>VLOOKUP(A345,Classification!A:D,2,FALSE)</f>
        <v>B2</v>
      </c>
      <c r="E345" s="5" t="str">
        <f>VLOOKUP(A345,Seqs!A:B,2,FALSE)</f>
        <v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v>
      </c>
      <c r="F345" s="5" t="str">
        <f t="shared" si="126"/>
        <v>SGPSIGIKDYNILTRITQLGIIISLICLAICIFTFWFF</v>
      </c>
      <c r="G345" s="4" t="str">
        <f t="shared" si="127"/>
        <v/>
      </c>
      <c r="H345" s="4" t="str">
        <f t="shared" si="128"/>
        <v>STRTTIHKNLCCSLFLAELVFLVGINT</v>
      </c>
      <c r="I345" s="4" t="str">
        <f t="shared" si="129"/>
        <v/>
      </c>
      <c r="J345" s="4" t="str">
        <f t="shared" si="130"/>
        <v>LFCSIIAGLLHYFFLAAFAWMCIEGIHLYLIVVG</v>
      </c>
      <c r="K345" s="4" t="str">
        <f t="shared" si="131"/>
        <v/>
      </c>
      <c r="L345" s="4" t="str">
        <f t="shared" si="132"/>
        <v>FLHKNFYIFGYLSPAVVVGFSAALGYRYY</v>
      </c>
      <c r="M345" s="4" t="str">
        <f t="shared" si="133"/>
        <v>CWL</v>
      </c>
      <c r="N345" s="4" t="str">
        <f t="shared" si="134"/>
        <v>ENNFIWSFIGPACLIILVNLLAFGVIIYKVFRHT</v>
      </c>
      <c r="O345" s="4" t="str">
        <f t="shared" si="135"/>
        <v>NIRSCARGALALLFLLGTTWIFGVL</v>
      </c>
      <c r="P345" s="4" t="str">
        <f t="shared" si="136"/>
        <v>SVVTAYLFTVSNAFQGMFIFLFLCVL</v>
      </c>
      <c r="Q345" s="4" t="str">
        <f t="shared" si="137"/>
        <v>SRKIQEEYYRLFKNVPC</v>
      </c>
      <c r="R345" s="5">
        <f>VLOOKUP($A345,'SegEnds_NonXtal_Prot#'!$A:$AL,3,FALSE)</f>
        <v>415</v>
      </c>
      <c r="S345" s="5" t="str">
        <f>VLOOKUP($A345,'SegEnds_NonXtal_Prot#'!$A:$AL,6,FALSE)</f>
        <v>-</v>
      </c>
      <c r="T345" s="5">
        <f>VLOOKUP($A345,'SegEnds_NonXtal_Prot#'!$A:$AL,9,FALSE)</f>
        <v>457</v>
      </c>
      <c r="U345" s="5" t="str">
        <f>VLOOKUP($A345,'SegEnds_NonXtal_Prot#'!$A:$AL,12,FALSE)</f>
        <v>-</v>
      </c>
      <c r="V345" s="5">
        <f>VLOOKUP($A345,'SegEnds_NonXtal_Prot#'!$A:$AL,15,FALSE)</f>
        <v>488</v>
      </c>
      <c r="W345" s="5" t="str">
        <f>VLOOKUP($A345,'SegEnds_NonXtal_Prot#'!$A:$AL,18,FALSE)</f>
        <v>-</v>
      </c>
      <c r="X345" s="5">
        <f>VLOOKUP($A345,'SegEnds_NonXtal_Prot#'!$A:$AL,21,FALSE)</f>
        <v>528</v>
      </c>
      <c r="Y345" s="5">
        <f>VLOOKUP($A345,'SegEnds_NonXtal_Prot#'!$A:$AL,24,FALSE)</f>
        <v>562</v>
      </c>
      <c r="Z345" s="5">
        <f>VLOOKUP($A345,'SegEnds_NonXtal_Prot#'!$A:$AL,27,FALSE)</f>
        <v>567</v>
      </c>
      <c r="AA345" s="5">
        <f>VLOOKUP($A345,'SegEnds_NonXtal_Prot#'!$A:$AL,30,FALSE)</f>
        <v>612</v>
      </c>
      <c r="AB345" s="5">
        <f>VLOOKUP($A345,'SegEnds_NonXtal_Prot#'!$A:$AL,33,FALSE)</f>
        <v>642</v>
      </c>
      <c r="AC345" s="5">
        <f>VLOOKUP($A345,'SegEnds_NonXtal_Prot#'!$A:$AL,36,FALSE)</f>
        <v>668</v>
      </c>
      <c r="AD345" s="5">
        <f>VLOOKUP($A345,'SegEnds_NonXtal_Prot#'!$A:$AL,5,FALSE)</f>
        <v>452</v>
      </c>
      <c r="AE345" s="5" t="str">
        <f>VLOOKUP($A345,'SegEnds_NonXtal_Prot#'!$A:$AL,8,FALSE)</f>
        <v>-</v>
      </c>
      <c r="AF345" s="5">
        <f>VLOOKUP($A345,'SegEnds_NonXtal_Prot#'!$A:$AL,11,FALSE)</f>
        <v>483</v>
      </c>
      <c r="AG345" s="5" t="str">
        <f>VLOOKUP($A345,'SegEnds_NonXtal_Prot#'!$A:$AL,14,FALSE)</f>
        <v>-</v>
      </c>
      <c r="AH345" s="5">
        <f>VLOOKUP($A345,'SegEnds_NonXtal_Prot#'!$A:$AL,17,FALSE)</f>
        <v>521</v>
      </c>
      <c r="AI345" s="5" t="str">
        <f>VLOOKUP($A345,'SegEnds_NonXtal_Prot#'!$A:$AL,20,FALSE)</f>
        <v>-</v>
      </c>
      <c r="AJ345" s="5">
        <f>VLOOKUP($A345,'SegEnds_NonXtal_Prot#'!$A:$AL,23,FALSE)</f>
        <v>556</v>
      </c>
      <c r="AK345" s="5">
        <f>VLOOKUP($A345,'SegEnds_NonXtal_Prot#'!$A:$AL,26,FALSE)</f>
        <v>564</v>
      </c>
      <c r="AL345" s="5">
        <f>VLOOKUP($A345,'SegEnds_NonXtal_Prot#'!$A:$AL,29,FALSE)</f>
        <v>600</v>
      </c>
      <c r="AM345" s="5">
        <f>VLOOKUP($A345,'SegEnds_NonXtal_Prot#'!$A:$AL,32,FALSE)</f>
        <v>636</v>
      </c>
      <c r="AN345" s="5">
        <f>VLOOKUP($A345,'SegEnds_NonXtal_Prot#'!$A:$AL,35,FALSE)</f>
        <v>667</v>
      </c>
      <c r="AO345" s="5">
        <f>VLOOKUP($A345,'SegEnds_NonXtal_Prot#'!$A:$AL,38,FALSE)</f>
        <v>684</v>
      </c>
      <c r="AP345" s="5">
        <f t="shared" si="138"/>
        <v>37</v>
      </c>
      <c r="AQ345" s="4" t="str">
        <f t="shared" si="139"/>
        <v>-</v>
      </c>
      <c r="AR345" s="4">
        <f t="shared" si="140"/>
        <v>26</v>
      </c>
      <c r="AS345" s="4" t="str">
        <f t="shared" si="141"/>
        <v>-</v>
      </c>
      <c r="AT345" s="4">
        <f t="shared" si="142"/>
        <v>33</v>
      </c>
      <c r="AU345" s="4" t="str">
        <f t="shared" si="143"/>
        <v>-</v>
      </c>
      <c r="AV345" s="4">
        <f t="shared" si="144"/>
        <v>28</v>
      </c>
      <c r="AW345" s="4">
        <f t="shared" si="145"/>
        <v>2</v>
      </c>
      <c r="AX345" s="4">
        <f t="shared" si="146"/>
        <v>33</v>
      </c>
      <c r="AY345" s="4">
        <f t="shared" si="147"/>
        <v>24</v>
      </c>
      <c r="AZ345" s="4">
        <f t="shared" si="148"/>
        <v>25</v>
      </c>
      <c r="BA345" s="4">
        <f t="shared" si="149"/>
        <v>16</v>
      </c>
    </row>
    <row r="346" spans="1:53" x14ac:dyDescent="0.2">
      <c r="A346" s="1" t="str">
        <f>'SegEnds_NonXtal_Prot#'!A342</f>
        <v>bai1_human</v>
      </c>
      <c r="B346" s="1" t="str">
        <f t="shared" si="125"/>
        <v>LSADANMEKATLPSVTLIVGCGVSSLTLLMLVIIYVSVSERSVILINFCLSIISSNALILIGQTQVVCTLVAAFLHFFFLSSFCWVLTEAWQSYMAVTGLIRKRFLCLGWGLPALVVAISVGFTKAKGEGGLLYAFVGPAAAVVLVNMVIGILVFNKLVSKDRAGASLWSSCVVLPLLALTWMSAVLSALFQILFAVFDSLEGFVIVMVHCILRREVQDAVKCRVVDRQE</v>
      </c>
      <c r="C346" s="29" t="str">
        <f>IF(ISERROR(MATCH(A346,'SegEnds_Xtal_Prot#'!B:B, 0)), "NoXtal", "Xtal")</f>
        <v>NoXtal</v>
      </c>
      <c r="D346" s="4" t="str">
        <f>VLOOKUP(A346,Classification!A:D,2,FALSE)</f>
        <v>B2</v>
      </c>
      <c r="E346" s="5" t="str">
        <f>VLOOKUP(A346,Seqs!A:B,2,FALSE)</f>
        <v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v>
      </c>
      <c r="F346" s="5" t="str">
        <f t="shared" si="126"/>
        <v>LSADANMEKATLPSVTLIVGCGVSSLTLLMLVIIYVSV</v>
      </c>
      <c r="G346" s="4" t="str">
        <f t="shared" si="127"/>
        <v/>
      </c>
      <c r="H346" s="4" t="str">
        <f t="shared" si="128"/>
        <v>SERSVILINFCLSIISSNALILIGQTQ</v>
      </c>
      <c r="I346" s="4" t="str">
        <f t="shared" si="129"/>
        <v/>
      </c>
      <c r="J346" s="4" t="str">
        <f t="shared" si="130"/>
        <v>VVCTLVAAFLHFFFLSSFCWVLTEAWQSYMAVTG</v>
      </c>
      <c r="K346" s="4" t="str">
        <f t="shared" si="131"/>
        <v/>
      </c>
      <c r="L346" s="4" t="str">
        <f t="shared" si="132"/>
        <v>LIRKRFLCLGWGLPALVVAISVGFTKAKG</v>
      </c>
      <c r="M346" s="4" t="str">
        <f t="shared" si="133"/>
        <v>CWL</v>
      </c>
      <c r="N346" s="4" t="str">
        <f t="shared" si="134"/>
        <v>EGGLLYAFVGPAAAVVLVNMVIGILVFNKLVSKD</v>
      </c>
      <c r="O346" s="4" t="str">
        <f t="shared" si="135"/>
        <v>RAGASLWSSCVVLPLLALTWMSAVL</v>
      </c>
      <c r="P346" s="4" t="str">
        <f t="shared" si="136"/>
        <v>SALFQILFAVFDSLEGFVIVMVHCIL</v>
      </c>
      <c r="Q346" s="4" t="str">
        <f t="shared" si="137"/>
        <v>RREVQDAVKCRVVDRQE</v>
      </c>
      <c r="R346" s="5">
        <f>VLOOKUP($A346,'SegEnds_NonXtal_Prot#'!$A:$AL,3,FALSE)</f>
        <v>935</v>
      </c>
      <c r="S346" s="5" t="str">
        <f>VLOOKUP($A346,'SegEnds_NonXtal_Prot#'!$A:$AL,6,FALSE)</f>
        <v>-</v>
      </c>
      <c r="T346" s="5">
        <f>VLOOKUP($A346,'SegEnds_NonXtal_Prot#'!$A:$AL,9,FALSE)</f>
        <v>978</v>
      </c>
      <c r="U346" s="5" t="str">
        <f>VLOOKUP($A346,'SegEnds_NonXtal_Prot#'!$A:$AL,12,FALSE)</f>
        <v>-</v>
      </c>
      <c r="V346" s="5">
        <f>VLOOKUP($A346,'SegEnds_NonXtal_Prot#'!$A:$AL,15,FALSE)</f>
        <v>1009</v>
      </c>
      <c r="W346" s="5" t="str">
        <f>VLOOKUP($A346,'SegEnds_NonXtal_Prot#'!$A:$AL,18,FALSE)</f>
        <v>-</v>
      </c>
      <c r="X346" s="5">
        <f>VLOOKUP($A346,'SegEnds_NonXtal_Prot#'!$A:$AL,21,FALSE)</f>
        <v>1048</v>
      </c>
      <c r="Y346" s="5">
        <f>VLOOKUP($A346,'SegEnds_NonXtal_Prot#'!$A:$AL,24,FALSE)</f>
        <v>1083</v>
      </c>
      <c r="Z346" s="5">
        <f>VLOOKUP($A346,'SegEnds_NonXtal_Prot#'!$A:$AL,27,FALSE)</f>
        <v>1088</v>
      </c>
      <c r="AA346" s="5">
        <f>VLOOKUP($A346,'SegEnds_NonXtal_Prot#'!$A:$AL,30,FALSE)</f>
        <v>1131</v>
      </c>
      <c r="AB346" s="5">
        <f>VLOOKUP($A346,'SegEnds_NonXtal_Prot#'!$A:$AL,33,FALSE)</f>
        <v>1162</v>
      </c>
      <c r="AC346" s="5">
        <f>VLOOKUP($A346,'SegEnds_NonXtal_Prot#'!$A:$AL,36,FALSE)</f>
        <v>1188</v>
      </c>
      <c r="AD346" s="5">
        <f>VLOOKUP($A346,'SegEnds_NonXtal_Prot#'!$A:$AL,5,FALSE)</f>
        <v>972</v>
      </c>
      <c r="AE346" s="5" t="str">
        <f>VLOOKUP($A346,'SegEnds_NonXtal_Prot#'!$A:$AL,8,FALSE)</f>
        <v>-</v>
      </c>
      <c r="AF346" s="5">
        <f>VLOOKUP($A346,'SegEnds_NonXtal_Prot#'!$A:$AL,11,FALSE)</f>
        <v>1004</v>
      </c>
      <c r="AG346" s="5" t="str">
        <f>VLOOKUP($A346,'SegEnds_NonXtal_Prot#'!$A:$AL,14,FALSE)</f>
        <v>-</v>
      </c>
      <c r="AH346" s="5">
        <f>VLOOKUP($A346,'SegEnds_NonXtal_Prot#'!$A:$AL,17,FALSE)</f>
        <v>1042</v>
      </c>
      <c r="AI346" s="5" t="str">
        <f>VLOOKUP($A346,'SegEnds_NonXtal_Prot#'!$A:$AL,20,FALSE)</f>
        <v>-</v>
      </c>
      <c r="AJ346" s="5">
        <f>VLOOKUP($A346,'SegEnds_NonXtal_Prot#'!$A:$AL,23,FALSE)</f>
        <v>1076</v>
      </c>
      <c r="AK346" s="5">
        <f>VLOOKUP($A346,'SegEnds_NonXtal_Prot#'!$A:$AL,26,FALSE)</f>
        <v>1085</v>
      </c>
      <c r="AL346" s="5">
        <f>VLOOKUP($A346,'SegEnds_NonXtal_Prot#'!$A:$AL,29,FALSE)</f>
        <v>1121</v>
      </c>
      <c r="AM346" s="5">
        <f>VLOOKUP($A346,'SegEnds_NonXtal_Prot#'!$A:$AL,32,FALSE)</f>
        <v>1155</v>
      </c>
      <c r="AN346" s="5">
        <f>VLOOKUP($A346,'SegEnds_NonXtal_Prot#'!$A:$AL,35,FALSE)</f>
        <v>1187</v>
      </c>
      <c r="AO346" s="5">
        <f>VLOOKUP($A346,'SegEnds_NonXtal_Prot#'!$A:$AL,38,FALSE)</f>
        <v>1204</v>
      </c>
      <c r="AP346" s="5">
        <f t="shared" si="138"/>
        <v>37</v>
      </c>
      <c r="AQ346" s="4" t="str">
        <f t="shared" si="139"/>
        <v>-</v>
      </c>
      <c r="AR346" s="4">
        <f t="shared" si="140"/>
        <v>26</v>
      </c>
      <c r="AS346" s="4" t="str">
        <f t="shared" si="141"/>
        <v>-</v>
      </c>
      <c r="AT346" s="4">
        <f t="shared" si="142"/>
        <v>33</v>
      </c>
      <c r="AU346" s="4" t="str">
        <f t="shared" si="143"/>
        <v>-</v>
      </c>
      <c r="AV346" s="4">
        <f t="shared" si="144"/>
        <v>28</v>
      </c>
      <c r="AW346" s="4">
        <f t="shared" si="145"/>
        <v>2</v>
      </c>
      <c r="AX346" s="4">
        <f t="shared" si="146"/>
        <v>33</v>
      </c>
      <c r="AY346" s="4">
        <f t="shared" si="147"/>
        <v>24</v>
      </c>
      <c r="AZ346" s="4">
        <f t="shared" si="148"/>
        <v>25</v>
      </c>
      <c r="BA346" s="4">
        <f t="shared" si="149"/>
        <v>16</v>
      </c>
    </row>
    <row r="347" spans="1:53" x14ac:dyDescent="0.2">
      <c r="A347" s="1" t="str">
        <f>'SegEnds_NonXtal_Prot#'!A343</f>
        <v>cd97_human</v>
      </c>
      <c r="B347" s="1" t="str">
        <f t="shared" si="125"/>
        <v>ILMAHYDVEDWKLTLITRVGLALSLFCLLLCILTFLLVGSRTTIHLHLCICLFVGSTIFLAGIENLRCRLVAGLLHYCFLAAFCWMSLEGLELYFLVVRQGLSTRWLCLIGYGVPLLIVGVSAAIYSKGYEQGFLWSFLGPVTFIILCNAVIFVTTVWKLTQKFKARALTITAIAQLFLLGCTWVFGLFSLVLTYVFTILNCLQGAFLYLLHCLLNKKVREEYRKWACLVAG</v>
      </c>
      <c r="C347" s="29" t="str">
        <f>IF(ISERROR(MATCH(A347,'SegEnds_Xtal_Prot#'!B:B, 0)), "NoXtal", "Xtal")</f>
        <v>NoXtal</v>
      </c>
      <c r="D347" s="4" t="str">
        <f>VLOOKUP(A347,Classification!A:D,2,FALSE)</f>
        <v>B2</v>
      </c>
      <c r="E347" s="5" t="str">
        <f>VLOOKUP(A347,Seqs!A:B,2,FALSE)</f>
        <v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v>
      </c>
      <c r="F347" s="5" t="str">
        <f t="shared" si="126"/>
        <v>ILMAHYDVEDWKLTLITRVGLALSLFCLLLCILTFLLV</v>
      </c>
      <c r="G347" s="4" t="str">
        <f t="shared" si="127"/>
        <v/>
      </c>
      <c r="H347" s="4" t="str">
        <f t="shared" si="128"/>
        <v>GSRTTIHLHLCICLFVGSTIFLAGIEN</v>
      </c>
      <c r="I347" s="4" t="str">
        <f t="shared" si="129"/>
        <v/>
      </c>
      <c r="J347" s="4" t="str">
        <f t="shared" si="130"/>
        <v>LRCRLVAGLLHYCFLAAFCWMSLEGLELYFLVVR</v>
      </c>
      <c r="K347" s="4" t="str">
        <f t="shared" si="131"/>
        <v/>
      </c>
      <c r="L347" s="4" t="str">
        <f t="shared" si="132"/>
        <v>QGLSTRWLCLIGYGVPLLIVGVSAAIYSKGY</v>
      </c>
      <c r="M347" s="4" t="str">
        <f t="shared" si="133"/>
        <v>CWL</v>
      </c>
      <c r="N347" s="4" t="str">
        <f t="shared" si="134"/>
        <v>EQGFLWSFLGPVTFIILCNAVIFVTTVWKLTQKF</v>
      </c>
      <c r="O347" s="4" t="str">
        <f t="shared" si="135"/>
        <v>KARALTITAIAQLFLLGCTWVFGLF</v>
      </c>
      <c r="P347" s="4" t="str">
        <f t="shared" si="136"/>
        <v>SLVLTYVFTILNCLQGAFLYLLHCLL</v>
      </c>
      <c r="Q347" s="4" t="str">
        <f t="shared" si="137"/>
        <v>NKKVREEYRKWACLVAG</v>
      </c>
      <c r="R347" s="5">
        <f>VLOOKUP($A347,'SegEnds_NonXtal_Prot#'!$A:$AL,3,FALSE)</f>
        <v>535</v>
      </c>
      <c r="S347" s="5" t="str">
        <f>VLOOKUP($A347,'SegEnds_NonXtal_Prot#'!$A:$AL,6,FALSE)</f>
        <v>-</v>
      </c>
      <c r="T347" s="5">
        <f>VLOOKUP($A347,'SegEnds_NonXtal_Prot#'!$A:$AL,9,FALSE)</f>
        <v>577</v>
      </c>
      <c r="U347" s="5" t="str">
        <f>VLOOKUP($A347,'SegEnds_NonXtal_Prot#'!$A:$AL,12,FALSE)</f>
        <v>-</v>
      </c>
      <c r="V347" s="5">
        <f>VLOOKUP($A347,'SegEnds_NonXtal_Prot#'!$A:$AL,15,FALSE)</f>
        <v>610</v>
      </c>
      <c r="W347" s="5" t="str">
        <f>VLOOKUP($A347,'SegEnds_NonXtal_Prot#'!$A:$AL,18,FALSE)</f>
        <v>-</v>
      </c>
      <c r="X347" s="5">
        <f>VLOOKUP($A347,'SegEnds_NonXtal_Prot#'!$A:$AL,21,FALSE)</f>
        <v>648</v>
      </c>
      <c r="Y347" s="5">
        <f>VLOOKUP($A347,'SegEnds_NonXtal_Prot#'!$A:$AL,24,FALSE)</f>
        <v>684</v>
      </c>
      <c r="Z347" s="5">
        <f>VLOOKUP($A347,'SegEnds_NonXtal_Prot#'!$A:$AL,27,FALSE)</f>
        <v>689</v>
      </c>
      <c r="AA347" s="5">
        <f>VLOOKUP($A347,'SegEnds_NonXtal_Prot#'!$A:$AL,30,FALSE)</f>
        <v>734</v>
      </c>
      <c r="AB347" s="5">
        <f>VLOOKUP($A347,'SegEnds_NonXtal_Prot#'!$A:$AL,33,FALSE)</f>
        <v>764</v>
      </c>
      <c r="AC347" s="5">
        <f>VLOOKUP($A347,'SegEnds_NonXtal_Prot#'!$A:$AL,36,FALSE)</f>
        <v>790</v>
      </c>
      <c r="AD347" s="5">
        <f>VLOOKUP($A347,'SegEnds_NonXtal_Prot#'!$A:$AL,5,FALSE)</f>
        <v>572</v>
      </c>
      <c r="AE347" s="5" t="str">
        <f>VLOOKUP($A347,'SegEnds_NonXtal_Prot#'!$A:$AL,8,FALSE)</f>
        <v>-</v>
      </c>
      <c r="AF347" s="5">
        <f>VLOOKUP($A347,'SegEnds_NonXtal_Prot#'!$A:$AL,11,FALSE)</f>
        <v>603</v>
      </c>
      <c r="AG347" s="5" t="str">
        <f>VLOOKUP($A347,'SegEnds_NonXtal_Prot#'!$A:$AL,14,FALSE)</f>
        <v>-</v>
      </c>
      <c r="AH347" s="5">
        <f>VLOOKUP($A347,'SegEnds_NonXtal_Prot#'!$A:$AL,17,FALSE)</f>
        <v>643</v>
      </c>
      <c r="AI347" s="5" t="str">
        <f>VLOOKUP($A347,'SegEnds_NonXtal_Prot#'!$A:$AL,20,FALSE)</f>
        <v>-</v>
      </c>
      <c r="AJ347" s="5">
        <f>VLOOKUP($A347,'SegEnds_NonXtal_Prot#'!$A:$AL,23,FALSE)</f>
        <v>678</v>
      </c>
      <c r="AK347" s="5">
        <f>VLOOKUP($A347,'SegEnds_NonXtal_Prot#'!$A:$AL,26,FALSE)</f>
        <v>686</v>
      </c>
      <c r="AL347" s="5">
        <f>VLOOKUP($A347,'SegEnds_NonXtal_Prot#'!$A:$AL,29,FALSE)</f>
        <v>722</v>
      </c>
      <c r="AM347" s="5">
        <f>VLOOKUP($A347,'SegEnds_NonXtal_Prot#'!$A:$AL,32,FALSE)</f>
        <v>758</v>
      </c>
      <c r="AN347" s="5">
        <f>VLOOKUP($A347,'SegEnds_NonXtal_Prot#'!$A:$AL,35,FALSE)</f>
        <v>789</v>
      </c>
      <c r="AO347" s="5">
        <f>VLOOKUP($A347,'SegEnds_NonXtal_Prot#'!$A:$AL,38,FALSE)</f>
        <v>806</v>
      </c>
      <c r="AP347" s="5">
        <f t="shared" si="138"/>
        <v>37</v>
      </c>
      <c r="AQ347" s="4" t="str">
        <f t="shared" si="139"/>
        <v>-</v>
      </c>
      <c r="AR347" s="4">
        <f t="shared" si="140"/>
        <v>26</v>
      </c>
      <c r="AS347" s="4" t="str">
        <f t="shared" si="141"/>
        <v>-</v>
      </c>
      <c r="AT347" s="4">
        <f t="shared" si="142"/>
        <v>33</v>
      </c>
      <c r="AU347" s="4" t="str">
        <f t="shared" si="143"/>
        <v>-</v>
      </c>
      <c r="AV347" s="4">
        <f t="shared" si="144"/>
        <v>30</v>
      </c>
      <c r="AW347" s="4">
        <f t="shared" si="145"/>
        <v>2</v>
      </c>
      <c r="AX347" s="4">
        <f t="shared" si="146"/>
        <v>33</v>
      </c>
      <c r="AY347" s="4">
        <f t="shared" si="147"/>
        <v>24</v>
      </c>
      <c r="AZ347" s="4">
        <f t="shared" si="148"/>
        <v>25</v>
      </c>
      <c r="BA347" s="4">
        <f t="shared" si="149"/>
        <v>16</v>
      </c>
    </row>
    <row r="348" spans="1:53" x14ac:dyDescent="0.2">
      <c r="A348" s="1" t="str">
        <f>'SegEnds_NonXtal_Prot#'!A344</f>
        <v>celr1_human</v>
      </c>
      <c r="B348" s="1" t="str">
        <f t="shared" si="125"/>
        <v>DISRRENGEVLPLKIVTYAAVSLSLAALLVAFVLLSLVSNLHSIHKHLAVALFLSQLVFVIGINQFLCTVVAILLHYIYMSTFAWTLVESLHVYRMLTEIDTGPMRFYYVVGWGIPAIVTGLAVGLDPQGYQDTLIWSFAGPIGAVIIINTVTSVLSAKVSCQRKGIVSLLRTAFLLLLLISATWLLGLLAALSFHYLFAIFSGLQGPFVLLFHCVLNQEVRKHLKGVLGGRKL</v>
      </c>
      <c r="C348" s="29" t="str">
        <f>IF(ISERROR(MATCH(A348,'SegEnds_Xtal_Prot#'!B:B, 0)), "NoXtal", "Xtal")</f>
        <v>NoXtal</v>
      </c>
      <c r="D348" s="4" t="str">
        <f>VLOOKUP(A348,Classification!A:D,2,FALSE)</f>
        <v>B2</v>
      </c>
      <c r="E348" s="5" t="str">
        <f>VLOOKUP(A348,Seqs!A:B,2,FALSE)</f>
        <v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v>
      </c>
      <c r="F348" s="5" t="str">
        <f t="shared" si="126"/>
        <v>DISRRENGEVLPLKIVTYAAVSLSLAALLVAFVLLSLV</v>
      </c>
      <c r="G348" s="4" t="str">
        <f t="shared" si="127"/>
        <v>RMLR</v>
      </c>
      <c r="H348" s="4" t="str">
        <f t="shared" si="128"/>
        <v>SNLHSIHKHLAVALFLSQLVFVIGINQ</v>
      </c>
      <c r="I348" s="4" t="str">
        <f t="shared" si="129"/>
        <v/>
      </c>
      <c r="J348" s="4" t="str">
        <f t="shared" si="130"/>
        <v>FLCTVVAILLHYIYMSTFAWTLVESLHVYRMLTE</v>
      </c>
      <c r="K348" s="4" t="str">
        <f t="shared" si="131"/>
        <v/>
      </c>
      <c r="L348" s="4" t="str">
        <f t="shared" si="132"/>
        <v>IDTGPMRFYYVVGWGIPAIVTGLAVGLDPQGY</v>
      </c>
      <c r="M348" s="4" t="str">
        <f t="shared" si="133"/>
        <v>CWL</v>
      </c>
      <c r="N348" s="4" t="str">
        <f t="shared" si="134"/>
        <v>QDTLIWSFAGPIGAVIIINTVTSVLSAKVSCQRK</v>
      </c>
      <c r="O348" s="4" t="str">
        <f t="shared" si="135"/>
        <v>GIVSLLRTAFLLLLLISATWLLGLLA</v>
      </c>
      <c r="P348" s="4" t="str">
        <f t="shared" si="136"/>
        <v>ALSFHYLFAIFSGLQGPFVLLFHCVL</v>
      </c>
      <c r="Q348" s="4" t="str">
        <f t="shared" si="137"/>
        <v>NQEVRKHLKGVLGGRKL</v>
      </c>
      <c r="R348" s="5">
        <f>VLOOKUP($A348,'SegEnds_NonXtal_Prot#'!$A:$AL,3,FALSE)</f>
        <v>2456</v>
      </c>
      <c r="S348" s="5">
        <f>VLOOKUP($A348,'SegEnds_NonXtal_Prot#'!$A:$AL,6,FALSE)</f>
        <v>2494</v>
      </c>
      <c r="T348" s="5">
        <f>VLOOKUP($A348,'SegEnds_NonXtal_Prot#'!$A:$AL,9,FALSE)</f>
        <v>2498</v>
      </c>
      <c r="U348" s="5" t="str">
        <f>VLOOKUP($A348,'SegEnds_NonXtal_Prot#'!$A:$AL,12,FALSE)</f>
        <v>-</v>
      </c>
      <c r="V348" s="5">
        <f>VLOOKUP($A348,'SegEnds_NonXtal_Prot#'!$A:$AL,15,FALSE)</f>
        <v>2529</v>
      </c>
      <c r="W348" s="5" t="str">
        <f>VLOOKUP($A348,'SegEnds_NonXtal_Prot#'!$A:$AL,18,FALSE)</f>
        <v>-</v>
      </c>
      <c r="X348" s="5">
        <f>VLOOKUP($A348,'SegEnds_NonXtal_Prot#'!$A:$AL,21,FALSE)</f>
        <v>2566</v>
      </c>
      <c r="Y348" s="5">
        <f>VLOOKUP($A348,'SegEnds_NonXtal_Prot#'!$A:$AL,24,FALSE)</f>
        <v>2603</v>
      </c>
      <c r="Z348" s="5">
        <f>VLOOKUP($A348,'SegEnds_NonXtal_Prot#'!$A:$AL,27,FALSE)</f>
        <v>2608</v>
      </c>
      <c r="AA348" s="5">
        <f>VLOOKUP($A348,'SegEnds_NonXtal_Prot#'!$A:$AL,30,FALSE)</f>
        <v>2649</v>
      </c>
      <c r="AB348" s="5">
        <f>VLOOKUP($A348,'SegEnds_NonXtal_Prot#'!$A:$AL,33,FALSE)</f>
        <v>2679</v>
      </c>
      <c r="AC348" s="5">
        <f>VLOOKUP($A348,'SegEnds_NonXtal_Prot#'!$A:$AL,36,FALSE)</f>
        <v>2705</v>
      </c>
      <c r="AD348" s="5">
        <f>VLOOKUP($A348,'SegEnds_NonXtal_Prot#'!$A:$AL,5,FALSE)</f>
        <v>2493</v>
      </c>
      <c r="AE348" s="5">
        <f>VLOOKUP($A348,'SegEnds_NonXtal_Prot#'!$A:$AL,8,FALSE)</f>
        <v>2497</v>
      </c>
      <c r="AF348" s="5">
        <f>VLOOKUP($A348,'SegEnds_NonXtal_Prot#'!$A:$AL,11,FALSE)</f>
        <v>2524</v>
      </c>
      <c r="AG348" s="5" t="str">
        <f>VLOOKUP($A348,'SegEnds_NonXtal_Prot#'!$A:$AL,14,FALSE)</f>
        <v>-</v>
      </c>
      <c r="AH348" s="5">
        <f>VLOOKUP($A348,'SegEnds_NonXtal_Prot#'!$A:$AL,17,FALSE)</f>
        <v>2562</v>
      </c>
      <c r="AI348" s="5" t="str">
        <f>VLOOKUP($A348,'SegEnds_NonXtal_Prot#'!$A:$AL,20,FALSE)</f>
        <v>-</v>
      </c>
      <c r="AJ348" s="5">
        <f>VLOOKUP($A348,'SegEnds_NonXtal_Prot#'!$A:$AL,23,FALSE)</f>
        <v>2597</v>
      </c>
      <c r="AK348" s="5">
        <f>VLOOKUP($A348,'SegEnds_NonXtal_Prot#'!$A:$AL,26,FALSE)</f>
        <v>2605</v>
      </c>
      <c r="AL348" s="5">
        <f>VLOOKUP($A348,'SegEnds_NonXtal_Prot#'!$A:$AL,29,FALSE)</f>
        <v>2641</v>
      </c>
      <c r="AM348" s="5">
        <f>VLOOKUP($A348,'SegEnds_NonXtal_Prot#'!$A:$AL,32,FALSE)</f>
        <v>2674</v>
      </c>
      <c r="AN348" s="5">
        <f>VLOOKUP($A348,'SegEnds_NonXtal_Prot#'!$A:$AL,35,FALSE)</f>
        <v>2704</v>
      </c>
      <c r="AO348" s="5">
        <f>VLOOKUP($A348,'SegEnds_NonXtal_Prot#'!$A:$AL,38,FALSE)</f>
        <v>2721</v>
      </c>
      <c r="AP348" s="5">
        <f t="shared" si="138"/>
        <v>37</v>
      </c>
      <c r="AQ348" s="4">
        <f t="shared" si="139"/>
        <v>3</v>
      </c>
      <c r="AR348" s="4">
        <f t="shared" si="140"/>
        <v>26</v>
      </c>
      <c r="AS348" s="4" t="str">
        <f t="shared" si="141"/>
        <v>-</v>
      </c>
      <c r="AT348" s="4">
        <f t="shared" si="142"/>
        <v>33</v>
      </c>
      <c r="AU348" s="4" t="str">
        <f t="shared" si="143"/>
        <v>-</v>
      </c>
      <c r="AV348" s="4">
        <f t="shared" si="144"/>
        <v>31</v>
      </c>
      <c r="AW348" s="4">
        <f t="shared" si="145"/>
        <v>2</v>
      </c>
      <c r="AX348" s="4">
        <f t="shared" si="146"/>
        <v>33</v>
      </c>
      <c r="AY348" s="4">
        <f t="shared" si="147"/>
        <v>25</v>
      </c>
      <c r="AZ348" s="4">
        <f t="shared" si="148"/>
        <v>25</v>
      </c>
      <c r="BA348" s="4">
        <f t="shared" si="149"/>
        <v>16</v>
      </c>
    </row>
    <row r="349" spans="1:53" x14ac:dyDescent="0.2">
      <c r="A349" s="1" t="str">
        <f>'SegEnds_NonXtal_Prot#'!A345</f>
        <v>celr2_human</v>
      </c>
      <c r="B349" s="1" t="str">
        <f t="shared" si="125"/>
        <v>DVSRRENGEILPLKTLTYVALGVTLAALLLTFFFLTLLSNQHGIRRNLTAALGLAQLVFLLGINQFACTVIAILLHFLYLCTFSWALLEALHLYRALTEPMRFYYMLGWGVPAFITGLAVGLDPEGYDTLIWSFAGPVAFAVSMSVFLYILAARASCAAQGPVSGLQPSFAVLLLLSATWLLALLTLLFHYLFATCNCIQGPFIFLSYVVLSKEVRKALKLACSRKPS</v>
      </c>
      <c r="C349" s="29" t="str">
        <f>IF(ISERROR(MATCH(A349,'SegEnds_Xtal_Prot#'!B:B, 0)), "NoXtal", "Xtal")</f>
        <v>NoXtal</v>
      </c>
      <c r="D349" s="4" t="str">
        <f>VLOOKUP(A349,Classification!A:D,2,FALSE)</f>
        <v>B2</v>
      </c>
      <c r="E349" s="5" t="str">
        <f>VLOOKUP(A349,Seqs!A:B,2,FALSE)</f>
        <v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v>
      </c>
      <c r="F349" s="5" t="str">
        <f t="shared" si="126"/>
        <v>DVSRRENGEILPLKTLTYVALGVTLAALLLTFFFLTLL</v>
      </c>
      <c r="G349" s="4" t="str">
        <f t="shared" si="127"/>
        <v>RILR</v>
      </c>
      <c r="H349" s="4" t="str">
        <f t="shared" si="128"/>
        <v>SNQHGIRRNLTAALGLAQLVFLLGINQ</v>
      </c>
      <c r="I349" s="4" t="str">
        <f t="shared" si="129"/>
        <v/>
      </c>
      <c r="J349" s="4" t="str">
        <f t="shared" si="130"/>
        <v>FACTVIAILLHFLYLCTFSWALLEALHLYRALTE</v>
      </c>
      <c r="K349" s="4" t="str">
        <f t="shared" si="131"/>
        <v/>
      </c>
      <c r="L349" s="4" t="str">
        <f t="shared" si="132"/>
        <v>PMRFYYMLGWGVPAFITGLAVGLDPEG</v>
      </c>
      <c r="M349" s="4" t="str">
        <f t="shared" si="133"/>
        <v>CWL</v>
      </c>
      <c r="N349" s="4" t="str">
        <f t="shared" si="134"/>
        <v>YDTLIWSFAGPVAFAVSMSVFLYILAARASCAAQ</v>
      </c>
      <c r="O349" s="4" t="str">
        <f t="shared" si="135"/>
        <v>GPVSGLQPSFAVLLLLSATWLLALL</v>
      </c>
      <c r="P349" s="4" t="str">
        <f t="shared" si="136"/>
        <v>TLLFHYLFATCNCIQGPFIFLSYVVL</v>
      </c>
      <c r="Q349" s="4" t="str">
        <f t="shared" si="137"/>
        <v>SKEVRKALKLACSRKPS</v>
      </c>
      <c r="R349" s="5">
        <f>VLOOKUP($A349,'SegEnds_NonXtal_Prot#'!$A:$AL,3,FALSE)</f>
        <v>2364</v>
      </c>
      <c r="S349" s="5">
        <f>VLOOKUP($A349,'SegEnds_NonXtal_Prot#'!$A:$AL,6,FALSE)</f>
        <v>2402</v>
      </c>
      <c r="T349" s="5">
        <f>VLOOKUP($A349,'SegEnds_NonXtal_Prot#'!$A:$AL,9,FALSE)</f>
        <v>2406</v>
      </c>
      <c r="U349" s="5" t="str">
        <f>VLOOKUP($A349,'SegEnds_NonXtal_Prot#'!$A:$AL,12,FALSE)</f>
        <v>-</v>
      </c>
      <c r="V349" s="5">
        <f>VLOOKUP($A349,'SegEnds_NonXtal_Prot#'!$A:$AL,15,FALSE)</f>
        <v>2437</v>
      </c>
      <c r="W349" s="5" t="str">
        <f>VLOOKUP($A349,'SegEnds_NonXtal_Prot#'!$A:$AL,18,FALSE)</f>
        <v>-</v>
      </c>
      <c r="X349" s="5">
        <f>VLOOKUP($A349,'SegEnds_NonXtal_Prot#'!$A:$AL,21,FALSE)</f>
        <v>2478</v>
      </c>
      <c r="Y349" s="5">
        <f>VLOOKUP($A349,'SegEnds_NonXtal_Prot#'!$A:$AL,24,FALSE)</f>
        <v>2511</v>
      </c>
      <c r="Z349" s="5">
        <f>VLOOKUP($A349,'SegEnds_NonXtal_Prot#'!$A:$AL,27,FALSE)</f>
        <v>2516</v>
      </c>
      <c r="AA349" s="5">
        <f>VLOOKUP($A349,'SegEnds_NonXtal_Prot#'!$A:$AL,30,FALSE)</f>
        <v>2557</v>
      </c>
      <c r="AB349" s="5">
        <f>VLOOKUP($A349,'SegEnds_NonXtal_Prot#'!$A:$AL,33,FALSE)</f>
        <v>2587</v>
      </c>
      <c r="AC349" s="5">
        <f>VLOOKUP($A349,'SegEnds_NonXtal_Prot#'!$A:$AL,36,FALSE)</f>
        <v>2613</v>
      </c>
      <c r="AD349" s="5">
        <f>VLOOKUP($A349,'SegEnds_NonXtal_Prot#'!$A:$AL,5,FALSE)</f>
        <v>2401</v>
      </c>
      <c r="AE349" s="5">
        <f>VLOOKUP($A349,'SegEnds_NonXtal_Prot#'!$A:$AL,8,FALSE)</f>
        <v>2405</v>
      </c>
      <c r="AF349" s="5">
        <f>VLOOKUP($A349,'SegEnds_NonXtal_Prot#'!$A:$AL,11,FALSE)</f>
        <v>2432</v>
      </c>
      <c r="AG349" s="5" t="str">
        <f>VLOOKUP($A349,'SegEnds_NonXtal_Prot#'!$A:$AL,14,FALSE)</f>
        <v>-</v>
      </c>
      <c r="AH349" s="5">
        <f>VLOOKUP($A349,'SegEnds_NonXtal_Prot#'!$A:$AL,17,FALSE)</f>
        <v>2470</v>
      </c>
      <c r="AI349" s="5" t="str">
        <f>VLOOKUP($A349,'SegEnds_NonXtal_Prot#'!$A:$AL,20,FALSE)</f>
        <v>-</v>
      </c>
      <c r="AJ349" s="5">
        <f>VLOOKUP($A349,'SegEnds_NonXtal_Prot#'!$A:$AL,23,FALSE)</f>
        <v>2504</v>
      </c>
      <c r="AK349" s="5">
        <f>VLOOKUP($A349,'SegEnds_NonXtal_Prot#'!$A:$AL,26,FALSE)</f>
        <v>2513</v>
      </c>
      <c r="AL349" s="5">
        <f>VLOOKUP($A349,'SegEnds_NonXtal_Prot#'!$A:$AL,29,FALSE)</f>
        <v>2549</v>
      </c>
      <c r="AM349" s="5">
        <f>VLOOKUP($A349,'SegEnds_NonXtal_Prot#'!$A:$AL,32,FALSE)</f>
        <v>2581</v>
      </c>
      <c r="AN349" s="5">
        <f>VLOOKUP($A349,'SegEnds_NonXtal_Prot#'!$A:$AL,35,FALSE)</f>
        <v>2612</v>
      </c>
      <c r="AO349" s="5">
        <f>VLOOKUP($A349,'SegEnds_NonXtal_Prot#'!$A:$AL,38,FALSE)</f>
        <v>2629</v>
      </c>
      <c r="AP349" s="5">
        <f t="shared" si="138"/>
        <v>37</v>
      </c>
      <c r="AQ349" s="4">
        <f t="shared" si="139"/>
        <v>3</v>
      </c>
      <c r="AR349" s="4">
        <f t="shared" si="140"/>
        <v>26</v>
      </c>
      <c r="AS349" s="4" t="str">
        <f t="shared" si="141"/>
        <v>-</v>
      </c>
      <c r="AT349" s="4">
        <f t="shared" si="142"/>
        <v>33</v>
      </c>
      <c r="AU349" s="4" t="str">
        <f t="shared" si="143"/>
        <v>-</v>
      </c>
      <c r="AV349" s="4">
        <f t="shared" si="144"/>
        <v>26</v>
      </c>
      <c r="AW349" s="4">
        <f t="shared" si="145"/>
        <v>2</v>
      </c>
      <c r="AX349" s="4">
        <f t="shared" si="146"/>
        <v>33</v>
      </c>
      <c r="AY349" s="4">
        <f t="shared" si="147"/>
        <v>24</v>
      </c>
      <c r="AZ349" s="4">
        <f t="shared" si="148"/>
        <v>25</v>
      </c>
      <c r="BA349" s="4">
        <f t="shared" si="149"/>
        <v>16</v>
      </c>
    </row>
    <row r="350" spans="1:53" x14ac:dyDescent="0.2">
      <c r="A350" s="1" t="str">
        <f>'SegEnds_NonXtal_Prot#'!A346</f>
        <v>celr3_human</v>
      </c>
      <c r="B350" s="1" t="str">
        <f t="shared" si="125"/>
        <v>SPRERLEGDLELLAVFTHVVVAVSVAALVLTAAILLSLSNVRGIHANVAAALGVAELLFLLGIHRLVCTAVAILLHYFFLSTFAWLFVQGLHLYRMQVEGAMRFYHALGWGVPAVLLGLAVGLDPEGYHEPLIWSFAGPVVLVIVMNGTMFLLAARTSCSTGTSALTLRSSFLLLLLVSASWLFGLLILAFHYLHAGLCGLQGLAVLLLFCVLNADARAAWMPACLGRKA</v>
      </c>
      <c r="C350" s="29" t="str">
        <f>IF(ISERROR(MATCH(A350,'SegEnds_Xtal_Prot#'!B:B, 0)), "NoXtal", "Xtal")</f>
        <v>NoXtal</v>
      </c>
      <c r="D350" s="4" t="str">
        <f>VLOOKUP(A350,Classification!A:D,2,FALSE)</f>
        <v>B2</v>
      </c>
      <c r="E350" s="5" t="str">
        <f>VLOOKUP(A350,Seqs!A:B,2,FALSE)</f>
        <v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v>
      </c>
      <c r="F350" s="5" t="str">
        <f t="shared" si="126"/>
        <v>SPRERLEGDLELLAVFTHVVVAVSVAALVLTAAILLSL</v>
      </c>
      <c r="G350" s="4" t="str">
        <f t="shared" si="127"/>
        <v>RSLK</v>
      </c>
      <c r="H350" s="4" t="str">
        <f t="shared" si="128"/>
        <v>SNVRGIHANVAAALGVAELLFLLGIHR</v>
      </c>
      <c r="I350" s="4" t="str">
        <f t="shared" si="129"/>
        <v/>
      </c>
      <c r="J350" s="4" t="str">
        <f t="shared" si="130"/>
        <v>LVCTAVAILLHYFFLSTFAWLFVQGLHLYRMQVE</v>
      </c>
      <c r="K350" s="4" t="str">
        <f t="shared" si="131"/>
        <v/>
      </c>
      <c r="L350" s="4" t="str">
        <f t="shared" si="132"/>
        <v>GAMRFYHALGWGVPAVLLGLAVGLDPEGY</v>
      </c>
      <c r="M350" s="4" t="str">
        <f t="shared" si="133"/>
        <v>CWI</v>
      </c>
      <c r="N350" s="4" t="str">
        <f t="shared" si="134"/>
        <v>HEPLIWSFAGPVVLVIVMNGTMFLLAARTSCSTG</v>
      </c>
      <c r="O350" s="4" t="str">
        <f t="shared" si="135"/>
        <v>TSALTLRSSFLLLLLVSASWLFGLL</v>
      </c>
      <c r="P350" s="4" t="str">
        <f t="shared" si="136"/>
        <v>ILAFHYLHAGLCGLQGLAVLLLFCVL</v>
      </c>
      <c r="Q350" s="4" t="str">
        <f t="shared" si="137"/>
        <v>NADARAAWMPACLGRKA</v>
      </c>
      <c r="R350" s="5">
        <f>VLOOKUP($A350,'SegEnds_NonXtal_Prot#'!$A:$AL,3,FALSE)</f>
        <v>2527</v>
      </c>
      <c r="S350" s="5">
        <f>VLOOKUP($A350,'SegEnds_NonXtal_Prot#'!$A:$AL,6,FALSE)</f>
        <v>2565</v>
      </c>
      <c r="T350" s="5">
        <f>VLOOKUP($A350,'SegEnds_NonXtal_Prot#'!$A:$AL,9,FALSE)</f>
        <v>2569</v>
      </c>
      <c r="U350" s="5" t="str">
        <f>VLOOKUP($A350,'SegEnds_NonXtal_Prot#'!$A:$AL,12,FALSE)</f>
        <v>-</v>
      </c>
      <c r="V350" s="5">
        <f>VLOOKUP($A350,'SegEnds_NonXtal_Prot#'!$A:$AL,15,FALSE)</f>
        <v>2600</v>
      </c>
      <c r="W350" s="5" t="str">
        <f>VLOOKUP($A350,'SegEnds_NonXtal_Prot#'!$A:$AL,18,FALSE)</f>
        <v>-</v>
      </c>
      <c r="X350" s="5">
        <f>VLOOKUP($A350,'SegEnds_NonXtal_Prot#'!$A:$AL,21,FALSE)</f>
        <v>2640</v>
      </c>
      <c r="Y350" s="5">
        <f>VLOOKUP($A350,'SegEnds_NonXtal_Prot#'!$A:$AL,24,FALSE)</f>
        <v>2674</v>
      </c>
      <c r="Z350" s="5">
        <f>VLOOKUP($A350,'SegEnds_NonXtal_Prot#'!$A:$AL,27,FALSE)</f>
        <v>2679</v>
      </c>
      <c r="AA350" s="5">
        <f>VLOOKUP($A350,'SegEnds_NonXtal_Prot#'!$A:$AL,30,FALSE)</f>
        <v>2719</v>
      </c>
      <c r="AB350" s="5">
        <f>VLOOKUP($A350,'SegEnds_NonXtal_Prot#'!$A:$AL,33,FALSE)</f>
        <v>2749</v>
      </c>
      <c r="AC350" s="5">
        <f>VLOOKUP($A350,'SegEnds_NonXtal_Prot#'!$A:$AL,36,FALSE)</f>
        <v>2775</v>
      </c>
      <c r="AD350" s="5">
        <f>VLOOKUP($A350,'SegEnds_NonXtal_Prot#'!$A:$AL,5,FALSE)</f>
        <v>2564</v>
      </c>
      <c r="AE350" s="5">
        <f>VLOOKUP($A350,'SegEnds_NonXtal_Prot#'!$A:$AL,8,FALSE)</f>
        <v>2568</v>
      </c>
      <c r="AF350" s="5">
        <f>VLOOKUP($A350,'SegEnds_NonXtal_Prot#'!$A:$AL,11,FALSE)</f>
        <v>2595</v>
      </c>
      <c r="AG350" s="5" t="str">
        <f>VLOOKUP($A350,'SegEnds_NonXtal_Prot#'!$A:$AL,14,FALSE)</f>
        <v>-</v>
      </c>
      <c r="AH350" s="5">
        <f>VLOOKUP($A350,'SegEnds_NonXtal_Prot#'!$A:$AL,17,FALSE)</f>
        <v>2633</v>
      </c>
      <c r="AI350" s="5" t="str">
        <f>VLOOKUP($A350,'SegEnds_NonXtal_Prot#'!$A:$AL,20,FALSE)</f>
        <v>-</v>
      </c>
      <c r="AJ350" s="5">
        <f>VLOOKUP($A350,'SegEnds_NonXtal_Prot#'!$A:$AL,23,FALSE)</f>
        <v>2668</v>
      </c>
      <c r="AK350" s="5">
        <f>VLOOKUP($A350,'SegEnds_NonXtal_Prot#'!$A:$AL,26,FALSE)</f>
        <v>2676</v>
      </c>
      <c r="AL350" s="5">
        <f>VLOOKUP($A350,'SegEnds_NonXtal_Prot#'!$A:$AL,29,FALSE)</f>
        <v>2712</v>
      </c>
      <c r="AM350" s="5">
        <f>VLOOKUP($A350,'SegEnds_NonXtal_Prot#'!$A:$AL,32,FALSE)</f>
        <v>2743</v>
      </c>
      <c r="AN350" s="5">
        <f>VLOOKUP($A350,'SegEnds_NonXtal_Prot#'!$A:$AL,35,FALSE)</f>
        <v>2774</v>
      </c>
      <c r="AO350" s="5">
        <f>VLOOKUP($A350,'SegEnds_NonXtal_Prot#'!$A:$AL,38,FALSE)</f>
        <v>2791</v>
      </c>
      <c r="AP350" s="5">
        <f t="shared" si="138"/>
        <v>37</v>
      </c>
      <c r="AQ350" s="4">
        <f t="shared" si="139"/>
        <v>3</v>
      </c>
      <c r="AR350" s="4">
        <f t="shared" si="140"/>
        <v>26</v>
      </c>
      <c r="AS350" s="4" t="str">
        <f t="shared" si="141"/>
        <v>-</v>
      </c>
      <c r="AT350" s="4">
        <f t="shared" si="142"/>
        <v>33</v>
      </c>
      <c r="AU350" s="4" t="str">
        <f t="shared" si="143"/>
        <v>-</v>
      </c>
      <c r="AV350" s="4">
        <f t="shared" si="144"/>
        <v>28</v>
      </c>
      <c r="AW350" s="4">
        <f t="shared" si="145"/>
        <v>2</v>
      </c>
      <c r="AX350" s="4">
        <f t="shared" si="146"/>
        <v>33</v>
      </c>
      <c r="AY350" s="4">
        <f t="shared" si="147"/>
        <v>24</v>
      </c>
      <c r="AZ350" s="4">
        <f t="shared" si="148"/>
        <v>25</v>
      </c>
      <c r="BA350" s="4">
        <f t="shared" si="149"/>
        <v>16</v>
      </c>
    </row>
    <row r="351" spans="1:53" x14ac:dyDescent="0.2">
      <c r="A351" s="1" t="str">
        <f>'SegEnds_NonXtal_Prot#'!A348</f>
        <v>casr_human</v>
      </c>
      <c r="B351" s="1" t="str">
        <f t="shared" si="125"/>
        <v>PFGIALTLFAVLGIFLTAFVLGVFIKFNRELSYLLLFSLLCCFSSSLFFIDWTCRLRQPAFGISFVLCISCILVKTNRVLLVFGLNLQFLLVFLCTFMQIVICVIWLYTASLMALGFLIGYTCLLAAICFFFAFKSEAKFITFSMLIFFIVWISFIPAYASFVSAVEVIAILAASFGLLACIFFNKIYIILFKPSRNTIEEVRCS</v>
      </c>
      <c r="C351" s="29" t="str">
        <f>IF(ISERROR(MATCH(A351,'SegEnds_Xtal_Prot#'!B:B, 0)), "NoXtal", "Xtal")</f>
        <v>NoXtal</v>
      </c>
      <c r="D351" s="4" t="str">
        <f>VLOOKUP(A351,Classification!A:D,2,FALSE)</f>
        <v>C</v>
      </c>
      <c r="E351" s="5" t="str">
        <f>VLOOKUP(A351,Seqs!A:B,2,FALSE)</f>
        <v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v>
      </c>
      <c r="F351" s="5" t="str">
        <f t="shared" si="126"/>
        <v>PFGIALTLFAVLGIFLTAFVLGVFIKF</v>
      </c>
      <c r="G351" s="4" t="str">
        <f t="shared" si="127"/>
        <v>TPIVKAT</v>
      </c>
      <c r="H351" s="4" t="str">
        <f t="shared" si="128"/>
        <v>NRELSYLLLFSLLCCFSSSLFFI</v>
      </c>
      <c r="I351" s="4" t="str">
        <f t="shared" si="129"/>
        <v/>
      </c>
      <c r="J351" s="4" t="str">
        <f t="shared" si="130"/>
        <v>DWTCRLRQPAFGISFVLCISCILVKTNRVLLVF</v>
      </c>
      <c r="K351" s="4" t="str">
        <f t="shared" si="131"/>
        <v/>
      </c>
      <c r="L351" s="4" t="str">
        <f t="shared" si="132"/>
        <v>GLNLQFLLVFLCTFMQIVICVIWLYTA</v>
      </c>
      <c r="M351" s="4" t="str">
        <f t="shared" si="133"/>
        <v>CHE</v>
      </c>
      <c r="N351" s="4" t="str">
        <f t="shared" si="134"/>
        <v>SLMALGFLIGYTCLLAAICFFFAFKS</v>
      </c>
      <c r="O351" s="4" t="str">
        <f t="shared" si="135"/>
        <v>EAKFITFSMLIFFIVWISFIPAYAS</v>
      </c>
      <c r="P351" s="4" t="str">
        <f t="shared" si="136"/>
        <v>FVSAVEVIAILAASFGLLACIFFNKIYIILFK</v>
      </c>
      <c r="Q351" s="4" t="str">
        <f t="shared" si="137"/>
        <v>PSRNTIEEVRCS</v>
      </c>
      <c r="R351" s="5">
        <f>VLOOKUP($A351,'SegEnds_NonXtal_Prot#'!$A:$AL,3,FALSE)</f>
        <v>611</v>
      </c>
      <c r="S351" s="5">
        <f>VLOOKUP($A351,'SegEnds_NonXtal_Prot#'!$A:$AL,6,FALSE)</f>
        <v>640</v>
      </c>
      <c r="T351" s="5">
        <f>VLOOKUP($A351,'SegEnds_NonXtal_Prot#'!$A:$AL,9,FALSE)</f>
        <v>647</v>
      </c>
      <c r="U351" s="5" t="str">
        <f>VLOOKUP($A351,'SegEnds_NonXtal_Prot#'!$A:$AL,12,FALSE)</f>
        <v>-</v>
      </c>
      <c r="V351" s="5">
        <f>VLOOKUP($A351,'SegEnds_NonXtal_Prot#'!$A:$AL,15,FALSE)</f>
        <v>674</v>
      </c>
      <c r="W351" s="5" t="str">
        <f>VLOOKUP($A351,'SegEnds_NonXtal_Prot#'!$A:$AL,18,FALSE)</f>
        <v>-</v>
      </c>
      <c r="X351" s="5">
        <f>VLOOKUP($A351,'SegEnds_NonXtal_Prot#'!$A:$AL,21,FALSE)</f>
        <v>720</v>
      </c>
      <c r="Y351" s="5">
        <f>VLOOKUP($A351,'SegEnds_NonXtal_Prot#'!$A:$AL,24,FALSE)</f>
        <v>765</v>
      </c>
      <c r="Z351" s="5">
        <f>VLOOKUP($A351,'SegEnds_NonXtal_Prot#'!$A:$AL,27,FALSE)</f>
        <v>769</v>
      </c>
      <c r="AA351" s="5">
        <f>VLOOKUP($A351,'SegEnds_NonXtal_Prot#'!$A:$AL,30,FALSE)</f>
        <v>803</v>
      </c>
      <c r="AB351" s="5">
        <f>VLOOKUP($A351,'SegEnds_NonXtal_Prot#'!$A:$AL,33,FALSE)</f>
        <v>832</v>
      </c>
      <c r="AC351" s="5">
        <f>VLOOKUP($A351,'SegEnds_NonXtal_Prot#'!$A:$AL,36,FALSE)</f>
        <v>864</v>
      </c>
      <c r="AD351" s="5">
        <f>VLOOKUP($A351,'SegEnds_NonXtal_Prot#'!$A:$AL,5,FALSE)</f>
        <v>637</v>
      </c>
      <c r="AE351" s="5">
        <f>VLOOKUP($A351,'SegEnds_NonXtal_Prot#'!$A:$AL,8,FALSE)</f>
        <v>646</v>
      </c>
      <c r="AF351" s="5">
        <f>VLOOKUP($A351,'SegEnds_NonXtal_Prot#'!$A:$AL,11,FALSE)</f>
        <v>669</v>
      </c>
      <c r="AG351" s="5" t="str">
        <f>VLOOKUP($A351,'SegEnds_NonXtal_Prot#'!$A:$AL,14,FALSE)</f>
        <v>-</v>
      </c>
      <c r="AH351" s="5">
        <f>VLOOKUP($A351,'SegEnds_NonXtal_Prot#'!$A:$AL,17,FALSE)</f>
        <v>706</v>
      </c>
      <c r="AI351" s="5" t="str">
        <f>VLOOKUP($A351,'SegEnds_NonXtal_Prot#'!$A:$AL,20,FALSE)</f>
        <v>-</v>
      </c>
      <c r="AJ351" s="5">
        <f>VLOOKUP($A351,'SegEnds_NonXtal_Prot#'!$A:$AL,23,FALSE)</f>
        <v>746</v>
      </c>
      <c r="AK351" s="5">
        <f>VLOOKUP($A351,'SegEnds_NonXtal_Prot#'!$A:$AL,26,FALSE)</f>
        <v>767</v>
      </c>
      <c r="AL351" s="5">
        <f>VLOOKUP($A351,'SegEnds_NonXtal_Prot#'!$A:$AL,29,FALSE)</f>
        <v>794</v>
      </c>
      <c r="AM351" s="5">
        <f>VLOOKUP($A351,'SegEnds_NonXtal_Prot#'!$A:$AL,32,FALSE)</f>
        <v>827</v>
      </c>
      <c r="AN351" s="5">
        <f>VLOOKUP($A351,'SegEnds_NonXtal_Prot#'!$A:$AL,35,FALSE)</f>
        <v>863</v>
      </c>
      <c r="AO351" s="5">
        <f>VLOOKUP($A351,'SegEnds_NonXtal_Prot#'!$A:$AL,38,FALSE)</f>
        <v>875</v>
      </c>
      <c r="AP351" s="5">
        <f t="shared" si="138"/>
        <v>26</v>
      </c>
      <c r="AQ351" s="4">
        <f t="shared" si="139"/>
        <v>6</v>
      </c>
      <c r="AR351" s="4">
        <f t="shared" si="140"/>
        <v>22</v>
      </c>
      <c r="AS351" s="4" t="str">
        <f t="shared" si="141"/>
        <v>-</v>
      </c>
      <c r="AT351" s="4">
        <f t="shared" si="142"/>
        <v>32</v>
      </c>
      <c r="AU351" s="4" t="str">
        <f t="shared" si="143"/>
        <v>-</v>
      </c>
      <c r="AV351" s="4">
        <f t="shared" si="144"/>
        <v>26</v>
      </c>
      <c r="AW351" s="4">
        <f t="shared" si="145"/>
        <v>2</v>
      </c>
      <c r="AX351" s="4">
        <f t="shared" si="146"/>
        <v>25</v>
      </c>
      <c r="AY351" s="4">
        <f t="shared" si="147"/>
        <v>24</v>
      </c>
      <c r="AZ351" s="4">
        <f t="shared" si="148"/>
        <v>31</v>
      </c>
      <c r="BA351" s="4">
        <f t="shared" si="149"/>
        <v>11</v>
      </c>
    </row>
    <row r="352" spans="1:53" x14ac:dyDescent="0.2">
      <c r="A352" s="1" t="str">
        <f>'SegEnds_NonXtal_Prot#'!A349</f>
        <v>gabr1_human</v>
      </c>
      <c r="B352" s="1" t="str">
        <f t="shared" si="125"/>
        <v>KLFISVSVLSSLGIVLAVVCLSFNIYNQPNLNNLTAVGCSLALAAVFPLGPFVCQARLWLLGLGFSLGYGSMFTKIWWVHTVFEPWKLYATVGLLVGMDVLTLAIWQIVDMNTWLGIFYGYKGLLLLLGIFLAYETDHRAVGMAIYNVAVLCLITAPVTMIAAFAFASLAIVFSSYITLVVLFVPKMRRLITRGEWQSEAQDTMK</v>
      </c>
      <c r="C352" s="29" t="str">
        <f>IF(ISERROR(MATCH(A352,'SegEnds_Xtal_Prot#'!B:B, 0)), "NoXtal", "Xtal")</f>
        <v>NoXtal</v>
      </c>
      <c r="D352" s="4" t="str">
        <f>VLOOKUP(A352,Classification!A:D,2,FALSE)</f>
        <v>C</v>
      </c>
      <c r="E352" s="5" t="str">
        <f>VLOOKUP(A352,Seqs!A:B,2,FALSE)</f>
        <v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v>
      </c>
      <c r="F352" s="5" t="str">
        <f t="shared" si="126"/>
        <v>KLFISVSVLSSLGIVLAVVCLSFNIYN</v>
      </c>
      <c r="G352" s="4" t="str">
        <f t="shared" si="127"/>
        <v>VRYIQNS</v>
      </c>
      <c r="H352" s="4" t="str">
        <f t="shared" si="128"/>
        <v>QPNLNNLTAVGCSLALAAVFPLG</v>
      </c>
      <c r="I352" s="4" t="str">
        <f t="shared" si="129"/>
        <v/>
      </c>
      <c r="J352" s="4" t="str">
        <f t="shared" si="130"/>
        <v>PFVCQARLWLLGLGFSLGYGSMFTKIWWVHTVF</v>
      </c>
      <c r="K352" s="4" t="str">
        <f t="shared" si="131"/>
        <v/>
      </c>
      <c r="L352" s="4" t="str">
        <f t="shared" si="132"/>
        <v>EPWKLYATVGLLVGMDVLTLAIWQIVD</v>
      </c>
      <c r="M352" s="4" t="str">
        <f t="shared" si="133"/>
        <v>CSS</v>
      </c>
      <c r="N352" s="4" t="str">
        <f t="shared" si="134"/>
        <v>MNTWLGIFYGYKGLLLLLGIFLAYET</v>
      </c>
      <c r="O352" s="4" t="str">
        <f t="shared" si="135"/>
        <v>DHRAVGMAIYNVAVLCLITAPVTMI</v>
      </c>
      <c r="P352" s="4" t="str">
        <f t="shared" si="136"/>
        <v>AAFAFASLAIVFSSYITLVVLFVPKMRRLITR</v>
      </c>
      <c r="Q352" s="4" t="str">
        <f t="shared" si="137"/>
        <v>GEWQSEAQDTMK</v>
      </c>
      <c r="R352" s="5">
        <f>VLOOKUP($A352,'SegEnds_NonXtal_Prot#'!$A:$AL,3,FALSE)</f>
        <v>590</v>
      </c>
      <c r="S352" s="5">
        <f>VLOOKUP($A352,'SegEnds_NonXtal_Prot#'!$A:$AL,6,FALSE)</f>
        <v>619</v>
      </c>
      <c r="T352" s="5">
        <f>VLOOKUP($A352,'SegEnds_NonXtal_Prot#'!$A:$AL,9,FALSE)</f>
        <v>626</v>
      </c>
      <c r="U352" s="5" t="str">
        <f>VLOOKUP($A352,'SegEnds_NonXtal_Prot#'!$A:$AL,12,FALSE)</f>
        <v>-</v>
      </c>
      <c r="V352" s="5">
        <f>VLOOKUP($A352,'SegEnds_NonXtal_Prot#'!$A:$AL,15,FALSE)</f>
        <v>660</v>
      </c>
      <c r="W352" s="5" t="str">
        <f>VLOOKUP($A352,'SegEnds_NonXtal_Prot#'!$A:$AL,18,FALSE)</f>
        <v>-</v>
      </c>
      <c r="X352" s="5">
        <f>VLOOKUP($A352,'SegEnds_NonXtal_Prot#'!$A:$AL,21,FALSE)</f>
        <v>706</v>
      </c>
      <c r="Y352" s="5">
        <f>VLOOKUP($A352,'SegEnds_NonXtal_Prot#'!$A:$AL,24,FALSE)</f>
        <v>761</v>
      </c>
      <c r="Z352" s="5">
        <f>VLOOKUP($A352,'SegEnds_NonXtal_Prot#'!$A:$AL,27,FALSE)</f>
        <v>766</v>
      </c>
      <c r="AA352" s="5">
        <f>VLOOKUP($A352,'SegEnds_NonXtal_Prot#'!$A:$AL,30,FALSE)</f>
        <v>801</v>
      </c>
      <c r="AB352" s="5">
        <f>VLOOKUP($A352,'SegEnds_NonXtal_Prot#'!$A:$AL,33,FALSE)</f>
        <v>832</v>
      </c>
      <c r="AC352" s="5">
        <f>VLOOKUP($A352,'SegEnds_NonXtal_Prot#'!$A:$AL,36,FALSE)</f>
        <v>864</v>
      </c>
      <c r="AD352" s="5">
        <f>VLOOKUP($A352,'SegEnds_NonXtal_Prot#'!$A:$AL,5,FALSE)</f>
        <v>616</v>
      </c>
      <c r="AE352" s="5">
        <f>VLOOKUP($A352,'SegEnds_NonXtal_Prot#'!$A:$AL,8,FALSE)</f>
        <v>625</v>
      </c>
      <c r="AF352" s="5">
        <f>VLOOKUP($A352,'SegEnds_NonXtal_Prot#'!$A:$AL,11,FALSE)</f>
        <v>648</v>
      </c>
      <c r="AG352" s="5" t="str">
        <f>VLOOKUP($A352,'SegEnds_NonXtal_Prot#'!$A:$AL,14,FALSE)</f>
        <v>-</v>
      </c>
      <c r="AH352" s="5">
        <f>VLOOKUP($A352,'SegEnds_NonXtal_Prot#'!$A:$AL,17,FALSE)</f>
        <v>692</v>
      </c>
      <c r="AI352" s="5" t="str">
        <f>VLOOKUP($A352,'SegEnds_NonXtal_Prot#'!$A:$AL,20,FALSE)</f>
        <v>-</v>
      </c>
      <c r="AJ352" s="5">
        <f>VLOOKUP($A352,'SegEnds_NonXtal_Prot#'!$A:$AL,23,FALSE)</f>
        <v>732</v>
      </c>
      <c r="AK352" s="5">
        <f>VLOOKUP($A352,'SegEnds_NonXtal_Prot#'!$A:$AL,26,FALSE)</f>
        <v>763</v>
      </c>
      <c r="AL352" s="5">
        <f>VLOOKUP($A352,'SegEnds_NonXtal_Prot#'!$A:$AL,29,FALSE)</f>
        <v>791</v>
      </c>
      <c r="AM352" s="5">
        <f>VLOOKUP($A352,'SegEnds_NonXtal_Prot#'!$A:$AL,32,FALSE)</f>
        <v>825</v>
      </c>
      <c r="AN352" s="5">
        <f>VLOOKUP($A352,'SegEnds_NonXtal_Prot#'!$A:$AL,35,FALSE)</f>
        <v>863</v>
      </c>
      <c r="AO352" s="5">
        <f>VLOOKUP($A352,'SegEnds_NonXtal_Prot#'!$A:$AL,38,FALSE)</f>
        <v>875</v>
      </c>
      <c r="AP352" s="5">
        <f t="shared" si="138"/>
        <v>26</v>
      </c>
      <c r="AQ352" s="4">
        <f t="shared" si="139"/>
        <v>6</v>
      </c>
      <c r="AR352" s="4">
        <f t="shared" si="140"/>
        <v>22</v>
      </c>
      <c r="AS352" s="4" t="str">
        <f t="shared" si="141"/>
        <v>-</v>
      </c>
      <c r="AT352" s="4">
        <f t="shared" si="142"/>
        <v>32</v>
      </c>
      <c r="AU352" s="4" t="str">
        <f t="shared" si="143"/>
        <v>-</v>
      </c>
      <c r="AV352" s="4">
        <f t="shared" si="144"/>
        <v>26</v>
      </c>
      <c r="AW352" s="4">
        <f t="shared" si="145"/>
        <v>2</v>
      </c>
      <c r="AX352" s="4">
        <f t="shared" si="146"/>
        <v>25</v>
      </c>
      <c r="AY352" s="4">
        <f t="shared" si="147"/>
        <v>24</v>
      </c>
      <c r="AZ352" s="4">
        <f t="shared" si="148"/>
        <v>31</v>
      </c>
      <c r="BA352" s="4">
        <f t="shared" si="149"/>
        <v>11</v>
      </c>
    </row>
    <row r="353" spans="1:53" x14ac:dyDescent="0.2">
      <c r="A353" s="1" t="str">
        <f>'SegEnds_NonXtal_Prot#'!A350</f>
        <v>gabr2_human</v>
      </c>
      <c r="B353" s="1" t="str">
        <f t="shared" si="125"/>
        <v>PLYSILSALTILGMIMASAFLFFNIKNSPYMNNLIILGGMLSYASIFLFGETLCTVRTWILTVGYTTAFGAMFAKTWRVHAIFKDQKLLVIVGGMLLIDLCILICWQAVDMTIWLGIVYAYKGLLMLFGCFLAWETDSKYIGMSVYNVGIMCIIGAAVSFLVQFCIVALVIIFCSTITLCLVFVPKLITLRTNPDAATQNRRFQF</v>
      </c>
      <c r="C353" s="29" t="str">
        <f>IF(ISERROR(MATCH(A353,'SegEnds_Xtal_Prot#'!B:B, 0)), "NoXtal", "Xtal")</f>
        <v>NoXtal</v>
      </c>
      <c r="D353" s="4" t="str">
        <f>VLOOKUP(A353,Classification!A:D,2,FALSE)</f>
        <v>C</v>
      </c>
      <c r="E353" s="5" t="str">
        <f>VLOOKUP(A353,Seqs!A:B,2,FALSE)</f>
        <v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v>
      </c>
      <c r="F353" s="5" t="str">
        <f t="shared" si="126"/>
        <v>PLYSILSALTILGMIMASAFLFFNIKN</v>
      </c>
      <c r="G353" s="4" t="str">
        <f t="shared" si="127"/>
        <v>QKLIKMS</v>
      </c>
      <c r="H353" s="4" t="str">
        <f t="shared" si="128"/>
        <v>SPYMNNLIILGGMLSYASIFLFG</v>
      </c>
      <c r="I353" s="4" t="str">
        <f t="shared" si="129"/>
        <v/>
      </c>
      <c r="J353" s="4" t="str">
        <f t="shared" si="130"/>
        <v>ETLCTVRTWILTVGYTTAFGAMFAKTWRVHAIF</v>
      </c>
      <c r="K353" s="4" t="str">
        <f t="shared" si="131"/>
        <v/>
      </c>
      <c r="L353" s="4" t="str">
        <f t="shared" si="132"/>
        <v>KDQKLLVIVGGMLLIDLCILICWQAVD</v>
      </c>
      <c r="M353" s="4" t="str">
        <f t="shared" si="133"/>
        <v>CEN</v>
      </c>
      <c r="N353" s="4" t="str">
        <f t="shared" si="134"/>
        <v>MTIWLGIVYAYKGLLMLFGCFLAWET</v>
      </c>
      <c r="O353" s="4" t="str">
        <f t="shared" si="135"/>
        <v>DSKYIGMSVYNVGIMCIIGAAVSFL</v>
      </c>
      <c r="P353" s="4" t="str">
        <f t="shared" si="136"/>
        <v>VQFCIVALVIIFCSTITLCLVFVPKLITLRTN</v>
      </c>
      <c r="Q353" s="4" t="str">
        <f t="shared" si="137"/>
        <v>PDAATQNRRFQF</v>
      </c>
      <c r="R353" s="5">
        <f>VLOOKUP($A353,'SegEnds_NonXtal_Prot#'!$A:$AL,3,FALSE)</f>
        <v>480</v>
      </c>
      <c r="S353" s="5">
        <f>VLOOKUP($A353,'SegEnds_NonXtal_Prot#'!$A:$AL,6,FALSE)</f>
        <v>509</v>
      </c>
      <c r="T353" s="5">
        <f>VLOOKUP($A353,'SegEnds_NonXtal_Prot#'!$A:$AL,9,FALSE)</f>
        <v>516</v>
      </c>
      <c r="U353" s="5" t="str">
        <f>VLOOKUP($A353,'SegEnds_NonXtal_Prot#'!$A:$AL,12,FALSE)</f>
        <v>-</v>
      </c>
      <c r="V353" s="5">
        <f>VLOOKUP($A353,'SegEnds_NonXtal_Prot#'!$A:$AL,15,FALSE)</f>
        <v>550</v>
      </c>
      <c r="W353" s="5" t="str">
        <f>VLOOKUP($A353,'SegEnds_NonXtal_Prot#'!$A:$AL,18,FALSE)</f>
        <v>-</v>
      </c>
      <c r="X353" s="5">
        <f>VLOOKUP($A353,'SegEnds_NonXtal_Prot#'!$A:$AL,21,FALSE)</f>
        <v>593</v>
      </c>
      <c r="Y353" s="5">
        <f>VLOOKUP($A353,'SegEnds_NonXtal_Prot#'!$A:$AL,24,FALSE)</f>
        <v>648</v>
      </c>
      <c r="Z353" s="5">
        <f>VLOOKUP($A353,'SegEnds_NonXtal_Prot#'!$A:$AL,27,FALSE)</f>
        <v>653</v>
      </c>
      <c r="AA353" s="5">
        <f>VLOOKUP($A353,'SegEnds_NonXtal_Prot#'!$A:$AL,30,FALSE)</f>
        <v>688</v>
      </c>
      <c r="AB353" s="5">
        <f>VLOOKUP($A353,'SegEnds_NonXtal_Prot#'!$A:$AL,33,FALSE)</f>
        <v>719</v>
      </c>
      <c r="AC353" s="5">
        <f>VLOOKUP($A353,'SegEnds_NonXtal_Prot#'!$A:$AL,36,FALSE)</f>
        <v>751</v>
      </c>
      <c r="AD353" s="5">
        <f>VLOOKUP($A353,'SegEnds_NonXtal_Prot#'!$A:$AL,5,FALSE)</f>
        <v>506</v>
      </c>
      <c r="AE353" s="5">
        <f>VLOOKUP($A353,'SegEnds_NonXtal_Prot#'!$A:$AL,8,FALSE)</f>
        <v>515</v>
      </c>
      <c r="AF353" s="5">
        <f>VLOOKUP($A353,'SegEnds_NonXtal_Prot#'!$A:$AL,11,FALSE)</f>
        <v>538</v>
      </c>
      <c r="AG353" s="5" t="str">
        <f>VLOOKUP($A353,'SegEnds_NonXtal_Prot#'!$A:$AL,14,FALSE)</f>
        <v>-</v>
      </c>
      <c r="AH353" s="5">
        <f>VLOOKUP($A353,'SegEnds_NonXtal_Prot#'!$A:$AL,17,FALSE)</f>
        <v>582</v>
      </c>
      <c r="AI353" s="5" t="str">
        <f>VLOOKUP($A353,'SegEnds_NonXtal_Prot#'!$A:$AL,20,FALSE)</f>
        <v>-</v>
      </c>
      <c r="AJ353" s="5">
        <f>VLOOKUP($A353,'SegEnds_NonXtal_Prot#'!$A:$AL,23,FALSE)</f>
        <v>619</v>
      </c>
      <c r="AK353" s="5">
        <f>VLOOKUP($A353,'SegEnds_NonXtal_Prot#'!$A:$AL,26,FALSE)</f>
        <v>650</v>
      </c>
      <c r="AL353" s="5">
        <f>VLOOKUP($A353,'SegEnds_NonXtal_Prot#'!$A:$AL,29,FALSE)</f>
        <v>678</v>
      </c>
      <c r="AM353" s="5">
        <f>VLOOKUP($A353,'SegEnds_NonXtal_Prot#'!$A:$AL,32,FALSE)</f>
        <v>712</v>
      </c>
      <c r="AN353" s="5">
        <f>VLOOKUP($A353,'SegEnds_NonXtal_Prot#'!$A:$AL,35,FALSE)</f>
        <v>750</v>
      </c>
      <c r="AO353" s="5">
        <f>VLOOKUP($A353,'SegEnds_NonXtal_Prot#'!$A:$AL,38,FALSE)</f>
        <v>762</v>
      </c>
      <c r="AP353" s="5">
        <f t="shared" si="138"/>
        <v>26</v>
      </c>
      <c r="AQ353" s="4">
        <f t="shared" si="139"/>
        <v>6</v>
      </c>
      <c r="AR353" s="4">
        <f t="shared" si="140"/>
        <v>22</v>
      </c>
      <c r="AS353" s="4" t="str">
        <f t="shared" si="141"/>
        <v>-</v>
      </c>
      <c r="AT353" s="4">
        <f t="shared" si="142"/>
        <v>32</v>
      </c>
      <c r="AU353" s="4" t="str">
        <f t="shared" si="143"/>
        <v>-</v>
      </c>
      <c r="AV353" s="4">
        <f t="shared" si="144"/>
        <v>26</v>
      </c>
      <c r="AW353" s="4">
        <f t="shared" si="145"/>
        <v>2</v>
      </c>
      <c r="AX353" s="4">
        <f t="shared" si="146"/>
        <v>25</v>
      </c>
      <c r="AY353" s="4">
        <f t="shared" si="147"/>
        <v>24</v>
      </c>
      <c r="AZ353" s="4">
        <f t="shared" si="148"/>
        <v>31</v>
      </c>
      <c r="BA353" s="4">
        <f t="shared" si="149"/>
        <v>11</v>
      </c>
    </row>
    <row r="354" spans="1:53" x14ac:dyDescent="0.2">
      <c r="A354" s="1" t="str">
        <f>'SegEnds_NonXtal_Prot#'!A351</f>
        <v>gp156_human</v>
      </c>
      <c r="B354" s="1" t="str">
        <f t="shared" si="125"/>
        <v>VLLGIVWTFLSCGLLLILFFLAFTIHCSPNLNIVTLLGSCLTYSSAYLFGETLIQTRLSMLCIGTSLVFGPILGKSWRLYKVFKDLQLLGLVAALLMADVILLMTWVLTDSDVWIALIWGCKGLLLLYGAYLAGLTSLTIMVGVNLLVLAAGLLFVVTRYLLVFGLTSGGIFVCTTTINCFIFIPQLKQWKAFEEENQTIRRMAK</v>
      </c>
      <c r="C354" s="29" t="str">
        <f>IF(ISERROR(MATCH(A354,'SegEnds_Xtal_Prot#'!B:B, 0)), "NoXtal", "Xtal")</f>
        <v>NoXtal</v>
      </c>
      <c r="D354" s="4" t="str">
        <f>VLOOKUP(A354,Classification!A:D,2,FALSE)</f>
        <v>C</v>
      </c>
      <c r="E354" s="5" t="str">
        <f>VLOOKUP(A354,Seqs!A:B,2,FALSE)</f>
        <v>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</v>
      </c>
      <c r="F354" s="5" t="str">
        <f t="shared" si="126"/>
        <v>VLLGIVWTFLSCGLLLILFFLAFTIHC</v>
      </c>
      <c r="G354" s="4" t="str">
        <f t="shared" si="127"/>
        <v>NRIVKMS</v>
      </c>
      <c r="H354" s="4" t="str">
        <f t="shared" si="128"/>
        <v>SPNLNIVTLLGSCLTYSSAYLFG</v>
      </c>
      <c r="I354" s="4" t="str">
        <f t="shared" si="129"/>
        <v/>
      </c>
      <c r="J354" s="4" t="str">
        <f t="shared" si="130"/>
        <v>ETLIQTRLSMLCIGTSLVFGPILGKSWRLYKVF</v>
      </c>
      <c r="K354" s="4" t="str">
        <f t="shared" si="131"/>
        <v/>
      </c>
      <c r="L354" s="4" t="str">
        <f t="shared" si="132"/>
        <v>KDLQLLGLVAALLMADVILLMTWVLTD</v>
      </c>
      <c r="M354" s="4" t="str">
        <f t="shared" si="133"/>
        <v>CAS</v>
      </c>
      <c r="N354" s="4" t="str">
        <f t="shared" si="134"/>
        <v>SDVWIALIWGCKGLLLLYGAYLAGLT</v>
      </c>
      <c r="O354" s="4" t="str">
        <f t="shared" si="135"/>
        <v>SLTIMVGVNLLVLAAGLLFVVTRYL</v>
      </c>
      <c r="P354" s="4" t="str">
        <f t="shared" si="136"/>
        <v>LVFGLTSGGIFVCTTTINCFIFIPQLKQWKAF</v>
      </c>
      <c r="Q354" s="4" t="str">
        <f t="shared" si="137"/>
        <v>EEENQTIRRMAK</v>
      </c>
      <c r="R354" s="5">
        <f>VLOOKUP($A354,'SegEnds_NonXtal_Prot#'!$A:$AL,3,FALSE)</f>
        <v>48</v>
      </c>
      <c r="S354" s="5">
        <f>VLOOKUP($A354,'SegEnds_NonXtal_Prot#'!$A:$AL,6,FALSE)</f>
        <v>77</v>
      </c>
      <c r="T354" s="5">
        <f>VLOOKUP($A354,'SegEnds_NonXtal_Prot#'!$A:$AL,9,FALSE)</f>
        <v>84</v>
      </c>
      <c r="U354" s="5" t="str">
        <f>VLOOKUP($A354,'SegEnds_NonXtal_Prot#'!$A:$AL,12,FALSE)</f>
        <v>-</v>
      </c>
      <c r="V354" s="5">
        <f>VLOOKUP($A354,'SegEnds_NonXtal_Prot#'!$A:$AL,15,FALSE)</f>
        <v>117</v>
      </c>
      <c r="W354" s="5" t="str">
        <f>VLOOKUP($A354,'SegEnds_NonXtal_Prot#'!$A:$AL,18,FALSE)</f>
        <v>-</v>
      </c>
      <c r="X354" s="5">
        <f>VLOOKUP($A354,'SegEnds_NonXtal_Prot#'!$A:$AL,21,FALSE)</f>
        <v>161</v>
      </c>
      <c r="Y354" s="5">
        <f>VLOOKUP($A354,'SegEnds_NonXtal_Prot#'!$A:$AL,24,FALSE)</f>
        <v>216</v>
      </c>
      <c r="Z354" s="5">
        <f>VLOOKUP($A354,'SegEnds_NonXtal_Prot#'!$A:$AL,27,FALSE)</f>
        <v>221</v>
      </c>
      <c r="AA354" s="5">
        <f>VLOOKUP($A354,'SegEnds_NonXtal_Prot#'!$A:$AL,30,FALSE)</f>
        <v>257</v>
      </c>
      <c r="AB354" s="5">
        <f>VLOOKUP($A354,'SegEnds_NonXtal_Prot#'!$A:$AL,33,FALSE)</f>
        <v>287</v>
      </c>
      <c r="AC354" s="5">
        <f>VLOOKUP($A354,'SegEnds_NonXtal_Prot#'!$A:$AL,36,FALSE)</f>
        <v>319</v>
      </c>
      <c r="AD354" s="5">
        <f>VLOOKUP($A354,'SegEnds_NonXtal_Prot#'!$A:$AL,5,FALSE)</f>
        <v>74</v>
      </c>
      <c r="AE354" s="5">
        <f>VLOOKUP($A354,'SegEnds_NonXtal_Prot#'!$A:$AL,8,FALSE)</f>
        <v>83</v>
      </c>
      <c r="AF354" s="5">
        <f>VLOOKUP($A354,'SegEnds_NonXtal_Prot#'!$A:$AL,11,FALSE)</f>
        <v>106</v>
      </c>
      <c r="AG354" s="5" t="str">
        <f>VLOOKUP($A354,'SegEnds_NonXtal_Prot#'!$A:$AL,14,FALSE)</f>
        <v>-</v>
      </c>
      <c r="AH354" s="5">
        <f>VLOOKUP($A354,'SegEnds_NonXtal_Prot#'!$A:$AL,17,FALSE)</f>
        <v>149</v>
      </c>
      <c r="AI354" s="5" t="str">
        <f>VLOOKUP($A354,'SegEnds_NonXtal_Prot#'!$A:$AL,20,FALSE)</f>
        <v>-</v>
      </c>
      <c r="AJ354" s="5">
        <f>VLOOKUP($A354,'SegEnds_NonXtal_Prot#'!$A:$AL,23,FALSE)</f>
        <v>187</v>
      </c>
      <c r="AK354" s="5">
        <f>VLOOKUP($A354,'SegEnds_NonXtal_Prot#'!$A:$AL,26,FALSE)</f>
        <v>218</v>
      </c>
      <c r="AL354" s="5">
        <f>VLOOKUP($A354,'SegEnds_NonXtal_Prot#'!$A:$AL,29,FALSE)</f>
        <v>246</v>
      </c>
      <c r="AM354" s="5">
        <f>VLOOKUP($A354,'SegEnds_NonXtal_Prot#'!$A:$AL,32,FALSE)</f>
        <v>281</v>
      </c>
      <c r="AN354" s="5">
        <f>VLOOKUP($A354,'SegEnds_NonXtal_Prot#'!$A:$AL,35,FALSE)</f>
        <v>318</v>
      </c>
      <c r="AO354" s="5">
        <f>VLOOKUP($A354,'SegEnds_NonXtal_Prot#'!$A:$AL,38,FALSE)</f>
        <v>330</v>
      </c>
      <c r="AP354" s="5">
        <f t="shared" si="138"/>
        <v>26</v>
      </c>
      <c r="AQ354" s="4">
        <f t="shared" si="139"/>
        <v>6</v>
      </c>
      <c r="AR354" s="4">
        <f t="shared" si="140"/>
        <v>22</v>
      </c>
      <c r="AS354" s="4" t="str">
        <f t="shared" si="141"/>
        <v>-</v>
      </c>
      <c r="AT354" s="4">
        <f t="shared" si="142"/>
        <v>32</v>
      </c>
      <c r="AU354" s="4" t="str">
        <f t="shared" si="143"/>
        <v>-</v>
      </c>
      <c r="AV354" s="4">
        <f t="shared" si="144"/>
        <v>26</v>
      </c>
      <c r="AW354" s="4">
        <f t="shared" si="145"/>
        <v>2</v>
      </c>
      <c r="AX354" s="4">
        <f t="shared" si="146"/>
        <v>25</v>
      </c>
      <c r="AY354" s="4">
        <f t="shared" si="147"/>
        <v>24</v>
      </c>
      <c r="AZ354" s="4">
        <f t="shared" si="148"/>
        <v>31</v>
      </c>
      <c r="BA354" s="4">
        <f t="shared" si="149"/>
        <v>11</v>
      </c>
    </row>
    <row r="355" spans="1:53" x14ac:dyDescent="0.2">
      <c r="A355" s="1" t="str">
        <f>'SegEnds_NonXtal_Prot#'!A352</f>
        <v>gp158_human</v>
      </c>
      <c r="B355" s="1" t="str">
        <f t="shared" si="125"/>
        <v>YLRLAIISFQALCMLLDFVSMLVVYHFGLILLETILFGSLLLYFPVVILYTFRCILLRWARLLGFATVYGTVTLKLHRVLKVFSRTAQRIPYMTGGRVMRMLAVILLVVFDRWDYMTAVAEFLFLLWGVYLCYAVEPRYMAVAVHNELIISAIFHTIRFVWMLMLYFAHTHLTVTVTIGLLLIPKFSHSSNNPRDDIATEAYED</v>
      </c>
      <c r="C355" s="29" t="str">
        <f>IF(ISERROR(MATCH(A355,'SegEnds_Xtal_Prot#'!B:B, 0)), "NoXtal", "Xtal")</f>
        <v>NoXtal</v>
      </c>
      <c r="D355" s="4" t="str">
        <f>VLOOKUP(A355,Classification!A:D,2,FALSE)</f>
        <v>C</v>
      </c>
      <c r="E355" s="5" t="str">
        <f>VLOOKUP(A355,Seqs!A:B,2,FALSE)</f>
        <v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</v>
      </c>
      <c r="F355" s="5" t="str">
        <f t="shared" si="126"/>
        <v>YLRLAIISFQALCMLLDFVSMLVVYHF</v>
      </c>
      <c r="G355" s="4" t="str">
        <f t="shared" si="127"/>
        <v>AKSIRAS</v>
      </c>
      <c r="H355" s="4" t="str">
        <f t="shared" si="128"/>
        <v>GLILLETILFGSLLLYFPVVILY</v>
      </c>
      <c r="I355" s="4" t="str">
        <f t="shared" si="129"/>
        <v/>
      </c>
      <c r="J355" s="4" t="str">
        <f t="shared" si="130"/>
        <v>TFRCILLRWARLLGFATVYGTVTLKLHRVLKVF</v>
      </c>
      <c r="K355" s="4" t="str">
        <f t="shared" si="131"/>
        <v/>
      </c>
      <c r="L355" s="4" t="str">
        <f t="shared" si="132"/>
        <v>SRTAQRIPYMTGGRVMRMLAVILLVVF</v>
      </c>
      <c r="M355" s="4" t="str">
        <f t="shared" si="133"/>
        <v>CLI</v>
      </c>
      <c r="N355" s="4" t="str">
        <f t="shared" si="134"/>
        <v>DRWDYMTAVAEFLFLLWGVYLCYAV</v>
      </c>
      <c r="O355" s="4" t="str">
        <f t="shared" si="135"/>
        <v>EPRYMAVAVHNELIISAIFHTIRFV</v>
      </c>
      <c r="P355" s="4" t="str">
        <f t="shared" si="136"/>
        <v>WMLMLYFAHTHLTVTVTIGLLLIPKFSHSSNN</v>
      </c>
      <c r="Q355" s="4" t="str">
        <f t="shared" si="137"/>
        <v>PRDDIATEAYED</v>
      </c>
      <c r="R355" s="5">
        <f>VLOOKUP($A355,'SegEnds_NonXtal_Prot#'!$A:$AL,3,FALSE)</f>
        <v>415</v>
      </c>
      <c r="S355" s="5">
        <f>VLOOKUP($A355,'SegEnds_NonXtal_Prot#'!$A:$AL,6,FALSE)</f>
        <v>444</v>
      </c>
      <c r="T355" s="5">
        <f>VLOOKUP($A355,'SegEnds_NonXtal_Prot#'!$A:$AL,9,FALSE)</f>
        <v>451</v>
      </c>
      <c r="U355" s="5" t="str">
        <f>VLOOKUP($A355,'SegEnds_NonXtal_Prot#'!$A:$AL,12,FALSE)</f>
        <v>-</v>
      </c>
      <c r="V355" s="5">
        <f>VLOOKUP($A355,'SegEnds_NonXtal_Prot#'!$A:$AL,15,FALSE)</f>
        <v>478</v>
      </c>
      <c r="W355" s="5" t="str">
        <f>VLOOKUP($A355,'SegEnds_NonXtal_Prot#'!$A:$AL,18,FALSE)</f>
        <v>-</v>
      </c>
      <c r="X355" s="5">
        <f>VLOOKUP($A355,'SegEnds_NonXtal_Prot#'!$A:$AL,21,FALSE)</f>
        <v>512</v>
      </c>
      <c r="Y355" s="5">
        <f>VLOOKUP($A355,'SegEnds_NonXtal_Prot#'!$A:$AL,24,FALSE)</f>
        <v>573</v>
      </c>
      <c r="Z355" s="5">
        <f>VLOOKUP($A355,'SegEnds_NonXtal_Prot#'!$A:$AL,27,FALSE)</f>
        <v>576</v>
      </c>
      <c r="AA355" s="5">
        <f>VLOOKUP($A355,'SegEnds_NonXtal_Prot#'!$A:$AL,30,FALSE)</f>
        <v>609</v>
      </c>
      <c r="AB355" s="5">
        <f>VLOOKUP($A355,'SegEnds_NonXtal_Prot#'!$A:$AL,33,FALSE)</f>
        <v>642</v>
      </c>
      <c r="AC355" s="5">
        <f>VLOOKUP($A355,'SegEnds_NonXtal_Prot#'!$A:$AL,36,FALSE)</f>
        <v>674</v>
      </c>
      <c r="AD355" s="5">
        <f>VLOOKUP($A355,'SegEnds_NonXtal_Prot#'!$A:$AL,5,FALSE)</f>
        <v>441</v>
      </c>
      <c r="AE355" s="5">
        <f>VLOOKUP($A355,'SegEnds_NonXtal_Prot#'!$A:$AL,8,FALSE)</f>
        <v>450</v>
      </c>
      <c r="AF355" s="5">
        <f>VLOOKUP($A355,'SegEnds_NonXtal_Prot#'!$A:$AL,11,FALSE)</f>
        <v>473</v>
      </c>
      <c r="AG355" s="5" t="str">
        <f>VLOOKUP($A355,'SegEnds_NonXtal_Prot#'!$A:$AL,14,FALSE)</f>
        <v>-</v>
      </c>
      <c r="AH355" s="5">
        <f>VLOOKUP($A355,'SegEnds_NonXtal_Prot#'!$A:$AL,17,FALSE)</f>
        <v>510</v>
      </c>
      <c r="AI355" s="5" t="str">
        <f>VLOOKUP($A355,'SegEnds_NonXtal_Prot#'!$A:$AL,20,FALSE)</f>
        <v>-</v>
      </c>
      <c r="AJ355" s="5">
        <f>VLOOKUP($A355,'SegEnds_NonXtal_Prot#'!$A:$AL,23,FALSE)</f>
        <v>538</v>
      </c>
      <c r="AK355" s="5">
        <f>VLOOKUP($A355,'SegEnds_NonXtal_Prot#'!$A:$AL,26,FALSE)</f>
        <v>575</v>
      </c>
      <c r="AL355" s="5">
        <f>VLOOKUP($A355,'SegEnds_NonXtal_Prot#'!$A:$AL,29,FALSE)</f>
        <v>600</v>
      </c>
      <c r="AM355" s="5">
        <f>VLOOKUP($A355,'SegEnds_NonXtal_Prot#'!$A:$AL,32,FALSE)</f>
        <v>633</v>
      </c>
      <c r="AN355" s="5">
        <f>VLOOKUP($A355,'SegEnds_NonXtal_Prot#'!$A:$AL,35,FALSE)</f>
        <v>673</v>
      </c>
      <c r="AO355" s="5">
        <f>VLOOKUP($A355,'SegEnds_NonXtal_Prot#'!$A:$AL,38,FALSE)</f>
        <v>685</v>
      </c>
      <c r="AP355" s="5">
        <f t="shared" si="138"/>
        <v>26</v>
      </c>
      <c r="AQ355" s="4">
        <f t="shared" si="139"/>
        <v>6</v>
      </c>
      <c r="AR355" s="4">
        <f t="shared" si="140"/>
        <v>22</v>
      </c>
      <c r="AS355" s="4" t="str">
        <f t="shared" si="141"/>
        <v>-</v>
      </c>
      <c r="AT355" s="4">
        <f t="shared" si="142"/>
        <v>32</v>
      </c>
      <c r="AU355" s="4" t="str">
        <f t="shared" si="143"/>
        <v>-</v>
      </c>
      <c r="AV355" s="4">
        <f t="shared" si="144"/>
        <v>26</v>
      </c>
      <c r="AW355" s="4">
        <f t="shared" si="145"/>
        <v>2</v>
      </c>
      <c r="AX355" s="4">
        <f t="shared" si="146"/>
        <v>24</v>
      </c>
      <c r="AY355" s="4">
        <f t="shared" si="147"/>
        <v>24</v>
      </c>
      <c r="AZ355" s="4">
        <f t="shared" si="148"/>
        <v>31</v>
      </c>
      <c r="BA355" s="4">
        <f t="shared" si="149"/>
        <v>11</v>
      </c>
    </row>
    <row r="356" spans="1:53" x14ac:dyDescent="0.2">
      <c r="A356" s="1" t="str">
        <f>'SegEnds_NonXtal_Prot#'!A353</f>
        <v>gp179_human</v>
      </c>
      <c r="B356" s="1" t="str">
        <f t="shared" si="125"/>
        <v>VLRAAVLACQACCMLAIFLSMLVSYRCGVVLLETVLFGFLLLYFPVFILYVFRCIALRWVRLLGFAIVYGTIILKLYRVLQLFSRTAQRSALLSSGRLLRRLGLLLLPVLDRWDYIMVVAELLLLCWGSFLCYATEPRYMGIALHNELLLSAAFHTARFVWTLLLFFFHTHSTVTTTLALIFIPKFWKLGAPPREEMVDEVCED</v>
      </c>
      <c r="C356" s="29" t="str">
        <f>IF(ISERROR(MATCH(A356,'SegEnds_Xtal_Prot#'!B:B, 0)), "NoXtal", "Xtal")</f>
        <v>NoXtal</v>
      </c>
      <c r="D356" s="4" t="str">
        <f>VLOOKUP(A356,Classification!A:D,2,FALSE)</f>
        <v>C</v>
      </c>
      <c r="E356" s="5" t="str">
        <f>VLOOKUP(A356,Seqs!A:B,2,FALSE)</f>
        <v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v>
      </c>
      <c r="F356" s="5" t="str">
        <f t="shared" si="126"/>
        <v>VLRAAVLACQACCMLAIFLSMLVSYRC</v>
      </c>
      <c r="G356" s="4" t="str">
        <f t="shared" si="127"/>
        <v>NKRIWAS</v>
      </c>
      <c r="H356" s="4" t="str">
        <f t="shared" si="128"/>
        <v>GVVLLETVLFGFLLLYFPVFILY</v>
      </c>
      <c r="I356" s="4" t="str">
        <f t="shared" si="129"/>
        <v/>
      </c>
      <c r="J356" s="4" t="str">
        <f t="shared" si="130"/>
        <v>VFRCIALRWVRLLGFAIVYGTIILKLYRVLQLF</v>
      </c>
      <c r="K356" s="4" t="str">
        <f t="shared" si="131"/>
        <v/>
      </c>
      <c r="L356" s="4" t="str">
        <f t="shared" si="132"/>
        <v>SRTAQRSALLSSGRLLRRLGLLLLPVL</v>
      </c>
      <c r="M356" s="4" t="str">
        <f t="shared" si="133"/>
        <v>CHH</v>
      </c>
      <c r="N356" s="4" t="str">
        <f t="shared" si="134"/>
        <v>DRWDYIMVVAELLLLCWGSFLCYAT</v>
      </c>
      <c r="O356" s="4" t="str">
        <f t="shared" si="135"/>
        <v>EPRYMGIALHNELLLSAAFHTARFV</v>
      </c>
      <c r="P356" s="4" t="str">
        <f t="shared" si="136"/>
        <v>WTLLLFFFHTHSTVTTTLALIFIPKFWKLGAP</v>
      </c>
      <c r="Q356" s="4" t="str">
        <f t="shared" si="137"/>
        <v>PREEMVDEVCED</v>
      </c>
      <c r="R356" s="5">
        <f>VLOOKUP($A356,'SegEnds_NonXtal_Prot#'!$A:$AL,3,FALSE)</f>
        <v>379</v>
      </c>
      <c r="S356" s="5">
        <f>VLOOKUP($A356,'SegEnds_NonXtal_Prot#'!$A:$AL,6,FALSE)</f>
        <v>408</v>
      </c>
      <c r="T356" s="5">
        <f>VLOOKUP($A356,'SegEnds_NonXtal_Prot#'!$A:$AL,9,FALSE)</f>
        <v>415</v>
      </c>
      <c r="U356" s="5" t="str">
        <f>VLOOKUP($A356,'SegEnds_NonXtal_Prot#'!$A:$AL,12,FALSE)</f>
        <v>-</v>
      </c>
      <c r="V356" s="5">
        <f>VLOOKUP($A356,'SegEnds_NonXtal_Prot#'!$A:$AL,15,FALSE)</f>
        <v>442</v>
      </c>
      <c r="W356" s="5" t="str">
        <f>VLOOKUP($A356,'SegEnds_NonXtal_Prot#'!$A:$AL,18,FALSE)</f>
        <v>-</v>
      </c>
      <c r="X356" s="5">
        <f>VLOOKUP($A356,'SegEnds_NonXtal_Prot#'!$A:$AL,21,FALSE)</f>
        <v>476</v>
      </c>
      <c r="Y356" s="5">
        <f>VLOOKUP($A356,'SegEnds_NonXtal_Prot#'!$A:$AL,24,FALSE)</f>
        <v>537</v>
      </c>
      <c r="Z356" s="5">
        <f>VLOOKUP($A356,'SegEnds_NonXtal_Prot#'!$A:$AL,27,FALSE)</f>
        <v>540</v>
      </c>
      <c r="AA356" s="5">
        <f>VLOOKUP($A356,'SegEnds_NonXtal_Prot#'!$A:$AL,30,FALSE)</f>
        <v>573</v>
      </c>
      <c r="AB356" s="5">
        <f>VLOOKUP($A356,'SegEnds_NonXtal_Prot#'!$A:$AL,33,FALSE)</f>
        <v>606</v>
      </c>
      <c r="AC356" s="5">
        <f>VLOOKUP($A356,'SegEnds_NonXtal_Prot#'!$A:$AL,36,FALSE)</f>
        <v>638</v>
      </c>
      <c r="AD356" s="5">
        <f>VLOOKUP($A356,'SegEnds_NonXtal_Prot#'!$A:$AL,5,FALSE)</f>
        <v>405</v>
      </c>
      <c r="AE356" s="5">
        <f>VLOOKUP($A356,'SegEnds_NonXtal_Prot#'!$A:$AL,8,FALSE)</f>
        <v>414</v>
      </c>
      <c r="AF356" s="5">
        <f>VLOOKUP($A356,'SegEnds_NonXtal_Prot#'!$A:$AL,11,FALSE)</f>
        <v>437</v>
      </c>
      <c r="AG356" s="5" t="str">
        <f>VLOOKUP($A356,'SegEnds_NonXtal_Prot#'!$A:$AL,14,FALSE)</f>
        <v>-</v>
      </c>
      <c r="AH356" s="5">
        <f>VLOOKUP($A356,'SegEnds_NonXtal_Prot#'!$A:$AL,17,FALSE)</f>
        <v>474</v>
      </c>
      <c r="AI356" s="5" t="str">
        <f>VLOOKUP($A356,'SegEnds_NonXtal_Prot#'!$A:$AL,20,FALSE)</f>
        <v>-</v>
      </c>
      <c r="AJ356" s="5">
        <f>VLOOKUP($A356,'SegEnds_NonXtal_Prot#'!$A:$AL,23,FALSE)</f>
        <v>502</v>
      </c>
      <c r="AK356" s="5">
        <f>VLOOKUP($A356,'SegEnds_NonXtal_Prot#'!$A:$AL,26,FALSE)</f>
        <v>539</v>
      </c>
      <c r="AL356" s="5">
        <f>VLOOKUP($A356,'SegEnds_NonXtal_Prot#'!$A:$AL,29,FALSE)</f>
        <v>564</v>
      </c>
      <c r="AM356" s="5">
        <f>VLOOKUP($A356,'SegEnds_NonXtal_Prot#'!$A:$AL,32,FALSE)</f>
        <v>597</v>
      </c>
      <c r="AN356" s="5">
        <f>VLOOKUP($A356,'SegEnds_NonXtal_Prot#'!$A:$AL,35,FALSE)</f>
        <v>637</v>
      </c>
      <c r="AO356" s="5">
        <f>VLOOKUP($A356,'SegEnds_NonXtal_Prot#'!$A:$AL,38,FALSE)</f>
        <v>649</v>
      </c>
      <c r="AP356" s="5">
        <f t="shared" si="138"/>
        <v>26</v>
      </c>
      <c r="AQ356" s="4">
        <f t="shared" si="139"/>
        <v>6</v>
      </c>
      <c r="AR356" s="4">
        <f t="shared" si="140"/>
        <v>22</v>
      </c>
      <c r="AS356" s="4" t="str">
        <f t="shared" si="141"/>
        <v>-</v>
      </c>
      <c r="AT356" s="4">
        <f t="shared" si="142"/>
        <v>32</v>
      </c>
      <c r="AU356" s="4" t="str">
        <f t="shared" si="143"/>
        <v>-</v>
      </c>
      <c r="AV356" s="4">
        <f t="shared" si="144"/>
        <v>26</v>
      </c>
      <c r="AW356" s="4">
        <f t="shared" si="145"/>
        <v>2</v>
      </c>
      <c r="AX356" s="4">
        <f t="shared" si="146"/>
        <v>24</v>
      </c>
      <c r="AY356" s="4">
        <f t="shared" si="147"/>
        <v>24</v>
      </c>
      <c r="AZ356" s="4">
        <f t="shared" si="148"/>
        <v>31</v>
      </c>
      <c r="BA356" s="4">
        <f t="shared" si="149"/>
        <v>11</v>
      </c>
    </row>
    <row r="357" spans="1:53" x14ac:dyDescent="0.2">
      <c r="A357" s="1" t="str">
        <f>'SegEnds_NonXtal_Prot#'!A354</f>
        <v>gpc5b_human</v>
      </c>
      <c r="B357" s="1" t="str">
        <f t="shared" si="125"/>
        <v>IWGIVVEAVAGAGALITLLLMLILLVREKKSPVGLHFLFLLGTLGLFGLTFAFIETICSVRRFLWGVLFALCFSCLLSQAWRVRRLVAGWQLVGLALCLMLVQVIIAVEWLVLTEPMDFVMALIYDMVLLVVTLGLALFTNGAFLLITAFLSVLIWVAWMTMYLFWNDPTLAITLAASGWVFVIFHAIPEIHCTLLPLQENTPNYFDTS</v>
      </c>
      <c r="C357" s="29" t="str">
        <f>IF(ISERROR(MATCH(A357,'SegEnds_Xtal_Prot#'!B:B, 0)), "NoXtal", "Xtal")</f>
        <v>NoXtal</v>
      </c>
      <c r="D357" s="4" t="str">
        <f>VLOOKUP(A357,Classification!A:D,2,FALSE)</f>
        <v>C</v>
      </c>
      <c r="E357" s="5" t="str">
        <f>VLOOKUP(A357,Seqs!A:B,2,FALSE)</f>
        <v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v>
      </c>
      <c r="F357" s="5" t="str">
        <f t="shared" si="126"/>
        <v>IWGIVVEAVAGAGALITLLLMLILLVR</v>
      </c>
      <c r="G357" s="4" t="str">
        <f t="shared" si="127"/>
        <v>LPFIKEK</v>
      </c>
      <c r="H357" s="4" t="str">
        <f t="shared" si="128"/>
        <v>EKKSPVGLHFLFLLGTLGLFGLTFAFI</v>
      </c>
      <c r="I357" s="4" t="str">
        <f t="shared" si="129"/>
        <v/>
      </c>
      <c r="J357" s="4" t="str">
        <f t="shared" si="130"/>
        <v>ETICSVRRFLWGVLFALCFSCLLSQAWRVRRLV</v>
      </c>
      <c r="K357" s="4" t="str">
        <f t="shared" si="131"/>
        <v/>
      </c>
      <c r="L357" s="4" t="str">
        <f t="shared" si="132"/>
        <v>AGWQLVGLALCLMLVQVIIAVEWLVLT</v>
      </c>
      <c r="M357" s="4" t="str">
        <f t="shared" si="133"/>
        <v>CAY</v>
      </c>
      <c r="N357" s="4" t="str">
        <f t="shared" si="134"/>
        <v>EPMDFVMALIYDMVLLVVTLGLALFT</v>
      </c>
      <c r="O357" s="4" t="str">
        <f t="shared" si="135"/>
        <v>NGAFLLITAFLSVLIWVAWMTMYLF</v>
      </c>
      <c r="P357" s="4" t="str">
        <f t="shared" si="136"/>
        <v>WNDPTLAITLAASGWVFVIFHAIPEIHCTLLP</v>
      </c>
      <c r="Q357" s="4" t="str">
        <f t="shared" si="137"/>
        <v>LQENTPNYFDTS</v>
      </c>
      <c r="R357" s="5">
        <f>VLOOKUP($A357,'SegEnds_NonXtal_Prot#'!$A:$AL,3,FALSE)</f>
        <v>54</v>
      </c>
      <c r="S357" s="5">
        <f>VLOOKUP($A357,'SegEnds_NonXtal_Prot#'!$A:$AL,6,FALSE)</f>
        <v>81</v>
      </c>
      <c r="T357" s="5">
        <f>VLOOKUP($A357,'SegEnds_NonXtal_Prot#'!$A:$AL,9,FALSE)</f>
        <v>88</v>
      </c>
      <c r="U357" s="5" t="str">
        <f>VLOOKUP($A357,'SegEnds_NonXtal_Prot#'!$A:$AL,12,FALSE)</f>
        <v>-</v>
      </c>
      <c r="V357" s="5">
        <f>VLOOKUP($A357,'SegEnds_NonXtal_Prot#'!$A:$AL,15,FALSE)</f>
        <v>119</v>
      </c>
      <c r="W357" s="5" t="str">
        <f>VLOOKUP($A357,'SegEnds_NonXtal_Prot#'!$A:$AL,18,FALSE)</f>
        <v>-</v>
      </c>
      <c r="X357" s="5">
        <f>VLOOKUP($A357,'SegEnds_NonXtal_Prot#'!$A:$AL,21,FALSE)</f>
        <v>158</v>
      </c>
      <c r="Y357" s="5">
        <f>VLOOKUP($A357,'SegEnds_NonXtal_Prot#'!$A:$AL,24,FALSE)</f>
        <v>193</v>
      </c>
      <c r="Z357" s="5">
        <f>VLOOKUP($A357,'SegEnds_NonXtal_Prot#'!$A:$AL,27,FALSE)</f>
        <v>196</v>
      </c>
      <c r="AA357" s="5">
        <f>VLOOKUP($A357,'SegEnds_NonXtal_Prot#'!$A:$AL,30,FALSE)</f>
        <v>232</v>
      </c>
      <c r="AB357" s="5">
        <f>VLOOKUP($A357,'SegEnds_NonXtal_Prot#'!$A:$AL,33,FALSE)</f>
        <v>267</v>
      </c>
      <c r="AC357" s="5">
        <f>VLOOKUP($A357,'SegEnds_NonXtal_Prot#'!$A:$AL,36,FALSE)</f>
        <v>300</v>
      </c>
      <c r="AD357" s="5">
        <f>VLOOKUP($A357,'SegEnds_NonXtal_Prot#'!$A:$AL,5,FALSE)</f>
        <v>80</v>
      </c>
      <c r="AE357" s="5">
        <f>VLOOKUP($A357,'SegEnds_NonXtal_Prot#'!$A:$AL,8,FALSE)</f>
        <v>87</v>
      </c>
      <c r="AF357" s="5">
        <f>VLOOKUP($A357,'SegEnds_NonXtal_Prot#'!$A:$AL,11,FALSE)</f>
        <v>114</v>
      </c>
      <c r="AG357" s="5" t="str">
        <f>VLOOKUP($A357,'SegEnds_NonXtal_Prot#'!$A:$AL,14,FALSE)</f>
        <v>-</v>
      </c>
      <c r="AH357" s="5">
        <f>VLOOKUP($A357,'SegEnds_NonXtal_Prot#'!$A:$AL,17,FALSE)</f>
        <v>151</v>
      </c>
      <c r="AI357" s="5" t="str">
        <f>VLOOKUP($A357,'SegEnds_NonXtal_Prot#'!$A:$AL,20,FALSE)</f>
        <v>-</v>
      </c>
      <c r="AJ357" s="5">
        <f>VLOOKUP($A357,'SegEnds_NonXtal_Prot#'!$A:$AL,23,FALSE)</f>
        <v>184</v>
      </c>
      <c r="AK357" s="5">
        <f>VLOOKUP($A357,'SegEnds_NonXtal_Prot#'!$A:$AL,26,FALSE)</f>
        <v>195</v>
      </c>
      <c r="AL357" s="5">
        <f>VLOOKUP($A357,'SegEnds_NonXtal_Prot#'!$A:$AL,29,FALSE)</f>
        <v>221</v>
      </c>
      <c r="AM357" s="5">
        <f>VLOOKUP($A357,'SegEnds_NonXtal_Prot#'!$A:$AL,32,FALSE)</f>
        <v>256</v>
      </c>
      <c r="AN357" s="5">
        <f>VLOOKUP($A357,'SegEnds_NonXtal_Prot#'!$A:$AL,35,FALSE)</f>
        <v>298</v>
      </c>
      <c r="AO357" s="5">
        <f>VLOOKUP($A357,'SegEnds_NonXtal_Prot#'!$A:$AL,38,FALSE)</f>
        <v>311</v>
      </c>
      <c r="AP357" s="5">
        <f t="shared" si="138"/>
        <v>26</v>
      </c>
      <c r="AQ357" s="4">
        <f t="shared" si="139"/>
        <v>6</v>
      </c>
      <c r="AR357" s="4">
        <f t="shared" si="140"/>
        <v>26</v>
      </c>
      <c r="AS357" s="4" t="str">
        <f t="shared" si="141"/>
        <v>-</v>
      </c>
      <c r="AT357" s="4">
        <f t="shared" si="142"/>
        <v>32</v>
      </c>
      <c r="AU357" s="4" t="str">
        <f t="shared" si="143"/>
        <v>-</v>
      </c>
      <c r="AV357" s="4">
        <f t="shared" si="144"/>
        <v>26</v>
      </c>
      <c r="AW357" s="4">
        <f t="shared" si="145"/>
        <v>2</v>
      </c>
      <c r="AX357" s="4">
        <f t="shared" si="146"/>
        <v>25</v>
      </c>
      <c r="AY357" s="4">
        <f t="shared" si="147"/>
        <v>24</v>
      </c>
      <c r="AZ357" s="4">
        <f t="shared" si="148"/>
        <v>31</v>
      </c>
      <c r="BA357" s="4">
        <f t="shared" si="149"/>
        <v>11</v>
      </c>
    </row>
    <row r="358" spans="1:53" x14ac:dyDescent="0.2">
      <c r="A358" s="1" t="str">
        <f>'SegEnds_NonXtal_Prot#'!A355</f>
        <v>gpc5c_human</v>
      </c>
      <c r="B358" s="1" t="str">
        <f t="shared" si="125"/>
        <v>AWGIVLEAVAGAGIVTTFVLTIILVASKKRSLLGTQVFFLLGTLGLFCLVFACVFSTCASRRFLFGVLFAICFSCLAAHVFALNFLARGWVIFTVALLLTLVEVIINTEWLIITANMDFVMALIYVMLLLLGAFLGAWPAHGVFVLLTTATSVAIWVVWIVMYTYWDDPTLAIALAANAWAFVLFYVIPEVSQVTKSPEQSYQGDMYPT</v>
      </c>
      <c r="C358" s="29" t="str">
        <f>IF(ISERROR(MATCH(A358,'SegEnds_Xtal_Prot#'!B:B, 0)), "NoXtal", "Xtal")</f>
        <v>NoXtal</v>
      </c>
      <c r="D358" s="4" t="str">
        <f>VLOOKUP(A358,Classification!A:D,2,FALSE)</f>
        <v>C</v>
      </c>
      <c r="E358" s="5" t="str">
        <f>VLOOKUP(A358,Seqs!A:B,2,FALSE)</f>
        <v>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</v>
      </c>
      <c r="F358" s="5" t="str">
        <f t="shared" si="126"/>
        <v>AWGIVLEAVAGAGIVTTFVLTIILVAS</v>
      </c>
      <c r="G358" s="4" t="str">
        <f t="shared" si="127"/>
        <v>LPFVQDT</v>
      </c>
      <c r="H358" s="4" t="str">
        <f t="shared" si="128"/>
        <v>KKRSLLGTQVFFLLGTLGLFCLVFACV</v>
      </c>
      <c r="I358" s="4" t="str">
        <f t="shared" si="129"/>
        <v/>
      </c>
      <c r="J358" s="4" t="str">
        <f t="shared" si="130"/>
        <v>FSTCASRRFLFGVLFAICFSCLAAHVFALNFLA</v>
      </c>
      <c r="K358" s="4" t="str">
        <f t="shared" si="131"/>
        <v/>
      </c>
      <c r="L358" s="4" t="str">
        <f t="shared" si="132"/>
        <v>RGWVIFTVALLLTLVEVIINTEWLIIT</v>
      </c>
      <c r="M358" s="4" t="str">
        <f t="shared" si="133"/>
        <v>CAI</v>
      </c>
      <c r="N358" s="4" t="str">
        <f t="shared" si="134"/>
        <v>ANMDFVMALIYVMLLLLGAFLGAWPA</v>
      </c>
      <c r="O358" s="4" t="str">
        <f t="shared" si="135"/>
        <v>HGVFVLLTTATSVAIWVVWIVMYTY</v>
      </c>
      <c r="P358" s="4" t="str">
        <f t="shared" si="136"/>
        <v>WDDPTLAIALAANAWAFVLFYVIPEVSQVTKS</v>
      </c>
      <c r="Q358" s="4" t="str">
        <f t="shared" si="137"/>
        <v>PEQSYQGDMYPT</v>
      </c>
      <c r="R358" s="5">
        <f>VLOOKUP($A358,'SegEnds_NonXtal_Prot#'!$A:$AL,3,FALSE)</f>
        <v>48</v>
      </c>
      <c r="S358" s="5">
        <f>VLOOKUP($A358,'SegEnds_NonXtal_Prot#'!$A:$AL,6,FALSE)</f>
        <v>75</v>
      </c>
      <c r="T358" s="5">
        <f>VLOOKUP($A358,'SegEnds_NonXtal_Prot#'!$A:$AL,9,FALSE)</f>
        <v>82</v>
      </c>
      <c r="U358" s="5" t="str">
        <f>VLOOKUP($A358,'SegEnds_NonXtal_Prot#'!$A:$AL,12,FALSE)</f>
        <v>-</v>
      </c>
      <c r="V358" s="5">
        <f>VLOOKUP($A358,'SegEnds_NonXtal_Prot#'!$A:$AL,15,FALSE)</f>
        <v>113</v>
      </c>
      <c r="W358" s="5" t="str">
        <f>VLOOKUP($A358,'SegEnds_NonXtal_Prot#'!$A:$AL,18,FALSE)</f>
        <v>-</v>
      </c>
      <c r="X358" s="5">
        <f>VLOOKUP($A358,'SegEnds_NonXtal_Prot#'!$A:$AL,21,FALSE)</f>
        <v>152</v>
      </c>
      <c r="Y358" s="5">
        <f>VLOOKUP($A358,'SegEnds_NonXtal_Prot#'!$A:$AL,24,FALSE)</f>
        <v>202</v>
      </c>
      <c r="Z358" s="5">
        <f>VLOOKUP($A358,'SegEnds_NonXtal_Prot#'!$A:$AL,27,FALSE)</f>
        <v>205</v>
      </c>
      <c r="AA358" s="5">
        <f>VLOOKUP($A358,'SegEnds_NonXtal_Prot#'!$A:$AL,30,FALSE)</f>
        <v>241</v>
      </c>
      <c r="AB358" s="5">
        <f>VLOOKUP($A358,'SegEnds_NonXtal_Prot#'!$A:$AL,33,FALSE)</f>
        <v>275</v>
      </c>
      <c r="AC358" s="5">
        <f>VLOOKUP($A358,'SegEnds_NonXtal_Prot#'!$A:$AL,36,FALSE)</f>
        <v>308</v>
      </c>
      <c r="AD358" s="5">
        <f>VLOOKUP($A358,'SegEnds_NonXtal_Prot#'!$A:$AL,5,FALSE)</f>
        <v>74</v>
      </c>
      <c r="AE358" s="5">
        <f>VLOOKUP($A358,'SegEnds_NonXtal_Prot#'!$A:$AL,8,FALSE)</f>
        <v>81</v>
      </c>
      <c r="AF358" s="5">
        <f>VLOOKUP($A358,'SegEnds_NonXtal_Prot#'!$A:$AL,11,FALSE)</f>
        <v>108</v>
      </c>
      <c r="AG358" s="5" t="str">
        <f>VLOOKUP($A358,'SegEnds_NonXtal_Prot#'!$A:$AL,14,FALSE)</f>
        <v>-</v>
      </c>
      <c r="AH358" s="5">
        <f>VLOOKUP($A358,'SegEnds_NonXtal_Prot#'!$A:$AL,17,FALSE)</f>
        <v>145</v>
      </c>
      <c r="AI358" s="5" t="str">
        <f>VLOOKUP($A358,'SegEnds_NonXtal_Prot#'!$A:$AL,20,FALSE)</f>
        <v>-</v>
      </c>
      <c r="AJ358" s="5">
        <f>VLOOKUP($A358,'SegEnds_NonXtal_Prot#'!$A:$AL,23,FALSE)</f>
        <v>178</v>
      </c>
      <c r="AK358" s="5">
        <f>VLOOKUP($A358,'SegEnds_NonXtal_Prot#'!$A:$AL,26,FALSE)</f>
        <v>204</v>
      </c>
      <c r="AL358" s="5">
        <f>VLOOKUP($A358,'SegEnds_NonXtal_Prot#'!$A:$AL,29,FALSE)</f>
        <v>230</v>
      </c>
      <c r="AM358" s="5">
        <f>VLOOKUP($A358,'SegEnds_NonXtal_Prot#'!$A:$AL,32,FALSE)</f>
        <v>265</v>
      </c>
      <c r="AN358" s="5">
        <f>VLOOKUP($A358,'SegEnds_NonXtal_Prot#'!$A:$AL,35,FALSE)</f>
        <v>306</v>
      </c>
      <c r="AO358" s="5">
        <f>VLOOKUP($A358,'SegEnds_NonXtal_Prot#'!$A:$AL,38,FALSE)</f>
        <v>319</v>
      </c>
      <c r="AP358" s="5">
        <f t="shared" si="138"/>
        <v>26</v>
      </c>
      <c r="AQ358" s="4">
        <f t="shared" si="139"/>
        <v>6</v>
      </c>
      <c r="AR358" s="4">
        <f t="shared" si="140"/>
        <v>26</v>
      </c>
      <c r="AS358" s="4" t="str">
        <f t="shared" si="141"/>
        <v>-</v>
      </c>
      <c r="AT358" s="4">
        <f t="shared" si="142"/>
        <v>32</v>
      </c>
      <c r="AU358" s="4" t="str">
        <f t="shared" si="143"/>
        <v>-</v>
      </c>
      <c r="AV358" s="4">
        <f t="shared" si="144"/>
        <v>26</v>
      </c>
      <c r="AW358" s="4">
        <f t="shared" si="145"/>
        <v>2</v>
      </c>
      <c r="AX358" s="4">
        <f t="shared" si="146"/>
        <v>25</v>
      </c>
      <c r="AY358" s="4">
        <f t="shared" si="147"/>
        <v>24</v>
      </c>
      <c r="AZ358" s="4">
        <f t="shared" si="148"/>
        <v>31</v>
      </c>
      <c r="BA358" s="4">
        <f t="shared" si="149"/>
        <v>11</v>
      </c>
    </row>
    <row r="359" spans="1:53" x14ac:dyDescent="0.2">
      <c r="A359" s="1" t="str">
        <f>'SegEnds_NonXtal_Prot#'!A356</f>
        <v>gpc5d_human</v>
      </c>
      <c r="B359" s="1" t="str">
        <f t="shared" si="125"/>
        <v>PWGIILESLAILGIVVTILLLLAFLFLSQWNVLPTQLLFLLSVLGLFGLAFAFIQQTAPVRYFLFGVLFALCFSCLLAHASNLVKLVSWTTILCIAIGCSLLQIIIATEYVTLINVDFVVLLVYVLFLMALTFFVSKATHGRLIFITVLFSIIIWVVWISMLLRWDDPVVCIALVTNAWVFLLLYIVPELCILYRSQECPLQGNACP</v>
      </c>
      <c r="C359" s="29" t="str">
        <f>IF(ISERROR(MATCH(A359,'SegEnds_Xtal_Prot#'!B:B, 0)), "NoXtal", "Xtal")</f>
        <v>NoXtal</v>
      </c>
      <c r="D359" s="4" t="str">
        <f>VLOOKUP(A359,Classification!A:D,2,FALSE)</f>
        <v>C</v>
      </c>
      <c r="E359" s="5" t="str">
        <f>VLOOKUP(A359,Seqs!A:B,2,FALSE)</f>
        <v>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</v>
      </c>
      <c r="F359" s="5" t="str">
        <f t="shared" si="126"/>
        <v>PWGIILESLAILGIVVTILLLLAFLFL</v>
      </c>
      <c r="G359" s="4" t="str">
        <f t="shared" si="127"/>
        <v>MRKIQDC</v>
      </c>
      <c r="H359" s="4" t="str">
        <f t="shared" si="128"/>
        <v>SQWNVLPTQLLFLLSVLGLFGLAFAFI</v>
      </c>
      <c r="I359" s="4" t="str">
        <f t="shared" si="129"/>
        <v/>
      </c>
      <c r="J359" s="4" t="str">
        <f t="shared" si="130"/>
        <v>QQTAPVRYFLFGVLFALCFSCLLAHASNLVKLV</v>
      </c>
      <c r="K359" s="4" t="str">
        <f t="shared" si="131"/>
        <v/>
      </c>
      <c r="L359" s="4" t="str">
        <f t="shared" si="132"/>
        <v>SWTTILCIAIGCSLLQIIIATEYVTLI</v>
      </c>
      <c r="M359" s="4" t="str">
        <f t="shared" si="133"/>
        <v>CQL</v>
      </c>
      <c r="N359" s="4" t="str">
        <f t="shared" si="134"/>
        <v>NVDFVVLLVYVLFLMALTFFVSKAT</v>
      </c>
      <c r="O359" s="4" t="str">
        <f t="shared" si="135"/>
        <v>HGRLIFITVLFSIIIWVVWISMLLR</v>
      </c>
      <c r="P359" s="4" t="str">
        <f t="shared" si="136"/>
        <v>WDDPVVCIALVTNAWVFLLLYIVPELCILYRS</v>
      </c>
      <c r="Q359" s="4" t="str">
        <f t="shared" si="137"/>
        <v>QECPLQGNACP</v>
      </c>
      <c r="R359" s="5">
        <f>VLOOKUP($A359,'SegEnds_NonXtal_Prot#'!$A:$AL,3,FALSE)</f>
        <v>21</v>
      </c>
      <c r="S359" s="5">
        <f>VLOOKUP($A359,'SegEnds_NonXtal_Prot#'!$A:$AL,6,FALSE)</f>
        <v>48</v>
      </c>
      <c r="T359" s="5">
        <f>VLOOKUP($A359,'SegEnds_NonXtal_Prot#'!$A:$AL,9,FALSE)</f>
        <v>55</v>
      </c>
      <c r="U359" s="5" t="str">
        <f>VLOOKUP($A359,'SegEnds_NonXtal_Prot#'!$A:$AL,12,FALSE)</f>
        <v>-</v>
      </c>
      <c r="V359" s="5">
        <f>VLOOKUP($A359,'SegEnds_NonXtal_Prot#'!$A:$AL,15,FALSE)</f>
        <v>86</v>
      </c>
      <c r="W359" s="5" t="str">
        <f>VLOOKUP($A359,'SegEnds_NonXtal_Prot#'!$A:$AL,18,FALSE)</f>
        <v>-</v>
      </c>
      <c r="X359" s="5">
        <f>VLOOKUP($A359,'SegEnds_NonXtal_Prot#'!$A:$AL,21,FALSE)</f>
        <v>125</v>
      </c>
      <c r="Y359" s="5">
        <f>VLOOKUP($A359,'SegEnds_NonXtal_Prot#'!$A:$AL,24,FALSE)</f>
        <v>164</v>
      </c>
      <c r="Z359" s="5">
        <f>VLOOKUP($A359,'SegEnds_NonXtal_Prot#'!$A:$AL,27,FALSE)</f>
        <v>167</v>
      </c>
      <c r="AA359" s="5">
        <f>VLOOKUP($A359,'SegEnds_NonXtal_Prot#'!$A:$AL,30,FALSE)</f>
        <v>202</v>
      </c>
      <c r="AB359" s="5">
        <f>VLOOKUP($A359,'SegEnds_NonXtal_Prot#'!$A:$AL,33,FALSE)</f>
        <v>237</v>
      </c>
      <c r="AC359" s="5">
        <f>VLOOKUP($A359,'SegEnds_NonXtal_Prot#'!$A:$AL,36,FALSE)</f>
        <v>271</v>
      </c>
      <c r="AD359" s="5">
        <f>VLOOKUP($A359,'SegEnds_NonXtal_Prot#'!$A:$AL,5,FALSE)</f>
        <v>47</v>
      </c>
      <c r="AE359" s="5">
        <f>VLOOKUP($A359,'SegEnds_NonXtal_Prot#'!$A:$AL,8,FALSE)</f>
        <v>54</v>
      </c>
      <c r="AF359" s="5">
        <f>VLOOKUP($A359,'SegEnds_NonXtal_Prot#'!$A:$AL,11,FALSE)</f>
        <v>81</v>
      </c>
      <c r="AG359" s="5" t="str">
        <f>VLOOKUP($A359,'SegEnds_NonXtal_Prot#'!$A:$AL,14,FALSE)</f>
        <v>-</v>
      </c>
      <c r="AH359" s="5">
        <f>VLOOKUP($A359,'SegEnds_NonXtal_Prot#'!$A:$AL,17,FALSE)</f>
        <v>118</v>
      </c>
      <c r="AI359" s="5" t="str">
        <f>VLOOKUP($A359,'SegEnds_NonXtal_Prot#'!$A:$AL,20,FALSE)</f>
        <v>-</v>
      </c>
      <c r="AJ359" s="5">
        <f>VLOOKUP($A359,'SegEnds_NonXtal_Prot#'!$A:$AL,23,FALSE)</f>
        <v>151</v>
      </c>
      <c r="AK359" s="5">
        <f>VLOOKUP($A359,'SegEnds_NonXtal_Prot#'!$A:$AL,26,FALSE)</f>
        <v>166</v>
      </c>
      <c r="AL359" s="5">
        <f>VLOOKUP($A359,'SegEnds_NonXtal_Prot#'!$A:$AL,29,FALSE)</f>
        <v>191</v>
      </c>
      <c r="AM359" s="5">
        <f>VLOOKUP($A359,'SegEnds_NonXtal_Prot#'!$A:$AL,32,FALSE)</f>
        <v>226</v>
      </c>
      <c r="AN359" s="5">
        <f>VLOOKUP($A359,'SegEnds_NonXtal_Prot#'!$A:$AL,35,FALSE)</f>
        <v>268</v>
      </c>
      <c r="AO359" s="5">
        <f>VLOOKUP($A359,'SegEnds_NonXtal_Prot#'!$A:$AL,38,FALSE)</f>
        <v>281</v>
      </c>
      <c r="AP359" s="5">
        <f t="shared" si="138"/>
        <v>26</v>
      </c>
      <c r="AQ359" s="4">
        <f t="shared" si="139"/>
        <v>6</v>
      </c>
      <c r="AR359" s="4">
        <f t="shared" si="140"/>
        <v>26</v>
      </c>
      <c r="AS359" s="4" t="str">
        <f t="shared" si="141"/>
        <v>-</v>
      </c>
      <c r="AT359" s="4">
        <f t="shared" si="142"/>
        <v>32</v>
      </c>
      <c r="AU359" s="4" t="str">
        <f t="shared" si="143"/>
        <v>-</v>
      </c>
      <c r="AV359" s="4">
        <f t="shared" si="144"/>
        <v>26</v>
      </c>
      <c r="AW359" s="4">
        <f t="shared" si="145"/>
        <v>2</v>
      </c>
      <c r="AX359" s="4">
        <f t="shared" si="146"/>
        <v>24</v>
      </c>
      <c r="AY359" s="4">
        <f t="shared" si="147"/>
        <v>24</v>
      </c>
      <c r="AZ359" s="4">
        <f t="shared" si="148"/>
        <v>31</v>
      </c>
      <c r="BA359" s="4">
        <f t="shared" si="149"/>
        <v>10</v>
      </c>
    </row>
    <row r="360" spans="1:53" x14ac:dyDescent="0.2">
      <c r="A360" s="1" t="str">
        <f>'SegEnds_NonXtal_Prot#'!A357</f>
        <v>gpc6a_human</v>
      </c>
      <c r="B360" s="1" t="str">
        <f t="shared" si="125"/>
        <v>SLAILLLILSLLGIIFVLVVGIIFTRNGGLRVCYVILLCHFLNFASTSFFIDFTCKTRQTMFGVSFTLCISCILTKSLKILLAFCLYRPILIIFTCTGIQVVICTLWLIFASILAFGTMLGYIAILAFICFIFAFKGEAKFITFGMLIYFIAWITFIPIYATYVPAVEIIVILISNYGILYCTFIPKCYVIICKQEINTKSAFLKM</v>
      </c>
      <c r="C360" s="29" t="str">
        <f>IF(ISERROR(MATCH(A360,'SegEnds_Xtal_Prot#'!B:B, 0)), "NoXtal", "Xtal")</f>
        <v>NoXtal</v>
      </c>
      <c r="D360" s="4" t="str">
        <f>VLOOKUP(A360,Classification!A:D,2,FALSE)</f>
        <v>C</v>
      </c>
      <c r="E360" s="5" t="str">
        <f>VLOOKUP(A360,Seqs!A:B,2,FALSE)</f>
        <v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v>
      </c>
      <c r="F360" s="5" t="str">
        <f t="shared" si="126"/>
        <v>SLAILLLILSLLGIIFVLVVGIIFTRN</v>
      </c>
      <c r="G360" s="4" t="str">
        <f t="shared" si="127"/>
        <v>TPVVKSS</v>
      </c>
      <c r="H360" s="4" t="str">
        <f t="shared" si="128"/>
        <v>GGLRVCYVILLCHFLNFASTSFFI</v>
      </c>
      <c r="I360" s="4" t="str">
        <f t="shared" si="129"/>
        <v/>
      </c>
      <c r="J360" s="4" t="str">
        <f t="shared" si="130"/>
        <v>DFTCKTRQTMFGVSFTLCISCILTKSLKILLAF</v>
      </c>
      <c r="K360" s="4" t="str">
        <f t="shared" si="131"/>
        <v/>
      </c>
      <c r="L360" s="4" t="str">
        <f t="shared" si="132"/>
        <v>CLYRPILIIFTCTGIQVVICTLWLIFA</v>
      </c>
      <c r="M360" s="4" t="str">
        <f t="shared" si="133"/>
        <v>CEE</v>
      </c>
      <c r="N360" s="4" t="str">
        <f t="shared" si="134"/>
        <v>SILAFGTMLGYIAILAFICFIFAFKG</v>
      </c>
      <c r="O360" s="4" t="str">
        <f t="shared" si="135"/>
        <v>EAKFITFGMLIYFIAWITFIPIYAT</v>
      </c>
      <c r="P360" s="4" t="str">
        <f t="shared" si="136"/>
        <v>YVPAVEIIVILISNYGILYCTFIPKCYVIICK</v>
      </c>
      <c r="Q360" s="4" t="str">
        <f t="shared" si="137"/>
        <v>QEINTKSAFLKM</v>
      </c>
      <c r="R360" s="5">
        <f>VLOOKUP($A360,'SegEnds_NonXtal_Prot#'!$A:$AL,3,FALSE)</f>
        <v>592</v>
      </c>
      <c r="S360" s="5">
        <f>VLOOKUP($A360,'SegEnds_NonXtal_Prot#'!$A:$AL,6,FALSE)</f>
        <v>621</v>
      </c>
      <c r="T360" s="5">
        <f>VLOOKUP($A360,'SegEnds_NonXtal_Prot#'!$A:$AL,9,FALSE)</f>
        <v>628</v>
      </c>
      <c r="U360" s="5" t="str">
        <f>VLOOKUP($A360,'SegEnds_NonXtal_Prot#'!$A:$AL,12,FALSE)</f>
        <v>-</v>
      </c>
      <c r="V360" s="5">
        <f>VLOOKUP($A360,'SegEnds_NonXtal_Prot#'!$A:$AL,15,FALSE)</f>
        <v>656</v>
      </c>
      <c r="W360" s="5" t="str">
        <f>VLOOKUP($A360,'SegEnds_NonXtal_Prot#'!$A:$AL,18,FALSE)</f>
        <v>-</v>
      </c>
      <c r="X360" s="5">
        <f>VLOOKUP($A360,'SegEnds_NonXtal_Prot#'!$A:$AL,21,FALSE)</f>
        <v>700</v>
      </c>
      <c r="Y360" s="5">
        <f>VLOOKUP($A360,'SegEnds_NonXtal_Prot#'!$A:$AL,24,FALSE)</f>
        <v>744</v>
      </c>
      <c r="Z360" s="5">
        <f>VLOOKUP($A360,'SegEnds_NonXtal_Prot#'!$A:$AL,27,FALSE)</f>
        <v>748</v>
      </c>
      <c r="AA360" s="5">
        <f>VLOOKUP($A360,'SegEnds_NonXtal_Prot#'!$A:$AL,30,FALSE)</f>
        <v>780</v>
      </c>
      <c r="AB360" s="5">
        <f>VLOOKUP($A360,'SegEnds_NonXtal_Prot#'!$A:$AL,33,FALSE)</f>
        <v>809</v>
      </c>
      <c r="AC360" s="5">
        <f>VLOOKUP($A360,'SegEnds_NonXtal_Prot#'!$A:$AL,36,FALSE)</f>
        <v>841</v>
      </c>
      <c r="AD360" s="5">
        <f>VLOOKUP($A360,'SegEnds_NonXtal_Prot#'!$A:$AL,5,FALSE)</f>
        <v>618</v>
      </c>
      <c r="AE360" s="5">
        <f>VLOOKUP($A360,'SegEnds_NonXtal_Prot#'!$A:$AL,8,FALSE)</f>
        <v>627</v>
      </c>
      <c r="AF360" s="5">
        <f>VLOOKUP($A360,'SegEnds_NonXtal_Prot#'!$A:$AL,11,FALSE)</f>
        <v>651</v>
      </c>
      <c r="AG360" s="5" t="str">
        <f>VLOOKUP($A360,'SegEnds_NonXtal_Prot#'!$A:$AL,14,FALSE)</f>
        <v>-</v>
      </c>
      <c r="AH360" s="5">
        <f>VLOOKUP($A360,'SegEnds_NonXtal_Prot#'!$A:$AL,17,FALSE)</f>
        <v>688</v>
      </c>
      <c r="AI360" s="5" t="str">
        <f>VLOOKUP($A360,'SegEnds_NonXtal_Prot#'!$A:$AL,20,FALSE)</f>
        <v>-</v>
      </c>
      <c r="AJ360" s="5">
        <f>VLOOKUP($A360,'SegEnds_NonXtal_Prot#'!$A:$AL,23,FALSE)</f>
        <v>726</v>
      </c>
      <c r="AK360" s="5">
        <f>VLOOKUP($A360,'SegEnds_NonXtal_Prot#'!$A:$AL,26,FALSE)</f>
        <v>746</v>
      </c>
      <c r="AL360" s="5">
        <f>VLOOKUP($A360,'SegEnds_NonXtal_Prot#'!$A:$AL,29,FALSE)</f>
        <v>773</v>
      </c>
      <c r="AM360" s="5">
        <f>VLOOKUP($A360,'SegEnds_NonXtal_Prot#'!$A:$AL,32,FALSE)</f>
        <v>804</v>
      </c>
      <c r="AN360" s="5">
        <f>VLOOKUP($A360,'SegEnds_NonXtal_Prot#'!$A:$AL,35,FALSE)</f>
        <v>840</v>
      </c>
      <c r="AO360" s="5">
        <f>VLOOKUP($A360,'SegEnds_NonXtal_Prot#'!$A:$AL,38,FALSE)</f>
        <v>852</v>
      </c>
      <c r="AP360" s="5">
        <f t="shared" si="138"/>
        <v>26</v>
      </c>
      <c r="AQ360" s="4">
        <f t="shared" si="139"/>
        <v>6</v>
      </c>
      <c r="AR360" s="4">
        <f t="shared" si="140"/>
        <v>23</v>
      </c>
      <c r="AS360" s="4" t="str">
        <f t="shared" si="141"/>
        <v>-</v>
      </c>
      <c r="AT360" s="4">
        <f t="shared" si="142"/>
        <v>32</v>
      </c>
      <c r="AU360" s="4" t="str">
        <f t="shared" si="143"/>
        <v>-</v>
      </c>
      <c r="AV360" s="4">
        <f t="shared" si="144"/>
        <v>26</v>
      </c>
      <c r="AW360" s="4">
        <f t="shared" si="145"/>
        <v>2</v>
      </c>
      <c r="AX360" s="4">
        <f t="shared" si="146"/>
        <v>25</v>
      </c>
      <c r="AY360" s="4">
        <f t="shared" si="147"/>
        <v>24</v>
      </c>
      <c r="AZ360" s="4">
        <f t="shared" si="148"/>
        <v>31</v>
      </c>
      <c r="BA360" s="4">
        <f t="shared" si="149"/>
        <v>11</v>
      </c>
    </row>
    <row r="361" spans="1:53" x14ac:dyDescent="0.2">
      <c r="A361" s="1" t="str">
        <f>'SegEnds_NonXtal_Prot#'!A359</f>
        <v>grm2_human</v>
      </c>
      <c r="B361" s="1" t="str">
        <f t="shared" si="125"/>
        <v>AWAVGPVTIACLGALATLFVLGVFVRHGRELCYILLGGVFLCYCMTFIFITAVCTLRRLGLGTAFSVCYSALLTKTNRIARIFSPASQVAICLALISGQLLIVVAWLVVERDASMLGSLAYNVLLIALCTLYAFKTEAKFIGFTMYTTCIIWLAFLPIFYVVQTTTMCVSVSLSGSVVLGCLFAPKLHIILFQPQKNVVSHRAPT</v>
      </c>
      <c r="C361" s="29" t="str">
        <f>IF(ISERROR(MATCH(A361,'SegEnds_Xtal_Prot#'!B:B, 0)), "NoXtal", "Xtal")</f>
        <v>NoXtal</v>
      </c>
      <c r="D361" s="4" t="str">
        <f>VLOOKUP(A361,Classification!A:D,2,FALSE)</f>
        <v>C</v>
      </c>
      <c r="E361" s="5" t="str">
        <f>VLOOKUP(A361,Seqs!A:B,2,FALSE)</f>
        <v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v>
      </c>
      <c r="F361" s="5" t="str">
        <f t="shared" si="126"/>
        <v>AWAVGPVTIACLGALATLFVLGVFVRH</v>
      </c>
      <c r="G361" s="4" t="str">
        <f t="shared" si="127"/>
        <v>TPVVKAS</v>
      </c>
      <c r="H361" s="4" t="str">
        <f t="shared" si="128"/>
        <v>GRELCYILLGGVFLCYCMTFIFI</v>
      </c>
      <c r="I361" s="4" t="str">
        <f t="shared" si="129"/>
        <v/>
      </c>
      <c r="J361" s="4" t="str">
        <f t="shared" si="130"/>
        <v>TAVCTLRRLGLGTAFSVCYSALLTKTNRIARIF</v>
      </c>
      <c r="K361" s="4" t="str">
        <f t="shared" si="131"/>
        <v/>
      </c>
      <c r="L361" s="4" t="str">
        <f t="shared" si="132"/>
        <v>SPASQVAICLALISGQLLIVVAWLVVE</v>
      </c>
      <c r="M361" s="4" t="str">
        <f t="shared" si="133"/>
        <v>CNH</v>
      </c>
      <c r="N361" s="4" t="str">
        <f t="shared" si="134"/>
        <v>RDASMLGSLAYNVLLIALCTLYAFKT</v>
      </c>
      <c r="O361" s="4" t="str">
        <f t="shared" si="135"/>
        <v>EAKFIGFTMYTTCIIWLAFLPIFYV</v>
      </c>
      <c r="P361" s="4" t="str">
        <f t="shared" si="136"/>
        <v>VQTTTMCVSVSLSGSVVLGCLFAPKLHIILFQ</v>
      </c>
      <c r="Q361" s="4" t="str">
        <f t="shared" si="137"/>
        <v>PQKNVVSHRAPT</v>
      </c>
      <c r="R361" s="5">
        <f>VLOOKUP($A361,'SegEnds_NonXtal_Prot#'!$A:$AL,3,FALSE)</f>
        <v>566</v>
      </c>
      <c r="S361" s="5">
        <f>VLOOKUP($A361,'SegEnds_NonXtal_Prot#'!$A:$AL,6,FALSE)</f>
        <v>595</v>
      </c>
      <c r="T361" s="5">
        <f>VLOOKUP($A361,'SegEnds_NonXtal_Prot#'!$A:$AL,9,FALSE)</f>
        <v>602</v>
      </c>
      <c r="U361" s="5" t="str">
        <f>VLOOKUP($A361,'SegEnds_NonXtal_Prot#'!$A:$AL,12,FALSE)</f>
        <v>-</v>
      </c>
      <c r="V361" s="5">
        <f>VLOOKUP($A361,'SegEnds_NonXtal_Prot#'!$A:$AL,15,FALSE)</f>
        <v>629</v>
      </c>
      <c r="W361" s="5" t="str">
        <f>VLOOKUP($A361,'SegEnds_NonXtal_Prot#'!$A:$AL,18,FALSE)</f>
        <v>-</v>
      </c>
      <c r="X361" s="5">
        <f>VLOOKUP($A361,'SegEnds_NonXtal_Prot#'!$A:$AL,21,FALSE)</f>
        <v>675</v>
      </c>
      <c r="Y361" s="5">
        <f>VLOOKUP($A361,'SegEnds_NonXtal_Prot#'!$A:$AL,24,FALSE)</f>
        <v>721</v>
      </c>
      <c r="Z361" s="5">
        <f>VLOOKUP($A361,'SegEnds_NonXtal_Prot#'!$A:$AL,27,FALSE)</f>
        <v>724</v>
      </c>
      <c r="AA361" s="5">
        <f>VLOOKUP($A361,'SegEnds_NonXtal_Prot#'!$A:$AL,30,FALSE)</f>
        <v>758</v>
      </c>
      <c r="AB361" s="5">
        <f>VLOOKUP($A361,'SegEnds_NonXtal_Prot#'!$A:$AL,33,FALSE)</f>
        <v>789</v>
      </c>
      <c r="AC361" s="5">
        <f>VLOOKUP($A361,'SegEnds_NonXtal_Prot#'!$A:$AL,36,FALSE)</f>
        <v>821</v>
      </c>
      <c r="AD361" s="5">
        <f>VLOOKUP($A361,'SegEnds_NonXtal_Prot#'!$A:$AL,5,FALSE)</f>
        <v>592</v>
      </c>
      <c r="AE361" s="5">
        <f>VLOOKUP($A361,'SegEnds_NonXtal_Prot#'!$A:$AL,8,FALSE)</f>
        <v>601</v>
      </c>
      <c r="AF361" s="5">
        <f>VLOOKUP($A361,'SegEnds_NonXtal_Prot#'!$A:$AL,11,FALSE)</f>
        <v>624</v>
      </c>
      <c r="AG361" s="5" t="str">
        <f>VLOOKUP($A361,'SegEnds_NonXtal_Prot#'!$A:$AL,14,FALSE)</f>
        <v>-</v>
      </c>
      <c r="AH361" s="5">
        <f>VLOOKUP($A361,'SegEnds_NonXtal_Prot#'!$A:$AL,17,FALSE)</f>
        <v>661</v>
      </c>
      <c r="AI361" s="5" t="str">
        <f>VLOOKUP($A361,'SegEnds_NonXtal_Prot#'!$A:$AL,20,FALSE)</f>
        <v>-</v>
      </c>
      <c r="AJ361" s="5">
        <f>VLOOKUP($A361,'SegEnds_NonXtal_Prot#'!$A:$AL,23,FALSE)</f>
        <v>701</v>
      </c>
      <c r="AK361" s="5">
        <f>VLOOKUP($A361,'SegEnds_NonXtal_Prot#'!$A:$AL,26,FALSE)</f>
        <v>723</v>
      </c>
      <c r="AL361" s="5">
        <f>VLOOKUP($A361,'SegEnds_NonXtal_Prot#'!$A:$AL,29,FALSE)</f>
        <v>749</v>
      </c>
      <c r="AM361" s="5">
        <f>VLOOKUP($A361,'SegEnds_NonXtal_Prot#'!$A:$AL,32,FALSE)</f>
        <v>782</v>
      </c>
      <c r="AN361" s="5">
        <f>VLOOKUP($A361,'SegEnds_NonXtal_Prot#'!$A:$AL,35,FALSE)</f>
        <v>820</v>
      </c>
      <c r="AO361" s="5">
        <f>VLOOKUP($A361,'SegEnds_NonXtal_Prot#'!$A:$AL,38,FALSE)</f>
        <v>832</v>
      </c>
      <c r="AP361" s="5">
        <f t="shared" si="138"/>
        <v>26</v>
      </c>
      <c r="AQ361" s="4">
        <f t="shared" si="139"/>
        <v>6</v>
      </c>
      <c r="AR361" s="4">
        <f t="shared" si="140"/>
        <v>22</v>
      </c>
      <c r="AS361" s="4" t="str">
        <f t="shared" si="141"/>
        <v>-</v>
      </c>
      <c r="AT361" s="4">
        <f t="shared" si="142"/>
        <v>32</v>
      </c>
      <c r="AU361" s="4" t="str">
        <f t="shared" si="143"/>
        <v>-</v>
      </c>
      <c r="AV361" s="4">
        <f t="shared" si="144"/>
        <v>26</v>
      </c>
      <c r="AW361" s="4">
        <f t="shared" si="145"/>
        <v>2</v>
      </c>
      <c r="AX361" s="4">
        <f t="shared" si="146"/>
        <v>25</v>
      </c>
      <c r="AY361" s="4">
        <f t="shared" si="147"/>
        <v>24</v>
      </c>
      <c r="AZ361" s="4">
        <f t="shared" si="148"/>
        <v>31</v>
      </c>
      <c r="BA361" s="4">
        <f t="shared" si="149"/>
        <v>11</v>
      </c>
    </row>
    <row r="362" spans="1:53" x14ac:dyDescent="0.2">
      <c r="A362" s="1" t="str">
        <f>'SegEnds_NonXtal_Prot#'!A360</f>
        <v>grm3_human</v>
      </c>
      <c r="B362" s="1" t="str">
        <f t="shared" si="125"/>
        <v>AWAIGPVTIACLGFMCTCMVVTVFIKHGRELCYILLFGVGLSYCMTFFFIPVICALRRLGLGSSFAICYSALLTKTNCIARIFSPSSQVFICLGLILVQIVMVSVWLILEKDSSMLISLTYDVILVILCTVYAFKTEAKFIGFTMYTTCIIWLAFLPIFYVVQTTTMCISVSLSGFVVLGCLFAPKVHIILFQPQKNVVTHRLHL</v>
      </c>
      <c r="C362" s="29" t="str">
        <f>IF(ISERROR(MATCH(A362,'SegEnds_Xtal_Prot#'!B:B, 0)), "NoXtal", "Xtal")</f>
        <v>NoXtal</v>
      </c>
      <c r="D362" s="4" t="str">
        <f>VLOOKUP(A362,Classification!A:D,2,FALSE)</f>
        <v>C</v>
      </c>
      <c r="E362" s="5" t="str">
        <f>VLOOKUP(A362,Seqs!A:B,2,FALSE)</f>
        <v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v>
      </c>
      <c r="F362" s="5" t="str">
        <f t="shared" si="126"/>
        <v>AWAIGPVTIACLGFMCTCMVVTVFIKH</v>
      </c>
      <c r="G362" s="4" t="str">
        <f t="shared" si="127"/>
        <v>TPLVKAS</v>
      </c>
      <c r="H362" s="4" t="str">
        <f t="shared" si="128"/>
        <v>GRELCYILLFGVGLSYCMTFFFI</v>
      </c>
      <c r="I362" s="4" t="str">
        <f t="shared" si="129"/>
        <v/>
      </c>
      <c r="J362" s="4" t="str">
        <f t="shared" si="130"/>
        <v>PVICALRRLGLGSSFAICYSALLTKTNCIARIF</v>
      </c>
      <c r="K362" s="4" t="str">
        <f t="shared" si="131"/>
        <v/>
      </c>
      <c r="L362" s="4" t="str">
        <f t="shared" si="132"/>
        <v>SPSSQVFICLGLILVQIVMVSVWLILE</v>
      </c>
      <c r="M362" s="4" t="str">
        <f t="shared" si="133"/>
        <v>CNV</v>
      </c>
      <c r="N362" s="4" t="str">
        <f t="shared" si="134"/>
        <v>KDSSMLISLTYDVILVILCTVYAFKT</v>
      </c>
      <c r="O362" s="4" t="str">
        <f t="shared" si="135"/>
        <v>EAKFIGFTMYTTCIIWLAFLPIFYV</v>
      </c>
      <c r="P362" s="4" t="str">
        <f t="shared" si="136"/>
        <v>VQTTTMCISVSLSGFVVLGCLFAPKVHIILFQ</v>
      </c>
      <c r="Q362" s="4" t="str">
        <f t="shared" si="137"/>
        <v>PQKNVVTHRLHL</v>
      </c>
      <c r="R362" s="5">
        <f>VLOOKUP($A362,'SegEnds_NonXtal_Prot#'!$A:$AL,3,FALSE)</f>
        <v>575</v>
      </c>
      <c r="S362" s="5">
        <f>VLOOKUP($A362,'SegEnds_NonXtal_Prot#'!$A:$AL,6,FALSE)</f>
        <v>604</v>
      </c>
      <c r="T362" s="5">
        <f>VLOOKUP($A362,'SegEnds_NonXtal_Prot#'!$A:$AL,9,FALSE)</f>
        <v>611</v>
      </c>
      <c r="U362" s="5" t="str">
        <f>VLOOKUP($A362,'SegEnds_NonXtal_Prot#'!$A:$AL,12,FALSE)</f>
        <v>-</v>
      </c>
      <c r="V362" s="5">
        <f>VLOOKUP($A362,'SegEnds_NonXtal_Prot#'!$A:$AL,15,FALSE)</f>
        <v>638</v>
      </c>
      <c r="W362" s="5" t="str">
        <f>VLOOKUP($A362,'SegEnds_NonXtal_Prot#'!$A:$AL,18,FALSE)</f>
        <v>-</v>
      </c>
      <c r="X362" s="5">
        <f>VLOOKUP($A362,'SegEnds_NonXtal_Prot#'!$A:$AL,21,FALSE)</f>
        <v>684</v>
      </c>
      <c r="Y362" s="5">
        <f>VLOOKUP($A362,'SegEnds_NonXtal_Prot#'!$A:$AL,24,FALSE)</f>
        <v>730</v>
      </c>
      <c r="Z362" s="5">
        <f>VLOOKUP($A362,'SegEnds_NonXtal_Prot#'!$A:$AL,27,FALSE)</f>
        <v>733</v>
      </c>
      <c r="AA362" s="5">
        <f>VLOOKUP($A362,'SegEnds_NonXtal_Prot#'!$A:$AL,30,FALSE)</f>
        <v>767</v>
      </c>
      <c r="AB362" s="5">
        <f>VLOOKUP($A362,'SegEnds_NonXtal_Prot#'!$A:$AL,33,FALSE)</f>
        <v>798</v>
      </c>
      <c r="AC362" s="5">
        <f>VLOOKUP($A362,'SegEnds_NonXtal_Prot#'!$A:$AL,36,FALSE)</f>
        <v>830</v>
      </c>
      <c r="AD362" s="5">
        <f>VLOOKUP($A362,'SegEnds_NonXtal_Prot#'!$A:$AL,5,FALSE)</f>
        <v>601</v>
      </c>
      <c r="AE362" s="5">
        <f>VLOOKUP($A362,'SegEnds_NonXtal_Prot#'!$A:$AL,8,FALSE)</f>
        <v>610</v>
      </c>
      <c r="AF362" s="5">
        <f>VLOOKUP($A362,'SegEnds_NonXtal_Prot#'!$A:$AL,11,FALSE)</f>
        <v>633</v>
      </c>
      <c r="AG362" s="5" t="str">
        <f>VLOOKUP($A362,'SegEnds_NonXtal_Prot#'!$A:$AL,14,FALSE)</f>
        <v>-</v>
      </c>
      <c r="AH362" s="5">
        <f>VLOOKUP($A362,'SegEnds_NonXtal_Prot#'!$A:$AL,17,FALSE)</f>
        <v>670</v>
      </c>
      <c r="AI362" s="5" t="str">
        <f>VLOOKUP($A362,'SegEnds_NonXtal_Prot#'!$A:$AL,20,FALSE)</f>
        <v>-</v>
      </c>
      <c r="AJ362" s="5">
        <f>VLOOKUP($A362,'SegEnds_NonXtal_Prot#'!$A:$AL,23,FALSE)</f>
        <v>710</v>
      </c>
      <c r="AK362" s="5">
        <f>VLOOKUP($A362,'SegEnds_NonXtal_Prot#'!$A:$AL,26,FALSE)</f>
        <v>732</v>
      </c>
      <c r="AL362" s="5">
        <f>VLOOKUP($A362,'SegEnds_NonXtal_Prot#'!$A:$AL,29,FALSE)</f>
        <v>758</v>
      </c>
      <c r="AM362" s="5">
        <f>VLOOKUP($A362,'SegEnds_NonXtal_Prot#'!$A:$AL,32,FALSE)</f>
        <v>791</v>
      </c>
      <c r="AN362" s="5">
        <f>VLOOKUP($A362,'SegEnds_NonXtal_Prot#'!$A:$AL,35,FALSE)</f>
        <v>829</v>
      </c>
      <c r="AO362" s="5">
        <f>VLOOKUP($A362,'SegEnds_NonXtal_Prot#'!$A:$AL,38,FALSE)</f>
        <v>841</v>
      </c>
      <c r="AP362" s="5">
        <f t="shared" si="138"/>
        <v>26</v>
      </c>
      <c r="AQ362" s="4">
        <f t="shared" si="139"/>
        <v>6</v>
      </c>
      <c r="AR362" s="4">
        <f t="shared" si="140"/>
        <v>22</v>
      </c>
      <c r="AS362" s="4" t="str">
        <f t="shared" si="141"/>
        <v>-</v>
      </c>
      <c r="AT362" s="4">
        <f t="shared" si="142"/>
        <v>32</v>
      </c>
      <c r="AU362" s="4" t="str">
        <f t="shared" si="143"/>
        <v>-</v>
      </c>
      <c r="AV362" s="4">
        <f t="shared" si="144"/>
        <v>26</v>
      </c>
      <c r="AW362" s="4">
        <f t="shared" si="145"/>
        <v>2</v>
      </c>
      <c r="AX362" s="4">
        <f t="shared" si="146"/>
        <v>25</v>
      </c>
      <c r="AY362" s="4">
        <f t="shared" si="147"/>
        <v>24</v>
      </c>
      <c r="AZ362" s="4">
        <f t="shared" si="148"/>
        <v>31</v>
      </c>
      <c r="BA362" s="4">
        <f t="shared" si="149"/>
        <v>11</v>
      </c>
    </row>
    <row r="363" spans="1:53" x14ac:dyDescent="0.2">
      <c r="A363" s="1" t="str">
        <f>'SegEnds_NonXtal_Prot#'!A361</f>
        <v>grm4_human</v>
      </c>
      <c r="B363" s="1" t="str">
        <f t="shared" si="125"/>
        <v>PWAVLPLFLAVVGIAATLFVVITFVRYGRELSYVLLAGIFLCYATTFLMILGTCSLRRIFLGLGMSISYAALLTKTNRIYRIFSPASQLAITFSLISLQLLGICVWFVVDSDLSLICLLGYSMLLMVTCTVYAIKTEAKPIGFTMYTTCIVWLAFIPIFFGIQTTTLTVSVSLSASVSLGMLYMPKVYIILFHPEQNVPKRKRSL</v>
      </c>
      <c r="C363" s="29" t="str">
        <f>IF(ISERROR(MATCH(A363,'SegEnds_Xtal_Prot#'!B:B, 0)), "NoXtal", "Xtal")</f>
        <v>NoXtal</v>
      </c>
      <c r="D363" s="4" t="str">
        <f>VLOOKUP(A363,Classification!A:D,2,FALSE)</f>
        <v>C</v>
      </c>
      <c r="E363" s="5" t="str">
        <f>VLOOKUP(A363,Seqs!A:B,2,FALSE)</f>
        <v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v>
      </c>
      <c r="F363" s="5" t="str">
        <f t="shared" si="126"/>
        <v>PWAVLPLFLAVVGIAATLFVVITFVRY</v>
      </c>
      <c r="G363" s="4" t="str">
        <f t="shared" si="127"/>
        <v>TPIVKAS</v>
      </c>
      <c r="H363" s="4" t="str">
        <f t="shared" si="128"/>
        <v>GRELSYVLLAGIFLCYATTFLMI</v>
      </c>
      <c r="I363" s="4" t="str">
        <f t="shared" si="129"/>
        <v/>
      </c>
      <c r="J363" s="4" t="str">
        <f t="shared" si="130"/>
        <v>LGTCSLRRIFLGLGMSISYAALLTKTNRIYRIF</v>
      </c>
      <c r="K363" s="4" t="str">
        <f t="shared" si="131"/>
        <v/>
      </c>
      <c r="L363" s="4" t="str">
        <f t="shared" si="132"/>
        <v>SPASQLAITFSLISLQLLGICVWFVVD</v>
      </c>
      <c r="M363" s="4" t="str">
        <f t="shared" si="133"/>
        <v>CDI</v>
      </c>
      <c r="N363" s="4" t="str">
        <f t="shared" si="134"/>
        <v>SDLSLICLLGYSMLLMVTCTVYAIKT</v>
      </c>
      <c r="O363" s="4" t="str">
        <f t="shared" si="135"/>
        <v>EAKPIGFTMYTTCIVWLAFIPIFFG</v>
      </c>
      <c r="P363" s="4" t="str">
        <f t="shared" si="136"/>
        <v>IQTTTLTVSVSLSASVSLGMLYMPKVYIILFH</v>
      </c>
      <c r="Q363" s="4" t="str">
        <f t="shared" si="137"/>
        <v>PEQNVPKRKRSL</v>
      </c>
      <c r="R363" s="5">
        <f>VLOOKUP($A363,'SegEnds_NonXtal_Prot#'!$A:$AL,3,FALSE)</f>
        <v>586</v>
      </c>
      <c r="S363" s="5">
        <f>VLOOKUP($A363,'SegEnds_NonXtal_Prot#'!$A:$AL,6,FALSE)</f>
        <v>615</v>
      </c>
      <c r="T363" s="5">
        <f>VLOOKUP($A363,'SegEnds_NonXtal_Prot#'!$A:$AL,9,FALSE)</f>
        <v>622</v>
      </c>
      <c r="U363" s="5" t="str">
        <f>VLOOKUP($A363,'SegEnds_NonXtal_Prot#'!$A:$AL,12,FALSE)</f>
        <v>-</v>
      </c>
      <c r="V363" s="5">
        <f>VLOOKUP($A363,'SegEnds_NonXtal_Prot#'!$A:$AL,15,FALSE)</f>
        <v>649</v>
      </c>
      <c r="W363" s="5" t="str">
        <f>VLOOKUP($A363,'SegEnds_NonXtal_Prot#'!$A:$AL,18,FALSE)</f>
        <v>-</v>
      </c>
      <c r="X363" s="5">
        <f>VLOOKUP($A363,'SegEnds_NonXtal_Prot#'!$A:$AL,21,FALSE)</f>
        <v>695</v>
      </c>
      <c r="Y363" s="5">
        <f>VLOOKUP($A363,'SegEnds_NonXtal_Prot#'!$A:$AL,24,FALSE)</f>
        <v>746</v>
      </c>
      <c r="Z363" s="5">
        <f>VLOOKUP($A363,'SegEnds_NonXtal_Prot#'!$A:$AL,27,FALSE)</f>
        <v>749</v>
      </c>
      <c r="AA363" s="5">
        <f>VLOOKUP($A363,'SegEnds_NonXtal_Prot#'!$A:$AL,30,FALSE)</f>
        <v>783</v>
      </c>
      <c r="AB363" s="5">
        <f>VLOOKUP($A363,'SegEnds_NonXtal_Prot#'!$A:$AL,33,FALSE)</f>
        <v>817</v>
      </c>
      <c r="AC363" s="5">
        <f>VLOOKUP($A363,'SegEnds_NonXtal_Prot#'!$A:$AL,36,FALSE)</f>
        <v>849</v>
      </c>
      <c r="AD363" s="5">
        <f>VLOOKUP($A363,'SegEnds_NonXtal_Prot#'!$A:$AL,5,FALSE)</f>
        <v>612</v>
      </c>
      <c r="AE363" s="5">
        <f>VLOOKUP($A363,'SegEnds_NonXtal_Prot#'!$A:$AL,8,FALSE)</f>
        <v>621</v>
      </c>
      <c r="AF363" s="5">
        <f>VLOOKUP($A363,'SegEnds_NonXtal_Prot#'!$A:$AL,11,FALSE)</f>
        <v>644</v>
      </c>
      <c r="AG363" s="5" t="str">
        <f>VLOOKUP($A363,'SegEnds_NonXtal_Prot#'!$A:$AL,14,FALSE)</f>
        <v>-</v>
      </c>
      <c r="AH363" s="5">
        <f>VLOOKUP($A363,'SegEnds_NonXtal_Prot#'!$A:$AL,17,FALSE)</f>
        <v>681</v>
      </c>
      <c r="AI363" s="5" t="str">
        <f>VLOOKUP($A363,'SegEnds_NonXtal_Prot#'!$A:$AL,20,FALSE)</f>
        <v>-</v>
      </c>
      <c r="AJ363" s="5">
        <f>VLOOKUP($A363,'SegEnds_NonXtal_Prot#'!$A:$AL,23,FALSE)</f>
        <v>721</v>
      </c>
      <c r="AK363" s="5">
        <f>VLOOKUP($A363,'SegEnds_NonXtal_Prot#'!$A:$AL,26,FALSE)</f>
        <v>748</v>
      </c>
      <c r="AL363" s="5">
        <f>VLOOKUP($A363,'SegEnds_NonXtal_Prot#'!$A:$AL,29,FALSE)</f>
        <v>774</v>
      </c>
      <c r="AM363" s="5">
        <f>VLOOKUP($A363,'SegEnds_NonXtal_Prot#'!$A:$AL,32,FALSE)</f>
        <v>807</v>
      </c>
      <c r="AN363" s="5">
        <f>VLOOKUP($A363,'SegEnds_NonXtal_Prot#'!$A:$AL,35,FALSE)</f>
        <v>848</v>
      </c>
      <c r="AO363" s="5">
        <f>VLOOKUP($A363,'SegEnds_NonXtal_Prot#'!$A:$AL,38,FALSE)</f>
        <v>860</v>
      </c>
      <c r="AP363" s="5">
        <f t="shared" si="138"/>
        <v>26</v>
      </c>
      <c r="AQ363" s="4">
        <f t="shared" si="139"/>
        <v>6</v>
      </c>
      <c r="AR363" s="4">
        <f t="shared" si="140"/>
        <v>22</v>
      </c>
      <c r="AS363" s="4" t="str">
        <f t="shared" si="141"/>
        <v>-</v>
      </c>
      <c r="AT363" s="4">
        <f t="shared" si="142"/>
        <v>32</v>
      </c>
      <c r="AU363" s="4" t="str">
        <f t="shared" si="143"/>
        <v>-</v>
      </c>
      <c r="AV363" s="4">
        <f t="shared" si="144"/>
        <v>26</v>
      </c>
      <c r="AW363" s="4">
        <f t="shared" si="145"/>
        <v>2</v>
      </c>
      <c r="AX363" s="4">
        <f t="shared" si="146"/>
        <v>25</v>
      </c>
      <c r="AY363" s="4">
        <f t="shared" si="147"/>
        <v>24</v>
      </c>
      <c r="AZ363" s="4">
        <f t="shared" si="148"/>
        <v>31</v>
      </c>
      <c r="BA363" s="4">
        <f t="shared" si="149"/>
        <v>11</v>
      </c>
    </row>
    <row r="364" spans="1:53" x14ac:dyDescent="0.2">
      <c r="A364" s="1" t="str">
        <f>'SegEnds_NonXtal_Prot#'!A362</f>
        <v>grm5_human</v>
      </c>
      <c r="B364" s="1" t="str">
        <f t="shared" si="125"/>
        <v>PEPIAAVVFACLGLLATLFVTVVFIIYSRELCYIILAGICLGYLCTFCLIQIYCYLQRIGIGLSPAMSYSALVTKTNRIARILSACAQLVIAFILICIQLGIIVALFIMETNLGVVTPLGYNGLLILSCTFYAFKTEAKYIAFTMYTTCIIWLAFVPIYFGYKIITMCFSVSLSATVALGCMFVPKVYIILAKPERNVRSAFTTS</v>
      </c>
      <c r="C364" s="29" t="str">
        <f>IF(ISERROR(MATCH(A364,'SegEnds_Xtal_Prot#'!B:B, 0)), "NoXtal", "Xtal")</f>
        <v>Xtal</v>
      </c>
      <c r="D364" s="4" t="str">
        <f>VLOOKUP(A364,Classification!A:D,2,FALSE)</f>
        <v>C</v>
      </c>
      <c r="E364" s="5" t="str">
        <f>VLOOKUP(A364,Seqs!A:B,2,FALSE)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F364" s="5" t="str">
        <f t="shared" si="126"/>
        <v>PEPIAAVVFACLGLLATLFVTVVFIIY</v>
      </c>
      <c r="G364" s="4" t="str">
        <f t="shared" si="127"/>
        <v>TPVVKSS</v>
      </c>
      <c r="H364" s="4" t="str">
        <f t="shared" si="128"/>
        <v>SRELCYIILAGICLGYLCTFCLI</v>
      </c>
      <c r="I364" s="4" t="str">
        <f t="shared" si="129"/>
        <v/>
      </c>
      <c r="J364" s="4" t="str">
        <f t="shared" si="130"/>
        <v>QIYCYLQRIGIGLSPAMSYSALVTKTNRIARIL</v>
      </c>
      <c r="K364" s="4" t="str">
        <f t="shared" si="131"/>
        <v/>
      </c>
      <c r="L364" s="4" t="str">
        <f t="shared" si="132"/>
        <v>SACAQLVIAFILICIQLGIIVALFIME</v>
      </c>
      <c r="M364" s="4" t="str">
        <f t="shared" si="133"/>
        <v>CNT</v>
      </c>
      <c r="N364" s="4" t="str">
        <f t="shared" si="134"/>
        <v>TNLGVVTPLGYNGLLILSCTFYAFKT</v>
      </c>
      <c r="O364" s="4" t="str">
        <f t="shared" si="135"/>
        <v>EAKYIAFTMYTTCIIWLAFVPIYFG</v>
      </c>
      <c r="P364" s="4" t="str">
        <f t="shared" si="136"/>
        <v>YKIITMCFSVSLSATVALGCMFVPKVYIILAK</v>
      </c>
      <c r="Q364" s="4" t="str">
        <f t="shared" si="137"/>
        <v>PERNVRSAFTTS</v>
      </c>
      <c r="R364" s="5">
        <f>VLOOKUP($A364,'SegEnds_NonXtal_Prot#'!$A:$AL,3,FALSE)</f>
        <v>578</v>
      </c>
      <c r="S364" s="5">
        <f>VLOOKUP($A364,'SegEnds_NonXtal_Prot#'!$A:$AL,6,FALSE)</f>
        <v>607</v>
      </c>
      <c r="T364" s="5">
        <f>VLOOKUP($A364,'SegEnds_NonXtal_Prot#'!$A:$AL,9,FALSE)</f>
        <v>614</v>
      </c>
      <c r="U364" s="5" t="str">
        <f>VLOOKUP($A364,'SegEnds_NonXtal_Prot#'!$A:$AL,12,FALSE)</f>
        <v>-</v>
      </c>
      <c r="V364" s="5">
        <f>VLOOKUP($A364,'SegEnds_NonXtal_Prot#'!$A:$AL,15,FALSE)</f>
        <v>641</v>
      </c>
      <c r="W364" s="5" t="str">
        <f>VLOOKUP($A364,'SegEnds_NonXtal_Prot#'!$A:$AL,18,FALSE)</f>
        <v>-</v>
      </c>
      <c r="X364" s="5">
        <f>VLOOKUP($A364,'SegEnds_NonXtal_Prot#'!$A:$AL,21,FALSE)</f>
        <v>689</v>
      </c>
      <c r="Y364" s="5">
        <f>VLOOKUP($A364,'SegEnds_NonXtal_Prot#'!$A:$AL,24,FALSE)</f>
        <v>733</v>
      </c>
      <c r="Z364" s="5">
        <f>VLOOKUP($A364,'SegEnds_NonXtal_Prot#'!$A:$AL,27,FALSE)</f>
        <v>736</v>
      </c>
      <c r="AA364" s="5">
        <f>VLOOKUP($A364,'SegEnds_NonXtal_Prot#'!$A:$AL,30,FALSE)</f>
        <v>770</v>
      </c>
      <c r="AB364" s="5">
        <f>VLOOKUP($A364,'SegEnds_NonXtal_Prot#'!$A:$AL,33,FALSE)</f>
        <v>797</v>
      </c>
      <c r="AC364" s="5">
        <f>VLOOKUP($A364,'SegEnds_NonXtal_Prot#'!$A:$AL,36,FALSE)</f>
        <v>829</v>
      </c>
      <c r="AD364" s="5">
        <f>VLOOKUP($A364,'SegEnds_NonXtal_Prot#'!$A:$AL,5,FALSE)</f>
        <v>604</v>
      </c>
      <c r="AE364" s="5">
        <f>VLOOKUP($A364,'SegEnds_NonXtal_Prot#'!$A:$AL,8,FALSE)</f>
        <v>613</v>
      </c>
      <c r="AF364" s="5">
        <f>VLOOKUP($A364,'SegEnds_NonXtal_Prot#'!$A:$AL,11,FALSE)</f>
        <v>636</v>
      </c>
      <c r="AG364" s="5" t="str">
        <f>VLOOKUP($A364,'SegEnds_NonXtal_Prot#'!$A:$AL,14,FALSE)</f>
        <v>-</v>
      </c>
      <c r="AH364" s="5">
        <f>VLOOKUP($A364,'SegEnds_NonXtal_Prot#'!$A:$AL,17,FALSE)</f>
        <v>673</v>
      </c>
      <c r="AI364" s="5" t="str">
        <f>VLOOKUP($A364,'SegEnds_NonXtal_Prot#'!$A:$AL,20,FALSE)</f>
        <v>-</v>
      </c>
      <c r="AJ364" s="5">
        <f>VLOOKUP($A364,'SegEnds_NonXtal_Prot#'!$A:$AL,23,FALSE)</f>
        <v>715</v>
      </c>
      <c r="AK364" s="5">
        <f>VLOOKUP($A364,'SegEnds_NonXtal_Prot#'!$A:$AL,26,FALSE)</f>
        <v>735</v>
      </c>
      <c r="AL364" s="5">
        <f>VLOOKUP($A364,'SegEnds_NonXtal_Prot#'!$A:$AL,29,FALSE)</f>
        <v>761</v>
      </c>
      <c r="AM364" s="5">
        <f>VLOOKUP($A364,'SegEnds_NonXtal_Prot#'!$A:$AL,32,FALSE)</f>
        <v>794</v>
      </c>
      <c r="AN364" s="5">
        <f>VLOOKUP($A364,'SegEnds_NonXtal_Prot#'!$A:$AL,35,FALSE)</f>
        <v>828</v>
      </c>
      <c r="AO364" s="5">
        <f>VLOOKUP($A364,'SegEnds_NonXtal_Prot#'!$A:$AL,38,FALSE)</f>
        <v>840</v>
      </c>
      <c r="AP364" s="5">
        <f t="shared" si="138"/>
        <v>26</v>
      </c>
      <c r="AQ364" s="4">
        <f t="shared" si="139"/>
        <v>6</v>
      </c>
      <c r="AR364" s="4">
        <f t="shared" si="140"/>
        <v>22</v>
      </c>
      <c r="AS364" s="4" t="str">
        <f t="shared" si="141"/>
        <v>-</v>
      </c>
      <c r="AT364" s="4">
        <f t="shared" si="142"/>
        <v>32</v>
      </c>
      <c r="AU364" s="4" t="str">
        <f t="shared" si="143"/>
        <v>-</v>
      </c>
      <c r="AV364" s="4">
        <f t="shared" si="144"/>
        <v>26</v>
      </c>
      <c r="AW364" s="4">
        <f t="shared" si="145"/>
        <v>2</v>
      </c>
      <c r="AX364" s="4">
        <f t="shared" si="146"/>
        <v>25</v>
      </c>
      <c r="AY364" s="4">
        <f t="shared" si="147"/>
        <v>24</v>
      </c>
      <c r="AZ364" s="4">
        <f t="shared" si="148"/>
        <v>31</v>
      </c>
      <c r="BA364" s="4">
        <f t="shared" si="149"/>
        <v>11</v>
      </c>
    </row>
    <row r="365" spans="1:53" x14ac:dyDescent="0.2">
      <c r="A365" s="1" t="str">
        <f>'SegEnds_NonXtal_Prot#'!A363</f>
        <v>grm6_human</v>
      </c>
      <c r="B365" s="1" t="str">
        <f t="shared" si="125"/>
        <v>PWAAPPLLLAVLGIVATTTVVATFVRYGRELSYVLLTGIFLIYAITFLMVAAVCAARRLFLGLGTTLSYSALLTKTNRIYRIFSPTSQLVITFSLTSLQVVGMIAWLGARSDLSLIGCLGYSLLLMVTCTVYAIKAEAKPIGFTMYTTCIIWLAFVPIFFGIQTTTLTVSLSLSASVSLGMLYVPKTYVILFHPEQNVQKRKRSL</v>
      </c>
      <c r="C365" s="29" t="str">
        <f>IF(ISERROR(MATCH(A365,'SegEnds_Xtal_Prot#'!B:B, 0)), "NoXtal", "Xtal")</f>
        <v>NoXtal</v>
      </c>
      <c r="D365" s="4" t="str">
        <f>VLOOKUP(A365,Classification!A:D,2,FALSE)</f>
        <v>C</v>
      </c>
      <c r="E365" s="5" t="str">
        <f>VLOOKUP(A365,Seqs!A:B,2,FALSE)</f>
        <v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v>
      </c>
      <c r="F365" s="5" t="str">
        <f t="shared" si="126"/>
        <v>PWAAPPLLLAVLGIVATTTVVATFVRY</v>
      </c>
      <c r="G365" s="4" t="str">
        <f t="shared" si="127"/>
        <v>TPIVRAS</v>
      </c>
      <c r="H365" s="4" t="str">
        <f t="shared" si="128"/>
        <v>GRELSYVLLTGIFLIYAITFLMV</v>
      </c>
      <c r="I365" s="4" t="str">
        <f t="shared" si="129"/>
        <v/>
      </c>
      <c r="J365" s="4" t="str">
        <f t="shared" si="130"/>
        <v>AAVCAARRLFLGLGTTLSYSALLTKTNRIYRIF</v>
      </c>
      <c r="K365" s="4" t="str">
        <f t="shared" si="131"/>
        <v/>
      </c>
      <c r="L365" s="4" t="str">
        <f t="shared" si="132"/>
        <v>SPTSQLVITFSLTSLQVVGMIAWLGAR</v>
      </c>
      <c r="M365" s="4" t="str">
        <f t="shared" si="133"/>
        <v>CDM</v>
      </c>
      <c r="N365" s="4" t="str">
        <f t="shared" si="134"/>
        <v>SDLSLIGCLGYSLLLMVTCTVYAIKA</v>
      </c>
      <c r="O365" s="4" t="str">
        <f t="shared" si="135"/>
        <v>EAKPIGFTMYTTCIIWLAFVPIFFG</v>
      </c>
      <c r="P365" s="4" t="str">
        <f t="shared" si="136"/>
        <v>IQTTTLTVSLSLSASVSLGMLYVPKTYVILFH</v>
      </c>
      <c r="Q365" s="4" t="str">
        <f t="shared" si="137"/>
        <v>PEQNVQKRKRSL</v>
      </c>
      <c r="R365" s="5">
        <f>VLOOKUP($A365,'SegEnds_NonXtal_Prot#'!$A:$AL,3,FALSE)</f>
        <v>584</v>
      </c>
      <c r="S365" s="5">
        <f>VLOOKUP($A365,'SegEnds_NonXtal_Prot#'!$A:$AL,6,FALSE)</f>
        <v>613</v>
      </c>
      <c r="T365" s="5">
        <f>VLOOKUP($A365,'SegEnds_NonXtal_Prot#'!$A:$AL,9,FALSE)</f>
        <v>620</v>
      </c>
      <c r="U365" s="5" t="str">
        <f>VLOOKUP($A365,'SegEnds_NonXtal_Prot#'!$A:$AL,12,FALSE)</f>
        <v>-</v>
      </c>
      <c r="V365" s="5">
        <f>VLOOKUP($A365,'SegEnds_NonXtal_Prot#'!$A:$AL,15,FALSE)</f>
        <v>647</v>
      </c>
      <c r="W365" s="5" t="str">
        <f>VLOOKUP($A365,'SegEnds_NonXtal_Prot#'!$A:$AL,18,FALSE)</f>
        <v>-</v>
      </c>
      <c r="X365" s="5">
        <f>VLOOKUP($A365,'SegEnds_NonXtal_Prot#'!$A:$AL,21,FALSE)</f>
        <v>693</v>
      </c>
      <c r="Y365" s="5">
        <f>VLOOKUP($A365,'SegEnds_NonXtal_Prot#'!$A:$AL,24,FALSE)</f>
        <v>744</v>
      </c>
      <c r="Z365" s="5">
        <f>VLOOKUP($A365,'SegEnds_NonXtal_Prot#'!$A:$AL,27,FALSE)</f>
        <v>747</v>
      </c>
      <c r="AA365" s="5">
        <f>VLOOKUP($A365,'SegEnds_NonXtal_Prot#'!$A:$AL,30,FALSE)</f>
        <v>781</v>
      </c>
      <c r="AB365" s="5">
        <f>VLOOKUP($A365,'SegEnds_NonXtal_Prot#'!$A:$AL,33,FALSE)</f>
        <v>815</v>
      </c>
      <c r="AC365" s="5">
        <f>VLOOKUP($A365,'SegEnds_NonXtal_Prot#'!$A:$AL,36,FALSE)</f>
        <v>847</v>
      </c>
      <c r="AD365" s="5">
        <f>VLOOKUP($A365,'SegEnds_NonXtal_Prot#'!$A:$AL,5,FALSE)</f>
        <v>610</v>
      </c>
      <c r="AE365" s="5">
        <f>VLOOKUP($A365,'SegEnds_NonXtal_Prot#'!$A:$AL,8,FALSE)</f>
        <v>619</v>
      </c>
      <c r="AF365" s="5">
        <f>VLOOKUP($A365,'SegEnds_NonXtal_Prot#'!$A:$AL,11,FALSE)</f>
        <v>642</v>
      </c>
      <c r="AG365" s="5" t="str">
        <f>VLOOKUP($A365,'SegEnds_NonXtal_Prot#'!$A:$AL,14,FALSE)</f>
        <v>-</v>
      </c>
      <c r="AH365" s="5">
        <f>VLOOKUP($A365,'SegEnds_NonXtal_Prot#'!$A:$AL,17,FALSE)</f>
        <v>679</v>
      </c>
      <c r="AI365" s="5" t="str">
        <f>VLOOKUP($A365,'SegEnds_NonXtal_Prot#'!$A:$AL,20,FALSE)</f>
        <v>-</v>
      </c>
      <c r="AJ365" s="5">
        <f>VLOOKUP($A365,'SegEnds_NonXtal_Prot#'!$A:$AL,23,FALSE)</f>
        <v>719</v>
      </c>
      <c r="AK365" s="5">
        <f>VLOOKUP($A365,'SegEnds_NonXtal_Prot#'!$A:$AL,26,FALSE)</f>
        <v>746</v>
      </c>
      <c r="AL365" s="5">
        <f>VLOOKUP($A365,'SegEnds_NonXtal_Prot#'!$A:$AL,29,FALSE)</f>
        <v>772</v>
      </c>
      <c r="AM365" s="5">
        <f>VLOOKUP($A365,'SegEnds_NonXtal_Prot#'!$A:$AL,32,FALSE)</f>
        <v>805</v>
      </c>
      <c r="AN365" s="5">
        <f>VLOOKUP($A365,'SegEnds_NonXtal_Prot#'!$A:$AL,35,FALSE)</f>
        <v>846</v>
      </c>
      <c r="AO365" s="5">
        <f>VLOOKUP($A365,'SegEnds_NonXtal_Prot#'!$A:$AL,38,FALSE)</f>
        <v>858</v>
      </c>
      <c r="AP365" s="5">
        <f t="shared" si="138"/>
        <v>26</v>
      </c>
      <c r="AQ365" s="4">
        <f t="shared" si="139"/>
        <v>6</v>
      </c>
      <c r="AR365" s="4">
        <f t="shared" si="140"/>
        <v>22</v>
      </c>
      <c r="AS365" s="4" t="str">
        <f t="shared" si="141"/>
        <v>-</v>
      </c>
      <c r="AT365" s="4">
        <f t="shared" si="142"/>
        <v>32</v>
      </c>
      <c r="AU365" s="4" t="str">
        <f t="shared" si="143"/>
        <v>-</v>
      </c>
      <c r="AV365" s="4">
        <f t="shared" si="144"/>
        <v>26</v>
      </c>
      <c r="AW365" s="4">
        <f t="shared" si="145"/>
        <v>2</v>
      </c>
      <c r="AX365" s="4">
        <f t="shared" si="146"/>
        <v>25</v>
      </c>
      <c r="AY365" s="4">
        <f t="shared" si="147"/>
        <v>24</v>
      </c>
      <c r="AZ365" s="4">
        <f t="shared" si="148"/>
        <v>31</v>
      </c>
      <c r="BA365" s="4">
        <f t="shared" si="149"/>
        <v>11</v>
      </c>
    </row>
    <row r="366" spans="1:53" x14ac:dyDescent="0.2">
      <c r="A366" s="1" t="str">
        <f>'SegEnds_NonXtal_Prot#'!A364</f>
        <v>grm7_human</v>
      </c>
      <c r="B366" s="1" t="str">
        <f t="shared" si="125"/>
        <v>PWAVIPVFLAMLGIIATIFVMATFIRYGRELSYVLLTGIFLCYIITFLMIVAVCSFRRVFLGLGMCISYAALLTKTNRIYRIFSPTSQLAITSSLISVQLLGVFIWFGVDTDLQIICSLGYSILLMVTCTVYAIKTEAKPIGFTMYTTCIVWLAFIPIFFGIQTTTLTISMNLSASVALGMLYMPKVYIIIFHPELNVQKRKRSF</v>
      </c>
      <c r="C366" s="29" t="str">
        <f>IF(ISERROR(MATCH(A366,'SegEnds_Xtal_Prot#'!B:B, 0)), "NoXtal", "Xtal")</f>
        <v>NoXtal</v>
      </c>
      <c r="D366" s="4" t="str">
        <f>VLOOKUP(A366,Classification!A:D,2,FALSE)</f>
        <v>C</v>
      </c>
      <c r="E366" s="5" t="str">
        <f>VLOOKUP(A366,Seqs!A:B,2,FALSE)</f>
        <v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v>
      </c>
      <c r="F366" s="5" t="str">
        <f t="shared" si="126"/>
        <v>PWAVIPVFLAMLGIIATIFVMATFIRY</v>
      </c>
      <c r="G366" s="4" t="str">
        <f t="shared" si="127"/>
        <v>TPIVRAS</v>
      </c>
      <c r="H366" s="4" t="str">
        <f t="shared" si="128"/>
        <v>GRELSYVLLTGIFLCYIITFLMI</v>
      </c>
      <c r="I366" s="4" t="str">
        <f t="shared" si="129"/>
        <v/>
      </c>
      <c r="J366" s="4" t="str">
        <f t="shared" si="130"/>
        <v>VAVCSFRRVFLGLGMCISYAALLTKTNRIYRIF</v>
      </c>
      <c r="K366" s="4" t="str">
        <f t="shared" si="131"/>
        <v/>
      </c>
      <c r="L366" s="4" t="str">
        <f t="shared" si="132"/>
        <v>SPTSQLAITSSLISVQLLGVFIWFGVD</v>
      </c>
      <c r="M366" s="4" t="str">
        <f t="shared" si="133"/>
        <v>CDI</v>
      </c>
      <c r="N366" s="4" t="str">
        <f t="shared" si="134"/>
        <v>TDLQIICSLGYSILLMVTCTVYAIKT</v>
      </c>
      <c r="O366" s="4" t="str">
        <f t="shared" si="135"/>
        <v>EAKPIGFTMYTTCIVWLAFIPIFFG</v>
      </c>
      <c r="P366" s="4" t="str">
        <f t="shared" si="136"/>
        <v>IQTTTLTISMNLSASVALGMLYMPKVYIIIFH</v>
      </c>
      <c r="Q366" s="4" t="str">
        <f t="shared" si="137"/>
        <v>PELNVQKRKRSF</v>
      </c>
      <c r="R366" s="5">
        <f>VLOOKUP($A366,'SegEnds_NonXtal_Prot#'!$A:$AL,3,FALSE)</f>
        <v>589</v>
      </c>
      <c r="S366" s="5">
        <f>VLOOKUP($A366,'SegEnds_NonXtal_Prot#'!$A:$AL,6,FALSE)</f>
        <v>618</v>
      </c>
      <c r="T366" s="5">
        <f>VLOOKUP($A366,'SegEnds_NonXtal_Prot#'!$A:$AL,9,FALSE)</f>
        <v>625</v>
      </c>
      <c r="U366" s="5" t="str">
        <f>VLOOKUP($A366,'SegEnds_NonXtal_Prot#'!$A:$AL,12,FALSE)</f>
        <v>-</v>
      </c>
      <c r="V366" s="5">
        <f>VLOOKUP($A366,'SegEnds_NonXtal_Prot#'!$A:$AL,15,FALSE)</f>
        <v>652</v>
      </c>
      <c r="W366" s="5" t="str">
        <f>VLOOKUP($A366,'SegEnds_NonXtal_Prot#'!$A:$AL,18,FALSE)</f>
        <v>-</v>
      </c>
      <c r="X366" s="5">
        <f>VLOOKUP($A366,'SegEnds_NonXtal_Prot#'!$A:$AL,21,FALSE)</f>
        <v>698</v>
      </c>
      <c r="Y366" s="5">
        <f>VLOOKUP($A366,'SegEnds_NonXtal_Prot#'!$A:$AL,24,FALSE)</f>
        <v>749</v>
      </c>
      <c r="Z366" s="5">
        <f>VLOOKUP($A366,'SegEnds_NonXtal_Prot#'!$A:$AL,27,FALSE)</f>
        <v>752</v>
      </c>
      <c r="AA366" s="5">
        <f>VLOOKUP($A366,'SegEnds_NonXtal_Prot#'!$A:$AL,30,FALSE)</f>
        <v>786</v>
      </c>
      <c r="AB366" s="5">
        <f>VLOOKUP($A366,'SegEnds_NonXtal_Prot#'!$A:$AL,33,FALSE)</f>
        <v>820</v>
      </c>
      <c r="AC366" s="5">
        <f>VLOOKUP($A366,'SegEnds_NonXtal_Prot#'!$A:$AL,36,FALSE)</f>
        <v>852</v>
      </c>
      <c r="AD366" s="5">
        <f>VLOOKUP($A366,'SegEnds_NonXtal_Prot#'!$A:$AL,5,FALSE)</f>
        <v>615</v>
      </c>
      <c r="AE366" s="5">
        <f>VLOOKUP($A366,'SegEnds_NonXtal_Prot#'!$A:$AL,8,FALSE)</f>
        <v>624</v>
      </c>
      <c r="AF366" s="5">
        <f>VLOOKUP($A366,'SegEnds_NonXtal_Prot#'!$A:$AL,11,FALSE)</f>
        <v>647</v>
      </c>
      <c r="AG366" s="5" t="str">
        <f>VLOOKUP($A366,'SegEnds_NonXtal_Prot#'!$A:$AL,14,FALSE)</f>
        <v>-</v>
      </c>
      <c r="AH366" s="5">
        <f>VLOOKUP($A366,'SegEnds_NonXtal_Prot#'!$A:$AL,17,FALSE)</f>
        <v>684</v>
      </c>
      <c r="AI366" s="5" t="str">
        <f>VLOOKUP($A366,'SegEnds_NonXtal_Prot#'!$A:$AL,20,FALSE)</f>
        <v>-</v>
      </c>
      <c r="AJ366" s="5">
        <f>VLOOKUP($A366,'SegEnds_NonXtal_Prot#'!$A:$AL,23,FALSE)</f>
        <v>724</v>
      </c>
      <c r="AK366" s="5">
        <f>VLOOKUP($A366,'SegEnds_NonXtal_Prot#'!$A:$AL,26,FALSE)</f>
        <v>751</v>
      </c>
      <c r="AL366" s="5">
        <f>VLOOKUP($A366,'SegEnds_NonXtal_Prot#'!$A:$AL,29,FALSE)</f>
        <v>777</v>
      </c>
      <c r="AM366" s="5">
        <f>VLOOKUP($A366,'SegEnds_NonXtal_Prot#'!$A:$AL,32,FALSE)</f>
        <v>810</v>
      </c>
      <c r="AN366" s="5">
        <f>VLOOKUP($A366,'SegEnds_NonXtal_Prot#'!$A:$AL,35,FALSE)</f>
        <v>851</v>
      </c>
      <c r="AO366" s="5">
        <f>VLOOKUP($A366,'SegEnds_NonXtal_Prot#'!$A:$AL,38,FALSE)</f>
        <v>863</v>
      </c>
      <c r="AP366" s="5">
        <f t="shared" si="138"/>
        <v>26</v>
      </c>
      <c r="AQ366" s="4">
        <f t="shared" si="139"/>
        <v>6</v>
      </c>
      <c r="AR366" s="4">
        <f t="shared" si="140"/>
        <v>22</v>
      </c>
      <c r="AS366" s="4" t="str">
        <f t="shared" si="141"/>
        <v>-</v>
      </c>
      <c r="AT366" s="4">
        <f t="shared" si="142"/>
        <v>32</v>
      </c>
      <c r="AU366" s="4" t="str">
        <f t="shared" si="143"/>
        <v>-</v>
      </c>
      <c r="AV366" s="4">
        <f t="shared" si="144"/>
        <v>26</v>
      </c>
      <c r="AW366" s="4">
        <f t="shared" si="145"/>
        <v>2</v>
      </c>
      <c r="AX366" s="4">
        <f t="shared" si="146"/>
        <v>25</v>
      </c>
      <c r="AY366" s="4">
        <f t="shared" si="147"/>
        <v>24</v>
      </c>
      <c r="AZ366" s="4">
        <f t="shared" si="148"/>
        <v>31</v>
      </c>
      <c r="BA366" s="4">
        <f t="shared" si="149"/>
        <v>11</v>
      </c>
    </row>
    <row r="367" spans="1:53" x14ac:dyDescent="0.2">
      <c r="A367" s="1" t="str">
        <f>'SegEnds_NonXtal_Prot#'!A365</f>
        <v>grm8_human</v>
      </c>
      <c r="B367" s="1" t="str">
        <f t="shared" si="125"/>
        <v>PWAVVPVFVAILGIIATTFVIVTFVRYGRELSYVLLTGIFLCYSITFLMITIICSFRRVFLGLGMCFSYAALLTKTNRIHRIFSPASQLVITFSLISVQLLGVFVWFVVDSDLSLICSLGYSILLMVTCTVYAIKTEAKPIGFTMYTTCIIWLAFIPIFFGIQTTTLTVSMSLSASVSLGMLYMPKVYIIIFHPEQNVQKRKRSF</v>
      </c>
      <c r="C367" s="29" t="str">
        <f>IF(ISERROR(MATCH(A367,'SegEnds_Xtal_Prot#'!B:B, 0)), "NoXtal", "Xtal")</f>
        <v>NoXtal</v>
      </c>
      <c r="D367" s="4" t="str">
        <f>VLOOKUP(A367,Classification!A:D,2,FALSE)</f>
        <v>C</v>
      </c>
      <c r="E367" s="5" t="str">
        <f>VLOOKUP(A367,Seqs!A:B,2,FALSE)</f>
        <v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v>
      </c>
      <c r="F367" s="5" t="str">
        <f t="shared" si="126"/>
        <v>PWAVVPVFVAILGIIATTFVIVTFVRY</v>
      </c>
      <c r="G367" s="4" t="str">
        <f t="shared" si="127"/>
        <v>TPIVRAS</v>
      </c>
      <c r="H367" s="4" t="str">
        <f t="shared" si="128"/>
        <v>GRELSYVLLTGIFLCYSITFLMI</v>
      </c>
      <c r="I367" s="4" t="str">
        <f t="shared" si="129"/>
        <v/>
      </c>
      <c r="J367" s="4" t="str">
        <f t="shared" si="130"/>
        <v>TIICSFRRVFLGLGMCFSYAALLTKTNRIHRIF</v>
      </c>
      <c r="K367" s="4" t="str">
        <f t="shared" si="131"/>
        <v/>
      </c>
      <c r="L367" s="4" t="str">
        <f t="shared" si="132"/>
        <v>SPASQLVITFSLISVQLLGVFVWFVVD</v>
      </c>
      <c r="M367" s="4" t="str">
        <f t="shared" si="133"/>
        <v>CDI</v>
      </c>
      <c r="N367" s="4" t="str">
        <f t="shared" si="134"/>
        <v>SDLSLICSLGYSILLMVTCTVYAIKT</v>
      </c>
      <c r="O367" s="4" t="str">
        <f t="shared" si="135"/>
        <v>EAKPIGFTMYTTCIIWLAFIPIFFG</v>
      </c>
      <c r="P367" s="4" t="str">
        <f t="shared" si="136"/>
        <v>IQTTTLTVSMSLSASVSLGMLYMPKVYIIIFH</v>
      </c>
      <c r="Q367" s="4" t="str">
        <f t="shared" si="137"/>
        <v>PEQNVQKRKRSF</v>
      </c>
      <c r="R367" s="5">
        <f>VLOOKUP($A367,'SegEnds_NonXtal_Prot#'!$A:$AL,3,FALSE)</f>
        <v>582</v>
      </c>
      <c r="S367" s="5">
        <f>VLOOKUP($A367,'SegEnds_NonXtal_Prot#'!$A:$AL,6,FALSE)</f>
        <v>611</v>
      </c>
      <c r="T367" s="5">
        <f>VLOOKUP($A367,'SegEnds_NonXtal_Prot#'!$A:$AL,9,FALSE)</f>
        <v>618</v>
      </c>
      <c r="U367" s="5" t="str">
        <f>VLOOKUP($A367,'SegEnds_NonXtal_Prot#'!$A:$AL,12,FALSE)</f>
        <v>-</v>
      </c>
      <c r="V367" s="5">
        <f>VLOOKUP($A367,'SegEnds_NonXtal_Prot#'!$A:$AL,15,FALSE)</f>
        <v>645</v>
      </c>
      <c r="W367" s="5" t="str">
        <f>VLOOKUP($A367,'SegEnds_NonXtal_Prot#'!$A:$AL,18,FALSE)</f>
        <v>-</v>
      </c>
      <c r="X367" s="5">
        <f>VLOOKUP($A367,'SegEnds_NonXtal_Prot#'!$A:$AL,21,FALSE)</f>
        <v>691</v>
      </c>
      <c r="Y367" s="5">
        <f>VLOOKUP($A367,'SegEnds_NonXtal_Prot#'!$A:$AL,24,FALSE)</f>
        <v>742</v>
      </c>
      <c r="Z367" s="5">
        <f>VLOOKUP($A367,'SegEnds_NonXtal_Prot#'!$A:$AL,27,FALSE)</f>
        <v>745</v>
      </c>
      <c r="AA367" s="5">
        <f>VLOOKUP($A367,'SegEnds_NonXtal_Prot#'!$A:$AL,30,FALSE)</f>
        <v>779</v>
      </c>
      <c r="AB367" s="5">
        <f>VLOOKUP($A367,'SegEnds_NonXtal_Prot#'!$A:$AL,33,FALSE)</f>
        <v>813</v>
      </c>
      <c r="AC367" s="5">
        <f>VLOOKUP($A367,'SegEnds_NonXtal_Prot#'!$A:$AL,36,FALSE)</f>
        <v>845</v>
      </c>
      <c r="AD367" s="5">
        <f>VLOOKUP($A367,'SegEnds_NonXtal_Prot#'!$A:$AL,5,FALSE)</f>
        <v>608</v>
      </c>
      <c r="AE367" s="5">
        <f>VLOOKUP($A367,'SegEnds_NonXtal_Prot#'!$A:$AL,8,FALSE)</f>
        <v>617</v>
      </c>
      <c r="AF367" s="5">
        <f>VLOOKUP($A367,'SegEnds_NonXtal_Prot#'!$A:$AL,11,FALSE)</f>
        <v>640</v>
      </c>
      <c r="AG367" s="5" t="str">
        <f>VLOOKUP($A367,'SegEnds_NonXtal_Prot#'!$A:$AL,14,FALSE)</f>
        <v>-</v>
      </c>
      <c r="AH367" s="5">
        <f>VLOOKUP($A367,'SegEnds_NonXtal_Prot#'!$A:$AL,17,FALSE)</f>
        <v>677</v>
      </c>
      <c r="AI367" s="5" t="str">
        <f>VLOOKUP($A367,'SegEnds_NonXtal_Prot#'!$A:$AL,20,FALSE)</f>
        <v>-</v>
      </c>
      <c r="AJ367" s="5">
        <f>VLOOKUP($A367,'SegEnds_NonXtal_Prot#'!$A:$AL,23,FALSE)</f>
        <v>717</v>
      </c>
      <c r="AK367" s="5">
        <f>VLOOKUP($A367,'SegEnds_NonXtal_Prot#'!$A:$AL,26,FALSE)</f>
        <v>744</v>
      </c>
      <c r="AL367" s="5">
        <f>VLOOKUP($A367,'SegEnds_NonXtal_Prot#'!$A:$AL,29,FALSE)</f>
        <v>770</v>
      </c>
      <c r="AM367" s="5">
        <f>VLOOKUP($A367,'SegEnds_NonXtal_Prot#'!$A:$AL,32,FALSE)</f>
        <v>803</v>
      </c>
      <c r="AN367" s="5">
        <f>VLOOKUP($A367,'SegEnds_NonXtal_Prot#'!$A:$AL,35,FALSE)</f>
        <v>844</v>
      </c>
      <c r="AO367" s="5">
        <f>VLOOKUP($A367,'SegEnds_NonXtal_Prot#'!$A:$AL,38,FALSE)</f>
        <v>856</v>
      </c>
      <c r="AP367" s="5">
        <f t="shared" si="138"/>
        <v>26</v>
      </c>
      <c r="AQ367" s="4">
        <f t="shared" si="139"/>
        <v>6</v>
      </c>
      <c r="AR367" s="4">
        <f t="shared" si="140"/>
        <v>22</v>
      </c>
      <c r="AS367" s="4" t="str">
        <f t="shared" si="141"/>
        <v>-</v>
      </c>
      <c r="AT367" s="4">
        <f t="shared" si="142"/>
        <v>32</v>
      </c>
      <c r="AU367" s="4" t="str">
        <f t="shared" si="143"/>
        <v>-</v>
      </c>
      <c r="AV367" s="4">
        <f t="shared" si="144"/>
        <v>26</v>
      </c>
      <c r="AW367" s="4">
        <f t="shared" si="145"/>
        <v>2</v>
      </c>
      <c r="AX367" s="4">
        <f t="shared" si="146"/>
        <v>25</v>
      </c>
      <c r="AY367" s="4">
        <f t="shared" si="147"/>
        <v>24</v>
      </c>
      <c r="AZ367" s="4">
        <f t="shared" si="148"/>
        <v>31</v>
      </c>
      <c r="BA367" s="4">
        <f t="shared" si="149"/>
        <v>11</v>
      </c>
    </row>
    <row r="368" spans="1:53" x14ac:dyDescent="0.2">
      <c r="A368" s="1" t="str">
        <f>'SegEnds_NonXtal_Prot#'!A367</f>
        <v>ts1r1_human</v>
      </c>
      <c r="B368" s="1" t="str">
        <f t="shared" si="125"/>
        <v>HTSWVLLAANTLLLLLLLGTAGLFAWHGGRLCFLMLGSLAAGSGSLYGFFRPACLLRQALFALGFTIFLSCLTVRSFQLIIIFQNHGAGLFVMISSAAQLLICLTWLVVWNSLGFILAFLYNGLLSISAFACSYLGEAKCVTFSLLFNFVSWIAFFTTASVYLPAANMMAGLSSLSSGFGGYFLPKCYVILCRPDLNSTEHFQAS</v>
      </c>
      <c r="C368" s="29" t="str">
        <f>IF(ISERROR(MATCH(A368,'SegEnds_Xtal_Prot#'!B:B, 0)), "NoXtal", "Xtal")</f>
        <v>NoXtal</v>
      </c>
      <c r="D368" s="4" t="str">
        <f>VLOOKUP(A368,Classification!A:D,2,FALSE)</f>
        <v>C</v>
      </c>
      <c r="E368" s="5" t="str">
        <f>VLOOKUP(A368,Seqs!A:B,2,FALSE)</f>
        <v>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</v>
      </c>
      <c r="F368" s="5" t="str">
        <f t="shared" si="126"/>
        <v>HTSWVLLAANTLLLLLLLGTAGLFAWH</v>
      </c>
      <c r="G368" s="4" t="str">
        <f t="shared" si="127"/>
        <v>TPVVRSA</v>
      </c>
      <c r="H368" s="4" t="str">
        <f t="shared" si="128"/>
        <v>GGRLCFLMLGSLAAGSGSLYGFF</v>
      </c>
      <c r="I368" s="4" t="str">
        <f t="shared" si="129"/>
        <v/>
      </c>
      <c r="J368" s="4" t="str">
        <f t="shared" si="130"/>
        <v>RPACLLRQALFALGFTIFLSCLTVRSFQLIIIF</v>
      </c>
      <c r="K368" s="4" t="str">
        <f t="shared" si="131"/>
        <v/>
      </c>
      <c r="L368" s="4" t="str">
        <f t="shared" si="132"/>
        <v>QNHGAGLFVMISSAAQLLICLTWLVVW</v>
      </c>
      <c r="M368" s="4" t="str">
        <f t="shared" si="133"/>
        <v>CTE</v>
      </c>
      <c r="N368" s="4" t="str">
        <f t="shared" si="134"/>
        <v>NSLGFILAFLYNGLLSISAFACSYLG</v>
      </c>
      <c r="O368" s="4" t="str">
        <f t="shared" si="135"/>
        <v>EAKCVTFSLLFNFVSWIAFFTTASV</v>
      </c>
      <c r="P368" s="4" t="str">
        <f t="shared" si="136"/>
        <v>YLPAANMMAGLSSLSSGFGGYFLPKCYVILCR</v>
      </c>
      <c r="Q368" s="4" t="str">
        <f t="shared" si="137"/>
        <v>PDLNSTEHFQAS</v>
      </c>
      <c r="R368" s="5">
        <f>VLOOKUP($A368,'SegEnds_NonXtal_Prot#'!$A:$AL,3,FALSE)</f>
        <v>565</v>
      </c>
      <c r="S368" s="5">
        <f>VLOOKUP($A368,'SegEnds_NonXtal_Prot#'!$A:$AL,6,FALSE)</f>
        <v>594</v>
      </c>
      <c r="T368" s="5">
        <f>VLOOKUP($A368,'SegEnds_NonXtal_Prot#'!$A:$AL,9,FALSE)</f>
        <v>601</v>
      </c>
      <c r="U368" s="5" t="str">
        <f>VLOOKUP($A368,'SegEnds_NonXtal_Prot#'!$A:$AL,12,FALSE)</f>
        <v>-</v>
      </c>
      <c r="V368" s="5">
        <f>VLOOKUP($A368,'SegEnds_NonXtal_Prot#'!$A:$AL,15,FALSE)</f>
        <v>628</v>
      </c>
      <c r="W368" s="5" t="str">
        <f>VLOOKUP($A368,'SegEnds_NonXtal_Prot#'!$A:$AL,18,FALSE)</f>
        <v>-</v>
      </c>
      <c r="X368" s="5">
        <f>VLOOKUP($A368,'SegEnds_NonXtal_Prot#'!$A:$AL,21,FALSE)</f>
        <v>675</v>
      </c>
      <c r="Y368" s="5">
        <f>VLOOKUP($A368,'SegEnds_NonXtal_Prot#'!$A:$AL,24,FALSE)</f>
        <v>720</v>
      </c>
      <c r="Z368" s="5">
        <f>VLOOKUP($A368,'SegEnds_NonXtal_Prot#'!$A:$AL,27,FALSE)</f>
        <v>724</v>
      </c>
      <c r="AA368" s="5">
        <f>VLOOKUP($A368,'SegEnds_NonXtal_Prot#'!$A:$AL,30,FALSE)</f>
        <v>758</v>
      </c>
      <c r="AB368" s="5">
        <f>VLOOKUP($A368,'SegEnds_NonXtal_Prot#'!$A:$AL,33,FALSE)</f>
        <v>787</v>
      </c>
      <c r="AC368" s="5">
        <f>VLOOKUP($A368,'SegEnds_NonXtal_Prot#'!$A:$AL,36,FALSE)</f>
        <v>819</v>
      </c>
      <c r="AD368" s="5">
        <f>VLOOKUP($A368,'SegEnds_NonXtal_Prot#'!$A:$AL,5,FALSE)</f>
        <v>591</v>
      </c>
      <c r="AE368" s="5">
        <f>VLOOKUP($A368,'SegEnds_NonXtal_Prot#'!$A:$AL,8,FALSE)</f>
        <v>600</v>
      </c>
      <c r="AF368" s="5">
        <f>VLOOKUP($A368,'SegEnds_NonXtal_Prot#'!$A:$AL,11,FALSE)</f>
        <v>623</v>
      </c>
      <c r="AG368" s="5" t="str">
        <f>VLOOKUP($A368,'SegEnds_NonXtal_Prot#'!$A:$AL,14,FALSE)</f>
        <v>-</v>
      </c>
      <c r="AH368" s="5">
        <f>VLOOKUP($A368,'SegEnds_NonXtal_Prot#'!$A:$AL,17,FALSE)</f>
        <v>660</v>
      </c>
      <c r="AI368" s="5" t="str">
        <f>VLOOKUP($A368,'SegEnds_NonXtal_Prot#'!$A:$AL,20,FALSE)</f>
        <v>-</v>
      </c>
      <c r="AJ368" s="5">
        <f>VLOOKUP($A368,'SegEnds_NonXtal_Prot#'!$A:$AL,23,FALSE)</f>
        <v>701</v>
      </c>
      <c r="AK368" s="5">
        <f>VLOOKUP($A368,'SegEnds_NonXtal_Prot#'!$A:$AL,26,FALSE)</f>
        <v>722</v>
      </c>
      <c r="AL368" s="5">
        <f>VLOOKUP($A368,'SegEnds_NonXtal_Prot#'!$A:$AL,29,FALSE)</f>
        <v>749</v>
      </c>
      <c r="AM368" s="5">
        <f>VLOOKUP($A368,'SegEnds_NonXtal_Prot#'!$A:$AL,32,FALSE)</f>
        <v>782</v>
      </c>
      <c r="AN368" s="5">
        <f>VLOOKUP($A368,'SegEnds_NonXtal_Prot#'!$A:$AL,35,FALSE)</f>
        <v>818</v>
      </c>
      <c r="AO368" s="5">
        <f>VLOOKUP($A368,'SegEnds_NonXtal_Prot#'!$A:$AL,38,FALSE)</f>
        <v>830</v>
      </c>
      <c r="AP368" s="5">
        <f t="shared" si="138"/>
        <v>26</v>
      </c>
      <c r="AQ368" s="4">
        <f t="shared" si="139"/>
        <v>6</v>
      </c>
      <c r="AR368" s="4">
        <f t="shared" si="140"/>
        <v>22</v>
      </c>
      <c r="AS368" s="4" t="str">
        <f t="shared" si="141"/>
        <v>-</v>
      </c>
      <c r="AT368" s="4">
        <f t="shared" si="142"/>
        <v>32</v>
      </c>
      <c r="AU368" s="4" t="str">
        <f t="shared" si="143"/>
        <v>-</v>
      </c>
      <c r="AV368" s="4">
        <f t="shared" si="144"/>
        <v>26</v>
      </c>
      <c r="AW368" s="4">
        <f t="shared" si="145"/>
        <v>2</v>
      </c>
      <c r="AX368" s="4">
        <f t="shared" si="146"/>
        <v>25</v>
      </c>
      <c r="AY368" s="4">
        <f t="shared" si="147"/>
        <v>24</v>
      </c>
      <c r="AZ368" s="4">
        <f t="shared" si="148"/>
        <v>31</v>
      </c>
      <c r="BA368" s="4">
        <f t="shared" si="149"/>
        <v>11</v>
      </c>
    </row>
    <row r="369" spans="1:53" x14ac:dyDescent="0.2">
      <c r="A369" s="1" t="str">
        <f>'SegEnds_NonXtal_Prot#'!A368</f>
        <v>ts1r2_human</v>
      </c>
      <c r="B369" s="1" t="str">
        <f t="shared" si="125"/>
        <v>APTIAVALLAALGFLSTLAILVIFWRHGGPMCFLMLTLLLVAYMVVPVYVVSTCLCRQALFPLCFTICISCIAVRSFQIVCAFRYQGPYVSMAFITVLKMVIVVIGMLATYRNSLLFNTSLDLLLSVVGFSFAYMGEAKFITLSMTFYFTSSVSLCTFMSALVTIVDLLVTVLNLLAISLGYFGPKCYMILFYPERNTPAYFNSM</v>
      </c>
      <c r="C369" s="29" t="str">
        <f>IF(ISERROR(MATCH(A369,'SegEnds_Xtal_Prot#'!B:B, 0)), "NoXtal", "Xtal")</f>
        <v>NoXtal</v>
      </c>
      <c r="D369" s="4" t="str">
        <f>VLOOKUP(A369,Classification!A:D,2,FALSE)</f>
        <v>C</v>
      </c>
      <c r="E369" s="5" t="str">
        <f>VLOOKUP(A369,Seqs!A:B,2,FALSE)</f>
        <v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v>
      </c>
      <c r="F369" s="5" t="str">
        <f t="shared" si="126"/>
        <v>APTIAVALLAALGFLSTLAILVIFWRH</v>
      </c>
      <c r="G369" s="4" t="str">
        <f t="shared" si="127"/>
        <v>TPIVRSA</v>
      </c>
      <c r="H369" s="4" t="str">
        <f t="shared" si="128"/>
        <v>GGPMCFLMLTLLLVAYMVVPVYV</v>
      </c>
      <c r="I369" s="4" t="str">
        <f t="shared" si="129"/>
        <v/>
      </c>
      <c r="J369" s="4" t="str">
        <f t="shared" si="130"/>
        <v>VSTCLCRQALFPLCFTICISCIAVRSFQIVCAF</v>
      </c>
      <c r="K369" s="4" t="str">
        <f t="shared" si="131"/>
        <v/>
      </c>
      <c r="L369" s="4" t="str">
        <f t="shared" si="132"/>
        <v>RYQGPYVSMAFITVLKMVIVVIGMLAT</v>
      </c>
      <c r="M369" s="4" t="str">
        <f t="shared" si="133"/>
        <v>CNP</v>
      </c>
      <c r="N369" s="4" t="str">
        <f t="shared" si="134"/>
        <v>YRNSLLFNTSLDLLLSVVGFSFAYMG</v>
      </c>
      <c r="O369" s="4" t="str">
        <f t="shared" si="135"/>
        <v>EAKFITLSMTFYFTSSVSLCTFMSA</v>
      </c>
      <c r="P369" s="4" t="str">
        <f t="shared" si="136"/>
        <v>LVTIVDLLVTVLNLLAISLGYFGPKCYMILFY</v>
      </c>
      <c r="Q369" s="4" t="str">
        <f t="shared" si="137"/>
        <v>PERNTPAYFNSM</v>
      </c>
      <c r="R369" s="5">
        <f>VLOOKUP($A369,'SegEnds_NonXtal_Prot#'!$A:$AL,3,FALSE)</f>
        <v>564</v>
      </c>
      <c r="S369" s="5">
        <f>VLOOKUP($A369,'SegEnds_NonXtal_Prot#'!$A:$AL,6,FALSE)</f>
        <v>593</v>
      </c>
      <c r="T369" s="5">
        <f>VLOOKUP($A369,'SegEnds_NonXtal_Prot#'!$A:$AL,9,FALSE)</f>
        <v>600</v>
      </c>
      <c r="U369" s="5" t="str">
        <f>VLOOKUP($A369,'SegEnds_NonXtal_Prot#'!$A:$AL,12,FALSE)</f>
        <v>-</v>
      </c>
      <c r="V369" s="5">
        <f>VLOOKUP($A369,'SegEnds_NonXtal_Prot#'!$A:$AL,15,FALSE)</f>
        <v>627</v>
      </c>
      <c r="W369" s="5" t="str">
        <f>VLOOKUP($A369,'SegEnds_NonXtal_Prot#'!$A:$AL,18,FALSE)</f>
        <v>-</v>
      </c>
      <c r="X369" s="5">
        <f>VLOOKUP($A369,'SegEnds_NonXtal_Prot#'!$A:$AL,21,FALSE)</f>
        <v>674</v>
      </c>
      <c r="Y369" s="5">
        <f>VLOOKUP($A369,'SegEnds_NonXtal_Prot#'!$A:$AL,24,FALSE)</f>
        <v>720</v>
      </c>
      <c r="Z369" s="5">
        <f>VLOOKUP($A369,'SegEnds_NonXtal_Prot#'!$A:$AL,27,FALSE)</f>
        <v>724</v>
      </c>
      <c r="AA369" s="5">
        <f>VLOOKUP($A369,'SegEnds_NonXtal_Prot#'!$A:$AL,30,FALSE)</f>
        <v>758</v>
      </c>
      <c r="AB369" s="5">
        <f>VLOOKUP($A369,'SegEnds_NonXtal_Prot#'!$A:$AL,33,FALSE)</f>
        <v>787</v>
      </c>
      <c r="AC369" s="5">
        <f>VLOOKUP($A369,'SegEnds_NonXtal_Prot#'!$A:$AL,36,FALSE)</f>
        <v>819</v>
      </c>
      <c r="AD369" s="5">
        <f>VLOOKUP($A369,'SegEnds_NonXtal_Prot#'!$A:$AL,5,FALSE)</f>
        <v>590</v>
      </c>
      <c r="AE369" s="5">
        <f>VLOOKUP($A369,'SegEnds_NonXtal_Prot#'!$A:$AL,8,FALSE)</f>
        <v>599</v>
      </c>
      <c r="AF369" s="5">
        <f>VLOOKUP($A369,'SegEnds_NonXtal_Prot#'!$A:$AL,11,FALSE)</f>
        <v>622</v>
      </c>
      <c r="AG369" s="5" t="str">
        <f>VLOOKUP($A369,'SegEnds_NonXtal_Prot#'!$A:$AL,14,FALSE)</f>
        <v>-</v>
      </c>
      <c r="AH369" s="5">
        <f>VLOOKUP($A369,'SegEnds_NonXtal_Prot#'!$A:$AL,17,FALSE)</f>
        <v>659</v>
      </c>
      <c r="AI369" s="5" t="str">
        <f>VLOOKUP($A369,'SegEnds_NonXtal_Prot#'!$A:$AL,20,FALSE)</f>
        <v>-</v>
      </c>
      <c r="AJ369" s="5">
        <f>VLOOKUP($A369,'SegEnds_NonXtal_Prot#'!$A:$AL,23,FALSE)</f>
        <v>700</v>
      </c>
      <c r="AK369" s="5">
        <f>VLOOKUP($A369,'SegEnds_NonXtal_Prot#'!$A:$AL,26,FALSE)</f>
        <v>722</v>
      </c>
      <c r="AL369" s="5">
        <f>VLOOKUP($A369,'SegEnds_NonXtal_Prot#'!$A:$AL,29,FALSE)</f>
        <v>749</v>
      </c>
      <c r="AM369" s="5">
        <f>VLOOKUP($A369,'SegEnds_NonXtal_Prot#'!$A:$AL,32,FALSE)</f>
        <v>782</v>
      </c>
      <c r="AN369" s="5">
        <f>VLOOKUP($A369,'SegEnds_NonXtal_Prot#'!$A:$AL,35,FALSE)</f>
        <v>818</v>
      </c>
      <c r="AO369" s="5">
        <f>VLOOKUP($A369,'SegEnds_NonXtal_Prot#'!$A:$AL,38,FALSE)</f>
        <v>830</v>
      </c>
      <c r="AP369" s="5">
        <f t="shared" si="138"/>
        <v>26</v>
      </c>
      <c r="AQ369" s="4">
        <f t="shared" si="139"/>
        <v>6</v>
      </c>
      <c r="AR369" s="4">
        <f t="shared" si="140"/>
        <v>22</v>
      </c>
      <c r="AS369" s="4" t="str">
        <f t="shared" si="141"/>
        <v>-</v>
      </c>
      <c r="AT369" s="4">
        <f t="shared" si="142"/>
        <v>32</v>
      </c>
      <c r="AU369" s="4" t="str">
        <f t="shared" si="143"/>
        <v>-</v>
      </c>
      <c r="AV369" s="4">
        <f t="shared" si="144"/>
        <v>26</v>
      </c>
      <c r="AW369" s="4">
        <f t="shared" si="145"/>
        <v>2</v>
      </c>
      <c r="AX369" s="4">
        <f t="shared" si="146"/>
        <v>25</v>
      </c>
      <c r="AY369" s="4">
        <f t="shared" si="147"/>
        <v>24</v>
      </c>
      <c r="AZ369" s="4">
        <f t="shared" si="148"/>
        <v>31</v>
      </c>
      <c r="BA369" s="4">
        <f t="shared" si="149"/>
        <v>11</v>
      </c>
    </row>
    <row r="370" spans="1:53" x14ac:dyDescent="0.2">
      <c r="A370" s="1" t="str">
        <f>'SegEnds_NonXtal_Prot#'!A369</f>
        <v>ts1r3_human</v>
      </c>
      <c r="B370" s="1" t="str">
        <f t="shared" si="125"/>
        <v>PAVLLLLLLLSLALGLVLAALGLFVHHGGPLACFGLVCLGLVCLSVLLFPPARCLAQQPLSHLPLTGCLSTLFLQAAEIFVESRGPWAWLVVLLAMLVEVALCTWYLVAFSWVSFGLAHATNATLAFLCFLGTFLVRARGLTFAMLAYFITWVSFVPLLANLRPAVQMGALLLCVLGILAAFHLPRCYLLMRQPGLNTPEFFLGG</v>
      </c>
      <c r="C370" s="29" t="str">
        <f>IF(ISERROR(MATCH(A370,'SegEnds_Xtal_Prot#'!B:B, 0)), "NoXtal", "Xtal")</f>
        <v>NoXtal</v>
      </c>
      <c r="D370" s="4" t="str">
        <f>VLOOKUP(A370,Classification!A:D,2,FALSE)</f>
        <v>C</v>
      </c>
      <c r="E370" s="5" t="str">
        <f>VLOOKUP(A370,Seqs!A:B,2,FALSE)</f>
        <v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</v>
      </c>
      <c r="F370" s="5" t="str">
        <f t="shared" si="126"/>
        <v>PAVLLLLLLLSLALGLVLAALGLFVHH</v>
      </c>
      <c r="G370" s="4" t="str">
        <f t="shared" si="127"/>
        <v>SPLVQAS</v>
      </c>
      <c r="H370" s="4" t="str">
        <f t="shared" si="128"/>
        <v>GGPLACFGLVCLGLVCLSVLLFP</v>
      </c>
      <c r="I370" s="4" t="str">
        <f t="shared" si="129"/>
        <v/>
      </c>
      <c r="J370" s="4" t="str">
        <f t="shared" si="130"/>
        <v>PARCLAQQPLSHLPLTGCLSTLFLQAAEIFVES</v>
      </c>
      <c r="K370" s="4" t="str">
        <f t="shared" si="131"/>
        <v/>
      </c>
      <c r="L370" s="4" t="str">
        <f t="shared" si="132"/>
        <v>RGPWAWLVVLLAMLVEVALCTWYLVAF</v>
      </c>
      <c r="M370" s="4" t="str">
        <f t="shared" si="133"/>
        <v>CRT</v>
      </c>
      <c r="N370" s="4" t="str">
        <f t="shared" si="134"/>
        <v>SWVSFGLAHATNATLAFLCFLGTFLV</v>
      </c>
      <c r="O370" s="4" t="str">
        <f t="shared" si="135"/>
        <v>RARGLTFAMLAYFITWVSFVPLLAN</v>
      </c>
      <c r="P370" s="4" t="str">
        <f t="shared" si="136"/>
        <v>LRPAVQMGALLLCVLGILAAFHLPRCYLLMRQ</v>
      </c>
      <c r="Q370" s="4" t="str">
        <f t="shared" si="137"/>
        <v>PGLNTPEFFLGG</v>
      </c>
      <c r="R370" s="5">
        <f>VLOOKUP($A370,'SegEnds_NonXtal_Prot#'!$A:$AL,3,FALSE)</f>
        <v>567</v>
      </c>
      <c r="S370" s="5">
        <f>VLOOKUP($A370,'SegEnds_NonXtal_Prot#'!$A:$AL,6,FALSE)</f>
        <v>596</v>
      </c>
      <c r="T370" s="5">
        <f>VLOOKUP($A370,'SegEnds_NonXtal_Prot#'!$A:$AL,9,FALSE)</f>
        <v>603</v>
      </c>
      <c r="U370" s="5" t="str">
        <f>VLOOKUP($A370,'SegEnds_NonXtal_Prot#'!$A:$AL,12,FALSE)</f>
        <v>-</v>
      </c>
      <c r="V370" s="5">
        <f>VLOOKUP($A370,'SegEnds_NonXtal_Prot#'!$A:$AL,15,FALSE)</f>
        <v>630</v>
      </c>
      <c r="W370" s="5" t="str">
        <f>VLOOKUP($A370,'SegEnds_NonXtal_Prot#'!$A:$AL,18,FALSE)</f>
        <v>-</v>
      </c>
      <c r="X370" s="5">
        <f>VLOOKUP($A370,'SegEnds_NonXtal_Prot#'!$A:$AL,21,FALSE)</f>
        <v>677</v>
      </c>
      <c r="Y370" s="5">
        <f>VLOOKUP($A370,'SegEnds_NonXtal_Prot#'!$A:$AL,24,FALSE)</f>
        <v>722</v>
      </c>
      <c r="Z370" s="5">
        <f>VLOOKUP($A370,'SegEnds_NonXtal_Prot#'!$A:$AL,27,FALSE)</f>
        <v>726</v>
      </c>
      <c r="AA370" s="5">
        <f>VLOOKUP($A370,'SegEnds_NonXtal_Prot#'!$A:$AL,30,FALSE)</f>
        <v>760</v>
      </c>
      <c r="AB370" s="5">
        <f>VLOOKUP($A370,'SegEnds_NonXtal_Prot#'!$A:$AL,33,FALSE)</f>
        <v>789</v>
      </c>
      <c r="AC370" s="5">
        <f>VLOOKUP($A370,'SegEnds_NonXtal_Prot#'!$A:$AL,36,FALSE)</f>
        <v>821</v>
      </c>
      <c r="AD370" s="5">
        <f>VLOOKUP($A370,'SegEnds_NonXtal_Prot#'!$A:$AL,5,FALSE)</f>
        <v>593</v>
      </c>
      <c r="AE370" s="5">
        <f>VLOOKUP($A370,'SegEnds_NonXtal_Prot#'!$A:$AL,8,FALSE)</f>
        <v>602</v>
      </c>
      <c r="AF370" s="5">
        <f>VLOOKUP($A370,'SegEnds_NonXtal_Prot#'!$A:$AL,11,FALSE)</f>
        <v>625</v>
      </c>
      <c r="AG370" s="5" t="str">
        <f>VLOOKUP($A370,'SegEnds_NonXtal_Prot#'!$A:$AL,14,FALSE)</f>
        <v>-</v>
      </c>
      <c r="AH370" s="5">
        <f>VLOOKUP($A370,'SegEnds_NonXtal_Prot#'!$A:$AL,17,FALSE)</f>
        <v>662</v>
      </c>
      <c r="AI370" s="5" t="str">
        <f>VLOOKUP($A370,'SegEnds_NonXtal_Prot#'!$A:$AL,20,FALSE)</f>
        <v>-</v>
      </c>
      <c r="AJ370" s="5">
        <f>VLOOKUP($A370,'SegEnds_NonXtal_Prot#'!$A:$AL,23,FALSE)</f>
        <v>703</v>
      </c>
      <c r="AK370" s="5">
        <f>VLOOKUP($A370,'SegEnds_NonXtal_Prot#'!$A:$AL,26,FALSE)</f>
        <v>724</v>
      </c>
      <c r="AL370" s="5">
        <f>VLOOKUP($A370,'SegEnds_NonXtal_Prot#'!$A:$AL,29,FALSE)</f>
        <v>751</v>
      </c>
      <c r="AM370" s="5">
        <f>VLOOKUP($A370,'SegEnds_NonXtal_Prot#'!$A:$AL,32,FALSE)</f>
        <v>784</v>
      </c>
      <c r="AN370" s="5">
        <f>VLOOKUP($A370,'SegEnds_NonXtal_Prot#'!$A:$AL,35,FALSE)</f>
        <v>820</v>
      </c>
      <c r="AO370" s="5">
        <f>VLOOKUP($A370,'SegEnds_NonXtal_Prot#'!$A:$AL,38,FALSE)</f>
        <v>832</v>
      </c>
      <c r="AP370" s="5">
        <f t="shared" si="138"/>
        <v>26</v>
      </c>
      <c r="AQ370" s="4">
        <f t="shared" si="139"/>
        <v>6</v>
      </c>
      <c r="AR370" s="4">
        <f t="shared" si="140"/>
        <v>22</v>
      </c>
      <c r="AS370" s="4" t="str">
        <f t="shared" si="141"/>
        <v>-</v>
      </c>
      <c r="AT370" s="4">
        <f t="shared" si="142"/>
        <v>32</v>
      </c>
      <c r="AU370" s="4" t="str">
        <f t="shared" si="143"/>
        <v>-</v>
      </c>
      <c r="AV370" s="4">
        <f t="shared" si="144"/>
        <v>26</v>
      </c>
      <c r="AW370" s="4">
        <f t="shared" si="145"/>
        <v>2</v>
      </c>
      <c r="AX370" s="4">
        <f t="shared" si="146"/>
        <v>25</v>
      </c>
      <c r="AY370" s="4">
        <f t="shared" si="147"/>
        <v>24</v>
      </c>
      <c r="AZ370" s="4">
        <f t="shared" si="148"/>
        <v>31</v>
      </c>
      <c r="BA370" s="4">
        <f t="shared" si="149"/>
        <v>11</v>
      </c>
    </row>
    <row r="371" spans="1:53" x14ac:dyDescent="0.2">
      <c r="A371" s="1" t="str">
        <f>'SegEnds_NonXtal_Prot#'!A371</f>
        <v>fzd10_human</v>
      </c>
      <c r="B371" s="1" t="str">
        <f t="shared" si="125"/>
        <v>SREDKRFAVVWLAIWAVLCFFSSAFTVLTFLIDYPERPIIFLSMCYCVYSVGYLIRLTGCTLVFLVLYYFGMASSLWWVVLTLTWFLAAGKKWGIEANSSYFHLAAWAIPAVKTILILVMDVNALTGFVLIPLACYLVIGTSFILSGFVALFHIRRVMTDKLEKLMVRIGLFSVLYTVPATCVIACYFYERLNMDYWKILAAQHKCKMNNQTKAVEIFMVKIFMLLVVGITSGMWIWTSKTLQSWQQVCSRRL</v>
      </c>
      <c r="C371" s="29" t="str">
        <f>IF(ISERROR(MATCH(A371,'SegEnds_Xtal_Prot#'!B:B, 0)), "NoXtal", "Xtal")</f>
        <v>NoXtal</v>
      </c>
      <c r="D371" s="4" t="str">
        <f>VLOOKUP(A371,Classification!A:D,2,FALSE)</f>
        <v>F</v>
      </c>
      <c r="E371" s="5" t="str">
        <f>VLOOKUP(A371,Seqs!A:B,2,FALSE)</f>
        <v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v>
      </c>
      <c r="F371" s="5" t="str">
        <f t="shared" si="126"/>
        <v>SREDKRFAVVWLAIWAVLCFFSSAFTVLTFLID</v>
      </c>
      <c r="G371" s="4" t="str">
        <f t="shared" si="127"/>
        <v>PARFR</v>
      </c>
      <c r="H371" s="4" t="str">
        <f t="shared" si="128"/>
        <v>YPERPIIFLSMCYCVYSVGYLIRL</v>
      </c>
      <c r="I371" s="4" t="str">
        <f t="shared" si="129"/>
        <v/>
      </c>
      <c r="J371" s="4" t="str">
        <f t="shared" si="130"/>
        <v>TGCTLVFLVLYYFGMASSLWWVVLTLTWFLAAGKKWG</v>
      </c>
      <c r="K371" s="4" t="str">
        <f t="shared" si="131"/>
        <v/>
      </c>
      <c r="L371" s="4" t="str">
        <f t="shared" si="132"/>
        <v>IEANSSYFHLAAWAIPAVKTILILVM</v>
      </c>
      <c r="M371" s="4" t="str">
        <f t="shared" si="133"/>
        <v>CYV</v>
      </c>
      <c r="N371" s="4" t="str">
        <f t="shared" si="134"/>
        <v>DVNALTGFVLIPLACYLVIGTSFILSGFVALFHIRRVM</v>
      </c>
      <c r="O371" s="4" t="str">
        <f t="shared" si="135"/>
        <v>TDKLEKLMVRIGLFSVLYTVPATCVIACYFYERLNMDYWKILAAQHKCKMNNQTK</v>
      </c>
      <c r="P371" s="4" t="str">
        <f t="shared" si="136"/>
        <v>AVEIFMVKIFMLLVVGITSGMWIW</v>
      </c>
      <c r="Q371" s="4" t="str">
        <f t="shared" si="137"/>
        <v>TSKTLQSWQQVCSRRL</v>
      </c>
      <c r="R371" s="5">
        <f>VLOOKUP($A371,'SegEnds_NonXtal_Prot#'!$A:$AL,3,FALSE)</f>
        <v>220</v>
      </c>
      <c r="S371" s="5">
        <f>VLOOKUP($A371,'SegEnds_NonXtal_Prot#'!$A:$AL,6,FALSE)</f>
        <v>253</v>
      </c>
      <c r="T371" s="5">
        <f>VLOOKUP($A371,'SegEnds_NonXtal_Prot#'!$A:$AL,9,FALSE)</f>
        <v>258</v>
      </c>
      <c r="U371" s="5" t="str">
        <f>VLOOKUP($A371,'SegEnds_NonXtal_Prot#'!$A:$AL,12,FALSE)</f>
        <v>-</v>
      </c>
      <c r="V371" s="5">
        <f>VLOOKUP($A371,'SegEnds_NonXtal_Prot#'!$A:$AL,15,FALSE)</f>
        <v>307</v>
      </c>
      <c r="W371" s="5" t="str">
        <f>VLOOKUP($A371,'SegEnds_NonXtal_Prot#'!$A:$AL,18,FALSE)</f>
        <v>-</v>
      </c>
      <c r="X371" s="5">
        <f>VLOOKUP($A371,'SegEnds_NonXtal_Prot#'!$A:$AL,21,FALSE)</f>
        <v>347</v>
      </c>
      <c r="Y371" s="5">
        <f>VLOOKUP($A371,'SegEnds_NonXtal_Prot#'!$A:$AL,24,FALSE)</f>
        <v>384</v>
      </c>
      <c r="Z371" s="5">
        <f>VLOOKUP($A371,'SegEnds_NonXtal_Prot#'!$A:$AL,27,FALSE)</f>
        <v>390</v>
      </c>
      <c r="AA371" s="5">
        <f>VLOOKUP($A371,'SegEnds_NonXtal_Prot#'!$A:$AL,30,FALSE)</f>
        <v>434</v>
      </c>
      <c r="AB371" s="5">
        <f>VLOOKUP($A371,'SegEnds_NonXtal_Prot#'!$A:$AL,33,FALSE)</f>
        <v>500</v>
      </c>
      <c r="AC371" s="5">
        <f>VLOOKUP($A371,'SegEnds_NonXtal_Prot#'!$A:$AL,36,FALSE)</f>
        <v>524</v>
      </c>
      <c r="AD371" s="5">
        <f>VLOOKUP($A371,'SegEnds_NonXtal_Prot#'!$A:$AL,5,FALSE)</f>
        <v>252</v>
      </c>
      <c r="AE371" s="5">
        <f>VLOOKUP($A371,'SegEnds_NonXtal_Prot#'!$A:$AL,8,FALSE)</f>
        <v>257</v>
      </c>
      <c r="AF371" s="5">
        <f>VLOOKUP($A371,'SegEnds_NonXtal_Prot#'!$A:$AL,11,FALSE)</f>
        <v>281</v>
      </c>
      <c r="AG371" s="5" t="str">
        <f>VLOOKUP($A371,'SegEnds_NonXtal_Prot#'!$A:$AL,14,FALSE)</f>
        <v>-</v>
      </c>
      <c r="AH371" s="5">
        <f>VLOOKUP($A371,'SegEnds_NonXtal_Prot#'!$A:$AL,17,FALSE)</f>
        <v>343</v>
      </c>
      <c r="AI371" s="5" t="str">
        <f>VLOOKUP($A371,'SegEnds_NonXtal_Prot#'!$A:$AL,20,FALSE)</f>
        <v>-</v>
      </c>
      <c r="AJ371" s="5">
        <f>VLOOKUP($A371,'SegEnds_NonXtal_Prot#'!$A:$AL,23,FALSE)</f>
        <v>372</v>
      </c>
      <c r="AK371" s="5">
        <f>VLOOKUP($A371,'SegEnds_NonXtal_Prot#'!$A:$AL,26,FALSE)</f>
        <v>386</v>
      </c>
      <c r="AL371" s="5">
        <f>VLOOKUP($A371,'SegEnds_NonXtal_Prot#'!$A:$AL,29,FALSE)</f>
        <v>427</v>
      </c>
      <c r="AM371" s="5">
        <f>VLOOKUP($A371,'SegEnds_NonXtal_Prot#'!$A:$AL,32,FALSE)</f>
        <v>488</v>
      </c>
      <c r="AN371" s="5">
        <f>VLOOKUP($A371,'SegEnds_NonXtal_Prot#'!$A:$AL,35,FALSE)</f>
        <v>523</v>
      </c>
      <c r="AO371" s="5">
        <f>VLOOKUP($A371,'SegEnds_NonXtal_Prot#'!$A:$AL,38,FALSE)</f>
        <v>539</v>
      </c>
      <c r="AP371" s="5">
        <f t="shared" si="138"/>
        <v>32</v>
      </c>
      <c r="AQ371" s="4">
        <f t="shared" si="139"/>
        <v>4</v>
      </c>
      <c r="AR371" s="4">
        <f t="shared" si="140"/>
        <v>23</v>
      </c>
      <c r="AS371" s="4" t="str">
        <f t="shared" si="141"/>
        <v>-</v>
      </c>
      <c r="AT371" s="4">
        <f t="shared" si="142"/>
        <v>36</v>
      </c>
      <c r="AU371" s="4" t="str">
        <f t="shared" si="143"/>
        <v>-</v>
      </c>
      <c r="AV371" s="4">
        <f t="shared" si="144"/>
        <v>25</v>
      </c>
      <c r="AW371" s="4">
        <f t="shared" si="145"/>
        <v>2</v>
      </c>
      <c r="AX371" s="4">
        <f t="shared" si="146"/>
        <v>37</v>
      </c>
      <c r="AY371" s="4">
        <f t="shared" si="147"/>
        <v>54</v>
      </c>
      <c r="AZ371" s="4">
        <f t="shared" si="148"/>
        <v>23</v>
      </c>
      <c r="BA371" s="4">
        <f t="shared" si="149"/>
        <v>15</v>
      </c>
    </row>
    <row r="372" spans="1:53" x14ac:dyDescent="0.2">
      <c r="A372" s="1" t="str">
        <f>'SegEnds_NonXtal_Prot#'!A372</f>
        <v>fzd2_human</v>
      </c>
      <c r="B372" s="1" t="str">
        <f t="shared" si="125"/>
        <v>SQEETRFARLWILTWSVLCCASTFFTVTTYLVDYPERPIIFLSGCYTMVSVAYIAGFEGCTILFMMLYFFSMASSIWWVILSLTWFLAAGMKWGIEANSQYFHLAAWAVPAVKTITILAMSLDPLRGFVLAPLFVYLFIGTSFLLAGFVSLFRIRTIMTEKLERLMVRIGVFSVLYTVPATIVIACYFYEQAFREHWERSWVSQHCKSLAIPCDFTVYMIKYLMTLIVGITSGFWIWSGKTLHSWRKFYTRLT</v>
      </c>
      <c r="C372" s="29" t="str">
        <f>IF(ISERROR(MATCH(A372,'SegEnds_Xtal_Prot#'!B:B, 0)), "NoXtal", "Xtal")</f>
        <v>NoXtal</v>
      </c>
      <c r="D372" s="4" t="str">
        <f>VLOOKUP(A372,Classification!A:D,2,FALSE)</f>
        <v>F</v>
      </c>
      <c r="E372" s="5" t="str">
        <f>VLOOKUP(A372,Seqs!A:B,2,FALSE)</f>
        <v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v>
      </c>
      <c r="F372" s="5" t="str">
        <f t="shared" si="126"/>
        <v>SQEETRFARLWILTWSVLCCASTFFTVTTYLVD</v>
      </c>
      <c r="G372" s="4" t="str">
        <f t="shared" si="127"/>
        <v>MQRFR</v>
      </c>
      <c r="H372" s="4" t="str">
        <f t="shared" si="128"/>
        <v>YPERPIIFLSGCYTMVSVAYIAGF</v>
      </c>
      <c r="I372" s="4" t="str">
        <f t="shared" si="129"/>
        <v/>
      </c>
      <c r="J372" s="4" t="str">
        <f t="shared" si="130"/>
        <v>EGCTILFMMLYFFSMASSIWWVILSLTWFLAAGMKWG</v>
      </c>
      <c r="K372" s="4" t="str">
        <f t="shared" si="131"/>
        <v/>
      </c>
      <c r="L372" s="4" t="str">
        <f t="shared" si="132"/>
        <v>IEANSQYFHLAAWAVPAVKTITILAM</v>
      </c>
      <c r="M372" s="4" t="str">
        <f t="shared" si="133"/>
        <v>CFV</v>
      </c>
      <c r="N372" s="4" t="str">
        <f t="shared" si="134"/>
        <v>SLDPLRGFVLAPLFVYLFIGTSFLLAGFVSLFRIRTIM</v>
      </c>
      <c r="O372" s="4" t="str">
        <f t="shared" si="135"/>
        <v>TEKLERLMVRIGVFSVLYTVPATIVIACYFYEQAFREHWERSWVSQHCKSLAIPC</v>
      </c>
      <c r="P372" s="4" t="str">
        <f t="shared" si="136"/>
        <v>DFTVYMIKYLMTLIVGITSGFWIW</v>
      </c>
      <c r="Q372" s="4" t="str">
        <f t="shared" si="137"/>
        <v>SGKTLHSWRKFYTRLT</v>
      </c>
      <c r="R372" s="5">
        <f>VLOOKUP($A372,'SegEnds_NonXtal_Prot#'!$A:$AL,3,FALSE)</f>
        <v>237</v>
      </c>
      <c r="S372" s="5">
        <f>VLOOKUP($A372,'SegEnds_NonXtal_Prot#'!$A:$AL,6,FALSE)</f>
        <v>270</v>
      </c>
      <c r="T372" s="5">
        <f>VLOOKUP($A372,'SegEnds_NonXtal_Prot#'!$A:$AL,9,FALSE)</f>
        <v>275</v>
      </c>
      <c r="U372" s="5" t="str">
        <f>VLOOKUP($A372,'SegEnds_NonXtal_Prot#'!$A:$AL,12,FALSE)</f>
        <v>-</v>
      </c>
      <c r="V372" s="5">
        <f>VLOOKUP($A372,'SegEnds_NonXtal_Prot#'!$A:$AL,15,FALSE)</f>
        <v>325</v>
      </c>
      <c r="W372" s="5" t="str">
        <f>VLOOKUP($A372,'SegEnds_NonXtal_Prot#'!$A:$AL,18,FALSE)</f>
        <v>-</v>
      </c>
      <c r="X372" s="5">
        <f>VLOOKUP($A372,'SegEnds_NonXtal_Prot#'!$A:$AL,21,FALSE)</f>
        <v>365</v>
      </c>
      <c r="Y372" s="5">
        <f>VLOOKUP($A372,'SegEnds_NonXtal_Prot#'!$A:$AL,24,FALSE)</f>
        <v>402</v>
      </c>
      <c r="Z372" s="5">
        <f>VLOOKUP($A372,'SegEnds_NonXtal_Prot#'!$A:$AL,27,FALSE)</f>
        <v>408</v>
      </c>
      <c r="AA372" s="5">
        <f>VLOOKUP($A372,'SegEnds_NonXtal_Prot#'!$A:$AL,30,FALSE)</f>
        <v>452</v>
      </c>
      <c r="AB372" s="5">
        <f>VLOOKUP($A372,'SegEnds_NonXtal_Prot#'!$A:$AL,33,FALSE)</f>
        <v>517</v>
      </c>
      <c r="AC372" s="5">
        <f>VLOOKUP($A372,'SegEnds_NonXtal_Prot#'!$A:$AL,36,FALSE)</f>
        <v>541</v>
      </c>
      <c r="AD372" s="5">
        <f>VLOOKUP($A372,'SegEnds_NonXtal_Prot#'!$A:$AL,5,FALSE)</f>
        <v>269</v>
      </c>
      <c r="AE372" s="5">
        <f>VLOOKUP($A372,'SegEnds_NonXtal_Prot#'!$A:$AL,8,FALSE)</f>
        <v>274</v>
      </c>
      <c r="AF372" s="5">
        <f>VLOOKUP($A372,'SegEnds_NonXtal_Prot#'!$A:$AL,11,FALSE)</f>
        <v>298</v>
      </c>
      <c r="AG372" s="5" t="str">
        <f>VLOOKUP($A372,'SegEnds_NonXtal_Prot#'!$A:$AL,14,FALSE)</f>
        <v>-</v>
      </c>
      <c r="AH372" s="5">
        <f>VLOOKUP($A372,'SegEnds_NonXtal_Prot#'!$A:$AL,17,FALSE)</f>
        <v>361</v>
      </c>
      <c r="AI372" s="5" t="str">
        <f>VLOOKUP($A372,'SegEnds_NonXtal_Prot#'!$A:$AL,20,FALSE)</f>
        <v>-</v>
      </c>
      <c r="AJ372" s="5">
        <f>VLOOKUP($A372,'SegEnds_NonXtal_Prot#'!$A:$AL,23,FALSE)</f>
        <v>390</v>
      </c>
      <c r="AK372" s="5">
        <f>VLOOKUP($A372,'SegEnds_NonXtal_Prot#'!$A:$AL,26,FALSE)</f>
        <v>404</v>
      </c>
      <c r="AL372" s="5">
        <f>VLOOKUP($A372,'SegEnds_NonXtal_Prot#'!$A:$AL,29,FALSE)</f>
        <v>445</v>
      </c>
      <c r="AM372" s="5">
        <f>VLOOKUP($A372,'SegEnds_NonXtal_Prot#'!$A:$AL,32,FALSE)</f>
        <v>506</v>
      </c>
      <c r="AN372" s="5">
        <f>VLOOKUP($A372,'SegEnds_NonXtal_Prot#'!$A:$AL,35,FALSE)</f>
        <v>540</v>
      </c>
      <c r="AO372" s="5">
        <f>VLOOKUP($A372,'SegEnds_NonXtal_Prot#'!$A:$AL,38,FALSE)</f>
        <v>556</v>
      </c>
      <c r="AP372" s="5">
        <f t="shared" si="138"/>
        <v>32</v>
      </c>
      <c r="AQ372" s="4">
        <f t="shared" si="139"/>
        <v>4</v>
      </c>
      <c r="AR372" s="4">
        <f t="shared" si="140"/>
        <v>23</v>
      </c>
      <c r="AS372" s="4" t="str">
        <f t="shared" si="141"/>
        <v>-</v>
      </c>
      <c r="AT372" s="4">
        <f t="shared" si="142"/>
        <v>36</v>
      </c>
      <c r="AU372" s="4" t="str">
        <f t="shared" si="143"/>
        <v>-</v>
      </c>
      <c r="AV372" s="4">
        <f t="shared" si="144"/>
        <v>25</v>
      </c>
      <c r="AW372" s="4">
        <f t="shared" si="145"/>
        <v>2</v>
      </c>
      <c r="AX372" s="4">
        <f t="shared" si="146"/>
        <v>37</v>
      </c>
      <c r="AY372" s="4">
        <f t="shared" si="147"/>
        <v>54</v>
      </c>
      <c r="AZ372" s="4">
        <f t="shared" si="148"/>
        <v>23</v>
      </c>
      <c r="BA372" s="4">
        <f t="shared" si="149"/>
        <v>15</v>
      </c>
    </row>
    <row r="373" spans="1:53" x14ac:dyDescent="0.2">
      <c r="A373" s="1" t="str">
        <f>'SegEnds_NonXtal_Prot#'!A373</f>
        <v>fzd3_human</v>
      </c>
      <c r="B373" s="1" t="str">
        <f t="shared" si="125"/>
        <v>RREELSFARYFIGLISIICLSATLFTFLTFLIDYPERPIIFYAVCYMMVSLIFFIGFKACTMLFMILYFFTMAGSVWWVILTITWFLAAVPKWGIEKKALLFHASAWGIPGTLTIILLAMDVDALRYFVLAPLCLYVVVGVSLLLAGIISLNRVRIEIQDKLVKFMIRIGVFSILYLVPLLVVIGCYFYEQAYRGIWETTWIQERCREYHIPCDLILFLMKYLMALIVGIPSVFWVGSKKTCFEWASFFHGRR</v>
      </c>
      <c r="C373" s="29" t="str">
        <f>IF(ISERROR(MATCH(A373,'SegEnds_Xtal_Prot#'!B:B, 0)), "NoXtal", "Xtal")</f>
        <v>NoXtal</v>
      </c>
      <c r="D373" s="4" t="str">
        <f>VLOOKUP(A373,Classification!A:D,2,FALSE)</f>
        <v>F</v>
      </c>
      <c r="E373" s="5" t="str">
        <f>VLOOKUP(A373,Seqs!A:B,2,FALSE)</f>
        <v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v>
      </c>
      <c r="F373" s="5" t="str">
        <f t="shared" si="126"/>
        <v>RREELSFARYFIGLISIICLSATLFTFLTFLID</v>
      </c>
      <c r="G373" s="4" t="str">
        <f t="shared" si="127"/>
        <v>VTRFR</v>
      </c>
      <c r="H373" s="4" t="str">
        <f t="shared" si="128"/>
        <v>YPERPIIFYAVCYMMVSLIFFIGF</v>
      </c>
      <c r="I373" s="4" t="str">
        <f t="shared" si="129"/>
        <v/>
      </c>
      <c r="J373" s="4" t="str">
        <f t="shared" si="130"/>
        <v>KACTMLFMILYFFTMAGSVWWVILTITWFLAAVPKWG</v>
      </c>
      <c r="K373" s="4" t="str">
        <f t="shared" si="131"/>
        <v/>
      </c>
      <c r="L373" s="4" t="str">
        <f t="shared" si="132"/>
        <v>IEKKALLFHASAWGIPGTLTIILLAM</v>
      </c>
      <c r="M373" s="4" t="str">
        <f t="shared" si="133"/>
        <v>CFV</v>
      </c>
      <c r="N373" s="4" t="str">
        <f t="shared" si="134"/>
        <v>DVDALRYFVLAPLCLYVVVGVSLLLAGIISLNRVRIEI</v>
      </c>
      <c r="O373" s="4" t="str">
        <f t="shared" si="135"/>
        <v>QDKLVKFMIRIGVFSILYLVPLLVVIGCYFYEQAYRGIWETTWIQERCREYHIPC</v>
      </c>
      <c r="P373" s="4" t="str">
        <f t="shared" si="136"/>
        <v>DLILFLMKYLMALIVGIPSVFWVG</v>
      </c>
      <c r="Q373" s="4" t="str">
        <f t="shared" si="137"/>
        <v>SKKTCFEWASFFHGRR</v>
      </c>
      <c r="R373" s="5">
        <f>VLOOKUP($A373,'SegEnds_NonXtal_Prot#'!$A:$AL,3,FALSE)</f>
        <v>195</v>
      </c>
      <c r="S373" s="5">
        <f>VLOOKUP($A373,'SegEnds_NonXtal_Prot#'!$A:$AL,6,FALSE)</f>
        <v>228</v>
      </c>
      <c r="T373" s="5">
        <f>VLOOKUP($A373,'SegEnds_NonXtal_Prot#'!$A:$AL,9,FALSE)</f>
        <v>233</v>
      </c>
      <c r="U373" s="5" t="str">
        <f>VLOOKUP($A373,'SegEnds_NonXtal_Prot#'!$A:$AL,12,FALSE)</f>
        <v>-</v>
      </c>
      <c r="V373" s="5">
        <f>VLOOKUP($A373,'SegEnds_NonXtal_Prot#'!$A:$AL,15,FALSE)</f>
        <v>284</v>
      </c>
      <c r="W373" s="5" t="str">
        <f>VLOOKUP($A373,'SegEnds_NonXtal_Prot#'!$A:$AL,18,FALSE)</f>
        <v>-</v>
      </c>
      <c r="X373" s="5">
        <f>VLOOKUP($A373,'SegEnds_NonXtal_Prot#'!$A:$AL,21,FALSE)</f>
        <v>324</v>
      </c>
      <c r="Y373" s="5">
        <f>VLOOKUP($A373,'SegEnds_NonXtal_Prot#'!$A:$AL,24,FALSE)</f>
        <v>361</v>
      </c>
      <c r="Z373" s="5">
        <f>VLOOKUP($A373,'SegEnds_NonXtal_Prot#'!$A:$AL,27,FALSE)</f>
        <v>367</v>
      </c>
      <c r="AA373" s="5">
        <f>VLOOKUP($A373,'SegEnds_NonXtal_Prot#'!$A:$AL,30,FALSE)</f>
        <v>411</v>
      </c>
      <c r="AB373" s="5">
        <f>VLOOKUP($A373,'SegEnds_NonXtal_Prot#'!$A:$AL,33,FALSE)</f>
        <v>476</v>
      </c>
      <c r="AC373" s="5">
        <f>VLOOKUP($A373,'SegEnds_NonXtal_Prot#'!$A:$AL,36,FALSE)</f>
        <v>500</v>
      </c>
      <c r="AD373" s="5">
        <f>VLOOKUP($A373,'SegEnds_NonXtal_Prot#'!$A:$AL,5,FALSE)</f>
        <v>227</v>
      </c>
      <c r="AE373" s="5">
        <f>VLOOKUP($A373,'SegEnds_NonXtal_Prot#'!$A:$AL,8,FALSE)</f>
        <v>232</v>
      </c>
      <c r="AF373" s="5">
        <f>VLOOKUP($A373,'SegEnds_NonXtal_Prot#'!$A:$AL,11,FALSE)</f>
        <v>256</v>
      </c>
      <c r="AG373" s="5" t="str">
        <f>VLOOKUP($A373,'SegEnds_NonXtal_Prot#'!$A:$AL,14,FALSE)</f>
        <v>-</v>
      </c>
      <c r="AH373" s="5">
        <f>VLOOKUP($A373,'SegEnds_NonXtal_Prot#'!$A:$AL,17,FALSE)</f>
        <v>320</v>
      </c>
      <c r="AI373" s="5" t="str">
        <f>VLOOKUP($A373,'SegEnds_NonXtal_Prot#'!$A:$AL,20,FALSE)</f>
        <v>-</v>
      </c>
      <c r="AJ373" s="5">
        <f>VLOOKUP($A373,'SegEnds_NonXtal_Prot#'!$A:$AL,23,FALSE)</f>
        <v>349</v>
      </c>
      <c r="AK373" s="5">
        <f>VLOOKUP($A373,'SegEnds_NonXtal_Prot#'!$A:$AL,26,FALSE)</f>
        <v>363</v>
      </c>
      <c r="AL373" s="5">
        <f>VLOOKUP($A373,'SegEnds_NonXtal_Prot#'!$A:$AL,29,FALSE)</f>
        <v>404</v>
      </c>
      <c r="AM373" s="5">
        <f>VLOOKUP($A373,'SegEnds_NonXtal_Prot#'!$A:$AL,32,FALSE)</f>
        <v>465</v>
      </c>
      <c r="AN373" s="5">
        <f>VLOOKUP($A373,'SegEnds_NonXtal_Prot#'!$A:$AL,35,FALSE)</f>
        <v>499</v>
      </c>
      <c r="AO373" s="5">
        <f>VLOOKUP($A373,'SegEnds_NonXtal_Prot#'!$A:$AL,38,FALSE)</f>
        <v>515</v>
      </c>
      <c r="AP373" s="5">
        <f t="shared" si="138"/>
        <v>32</v>
      </c>
      <c r="AQ373" s="4">
        <f t="shared" si="139"/>
        <v>4</v>
      </c>
      <c r="AR373" s="4">
        <f t="shared" si="140"/>
        <v>23</v>
      </c>
      <c r="AS373" s="4" t="str">
        <f t="shared" si="141"/>
        <v>-</v>
      </c>
      <c r="AT373" s="4">
        <f t="shared" si="142"/>
        <v>36</v>
      </c>
      <c r="AU373" s="4" t="str">
        <f t="shared" si="143"/>
        <v>-</v>
      </c>
      <c r="AV373" s="4">
        <f t="shared" si="144"/>
        <v>25</v>
      </c>
      <c r="AW373" s="4">
        <f t="shared" si="145"/>
        <v>2</v>
      </c>
      <c r="AX373" s="4">
        <f t="shared" si="146"/>
        <v>37</v>
      </c>
      <c r="AY373" s="4">
        <f t="shared" si="147"/>
        <v>54</v>
      </c>
      <c r="AZ373" s="4">
        <f t="shared" si="148"/>
        <v>23</v>
      </c>
      <c r="BA373" s="4">
        <f t="shared" si="149"/>
        <v>15</v>
      </c>
    </row>
    <row r="374" spans="1:53" x14ac:dyDescent="0.2">
      <c r="A374" s="1" t="str">
        <f>'SegEnds_NonXtal_Prot#'!A374</f>
        <v>fzd4_human</v>
      </c>
      <c r="B374" s="1" t="str">
        <f t="shared" si="125"/>
        <v>SRSAKEFTDIWMAVWASLCFISTAFTVLTFLIDYPERPIIFLSMCYNIYSIAYIVRLTGCAIIFLLMYFFGMASSIWWVILTLTWFLAAGLKWGIEMHSSYFHIAAWAIPAVKTIVILIMNLDALTGFVVAPLFTYLVIGTLFIAAGLVALFKIRSNLTDKLERLMVKIGVFSVLYTVPATCVIACYFYEISNWALFRYSANMAVEMLKIFMSLLVGITSGMWIWSAKTLHTWQKCSNRLV</v>
      </c>
      <c r="C374" s="29" t="str">
        <f>IF(ISERROR(MATCH(A374,'SegEnds_Xtal_Prot#'!B:B, 0)), "NoXtal", "Xtal")</f>
        <v>NoXtal</v>
      </c>
      <c r="D374" s="4" t="str">
        <f>VLOOKUP(A374,Classification!A:D,2,FALSE)</f>
        <v>F</v>
      </c>
      <c r="E374" s="5" t="str">
        <f>VLOOKUP(A374,Seqs!A:B,2,FALSE)</f>
        <v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v>
      </c>
      <c r="F374" s="5" t="str">
        <f t="shared" si="126"/>
        <v>SRSAKEFTDIWMAVWASLCFISTAFTVLTFLID</v>
      </c>
      <c r="G374" s="4" t="str">
        <f t="shared" si="127"/>
        <v>SSRFS</v>
      </c>
      <c r="H374" s="4" t="str">
        <f t="shared" si="128"/>
        <v>YPERPIIFLSMCYNIYSIAYIVRL</v>
      </c>
      <c r="I374" s="4" t="str">
        <f t="shared" si="129"/>
        <v/>
      </c>
      <c r="J374" s="4" t="str">
        <f t="shared" si="130"/>
        <v>TGCAIIFLLMYFFGMASSIWWVILTLTWFLAAGLKWG</v>
      </c>
      <c r="K374" s="4" t="str">
        <f t="shared" si="131"/>
        <v/>
      </c>
      <c r="L374" s="4" t="str">
        <f t="shared" si="132"/>
        <v>IEMHSSYFHIAAWAIPAVKTIVILIM</v>
      </c>
      <c r="M374" s="4" t="str">
        <f t="shared" si="133"/>
        <v>CYV</v>
      </c>
      <c r="N374" s="4" t="str">
        <f t="shared" si="134"/>
        <v>NLDALTGFVVAPLFTYLVIGTLFIAAGLVALFKIRSNL</v>
      </c>
      <c r="O374" s="4" t="str">
        <f t="shared" si="135"/>
        <v>TDKLERLMVKIGVFSVLYTVPATCVIACYFYEISNWALFRYSA</v>
      </c>
      <c r="P374" s="4" t="str">
        <f t="shared" si="136"/>
        <v>NMAVEMLKIFMSLLVGITSGMWIW</v>
      </c>
      <c r="Q374" s="4" t="str">
        <f t="shared" si="137"/>
        <v>SAKTLHTWQKCSNRLV</v>
      </c>
      <c r="R374" s="5">
        <f>VLOOKUP($A374,'SegEnds_NonXtal_Prot#'!$A:$AL,3,FALSE)</f>
        <v>212</v>
      </c>
      <c r="S374" s="5">
        <f>VLOOKUP($A374,'SegEnds_NonXtal_Prot#'!$A:$AL,6,FALSE)</f>
        <v>245</v>
      </c>
      <c r="T374" s="5">
        <f>VLOOKUP($A374,'SegEnds_NonXtal_Prot#'!$A:$AL,9,FALSE)</f>
        <v>250</v>
      </c>
      <c r="U374" s="5" t="str">
        <f>VLOOKUP($A374,'SegEnds_NonXtal_Prot#'!$A:$AL,12,FALSE)</f>
        <v>-</v>
      </c>
      <c r="V374" s="5">
        <f>VLOOKUP($A374,'SegEnds_NonXtal_Prot#'!$A:$AL,15,FALSE)</f>
        <v>300</v>
      </c>
      <c r="W374" s="5" t="str">
        <f>VLOOKUP($A374,'SegEnds_NonXtal_Prot#'!$A:$AL,18,FALSE)</f>
        <v>-</v>
      </c>
      <c r="X374" s="5">
        <f>VLOOKUP($A374,'SegEnds_NonXtal_Prot#'!$A:$AL,21,FALSE)</f>
        <v>340</v>
      </c>
      <c r="Y374" s="5">
        <f>VLOOKUP($A374,'SegEnds_NonXtal_Prot#'!$A:$AL,24,FALSE)</f>
        <v>377</v>
      </c>
      <c r="Z374" s="5">
        <f>VLOOKUP($A374,'SegEnds_NonXtal_Prot#'!$A:$AL,27,FALSE)</f>
        <v>383</v>
      </c>
      <c r="AA374" s="5">
        <f>VLOOKUP($A374,'SegEnds_NonXtal_Prot#'!$A:$AL,30,FALSE)</f>
        <v>427</v>
      </c>
      <c r="AB374" s="5">
        <f>VLOOKUP($A374,'SegEnds_NonXtal_Prot#'!$A:$AL,33,FALSE)</f>
        <v>473</v>
      </c>
      <c r="AC374" s="5">
        <f>VLOOKUP($A374,'SegEnds_NonXtal_Prot#'!$A:$AL,36,FALSE)</f>
        <v>497</v>
      </c>
      <c r="AD374" s="5">
        <f>VLOOKUP($A374,'SegEnds_NonXtal_Prot#'!$A:$AL,5,FALSE)</f>
        <v>244</v>
      </c>
      <c r="AE374" s="5">
        <f>VLOOKUP($A374,'SegEnds_NonXtal_Prot#'!$A:$AL,8,FALSE)</f>
        <v>249</v>
      </c>
      <c r="AF374" s="5">
        <f>VLOOKUP($A374,'SegEnds_NonXtal_Prot#'!$A:$AL,11,FALSE)</f>
        <v>273</v>
      </c>
      <c r="AG374" s="5" t="str">
        <f>VLOOKUP($A374,'SegEnds_NonXtal_Prot#'!$A:$AL,14,FALSE)</f>
        <v>-</v>
      </c>
      <c r="AH374" s="5">
        <f>VLOOKUP($A374,'SegEnds_NonXtal_Prot#'!$A:$AL,17,FALSE)</f>
        <v>336</v>
      </c>
      <c r="AI374" s="5" t="str">
        <f>VLOOKUP($A374,'SegEnds_NonXtal_Prot#'!$A:$AL,20,FALSE)</f>
        <v>-</v>
      </c>
      <c r="AJ374" s="5">
        <f>VLOOKUP($A374,'SegEnds_NonXtal_Prot#'!$A:$AL,23,FALSE)</f>
        <v>365</v>
      </c>
      <c r="AK374" s="5">
        <f>VLOOKUP($A374,'SegEnds_NonXtal_Prot#'!$A:$AL,26,FALSE)</f>
        <v>379</v>
      </c>
      <c r="AL374" s="5">
        <f>VLOOKUP($A374,'SegEnds_NonXtal_Prot#'!$A:$AL,29,FALSE)</f>
        <v>420</v>
      </c>
      <c r="AM374" s="5">
        <f>VLOOKUP($A374,'SegEnds_NonXtal_Prot#'!$A:$AL,32,FALSE)</f>
        <v>469</v>
      </c>
      <c r="AN374" s="5">
        <f>VLOOKUP($A374,'SegEnds_NonXtal_Prot#'!$A:$AL,35,FALSE)</f>
        <v>496</v>
      </c>
      <c r="AO374" s="5">
        <f>VLOOKUP($A374,'SegEnds_NonXtal_Prot#'!$A:$AL,38,FALSE)</f>
        <v>512</v>
      </c>
      <c r="AP374" s="5">
        <f t="shared" si="138"/>
        <v>32</v>
      </c>
      <c r="AQ374" s="4">
        <f t="shared" si="139"/>
        <v>4</v>
      </c>
      <c r="AR374" s="4">
        <f t="shared" si="140"/>
        <v>23</v>
      </c>
      <c r="AS374" s="4" t="str">
        <f t="shared" si="141"/>
        <v>-</v>
      </c>
      <c r="AT374" s="4">
        <f t="shared" si="142"/>
        <v>36</v>
      </c>
      <c r="AU374" s="4" t="str">
        <f t="shared" si="143"/>
        <v>-</v>
      </c>
      <c r="AV374" s="4">
        <f t="shared" si="144"/>
        <v>25</v>
      </c>
      <c r="AW374" s="4">
        <f t="shared" si="145"/>
        <v>2</v>
      </c>
      <c r="AX374" s="4">
        <f t="shared" si="146"/>
        <v>37</v>
      </c>
      <c r="AY374" s="4">
        <f t="shared" si="147"/>
        <v>42</v>
      </c>
      <c r="AZ374" s="4">
        <f t="shared" si="148"/>
        <v>23</v>
      </c>
      <c r="BA374" s="4">
        <f t="shared" si="149"/>
        <v>15</v>
      </c>
    </row>
    <row r="375" spans="1:53" x14ac:dyDescent="0.2">
      <c r="A375" s="1" t="str">
        <f>'SegEnds_NonXtal_Prot#'!A375</f>
        <v>fzd5_human</v>
      </c>
      <c r="B375" s="1" t="str">
        <f t="shared" si="125"/>
        <v>SADERTFATFWIGLWSVLCFISTSTTVATFLIDYPERPIIFLSACYLCVSLGFLVRLALCTIVFLLVYFFGMASSIWWVILSLTWFLAAGMKWGIAGYAQYFHLAAWLIPSVKSITALALNLNSLRGFVLGPLVLYLLVGTLFLLAGFVSLFRIRSVITDKLEKLMIRIGIFTLLYTVPASIVVACYLYEQHYRESWEAALTCACPGHDTGQPEYWVLMLKYFMCLVVGITSGVWIWSGKTVESWRRFTSRCC</v>
      </c>
      <c r="C375" s="29" t="str">
        <f>IF(ISERROR(MATCH(A375,'SegEnds_Xtal_Prot#'!B:B, 0)), "NoXtal", "Xtal")</f>
        <v>NoXtal</v>
      </c>
      <c r="D375" s="4" t="str">
        <f>VLOOKUP(A375,Classification!A:D,2,FALSE)</f>
        <v>F</v>
      </c>
      <c r="E375" s="5" t="str">
        <f>VLOOKUP(A375,Seqs!A:B,2,FALSE)</f>
        <v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v>
      </c>
      <c r="F375" s="5" t="str">
        <f t="shared" si="126"/>
        <v>SADERTFATFWIGLWSVLCFISTSTTVATFLID</v>
      </c>
      <c r="G375" s="4" t="str">
        <f t="shared" si="127"/>
        <v>MERFR</v>
      </c>
      <c r="H375" s="4" t="str">
        <f t="shared" si="128"/>
        <v>YPERPIIFLSACYLCVSLGFLVRL</v>
      </c>
      <c r="I375" s="4" t="str">
        <f t="shared" si="129"/>
        <v/>
      </c>
      <c r="J375" s="4" t="str">
        <f t="shared" si="130"/>
        <v>ALCTIVFLLVYFFGMASSIWWVILSLTWFLAAGMKWG</v>
      </c>
      <c r="K375" s="4" t="str">
        <f t="shared" si="131"/>
        <v/>
      </c>
      <c r="L375" s="4" t="str">
        <f t="shared" si="132"/>
        <v>IAGYAQYFHLAAWLIPSVKSITALAL</v>
      </c>
      <c r="M375" s="4" t="str">
        <f t="shared" si="133"/>
        <v>CYV</v>
      </c>
      <c r="N375" s="4" t="str">
        <f t="shared" si="134"/>
        <v>NLNSLRGFVLGPLVLYLLVGTLFLLAGFVSLFRIRSVI</v>
      </c>
      <c r="O375" s="4" t="str">
        <f t="shared" si="135"/>
        <v>TDKLEKLMIRIGIFTLLYTVPASIVVACYLYEQHYRESWEAALTCACPGHDTGQP</v>
      </c>
      <c r="P375" s="4" t="str">
        <f t="shared" si="136"/>
        <v>EYWVLMLKYFMCLVVGITSGVWIW</v>
      </c>
      <c r="Q375" s="4" t="str">
        <f t="shared" si="137"/>
        <v>SGKTVESWRRFTSRCC</v>
      </c>
      <c r="R375" s="5">
        <f>VLOOKUP($A375,'SegEnds_NonXtal_Prot#'!$A:$AL,3,FALSE)</f>
        <v>228</v>
      </c>
      <c r="S375" s="5">
        <f>VLOOKUP($A375,'SegEnds_NonXtal_Prot#'!$A:$AL,6,FALSE)</f>
        <v>261</v>
      </c>
      <c r="T375" s="5">
        <f>VLOOKUP($A375,'SegEnds_NonXtal_Prot#'!$A:$AL,9,FALSE)</f>
        <v>266</v>
      </c>
      <c r="U375" s="5" t="str">
        <f>VLOOKUP($A375,'SegEnds_NonXtal_Prot#'!$A:$AL,12,FALSE)</f>
        <v>-</v>
      </c>
      <c r="V375" s="5">
        <f>VLOOKUP($A375,'SegEnds_NonXtal_Prot#'!$A:$AL,15,FALSE)</f>
        <v>313</v>
      </c>
      <c r="W375" s="5" t="str">
        <f>VLOOKUP($A375,'SegEnds_NonXtal_Prot#'!$A:$AL,18,FALSE)</f>
        <v>-</v>
      </c>
      <c r="X375" s="5">
        <f>VLOOKUP($A375,'SegEnds_NonXtal_Prot#'!$A:$AL,21,FALSE)</f>
        <v>353</v>
      </c>
      <c r="Y375" s="5">
        <f>VLOOKUP($A375,'SegEnds_NonXtal_Prot#'!$A:$AL,24,FALSE)</f>
        <v>390</v>
      </c>
      <c r="Z375" s="5">
        <f>VLOOKUP($A375,'SegEnds_NonXtal_Prot#'!$A:$AL,27,FALSE)</f>
        <v>396</v>
      </c>
      <c r="AA375" s="5">
        <f>VLOOKUP($A375,'SegEnds_NonXtal_Prot#'!$A:$AL,30,FALSE)</f>
        <v>440</v>
      </c>
      <c r="AB375" s="5">
        <f>VLOOKUP($A375,'SegEnds_NonXtal_Prot#'!$A:$AL,33,FALSE)</f>
        <v>499</v>
      </c>
      <c r="AC375" s="5">
        <f>VLOOKUP($A375,'SegEnds_NonXtal_Prot#'!$A:$AL,36,FALSE)</f>
        <v>523</v>
      </c>
      <c r="AD375" s="5">
        <f>VLOOKUP($A375,'SegEnds_NonXtal_Prot#'!$A:$AL,5,FALSE)</f>
        <v>260</v>
      </c>
      <c r="AE375" s="5">
        <f>VLOOKUP($A375,'SegEnds_NonXtal_Prot#'!$A:$AL,8,FALSE)</f>
        <v>265</v>
      </c>
      <c r="AF375" s="5">
        <f>VLOOKUP($A375,'SegEnds_NonXtal_Prot#'!$A:$AL,11,FALSE)</f>
        <v>289</v>
      </c>
      <c r="AG375" s="5" t="str">
        <f>VLOOKUP($A375,'SegEnds_NonXtal_Prot#'!$A:$AL,14,FALSE)</f>
        <v>-</v>
      </c>
      <c r="AH375" s="5">
        <f>VLOOKUP($A375,'SegEnds_NonXtal_Prot#'!$A:$AL,17,FALSE)</f>
        <v>349</v>
      </c>
      <c r="AI375" s="5" t="str">
        <f>VLOOKUP($A375,'SegEnds_NonXtal_Prot#'!$A:$AL,20,FALSE)</f>
        <v>-</v>
      </c>
      <c r="AJ375" s="5">
        <f>VLOOKUP($A375,'SegEnds_NonXtal_Prot#'!$A:$AL,23,FALSE)</f>
        <v>378</v>
      </c>
      <c r="AK375" s="5">
        <f>VLOOKUP($A375,'SegEnds_NonXtal_Prot#'!$A:$AL,26,FALSE)</f>
        <v>392</v>
      </c>
      <c r="AL375" s="5">
        <f>VLOOKUP($A375,'SegEnds_NonXtal_Prot#'!$A:$AL,29,FALSE)</f>
        <v>433</v>
      </c>
      <c r="AM375" s="5">
        <f>VLOOKUP($A375,'SegEnds_NonXtal_Prot#'!$A:$AL,32,FALSE)</f>
        <v>494</v>
      </c>
      <c r="AN375" s="5">
        <f>VLOOKUP($A375,'SegEnds_NonXtal_Prot#'!$A:$AL,35,FALSE)</f>
        <v>522</v>
      </c>
      <c r="AO375" s="5">
        <f>VLOOKUP($A375,'SegEnds_NonXtal_Prot#'!$A:$AL,38,FALSE)</f>
        <v>538</v>
      </c>
      <c r="AP375" s="5">
        <f t="shared" si="138"/>
        <v>32</v>
      </c>
      <c r="AQ375" s="4">
        <f t="shared" si="139"/>
        <v>4</v>
      </c>
      <c r="AR375" s="4">
        <f t="shared" si="140"/>
        <v>23</v>
      </c>
      <c r="AS375" s="4" t="str">
        <f t="shared" si="141"/>
        <v>-</v>
      </c>
      <c r="AT375" s="4">
        <f t="shared" si="142"/>
        <v>36</v>
      </c>
      <c r="AU375" s="4" t="str">
        <f t="shared" si="143"/>
        <v>-</v>
      </c>
      <c r="AV375" s="4">
        <f t="shared" si="144"/>
        <v>25</v>
      </c>
      <c r="AW375" s="4">
        <f t="shared" si="145"/>
        <v>2</v>
      </c>
      <c r="AX375" s="4">
        <f t="shared" si="146"/>
        <v>37</v>
      </c>
      <c r="AY375" s="4">
        <f t="shared" si="147"/>
        <v>54</v>
      </c>
      <c r="AZ375" s="4">
        <f t="shared" si="148"/>
        <v>23</v>
      </c>
      <c r="BA375" s="4">
        <f t="shared" si="149"/>
        <v>15</v>
      </c>
    </row>
    <row r="376" spans="1:53" x14ac:dyDescent="0.2">
      <c r="A376" s="1" t="str">
        <f>'SegEnds_NonXtal_Prot#'!A376</f>
        <v>fzd6_human</v>
      </c>
      <c r="B376" s="1" t="str">
        <f t="shared" si="125"/>
        <v>KSDELEFAKSFIGTVSIFCLCATLFTFLTFLIDYPERPIIYYSVCYSIVSLMYFIGFKACTVLFMLLYFFTMAGTVWWVILTITWFLAAGRKWSIEQKAVWFHAVAWGTPGFLTVMLLAMDLDASRYFVLLPLCLCVFVGLSLLLAGIISLNHVRQVIQEKLKKFMIRIGVFSGLYLVPLVTLLGCYVYEQVNRITWEITWVSDHCRQYHIPCELALFMIKYLMTLIVGISAVFWVGSKKTCTEWAGFFKRNR</v>
      </c>
      <c r="C376" s="29" t="str">
        <f>IF(ISERROR(MATCH(A376,'SegEnds_Xtal_Prot#'!B:B, 0)), "NoXtal", "Xtal")</f>
        <v>NoXtal</v>
      </c>
      <c r="D376" s="4" t="str">
        <f>VLOOKUP(A376,Classification!A:D,2,FALSE)</f>
        <v>F</v>
      </c>
      <c r="E376" s="5" t="str">
        <f>VLOOKUP(A376,Seqs!A:B,2,FALSE)</f>
        <v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v>
      </c>
      <c r="F376" s="5" t="str">
        <f t="shared" si="126"/>
        <v>KSDELEFAKSFIGTVSIFCLCATLFTFLTFLID</v>
      </c>
      <c r="G376" s="4" t="str">
        <f t="shared" si="127"/>
        <v>VRRFR</v>
      </c>
      <c r="H376" s="4" t="str">
        <f t="shared" si="128"/>
        <v>YPERPIIYYSVCYSIVSLMYFIGF</v>
      </c>
      <c r="I376" s="4" t="str">
        <f t="shared" si="129"/>
        <v/>
      </c>
      <c r="J376" s="4" t="str">
        <f t="shared" si="130"/>
        <v>KACTVLFMLLYFFTMAGTVWWVILTITWFLAAGRKWS</v>
      </c>
      <c r="K376" s="4" t="str">
        <f t="shared" si="131"/>
        <v/>
      </c>
      <c r="L376" s="4" t="str">
        <f t="shared" si="132"/>
        <v>IEQKAVWFHAVAWGTPGFLTVMLLAM</v>
      </c>
      <c r="M376" s="4" t="str">
        <f t="shared" si="133"/>
        <v>CFV</v>
      </c>
      <c r="N376" s="4" t="str">
        <f t="shared" si="134"/>
        <v>DLDASRYFVLLPLCLCVFVGLSLLLAGIISLNHVRQVI</v>
      </c>
      <c r="O376" s="4" t="str">
        <f t="shared" si="135"/>
        <v>QEKLKKFMIRIGVFSGLYLVPLVTLLGCYVYEQVNRITWEITWVSDHCRQYHIPC</v>
      </c>
      <c r="P376" s="4" t="str">
        <f t="shared" si="136"/>
        <v>ELALFMIKYLMTLIVGISAVFWVG</v>
      </c>
      <c r="Q376" s="4" t="str">
        <f t="shared" si="137"/>
        <v>SKKTCTEWAGFFKRNR</v>
      </c>
      <c r="R376" s="5">
        <f>VLOOKUP($A376,'SegEnds_NonXtal_Prot#'!$A:$AL,3,FALSE)</f>
        <v>191</v>
      </c>
      <c r="S376" s="5">
        <f>VLOOKUP($A376,'SegEnds_NonXtal_Prot#'!$A:$AL,6,FALSE)</f>
        <v>224</v>
      </c>
      <c r="T376" s="5">
        <f>VLOOKUP($A376,'SegEnds_NonXtal_Prot#'!$A:$AL,9,FALSE)</f>
        <v>229</v>
      </c>
      <c r="U376" s="5" t="str">
        <f>VLOOKUP($A376,'SegEnds_NonXtal_Prot#'!$A:$AL,12,FALSE)</f>
        <v>-</v>
      </c>
      <c r="V376" s="5">
        <f>VLOOKUP($A376,'SegEnds_NonXtal_Prot#'!$A:$AL,15,FALSE)</f>
        <v>280</v>
      </c>
      <c r="W376" s="5" t="str">
        <f>VLOOKUP($A376,'SegEnds_NonXtal_Prot#'!$A:$AL,18,FALSE)</f>
        <v>-</v>
      </c>
      <c r="X376" s="5">
        <f>VLOOKUP($A376,'SegEnds_NonXtal_Prot#'!$A:$AL,21,FALSE)</f>
        <v>320</v>
      </c>
      <c r="Y376" s="5">
        <f>VLOOKUP($A376,'SegEnds_NonXtal_Prot#'!$A:$AL,24,FALSE)</f>
        <v>357</v>
      </c>
      <c r="Z376" s="5">
        <f>VLOOKUP($A376,'SegEnds_NonXtal_Prot#'!$A:$AL,27,FALSE)</f>
        <v>363</v>
      </c>
      <c r="AA376" s="5">
        <f>VLOOKUP($A376,'SegEnds_NonXtal_Prot#'!$A:$AL,30,FALSE)</f>
        <v>407</v>
      </c>
      <c r="AB376" s="5">
        <f>VLOOKUP($A376,'SegEnds_NonXtal_Prot#'!$A:$AL,33,FALSE)</f>
        <v>472</v>
      </c>
      <c r="AC376" s="5">
        <f>VLOOKUP($A376,'SegEnds_NonXtal_Prot#'!$A:$AL,36,FALSE)</f>
        <v>496</v>
      </c>
      <c r="AD376" s="5">
        <f>VLOOKUP($A376,'SegEnds_NonXtal_Prot#'!$A:$AL,5,FALSE)</f>
        <v>223</v>
      </c>
      <c r="AE376" s="5">
        <f>VLOOKUP($A376,'SegEnds_NonXtal_Prot#'!$A:$AL,8,FALSE)</f>
        <v>228</v>
      </c>
      <c r="AF376" s="5">
        <f>VLOOKUP($A376,'SegEnds_NonXtal_Prot#'!$A:$AL,11,FALSE)</f>
        <v>252</v>
      </c>
      <c r="AG376" s="5" t="str">
        <f>VLOOKUP($A376,'SegEnds_NonXtal_Prot#'!$A:$AL,14,FALSE)</f>
        <v>-</v>
      </c>
      <c r="AH376" s="5">
        <f>VLOOKUP($A376,'SegEnds_NonXtal_Prot#'!$A:$AL,17,FALSE)</f>
        <v>316</v>
      </c>
      <c r="AI376" s="5" t="str">
        <f>VLOOKUP($A376,'SegEnds_NonXtal_Prot#'!$A:$AL,20,FALSE)</f>
        <v>-</v>
      </c>
      <c r="AJ376" s="5">
        <f>VLOOKUP($A376,'SegEnds_NonXtal_Prot#'!$A:$AL,23,FALSE)</f>
        <v>345</v>
      </c>
      <c r="AK376" s="5">
        <f>VLOOKUP($A376,'SegEnds_NonXtal_Prot#'!$A:$AL,26,FALSE)</f>
        <v>359</v>
      </c>
      <c r="AL376" s="5">
        <f>VLOOKUP($A376,'SegEnds_NonXtal_Prot#'!$A:$AL,29,FALSE)</f>
        <v>400</v>
      </c>
      <c r="AM376" s="5">
        <f>VLOOKUP($A376,'SegEnds_NonXtal_Prot#'!$A:$AL,32,FALSE)</f>
        <v>461</v>
      </c>
      <c r="AN376" s="5">
        <f>VLOOKUP($A376,'SegEnds_NonXtal_Prot#'!$A:$AL,35,FALSE)</f>
        <v>495</v>
      </c>
      <c r="AO376" s="5">
        <f>VLOOKUP($A376,'SegEnds_NonXtal_Prot#'!$A:$AL,38,FALSE)</f>
        <v>511</v>
      </c>
      <c r="AP376" s="5">
        <f t="shared" si="138"/>
        <v>32</v>
      </c>
      <c r="AQ376" s="4">
        <f t="shared" si="139"/>
        <v>4</v>
      </c>
      <c r="AR376" s="4">
        <f t="shared" si="140"/>
        <v>23</v>
      </c>
      <c r="AS376" s="4" t="str">
        <f t="shared" si="141"/>
        <v>-</v>
      </c>
      <c r="AT376" s="4">
        <f t="shared" si="142"/>
        <v>36</v>
      </c>
      <c r="AU376" s="4" t="str">
        <f t="shared" si="143"/>
        <v>-</v>
      </c>
      <c r="AV376" s="4">
        <f t="shared" si="144"/>
        <v>25</v>
      </c>
      <c r="AW376" s="4">
        <f t="shared" si="145"/>
        <v>2</v>
      </c>
      <c r="AX376" s="4">
        <f t="shared" si="146"/>
        <v>37</v>
      </c>
      <c r="AY376" s="4">
        <f t="shared" si="147"/>
        <v>54</v>
      </c>
      <c r="AZ376" s="4">
        <f t="shared" si="148"/>
        <v>23</v>
      </c>
      <c r="BA376" s="4">
        <f t="shared" si="149"/>
        <v>15</v>
      </c>
    </row>
    <row r="377" spans="1:53" x14ac:dyDescent="0.2">
      <c r="A377" s="1" t="str">
        <f>'SegEnds_NonXtal_Prot#'!A377</f>
        <v>fzd7_human</v>
      </c>
      <c r="B377" s="1" t="str">
        <f t="shared" si="125"/>
        <v>KEEERRFARLWVGVWSVLCCASTLFTVLTYLVDYPERPIIFLSGCYFMVAVAHVAGFEGCTILFMVLYFFGMASSIWWVILSLTWFLAAGMKWGIEANSQYFHLAAWAVPAVKTITILAMSVDALRGFVLAPLFVYLFIGTSFLLAGFVSLFRIRTIMTEKLEKLMVRIGVFSVLYTVPATIVLACYFYEQAFREHWERTWLLQTCKSYAVPCDFTVFMIKYLMTMIVGITTGFWIWSGKTLQSWRRFYHRLS</v>
      </c>
      <c r="C377" s="29" t="str">
        <f>IF(ISERROR(MATCH(A377,'SegEnds_Xtal_Prot#'!B:B, 0)), "NoXtal", "Xtal")</f>
        <v>NoXtal</v>
      </c>
      <c r="D377" s="4" t="str">
        <f>VLOOKUP(A377,Classification!A:D,2,FALSE)</f>
        <v>F</v>
      </c>
      <c r="E377" s="5" t="str">
        <f>VLOOKUP(A377,Seqs!A:B,2,FALSE)</f>
        <v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v>
      </c>
      <c r="F377" s="5" t="str">
        <f t="shared" si="126"/>
        <v>KEEERRFARLWVGVWSVLCCASTLFTVLTYLVD</v>
      </c>
      <c r="G377" s="4" t="str">
        <f t="shared" si="127"/>
        <v>MRRFS</v>
      </c>
      <c r="H377" s="4" t="str">
        <f t="shared" si="128"/>
        <v>YPERPIIFLSGCYFMVAVAHVAGF</v>
      </c>
      <c r="I377" s="4" t="str">
        <f t="shared" si="129"/>
        <v/>
      </c>
      <c r="J377" s="4" t="str">
        <f t="shared" si="130"/>
        <v>EGCTILFMVLYFFGMASSIWWVILSLTWFLAAGMKWG</v>
      </c>
      <c r="K377" s="4" t="str">
        <f t="shared" si="131"/>
        <v/>
      </c>
      <c r="L377" s="4" t="str">
        <f t="shared" si="132"/>
        <v>IEANSQYFHLAAWAVPAVKTITILAM</v>
      </c>
      <c r="M377" s="4" t="str">
        <f t="shared" si="133"/>
        <v>CYV</v>
      </c>
      <c r="N377" s="4" t="str">
        <f t="shared" si="134"/>
        <v>SVDALRGFVLAPLFVYLFIGTSFLLAGFVSLFRIRTIM</v>
      </c>
      <c r="O377" s="4" t="str">
        <f t="shared" si="135"/>
        <v>TEKLEKLMVRIGVFSVLYTVPATIVLACYFYEQAFREHWERTWLLQTCKSYAVPC</v>
      </c>
      <c r="P377" s="4" t="str">
        <f t="shared" si="136"/>
        <v>DFTVFMIKYLMTMIVGITTGFWIW</v>
      </c>
      <c r="Q377" s="4" t="str">
        <f t="shared" si="137"/>
        <v>SGKTLQSWRRFYHRLS</v>
      </c>
      <c r="R377" s="5">
        <f>VLOOKUP($A377,'SegEnds_NonXtal_Prot#'!$A:$AL,3,FALSE)</f>
        <v>246</v>
      </c>
      <c r="S377" s="5">
        <f>VLOOKUP($A377,'SegEnds_NonXtal_Prot#'!$A:$AL,6,FALSE)</f>
        <v>279</v>
      </c>
      <c r="T377" s="5">
        <f>VLOOKUP($A377,'SegEnds_NonXtal_Prot#'!$A:$AL,9,FALSE)</f>
        <v>284</v>
      </c>
      <c r="U377" s="5" t="str">
        <f>VLOOKUP($A377,'SegEnds_NonXtal_Prot#'!$A:$AL,12,FALSE)</f>
        <v>-</v>
      </c>
      <c r="V377" s="5">
        <f>VLOOKUP($A377,'SegEnds_NonXtal_Prot#'!$A:$AL,15,FALSE)</f>
        <v>334</v>
      </c>
      <c r="W377" s="5" t="str">
        <f>VLOOKUP($A377,'SegEnds_NonXtal_Prot#'!$A:$AL,18,FALSE)</f>
        <v>-</v>
      </c>
      <c r="X377" s="5">
        <f>VLOOKUP($A377,'SegEnds_NonXtal_Prot#'!$A:$AL,21,FALSE)</f>
        <v>374</v>
      </c>
      <c r="Y377" s="5">
        <f>VLOOKUP($A377,'SegEnds_NonXtal_Prot#'!$A:$AL,24,FALSE)</f>
        <v>411</v>
      </c>
      <c r="Z377" s="5">
        <f>VLOOKUP($A377,'SegEnds_NonXtal_Prot#'!$A:$AL,27,FALSE)</f>
        <v>417</v>
      </c>
      <c r="AA377" s="5">
        <f>VLOOKUP($A377,'SegEnds_NonXtal_Prot#'!$A:$AL,30,FALSE)</f>
        <v>461</v>
      </c>
      <c r="AB377" s="5">
        <f>VLOOKUP($A377,'SegEnds_NonXtal_Prot#'!$A:$AL,33,FALSE)</f>
        <v>526</v>
      </c>
      <c r="AC377" s="5">
        <f>VLOOKUP($A377,'SegEnds_NonXtal_Prot#'!$A:$AL,36,FALSE)</f>
        <v>550</v>
      </c>
      <c r="AD377" s="5">
        <f>VLOOKUP($A377,'SegEnds_NonXtal_Prot#'!$A:$AL,5,FALSE)</f>
        <v>278</v>
      </c>
      <c r="AE377" s="5">
        <f>VLOOKUP($A377,'SegEnds_NonXtal_Prot#'!$A:$AL,8,FALSE)</f>
        <v>283</v>
      </c>
      <c r="AF377" s="5">
        <f>VLOOKUP($A377,'SegEnds_NonXtal_Prot#'!$A:$AL,11,FALSE)</f>
        <v>307</v>
      </c>
      <c r="AG377" s="5" t="str">
        <f>VLOOKUP($A377,'SegEnds_NonXtal_Prot#'!$A:$AL,14,FALSE)</f>
        <v>-</v>
      </c>
      <c r="AH377" s="5">
        <f>VLOOKUP($A377,'SegEnds_NonXtal_Prot#'!$A:$AL,17,FALSE)</f>
        <v>370</v>
      </c>
      <c r="AI377" s="5" t="str">
        <f>VLOOKUP($A377,'SegEnds_NonXtal_Prot#'!$A:$AL,20,FALSE)</f>
        <v>-</v>
      </c>
      <c r="AJ377" s="5">
        <f>VLOOKUP($A377,'SegEnds_NonXtal_Prot#'!$A:$AL,23,FALSE)</f>
        <v>399</v>
      </c>
      <c r="AK377" s="5">
        <f>VLOOKUP($A377,'SegEnds_NonXtal_Prot#'!$A:$AL,26,FALSE)</f>
        <v>413</v>
      </c>
      <c r="AL377" s="5">
        <f>VLOOKUP($A377,'SegEnds_NonXtal_Prot#'!$A:$AL,29,FALSE)</f>
        <v>454</v>
      </c>
      <c r="AM377" s="5">
        <f>VLOOKUP($A377,'SegEnds_NonXtal_Prot#'!$A:$AL,32,FALSE)</f>
        <v>515</v>
      </c>
      <c r="AN377" s="5">
        <f>VLOOKUP($A377,'SegEnds_NonXtal_Prot#'!$A:$AL,35,FALSE)</f>
        <v>549</v>
      </c>
      <c r="AO377" s="5">
        <f>VLOOKUP($A377,'SegEnds_NonXtal_Prot#'!$A:$AL,38,FALSE)</f>
        <v>565</v>
      </c>
      <c r="AP377" s="5">
        <f t="shared" si="138"/>
        <v>32</v>
      </c>
      <c r="AQ377" s="4">
        <f t="shared" si="139"/>
        <v>4</v>
      </c>
      <c r="AR377" s="4">
        <f t="shared" si="140"/>
        <v>23</v>
      </c>
      <c r="AS377" s="4" t="str">
        <f t="shared" si="141"/>
        <v>-</v>
      </c>
      <c r="AT377" s="4">
        <f t="shared" si="142"/>
        <v>36</v>
      </c>
      <c r="AU377" s="4" t="str">
        <f t="shared" si="143"/>
        <v>-</v>
      </c>
      <c r="AV377" s="4">
        <f t="shared" si="144"/>
        <v>25</v>
      </c>
      <c r="AW377" s="4">
        <f t="shared" si="145"/>
        <v>2</v>
      </c>
      <c r="AX377" s="4">
        <f t="shared" si="146"/>
        <v>37</v>
      </c>
      <c r="AY377" s="4">
        <f t="shared" si="147"/>
        <v>54</v>
      </c>
      <c r="AZ377" s="4">
        <f t="shared" si="148"/>
        <v>23</v>
      </c>
      <c r="BA377" s="4">
        <f t="shared" si="149"/>
        <v>15</v>
      </c>
    </row>
    <row r="378" spans="1:53" x14ac:dyDescent="0.2">
      <c r="A378" s="1" t="str">
        <f>'SegEnds_NonXtal_Prot#'!A378</f>
        <v>fzd8_human</v>
      </c>
      <c r="B378" s="1" t="str">
        <f t="shared" si="125"/>
        <v>SQDERAFTVFWIGLWSVLCFVSTFATVSTFLIDYPERPIIFLSACYLFVSVGYLVRLALCTVVFLLVYFFGMASSIWWVILSLTWFLAAGMKWGIAGYSQYFHLAAWLVPSVKSIAVLALSLDNLRGFVLAPLVIYLFIGTMFLLAGFVSLFRIRSVITHKLEKLMIRLGLFTVLYTVPAAVVVACLFYEQHNRPRWEATHNCPCLRDLQPDQDYAVFMLKYFMCLVVGITSGVWVWSGKTLESWRSLCTRCC</v>
      </c>
      <c r="C378" s="29" t="str">
        <f>IF(ISERROR(MATCH(A378,'SegEnds_Xtal_Prot#'!B:B, 0)), "NoXtal", "Xtal")</f>
        <v>NoXtal</v>
      </c>
      <c r="D378" s="4" t="str">
        <f>VLOOKUP(A378,Classification!A:D,2,FALSE)</f>
        <v>F</v>
      </c>
      <c r="E378" s="5" t="str">
        <f>VLOOKUP(A378,Seqs!A:B,2,FALSE)</f>
        <v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v>
      </c>
      <c r="F378" s="5" t="str">
        <f t="shared" si="126"/>
        <v>SQDERAFTVFWIGLWSVLCFVSTFATVSTFLID</v>
      </c>
      <c r="G378" s="4" t="str">
        <f t="shared" si="127"/>
        <v>MERFK</v>
      </c>
      <c r="H378" s="4" t="str">
        <f t="shared" si="128"/>
        <v>YPERPIIFLSACYLFVSVGYLVRL</v>
      </c>
      <c r="I378" s="4" t="str">
        <f t="shared" si="129"/>
        <v/>
      </c>
      <c r="J378" s="4" t="str">
        <f t="shared" si="130"/>
        <v>ALCTVVFLLVYFFGMASSIWWVILSLTWFLAAGMKWG</v>
      </c>
      <c r="K378" s="4" t="str">
        <f t="shared" si="131"/>
        <v/>
      </c>
      <c r="L378" s="4" t="str">
        <f t="shared" si="132"/>
        <v>IAGYSQYFHLAAWLVPSVKSIAVLAL</v>
      </c>
      <c r="M378" s="4" t="str">
        <f t="shared" si="133"/>
        <v>CYV</v>
      </c>
      <c r="N378" s="4" t="str">
        <f t="shared" si="134"/>
        <v>SLDNLRGFVLAPLVIYLFIGTMFLLAGFVSLFRIRSVI</v>
      </c>
      <c r="O378" s="4" t="str">
        <f t="shared" si="135"/>
        <v>THKLEKLMIRLGLFTVLYTVPAAVVVACLFYEQHNRPRWEATHNCPCLRDLQPDQ</v>
      </c>
      <c r="P378" s="4" t="str">
        <f t="shared" si="136"/>
        <v>DYAVFMLKYFMCLVVGITSGVWVW</v>
      </c>
      <c r="Q378" s="4" t="str">
        <f t="shared" si="137"/>
        <v>SGKTLESWRSLCTRCC</v>
      </c>
      <c r="R378" s="5">
        <f>VLOOKUP($A378,'SegEnds_NonXtal_Prot#'!$A:$AL,3,FALSE)</f>
        <v>270</v>
      </c>
      <c r="S378" s="5">
        <f>VLOOKUP($A378,'SegEnds_NonXtal_Prot#'!$A:$AL,6,FALSE)</f>
        <v>303</v>
      </c>
      <c r="T378" s="5">
        <f>VLOOKUP($A378,'SegEnds_NonXtal_Prot#'!$A:$AL,9,FALSE)</f>
        <v>308</v>
      </c>
      <c r="U378" s="5" t="str">
        <f>VLOOKUP($A378,'SegEnds_NonXtal_Prot#'!$A:$AL,12,FALSE)</f>
        <v>-</v>
      </c>
      <c r="V378" s="5">
        <f>VLOOKUP($A378,'SegEnds_NonXtal_Prot#'!$A:$AL,15,FALSE)</f>
        <v>394</v>
      </c>
      <c r="W378" s="5" t="str">
        <f>VLOOKUP($A378,'SegEnds_NonXtal_Prot#'!$A:$AL,18,FALSE)</f>
        <v>-</v>
      </c>
      <c r="X378" s="5">
        <f>VLOOKUP($A378,'SegEnds_NonXtal_Prot#'!$A:$AL,21,FALSE)</f>
        <v>434</v>
      </c>
      <c r="Y378" s="5">
        <f>VLOOKUP($A378,'SegEnds_NonXtal_Prot#'!$A:$AL,24,FALSE)</f>
        <v>471</v>
      </c>
      <c r="Z378" s="5">
        <f>VLOOKUP($A378,'SegEnds_NonXtal_Prot#'!$A:$AL,27,FALSE)</f>
        <v>477</v>
      </c>
      <c r="AA378" s="5">
        <f>VLOOKUP($A378,'SegEnds_NonXtal_Prot#'!$A:$AL,30,FALSE)</f>
        <v>523</v>
      </c>
      <c r="AB378" s="5">
        <f>VLOOKUP($A378,'SegEnds_NonXtal_Prot#'!$A:$AL,33,FALSE)</f>
        <v>582</v>
      </c>
      <c r="AC378" s="5">
        <f>VLOOKUP($A378,'SegEnds_NonXtal_Prot#'!$A:$AL,36,FALSE)</f>
        <v>606</v>
      </c>
      <c r="AD378" s="5">
        <f>VLOOKUP($A378,'SegEnds_NonXtal_Prot#'!$A:$AL,5,FALSE)</f>
        <v>302</v>
      </c>
      <c r="AE378" s="5">
        <f>VLOOKUP($A378,'SegEnds_NonXtal_Prot#'!$A:$AL,8,FALSE)</f>
        <v>307</v>
      </c>
      <c r="AF378" s="5">
        <f>VLOOKUP($A378,'SegEnds_NonXtal_Prot#'!$A:$AL,11,FALSE)</f>
        <v>331</v>
      </c>
      <c r="AG378" s="5" t="str">
        <f>VLOOKUP($A378,'SegEnds_NonXtal_Prot#'!$A:$AL,14,FALSE)</f>
        <v>-</v>
      </c>
      <c r="AH378" s="5">
        <f>VLOOKUP($A378,'SegEnds_NonXtal_Prot#'!$A:$AL,17,FALSE)</f>
        <v>430</v>
      </c>
      <c r="AI378" s="5" t="str">
        <f>VLOOKUP($A378,'SegEnds_NonXtal_Prot#'!$A:$AL,20,FALSE)</f>
        <v>-</v>
      </c>
      <c r="AJ378" s="5">
        <f>VLOOKUP($A378,'SegEnds_NonXtal_Prot#'!$A:$AL,23,FALSE)</f>
        <v>459</v>
      </c>
      <c r="AK378" s="5">
        <f>VLOOKUP($A378,'SegEnds_NonXtal_Prot#'!$A:$AL,26,FALSE)</f>
        <v>473</v>
      </c>
      <c r="AL378" s="5">
        <f>VLOOKUP($A378,'SegEnds_NonXtal_Prot#'!$A:$AL,29,FALSE)</f>
        <v>514</v>
      </c>
      <c r="AM378" s="5">
        <f>VLOOKUP($A378,'SegEnds_NonXtal_Prot#'!$A:$AL,32,FALSE)</f>
        <v>577</v>
      </c>
      <c r="AN378" s="5">
        <f>VLOOKUP($A378,'SegEnds_NonXtal_Prot#'!$A:$AL,35,FALSE)</f>
        <v>605</v>
      </c>
      <c r="AO378" s="5">
        <f>VLOOKUP($A378,'SegEnds_NonXtal_Prot#'!$A:$AL,38,FALSE)</f>
        <v>621</v>
      </c>
      <c r="AP378" s="5">
        <f t="shared" si="138"/>
        <v>32</v>
      </c>
      <c r="AQ378" s="4">
        <f t="shared" si="139"/>
        <v>4</v>
      </c>
      <c r="AR378" s="4">
        <f t="shared" si="140"/>
        <v>23</v>
      </c>
      <c r="AS378" s="4" t="str">
        <f t="shared" si="141"/>
        <v>-</v>
      </c>
      <c r="AT378" s="4">
        <f t="shared" si="142"/>
        <v>36</v>
      </c>
      <c r="AU378" s="4" t="str">
        <f t="shared" si="143"/>
        <v>-</v>
      </c>
      <c r="AV378" s="4">
        <f t="shared" si="144"/>
        <v>25</v>
      </c>
      <c r="AW378" s="4">
        <f t="shared" si="145"/>
        <v>2</v>
      </c>
      <c r="AX378" s="4">
        <f t="shared" si="146"/>
        <v>37</v>
      </c>
      <c r="AY378" s="4">
        <f t="shared" si="147"/>
        <v>54</v>
      </c>
      <c r="AZ378" s="4">
        <f t="shared" si="148"/>
        <v>23</v>
      </c>
      <c r="BA378" s="4">
        <f t="shared" si="149"/>
        <v>15</v>
      </c>
    </row>
    <row r="379" spans="1:53" x14ac:dyDescent="0.2">
      <c r="A379" s="1" t="str">
        <f>'SegEnds_NonXtal_Prot#'!A379</f>
        <v>fzd9_human</v>
      </c>
      <c r="B379" s="1" t="str">
        <f t="shared" si="125"/>
        <v>SRRDKDFALVWMAVWSALCFFSTAFTVLTFLLEYPERPIIFLSMCYNVYSLAFLIRATGCTLVFLLLYYFGMASSLWWVVLTLTWFLAAGKKWGIEAHGSYFHMAAWGLPALKTIVILTLDAAALTGFVLVPLSGYLVLGSSFLLTGFVALFHIRKIMTEKLEKLMVKIGVFSILYTVPATCVIVCYVYERLNMDFWRLRATEQPCAAAAGPGTVAVFMLKIFMSLVVGITSGVWVWSSKTFQTWQSLCYRKI</v>
      </c>
      <c r="C379" s="29" t="str">
        <f>IF(ISERROR(MATCH(A379,'SegEnds_Xtal_Prot#'!B:B, 0)), "NoXtal", "Xtal")</f>
        <v>NoXtal</v>
      </c>
      <c r="D379" s="4" t="str">
        <f>VLOOKUP(A379,Classification!A:D,2,FALSE)</f>
        <v>F</v>
      </c>
      <c r="E379" s="5" t="str">
        <f>VLOOKUP(A379,Seqs!A:B,2,FALSE)</f>
        <v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v>
      </c>
      <c r="F379" s="5" t="str">
        <f t="shared" si="126"/>
        <v>SRRDKDFALVWMAVWSALCFFSTAFTVLTFLLE</v>
      </c>
      <c r="G379" s="4" t="str">
        <f t="shared" si="127"/>
        <v>PHRFQ</v>
      </c>
      <c r="H379" s="4" t="str">
        <f t="shared" si="128"/>
        <v>YPERPIIFLSMCYNVYSLAFLIRA</v>
      </c>
      <c r="I379" s="4" t="str">
        <f t="shared" si="129"/>
        <v/>
      </c>
      <c r="J379" s="4" t="str">
        <f t="shared" si="130"/>
        <v>TGCTLVFLLLYYFGMASSLWWVVLTLTWFLAAGKKWG</v>
      </c>
      <c r="K379" s="4" t="str">
        <f t="shared" si="131"/>
        <v/>
      </c>
      <c r="L379" s="4" t="str">
        <f t="shared" si="132"/>
        <v>IEAHGSYFHMAAWGLPALKTIVILTL</v>
      </c>
      <c r="M379" s="4" t="str">
        <f t="shared" si="133"/>
        <v>CYV</v>
      </c>
      <c r="N379" s="4" t="str">
        <f t="shared" si="134"/>
        <v>DAAALTGFVLVPLSGYLVLGSSFLLTGFVALFHIRKIM</v>
      </c>
      <c r="O379" s="4" t="str">
        <f t="shared" si="135"/>
        <v>TEKLEKLMVKIGVFSILYTVPATCVIVCYVYERLNMDFWRLRATEQPCAAAAGPG</v>
      </c>
      <c r="P379" s="4" t="str">
        <f t="shared" si="136"/>
        <v>TVAVFMLKIFMSLVVGITSGVWVW</v>
      </c>
      <c r="Q379" s="4" t="str">
        <f t="shared" si="137"/>
        <v>SSKTFQTWQSLCYRKI</v>
      </c>
      <c r="R379" s="5">
        <f>VLOOKUP($A379,'SegEnds_NonXtal_Prot#'!$A:$AL,3,FALSE)</f>
        <v>224</v>
      </c>
      <c r="S379" s="5">
        <f>VLOOKUP($A379,'SegEnds_NonXtal_Prot#'!$A:$AL,6,FALSE)</f>
        <v>257</v>
      </c>
      <c r="T379" s="5">
        <f>VLOOKUP($A379,'SegEnds_NonXtal_Prot#'!$A:$AL,9,FALSE)</f>
        <v>262</v>
      </c>
      <c r="U379" s="5" t="str">
        <f>VLOOKUP($A379,'SegEnds_NonXtal_Prot#'!$A:$AL,12,FALSE)</f>
        <v>-</v>
      </c>
      <c r="V379" s="5">
        <f>VLOOKUP($A379,'SegEnds_NonXtal_Prot#'!$A:$AL,15,FALSE)</f>
        <v>311</v>
      </c>
      <c r="W379" s="5" t="str">
        <f>VLOOKUP($A379,'SegEnds_NonXtal_Prot#'!$A:$AL,18,FALSE)</f>
        <v>-</v>
      </c>
      <c r="X379" s="5">
        <f>VLOOKUP($A379,'SegEnds_NonXtal_Prot#'!$A:$AL,21,FALSE)</f>
        <v>351</v>
      </c>
      <c r="Y379" s="5">
        <f>VLOOKUP($A379,'SegEnds_NonXtal_Prot#'!$A:$AL,24,FALSE)</f>
        <v>388</v>
      </c>
      <c r="Z379" s="5">
        <f>VLOOKUP($A379,'SegEnds_NonXtal_Prot#'!$A:$AL,27,FALSE)</f>
        <v>394</v>
      </c>
      <c r="AA379" s="5">
        <f>VLOOKUP($A379,'SegEnds_NonXtal_Prot#'!$A:$AL,30,FALSE)</f>
        <v>438</v>
      </c>
      <c r="AB379" s="5">
        <f>VLOOKUP($A379,'SegEnds_NonXtal_Prot#'!$A:$AL,33,FALSE)</f>
        <v>506</v>
      </c>
      <c r="AC379" s="5">
        <f>VLOOKUP($A379,'SegEnds_NonXtal_Prot#'!$A:$AL,36,FALSE)</f>
        <v>530</v>
      </c>
      <c r="AD379" s="5">
        <f>VLOOKUP($A379,'SegEnds_NonXtal_Prot#'!$A:$AL,5,FALSE)</f>
        <v>256</v>
      </c>
      <c r="AE379" s="5">
        <f>VLOOKUP($A379,'SegEnds_NonXtal_Prot#'!$A:$AL,8,FALSE)</f>
        <v>261</v>
      </c>
      <c r="AF379" s="5">
        <f>VLOOKUP($A379,'SegEnds_NonXtal_Prot#'!$A:$AL,11,FALSE)</f>
        <v>285</v>
      </c>
      <c r="AG379" s="5" t="str">
        <f>VLOOKUP($A379,'SegEnds_NonXtal_Prot#'!$A:$AL,14,FALSE)</f>
        <v>-</v>
      </c>
      <c r="AH379" s="5">
        <f>VLOOKUP($A379,'SegEnds_NonXtal_Prot#'!$A:$AL,17,FALSE)</f>
        <v>347</v>
      </c>
      <c r="AI379" s="5" t="str">
        <f>VLOOKUP($A379,'SegEnds_NonXtal_Prot#'!$A:$AL,20,FALSE)</f>
        <v>-</v>
      </c>
      <c r="AJ379" s="5">
        <f>VLOOKUP($A379,'SegEnds_NonXtal_Prot#'!$A:$AL,23,FALSE)</f>
        <v>376</v>
      </c>
      <c r="AK379" s="5">
        <f>VLOOKUP($A379,'SegEnds_NonXtal_Prot#'!$A:$AL,26,FALSE)</f>
        <v>390</v>
      </c>
      <c r="AL379" s="5">
        <f>VLOOKUP($A379,'SegEnds_NonXtal_Prot#'!$A:$AL,29,FALSE)</f>
        <v>431</v>
      </c>
      <c r="AM379" s="5">
        <f>VLOOKUP($A379,'SegEnds_NonXtal_Prot#'!$A:$AL,32,FALSE)</f>
        <v>492</v>
      </c>
      <c r="AN379" s="5">
        <f>VLOOKUP($A379,'SegEnds_NonXtal_Prot#'!$A:$AL,35,FALSE)</f>
        <v>529</v>
      </c>
      <c r="AO379" s="5">
        <f>VLOOKUP($A379,'SegEnds_NonXtal_Prot#'!$A:$AL,38,FALSE)</f>
        <v>545</v>
      </c>
      <c r="AP379" s="5">
        <f t="shared" si="138"/>
        <v>32</v>
      </c>
      <c r="AQ379" s="4">
        <f t="shared" si="139"/>
        <v>4</v>
      </c>
      <c r="AR379" s="4">
        <f t="shared" si="140"/>
        <v>23</v>
      </c>
      <c r="AS379" s="4" t="str">
        <f t="shared" si="141"/>
        <v>-</v>
      </c>
      <c r="AT379" s="4">
        <f t="shared" si="142"/>
        <v>36</v>
      </c>
      <c r="AU379" s="4" t="str">
        <f t="shared" si="143"/>
        <v>-</v>
      </c>
      <c r="AV379" s="4">
        <f t="shared" si="144"/>
        <v>25</v>
      </c>
      <c r="AW379" s="4">
        <f t="shared" si="145"/>
        <v>2</v>
      </c>
      <c r="AX379" s="4">
        <f t="shared" si="146"/>
        <v>37</v>
      </c>
      <c r="AY379" s="4">
        <f t="shared" si="147"/>
        <v>54</v>
      </c>
      <c r="AZ379" s="4">
        <f t="shared" si="148"/>
        <v>23</v>
      </c>
      <c r="BA379" s="4">
        <f t="shared" si="149"/>
        <v>15</v>
      </c>
    </row>
    <row r="380" spans="1:53" x14ac:dyDescent="0.2">
      <c r="A380" s="1" t="str">
        <f>'SegEnds_NonXtal_Prot#'!A382</f>
        <v>g137a_human</v>
      </c>
      <c r="B380" s="1" t="str">
        <f t="shared" si="125"/>
        <v>PAVTLGLTAAYTTLYALLFFSVYAQLWLVLLYGHKRLSYQTVFLTVFLALCLLWAALRTTLFSFYFRDTKVKRRPEMSRGLLAVRGAFVGASLLFLLVNVLCARVLVSDSLFVICALSLAACLCLVARNVSDQADLVNDLGNKGYLVFGLIGHCEDEGCSWEHSRGESTRCQDQAAPSPTEYPGPSPPHPRPLCQVCLPLLAQDPGGRG</v>
      </c>
      <c r="C380" s="29" t="str">
        <f>IF(ISERROR(MATCH(A380,'SegEnds_Xtal_Prot#'!B:B, 0)), "NoXtal", "Xtal")</f>
        <v>NoXtal</v>
      </c>
      <c r="D380" s="4" t="str">
        <f>VLOOKUP(A380,Classification!A:D,2,FALSE)</f>
        <v>O</v>
      </c>
      <c r="E380" s="5" t="str">
        <f>VLOOKUP(A380,Seqs!A:B,2,FALSE)</f>
        <v>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</v>
      </c>
      <c r="F380" s="5" t="str">
        <f t="shared" si="126"/>
        <v>PAVTLGLTAAYTTLYALLFFSVYAQLWLVLLYGHKRLSYQTVFL</v>
      </c>
      <c r="G380" s="4" t="str">
        <f t="shared" si="127"/>
        <v/>
      </c>
      <c r="H380" s="4" t="str">
        <f t="shared" si="128"/>
        <v>TVFLALCLLWAALRTTLFSFYFRDT</v>
      </c>
      <c r="I380" s="4" t="str">
        <f t="shared" si="129"/>
        <v/>
      </c>
      <c r="J380" s="4" t="str">
        <f t="shared" si="130"/>
        <v>KVKRRPEMSRGLLAVRGAFVGASLLFLLVNVLCA</v>
      </c>
      <c r="K380" s="4" t="str">
        <f t="shared" si="131"/>
        <v/>
      </c>
      <c r="L380" s="4" t="str">
        <f t="shared" si="132"/>
        <v>RVLVSDSLFVICALSLAACLCLVAR</v>
      </c>
      <c r="M380" s="4" t="str">
        <f t="shared" si="133"/>
        <v/>
      </c>
      <c r="N380" s="4" t="str">
        <f t="shared" si="134"/>
        <v>NVSDQADLVNDLGNKGYLVFGLI</v>
      </c>
      <c r="O380" s="4" t="str">
        <f t="shared" si="135"/>
        <v>GHCEDEGCSWEHSRGESTRCQDQAA</v>
      </c>
      <c r="P380" s="4" t="str">
        <f t="shared" si="136"/>
        <v>PSPTEYPGPSPPHPRPLCQVCL</v>
      </c>
      <c r="Q380" s="4" t="str">
        <f t="shared" si="137"/>
        <v>PLLAQDPGGRG</v>
      </c>
      <c r="R380" s="5">
        <f>VLOOKUP($A380,'SegEnds_NonXtal_Prot#'!$A:$AL,3,FALSE)</f>
        <v>20</v>
      </c>
      <c r="S380" s="5" t="str">
        <f>VLOOKUP($A380,'SegEnds_NonXtal_Prot#'!$A:$AL,6,FALSE)</f>
        <v>-</v>
      </c>
      <c r="T380" s="5">
        <f>VLOOKUP($A380,'SegEnds_NonXtal_Prot#'!$A:$AL,9,FALSE)</f>
        <v>60</v>
      </c>
      <c r="U380" s="5" t="str">
        <f>VLOOKUP($A380,'SegEnds_NonXtal_Prot#'!$A:$AL,12,FALSE)</f>
        <v>-</v>
      </c>
      <c r="V380" s="5">
        <f>VLOOKUP($A380,'SegEnds_NonXtal_Prot#'!$A:$AL,15,FALSE)</f>
        <v>125</v>
      </c>
      <c r="W380" s="5" t="str">
        <f>VLOOKUP($A380,'SegEnds_NonXtal_Prot#'!$A:$AL,18,FALSE)</f>
        <v>-</v>
      </c>
      <c r="X380" s="5">
        <f>VLOOKUP($A380,'SegEnds_NonXtal_Prot#'!$A:$AL,21,FALSE)</f>
        <v>175</v>
      </c>
      <c r="Y380" s="5" t="str">
        <f>VLOOKUP($A380,'SegEnds_NonXtal_Prot#'!$A:$AL,24,FALSE)</f>
        <v>-</v>
      </c>
      <c r="Z380" s="5">
        <f>VLOOKUP($A380,'SegEnds_NonXtal_Prot#'!$A:$AL,27,FALSE)</f>
        <v>257</v>
      </c>
      <c r="AA380" s="5">
        <f>VLOOKUP($A380,'SegEnds_NonXtal_Prot#'!$A:$AL,30,FALSE)</f>
        <v>326</v>
      </c>
      <c r="AB380" s="5">
        <f>VLOOKUP($A380,'SegEnds_NonXtal_Prot#'!$A:$AL,33,FALSE)</f>
        <v>365</v>
      </c>
      <c r="AC380" s="5">
        <f>VLOOKUP($A380,'SegEnds_NonXtal_Prot#'!$A:$AL,36,FALSE)</f>
        <v>387</v>
      </c>
      <c r="AD380" s="5">
        <f>VLOOKUP($A380,'SegEnds_NonXtal_Prot#'!$A:$AL,5,FALSE)</f>
        <v>63</v>
      </c>
      <c r="AE380" s="5" t="str">
        <f>VLOOKUP($A380,'SegEnds_NonXtal_Prot#'!$A:$AL,8,FALSE)</f>
        <v>-</v>
      </c>
      <c r="AF380" s="5">
        <f>VLOOKUP($A380,'SegEnds_NonXtal_Prot#'!$A:$AL,11,FALSE)</f>
        <v>84</v>
      </c>
      <c r="AG380" s="5" t="str">
        <f>VLOOKUP($A380,'SegEnds_NonXtal_Prot#'!$A:$AL,14,FALSE)</f>
        <v>-</v>
      </c>
      <c r="AH380" s="5">
        <f>VLOOKUP($A380,'SegEnds_NonXtal_Prot#'!$A:$AL,17,FALSE)</f>
        <v>158</v>
      </c>
      <c r="AI380" s="5" t="str">
        <f>VLOOKUP($A380,'SegEnds_NonXtal_Prot#'!$A:$AL,20,FALSE)</f>
        <v>-</v>
      </c>
      <c r="AJ380" s="5">
        <f>VLOOKUP($A380,'SegEnds_NonXtal_Prot#'!$A:$AL,23,FALSE)</f>
        <v>199</v>
      </c>
      <c r="AK380" s="5" t="str">
        <f>VLOOKUP($A380,'SegEnds_NonXtal_Prot#'!$A:$AL,26,FALSE)</f>
        <v>-</v>
      </c>
      <c r="AL380" s="5">
        <f>VLOOKUP($A380,'SegEnds_NonXtal_Prot#'!$A:$AL,29,FALSE)</f>
        <v>279</v>
      </c>
      <c r="AM380" s="5">
        <f>VLOOKUP($A380,'SegEnds_NonXtal_Prot#'!$A:$AL,32,FALSE)</f>
        <v>350</v>
      </c>
      <c r="AN380" s="5">
        <f>VLOOKUP($A380,'SegEnds_NonXtal_Prot#'!$A:$AL,35,FALSE)</f>
        <v>386</v>
      </c>
      <c r="AO380" s="5">
        <f>VLOOKUP($A380,'SegEnds_NonXtal_Prot#'!$A:$AL,38,FALSE)</f>
        <v>397</v>
      </c>
      <c r="AP380" s="5">
        <f t="shared" si="138"/>
        <v>43</v>
      </c>
      <c r="AQ380" s="4" t="str">
        <f t="shared" si="139"/>
        <v>-</v>
      </c>
      <c r="AR380" s="4">
        <f t="shared" si="140"/>
        <v>24</v>
      </c>
      <c r="AS380" s="4" t="str">
        <f t="shared" si="141"/>
        <v>-</v>
      </c>
      <c r="AT380" s="4">
        <f t="shared" si="142"/>
        <v>33</v>
      </c>
      <c r="AU380" s="4" t="str">
        <f t="shared" si="143"/>
        <v>-</v>
      </c>
      <c r="AV380" s="4">
        <f t="shared" si="144"/>
        <v>24</v>
      </c>
      <c r="AW380" s="4" t="str">
        <f t="shared" si="145"/>
        <v>-</v>
      </c>
      <c r="AX380" s="4">
        <f t="shared" si="146"/>
        <v>22</v>
      </c>
      <c r="AY380" s="4">
        <f t="shared" si="147"/>
        <v>24</v>
      </c>
      <c r="AZ380" s="4">
        <f t="shared" si="148"/>
        <v>21</v>
      </c>
      <c r="BA380" s="4">
        <f t="shared" si="149"/>
        <v>10</v>
      </c>
    </row>
    <row r="381" spans="1:53" x14ac:dyDescent="0.2">
      <c r="A381" s="1" t="str">
        <f>'SegEnds_NonXtal_Prot#'!A380</f>
        <v>smo_human</v>
      </c>
      <c r="B381" s="1" t="str">
        <f t="shared" si="125"/>
        <v>TEAEHQDMHSYIAAFGAVTGLCTLFTLATFVADRYPAVILFYVNACFFVGSIGWLAQFLSCVIIFVIVYYALMAGVVWFVVLTYAWHTSFKALGTLSGKTSYFHLLTWSLPFVLTVAILAVNYRYRAGFVLAPIGLVLIVGGYFLIRGVMTLFSIKSNHASKINETMLRLGIFGFLAFGFVLITFSCHFYDFFNQAEWERSFRDYVLCQANVTISLLVEKINLFAMFGTGIAMSTWVWTKATLLIWRRTWCRLT</v>
      </c>
      <c r="C381" s="29" t="str">
        <f>IF(ISERROR(MATCH(A381,'SegEnds_Xtal_Prot#'!B:B, 0)), "NoXtal", "Xtal")</f>
        <v>Xtal</v>
      </c>
      <c r="D381" s="4" t="str">
        <f>VLOOKUP(A381,Classification!A:D,2,FALSE)</f>
        <v>F</v>
      </c>
      <c r="E381" s="5" t="str">
        <f>VLOOKUP(A381,Seqs!A:B,2,FALSE)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F381" s="5" t="str">
        <f t="shared" si="126"/>
        <v>TEAEHQDMHSYIAAFGAVTGLCTLFTLATFVAD</v>
      </c>
      <c r="G381" s="4" t="str">
        <f t="shared" si="127"/>
        <v>WRNSN</v>
      </c>
      <c r="H381" s="4" t="str">
        <f t="shared" si="128"/>
        <v>RYPAVILFYVNACFFVGSIGWLAQF</v>
      </c>
      <c r="I381" s="4" t="str">
        <f t="shared" si="129"/>
        <v/>
      </c>
      <c r="J381" s="4" t="str">
        <f t="shared" si="130"/>
        <v>LSCVIIFVIVYYALMAGVVWFVVLTYAWHTSFKALGT</v>
      </c>
      <c r="K381" s="4" t="str">
        <f t="shared" si="131"/>
        <v/>
      </c>
      <c r="L381" s="4" t="str">
        <f t="shared" si="132"/>
        <v>LSGKTSYFHLLTWSLPFVLTVAILAV</v>
      </c>
      <c r="M381" s="4" t="str">
        <f t="shared" si="133"/>
        <v>CFV</v>
      </c>
      <c r="N381" s="4" t="str">
        <f t="shared" si="134"/>
        <v>NYRYRAGFVLAPIGLVLIVGGYFLIRGVMTLFSIKSNH</v>
      </c>
      <c r="O381" s="4" t="str">
        <f t="shared" si="135"/>
        <v>ASKINETMLRLGIFGFLAFGFVLITFSCHFYDFFNQAEWERSFRDYVLCQANVTI</v>
      </c>
      <c r="P381" s="4" t="str">
        <f t="shared" si="136"/>
        <v>SLLVEKINLFAMFGTGIAMSTWVW</v>
      </c>
      <c r="Q381" s="4" t="str">
        <f t="shared" si="137"/>
        <v>TKATLLIWRRTWCRLT</v>
      </c>
      <c r="R381" s="5">
        <f>VLOOKUP($A381,'SegEnds_NonXtal_Prot#'!$A:$AL,3,FALSE)</f>
        <v>223</v>
      </c>
      <c r="S381" s="5">
        <f>VLOOKUP($A381,'SegEnds_NonXtal_Prot#'!$A:$AL,6,FALSE)</f>
        <v>256</v>
      </c>
      <c r="T381" s="5">
        <f>VLOOKUP($A381,'SegEnds_NonXtal_Prot#'!$A:$AL,9,FALSE)</f>
        <v>261</v>
      </c>
      <c r="U381" s="5" t="str">
        <f>VLOOKUP($A381,'SegEnds_NonXtal_Prot#'!$A:$AL,12,FALSE)</f>
        <v>-</v>
      </c>
      <c r="V381" s="5">
        <f>VLOOKUP($A381,'SegEnds_NonXtal_Prot#'!$A:$AL,15,FALSE)</f>
        <v>312</v>
      </c>
      <c r="W381" s="5" t="str">
        <f>VLOOKUP($A381,'SegEnds_NonXtal_Prot#'!$A:$AL,18,FALSE)</f>
        <v>-</v>
      </c>
      <c r="X381" s="5">
        <f>VLOOKUP($A381,'SegEnds_NonXtal_Prot#'!$A:$AL,21,FALSE)</f>
        <v>353</v>
      </c>
      <c r="Y381" s="5">
        <f>VLOOKUP($A381,'SegEnds_NonXtal_Prot#'!$A:$AL,24,FALSE)</f>
        <v>390</v>
      </c>
      <c r="Z381" s="5">
        <f>VLOOKUP($A381,'SegEnds_NonXtal_Prot#'!$A:$AL,27,FALSE)</f>
        <v>396</v>
      </c>
      <c r="AA381" s="5">
        <f>VLOOKUP($A381,'SegEnds_NonXtal_Prot#'!$A:$AL,30,FALSE)</f>
        <v>442</v>
      </c>
      <c r="AB381" s="5">
        <f>VLOOKUP($A381,'SegEnds_NonXtal_Prot#'!$A:$AL,33,FALSE)</f>
        <v>514</v>
      </c>
      <c r="AC381" s="5">
        <f>VLOOKUP($A381,'SegEnds_NonXtal_Prot#'!$A:$AL,36,FALSE)</f>
        <v>538</v>
      </c>
      <c r="AD381" s="5">
        <f>VLOOKUP($A381,'SegEnds_NonXtal_Prot#'!$A:$AL,5,FALSE)</f>
        <v>255</v>
      </c>
      <c r="AE381" s="5">
        <f>VLOOKUP($A381,'SegEnds_NonXtal_Prot#'!$A:$AL,8,FALSE)</f>
        <v>260</v>
      </c>
      <c r="AF381" s="5">
        <f>VLOOKUP($A381,'SegEnds_NonXtal_Prot#'!$A:$AL,11,FALSE)</f>
        <v>285</v>
      </c>
      <c r="AG381" s="5" t="str">
        <f>VLOOKUP($A381,'SegEnds_NonXtal_Prot#'!$A:$AL,14,FALSE)</f>
        <v>-</v>
      </c>
      <c r="AH381" s="5">
        <f>VLOOKUP($A381,'SegEnds_NonXtal_Prot#'!$A:$AL,17,FALSE)</f>
        <v>348</v>
      </c>
      <c r="AI381" s="5" t="str">
        <f>VLOOKUP($A381,'SegEnds_NonXtal_Prot#'!$A:$AL,20,FALSE)</f>
        <v>-</v>
      </c>
      <c r="AJ381" s="5">
        <f>VLOOKUP($A381,'SegEnds_NonXtal_Prot#'!$A:$AL,23,FALSE)</f>
        <v>378</v>
      </c>
      <c r="AK381" s="5">
        <f>VLOOKUP($A381,'SegEnds_NonXtal_Prot#'!$A:$AL,26,FALSE)</f>
        <v>392</v>
      </c>
      <c r="AL381" s="5">
        <f>VLOOKUP($A381,'SegEnds_NonXtal_Prot#'!$A:$AL,29,FALSE)</f>
        <v>433</v>
      </c>
      <c r="AM381" s="5">
        <f>VLOOKUP($A381,'SegEnds_NonXtal_Prot#'!$A:$AL,32,FALSE)</f>
        <v>496</v>
      </c>
      <c r="AN381" s="5">
        <f>VLOOKUP($A381,'SegEnds_NonXtal_Prot#'!$A:$AL,35,FALSE)</f>
        <v>537</v>
      </c>
      <c r="AO381" s="5">
        <f>VLOOKUP($A381,'SegEnds_NonXtal_Prot#'!$A:$AL,38,FALSE)</f>
        <v>553</v>
      </c>
      <c r="AP381" s="5">
        <f t="shared" si="138"/>
        <v>32</v>
      </c>
      <c r="AQ381" s="4">
        <f t="shared" si="139"/>
        <v>4</v>
      </c>
      <c r="AR381" s="4">
        <f t="shared" si="140"/>
        <v>24</v>
      </c>
      <c r="AS381" s="4" t="str">
        <f t="shared" si="141"/>
        <v>-</v>
      </c>
      <c r="AT381" s="4">
        <f t="shared" si="142"/>
        <v>36</v>
      </c>
      <c r="AU381" s="4" t="str">
        <f t="shared" si="143"/>
        <v>-</v>
      </c>
      <c r="AV381" s="4">
        <f t="shared" si="144"/>
        <v>25</v>
      </c>
      <c r="AW381" s="4">
        <f t="shared" si="145"/>
        <v>2</v>
      </c>
      <c r="AX381" s="4">
        <f t="shared" si="146"/>
        <v>37</v>
      </c>
      <c r="AY381" s="4">
        <f t="shared" si="147"/>
        <v>54</v>
      </c>
      <c r="AZ381" s="4">
        <f t="shared" si="148"/>
        <v>23</v>
      </c>
      <c r="BA381" s="4">
        <f t="shared" si="149"/>
        <v>15</v>
      </c>
    </row>
    <row r="382" spans="1:53" x14ac:dyDescent="0.2">
      <c r="A382" s="1" t="str">
        <f>'SegEnds_NonXtal_Prot#'!A384</f>
        <v>gp143_human</v>
      </c>
      <c r="B382" s="1" t="str">
        <f t="shared" si="125"/>
        <v>PTRDAATQLVLSFQPRAFHALCLGSGGLRLALGLLQLLPGRSVRILRAAAACDLLGCLGMVIRSTVAFCVGSAMWIQLLYSACFWWLFCYAVDAYLVIRRSTILLYHIMAWGLATLLCVEGAAMLHAIPHYVTMYLPLLLVLVANPILMGAVIKIRFFKIMLVLIICWLSNIIFIMGILNPAQGFLLSLAFYGWTGCSLGFQSPRK</v>
      </c>
      <c r="C382" s="29" t="str">
        <f>IF(ISERROR(MATCH(A382,'SegEnds_Xtal_Prot#'!B:B, 0)), "NoXtal", "Xtal")</f>
        <v>NoXtal</v>
      </c>
      <c r="D382" s="4" t="str">
        <f>VLOOKUP(A382,Classification!A:D,2,FALSE)</f>
        <v>O</v>
      </c>
      <c r="E382" s="5" t="str">
        <f>VLOOKUP(A382,Seqs!A:B,2,FALSE)</f>
        <v>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v>
      </c>
      <c r="F382" s="5" t="str">
        <f t="shared" si="126"/>
        <v>PTRDAATQLVLSFQPRAFHALCLGSGGLRLALGLLQLLPGR</v>
      </c>
      <c r="G382" s="4" t="str">
        <f t="shared" si="127"/>
        <v/>
      </c>
      <c r="H382" s="4" t="str">
        <f t="shared" si="128"/>
        <v>SVRILRAAAACDLLGCLGMVIRSTV</v>
      </c>
      <c r="I382" s="4" t="str">
        <f t="shared" si="129"/>
        <v/>
      </c>
      <c r="J382" s="4" t="str">
        <f t="shared" si="130"/>
        <v>AFCVGSAMWIQLLYSACFWWLFCYAVDAYLVIRR</v>
      </c>
      <c r="K382" s="4" t="str">
        <f t="shared" si="131"/>
        <v/>
      </c>
      <c r="L382" s="4" t="str">
        <f t="shared" si="132"/>
        <v>STILLYHIMAWGLATLLCVEGAAML</v>
      </c>
      <c r="M382" s="4" t="str">
        <f t="shared" si="133"/>
        <v/>
      </c>
      <c r="N382" s="4" t="str">
        <f t="shared" si="134"/>
        <v>HAIPHYVTMYLPLLLVLVANPIL</v>
      </c>
      <c r="O382" s="4" t="str">
        <f t="shared" si="135"/>
        <v>MGAVIKIRFFKIMLVLIICWLSNII</v>
      </c>
      <c r="P382" s="4" t="str">
        <f t="shared" si="136"/>
        <v>FIMGILNPAQGFLLSLAFYGWT</v>
      </c>
      <c r="Q382" s="4" t="str">
        <f t="shared" si="137"/>
        <v>GCSLGFQSPRK</v>
      </c>
      <c r="R382" s="5">
        <f>VLOOKUP($A382,'SegEnds_NonXtal_Prot#'!$A:$AL,3,FALSE)</f>
        <v>12</v>
      </c>
      <c r="S382" s="5" t="str">
        <f>VLOOKUP($A382,'SegEnds_NonXtal_Prot#'!$A:$AL,6,FALSE)</f>
        <v>-</v>
      </c>
      <c r="T382" s="5">
        <f>VLOOKUP($A382,'SegEnds_NonXtal_Prot#'!$A:$AL,9,FALSE)</f>
        <v>67</v>
      </c>
      <c r="U382" s="5" t="str">
        <f>VLOOKUP($A382,'SegEnds_NonXtal_Prot#'!$A:$AL,12,FALSE)</f>
        <v>-</v>
      </c>
      <c r="V382" s="5">
        <f>VLOOKUP($A382,'SegEnds_NonXtal_Prot#'!$A:$AL,15,FALSE)</f>
        <v>114</v>
      </c>
      <c r="W382" s="5" t="str">
        <f>VLOOKUP($A382,'SegEnds_NonXtal_Prot#'!$A:$AL,18,FALSE)</f>
        <v>-</v>
      </c>
      <c r="X382" s="5">
        <f>VLOOKUP($A382,'SegEnds_NonXtal_Prot#'!$A:$AL,21,FALSE)</f>
        <v>152</v>
      </c>
      <c r="Y382" s="5" t="str">
        <f>VLOOKUP($A382,'SegEnds_NonXtal_Prot#'!$A:$AL,24,FALSE)</f>
        <v>-</v>
      </c>
      <c r="Z382" s="5">
        <f>VLOOKUP($A382,'SegEnds_NonXtal_Prot#'!$A:$AL,27,FALSE)</f>
        <v>190</v>
      </c>
      <c r="AA382" s="5">
        <f>VLOOKUP($A382,'SegEnds_NonXtal_Prot#'!$A:$AL,30,FALSE)</f>
        <v>238</v>
      </c>
      <c r="AB382" s="5">
        <f>VLOOKUP($A382,'SegEnds_NonXtal_Prot#'!$A:$AL,33,FALSE)</f>
        <v>293</v>
      </c>
      <c r="AC382" s="5">
        <f>VLOOKUP($A382,'SegEnds_NonXtal_Prot#'!$A:$AL,36,FALSE)</f>
        <v>315</v>
      </c>
      <c r="AD382" s="5">
        <f>VLOOKUP($A382,'SegEnds_NonXtal_Prot#'!$A:$AL,5,FALSE)</f>
        <v>52</v>
      </c>
      <c r="AE382" s="5" t="str">
        <f>VLOOKUP($A382,'SegEnds_NonXtal_Prot#'!$A:$AL,8,FALSE)</f>
        <v>-</v>
      </c>
      <c r="AF382" s="5">
        <f>VLOOKUP($A382,'SegEnds_NonXtal_Prot#'!$A:$AL,11,FALSE)</f>
        <v>91</v>
      </c>
      <c r="AG382" s="5" t="str">
        <f>VLOOKUP($A382,'SegEnds_NonXtal_Prot#'!$A:$AL,14,FALSE)</f>
        <v>-</v>
      </c>
      <c r="AH382" s="5">
        <f>VLOOKUP($A382,'SegEnds_NonXtal_Prot#'!$A:$AL,17,FALSE)</f>
        <v>147</v>
      </c>
      <c r="AI382" s="5" t="str">
        <f>VLOOKUP($A382,'SegEnds_NonXtal_Prot#'!$A:$AL,20,FALSE)</f>
        <v>-</v>
      </c>
      <c r="AJ382" s="5">
        <f>VLOOKUP($A382,'SegEnds_NonXtal_Prot#'!$A:$AL,23,FALSE)</f>
        <v>176</v>
      </c>
      <c r="AK382" s="5" t="str">
        <f>VLOOKUP($A382,'SegEnds_NonXtal_Prot#'!$A:$AL,26,FALSE)</f>
        <v>-</v>
      </c>
      <c r="AL382" s="5">
        <f>VLOOKUP($A382,'SegEnds_NonXtal_Prot#'!$A:$AL,29,FALSE)</f>
        <v>212</v>
      </c>
      <c r="AM382" s="5">
        <f>VLOOKUP($A382,'SegEnds_NonXtal_Prot#'!$A:$AL,32,FALSE)</f>
        <v>262</v>
      </c>
      <c r="AN382" s="5">
        <f>VLOOKUP($A382,'SegEnds_NonXtal_Prot#'!$A:$AL,35,FALSE)</f>
        <v>314</v>
      </c>
      <c r="AO382" s="5">
        <f>VLOOKUP($A382,'SegEnds_NonXtal_Prot#'!$A:$AL,38,FALSE)</f>
        <v>325</v>
      </c>
      <c r="AP382" s="5">
        <f t="shared" si="138"/>
        <v>40</v>
      </c>
      <c r="AQ382" s="4" t="str">
        <f t="shared" si="139"/>
        <v>-</v>
      </c>
      <c r="AR382" s="4">
        <f t="shared" si="140"/>
        <v>24</v>
      </c>
      <c r="AS382" s="4" t="str">
        <f t="shared" si="141"/>
        <v>-</v>
      </c>
      <c r="AT382" s="4">
        <f t="shared" si="142"/>
        <v>33</v>
      </c>
      <c r="AU382" s="4" t="str">
        <f t="shared" si="143"/>
        <v>-</v>
      </c>
      <c r="AV382" s="4">
        <f t="shared" si="144"/>
        <v>24</v>
      </c>
      <c r="AW382" s="4" t="str">
        <f t="shared" si="145"/>
        <v>-</v>
      </c>
      <c r="AX382" s="4">
        <f t="shared" si="146"/>
        <v>22</v>
      </c>
      <c r="AY382" s="4">
        <f t="shared" si="147"/>
        <v>24</v>
      </c>
      <c r="AZ382" s="4">
        <f t="shared" si="148"/>
        <v>21</v>
      </c>
      <c r="BA382" s="4">
        <f t="shared" si="149"/>
        <v>10</v>
      </c>
    </row>
    <row r="383" spans="1:53" x14ac:dyDescent="0.2">
      <c r="A383" s="1" t="str">
        <f>'SegEnds_NonXtal_Prot#'!A385</f>
        <v>gp157_human</v>
      </c>
      <c r="B383" s="1" t="str">
        <f t="shared" si="125"/>
        <v>PSERAVVLLSCALSALGSGLLVATHALWARRLLLFLSLADLLSAASYFYGVLQWDCVLQGALSTFANTSSFFWTVAIALYLYLSIVRHVVSWGVPLVITVAAVALKKIGYDASVGWCWIDLEAKDHVLWMLLTGKLSQEHRLLRHSSMADKKLVLIPLIFVVLHGIGNTFQGGANCIMFVLCVRTRLFSLCCCCCSSQ</v>
      </c>
      <c r="C383" s="29" t="str">
        <f>IF(ISERROR(MATCH(A383,'SegEnds_Xtal_Prot#'!B:B, 0)), "NoXtal", "Xtal")</f>
        <v>NoXtal</v>
      </c>
      <c r="D383" s="4" t="str">
        <f>VLOOKUP(A383,Classification!A:D,2,FALSE)</f>
        <v>O</v>
      </c>
      <c r="E383" s="5" t="str">
        <f>VLOOKUP(A383,Seqs!A:B,2,FALSE)</f>
        <v>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</v>
      </c>
      <c r="F383" s="5" t="str">
        <f t="shared" si="126"/>
        <v>PSERAVVLLSCALSALGSGLLVATHALW</v>
      </c>
      <c r="G383" s="4" t="str">
        <f t="shared" si="127"/>
        <v/>
      </c>
      <c r="H383" s="4" t="str">
        <f t="shared" si="128"/>
        <v>ARRLLLFLSLADLLSAASYFYGVLQ</v>
      </c>
      <c r="I383" s="4" t="str">
        <f t="shared" si="129"/>
        <v/>
      </c>
      <c r="J383" s="4" t="str">
        <f t="shared" si="130"/>
        <v>WDCVLQGALSTFANTSSFFWTVAIALYLYLSIVR</v>
      </c>
      <c r="K383" s="4" t="str">
        <f t="shared" si="131"/>
        <v/>
      </c>
      <c r="L383" s="4" t="str">
        <f t="shared" si="132"/>
        <v>HVVSWGVPLVITVAAVALKKIGYDA</v>
      </c>
      <c r="M383" s="4" t="str">
        <f t="shared" si="133"/>
        <v/>
      </c>
      <c r="N383" s="4" t="str">
        <f t="shared" si="134"/>
        <v>SVGWCWIDLEAKDHVLWMLLTGK</v>
      </c>
      <c r="O383" s="4" t="str">
        <f t="shared" si="135"/>
        <v>LSQEHRLLRHSSMADKKLVLIPLIF</v>
      </c>
      <c r="P383" s="4" t="str">
        <f t="shared" si="136"/>
        <v>VVLHGIGNTFQGGANCIMFVLC</v>
      </c>
      <c r="Q383" s="4" t="str">
        <f t="shared" si="137"/>
        <v>VRTRLFSLCCCCCSSQ</v>
      </c>
      <c r="R383" s="5">
        <f>VLOOKUP($A383,'SegEnds_NonXtal_Prot#'!$A:$AL,3,FALSE)</f>
        <v>12</v>
      </c>
      <c r="S383" s="5" t="str">
        <f>VLOOKUP($A383,'SegEnds_NonXtal_Prot#'!$A:$AL,6,FALSE)</f>
        <v>-</v>
      </c>
      <c r="T383" s="5">
        <f>VLOOKUP($A383,'SegEnds_NonXtal_Prot#'!$A:$AL,9,FALSE)</f>
        <v>46</v>
      </c>
      <c r="U383" s="5" t="str">
        <f>VLOOKUP($A383,'SegEnds_NonXtal_Prot#'!$A:$AL,12,FALSE)</f>
        <v>-</v>
      </c>
      <c r="V383" s="5">
        <f>VLOOKUP($A383,'SegEnds_NonXtal_Prot#'!$A:$AL,15,FALSE)</f>
        <v>77</v>
      </c>
      <c r="W383" s="5" t="str">
        <f>VLOOKUP($A383,'SegEnds_NonXtal_Prot#'!$A:$AL,18,FALSE)</f>
        <v>-</v>
      </c>
      <c r="X383" s="5">
        <f>VLOOKUP($A383,'SegEnds_NonXtal_Prot#'!$A:$AL,21,FALSE)</f>
        <v>125</v>
      </c>
      <c r="Y383" s="5" t="str">
        <f>VLOOKUP($A383,'SegEnds_NonXtal_Prot#'!$A:$AL,24,FALSE)</f>
        <v>-</v>
      </c>
      <c r="Z383" s="5">
        <f>VLOOKUP($A383,'SegEnds_NonXtal_Prot#'!$A:$AL,27,FALSE)</f>
        <v>153</v>
      </c>
      <c r="AA383" s="5">
        <f>VLOOKUP($A383,'SegEnds_NonXtal_Prot#'!$A:$AL,30,FALSE)</f>
        <v>210</v>
      </c>
      <c r="AB383" s="5">
        <f>VLOOKUP($A383,'SegEnds_NonXtal_Prot#'!$A:$AL,33,FALSE)</f>
        <v>261</v>
      </c>
      <c r="AC383" s="5">
        <f>VLOOKUP($A383,'SegEnds_NonXtal_Prot#'!$A:$AL,36,FALSE)</f>
        <v>286</v>
      </c>
      <c r="AD383" s="5">
        <f>VLOOKUP($A383,'SegEnds_NonXtal_Prot#'!$A:$AL,5,FALSE)</f>
        <v>39</v>
      </c>
      <c r="AE383" s="5" t="str">
        <f>VLOOKUP($A383,'SegEnds_NonXtal_Prot#'!$A:$AL,8,FALSE)</f>
        <v>-</v>
      </c>
      <c r="AF383" s="5">
        <f>VLOOKUP($A383,'SegEnds_NonXtal_Prot#'!$A:$AL,11,FALSE)</f>
        <v>70</v>
      </c>
      <c r="AG383" s="5" t="str">
        <f>VLOOKUP($A383,'SegEnds_NonXtal_Prot#'!$A:$AL,14,FALSE)</f>
        <v>-</v>
      </c>
      <c r="AH383" s="5">
        <f>VLOOKUP($A383,'SegEnds_NonXtal_Prot#'!$A:$AL,17,FALSE)</f>
        <v>110</v>
      </c>
      <c r="AI383" s="5" t="str">
        <f>VLOOKUP($A383,'SegEnds_NonXtal_Prot#'!$A:$AL,20,FALSE)</f>
        <v>-</v>
      </c>
      <c r="AJ383" s="5">
        <f>VLOOKUP($A383,'SegEnds_NonXtal_Prot#'!$A:$AL,23,FALSE)</f>
        <v>149</v>
      </c>
      <c r="AK383" s="5" t="str">
        <f>VLOOKUP($A383,'SegEnds_NonXtal_Prot#'!$A:$AL,26,FALSE)</f>
        <v>-</v>
      </c>
      <c r="AL383" s="5">
        <f>VLOOKUP($A383,'SegEnds_NonXtal_Prot#'!$A:$AL,29,FALSE)</f>
        <v>175</v>
      </c>
      <c r="AM383" s="5">
        <f>VLOOKUP($A383,'SegEnds_NonXtal_Prot#'!$A:$AL,32,FALSE)</f>
        <v>234</v>
      </c>
      <c r="AN383" s="5">
        <f>VLOOKUP($A383,'SegEnds_NonXtal_Prot#'!$A:$AL,35,FALSE)</f>
        <v>282</v>
      </c>
      <c r="AO383" s="5">
        <f>VLOOKUP($A383,'SegEnds_NonXtal_Prot#'!$A:$AL,38,FALSE)</f>
        <v>301</v>
      </c>
      <c r="AP383" s="5">
        <f t="shared" si="138"/>
        <v>27</v>
      </c>
      <c r="AQ383" s="4" t="str">
        <f t="shared" si="139"/>
        <v>-</v>
      </c>
      <c r="AR383" s="4">
        <f t="shared" si="140"/>
        <v>24</v>
      </c>
      <c r="AS383" s="4" t="str">
        <f t="shared" si="141"/>
        <v>-</v>
      </c>
      <c r="AT383" s="4">
        <f t="shared" si="142"/>
        <v>33</v>
      </c>
      <c r="AU383" s="4" t="str">
        <f t="shared" si="143"/>
        <v>-</v>
      </c>
      <c r="AV383" s="4">
        <f t="shared" si="144"/>
        <v>24</v>
      </c>
      <c r="AW383" s="4" t="str">
        <f t="shared" si="145"/>
        <v>-</v>
      </c>
      <c r="AX383" s="4">
        <f t="shared" si="146"/>
        <v>22</v>
      </c>
      <c r="AY383" s="4">
        <f t="shared" si="147"/>
        <v>24</v>
      </c>
      <c r="AZ383" s="4">
        <f t="shared" si="148"/>
        <v>21</v>
      </c>
      <c r="BA383" s="4">
        <f t="shared" si="149"/>
        <v>15</v>
      </c>
    </row>
    <row r="384" spans="1:53" x14ac:dyDescent="0.2">
      <c r="A384" s="1" t="str">
        <f>'SegEnds_NonXtal_Prot#'!A383</f>
        <v>gp107_human</v>
      </c>
      <c r="B384" s="1" t="str">
        <f t="shared" si="125"/>
        <v>GAVSFQFFFNISTDDQEGLYSLYFHKCLGKELPSDKFTFSMAFFFFLSGTIWIHILRKRRNDVFKEGWAVVYYITHLLKGALLFITIALIGTGWAFIKHNVAYIIIESTEEGTTEYGLWKDSLFQADLELLASSCPPASVSQRAGITLAKLKLFRHYYVLIVCYIYFTRIIAFFVLTGYKFRPASDNPYLQLSQEEDLEMESVVT</v>
      </c>
      <c r="C384" s="29" t="str">
        <f>IF(ISERROR(MATCH(A384,'SegEnds_Xtal_Prot#'!B:B, 0)), "NoXtal", "Xtal")</f>
        <v>NoXtal</v>
      </c>
      <c r="D384" s="4" t="str">
        <f>VLOOKUP(A384,Classification!A:D,2,FALSE)</f>
        <v>O</v>
      </c>
      <c r="E384" s="5" t="str">
        <f>VLOOKUP(A384,Seqs!A:B,2,FALSE)</f>
        <v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v>
      </c>
      <c r="F384" s="5" t="str">
        <f t="shared" si="126"/>
        <v>GAVSFQFFFNISTDDQEGLYSLYFHKCLGKELPSDKFTFS</v>
      </c>
      <c r="G384" s="4" t="str">
        <f t="shared" si="127"/>
        <v/>
      </c>
      <c r="H384" s="4" t="str">
        <f t="shared" si="128"/>
        <v>MAFFFFLSGTIWIHILRKRRNDVFK</v>
      </c>
      <c r="I384" s="4" t="str">
        <f t="shared" si="129"/>
        <v/>
      </c>
      <c r="J384" s="4" t="str">
        <f t="shared" si="130"/>
        <v>EGWAVVYYITHLLKGALLFITIALIGTGWAFIKH</v>
      </c>
      <c r="K384" s="4" t="str">
        <f t="shared" si="131"/>
        <v/>
      </c>
      <c r="L384" s="4" t="str">
        <f t="shared" si="132"/>
        <v>NVAYIIIESTEEGTTEYGLWKDSLF</v>
      </c>
      <c r="M384" s="4" t="str">
        <f t="shared" si="133"/>
        <v/>
      </c>
      <c r="N384" s="4" t="str">
        <f t="shared" si="134"/>
        <v>QADLELLASSCPPASVSQRAGIT</v>
      </c>
      <c r="O384" s="4" t="str">
        <f t="shared" si="135"/>
        <v>LAKLKLFRHYYVLIVCYIYFTRIIA</v>
      </c>
      <c r="P384" s="4" t="str">
        <f t="shared" si="136"/>
        <v>FFVLTGYKFRPASDNPYLQLSQ</v>
      </c>
      <c r="Q384" s="4" t="str">
        <f t="shared" si="137"/>
        <v>EEDLEMESVVT</v>
      </c>
      <c r="R384" s="5">
        <f>VLOOKUP($A384,'SegEnds_NonXtal_Prot#'!$A:$AL,3,FALSE)</f>
        <v>202</v>
      </c>
      <c r="S384" s="5" t="str">
        <f>VLOOKUP($A384,'SegEnds_NonXtal_Prot#'!$A:$AL,6,FALSE)</f>
        <v>-</v>
      </c>
      <c r="T384" s="5">
        <f>VLOOKUP($A384,'SegEnds_NonXtal_Prot#'!$A:$AL,9,FALSE)</f>
        <v>269</v>
      </c>
      <c r="U384" s="5" t="str">
        <f>VLOOKUP($A384,'SegEnds_NonXtal_Prot#'!$A:$AL,12,FALSE)</f>
        <v>-</v>
      </c>
      <c r="V384" s="5">
        <f>VLOOKUP($A384,'SegEnds_NonXtal_Prot#'!$A:$AL,15,FALSE)</f>
        <v>327</v>
      </c>
      <c r="W384" s="5" t="str">
        <f>VLOOKUP($A384,'SegEnds_NonXtal_Prot#'!$A:$AL,18,FALSE)</f>
        <v>-</v>
      </c>
      <c r="X384" s="5">
        <f>VLOOKUP($A384,'SegEnds_NonXtal_Prot#'!$A:$AL,21,FALSE)</f>
        <v>381</v>
      </c>
      <c r="Y384" s="5" t="str">
        <f>VLOOKUP($A384,'SegEnds_NonXtal_Prot#'!$A:$AL,24,FALSE)</f>
        <v>-</v>
      </c>
      <c r="Z384" s="5">
        <f>VLOOKUP($A384,'SegEnds_NonXtal_Prot#'!$A:$AL,27,FALSE)</f>
        <v>461</v>
      </c>
      <c r="AA384" s="5">
        <f>VLOOKUP($A384,'SegEnds_NonXtal_Prot#'!$A:$AL,30,FALSE)</f>
        <v>488</v>
      </c>
      <c r="AB384" s="5">
        <f>VLOOKUP($A384,'SegEnds_NonXtal_Prot#'!$A:$AL,33,FALSE)</f>
        <v>538</v>
      </c>
      <c r="AC384" s="5">
        <f>VLOOKUP($A384,'SegEnds_NonXtal_Prot#'!$A:$AL,36,FALSE)</f>
        <v>561</v>
      </c>
      <c r="AD384" s="5">
        <f>VLOOKUP($A384,'SegEnds_NonXtal_Prot#'!$A:$AL,5,FALSE)</f>
        <v>241</v>
      </c>
      <c r="AE384" s="5" t="str">
        <f>VLOOKUP($A384,'SegEnds_NonXtal_Prot#'!$A:$AL,8,FALSE)</f>
        <v>-</v>
      </c>
      <c r="AF384" s="5">
        <f>VLOOKUP($A384,'SegEnds_NonXtal_Prot#'!$A:$AL,11,FALSE)</f>
        <v>293</v>
      </c>
      <c r="AG384" s="5" t="str">
        <f>VLOOKUP($A384,'SegEnds_NonXtal_Prot#'!$A:$AL,14,FALSE)</f>
        <v>-</v>
      </c>
      <c r="AH384" s="5">
        <f>VLOOKUP($A384,'SegEnds_NonXtal_Prot#'!$A:$AL,17,FALSE)</f>
        <v>360</v>
      </c>
      <c r="AI384" s="5" t="str">
        <f>VLOOKUP($A384,'SegEnds_NonXtal_Prot#'!$A:$AL,20,FALSE)</f>
        <v>-</v>
      </c>
      <c r="AJ384" s="5">
        <f>VLOOKUP($A384,'SegEnds_NonXtal_Prot#'!$A:$AL,23,FALSE)</f>
        <v>405</v>
      </c>
      <c r="AK384" s="5" t="str">
        <f>VLOOKUP($A384,'SegEnds_NonXtal_Prot#'!$A:$AL,26,FALSE)</f>
        <v>-</v>
      </c>
      <c r="AL384" s="5">
        <f>VLOOKUP($A384,'SegEnds_NonXtal_Prot#'!$A:$AL,29,FALSE)</f>
        <v>483</v>
      </c>
      <c r="AM384" s="5">
        <f>VLOOKUP($A384,'SegEnds_NonXtal_Prot#'!$A:$AL,32,FALSE)</f>
        <v>512</v>
      </c>
      <c r="AN384" s="5">
        <f>VLOOKUP($A384,'SegEnds_NonXtal_Prot#'!$A:$AL,35,FALSE)</f>
        <v>559</v>
      </c>
      <c r="AO384" s="5">
        <f>VLOOKUP($A384,'SegEnds_NonXtal_Prot#'!$A:$AL,38,FALSE)</f>
        <v>571</v>
      </c>
      <c r="AP384" s="5">
        <f t="shared" si="138"/>
        <v>39</v>
      </c>
      <c r="AQ384" s="4" t="str">
        <f t="shared" si="139"/>
        <v>-</v>
      </c>
      <c r="AR384" s="4">
        <f t="shared" si="140"/>
        <v>24</v>
      </c>
      <c r="AS384" s="4" t="str">
        <f t="shared" si="141"/>
        <v>-</v>
      </c>
      <c r="AT384" s="4">
        <f t="shared" si="142"/>
        <v>33</v>
      </c>
      <c r="AU384" s="4" t="str">
        <f t="shared" si="143"/>
        <v>-</v>
      </c>
      <c r="AV384" s="4">
        <f t="shared" si="144"/>
        <v>24</v>
      </c>
      <c r="AW384" s="4" t="str">
        <f t="shared" si="145"/>
        <v>-</v>
      </c>
      <c r="AX384" s="4">
        <f t="shared" si="146"/>
        <v>22</v>
      </c>
      <c r="AY384" s="4">
        <f t="shared" si="147"/>
        <v>24</v>
      </c>
      <c r="AZ384" s="4">
        <f t="shared" si="148"/>
        <v>21</v>
      </c>
      <c r="BA384" s="4">
        <f t="shared" si="149"/>
        <v>10</v>
      </c>
    </row>
    <row r="385" spans="1:53" x14ac:dyDescent="0.2">
      <c r="A385" s="1" t="str">
        <f>'SegEnds_NonXtal_Prot#'!A386</f>
        <v>tpra1_human</v>
      </c>
      <c r="B385" s="1" t="str">
        <f t="shared" si="125"/>
        <v>PHRCLLLLYEDIGTSRVRYWDLLLLIPNVLFLIFLLWKLPSARAKIRIILVFVVALVGIARAVVSMTVSTSNADKILWEITRFFLLAIELSVIILGLAFGHLESKSSYSVTQGTLEILYPDAHLSAEDFGHGGRQFWLVSSCFFFLVYSLVDIIEGLCCVDATTFLYFSFFAPLIYYKCQVDETEEPDVHLPQPYAVALEAAGAAGASAASYSSTQFDS</v>
      </c>
      <c r="C385" s="29" t="str">
        <f>IF(ISERROR(MATCH(A385,'SegEnds_Xtal_Prot#'!B:B, 0)), "NoXtal", "Xtal")</f>
        <v>NoXtal</v>
      </c>
      <c r="D385" s="4" t="str">
        <f>VLOOKUP(A385,Classification!A:D,2,FALSE)</f>
        <v>O</v>
      </c>
      <c r="E385" s="5" t="str">
        <f>VLOOKUP(A385,Seqs!A:B,2,FALSE)</f>
        <v>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</v>
      </c>
      <c r="F385" s="5" t="str">
        <f t="shared" si="126"/>
        <v>PHRCLLLLYEDIGTSRVRYWDLLLLIPNVLFLIFLLWKLPSARAKIRI</v>
      </c>
      <c r="G385" s="4" t="str">
        <f t="shared" si="127"/>
        <v/>
      </c>
      <c r="H385" s="4" t="str">
        <f t="shared" si="128"/>
        <v>ILVFVVALVGIARAVVSMTVSTSNA</v>
      </c>
      <c r="I385" s="4" t="str">
        <f t="shared" si="129"/>
        <v/>
      </c>
      <c r="J385" s="4" t="str">
        <f t="shared" si="130"/>
        <v>DKILWEITRFFLLAIELSVIILGLAFGHLESKSS</v>
      </c>
      <c r="K385" s="4" t="str">
        <f t="shared" si="131"/>
        <v/>
      </c>
      <c r="L385" s="4" t="str">
        <f t="shared" si="132"/>
        <v>YSVTQGTLEILYPDAHLSAEDF</v>
      </c>
      <c r="M385" s="4" t="str">
        <f t="shared" si="133"/>
        <v/>
      </c>
      <c r="N385" s="4" t="str">
        <f t="shared" si="134"/>
        <v>GHGGRQFWLVSSCFFFLVYSLV</v>
      </c>
      <c r="O385" s="4" t="str">
        <f t="shared" si="135"/>
        <v>DIIEGLCCVDATTFLYFSFFAPLIY</v>
      </c>
      <c r="P385" s="4" t="str">
        <f t="shared" si="136"/>
        <v>YKCQVDETEEPDVHLPQPYAVA</v>
      </c>
      <c r="Q385" s="4" t="str">
        <f t="shared" si="137"/>
        <v>LEAAGAAGASAASYSSTQFDS</v>
      </c>
      <c r="R385" s="5">
        <f>VLOOKUP($A385,'SegEnds_NonXtal_Prot#'!$A:$AL,3,FALSE)</f>
        <v>27</v>
      </c>
      <c r="S385" s="5" t="str">
        <f>VLOOKUP($A385,'SegEnds_NonXtal_Prot#'!$A:$AL,6,FALSE)</f>
        <v>-</v>
      </c>
      <c r="T385" s="5">
        <f>VLOOKUP($A385,'SegEnds_NonXtal_Prot#'!$A:$AL,9,FALSE)</f>
        <v>85</v>
      </c>
      <c r="U385" s="5" t="str">
        <f>VLOOKUP($A385,'SegEnds_NonXtal_Prot#'!$A:$AL,12,FALSE)</f>
        <v>-</v>
      </c>
      <c r="V385" s="5">
        <f>VLOOKUP($A385,'SegEnds_NonXtal_Prot#'!$A:$AL,15,FALSE)</f>
        <v>114</v>
      </c>
      <c r="W385" s="5" t="str">
        <f>VLOOKUP($A385,'SegEnds_NonXtal_Prot#'!$A:$AL,18,FALSE)</f>
        <v>-</v>
      </c>
      <c r="X385" s="5">
        <f>VLOOKUP($A385,'SegEnds_NonXtal_Prot#'!$A:$AL,21,FALSE)</f>
        <v>162</v>
      </c>
      <c r="Y385" s="5" t="str">
        <f>VLOOKUP($A385,'SegEnds_NonXtal_Prot#'!$A:$AL,24,FALSE)</f>
        <v>-</v>
      </c>
      <c r="Z385" s="5">
        <f>VLOOKUP($A385,'SegEnds_NonXtal_Prot#'!$A:$AL,27,FALSE)</f>
        <v>187</v>
      </c>
      <c r="AA385" s="5">
        <f>VLOOKUP($A385,'SegEnds_NonXtal_Prot#'!$A:$AL,30,FALSE)</f>
        <v>252</v>
      </c>
      <c r="AB385" s="5">
        <f>VLOOKUP($A385,'SegEnds_NonXtal_Prot#'!$A:$AL,33,FALSE)</f>
        <v>294</v>
      </c>
      <c r="AC385" s="5">
        <f>VLOOKUP($A385,'SegEnds_NonXtal_Prot#'!$A:$AL,36,FALSE)</f>
        <v>320</v>
      </c>
      <c r="AD385" s="5">
        <f>VLOOKUP($A385,'SegEnds_NonXtal_Prot#'!$A:$AL,5,FALSE)</f>
        <v>74</v>
      </c>
      <c r="AE385" s="5" t="str">
        <f>VLOOKUP($A385,'SegEnds_NonXtal_Prot#'!$A:$AL,8,FALSE)</f>
        <v>-</v>
      </c>
      <c r="AF385" s="5">
        <f>VLOOKUP($A385,'SegEnds_NonXtal_Prot#'!$A:$AL,11,FALSE)</f>
        <v>109</v>
      </c>
      <c r="AG385" s="5" t="str">
        <f>VLOOKUP($A385,'SegEnds_NonXtal_Prot#'!$A:$AL,14,FALSE)</f>
        <v>-</v>
      </c>
      <c r="AH385" s="5">
        <f>VLOOKUP($A385,'SegEnds_NonXtal_Prot#'!$A:$AL,17,FALSE)</f>
        <v>147</v>
      </c>
      <c r="AI385" s="5" t="str">
        <f>VLOOKUP($A385,'SegEnds_NonXtal_Prot#'!$A:$AL,20,FALSE)</f>
        <v>-</v>
      </c>
      <c r="AJ385" s="5">
        <f>VLOOKUP($A385,'SegEnds_NonXtal_Prot#'!$A:$AL,23,FALSE)</f>
        <v>183</v>
      </c>
      <c r="AK385" s="5" t="str">
        <f>VLOOKUP($A385,'SegEnds_NonXtal_Prot#'!$A:$AL,26,FALSE)</f>
        <v>-</v>
      </c>
      <c r="AL385" s="5">
        <f>VLOOKUP($A385,'SegEnds_NonXtal_Prot#'!$A:$AL,29,FALSE)</f>
        <v>208</v>
      </c>
      <c r="AM385" s="5">
        <f>VLOOKUP($A385,'SegEnds_NonXtal_Prot#'!$A:$AL,32,FALSE)</f>
        <v>276</v>
      </c>
      <c r="AN385" s="5">
        <f>VLOOKUP($A385,'SegEnds_NonXtal_Prot#'!$A:$AL,35,FALSE)</f>
        <v>315</v>
      </c>
      <c r="AO385" s="5">
        <f>VLOOKUP($A385,'SegEnds_NonXtal_Prot#'!$A:$AL,38,FALSE)</f>
        <v>340</v>
      </c>
      <c r="AP385" s="5">
        <f t="shared" si="138"/>
        <v>47</v>
      </c>
      <c r="AQ385" s="4" t="str">
        <f t="shared" si="139"/>
        <v>-</v>
      </c>
      <c r="AR385" s="4">
        <f t="shared" si="140"/>
        <v>24</v>
      </c>
      <c r="AS385" s="4" t="str">
        <f t="shared" si="141"/>
        <v>-</v>
      </c>
      <c r="AT385" s="4">
        <f t="shared" si="142"/>
        <v>33</v>
      </c>
      <c r="AU385" s="4" t="str">
        <f t="shared" si="143"/>
        <v>-</v>
      </c>
      <c r="AV385" s="4">
        <f t="shared" si="144"/>
        <v>21</v>
      </c>
      <c r="AW385" s="4" t="str">
        <f t="shared" si="145"/>
        <v>-</v>
      </c>
      <c r="AX385" s="4">
        <f t="shared" si="146"/>
        <v>21</v>
      </c>
      <c r="AY385" s="4">
        <f t="shared" si="147"/>
        <v>24</v>
      </c>
      <c r="AZ385" s="4">
        <f t="shared" si="148"/>
        <v>21</v>
      </c>
      <c r="BA385" s="4">
        <f t="shared" si="149"/>
        <v>20</v>
      </c>
    </row>
    <row r="386" spans="1:53" x14ac:dyDescent="0.2">
      <c r="A386" s="1" t="str">
        <f>'SegEnds_NonXtal_Prot#'!A388</f>
        <v>t2r13_human</v>
      </c>
      <c r="B386" s="1" t="str">
        <f t="shared" ref="B386:B406" si="150">F386&amp;H386&amp;J386&amp;L386&amp;N386&amp;O386&amp;P386&amp;Q386</f>
        <v>PSIFTLVIIAEFIIGNLSNGFIVLINCIDWVLSSVDKLLIILAISRIGLIWEILVSWFLALHYSGTGLRIMIFSWIVSNHFNLWLATIFSIFYLLKIASWRVNKVILMILLGTLVFLFLNLIQINMFETFSVSVKFTMTMFSLTPFTVAFISFLLLIFSLQKHLQKMPRTKVHTNALKIVISFLLFYASFFLCVLISWISNTVIYMLCETIGVFSPSSHSFLLILGNAKLRQAFLLVAAK</v>
      </c>
      <c r="C386" s="29" t="str">
        <f>IF(ISERROR(MATCH(A386,'SegEnds_Xtal_Prot#'!B:B, 0)), "NoXtal", "Xtal")</f>
        <v>NoXtal</v>
      </c>
      <c r="D386" s="4" t="str">
        <f>VLOOKUP(A386,Classification!A:D,2,FALSE)</f>
        <v>T</v>
      </c>
      <c r="E386" s="5" t="str">
        <f>VLOOKUP(A386,Seqs!A:B,2,FALSE)</f>
        <v>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</v>
      </c>
      <c r="F386" s="5" t="str">
        <f t="shared" ref="F386:F406" si="151">IFERROR(MID($E386,R386,(AP386+1)),"")</f>
        <v>PSIFTLVIIAEFIIGNLSNGFIVLINCIDWV</v>
      </c>
      <c r="G386" s="4" t="str">
        <f t="shared" ref="G386:G406" si="152">IFERROR(MID($E386,S386,(AQ386+1)),"")</f>
        <v>SKRE</v>
      </c>
      <c r="H386" s="4" t="str">
        <f t="shared" ref="H386:H406" si="153">IFERROR(MID($E386,T386,(AR386+1)),"")</f>
        <v>LSSVDKLLIILAISRIGLIWEILVSWFLALHY</v>
      </c>
      <c r="I386" s="4" t="str">
        <f t="shared" ref="I386:I406" si="154">IFERROR(MID($E386,U386,(AS386+1)),"")</f>
        <v/>
      </c>
      <c r="J386" s="4" t="str">
        <f t="shared" ref="J386:J406" si="155">IFERROR(MID($E386,V386,(AT386+1)),"")</f>
        <v>SGTGLRIMIFSWIVSNHFNLWLATIFSIFYLLKIAS</v>
      </c>
      <c r="K386" s="4" t="str">
        <f t="shared" ref="K386:K406" si="156">IFERROR(MID($E386,W386,(AU386+1)),"")</f>
        <v>SPAFLYLK</v>
      </c>
      <c r="L386" s="4" t="str">
        <f t="shared" ref="L386:L406" si="157">IFERROR(MID($E386,X386,(AV386+1)),"")</f>
        <v>WRVNKVILMILLGTLVFLFLNLIQINM</v>
      </c>
      <c r="M386" s="4" t="str">
        <f t="shared" ref="M386:M406" si="158">IFERROR(MID($E386,Y386,(AW386+1)),"")</f>
        <v/>
      </c>
      <c r="N386" s="4" t="str">
        <f t="shared" ref="N386:N406" si="159">IFERROR(MID($E386,Z386,(AX386+1)),"")</f>
        <v>FETFSVSVKFTMTMFSLTPFTVAFISFLLLIFSLQKHLQKM</v>
      </c>
      <c r="O386" s="4" t="str">
        <f t="shared" ref="O386:O406" si="160">IFERROR(MID($E386,AA386,(AY386+1)),"")</f>
        <v>PRTKVHTNALKIVISFLLFYASFFLCVLISWIS</v>
      </c>
      <c r="P386" s="4" t="str">
        <f t="shared" ref="P386:P406" si="161">IFERROR(MID($E386,AB386,(AZ386+1)),"")</f>
        <v>NTVIYMLCETIGVFSPSSHSFLLILG</v>
      </c>
      <c r="Q386" s="4" t="str">
        <f t="shared" ref="Q386:Q406" si="162">IFERROR(MID($E386,AC386,(BA386+1)),"")</f>
        <v>NAKLRQAFLLVAAK</v>
      </c>
      <c r="R386" s="5">
        <f>VLOOKUP($A386,'SegEnds_NonXtal_Prot#'!$A:$AL,3,FALSE)</f>
        <v>6</v>
      </c>
      <c r="S386" s="5">
        <f>VLOOKUP($A386,'SegEnds_NonXtal_Prot#'!$A:$AL,6,FALSE)</f>
        <v>37</v>
      </c>
      <c r="T386" s="5">
        <f>VLOOKUP($A386,'SegEnds_NonXtal_Prot#'!$A:$AL,9,FALSE)</f>
        <v>41</v>
      </c>
      <c r="U386" s="5" t="str">
        <f>VLOOKUP($A386,'SegEnds_NonXtal_Prot#'!$A:$AL,12,FALSE)</f>
        <v>-</v>
      </c>
      <c r="V386" s="5">
        <f>VLOOKUP($A386,'SegEnds_NonXtal_Prot#'!$A:$AL,15,FALSE)</f>
        <v>78</v>
      </c>
      <c r="W386" s="5">
        <f>VLOOKUP($A386,'SegEnds_NonXtal_Prot#'!$A:$AL,18,FALSE)</f>
        <v>116</v>
      </c>
      <c r="X386" s="5">
        <f>VLOOKUP($A386,'SegEnds_NonXtal_Prot#'!$A:$AL,21,FALSE)</f>
        <v>124</v>
      </c>
      <c r="Y386" s="5" t="str">
        <f>VLOOKUP($A386,'SegEnds_NonXtal_Prot#'!$A:$AL,24,FALSE)</f>
        <v>-</v>
      </c>
      <c r="Z386" s="5">
        <f>VLOOKUP($A386,'SegEnds_NonXtal_Prot#'!$A:$AL,27,FALSE)</f>
        <v>172</v>
      </c>
      <c r="AA386" s="5">
        <f>VLOOKUP($A386,'SegEnds_NonXtal_Prot#'!$A:$AL,30,FALSE)</f>
        <v>222</v>
      </c>
      <c r="AB386" s="5">
        <f>VLOOKUP($A386,'SegEnds_NonXtal_Prot#'!$A:$AL,33,FALSE)</f>
        <v>259</v>
      </c>
      <c r="AC386" s="5">
        <f>VLOOKUP($A386,'SegEnds_NonXtal_Prot#'!$A:$AL,36,FALSE)</f>
        <v>285</v>
      </c>
      <c r="AD386" s="5">
        <f>VLOOKUP($A386,'SegEnds_NonXtal_Prot#'!$A:$AL,5,FALSE)</f>
        <v>36</v>
      </c>
      <c r="AE386" s="5">
        <f>VLOOKUP($A386,'SegEnds_NonXtal_Prot#'!$A:$AL,8,FALSE)</f>
        <v>40</v>
      </c>
      <c r="AF386" s="5">
        <f>VLOOKUP($A386,'SegEnds_NonXtal_Prot#'!$A:$AL,11,FALSE)</f>
        <v>72</v>
      </c>
      <c r="AG386" s="5" t="str">
        <f>VLOOKUP($A386,'SegEnds_NonXtal_Prot#'!$A:$AL,14,FALSE)</f>
        <v>-</v>
      </c>
      <c r="AH386" s="5">
        <f>VLOOKUP($A386,'SegEnds_NonXtal_Prot#'!$A:$AL,17,FALSE)</f>
        <v>113</v>
      </c>
      <c r="AI386" s="5">
        <f>VLOOKUP($A386,'SegEnds_NonXtal_Prot#'!$A:$AL,20,FALSE)</f>
        <v>123</v>
      </c>
      <c r="AJ386" s="5">
        <f>VLOOKUP($A386,'SegEnds_NonXtal_Prot#'!$A:$AL,23,FALSE)</f>
        <v>150</v>
      </c>
      <c r="AK386" s="5" t="str">
        <f>VLOOKUP($A386,'SegEnds_NonXtal_Prot#'!$A:$AL,26,FALSE)</f>
        <v>-</v>
      </c>
      <c r="AL386" s="5">
        <f>VLOOKUP($A386,'SegEnds_NonXtal_Prot#'!$A:$AL,29,FALSE)</f>
        <v>212</v>
      </c>
      <c r="AM386" s="5">
        <f>VLOOKUP($A386,'SegEnds_NonXtal_Prot#'!$A:$AL,32,FALSE)</f>
        <v>254</v>
      </c>
      <c r="AN386" s="5">
        <f>VLOOKUP($A386,'SegEnds_NonXtal_Prot#'!$A:$AL,35,FALSE)</f>
        <v>284</v>
      </c>
      <c r="AO386" s="5">
        <f>VLOOKUP($A386,'SegEnds_NonXtal_Prot#'!$A:$AL,38,FALSE)</f>
        <v>298</v>
      </c>
      <c r="AP386" s="5">
        <f t="shared" ref="AP386:AP406" si="163">IFERROR(AD386-R386,"-")</f>
        <v>30</v>
      </c>
      <c r="AQ386" s="4">
        <f t="shared" ref="AQ386:AQ406" si="164">IFERROR(AE386-S386,"-")</f>
        <v>3</v>
      </c>
      <c r="AR386" s="4">
        <f t="shared" ref="AR386:AR406" si="165">IFERROR(AF386-T386,"-")</f>
        <v>31</v>
      </c>
      <c r="AS386" s="4" t="str">
        <f t="shared" ref="AS386:AS406" si="166">IFERROR(AG386-U386,"-")</f>
        <v>-</v>
      </c>
      <c r="AT386" s="4">
        <f t="shared" ref="AT386:AT406" si="167">IFERROR(AH386-V386,"-")</f>
        <v>35</v>
      </c>
      <c r="AU386" s="4">
        <f t="shared" ref="AU386:AU406" si="168">IFERROR(AI386-W386,"-")</f>
        <v>7</v>
      </c>
      <c r="AV386" s="4">
        <f t="shared" ref="AV386:AV406" si="169">IFERROR(AJ386-X386,"-")</f>
        <v>26</v>
      </c>
      <c r="AW386" s="4" t="str">
        <f t="shared" ref="AW386:AW406" si="170">IFERROR(AK386-Y386,"-")</f>
        <v>-</v>
      </c>
      <c r="AX386" s="4">
        <f t="shared" ref="AX386:AX406" si="171">IFERROR(AL386-Z386,"-")</f>
        <v>40</v>
      </c>
      <c r="AY386" s="4">
        <f t="shared" ref="AY386:AY406" si="172">IFERROR(AM386-AA386,"-")</f>
        <v>32</v>
      </c>
      <c r="AZ386" s="4">
        <f t="shared" ref="AZ386:AZ406" si="173">IFERROR(AN386-AB386,"-")</f>
        <v>25</v>
      </c>
      <c r="BA386" s="4">
        <f t="shared" ref="BA386:BA406" si="174">IFERROR(AO386-AC386,"-")</f>
        <v>13</v>
      </c>
    </row>
    <row r="387" spans="1:53" x14ac:dyDescent="0.2">
      <c r="A387" s="1" t="str">
        <f>'SegEnds_NonXtal_Prot#'!A389</f>
        <v>t2r14_human</v>
      </c>
      <c r="B387" s="1" t="str">
        <f t="shared" si="150"/>
        <v>KSIFTFVLIVEFIIGNLGNSFIALVNCIDWVISSVDRILTALAISRISLVWLIFGSWCVSVFFTEKMFRMLTNIWTVINHFSVWLATGLGTFYFLKIANWRVKKVVLVLLLVTSVFLFLNIALINIHINFTRFSSLIVLTSTVFIFIPFTLSLAMFLLLIFSMWKHRKKMDASTKAHRGVKSVITFFLLYAIFSLSFFISVWTEENLIILSQVMGMAYPSCHSCVLILGNKKLRQASLSVLLW</v>
      </c>
      <c r="C387" s="29" t="str">
        <f>IF(ISERROR(MATCH(A387,'SegEnds_Xtal_Prot#'!B:B, 0)), "NoXtal", "Xtal")</f>
        <v>NoXtal</v>
      </c>
      <c r="D387" s="4" t="str">
        <f>VLOOKUP(A387,Classification!A:D,2,FALSE)</f>
        <v>T</v>
      </c>
      <c r="E387" s="5" t="str">
        <f>VLOOKUP(A387,Seqs!A:B,2,FALSE)</f>
        <v>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</v>
      </c>
      <c r="F387" s="5" t="str">
        <f t="shared" si="151"/>
        <v>KSIFTFVLIVEFIIGNLGNSFIALVNCIDWV</v>
      </c>
      <c r="G387" s="4" t="str">
        <f t="shared" si="152"/>
        <v>KGRK</v>
      </c>
      <c r="H387" s="4" t="str">
        <f t="shared" si="153"/>
        <v>ISSVDRILTALAISRISLVWLIFGSWCVSVFF</v>
      </c>
      <c r="I387" s="4" t="str">
        <f t="shared" si="154"/>
        <v/>
      </c>
      <c r="J387" s="4" t="str">
        <f t="shared" si="155"/>
        <v>TEKMFRMLTNIWTVINHFSVWLATGLGTFYFLKIAN</v>
      </c>
      <c r="K387" s="4" t="str">
        <f t="shared" si="156"/>
        <v>NSIFLYLK</v>
      </c>
      <c r="L387" s="4" t="str">
        <f t="shared" si="157"/>
        <v>WRVKKVVLVLLLVTSVFLFLNIALINIHIN</v>
      </c>
      <c r="M387" s="4" t="str">
        <f t="shared" si="158"/>
        <v/>
      </c>
      <c r="N387" s="4" t="str">
        <f t="shared" si="159"/>
        <v>FTRFSSLIVLTSTVFIFIPFTLSLAMFLLLIFSMWKHRKKM</v>
      </c>
      <c r="O387" s="4" t="str">
        <f t="shared" si="160"/>
        <v>DASTKAHRGVKSVITFFLLYAIFSLSFFISVWT</v>
      </c>
      <c r="P387" s="4" t="str">
        <f t="shared" si="161"/>
        <v>EENLIILSQVMGMAYPSCHSCVLILG</v>
      </c>
      <c r="Q387" s="4" t="str">
        <f t="shared" si="162"/>
        <v>NKKLRQASLSVLLW</v>
      </c>
      <c r="R387" s="5">
        <f>VLOOKUP($A387,'SegEnds_NonXtal_Prot#'!$A:$AL,3,FALSE)</f>
        <v>6</v>
      </c>
      <c r="S387" s="5">
        <f>VLOOKUP($A387,'SegEnds_NonXtal_Prot#'!$A:$AL,6,FALSE)</f>
        <v>37</v>
      </c>
      <c r="T387" s="5">
        <f>VLOOKUP($A387,'SegEnds_NonXtal_Prot#'!$A:$AL,9,FALSE)</f>
        <v>41</v>
      </c>
      <c r="U387" s="5" t="str">
        <f>VLOOKUP($A387,'SegEnds_NonXtal_Prot#'!$A:$AL,12,FALSE)</f>
        <v>-</v>
      </c>
      <c r="V387" s="5">
        <f>VLOOKUP($A387,'SegEnds_NonXtal_Prot#'!$A:$AL,15,FALSE)</f>
        <v>78</v>
      </c>
      <c r="W387" s="5">
        <f>VLOOKUP($A387,'SegEnds_NonXtal_Prot#'!$A:$AL,18,FALSE)</f>
        <v>116</v>
      </c>
      <c r="X387" s="5">
        <f>VLOOKUP($A387,'SegEnds_NonXtal_Prot#'!$A:$AL,21,FALSE)</f>
        <v>124</v>
      </c>
      <c r="Y387" s="5" t="str">
        <f>VLOOKUP($A387,'SegEnds_NonXtal_Prot#'!$A:$AL,24,FALSE)</f>
        <v>-</v>
      </c>
      <c r="Z387" s="5">
        <f>VLOOKUP($A387,'SegEnds_NonXtal_Prot#'!$A:$AL,27,FALSE)</f>
        <v>172</v>
      </c>
      <c r="AA387" s="5">
        <f>VLOOKUP($A387,'SegEnds_NonXtal_Prot#'!$A:$AL,30,FALSE)</f>
        <v>221</v>
      </c>
      <c r="AB387" s="5">
        <f>VLOOKUP($A387,'SegEnds_NonXtal_Prot#'!$A:$AL,33,FALSE)</f>
        <v>258</v>
      </c>
      <c r="AC387" s="5">
        <f>VLOOKUP($A387,'SegEnds_NonXtal_Prot#'!$A:$AL,36,FALSE)</f>
        <v>284</v>
      </c>
      <c r="AD387" s="5">
        <f>VLOOKUP($A387,'SegEnds_NonXtal_Prot#'!$A:$AL,5,FALSE)</f>
        <v>36</v>
      </c>
      <c r="AE387" s="5">
        <f>VLOOKUP($A387,'SegEnds_NonXtal_Prot#'!$A:$AL,8,FALSE)</f>
        <v>40</v>
      </c>
      <c r="AF387" s="5">
        <f>VLOOKUP($A387,'SegEnds_NonXtal_Prot#'!$A:$AL,11,FALSE)</f>
        <v>72</v>
      </c>
      <c r="AG387" s="5" t="str">
        <f>VLOOKUP($A387,'SegEnds_NonXtal_Prot#'!$A:$AL,14,FALSE)</f>
        <v>-</v>
      </c>
      <c r="AH387" s="5">
        <f>VLOOKUP($A387,'SegEnds_NonXtal_Prot#'!$A:$AL,17,FALSE)</f>
        <v>113</v>
      </c>
      <c r="AI387" s="5">
        <f>VLOOKUP($A387,'SegEnds_NonXtal_Prot#'!$A:$AL,20,FALSE)</f>
        <v>123</v>
      </c>
      <c r="AJ387" s="5">
        <f>VLOOKUP($A387,'SegEnds_NonXtal_Prot#'!$A:$AL,23,FALSE)</f>
        <v>153</v>
      </c>
      <c r="AK387" s="5" t="str">
        <f>VLOOKUP($A387,'SegEnds_NonXtal_Prot#'!$A:$AL,26,FALSE)</f>
        <v>-</v>
      </c>
      <c r="AL387" s="5">
        <f>VLOOKUP($A387,'SegEnds_NonXtal_Prot#'!$A:$AL,29,FALSE)</f>
        <v>212</v>
      </c>
      <c r="AM387" s="5">
        <f>VLOOKUP($A387,'SegEnds_NonXtal_Prot#'!$A:$AL,32,FALSE)</f>
        <v>253</v>
      </c>
      <c r="AN387" s="5">
        <f>VLOOKUP($A387,'SegEnds_NonXtal_Prot#'!$A:$AL,35,FALSE)</f>
        <v>283</v>
      </c>
      <c r="AO387" s="5">
        <f>VLOOKUP($A387,'SegEnds_NonXtal_Prot#'!$A:$AL,38,FALSE)</f>
        <v>297</v>
      </c>
      <c r="AP387" s="5">
        <f t="shared" si="163"/>
        <v>30</v>
      </c>
      <c r="AQ387" s="4">
        <f t="shared" si="164"/>
        <v>3</v>
      </c>
      <c r="AR387" s="4">
        <f t="shared" si="165"/>
        <v>31</v>
      </c>
      <c r="AS387" s="4" t="str">
        <f t="shared" si="166"/>
        <v>-</v>
      </c>
      <c r="AT387" s="4">
        <f t="shared" si="167"/>
        <v>35</v>
      </c>
      <c r="AU387" s="4">
        <f t="shared" si="168"/>
        <v>7</v>
      </c>
      <c r="AV387" s="4">
        <f t="shared" si="169"/>
        <v>29</v>
      </c>
      <c r="AW387" s="4" t="str">
        <f t="shared" si="170"/>
        <v>-</v>
      </c>
      <c r="AX387" s="4">
        <f t="shared" si="171"/>
        <v>40</v>
      </c>
      <c r="AY387" s="4">
        <f t="shared" si="172"/>
        <v>32</v>
      </c>
      <c r="AZ387" s="4">
        <f t="shared" si="173"/>
        <v>25</v>
      </c>
      <c r="BA387" s="4">
        <f t="shared" si="174"/>
        <v>13</v>
      </c>
    </row>
    <row r="388" spans="1:53" x14ac:dyDescent="0.2">
      <c r="A388" s="1" t="str">
        <f>'SegEnds_NonXtal_Prot#'!A390</f>
        <v>t2r16_human</v>
      </c>
      <c r="B388" s="1" t="str">
        <f t="shared" si="150"/>
        <v>TVFFMIIYVLESLTIIVQSSLIVAVLGREWLLMPVDMILISLGISRFCLQWASMLNNFCSYFVLCNLTITWEFFNILTFWLNSLLTVFYCIKVSSWRILRLFPWILLGSLMITCVTIIPSAILENFHQYQFQAHTVALVIPFILFLASTIFLMASLTKQIQHHPSMKARFTALRSLAVLFIVFTSYFLTILITIIGKRCWLWVWEAFVYAFILMHSTSLMLSSPTLKRILKGKC</v>
      </c>
      <c r="C388" s="29" t="str">
        <f>IF(ISERROR(MATCH(A388,'SegEnds_Xtal_Prot#'!B:B, 0)), "NoXtal", "Xtal")</f>
        <v>NoXtal</v>
      </c>
      <c r="D388" s="4" t="str">
        <f>VLOOKUP(A388,Classification!A:D,2,FALSE)</f>
        <v>T</v>
      </c>
      <c r="E388" s="5" t="str">
        <f>VLOOKUP(A388,Seqs!A:B,2,FALSE)</f>
        <v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</v>
      </c>
      <c r="F388" s="5" t="str">
        <f t="shared" si="151"/>
        <v>TVFFMIIYVLESLTIIVQSSLIVAVLGREWL</v>
      </c>
      <c r="G388" s="4" t="str">
        <f t="shared" si="152"/>
        <v>QVRR</v>
      </c>
      <c r="H388" s="4" t="str">
        <f t="shared" si="153"/>
        <v>LMPVDMILISLGISRFCLQWASMLNNFCSYF</v>
      </c>
      <c r="I388" s="4" t="str">
        <f t="shared" si="154"/>
        <v/>
      </c>
      <c r="J388" s="4" t="str">
        <f t="shared" si="155"/>
        <v>VLCNLTITWEFFNILTFWLNSLLTVFYCIKVSS</v>
      </c>
      <c r="K388" s="4" t="str">
        <f t="shared" si="156"/>
        <v>HHIFLWLR</v>
      </c>
      <c r="L388" s="4" t="str">
        <f t="shared" si="157"/>
        <v>WRILRLFPWILLGSLMITCVTIIPSAI</v>
      </c>
      <c r="M388" s="4" t="str">
        <f t="shared" si="158"/>
        <v/>
      </c>
      <c r="N388" s="4" t="str">
        <f t="shared" si="159"/>
        <v>LENFHQYQFQAHTVALVIPFILFLASTIFLMASLTKQIQHH</v>
      </c>
      <c r="O388" s="4" t="str">
        <f t="shared" si="160"/>
        <v>PSMKARFTALRSLAVLFIVFTSYFLTILITIIG</v>
      </c>
      <c r="P388" s="4" t="str">
        <f t="shared" si="161"/>
        <v>KRCWLWVWEAFVYAFILMHSTSLMLS</v>
      </c>
      <c r="Q388" s="4" t="str">
        <f t="shared" si="162"/>
        <v>SPTLKRILKGKC</v>
      </c>
      <c r="R388" s="5">
        <f>VLOOKUP($A388,'SegEnds_NonXtal_Prot#'!$A:$AL,3,FALSE)</f>
        <v>7</v>
      </c>
      <c r="S388" s="5">
        <f>VLOOKUP($A388,'SegEnds_NonXtal_Prot#'!$A:$AL,6,FALSE)</f>
        <v>38</v>
      </c>
      <c r="T388" s="5">
        <f>VLOOKUP($A388,'SegEnds_NonXtal_Prot#'!$A:$AL,9,FALSE)</f>
        <v>42</v>
      </c>
      <c r="U388" s="5" t="str">
        <f>VLOOKUP($A388,'SegEnds_NonXtal_Prot#'!$A:$AL,12,FALSE)</f>
        <v>-</v>
      </c>
      <c r="V388" s="5">
        <f>VLOOKUP($A388,'SegEnds_NonXtal_Prot#'!$A:$AL,15,FALSE)</f>
        <v>77</v>
      </c>
      <c r="W388" s="5">
        <f>VLOOKUP($A388,'SegEnds_NonXtal_Prot#'!$A:$AL,18,FALSE)</f>
        <v>112</v>
      </c>
      <c r="X388" s="5">
        <f>VLOOKUP($A388,'SegEnds_NonXtal_Prot#'!$A:$AL,21,FALSE)</f>
        <v>120</v>
      </c>
      <c r="Y388" s="5" t="str">
        <f>VLOOKUP($A388,'SegEnds_NonXtal_Prot#'!$A:$AL,24,FALSE)</f>
        <v>-</v>
      </c>
      <c r="Z388" s="5">
        <f>VLOOKUP($A388,'SegEnds_NonXtal_Prot#'!$A:$AL,27,FALSE)</f>
        <v>170</v>
      </c>
      <c r="AA388" s="5">
        <f>VLOOKUP($A388,'SegEnds_NonXtal_Prot#'!$A:$AL,30,FALSE)</f>
        <v>217</v>
      </c>
      <c r="AB388" s="5">
        <f>VLOOKUP($A388,'SegEnds_NonXtal_Prot#'!$A:$AL,33,FALSE)</f>
        <v>254</v>
      </c>
      <c r="AC388" s="5">
        <f>VLOOKUP($A388,'SegEnds_NonXtal_Prot#'!$A:$AL,36,FALSE)</f>
        <v>280</v>
      </c>
      <c r="AD388" s="5">
        <f>VLOOKUP($A388,'SegEnds_NonXtal_Prot#'!$A:$AL,5,FALSE)</f>
        <v>37</v>
      </c>
      <c r="AE388" s="5">
        <f>VLOOKUP($A388,'SegEnds_NonXtal_Prot#'!$A:$AL,8,FALSE)</f>
        <v>41</v>
      </c>
      <c r="AF388" s="5">
        <f>VLOOKUP($A388,'SegEnds_NonXtal_Prot#'!$A:$AL,11,FALSE)</f>
        <v>72</v>
      </c>
      <c r="AG388" s="5" t="str">
        <f>VLOOKUP($A388,'SegEnds_NonXtal_Prot#'!$A:$AL,14,FALSE)</f>
        <v>-</v>
      </c>
      <c r="AH388" s="5">
        <f>VLOOKUP($A388,'SegEnds_NonXtal_Prot#'!$A:$AL,17,FALSE)</f>
        <v>109</v>
      </c>
      <c r="AI388" s="5">
        <f>VLOOKUP($A388,'SegEnds_NonXtal_Prot#'!$A:$AL,20,FALSE)</f>
        <v>119</v>
      </c>
      <c r="AJ388" s="5">
        <f>VLOOKUP($A388,'SegEnds_NonXtal_Prot#'!$A:$AL,23,FALSE)</f>
        <v>146</v>
      </c>
      <c r="AK388" s="5" t="str">
        <f>VLOOKUP($A388,'SegEnds_NonXtal_Prot#'!$A:$AL,26,FALSE)</f>
        <v>-</v>
      </c>
      <c r="AL388" s="5">
        <f>VLOOKUP($A388,'SegEnds_NonXtal_Prot#'!$A:$AL,29,FALSE)</f>
        <v>210</v>
      </c>
      <c r="AM388" s="5">
        <f>VLOOKUP($A388,'SegEnds_NonXtal_Prot#'!$A:$AL,32,FALSE)</f>
        <v>249</v>
      </c>
      <c r="AN388" s="5">
        <f>VLOOKUP($A388,'SegEnds_NonXtal_Prot#'!$A:$AL,35,FALSE)</f>
        <v>279</v>
      </c>
      <c r="AO388" s="5">
        <f>VLOOKUP($A388,'SegEnds_NonXtal_Prot#'!$A:$AL,38,FALSE)</f>
        <v>291</v>
      </c>
      <c r="AP388" s="5">
        <f t="shared" si="163"/>
        <v>30</v>
      </c>
      <c r="AQ388" s="4">
        <f t="shared" si="164"/>
        <v>3</v>
      </c>
      <c r="AR388" s="4">
        <f t="shared" si="165"/>
        <v>30</v>
      </c>
      <c r="AS388" s="4" t="str">
        <f t="shared" si="166"/>
        <v>-</v>
      </c>
      <c r="AT388" s="4">
        <f t="shared" si="167"/>
        <v>32</v>
      </c>
      <c r="AU388" s="4">
        <f t="shared" si="168"/>
        <v>7</v>
      </c>
      <c r="AV388" s="4">
        <f t="shared" si="169"/>
        <v>26</v>
      </c>
      <c r="AW388" s="4" t="str">
        <f t="shared" si="170"/>
        <v>-</v>
      </c>
      <c r="AX388" s="4">
        <f t="shared" si="171"/>
        <v>40</v>
      </c>
      <c r="AY388" s="4">
        <f t="shared" si="172"/>
        <v>32</v>
      </c>
      <c r="AZ388" s="4">
        <f t="shared" si="173"/>
        <v>25</v>
      </c>
      <c r="BA388" s="4">
        <f t="shared" si="174"/>
        <v>11</v>
      </c>
    </row>
    <row r="389" spans="1:53" x14ac:dyDescent="0.2">
      <c r="A389" s="1" t="str">
        <f>'SegEnds_NonXtal_Prot#'!A391</f>
        <v>t2r19_human</v>
      </c>
      <c r="B389" s="1" t="str">
        <f t="shared" si="150"/>
        <v>LIISSILVVFAFVLGNVANGFIALVNVIDWVISSAEQILTALVVSRIGLLWVMLFLWYATVFGLEVRIVASNAWAVTNHFSMWLAASLSIFCLLKIANKRIKSVVLVILLGPLVFLICNLAVITMDERRNAIHLSSLTVTTLANLIPFTLSLICFLLLICSLCKHLKKMPSTKVHIKALQTVTSFLMLFAIYFLCIITSTWNSKLVLLLCQTVAIMYPSFHSFILIMGSRKLKQTFLSVLWQ</v>
      </c>
      <c r="C389" s="29" t="str">
        <f>IF(ISERROR(MATCH(A389,'SegEnds_Xtal_Prot#'!B:B, 0)), "NoXtal", "Xtal")</f>
        <v>NoXtal</v>
      </c>
      <c r="D389" s="4" t="str">
        <f>VLOOKUP(A389,Classification!A:D,2,FALSE)</f>
        <v>T</v>
      </c>
      <c r="E389" s="5" t="str">
        <f>VLOOKUP(A389,Seqs!A:B,2,FALSE)</f>
        <v>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</v>
      </c>
      <c r="F389" s="5" t="str">
        <f t="shared" si="151"/>
        <v>LIISSILVVFAFVLGNVANGFIALVNVIDWV</v>
      </c>
      <c r="G389" s="4" t="str">
        <f t="shared" si="152"/>
        <v>NTRK</v>
      </c>
      <c r="H389" s="4" t="str">
        <f t="shared" si="153"/>
        <v>ISSAEQILTALVVSRIGLLWVMLFLWYATVF</v>
      </c>
      <c r="I389" s="4" t="str">
        <f t="shared" si="154"/>
        <v/>
      </c>
      <c r="J389" s="4" t="str">
        <f t="shared" si="155"/>
        <v>GLEVRIVASNAWAVTNHFSMWLAASLSIFCLLKIAN</v>
      </c>
      <c r="K389" s="4" t="str">
        <f t="shared" si="156"/>
        <v>NLISLHLK</v>
      </c>
      <c r="L389" s="4" t="str">
        <f t="shared" si="157"/>
        <v>KRIKSVVLVILLGPLVFLICNLAVITMDER</v>
      </c>
      <c r="M389" s="4" t="str">
        <f t="shared" si="158"/>
        <v/>
      </c>
      <c r="N389" s="4" t="str">
        <f t="shared" si="159"/>
        <v>RNAIHLSSLTVTTLANLIPFTLSLICFLLLICSLCKHLKKM</v>
      </c>
      <c r="O389" s="4" t="str">
        <f t="shared" si="160"/>
        <v>PSTKVHIKALQTVTSFLMLFAIYFLCIITSTWN</v>
      </c>
      <c r="P389" s="4" t="str">
        <f t="shared" si="161"/>
        <v>SKLVLLLCQTVAIMYPSFHSFILIMG</v>
      </c>
      <c r="Q389" s="4" t="str">
        <f t="shared" si="162"/>
        <v>SRKLKQTFLSVLWQ</v>
      </c>
      <c r="R389" s="5">
        <f>VLOOKUP($A389,'SegEnds_NonXtal_Prot#'!$A:$AL,3,FALSE)</f>
        <v>6</v>
      </c>
      <c r="S389" s="5">
        <f>VLOOKUP($A389,'SegEnds_NonXtal_Prot#'!$A:$AL,6,FALSE)</f>
        <v>37</v>
      </c>
      <c r="T389" s="5">
        <f>VLOOKUP($A389,'SegEnds_NonXtal_Prot#'!$A:$AL,9,FALSE)</f>
        <v>41</v>
      </c>
      <c r="U389" s="5" t="str">
        <f>VLOOKUP($A389,'SegEnds_NonXtal_Prot#'!$A:$AL,12,FALSE)</f>
        <v>-</v>
      </c>
      <c r="V389" s="5">
        <f>VLOOKUP($A389,'SegEnds_NonXtal_Prot#'!$A:$AL,15,FALSE)</f>
        <v>77</v>
      </c>
      <c r="W389" s="5">
        <f>VLOOKUP($A389,'SegEnds_NonXtal_Prot#'!$A:$AL,18,FALSE)</f>
        <v>115</v>
      </c>
      <c r="X389" s="5">
        <f>VLOOKUP($A389,'SegEnds_NonXtal_Prot#'!$A:$AL,21,FALSE)</f>
        <v>123</v>
      </c>
      <c r="Y389" s="5" t="str">
        <f>VLOOKUP($A389,'SegEnds_NonXtal_Prot#'!$A:$AL,24,FALSE)</f>
        <v>-</v>
      </c>
      <c r="Z389" s="5">
        <f>VLOOKUP($A389,'SegEnds_NonXtal_Prot#'!$A:$AL,27,FALSE)</f>
        <v>169</v>
      </c>
      <c r="AA389" s="5">
        <f>VLOOKUP($A389,'SegEnds_NonXtal_Prot#'!$A:$AL,30,FALSE)</f>
        <v>219</v>
      </c>
      <c r="AB389" s="5">
        <f>VLOOKUP($A389,'SegEnds_NonXtal_Prot#'!$A:$AL,33,FALSE)</f>
        <v>257</v>
      </c>
      <c r="AC389" s="5">
        <f>VLOOKUP($A389,'SegEnds_NonXtal_Prot#'!$A:$AL,36,FALSE)</f>
        <v>283</v>
      </c>
      <c r="AD389" s="5">
        <f>VLOOKUP($A389,'SegEnds_NonXtal_Prot#'!$A:$AL,5,FALSE)</f>
        <v>36</v>
      </c>
      <c r="AE389" s="5">
        <f>VLOOKUP($A389,'SegEnds_NonXtal_Prot#'!$A:$AL,8,FALSE)</f>
        <v>40</v>
      </c>
      <c r="AF389" s="5">
        <f>VLOOKUP($A389,'SegEnds_NonXtal_Prot#'!$A:$AL,11,FALSE)</f>
        <v>71</v>
      </c>
      <c r="AG389" s="5" t="str">
        <f>VLOOKUP($A389,'SegEnds_NonXtal_Prot#'!$A:$AL,14,FALSE)</f>
        <v>-</v>
      </c>
      <c r="AH389" s="5">
        <f>VLOOKUP($A389,'SegEnds_NonXtal_Prot#'!$A:$AL,17,FALSE)</f>
        <v>112</v>
      </c>
      <c r="AI389" s="5">
        <f>VLOOKUP($A389,'SegEnds_NonXtal_Prot#'!$A:$AL,20,FALSE)</f>
        <v>122</v>
      </c>
      <c r="AJ389" s="5">
        <f>VLOOKUP($A389,'SegEnds_NonXtal_Prot#'!$A:$AL,23,FALSE)</f>
        <v>152</v>
      </c>
      <c r="AK389" s="5" t="str">
        <f>VLOOKUP($A389,'SegEnds_NonXtal_Prot#'!$A:$AL,26,FALSE)</f>
        <v>-</v>
      </c>
      <c r="AL389" s="5">
        <f>VLOOKUP($A389,'SegEnds_NonXtal_Prot#'!$A:$AL,29,FALSE)</f>
        <v>209</v>
      </c>
      <c r="AM389" s="5">
        <f>VLOOKUP($A389,'SegEnds_NonXtal_Prot#'!$A:$AL,32,FALSE)</f>
        <v>251</v>
      </c>
      <c r="AN389" s="5">
        <f>VLOOKUP($A389,'SegEnds_NonXtal_Prot#'!$A:$AL,35,FALSE)</f>
        <v>282</v>
      </c>
      <c r="AO389" s="5">
        <f>VLOOKUP($A389,'SegEnds_NonXtal_Prot#'!$A:$AL,38,FALSE)</f>
        <v>296</v>
      </c>
      <c r="AP389" s="5">
        <f t="shared" si="163"/>
        <v>30</v>
      </c>
      <c r="AQ389" s="4">
        <f t="shared" si="164"/>
        <v>3</v>
      </c>
      <c r="AR389" s="4">
        <f t="shared" si="165"/>
        <v>30</v>
      </c>
      <c r="AS389" s="4" t="str">
        <f t="shared" si="166"/>
        <v>-</v>
      </c>
      <c r="AT389" s="4">
        <f t="shared" si="167"/>
        <v>35</v>
      </c>
      <c r="AU389" s="4">
        <f t="shared" si="168"/>
        <v>7</v>
      </c>
      <c r="AV389" s="4">
        <f t="shared" si="169"/>
        <v>29</v>
      </c>
      <c r="AW389" s="4" t="str">
        <f t="shared" si="170"/>
        <v>-</v>
      </c>
      <c r="AX389" s="4">
        <f t="shared" si="171"/>
        <v>40</v>
      </c>
      <c r="AY389" s="4">
        <f t="shared" si="172"/>
        <v>32</v>
      </c>
      <c r="AZ389" s="4">
        <f t="shared" si="173"/>
        <v>25</v>
      </c>
      <c r="BA389" s="4">
        <f t="shared" si="174"/>
        <v>13</v>
      </c>
    </row>
    <row r="390" spans="1:53" x14ac:dyDescent="0.2">
      <c r="A390" s="1" t="str">
        <f>'SegEnds_NonXtal_Prot#'!A392</f>
        <v>t2r20_human</v>
      </c>
      <c r="B390" s="1" t="str">
        <f t="shared" si="150"/>
        <v>HIVFSILVVVAFILGNFANGFIALINFIAWVISSADQIIAALAVSRVGLLWVILLHWYSTVLNLKVIIFISNAWAVTNHFSIWLATSLSIFYLLKIVNRKAKSVVLVIVLGSLFFLVCHLVMKHTYINRNAMHLSNLTVAMLANLIPFTLTLISFLLLIYSLCKHLKKMPSTKIHIKALQTVTSFLILLAIYFLCLIISFWNKEIVLMLCQAFGIIYPSFHSFILIWGNKTLKQTFLSVLWQ</v>
      </c>
      <c r="C390" s="29" t="str">
        <f>IF(ISERROR(MATCH(A390,'SegEnds_Xtal_Prot#'!B:B, 0)), "NoXtal", "Xtal")</f>
        <v>NoXtal</v>
      </c>
      <c r="D390" s="4" t="str">
        <f>VLOOKUP(A390,Classification!A:D,2,FALSE)</f>
        <v>T</v>
      </c>
      <c r="E390" s="5" t="str">
        <f>VLOOKUP(A390,Seqs!A:B,2,FALSE)</f>
        <v>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</v>
      </c>
      <c r="F390" s="5" t="str">
        <f t="shared" si="151"/>
        <v>HIVFSILVVVAFILGNFANGFIALINFIAWV</v>
      </c>
      <c r="G390" s="4" t="str">
        <f t="shared" si="152"/>
        <v>KRQK</v>
      </c>
      <c r="H390" s="4" t="str">
        <f t="shared" si="153"/>
        <v>ISSADQIIAALAVSRVGLLWVILLHWYSTVL</v>
      </c>
      <c r="I390" s="4" t="str">
        <f t="shared" si="154"/>
        <v/>
      </c>
      <c r="J390" s="4" t="str">
        <f t="shared" si="155"/>
        <v>NLKVIIFISNAWAVTNHFSIWLATSLSIFYLLKIVN</v>
      </c>
      <c r="K390" s="4" t="str">
        <f t="shared" si="156"/>
        <v>RLIFHHLK</v>
      </c>
      <c r="L390" s="4" t="str">
        <f t="shared" si="157"/>
        <v>RKAKSVVLVIVLGSLFFLVCHLVMKHTYIN</v>
      </c>
      <c r="M390" s="4" t="str">
        <f t="shared" si="158"/>
        <v/>
      </c>
      <c r="N390" s="4" t="str">
        <f t="shared" si="159"/>
        <v>RNAMHLSNLTVAMLANLIPFTLTLISFLLLIYSLCKHLKKM</v>
      </c>
      <c r="O390" s="4" t="str">
        <f t="shared" si="160"/>
        <v>PSTKIHIKALQTVTSFLILLAIYFLCLIISFWN</v>
      </c>
      <c r="P390" s="4" t="str">
        <f t="shared" si="161"/>
        <v>KEIVLMLCQAFGIIYPSFHSFILIWG</v>
      </c>
      <c r="Q390" s="4" t="str">
        <f t="shared" si="162"/>
        <v>NKTLKQTFLSVLWQ</v>
      </c>
      <c r="R390" s="5">
        <f>VLOOKUP($A390,'SegEnds_NonXtal_Prot#'!$A:$AL,3,FALSE)</f>
        <v>6</v>
      </c>
      <c r="S390" s="5">
        <f>VLOOKUP($A390,'SegEnds_NonXtal_Prot#'!$A:$AL,6,FALSE)</f>
        <v>37</v>
      </c>
      <c r="T390" s="5">
        <f>VLOOKUP($A390,'SegEnds_NonXtal_Prot#'!$A:$AL,9,FALSE)</f>
        <v>41</v>
      </c>
      <c r="U390" s="5" t="str">
        <f>VLOOKUP($A390,'SegEnds_NonXtal_Prot#'!$A:$AL,12,FALSE)</f>
        <v>-</v>
      </c>
      <c r="V390" s="5">
        <f>VLOOKUP($A390,'SegEnds_NonXtal_Prot#'!$A:$AL,15,FALSE)</f>
        <v>77</v>
      </c>
      <c r="W390" s="5">
        <f>VLOOKUP($A390,'SegEnds_NonXtal_Prot#'!$A:$AL,18,FALSE)</f>
        <v>115</v>
      </c>
      <c r="X390" s="5">
        <f>VLOOKUP($A390,'SegEnds_NonXtal_Prot#'!$A:$AL,21,FALSE)</f>
        <v>123</v>
      </c>
      <c r="Y390" s="5" t="str">
        <f>VLOOKUP($A390,'SegEnds_NonXtal_Prot#'!$A:$AL,24,FALSE)</f>
        <v>-</v>
      </c>
      <c r="Z390" s="5">
        <f>VLOOKUP($A390,'SegEnds_NonXtal_Prot#'!$A:$AL,27,FALSE)</f>
        <v>169</v>
      </c>
      <c r="AA390" s="5">
        <f>VLOOKUP($A390,'SegEnds_NonXtal_Prot#'!$A:$AL,30,FALSE)</f>
        <v>219</v>
      </c>
      <c r="AB390" s="5">
        <f>VLOOKUP($A390,'SegEnds_NonXtal_Prot#'!$A:$AL,33,FALSE)</f>
        <v>257</v>
      </c>
      <c r="AC390" s="5">
        <f>VLOOKUP($A390,'SegEnds_NonXtal_Prot#'!$A:$AL,36,FALSE)</f>
        <v>283</v>
      </c>
      <c r="AD390" s="5">
        <f>VLOOKUP($A390,'SegEnds_NonXtal_Prot#'!$A:$AL,5,FALSE)</f>
        <v>36</v>
      </c>
      <c r="AE390" s="5">
        <f>VLOOKUP($A390,'SegEnds_NonXtal_Prot#'!$A:$AL,8,FALSE)</f>
        <v>40</v>
      </c>
      <c r="AF390" s="5">
        <f>VLOOKUP($A390,'SegEnds_NonXtal_Prot#'!$A:$AL,11,FALSE)</f>
        <v>71</v>
      </c>
      <c r="AG390" s="5" t="str">
        <f>VLOOKUP($A390,'SegEnds_NonXtal_Prot#'!$A:$AL,14,FALSE)</f>
        <v>-</v>
      </c>
      <c r="AH390" s="5">
        <f>VLOOKUP($A390,'SegEnds_NonXtal_Prot#'!$A:$AL,17,FALSE)</f>
        <v>112</v>
      </c>
      <c r="AI390" s="5">
        <f>VLOOKUP($A390,'SegEnds_NonXtal_Prot#'!$A:$AL,20,FALSE)</f>
        <v>122</v>
      </c>
      <c r="AJ390" s="5">
        <f>VLOOKUP($A390,'SegEnds_NonXtal_Prot#'!$A:$AL,23,FALSE)</f>
        <v>152</v>
      </c>
      <c r="AK390" s="5" t="str">
        <f>VLOOKUP($A390,'SegEnds_NonXtal_Prot#'!$A:$AL,26,FALSE)</f>
        <v>-</v>
      </c>
      <c r="AL390" s="5">
        <f>VLOOKUP($A390,'SegEnds_NonXtal_Prot#'!$A:$AL,29,FALSE)</f>
        <v>209</v>
      </c>
      <c r="AM390" s="5">
        <f>VLOOKUP($A390,'SegEnds_NonXtal_Prot#'!$A:$AL,32,FALSE)</f>
        <v>251</v>
      </c>
      <c r="AN390" s="5">
        <f>VLOOKUP($A390,'SegEnds_NonXtal_Prot#'!$A:$AL,35,FALSE)</f>
        <v>282</v>
      </c>
      <c r="AO390" s="5">
        <f>VLOOKUP($A390,'SegEnds_NonXtal_Prot#'!$A:$AL,38,FALSE)</f>
        <v>296</v>
      </c>
      <c r="AP390" s="5">
        <f t="shared" si="163"/>
        <v>30</v>
      </c>
      <c r="AQ390" s="4">
        <f t="shared" si="164"/>
        <v>3</v>
      </c>
      <c r="AR390" s="4">
        <f t="shared" si="165"/>
        <v>30</v>
      </c>
      <c r="AS390" s="4" t="str">
        <f t="shared" si="166"/>
        <v>-</v>
      </c>
      <c r="AT390" s="4">
        <f t="shared" si="167"/>
        <v>35</v>
      </c>
      <c r="AU390" s="4">
        <f t="shared" si="168"/>
        <v>7</v>
      </c>
      <c r="AV390" s="4">
        <f t="shared" si="169"/>
        <v>29</v>
      </c>
      <c r="AW390" s="4" t="str">
        <f t="shared" si="170"/>
        <v>-</v>
      </c>
      <c r="AX390" s="4">
        <f t="shared" si="171"/>
        <v>40</v>
      </c>
      <c r="AY390" s="4">
        <f t="shared" si="172"/>
        <v>32</v>
      </c>
      <c r="AZ390" s="4">
        <f t="shared" si="173"/>
        <v>25</v>
      </c>
      <c r="BA390" s="4">
        <f t="shared" si="174"/>
        <v>13</v>
      </c>
    </row>
    <row r="391" spans="1:53" x14ac:dyDescent="0.2">
      <c r="A391" s="1" t="str">
        <f>'SegEnds_NonXtal_Prot#'!A393</f>
        <v>t2r30_human</v>
      </c>
      <c r="B391" s="1" t="str">
        <f t="shared" si="150"/>
        <v>PIIFSILIVVIFVIGNFANGFIALVNSIEWVISFVDQILTALAVSRVGLLWVLLLHWYATQLSVEVRITAYNVWAVTNHFSSWLATSLSMFYLLRIANRRVKSVVLVILLGPLLFLVCHLFVINMDETRSAMYHSNMTLTMLANFVPLTLTLISFLLLICSLCKHLKKMPSTKVHIKALQTVTSFLLLCAIYFLSMIISVCNKQPVFMFCQAIIFSYPSTHPFILILGNKKLKQIFLSVLRH</v>
      </c>
      <c r="C391" s="29" t="str">
        <f>IF(ISERROR(MATCH(A391,'SegEnds_Xtal_Prot#'!B:B, 0)), "NoXtal", "Xtal")</f>
        <v>NoXtal</v>
      </c>
      <c r="D391" s="4" t="str">
        <f>VLOOKUP(A391,Classification!A:D,2,FALSE)</f>
        <v>T</v>
      </c>
      <c r="E391" s="5" t="str">
        <f>VLOOKUP(A391,Seqs!A:B,2,FALSE)</f>
        <v>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</v>
      </c>
      <c r="F391" s="5" t="str">
        <f t="shared" si="151"/>
        <v>PIIFSILIVVIFVIGNFANGFIALVNSIEWV</v>
      </c>
      <c r="G391" s="4" t="str">
        <f t="shared" si="152"/>
        <v>KRQK</v>
      </c>
      <c r="H391" s="4" t="str">
        <f t="shared" si="153"/>
        <v>ISFVDQILTALAVSRVGLLWVLLLHWYATQL</v>
      </c>
      <c r="I391" s="4" t="str">
        <f t="shared" si="154"/>
        <v/>
      </c>
      <c r="J391" s="4" t="str">
        <f t="shared" si="155"/>
        <v>SVEVRITAYNVWAVTNHFSSWLATSLSMFYLLRIAN</v>
      </c>
      <c r="K391" s="4" t="str">
        <f t="shared" si="156"/>
        <v>NLIFLRIK</v>
      </c>
      <c r="L391" s="4" t="str">
        <f t="shared" si="157"/>
        <v>RRVKSVVLVILLGPLLFLVCHLFVINMDET</v>
      </c>
      <c r="M391" s="4" t="str">
        <f t="shared" si="158"/>
        <v/>
      </c>
      <c r="N391" s="4" t="str">
        <f t="shared" si="159"/>
        <v>RSAMYHSNMTLTMLANFVPLTLTLISFLLLICSLCKHLKKM</v>
      </c>
      <c r="O391" s="4" t="str">
        <f t="shared" si="160"/>
        <v>PSTKVHIKALQTVTSFLLLCAIYFLSMIISVCN</v>
      </c>
      <c r="P391" s="4" t="str">
        <f t="shared" si="161"/>
        <v>KQPVFMFCQAIIFSYPSTHPFILILG</v>
      </c>
      <c r="Q391" s="4" t="str">
        <f t="shared" si="162"/>
        <v>NKKLKQIFLSVLRH</v>
      </c>
      <c r="R391" s="5">
        <f>VLOOKUP($A391,'SegEnds_NonXtal_Prot#'!$A:$AL,3,FALSE)</f>
        <v>6</v>
      </c>
      <c r="S391" s="5">
        <f>VLOOKUP($A391,'SegEnds_NonXtal_Prot#'!$A:$AL,6,FALSE)</f>
        <v>37</v>
      </c>
      <c r="T391" s="5">
        <f>VLOOKUP($A391,'SegEnds_NonXtal_Prot#'!$A:$AL,9,FALSE)</f>
        <v>41</v>
      </c>
      <c r="U391" s="5" t="str">
        <f>VLOOKUP($A391,'SegEnds_NonXtal_Prot#'!$A:$AL,12,FALSE)</f>
        <v>-</v>
      </c>
      <c r="V391" s="5">
        <f>VLOOKUP($A391,'SegEnds_NonXtal_Prot#'!$A:$AL,15,FALSE)</f>
        <v>77</v>
      </c>
      <c r="W391" s="5">
        <f>VLOOKUP($A391,'SegEnds_NonXtal_Prot#'!$A:$AL,18,FALSE)</f>
        <v>115</v>
      </c>
      <c r="X391" s="5">
        <f>VLOOKUP($A391,'SegEnds_NonXtal_Prot#'!$A:$AL,21,FALSE)</f>
        <v>123</v>
      </c>
      <c r="Y391" s="5" t="str">
        <f>VLOOKUP($A391,'SegEnds_NonXtal_Prot#'!$A:$AL,24,FALSE)</f>
        <v>-</v>
      </c>
      <c r="Z391" s="5">
        <f>VLOOKUP($A391,'SegEnds_NonXtal_Prot#'!$A:$AL,27,FALSE)</f>
        <v>169</v>
      </c>
      <c r="AA391" s="5">
        <f>VLOOKUP($A391,'SegEnds_NonXtal_Prot#'!$A:$AL,30,FALSE)</f>
        <v>219</v>
      </c>
      <c r="AB391" s="5">
        <f>VLOOKUP($A391,'SegEnds_NonXtal_Prot#'!$A:$AL,33,FALSE)</f>
        <v>257</v>
      </c>
      <c r="AC391" s="5">
        <f>VLOOKUP($A391,'SegEnds_NonXtal_Prot#'!$A:$AL,36,FALSE)</f>
        <v>283</v>
      </c>
      <c r="AD391" s="5">
        <f>VLOOKUP($A391,'SegEnds_NonXtal_Prot#'!$A:$AL,5,FALSE)</f>
        <v>36</v>
      </c>
      <c r="AE391" s="5">
        <f>VLOOKUP($A391,'SegEnds_NonXtal_Prot#'!$A:$AL,8,FALSE)</f>
        <v>40</v>
      </c>
      <c r="AF391" s="5">
        <f>VLOOKUP($A391,'SegEnds_NonXtal_Prot#'!$A:$AL,11,FALSE)</f>
        <v>71</v>
      </c>
      <c r="AG391" s="5" t="str">
        <f>VLOOKUP($A391,'SegEnds_NonXtal_Prot#'!$A:$AL,14,FALSE)</f>
        <v>-</v>
      </c>
      <c r="AH391" s="5">
        <f>VLOOKUP($A391,'SegEnds_NonXtal_Prot#'!$A:$AL,17,FALSE)</f>
        <v>112</v>
      </c>
      <c r="AI391" s="5">
        <f>VLOOKUP($A391,'SegEnds_NonXtal_Prot#'!$A:$AL,20,FALSE)</f>
        <v>122</v>
      </c>
      <c r="AJ391" s="5">
        <f>VLOOKUP($A391,'SegEnds_NonXtal_Prot#'!$A:$AL,23,FALSE)</f>
        <v>152</v>
      </c>
      <c r="AK391" s="5" t="str">
        <f>VLOOKUP($A391,'SegEnds_NonXtal_Prot#'!$A:$AL,26,FALSE)</f>
        <v>-</v>
      </c>
      <c r="AL391" s="5">
        <f>VLOOKUP($A391,'SegEnds_NonXtal_Prot#'!$A:$AL,29,FALSE)</f>
        <v>209</v>
      </c>
      <c r="AM391" s="5">
        <f>VLOOKUP($A391,'SegEnds_NonXtal_Prot#'!$A:$AL,32,FALSE)</f>
        <v>251</v>
      </c>
      <c r="AN391" s="5">
        <f>VLOOKUP($A391,'SegEnds_NonXtal_Prot#'!$A:$AL,35,FALSE)</f>
        <v>282</v>
      </c>
      <c r="AO391" s="5">
        <f>VLOOKUP($A391,'SegEnds_NonXtal_Prot#'!$A:$AL,38,FALSE)</f>
        <v>296</v>
      </c>
      <c r="AP391" s="5">
        <f t="shared" si="163"/>
        <v>30</v>
      </c>
      <c r="AQ391" s="4">
        <f t="shared" si="164"/>
        <v>3</v>
      </c>
      <c r="AR391" s="4">
        <f t="shared" si="165"/>
        <v>30</v>
      </c>
      <c r="AS391" s="4" t="str">
        <f t="shared" si="166"/>
        <v>-</v>
      </c>
      <c r="AT391" s="4">
        <f t="shared" si="167"/>
        <v>35</v>
      </c>
      <c r="AU391" s="4">
        <f t="shared" si="168"/>
        <v>7</v>
      </c>
      <c r="AV391" s="4">
        <f t="shared" si="169"/>
        <v>29</v>
      </c>
      <c r="AW391" s="4" t="str">
        <f t="shared" si="170"/>
        <v>-</v>
      </c>
      <c r="AX391" s="4">
        <f t="shared" si="171"/>
        <v>40</v>
      </c>
      <c r="AY391" s="4">
        <f t="shared" si="172"/>
        <v>32</v>
      </c>
      <c r="AZ391" s="4">
        <f t="shared" si="173"/>
        <v>25</v>
      </c>
      <c r="BA391" s="4">
        <f t="shared" si="174"/>
        <v>13</v>
      </c>
    </row>
    <row r="392" spans="1:53" x14ac:dyDescent="0.2">
      <c r="A392" s="1" t="str">
        <f>'SegEnds_NonXtal_Prot#'!A394</f>
        <v>t2r31_human</v>
      </c>
      <c r="B392" s="1" t="str">
        <f t="shared" si="150"/>
        <v>PIIFSSVVVVLFVIGNFANGFIALVNSIERVISFADQILTALAVSRVGLLWVLLLNWYSTVFSVEVRTTAYNVWAVTGHFSNWLATSLSIFYLLKIANRRVKSVILVMLLGPLLFLACQLFVIRSAVYLSDATVTTLGNLVPFTLTLLCFLLLICSLCKHLKKMPSTKVHIKALQTVIFFLLLCAVYFLSIMISVWSNKPVFMFCKAIRFSYPSIHPFILIWGNKKLKQTFLSVLRQ</v>
      </c>
      <c r="C392" s="29" t="str">
        <f>IF(ISERROR(MATCH(A392,'SegEnds_Xtal_Prot#'!B:B, 0)), "NoXtal", "Xtal")</f>
        <v>NoXtal</v>
      </c>
      <c r="D392" s="4" t="str">
        <f>VLOOKUP(A392,Classification!A:D,2,FALSE)</f>
        <v>T</v>
      </c>
      <c r="E392" s="5" t="str">
        <f>VLOOKUP(A392,Seqs!A:B,2,FALSE)</f>
        <v>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</v>
      </c>
      <c r="F392" s="5" t="str">
        <f t="shared" si="151"/>
        <v>PIIFSSVVVVLFVIGNFANGFIALVNSIERV</v>
      </c>
      <c r="G392" s="4" t="str">
        <f t="shared" si="152"/>
        <v>KRQK</v>
      </c>
      <c r="H392" s="4" t="str">
        <f t="shared" si="153"/>
        <v>ISFADQILTALAVSRVGLLWVLLLNWYSTVF</v>
      </c>
      <c r="I392" s="4" t="str">
        <f t="shared" si="154"/>
        <v/>
      </c>
      <c r="J392" s="4" t="str">
        <f t="shared" si="155"/>
        <v>SVEVRTTAYNVWAVTGHFSNWLATSLSIFYLLKIAN</v>
      </c>
      <c r="K392" s="4" t="str">
        <f t="shared" si="156"/>
        <v>NLIFLHLK</v>
      </c>
      <c r="L392" s="4" t="str">
        <f t="shared" si="157"/>
        <v>RRVKSVILVMLLGPLLFLACQLFVI</v>
      </c>
      <c r="M392" s="4" t="str">
        <f t="shared" si="158"/>
        <v/>
      </c>
      <c r="N392" s="4" t="str">
        <f t="shared" si="159"/>
        <v>RSAVYLSDATVTTLGNLVPFTLTLLCFLLLICSLCKHLKKM</v>
      </c>
      <c r="O392" s="4" t="str">
        <f t="shared" si="160"/>
        <v>PSTKVHIKALQTVIFFLLLCAVYFLSIMISVWS</v>
      </c>
      <c r="P392" s="4" t="str">
        <f t="shared" si="161"/>
        <v>NKPVFMFCKAIRFSYPSIHPFILIWG</v>
      </c>
      <c r="Q392" s="4" t="str">
        <f t="shared" si="162"/>
        <v>NKKLKQTFLSVLRQ</v>
      </c>
      <c r="R392" s="5">
        <f>VLOOKUP($A392,'SegEnds_NonXtal_Prot#'!$A:$AL,3,FALSE)</f>
        <v>6</v>
      </c>
      <c r="S392" s="5">
        <f>VLOOKUP($A392,'SegEnds_NonXtal_Prot#'!$A:$AL,6,FALSE)</f>
        <v>37</v>
      </c>
      <c r="T392" s="5">
        <f>VLOOKUP($A392,'SegEnds_NonXtal_Prot#'!$A:$AL,9,FALSE)</f>
        <v>41</v>
      </c>
      <c r="U392" s="5" t="str">
        <f>VLOOKUP($A392,'SegEnds_NonXtal_Prot#'!$A:$AL,12,FALSE)</f>
        <v>-</v>
      </c>
      <c r="V392" s="5">
        <f>VLOOKUP($A392,'SegEnds_NonXtal_Prot#'!$A:$AL,15,FALSE)</f>
        <v>77</v>
      </c>
      <c r="W392" s="5">
        <f>VLOOKUP($A392,'SegEnds_NonXtal_Prot#'!$A:$AL,18,FALSE)</f>
        <v>115</v>
      </c>
      <c r="X392" s="5">
        <f>VLOOKUP($A392,'SegEnds_NonXtal_Prot#'!$A:$AL,21,FALSE)</f>
        <v>123</v>
      </c>
      <c r="Y392" s="5" t="str">
        <f>VLOOKUP($A392,'SegEnds_NonXtal_Prot#'!$A:$AL,24,FALSE)</f>
        <v>-</v>
      </c>
      <c r="Z392" s="5">
        <f>VLOOKUP($A392,'SegEnds_NonXtal_Prot#'!$A:$AL,27,FALSE)</f>
        <v>169</v>
      </c>
      <c r="AA392" s="5">
        <f>VLOOKUP($A392,'SegEnds_NonXtal_Prot#'!$A:$AL,30,FALSE)</f>
        <v>219</v>
      </c>
      <c r="AB392" s="5">
        <f>VLOOKUP($A392,'SegEnds_NonXtal_Prot#'!$A:$AL,33,FALSE)</f>
        <v>257</v>
      </c>
      <c r="AC392" s="5">
        <f>VLOOKUP($A392,'SegEnds_NonXtal_Prot#'!$A:$AL,36,FALSE)</f>
        <v>283</v>
      </c>
      <c r="AD392" s="5">
        <f>VLOOKUP($A392,'SegEnds_NonXtal_Prot#'!$A:$AL,5,FALSE)</f>
        <v>36</v>
      </c>
      <c r="AE392" s="5">
        <f>VLOOKUP($A392,'SegEnds_NonXtal_Prot#'!$A:$AL,8,FALSE)</f>
        <v>40</v>
      </c>
      <c r="AF392" s="5">
        <f>VLOOKUP($A392,'SegEnds_NonXtal_Prot#'!$A:$AL,11,FALSE)</f>
        <v>71</v>
      </c>
      <c r="AG392" s="5" t="str">
        <f>VLOOKUP($A392,'SegEnds_NonXtal_Prot#'!$A:$AL,14,FALSE)</f>
        <v>-</v>
      </c>
      <c r="AH392" s="5">
        <f>VLOOKUP($A392,'SegEnds_NonXtal_Prot#'!$A:$AL,17,FALSE)</f>
        <v>112</v>
      </c>
      <c r="AI392" s="5">
        <f>VLOOKUP($A392,'SegEnds_NonXtal_Prot#'!$A:$AL,20,FALSE)</f>
        <v>122</v>
      </c>
      <c r="AJ392" s="5">
        <f>VLOOKUP($A392,'SegEnds_NonXtal_Prot#'!$A:$AL,23,FALSE)</f>
        <v>147</v>
      </c>
      <c r="AK392" s="5" t="str">
        <f>VLOOKUP($A392,'SegEnds_NonXtal_Prot#'!$A:$AL,26,FALSE)</f>
        <v>-</v>
      </c>
      <c r="AL392" s="5">
        <f>VLOOKUP($A392,'SegEnds_NonXtal_Prot#'!$A:$AL,29,FALSE)</f>
        <v>209</v>
      </c>
      <c r="AM392" s="5">
        <f>VLOOKUP($A392,'SegEnds_NonXtal_Prot#'!$A:$AL,32,FALSE)</f>
        <v>251</v>
      </c>
      <c r="AN392" s="5">
        <f>VLOOKUP($A392,'SegEnds_NonXtal_Prot#'!$A:$AL,35,FALSE)</f>
        <v>282</v>
      </c>
      <c r="AO392" s="5">
        <f>VLOOKUP($A392,'SegEnds_NonXtal_Prot#'!$A:$AL,38,FALSE)</f>
        <v>296</v>
      </c>
      <c r="AP392" s="5">
        <f t="shared" si="163"/>
        <v>30</v>
      </c>
      <c r="AQ392" s="4">
        <f t="shared" si="164"/>
        <v>3</v>
      </c>
      <c r="AR392" s="4">
        <f t="shared" si="165"/>
        <v>30</v>
      </c>
      <c r="AS392" s="4" t="str">
        <f t="shared" si="166"/>
        <v>-</v>
      </c>
      <c r="AT392" s="4">
        <f t="shared" si="167"/>
        <v>35</v>
      </c>
      <c r="AU392" s="4">
        <f t="shared" si="168"/>
        <v>7</v>
      </c>
      <c r="AV392" s="4">
        <f t="shared" si="169"/>
        <v>24</v>
      </c>
      <c r="AW392" s="4" t="str">
        <f t="shared" si="170"/>
        <v>-</v>
      </c>
      <c r="AX392" s="4">
        <f t="shared" si="171"/>
        <v>40</v>
      </c>
      <c r="AY392" s="4">
        <f t="shared" si="172"/>
        <v>32</v>
      </c>
      <c r="AZ392" s="4">
        <f t="shared" si="173"/>
        <v>25</v>
      </c>
      <c r="BA392" s="4">
        <f t="shared" si="174"/>
        <v>13</v>
      </c>
    </row>
    <row r="393" spans="1:53" x14ac:dyDescent="0.2">
      <c r="A393" s="1" t="str">
        <f>'SegEnds_NonXtal_Prot#'!A395</f>
        <v>t2r38_human</v>
      </c>
      <c r="B393" s="1" t="str">
        <f t="shared" si="150"/>
        <v>RSTFLFISVLEFAVGFLTNAFVFLVNFWDVVLSNSDCVLLCLSISRLFLHGLLFLSAIQLTHFSEPLNHSYQAIIMLWMIANQANLWLAACLSLLYCSKLIRSWVSRKISQMLLGIILCSCICTVLCVWKDLNLFYSFLFCYLWSVPPFLLFLVSSGMLTVSLGRHMRTMPSLEAHIKALKSLVSFFCFFVISSCAAFISVPLDKIGVMVCVGIMAACPSGHAAILISGNAKLRRAVMTILLW</v>
      </c>
      <c r="C393" s="29" t="str">
        <f>IF(ISERROR(MATCH(A393,'SegEnds_Xtal_Prot#'!B:B, 0)), "NoXtal", "Xtal")</f>
        <v>NoXtal</v>
      </c>
      <c r="D393" s="4" t="str">
        <f>VLOOKUP(A393,Classification!A:D,2,FALSE)</f>
        <v>T</v>
      </c>
      <c r="E393" s="5" t="str">
        <f>VLOOKUP(A393,Seqs!A:B,2,FALSE)</f>
        <v>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</v>
      </c>
      <c r="F393" s="5" t="str">
        <f t="shared" si="151"/>
        <v>RSTFLFISVLEFAVGFLTNAFVFLVNFWDVV</v>
      </c>
      <c r="G393" s="4" t="str">
        <f t="shared" si="152"/>
        <v>KRQA</v>
      </c>
      <c r="H393" s="4" t="str">
        <f t="shared" si="153"/>
        <v>LSNSDCVLLCLSISRLFLHGLLFLSAIQLTHF</v>
      </c>
      <c r="I393" s="4" t="str">
        <f t="shared" si="154"/>
        <v/>
      </c>
      <c r="J393" s="4" t="str">
        <f t="shared" si="155"/>
        <v>SEPLNHSYQAIIMLWMIANQANLWLAACLSLLYCSKLIR</v>
      </c>
      <c r="K393" s="4" t="str">
        <f t="shared" si="156"/>
        <v>HTFLICLA</v>
      </c>
      <c r="L393" s="4" t="str">
        <f t="shared" si="157"/>
        <v>SWVSRKISQMLLGIILCSCICTVLCVW</v>
      </c>
      <c r="M393" s="4" t="str">
        <f t="shared" si="158"/>
        <v/>
      </c>
      <c r="N393" s="4" t="str">
        <f t="shared" si="159"/>
        <v>KDLNLFYSFLFCYLWSVPPFLLFLVSSGMLTVSLGRHMRTM</v>
      </c>
      <c r="O393" s="4" t="str">
        <f t="shared" si="160"/>
        <v>PSLEAHIKALKSLVSFFCFFVISSCAAFISVPL</v>
      </c>
      <c r="P393" s="4" t="str">
        <f t="shared" si="161"/>
        <v>DKIGVMVCVGIMAACPSGHAAILISG</v>
      </c>
      <c r="Q393" s="4" t="str">
        <f t="shared" si="162"/>
        <v>NAKLRRAVMTILLW</v>
      </c>
      <c r="R393" s="5">
        <f>VLOOKUP($A393,'SegEnds_NonXtal_Prot#'!$A:$AL,3,FALSE)</f>
        <v>15</v>
      </c>
      <c r="S393" s="5">
        <f>VLOOKUP($A393,'SegEnds_NonXtal_Prot#'!$A:$AL,6,FALSE)</f>
        <v>46</v>
      </c>
      <c r="T393" s="5">
        <f>VLOOKUP($A393,'SegEnds_NonXtal_Prot#'!$A:$AL,9,FALSE)</f>
        <v>50</v>
      </c>
      <c r="U393" s="5" t="str">
        <f>VLOOKUP($A393,'SegEnds_NonXtal_Prot#'!$A:$AL,12,FALSE)</f>
        <v>-</v>
      </c>
      <c r="V393" s="5">
        <f>VLOOKUP($A393,'SegEnds_NonXtal_Prot#'!$A:$AL,15,FALSE)</f>
        <v>85</v>
      </c>
      <c r="W393" s="5">
        <f>VLOOKUP($A393,'SegEnds_NonXtal_Prot#'!$A:$AL,18,FALSE)</f>
        <v>126</v>
      </c>
      <c r="X393" s="5">
        <f>VLOOKUP($A393,'SegEnds_NonXtal_Prot#'!$A:$AL,21,FALSE)</f>
        <v>134</v>
      </c>
      <c r="Y393" s="5" t="str">
        <f>VLOOKUP($A393,'SegEnds_NonXtal_Prot#'!$A:$AL,24,FALSE)</f>
        <v>-</v>
      </c>
      <c r="Z393" s="5">
        <f>VLOOKUP($A393,'SegEnds_NonXtal_Prot#'!$A:$AL,27,FALSE)</f>
        <v>187</v>
      </c>
      <c r="AA393" s="5">
        <f>VLOOKUP($A393,'SegEnds_NonXtal_Prot#'!$A:$AL,30,FALSE)</f>
        <v>237</v>
      </c>
      <c r="AB393" s="5">
        <f>VLOOKUP($A393,'SegEnds_NonXtal_Prot#'!$A:$AL,33,FALSE)</f>
        <v>275</v>
      </c>
      <c r="AC393" s="5">
        <f>VLOOKUP($A393,'SegEnds_NonXtal_Prot#'!$A:$AL,36,FALSE)</f>
        <v>301</v>
      </c>
      <c r="AD393" s="5">
        <f>VLOOKUP($A393,'SegEnds_NonXtal_Prot#'!$A:$AL,5,FALSE)</f>
        <v>45</v>
      </c>
      <c r="AE393" s="5">
        <f>VLOOKUP($A393,'SegEnds_NonXtal_Prot#'!$A:$AL,8,FALSE)</f>
        <v>49</v>
      </c>
      <c r="AF393" s="5">
        <f>VLOOKUP($A393,'SegEnds_NonXtal_Prot#'!$A:$AL,11,FALSE)</f>
        <v>81</v>
      </c>
      <c r="AG393" s="5" t="str">
        <f>VLOOKUP($A393,'SegEnds_NonXtal_Prot#'!$A:$AL,14,FALSE)</f>
        <v>-</v>
      </c>
      <c r="AH393" s="5">
        <f>VLOOKUP($A393,'SegEnds_NonXtal_Prot#'!$A:$AL,17,FALSE)</f>
        <v>123</v>
      </c>
      <c r="AI393" s="5">
        <f>VLOOKUP($A393,'SegEnds_NonXtal_Prot#'!$A:$AL,20,FALSE)</f>
        <v>133</v>
      </c>
      <c r="AJ393" s="5">
        <f>VLOOKUP($A393,'SegEnds_NonXtal_Prot#'!$A:$AL,23,FALSE)</f>
        <v>160</v>
      </c>
      <c r="AK393" s="5" t="str">
        <f>VLOOKUP($A393,'SegEnds_NonXtal_Prot#'!$A:$AL,26,FALSE)</f>
        <v>-</v>
      </c>
      <c r="AL393" s="5">
        <f>VLOOKUP($A393,'SegEnds_NonXtal_Prot#'!$A:$AL,29,FALSE)</f>
        <v>227</v>
      </c>
      <c r="AM393" s="5">
        <f>VLOOKUP($A393,'SegEnds_NonXtal_Prot#'!$A:$AL,32,FALSE)</f>
        <v>269</v>
      </c>
      <c r="AN393" s="5">
        <f>VLOOKUP($A393,'SegEnds_NonXtal_Prot#'!$A:$AL,35,FALSE)</f>
        <v>300</v>
      </c>
      <c r="AO393" s="5">
        <f>VLOOKUP($A393,'SegEnds_NonXtal_Prot#'!$A:$AL,38,FALSE)</f>
        <v>314</v>
      </c>
      <c r="AP393" s="5">
        <f t="shared" si="163"/>
        <v>30</v>
      </c>
      <c r="AQ393" s="4">
        <f t="shared" si="164"/>
        <v>3</v>
      </c>
      <c r="AR393" s="4">
        <f t="shared" si="165"/>
        <v>31</v>
      </c>
      <c r="AS393" s="4" t="str">
        <f t="shared" si="166"/>
        <v>-</v>
      </c>
      <c r="AT393" s="4">
        <f t="shared" si="167"/>
        <v>38</v>
      </c>
      <c r="AU393" s="4">
        <f t="shared" si="168"/>
        <v>7</v>
      </c>
      <c r="AV393" s="4">
        <f t="shared" si="169"/>
        <v>26</v>
      </c>
      <c r="AW393" s="4" t="str">
        <f t="shared" si="170"/>
        <v>-</v>
      </c>
      <c r="AX393" s="4">
        <f t="shared" si="171"/>
        <v>40</v>
      </c>
      <c r="AY393" s="4">
        <f t="shared" si="172"/>
        <v>32</v>
      </c>
      <c r="AZ393" s="4">
        <f t="shared" si="173"/>
        <v>25</v>
      </c>
      <c r="BA393" s="4">
        <f t="shared" si="174"/>
        <v>13</v>
      </c>
    </row>
    <row r="394" spans="1:53" x14ac:dyDescent="0.2">
      <c r="A394" s="1" t="str">
        <f>'SegEnds_NonXtal_Prot#'!A397</f>
        <v>t2r40_human</v>
      </c>
      <c r="B394" s="1" t="str">
        <f t="shared" si="150"/>
        <v>VTFTLVVSGIECITGILGSGFITAIYGAEWALPTGDRIMLMLSFSRLLLQIWMMLENIFSLLVYNQNSVYILFKVITVFLNHSNLWFAAWLKVFYCLRIANRKIIVLMPWLLRLSVLVSLSFSFPLSRSETNMVNLVFFYNMGIFVPLIMFILAATLLILSLKRHTLHMPSMKAHIGAIKATSYFLILYIFNAIALFLSTSNYSSWNILCKIIMAAYPAGHSVQLILGNPGLRRAWKRFQHQ</v>
      </c>
      <c r="C394" s="29" t="str">
        <f>IF(ISERROR(MATCH(A394,'SegEnds_Xtal_Prot#'!B:B, 0)), "NoXtal", "Xtal")</f>
        <v>NoXtal</v>
      </c>
      <c r="D394" s="4" t="str">
        <f>VLOOKUP(A394,Classification!A:D,2,FALSE)</f>
        <v>T</v>
      </c>
      <c r="E394" s="5" t="str">
        <f>VLOOKUP(A394,Seqs!A:B,2,FALSE)</f>
        <v>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</v>
      </c>
      <c r="F394" s="5" t="str">
        <f t="shared" si="151"/>
        <v>VTFTLVVSGIECITGILGSGFITAIYGAEWA</v>
      </c>
      <c r="G394" s="4" t="str">
        <f t="shared" si="152"/>
        <v>RGKT</v>
      </c>
      <c r="H394" s="4" t="str">
        <f t="shared" si="153"/>
        <v>LPTGDRIMLMLSFSRLLLQIWMMLENIFSLL</v>
      </c>
      <c r="I394" s="4" t="str">
        <f t="shared" si="154"/>
        <v/>
      </c>
      <c r="J394" s="4" t="str">
        <f t="shared" si="155"/>
        <v>VYNQNSVYILFKVITVFLNHSNLWFAAWLKVFYCLRIAN</v>
      </c>
      <c r="K394" s="4" t="str">
        <f t="shared" si="156"/>
        <v>HPLFFLMK</v>
      </c>
      <c r="L394" s="4" t="str">
        <f t="shared" si="157"/>
        <v>RKIIVLMPWLLRLSVLVSLSFSFPLSR</v>
      </c>
      <c r="M394" s="4" t="str">
        <f t="shared" si="158"/>
        <v/>
      </c>
      <c r="N394" s="4" t="str">
        <f t="shared" si="159"/>
        <v>SETNMVNLVFFYNMGIFVPLIMFILAATLLILSLKRHTLHM</v>
      </c>
      <c r="O394" s="4" t="str">
        <f t="shared" si="160"/>
        <v>PSMKAHIGAIKATSYFLILYIFNAIALFLSTSN</v>
      </c>
      <c r="P394" s="4" t="str">
        <f t="shared" si="161"/>
        <v>YSSWNILCKIIMAAYPAGHSVQLILG</v>
      </c>
      <c r="Q394" s="4" t="str">
        <f t="shared" si="162"/>
        <v>NPGLRRAWKRFQHQ</v>
      </c>
      <c r="R394" s="5">
        <f>VLOOKUP($A394,'SegEnds_NonXtal_Prot#'!$A:$AL,3,FALSE)</f>
        <v>18</v>
      </c>
      <c r="S394" s="5">
        <f>VLOOKUP($A394,'SegEnds_NonXtal_Prot#'!$A:$AL,6,FALSE)</f>
        <v>49</v>
      </c>
      <c r="T394" s="5">
        <f>VLOOKUP($A394,'SegEnds_NonXtal_Prot#'!$A:$AL,9,FALSE)</f>
        <v>53</v>
      </c>
      <c r="U394" s="5" t="str">
        <f>VLOOKUP($A394,'SegEnds_NonXtal_Prot#'!$A:$AL,12,FALSE)</f>
        <v>-</v>
      </c>
      <c r="V394" s="5">
        <f>VLOOKUP($A394,'SegEnds_NonXtal_Prot#'!$A:$AL,15,FALSE)</f>
        <v>87</v>
      </c>
      <c r="W394" s="5">
        <f>VLOOKUP($A394,'SegEnds_NonXtal_Prot#'!$A:$AL,18,FALSE)</f>
        <v>128</v>
      </c>
      <c r="X394" s="5">
        <f>VLOOKUP($A394,'SegEnds_NonXtal_Prot#'!$A:$AL,21,FALSE)</f>
        <v>136</v>
      </c>
      <c r="Y394" s="5" t="str">
        <f>VLOOKUP($A394,'SegEnds_NonXtal_Prot#'!$A:$AL,24,FALSE)</f>
        <v>-</v>
      </c>
      <c r="Z394" s="5">
        <f>VLOOKUP($A394,'SegEnds_NonXtal_Prot#'!$A:$AL,27,FALSE)</f>
        <v>187</v>
      </c>
      <c r="AA394" s="5">
        <f>VLOOKUP($A394,'SegEnds_NonXtal_Prot#'!$A:$AL,30,FALSE)</f>
        <v>237</v>
      </c>
      <c r="AB394" s="5">
        <f>VLOOKUP($A394,'SegEnds_NonXtal_Prot#'!$A:$AL,33,FALSE)</f>
        <v>274</v>
      </c>
      <c r="AC394" s="5">
        <f>VLOOKUP($A394,'SegEnds_NonXtal_Prot#'!$A:$AL,36,FALSE)</f>
        <v>300</v>
      </c>
      <c r="AD394" s="5">
        <f>VLOOKUP($A394,'SegEnds_NonXtal_Prot#'!$A:$AL,5,FALSE)</f>
        <v>48</v>
      </c>
      <c r="AE394" s="5">
        <f>VLOOKUP($A394,'SegEnds_NonXtal_Prot#'!$A:$AL,8,FALSE)</f>
        <v>52</v>
      </c>
      <c r="AF394" s="5">
        <f>VLOOKUP($A394,'SegEnds_NonXtal_Prot#'!$A:$AL,11,FALSE)</f>
        <v>83</v>
      </c>
      <c r="AG394" s="5" t="str">
        <f>VLOOKUP($A394,'SegEnds_NonXtal_Prot#'!$A:$AL,14,FALSE)</f>
        <v>-</v>
      </c>
      <c r="AH394" s="5">
        <f>VLOOKUP($A394,'SegEnds_NonXtal_Prot#'!$A:$AL,17,FALSE)</f>
        <v>125</v>
      </c>
      <c r="AI394" s="5">
        <f>VLOOKUP($A394,'SegEnds_NonXtal_Prot#'!$A:$AL,20,FALSE)</f>
        <v>135</v>
      </c>
      <c r="AJ394" s="5">
        <f>VLOOKUP($A394,'SegEnds_NonXtal_Prot#'!$A:$AL,23,FALSE)</f>
        <v>162</v>
      </c>
      <c r="AK394" s="5" t="str">
        <f>VLOOKUP($A394,'SegEnds_NonXtal_Prot#'!$A:$AL,26,FALSE)</f>
        <v>-</v>
      </c>
      <c r="AL394" s="5">
        <f>VLOOKUP($A394,'SegEnds_NonXtal_Prot#'!$A:$AL,29,FALSE)</f>
        <v>227</v>
      </c>
      <c r="AM394" s="5">
        <f>VLOOKUP($A394,'SegEnds_NonXtal_Prot#'!$A:$AL,32,FALSE)</f>
        <v>269</v>
      </c>
      <c r="AN394" s="5">
        <f>VLOOKUP($A394,'SegEnds_NonXtal_Prot#'!$A:$AL,35,FALSE)</f>
        <v>299</v>
      </c>
      <c r="AO394" s="5">
        <f>VLOOKUP($A394,'SegEnds_NonXtal_Prot#'!$A:$AL,38,FALSE)</f>
        <v>313</v>
      </c>
      <c r="AP394" s="5">
        <f t="shared" si="163"/>
        <v>30</v>
      </c>
      <c r="AQ394" s="4">
        <f t="shared" si="164"/>
        <v>3</v>
      </c>
      <c r="AR394" s="4">
        <f t="shared" si="165"/>
        <v>30</v>
      </c>
      <c r="AS394" s="4" t="str">
        <f t="shared" si="166"/>
        <v>-</v>
      </c>
      <c r="AT394" s="4">
        <f t="shared" si="167"/>
        <v>38</v>
      </c>
      <c r="AU394" s="4">
        <f t="shared" si="168"/>
        <v>7</v>
      </c>
      <c r="AV394" s="4">
        <f t="shared" si="169"/>
        <v>26</v>
      </c>
      <c r="AW394" s="4" t="str">
        <f t="shared" si="170"/>
        <v>-</v>
      </c>
      <c r="AX394" s="4">
        <f t="shared" si="171"/>
        <v>40</v>
      </c>
      <c r="AY394" s="4">
        <f t="shared" si="172"/>
        <v>32</v>
      </c>
      <c r="AZ394" s="4">
        <f t="shared" si="173"/>
        <v>25</v>
      </c>
      <c r="BA394" s="4">
        <f t="shared" si="174"/>
        <v>13</v>
      </c>
    </row>
    <row r="395" spans="1:53" x14ac:dyDescent="0.2">
      <c r="A395" s="1" t="str">
        <f>'SegEnds_NonXtal_Prot#'!A398</f>
        <v>t2r41_human</v>
      </c>
      <c r="B395" s="1" t="str">
        <f t="shared" si="150"/>
        <v>TAFFVLLFSLLSLLGIAANGFIVLVLGREWLLLPLDMILISLGASRFCLQLVGTVHNFYYSAQGGLGRQFFHLHWHFLNSATFWFCSWLSVLFCVKIANWRFPGWVPWLLLGSVLISFIITLLFTRIETYYFPSLKLVIWSIPFSVFLVSIMLLINSLRRHTQRMPSTQAHTRALKSLISFLILYALSFLSLIIDAAKQNDFYWPWQIAVYLCISVHPFILIFSNLKLRSVFSQLLLL</v>
      </c>
      <c r="C395" s="29" t="str">
        <f>IF(ISERROR(MATCH(A395,'SegEnds_Xtal_Prot#'!B:B, 0)), "NoXtal", "Xtal")</f>
        <v>NoXtal</v>
      </c>
      <c r="D395" s="4" t="str">
        <f>VLOOKUP(A395,Classification!A:D,2,FALSE)</f>
        <v>T</v>
      </c>
      <c r="E395" s="5" t="str">
        <f>VLOOKUP(A395,Seqs!A:B,2,FALSE)</f>
        <v>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</v>
      </c>
      <c r="F395" s="5" t="str">
        <f t="shared" si="151"/>
        <v>TAFFVLLFSLLSLLGIAANGFIVLVLGREWL</v>
      </c>
      <c r="G395" s="4" t="str">
        <f t="shared" si="152"/>
        <v>RYGR</v>
      </c>
      <c r="H395" s="4" t="str">
        <f t="shared" si="153"/>
        <v>LLPLDMILISLGASRFCLQLVGTVHNFYYSAQ</v>
      </c>
      <c r="I395" s="4" t="str">
        <f t="shared" si="154"/>
        <v/>
      </c>
      <c r="J395" s="4" t="str">
        <f t="shared" si="155"/>
        <v>GGLGRQFFHLHWHFLNSATFWFCSWLSVLFCVKIAN</v>
      </c>
      <c r="K395" s="4" t="str">
        <f t="shared" si="156"/>
        <v>HSTFLWLK</v>
      </c>
      <c r="L395" s="4" t="str">
        <f t="shared" si="157"/>
        <v>WRFPGWVPWLLLGSVLISFIITLLF</v>
      </c>
      <c r="M395" s="4" t="str">
        <f t="shared" si="158"/>
        <v/>
      </c>
      <c r="N395" s="4" t="str">
        <f t="shared" si="159"/>
        <v>TRIETYYFPSLKLVIWSIPFSVFLVSIMLLINSLRRHTQRM</v>
      </c>
      <c r="O395" s="4" t="str">
        <f t="shared" si="160"/>
        <v>PSTQAHTRALKSLISFLILYALSFLSLIIDAAK</v>
      </c>
      <c r="P395" s="4" t="str">
        <f t="shared" si="161"/>
        <v>QNDFYWPWQIAVYLCISVHPFILIFS</v>
      </c>
      <c r="Q395" s="4" t="str">
        <f t="shared" si="162"/>
        <v>NLKLRSVFSQLLLL</v>
      </c>
      <c r="R395" s="5">
        <f>VLOOKUP($A395,'SegEnds_NonXtal_Prot#'!$A:$AL,3,FALSE)</f>
        <v>6</v>
      </c>
      <c r="S395" s="5">
        <f>VLOOKUP($A395,'SegEnds_NonXtal_Prot#'!$A:$AL,6,FALSE)</f>
        <v>37</v>
      </c>
      <c r="T395" s="5">
        <f>VLOOKUP($A395,'SegEnds_NonXtal_Prot#'!$A:$AL,9,FALSE)</f>
        <v>41</v>
      </c>
      <c r="U395" s="5" t="str">
        <f>VLOOKUP($A395,'SegEnds_NonXtal_Prot#'!$A:$AL,12,FALSE)</f>
        <v>-</v>
      </c>
      <c r="V395" s="5">
        <f>VLOOKUP($A395,'SegEnds_NonXtal_Prot#'!$A:$AL,15,FALSE)</f>
        <v>78</v>
      </c>
      <c r="W395" s="5">
        <f>VLOOKUP($A395,'SegEnds_NonXtal_Prot#'!$A:$AL,18,FALSE)</f>
        <v>116</v>
      </c>
      <c r="X395" s="5">
        <f>VLOOKUP($A395,'SegEnds_NonXtal_Prot#'!$A:$AL,21,FALSE)</f>
        <v>124</v>
      </c>
      <c r="Y395" s="5" t="str">
        <f>VLOOKUP($A395,'SegEnds_NonXtal_Prot#'!$A:$AL,24,FALSE)</f>
        <v>-</v>
      </c>
      <c r="Z395" s="5">
        <f>VLOOKUP($A395,'SegEnds_NonXtal_Prot#'!$A:$AL,27,FALSE)</f>
        <v>174</v>
      </c>
      <c r="AA395" s="5">
        <f>VLOOKUP($A395,'SegEnds_NonXtal_Prot#'!$A:$AL,30,FALSE)</f>
        <v>224</v>
      </c>
      <c r="AB395" s="5">
        <f>VLOOKUP($A395,'SegEnds_NonXtal_Prot#'!$A:$AL,33,FALSE)</f>
        <v>261</v>
      </c>
      <c r="AC395" s="5">
        <f>VLOOKUP($A395,'SegEnds_NonXtal_Prot#'!$A:$AL,36,FALSE)</f>
        <v>287</v>
      </c>
      <c r="AD395" s="5">
        <f>VLOOKUP($A395,'SegEnds_NonXtal_Prot#'!$A:$AL,5,FALSE)</f>
        <v>36</v>
      </c>
      <c r="AE395" s="5">
        <f>VLOOKUP($A395,'SegEnds_NonXtal_Prot#'!$A:$AL,8,FALSE)</f>
        <v>40</v>
      </c>
      <c r="AF395" s="5">
        <f>VLOOKUP($A395,'SegEnds_NonXtal_Prot#'!$A:$AL,11,FALSE)</f>
        <v>72</v>
      </c>
      <c r="AG395" s="5" t="str">
        <f>VLOOKUP($A395,'SegEnds_NonXtal_Prot#'!$A:$AL,14,FALSE)</f>
        <v>-</v>
      </c>
      <c r="AH395" s="5">
        <f>VLOOKUP($A395,'SegEnds_NonXtal_Prot#'!$A:$AL,17,FALSE)</f>
        <v>113</v>
      </c>
      <c r="AI395" s="5">
        <f>VLOOKUP($A395,'SegEnds_NonXtal_Prot#'!$A:$AL,20,FALSE)</f>
        <v>123</v>
      </c>
      <c r="AJ395" s="5">
        <f>VLOOKUP($A395,'SegEnds_NonXtal_Prot#'!$A:$AL,23,FALSE)</f>
        <v>148</v>
      </c>
      <c r="AK395" s="5" t="str">
        <f>VLOOKUP($A395,'SegEnds_NonXtal_Prot#'!$A:$AL,26,FALSE)</f>
        <v>-</v>
      </c>
      <c r="AL395" s="5">
        <f>VLOOKUP($A395,'SegEnds_NonXtal_Prot#'!$A:$AL,29,FALSE)</f>
        <v>214</v>
      </c>
      <c r="AM395" s="5">
        <f>VLOOKUP($A395,'SegEnds_NonXtal_Prot#'!$A:$AL,32,FALSE)</f>
        <v>256</v>
      </c>
      <c r="AN395" s="5">
        <f>VLOOKUP($A395,'SegEnds_NonXtal_Prot#'!$A:$AL,35,FALSE)</f>
        <v>286</v>
      </c>
      <c r="AO395" s="5">
        <f>VLOOKUP($A395,'SegEnds_NonXtal_Prot#'!$A:$AL,38,FALSE)</f>
        <v>300</v>
      </c>
      <c r="AP395" s="5">
        <f t="shared" si="163"/>
        <v>30</v>
      </c>
      <c r="AQ395" s="4">
        <f t="shared" si="164"/>
        <v>3</v>
      </c>
      <c r="AR395" s="4">
        <f t="shared" si="165"/>
        <v>31</v>
      </c>
      <c r="AS395" s="4" t="str">
        <f t="shared" si="166"/>
        <v>-</v>
      </c>
      <c r="AT395" s="4">
        <f t="shared" si="167"/>
        <v>35</v>
      </c>
      <c r="AU395" s="4">
        <f t="shared" si="168"/>
        <v>7</v>
      </c>
      <c r="AV395" s="4">
        <f t="shared" si="169"/>
        <v>24</v>
      </c>
      <c r="AW395" s="4" t="str">
        <f t="shared" si="170"/>
        <v>-</v>
      </c>
      <c r="AX395" s="4">
        <f t="shared" si="171"/>
        <v>40</v>
      </c>
      <c r="AY395" s="4">
        <f t="shared" si="172"/>
        <v>32</v>
      </c>
      <c r="AZ395" s="4">
        <f t="shared" si="173"/>
        <v>25</v>
      </c>
      <c r="BA395" s="4">
        <f t="shared" si="174"/>
        <v>13</v>
      </c>
    </row>
    <row r="396" spans="1:53" x14ac:dyDescent="0.2">
      <c r="A396" s="1" t="str">
        <f>'SegEnds_NonXtal_Prot#'!A399</f>
        <v>t2r42_human</v>
      </c>
      <c r="B396" s="1" t="str">
        <f t="shared" si="150"/>
        <v>DKIFLILAIAEFIISMLGNVFIGLVNCSEGIVFSADFILTCLAISTIGQLLVILFDSFLVGLATYRLGKTVIMLWHMTNHLTTWLATCLSIFYFFKIAHWRMNGMIVMLLILSLFLLIFDSLVLLYDKLSILKTLLSLTSFIPFSLFLTSLLFLFLSLVRHTRNLSSTEAHRRAMKMVMSFLFLFIVHFFSLQVANGINNKYIKFVMLALNAFPSCHSFILILGNSKLRQTAVRLLWH</v>
      </c>
      <c r="C396" s="29" t="str">
        <f>IF(ISERROR(MATCH(A396,'SegEnds_Xtal_Prot#'!B:B, 0)), "NoXtal", "Xtal")</f>
        <v>NoXtal</v>
      </c>
      <c r="D396" s="4" t="str">
        <f>VLOOKUP(A396,Classification!A:D,2,FALSE)</f>
        <v>T</v>
      </c>
      <c r="E396" s="5" t="str">
        <f>VLOOKUP(A396,Seqs!A:B,2,FALSE)</f>
        <v>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</v>
      </c>
      <c r="F396" s="5" t="str">
        <f t="shared" si="151"/>
        <v>DKIFLILAIAEFIISMLGNVFIGLVNCSEGI</v>
      </c>
      <c r="G396" s="4" t="str">
        <f t="shared" si="152"/>
        <v>KNQK</v>
      </c>
      <c r="H396" s="4" t="str">
        <f t="shared" si="153"/>
        <v>VFSADFILTCLAISTIGQLLVILFDSFLVGLA</v>
      </c>
      <c r="I396" s="4" t="str">
        <f t="shared" si="154"/>
        <v/>
      </c>
      <c r="J396" s="4" t="str">
        <f t="shared" si="155"/>
        <v>TYRLGKTVIMLWHMTNHLTTWLATCLSIFYFFKIAH</v>
      </c>
      <c r="K396" s="4" t="str">
        <f t="shared" si="156"/>
        <v>HSLFLWLR</v>
      </c>
      <c r="L396" s="4" t="str">
        <f t="shared" si="157"/>
        <v>WRMNGMIVMLLILSLFLLIFDSLVL</v>
      </c>
      <c r="M396" s="4" t="str">
        <f t="shared" si="158"/>
        <v/>
      </c>
      <c r="N396" s="4" t="str">
        <f t="shared" si="159"/>
        <v>LYDKLSILKTLLSLTSFIPFSLFLTSLLFLFLSLVRHTRNL</v>
      </c>
      <c r="O396" s="4" t="str">
        <f t="shared" si="160"/>
        <v>SSTEAHRRAMKMVMSFLFLFIVHFFSLQVANGI</v>
      </c>
      <c r="P396" s="4" t="str">
        <f t="shared" si="161"/>
        <v>NNKYIKFVMLALNAFPSCHSFILILG</v>
      </c>
      <c r="Q396" s="4" t="str">
        <f t="shared" si="162"/>
        <v>NSKLRQTAVRLLWH</v>
      </c>
      <c r="R396" s="5">
        <f>VLOOKUP($A396,'SegEnds_NonXtal_Prot#'!$A:$AL,3,FALSE)</f>
        <v>6</v>
      </c>
      <c r="S396" s="5">
        <f>VLOOKUP($A396,'SegEnds_NonXtal_Prot#'!$A:$AL,6,FALSE)</f>
        <v>37</v>
      </c>
      <c r="T396" s="5">
        <f>VLOOKUP($A396,'SegEnds_NonXtal_Prot#'!$A:$AL,9,FALSE)</f>
        <v>41</v>
      </c>
      <c r="U396" s="5" t="str">
        <f>VLOOKUP($A396,'SegEnds_NonXtal_Prot#'!$A:$AL,12,FALSE)</f>
        <v>-</v>
      </c>
      <c r="V396" s="5">
        <f>VLOOKUP($A396,'SegEnds_NonXtal_Prot#'!$A:$AL,15,FALSE)</f>
        <v>78</v>
      </c>
      <c r="W396" s="5">
        <f>VLOOKUP($A396,'SegEnds_NonXtal_Prot#'!$A:$AL,18,FALSE)</f>
        <v>116</v>
      </c>
      <c r="X396" s="5">
        <f>VLOOKUP($A396,'SegEnds_NonXtal_Prot#'!$A:$AL,21,FALSE)</f>
        <v>124</v>
      </c>
      <c r="Y396" s="5" t="str">
        <f>VLOOKUP($A396,'SegEnds_NonXtal_Prot#'!$A:$AL,24,FALSE)</f>
        <v>-</v>
      </c>
      <c r="Z396" s="5">
        <f>VLOOKUP($A396,'SegEnds_NonXtal_Prot#'!$A:$AL,27,FALSE)</f>
        <v>174</v>
      </c>
      <c r="AA396" s="5">
        <f>VLOOKUP($A396,'SegEnds_NonXtal_Prot#'!$A:$AL,30,FALSE)</f>
        <v>224</v>
      </c>
      <c r="AB396" s="5">
        <f>VLOOKUP($A396,'SegEnds_NonXtal_Prot#'!$A:$AL,33,FALSE)</f>
        <v>262</v>
      </c>
      <c r="AC396" s="5">
        <f>VLOOKUP($A396,'SegEnds_NonXtal_Prot#'!$A:$AL,36,FALSE)</f>
        <v>288</v>
      </c>
      <c r="AD396" s="5">
        <f>VLOOKUP($A396,'SegEnds_NonXtal_Prot#'!$A:$AL,5,FALSE)</f>
        <v>36</v>
      </c>
      <c r="AE396" s="5">
        <f>VLOOKUP($A396,'SegEnds_NonXtal_Prot#'!$A:$AL,8,FALSE)</f>
        <v>40</v>
      </c>
      <c r="AF396" s="5">
        <f>VLOOKUP($A396,'SegEnds_NonXtal_Prot#'!$A:$AL,11,FALSE)</f>
        <v>72</v>
      </c>
      <c r="AG396" s="5" t="str">
        <f>VLOOKUP($A396,'SegEnds_NonXtal_Prot#'!$A:$AL,14,FALSE)</f>
        <v>-</v>
      </c>
      <c r="AH396" s="5">
        <f>VLOOKUP($A396,'SegEnds_NonXtal_Prot#'!$A:$AL,17,FALSE)</f>
        <v>113</v>
      </c>
      <c r="AI396" s="5">
        <f>VLOOKUP($A396,'SegEnds_NonXtal_Prot#'!$A:$AL,20,FALSE)</f>
        <v>123</v>
      </c>
      <c r="AJ396" s="5">
        <f>VLOOKUP($A396,'SegEnds_NonXtal_Prot#'!$A:$AL,23,FALSE)</f>
        <v>148</v>
      </c>
      <c r="AK396" s="5" t="str">
        <f>VLOOKUP($A396,'SegEnds_NonXtal_Prot#'!$A:$AL,26,FALSE)</f>
        <v>-</v>
      </c>
      <c r="AL396" s="5">
        <f>VLOOKUP($A396,'SegEnds_NonXtal_Prot#'!$A:$AL,29,FALSE)</f>
        <v>214</v>
      </c>
      <c r="AM396" s="5">
        <f>VLOOKUP($A396,'SegEnds_NonXtal_Prot#'!$A:$AL,32,FALSE)</f>
        <v>256</v>
      </c>
      <c r="AN396" s="5">
        <f>VLOOKUP($A396,'SegEnds_NonXtal_Prot#'!$A:$AL,35,FALSE)</f>
        <v>287</v>
      </c>
      <c r="AO396" s="5">
        <f>VLOOKUP($A396,'SegEnds_NonXtal_Prot#'!$A:$AL,38,FALSE)</f>
        <v>301</v>
      </c>
      <c r="AP396" s="5">
        <f t="shared" si="163"/>
        <v>30</v>
      </c>
      <c r="AQ396" s="4">
        <f t="shared" si="164"/>
        <v>3</v>
      </c>
      <c r="AR396" s="4">
        <f t="shared" si="165"/>
        <v>31</v>
      </c>
      <c r="AS396" s="4" t="str">
        <f t="shared" si="166"/>
        <v>-</v>
      </c>
      <c r="AT396" s="4">
        <f t="shared" si="167"/>
        <v>35</v>
      </c>
      <c r="AU396" s="4">
        <f t="shared" si="168"/>
        <v>7</v>
      </c>
      <c r="AV396" s="4">
        <f t="shared" si="169"/>
        <v>24</v>
      </c>
      <c r="AW396" s="4" t="str">
        <f t="shared" si="170"/>
        <v>-</v>
      </c>
      <c r="AX396" s="4">
        <f t="shared" si="171"/>
        <v>40</v>
      </c>
      <c r="AY396" s="4">
        <f t="shared" si="172"/>
        <v>32</v>
      </c>
      <c r="AZ396" s="4">
        <f t="shared" si="173"/>
        <v>25</v>
      </c>
      <c r="BA396" s="4">
        <f t="shared" si="174"/>
        <v>13</v>
      </c>
    </row>
    <row r="397" spans="1:53" x14ac:dyDescent="0.2">
      <c r="A397" s="1" t="str">
        <f>'SegEnds_NonXtal_Prot#'!A400</f>
        <v>t2r43_human</v>
      </c>
      <c r="B397" s="1" t="str">
        <f t="shared" si="150"/>
        <v>PIIFSSLVVVTFVIGNFANGFIALVNSIEWFISFADQILTALAVSRVGLLWVLLLNWYSTVLSVEVRTTAYNIWAVINHFSNWLATTLSIFYLLKIANRRVKSVILVMLLGPLLFLACHLFVIKSAMYFSNMTVTMVANLVPFTLTLLSFMLLICSLCKHLKKMPSTKVHIKALQTVISFLLLCAIYFLSIMISVWSNKPVFMFCKAIRFSYPSIHPFILIWGNKKLKQTFLSVFWQ</v>
      </c>
      <c r="C397" s="29" t="str">
        <f>IF(ISERROR(MATCH(A397,'SegEnds_Xtal_Prot#'!B:B, 0)), "NoXtal", "Xtal")</f>
        <v>NoXtal</v>
      </c>
      <c r="D397" s="4" t="str">
        <f>VLOOKUP(A397,Classification!A:D,2,FALSE)</f>
        <v>T</v>
      </c>
      <c r="E397" s="5" t="str">
        <f>VLOOKUP(A397,Seqs!A:B,2,FALSE)</f>
        <v>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</v>
      </c>
      <c r="F397" s="5" t="str">
        <f t="shared" si="151"/>
        <v>PIIFSSLVVVTFVIGNFANGFIALVNSIEWF</v>
      </c>
      <c r="G397" s="4" t="str">
        <f t="shared" si="152"/>
        <v>KRQK</v>
      </c>
      <c r="H397" s="4" t="str">
        <f t="shared" si="153"/>
        <v>ISFADQILTALAVSRVGLLWVLLLNWYSTVL</v>
      </c>
      <c r="I397" s="4" t="str">
        <f t="shared" si="154"/>
        <v/>
      </c>
      <c r="J397" s="4" t="str">
        <f t="shared" si="155"/>
        <v>SVEVRTTAYNIWAVINHFSNWLATTLSIFYLLKIAN</v>
      </c>
      <c r="K397" s="4" t="str">
        <f t="shared" si="156"/>
        <v>NFIFLHLK</v>
      </c>
      <c r="L397" s="4" t="str">
        <f t="shared" si="157"/>
        <v>RRVKSVILVMLLGPLLFLACHLFVI</v>
      </c>
      <c r="M397" s="4" t="str">
        <f t="shared" si="158"/>
        <v/>
      </c>
      <c r="N397" s="4" t="str">
        <f t="shared" si="159"/>
        <v>KSAMYFSNMTVTMVANLVPFTLTLLSFMLLICSLCKHLKKM</v>
      </c>
      <c r="O397" s="4" t="str">
        <f t="shared" si="160"/>
        <v>PSTKVHIKALQTVISFLLLCAIYFLSIMISVWS</v>
      </c>
      <c r="P397" s="4" t="str">
        <f t="shared" si="161"/>
        <v>NKPVFMFCKAIRFSYPSIHPFILIWG</v>
      </c>
      <c r="Q397" s="4" t="str">
        <f t="shared" si="162"/>
        <v>NKKLKQTFLSVFWQ</v>
      </c>
      <c r="R397" s="5">
        <f>VLOOKUP($A397,'SegEnds_NonXtal_Prot#'!$A:$AL,3,FALSE)</f>
        <v>6</v>
      </c>
      <c r="S397" s="5">
        <f>VLOOKUP($A397,'SegEnds_NonXtal_Prot#'!$A:$AL,6,FALSE)</f>
        <v>37</v>
      </c>
      <c r="T397" s="5">
        <f>VLOOKUP($A397,'SegEnds_NonXtal_Prot#'!$A:$AL,9,FALSE)</f>
        <v>41</v>
      </c>
      <c r="U397" s="5" t="str">
        <f>VLOOKUP($A397,'SegEnds_NonXtal_Prot#'!$A:$AL,12,FALSE)</f>
        <v>-</v>
      </c>
      <c r="V397" s="5">
        <f>VLOOKUP($A397,'SegEnds_NonXtal_Prot#'!$A:$AL,15,FALSE)</f>
        <v>77</v>
      </c>
      <c r="W397" s="5">
        <f>VLOOKUP($A397,'SegEnds_NonXtal_Prot#'!$A:$AL,18,FALSE)</f>
        <v>115</v>
      </c>
      <c r="X397" s="5">
        <f>VLOOKUP($A397,'SegEnds_NonXtal_Prot#'!$A:$AL,21,FALSE)</f>
        <v>123</v>
      </c>
      <c r="Y397" s="5" t="str">
        <f>VLOOKUP($A397,'SegEnds_NonXtal_Prot#'!$A:$AL,24,FALSE)</f>
        <v>-</v>
      </c>
      <c r="Z397" s="5">
        <f>VLOOKUP($A397,'SegEnds_NonXtal_Prot#'!$A:$AL,27,FALSE)</f>
        <v>169</v>
      </c>
      <c r="AA397" s="5">
        <f>VLOOKUP($A397,'SegEnds_NonXtal_Prot#'!$A:$AL,30,FALSE)</f>
        <v>219</v>
      </c>
      <c r="AB397" s="5">
        <f>VLOOKUP($A397,'SegEnds_NonXtal_Prot#'!$A:$AL,33,FALSE)</f>
        <v>257</v>
      </c>
      <c r="AC397" s="5">
        <f>VLOOKUP($A397,'SegEnds_NonXtal_Prot#'!$A:$AL,36,FALSE)</f>
        <v>283</v>
      </c>
      <c r="AD397" s="5">
        <f>VLOOKUP($A397,'SegEnds_NonXtal_Prot#'!$A:$AL,5,FALSE)</f>
        <v>36</v>
      </c>
      <c r="AE397" s="5">
        <f>VLOOKUP($A397,'SegEnds_NonXtal_Prot#'!$A:$AL,8,FALSE)</f>
        <v>40</v>
      </c>
      <c r="AF397" s="5">
        <f>VLOOKUP($A397,'SegEnds_NonXtal_Prot#'!$A:$AL,11,FALSE)</f>
        <v>71</v>
      </c>
      <c r="AG397" s="5" t="str">
        <f>VLOOKUP($A397,'SegEnds_NonXtal_Prot#'!$A:$AL,14,FALSE)</f>
        <v>-</v>
      </c>
      <c r="AH397" s="5">
        <f>VLOOKUP($A397,'SegEnds_NonXtal_Prot#'!$A:$AL,17,FALSE)</f>
        <v>112</v>
      </c>
      <c r="AI397" s="5">
        <f>VLOOKUP($A397,'SegEnds_NonXtal_Prot#'!$A:$AL,20,FALSE)</f>
        <v>122</v>
      </c>
      <c r="AJ397" s="5">
        <f>VLOOKUP($A397,'SegEnds_NonXtal_Prot#'!$A:$AL,23,FALSE)</f>
        <v>147</v>
      </c>
      <c r="AK397" s="5" t="str">
        <f>VLOOKUP($A397,'SegEnds_NonXtal_Prot#'!$A:$AL,26,FALSE)</f>
        <v>-</v>
      </c>
      <c r="AL397" s="5">
        <f>VLOOKUP($A397,'SegEnds_NonXtal_Prot#'!$A:$AL,29,FALSE)</f>
        <v>209</v>
      </c>
      <c r="AM397" s="5">
        <f>VLOOKUP($A397,'SegEnds_NonXtal_Prot#'!$A:$AL,32,FALSE)</f>
        <v>251</v>
      </c>
      <c r="AN397" s="5">
        <f>VLOOKUP($A397,'SegEnds_NonXtal_Prot#'!$A:$AL,35,FALSE)</f>
        <v>282</v>
      </c>
      <c r="AO397" s="5">
        <f>VLOOKUP($A397,'SegEnds_NonXtal_Prot#'!$A:$AL,38,FALSE)</f>
        <v>296</v>
      </c>
      <c r="AP397" s="5">
        <f t="shared" si="163"/>
        <v>30</v>
      </c>
      <c r="AQ397" s="4">
        <f t="shared" si="164"/>
        <v>3</v>
      </c>
      <c r="AR397" s="4">
        <f t="shared" si="165"/>
        <v>30</v>
      </c>
      <c r="AS397" s="4" t="str">
        <f t="shared" si="166"/>
        <v>-</v>
      </c>
      <c r="AT397" s="4">
        <f t="shared" si="167"/>
        <v>35</v>
      </c>
      <c r="AU397" s="4">
        <f t="shared" si="168"/>
        <v>7</v>
      </c>
      <c r="AV397" s="4">
        <f t="shared" si="169"/>
        <v>24</v>
      </c>
      <c r="AW397" s="4" t="str">
        <f t="shared" si="170"/>
        <v>-</v>
      </c>
      <c r="AX397" s="4">
        <f t="shared" si="171"/>
        <v>40</v>
      </c>
      <c r="AY397" s="4">
        <f t="shared" si="172"/>
        <v>32</v>
      </c>
      <c r="AZ397" s="4">
        <f t="shared" si="173"/>
        <v>25</v>
      </c>
      <c r="BA397" s="4">
        <f t="shared" si="174"/>
        <v>13</v>
      </c>
    </row>
    <row r="398" spans="1:53" x14ac:dyDescent="0.2">
      <c r="A398" s="1" t="str">
        <f>'SegEnds_NonXtal_Prot#'!A401</f>
        <v>t2r45_human</v>
      </c>
      <c r="B398" s="1" t="str">
        <f t="shared" si="150"/>
        <v>PIIFSILVVVTFVIGNFANGFIALVNSTEWVISFADQIVTALAVSRVGLLWVLLLNWYSTVLSVELRTTAYNIWAVTGHFSNWPATSLSIFYLLKIANRRVKSVILVVLLGPLLFLACHLFVVNMNQIRRAMYLSDTTVTMLANLVPFTVTLISFLLLVCSLCKHLKKMKVHIKVLQTVISFFLLRAIYFVSVIISVWSFKNPVFMFCQAIGFSCSSAHPFILIWGNKKLKQTYLSVLWQ</v>
      </c>
      <c r="C398" s="29" t="str">
        <f>IF(ISERROR(MATCH(A398,'SegEnds_Xtal_Prot#'!B:B, 0)), "NoXtal", "Xtal")</f>
        <v>NoXtal</v>
      </c>
      <c r="D398" s="4" t="str">
        <f>VLOOKUP(A398,Classification!A:D,2,FALSE)</f>
        <v>T</v>
      </c>
      <c r="E398" s="5" t="str">
        <f>VLOOKUP(A398,Seqs!A:B,2,FALSE)</f>
        <v>MITFLPIIFSILVVVTFVIGNFANGFIALVNSTEWVKRQKISFADQIVTALAVSRVGLLWVLLLNWYSTVLNPAFCSVELRTTAYNIWAVTGHFSNWPATSLSIFYLLKIANFSNLIFLRLKRRVKSVILVVLLGPLLFLACHLFVVNMNQIVWTKEYEGNMTWKIKLRRAMYLSDTTVTMLANLVPFTVTLISFLLLVCSLCKHLKKMQLHGKGSQDPSTKVHIKVLQTVISFFLLRAIYFVSVIISVWSFKNLENKPVFMFCQAIGFSCSSAHPFILIWGNKKLKQTYLSVLWQMRY</v>
      </c>
      <c r="F398" s="5" t="str">
        <f t="shared" si="151"/>
        <v>PIIFSILVVVTFVIGNFANGFIALVNSTEWV</v>
      </c>
      <c r="G398" s="4" t="str">
        <f t="shared" si="152"/>
        <v>KRQK</v>
      </c>
      <c r="H398" s="4" t="str">
        <f t="shared" si="153"/>
        <v>ISFADQIVTALAVSRVGLLWVLLLNWYSTVL</v>
      </c>
      <c r="I398" s="4" t="str">
        <f t="shared" si="154"/>
        <v/>
      </c>
      <c r="J398" s="4" t="str">
        <f t="shared" si="155"/>
        <v>SVELRTTAYNIWAVTGHFSNWPATSLSIFYLLKIAN</v>
      </c>
      <c r="K398" s="4" t="str">
        <f t="shared" si="156"/>
        <v>NLIFLRLK</v>
      </c>
      <c r="L398" s="4" t="str">
        <f t="shared" si="157"/>
        <v>RRVKSVILVVLLGPLLFLACHLFVVNMNQI</v>
      </c>
      <c r="M398" s="4" t="str">
        <f t="shared" si="158"/>
        <v/>
      </c>
      <c r="N398" s="4" t="str">
        <f t="shared" si="159"/>
        <v>RRAMYLSDTTVTMLANLVPFTVTLISFLLLVCSLCKHLKKM</v>
      </c>
      <c r="O398" s="4" t="str">
        <f t="shared" si="160"/>
        <v>KVHIKVLQTVISFFLLRAIYFVSVIISVWSFKN</v>
      </c>
      <c r="P398" s="4" t="str">
        <f t="shared" si="161"/>
        <v>PVFMFCQAIGFSCSSAHPFILIWG</v>
      </c>
      <c r="Q398" s="4" t="str">
        <f t="shared" si="162"/>
        <v>NKKLKQTYLSVLWQ</v>
      </c>
      <c r="R398" s="5">
        <f>VLOOKUP($A398,'SegEnds_NonXtal_Prot#'!$A:$AL,3,FALSE)</f>
        <v>6</v>
      </c>
      <c r="S398" s="5">
        <f>VLOOKUP($A398,'SegEnds_NonXtal_Prot#'!$A:$AL,6,FALSE)</f>
        <v>37</v>
      </c>
      <c r="T398" s="5">
        <f>VLOOKUP($A398,'SegEnds_NonXtal_Prot#'!$A:$AL,9,FALSE)</f>
        <v>41</v>
      </c>
      <c r="U398" s="5" t="str">
        <f>VLOOKUP($A398,'SegEnds_NonXtal_Prot#'!$A:$AL,12,FALSE)</f>
        <v>-</v>
      </c>
      <c r="V398" s="5">
        <f>VLOOKUP($A398,'SegEnds_NonXtal_Prot#'!$A:$AL,15,FALSE)</f>
        <v>77</v>
      </c>
      <c r="W398" s="5">
        <f>VLOOKUP($A398,'SegEnds_NonXtal_Prot#'!$A:$AL,18,FALSE)</f>
        <v>115</v>
      </c>
      <c r="X398" s="5">
        <f>VLOOKUP($A398,'SegEnds_NonXtal_Prot#'!$A:$AL,21,FALSE)</f>
        <v>123</v>
      </c>
      <c r="Y398" s="5" t="str">
        <f>VLOOKUP($A398,'SegEnds_NonXtal_Prot#'!$A:$AL,24,FALSE)</f>
        <v>-</v>
      </c>
      <c r="Z398" s="5">
        <f>VLOOKUP($A398,'SegEnds_NonXtal_Prot#'!$A:$AL,27,FALSE)</f>
        <v>169</v>
      </c>
      <c r="AA398" s="5">
        <f>VLOOKUP($A398,'SegEnds_NonXtal_Prot#'!$A:$AL,30,FALSE)</f>
        <v>222</v>
      </c>
      <c r="AB398" s="5">
        <f>VLOOKUP($A398,'SegEnds_NonXtal_Prot#'!$A:$AL,33,FALSE)</f>
        <v>259</v>
      </c>
      <c r="AC398" s="5">
        <f>VLOOKUP($A398,'SegEnds_NonXtal_Prot#'!$A:$AL,36,FALSE)</f>
        <v>283</v>
      </c>
      <c r="AD398" s="5">
        <f>VLOOKUP($A398,'SegEnds_NonXtal_Prot#'!$A:$AL,5,FALSE)</f>
        <v>36</v>
      </c>
      <c r="AE398" s="5">
        <f>VLOOKUP($A398,'SegEnds_NonXtal_Prot#'!$A:$AL,8,FALSE)</f>
        <v>40</v>
      </c>
      <c r="AF398" s="5">
        <f>VLOOKUP($A398,'SegEnds_NonXtal_Prot#'!$A:$AL,11,FALSE)</f>
        <v>71</v>
      </c>
      <c r="AG398" s="5" t="str">
        <f>VLOOKUP($A398,'SegEnds_NonXtal_Prot#'!$A:$AL,14,FALSE)</f>
        <v>-</v>
      </c>
      <c r="AH398" s="5">
        <f>VLOOKUP($A398,'SegEnds_NonXtal_Prot#'!$A:$AL,17,FALSE)</f>
        <v>112</v>
      </c>
      <c r="AI398" s="5">
        <f>VLOOKUP($A398,'SegEnds_NonXtal_Prot#'!$A:$AL,20,FALSE)</f>
        <v>122</v>
      </c>
      <c r="AJ398" s="5">
        <f>VLOOKUP($A398,'SegEnds_NonXtal_Prot#'!$A:$AL,23,FALSE)</f>
        <v>152</v>
      </c>
      <c r="AK398" s="5" t="str">
        <f>VLOOKUP($A398,'SegEnds_NonXtal_Prot#'!$A:$AL,26,FALSE)</f>
        <v>-</v>
      </c>
      <c r="AL398" s="5">
        <f>VLOOKUP($A398,'SegEnds_NonXtal_Prot#'!$A:$AL,29,FALSE)</f>
        <v>209</v>
      </c>
      <c r="AM398" s="5">
        <f>VLOOKUP($A398,'SegEnds_NonXtal_Prot#'!$A:$AL,32,FALSE)</f>
        <v>254</v>
      </c>
      <c r="AN398" s="5">
        <f>VLOOKUP($A398,'SegEnds_NonXtal_Prot#'!$A:$AL,35,FALSE)</f>
        <v>282</v>
      </c>
      <c r="AO398" s="5">
        <f>VLOOKUP($A398,'SegEnds_NonXtal_Prot#'!$A:$AL,38,FALSE)</f>
        <v>296</v>
      </c>
      <c r="AP398" s="5">
        <f t="shared" si="163"/>
        <v>30</v>
      </c>
      <c r="AQ398" s="4">
        <f t="shared" si="164"/>
        <v>3</v>
      </c>
      <c r="AR398" s="4">
        <f t="shared" si="165"/>
        <v>30</v>
      </c>
      <c r="AS398" s="4" t="str">
        <f t="shared" si="166"/>
        <v>-</v>
      </c>
      <c r="AT398" s="4">
        <f t="shared" si="167"/>
        <v>35</v>
      </c>
      <c r="AU398" s="4">
        <f t="shared" si="168"/>
        <v>7</v>
      </c>
      <c r="AV398" s="4">
        <f t="shared" si="169"/>
        <v>29</v>
      </c>
      <c r="AW398" s="4" t="str">
        <f t="shared" si="170"/>
        <v>-</v>
      </c>
      <c r="AX398" s="4">
        <f t="shared" si="171"/>
        <v>40</v>
      </c>
      <c r="AY398" s="4">
        <f t="shared" si="172"/>
        <v>32</v>
      </c>
      <c r="AZ398" s="4">
        <f t="shared" si="173"/>
        <v>23</v>
      </c>
      <c r="BA398" s="4">
        <f t="shared" si="174"/>
        <v>13</v>
      </c>
    </row>
    <row r="399" spans="1:53" x14ac:dyDescent="0.2">
      <c r="A399" s="1" t="str">
        <f>'SegEnds_NonXtal_Prot#'!A403</f>
        <v>t2r50_human</v>
      </c>
      <c r="B399" s="1" t="str">
        <f t="shared" si="150"/>
        <v>YIFFSILIMVLFVLGNFANGFIALVNFIDWVISSADQILTALAVSRIGLLWALLLNWYLTVLSVELRITSYNAWVVTNHFSMWLAANLSIFYLLKIANRRVRSVILVILLGTLIFLVCHLLVARNTVHLSYLTVTTLWSFIPFTLSLISFLMLICSLCKHLKKMLSTKVHIKALQTLISFLLLCAIFFLFLIVSVWSNDPVVMVSKAVGNIYLAFDSFILIWRTKKLKHTFLLILCQ</v>
      </c>
      <c r="C399" s="29" t="str">
        <f>IF(ISERROR(MATCH(A399,'SegEnds_Xtal_Prot#'!B:B, 0)), "NoXtal", "Xtal")</f>
        <v>NoXtal</v>
      </c>
      <c r="D399" s="4" t="str">
        <f>VLOOKUP(A399,Classification!A:D,2,FALSE)</f>
        <v>T</v>
      </c>
      <c r="E399" s="5" t="str">
        <f>VLOOKUP(A399,Seqs!A:B,2,FALSE)</f>
        <v>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</v>
      </c>
      <c r="F399" s="5" t="str">
        <f t="shared" si="151"/>
        <v>YIFFSILIMVLFVLGNFANGFIALVNFIDWV</v>
      </c>
      <c r="G399" s="4" t="str">
        <f t="shared" si="152"/>
        <v>KRKK</v>
      </c>
      <c r="H399" s="4" t="str">
        <f t="shared" si="153"/>
        <v>ISSADQILTALAVSRIGLLWALLLNWYLTVL</v>
      </c>
      <c r="I399" s="4" t="str">
        <f t="shared" si="154"/>
        <v/>
      </c>
      <c r="J399" s="4" t="str">
        <f t="shared" si="155"/>
        <v>SVELRITSYNAWVVTNHFSMWLAANLSIFYLLKIAN</v>
      </c>
      <c r="K399" s="4" t="str">
        <f t="shared" si="156"/>
        <v>NLLFLHLK</v>
      </c>
      <c r="L399" s="4" t="str">
        <f t="shared" si="157"/>
        <v>RRVRSVILVILLGTLIFLVCHLLVA</v>
      </c>
      <c r="M399" s="4" t="str">
        <f t="shared" si="158"/>
        <v/>
      </c>
      <c r="N399" s="4" t="str">
        <f t="shared" si="159"/>
        <v>RNTVHLSYLTVTTLWSFIPFTLSLISFLMLICSLCKHLKKM</v>
      </c>
      <c r="O399" s="4" t="str">
        <f t="shared" si="160"/>
        <v>LSTKVHIKALQTLISFLLLCAIFFLFLIVSVWS</v>
      </c>
      <c r="P399" s="4" t="str">
        <f t="shared" si="161"/>
        <v>NDPVVMVSKAVGNIYLAFDSFILIWR</v>
      </c>
      <c r="Q399" s="4" t="str">
        <f t="shared" si="162"/>
        <v>TKKLKHTFLLILCQ</v>
      </c>
      <c r="R399" s="5">
        <f>VLOOKUP($A399,'SegEnds_NonXtal_Prot#'!$A:$AL,3,FALSE)</f>
        <v>6</v>
      </c>
      <c r="S399" s="5">
        <f>VLOOKUP($A399,'SegEnds_NonXtal_Prot#'!$A:$AL,6,FALSE)</f>
        <v>37</v>
      </c>
      <c r="T399" s="5">
        <f>VLOOKUP($A399,'SegEnds_NonXtal_Prot#'!$A:$AL,9,FALSE)</f>
        <v>41</v>
      </c>
      <c r="U399" s="5" t="str">
        <f>VLOOKUP($A399,'SegEnds_NonXtal_Prot#'!$A:$AL,12,FALSE)</f>
        <v>-</v>
      </c>
      <c r="V399" s="5">
        <f>VLOOKUP($A399,'SegEnds_NonXtal_Prot#'!$A:$AL,15,FALSE)</f>
        <v>77</v>
      </c>
      <c r="W399" s="5">
        <f>VLOOKUP($A399,'SegEnds_NonXtal_Prot#'!$A:$AL,18,FALSE)</f>
        <v>115</v>
      </c>
      <c r="X399" s="5">
        <f>VLOOKUP($A399,'SegEnds_NonXtal_Prot#'!$A:$AL,21,FALSE)</f>
        <v>123</v>
      </c>
      <c r="Y399" s="5" t="str">
        <f>VLOOKUP($A399,'SegEnds_NonXtal_Prot#'!$A:$AL,24,FALSE)</f>
        <v>-</v>
      </c>
      <c r="Z399" s="5">
        <f>VLOOKUP($A399,'SegEnds_NonXtal_Prot#'!$A:$AL,27,FALSE)</f>
        <v>169</v>
      </c>
      <c r="AA399" s="5">
        <f>VLOOKUP($A399,'SegEnds_NonXtal_Prot#'!$A:$AL,30,FALSE)</f>
        <v>219</v>
      </c>
      <c r="AB399" s="5">
        <f>VLOOKUP($A399,'SegEnds_NonXtal_Prot#'!$A:$AL,33,FALSE)</f>
        <v>257</v>
      </c>
      <c r="AC399" s="5">
        <f>VLOOKUP($A399,'SegEnds_NonXtal_Prot#'!$A:$AL,36,FALSE)</f>
        <v>283</v>
      </c>
      <c r="AD399" s="5">
        <f>VLOOKUP($A399,'SegEnds_NonXtal_Prot#'!$A:$AL,5,FALSE)</f>
        <v>36</v>
      </c>
      <c r="AE399" s="5">
        <f>VLOOKUP($A399,'SegEnds_NonXtal_Prot#'!$A:$AL,8,FALSE)</f>
        <v>40</v>
      </c>
      <c r="AF399" s="5">
        <f>VLOOKUP($A399,'SegEnds_NonXtal_Prot#'!$A:$AL,11,FALSE)</f>
        <v>71</v>
      </c>
      <c r="AG399" s="5" t="str">
        <f>VLOOKUP($A399,'SegEnds_NonXtal_Prot#'!$A:$AL,14,FALSE)</f>
        <v>-</v>
      </c>
      <c r="AH399" s="5">
        <f>VLOOKUP($A399,'SegEnds_NonXtal_Prot#'!$A:$AL,17,FALSE)</f>
        <v>112</v>
      </c>
      <c r="AI399" s="5">
        <f>VLOOKUP($A399,'SegEnds_NonXtal_Prot#'!$A:$AL,20,FALSE)</f>
        <v>122</v>
      </c>
      <c r="AJ399" s="5">
        <f>VLOOKUP($A399,'SegEnds_NonXtal_Prot#'!$A:$AL,23,FALSE)</f>
        <v>147</v>
      </c>
      <c r="AK399" s="5" t="str">
        <f>VLOOKUP($A399,'SegEnds_NonXtal_Prot#'!$A:$AL,26,FALSE)</f>
        <v>-</v>
      </c>
      <c r="AL399" s="5">
        <f>VLOOKUP($A399,'SegEnds_NonXtal_Prot#'!$A:$AL,29,FALSE)</f>
        <v>209</v>
      </c>
      <c r="AM399" s="5">
        <f>VLOOKUP($A399,'SegEnds_NonXtal_Prot#'!$A:$AL,32,FALSE)</f>
        <v>251</v>
      </c>
      <c r="AN399" s="5">
        <f>VLOOKUP($A399,'SegEnds_NonXtal_Prot#'!$A:$AL,35,FALSE)</f>
        <v>282</v>
      </c>
      <c r="AO399" s="5">
        <f>VLOOKUP($A399,'SegEnds_NonXtal_Prot#'!$A:$AL,38,FALSE)</f>
        <v>296</v>
      </c>
      <c r="AP399" s="5">
        <f t="shared" si="163"/>
        <v>30</v>
      </c>
      <c r="AQ399" s="4">
        <f t="shared" si="164"/>
        <v>3</v>
      </c>
      <c r="AR399" s="4">
        <f t="shared" si="165"/>
        <v>30</v>
      </c>
      <c r="AS399" s="4" t="str">
        <f t="shared" si="166"/>
        <v>-</v>
      </c>
      <c r="AT399" s="4">
        <f t="shared" si="167"/>
        <v>35</v>
      </c>
      <c r="AU399" s="4">
        <f t="shared" si="168"/>
        <v>7</v>
      </c>
      <c r="AV399" s="4">
        <f t="shared" si="169"/>
        <v>24</v>
      </c>
      <c r="AW399" s="4" t="str">
        <f t="shared" si="170"/>
        <v>-</v>
      </c>
      <c r="AX399" s="4">
        <f t="shared" si="171"/>
        <v>40</v>
      </c>
      <c r="AY399" s="4">
        <f t="shared" si="172"/>
        <v>32</v>
      </c>
      <c r="AZ399" s="4">
        <f t="shared" si="173"/>
        <v>25</v>
      </c>
      <c r="BA399" s="4">
        <f t="shared" si="174"/>
        <v>13</v>
      </c>
    </row>
    <row r="400" spans="1:53" x14ac:dyDescent="0.2">
      <c r="A400" s="1" t="str">
        <f>'SegEnds_NonXtal_Prot#'!A404</f>
        <v>t2r60_human</v>
      </c>
      <c r="B400" s="1" t="str">
        <f t="shared" si="150"/>
        <v>AIILVTILLLLRLVAIAGNGFITAALGVEWVLLPCDKLLVSLGASRFCLQSVVMGKTIYVFLAFPYNPVLQFLAFQWDFLNAATLWSSTWLSVFYCVKIATHKLSGWLPWMLFSSVGLSSFTTILFFISYCEKFYLFPLKMITWTMPTAVFFICMILLITSLGRHRKKAPSVQAHIKALLALLSFAMLFISYFLSLVFSAAGLDFKFWVWESVIYLCAAVHPIILLFSNCRLRAVLKSRRSS</v>
      </c>
      <c r="C400" s="29" t="str">
        <f>IF(ISERROR(MATCH(A400,'SegEnds_Xtal_Prot#'!B:B, 0)), "NoXtal", "Xtal")</f>
        <v>NoXtal</v>
      </c>
      <c r="D400" s="4" t="str">
        <f>VLOOKUP(A400,Classification!A:D,2,FALSE)</f>
        <v>T</v>
      </c>
      <c r="E400" s="5" t="str">
        <f>VLOOKUP(A400,Seqs!A:B,2,FALSE)</f>
        <v>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</v>
      </c>
      <c r="F400" s="5" t="str">
        <f t="shared" si="151"/>
        <v>AIILVTILLLLRLVAIAGNGFITAALGVEWV</v>
      </c>
      <c r="G400" s="4" t="str">
        <f t="shared" si="152"/>
        <v>LRRM</v>
      </c>
      <c r="H400" s="4" t="str">
        <f t="shared" si="153"/>
        <v>LLPCDKLLVSLGASRFCLQSVVMGKTIYVFL</v>
      </c>
      <c r="I400" s="4" t="str">
        <f t="shared" si="154"/>
        <v/>
      </c>
      <c r="J400" s="4" t="str">
        <f t="shared" si="155"/>
        <v>AFPYNPVLQFLAFQWDFLNAATLWSSTWLSVFYCVKIAT</v>
      </c>
      <c r="K400" s="4" t="str">
        <f t="shared" si="156"/>
        <v>HPVFFWLK</v>
      </c>
      <c r="L400" s="4" t="str">
        <f t="shared" si="157"/>
        <v>HKLSGWLPWMLFSSVGLSSFTTILFFI</v>
      </c>
      <c r="M400" s="4" t="str">
        <f t="shared" si="158"/>
        <v/>
      </c>
      <c r="N400" s="4" t="str">
        <f t="shared" si="159"/>
        <v>SYCEKFYLFPLKMITWTMPTAVFFICMILLITSLGRHRKKA</v>
      </c>
      <c r="O400" s="4" t="str">
        <f t="shared" si="160"/>
        <v>PSVQAHIKALLALLSFAMLFISYFLSLVFSAAG</v>
      </c>
      <c r="P400" s="4" t="str">
        <f t="shared" si="161"/>
        <v>LDFKFWVWESVIYLCAAVHPIILLFS</v>
      </c>
      <c r="Q400" s="4" t="str">
        <f t="shared" si="162"/>
        <v>NCRLRAVLKSRRSS</v>
      </c>
      <c r="R400" s="5">
        <f>VLOOKUP($A400,'SegEnds_NonXtal_Prot#'!$A:$AL,3,FALSE)</f>
        <v>17</v>
      </c>
      <c r="S400" s="5">
        <f>VLOOKUP($A400,'SegEnds_NonXtal_Prot#'!$A:$AL,6,FALSE)</f>
        <v>48</v>
      </c>
      <c r="T400" s="5">
        <f>VLOOKUP($A400,'SegEnds_NonXtal_Prot#'!$A:$AL,9,FALSE)</f>
        <v>52</v>
      </c>
      <c r="U400" s="5" t="str">
        <f>VLOOKUP($A400,'SegEnds_NonXtal_Prot#'!$A:$AL,12,FALSE)</f>
        <v>-</v>
      </c>
      <c r="V400" s="5">
        <f>VLOOKUP($A400,'SegEnds_NonXtal_Prot#'!$A:$AL,15,FALSE)</f>
        <v>86</v>
      </c>
      <c r="W400" s="5">
        <f>VLOOKUP($A400,'SegEnds_NonXtal_Prot#'!$A:$AL,18,FALSE)</f>
        <v>127</v>
      </c>
      <c r="X400" s="5">
        <f>VLOOKUP($A400,'SegEnds_NonXtal_Prot#'!$A:$AL,21,FALSE)</f>
        <v>135</v>
      </c>
      <c r="Y400" s="5" t="str">
        <f>VLOOKUP($A400,'SegEnds_NonXtal_Prot#'!$A:$AL,24,FALSE)</f>
        <v>-</v>
      </c>
      <c r="Z400" s="5">
        <f>VLOOKUP($A400,'SegEnds_NonXtal_Prot#'!$A:$AL,27,FALSE)</f>
        <v>187</v>
      </c>
      <c r="AA400" s="5">
        <f>VLOOKUP($A400,'SegEnds_NonXtal_Prot#'!$A:$AL,30,FALSE)</f>
        <v>237</v>
      </c>
      <c r="AB400" s="5">
        <f>VLOOKUP($A400,'SegEnds_NonXtal_Prot#'!$A:$AL,33,FALSE)</f>
        <v>274</v>
      </c>
      <c r="AC400" s="5">
        <f>VLOOKUP($A400,'SegEnds_NonXtal_Prot#'!$A:$AL,36,FALSE)</f>
        <v>300</v>
      </c>
      <c r="AD400" s="5">
        <f>VLOOKUP($A400,'SegEnds_NonXtal_Prot#'!$A:$AL,5,FALSE)</f>
        <v>47</v>
      </c>
      <c r="AE400" s="5">
        <f>VLOOKUP($A400,'SegEnds_NonXtal_Prot#'!$A:$AL,8,FALSE)</f>
        <v>51</v>
      </c>
      <c r="AF400" s="5">
        <f>VLOOKUP($A400,'SegEnds_NonXtal_Prot#'!$A:$AL,11,FALSE)</f>
        <v>82</v>
      </c>
      <c r="AG400" s="5" t="str">
        <f>VLOOKUP($A400,'SegEnds_NonXtal_Prot#'!$A:$AL,14,FALSE)</f>
        <v>-</v>
      </c>
      <c r="AH400" s="5">
        <f>VLOOKUP($A400,'SegEnds_NonXtal_Prot#'!$A:$AL,17,FALSE)</f>
        <v>124</v>
      </c>
      <c r="AI400" s="5">
        <f>VLOOKUP($A400,'SegEnds_NonXtal_Prot#'!$A:$AL,20,FALSE)</f>
        <v>134</v>
      </c>
      <c r="AJ400" s="5">
        <f>VLOOKUP($A400,'SegEnds_NonXtal_Prot#'!$A:$AL,23,FALSE)</f>
        <v>161</v>
      </c>
      <c r="AK400" s="5" t="str">
        <f>VLOOKUP($A400,'SegEnds_NonXtal_Prot#'!$A:$AL,26,FALSE)</f>
        <v>-</v>
      </c>
      <c r="AL400" s="5">
        <f>VLOOKUP($A400,'SegEnds_NonXtal_Prot#'!$A:$AL,29,FALSE)</f>
        <v>227</v>
      </c>
      <c r="AM400" s="5">
        <f>VLOOKUP($A400,'SegEnds_NonXtal_Prot#'!$A:$AL,32,FALSE)</f>
        <v>269</v>
      </c>
      <c r="AN400" s="5">
        <f>VLOOKUP($A400,'SegEnds_NonXtal_Prot#'!$A:$AL,35,FALSE)</f>
        <v>299</v>
      </c>
      <c r="AO400" s="5">
        <f>VLOOKUP($A400,'SegEnds_NonXtal_Prot#'!$A:$AL,38,FALSE)</f>
        <v>313</v>
      </c>
      <c r="AP400" s="5">
        <f t="shared" si="163"/>
        <v>30</v>
      </c>
      <c r="AQ400" s="4">
        <f t="shared" si="164"/>
        <v>3</v>
      </c>
      <c r="AR400" s="4">
        <f t="shared" si="165"/>
        <v>30</v>
      </c>
      <c r="AS400" s="4" t="str">
        <f t="shared" si="166"/>
        <v>-</v>
      </c>
      <c r="AT400" s="4">
        <f t="shared" si="167"/>
        <v>38</v>
      </c>
      <c r="AU400" s="4">
        <f t="shared" si="168"/>
        <v>7</v>
      </c>
      <c r="AV400" s="4">
        <f t="shared" si="169"/>
        <v>26</v>
      </c>
      <c r="AW400" s="4" t="str">
        <f t="shared" si="170"/>
        <v>-</v>
      </c>
      <c r="AX400" s="4">
        <f t="shared" si="171"/>
        <v>40</v>
      </c>
      <c r="AY400" s="4">
        <f t="shared" si="172"/>
        <v>32</v>
      </c>
      <c r="AZ400" s="4">
        <f t="shared" si="173"/>
        <v>25</v>
      </c>
      <c r="BA400" s="4">
        <f t="shared" si="174"/>
        <v>13</v>
      </c>
    </row>
    <row r="401" spans="1:53" x14ac:dyDescent="0.2">
      <c r="A401" s="1" t="str">
        <f>'SegEnds_NonXtal_Prot#'!A405</f>
        <v>ta2r1_human</v>
      </c>
      <c r="B401" s="1" t="str">
        <f t="shared" si="150"/>
        <v>LIIYFLLAVIQFLLGIFTNGIIVVVNGIDLIMAPLDLLLSCLAVSRIFLQLFIFYVNVIVIFMCSANCAILLFINELELWLATWLGVFYCAKVASMRISKLVPWMILGSLLYVSMICVFHSKKEDTLAIQIFSFVAEFSVPLLIFLFAVLLLIFSLGRHTRQMPGRGAPISALLSILSFLILYFSHCMIKVFLSSLRRFIFLFFILVIGIYPSGHSLILILGNPKLKQNAKKFLLH</v>
      </c>
      <c r="C401" s="29" t="str">
        <f>IF(ISERROR(MATCH(A401,'SegEnds_Xtal_Prot#'!B:B, 0)), "NoXtal", "Xtal")</f>
        <v>NoXtal</v>
      </c>
      <c r="D401" s="4" t="str">
        <f>VLOOKUP(A401,Classification!A:D,2,FALSE)</f>
        <v>T</v>
      </c>
      <c r="E401" s="5" t="str">
        <f>VLOOKUP(A401,Seqs!A:B,2,FALSE)</f>
        <v>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</v>
      </c>
      <c r="F401" s="5" t="str">
        <f t="shared" si="151"/>
        <v>LIIYFLLAVIQFLLGIFTNGIIVVVNGIDLI</v>
      </c>
      <c r="G401" s="4" t="str">
        <f t="shared" si="152"/>
        <v>KHRK</v>
      </c>
      <c r="H401" s="4" t="str">
        <f t="shared" si="153"/>
        <v>MAPLDLLLSCLAVSRIFLQLFIFYVNVIVIF</v>
      </c>
      <c r="I401" s="4" t="str">
        <f t="shared" si="154"/>
        <v/>
      </c>
      <c r="J401" s="4" t="str">
        <f t="shared" si="155"/>
        <v>MCSANCAILLFINELELWLATWLGVFYCAKVAS</v>
      </c>
      <c r="K401" s="4" t="str">
        <f t="shared" si="156"/>
        <v>HPLFIWLK</v>
      </c>
      <c r="L401" s="4" t="str">
        <f t="shared" si="157"/>
        <v>MRISKLVPWMILGSLLYVSMICVFHSK</v>
      </c>
      <c r="M401" s="4" t="str">
        <f t="shared" si="158"/>
        <v/>
      </c>
      <c r="N401" s="4" t="str">
        <f t="shared" si="159"/>
        <v>KEDTLAIQIFSFVAEFSVPLLIFLFAVLLLIFSLGRHTRQM</v>
      </c>
      <c r="O401" s="4" t="str">
        <f t="shared" si="160"/>
        <v>PGRGAPISALLSILSFLILYFSHCMIKVFLSSL</v>
      </c>
      <c r="P401" s="4" t="str">
        <f t="shared" si="161"/>
        <v>RRFIFLFFILVIGIYPSGHSLILILG</v>
      </c>
      <c r="Q401" s="4" t="str">
        <f t="shared" si="162"/>
        <v>NPKLKQNAKKFLLH</v>
      </c>
      <c r="R401" s="5">
        <f>VLOOKUP($A401,'SegEnds_NonXtal_Prot#'!$A:$AL,3,FALSE)</f>
        <v>6</v>
      </c>
      <c r="S401" s="5">
        <f>VLOOKUP($A401,'SegEnds_NonXtal_Prot#'!$A:$AL,6,FALSE)</f>
        <v>37</v>
      </c>
      <c r="T401" s="5">
        <f>VLOOKUP($A401,'SegEnds_NonXtal_Prot#'!$A:$AL,9,FALSE)</f>
        <v>41</v>
      </c>
      <c r="U401" s="5" t="str">
        <f>VLOOKUP($A401,'SegEnds_NonXtal_Prot#'!$A:$AL,12,FALSE)</f>
        <v>-</v>
      </c>
      <c r="V401" s="5">
        <f>VLOOKUP($A401,'SegEnds_NonXtal_Prot#'!$A:$AL,15,FALSE)</f>
        <v>77</v>
      </c>
      <c r="W401" s="5">
        <f>VLOOKUP($A401,'SegEnds_NonXtal_Prot#'!$A:$AL,18,FALSE)</f>
        <v>112</v>
      </c>
      <c r="X401" s="5">
        <f>VLOOKUP($A401,'SegEnds_NonXtal_Prot#'!$A:$AL,21,FALSE)</f>
        <v>120</v>
      </c>
      <c r="Y401" s="5" t="str">
        <f>VLOOKUP($A401,'SegEnds_NonXtal_Prot#'!$A:$AL,24,FALSE)</f>
        <v>-</v>
      </c>
      <c r="Z401" s="5">
        <f>VLOOKUP($A401,'SegEnds_NonXtal_Prot#'!$A:$AL,27,FALSE)</f>
        <v>168</v>
      </c>
      <c r="AA401" s="5">
        <f>VLOOKUP($A401,'SegEnds_NonXtal_Prot#'!$A:$AL,30,FALSE)</f>
        <v>218</v>
      </c>
      <c r="AB401" s="5">
        <f>VLOOKUP($A401,'SegEnds_NonXtal_Prot#'!$A:$AL,33,FALSE)</f>
        <v>255</v>
      </c>
      <c r="AC401" s="5">
        <f>VLOOKUP($A401,'SegEnds_NonXtal_Prot#'!$A:$AL,36,FALSE)</f>
        <v>281</v>
      </c>
      <c r="AD401" s="5">
        <f>VLOOKUP($A401,'SegEnds_NonXtal_Prot#'!$A:$AL,5,FALSE)</f>
        <v>36</v>
      </c>
      <c r="AE401" s="5">
        <f>VLOOKUP($A401,'SegEnds_NonXtal_Prot#'!$A:$AL,8,FALSE)</f>
        <v>40</v>
      </c>
      <c r="AF401" s="5">
        <f>VLOOKUP($A401,'SegEnds_NonXtal_Prot#'!$A:$AL,11,FALSE)</f>
        <v>71</v>
      </c>
      <c r="AG401" s="5" t="str">
        <f>VLOOKUP($A401,'SegEnds_NonXtal_Prot#'!$A:$AL,14,FALSE)</f>
        <v>-</v>
      </c>
      <c r="AH401" s="5">
        <f>VLOOKUP($A401,'SegEnds_NonXtal_Prot#'!$A:$AL,17,FALSE)</f>
        <v>109</v>
      </c>
      <c r="AI401" s="5">
        <f>VLOOKUP($A401,'SegEnds_NonXtal_Prot#'!$A:$AL,20,FALSE)</f>
        <v>119</v>
      </c>
      <c r="AJ401" s="5">
        <f>VLOOKUP($A401,'SegEnds_NonXtal_Prot#'!$A:$AL,23,FALSE)</f>
        <v>146</v>
      </c>
      <c r="AK401" s="5" t="str">
        <f>VLOOKUP($A401,'SegEnds_NonXtal_Prot#'!$A:$AL,26,FALSE)</f>
        <v>-</v>
      </c>
      <c r="AL401" s="5">
        <f>VLOOKUP($A401,'SegEnds_NonXtal_Prot#'!$A:$AL,29,FALSE)</f>
        <v>208</v>
      </c>
      <c r="AM401" s="5">
        <f>VLOOKUP($A401,'SegEnds_NonXtal_Prot#'!$A:$AL,32,FALSE)</f>
        <v>250</v>
      </c>
      <c r="AN401" s="5">
        <f>VLOOKUP($A401,'SegEnds_NonXtal_Prot#'!$A:$AL,35,FALSE)</f>
        <v>280</v>
      </c>
      <c r="AO401" s="5">
        <f>VLOOKUP($A401,'SegEnds_NonXtal_Prot#'!$A:$AL,38,FALSE)</f>
        <v>294</v>
      </c>
      <c r="AP401" s="5">
        <f t="shared" si="163"/>
        <v>30</v>
      </c>
      <c r="AQ401" s="4">
        <f t="shared" si="164"/>
        <v>3</v>
      </c>
      <c r="AR401" s="4">
        <f t="shared" si="165"/>
        <v>30</v>
      </c>
      <c r="AS401" s="4" t="str">
        <f t="shared" si="166"/>
        <v>-</v>
      </c>
      <c r="AT401" s="4">
        <f t="shared" si="167"/>
        <v>32</v>
      </c>
      <c r="AU401" s="4">
        <f t="shared" si="168"/>
        <v>7</v>
      </c>
      <c r="AV401" s="4">
        <f t="shared" si="169"/>
        <v>26</v>
      </c>
      <c r="AW401" s="4" t="str">
        <f t="shared" si="170"/>
        <v>-</v>
      </c>
      <c r="AX401" s="4">
        <f t="shared" si="171"/>
        <v>40</v>
      </c>
      <c r="AY401" s="4">
        <f t="shared" si="172"/>
        <v>32</v>
      </c>
      <c r="AZ401" s="4">
        <f t="shared" si="173"/>
        <v>25</v>
      </c>
      <c r="BA401" s="4">
        <f t="shared" si="174"/>
        <v>13</v>
      </c>
    </row>
    <row r="402" spans="1:53" x14ac:dyDescent="0.2">
      <c r="A402" s="1" t="str">
        <f>'SegEnds_NonXtal_Prot#'!A406</f>
        <v>ta2r3_human</v>
      </c>
      <c r="B402" s="1" t="str">
        <f t="shared" si="150"/>
        <v>EGVFLILSGTQFTLGILVNCFIELVNGSSWFMSLSDFIITTLALLRIILLCIILTDSFLIEFSSGIIMQIIDVSWTFTNHLSIWLATCLGVLYCLKIASWRVSRVMVWMLLGALLLSCGSTASLINKRSEYYLIHVLGTLWYLPPLIVSLASYSLLIFSLGRHTRQMPTTEAHKRAIRIILSFFFLFLLYFLAFLIASFGTKMAKMIGEVMTMFYPAGHSFILILGNSKLKQTFVVMLRC</v>
      </c>
      <c r="C402" s="29" t="str">
        <f>IF(ISERROR(MATCH(A402,'SegEnds_Xtal_Prot#'!B:B, 0)), "NoXtal", "Xtal")</f>
        <v>NoXtal</v>
      </c>
      <c r="D402" s="4" t="str">
        <f>VLOOKUP(A402,Classification!A:D,2,FALSE)</f>
        <v>T</v>
      </c>
      <c r="E402" s="5" t="str">
        <f>VLOOKUP(A402,Seqs!A:B,2,FALSE)</f>
        <v>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</v>
      </c>
      <c r="F402" s="5" t="str">
        <f t="shared" si="151"/>
        <v>EGVFLILSGTQFTLGILVNCFIELVNGSSWF</v>
      </c>
      <c r="G402" s="4" t="str">
        <f t="shared" si="152"/>
        <v>KTKR</v>
      </c>
      <c r="H402" s="4" t="str">
        <f t="shared" si="153"/>
        <v>MSLSDFIITTLALLRIILLCIILTDSFLIEFS</v>
      </c>
      <c r="I402" s="4" t="str">
        <f t="shared" si="154"/>
        <v/>
      </c>
      <c r="J402" s="4" t="str">
        <f t="shared" si="155"/>
        <v>SGIIMQIIDVSWTFTNHLSIWLATCLGVLYCLKIAS</v>
      </c>
      <c r="K402" s="4" t="str">
        <f t="shared" si="156"/>
        <v>HPTFLWLK</v>
      </c>
      <c r="L402" s="4" t="str">
        <f t="shared" si="157"/>
        <v>WRVSRVMVWMLLGALLLSCGSTASLIN</v>
      </c>
      <c r="M402" s="4" t="str">
        <f t="shared" si="158"/>
        <v/>
      </c>
      <c r="N402" s="4" t="str">
        <f t="shared" si="159"/>
        <v>KRSEYYLIHVLGTLWYLPPLIVSLASYSLLIFSLGRHTRQM</v>
      </c>
      <c r="O402" s="4" t="str">
        <f t="shared" si="160"/>
        <v>PTTEAHKRAIRIILSFFFLFLLYFLAFLIASFG</v>
      </c>
      <c r="P402" s="4" t="str">
        <f t="shared" si="161"/>
        <v>TKMAKMIGEVMTMFYPAGHSFILILG</v>
      </c>
      <c r="Q402" s="4" t="str">
        <f t="shared" si="162"/>
        <v>NSKLKQTFVVMLRC</v>
      </c>
      <c r="R402" s="5">
        <f>VLOOKUP($A402,'SegEnds_NonXtal_Prot#'!$A:$AL,3,FALSE)</f>
        <v>6</v>
      </c>
      <c r="S402" s="5">
        <f>VLOOKUP($A402,'SegEnds_NonXtal_Prot#'!$A:$AL,6,FALSE)</f>
        <v>37</v>
      </c>
      <c r="T402" s="5">
        <f>VLOOKUP($A402,'SegEnds_NonXtal_Prot#'!$A:$AL,9,FALSE)</f>
        <v>41</v>
      </c>
      <c r="U402" s="5" t="str">
        <f>VLOOKUP($A402,'SegEnds_NonXtal_Prot#'!$A:$AL,12,FALSE)</f>
        <v>-</v>
      </c>
      <c r="V402" s="5">
        <f>VLOOKUP($A402,'SegEnds_NonXtal_Prot#'!$A:$AL,15,FALSE)</f>
        <v>78</v>
      </c>
      <c r="W402" s="5">
        <f>VLOOKUP($A402,'SegEnds_NonXtal_Prot#'!$A:$AL,18,FALSE)</f>
        <v>116</v>
      </c>
      <c r="X402" s="5">
        <f>VLOOKUP($A402,'SegEnds_NonXtal_Prot#'!$A:$AL,21,FALSE)</f>
        <v>124</v>
      </c>
      <c r="Y402" s="5" t="str">
        <f>VLOOKUP($A402,'SegEnds_NonXtal_Prot#'!$A:$AL,24,FALSE)</f>
        <v>-</v>
      </c>
      <c r="Z402" s="5">
        <f>VLOOKUP($A402,'SegEnds_NonXtal_Prot#'!$A:$AL,27,FALSE)</f>
        <v>174</v>
      </c>
      <c r="AA402" s="5">
        <f>VLOOKUP($A402,'SegEnds_NonXtal_Prot#'!$A:$AL,30,FALSE)</f>
        <v>224</v>
      </c>
      <c r="AB402" s="5">
        <f>VLOOKUP($A402,'SegEnds_NonXtal_Prot#'!$A:$AL,33,FALSE)</f>
        <v>262</v>
      </c>
      <c r="AC402" s="5">
        <f>VLOOKUP($A402,'SegEnds_NonXtal_Prot#'!$A:$AL,36,FALSE)</f>
        <v>288</v>
      </c>
      <c r="AD402" s="5">
        <f>VLOOKUP($A402,'SegEnds_NonXtal_Prot#'!$A:$AL,5,FALSE)</f>
        <v>36</v>
      </c>
      <c r="AE402" s="5">
        <f>VLOOKUP($A402,'SegEnds_NonXtal_Prot#'!$A:$AL,8,FALSE)</f>
        <v>40</v>
      </c>
      <c r="AF402" s="5">
        <f>VLOOKUP($A402,'SegEnds_NonXtal_Prot#'!$A:$AL,11,FALSE)</f>
        <v>72</v>
      </c>
      <c r="AG402" s="5" t="str">
        <f>VLOOKUP($A402,'SegEnds_NonXtal_Prot#'!$A:$AL,14,FALSE)</f>
        <v>-</v>
      </c>
      <c r="AH402" s="5">
        <f>VLOOKUP($A402,'SegEnds_NonXtal_Prot#'!$A:$AL,17,FALSE)</f>
        <v>113</v>
      </c>
      <c r="AI402" s="5">
        <f>VLOOKUP($A402,'SegEnds_NonXtal_Prot#'!$A:$AL,20,FALSE)</f>
        <v>123</v>
      </c>
      <c r="AJ402" s="5">
        <f>VLOOKUP($A402,'SegEnds_NonXtal_Prot#'!$A:$AL,23,FALSE)</f>
        <v>150</v>
      </c>
      <c r="AK402" s="5" t="str">
        <f>VLOOKUP($A402,'SegEnds_NonXtal_Prot#'!$A:$AL,26,FALSE)</f>
        <v>-</v>
      </c>
      <c r="AL402" s="5">
        <f>VLOOKUP($A402,'SegEnds_NonXtal_Prot#'!$A:$AL,29,FALSE)</f>
        <v>214</v>
      </c>
      <c r="AM402" s="5">
        <f>VLOOKUP($A402,'SegEnds_NonXtal_Prot#'!$A:$AL,32,FALSE)</f>
        <v>256</v>
      </c>
      <c r="AN402" s="5">
        <f>VLOOKUP($A402,'SegEnds_NonXtal_Prot#'!$A:$AL,35,FALSE)</f>
        <v>287</v>
      </c>
      <c r="AO402" s="5">
        <f>VLOOKUP($A402,'SegEnds_NonXtal_Prot#'!$A:$AL,38,FALSE)</f>
        <v>301</v>
      </c>
      <c r="AP402" s="5">
        <f t="shared" si="163"/>
        <v>30</v>
      </c>
      <c r="AQ402" s="4">
        <f t="shared" si="164"/>
        <v>3</v>
      </c>
      <c r="AR402" s="4">
        <f t="shared" si="165"/>
        <v>31</v>
      </c>
      <c r="AS402" s="4" t="str">
        <f t="shared" si="166"/>
        <v>-</v>
      </c>
      <c r="AT402" s="4">
        <f t="shared" si="167"/>
        <v>35</v>
      </c>
      <c r="AU402" s="4">
        <f t="shared" si="168"/>
        <v>7</v>
      </c>
      <c r="AV402" s="4">
        <f t="shared" si="169"/>
        <v>26</v>
      </c>
      <c r="AW402" s="4" t="str">
        <f t="shared" si="170"/>
        <v>-</v>
      </c>
      <c r="AX402" s="4">
        <f t="shared" si="171"/>
        <v>40</v>
      </c>
      <c r="AY402" s="4">
        <f t="shared" si="172"/>
        <v>32</v>
      </c>
      <c r="AZ402" s="4">
        <f t="shared" si="173"/>
        <v>25</v>
      </c>
      <c r="BA402" s="4">
        <f t="shared" si="174"/>
        <v>13</v>
      </c>
    </row>
    <row r="403" spans="1:53" x14ac:dyDescent="0.2">
      <c r="A403" s="1" t="str">
        <f>'SegEnds_NonXtal_Prot#'!A407</f>
        <v>ta2r4_human</v>
      </c>
      <c r="B403" s="1" t="str">
        <f t="shared" si="150"/>
        <v>YFSAIIASVILNFVGIIMNLFITVVNCKTWVISSSDRILFSLGITRFLMLGLFLVNTIYFVSSVYLSAFFVLCFMFLDSSSVWFVTLLNILYCVKITNRNISPKIPRLLLACVLISAFTTCLYIISEGILSLVVSLVLSSSLQFIINVTSASLLIHSLRRHIQKMPQTEAHVGAMKLMVYFLILYIPYSVATLVQYLPDMGTKSICLIFATLYSPGHSVLIIITHPKLKTTAKKILCF</v>
      </c>
      <c r="C403" s="29" t="str">
        <f>IF(ISERROR(MATCH(A403,'SegEnds_Xtal_Prot#'!B:B, 0)), "NoXtal", "Xtal")</f>
        <v>NoXtal</v>
      </c>
      <c r="D403" s="4" t="str">
        <f>VLOOKUP(A403,Classification!A:D,2,FALSE)</f>
        <v>T</v>
      </c>
      <c r="E403" s="5" t="str">
        <f>VLOOKUP(A403,Seqs!A:B,2,FALSE)</f>
        <v>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</v>
      </c>
      <c r="F403" s="5" t="str">
        <f t="shared" si="151"/>
        <v>YFSAIIASVILNFVGIIMNLFITVVNCKTWV</v>
      </c>
      <c r="G403" s="4" t="str">
        <f t="shared" si="152"/>
        <v>KSHR</v>
      </c>
      <c r="H403" s="4" t="str">
        <f t="shared" si="153"/>
        <v>ISSSDRILFSLGITRFLMLGLFLVNTIYFVS</v>
      </c>
      <c r="I403" s="4" t="str">
        <f t="shared" si="154"/>
        <v/>
      </c>
      <c r="J403" s="4" t="str">
        <f t="shared" si="155"/>
        <v>SVYLSAFFVLCFMFLDSSSVWFVTLLNILYCVKITN</v>
      </c>
      <c r="K403" s="4" t="str">
        <f t="shared" si="156"/>
        <v>HSVFLLLK</v>
      </c>
      <c r="L403" s="4" t="str">
        <f t="shared" si="157"/>
        <v>RNISPKIPRLLLACVLISAFTTCLYI</v>
      </c>
      <c r="M403" s="4" t="str">
        <f t="shared" si="158"/>
        <v/>
      </c>
      <c r="N403" s="4" t="str">
        <f t="shared" si="159"/>
        <v>ISEGILSLVVSLVLSSSLQFIINVTSASLLIHSLRRHIQKM</v>
      </c>
      <c r="O403" s="4" t="str">
        <f t="shared" si="160"/>
        <v>PQTEAHVGAMKLMVYFLILYIPYSVATLVQYLP</v>
      </c>
      <c r="P403" s="4" t="str">
        <f t="shared" si="161"/>
        <v>DMGTKSICLIFATLYSPGHSVLIIIT</v>
      </c>
      <c r="Q403" s="4" t="str">
        <f t="shared" si="162"/>
        <v>HPKLKTTAKKILCF</v>
      </c>
      <c r="R403" s="5">
        <f>VLOOKUP($A403,'SegEnds_NonXtal_Prot#'!$A:$AL,3,FALSE)</f>
        <v>6</v>
      </c>
      <c r="S403" s="5">
        <f>VLOOKUP($A403,'SegEnds_NonXtal_Prot#'!$A:$AL,6,FALSE)</f>
        <v>37</v>
      </c>
      <c r="T403" s="5">
        <f>VLOOKUP($A403,'SegEnds_NonXtal_Prot#'!$A:$AL,9,FALSE)</f>
        <v>41</v>
      </c>
      <c r="U403" s="5" t="str">
        <f>VLOOKUP($A403,'SegEnds_NonXtal_Prot#'!$A:$AL,12,FALSE)</f>
        <v>-</v>
      </c>
      <c r="V403" s="5">
        <f>VLOOKUP($A403,'SegEnds_NonXtal_Prot#'!$A:$AL,15,FALSE)</f>
        <v>77</v>
      </c>
      <c r="W403" s="5">
        <f>VLOOKUP($A403,'SegEnds_NonXtal_Prot#'!$A:$AL,18,FALSE)</f>
        <v>115</v>
      </c>
      <c r="X403" s="5">
        <f>VLOOKUP($A403,'SegEnds_NonXtal_Prot#'!$A:$AL,21,FALSE)</f>
        <v>123</v>
      </c>
      <c r="Y403" s="5" t="str">
        <f>VLOOKUP($A403,'SegEnds_NonXtal_Prot#'!$A:$AL,24,FALSE)</f>
        <v>-</v>
      </c>
      <c r="Z403" s="5">
        <f>VLOOKUP($A403,'SegEnds_NonXtal_Prot#'!$A:$AL,27,FALSE)</f>
        <v>170</v>
      </c>
      <c r="AA403" s="5">
        <f>VLOOKUP($A403,'SegEnds_NonXtal_Prot#'!$A:$AL,30,FALSE)</f>
        <v>220</v>
      </c>
      <c r="AB403" s="5">
        <f>VLOOKUP($A403,'SegEnds_NonXtal_Prot#'!$A:$AL,33,FALSE)</f>
        <v>258</v>
      </c>
      <c r="AC403" s="5">
        <f>VLOOKUP($A403,'SegEnds_NonXtal_Prot#'!$A:$AL,36,FALSE)</f>
        <v>284</v>
      </c>
      <c r="AD403" s="5">
        <f>VLOOKUP($A403,'SegEnds_NonXtal_Prot#'!$A:$AL,5,FALSE)</f>
        <v>36</v>
      </c>
      <c r="AE403" s="5">
        <f>VLOOKUP($A403,'SegEnds_NonXtal_Prot#'!$A:$AL,8,FALSE)</f>
        <v>40</v>
      </c>
      <c r="AF403" s="5">
        <f>VLOOKUP($A403,'SegEnds_NonXtal_Prot#'!$A:$AL,11,FALSE)</f>
        <v>71</v>
      </c>
      <c r="AG403" s="5" t="str">
        <f>VLOOKUP($A403,'SegEnds_NonXtal_Prot#'!$A:$AL,14,FALSE)</f>
        <v>-</v>
      </c>
      <c r="AH403" s="5">
        <f>VLOOKUP($A403,'SegEnds_NonXtal_Prot#'!$A:$AL,17,FALSE)</f>
        <v>112</v>
      </c>
      <c r="AI403" s="5">
        <f>VLOOKUP($A403,'SegEnds_NonXtal_Prot#'!$A:$AL,20,FALSE)</f>
        <v>122</v>
      </c>
      <c r="AJ403" s="5">
        <f>VLOOKUP($A403,'SegEnds_NonXtal_Prot#'!$A:$AL,23,FALSE)</f>
        <v>148</v>
      </c>
      <c r="AK403" s="5" t="str">
        <f>VLOOKUP($A403,'SegEnds_NonXtal_Prot#'!$A:$AL,26,FALSE)</f>
        <v>-</v>
      </c>
      <c r="AL403" s="5">
        <f>VLOOKUP($A403,'SegEnds_NonXtal_Prot#'!$A:$AL,29,FALSE)</f>
        <v>210</v>
      </c>
      <c r="AM403" s="5">
        <f>VLOOKUP($A403,'SegEnds_NonXtal_Prot#'!$A:$AL,32,FALSE)</f>
        <v>252</v>
      </c>
      <c r="AN403" s="5">
        <f>VLOOKUP($A403,'SegEnds_NonXtal_Prot#'!$A:$AL,35,FALSE)</f>
        <v>283</v>
      </c>
      <c r="AO403" s="5">
        <f>VLOOKUP($A403,'SegEnds_NonXtal_Prot#'!$A:$AL,38,FALSE)</f>
        <v>297</v>
      </c>
      <c r="AP403" s="5">
        <f t="shared" si="163"/>
        <v>30</v>
      </c>
      <c r="AQ403" s="4">
        <f t="shared" si="164"/>
        <v>3</v>
      </c>
      <c r="AR403" s="4">
        <f t="shared" si="165"/>
        <v>30</v>
      </c>
      <c r="AS403" s="4" t="str">
        <f t="shared" si="166"/>
        <v>-</v>
      </c>
      <c r="AT403" s="4">
        <f t="shared" si="167"/>
        <v>35</v>
      </c>
      <c r="AU403" s="4">
        <f t="shared" si="168"/>
        <v>7</v>
      </c>
      <c r="AV403" s="4">
        <f t="shared" si="169"/>
        <v>25</v>
      </c>
      <c r="AW403" s="4" t="str">
        <f t="shared" si="170"/>
        <v>-</v>
      </c>
      <c r="AX403" s="4">
        <f t="shared" si="171"/>
        <v>40</v>
      </c>
      <c r="AY403" s="4">
        <f t="shared" si="172"/>
        <v>32</v>
      </c>
      <c r="AZ403" s="4">
        <f t="shared" si="173"/>
        <v>25</v>
      </c>
      <c r="BA403" s="4">
        <f t="shared" si="174"/>
        <v>13</v>
      </c>
    </row>
    <row r="404" spans="1:53" x14ac:dyDescent="0.2">
      <c r="A404" s="1" t="str">
        <f>'SegEnds_NonXtal_Prot#'!A408</f>
        <v>ta2r5_human</v>
      </c>
      <c r="B404" s="1" t="str">
        <f t="shared" si="150"/>
        <v>LGLLMLVAVVEFLIGLIGNGSLVVWSFREWIWSSYNLIILGLAGCRFLLQWLIILDLSLFPLWLRYLSIFWVLVSQASLWFATFLSVFYCKKITTQRAYNLSLWCLLGYFIINLLLTVQIFESWQYLYAFQLNSGSYLPLVVFLVSSGMLIVSLYTHHKKMVRAKAHITALKSLGCFLLLHLVYIMASPFSITSDLTSVFIWETLMAAYPSLHSLILIMGIPRVKQTCQKILWK</v>
      </c>
      <c r="C404" s="29" t="str">
        <f>IF(ISERROR(MATCH(A404,'SegEnds_Xtal_Prot#'!B:B, 0)), "NoXtal", "Xtal")</f>
        <v>NoXtal</v>
      </c>
      <c r="D404" s="4" t="str">
        <f>VLOOKUP(A404,Classification!A:D,2,FALSE)</f>
        <v>T</v>
      </c>
      <c r="E404" s="5" t="str">
        <f>VLOOKUP(A404,Seqs!A:B,2,FALSE)</f>
        <v>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</v>
      </c>
      <c r="F404" s="5" t="str">
        <f t="shared" si="151"/>
        <v>LGLLMLVAVVEFLIGLIGNGSLVVWSFREWI</v>
      </c>
      <c r="G404" s="4" t="str">
        <f t="shared" si="152"/>
        <v>RKFN</v>
      </c>
      <c r="H404" s="4" t="str">
        <f t="shared" si="153"/>
        <v>WSSYNLIILGLAGCRFLLQWLIILDLSLFPL</v>
      </c>
      <c r="I404" s="4" t="str">
        <f t="shared" si="154"/>
        <v/>
      </c>
      <c r="J404" s="4" t="str">
        <f t="shared" si="155"/>
        <v>WLRYLSIFWVLVSQASLWFATFLSVFYCKKITT</v>
      </c>
      <c r="K404" s="4" t="str">
        <f t="shared" si="156"/>
        <v>RPAYLWLK</v>
      </c>
      <c r="L404" s="4" t="str">
        <f t="shared" si="157"/>
        <v>QRAYNLSLWCLLGYFIINLLLTVQI</v>
      </c>
      <c r="M404" s="4" t="str">
        <f t="shared" si="158"/>
        <v/>
      </c>
      <c r="N404" s="4" t="str">
        <f t="shared" si="159"/>
        <v>FESWQYLYAFQLNSGSYLPLVVFLVSSGMLIVSLYTHHKKM</v>
      </c>
      <c r="O404" s="4" t="str">
        <f t="shared" si="160"/>
        <v>VRAKAHITALKSLGCFLLLHLVYIMASPFSITS</v>
      </c>
      <c r="P404" s="4" t="str">
        <f t="shared" si="161"/>
        <v>DLTSVFIWETLMAAYPSLHSLILIMG</v>
      </c>
      <c r="Q404" s="4" t="str">
        <f t="shared" si="162"/>
        <v>IPRVKQTCQKILWK</v>
      </c>
      <c r="R404" s="5">
        <f>VLOOKUP($A404,'SegEnds_NonXtal_Prot#'!$A:$AL,3,FALSE)</f>
        <v>6</v>
      </c>
      <c r="S404" s="5">
        <f>VLOOKUP($A404,'SegEnds_NonXtal_Prot#'!$A:$AL,6,FALSE)</f>
        <v>37</v>
      </c>
      <c r="T404" s="5">
        <f>VLOOKUP($A404,'SegEnds_NonXtal_Prot#'!$A:$AL,9,FALSE)</f>
        <v>41</v>
      </c>
      <c r="U404" s="5" t="str">
        <f>VLOOKUP($A404,'SegEnds_NonXtal_Prot#'!$A:$AL,12,FALSE)</f>
        <v>-</v>
      </c>
      <c r="V404" s="5">
        <f>VLOOKUP($A404,'SegEnds_NonXtal_Prot#'!$A:$AL,15,FALSE)</f>
        <v>77</v>
      </c>
      <c r="W404" s="5">
        <f>VLOOKUP($A404,'SegEnds_NonXtal_Prot#'!$A:$AL,18,FALSE)</f>
        <v>112</v>
      </c>
      <c r="X404" s="5">
        <f>VLOOKUP($A404,'SegEnds_NonXtal_Prot#'!$A:$AL,21,FALSE)</f>
        <v>120</v>
      </c>
      <c r="Y404" s="5" t="str">
        <f>VLOOKUP($A404,'SegEnds_NonXtal_Prot#'!$A:$AL,24,FALSE)</f>
        <v>-</v>
      </c>
      <c r="Z404" s="5">
        <f>VLOOKUP($A404,'SegEnds_NonXtal_Prot#'!$A:$AL,27,FALSE)</f>
        <v>162</v>
      </c>
      <c r="AA404" s="5">
        <f>VLOOKUP($A404,'SegEnds_NonXtal_Prot#'!$A:$AL,30,FALSE)</f>
        <v>212</v>
      </c>
      <c r="AB404" s="5">
        <f>VLOOKUP($A404,'SegEnds_NonXtal_Prot#'!$A:$AL,33,FALSE)</f>
        <v>250</v>
      </c>
      <c r="AC404" s="5">
        <f>VLOOKUP($A404,'SegEnds_NonXtal_Prot#'!$A:$AL,36,FALSE)</f>
        <v>276</v>
      </c>
      <c r="AD404" s="5">
        <f>VLOOKUP($A404,'SegEnds_NonXtal_Prot#'!$A:$AL,5,FALSE)</f>
        <v>36</v>
      </c>
      <c r="AE404" s="5">
        <f>VLOOKUP($A404,'SegEnds_NonXtal_Prot#'!$A:$AL,8,FALSE)</f>
        <v>40</v>
      </c>
      <c r="AF404" s="5">
        <f>VLOOKUP($A404,'SegEnds_NonXtal_Prot#'!$A:$AL,11,FALSE)</f>
        <v>71</v>
      </c>
      <c r="AG404" s="5" t="str">
        <f>VLOOKUP($A404,'SegEnds_NonXtal_Prot#'!$A:$AL,14,FALSE)</f>
        <v>-</v>
      </c>
      <c r="AH404" s="5">
        <f>VLOOKUP($A404,'SegEnds_NonXtal_Prot#'!$A:$AL,17,FALSE)</f>
        <v>109</v>
      </c>
      <c r="AI404" s="5">
        <f>VLOOKUP($A404,'SegEnds_NonXtal_Prot#'!$A:$AL,20,FALSE)</f>
        <v>119</v>
      </c>
      <c r="AJ404" s="5">
        <f>VLOOKUP($A404,'SegEnds_NonXtal_Prot#'!$A:$AL,23,FALSE)</f>
        <v>144</v>
      </c>
      <c r="AK404" s="5" t="str">
        <f>VLOOKUP($A404,'SegEnds_NonXtal_Prot#'!$A:$AL,26,FALSE)</f>
        <v>-</v>
      </c>
      <c r="AL404" s="5">
        <f>VLOOKUP($A404,'SegEnds_NonXtal_Prot#'!$A:$AL,29,FALSE)</f>
        <v>202</v>
      </c>
      <c r="AM404" s="5">
        <f>VLOOKUP($A404,'SegEnds_NonXtal_Prot#'!$A:$AL,32,FALSE)</f>
        <v>244</v>
      </c>
      <c r="AN404" s="5">
        <f>VLOOKUP($A404,'SegEnds_NonXtal_Prot#'!$A:$AL,35,FALSE)</f>
        <v>275</v>
      </c>
      <c r="AO404" s="5">
        <f>VLOOKUP($A404,'SegEnds_NonXtal_Prot#'!$A:$AL,38,FALSE)</f>
        <v>289</v>
      </c>
      <c r="AP404" s="5">
        <f t="shared" si="163"/>
        <v>30</v>
      </c>
      <c r="AQ404" s="4">
        <f t="shared" si="164"/>
        <v>3</v>
      </c>
      <c r="AR404" s="4">
        <f t="shared" si="165"/>
        <v>30</v>
      </c>
      <c r="AS404" s="4" t="str">
        <f t="shared" si="166"/>
        <v>-</v>
      </c>
      <c r="AT404" s="4">
        <f t="shared" si="167"/>
        <v>32</v>
      </c>
      <c r="AU404" s="4">
        <f t="shared" si="168"/>
        <v>7</v>
      </c>
      <c r="AV404" s="4">
        <f t="shared" si="169"/>
        <v>24</v>
      </c>
      <c r="AW404" s="4" t="str">
        <f t="shared" si="170"/>
        <v>-</v>
      </c>
      <c r="AX404" s="4">
        <f t="shared" si="171"/>
        <v>40</v>
      </c>
      <c r="AY404" s="4">
        <f t="shared" si="172"/>
        <v>32</v>
      </c>
      <c r="AZ404" s="4">
        <f t="shared" si="173"/>
        <v>25</v>
      </c>
      <c r="BA404" s="4">
        <f t="shared" si="174"/>
        <v>13</v>
      </c>
    </row>
    <row r="405" spans="1:53" x14ac:dyDescent="0.2">
      <c r="A405" s="1" t="str">
        <f>'SegEnds_NonXtal_Prot#'!A409</f>
        <v>ta2r7_human</v>
      </c>
      <c r="B405" s="1" t="str">
        <f t="shared" si="150"/>
        <v>QTTLLFLAVGEFSVGILGNAFIGLVNCMDWVIASIDLILTSLAISRICLLCVILLDCFILVLYTGKEMRIIDFFWTLTNHLSIWFATCLSIYYFFKIGNWRIDRVISWILLGCVVLSVFISLPANKTQHASTKLFLNLATLLPFCVCLMSFFLLILSLRRHIRRMPSTEAHVRALKAVISFLLLFIAYYLSFLIATSSTELAVIFGESIALIYPSSHSFILILGNNKLRHASLKVIWK</v>
      </c>
      <c r="C405" s="29" t="str">
        <f>IF(ISERROR(MATCH(A405,'SegEnds_Xtal_Prot#'!B:B, 0)), "NoXtal", "Xtal")</f>
        <v>NoXtal</v>
      </c>
      <c r="D405" s="4" t="str">
        <f>VLOOKUP(A405,Classification!A:D,2,FALSE)</f>
        <v>T</v>
      </c>
      <c r="E405" s="5" t="str">
        <f>VLOOKUP(A405,Seqs!A:B,2,FALSE)</f>
        <v>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</v>
      </c>
      <c r="F405" s="5" t="str">
        <f t="shared" si="151"/>
        <v>QTTLLFLAVGEFSVGILGNAFIGLVNCMDWV</v>
      </c>
      <c r="G405" s="4" t="str">
        <f t="shared" si="152"/>
        <v>KKRK</v>
      </c>
      <c r="H405" s="4" t="str">
        <f t="shared" si="153"/>
        <v>IASIDLILTSLAISRICLLCVILLDCFILVLY</v>
      </c>
      <c r="I405" s="4" t="str">
        <f t="shared" si="154"/>
        <v/>
      </c>
      <c r="J405" s="4" t="str">
        <f t="shared" si="155"/>
        <v>TGKEMRIIDFFWTLTNHLSIWFATCLSIYYFFKIGN</v>
      </c>
      <c r="K405" s="4" t="str">
        <f t="shared" si="156"/>
        <v>HPLFLWMK</v>
      </c>
      <c r="L405" s="4" t="str">
        <f t="shared" si="157"/>
        <v>WRIDRVISWILLGCVVLSVFISLPA</v>
      </c>
      <c r="M405" s="4" t="str">
        <f t="shared" si="158"/>
        <v/>
      </c>
      <c r="N405" s="4" t="str">
        <f t="shared" si="159"/>
        <v>NKTQHASTKLFLNLATLLPFCVCLMSFFLLILSLRRHIRRM</v>
      </c>
      <c r="O405" s="4" t="str">
        <f t="shared" si="160"/>
        <v>PSTEAHVRALKAVISFLLLFIAYYLSFLIATSS</v>
      </c>
      <c r="P405" s="4" t="str">
        <f t="shared" si="161"/>
        <v>TELAVIFGESIALIYPSSHSFILILG</v>
      </c>
      <c r="Q405" s="4" t="str">
        <f t="shared" si="162"/>
        <v>NNKLRHASLKVIWK</v>
      </c>
      <c r="R405" s="5">
        <f>VLOOKUP($A405,'SegEnds_NonXtal_Prot#'!$A:$AL,3,FALSE)</f>
        <v>6</v>
      </c>
      <c r="S405" s="5">
        <f>VLOOKUP($A405,'SegEnds_NonXtal_Prot#'!$A:$AL,6,FALSE)</f>
        <v>37</v>
      </c>
      <c r="T405" s="5">
        <f>VLOOKUP($A405,'SegEnds_NonXtal_Prot#'!$A:$AL,9,FALSE)</f>
        <v>41</v>
      </c>
      <c r="U405" s="5" t="str">
        <f>VLOOKUP($A405,'SegEnds_NonXtal_Prot#'!$A:$AL,12,FALSE)</f>
        <v>-</v>
      </c>
      <c r="V405" s="5">
        <f>VLOOKUP($A405,'SegEnds_NonXtal_Prot#'!$A:$AL,15,FALSE)</f>
        <v>78</v>
      </c>
      <c r="W405" s="5">
        <f>VLOOKUP($A405,'SegEnds_NonXtal_Prot#'!$A:$AL,18,FALSE)</f>
        <v>116</v>
      </c>
      <c r="X405" s="5">
        <f>VLOOKUP($A405,'SegEnds_NonXtal_Prot#'!$A:$AL,21,FALSE)</f>
        <v>124</v>
      </c>
      <c r="Y405" s="5" t="str">
        <f>VLOOKUP($A405,'SegEnds_NonXtal_Prot#'!$A:$AL,24,FALSE)</f>
        <v>-</v>
      </c>
      <c r="Z405" s="5">
        <f>VLOOKUP($A405,'SegEnds_NonXtal_Prot#'!$A:$AL,27,FALSE)</f>
        <v>175</v>
      </c>
      <c r="AA405" s="5">
        <f>VLOOKUP($A405,'SegEnds_NonXtal_Prot#'!$A:$AL,30,FALSE)</f>
        <v>225</v>
      </c>
      <c r="AB405" s="5">
        <f>VLOOKUP($A405,'SegEnds_NonXtal_Prot#'!$A:$AL,33,FALSE)</f>
        <v>263</v>
      </c>
      <c r="AC405" s="5">
        <f>VLOOKUP($A405,'SegEnds_NonXtal_Prot#'!$A:$AL,36,FALSE)</f>
        <v>289</v>
      </c>
      <c r="AD405" s="5">
        <f>VLOOKUP($A405,'SegEnds_NonXtal_Prot#'!$A:$AL,5,FALSE)</f>
        <v>36</v>
      </c>
      <c r="AE405" s="5">
        <f>VLOOKUP($A405,'SegEnds_NonXtal_Prot#'!$A:$AL,8,FALSE)</f>
        <v>40</v>
      </c>
      <c r="AF405" s="5">
        <f>VLOOKUP($A405,'SegEnds_NonXtal_Prot#'!$A:$AL,11,FALSE)</f>
        <v>72</v>
      </c>
      <c r="AG405" s="5" t="str">
        <f>VLOOKUP($A405,'SegEnds_NonXtal_Prot#'!$A:$AL,14,FALSE)</f>
        <v>-</v>
      </c>
      <c r="AH405" s="5">
        <f>VLOOKUP($A405,'SegEnds_NonXtal_Prot#'!$A:$AL,17,FALSE)</f>
        <v>113</v>
      </c>
      <c r="AI405" s="5">
        <f>VLOOKUP($A405,'SegEnds_NonXtal_Prot#'!$A:$AL,20,FALSE)</f>
        <v>123</v>
      </c>
      <c r="AJ405" s="5">
        <f>VLOOKUP($A405,'SegEnds_NonXtal_Prot#'!$A:$AL,23,FALSE)</f>
        <v>148</v>
      </c>
      <c r="AK405" s="5" t="str">
        <f>VLOOKUP($A405,'SegEnds_NonXtal_Prot#'!$A:$AL,26,FALSE)</f>
        <v>-</v>
      </c>
      <c r="AL405" s="5">
        <f>VLOOKUP($A405,'SegEnds_NonXtal_Prot#'!$A:$AL,29,FALSE)</f>
        <v>215</v>
      </c>
      <c r="AM405" s="5">
        <f>VLOOKUP($A405,'SegEnds_NonXtal_Prot#'!$A:$AL,32,FALSE)</f>
        <v>257</v>
      </c>
      <c r="AN405" s="5">
        <f>VLOOKUP($A405,'SegEnds_NonXtal_Prot#'!$A:$AL,35,FALSE)</f>
        <v>288</v>
      </c>
      <c r="AO405" s="5">
        <f>VLOOKUP($A405,'SegEnds_NonXtal_Prot#'!$A:$AL,38,FALSE)</f>
        <v>302</v>
      </c>
      <c r="AP405" s="5">
        <f t="shared" si="163"/>
        <v>30</v>
      </c>
      <c r="AQ405" s="4">
        <f t="shared" si="164"/>
        <v>3</v>
      </c>
      <c r="AR405" s="4">
        <f t="shared" si="165"/>
        <v>31</v>
      </c>
      <c r="AS405" s="4" t="str">
        <f t="shared" si="166"/>
        <v>-</v>
      </c>
      <c r="AT405" s="4">
        <f t="shared" si="167"/>
        <v>35</v>
      </c>
      <c r="AU405" s="4">
        <f t="shared" si="168"/>
        <v>7</v>
      </c>
      <c r="AV405" s="4">
        <f t="shared" si="169"/>
        <v>24</v>
      </c>
      <c r="AW405" s="4" t="str">
        <f t="shared" si="170"/>
        <v>-</v>
      </c>
      <c r="AX405" s="4">
        <f t="shared" si="171"/>
        <v>40</v>
      </c>
      <c r="AY405" s="4">
        <f t="shared" si="172"/>
        <v>32</v>
      </c>
      <c r="AZ405" s="4">
        <f t="shared" si="173"/>
        <v>25</v>
      </c>
      <c r="BA405" s="4">
        <f t="shared" si="174"/>
        <v>13</v>
      </c>
    </row>
    <row r="406" spans="1:53" x14ac:dyDescent="0.2">
      <c r="A406" s="1" t="str">
        <f>'SegEnds_NonXtal_Prot#'!A410</f>
        <v>ta2r8_human</v>
      </c>
      <c r="B406" s="1" t="str">
        <f t="shared" si="150"/>
        <v>DNIFIILITGEFILGILGNGYIALVNWIDWIISTVDYILTNLVIARICLISVMVVNGIVIVLVYTKNKQQIVIFTFWTFANYLNMWITTCLNVFYFLKIASWKIDMVVHWILLGCFAISLLVSLIASKIPYFEPLTLFNLFAIVPFIVSLISFFLLVRSLWRHTKQIPSTEVHVRAIKTMTSFIFFFFLYYISSILMTFSYKLAVEFGEIAAILYPLGHSLILIVLNNKLRQTFVRMLTC</v>
      </c>
      <c r="C406" s="29" t="str">
        <f>IF(ISERROR(MATCH(A406,'SegEnds_Xtal_Prot#'!B:B, 0)), "NoXtal", "Xtal")</f>
        <v>NoXtal</v>
      </c>
      <c r="D406" s="4" t="str">
        <f>VLOOKUP(A406,Classification!A:D,2,FALSE)</f>
        <v>T</v>
      </c>
      <c r="E406" s="5" t="str">
        <f>VLOOKUP(A406,Seqs!A:B,2,FALSE)</f>
        <v>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</v>
      </c>
      <c r="F406" s="5" t="str">
        <f t="shared" si="151"/>
        <v>DNIFIILITGEFILGILGNGYIALVNWIDWI</v>
      </c>
      <c r="G406" s="4" t="str">
        <f t="shared" si="152"/>
        <v>KKKK</v>
      </c>
      <c r="H406" s="4" t="str">
        <f t="shared" si="153"/>
        <v>ISTVDYILTNLVIARICLISVMVVNGIVIVL</v>
      </c>
      <c r="I406" s="4" t="str">
        <f t="shared" si="154"/>
        <v/>
      </c>
      <c r="J406" s="4" t="str">
        <f t="shared" si="155"/>
        <v>VYTKNKQQIVIFTFWTFANYLNMWITTCLNVFYFLKIAS</v>
      </c>
      <c r="K406" s="4" t="str">
        <f t="shared" si="156"/>
        <v>HPLFLWLK</v>
      </c>
      <c r="L406" s="4" t="str">
        <f t="shared" si="157"/>
        <v>WKIDMVVHWILLGCFAISLLVSLIA</v>
      </c>
      <c r="M406" s="4" t="str">
        <f t="shared" si="158"/>
        <v/>
      </c>
      <c r="N406" s="4" t="str">
        <f t="shared" si="159"/>
        <v>SKIPYFEPLTLFNLFAIVPFIVSLISFFLLVRSLWRHTKQI</v>
      </c>
      <c r="O406" s="4" t="str">
        <f t="shared" si="160"/>
        <v>PSTEVHVRAIKTMTSFIFFFFLYYISSILMTFS</v>
      </c>
      <c r="P406" s="4" t="str">
        <f t="shared" si="161"/>
        <v>YKLAVEFGEIAAILYPLGHSLILIVL</v>
      </c>
      <c r="Q406" s="4" t="str">
        <f t="shared" si="162"/>
        <v>NNKLRQTFVRMLTC</v>
      </c>
      <c r="R406" s="5">
        <f>VLOOKUP($A406,'SegEnds_NonXtal_Prot#'!$A:$AL,3,FALSE)</f>
        <v>6</v>
      </c>
      <c r="S406" s="5">
        <f>VLOOKUP($A406,'SegEnds_NonXtal_Prot#'!$A:$AL,6,FALSE)</f>
        <v>37</v>
      </c>
      <c r="T406" s="5">
        <f>VLOOKUP($A406,'SegEnds_NonXtal_Prot#'!$A:$AL,9,FALSE)</f>
        <v>41</v>
      </c>
      <c r="U406" s="5" t="str">
        <f>VLOOKUP($A406,'SegEnds_NonXtal_Prot#'!$A:$AL,12,FALSE)</f>
        <v>-</v>
      </c>
      <c r="V406" s="5">
        <f>VLOOKUP($A406,'SegEnds_NonXtal_Prot#'!$A:$AL,15,FALSE)</f>
        <v>75</v>
      </c>
      <c r="W406" s="5">
        <f>VLOOKUP($A406,'SegEnds_NonXtal_Prot#'!$A:$AL,18,FALSE)</f>
        <v>116</v>
      </c>
      <c r="X406" s="5">
        <f>VLOOKUP($A406,'SegEnds_NonXtal_Prot#'!$A:$AL,21,FALSE)</f>
        <v>124</v>
      </c>
      <c r="Y406" s="5" t="str">
        <f>VLOOKUP($A406,'SegEnds_NonXtal_Prot#'!$A:$AL,24,FALSE)</f>
        <v>-</v>
      </c>
      <c r="Z406" s="5">
        <f>VLOOKUP($A406,'SegEnds_NonXtal_Prot#'!$A:$AL,27,FALSE)</f>
        <v>175</v>
      </c>
      <c r="AA406" s="5">
        <f>VLOOKUP($A406,'SegEnds_NonXtal_Prot#'!$A:$AL,30,FALSE)</f>
        <v>225</v>
      </c>
      <c r="AB406" s="5">
        <f>VLOOKUP($A406,'SegEnds_NonXtal_Prot#'!$A:$AL,33,FALSE)</f>
        <v>263</v>
      </c>
      <c r="AC406" s="5">
        <f>VLOOKUP($A406,'SegEnds_NonXtal_Prot#'!$A:$AL,36,FALSE)</f>
        <v>289</v>
      </c>
      <c r="AD406" s="5">
        <f>VLOOKUP($A406,'SegEnds_NonXtal_Prot#'!$A:$AL,5,FALSE)</f>
        <v>36</v>
      </c>
      <c r="AE406" s="5">
        <f>VLOOKUP($A406,'SegEnds_NonXtal_Prot#'!$A:$AL,8,FALSE)</f>
        <v>40</v>
      </c>
      <c r="AF406" s="5">
        <f>VLOOKUP($A406,'SegEnds_NonXtal_Prot#'!$A:$AL,11,FALSE)</f>
        <v>71</v>
      </c>
      <c r="AG406" s="5" t="str">
        <f>VLOOKUP($A406,'SegEnds_NonXtal_Prot#'!$A:$AL,14,FALSE)</f>
        <v>-</v>
      </c>
      <c r="AH406" s="5">
        <f>VLOOKUP($A406,'SegEnds_NonXtal_Prot#'!$A:$AL,17,FALSE)</f>
        <v>113</v>
      </c>
      <c r="AI406" s="5">
        <f>VLOOKUP($A406,'SegEnds_NonXtal_Prot#'!$A:$AL,20,FALSE)</f>
        <v>123</v>
      </c>
      <c r="AJ406" s="5">
        <f>VLOOKUP($A406,'SegEnds_NonXtal_Prot#'!$A:$AL,23,FALSE)</f>
        <v>148</v>
      </c>
      <c r="AK406" s="5" t="str">
        <f>VLOOKUP($A406,'SegEnds_NonXtal_Prot#'!$A:$AL,26,FALSE)</f>
        <v>-</v>
      </c>
      <c r="AL406" s="5">
        <f>VLOOKUP($A406,'SegEnds_NonXtal_Prot#'!$A:$AL,29,FALSE)</f>
        <v>215</v>
      </c>
      <c r="AM406" s="5">
        <f>VLOOKUP($A406,'SegEnds_NonXtal_Prot#'!$A:$AL,32,FALSE)</f>
        <v>257</v>
      </c>
      <c r="AN406" s="5">
        <f>VLOOKUP($A406,'SegEnds_NonXtal_Prot#'!$A:$AL,35,FALSE)</f>
        <v>288</v>
      </c>
      <c r="AO406" s="5">
        <f>VLOOKUP($A406,'SegEnds_NonXtal_Prot#'!$A:$AL,38,FALSE)</f>
        <v>302</v>
      </c>
      <c r="AP406" s="5">
        <f t="shared" si="163"/>
        <v>30</v>
      </c>
      <c r="AQ406" s="4">
        <f t="shared" si="164"/>
        <v>3</v>
      </c>
      <c r="AR406" s="4">
        <f t="shared" si="165"/>
        <v>30</v>
      </c>
      <c r="AS406" s="4" t="str">
        <f t="shared" si="166"/>
        <v>-</v>
      </c>
      <c r="AT406" s="4">
        <f t="shared" si="167"/>
        <v>38</v>
      </c>
      <c r="AU406" s="4">
        <f t="shared" si="168"/>
        <v>7</v>
      </c>
      <c r="AV406" s="4">
        <f t="shared" si="169"/>
        <v>24</v>
      </c>
      <c r="AW406" s="4" t="str">
        <f t="shared" si="170"/>
        <v>-</v>
      </c>
      <c r="AX406" s="4">
        <f t="shared" si="171"/>
        <v>40</v>
      </c>
      <c r="AY406" s="4">
        <f t="shared" si="172"/>
        <v>32</v>
      </c>
      <c r="AZ406" s="4">
        <f t="shared" si="173"/>
        <v>25</v>
      </c>
      <c r="BA406" s="4">
        <f t="shared" si="174"/>
        <v>13</v>
      </c>
    </row>
  </sheetData>
  <sortState ref="A2:BA408">
    <sortCondition descending="1" ref="C2:C408"/>
  </sortState>
  <customSheetViews>
    <customSheetView guid="{3E3401AF-8459-8641-BD70-AD04F80E86ED}" scale="135">
      <pane ySplit="1" topLeftCell="A2" activePane="bottomLeft" state="frozenSplit"/>
      <selection pane="bottomLeft" activeCell="B2" sqref="B2"/>
      <pageMargins left="0.7" right="0.7" top="0.75" bottom="0.75" header="0.3" footer="0.3"/>
      <pageSetup paperSize="9" orientation="portrait" horizontalDpi="0" verticalDpi="0"/>
    </customSheetView>
  </customSheetViews>
  <pageMargins left="0.7" right="0.7" top="0.75" bottom="0.75" header="0.3" footer="0.3"/>
  <pageSetup paperSize="9" orientation="portrait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L434"/>
  <sheetViews>
    <sheetView topLeftCell="A4" workbookViewId="0">
      <selection activeCell="L18" sqref="L18"/>
    </sheetView>
  </sheetViews>
  <sheetFormatPr baseColWidth="10" defaultColWidth="10.83203125" defaultRowHeight="16" x14ac:dyDescent="0.2"/>
  <cols>
    <col min="1" max="1" width="15.1640625" style="1" bestFit="1" customWidth="1"/>
    <col min="2" max="2" width="12.83203125" style="1" bestFit="1" customWidth="1"/>
    <col min="3" max="3" width="14.6640625" style="1" bestFit="1" customWidth="1"/>
    <col min="4" max="4" width="10.83203125" style="28"/>
    <col min="5" max="5" width="10.83203125" style="49"/>
    <col min="6" max="6" width="16.1640625" style="15" bestFit="1" customWidth="1"/>
    <col min="7" max="7" width="8.33203125" style="15" customWidth="1"/>
    <col min="8" max="8" width="10.83203125" style="1"/>
    <col min="9" max="9" width="13.33203125" style="1" bestFit="1" customWidth="1"/>
    <col min="10" max="10" width="13.33203125" style="1" customWidth="1"/>
    <col min="11" max="12" width="13" style="1" customWidth="1"/>
    <col min="13" max="13" width="12.83203125" style="1" bestFit="1" customWidth="1"/>
    <col min="14" max="16384" width="10.83203125" style="1"/>
  </cols>
  <sheetData>
    <row r="1" spans="1:12" s="32" customFormat="1" x14ac:dyDescent="0.2">
      <c r="A1" s="32" t="s">
        <v>1158</v>
      </c>
      <c r="B1" s="32" t="s">
        <v>1116</v>
      </c>
      <c r="C1" s="32" t="s">
        <v>1412</v>
      </c>
      <c r="D1" s="33" t="s">
        <v>1228</v>
      </c>
      <c r="E1" s="32" t="s">
        <v>1413</v>
      </c>
      <c r="F1" s="32" t="s">
        <v>1414</v>
      </c>
      <c r="G1" s="85" t="s">
        <v>1375</v>
      </c>
      <c r="H1" s="32" t="s">
        <v>1508</v>
      </c>
    </row>
    <row r="2" spans="1:12" s="10" customFormat="1" x14ac:dyDescent="0.2">
      <c r="A2" s="3" t="s">
        <v>472</v>
      </c>
      <c r="B2" s="3" t="s">
        <v>336</v>
      </c>
      <c r="C2" t="s">
        <v>34</v>
      </c>
      <c r="D2" s="28" t="str">
        <f>VLOOKUP(A2,Classification!$A:$D,2,FALSE)</f>
        <v>T</v>
      </c>
      <c r="E2" s="49" t="str">
        <f>VLOOKUP(B2,Classification!$A:$D,2,FALSE)</f>
        <v>A</v>
      </c>
      <c r="F2" s="15" t="str">
        <f>VLOOKUP(C2,Classification!$A:$D,2,FALSE)</f>
        <v>A</v>
      </c>
      <c r="G2" s="15" t="b">
        <f>OR(D2=F2,AND(D2="T",F2="A"),AND(D2="B2",F2="B1"),D2="O")</f>
        <v>1</v>
      </c>
      <c r="H2" s="10" t="str">
        <f>IF(ISERROR(MATCH(A2,'SegEnds_Xtal_Prot#'!B:B, 0)), "NoXtal", "Xtal")</f>
        <v>NoXtal</v>
      </c>
      <c r="I2" s="1"/>
      <c r="J2" s="3"/>
      <c r="K2" s="3"/>
      <c r="L2" s="3"/>
    </row>
    <row r="3" spans="1:12" x14ac:dyDescent="0.2">
      <c r="A3" s="3" t="s">
        <v>457</v>
      </c>
      <c r="B3" s="1" t="s">
        <v>160</v>
      </c>
      <c r="C3" t="s">
        <v>35</v>
      </c>
      <c r="D3" s="28" t="str">
        <f>VLOOKUP(A3,Classification!$A:$D,2,FALSE)</f>
        <v>T</v>
      </c>
      <c r="E3" s="49" t="str">
        <f>VLOOKUP(B3,Classification!$A:$D,2,FALSE)</f>
        <v>A</v>
      </c>
      <c r="F3" s="15" t="str">
        <f>VLOOKUP(C3,Classification!$A:$D,2,FALSE)</f>
        <v>A</v>
      </c>
      <c r="G3" s="15" t="b">
        <f t="shared" ref="G3:G66" si="0">OR(D3=F3,AND(D3="T",F3="A"),AND(D3="B2",F3="B1"),D3="O")</f>
        <v>1</v>
      </c>
      <c r="H3" s="10" t="str">
        <f>IF(ISERROR(MATCH(A3,'SegEnds_Xtal_Prot#'!B:B, 0)), "NoXtal", "Xtal")</f>
        <v>NoXtal</v>
      </c>
      <c r="J3" s="3"/>
    </row>
    <row r="4" spans="1:12" x14ac:dyDescent="0.2">
      <c r="A4" s="3" t="s">
        <v>476</v>
      </c>
      <c r="B4" s="1" t="s">
        <v>34</v>
      </c>
      <c r="C4" t="s">
        <v>147</v>
      </c>
      <c r="D4" s="28" t="str">
        <f>VLOOKUP(A4,Classification!$A:$D,2,FALSE)</f>
        <v>T</v>
      </c>
      <c r="E4" s="49" t="str">
        <f>VLOOKUP(B4,Classification!$A:$D,2,FALSE)</f>
        <v>A</v>
      </c>
      <c r="F4" s="15" t="str">
        <f>VLOOKUP(C4,Classification!$A:$D,2,FALSE)</f>
        <v>A</v>
      </c>
      <c r="G4" s="15" t="b">
        <f t="shared" si="0"/>
        <v>1</v>
      </c>
      <c r="H4" s="10" t="str">
        <f>IF(ISERROR(MATCH(A4,'SegEnds_Xtal_Prot#'!B:B, 0)), "NoXtal", "Xtal")</f>
        <v>NoXtal</v>
      </c>
      <c r="J4" s="3"/>
    </row>
    <row r="5" spans="1:12" x14ac:dyDescent="0.2">
      <c r="A5" s="3" t="s">
        <v>465</v>
      </c>
      <c r="B5" s="1" t="s">
        <v>158</v>
      </c>
      <c r="C5" t="s">
        <v>910</v>
      </c>
      <c r="D5" s="28" t="str">
        <f>VLOOKUP(A5,Classification!$A:$D,2,FALSE)</f>
        <v>T</v>
      </c>
      <c r="E5" s="49" t="str">
        <f>VLOOKUP(B5,Classification!$A:$D,2,FALSE)</f>
        <v>A</v>
      </c>
      <c r="F5" s="15" t="str">
        <f>VLOOKUP(C5,Classification!$A:$D,2,FALSE)</f>
        <v>A</v>
      </c>
      <c r="G5" s="15" t="b">
        <f t="shared" si="0"/>
        <v>1</v>
      </c>
      <c r="H5" s="10" t="str">
        <f>IF(ISERROR(MATCH(A5,'SegEnds_Xtal_Prot#'!B:B, 0)), "NoXtal", "Xtal")</f>
        <v>NoXtal</v>
      </c>
      <c r="J5" s="3"/>
    </row>
    <row r="6" spans="1:12" x14ac:dyDescent="0.2">
      <c r="A6" s="3" t="s">
        <v>485</v>
      </c>
      <c r="B6" s="1" t="s">
        <v>139</v>
      </c>
      <c r="C6" t="s">
        <v>158</v>
      </c>
      <c r="D6" s="28" t="str">
        <f>VLOOKUP(A6,Classification!$A:$D,2,FALSE)</f>
        <v>O</v>
      </c>
      <c r="E6" s="49" t="str">
        <f>VLOOKUP(B6,Classification!$A:$D,2,FALSE)</f>
        <v>A</v>
      </c>
      <c r="F6" s="15" t="str">
        <f>VLOOKUP(C6,Classification!$A:$D,2,FALSE)</f>
        <v>A</v>
      </c>
      <c r="G6" s="15" t="b">
        <f t="shared" si="0"/>
        <v>1</v>
      </c>
      <c r="H6" s="10" t="str">
        <f>IF(ISERROR(MATCH(A6,'SegEnds_Xtal_Prot#'!B:B, 0)), "NoXtal", "Xtal")</f>
        <v>NoXtal</v>
      </c>
      <c r="J6" s="3"/>
    </row>
    <row r="7" spans="1:12" x14ac:dyDescent="0.2">
      <c r="A7" s="3" t="s">
        <v>460</v>
      </c>
      <c r="B7" s="1" t="s">
        <v>133</v>
      </c>
      <c r="C7" t="s">
        <v>158</v>
      </c>
      <c r="D7" s="28" t="str">
        <f>VLOOKUP(A7,Classification!$A:$D,2,FALSE)</f>
        <v>T</v>
      </c>
      <c r="E7" s="49" t="str">
        <f>VLOOKUP(B7,Classification!$A:$D,2,FALSE)</f>
        <v>A</v>
      </c>
      <c r="F7" s="15" t="str">
        <f>VLOOKUP(C7,Classification!$A:$D,2,FALSE)</f>
        <v>A</v>
      </c>
      <c r="G7" s="15" t="b">
        <f t="shared" si="0"/>
        <v>1</v>
      </c>
      <c r="H7" s="10" t="str">
        <f>IF(ISERROR(MATCH(A7,'SegEnds_Xtal_Prot#'!B:B, 0)), "NoXtal", "Xtal")</f>
        <v>NoXtal</v>
      </c>
      <c r="J7" s="3"/>
    </row>
    <row r="8" spans="1:12" x14ac:dyDescent="0.2">
      <c r="A8" s="3" t="s">
        <v>930</v>
      </c>
      <c r="B8" s="1" t="s">
        <v>133</v>
      </c>
      <c r="C8" t="s">
        <v>158</v>
      </c>
      <c r="D8" s="28" t="str">
        <f>VLOOKUP(A8,Classification!$A:$D,2,FALSE)</f>
        <v>T</v>
      </c>
      <c r="E8" s="49" t="str">
        <f>VLOOKUP(B8,Classification!$A:$D,2,FALSE)</f>
        <v>A</v>
      </c>
      <c r="F8" s="15" t="str">
        <f>VLOOKUP(C8,Classification!$A:$D,2,FALSE)</f>
        <v>A</v>
      </c>
      <c r="G8" s="15" t="b">
        <f t="shared" si="0"/>
        <v>1</v>
      </c>
      <c r="H8" s="10" t="str">
        <f>IF(ISERROR(MATCH(A8,'SegEnds_Xtal_Prot#'!B:B, 0)), "NoXtal", "Xtal")</f>
        <v>NoXtal</v>
      </c>
      <c r="J8" s="3"/>
    </row>
    <row r="9" spans="1:12" x14ac:dyDescent="0.2">
      <c r="A9" s="3" t="s">
        <v>471</v>
      </c>
      <c r="B9" s="1" t="s">
        <v>191</v>
      </c>
      <c r="C9" t="s">
        <v>158</v>
      </c>
      <c r="D9" s="28" t="str">
        <f>VLOOKUP(A9,Classification!$A:$D,2,FALSE)</f>
        <v>T</v>
      </c>
      <c r="E9" s="49" t="str">
        <f>VLOOKUP(B9,Classification!$A:$D,2,FALSE)</f>
        <v>A</v>
      </c>
      <c r="F9" s="15" t="str">
        <f>VLOOKUP(C9,Classification!$A:$D,2,FALSE)</f>
        <v>A</v>
      </c>
      <c r="G9" s="15" t="b">
        <f t="shared" si="0"/>
        <v>1</v>
      </c>
      <c r="H9" s="10" t="str">
        <f>IF(ISERROR(MATCH(A9,'SegEnds_Xtal_Prot#'!B:B, 0)), "NoXtal", "Xtal")</f>
        <v>NoXtal</v>
      </c>
      <c r="J9" s="3"/>
    </row>
    <row r="10" spans="1:12" x14ac:dyDescent="0.2">
      <c r="A10" s="3" t="s">
        <v>467</v>
      </c>
      <c r="B10" s="1" t="s">
        <v>191</v>
      </c>
      <c r="C10" t="s">
        <v>158</v>
      </c>
      <c r="D10" s="28" t="str">
        <f>VLOOKUP(A10,Classification!$A:$D,2,FALSE)</f>
        <v>T</v>
      </c>
      <c r="E10" s="49" t="str">
        <f>VLOOKUP(B10,Classification!$A:$D,2,FALSE)</f>
        <v>A</v>
      </c>
      <c r="F10" s="15" t="str">
        <f>VLOOKUP(C10,Classification!$A:$D,2,FALSE)</f>
        <v>A</v>
      </c>
      <c r="G10" s="15" t="b">
        <f t="shared" si="0"/>
        <v>1</v>
      </c>
      <c r="H10" s="10" t="str">
        <f>IF(ISERROR(MATCH(A10,'SegEnds_Xtal_Prot#'!B:B, 0)), "NoXtal", "Xtal")</f>
        <v>NoXtal</v>
      </c>
      <c r="J10" s="3"/>
    </row>
    <row r="11" spans="1:12" x14ac:dyDescent="0.2">
      <c r="A11" s="3" t="s">
        <v>479</v>
      </c>
      <c r="B11" s="1" t="s">
        <v>191</v>
      </c>
      <c r="C11" t="s">
        <v>158</v>
      </c>
      <c r="D11" s="28" t="str">
        <f>VLOOKUP(A11,Classification!$A:$D,2,FALSE)</f>
        <v>T</v>
      </c>
      <c r="E11" s="49" t="str">
        <f>VLOOKUP(B11,Classification!$A:$D,2,FALSE)</f>
        <v>A</v>
      </c>
      <c r="F11" s="15" t="str">
        <f>VLOOKUP(C11,Classification!$A:$D,2,FALSE)</f>
        <v>A</v>
      </c>
      <c r="G11" s="15" t="b">
        <f t="shared" si="0"/>
        <v>1</v>
      </c>
      <c r="H11" s="10" t="str">
        <f>IF(ISERROR(MATCH(A11,'SegEnds_Xtal_Prot#'!B:B, 0)), "NoXtal", "Xtal")</f>
        <v>NoXtal</v>
      </c>
      <c r="J11" s="3"/>
    </row>
    <row r="12" spans="1:12" x14ac:dyDescent="0.2">
      <c r="A12" s="3" t="s">
        <v>461</v>
      </c>
      <c r="B12" s="1" t="s">
        <v>133</v>
      </c>
      <c r="C12" t="s">
        <v>158</v>
      </c>
      <c r="D12" s="28" t="str">
        <f>VLOOKUP(A12,Classification!$A:$D,2,FALSE)</f>
        <v>T</v>
      </c>
      <c r="E12" s="49" t="str">
        <f>VLOOKUP(B12,Classification!$A:$D,2,FALSE)</f>
        <v>A</v>
      </c>
      <c r="F12" s="15" t="str">
        <f>VLOOKUP(C12,Classification!$A:$D,2,FALSE)</f>
        <v>A</v>
      </c>
      <c r="G12" s="15" t="b">
        <f t="shared" si="0"/>
        <v>1</v>
      </c>
      <c r="H12" s="10" t="str">
        <f>IF(ISERROR(MATCH(A12,'SegEnds_Xtal_Prot#'!B:B, 0)), "NoXtal", "Xtal")</f>
        <v>NoXtal</v>
      </c>
      <c r="J12" s="3"/>
    </row>
    <row r="13" spans="1:12" x14ac:dyDescent="0.2">
      <c r="A13" s="3" t="s">
        <v>463</v>
      </c>
      <c r="B13" s="1" t="s">
        <v>191</v>
      </c>
      <c r="C13" t="s">
        <v>158</v>
      </c>
      <c r="D13" s="28" t="str">
        <f>VLOOKUP(A13,Classification!$A:$D,2,FALSE)</f>
        <v>T</v>
      </c>
      <c r="E13" s="49" t="str">
        <f>VLOOKUP(B13,Classification!$A:$D,2,FALSE)</f>
        <v>A</v>
      </c>
      <c r="F13" s="15" t="str">
        <f>VLOOKUP(C13,Classification!$A:$D,2,FALSE)</f>
        <v>A</v>
      </c>
      <c r="G13" s="15" t="b">
        <f t="shared" si="0"/>
        <v>1</v>
      </c>
      <c r="H13" s="10" t="str">
        <f>IF(ISERROR(MATCH(A13,'SegEnds_Xtal_Prot#'!B:B, 0)), "NoXtal", "Xtal")</f>
        <v>NoXtal</v>
      </c>
      <c r="J13" s="3"/>
    </row>
    <row r="14" spans="1:12" x14ac:dyDescent="0.2">
      <c r="A14" s="3" t="s">
        <v>468</v>
      </c>
      <c r="B14" s="1" t="s">
        <v>278</v>
      </c>
      <c r="C14" t="s">
        <v>158</v>
      </c>
      <c r="D14" s="28" t="str">
        <f>VLOOKUP(A14,Classification!$A:$D,2,FALSE)</f>
        <v>T</v>
      </c>
      <c r="E14" s="49" t="str">
        <f>VLOOKUP(B14,Classification!$A:$D,2,FALSE)</f>
        <v>A</v>
      </c>
      <c r="F14" s="15" t="str">
        <f>VLOOKUP(C14,Classification!$A:$D,2,FALSE)</f>
        <v>A</v>
      </c>
      <c r="G14" s="15" t="b">
        <f t="shared" si="0"/>
        <v>1</v>
      </c>
      <c r="H14" s="10" t="str">
        <f>IF(ISERROR(MATCH(A14,'SegEnds_Xtal_Prot#'!B:B, 0)), "NoXtal", "Xtal")</f>
        <v>NoXtal</v>
      </c>
      <c r="J14" s="3"/>
    </row>
    <row r="15" spans="1:12" x14ac:dyDescent="0.2">
      <c r="A15" s="3" t="s">
        <v>469</v>
      </c>
      <c r="B15" s="1" t="s">
        <v>191</v>
      </c>
      <c r="C15" t="s">
        <v>158</v>
      </c>
      <c r="D15" s="28" t="str">
        <f>VLOOKUP(A15,Classification!$A:$D,2,FALSE)</f>
        <v>T</v>
      </c>
      <c r="E15" s="49" t="str">
        <f>VLOOKUP(B15,Classification!$A:$D,2,FALSE)</f>
        <v>A</v>
      </c>
      <c r="F15" s="15" t="str">
        <f>VLOOKUP(C15,Classification!$A:$D,2,FALSE)</f>
        <v>A</v>
      </c>
      <c r="G15" s="15" t="b">
        <f t="shared" si="0"/>
        <v>1</v>
      </c>
      <c r="H15" s="10" t="str">
        <f>IF(ISERROR(MATCH(A15,'SegEnds_Xtal_Prot#'!B:B, 0)), "NoXtal", "Xtal")</f>
        <v>NoXtal</v>
      </c>
      <c r="J15" s="3"/>
    </row>
    <row r="16" spans="1:12" x14ac:dyDescent="0.2">
      <c r="A16" s="3" t="s">
        <v>470</v>
      </c>
      <c r="B16" s="1" t="s">
        <v>133</v>
      </c>
      <c r="C16" t="s">
        <v>158</v>
      </c>
      <c r="D16" s="28" t="str">
        <f>VLOOKUP(A16,Classification!$A:$D,2,FALSE)</f>
        <v>T</v>
      </c>
      <c r="E16" s="49" t="str">
        <f>VLOOKUP(B16,Classification!$A:$D,2,FALSE)</f>
        <v>A</v>
      </c>
      <c r="F16" s="15" t="str">
        <f>VLOOKUP(C16,Classification!$A:$D,2,FALSE)</f>
        <v>A</v>
      </c>
      <c r="G16" s="15" t="b">
        <f t="shared" si="0"/>
        <v>1</v>
      </c>
      <c r="H16" s="10" t="str">
        <f>IF(ISERROR(MATCH(A16,'SegEnds_Xtal_Prot#'!B:B, 0)), "NoXtal", "Xtal")</f>
        <v>NoXtal</v>
      </c>
      <c r="J16" s="3"/>
    </row>
    <row r="17" spans="1:10" x14ac:dyDescent="0.2">
      <c r="A17" s="3" t="s">
        <v>480</v>
      </c>
      <c r="B17" s="1" t="s">
        <v>158</v>
      </c>
      <c r="C17" t="s">
        <v>158</v>
      </c>
      <c r="D17" s="28" t="str">
        <f>VLOOKUP(A17,Classification!$A:$D,2,FALSE)</f>
        <v>T</v>
      </c>
      <c r="E17" s="49" t="str">
        <f>VLOOKUP(B17,Classification!$A:$D,2,FALSE)</f>
        <v>A</v>
      </c>
      <c r="F17" s="15" t="str">
        <f>VLOOKUP(C17,Classification!$A:$D,2,FALSE)</f>
        <v>A</v>
      </c>
      <c r="G17" s="15" t="b">
        <f t="shared" si="0"/>
        <v>1</v>
      </c>
      <c r="H17" s="10" t="str">
        <f>IF(ISERROR(MATCH(A17,'SegEnds_Xtal_Prot#'!B:B, 0)), "NoXtal", "Xtal")</f>
        <v>NoXtal</v>
      </c>
      <c r="J17" s="3"/>
    </row>
    <row r="18" spans="1:10" x14ac:dyDescent="0.2">
      <c r="A18" s="3" t="s">
        <v>475</v>
      </c>
      <c r="B18" s="1" t="s">
        <v>158</v>
      </c>
      <c r="C18" t="s">
        <v>158</v>
      </c>
      <c r="D18" s="28" t="str">
        <f>VLOOKUP(A18,Classification!$A:$D,2,FALSE)</f>
        <v>T</v>
      </c>
      <c r="E18" s="49" t="str">
        <f>VLOOKUP(B18,Classification!$A:$D,2,FALSE)</f>
        <v>A</v>
      </c>
      <c r="F18" s="15" t="str">
        <f>VLOOKUP(C18,Classification!$A:$D,2,FALSE)</f>
        <v>A</v>
      </c>
      <c r="G18" s="15" t="b">
        <f t="shared" si="0"/>
        <v>1</v>
      </c>
      <c r="H18" s="10" t="str">
        <f>IF(ISERROR(MATCH(A18,'SegEnds_Xtal_Prot#'!B:B, 0)), "NoXtal", "Xtal")</f>
        <v>NoXtal</v>
      </c>
      <c r="J18" s="3"/>
    </row>
    <row r="19" spans="1:10" x14ac:dyDescent="0.2">
      <c r="A19" s="3" t="s">
        <v>478</v>
      </c>
      <c r="B19" s="1" t="s">
        <v>191</v>
      </c>
      <c r="C19" t="s">
        <v>158</v>
      </c>
      <c r="D19" s="28" t="str">
        <f>VLOOKUP(A19,Classification!$A:$D,2,FALSE)</f>
        <v>T</v>
      </c>
      <c r="E19" s="49" t="str">
        <f>VLOOKUP(B19,Classification!$A:$D,2,FALSE)</f>
        <v>A</v>
      </c>
      <c r="F19" s="15" t="str">
        <f>VLOOKUP(C19,Classification!$A:$D,2,FALSE)</f>
        <v>A</v>
      </c>
      <c r="G19" s="15" t="b">
        <f t="shared" si="0"/>
        <v>1</v>
      </c>
      <c r="H19" s="10" t="str">
        <f>IF(ISERROR(MATCH(A19,'SegEnds_Xtal_Prot#'!B:B, 0)), "NoXtal", "Xtal")</f>
        <v>NoXtal</v>
      </c>
      <c r="J19" s="3"/>
    </row>
    <row r="20" spans="1:10" x14ac:dyDescent="0.2">
      <c r="A20" s="3" t="s">
        <v>464</v>
      </c>
      <c r="B20" s="1" t="s">
        <v>158</v>
      </c>
      <c r="C20" t="s">
        <v>158</v>
      </c>
      <c r="D20" s="28" t="str">
        <f>VLOOKUP(A20,Classification!$A:$D,2,FALSE)</f>
        <v>T</v>
      </c>
      <c r="E20" s="49" t="str">
        <f>VLOOKUP(B20,Classification!$A:$D,2,FALSE)</f>
        <v>A</v>
      </c>
      <c r="F20" s="15" t="str">
        <f>VLOOKUP(C20,Classification!$A:$D,2,FALSE)</f>
        <v>A</v>
      </c>
      <c r="G20" s="15" t="b">
        <f t="shared" si="0"/>
        <v>1</v>
      </c>
      <c r="H20" s="10" t="str">
        <f>IF(ISERROR(MATCH(A20,'SegEnds_Xtal_Prot#'!B:B, 0)), "NoXtal", "Xtal")</f>
        <v>NoXtal</v>
      </c>
      <c r="J20" s="3"/>
    </row>
    <row r="21" spans="1:10" x14ac:dyDescent="0.2">
      <c r="A21" s="3" t="s">
        <v>462</v>
      </c>
      <c r="B21" s="1" t="s">
        <v>133</v>
      </c>
      <c r="C21" t="s">
        <v>158</v>
      </c>
      <c r="D21" s="28" t="str">
        <f>VLOOKUP(A21,Classification!$A:$D,2,FALSE)</f>
        <v>T</v>
      </c>
      <c r="E21" s="49" t="str">
        <f>VLOOKUP(B21,Classification!$A:$D,2,FALSE)</f>
        <v>A</v>
      </c>
      <c r="F21" s="15" t="str">
        <f>VLOOKUP(C21,Classification!$A:$D,2,FALSE)</f>
        <v>A</v>
      </c>
      <c r="G21" s="15" t="b">
        <f t="shared" si="0"/>
        <v>1</v>
      </c>
      <c r="H21" s="10" t="str">
        <f>IF(ISERROR(MATCH(A21,'SegEnds_Xtal_Prot#'!B:B, 0)), "NoXtal", "Xtal")</f>
        <v>NoXtal</v>
      </c>
      <c r="J21" s="3"/>
    </row>
    <row r="22" spans="1:10" x14ac:dyDescent="0.2">
      <c r="A22" s="3" t="s">
        <v>1187</v>
      </c>
      <c r="B22" s="1" t="s">
        <v>406</v>
      </c>
      <c r="C22" t="s">
        <v>38</v>
      </c>
      <c r="D22" s="28" t="str">
        <f>VLOOKUP(A22,Classification!$A:$D,2,FALSE)</f>
        <v>B2</v>
      </c>
      <c r="E22" s="49" t="str">
        <f>VLOOKUP(B22,Classification!$A:$D,2,FALSE)</f>
        <v>B1</v>
      </c>
      <c r="F22" s="15" t="str">
        <f>VLOOKUP(C22,Classification!$A:$D,2,FALSE)</f>
        <v>B1</v>
      </c>
      <c r="G22" s="15" t="b">
        <f t="shared" si="0"/>
        <v>1</v>
      </c>
      <c r="H22" s="10" t="str">
        <f>IF(ISERROR(MATCH(A22,'SegEnds_Xtal_Prot#'!B:B, 0)), "NoXtal", "Xtal")</f>
        <v>NoXtal</v>
      </c>
      <c r="J22" s="3"/>
    </row>
    <row r="23" spans="1:10" x14ac:dyDescent="0.2">
      <c r="A23" s="3" t="s">
        <v>1197</v>
      </c>
      <c r="B23" s="1" t="s">
        <v>409</v>
      </c>
      <c r="C23" t="s">
        <v>38</v>
      </c>
      <c r="D23" s="28" t="str">
        <f>VLOOKUP(A23,Classification!$A:$D,2,FALSE)</f>
        <v>B2</v>
      </c>
      <c r="E23" s="49" t="str">
        <f>VLOOKUP(B23,Classification!$A:$D,2,FALSE)</f>
        <v>B1</v>
      </c>
      <c r="F23" s="15" t="str">
        <f>VLOOKUP(C23,Classification!$A:$D,2,FALSE)</f>
        <v>B1</v>
      </c>
      <c r="G23" s="15" t="b">
        <f t="shared" si="0"/>
        <v>1</v>
      </c>
      <c r="H23" s="10" t="str">
        <f>IF(ISERROR(MATCH(A23,'SegEnds_Xtal_Prot#'!B:B, 0)), "NoXtal", "Xtal")</f>
        <v>NoXtal</v>
      </c>
      <c r="J23" s="3"/>
    </row>
    <row r="24" spans="1:10" x14ac:dyDescent="0.2">
      <c r="A24" s="3" t="s">
        <v>1202</v>
      </c>
      <c r="B24" s="1" t="s">
        <v>38</v>
      </c>
      <c r="C24" t="s">
        <v>38</v>
      </c>
      <c r="D24" s="28" t="str">
        <f>VLOOKUP(A24,Classification!$A:$D,2,FALSE)</f>
        <v>B2</v>
      </c>
      <c r="E24" s="49" t="str">
        <f>VLOOKUP(B24,Classification!$A:$D,2,FALSE)</f>
        <v>B1</v>
      </c>
      <c r="F24" s="15" t="str">
        <f>VLOOKUP(C24,Classification!$A:$D,2,FALSE)</f>
        <v>B1</v>
      </c>
      <c r="G24" s="15" t="b">
        <f t="shared" si="0"/>
        <v>1</v>
      </c>
      <c r="H24" s="10" t="str">
        <f>IF(ISERROR(MATCH(A24,'SegEnds_Xtal_Prot#'!B:B, 0)), "NoXtal", "Xtal")</f>
        <v>NoXtal</v>
      </c>
      <c r="J24" s="3"/>
    </row>
    <row r="25" spans="1:10" x14ac:dyDescent="0.2">
      <c r="A25" s="3" t="s">
        <v>1195</v>
      </c>
      <c r="B25" s="1" t="s">
        <v>409</v>
      </c>
      <c r="C25" t="s">
        <v>38</v>
      </c>
      <c r="D25" s="28" t="str">
        <f>VLOOKUP(A25,Classification!$A:$D,2,FALSE)</f>
        <v>B2</v>
      </c>
      <c r="E25" s="49" t="str">
        <f>VLOOKUP(B25,Classification!$A:$D,2,FALSE)</f>
        <v>B1</v>
      </c>
      <c r="F25" s="15" t="str">
        <f>VLOOKUP(C25,Classification!$A:$D,2,FALSE)</f>
        <v>B1</v>
      </c>
      <c r="G25" s="15" t="b">
        <f t="shared" si="0"/>
        <v>1</v>
      </c>
      <c r="H25" s="10" t="str">
        <f>IF(ISERROR(MATCH(A25,'SegEnds_Xtal_Prot#'!B:B, 0)), "NoXtal", "Xtal")</f>
        <v>NoXtal</v>
      </c>
      <c r="J25" s="3"/>
    </row>
    <row r="26" spans="1:10" x14ac:dyDescent="0.2">
      <c r="A26" s="3" t="s">
        <v>1193</v>
      </c>
      <c r="B26" s="1" t="s">
        <v>38</v>
      </c>
      <c r="C26" t="s">
        <v>38</v>
      </c>
      <c r="D26" s="28" t="str">
        <f>VLOOKUP(A26,Classification!$A:$D,2,FALSE)</f>
        <v>B2</v>
      </c>
      <c r="E26" s="49" t="str">
        <f>VLOOKUP(B26,Classification!$A:$D,2,FALSE)</f>
        <v>B1</v>
      </c>
      <c r="F26" s="15" t="str">
        <f>VLOOKUP(C26,Classification!$A:$D,2,FALSE)</f>
        <v>B1</v>
      </c>
      <c r="G26" s="15" t="b">
        <f t="shared" si="0"/>
        <v>1</v>
      </c>
      <c r="H26" s="10" t="str">
        <f>IF(ISERROR(MATCH(A26,'SegEnds_Xtal_Prot#'!B:B, 0)), "NoXtal", "Xtal")</f>
        <v>NoXtal</v>
      </c>
      <c r="J26" s="3"/>
    </row>
    <row r="27" spans="1:10" x14ac:dyDescent="0.2">
      <c r="A27" s="3" t="s">
        <v>1184</v>
      </c>
      <c r="B27" s="1" t="s">
        <v>409</v>
      </c>
      <c r="C27" t="s">
        <v>38</v>
      </c>
      <c r="D27" s="28" t="str">
        <f>VLOOKUP(A27,Classification!$A:$D,2,FALSE)</f>
        <v>B2</v>
      </c>
      <c r="E27" s="49" t="str">
        <f>VLOOKUP(B27,Classification!$A:$D,2,FALSE)</f>
        <v>B1</v>
      </c>
      <c r="F27" s="15" t="str">
        <f>VLOOKUP(C27,Classification!$A:$D,2,FALSE)</f>
        <v>B1</v>
      </c>
      <c r="G27" s="15" t="b">
        <f t="shared" si="0"/>
        <v>1</v>
      </c>
      <c r="H27" s="10" t="str">
        <f>IF(ISERROR(MATCH(A27,'SegEnds_Xtal_Prot#'!B:B, 0)), "NoXtal", "Xtal")</f>
        <v>NoXtal</v>
      </c>
      <c r="J27" s="3"/>
    </row>
    <row r="28" spans="1:10" x14ac:dyDescent="0.2">
      <c r="A28" s="3" t="s">
        <v>1191</v>
      </c>
      <c r="B28" s="1" t="s">
        <v>38</v>
      </c>
      <c r="C28" t="s">
        <v>38</v>
      </c>
      <c r="D28" s="28" t="str">
        <f>VLOOKUP(A28,Classification!$A:$D,2,FALSE)</f>
        <v>B2</v>
      </c>
      <c r="E28" s="49" t="str">
        <f>VLOOKUP(B28,Classification!$A:$D,2,FALSE)</f>
        <v>B1</v>
      </c>
      <c r="F28" s="15" t="str">
        <f>VLOOKUP(C28,Classification!$A:$D,2,FALSE)</f>
        <v>B1</v>
      </c>
      <c r="G28" s="15" t="b">
        <f t="shared" si="0"/>
        <v>1</v>
      </c>
      <c r="H28" s="10" t="str">
        <f>IF(ISERROR(MATCH(A28,'SegEnds_Xtal_Prot#'!B:B, 0)), "NoXtal", "Xtal")</f>
        <v>NoXtal</v>
      </c>
      <c r="J28" s="3"/>
    </row>
    <row r="29" spans="1:10" x14ac:dyDescent="0.2">
      <c r="A29" s="3" t="s">
        <v>1185</v>
      </c>
      <c r="B29" s="1" t="s">
        <v>406</v>
      </c>
      <c r="C29" t="s">
        <v>38</v>
      </c>
      <c r="D29" s="28" t="str">
        <f>VLOOKUP(A29,Classification!$A:$D,2,FALSE)</f>
        <v>B2</v>
      </c>
      <c r="E29" s="49" t="str">
        <f>VLOOKUP(B29,Classification!$A:$D,2,FALSE)</f>
        <v>B1</v>
      </c>
      <c r="F29" s="15" t="str">
        <f>VLOOKUP(C29,Classification!$A:$D,2,FALSE)</f>
        <v>B1</v>
      </c>
      <c r="G29" s="15" t="b">
        <f t="shared" si="0"/>
        <v>1</v>
      </c>
      <c r="H29" s="10" t="str">
        <f>IF(ISERROR(MATCH(A29,'SegEnds_Xtal_Prot#'!B:B, 0)), "NoXtal", "Xtal")</f>
        <v>NoXtal</v>
      </c>
      <c r="J29" s="3"/>
    </row>
    <row r="30" spans="1:10" x14ac:dyDescent="0.2">
      <c r="A30" s="3" t="s">
        <v>1186</v>
      </c>
      <c r="B30" s="1" t="s">
        <v>409</v>
      </c>
      <c r="C30" t="s">
        <v>38</v>
      </c>
      <c r="D30" s="28" t="str">
        <f>VLOOKUP(A30,Classification!$A:$D,2,FALSE)</f>
        <v>B2</v>
      </c>
      <c r="E30" s="49" t="str">
        <f>VLOOKUP(B30,Classification!$A:$D,2,FALSE)</f>
        <v>B1</v>
      </c>
      <c r="F30" s="15" t="str">
        <f>VLOOKUP(C30,Classification!$A:$D,2,FALSE)</f>
        <v>B1</v>
      </c>
      <c r="G30" s="15" t="b">
        <f t="shared" si="0"/>
        <v>1</v>
      </c>
      <c r="H30" s="10" t="str">
        <f>IF(ISERROR(MATCH(A30,'SegEnds_Xtal_Prot#'!B:B, 0)), "NoXtal", "Xtal")</f>
        <v>NoXtal</v>
      </c>
      <c r="J30" s="3"/>
    </row>
    <row r="31" spans="1:10" x14ac:dyDescent="0.2">
      <c r="A31" s="3" t="s">
        <v>1190</v>
      </c>
      <c r="B31" s="1" t="s">
        <v>402</v>
      </c>
      <c r="C31" t="s">
        <v>38</v>
      </c>
      <c r="D31" s="28" t="str">
        <f>VLOOKUP(A31,Classification!$A:$D,2,FALSE)</f>
        <v>B2</v>
      </c>
      <c r="E31" s="49" t="str">
        <f>VLOOKUP(B31,Classification!$A:$D,2,FALSE)</f>
        <v>B1</v>
      </c>
      <c r="F31" s="15" t="str">
        <f>VLOOKUP(C31,Classification!$A:$D,2,FALSE)</f>
        <v>B1</v>
      </c>
      <c r="G31" s="15" t="b">
        <f t="shared" si="0"/>
        <v>1</v>
      </c>
      <c r="H31" s="10" t="str">
        <f>IF(ISERROR(MATCH(A31,'SegEnds_Xtal_Prot#'!B:B, 0)), "NoXtal", "Xtal")</f>
        <v>NoXtal</v>
      </c>
      <c r="J31" s="3"/>
    </row>
    <row r="32" spans="1:10" x14ac:dyDescent="0.2">
      <c r="A32" s="3" t="s">
        <v>1183</v>
      </c>
      <c r="B32" s="1" t="s">
        <v>38</v>
      </c>
      <c r="C32" t="s">
        <v>38</v>
      </c>
      <c r="D32" s="28" t="str">
        <f>VLOOKUP(A32,Classification!$A:$D,2,FALSE)</f>
        <v>B2</v>
      </c>
      <c r="E32" s="49" t="str">
        <f>VLOOKUP(B32,Classification!$A:$D,2,FALSE)</f>
        <v>B1</v>
      </c>
      <c r="F32" s="15" t="str">
        <f>VLOOKUP(C32,Classification!$A:$D,2,FALSE)</f>
        <v>B1</v>
      </c>
      <c r="G32" s="15" t="b">
        <f t="shared" si="0"/>
        <v>1</v>
      </c>
      <c r="H32" s="10" t="str">
        <f>IF(ISERROR(MATCH(A32,'SegEnds_Xtal_Prot#'!B:B, 0)), "NoXtal", "Xtal")</f>
        <v>NoXtal</v>
      </c>
      <c r="J32" s="3"/>
    </row>
    <row r="33" spans="1:10" x14ac:dyDescent="0.2">
      <c r="A33" s="3" t="s">
        <v>1182</v>
      </c>
      <c r="B33" s="1" t="s">
        <v>38</v>
      </c>
      <c r="C33" t="s">
        <v>38</v>
      </c>
      <c r="D33" s="28" t="str">
        <f>VLOOKUP(A33,Classification!$A:$D,2,FALSE)</f>
        <v>B2</v>
      </c>
      <c r="E33" s="49" t="str">
        <f>VLOOKUP(B33,Classification!$A:$D,2,FALSE)</f>
        <v>B1</v>
      </c>
      <c r="F33" s="15" t="str">
        <f>VLOOKUP(C33,Classification!$A:$D,2,FALSE)</f>
        <v>B1</v>
      </c>
      <c r="G33" s="15" t="b">
        <f t="shared" si="0"/>
        <v>1</v>
      </c>
      <c r="H33" s="10" t="str">
        <f>IF(ISERROR(MATCH(A33,'SegEnds_Xtal_Prot#'!B:B, 0)), "NoXtal", "Xtal")</f>
        <v>NoXtal</v>
      </c>
      <c r="J33" s="3"/>
    </row>
    <row r="34" spans="1:10" x14ac:dyDescent="0.2">
      <c r="A34" s="3" t="s">
        <v>1188</v>
      </c>
      <c r="B34" s="1" t="s">
        <v>409</v>
      </c>
      <c r="C34" t="s">
        <v>38</v>
      </c>
      <c r="D34" s="28" t="str">
        <f>VLOOKUP(A34,Classification!$A:$D,2,FALSE)</f>
        <v>B2</v>
      </c>
      <c r="E34" s="49" t="str">
        <f>VLOOKUP(B34,Classification!$A:$D,2,FALSE)</f>
        <v>B1</v>
      </c>
      <c r="F34" s="15" t="str">
        <f>VLOOKUP(C34,Classification!$A:$D,2,FALSE)</f>
        <v>B1</v>
      </c>
      <c r="G34" s="15" t="b">
        <f t="shared" si="0"/>
        <v>1</v>
      </c>
      <c r="H34" s="10" t="str">
        <f>IF(ISERROR(MATCH(A34,'SegEnds_Xtal_Prot#'!B:B, 0)), "NoXtal", "Xtal")</f>
        <v>NoXtal</v>
      </c>
      <c r="J34" s="3"/>
    </row>
    <row r="35" spans="1:10" x14ac:dyDescent="0.2">
      <c r="A35" s="3" t="s">
        <v>1198</v>
      </c>
      <c r="B35" s="1" t="s">
        <v>409</v>
      </c>
      <c r="C35" t="s">
        <v>38</v>
      </c>
      <c r="D35" s="28" t="str">
        <f>VLOOKUP(A35,Classification!$A:$D,2,FALSE)</f>
        <v>B2</v>
      </c>
      <c r="E35" s="49" t="str">
        <f>VLOOKUP(B35,Classification!$A:$D,2,FALSE)</f>
        <v>B1</v>
      </c>
      <c r="F35" s="15" t="str">
        <f>VLOOKUP(C35,Classification!$A:$D,2,FALSE)</f>
        <v>B1</v>
      </c>
      <c r="G35" s="15" t="b">
        <f t="shared" si="0"/>
        <v>1</v>
      </c>
      <c r="H35" s="10" t="str">
        <f>IF(ISERROR(MATCH(A35,'SegEnds_Xtal_Prot#'!B:B, 0)), "NoXtal", "Xtal")</f>
        <v>NoXtal</v>
      </c>
      <c r="J35" s="3"/>
    </row>
    <row r="36" spans="1:10" x14ac:dyDescent="0.2">
      <c r="A36" s="3" t="s">
        <v>1192</v>
      </c>
      <c r="B36" s="1" t="s">
        <v>38</v>
      </c>
      <c r="C36" t="s">
        <v>38</v>
      </c>
      <c r="D36" s="28" t="str">
        <f>VLOOKUP(A36,Classification!$A:$D,2,FALSE)</f>
        <v>B2</v>
      </c>
      <c r="E36" s="49" t="str">
        <f>VLOOKUP(B36,Classification!$A:$D,2,FALSE)</f>
        <v>B1</v>
      </c>
      <c r="F36" s="15" t="str">
        <f>VLOOKUP(C36,Classification!$A:$D,2,FALSE)</f>
        <v>B1</v>
      </c>
      <c r="G36" s="15" t="b">
        <f t="shared" si="0"/>
        <v>1</v>
      </c>
      <c r="H36" s="10" t="str">
        <f>IF(ISERROR(MATCH(A36,'SegEnds_Xtal_Prot#'!B:B, 0)), "NoXtal", "Xtal")</f>
        <v>NoXtal</v>
      </c>
      <c r="J36" s="3"/>
    </row>
    <row r="37" spans="1:10" x14ac:dyDescent="0.2">
      <c r="A37" s="3" t="s">
        <v>1196</v>
      </c>
      <c r="B37" s="1" t="s">
        <v>409</v>
      </c>
      <c r="C37" t="s">
        <v>38</v>
      </c>
      <c r="D37" s="28" t="str">
        <f>VLOOKUP(A37,Classification!$A:$D,2,FALSE)</f>
        <v>B2</v>
      </c>
      <c r="E37" s="49" t="str">
        <f>VLOOKUP(B37,Classification!$A:$D,2,FALSE)</f>
        <v>B1</v>
      </c>
      <c r="F37" s="15" t="str">
        <f>VLOOKUP(C37,Classification!$A:$D,2,FALSE)</f>
        <v>B1</v>
      </c>
      <c r="G37" s="15" t="b">
        <f t="shared" si="0"/>
        <v>1</v>
      </c>
      <c r="H37" s="10" t="str">
        <f>IF(ISERROR(MATCH(A37,'SegEnds_Xtal_Prot#'!B:B, 0)), "NoXtal", "Xtal")</f>
        <v>NoXtal</v>
      </c>
      <c r="J37" s="3"/>
    </row>
    <row r="38" spans="1:10" x14ac:dyDescent="0.2">
      <c r="A38" s="3" t="s">
        <v>1423</v>
      </c>
      <c r="B38" s="1" t="s">
        <v>38</v>
      </c>
      <c r="C38" t="s">
        <v>38</v>
      </c>
      <c r="D38" s="28" t="str">
        <f>VLOOKUP(A38,Classification!$A:$D,2,FALSE)</f>
        <v>B2</v>
      </c>
      <c r="E38" s="49" t="str">
        <f>VLOOKUP(B38,Classification!$A:$D,2,FALSE)</f>
        <v>B1</v>
      </c>
      <c r="F38" s="15" t="str">
        <f>VLOOKUP(C38,Classification!$A:$D,2,FALSE)</f>
        <v>B1</v>
      </c>
      <c r="G38" s="15" t="b">
        <f t="shared" si="0"/>
        <v>1</v>
      </c>
      <c r="H38" s="10" t="str">
        <f>IF(ISERROR(MATCH(A38,'SegEnds_Xtal_Prot#'!B:B, 0)), "NoXtal", "Xtal")</f>
        <v>NoXtal</v>
      </c>
      <c r="J38" s="3"/>
    </row>
    <row r="39" spans="1:10" x14ac:dyDescent="0.2">
      <c r="A39" s="3" t="s">
        <v>1194</v>
      </c>
      <c r="B39" s="1" t="s">
        <v>409</v>
      </c>
      <c r="C39" t="s">
        <v>38</v>
      </c>
      <c r="D39" s="28" t="str">
        <f>VLOOKUP(A39,Classification!$A:$D,2,FALSE)</f>
        <v>B2</v>
      </c>
      <c r="E39" s="49" t="str">
        <f>VLOOKUP(B39,Classification!$A:$D,2,FALSE)</f>
        <v>B1</v>
      </c>
      <c r="F39" s="15" t="str">
        <f>VLOOKUP(C39,Classification!$A:$D,2,FALSE)</f>
        <v>B1</v>
      </c>
      <c r="G39" s="15" t="b">
        <f t="shared" si="0"/>
        <v>1</v>
      </c>
      <c r="H39" s="10" t="str">
        <f>IF(ISERROR(MATCH(A39,'SegEnds_Xtal_Prot#'!B:B, 0)), "NoXtal", "Xtal")</f>
        <v>NoXtal</v>
      </c>
      <c r="J39" s="3"/>
    </row>
    <row r="40" spans="1:10" x14ac:dyDescent="0.2">
      <c r="A40" s="3" t="s">
        <v>442</v>
      </c>
      <c r="B40" s="1" t="s">
        <v>38</v>
      </c>
      <c r="C40" t="s">
        <v>38</v>
      </c>
      <c r="D40" s="28" t="str">
        <f>VLOOKUP(A40,Classification!$A:$D,2,FALSE)</f>
        <v>B2</v>
      </c>
      <c r="E40" s="49" t="str">
        <f>VLOOKUP(B40,Classification!$A:$D,2,FALSE)</f>
        <v>B1</v>
      </c>
      <c r="F40" s="15" t="str">
        <f>VLOOKUP(C40,Classification!$A:$D,2,FALSE)</f>
        <v>B1</v>
      </c>
      <c r="G40" s="15" t="b">
        <f t="shared" si="0"/>
        <v>1</v>
      </c>
      <c r="H40" s="10" t="str">
        <f>IF(ISERROR(MATCH(A40,'SegEnds_Xtal_Prot#'!B:B, 0)), "NoXtal", "Xtal")</f>
        <v>NoXtal</v>
      </c>
      <c r="J40" s="3"/>
    </row>
    <row r="41" spans="1:10" x14ac:dyDescent="0.2">
      <c r="A41" s="3" t="s">
        <v>1177</v>
      </c>
      <c r="B41" s="1" t="s">
        <v>38</v>
      </c>
      <c r="C41" t="s">
        <v>38</v>
      </c>
      <c r="D41" s="28" t="str">
        <f>VLOOKUP(A41,Classification!$A:$D,2,FALSE)</f>
        <v>B2</v>
      </c>
      <c r="E41" s="49" t="str">
        <f>VLOOKUP(B41,Classification!$A:$D,2,FALSE)</f>
        <v>B1</v>
      </c>
      <c r="F41" s="15" t="str">
        <f>VLOOKUP(C41,Classification!$A:$D,2,FALSE)</f>
        <v>B1</v>
      </c>
      <c r="G41" s="15" t="b">
        <f t="shared" si="0"/>
        <v>1</v>
      </c>
      <c r="H41" s="10" t="str">
        <f>IF(ISERROR(MATCH(A41,'SegEnds_Xtal_Prot#'!B:B, 0)), "NoXtal", "Xtal")</f>
        <v>NoXtal</v>
      </c>
      <c r="J41" s="3"/>
    </row>
    <row r="42" spans="1:10" x14ac:dyDescent="0.2">
      <c r="A42" s="3" t="s">
        <v>1178</v>
      </c>
      <c r="B42" s="1" t="s">
        <v>38</v>
      </c>
      <c r="C42" t="s">
        <v>38</v>
      </c>
      <c r="D42" s="28" t="str">
        <f>VLOOKUP(A42,Classification!$A:$D,2,FALSE)</f>
        <v>B2</v>
      </c>
      <c r="E42" s="49" t="str">
        <f>VLOOKUP(B42,Classification!$A:$D,2,FALSE)</f>
        <v>B1</v>
      </c>
      <c r="F42" s="15" t="str">
        <f>VLOOKUP(C42,Classification!$A:$D,2,FALSE)</f>
        <v>B1</v>
      </c>
      <c r="G42" s="15" t="b">
        <f t="shared" si="0"/>
        <v>1</v>
      </c>
      <c r="H42" s="10" t="str">
        <f>IF(ISERROR(MATCH(A42,'SegEnds_Xtal_Prot#'!B:B, 0)), "NoXtal", "Xtal")</f>
        <v>NoXtal</v>
      </c>
      <c r="J42" s="3"/>
    </row>
    <row r="43" spans="1:10" x14ac:dyDescent="0.2">
      <c r="A43" s="3" t="s">
        <v>1179</v>
      </c>
      <c r="B43" s="1" t="s">
        <v>38</v>
      </c>
      <c r="C43" t="s">
        <v>38</v>
      </c>
      <c r="D43" s="28" t="str">
        <f>VLOOKUP(A43,Classification!$A:$D,2,FALSE)</f>
        <v>B2</v>
      </c>
      <c r="E43" s="49" t="str">
        <f>VLOOKUP(B43,Classification!$A:$D,2,FALSE)</f>
        <v>B1</v>
      </c>
      <c r="F43" s="15" t="str">
        <f>VLOOKUP(C43,Classification!$A:$D,2,FALSE)</f>
        <v>B1</v>
      </c>
      <c r="G43" s="15" t="b">
        <f t="shared" si="0"/>
        <v>1</v>
      </c>
      <c r="H43" s="10" t="str">
        <f>IF(ISERROR(MATCH(A43,'SegEnds_Xtal_Prot#'!B:B, 0)), "NoXtal", "Xtal")</f>
        <v>NoXtal</v>
      </c>
      <c r="J43" s="3"/>
    </row>
    <row r="44" spans="1:10" x14ac:dyDescent="0.2">
      <c r="A44" s="3" t="s">
        <v>418</v>
      </c>
      <c r="B44" s="1" t="s">
        <v>409</v>
      </c>
      <c r="C44" t="s">
        <v>38</v>
      </c>
      <c r="D44" s="28" t="str">
        <f>VLOOKUP(A44,Classification!$A:$D,2,FALSE)</f>
        <v>B2</v>
      </c>
      <c r="E44" s="49" t="str">
        <f>VLOOKUP(B44,Classification!$A:$D,2,FALSE)</f>
        <v>B1</v>
      </c>
      <c r="F44" s="15" t="str">
        <f>VLOOKUP(C44,Classification!$A:$D,2,FALSE)</f>
        <v>B1</v>
      </c>
      <c r="G44" s="15" t="b">
        <f t="shared" si="0"/>
        <v>1</v>
      </c>
      <c r="H44" s="10" t="str">
        <f>IF(ISERROR(MATCH(A44,'SegEnds_Xtal_Prot#'!B:B, 0)), "NoXtal", "Xtal")</f>
        <v>NoXtal</v>
      </c>
      <c r="J44" s="3"/>
    </row>
    <row r="45" spans="1:10" x14ac:dyDescent="0.2">
      <c r="A45" s="3" t="s">
        <v>419</v>
      </c>
      <c r="B45" s="1" t="s">
        <v>402</v>
      </c>
      <c r="C45" t="s">
        <v>38</v>
      </c>
      <c r="D45" s="28" t="str">
        <f>VLOOKUP(A45,Classification!$A:$D,2,FALSE)</f>
        <v>B2</v>
      </c>
      <c r="E45" s="49" t="str">
        <f>VLOOKUP(B45,Classification!$A:$D,2,FALSE)</f>
        <v>B1</v>
      </c>
      <c r="F45" s="15" t="str">
        <f>VLOOKUP(C45,Classification!$A:$D,2,FALSE)</f>
        <v>B1</v>
      </c>
      <c r="G45" s="15" t="b">
        <f t="shared" si="0"/>
        <v>1</v>
      </c>
      <c r="H45" s="10" t="str">
        <f>IF(ISERROR(MATCH(A45,'SegEnds_Xtal_Prot#'!B:B, 0)), "NoXtal", "Xtal")</f>
        <v>NoXtal</v>
      </c>
      <c r="J45" s="3"/>
    </row>
    <row r="46" spans="1:10" x14ac:dyDescent="0.2">
      <c r="A46" s="3" t="s">
        <v>1201</v>
      </c>
      <c r="B46" s="1" t="s">
        <v>38</v>
      </c>
      <c r="C46" t="s">
        <v>38</v>
      </c>
      <c r="D46" s="28" t="str">
        <f>VLOOKUP(A46,Classification!$A:$D,2,FALSE)</f>
        <v>B2</v>
      </c>
      <c r="E46" s="49" t="str">
        <f>VLOOKUP(B46,Classification!$A:$D,2,FALSE)</f>
        <v>B1</v>
      </c>
      <c r="F46" s="15" t="str">
        <f>VLOOKUP(C46,Classification!$A:$D,2,FALSE)</f>
        <v>B1</v>
      </c>
      <c r="G46" s="15" t="b">
        <f t="shared" si="0"/>
        <v>1</v>
      </c>
      <c r="H46" s="10" t="str">
        <f>IF(ISERROR(MATCH(A46,'SegEnds_Xtal_Prot#'!B:B, 0)), "NoXtal", "Xtal")</f>
        <v>NoXtal</v>
      </c>
      <c r="J46" s="3"/>
    </row>
    <row r="47" spans="1:10" x14ac:dyDescent="0.2">
      <c r="A47" s="3" t="s">
        <v>1200</v>
      </c>
      <c r="B47" s="1" t="s">
        <v>401</v>
      </c>
      <c r="C47" t="s">
        <v>38</v>
      </c>
      <c r="D47" s="28" t="str">
        <f>VLOOKUP(A47,Classification!$A:$D,2,FALSE)</f>
        <v>B2</v>
      </c>
      <c r="E47" s="49" t="str">
        <f>VLOOKUP(B47,Classification!$A:$D,2,FALSE)</f>
        <v>B1</v>
      </c>
      <c r="F47" s="15" t="str">
        <f>VLOOKUP(C47,Classification!$A:$D,2,FALSE)</f>
        <v>B1</v>
      </c>
      <c r="G47" s="15" t="b">
        <f t="shared" si="0"/>
        <v>1</v>
      </c>
      <c r="H47" s="10" t="str">
        <f>IF(ISERROR(MATCH(A47,'SegEnds_Xtal_Prot#'!B:B, 0)), "NoXtal", "Xtal")</f>
        <v>NoXtal</v>
      </c>
      <c r="J47" s="3"/>
    </row>
    <row r="48" spans="1:10" x14ac:dyDescent="0.2">
      <c r="A48" s="3" t="s">
        <v>1181</v>
      </c>
      <c r="B48" s="1" t="s">
        <v>38</v>
      </c>
      <c r="C48" t="s">
        <v>38</v>
      </c>
      <c r="D48" s="28" t="str">
        <f>VLOOKUP(A48,Classification!$A:$D,2,FALSE)</f>
        <v>B2</v>
      </c>
      <c r="E48" s="49" t="str">
        <f>VLOOKUP(B48,Classification!$A:$D,2,FALSE)</f>
        <v>B1</v>
      </c>
      <c r="F48" s="15" t="str">
        <f>VLOOKUP(C48,Classification!$A:$D,2,FALSE)</f>
        <v>B1</v>
      </c>
      <c r="G48" s="15" t="b">
        <f t="shared" si="0"/>
        <v>1</v>
      </c>
      <c r="H48" s="10" t="str">
        <f>IF(ISERROR(MATCH(A48,'SegEnds_Xtal_Prot#'!B:B, 0)), "NoXtal", "Xtal")</f>
        <v>NoXtal</v>
      </c>
      <c r="J48" s="3"/>
    </row>
    <row r="49" spans="1:10" x14ac:dyDescent="0.2">
      <c r="A49" s="3" t="s">
        <v>1199</v>
      </c>
      <c r="B49" s="1" t="s">
        <v>401</v>
      </c>
      <c r="C49" t="s">
        <v>38</v>
      </c>
      <c r="D49" s="28" t="str">
        <f>VLOOKUP(A49,Classification!$A:$D,2,FALSE)</f>
        <v>B2</v>
      </c>
      <c r="E49" s="49" t="str">
        <f>VLOOKUP(B49,Classification!$A:$D,2,FALSE)</f>
        <v>B1</v>
      </c>
      <c r="F49" s="15" t="str">
        <f>VLOOKUP(C49,Classification!$A:$D,2,FALSE)</f>
        <v>B1</v>
      </c>
      <c r="G49" s="15" t="b">
        <f t="shared" si="0"/>
        <v>1</v>
      </c>
      <c r="H49" s="10" t="str">
        <f>IF(ISERROR(MATCH(A49,'SegEnds_Xtal_Prot#'!B:B, 0)), "NoXtal", "Xtal")</f>
        <v>NoXtal</v>
      </c>
      <c r="J49" s="3"/>
    </row>
    <row r="50" spans="1:10" x14ac:dyDescent="0.2">
      <c r="A50" s="3" t="s">
        <v>1180</v>
      </c>
      <c r="B50" s="1" t="s">
        <v>38</v>
      </c>
      <c r="C50" t="s">
        <v>38</v>
      </c>
      <c r="D50" s="28" t="str">
        <f>VLOOKUP(A50,Classification!$A:$D,2,FALSE)</f>
        <v>B2</v>
      </c>
      <c r="E50" s="49" t="str">
        <f>VLOOKUP(B50,Classification!$A:$D,2,FALSE)</f>
        <v>B1</v>
      </c>
      <c r="F50" s="15" t="str">
        <f>VLOOKUP(C50,Classification!$A:$D,2,FALSE)</f>
        <v>B1</v>
      </c>
      <c r="G50" s="15" t="b">
        <f t="shared" si="0"/>
        <v>1</v>
      </c>
      <c r="H50" s="10" t="str">
        <f>IF(ISERROR(MATCH(A50,'SegEnds_Xtal_Prot#'!B:B, 0)), "NoXtal", "Xtal")</f>
        <v>NoXtal</v>
      </c>
      <c r="J50" s="3"/>
    </row>
    <row r="51" spans="1:10" x14ac:dyDescent="0.2">
      <c r="A51" s="3" t="s">
        <v>414</v>
      </c>
      <c r="B51" s="1" t="s">
        <v>38</v>
      </c>
      <c r="C51" t="s">
        <v>38</v>
      </c>
      <c r="D51" s="28" t="str">
        <f>VLOOKUP(A51,Classification!$A:$D,2,FALSE)</f>
        <v>B2</v>
      </c>
      <c r="E51" s="49" t="str">
        <f>VLOOKUP(B51,Classification!$A:$D,2,FALSE)</f>
        <v>B1</v>
      </c>
      <c r="F51" s="15" t="str">
        <f>VLOOKUP(C51,Classification!$A:$D,2,FALSE)</f>
        <v>B1</v>
      </c>
      <c r="G51" s="15" t="b">
        <f t="shared" si="0"/>
        <v>1</v>
      </c>
      <c r="H51" s="10" t="str">
        <f>IF(ISERROR(MATCH(A51,'SegEnds_Xtal_Prot#'!B:B, 0)), "NoXtal", "Xtal")</f>
        <v>NoXtal</v>
      </c>
      <c r="J51" s="3"/>
    </row>
    <row r="52" spans="1:10" x14ac:dyDescent="0.2">
      <c r="A52" s="3" t="s">
        <v>1189</v>
      </c>
      <c r="B52" s="1" t="s">
        <v>402</v>
      </c>
      <c r="C52" t="s">
        <v>38</v>
      </c>
      <c r="D52" s="28" t="str">
        <f>VLOOKUP(A52,Classification!$A:$D,2,FALSE)</f>
        <v>B2</v>
      </c>
      <c r="E52" s="49" t="str">
        <f>VLOOKUP(B52,Classification!$A:$D,2,FALSE)</f>
        <v>B1</v>
      </c>
      <c r="F52" s="15" t="str">
        <f>VLOOKUP(C52,Classification!$A:$D,2,FALSE)</f>
        <v>B1</v>
      </c>
      <c r="G52" s="15" t="b">
        <f t="shared" si="0"/>
        <v>1</v>
      </c>
      <c r="H52" s="10" t="str">
        <f>IF(ISERROR(MATCH(A52,'SegEnds_Xtal_Prot#'!B:B, 0)), "NoXtal", "Xtal")</f>
        <v>NoXtal</v>
      </c>
      <c r="J52" s="3"/>
    </row>
    <row r="53" spans="1:10" x14ac:dyDescent="0.2">
      <c r="A53" s="3" t="s">
        <v>481</v>
      </c>
      <c r="B53" s="1" t="s">
        <v>158</v>
      </c>
      <c r="C53" t="s">
        <v>1172</v>
      </c>
      <c r="D53" s="28" t="str">
        <f>VLOOKUP(A53,Classification!$A:$D,2,FALSE)</f>
        <v>O</v>
      </c>
      <c r="E53" s="49" t="str">
        <f>VLOOKUP(B53,Classification!$A:$D,2,FALSE)</f>
        <v>A</v>
      </c>
      <c r="F53" s="15" t="str">
        <f>VLOOKUP(C53,Classification!$A:$D,2,FALSE)</f>
        <v>A</v>
      </c>
      <c r="G53" s="15" t="b">
        <f t="shared" si="0"/>
        <v>1</v>
      </c>
      <c r="H53" s="10" t="str">
        <f>IF(ISERROR(MATCH(A53,'SegEnds_Xtal_Prot#'!B:B, 0)), "NoXtal", "Xtal")</f>
        <v>NoXtal</v>
      </c>
      <c r="J53" s="3"/>
    </row>
    <row r="54" spans="1:10" x14ac:dyDescent="0.2">
      <c r="A54" s="3" t="s">
        <v>484</v>
      </c>
      <c r="B54" s="1" t="s">
        <v>364</v>
      </c>
      <c r="C54" t="s">
        <v>1172</v>
      </c>
      <c r="D54" s="28" t="str">
        <f>VLOOKUP(A54,Classification!$A:$D,2,FALSE)</f>
        <v>O</v>
      </c>
      <c r="E54" s="49" t="str">
        <f>VLOOKUP(B54,Classification!$A:$D,2,FALSE)</f>
        <v>A</v>
      </c>
      <c r="F54" s="15" t="str">
        <f>VLOOKUP(C54,Classification!$A:$D,2,FALSE)</f>
        <v>A</v>
      </c>
      <c r="G54" s="15" t="b">
        <f t="shared" si="0"/>
        <v>1</v>
      </c>
      <c r="H54" s="10" t="str">
        <f>IF(ISERROR(MATCH(A54,'SegEnds_Xtal_Prot#'!B:B, 0)), "NoXtal", "Xtal")</f>
        <v>NoXtal</v>
      </c>
      <c r="J54" s="3"/>
    </row>
    <row r="55" spans="1:10" x14ac:dyDescent="0.2">
      <c r="A55" s="3" t="s">
        <v>417</v>
      </c>
      <c r="B55" s="1" t="s">
        <v>406</v>
      </c>
      <c r="C55" t="s">
        <v>32</v>
      </c>
      <c r="D55" s="28" t="str">
        <f>VLOOKUP(A55,Classification!$A:$D,2,FALSE)</f>
        <v>B2</v>
      </c>
      <c r="E55" s="49" t="str">
        <f>VLOOKUP(B55,Classification!$A:$D,2,FALSE)</f>
        <v>B1</v>
      </c>
      <c r="F55" s="15" t="str">
        <f>VLOOKUP(C55,Classification!$A:$D,2,FALSE)</f>
        <v>B1</v>
      </c>
      <c r="G55" s="15" t="b">
        <f t="shared" si="0"/>
        <v>1</v>
      </c>
      <c r="H55" s="10" t="str">
        <f>IF(ISERROR(MATCH(A55,'SegEnds_Xtal_Prot#'!B:B, 0)), "NoXtal", "Xtal")</f>
        <v>NoXtal</v>
      </c>
      <c r="J55" s="3"/>
    </row>
    <row r="56" spans="1:10" x14ac:dyDescent="0.2">
      <c r="A56" s="3" t="s">
        <v>420</v>
      </c>
      <c r="B56" s="1" t="s">
        <v>38</v>
      </c>
      <c r="C56" t="s">
        <v>32</v>
      </c>
      <c r="D56" s="28" t="str">
        <f>VLOOKUP(A56,Classification!$A:$D,2,FALSE)</f>
        <v>B2</v>
      </c>
      <c r="E56" s="49" t="str">
        <f>VLOOKUP(B56,Classification!$A:$D,2,FALSE)</f>
        <v>B1</v>
      </c>
      <c r="F56" s="15" t="str">
        <f>VLOOKUP(C56,Classification!$A:$D,2,FALSE)</f>
        <v>B1</v>
      </c>
      <c r="G56" s="15" t="b">
        <f t="shared" si="0"/>
        <v>1</v>
      </c>
      <c r="H56" s="10" t="str">
        <f>IF(ISERROR(MATCH(A56,'SegEnds_Xtal_Prot#'!B:B, 0)), "NoXtal", "Xtal")</f>
        <v>NoXtal</v>
      </c>
      <c r="J56" s="3"/>
    </row>
    <row r="57" spans="1:10" x14ac:dyDescent="0.2">
      <c r="A57" s="3" t="s">
        <v>486</v>
      </c>
      <c r="B57" s="1" t="s">
        <v>133</v>
      </c>
      <c r="C57" t="s">
        <v>40</v>
      </c>
      <c r="D57" s="28" t="str">
        <f>VLOOKUP(A57,Classification!$A:$D,2,FALSE)</f>
        <v>O</v>
      </c>
      <c r="E57" s="49" t="str">
        <f>VLOOKUP(B57,Classification!$A:$D,2,FALSE)</f>
        <v>A</v>
      </c>
      <c r="F57" s="15" t="str">
        <f>VLOOKUP(C57,Classification!$A:$D,2,FALSE)</f>
        <v>C</v>
      </c>
      <c r="G57" s="15" t="b">
        <f t="shared" si="0"/>
        <v>1</v>
      </c>
      <c r="H57" s="10" t="str">
        <f>IF(ISERROR(MATCH(A57,'SegEnds_Xtal_Prot#'!B:B, 0)), "NoXtal", "Xtal")</f>
        <v>NoXtal</v>
      </c>
      <c r="J57" s="3"/>
    </row>
    <row r="58" spans="1:10" x14ac:dyDescent="0.2">
      <c r="A58" s="3" t="s">
        <v>466</v>
      </c>
      <c r="B58" s="1" t="s">
        <v>1172</v>
      </c>
      <c r="C58" t="s">
        <v>918</v>
      </c>
      <c r="D58" s="28" t="str">
        <f>VLOOKUP(A58,Classification!$A:$D,2,FALSE)</f>
        <v>T</v>
      </c>
      <c r="E58" s="49" t="str">
        <f>VLOOKUP(B58,Classification!$A:$D,2,FALSE)</f>
        <v>A</v>
      </c>
      <c r="F58" s="15" t="str">
        <f>VLOOKUP(C58,Classification!$A:$D,2,FALSE)</f>
        <v>A</v>
      </c>
      <c r="G58" s="15" t="b">
        <f t="shared" si="0"/>
        <v>1</v>
      </c>
      <c r="H58" s="10" t="str">
        <f>IF(ISERROR(MATCH(A58,'SegEnds_Xtal_Prot#'!B:B, 0)), "NoXtal", "Xtal")</f>
        <v>NoXtal</v>
      </c>
      <c r="J58" s="3"/>
    </row>
    <row r="59" spans="1:10" x14ac:dyDescent="0.2">
      <c r="A59" s="3" t="s">
        <v>474</v>
      </c>
      <c r="B59" s="1" t="s">
        <v>1172</v>
      </c>
      <c r="C59" t="s">
        <v>339</v>
      </c>
      <c r="D59" s="28" t="str">
        <f>VLOOKUP(A59,Classification!$A:$D,2,FALSE)</f>
        <v>T</v>
      </c>
      <c r="E59" s="49" t="str">
        <f>VLOOKUP(B59,Classification!$A:$D,2,FALSE)</f>
        <v>A</v>
      </c>
      <c r="F59" s="15" t="str">
        <f>VLOOKUP(C59,Classification!$A:$D,2,FALSE)</f>
        <v>A</v>
      </c>
      <c r="G59" s="15" t="b">
        <f t="shared" si="0"/>
        <v>1</v>
      </c>
      <c r="H59" s="10" t="str">
        <f>IF(ISERROR(MATCH(A59,'SegEnds_Xtal_Prot#'!B:B, 0)), "NoXtal", "Xtal")</f>
        <v>NoXtal</v>
      </c>
      <c r="J59" s="3"/>
    </row>
    <row r="60" spans="1:10" x14ac:dyDescent="0.2">
      <c r="A60" s="3" t="s">
        <v>459</v>
      </c>
      <c r="B60" s="1" t="s">
        <v>360</v>
      </c>
      <c r="C60" t="s">
        <v>1176</v>
      </c>
      <c r="D60" s="28" t="str">
        <f>VLOOKUP(A60,Classification!$A:$D,2,FALSE)</f>
        <v>T</v>
      </c>
      <c r="E60" s="49" t="str">
        <f>VLOOKUP(B60,Classification!$A:$D,2,FALSE)</f>
        <v>A</v>
      </c>
      <c r="F60" s="15" t="str">
        <f>VLOOKUP(C60,Classification!$A:$D,2,FALSE)</f>
        <v>A</v>
      </c>
      <c r="G60" s="15" t="b">
        <f t="shared" si="0"/>
        <v>1</v>
      </c>
      <c r="H60" s="10" t="str">
        <f>IF(ISERROR(MATCH(A60,'SegEnds_Xtal_Prot#'!B:B, 0)), "NoXtal", "Xtal")</f>
        <v>NoXtal</v>
      </c>
      <c r="J60" s="3"/>
    </row>
    <row r="61" spans="1:10" x14ac:dyDescent="0.2">
      <c r="A61" s="3" t="s">
        <v>458</v>
      </c>
      <c r="B61" s="1" t="s">
        <v>133</v>
      </c>
      <c r="C61" t="s">
        <v>345</v>
      </c>
      <c r="D61" s="28" t="str">
        <f>VLOOKUP(A61,Classification!$A:$D,2,FALSE)</f>
        <v>T</v>
      </c>
      <c r="E61" s="49" t="str">
        <f>VLOOKUP(B61,Classification!$A:$D,2,FALSE)</f>
        <v>A</v>
      </c>
      <c r="F61" s="15" t="str">
        <f>VLOOKUP(C61,Classification!$A:$D,2,FALSE)</f>
        <v>A</v>
      </c>
      <c r="G61" s="15" t="b">
        <f t="shared" si="0"/>
        <v>1</v>
      </c>
      <c r="H61" s="10" t="str">
        <f>IF(ISERROR(MATCH(A61,'SegEnds_Xtal_Prot#'!B:B, 0)), "NoXtal", "Xtal")</f>
        <v>NoXtal</v>
      </c>
      <c r="J61" s="3"/>
    </row>
    <row r="62" spans="1:10" x14ac:dyDescent="0.2">
      <c r="A62" s="3" t="s">
        <v>482</v>
      </c>
      <c r="B62" s="1" t="s">
        <v>177</v>
      </c>
      <c r="C62" t="s">
        <v>352</v>
      </c>
      <c r="D62" s="28" t="str">
        <f>VLOOKUP(A62,Classification!$A:$D,2,FALSE)</f>
        <v>O</v>
      </c>
      <c r="E62" s="49" t="str">
        <f>VLOOKUP(B62,Classification!$A:$D,2,FALSE)</f>
        <v>A</v>
      </c>
      <c r="F62" s="15" t="str">
        <f>VLOOKUP(C62,Classification!$A:$D,2,FALSE)</f>
        <v>A</v>
      </c>
      <c r="G62" s="15" t="b">
        <f t="shared" si="0"/>
        <v>1</v>
      </c>
      <c r="H62" s="10" t="str">
        <f>IF(ISERROR(MATCH(A62,'SegEnds_Xtal_Prot#'!B:B, 0)), "NoXtal", "Xtal")</f>
        <v>NoXtal</v>
      </c>
      <c r="J62" s="3"/>
    </row>
    <row r="63" spans="1:10" x14ac:dyDescent="0.2">
      <c r="A63" s="3" t="s">
        <v>456</v>
      </c>
      <c r="B63" s="1" t="s">
        <v>191</v>
      </c>
      <c r="C63" t="s">
        <v>104</v>
      </c>
      <c r="D63" s="28" t="str">
        <f>VLOOKUP(A63,Classification!$A:$D,2,FALSE)</f>
        <v>T</v>
      </c>
      <c r="E63" s="49" t="str">
        <f>VLOOKUP(B63,Classification!$A:$D,2,FALSE)</f>
        <v>A</v>
      </c>
      <c r="F63" s="15" t="str">
        <f>VLOOKUP(C63,Classification!$A:$D,2,FALSE)</f>
        <v>A</v>
      </c>
      <c r="G63" s="15" t="b">
        <f t="shared" si="0"/>
        <v>1</v>
      </c>
      <c r="H63" s="10" t="str">
        <f>IF(ISERROR(MATCH(A63,'SegEnds_Xtal_Prot#'!B:B, 0)), "NoXtal", "Xtal")</f>
        <v>NoXtal</v>
      </c>
      <c r="J63" s="3"/>
    </row>
    <row r="64" spans="1:10" x14ac:dyDescent="0.2">
      <c r="A64" s="3" t="s">
        <v>477</v>
      </c>
      <c r="B64" s="1" t="s">
        <v>278</v>
      </c>
      <c r="C64" t="s">
        <v>924</v>
      </c>
      <c r="D64" s="28" t="str">
        <f>VLOOKUP(A64,Classification!$A:$D,2,FALSE)</f>
        <v>T</v>
      </c>
      <c r="E64" s="49" t="str">
        <f>VLOOKUP(B64,Classification!$A:$D,2,FALSE)</f>
        <v>A</v>
      </c>
      <c r="F64" s="15" t="str">
        <f>VLOOKUP(C64,Classification!$A:$D,2,FALSE)</f>
        <v>A</v>
      </c>
      <c r="G64" s="15" t="b">
        <f t="shared" si="0"/>
        <v>1</v>
      </c>
      <c r="H64" s="10" t="str">
        <f>IF(ISERROR(MATCH(A64,'SegEnds_Xtal_Prot#'!B:B, 0)), "NoXtal", "Xtal")</f>
        <v>NoXtal</v>
      </c>
      <c r="J64" s="3"/>
    </row>
    <row r="65" spans="1:10" x14ac:dyDescent="0.2">
      <c r="A65" s="3" t="s">
        <v>131</v>
      </c>
      <c r="B65" s="1" t="s">
        <v>34</v>
      </c>
      <c r="C65" t="s">
        <v>34</v>
      </c>
      <c r="D65" s="28" t="str">
        <f>VLOOKUP(A65,Classification!$A:$D,2,FALSE)</f>
        <v>A</v>
      </c>
      <c r="E65" s="49" t="str">
        <f>VLOOKUP(B65,Classification!$A:$D,2,FALSE)</f>
        <v>A</v>
      </c>
      <c r="F65" s="15" t="str">
        <f>VLOOKUP(C65,Classification!$A:$D,2,FALSE)</f>
        <v>A</v>
      </c>
      <c r="G65" s="15" t="b">
        <f t="shared" si="0"/>
        <v>1</v>
      </c>
      <c r="H65" s="10" t="str">
        <f>IF(ISERROR(MATCH(A65,'SegEnds_Xtal_Prot#'!B:B, 0)), "NoXtal", "Xtal")</f>
        <v>NoXtal</v>
      </c>
      <c r="J65" s="3"/>
    </row>
    <row r="66" spans="1:10" x14ac:dyDescent="0.2">
      <c r="A66" s="3" t="s">
        <v>135</v>
      </c>
      <c r="B66" s="1" t="s">
        <v>34</v>
      </c>
      <c r="C66" t="s">
        <v>34</v>
      </c>
      <c r="D66" s="28" t="str">
        <f>VLOOKUP(A66,Classification!$A:$D,2,FALSE)</f>
        <v>A</v>
      </c>
      <c r="E66" s="49" t="str">
        <f>VLOOKUP(B66,Classification!$A:$D,2,FALSE)</f>
        <v>A</v>
      </c>
      <c r="F66" s="15" t="str">
        <f>VLOOKUP(C66,Classification!$A:$D,2,FALSE)</f>
        <v>A</v>
      </c>
      <c r="G66" s="15" t="b">
        <f t="shared" si="0"/>
        <v>1</v>
      </c>
      <c r="H66" s="10" t="str">
        <f>IF(ISERROR(MATCH(A66,'SegEnds_Xtal_Prot#'!B:B, 0)), "NoXtal", "Xtal")</f>
        <v>NoXtal</v>
      </c>
      <c r="J66" s="3"/>
    </row>
    <row r="67" spans="1:10" x14ac:dyDescent="0.2">
      <c r="A67" s="3" t="s">
        <v>130</v>
      </c>
      <c r="B67" s="1" t="s">
        <v>34</v>
      </c>
      <c r="C67" t="s">
        <v>34</v>
      </c>
      <c r="D67" s="28" t="str">
        <f>VLOOKUP(A67,Classification!$A:$D,2,FALSE)</f>
        <v>A</v>
      </c>
      <c r="E67" s="49" t="str">
        <f>VLOOKUP(B67,Classification!$A:$D,2,FALSE)</f>
        <v>A</v>
      </c>
      <c r="F67" s="15" t="str">
        <f>VLOOKUP(C67,Classification!$A:$D,2,FALSE)</f>
        <v>A</v>
      </c>
      <c r="G67" s="15" t="b">
        <f t="shared" ref="G67:G130" si="1">OR(D67=F67,AND(D67="T",F67="A"),AND(D67="B2",F67="B1"),D67="O")</f>
        <v>1</v>
      </c>
      <c r="H67" s="10" t="str">
        <f>IF(ISERROR(MATCH(A67,'SegEnds_Xtal_Prot#'!B:B, 0)), "NoXtal", "Xtal")</f>
        <v>NoXtal</v>
      </c>
      <c r="J67" s="3"/>
    </row>
    <row r="68" spans="1:10" x14ac:dyDescent="0.2">
      <c r="A68" s="3" t="s">
        <v>129</v>
      </c>
      <c r="B68" s="1" t="s">
        <v>34</v>
      </c>
      <c r="C68" t="s">
        <v>34</v>
      </c>
      <c r="D68" s="28" t="str">
        <f>VLOOKUP(A68,Classification!$A:$D,2,FALSE)</f>
        <v>A</v>
      </c>
      <c r="E68" s="49" t="str">
        <f>VLOOKUP(B68,Classification!$A:$D,2,FALSE)</f>
        <v>A</v>
      </c>
      <c r="F68" s="15" t="str">
        <f>VLOOKUP(C68,Classification!$A:$D,2,FALSE)</f>
        <v>A</v>
      </c>
      <c r="G68" s="15" t="b">
        <f t="shared" si="1"/>
        <v>1</v>
      </c>
      <c r="H68" s="10" t="str">
        <f>IF(ISERROR(MATCH(A68,'SegEnds_Xtal_Prot#'!B:B, 0)), "NoXtal", "Xtal")</f>
        <v>NoXtal</v>
      </c>
      <c r="J68" s="3"/>
    </row>
    <row r="69" spans="1:10" x14ac:dyDescent="0.2">
      <c r="A69" s="3" t="s">
        <v>34</v>
      </c>
      <c r="B69" s="1" t="s">
        <v>34</v>
      </c>
      <c r="C69" t="s">
        <v>34</v>
      </c>
      <c r="D69" s="28" t="str">
        <f>VLOOKUP(A69,Classification!$A:$D,2,FALSE)</f>
        <v>A</v>
      </c>
      <c r="E69" s="49" t="str">
        <f>VLOOKUP(B69,Classification!$A:$D,2,FALSE)</f>
        <v>A</v>
      </c>
      <c r="F69" s="15" t="str">
        <f>VLOOKUP(C69,Classification!$A:$D,2,FALSE)</f>
        <v>A</v>
      </c>
      <c r="G69" s="15" t="b">
        <f t="shared" si="1"/>
        <v>1</v>
      </c>
      <c r="H69" s="10" t="str">
        <f>IF(ISERROR(MATCH(A69,'SegEnds_Xtal_Prot#'!B:B, 0)), "NoXtal", "Xtal")</f>
        <v>Xtal</v>
      </c>
      <c r="J69" s="3"/>
    </row>
    <row r="70" spans="1:10" x14ac:dyDescent="0.2">
      <c r="A70" s="3" t="s">
        <v>128</v>
      </c>
      <c r="B70" s="1" t="s">
        <v>34</v>
      </c>
      <c r="C70" t="s">
        <v>34</v>
      </c>
      <c r="D70" s="28" t="str">
        <f>VLOOKUP(A70,Classification!$A:$D,2,FALSE)</f>
        <v>A</v>
      </c>
      <c r="E70" s="49" t="str">
        <f>VLOOKUP(B70,Classification!$A:$D,2,FALSE)</f>
        <v>A</v>
      </c>
      <c r="F70" s="15" t="str">
        <f>VLOOKUP(C70,Classification!$A:$D,2,FALSE)</f>
        <v>A</v>
      </c>
      <c r="G70" s="15" t="b">
        <f t="shared" si="1"/>
        <v>1</v>
      </c>
      <c r="H70" s="10" t="str">
        <f>IF(ISERROR(MATCH(A70,'SegEnds_Xtal_Prot#'!B:B, 0)), "NoXtal", "Xtal")</f>
        <v>NoXtal</v>
      </c>
      <c r="J70" s="3"/>
    </row>
    <row r="71" spans="1:10" x14ac:dyDescent="0.2">
      <c r="A71" s="3" t="s">
        <v>155</v>
      </c>
      <c r="B71" s="1" t="s">
        <v>191</v>
      </c>
      <c r="C71" t="s">
        <v>34</v>
      </c>
      <c r="D71" s="28" t="str">
        <f>VLOOKUP(A71,Classification!$A:$D,2,FALSE)</f>
        <v>A</v>
      </c>
      <c r="E71" s="49" t="str">
        <f>VLOOKUP(B71,Classification!$A:$D,2,FALSE)</f>
        <v>A</v>
      </c>
      <c r="F71" s="15" t="str">
        <f>VLOOKUP(C71,Classification!$A:$D,2,FALSE)</f>
        <v>A</v>
      </c>
      <c r="G71" s="15" t="b">
        <f t="shared" si="1"/>
        <v>1</v>
      </c>
      <c r="H71" s="10" t="str">
        <f>IF(ISERROR(MATCH(A71,'SegEnds_Xtal_Prot#'!B:B, 0)), "NoXtal", "Xtal")</f>
        <v>NoXtal</v>
      </c>
      <c r="J71" s="3"/>
    </row>
    <row r="72" spans="1:10" x14ac:dyDescent="0.2">
      <c r="A72" s="3" t="s">
        <v>157</v>
      </c>
      <c r="B72" s="1" t="s">
        <v>191</v>
      </c>
      <c r="C72" t="s">
        <v>34</v>
      </c>
      <c r="D72" s="28" t="str">
        <f>VLOOKUP(A72,Classification!$A:$D,2,FALSE)</f>
        <v>A</v>
      </c>
      <c r="E72" s="49" t="str">
        <f>VLOOKUP(B72,Classification!$A:$D,2,FALSE)</f>
        <v>A</v>
      </c>
      <c r="F72" s="15" t="str">
        <f>VLOOKUP(C72,Classification!$A:$D,2,FALSE)</f>
        <v>A</v>
      </c>
      <c r="G72" s="15" t="b">
        <f t="shared" si="1"/>
        <v>1</v>
      </c>
      <c r="H72" s="10" t="str">
        <f>IF(ISERROR(MATCH(A72,'SegEnds_Xtal_Prot#'!B:B, 0)), "NoXtal", "Xtal")</f>
        <v>NoXtal</v>
      </c>
      <c r="J72" s="3"/>
    </row>
    <row r="73" spans="1:10" x14ac:dyDescent="0.2">
      <c r="A73" s="3" t="s">
        <v>392</v>
      </c>
      <c r="B73" s="1" t="s">
        <v>34</v>
      </c>
      <c r="C73" t="s">
        <v>34</v>
      </c>
      <c r="D73" s="28" t="str">
        <f>VLOOKUP(A73,Classification!$A:$D,2,FALSE)</f>
        <v>A</v>
      </c>
      <c r="E73" s="49" t="str">
        <f>VLOOKUP(B73,Classification!$A:$D,2,FALSE)</f>
        <v>A</v>
      </c>
      <c r="F73" s="15" t="str">
        <f>VLOOKUP(C73,Classification!$A:$D,2,FALSE)</f>
        <v>A</v>
      </c>
      <c r="G73" s="15" t="b">
        <f t="shared" si="1"/>
        <v>1</v>
      </c>
      <c r="H73" s="10" t="str">
        <f>IF(ISERROR(MATCH(A73,'SegEnds_Xtal_Prot#'!B:B, 0)), "NoXtal", "Xtal")</f>
        <v>NoXtal</v>
      </c>
      <c r="J73" s="3"/>
    </row>
    <row r="74" spans="1:10" x14ac:dyDescent="0.2">
      <c r="A74" s="3" t="s">
        <v>390</v>
      </c>
      <c r="B74" s="1" t="s">
        <v>34</v>
      </c>
      <c r="C74" t="s">
        <v>34</v>
      </c>
      <c r="D74" s="28" t="str">
        <f>VLOOKUP(A74,Classification!$A:$D,2,FALSE)</f>
        <v>A</v>
      </c>
      <c r="E74" s="49" t="str">
        <f>VLOOKUP(B74,Classification!$A:$D,2,FALSE)</f>
        <v>A</v>
      </c>
      <c r="F74" s="15" t="str">
        <f>VLOOKUP(C74,Classification!$A:$D,2,FALSE)</f>
        <v>A</v>
      </c>
      <c r="G74" s="15" t="b">
        <f t="shared" si="1"/>
        <v>1</v>
      </c>
      <c r="H74" s="10" t="str">
        <f>IF(ISERROR(MATCH(A74,'SegEnds_Xtal_Prot#'!B:B, 0)), "NoXtal", "Xtal")</f>
        <v>NoXtal</v>
      </c>
      <c r="J74" s="3"/>
    </row>
    <row r="75" spans="1:10" x14ac:dyDescent="0.2">
      <c r="A75" s="3" t="s">
        <v>389</v>
      </c>
      <c r="B75" s="1" t="s">
        <v>191</v>
      </c>
      <c r="C75" t="s">
        <v>34</v>
      </c>
      <c r="D75" s="28" t="str">
        <f>VLOOKUP(A75,Classification!$A:$D,2,FALSE)</f>
        <v>A</v>
      </c>
      <c r="E75" s="49" t="str">
        <f>VLOOKUP(B75,Classification!$A:$D,2,FALSE)</f>
        <v>A</v>
      </c>
      <c r="F75" s="15" t="str">
        <f>VLOOKUP(C75,Classification!$A:$D,2,FALSE)</f>
        <v>A</v>
      </c>
      <c r="G75" s="15" t="b">
        <f t="shared" si="1"/>
        <v>1</v>
      </c>
      <c r="H75" s="10" t="str">
        <f>IF(ISERROR(MATCH(A75,'SegEnds_Xtal_Prot#'!B:B, 0)), "NoXtal", "Xtal")</f>
        <v>NoXtal</v>
      </c>
      <c r="J75" s="3"/>
    </row>
    <row r="76" spans="1:10" x14ac:dyDescent="0.2">
      <c r="A76" s="3" t="s">
        <v>391</v>
      </c>
      <c r="B76" s="1" t="s">
        <v>34</v>
      </c>
      <c r="C76" t="s">
        <v>34</v>
      </c>
      <c r="D76" s="28" t="str">
        <f>VLOOKUP(A76,Classification!$A:$D,2,FALSE)</f>
        <v>A</v>
      </c>
      <c r="E76" s="49" t="str">
        <f>VLOOKUP(B76,Classification!$A:$D,2,FALSE)</f>
        <v>A</v>
      </c>
      <c r="F76" s="15" t="str">
        <f>VLOOKUP(C76,Classification!$A:$D,2,FALSE)</f>
        <v>A</v>
      </c>
      <c r="G76" s="15" t="b">
        <f t="shared" si="1"/>
        <v>1</v>
      </c>
      <c r="H76" s="10" t="str">
        <f>IF(ISERROR(MATCH(A76,'SegEnds_Xtal_Prot#'!B:B, 0)), "NoXtal", "Xtal")</f>
        <v>NoXtal</v>
      </c>
      <c r="J76" s="3"/>
    </row>
    <row r="77" spans="1:10" x14ac:dyDescent="0.2">
      <c r="A77" s="3" t="s">
        <v>220</v>
      </c>
      <c r="B77" s="1" t="s">
        <v>138</v>
      </c>
      <c r="C77" t="s">
        <v>34</v>
      </c>
      <c r="D77" s="28" t="str">
        <f>VLOOKUP(A77,Classification!$A:$D,2,FALSE)</f>
        <v>A</v>
      </c>
      <c r="E77" s="49" t="str">
        <f>VLOOKUP(B77,Classification!$A:$D,2,FALSE)</f>
        <v>A</v>
      </c>
      <c r="F77" s="15" t="str">
        <f>VLOOKUP(C77,Classification!$A:$D,2,FALSE)</f>
        <v>A</v>
      </c>
      <c r="G77" s="15" t="b">
        <f t="shared" si="1"/>
        <v>1</v>
      </c>
      <c r="H77" s="10" t="str">
        <f>IF(ISERROR(MATCH(A77,'SegEnds_Xtal_Prot#'!B:B, 0)), "NoXtal", "Xtal")</f>
        <v>NoXtal</v>
      </c>
      <c r="J77" s="3"/>
    </row>
    <row r="78" spans="1:10" x14ac:dyDescent="0.2">
      <c r="A78" s="3" t="s">
        <v>388</v>
      </c>
      <c r="B78" s="1" t="s">
        <v>191</v>
      </c>
      <c r="C78" t="s">
        <v>34</v>
      </c>
      <c r="D78" s="28" t="str">
        <f>VLOOKUP(A78,Classification!$A:$D,2,FALSE)</f>
        <v>A</v>
      </c>
      <c r="E78" s="49" t="str">
        <f>VLOOKUP(B78,Classification!$A:$D,2,FALSE)</f>
        <v>A</v>
      </c>
      <c r="F78" s="15" t="str">
        <f>VLOOKUP(C78,Classification!$A:$D,2,FALSE)</f>
        <v>A</v>
      </c>
      <c r="G78" s="15" t="b">
        <f t="shared" si="1"/>
        <v>1</v>
      </c>
      <c r="H78" s="10" t="str">
        <f>IF(ISERROR(MATCH(A78,'SegEnds_Xtal_Prot#'!B:B, 0)), "NoXtal", "Xtal")</f>
        <v>NoXtal</v>
      </c>
      <c r="J78" s="3"/>
    </row>
    <row r="79" spans="1:10" x14ac:dyDescent="0.2">
      <c r="A79" s="3" t="s">
        <v>393</v>
      </c>
      <c r="B79" s="1" t="s">
        <v>34</v>
      </c>
      <c r="C79" t="s">
        <v>34</v>
      </c>
      <c r="D79" s="28" t="str">
        <f>VLOOKUP(A79,Classification!$A:$D,2,FALSE)</f>
        <v>A</v>
      </c>
      <c r="E79" s="49" t="str">
        <f>VLOOKUP(B79,Classification!$A:$D,2,FALSE)</f>
        <v>A</v>
      </c>
      <c r="F79" s="15" t="str">
        <f>VLOOKUP(C79,Classification!$A:$D,2,FALSE)</f>
        <v>A</v>
      </c>
      <c r="G79" s="15" t="b">
        <f t="shared" si="1"/>
        <v>1</v>
      </c>
      <c r="H79" s="10" t="str">
        <f>IF(ISERROR(MATCH(A79,'SegEnds_Xtal_Prot#'!B:B, 0)), "NoXtal", "Xtal")</f>
        <v>NoXtal</v>
      </c>
      <c r="J79" s="3"/>
    </row>
    <row r="80" spans="1:10" x14ac:dyDescent="0.2">
      <c r="A80" s="3" t="s">
        <v>265</v>
      </c>
      <c r="B80" s="1" t="s">
        <v>133</v>
      </c>
      <c r="C80" t="s">
        <v>34</v>
      </c>
      <c r="D80" s="28" t="str">
        <f>VLOOKUP(A80,Classification!$A:$D,2,FALSE)</f>
        <v>A</v>
      </c>
      <c r="E80" s="49" t="str">
        <f>VLOOKUP(B80,Classification!$A:$D,2,FALSE)</f>
        <v>A</v>
      </c>
      <c r="F80" s="15" t="str">
        <f>VLOOKUP(C80,Classification!$A:$D,2,FALSE)</f>
        <v>A</v>
      </c>
      <c r="G80" s="15" t="b">
        <f t="shared" si="1"/>
        <v>1</v>
      </c>
      <c r="H80" s="10" t="str">
        <f>IF(ISERROR(MATCH(A80,'SegEnds_Xtal_Prot#'!B:B, 0)), "NoXtal", "Xtal")</f>
        <v>NoXtal</v>
      </c>
      <c r="J80" s="3"/>
    </row>
    <row r="81" spans="1:10" x14ac:dyDescent="0.2">
      <c r="A81" s="3" t="s">
        <v>137</v>
      </c>
      <c r="B81" s="1" t="s">
        <v>34</v>
      </c>
      <c r="C81" t="s">
        <v>34</v>
      </c>
      <c r="D81" s="28" t="str">
        <f>VLOOKUP(A81,Classification!$A:$D,2,FALSE)</f>
        <v>A</v>
      </c>
      <c r="E81" s="49" t="str">
        <f>VLOOKUP(B81,Classification!$A:$D,2,FALSE)</f>
        <v>A</v>
      </c>
      <c r="F81" s="15" t="str">
        <f>VLOOKUP(C81,Classification!$A:$D,2,FALSE)</f>
        <v>A</v>
      </c>
      <c r="G81" s="15" t="b">
        <f t="shared" si="1"/>
        <v>1</v>
      </c>
      <c r="H81" s="10" t="str">
        <f>IF(ISERROR(MATCH(A81,'SegEnds_Xtal_Prot#'!B:B, 0)), "NoXtal", "Xtal")</f>
        <v>NoXtal</v>
      </c>
      <c r="J81" s="3"/>
    </row>
    <row r="82" spans="1:10" x14ac:dyDescent="0.2">
      <c r="A82" s="3" t="s">
        <v>152</v>
      </c>
      <c r="B82" s="1" t="s">
        <v>191</v>
      </c>
      <c r="C82" t="s">
        <v>34</v>
      </c>
      <c r="D82" s="28" t="str">
        <f>VLOOKUP(A82,Classification!$A:$D,2,FALSE)</f>
        <v>A</v>
      </c>
      <c r="E82" s="49" t="str">
        <f>VLOOKUP(B82,Classification!$A:$D,2,FALSE)</f>
        <v>A</v>
      </c>
      <c r="F82" s="15" t="str">
        <f>VLOOKUP(C82,Classification!$A:$D,2,FALSE)</f>
        <v>A</v>
      </c>
      <c r="G82" s="15" t="b">
        <f t="shared" si="1"/>
        <v>1</v>
      </c>
      <c r="H82" s="10" t="str">
        <f>IF(ISERROR(MATCH(A82,'SegEnds_Xtal_Prot#'!B:B, 0)), "NoXtal", "Xtal")</f>
        <v>NoXtal</v>
      </c>
      <c r="J82" s="3"/>
    </row>
    <row r="83" spans="1:10" x14ac:dyDescent="0.2">
      <c r="A83" s="3" t="s">
        <v>227</v>
      </c>
      <c r="B83" s="1" t="s">
        <v>34</v>
      </c>
      <c r="C83" t="s">
        <v>34</v>
      </c>
      <c r="D83" s="28" t="str">
        <f>VLOOKUP(A83,Classification!$A:$D,2,FALSE)</f>
        <v>A</v>
      </c>
      <c r="E83" s="49" t="str">
        <f>VLOOKUP(B83,Classification!$A:$D,2,FALSE)</f>
        <v>A</v>
      </c>
      <c r="F83" s="15" t="str">
        <f>VLOOKUP(C83,Classification!$A:$D,2,FALSE)</f>
        <v>A</v>
      </c>
      <c r="G83" s="15" t="b">
        <f t="shared" si="1"/>
        <v>1</v>
      </c>
      <c r="H83" s="10" t="str">
        <f>IF(ISERROR(MATCH(A83,'SegEnds_Xtal_Prot#'!B:B, 0)), "NoXtal", "Xtal")</f>
        <v>NoXtal</v>
      </c>
      <c r="J83" s="3"/>
    </row>
    <row r="84" spans="1:10" x14ac:dyDescent="0.2">
      <c r="A84" s="3" t="s">
        <v>271</v>
      </c>
      <c r="B84" s="1" t="s">
        <v>133</v>
      </c>
      <c r="C84" t="s">
        <v>35</v>
      </c>
      <c r="D84" s="28" t="str">
        <f>VLOOKUP(A84,Classification!$A:$D,2,FALSE)</f>
        <v>A</v>
      </c>
      <c r="E84" s="49" t="str">
        <f>VLOOKUP(B84,Classification!$A:$D,2,FALSE)</f>
        <v>A</v>
      </c>
      <c r="F84" s="15" t="str">
        <f>VLOOKUP(C84,Classification!$A:$D,2,FALSE)</f>
        <v>A</v>
      </c>
      <c r="G84" s="15" t="b">
        <f t="shared" si="1"/>
        <v>1</v>
      </c>
      <c r="H84" s="10" t="str">
        <f>IF(ISERROR(MATCH(A84,'SegEnds_Xtal_Prot#'!B:B, 0)), "NoXtal", "Xtal")</f>
        <v>NoXtal</v>
      </c>
      <c r="J84" s="3"/>
    </row>
    <row r="85" spans="1:10" x14ac:dyDescent="0.2">
      <c r="A85" s="3" t="s">
        <v>230</v>
      </c>
      <c r="B85" s="1" t="s">
        <v>1175</v>
      </c>
      <c r="C85" t="s">
        <v>35</v>
      </c>
      <c r="D85" s="28" t="str">
        <f>VLOOKUP(A85,Classification!$A:$D,2,FALSE)</f>
        <v>A</v>
      </c>
      <c r="E85" s="49" t="str">
        <f>VLOOKUP(B85,Classification!$A:$D,2,FALSE)</f>
        <v>A</v>
      </c>
      <c r="F85" s="15" t="str">
        <f>VLOOKUP(C85,Classification!$A:$D,2,FALSE)</f>
        <v>A</v>
      </c>
      <c r="G85" s="15" t="b">
        <f t="shared" si="1"/>
        <v>1</v>
      </c>
      <c r="H85" s="10" t="str">
        <f>IF(ISERROR(MATCH(A85,'SegEnds_Xtal_Prot#'!B:B, 0)), "NoXtal", "Xtal")</f>
        <v>NoXtal</v>
      </c>
      <c r="J85" s="3"/>
    </row>
    <row r="86" spans="1:10" x14ac:dyDescent="0.2">
      <c r="A86" s="3" t="s">
        <v>248</v>
      </c>
      <c r="B86" s="1" t="s">
        <v>1175</v>
      </c>
      <c r="C86" t="s">
        <v>35</v>
      </c>
      <c r="D86" s="28" t="str">
        <f>VLOOKUP(A86,Classification!$A:$D,2,FALSE)</f>
        <v>A</v>
      </c>
      <c r="E86" s="49" t="str">
        <f>VLOOKUP(B86,Classification!$A:$D,2,FALSE)</f>
        <v>A</v>
      </c>
      <c r="F86" s="15" t="str">
        <f>VLOOKUP(C86,Classification!$A:$D,2,FALSE)</f>
        <v>A</v>
      </c>
      <c r="G86" s="15" t="b">
        <f t="shared" si="1"/>
        <v>1</v>
      </c>
      <c r="H86" s="10" t="str">
        <f>IF(ISERROR(MATCH(A86,'SegEnds_Xtal_Prot#'!B:B, 0)), "NoXtal", "Xtal")</f>
        <v>NoXtal</v>
      </c>
      <c r="J86" s="3"/>
    </row>
    <row r="87" spans="1:10" x14ac:dyDescent="0.2">
      <c r="A87" s="3" t="s">
        <v>133</v>
      </c>
      <c r="B87" s="1" t="s">
        <v>133</v>
      </c>
      <c r="C87" t="s">
        <v>35</v>
      </c>
      <c r="D87" s="28" t="str">
        <f>VLOOKUP(A87,Classification!$A:$D,2,FALSE)</f>
        <v>A</v>
      </c>
      <c r="E87" s="49" t="str">
        <f>VLOOKUP(B87,Classification!$A:$D,2,FALSE)</f>
        <v>A</v>
      </c>
      <c r="F87" s="15" t="str">
        <f>VLOOKUP(C87,Classification!$A:$D,2,FALSE)</f>
        <v>A</v>
      </c>
      <c r="G87" s="15" t="b">
        <f t="shared" si="1"/>
        <v>1</v>
      </c>
      <c r="H87" s="10" t="str">
        <f>IF(ISERROR(MATCH(A87,'SegEnds_Xtal_Prot#'!B:B, 0)), "NoXtal", "Xtal")</f>
        <v>Xtal</v>
      </c>
      <c r="J87" s="3"/>
    </row>
    <row r="88" spans="1:10" x14ac:dyDescent="0.2">
      <c r="A88" s="3" t="s">
        <v>132</v>
      </c>
      <c r="B88" s="1" t="s">
        <v>133</v>
      </c>
      <c r="C88" t="s">
        <v>35</v>
      </c>
      <c r="D88" s="28" t="str">
        <f>VLOOKUP(A88,Classification!$A:$D,2,FALSE)</f>
        <v>A</v>
      </c>
      <c r="E88" s="49" t="str">
        <f>VLOOKUP(B88,Classification!$A:$D,2,FALSE)</f>
        <v>A</v>
      </c>
      <c r="F88" s="15" t="str">
        <f>VLOOKUP(C88,Classification!$A:$D,2,FALSE)</f>
        <v>A</v>
      </c>
      <c r="G88" s="15" t="b">
        <f t="shared" si="1"/>
        <v>1</v>
      </c>
      <c r="H88" s="10" t="str">
        <f>IF(ISERROR(MATCH(A88,'SegEnds_Xtal_Prot#'!B:B, 0)), "NoXtal", "Xtal")</f>
        <v>NoXtal</v>
      </c>
      <c r="J88" s="3"/>
    </row>
    <row r="89" spans="1:10" x14ac:dyDescent="0.2">
      <c r="A89" s="3" t="s">
        <v>35</v>
      </c>
      <c r="B89" s="1" t="s">
        <v>35</v>
      </c>
      <c r="C89" t="s">
        <v>35</v>
      </c>
      <c r="D89" s="28" t="str">
        <f>VLOOKUP(A89,Classification!$A:$D,2,FALSE)</f>
        <v>A</v>
      </c>
      <c r="E89" s="49" t="str">
        <f>VLOOKUP(B89,Classification!$A:$D,2,FALSE)</f>
        <v>A</v>
      </c>
      <c r="F89" s="15" t="str">
        <f>VLOOKUP(C89,Classification!$A:$D,2,FALSE)</f>
        <v>A</v>
      </c>
      <c r="G89" s="15" t="b">
        <f t="shared" si="1"/>
        <v>1</v>
      </c>
      <c r="H89" s="10" t="str">
        <f>IF(ISERROR(MATCH(A89,'SegEnds_Xtal_Prot#'!B:B, 0)), "NoXtal", "Xtal")</f>
        <v>Xtal</v>
      </c>
      <c r="J89" s="3"/>
    </row>
    <row r="90" spans="1:10" x14ac:dyDescent="0.2">
      <c r="A90" s="3" t="s">
        <v>298</v>
      </c>
      <c r="B90" s="1" t="s">
        <v>103</v>
      </c>
      <c r="C90" t="s">
        <v>139</v>
      </c>
      <c r="D90" s="28" t="str">
        <f>VLOOKUP(A90,Classification!$A:$D,2,FALSE)</f>
        <v>A</v>
      </c>
      <c r="E90" s="49" t="str">
        <f>VLOOKUP(B90,Classification!$A:$D,2,FALSE)</f>
        <v>A</v>
      </c>
      <c r="F90" s="15" t="str">
        <f>VLOOKUP(C90,Classification!$A:$D,2,FALSE)</f>
        <v>A</v>
      </c>
      <c r="G90" s="15" t="b">
        <f t="shared" si="1"/>
        <v>1</v>
      </c>
      <c r="H90" s="10" t="str">
        <f>IF(ISERROR(MATCH(A90,'SegEnds_Xtal_Prot#'!B:B, 0)), "NoXtal", "Xtal")</f>
        <v>NoXtal</v>
      </c>
      <c r="J90" s="3"/>
    </row>
    <row r="91" spans="1:10" x14ac:dyDescent="0.2">
      <c r="A91" s="3" t="s">
        <v>141</v>
      </c>
      <c r="B91" s="1" t="s">
        <v>138</v>
      </c>
      <c r="C91" t="s">
        <v>138</v>
      </c>
      <c r="D91" s="28" t="str">
        <f>VLOOKUP(A91,Classification!$A:$D,2,FALSE)</f>
        <v>A</v>
      </c>
      <c r="E91" s="49" t="str">
        <f>VLOOKUP(B91,Classification!$A:$D,2,FALSE)</f>
        <v>A</v>
      </c>
      <c r="F91" s="15" t="str">
        <f>VLOOKUP(C91,Classification!$A:$D,2,FALSE)</f>
        <v>A</v>
      </c>
      <c r="G91" s="15" t="b">
        <f t="shared" si="1"/>
        <v>1</v>
      </c>
      <c r="H91" s="10" t="str">
        <f>IF(ISERROR(MATCH(A91,'SegEnds_Xtal_Prot#'!B:B, 0)), "NoXtal", "Xtal")</f>
        <v>NoXtal</v>
      </c>
      <c r="J91" s="3"/>
    </row>
    <row r="92" spans="1:10" x14ac:dyDescent="0.2">
      <c r="A92" s="3" t="s">
        <v>138</v>
      </c>
      <c r="B92" s="1" t="s">
        <v>138</v>
      </c>
      <c r="C92" t="s">
        <v>138</v>
      </c>
      <c r="D92" s="28" t="str">
        <f>VLOOKUP(A92,Classification!$A:$D,2,FALSE)</f>
        <v>A</v>
      </c>
      <c r="E92" s="49" t="str">
        <f>VLOOKUP(B92,Classification!$A:$D,2,FALSE)</f>
        <v>A</v>
      </c>
      <c r="F92" s="15" t="str">
        <f>VLOOKUP(C92,Classification!$A:$D,2,FALSE)</f>
        <v>A</v>
      </c>
      <c r="G92" s="15" t="b">
        <f t="shared" si="1"/>
        <v>1</v>
      </c>
      <c r="H92" s="10" t="str">
        <f>IF(ISERROR(MATCH(A92,'SegEnds_Xtal_Prot#'!B:B, 0)), "NoXtal", "Xtal")</f>
        <v>Xtal</v>
      </c>
      <c r="J92" s="3"/>
    </row>
    <row r="93" spans="1:10" x14ac:dyDescent="0.2">
      <c r="A93" s="3" t="s">
        <v>140</v>
      </c>
      <c r="B93" s="1" t="s">
        <v>139</v>
      </c>
      <c r="C93" t="s">
        <v>139</v>
      </c>
      <c r="D93" s="28" t="str">
        <f>VLOOKUP(A93,Classification!$A:$D,2,FALSE)</f>
        <v>A</v>
      </c>
      <c r="E93" s="49" t="str">
        <f>VLOOKUP(B93,Classification!$A:$D,2,FALSE)</f>
        <v>A</v>
      </c>
      <c r="F93" s="15" t="str">
        <f>VLOOKUP(C93,Classification!$A:$D,2,FALSE)</f>
        <v>A</v>
      </c>
      <c r="G93" s="15" t="b">
        <f t="shared" si="1"/>
        <v>1</v>
      </c>
      <c r="H93" s="10" t="str">
        <f>IF(ISERROR(MATCH(A93,'SegEnds_Xtal_Prot#'!B:B, 0)), "NoXtal", "Xtal")</f>
        <v>NoXtal</v>
      </c>
      <c r="J93" s="3"/>
    </row>
    <row r="94" spans="1:10" x14ac:dyDescent="0.2">
      <c r="A94" s="3" t="s">
        <v>361</v>
      </c>
      <c r="B94" s="1" t="s">
        <v>363</v>
      </c>
      <c r="C94" t="s">
        <v>139</v>
      </c>
      <c r="D94" s="28" t="str">
        <f>VLOOKUP(A94,Classification!$A:$D,2,FALSE)</f>
        <v>A</v>
      </c>
      <c r="E94" s="49" t="str">
        <f>VLOOKUP(B94,Classification!$A:$D,2,FALSE)</f>
        <v>A</v>
      </c>
      <c r="F94" s="15" t="str">
        <f>VLOOKUP(C94,Classification!$A:$D,2,FALSE)</f>
        <v>A</v>
      </c>
      <c r="G94" s="15" t="b">
        <f t="shared" si="1"/>
        <v>1</v>
      </c>
      <c r="H94" s="10" t="str">
        <f>IF(ISERROR(MATCH(A94,'SegEnds_Xtal_Prot#'!B:B, 0)), "NoXtal", "Xtal")</f>
        <v>NoXtal</v>
      </c>
      <c r="J94" s="3"/>
    </row>
    <row r="95" spans="1:10" x14ac:dyDescent="0.2">
      <c r="A95" s="3" t="s">
        <v>204</v>
      </c>
      <c r="B95" s="1" t="s">
        <v>139</v>
      </c>
      <c r="C95" t="s">
        <v>139</v>
      </c>
      <c r="D95" s="28" t="str">
        <f>VLOOKUP(A95,Classification!$A:$D,2,FALSE)</f>
        <v>A</v>
      </c>
      <c r="E95" s="49" t="str">
        <f>VLOOKUP(B95,Classification!$A:$D,2,FALSE)</f>
        <v>A</v>
      </c>
      <c r="F95" s="15" t="str">
        <f>VLOOKUP(C95,Classification!$A:$D,2,FALSE)</f>
        <v>A</v>
      </c>
      <c r="G95" s="15" t="b">
        <f t="shared" si="1"/>
        <v>1</v>
      </c>
      <c r="H95" s="10" t="str">
        <f>IF(ISERROR(MATCH(A95,'SegEnds_Xtal_Prot#'!B:B, 0)), "NoXtal", "Xtal")</f>
        <v>NoXtal</v>
      </c>
      <c r="J95" s="3"/>
    </row>
    <row r="96" spans="1:10" x14ac:dyDescent="0.2">
      <c r="A96" s="3" t="s">
        <v>291</v>
      </c>
      <c r="B96" s="1" t="s">
        <v>278</v>
      </c>
      <c r="C96" t="s">
        <v>139</v>
      </c>
      <c r="D96" s="28" t="str">
        <f>VLOOKUP(A96,Classification!$A:$D,2,FALSE)</f>
        <v>A</v>
      </c>
      <c r="E96" s="49" t="str">
        <f>VLOOKUP(B96,Classification!$A:$D,2,FALSE)</f>
        <v>A</v>
      </c>
      <c r="F96" s="15" t="str">
        <f>VLOOKUP(C96,Classification!$A:$D,2,FALSE)</f>
        <v>A</v>
      </c>
      <c r="G96" s="15" t="b">
        <f t="shared" si="1"/>
        <v>1</v>
      </c>
      <c r="H96" s="10" t="str">
        <f>IF(ISERROR(MATCH(A96,'SegEnds_Xtal_Prot#'!B:B, 0)), "NoXtal", "Xtal")</f>
        <v>NoXtal</v>
      </c>
      <c r="J96" s="3"/>
    </row>
    <row r="97" spans="1:10" x14ac:dyDescent="0.2">
      <c r="A97" s="3" t="s">
        <v>395</v>
      </c>
      <c r="B97" s="1" t="s">
        <v>139</v>
      </c>
      <c r="C97" t="s">
        <v>139</v>
      </c>
      <c r="D97" s="28" t="str">
        <f>VLOOKUP(A97,Classification!$A:$D,2,FALSE)</f>
        <v>A</v>
      </c>
      <c r="E97" s="49" t="str">
        <f>VLOOKUP(B97,Classification!$A:$D,2,FALSE)</f>
        <v>A</v>
      </c>
      <c r="F97" s="15" t="str">
        <f>VLOOKUP(C97,Classification!$A:$D,2,FALSE)</f>
        <v>A</v>
      </c>
      <c r="G97" s="15" t="b">
        <f t="shared" si="1"/>
        <v>1</v>
      </c>
      <c r="H97" s="10" t="str">
        <f>IF(ISERROR(MATCH(A97,'SegEnds_Xtal_Prot#'!B:B, 0)), "NoXtal", "Xtal")</f>
        <v>NoXtal</v>
      </c>
      <c r="J97" s="3"/>
    </row>
    <row r="98" spans="1:10" x14ac:dyDescent="0.2">
      <c r="A98" s="3" t="s">
        <v>284</v>
      </c>
      <c r="B98" s="1" t="s">
        <v>139</v>
      </c>
      <c r="C98" t="s">
        <v>139</v>
      </c>
      <c r="D98" s="28" t="str">
        <f>VLOOKUP(A98,Classification!$A:$D,2,FALSE)</f>
        <v>A</v>
      </c>
      <c r="E98" s="49" t="str">
        <f>VLOOKUP(B98,Classification!$A:$D,2,FALSE)</f>
        <v>A</v>
      </c>
      <c r="F98" s="15" t="str">
        <f>VLOOKUP(C98,Classification!$A:$D,2,FALSE)</f>
        <v>A</v>
      </c>
      <c r="G98" s="15" t="b">
        <f t="shared" si="1"/>
        <v>1</v>
      </c>
      <c r="H98" s="10" t="str">
        <f>IF(ISERROR(MATCH(A98,'SegEnds_Xtal_Prot#'!B:B, 0)), "NoXtal", "Xtal")</f>
        <v>NoXtal</v>
      </c>
      <c r="J98" s="3"/>
    </row>
    <row r="99" spans="1:10" x14ac:dyDescent="0.2">
      <c r="A99" s="3" t="s">
        <v>139</v>
      </c>
      <c r="B99" s="1" t="s">
        <v>139</v>
      </c>
      <c r="C99" t="s">
        <v>139</v>
      </c>
      <c r="D99" s="28" t="str">
        <f>VLOOKUP(A99,Classification!$A:$D,2,FALSE)</f>
        <v>A</v>
      </c>
      <c r="E99" s="49" t="str">
        <f>VLOOKUP(B99,Classification!$A:$D,2,FALSE)</f>
        <v>A</v>
      </c>
      <c r="F99" s="15" t="str">
        <f>VLOOKUP(C99,Classification!$A:$D,2,FALSE)</f>
        <v>A</v>
      </c>
      <c r="G99" s="15" t="b">
        <f t="shared" si="1"/>
        <v>1</v>
      </c>
      <c r="H99" s="10" t="str">
        <f>IF(ISERROR(MATCH(A99,'SegEnds_Xtal_Prot#'!B:B, 0)), "NoXtal", "Xtal")</f>
        <v>Xtal</v>
      </c>
      <c r="J99" s="3"/>
    </row>
    <row r="100" spans="1:10" x14ac:dyDescent="0.2">
      <c r="A100" s="3" t="s">
        <v>280</v>
      </c>
      <c r="B100" s="1" t="s">
        <v>278</v>
      </c>
      <c r="C100" t="s">
        <v>146</v>
      </c>
      <c r="D100" s="28" t="str">
        <f>VLOOKUP(A100,Classification!$A:$D,2,FALSE)</f>
        <v>A</v>
      </c>
      <c r="E100" s="49" t="str">
        <f>VLOOKUP(B100,Classification!$A:$D,2,FALSE)</f>
        <v>A</v>
      </c>
      <c r="F100" s="15" t="str">
        <f>VLOOKUP(C100,Classification!$A:$D,2,FALSE)</f>
        <v>A</v>
      </c>
      <c r="G100" s="15" t="b">
        <f t="shared" si="1"/>
        <v>1</v>
      </c>
      <c r="H100" s="10" t="str">
        <f>IF(ISERROR(MATCH(A100,'SegEnds_Xtal_Prot#'!B:B, 0)), "NoXtal", "Xtal")</f>
        <v>NoXtal</v>
      </c>
      <c r="J100" s="3"/>
    </row>
    <row r="101" spans="1:10" x14ac:dyDescent="0.2">
      <c r="A101" s="3" t="s">
        <v>146</v>
      </c>
      <c r="B101" s="1" t="s">
        <v>146</v>
      </c>
      <c r="C101" t="s">
        <v>146</v>
      </c>
      <c r="D101" s="28" t="str">
        <f>VLOOKUP(A101,Classification!$A:$D,2,FALSE)</f>
        <v>A</v>
      </c>
      <c r="E101" s="49" t="str">
        <f>VLOOKUP(B101,Classification!$A:$D,2,FALSE)</f>
        <v>A</v>
      </c>
      <c r="F101" s="15" t="str">
        <f>VLOOKUP(C101,Classification!$A:$D,2,FALSE)</f>
        <v>A</v>
      </c>
      <c r="G101" s="15" t="b">
        <f t="shared" si="1"/>
        <v>1</v>
      </c>
      <c r="H101" s="10" t="str">
        <f>IF(ISERROR(MATCH(A101,'SegEnds_Xtal_Prot#'!B:B, 0)), "NoXtal", "Xtal")</f>
        <v>Xtal</v>
      </c>
      <c r="J101" s="3"/>
    </row>
    <row r="102" spans="1:10" x14ac:dyDescent="0.2">
      <c r="A102" s="3" t="s">
        <v>235</v>
      </c>
      <c r="B102" s="1" t="s">
        <v>103</v>
      </c>
      <c r="C102" t="s">
        <v>146</v>
      </c>
      <c r="D102" s="28" t="str">
        <f>VLOOKUP(A102,Classification!$A:$D,2,FALSE)</f>
        <v>A</v>
      </c>
      <c r="E102" s="49" t="str">
        <f>VLOOKUP(B102,Classification!$A:$D,2,FALSE)</f>
        <v>A</v>
      </c>
      <c r="F102" s="15" t="str">
        <f>VLOOKUP(C102,Classification!$A:$D,2,FALSE)</f>
        <v>A</v>
      </c>
      <c r="G102" s="15" t="b">
        <f t="shared" si="1"/>
        <v>1</v>
      </c>
      <c r="H102" s="10" t="str">
        <f>IF(ISERROR(MATCH(A102,'SegEnds_Xtal_Prot#'!B:B, 0)), "NoXtal", "Xtal")</f>
        <v>NoXtal</v>
      </c>
      <c r="J102" s="3"/>
    </row>
    <row r="103" spans="1:10" x14ac:dyDescent="0.2">
      <c r="A103" s="3" t="s">
        <v>147</v>
      </c>
      <c r="B103" s="1" t="s">
        <v>147</v>
      </c>
      <c r="C103" t="s">
        <v>147</v>
      </c>
      <c r="D103" s="28" t="str">
        <f>VLOOKUP(A103,Classification!$A:$D,2,FALSE)</f>
        <v>A</v>
      </c>
      <c r="E103" s="49" t="str">
        <f>VLOOKUP(B103,Classification!$A:$D,2,FALSE)</f>
        <v>A</v>
      </c>
      <c r="F103" s="15" t="str">
        <f>VLOOKUP(C103,Classification!$A:$D,2,FALSE)</f>
        <v>A</v>
      </c>
      <c r="G103" s="15" t="b">
        <f t="shared" si="1"/>
        <v>1</v>
      </c>
      <c r="H103" s="10" t="str">
        <f>IF(ISERROR(MATCH(A103,'SegEnds_Xtal_Prot#'!B:B, 0)), "NoXtal", "Xtal")</f>
        <v>Xtal</v>
      </c>
      <c r="J103" s="3"/>
    </row>
    <row r="104" spans="1:10" x14ac:dyDescent="0.2">
      <c r="A104" s="3" t="s">
        <v>281</v>
      </c>
      <c r="B104" s="1" t="s">
        <v>910</v>
      </c>
      <c r="C104" t="s">
        <v>910</v>
      </c>
      <c r="D104" s="28" t="str">
        <f>VLOOKUP(A104,Classification!$A:$D,2,FALSE)</f>
        <v>A</v>
      </c>
      <c r="E104" s="49" t="str">
        <f>VLOOKUP(B104,Classification!$A:$D,2,FALSE)</f>
        <v>A</v>
      </c>
      <c r="F104" s="15" t="str">
        <f>VLOOKUP(C104,Classification!$A:$D,2,FALSE)</f>
        <v>A</v>
      </c>
      <c r="G104" s="15" t="b">
        <f t="shared" si="1"/>
        <v>1</v>
      </c>
      <c r="H104" s="10" t="str">
        <f>IF(ISERROR(MATCH(A104,'SegEnds_Xtal_Prot#'!B:B, 0)), "NoXtal", "Xtal")</f>
        <v>NoXtal</v>
      </c>
      <c r="J104" s="3"/>
    </row>
    <row r="105" spans="1:10" x14ac:dyDescent="0.2">
      <c r="A105" s="3" t="s">
        <v>150</v>
      </c>
      <c r="B105" s="1" t="s">
        <v>910</v>
      </c>
      <c r="C105" t="s">
        <v>910</v>
      </c>
      <c r="D105" s="28" t="str">
        <f>VLOOKUP(A105,Classification!$A:$D,2,FALSE)</f>
        <v>A</v>
      </c>
      <c r="E105" s="49" t="str">
        <f>VLOOKUP(B105,Classification!$A:$D,2,FALSE)</f>
        <v>A</v>
      </c>
      <c r="F105" s="15" t="str">
        <f>VLOOKUP(C105,Classification!$A:$D,2,FALSE)</f>
        <v>A</v>
      </c>
      <c r="G105" s="15" t="b">
        <f t="shared" si="1"/>
        <v>1</v>
      </c>
      <c r="H105" s="10" t="str">
        <f>IF(ISERROR(MATCH(A105,'SegEnds_Xtal_Prot#'!B:B, 0)), "NoXtal", "Xtal")</f>
        <v>NoXtal</v>
      </c>
      <c r="J105" s="3"/>
    </row>
    <row r="106" spans="1:10" x14ac:dyDescent="0.2">
      <c r="A106" s="3" t="s">
        <v>910</v>
      </c>
      <c r="B106" s="1" t="s">
        <v>910</v>
      </c>
      <c r="C106" t="s">
        <v>910</v>
      </c>
      <c r="D106" s="28" t="str">
        <f>VLOOKUP(A106,Classification!$A:$D,2,FALSE)</f>
        <v>A</v>
      </c>
      <c r="E106" s="49" t="str">
        <f>VLOOKUP(B106,Classification!$A:$D,2,FALSE)</f>
        <v>A</v>
      </c>
      <c r="F106" s="15" t="str">
        <f>VLOOKUP(C106,Classification!$A:$D,2,FALSE)</f>
        <v>A</v>
      </c>
      <c r="G106" s="15" t="b">
        <f t="shared" si="1"/>
        <v>1</v>
      </c>
      <c r="H106" s="10" t="str">
        <f>IF(ISERROR(MATCH(A106,'SegEnds_Xtal_Prot#'!B:B, 0)), "NoXtal", "Xtal")</f>
        <v>Xtal</v>
      </c>
      <c r="J106" s="3"/>
    </row>
    <row r="107" spans="1:10" x14ac:dyDescent="0.2">
      <c r="A107" s="3" t="s">
        <v>148</v>
      </c>
      <c r="B107" s="1" t="s">
        <v>910</v>
      </c>
      <c r="C107" t="s">
        <v>910</v>
      </c>
      <c r="D107" s="28" t="str">
        <f>VLOOKUP(A107,Classification!$A:$D,2,FALSE)</f>
        <v>A</v>
      </c>
      <c r="E107" s="49" t="str">
        <f>VLOOKUP(B107,Classification!$A:$D,2,FALSE)</f>
        <v>A</v>
      </c>
      <c r="F107" s="15" t="str">
        <f>VLOOKUP(C107,Classification!$A:$D,2,FALSE)</f>
        <v>A</v>
      </c>
      <c r="G107" s="15" t="b">
        <f t="shared" si="1"/>
        <v>1</v>
      </c>
      <c r="H107" s="10" t="str">
        <f>IF(ISERROR(MATCH(A107,'SegEnds_Xtal_Prot#'!B:B, 0)), "NoXtal", "Xtal")</f>
        <v>NoXtal</v>
      </c>
      <c r="J107" s="3"/>
    </row>
    <row r="108" spans="1:10" x14ac:dyDescent="0.2">
      <c r="A108" s="3" t="s">
        <v>149</v>
      </c>
      <c r="B108" s="1" t="s">
        <v>149</v>
      </c>
      <c r="C108" t="s">
        <v>149</v>
      </c>
      <c r="D108" s="28" t="str">
        <f>VLOOKUP(A108,Classification!$A:$D,2,FALSE)</f>
        <v>A</v>
      </c>
      <c r="E108" s="49" t="str">
        <f>VLOOKUP(B108,Classification!$A:$D,2,FALSE)</f>
        <v>A</v>
      </c>
      <c r="F108" s="15" t="str">
        <f>VLOOKUP(C108,Classification!$A:$D,2,FALSE)</f>
        <v>A</v>
      </c>
      <c r="G108" s="15" t="b">
        <f t="shared" si="1"/>
        <v>1</v>
      </c>
      <c r="H108" s="10" t="str">
        <f>IF(ISERROR(MATCH(A108,'SegEnds_Xtal_Prot#'!B:B, 0)), "NoXtal", "Xtal")</f>
        <v>Xtal</v>
      </c>
      <c r="J108" s="3"/>
    </row>
    <row r="109" spans="1:10" x14ac:dyDescent="0.2">
      <c r="A109" s="3" t="s">
        <v>228</v>
      </c>
      <c r="B109" s="1" t="s">
        <v>325</v>
      </c>
      <c r="C109" t="s">
        <v>149</v>
      </c>
      <c r="D109" s="28" t="str">
        <f>VLOOKUP(A109,Classification!$A:$D,2,FALSE)</f>
        <v>A</v>
      </c>
      <c r="E109" s="49" t="str">
        <f>VLOOKUP(B109,Classification!$A:$D,2,FALSE)</f>
        <v>A</v>
      </c>
      <c r="F109" s="15" t="str">
        <f>VLOOKUP(C109,Classification!$A:$D,2,FALSE)</f>
        <v>A</v>
      </c>
      <c r="G109" s="15" t="b">
        <f t="shared" si="1"/>
        <v>1</v>
      </c>
      <c r="H109" s="10" t="str">
        <f>IF(ISERROR(MATCH(A109,'SegEnds_Xtal_Prot#'!B:B, 0)), "NoXtal", "Xtal")</f>
        <v>NoXtal</v>
      </c>
      <c r="J109" s="3"/>
    </row>
    <row r="110" spans="1:10" x14ac:dyDescent="0.2">
      <c r="A110" s="3" t="s">
        <v>387</v>
      </c>
      <c r="B110" s="1" t="s">
        <v>191</v>
      </c>
      <c r="C110" t="s">
        <v>912</v>
      </c>
      <c r="D110" s="28" t="str">
        <f>VLOOKUP(A110,Classification!$A:$D,2,FALSE)</f>
        <v>A</v>
      </c>
      <c r="E110" s="49" t="str">
        <f>VLOOKUP(B110,Classification!$A:$D,2,FALSE)</f>
        <v>A</v>
      </c>
      <c r="F110" s="15" t="str">
        <f>VLOOKUP(C110,Classification!$A:$D,2,FALSE)</f>
        <v>A</v>
      </c>
      <c r="G110" s="15" t="b">
        <f t="shared" si="1"/>
        <v>1</v>
      </c>
      <c r="H110" s="10" t="str">
        <f>IF(ISERROR(MATCH(A110,'SegEnds_Xtal_Prot#'!B:B, 0)), "NoXtal", "Xtal")</f>
        <v>NoXtal</v>
      </c>
      <c r="J110" s="3"/>
    </row>
    <row r="111" spans="1:10" x14ac:dyDescent="0.2">
      <c r="A111" s="3" t="s">
        <v>259</v>
      </c>
      <c r="B111" s="1" t="s">
        <v>191</v>
      </c>
      <c r="C111" t="s">
        <v>912</v>
      </c>
      <c r="D111" s="28" t="str">
        <f>VLOOKUP(A111,Classification!$A:$D,2,FALSE)</f>
        <v>A</v>
      </c>
      <c r="E111" s="49" t="str">
        <f>VLOOKUP(B111,Classification!$A:$D,2,FALSE)</f>
        <v>A</v>
      </c>
      <c r="F111" s="15" t="str">
        <f>VLOOKUP(C111,Classification!$A:$D,2,FALSE)</f>
        <v>A</v>
      </c>
      <c r="G111" s="15" t="b">
        <f t="shared" si="1"/>
        <v>1</v>
      </c>
      <c r="H111" s="10" t="str">
        <f>IF(ISERROR(MATCH(A111,'SegEnds_Xtal_Prot#'!B:B, 0)), "NoXtal", "Xtal")</f>
        <v>NoXtal</v>
      </c>
      <c r="J111" s="3"/>
    </row>
    <row r="112" spans="1:10" x14ac:dyDescent="0.2">
      <c r="A112" s="3" t="s">
        <v>212</v>
      </c>
      <c r="B112" s="1" t="s">
        <v>133</v>
      </c>
      <c r="C112" t="s">
        <v>912</v>
      </c>
      <c r="D112" s="28" t="str">
        <f>VLOOKUP(A112,Classification!$A:$D,2,FALSE)</f>
        <v>A</v>
      </c>
      <c r="E112" s="49" t="str">
        <f>VLOOKUP(B112,Classification!$A:$D,2,FALSE)</f>
        <v>A</v>
      </c>
      <c r="F112" s="15" t="str">
        <f>VLOOKUP(C112,Classification!$A:$D,2,FALSE)</f>
        <v>A</v>
      </c>
      <c r="G112" s="15" t="b">
        <f t="shared" si="1"/>
        <v>1</v>
      </c>
      <c r="H112" s="10" t="str">
        <f>IF(ISERROR(MATCH(A112,'SegEnds_Xtal_Prot#'!B:B, 0)), "NoXtal", "Xtal")</f>
        <v>NoXtal</v>
      </c>
      <c r="J112" s="3"/>
    </row>
    <row r="113" spans="1:10" x14ac:dyDescent="0.2">
      <c r="A113" s="3" t="s">
        <v>311</v>
      </c>
      <c r="B113" s="1" t="s">
        <v>325</v>
      </c>
      <c r="C113" t="s">
        <v>912</v>
      </c>
      <c r="D113" s="28" t="str">
        <f>VLOOKUP(A113,Classification!$A:$D,2,FALSE)</f>
        <v>A</v>
      </c>
      <c r="E113" s="49" t="str">
        <f>VLOOKUP(B113,Classification!$A:$D,2,FALSE)</f>
        <v>A</v>
      </c>
      <c r="F113" s="15" t="str">
        <f>VLOOKUP(C113,Classification!$A:$D,2,FALSE)</f>
        <v>A</v>
      </c>
      <c r="G113" s="15" t="b">
        <f t="shared" si="1"/>
        <v>1</v>
      </c>
      <c r="H113" s="10" t="str">
        <f>IF(ISERROR(MATCH(A113,'SegEnds_Xtal_Prot#'!B:B, 0)), "NoXtal", "Xtal")</f>
        <v>NoXtal</v>
      </c>
      <c r="J113" s="3"/>
    </row>
    <row r="114" spans="1:10" x14ac:dyDescent="0.2">
      <c r="A114" s="3" t="s">
        <v>102</v>
      </c>
      <c r="B114" s="1" t="s">
        <v>126</v>
      </c>
      <c r="C114" t="s">
        <v>912</v>
      </c>
      <c r="D114" s="28" t="str">
        <f>VLOOKUP(A114,Classification!$A:$D,2,FALSE)</f>
        <v>A</v>
      </c>
      <c r="E114" s="49" t="str">
        <f>VLOOKUP(B114,Classification!$A:$D,2,FALSE)</f>
        <v>A</v>
      </c>
      <c r="F114" s="15" t="str">
        <f>VLOOKUP(C114,Classification!$A:$D,2,FALSE)</f>
        <v>A</v>
      </c>
      <c r="G114" s="15" t="b">
        <f t="shared" si="1"/>
        <v>1</v>
      </c>
      <c r="H114" s="10" t="str">
        <f>IF(ISERROR(MATCH(A114,'SegEnds_Xtal_Prot#'!B:B, 0)), "NoXtal", "Xtal")</f>
        <v>NoXtal</v>
      </c>
      <c r="J114" s="3"/>
    </row>
    <row r="115" spans="1:10" x14ac:dyDescent="0.2">
      <c r="A115" s="3" t="s">
        <v>376</v>
      </c>
      <c r="B115" s="1" t="s">
        <v>138</v>
      </c>
      <c r="C115" t="s">
        <v>912</v>
      </c>
      <c r="D115" s="28" t="str">
        <f>VLOOKUP(A115,Classification!$A:$D,2,FALSE)</f>
        <v>A</v>
      </c>
      <c r="E115" s="49" t="str">
        <f>VLOOKUP(B115,Classification!$A:$D,2,FALSE)</f>
        <v>A</v>
      </c>
      <c r="F115" s="15" t="str">
        <f>VLOOKUP(C115,Classification!$A:$D,2,FALSE)</f>
        <v>A</v>
      </c>
      <c r="G115" s="15" t="b">
        <f t="shared" si="1"/>
        <v>1</v>
      </c>
      <c r="H115" s="10" t="str">
        <f>IF(ISERROR(MATCH(A115,'SegEnds_Xtal_Prot#'!B:B, 0)), "NoXtal", "Xtal")</f>
        <v>NoXtal</v>
      </c>
      <c r="J115" s="3"/>
    </row>
    <row r="116" spans="1:10" x14ac:dyDescent="0.2">
      <c r="A116" s="3" t="s">
        <v>279</v>
      </c>
      <c r="B116" s="1" t="s">
        <v>126</v>
      </c>
      <c r="C116" t="s">
        <v>912</v>
      </c>
      <c r="D116" s="28" t="str">
        <f>VLOOKUP(A116,Classification!$A:$D,2,FALSE)</f>
        <v>A</v>
      </c>
      <c r="E116" s="49" t="str">
        <f>VLOOKUP(B116,Classification!$A:$D,2,FALSE)</f>
        <v>A</v>
      </c>
      <c r="F116" s="15" t="str">
        <f>VLOOKUP(C116,Classification!$A:$D,2,FALSE)</f>
        <v>A</v>
      </c>
      <c r="G116" s="15" t="b">
        <f t="shared" si="1"/>
        <v>1</v>
      </c>
      <c r="H116" s="10" t="str">
        <f>IF(ISERROR(MATCH(A116,'SegEnds_Xtal_Prot#'!B:B, 0)), "NoXtal", "Xtal")</f>
        <v>NoXtal</v>
      </c>
      <c r="J116" s="3"/>
    </row>
    <row r="117" spans="1:10" x14ac:dyDescent="0.2">
      <c r="A117" s="3" t="s">
        <v>134</v>
      </c>
      <c r="B117" s="1" t="s">
        <v>191</v>
      </c>
      <c r="C117" t="s">
        <v>912</v>
      </c>
      <c r="D117" s="28" t="str">
        <f>VLOOKUP(A117,Classification!$A:$D,2,FALSE)</f>
        <v>A</v>
      </c>
      <c r="E117" s="49" t="str">
        <f>VLOOKUP(B117,Classification!$A:$D,2,FALSE)</f>
        <v>A</v>
      </c>
      <c r="F117" s="15" t="str">
        <f>VLOOKUP(C117,Classification!$A:$D,2,FALSE)</f>
        <v>A</v>
      </c>
      <c r="G117" s="15" t="b">
        <f t="shared" si="1"/>
        <v>1</v>
      </c>
      <c r="H117" s="10" t="str">
        <f>IF(ISERROR(MATCH(A117,'SegEnds_Xtal_Prot#'!B:B, 0)), "NoXtal", "Xtal")</f>
        <v>NoXtal</v>
      </c>
      <c r="J117" s="3"/>
    </row>
    <row r="118" spans="1:10" x14ac:dyDescent="0.2">
      <c r="A118" s="3" t="s">
        <v>125</v>
      </c>
      <c r="B118" s="1" t="s">
        <v>126</v>
      </c>
      <c r="C118" t="s">
        <v>912</v>
      </c>
      <c r="D118" s="28" t="str">
        <f>VLOOKUP(A118,Classification!$A:$D,2,FALSE)</f>
        <v>A</v>
      </c>
      <c r="E118" s="49" t="str">
        <f>VLOOKUP(B118,Classification!$A:$D,2,FALSE)</f>
        <v>A</v>
      </c>
      <c r="F118" s="15" t="str">
        <f>VLOOKUP(C118,Classification!$A:$D,2,FALSE)</f>
        <v>A</v>
      </c>
      <c r="G118" s="15" t="b">
        <f t="shared" si="1"/>
        <v>1</v>
      </c>
      <c r="H118" s="10" t="str">
        <f>IF(ISERROR(MATCH(A118,'SegEnds_Xtal_Prot#'!B:B, 0)), "NoXtal", "Xtal")</f>
        <v>NoXtal</v>
      </c>
      <c r="J118" s="3"/>
    </row>
    <row r="119" spans="1:10" x14ac:dyDescent="0.2">
      <c r="A119" s="3" t="s">
        <v>190</v>
      </c>
      <c r="B119" s="1" t="s">
        <v>126</v>
      </c>
      <c r="C119" t="s">
        <v>912</v>
      </c>
      <c r="D119" s="28" t="str">
        <f>VLOOKUP(A119,Classification!$A:$D,2,FALSE)</f>
        <v>A</v>
      </c>
      <c r="E119" s="49" t="str">
        <f>VLOOKUP(B119,Classification!$A:$D,2,FALSE)</f>
        <v>A</v>
      </c>
      <c r="F119" s="15" t="str">
        <f>VLOOKUP(C119,Classification!$A:$D,2,FALSE)</f>
        <v>A</v>
      </c>
      <c r="G119" s="15" t="b">
        <f t="shared" si="1"/>
        <v>1</v>
      </c>
      <c r="H119" s="10" t="str">
        <f>IF(ISERROR(MATCH(A119,'SegEnds_Xtal_Prot#'!B:B, 0)), "NoXtal", "Xtal")</f>
        <v>NoXtal</v>
      </c>
      <c r="J119" s="3"/>
    </row>
    <row r="120" spans="1:10" x14ac:dyDescent="0.2">
      <c r="A120" s="3" t="s">
        <v>194</v>
      </c>
      <c r="B120" s="1" t="s">
        <v>126</v>
      </c>
      <c r="C120" t="s">
        <v>912</v>
      </c>
      <c r="D120" s="28" t="str">
        <f>VLOOKUP(A120,Classification!$A:$D,2,FALSE)</f>
        <v>A</v>
      </c>
      <c r="E120" s="49" t="str">
        <f>VLOOKUP(B120,Classification!$A:$D,2,FALSE)</f>
        <v>A</v>
      </c>
      <c r="F120" s="15" t="str">
        <f>VLOOKUP(C120,Classification!$A:$D,2,FALSE)</f>
        <v>A</v>
      </c>
      <c r="G120" s="15" t="b">
        <f t="shared" si="1"/>
        <v>1</v>
      </c>
      <c r="H120" s="10" t="str">
        <f>IF(ISERROR(MATCH(A120,'SegEnds_Xtal_Prot#'!B:B, 0)), "NoXtal", "Xtal")</f>
        <v>NoXtal</v>
      </c>
      <c r="J120" s="3"/>
    </row>
    <row r="121" spans="1:10" x14ac:dyDescent="0.2">
      <c r="A121" s="3" t="s">
        <v>136</v>
      </c>
      <c r="B121" s="1" t="s">
        <v>133</v>
      </c>
      <c r="C121" t="s">
        <v>912</v>
      </c>
      <c r="D121" s="28" t="str">
        <f>VLOOKUP(A121,Classification!$A:$D,2,FALSE)</f>
        <v>A</v>
      </c>
      <c r="E121" s="49" t="str">
        <f>VLOOKUP(B121,Classification!$A:$D,2,FALSE)</f>
        <v>A</v>
      </c>
      <c r="F121" s="15" t="str">
        <f>VLOOKUP(C121,Classification!$A:$D,2,FALSE)</f>
        <v>A</v>
      </c>
      <c r="G121" s="15" t="b">
        <f t="shared" si="1"/>
        <v>1</v>
      </c>
      <c r="H121" s="10" t="str">
        <f>IF(ISERROR(MATCH(A121,'SegEnds_Xtal_Prot#'!B:B, 0)), "NoXtal", "Xtal")</f>
        <v>NoXtal</v>
      </c>
      <c r="J121" s="3"/>
    </row>
    <row r="122" spans="1:10" x14ac:dyDescent="0.2">
      <c r="A122" s="3" t="s">
        <v>912</v>
      </c>
      <c r="B122" s="1" t="s">
        <v>912</v>
      </c>
      <c r="C122" t="s">
        <v>912</v>
      </c>
      <c r="D122" s="28" t="str">
        <f>VLOOKUP(A122,Classification!$A:$D,2,FALSE)</f>
        <v>A</v>
      </c>
      <c r="E122" s="49" t="str">
        <f>VLOOKUP(B122,Classification!$A:$D,2,FALSE)</f>
        <v>A</v>
      </c>
      <c r="F122" s="15" t="str">
        <f>VLOOKUP(C122,Classification!$A:$D,2,FALSE)</f>
        <v>A</v>
      </c>
      <c r="G122" s="15" t="b">
        <f t="shared" si="1"/>
        <v>1</v>
      </c>
      <c r="H122" s="10" t="str">
        <f>IF(ISERROR(MATCH(A122,'SegEnds_Xtal_Prot#'!B:B, 0)), "NoXtal", "Xtal")</f>
        <v>Xtal</v>
      </c>
      <c r="J122" s="3"/>
    </row>
    <row r="123" spans="1:10" x14ac:dyDescent="0.2">
      <c r="A123" s="3" t="s">
        <v>154</v>
      </c>
      <c r="B123" s="1" t="s">
        <v>191</v>
      </c>
      <c r="C123" t="s">
        <v>912</v>
      </c>
      <c r="D123" s="28" t="str">
        <f>VLOOKUP(A123,Classification!$A:$D,2,FALSE)</f>
        <v>A</v>
      </c>
      <c r="E123" s="49" t="str">
        <f>VLOOKUP(B123,Classification!$A:$D,2,FALSE)</f>
        <v>A</v>
      </c>
      <c r="F123" s="15" t="str">
        <f>VLOOKUP(C123,Classification!$A:$D,2,FALSE)</f>
        <v>A</v>
      </c>
      <c r="G123" s="15" t="b">
        <f t="shared" si="1"/>
        <v>1</v>
      </c>
      <c r="H123" s="10" t="str">
        <f>IF(ISERROR(MATCH(A123,'SegEnds_Xtal_Prot#'!B:B, 0)), "NoXtal", "Xtal")</f>
        <v>NoXtal</v>
      </c>
      <c r="J123" s="3"/>
    </row>
    <row r="124" spans="1:10" x14ac:dyDescent="0.2">
      <c r="A124" s="3" t="s">
        <v>153</v>
      </c>
      <c r="B124" s="1" t="s">
        <v>191</v>
      </c>
      <c r="C124" t="s">
        <v>912</v>
      </c>
      <c r="D124" s="28" t="str">
        <f>VLOOKUP(A124,Classification!$A:$D,2,FALSE)</f>
        <v>A</v>
      </c>
      <c r="E124" s="49" t="str">
        <f>VLOOKUP(B124,Classification!$A:$D,2,FALSE)</f>
        <v>A</v>
      </c>
      <c r="F124" s="15" t="str">
        <f>VLOOKUP(C124,Classification!$A:$D,2,FALSE)</f>
        <v>A</v>
      </c>
      <c r="G124" s="15" t="b">
        <f t="shared" si="1"/>
        <v>1</v>
      </c>
      <c r="H124" s="10" t="str">
        <f>IF(ISERROR(MATCH(A124,'SegEnds_Xtal_Prot#'!B:B, 0)), "NoXtal", "Xtal")</f>
        <v>NoXtal</v>
      </c>
      <c r="J124" s="3"/>
    </row>
    <row r="125" spans="1:10" x14ac:dyDescent="0.2">
      <c r="A125" s="3" t="s">
        <v>375</v>
      </c>
      <c r="B125" s="1" t="s">
        <v>138</v>
      </c>
      <c r="C125" t="s">
        <v>126</v>
      </c>
      <c r="D125" s="28" t="str">
        <f>VLOOKUP(A125,Classification!$A:$D,2,FALSE)</f>
        <v>A</v>
      </c>
      <c r="E125" s="49" t="str">
        <f>VLOOKUP(B125,Classification!$A:$D,2,FALSE)</f>
        <v>A</v>
      </c>
      <c r="F125" s="15" t="str">
        <f>VLOOKUP(C125,Classification!$A:$D,2,FALSE)</f>
        <v>A</v>
      </c>
      <c r="G125" s="15" t="b">
        <f t="shared" si="1"/>
        <v>1</v>
      </c>
      <c r="H125" s="10" t="str">
        <f>IF(ISERROR(MATCH(A125,'SegEnds_Xtal_Prot#'!B:B, 0)), "NoXtal", "Xtal")</f>
        <v>NoXtal</v>
      </c>
      <c r="J125" s="3"/>
    </row>
    <row r="126" spans="1:10" x14ac:dyDescent="0.2">
      <c r="A126" s="3" t="s">
        <v>126</v>
      </c>
      <c r="B126" s="1" t="s">
        <v>126</v>
      </c>
      <c r="C126" t="s">
        <v>126</v>
      </c>
      <c r="D126" s="28" t="str">
        <f>VLOOKUP(A126,Classification!$A:$D,2,FALSE)</f>
        <v>A</v>
      </c>
      <c r="E126" s="49" t="str">
        <f>VLOOKUP(B126,Classification!$A:$D,2,FALSE)</f>
        <v>A</v>
      </c>
      <c r="F126" s="15" t="str">
        <f>VLOOKUP(C126,Classification!$A:$D,2,FALSE)</f>
        <v>A</v>
      </c>
      <c r="G126" s="15" t="b">
        <f t="shared" si="1"/>
        <v>1</v>
      </c>
      <c r="H126" s="10" t="str">
        <f>IF(ISERROR(MATCH(A126,'SegEnds_Xtal_Prot#'!B:B, 0)), "NoXtal", "Xtal")</f>
        <v>Xtal</v>
      </c>
      <c r="J126" s="3"/>
    </row>
    <row r="127" spans="1:10" x14ac:dyDescent="0.2">
      <c r="A127" s="3" t="s">
        <v>252</v>
      </c>
      <c r="B127" s="1" t="s">
        <v>158</v>
      </c>
      <c r="C127" t="s">
        <v>158</v>
      </c>
      <c r="D127" s="28" t="str">
        <f>VLOOKUP(A127,Classification!$A:$D,2,FALSE)</f>
        <v>A</v>
      </c>
      <c r="E127" s="49" t="str">
        <f>VLOOKUP(B127,Classification!$A:$D,2,FALSE)</f>
        <v>A</v>
      </c>
      <c r="F127" s="15" t="str">
        <f>VLOOKUP(C127,Classification!$A:$D,2,FALSE)</f>
        <v>A</v>
      </c>
      <c r="G127" s="15" t="b">
        <f t="shared" si="1"/>
        <v>1</v>
      </c>
      <c r="H127" s="10" t="str">
        <f>IF(ISERROR(MATCH(A127,'SegEnds_Xtal_Prot#'!B:B, 0)), "NoXtal", "Xtal")</f>
        <v>NoXtal</v>
      </c>
      <c r="J127" s="3"/>
    </row>
    <row r="128" spans="1:10" x14ac:dyDescent="0.2">
      <c r="A128" s="3" t="s">
        <v>304</v>
      </c>
      <c r="B128" s="1" t="s">
        <v>360</v>
      </c>
      <c r="C128" t="s">
        <v>158</v>
      </c>
      <c r="D128" s="28" t="str">
        <f>VLOOKUP(A128,Classification!$A:$D,2,FALSE)</f>
        <v>A</v>
      </c>
      <c r="E128" s="49" t="str">
        <f>VLOOKUP(B128,Classification!$A:$D,2,FALSE)</f>
        <v>A</v>
      </c>
      <c r="F128" s="15" t="str">
        <f>VLOOKUP(C128,Classification!$A:$D,2,FALSE)</f>
        <v>A</v>
      </c>
      <c r="G128" s="15" t="b">
        <f t="shared" si="1"/>
        <v>1</v>
      </c>
      <c r="H128" s="10" t="str">
        <f>IF(ISERROR(MATCH(A128,'SegEnds_Xtal_Prot#'!B:B, 0)), "NoXtal", "Xtal")</f>
        <v>NoXtal</v>
      </c>
      <c r="J128" s="3"/>
    </row>
    <row r="129" spans="1:10" x14ac:dyDescent="0.2">
      <c r="A129" s="3" t="s">
        <v>161</v>
      </c>
      <c r="B129" s="1" t="s">
        <v>158</v>
      </c>
      <c r="C129" t="s">
        <v>158</v>
      </c>
      <c r="D129" s="28" t="str">
        <f>VLOOKUP(A129,Classification!$A:$D,2,FALSE)</f>
        <v>A</v>
      </c>
      <c r="E129" s="49" t="str">
        <f>VLOOKUP(B129,Classification!$A:$D,2,FALSE)</f>
        <v>A</v>
      </c>
      <c r="F129" s="15" t="str">
        <f>VLOOKUP(C129,Classification!$A:$D,2,FALSE)</f>
        <v>A</v>
      </c>
      <c r="G129" s="15" t="b">
        <f t="shared" si="1"/>
        <v>1</v>
      </c>
      <c r="H129" s="10" t="str">
        <f>IF(ISERROR(MATCH(A129,'SegEnds_Xtal_Prot#'!B:B, 0)), "NoXtal", "Xtal")</f>
        <v>NoXtal</v>
      </c>
      <c r="J129" s="3"/>
    </row>
    <row r="130" spans="1:10" x14ac:dyDescent="0.2">
      <c r="A130" s="3" t="s">
        <v>159</v>
      </c>
      <c r="B130" s="1" t="s">
        <v>159</v>
      </c>
      <c r="C130" t="s">
        <v>159</v>
      </c>
      <c r="D130" s="28" t="str">
        <f>VLOOKUP(A130,Classification!$A:$D,2,FALSE)</f>
        <v>A</v>
      </c>
      <c r="E130" s="49" t="str">
        <f>VLOOKUP(B130,Classification!$A:$D,2,FALSE)</f>
        <v>A</v>
      </c>
      <c r="F130" s="15" t="str">
        <f>VLOOKUP(C130,Classification!$A:$D,2,FALSE)</f>
        <v>A</v>
      </c>
      <c r="G130" s="15" t="b">
        <f t="shared" si="1"/>
        <v>1</v>
      </c>
      <c r="H130" s="10" t="str">
        <f>IF(ISERROR(MATCH(A130,'SegEnds_Xtal_Prot#'!B:B, 0)), "NoXtal", "Xtal")</f>
        <v>Xtal</v>
      </c>
      <c r="J130" s="3"/>
    </row>
    <row r="131" spans="1:10" x14ac:dyDescent="0.2">
      <c r="A131" s="3" t="s">
        <v>144</v>
      </c>
      <c r="B131" s="1" t="s">
        <v>158</v>
      </c>
      <c r="C131" t="s">
        <v>158</v>
      </c>
      <c r="D131" s="28" t="str">
        <f>VLOOKUP(A131,Classification!$A:$D,2,FALSE)</f>
        <v>A</v>
      </c>
      <c r="E131" s="49" t="str">
        <f>VLOOKUP(B131,Classification!$A:$D,2,FALSE)</f>
        <v>A</v>
      </c>
      <c r="F131" s="15" t="str">
        <f>VLOOKUP(C131,Classification!$A:$D,2,FALSE)</f>
        <v>A</v>
      </c>
      <c r="G131" s="15" t="b">
        <f t="shared" ref="G131:G194" si="2">OR(D131=F131,AND(D131="T",F131="A"),AND(D131="B2",F131="B1"),D131="O")</f>
        <v>1</v>
      </c>
      <c r="H131" s="10" t="str">
        <f>IF(ISERROR(MATCH(A131,'SegEnds_Xtal_Prot#'!B:B, 0)), "NoXtal", "Xtal")</f>
        <v>NoXtal</v>
      </c>
      <c r="J131" s="3"/>
    </row>
    <row r="132" spans="1:10" x14ac:dyDescent="0.2">
      <c r="A132" s="3" t="s">
        <v>165</v>
      </c>
      <c r="B132" s="1" t="s">
        <v>165</v>
      </c>
      <c r="C132" t="s">
        <v>158</v>
      </c>
      <c r="D132" s="28" t="str">
        <f>VLOOKUP(A132,Classification!$A:$D,2,FALSE)</f>
        <v>A</v>
      </c>
      <c r="E132" s="49" t="str">
        <f>VLOOKUP(B132,Classification!$A:$D,2,FALSE)</f>
        <v>A</v>
      </c>
      <c r="F132" s="15" t="str">
        <f>VLOOKUP(C132,Classification!$A:$D,2,FALSE)</f>
        <v>A</v>
      </c>
      <c r="G132" s="15" t="b">
        <f t="shared" si="2"/>
        <v>1</v>
      </c>
      <c r="H132" s="10" t="str">
        <f>IF(ISERROR(MATCH(A132,'SegEnds_Xtal_Prot#'!B:B, 0)), "NoXtal", "Xtal")</f>
        <v>Xtal</v>
      </c>
      <c r="J132" s="3"/>
    </row>
    <row r="133" spans="1:10" x14ac:dyDescent="0.2">
      <c r="A133" s="3" t="s">
        <v>306</v>
      </c>
      <c r="B133" s="1" t="s">
        <v>165</v>
      </c>
      <c r="C133" t="s">
        <v>158</v>
      </c>
      <c r="D133" s="28" t="str">
        <f>VLOOKUP(A133,Classification!$A:$D,2,FALSE)</f>
        <v>A</v>
      </c>
      <c r="E133" s="49" t="str">
        <f>VLOOKUP(B133,Classification!$A:$D,2,FALSE)</f>
        <v>A</v>
      </c>
      <c r="F133" s="15" t="str">
        <f>VLOOKUP(C133,Classification!$A:$D,2,FALSE)</f>
        <v>A</v>
      </c>
      <c r="G133" s="15" t="b">
        <f t="shared" si="2"/>
        <v>1</v>
      </c>
      <c r="H133" s="10" t="str">
        <f>IF(ISERROR(MATCH(A133,'SegEnds_Xtal_Prot#'!B:B, 0)), "NoXtal", "Xtal")</f>
        <v>NoXtal</v>
      </c>
      <c r="J133" s="3"/>
    </row>
    <row r="134" spans="1:10" x14ac:dyDescent="0.2">
      <c r="A134" s="3" t="s">
        <v>237</v>
      </c>
      <c r="B134" s="1" t="s">
        <v>158</v>
      </c>
      <c r="C134" t="s">
        <v>158</v>
      </c>
      <c r="D134" s="28" t="str">
        <f>VLOOKUP(A134,Classification!$A:$D,2,FALSE)</f>
        <v>A</v>
      </c>
      <c r="E134" s="49" t="str">
        <f>VLOOKUP(B134,Classification!$A:$D,2,FALSE)</f>
        <v>A</v>
      </c>
      <c r="F134" s="15" t="str">
        <f>VLOOKUP(C134,Classification!$A:$D,2,FALSE)</f>
        <v>A</v>
      </c>
      <c r="G134" s="15" t="b">
        <f t="shared" si="2"/>
        <v>1</v>
      </c>
      <c r="H134" s="10" t="str">
        <f>IF(ISERROR(MATCH(A134,'SegEnds_Xtal_Prot#'!B:B, 0)), "NoXtal", "Xtal")</f>
        <v>NoXtal</v>
      </c>
      <c r="J134" s="3"/>
    </row>
    <row r="135" spans="1:10" x14ac:dyDescent="0.2">
      <c r="A135" s="3" t="s">
        <v>236</v>
      </c>
      <c r="B135" s="1" t="s">
        <v>173</v>
      </c>
      <c r="C135" t="s">
        <v>158</v>
      </c>
      <c r="D135" s="28" t="str">
        <f>VLOOKUP(A135,Classification!$A:$D,2,FALSE)</f>
        <v>A</v>
      </c>
      <c r="E135" s="49" t="str">
        <f>VLOOKUP(B135,Classification!$A:$D,2,FALSE)</f>
        <v>A</v>
      </c>
      <c r="F135" s="15" t="str">
        <f>VLOOKUP(C135,Classification!$A:$D,2,FALSE)</f>
        <v>A</v>
      </c>
      <c r="G135" s="15" t="b">
        <f t="shared" si="2"/>
        <v>1</v>
      </c>
      <c r="H135" s="10" t="str">
        <f>IF(ISERROR(MATCH(A135,'SegEnds_Xtal_Prot#'!B:B, 0)), "NoXtal", "Xtal")</f>
        <v>NoXtal</v>
      </c>
      <c r="J135" s="3"/>
    </row>
    <row r="136" spans="1:10" x14ac:dyDescent="0.2">
      <c r="A136" s="3" t="s">
        <v>246</v>
      </c>
      <c r="B136" s="1" t="s">
        <v>158</v>
      </c>
      <c r="C136" t="s">
        <v>158</v>
      </c>
      <c r="D136" s="28" t="str">
        <f>VLOOKUP(A136,Classification!$A:$D,2,FALSE)</f>
        <v>A</v>
      </c>
      <c r="E136" s="49" t="str">
        <f>VLOOKUP(B136,Classification!$A:$D,2,FALSE)</f>
        <v>A</v>
      </c>
      <c r="F136" s="15" t="str">
        <f>VLOOKUP(C136,Classification!$A:$D,2,FALSE)</f>
        <v>A</v>
      </c>
      <c r="G136" s="15" t="b">
        <f t="shared" si="2"/>
        <v>1</v>
      </c>
      <c r="H136" s="10" t="str">
        <f>IF(ISERROR(MATCH(A136,'SegEnds_Xtal_Prot#'!B:B, 0)), "NoXtal", "Xtal")</f>
        <v>NoXtal</v>
      </c>
      <c r="J136" s="3"/>
    </row>
    <row r="137" spans="1:10" x14ac:dyDescent="0.2">
      <c r="A137" s="3" t="s">
        <v>158</v>
      </c>
      <c r="B137" s="1" t="s">
        <v>158</v>
      </c>
      <c r="C137" t="s">
        <v>158</v>
      </c>
      <c r="D137" s="28" t="str">
        <f>VLOOKUP(A137,Classification!$A:$D,2,FALSE)</f>
        <v>A</v>
      </c>
      <c r="E137" s="49" t="str">
        <f>VLOOKUP(B137,Classification!$A:$D,2,FALSE)</f>
        <v>A</v>
      </c>
      <c r="F137" s="15" t="str">
        <f>VLOOKUP(C137,Classification!$A:$D,2,FALSE)</f>
        <v>A</v>
      </c>
      <c r="G137" s="15" t="b">
        <f t="shared" si="2"/>
        <v>1</v>
      </c>
      <c r="H137" s="10" t="str">
        <f>IF(ISERROR(MATCH(A137,'SegEnds_Xtal_Prot#'!B:B, 0)), "NoXtal", "Xtal")</f>
        <v>Xtal</v>
      </c>
      <c r="J137" s="3"/>
    </row>
    <row r="138" spans="1:10" x14ac:dyDescent="0.2">
      <c r="A138" s="3" t="s">
        <v>181</v>
      </c>
      <c r="B138" s="1" t="s">
        <v>158</v>
      </c>
      <c r="C138" t="s">
        <v>158</v>
      </c>
      <c r="D138" s="28" t="str">
        <f>VLOOKUP(A138,Classification!$A:$D,2,FALSE)</f>
        <v>A</v>
      </c>
      <c r="E138" s="49" t="str">
        <f>VLOOKUP(B138,Classification!$A:$D,2,FALSE)</f>
        <v>A</v>
      </c>
      <c r="F138" s="15" t="str">
        <f>VLOOKUP(C138,Classification!$A:$D,2,FALSE)</f>
        <v>A</v>
      </c>
      <c r="G138" s="15" t="b">
        <f t="shared" si="2"/>
        <v>1</v>
      </c>
      <c r="H138" s="10" t="str">
        <f>IF(ISERROR(MATCH(A138,'SegEnds_Xtal_Prot#'!B:B, 0)), "NoXtal", "Xtal")</f>
        <v>NoXtal</v>
      </c>
      <c r="J138" s="3"/>
    </row>
    <row r="139" spans="1:10" x14ac:dyDescent="0.2">
      <c r="A139" s="3" t="s">
        <v>239</v>
      </c>
      <c r="B139" s="1" t="s">
        <v>158</v>
      </c>
      <c r="C139" t="s">
        <v>158</v>
      </c>
      <c r="D139" s="28" t="str">
        <f>VLOOKUP(A139,Classification!$A:$D,2,FALSE)</f>
        <v>A</v>
      </c>
      <c r="E139" s="49" t="str">
        <f>VLOOKUP(B139,Classification!$A:$D,2,FALSE)</f>
        <v>A</v>
      </c>
      <c r="F139" s="15" t="str">
        <f>VLOOKUP(C139,Classification!$A:$D,2,FALSE)</f>
        <v>A</v>
      </c>
      <c r="G139" s="15" t="b">
        <f t="shared" si="2"/>
        <v>1</v>
      </c>
      <c r="H139" s="10" t="str">
        <f>IF(ISERROR(MATCH(A139,'SegEnds_Xtal_Prot#'!B:B, 0)), "NoXtal", "Xtal")</f>
        <v>NoXtal</v>
      </c>
      <c r="J139" s="3"/>
    </row>
    <row r="140" spans="1:10" x14ac:dyDescent="0.2">
      <c r="A140" s="3" t="s">
        <v>162</v>
      </c>
      <c r="B140" s="1" t="s">
        <v>159</v>
      </c>
      <c r="C140" t="s">
        <v>158</v>
      </c>
      <c r="D140" s="28" t="str">
        <f>VLOOKUP(A140,Classification!$A:$D,2,FALSE)</f>
        <v>A</v>
      </c>
      <c r="E140" s="49" t="str">
        <f>VLOOKUP(B140,Classification!$A:$D,2,FALSE)</f>
        <v>A</v>
      </c>
      <c r="F140" s="15" t="str">
        <f>VLOOKUP(C140,Classification!$A:$D,2,FALSE)</f>
        <v>A</v>
      </c>
      <c r="G140" s="15" t="b">
        <f t="shared" si="2"/>
        <v>1</v>
      </c>
      <c r="H140" s="10" t="str">
        <f>IF(ISERROR(MATCH(A140,'SegEnds_Xtal_Prot#'!B:B, 0)), "NoXtal", "Xtal")</f>
        <v>NoXtal</v>
      </c>
      <c r="J140" s="3"/>
    </row>
    <row r="141" spans="1:10" x14ac:dyDescent="0.2">
      <c r="A141" s="3" t="s">
        <v>374</v>
      </c>
      <c r="B141" s="1" t="s">
        <v>158</v>
      </c>
      <c r="C141" t="s">
        <v>158</v>
      </c>
      <c r="D141" s="28" t="str">
        <f>VLOOKUP(A141,Classification!$A:$D,2,FALSE)</f>
        <v>A</v>
      </c>
      <c r="E141" s="49" t="str">
        <f>VLOOKUP(B141,Classification!$A:$D,2,FALSE)</f>
        <v>A</v>
      </c>
      <c r="F141" s="15" t="str">
        <f>VLOOKUP(C141,Classification!$A:$D,2,FALSE)</f>
        <v>A</v>
      </c>
      <c r="G141" s="15" t="b">
        <f t="shared" si="2"/>
        <v>1</v>
      </c>
      <c r="H141" s="10" t="str">
        <f>IF(ISERROR(MATCH(A141,'SegEnds_Xtal_Prot#'!B:B, 0)), "NoXtal", "Xtal")</f>
        <v>NoXtal</v>
      </c>
      <c r="J141" s="3"/>
    </row>
    <row r="142" spans="1:10" x14ac:dyDescent="0.2">
      <c r="A142" s="3" t="s">
        <v>292</v>
      </c>
      <c r="B142" s="1" t="s">
        <v>360</v>
      </c>
      <c r="C142" t="s">
        <v>158</v>
      </c>
      <c r="D142" s="28" t="str">
        <f>VLOOKUP(A142,Classification!$A:$D,2,FALSE)</f>
        <v>A</v>
      </c>
      <c r="E142" s="49" t="str">
        <f>VLOOKUP(B142,Classification!$A:$D,2,FALSE)</f>
        <v>A</v>
      </c>
      <c r="F142" s="15" t="str">
        <f>VLOOKUP(C142,Classification!$A:$D,2,FALSE)</f>
        <v>A</v>
      </c>
      <c r="G142" s="15" t="b">
        <f t="shared" si="2"/>
        <v>1</v>
      </c>
      <c r="H142" s="10" t="str">
        <f>IF(ISERROR(MATCH(A142,'SegEnds_Xtal_Prot#'!B:B, 0)), "NoXtal", "Xtal")</f>
        <v>NoXtal</v>
      </c>
      <c r="J142" s="3"/>
    </row>
    <row r="143" spans="1:10" x14ac:dyDescent="0.2">
      <c r="A143" s="3" t="s">
        <v>160</v>
      </c>
      <c r="B143" s="1" t="s">
        <v>160</v>
      </c>
      <c r="C143" t="s">
        <v>158</v>
      </c>
      <c r="D143" s="28" t="str">
        <f>VLOOKUP(A143,Classification!$A:$D,2,FALSE)</f>
        <v>A</v>
      </c>
      <c r="E143" s="49" t="str">
        <f>VLOOKUP(B143,Classification!$A:$D,2,FALSE)</f>
        <v>A</v>
      </c>
      <c r="F143" s="15" t="str">
        <f>VLOOKUP(C143,Classification!$A:$D,2,FALSE)</f>
        <v>A</v>
      </c>
      <c r="G143" s="15" t="b">
        <f t="shared" si="2"/>
        <v>1</v>
      </c>
      <c r="H143" s="10" t="str">
        <f>IF(ISERROR(MATCH(A143,'SegEnds_Xtal_Prot#'!B:B, 0)), "NoXtal", "Xtal")</f>
        <v>Xtal</v>
      </c>
      <c r="J143" s="3"/>
    </row>
    <row r="144" spans="1:10" x14ac:dyDescent="0.2">
      <c r="A144" s="3" t="s">
        <v>331</v>
      </c>
      <c r="B144" s="1" t="s">
        <v>159</v>
      </c>
      <c r="C144" t="s">
        <v>158</v>
      </c>
      <c r="D144" s="28" t="str">
        <f>VLOOKUP(A144,Classification!$A:$D,2,FALSE)</f>
        <v>A</v>
      </c>
      <c r="E144" s="49" t="str">
        <f>VLOOKUP(B144,Classification!$A:$D,2,FALSE)</f>
        <v>A</v>
      </c>
      <c r="F144" s="15" t="str">
        <f>VLOOKUP(C144,Classification!$A:$D,2,FALSE)</f>
        <v>A</v>
      </c>
      <c r="G144" s="15" t="b">
        <f t="shared" si="2"/>
        <v>1</v>
      </c>
      <c r="H144" s="10" t="str">
        <f>IF(ISERROR(MATCH(A144,'SegEnds_Xtal_Prot#'!B:B, 0)), "NoXtal", "Xtal")</f>
        <v>NoXtal</v>
      </c>
      <c r="J144" s="3"/>
    </row>
    <row r="145" spans="1:10" x14ac:dyDescent="0.2">
      <c r="A145" s="3" t="s">
        <v>373</v>
      </c>
      <c r="B145" s="1" t="s">
        <v>158</v>
      </c>
      <c r="C145" t="s">
        <v>158</v>
      </c>
      <c r="D145" s="28" t="str">
        <f>VLOOKUP(A145,Classification!$A:$D,2,FALSE)</f>
        <v>A</v>
      </c>
      <c r="E145" s="49" t="str">
        <f>VLOOKUP(B145,Classification!$A:$D,2,FALSE)</f>
        <v>A</v>
      </c>
      <c r="F145" s="15" t="str">
        <f>VLOOKUP(C145,Classification!$A:$D,2,FALSE)</f>
        <v>A</v>
      </c>
      <c r="G145" s="15" t="b">
        <f t="shared" si="2"/>
        <v>1</v>
      </c>
      <c r="H145" s="10" t="str">
        <f>IF(ISERROR(MATCH(A145,'SegEnds_Xtal_Prot#'!B:B, 0)), "NoXtal", "Xtal")</f>
        <v>NoXtal</v>
      </c>
      <c r="J145" s="3"/>
    </row>
    <row r="146" spans="1:10" x14ac:dyDescent="0.2">
      <c r="A146" s="3" t="s">
        <v>233</v>
      </c>
      <c r="B146" s="1" t="s">
        <v>160</v>
      </c>
      <c r="C146" t="s">
        <v>158</v>
      </c>
      <c r="D146" s="28" t="str">
        <f>VLOOKUP(A146,Classification!$A:$D,2,FALSE)</f>
        <v>A</v>
      </c>
      <c r="E146" s="49" t="str">
        <f>VLOOKUP(B146,Classification!$A:$D,2,FALSE)</f>
        <v>A</v>
      </c>
      <c r="F146" s="15" t="str">
        <f>VLOOKUP(C146,Classification!$A:$D,2,FALSE)</f>
        <v>A</v>
      </c>
      <c r="G146" s="15" t="b">
        <f t="shared" si="2"/>
        <v>1</v>
      </c>
      <c r="H146" s="10" t="str">
        <f>IF(ISERROR(MATCH(A146,'SegEnds_Xtal_Prot#'!B:B, 0)), "NoXtal", "Xtal")</f>
        <v>NoXtal</v>
      </c>
      <c r="J146" s="3"/>
    </row>
    <row r="147" spans="1:10" x14ac:dyDescent="0.2">
      <c r="A147" s="3" t="s">
        <v>283</v>
      </c>
      <c r="B147" s="1" t="s">
        <v>158</v>
      </c>
      <c r="C147" t="s">
        <v>158</v>
      </c>
      <c r="D147" s="28" t="str">
        <f>VLOOKUP(A147,Classification!$A:$D,2,FALSE)</f>
        <v>A</v>
      </c>
      <c r="E147" s="49" t="str">
        <f>VLOOKUP(B147,Classification!$A:$D,2,FALSE)</f>
        <v>A</v>
      </c>
      <c r="F147" s="15" t="str">
        <f>VLOOKUP(C147,Classification!$A:$D,2,FALSE)</f>
        <v>A</v>
      </c>
      <c r="G147" s="15" t="b">
        <f t="shared" si="2"/>
        <v>1</v>
      </c>
      <c r="H147" s="10" t="str">
        <f>IF(ISERROR(MATCH(A147,'SegEnds_Xtal_Prot#'!B:B, 0)), "NoXtal", "Xtal")</f>
        <v>NoXtal</v>
      </c>
      <c r="J147" s="3"/>
    </row>
    <row r="148" spans="1:10" x14ac:dyDescent="0.2">
      <c r="A148" s="3" t="s">
        <v>142</v>
      </c>
      <c r="B148" s="1" t="s">
        <v>165</v>
      </c>
      <c r="C148" t="s">
        <v>173</v>
      </c>
      <c r="D148" s="28" t="str">
        <f>VLOOKUP(A148,Classification!$A:$D,2,FALSE)</f>
        <v>A</v>
      </c>
      <c r="E148" s="49" t="str">
        <f>VLOOKUP(B148,Classification!$A:$D,2,FALSE)</f>
        <v>A</v>
      </c>
      <c r="F148" s="15" t="str">
        <f>VLOOKUP(C148,Classification!$A:$D,2,FALSE)</f>
        <v>A</v>
      </c>
      <c r="G148" s="15" t="b">
        <f t="shared" si="2"/>
        <v>1</v>
      </c>
      <c r="H148" s="10" t="str">
        <f>IF(ISERROR(MATCH(A148,'SegEnds_Xtal_Prot#'!B:B, 0)), "NoXtal", "Xtal")</f>
        <v>NoXtal</v>
      </c>
      <c r="J148" s="3"/>
    </row>
    <row r="149" spans="1:10" x14ac:dyDescent="0.2">
      <c r="A149" s="3" t="s">
        <v>178</v>
      </c>
      <c r="B149" s="1" t="s">
        <v>173</v>
      </c>
      <c r="C149" t="s">
        <v>173</v>
      </c>
      <c r="D149" s="28" t="str">
        <f>VLOOKUP(A149,Classification!$A:$D,2,FALSE)</f>
        <v>A</v>
      </c>
      <c r="E149" s="49" t="str">
        <f>VLOOKUP(B149,Classification!$A:$D,2,FALSE)</f>
        <v>A</v>
      </c>
      <c r="F149" s="15" t="str">
        <f>VLOOKUP(C149,Classification!$A:$D,2,FALSE)</f>
        <v>A</v>
      </c>
      <c r="G149" s="15" t="b">
        <f t="shared" si="2"/>
        <v>1</v>
      </c>
      <c r="H149" s="10" t="str">
        <f>IF(ISERROR(MATCH(A149,'SegEnds_Xtal_Prot#'!B:B, 0)), "NoXtal", "Xtal")</f>
        <v>NoXtal</v>
      </c>
      <c r="J149" s="3"/>
    </row>
    <row r="150" spans="1:10" x14ac:dyDescent="0.2">
      <c r="A150" s="3" t="s">
        <v>185</v>
      </c>
      <c r="B150" s="1" t="s">
        <v>170</v>
      </c>
      <c r="C150" t="s">
        <v>173</v>
      </c>
      <c r="D150" s="28" t="str">
        <f>VLOOKUP(A150,Classification!$A:$D,2,FALSE)</f>
        <v>A</v>
      </c>
      <c r="E150" s="49" t="str">
        <f>VLOOKUP(B150,Classification!$A:$D,2,FALSE)</f>
        <v>A</v>
      </c>
      <c r="F150" s="15" t="str">
        <f>VLOOKUP(C150,Classification!$A:$D,2,FALSE)</f>
        <v>A</v>
      </c>
      <c r="G150" s="15" t="b">
        <f t="shared" si="2"/>
        <v>1</v>
      </c>
      <c r="H150" s="10" t="str">
        <f>IF(ISERROR(MATCH(A150,'SegEnds_Xtal_Prot#'!B:B, 0)), "NoXtal", "Xtal")</f>
        <v>NoXtal</v>
      </c>
      <c r="J150" s="3"/>
    </row>
    <row r="151" spans="1:10" x14ac:dyDescent="0.2">
      <c r="A151" s="3" t="s">
        <v>400</v>
      </c>
      <c r="B151" s="1" t="s">
        <v>173</v>
      </c>
      <c r="C151" t="s">
        <v>173</v>
      </c>
      <c r="D151" s="28" t="str">
        <f>VLOOKUP(A151,Classification!$A:$D,2,FALSE)</f>
        <v>A</v>
      </c>
      <c r="E151" s="49" t="str">
        <f>VLOOKUP(B151,Classification!$A:$D,2,FALSE)</f>
        <v>A</v>
      </c>
      <c r="F151" s="15" t="str">
        <f>VLOOKUP(C151,Classification!$A:$D,2,FALSE)</f>
        <v>A</v>
      </c>
      <c r="G151" s="15" t="b">
        <f t="shared" si="2"/>
        <v>1</v>
      </c>
      <c r="H151" s="10" t="str">
        <f>IF(ISERROR(MATCH(A151,'SegEnds_Xtal_Prot#'!B:B, 0)), "NoXtal", "Xtal")</f>
        <v>NoXtal</v>
      </c>
      <c r="J151" s="3"/>
    </row>
    <row r="152" spans="1:10" x14ac:dyDescent="0.2">
      <c r="A152" s="3" t="s">
        <v>186</v>
      </c>
      <c r="B152" s="1" t="s">
        <v>177</v>
      </c>
      <c r="C152" t="s">
        <v>173</v>
      </c>
      <c r="D152" s="28" t="str">
        <f>VLOOKUP(A152,Classification!$A:$D,2,FALSE)</f>
        <v>A</v>
      </c>
      <c r="E152" s="49" t="str">
        <f>VLOOKUP(B152,Classification!$A:$D,2,FALSE)</f>
        <v>A</v>
      </c>
      <c r="F152" s="15" t="str">
        <f>VLOOKUP(C152,Classification!$A:$D,2,FALSE)</f>
        <v>A</v>
      </c>
      <c r="G152" s="15" t="b">
        <f t="shared" si="2"/>
        <v>1</v>
      </c>
      <c r="H152" s="10" t="str">
        <f>IF(ISERROR(MATCH(A152,'SegEnds_Xtal_Prot#'!B:B, 0)), "NoXtal", "Xtal")</f>
        <v>NoXtal</v>
      </c>
      <c r="J152" s="3"/>
    </row>
    <row r="153" spans="1:10" x14ac:dyDescent="0.2">
      <c r="A153" s="3" t="s">
        <v>145</v>
      </c>
      <c r="B153" s="1" t="s">
        <v>177</v>
      </c>
      <c r="C153" t="s">
        <v>173</v>
      </c>
      <c r="D153" s="28" t="str">
        <f>VLOOKUP(A153,Classification!$A:$D,2,FALSE)</f>
        <v>A</v>
      </c>
      <c r="E153" s="49" t="str">
        <f>VLOOKUP(B153,Classification!$A:$D,2,FALSE)</f>
        <v>A</v>
      </c>
      <c r="F153" s="15" t="str">
        <f>VLOOKUP(C153,Classification!$A:$D,2,FALSE)</f>
        <v>A</v>
      </c>
      <c r="G153" s="15" t="b">
        <f t="shared" si="2"/>
        <v>1</v>
      </c>
      <c r="H153" s="10" t="str">
        <f>IF(ISERROR(MATCH(A153,'SegEnds_Xtal_Prot#'!B:B, 0)), "NoXtal", "Xtal")</f>
        <v>NoXtal</v>
      </c>
      <c r="J153" s="3"/>
    </row>
    <row r="154" spans="1:10" x14ac:dyDescent="0.2">
      <c r="A154" s="3" t="s">
        <v>169</v>
      </c>
      <c r="B154" s="1" t="s">
        <v>177</v>
      </c>
      <c r="C154" t="s">
        <v>173</v>
      </c>
      <c r="D154" s="28" t="str">
        <f>VLOOKUP(A154,Classification!$A:$D,2,FALSE)</f>
        <v>A</v>
      </c>
      <c r="E154" s="49" t="str">
        <f>VLOOKUP(B154,Classification!$A:$D,2,FALSE)</f>
        <v>A</v>
      </c>
      <c r="F154" s="15" t="str">
        <f>VLOOKUP(C154,Classification!$A:$D,2,FALSE)</f>
        <v>A</v>
      </c>
      <c r="G154" s="15" t="b">
        <f t="shared" si="2"/>
        <v>1</v>
      </c>
      <c r="H154" s="10" t="str">
        <f>IF(ISERROR(MATCH(A154,'SegEnds_Xtal_Prot#'!B:B, 0)), "NoXtal", "Xtal")</f>
        <v>NoXtal</v>
      </c>
      <c r="J154" s="3"/>
    </row>
    <row r="155" spans="1:10" x14ac:dyDescent="0.2">
      <c r="A155" s="3" t="s">
        <v>177</v>
      </c>
      <c r="B155" s="1" t="s">
        <v>177</v>
      </c>
      <c r="C155" t="s">
        <v>177</v>
      </c>
      <c r="D155" s="28" t="str">
        <f>VLOOKUP(A155,Classification!$A:$D,2,FALSE)</f>
        <v>A</v>
      </c>
      <c r="E155" s="49" t="str">
        <f>VLOOKUP(B155,Classification!$A:$D,2,FALSE)</f>
        <v>A</v>
      </c>
      <c r="F155" s="15" t="str">
        <f>VLOOKUP(C155,Classification!$A:$D,2,FALSE)</f>
        <v>A</v>
      </c>
      <c r="G155" s="15" t="b">
        <f t="shared" si="2"/>
        <v>1</v>
      </c>
      <c r="H155" s="10" t="str">
        <f>IF(ISERROR(MATCH(A155,'SegEnds_Xtal_Prot#'!B:B, 0)), "NoXtal", "Xtal")</f>
        <v>Xtal</v>
      </c>
      <c r="J155" s="3"/>
    </row>
    <row r="156" spans="1:10" x14ac:dyDescent="0.2">
      <c r="A156" s="3" t="s">
        <v>175</v>
      </c>
      <c r="B156" s="1" t="s">
        <v>177</v>
      </c>
      <c r="C156" t="s">
        <v>173</v>
      </c>
      <c r="D156" s="28" t="str">
        <f>VLOOKUP(A156,Classification!$A:$D,2,FALSE)</f>
        <v>A</v>
      </c>
      <c r="E156" s="49" t="str">
        <f>VLOOKUP(B156,Classification!$A:$D,2,FALSE)</f>
        <v>A</v>
      </c>
      <c r="F156" s="15" t="str">
        <f>VLOOKUP(C156,Classification!$A:$D,2,FALSE)</f>
        <v>A</v>
      </c>
      <c r="G156" s="15" t="b">
        <f t="shared" si="2"/>
        <v>1</v>
      </c>
      <c r="H156" s="10" t="str">
        <f>IF(ISERROR(MATCH(A156,'SegEnds_Xtal_Prot#'!B:B, 0)), "NoXtal", "Xtal")</f>
        <v>NoXtal</v>
      </c>
      <c r="J156" s="3"/>
    </row>
    <row r="157" spans="1:10" x14ac:dyDescent="0.2">
      <c r="A157" s="3" t="s">
        <v>189</v>
      </c>
      <c r="B157" s="1" t="s">
        <v>177</v>
      </c>
      <c r="C157" t="s">
        <v>173</v>
      </c>
      <c r="D157" s="28" t="str">
        <f>VLOOKUP(A157,Classification!$A:$D,2,FALSE)</f>
        <v>A</v>
      </c>
      <c r="E157" s="49" t="str">
        <f>VLOOKUP(B157,Classification!$A:$D,2,FALSE)</f>
        <v>A</v>
      </c>
      <c r="F157" s="15" t="str">
        <f>VLOOKUP(C157,Classification!$A:$D,2,FALSE)</f>
        <v>A</v>
      </c>
      <c r="G157" s="15" t="b">
        <f t="shared" si="2"/>
        <v>1</v>
      </c>
      <c r="H157" s="10" t="str">
        <f>IF(ISERROR(MATCH(A157,'SegEnds_Xtal_Prot#'!B:B, 0)), "NoXtal", "Xtal")</f>
        <v>NoXtal</v>
      </c>
      <c r="J157" s="3"/>
    </row>
    <row r="158" spans="1:10" x14ac:dyDescent="0.2">
      <c r="A158" s="3" t="s">
        <v>168</v>
      </c>
      <c r="B158" s="1" t="s">
        <v>173</v>
      </c>
      <c r="C158" t="s">
        <v>173</v>
      </c>
      <c r="D158" s="28" t="str">
        <f>VLOOKUP(A158,Classification!$A:$D,2,FALSE)</f>
        <v>A</v>
      </c>
      <c r="E158" s="49" t="str">
        <f>VLOOKUP(B158,Classification!$A:$D,2,FALSE)</f>
        <v>A</v>
      </c>
      <c r="F158" s="15" t="str">
        <f>VLOOKUP(C158,Classification!$A:$D,2,FALSE)</f>
        <v>A</v>
      </c>
      <c r="G158" s="15" t="b">
        <f t="shared" si="2"/>
        <v>1</v>
      </c>
      <c r="H158" s="10" t="str">
        <f>IF(ISERROR(MATCH(A158,'SegEnds_Xtal_Prot#'!B:B, 0)), "NoXtal", "Xtal")</f>
        <v>NoXtal</v>
      </c>
      <c r="J158" s="3"/>
    </row>
    <row r="159" spans="1:10" x14ac:dyDescent="0.2">
      <c r="A159" s="3" t="s">
        <v>171</v>
      </c>
      <c r="B159" s="1" t="s">
        <v>173</v>
      </c>
      <c r="C159" t="s">
        <v>173</v>
      </c>
      <c r="D159" s="28" t="str">
        <f>VLOOKUP(A159,Classification!$A:$D,2,FALSE)</f>
        <v>A</v>
      </c>
      <c r="E159" s="49" t="str">
        <f>VLOOKUP(B159,Classification!$A:$D,2,FALSE)</f>
        <v>A</v>
      </c>
      <c r="F159" s="15" t="str">
        <f>VLOOKUP(C159,Classification!$A:$D,2,FALSE)</f>
        <v>A</v>
      </c>
      <c r="G159" s="15" t="b">
        <f t="shared" si="2"/>
        <v>1</v>
      </c>
      <c r="H159" s="10" t="str">
        <f>IF(ISERROR(MATCH(A159,'SegEnds_Xtal_Prot#'!B:B, 0)), "NoXtal", "Xtal")</f>
        <v>NoXtal</v>
      </c>
      <c r="J159" s="3"/>
    </row>
    <row r="160" spans="1:10" x14ac:dyDescent="0.2">
      <c r="A160" s="3" t="s">
        <v>173</v>
      </c>
      <c r="B160" s="1" t="s">
        <v>173</v>
      </c>
      <c r="C160" t="s">
        <v>173</v>
      </c>
      <c r="D160" s="28" t="str">
        <f>VLOOKUP(A160,Classification!$A:$D,2,FALSE)</f>
        <v>A</v>
      </c>
      <c r="E160" s="49" t="str">
        <f>VLOOKUP(B160,Classification!$A:$D,2,FALSE)</f>
        <v>A</v>
      </c>
      <c r="F160" s="15" t="str">
        <f>VLOOKUP(C160,Classification!$A:$D,2,FALSE)</f>
        <v>A</v>
      </c>
      <c r="G160" s="15" t="b">
        <f t="shared" si="2"/>
        <v>1</v>
      </c>
      <c r="H160" s="10" t="str">
        <f>IF(ISERROR(MATCH(A160,'SegEnds_Xtal_Prot#'!B:B, 0)), "NoXtal", "Xtal")</f>
        <v>Xtal</v>
      </c>
      <c r="J160" s="3"/>
    </row>
    <row r="161" spans="1:10" x14ac:dyDescent="0.2">
      <c r="A161" s="3" t="s">
        <v>176</v>
      </c>
      <c r="B161" s="1" t="s">
        <v>173</v>
      </c>
      <c r="C161" t="s">
        <v>173</v>
      </c>
      <c r="D161" s="28" t="str">
        <f>VLOOKUP(A161,Classification!$A:$D,2,FALSE)</f>
        <v>A</v>
      </c>
      <c r="E161" s="49" t="str">
        <f>VLOOKUP(B161,Classification!$A:$D,2,FALSE)</f>
        <v>A</v>
      </c>
      <c r="F161" s="15" t="str">
        <f>VLOOKUP(C161,Classification!$A:$D,2,FALSE)</f>
        <v>A</v>
      </c>
      <c r="G161" s="15" t="b">
        <f t="shared" si="2"/>
        <v>1</v>
      </c>
      <c r="H161" s="10" t="str">
        <f>IF(ISERROR(MATCH(A161,'SegEnds_Xtal_Prot#'!B:B, 0)), "NoXtal", "Xtal")</f>
        <v>NoXtal</v>
      </c>
      <c r="J161" s="3"/>
    </row>
    <row r="162" spans="1:10" x14ac:dyDescent="0.2">
      <c r="A162" s="3" t="s">
        <v>172</v>
      </c>
      <c r="B162" s="1" t="s">
        <v>173</v>
      </c>
      <c r="C162" t="s">
        <v>173</v>
      </c>
      <c r="D162" s="28" t="str">
        <f>VLOOKUP(A162,Classification!$A:$D,2,FALSE)</f>
        <v>A</v>
      </c>
      <c r="E162" s="49" t="str">
        <f>VLOOKUP(B162,Classification!$A:$D,2,FALSE)</f>
        <v>A</v>
      </c>
      <c r="F162" s="15" t="str">
        <f>VLOOKUP(C162,Classification!$A:$D,2,FALSE)</f>
        <v>A</v>
      </c>
      <c r="G162" s="15" t="b">
        <f t="shared" si="2"/>
        <v>1</v>
      </c>
      <c r="H162" s="10" t="str">
        <f>IF(ISERROR(MATCH(A162,'SegEnds_Xtal_Prot#'!B:B, 0)), "NoXtal", "Xtal")</f>
        <v>NoXtal</v>
      </c>
      <c r="J162" s="3"/>
    </row>
    <row r="163" spans="1:10" x14ac:dyDescent="0.2">
      <c r="A163" s="3" t="s">
        <v>174</v>
      </c>
      <c r="B163" s="1" t="s">
        <v>177</v>
      </c>
      <c r="C163" t="s">
        <v>173</v>
      </c>
      <c r="D163" s="28" t="str">
        <f>VLOOKUP(A163,Classification!$A:$D,2,FALSE)</f>
        <v>A</v>
      </c>
      <c r="E163" s="49" t="str">
        <f>VLOOKUP(B163,Classification!$A:$D,2,FALSE)</f>
        <v>A</v>
      </c>
      <c r="F163" s="15" t="str">
        <f>VLOOKUP(C163,Classification!$A:$D,2,FALSE)</f>
        <v>A</v>
      </c>
      <c r="G163" s="15" t="b">
        <f t="shared" si="2"/>
        <v>1</v>
      </c>
      <c r="H163" s="10" t="str">
        <f>IF(ISERROR(MATCH(A163,'SegEnds_Xtal_Prot#'!B:B, 0)), "NoXtal", "Xtal")</f>
        <v>NoXtal</v>
      </c>
      <c r="J163" s="3"/>
    </row>
    <row r="164" spans="1:10" x14ac:dyDescent="0.2">
      <c r="A164" s="3" t="s">
        <v>184</v>
      </c>
      <c r="B164" s="1" t="s">
        <v>173</v>
      </c>
      <c r="C164" t="s">
        <v>173</v>
      </c>
      <c r="D164" s="28" t="str">
        <f>VLOOKUP(A164,Classification!$A:$D,2,FALSE)</f>
        <v>A</v>
      </c>
      <c r="E164" s="49" t="str">
        <f>VLOOKUP(B164,Classification!$A:$D,2,FALSE)</f>
        <v>A</v>
      </c>
      <c r="F164" s="15" t="str">
        <f>VLOOKUP(C164,Classification!$A:$D,2,FALSE)</f>
        <v>A</v>
      </c>
      <c r="G164" s="15" t="b">
        <f t="shared" si="2"/>
        <v>1</v>
      </c>
      <c r="H164" s="10" t="str">
        <f>IF(ISERROR(MATCH(A164,'SegEnds_Xtal_Prot#'!B:B, 0)), "NoXtal", "Xtal")</f>
        <v>NoXtal</v>
      </c>
      <c r="J164" s="3"/>
    </row>
    <row r="165" spans="1:10" x14ac:dyDescent="0.2">
      <c r="A165" s="3" t="s">
        <v>170</v>
      </c>
      <c r="B165" s="1" t="s">
        <v>170</v>
      </c>
      <c r="C165" t="s">
        <v>170</v>
      </c>
      <c r="D165" s="28" t="str">
        <f>VLOOKUP(A165,Classification!$A:$D,2,FALSE)</f>
        <v>A</v>
      </c>
      <c r="E165" s="49" t="str">
        <f>VLOOKUP(B165,Classification!$A:$D,2,FALSE)</f>
        <v>A</v>
      </c>
      <c r="F165" s="15" t="str">
        <f>VLOOKUP(C165,Classification!$A:$D,2,FALSE)</f>
        <v>A</v>
      </c>
      <c r="G165" s="15" t="b">
        <f t="shared" si="2"/>
        <v>1</v>
      </c>
      <c r="H165" s="10" t="str">
        <f>IF(ISERROR(MATCH(A165,'SegEnds_Xtal_Prot#'!B:B, 0)), "NoXtal", "Xtal")</f>
        <v>Xtal</v>
      </c>
      <c r="J165" s="3"/>
    </row>
    <row r="166" spans="1:10" x14ac:dyDescent="0.2">
      <c r="A166" s="3" t="s">
        <v>143</v>
      </c>
      <c r="B166" s="1" t="s">
        <v>173</v>
      </c>
      <c r="C166" t="s">
        <v>173</v>
      </c>
      <c r="D166" s="28" t="str">
        <f>VLOOKUP(A166,Classification!$A:$D,2,FALSE)</f>
        <v>A</v>
      </c>
      <c r="E166" s="49" t="str">
        <f>VLOOKUP(B166,Classification!$A:$D,2,FALSE)</f>
        <v>A</v>
      </c>
      <c r="F166" s="15" t="str">
        <f>VLOOKUP(C166,Classification!$A:$D,2,FALSE)</f>
        <v>A</v>
      </c>
      <c r="G166" s="15" t="b">
        <f t="shared" si="2"/>
        <v>1</v>
      </c>
      <c r="H166" s="10" t="str">
        <f>IF(ISERROR(MATCH(A166,'SegEnds_Xtal_Prot#'!B:B, 0)), "NoXtal", "Xtal")</f>
        <v>NoXtal</v>
      </c>
      <c r="J166" s="3"/>
    </row>
    <row r="167" spans="1:10" x14ac:dyDescent="0.2">
      <c r="A167" s="3" t="s">
        <v>403</v>
      </c>
      <c r="B167" s="1" t="s">
        <v>38</v>
      </c>
      <c r="C167" t="s">
        <v>38</v>
      </c>
      <c r="D167" s="28" t="str">
        <f>VLOOKUP(A167,Classification!$A:$D,2,FALSE)</f>
        <v>B1</v>
      </c>
      <c r="E167" s="49" t="str">
        <f>VLOOKUP(B167,Classification!$A:$D,2,FALSE)</f>
        <v>B1</v>
      </c>
      <c r="F167" s="15" t="str">
        <f>VLOOKUP(C167,Classification!$A:$D,2,FALSE)</f>
        <v>B1</v>
      </c>
      <c r="G167" s="15" t="b">
        <f t="shared" si="2"/>
        <v>1</v>
      </c>
      <c r="H167" s="10" t="str">
        <f>IF(ISERROR(MATCH(A167,'SegEnds_Xtal_Prot#'!B:B, 0)), "NoXtal", "Xtal")</f>
        <v>NoXtal</v>
      </c>
      <c r="J167" s="3"/>
    </row>
    <row r="168" spans="1:10" x14ac:dyDescent="0.2">
      <c r="A168" s="3" t="s">
        <v>38</v>
      </c>
      <c r="B168" s="1" t="s">
        <v>38</v>
      </c>
      <c r="C168" t="s">
        <v>38</v>
      </c>
      <c r="D168" s="28" t="str">
        <f>VLOOKUP(A168,Classification!$A:$D,2,FALSE)</f>
        <v>B1</v>
      </c>
      <c r="E168" s="49" t="str">
        <f>VLOOKUP(B168,Classification!$A:$D,2,FALSE)</f>
        <v>B1</v>
      </c>
      <c r="F168" s="15" t="str">
        <f>VLOOKUP(C168,Classification!$A:$D,2,FALSE)</f>
        <v>B1</v>
      </c>
      <c r="G168" s="15" t="b">
        <f t="shared" si="2"/>
        <v>1</v>
      </c>
      <c r="H168" s="10" t="str">
        <f>IF(ISERROR(MATCH(A168,'SegEnds_Xtal_Prot#'!B:B, 0)), "NoXtal", "Xtal")</f>
        <v>Xtal</v>
      </c>
      <c r="J168" s="3"/>
    </row>
    <row r="169" spans="1:10" x14ac:dyDescent="0.2">
      <c r="A169" s="3" t="s">
        <v>402</v>
      </c>
      <c r="B169" s="1" t="s">
        <v>402</v>
      </c>
      <c r="C169" t="s">
        <v>401</v>
      </c>
      <c r="D169" s="28" t="str">
        <f>VLOOKUP(A169,Classification!$A:$D,2,FALSE)</f>
        <v>B1</v>
      </c>
      <c r="E169" s="49" t="str">
        <f>VLOOKUP(B169,Classification!$A:$D,2,FALSE)</f>
        <v>B1</v>
      </c>
      <c r="F169" s="15" t="str">
        <f>VLOOKUP(C169,Classification!$A:$D,2,FALSE)</f>
        <v>B1</v>
      </c>
      <c r="G169" s="15" t="b">
        <f t="shared" si="2"/>
        <v>1</v>
      </c>
      <c r="H169" s="10" t="str">
        <f>IF(ISERROR(MATCH(A169,'SegEnds_Xtal_Prot#'!B:B, 0)), "NoXtal", "Xtal")</f>
        <v>Xtal</v>
      </c>
      <c r="J169" s="3"/>
    </row>
    <row r="170" spans="1:10" x14ac:dyDescent="0.2">
      <c r="A170" s="3" t="s">
        <v>401</v>
      </c>
      <c r="B170" s="1" t="s">
        <v>401</v>
      </c>
      <c r="C170" t="s">
        <v>401</v>
      </c>
      <c r="D170" s="28" t="str">
        <f>VLOOKUP(A170,Classification!$A:$D,2,FALSE)</f>
        <v>B1</v>
      </c>
      <c r="E170" s="49" t="str">
        <f>VLOOKUP(B170,Classification!$A:$D,2,FALSE)</f>
        <v>B1</v>
      </c>
      <c r="F170" s="15" t="str">
        <f>VLOOKUP(C170,Classification!$A:$D,2,FALSE)</f>
        <v>B1</v>
      </c>
      <c r="G170" s="15" t="b">
        <f t="shared" si="2"/>
        <v>1</v>
      </c>
      <c r="H170" s="10" t="str">
        <f>IF(ISERROR(MATCH(A170,'SegEnds_Xtal_Prot#'!B:B, 0)), "NoXtal", "Xtal")</f>
        <v>Xtal</v>
      </c>
      <c r="J170" s="3"/>
    </row>
    <row r="171" spans="1:10" x14ac:dyDescent="0.2">
      <c r="A171" s="3" t="s">
        <v>166</v>
      </c>
      <c r="B171" s="1" t="s">
        <v>165</v>
      </c>
      <c r="C171" t="s">
        <v>1172</v>
      </c>
      <c r="D171" s="28" t="str">
        <f>VLOOKUP(A171,Classification!$A:$D,2,FALSE)</f>
        <v>A</v>
      </c>
      <c r="E171" s="49" t="str">
        <f>VLOOKUP(B171,Classification!$A:$D,2,FALSE)</f>
        <v>A</v>
      </c>
      <c r="F171" s="15" t="str">
        <f>VLOOKUP(C171,Classification!$A:$D,2,FALSE)</f>
        <v>A</v>
      </c>
      <c r="G171" s="15" t="b">
        <f t="shared" si="2"/>
        <v>1</v>
      </c>
      <c r="H171" s="10" t="str">
        <f>IF(ISERROR(MATCH(A171,'SegEnds_Xtal_Prot#'!B:B, 0)), "NoXtal", "Xtal")</f>
        <v>NoXtal</v>
      </c>
      <c r="J171" s="3"/>
    </row>
    <row r="172" spans="1:10" x14ac:dyDescent="0.2">
      <c r="A172" s="3" t="s">
        <v>201</v>
      </c>
      <c r="B172" s="1" t="s">
        <v>360</v>
      </c>
      <c r="C172" t="s">
        <v>1172</v>
      </c>
      <c r="D172" s="28" t="str">
        <f>VLOOKUP(A172,Classification!$A:$D,2,FALSE)</f>
        <v>A</v>
      </c>
      <c r="E172" s="49" t="str">
        <f>VLOOKUP(B172,Classification!$A:$D,2,FALSE)</f>
        <v>A</v>
      </c>
      <c r="F172" s="15" t="str">
        <f>VLOOKUP(C172,Classification!$A:$D,2,FALSE)</f>
        <v>A</v>
      </c>
      <c r="G172" s="15" t="b">
        <f t="shared" si="2"/>
        <v>1</v>
      </c>
      <c r="H172" s="10" t="str">
        <f>IF(ISERROR(MATCH(A172,'SegEnds_Xtal_Prot#'!B:B, 0)), "NoXtal", "Xtal")</f>
        <v>NoXtal</v>
      </c>
      <c r="J172" s="3"/>
    </row>
    <row r="173" spans="1:10" x14ac:dyDescent="0.2">
      <c r="A173" s="3" t="s">
        <v>202</v>
      </c>
      <c r="B173" s="1" t="s">
        <v>360</v>
      </c>
      <c r="C173" t="s">
        <v>1172</v>
      </c>
      <c r="D173" s="28" t="str">
        <f>VLOOKUP(A173,Classification!$A:$D,2,FALSE)</f>
        <v>A</v>
      </c>
      <c r="E173" s="49" t="str">
        <f>VLOOKUP(B173,Classification!$A:$D,2,FALSE)</f>
        <v>A</v>
      </c>
      <c r="F173" s="15" t="str">
        <f>VLOOKUP(C173,Classification!$A:$D,2,FALSE)</f>
        <v>A</v>
      </c>
      <c r="G173" s="15" t="b">
        <f t="shared" si="2"/>
        <v>1</v>
      </c>
      <c r="H173" s="10" t="str">
        <f>IF(ISERROR(MATCH(A173,'SegEnds_Xtal_Prot#'!B:B, 0)), "NoXtal", "Xtal")</f>
        <v>NoXtal</v>
      </c>
      <c r="J173" s="3"/>
    </row>
    <row r="174" spans="1:10" x14ac:dyDescent="0.2">
      <c r="A174" s="3" t="s">
        <v>1172</v>
      </c>
      <c r="B174" s="1" t="s">
        <v>1172</v>
      </c>
      <c r="C174" t="s">
        <v>1172</v>
      </c>
      <c r="D174" s="28" t="str">
        <f>VLOOKUP(A174,Classification!$A:$D,2,FALSE)</f>
        <v>A</v>
      </c>
      <c r="E174" s="49" t="str">
        <f>VLOOKUP(B174,Classification!$A:$D,2,FALSE)</f>
        <v>A</v>
      </c>
      <c r="F174" s="15" t="str">
        <f>VLOOKUP(C174,Classification!$A:$D,2,FALSE)</f>
        <v>A</v>
      </c>
      <c r="G174" s="15" t="b">
        <f t="shared" si="2"/>
        <v>1</v>
      </c>
      <c r="H174" s="10" t="str">
        <f>IF(ISERROR(MATCH(A174,'SegEnds_Xtal_Prot#'!B:B, 0)), "NoXtal", "Xtal")</f>
        <v>Xtal</v>
      </c>
      <c r="J174" s="3"/>
    </row>
    <row r="175" spans="1:10" x14ac:dyDescent="0.2">
      <c r="A175" s="3" t="s">
        <v>188</v>
      </c>
      <c r="B175" s="1" t="s">
        <v>1172</v>
      </c>
      <c r="C175" t="s">
        <v>1172</v>
      </c>
      <c r="D175" s="28" t="str">
        <f>VLOOKUP(A175,Classification!$A:$D,2,FALSE)</f>
        <v>A</v>
      </c>
      <c r="E175" s="49" t="str">
        <f>VLOOKUP(B175,Classification!$A:$D,2,FALSE)</f>
        <v>A</v>
      </c>
      <c r="F175" s="15" t="str">
        <f>VLOOKUP(C175,Classification!$A:$D,2,FALSE)</f>
        <v>A</v>
      </c>
      <c r="G175" s="15" t="b">
        <f t="shared" si="2"/>
        <v>1</v>
      </c>
      <c r="H175" s="10" t="str">
        <f>IF(ISERROR(MATCH(A175,'SegEnds_Xtal_Prot#'!B:B, 0)), "NoXtal", "Xtal")</f>
        <v>NoXtal</v>
      </c>
      <c r="J175" s="3"/>
    </row>
    <row r="176" spans="1:10" x14ac:dyDescent="0.2">
      <c r="A176" s="3" t="s">
        <v>187</v>
      </c>
      <c r="B176" s="1" t="s">
        <v>1172</v>
      </c>
      <c r="C176" t="s">
        <v>1172</v>
      </c>
      <c r="D176" s="28" t="str">
        <f>VLOOKUP(A176,Classification!$A:$D,2,FALSE)</f>
        <v>A</v>
      </c>
      <c r="E176" s="49" t="str">
        <f>VLOOKUP(B176,Classification!$A:$D,2,FALSE)</f>
        <v>A</v>
      </c>
      <c r="F176" s="15" t="str">
        <f>VLOOKUP(C176,Classification!$A:$D,2,FALSE)</f>
        <v>A</v>
      </c>
      <c r="G176" s="15" t="b">
        <f t="shared" si="2"/>
        <v>1</v>
      </c>
      <c r="H176" s="10" t="str">
        <f>IF(ISERROR(MATCH(A176,'SegEnds_Xtal_Prot#'!B:B, 0)), "NoXtal", "Xtal")</f>
        <v>NoXtal</v>
      </c>
      <c r="J176" s="3"/>
    </row>
    <row r="177" spans="1:10" x14ac:dyDescent="0.2">
      <c r="A177" s="3" t="s">
        <v>203</v>
      </c>
      <c r="B177" s="1" t="s">
        <v>360</v>
      </c>
      <c r="C177" t="s">
        <v>1172</v>
      </c>
      <c r="D177" s="28" t="str">
        <f>VLOOKUP(A177,Classification!$A:$D,2,FALSE)</f>
        <v>A</v>
      </c>
      <c r="E177" s="49" t="str">
        <f>VLOOKUP(B177,Classification!$A:$D,2,FALSE)</f>
        <v>A</v>
      </c>
      <c r="F177" s="15" t="str">
        <f>VLOOKUP(C177,Classification!$A:$D,2,FALSE)</f>
        <v>A</v>
      </c>
      <c r="G177" s="15" t="b">
        <f t="shared" si="2"/>
        <v>1</v>
      </c>
      <c r="H177" s="10" t="str">
        <f>IF(ISERROR(MATCH(A177,'SegEnds_Xtal_Prot#'!B:B, 0)), "NoXtal", "Xtal")</f>
        <v>NoXtal</v>
      </c>
      <c r="J177" s="3"/>
    </row>
    <row r="178" spans="1:10" x14ac:dyDescent="0.2">
      <c r="A178" s="3" t="s">
        <v>293</v>
      </c>
      <c r="B178" s="1" t="s">
        <v>360</v>
      </c>
      <c r="C178" t="s">
        <v>1172</v>
      </c>
      <c r="D178" s="28" t="str">
        <f>VLOOKUP(A178,Classification!$A:$D,2,FALSE)</f>
        <v>A</v>
      </c>
      <c r="E178" s="49" t="str">
        <f>VLOOKUP(B178,Classification!$A:$D,2,FALSE)</f>
        <v>A</v>
      </c>
      <c r="F178" s="15" t="str">
        <f>VLOOKUP(C178,Classification!$A:$D,2,FALSE)</f>
        <v>A</v>
      </c>
      <c r="G178" s="15" t="b">
        <f t="shared" si="2"/>
        <v>1</v>
      </c>
      <c r="H178" s="10" t="str">
        <f>IF(ISERROR(MATCH(A178,'SegEnds_Xtal_Prot#'!B:B, 0)), "NoXtal", "Xtal")</f>
        <v>NoXtal</v>
      </c>
      <c r="J178" s="3"/>
    </row>
    <row r="179" spans="1:10" x14ac:dyDescent="0.2">
      <c r="A179" s="3" t="s">
        <v>192</v>
      </c>
      <c r="B179" s="1" t="s">
        <v>192</v>
      </c>
      <c r="C179" t="s">
        <v>192</v>
      </c>
      <c r="D179" s="28" t="str">
        <f>VLOOKUP(A179,Classification!$A:$D,2,FALSE)</f>
        <v>A</v>
      </c>
      <c r="E179" s="49" t="str">
        <f>VLOOKUP(B179,Classification!$A:$D,2,FALSE)</f>
        <v>A</v>
      </c>
      <c r="F179" s="15" t="str">
        <f>VLOOKUP(C179,Classification!$A:$D,2,FALSE)</f>
        <v>A</v>
      </c>
      <c r="G179" s="15" t="b">
        <f t="shared" si="2"/>
        <v>1</v>
      </c>
      <c r="H179" s="10" t="str">
        <f>IF(ISERROR(MATCH(A179,'SegEnds_Xtal_Prot#'!B:B, 0)), "NoXtal", "Xtal")</f>
        <v>Xtal</v>
      </c>
      <c r="J179" s="3"/>
    </row>
    <row r="180" spans="1:10" x14ac:dyDescent="0.2">
      <c r="A180" s="3" t="s">
        <v>191</v>
      </c>
      <c r="B180" s="1" t="s">
        <v>191</v>
      </c>
      <c r="C180" t="s">
        <v>192</v>
      </c>
      <c r="D180" s="28" t="str">
        <f>VLOOKUP(A180,Classification!$A:$D,2,FALSE)</f>
        <v>A</v>
      </c>
      <c r="E180" s="49" t="str">
        <f>VLOOKUP(B180,Classification!$A:$D,2,FALSE)</f>
        <v>A</v>
      </c>
      <c r="F180" s="15" t="str">
        <f>VLOOKUP(C180,Classification!$A:$D,2,FALSE)</f>
        <v>A</v>
      </c>
      <c r="G180" s="15" t="b">
        <f t="shared" si="2"/>
        <v>1</v>
      </c>
      <c r="H180" s="10" t="str">
        <f>IF(ISERROR(MATCH(A180,'SegEnds_Xtal_Prot#'!B:B, 0)), "NoXtal", "Xtal")</f>
        <v>Xtal</v>
      </c>
      <c r="J180" s="3"/>
    </row>
    <row r="181" spans="1:10" x14ac:dyDescent="0.2">
      <c r="A181" s="3" t="s">
        <v>193</v>
      </c>
      <c r="B181" s="1" t="s">
        <v>193</v>
      </c>
      <c r="C181" t="s">
        <v>193</v>
      </c>
      <c r="D181" s="28" t="str">
        <f>VLOOKUP(A181,Classification!$A:$D,2,FALSE)</f>
        <v>A</v>
      </c>
      <c r="E181" s="49" t="str">
        <f>VLOOKUP(B181,Classification!$A:$D,2,FALSE)</f>
        <v>A</v>
      </c>
      <c r="F181" s="15" t="str">
        <f>VLOOKUP(C181,Classification!$A:$D,2,FALSE)</f>
        <v>A</v>
      </c>
      <c r="G181" s="15" t="b">
        <f t="shared" si="2"/>
        <v>1</v>
      </c>
      <c r="H181" s="10" t="str">
        <f>IF(ISERROR(MATCH(A181,'SegEnds_Xtal_Prot#'!B:B, 0)), "NoXtal", "Xtal")</f>
        <v>Xtal</v>
      </c>
      <c r="J181" s="3"/>
    </row>
    <row r="182" spans="1:10" x14ac:dyDescent="0.2">
      <c r="A182" s="3" t="s">
        <v>156</v>
      </c>
      <c r="B182" s="1" t="s">
        <v>191</v>
      </c>
      <c r="C182" t="s">
        <v>192</v>
      </c>
      <c r="D182" s="28" t="str">
        <f>VLOOKUP(A182,Classification!$A:$D,2,FALSE)</f>
        <v>A</v>
      </c>
      <c r="E182" s="49" t="str">
        <f>VLOOKUP(B182,Classification!$A:$D,2,FALSE)</f>
        <v>A</v>
      </c>
      <c r="F182" s="15" t="str">
        <f>VLOOKUP(C182,Classification!$A:$D,2,FALSE)</f>
        <v>A</v>
      </c>
      <c r="G182" s="15" t="b">
        <f t="shared" si="2"/>
        <v>1</v>
      </c>
      <c r="H182" s="10" t="str">
        <f>IF(ISERROR(MATCH(A182,'SegEnds_Xtal_Prot#'!B:B, 0)), "NoXtal", "Xtal")</f>
        <v>NoXtal</v>
      </c>
      <c r="J182" s="3"/>
    </row>
    <row r="183" spans="1:10" x14ac:dyDescent="0.2">
      <c r="A183" s="3" t="s">
        <v>273</v>
      </c>
      <c r="B183" s="1" t="s">
        <v>1175</v>
      </c>
      <c r="C183" t="s">
        <v>192</v>
      </c>
      <c r="D183" s="28" t="str">
        <f>VLOOKUP(A183,Classification!$A:$D,2,FALSE)</f>
        <v>A</v>
      </c>
      <c r="E183" s="49" t="str">
        <f>VLOOKUP(B183,Classification!$A:$D,2,FALSE)</f>
        <v>A</v>
      </c>
      <c r="F183" s="15" t="str">
        <f>VLOOKUP(C183,Classification!$A:$D,2,FALSE)</f>
        <v>A</v>
      </c>
      <c r="G183" s="15" t="b">
        <f t="shared" si="2"/>
        <v>1</v>
      </c>
      <c r="H183" s="10" t="str">
        <f>IF(ISERROR(MATCH(A183,'SegEnds_Xtal_Prot#'!B:B, 0)), "NoXtal", "Xtal")</f>
        <v>NoXtal</v>
      </c>
      <c r="J183" s="3"/>
    </row>
    <row r="184" spans="1:10" x14ac:dyDescent="0.2">
      <c r="A184" s="3" t="s">
        <v>264</v>
      </c>
      <c r="B184" s="1" t="s">
        <v>192</v>
      </c>
      <c r="C184" t="s">
        <v>192</v>
      </c>
      <c r="D184" s="28" t="str">
        <f>VLOOKUP(A184,Classification!$A:$D,2,FALSE)</f>
        <v>A</v>
      </c>
      <c r="E184" s="49" t="str">
        <f>VLOOKUP(B184,Classification!$A:$D,2,FALSE)</f>
        <v>A</v>
      </c>
      <c r="F184" s="15" t="str">
        <f>VLOOKUP(C184,Classification!$A:$D,2,FALSE)</f>
        <v>A</v>
      </c>
      <c r="G184" s="15" t="b">
        <f t="shared" si="2"/>
        <v>1</v>
      </c>
      <c r="H184" s="10" t="str">
        <f>IF(ISERROR(MATCH(A184,'SegEnds_Xtal_Prot#'!B:B, 0)), "NoXtal", "Xtal")</f>
        <v>NoXtal</v>
      </c>
      <c r="J184" s="3"/>
    </row>
    <row r="185" spans="1:10" x14ac:dyDescent="0.2">
      <c r="A185" s="3" t="s">
        <v>366</v>
      </c>
      <c r="B185" s="1" t="s">
        <v>364</v>
      </c>
      <c r="C185" t="s">
        <v>192</v>
      </c>
      <c r="D185" s="28" t="str">
        <f>VLOOKUP(A185,Classification!$A:$D,2,FALSE)</f>
        <v>A</v>
      </c>
      <c r="E185" s="49" t="str">
        <f>VLOOKUP(B185,Classification!$A:$D,2,FALSE)</f>
        <v>A</v>
      </c>
      <c r="F185" s="15" t="str">
        <f>VLOOKUP(C185,Classification!$A:$D,2,FALSE)</f>
        <v>A</v>
      </c>
      <c r="G185" s="15" t="b">
        <f t="shared" si="2"/>
        <v>1</v>
      </c>
      <c r="H185" s="10" t="str">
        <f>IF(ISERROR(MATCH(A185,'SegEnds_Xtal_Prot#'!B:B, 0)), "NoXtal", "Xtal")</f>
        <v>NoXtal</v>
      </c>
      <c r="J185" s="3"/>
    </row>
    <row r="186" spans="1:10" x14ac:dyDescent="0.2">
      <c r="A186" s="3" t="s">
        <v>263</v>
      </c>
      <c r="B186" s="1" t="s">
        <v>1176</v>
      </c>
      <c r="C186" t="s">
        <v>192</v>
      </c>
      <c r="D186" s="28" t="str">
        <f>VLOOKUP(A186,Classification!$A:$D,2,FALSE)</f>
        <v>A</v>
      </c>
      <c r="E186" s="49" t="str">
        <f>VLOOKUP(B186,Classification!$A:$D,2,FALSE)</f>
        <v>A</v>
      </c>
      <c r="F186" s="15" t="str">
        <f>VLOOKUP(C186,Classification!$A:$D,2,FALSE)</f>
        <v>A</v>
      </c>
      <c r="G186" s="15" t="b">
        <f t="shared" si="2"/>
        <v>1</v>
      </c>
      <c r="H186" s="10" t="str">
        <f>IF(ISERROR(MATCH(A186,'SegEnds_Xtal_Prot#'!B:B, 0)), "NoXtal", "Xtal")</f>
        <v>NoXtal</v>
      </c>
      <c r="J186" s="3"/>
    </row>
    <row r="187" spans="1:10" x14ac:dyDescent="0.2">
      <c r="A187" s="3" t="s">
        <v>266</v>
      </c>
      <c r="B187" s="1" t="s">
        <v>191</v>
      </c>
      <c r="C187" t="s">
        <v>192</v>
      </c>
      <c r="D187" s="28" t="str">
        <f>VLOOKUP(A187,Classification!$A:$D,2,FALSE)</f>
        <v>A</v>
      </c>
      <c r="E187" s="49" t="str">
        <f>VLOOKUP(B187,Classification!$A:$D,2,FALSE)</f>
        <v>A</v>
      </c>
      <c r="F187" s="15" t="str">
        <f>VLOOKUP(C187,Classification!$A:$D,2,FALSE)</f>
        <v>A</v>
      </c>
      <c r="G187" s="15" t="b">
        <f t="shared" si="2"/>
        <v>1</v>
      </c>
      <c r="H187" s="10" t="str">
        <f>IF(ISERROR(MATCH(A187,'SegEnds_Xtal_Prot#'!B:B, 0)), "NoXtal", "Xtal")</f>
        <v>NoXtal</v>
      </c>
      <c r="J187" s="3"/>
    </row>
    <row r="188" spans="1:10" x14ac:dyDescent="0.2">
      <c r="A188" s="3" t="s">
        <v>196</v>
      </c>
      <c r="B188" s="1" t="s">
        <v>196</v>
      </c>
      <c r="C188" t="s">
        <v>196</v>
      </c>
      <c r="D188" s="28" t="str">
        <f>VLOOKUP(A188,Classification!$A:$D,2,FALSE)</f>
        <v>A</v>
      </c>
      <c r="E188" s="49" t="str">
        <f>VLOOKUP(B188,Classification!$A:$D,2,FALSE)</f>
        <v>A</v>
      </c>
      <c r="F188" s="15" t="str">
        <f>VLOOKUP(C188,Classification!$A:$D,2,FALSE)</f>
        <v>A</v>
      </c>
      <c r="G188" s="15" t="b">
        <f t="shared" si="2"/>
        <v>1</v>
      </c>
      <c r="H188" s="10" t="str">
        <f>IF(ISERROR(MATCH(A188,'SegEnds_Xtal_Prot#'!B:B, 0)), "NoXtal", "Xtal")</f>
        <v>Xtal</v>
      </c>
      <c r="J188" s="3"/>
    </row>
    <row r="189" spans="1:10" x14ac:dyDescent="0.2">
      <c r="A189" s="3" t="s">
        <v>195</v>
      </c>
      <c r="B189" s="1" t="s">
        <v>196</v>
      </c>
      <c r="C189" t="s">
        <v>196</v>
      </c>
      <c r="D189" s="28" t="str">
        <f>VLOOKUP(A189,Classification!$A:$D,2,FALSE)</f>
        <v>A</v>
      </c>
      <c r="E189" s="49" t="str">
        <f>VLOOKUP(B189,Classification!$A:$D,2,FALSE)</f>
        <v>A</v>
      </c>
      <c r="F189" s="15" t="str">
        <f>VLOOKUP(C189,Classification!$A:$D,2,FALSE)</f>
        <v>A</v>
      </c>
      <c r="G189" s="15" t="b">
        <f t="shared" si="2"/>
        <v>1</v>
      </c>
      <c r="H189" s="10" t="str">
        <f>IF(ISERROR(MATCH(A189,'SegEnds_Xtal_Prot#'!B:B, 0)), "NoXtal", "Xtal")</f>
        <v>NoXtal</v>
      </c>
      <c r="J189" s="3"/>
    </row>
    <row r="190" spans="1:10" x14ac:dyDescent="0.2">
      <c r="A190" s="3" t="s">
        <v>274</v>
      </c>
      <c r="B190" s="1" t="s">
        <v>196</v>
      </c>
      <c r="C190" t="s">
        <v>196</v>
      </c>
      <c r="D190" s="28" t="str">
        <f>VLOOKUP(A190,Classification!$A:$D,2,FALSE)</f>
        <v>A</v>
      </c>
      <c r="E190" s="49" t="str">
        <f>VLOOKUP(B190,Classification!$A:$D,2,FALSE)</f>
        <v>A</v>
      </c>
      <c r="F190" s="15" t="str">
        <f>VLOOKUP(C190,Classification!$A:$D,2,FALSE)</f>
        <v>A</v>
      </c>
      <c r="G190" s="15" t="b">
        <f t="shared" si="2"/>
        <v>1</v>
      </c>
      <c r="H190" s="10" t="str">
        <f>IF(ISERROR(MATCH(A190,'SegEnds_Xtal_Prot#'!B:B, 0)), "NoXtal", "Xtal")</f>
        <v>NoXtal</v>
      </c>
      <c r="J190" s="3"/>
    </row>
    <row r="191" spans="1:10" x14ac:dyDescent="0.2">
      <c r="A191" s="3" t="s">
        <v>255</v>
      </c>
      <c r="B191" s="1" t="s">
        <v>196</v>
      </c>
      <c r="C191" t="s">
        <v>196</v>
      </c>
      <c r="D191" s="28" t="str">
        <f>VLOOKUP(A191,Classification!$A:$D,2,FALSE)</f>
        <v>A</v>
      </c>
      <c r="E191" s="49" t="str">
        <f>VLOOKUP(B191,Classification!$A:$D,2,FALSE)</f>
        <v>A</v>
      </c>
      <c r="F191" s="15" t="str">
        <f>VLOOKUP(C191,Classification!$A:$D,2,FALSE)</f>
        <v>A</v>
      </c>
      <c r="G191" s="15" t="b">
        <f t="shared" si="2"/>
        <v>1</v>
      </c>
      <c r="H191" s="10" t="str">
        <f>IF(ISERROR(MATCH(A191,'SegEnds_Xtal_Prot#'!B:B, 0)), "NoXtal", "Xtal")</f>
        <v>NoXtal</v>
      </c>
      <c r="J191" s="3"/>
    </row>
    <row r="192" spans="1:10" x14ac:dyDescent="0.2">
      <c r="A192" s="3" t="s">
        <v>197</v>
      </c>
      <c r="B192" s="1" t="s">
        <v>196</v>
      </c>
      <c r="C192" t="s">
        <v>196</v>
      </c>
      <c r="D192" s="28" t="str">
        <f>VLOOKUP(A192,Classification!$A:$D,2,FALSE)</f>
        <v>A</v>
      </c>
      <c r="E192" s="49" t="str">
        <f>VLOOKUP(B192,Classification!$A:$D,2,FALSE)</f>
        <v>A</v>
      </c>
      <c r="F192" s="15" t="str">
        <f>VLOOKUP(C192,Classification!$A:$D,2,FALSE)</f>
        <v>A</v>
      </c>
      <c r="G192" s="15" t="b">
        <f t="shared" si="2"/>
        <v>1</v>
      </c>
      <c r="H192" s="10" t="str">
        <f>IF(ISERROR(MATCH(A192,'SegEnds_Xtal_Prot#'!B:B, 0)), "NoXtal", "Xtal")</f>
        <v>NoXtal</v>
      </c>
      <c r="J192" s="3"/>
    </row>
    <row r="193" spans="1:10" x14ac:dyDescent="0.2">
      <c r="A193" s="3" t="s">
        <v>317</v>
      </c>
      <c r="B193" s="1" t="s">
        <v>196</v>
      </c>
      <c r="C193" t="s">
        <v>196</v>
      </c>
      <c r="D193" s="28" t="str">
        <f>VLOOKUP(A193,Classification!$A:$D,2,FALSE)</f>
        <v>A</v>
      </c>
      <c r="E193" s="49" t="str">
        <f>VLOOKUP(B193,Classification!$A:$D,2,FALSE)</f>
        <v>A</v>
      </c>
      <c r="F193" s="15" t="str">
        <f>VLOOKUP(C193,Classification!$A:$D,2,FALSE)</f>
        <v>A</v>
      </c>
      <c r="G193" s="15" t="b">
        <f t="shared" si="2"/>
        <v>1</v>
      </c>
      <c r="H193" s="10" t="str">
        <f>IF(ISERROR(MATCH(A193,'SegEnds_Xtal_Prot#'!B:B, 0)), "NoXtal", "Xtal")</f>
        <v>NoXtal</v>
      </c>
      <c r="J193" s="3"/>
    </row>
    <row r="194" spans="1:10" x14ac:dyDescent="0.2">
      <c r="A194" s="3" t="s">
        <v>1173</v>
      </c>
      <c r="B194" s="1" t="s">
        <v>1173</v>
      </c>
      <c r="C194" t="s">
        <v>1173</v>
      </c>
      <c r="D194" s="28" t="str">
        <f>VLOOKUP(A194,Classification!$A:$D,2,FALSE)</f>
        <v>A</v>
      </c>
      <c r="E194" s="49" t="str">
        <f>VLOOKUP(B194,Classification!$A:$D,2,FALSE)</f>
        <v>A</v>
      </c>
      <c r="F194" s="15" t="str">
        <f>VLOOKUP(C194,Classification!$A:$D,2,FALSE)</f>
        <v>A</v>
      </c>
      <c r="G194" s="15" t="b">
        <f t="shared" si="2"/>
        <v>1</v>
      </c>
      <c r="H194" s="10" t="str">
        <f>IF(ISERROR(MATCH(A194,'SegEnds_Xtal_Prot#'!B:B, 0)), "NoXtal", "Xtal")</f>
        <v>Xtal</v>
      </c>
      <c r="J194" s="3"/>
    </row>
    <row r="195" spans="1:10" x14ac:dyDescent="0.2">
      <c r="A195" s="3" t="s">
        <v>198</v>
      </c>
      <c r="B195" s="1" t="s">
        <v>356</v>
      </c>
      <c r="C195" t="s">
        <v>1173</v>
      </c>
      <c r="D195" s="28" t="str">
        <f>VLOOKUP(A195,Classification!$A:$D,2,FALSE)</f>
        <v>A</v>
      </c>
      <c r="E195" s="49" t="str">
        <f>VLOOKUP(B195,Classification!$A:$D,2,FALSE)</f>
        <v>A</v>
      </c>
      <c r="F195" s="15" t="str">
        <f>VLOOKUP(C195,Classification!$A:$D,2,FALSE)</f>
        <v>A</v>
      </c>
      <c r="G195" s="15" t="b">
        <f t="shared" ref="G195:G258" si="3">OR(D195=F195,AND(D195="T",F195="A"),AND(D195="B2",F195="B1"),D195="O")</f>
        <v>1</v>
      </c>
      <c r="H195" s="10" t="str">
        <f>IF(ISERROR(MATCH(A195,'SegEnds_Xtal_Prot#'!B:B, 0)), "NoXtal", "Xtal")</f>
        <v>NoXtal</v>
      </c>
      <c r="J195" s="3"/>
    </row>
    <row r="196" spans="1:10" x14ac:dyDescent="0.2">
      <c r="A196" s="3" t="s">
        <v>404</v>
      </c>
      <c r="B196" s="1" t="s">
        <v>409</v>
      </c>
      <c r="C196" t="s">
        <v>32</v>
      </c>
      <c r="D196" s="28" t="str">
        <f>VLOOKUP(A196,Classification!$A:$D,2,FALSE)</f>
        <v>B1</v>
      </c>
      <c r="E196" s="49" t="str">
        <f>VLOOKUP(B196,Classification!$A:$D,2,FALSE)</f>
        <v>B1</v>
      </c>
      <c r="F196" s="15" t="str">
        <f>VLOOKUP(C196,Classification!$A:$D,2,FALSE)</f>
        <v>B1</v>
      </c>
      <c r="G196" s="15" t="b">
        <f t="shared" si="3"/>
        <v>1</v>
      </c>
      <c r="H196" s="10" t="str">
        <f>IF(ISERROR(MATCH(A196,'SegEnds_Xtal_Prot#'!B:B, 0)), "NoXtal", "Xtal")</f>
        <v>NoXtal</v>
      </c>
      <c r="J196" s="3"/>
    </row>
    <row r="197" spans="1:10" x14ac:dyDescent="0.2">
      <c r="A197" s="3" t="s">
        <v>411</v>
      </c>
      <c r="B197" s="1" t="s">
        <v>409</v>
      </c>
      <c r="C197" t="s">
        <v>32</v>
      </c>
      <c r="D197" s="28" t="str">
        <f>VLOOKUP(A197,Classification!$A:$D,2,FALSE)</f>
        <v>B1</v>
      </c>
      <c r="E197" s="49" t="str">
        <f>VLOOKUP(B197,Classification!$A:$D,2,FALSE)</f>
        <v>B1</v>
      </c>
      <c r="F197" s="15" t="str">
        <f>VLOOKUP(C197,Classification!$A:$D,2,FALSE)</f>
        <v>B1</v>
      </c>
      <c r="G197" s="15" t="b">
        <f t="shared" si="3"/>
        <v>1</v>
      </c>
      <c r="H197" s="10" t="str">
        <f>IF(ISERROR(MATCH(A197,'SegEnds_Xtal_Prot#'!B:B, 0)), "NoXtal", "Xtal")</f>
        <v>NoXtal</v>
      </c>
      <c r="J197" s="3"/>
    </row>
    <row r="198" spans="1:10" x14ac:dyDescent="0.2">
      <c r="A198" s="3" t="s">
        <v>406</v>
      </c>
      <c r="B198" s="1" t="s">
        <v>406</v>
      </c>
      <c r="C198" t="s">
        <v>32</v>
      </c>
      <c r="D198" s="28" t="str">
        <f>VLOOKUP(A198,Classification!$A:$D,2,FALSE)</f>
        <v>B1</v>
      </c>
      <c r="E198" s="49" t="str">
        <f>VLOOKUP(B198,Classification!$A:$D,2,FALSE)</f>
        <v>B1</v>
      </c>
      <c r="F198" s="15" t="str">
        <f>VLOOKUP(C198,Classification!$A:$D,2,FALSE)</f>
        <v>B1</v>
      </c>
      <c r="G198" s="15" t="b">
        <f t="shared" si="3"/>
        <v>1</v>
      </c>
      <c r="H198" s="10" t="str">
        <f>IF(ISERROR(MATCH(A198,'SegEnds_Xtal_Prot#'!B:B, 0)), "NoXtal", "Xtal")</f>
        <v>Xtal</v>
      </c>
      <c r="J198" s="3"/>
    </row>
    <row r="199" spans="1:10" x14ac:dyDescent="0.2">
      <c r="A199" s="3" t="s">
        <v>413</v>
      </c>
      <c r="B199" s="1" t="s">
        <v>409</v>
      </c>
      <c r="C199" t="s">
        <v>32</v>
      </c>
      <c r="D199" s="28" t="str">
        <f>VLOOKUP(A199,Classification!$A:$D,2,FALSE)</f>
        <v>B1</v>
      </c>
      <c r="E199" s="49" t="str">
        <f>VLOOKUP(B199,Classification!$A:$D,2,FALSE)</f>
        <v>B1</v>
      </c>
      <c r="F199" s="15" t="str">
        <f>VLOOKUP(C199,Classification!$A:$D,2,FALSE)</f>
        <v>B1</v>
      </c>
      <c r="G199" s="15" t="b">
        <f t="shared" si="3"/>
        <v>1</v>
      </c>
      <c r="H199" s="10" t="str">
        <f>IF(ISERROR(MATCH(A199,'SegEnds_Xtal_Prot#'!B:B, 0)), "NoXtal", "Xtal")</f>
        <v>NoXtal</v>
      </c>
      <c r="J199" s="3"/>
    </row>
    <row r="200" spans="1:10" x14ac:dyDescent="0.2">
      <c r="A200" s="3" t="s">
        <v>408</v>
      </c>
      <c r="B200" s="1" t="s">
        <v>409</v>
      </c>
      <c r="C200" t="s">
        <v>32</v>
      </c>
      <c r="D200" s="28" t="str">
        <f>VLOOKUP(A200,Classification!$A:$D,2,FALSE)</f>
        <v>B1</v>
      </c>
      <c r="E200" s="49" t="str">
        <f>VLOOKUP(B200,Classification!$A:$D,2,FALSE)</f>
        <v>B1</v>
      </c>
      <c r="F200" s="15" t="str">
        <f>VLOOKUP(C200,Classification!$A:$D,2,FALSE)</f>
        <v>B1</v>
      </c>
      <c r="G200" s="15" t="b">
        <f t="shared" si="3"/>
        <v>1</v>
      </c>
      <c r="H200" s="10" t="str">
        <f>IF(ISERROR(MATCH(A200,'SegEnds_Xtal_Prot#'!B:B, 0)), "NoXtal", "Xtal")</f>
        <v>NoXtal</v>
      </c>
      <c r="J200" s="3"/>
    </row>
    <row r="201" spans="1:10" x14ac:dyDescent="0.2">
      <c r="A201" s="3" t="s">
        <v>412</v>
      </c>
      <c r="B201" s="1" t="s">
        <v>409</v>
      </c>
      <c r="C201" t="s">
        <v>32</v>
      </c>
      <c r="D201" s="28" t="str">
        <f>VLOOKUP(A201,Classification!$A:$D,2,FALSE)</f>
        <v>B1</v>
      </c>
      <c r="E201" s="49" t="str">
        <f>VLOOKUP(B201,Classification!$A:$D,2,FALSE)</f>
        <v>B1</v>
      </c>
      <c r="F201" s="15" t="str">
        <f>VLOOKUP(C201,Classification!$A:$D,2,FALSE)</f>
        <v>B1</v>
      </c>
      <c r="G201" s="15" t="b">
        <f t="shared" si="3"/>
        <v>1</v>
      </c>
      <c r="H201" s="10" t="str">
        <f>IF(ISERROR(MATCH(A201,'SegEnds_Xtal_Prot#'!B:B, 0)), "NoXtal", "Xtal")</f>
        <v>NoXtal</v>
      </c>
      <c r="J201" s="3"/>
    </row>
    <row r="202" spans="1:10" x14ac:dyDescent="0.2">
      <c r="A202" s="3" t="s">
        <v>405</v>
      </c>
      <c r="B202" s="1" t="s">
        <v>32</v>
      </c>
      <c r="C202" t="s">
        <v>32</v>
      </c>
      <c r="D202" s="28" t="str">
        <f>VLOOKUP(A202,Classification!$A:$D,2,FALSE)</f>
        <v>B1</v>
      </c>
      <c r="E202" s="49" t="str">
        <f>VLOOKUP(B202,Classification!$A:$D,2,FALSE)</f>
        <v>B1</v>
      </c>
      <c r="F202" s="15" t="str">
        <f>VLOOKUP(C202,Classification!$A:$D,2,FALSE)</f>
        <v>B1</v>
      </c>
      <c r="G202" s="15" t="b">
        <f t="shared" si="3"/>
        <v>1</v>
      </c>
      <c r="H202" s="10" t="str">
        <f>IF(ISERROR(MATCH(A202,'SegEnds_Xtal_Prot#'!B:B, 0)), "NoXtal", "Xtal")</f>
        <v>NoXtal</v>
      </c>
      <c r="J202" s="3"/>
    </row>
    <row r="203" spans="1:10" x14ac:dyDescent="0.2">
      <c r="A203" s="3" t="s">
        <v>32</v>
      </c>
      <c r="B203" s="1" t="s">
        <v>32</v>
      </c>
      <c r="C203" t="s">
        <v>32</v>
      </c>
      <c r="D203" s="28" t="str">
        <f>VLOOKUP(A203,Classification!$A:$D,2,FALSE)</f>
        <v>B1</v>
      </c>
      <c r="E203" s="49" t="str">
        <f>VLOOKUP(B203,Classification!$A:$D,2,FALSE)</f>
        <v>B1</v>
      </c>
      <c r="F203" s="15" t="str">
        <f>VLOOKUP(C203,Classification!$A:$D,2,FALSE)</f>
        <v>B1</v>
      </c>
      <c r="G203" s="15" t="b">
        <f t="shared" si="3"/>
        <v>1</v>
      </c>
      <c r="H203" s="10" t="str">
        <f>IF(ISERROR(MATCH(A203,'SegEnds_Xtal_Prot#'!B:B, 0)), "NoXtal", "Xtal")</f>
        <v>Xtal</v>
      </c>
      <c r="J203" s="3"/>
    </row>
    <row r="204" spans="1:10" x14ac:dyDescent="0.2">
      <c r="A204" s="3" t="s">
        <v>407</v>
      </c>
      <c r="B204" s="1" t="s">
        <v>32</v>
      </c>
      <c r="C204" t="s">
        <v>32</v>
      </c>
      <c r="D204" s="28" t="str">
        <f>VLOOKUP(A204,Classification!$A:$D,2,FALSE)</f>
        <v>B1</v>
      </c>
      <c r="E204" s="49" t="str">
        <f>VLOOKUP(B204,Classification!$A:$D,2,FALSE)</f>
        <v>B1</v>
      </c>
      <c r="F204" s="15" t="str">
        <f>VLOOKUP(C204,Classification!$A:$D,2,FALSE)</f>
        <v>B1</v>
      </c>
      <c r="G204" s="15" t="b">
        <f t="shared" si="3"/>
        <v>1</v>
      </c>
      <c r="H204" s="10" t="str">
        <f>IF(ISERROR(MATCH(A204,'SegEnds_Xtal_Prot#'!B:B, 0)), "NoXtal", "Xtal")</f>
        <v>NoXtal</v>
      </c>
      <c r="J204" s="3"/>
    </row>
    <row r="205" spans="1:10" x14ac:dyDescent="0.2">
      <c r="A205" s="3" t="s">
        <v>409</v>
      </c>
      <c r="B205" s="1" t="s">
        <v>409</v>
      </c>
      <c r="C205" t="s">
        <v>32</v>
      </c>
      <c r="D205" s="28" t="str">
        <f>VLOOKUP(A205,Classification!$A:$D,2,FALSE)</f>
        <v>B1</v>
      </c>
      <c r="E205" s="49" t="str">
        <f>VLOOKUP(B205,Classification!$A:$D,2,FALSE)</f>
        <v>B1</v>
      </c>
      <c r="F205" s="15" t="str">
        <f>VLOOKUP(C205,Classification!$A:$D,2,FALSE)</f>
        <v>B1</v>
      </c>
      <c r="G205" s="15" t="b">
        <f t="shared" si="3"/>
        <v>1</v>
      </c>
      <c r="H205" s="10" t="str">
        <f>IF(ISERROR(MATCH(A205,'SegEnds_Xtal_Prot#'!B:B, 0)), "NoXtal", "Xtal")</f>
        <v>Xtal</v>
      </c>
      <c r="J205" s="3"/>
    </row>
    <row r="206" spans="1:10" x14ac:dyDescent="0.2">
      <c r="A206" s="3" t="s">
        <v>410</v>
      </c>
      <c r="B206" s="1" t="s">
        <v>409</v>
      </c>
      <c r="C206" t="s">
        <v>32</v>
      </c>
      <c r="D206" s="28" t="str">
        <f>VLOOKUP(A206,Classification!$A:$D,2,FALSE)</f>
        <v>B1</v>
      </c>
      <c r="E206" s="49" t="str">
        <f>VLOOKUP(B206,Classification!$A:$D,2,FALSE)</f>
        <v>B1</v>
      </c>
      <c r="F206" s="15" t="str">
        <f>VLOOKUP(C206,Classification!$A:$D,2,FALSE)</f>
        <v>B1</v>
      </c>
      <c r="G206" s="15" t="b">
        <f t="shared" si="3"/>
        <v>1</v>
      </c>
      <c r="H206" s="10" t="str">
        <f>IF(ISERROR(MATCH(A206,'SegEnds_Xtal_Prot#'!B:B, 0)), "NoXtal", "Xtal")</f>
        <v>NoXtal</v>
      </c>
      <c r="J206" s="3"/>
    </row>
    <row r="207" spans="1:10" x14ac:dyDescent="0.2">
      <c r="A207" s="3" t="s">
        <v>123</v>
      </c>
      <c r="B207" s="1" t="s">
        <v>40</v>
      </c>
      <c r="C207" t="s">
        <v>40</v>
      </c>
      <c r="D207" s="28" t="str">
        <f>VLOOKUP(A207,Classification!$A:$D,2,FALSE)</f>
        <v>C</v>
      </c>
      <c r="E207" s="49" t="str">
        <f>VLOOKUP(B207,Classification!$A:$D,2,FALSE)</f>
        <v>C</v>
      </c>
      <c r="F207" s="15" t="str">
        <f>VLOOKUP(C207,Classification!$A:$D,2,FALSE)</f>
        <v>C</v>
      </c>
      <c r="G207" s="15" t="b">
        <f t="shared" si="3"/>
        <v>1</v>
      </c>
      <c r="H207" s="10" t="str">
        <f>IF(ISERROR(MATCH(A207,'SegEnds_Xtal_Prot#'!B:B, 0)), "NoXtal", "Xtal")</f>
        <v>NoXtal</v>
      </c>
      <c r="J207" s="3"/>
    </row>
    <row r="208" spans="1:10" x14ac:dyDescent="0.2">
      <c r="A208" s="3" t="s">
        <v>122</v>
      </c>
      <c r="B208" s="1" t="s">
        <v>40</v>
      </c>
      <c r="C208" t="s">
        <v>40</v>
      </c>
      <c r="D208" s="28" t="str">
        <f>VLOOKUP(A208,Classification!$A:$D,2,FALSE)</f>
        <v>C</v>
      </c>
      <c r="E208" s="49" t="str">
        <f>VLOOKUP(B208,Classification!$A:$D,2,FALSE)</f>
        <v>C</v>
      </c>
      <c r="F208" s="15" t="str">
        <f>VLOOKUP(C208,Classification!$A:$D,2,FALSE)</f>
        <v>C</v>
      </c>
      <c r="G208" s="15" t="b">
        <f t="shared" si="3"/>
        <v>1</v>
      </c>
      <c r="H208" s="10" t="str">
        <f>IF(ISERROR(MATCH(A208,'SegEnds_Xtal_Prot#'!B:B, 0)), "NoXtal", "Xtal")</f>
        <v>NoXtal</v>
      </c>
      <c r="J208" s="3"/>
    </row>
    <row r="209" spans="1:10" x14ac:dyDescent="0.2">
      <c r="A209" s="3" t="s">
        <v>124</v>
      </c>
      <c r="B209" s="1" t="s">
        <v>40</v>
      </c>
      <c r="C209" t="s">
        <v>40</v>
      </c>
      <c r="D209" s="28" t="str">
        <f>VLOOKUP(A209,Classification!$A:$D,2,FALSE)</f>
        <v>C</v>
      </c>
      <c r="E209" s="49" t="str">
        <f>VLOOKUP(B209,Classification!$A:$D,2,FALSE)</f>
        <v>C</v>
      </c>
      <c r="F209" s="15" t="str">
        <f>VLOOKUP(C209,Classification!$A:$D,2,FALSE)</f>
        <v>C</v>
      </c>
      <c r="G209" s="15" t="b">
        <f t="shared" si="3"/>
        <v>1</v>
      </c>
      <c r="H209" s="10" t="str">
        <f>IF(ISERROR(MATCH(A209,'SegEnds_Xtal_Prot#'!B:B, 0)), "NoXtal", "Xtal")</f>
        <v>NoXtal</v>
      </c>
      <c r="J209" s="3"/>
    </row>
    <row r="210" spans="1:10" x14ac:dyDescent="0.2">
      <c r="A210" s="3" t="s">
        <v>113</v>
      </c>
      <c r="B210" s="1" t="s">
        <v>40</v>
      </c>
      <c r="C210" t="s">
        <v>40</v>
      </c>
      <c r="D210" s="28" t="str">
        <f>VLOOKUP(A210,Classification!$A:$D,2,FALSE)</f>
        <v>C</v>
      </c>
      <c r="E210" s="49" t="str">
        <f>VLOOKUP(B210,Classification!$A:$D,2,FALSE)</f>
        <v>C</v>
      </c>
      <c r="F210" s="15" t="str">
        <f>VLOOKUP(C210,Classification!$A:$D,2,FALSE)</f>
        <v>C</v>
      </c>
      <c r="G210" s="15" t="b">
        <f t="shared" si="3"/>
        <v>1</v>
      </c>
      <c r="H210" s="10" t="str">
        <f>IF(ISERROR(MATCH(A210,'SegEnds_Xtal_Prot#'!B:B, 0)), "NoXtal", "Xtal")</f>
        <v>NoXtal</v>
      </c>
      <c r="J210" s="3"/>
    </row>
    <row r="211" spans="1:10" x14ac:dyDescent="0.2">
      <c r="A211" s="3" t="s">
        <v>121</v>
      </c>
      <c r="B211" s="1" t="s">
        <v>40</v>
      </c>
      <c r="C211" t="s">
        <v>40</v>
      </c>
      <c r="D211" s="28" t="str">
        <f>VLOOKUP(A211,Classification!$A:$D,2,FALSE)</f>
        <v>C</v>
      </c>
      <c r="E211" s="49" t="str">
        <f>VLOOKUP(B211,Classification!$A:$D,2,FALSE)</f>
        <v>C</v>
      </c>
      <c r="F211" s="15" t="str">
        <f>VLOOKUP(C211,Classification!$A:$D,2,FALSE)</f>
        <v>C</v>
      </c>
      <c r="G211" s="15" t="b">
        <f t="shared" si="3"/>
        <v>1</v>
      </c>
      <c r="H211" s="10" t="str">
        <f>IF(ISERROR(MATCH(A211,'SegEnds_Xtal_Prot#'!B:B, 0)), "NoXtal", "Xtal")</f>
        <v>NoXtal</v>
      </c>
      <c r="J211" s="3"/>
    </row>
    <row r="212" spans="1:10" x14ac:dyDescent="0.2">
      <c r="A212" s="3" t="s">
        <v>114</v>
      </c>
      <c r="B212" s="1" t="s">
        <v>40</v>
      </c>
      <c r="C212" t="s">
        <v>40</v>
      </c>
      <c r="D212" s="28" t="str">
        <f>VLOOKUP(A212,Classification!$A:$D,2,FALSE)</f>
        <v>C</v>
      </c>
      <c r="E212" s="49" t="str">
        <f>VLOOKUP(B212,Classification!$A:$D,2,FALSE)</f>
        <v>C</v>
      </c>
      <c r="F212" s="15" t="str">
        <f>VLOOKUP(C212,Classification!$A:$D,2,FALSE)</f>
        <v>C</v>
      </c>
      <c r="G212" s="15" t="b">
        <f t="shared" si="3"/>
        <v>1</v>
      </c>
      <c r="H212" s="10" t="str">
        <f>IF(ISERROR(MATCH(A212,'SegEnds_Xtal_Prot#'!B:B, 0)), "NoXtal", "Xtal")</f>
        <v>NoXtal</v>
      </c>
      <c r="J212" s="3"/>
    </row>
    <row r="213" spans="1:10" x14ac:dyDescent="0.2">
      <c r="A213" s="3" t="s">
        <v>106</v>
      </c>
      <c r="B213" s="1" t="s">
        <v>41</v>
      </c>
      <c r="C213" t="s">
        <v>40</v>
      </c>
      <c r="D213" s="28" t="str">
        <f>VLOOKUP(A213,Classification!$A:$D,2,FALSE)</f>
        <v>C</v>
      </c>
      <c r="E213" s="49" t="str">
        <f>VLOOKUP(B213,Classification!$A:$D,2,FALSE)</f>
        <v>C</v>
      </c>
      <c r="F213" s="15" t="str">
        <f>VLOOKUP(C213,Classification!$A:$D,2,FALSE)</f>
        <v>C</v>
      </c>
      <c r="G213" s="15" t="b">
        <f t="shared" si="3"/>
        <v>1</v>
      </c>
      <c r="H213" s="10" t="str">
        <f>IF(ISERROR(MATCH(A213,'SegEnds_Xtal_Prot#'!B:B, 0)), "NoXtal", "Xtal")</f>
        <v>NoXtal</v>
      </c>
      <c r="J213" s="3"/>
    </row>
    <row r="214" spans="1:10" x14ac:dyDescent="0.2">
      <c r="A214" s="3" t="s">
        <v>111</v>
      </c>
      <c r="B214" s="1" t="s">
        <v>40</v>
      </c>
      <c r="C214" t="s">
        <v>40</v>
      </c>
      <c r="D214" s="28" t="str">
        <f>VLOOKUP(A214,Classification!$A:$D,2,FALSE)</f>
        <v>C</v>
      </c>
      <c r="E214" s="49" t="str">
        <f>VLOOKUP(B214,Classification!$A:$D,2,FALSE)</f>
        <v>C</v>
      </c>
      <c r="F214" s="15" t="str">
        <f>VLOOKUP(C214,Classification!$A:$D,2,FALSE)</f>
        <v>C</v>
      </c>
      <c r="G214" s="15" t="b">
        <f t="shared" si="3"/>
        <v>1</v>
      </c>
      <c r="H214" s="10" t="str">
        <f>IF(ISERROR(MATCH(A214,'SegEnds_Xtal_Prot#'!B:B, 0)), "NoXtal", "Xtal")</f>
        <v>NoXtal</v>
      </c>
      <c r="J214" s="3"/>
    </row>
    <row r="215" spans="1:10" x14ac:dyDescent="0.2">
      <c r="A215" s="3" t="s">
        <v>112</v>
      </c>
      <c r="B215" s="1" t="s">
        <v>40</v>
      </c>
      <c r="C215" t="s">
        <v>40</v>
      </c>
      <c r="D215" s="28" t="str">
        <f>VLOOKUP(A215,Classification!$A:$D,2,FALSE)</f>
        <v>C</v>
      </c>
      <c r="E215" s="49" t="str">
        <f>VLOOKUP(B215,Classification!$A:$D,2,FALSE)</f>
        <v>C</v>
      </c>
      <c r="F215" s="15" t="str">
        <f>VLOOKUP(C215,Classification!$A:$D,2,FALSE)</f>
        <v>C</v>
      </c>
      <c r="G215" s="15" t="b">
        <f t="shared" si="3"/>
        <v>1</v>
      </c>
      <c r="H215" s="10" t="str">
        <f>IF(ISERROR(MATCH(A215,'SegEnds_Xtal_Prot#'!B:B, 0)), "NoXtal", "Xtal")</f>
        <v>NoXtal</v>
      </c>
      <c r="J215" s="3"/>
    </row>
    <row r="216" spans="1:10" x14ac:dyDescent="0.2">
      <c r="A216" s="3" t="s">
        <v>40</v>
      </c>
      <c r="B216" s="1" t="s">
        <v>40</v>
      </c>
      <c r="C216" t="s">
        <v>40</v>
      </c>
      <c r="D216" s="28" t="str">
        <f>VLOOKUP(A216,Classification!$A:$D,2,FALSE)</f>
        <v>C</v>
      </c>
      <c r="E216" s="49" t="str">
        <f>VLOOKUP(B216,Classification!$A:$D,2,FALSE)</f>
        <v>C</v>
      </c>
      <c r="F216" s="15" t="str">
        <f>VLOOKUP(C216,Classification!$A:$D,2,FALSE)</f>
        <v>C</v>
      </c>
      <c r="G216" s="15" t="b">
        <f t="shared" si="3"/>
        <v>1</v>
      </c>
      <c r="H216" s="10" t="str">
        <f>IF(ISERROR(MATCH(A216,'SegEnds_Xtal_Prot#'!B:B, 0)), "NoXtal", "Xtal")</f>
        <v>Xtal</v>
      </c>
      <c r="J216" s="3"/>
    </row>
    <row r="217" spans="1:10" x14ac:dyDescent="0.2">
      <c r="A217" s="3" t="s">
        <v>108</v>
      </c>
      <c r="B217" s="1" t="s">
        <v>40</v>
      </c>
      <c r="C217" t="s">
        <v>40</v>
      </c>
      <c r="D217" s="28" t="str">
        <f>VLOOKUP(A217,Classification!$A:$D,2,FALSE)</f>
        <v>C</v>
      </c>
      <c r="E217" s="49" t="str">
        <f>VLOOKUP(B217,Classification!$A:$D,2,FALSE)</f>
        <v>C</v>
      </c>
      <c r="F217" s="15" t="str">
        <f>VLOOKUP(C217,Classification!$A:$D,2,FALSE)</f>
        <v>C</v>
      </c>
      <c r="G217" s="15" t="b">
        <f t="shared" si="3"/>
        <v>1</v>
      </c>
      <c r="H217" s="10" t="str">
        <f>IF(ISERROR(MATCH(A217,'SegEnds_Xtal_Prot#'!B:B, 0)), "NoXtal", "Xtal")</f>
        <v>NoXtal</v>
      </c>
      <c r="J217" s="3"/>
    </row>
    <row r="218" spans="1:10" x14ac:dyDescent="0.2">
      <c r="A218" s="3" t="s">
        <v>109</v>
      </c>
      <c r="B218" s="1" t="s">
        <v>40</v>
      </c>
      <c r="C218" t="s">
        <v>40</v>
      </c>
      <c r="D218" s="28" t="str">
        <f>VLOOKUP(A218,Classification!$A:$D,2,FALSE)</f>
        <v>C</v>
      </c>
      <c r="E218" s="49" t="str">
        <f>VLOOKUP(B218,Classification!$A:$D,2,FALSE)</f>
        <v>C</v>
      </c>
      <c r="F218" s="15" t="str">
        <f>VLOOKUP(C218,Classification!$A:$D,2,FALSE)</f>
        <v>C</v>
      </c>
      <c r="G218" s="15" t="b">
        <f t="shared" si="3"/>
        <v>1</v>
      </c>
      <c r="H218" s="10" t="str">
        <f>IF(ISERROR(MATCH(A218,'SegEnds_Xtal_Prot#'!B:B, 0)), "NoXtal", "Xtal")</f>
        <v>NoXtal</v>
      </c>
      <c r="J218" s="3"/>
    </row>
    <row r="219" spans="1:10" x14ac:dyDescent="0.2">
      <c r="A219" s="3" t="s">
        <v>110</v>
      </c>
      <c r="B219" s="1" t="s">
        <v>40</v>
      </c>
      <c r="C219" t="s">
        <v>40</v>
      </c>
      <c r="D219" s="28" t="str">
        <f>VLOOKUP(A219,Classification!$A:$D,2,FALSE)</f>
        <v>C</v>
      </c>
      <c r="E219" s="49" t="str">
        <f>VLOOKUP(B219,Classification!$A:$D,2,FALSE)</f>
        <v>C</v>
      </c>
      <c r="F219" s="15" t="str">
        <f>VLOOKUP(C219,Classification!$A:$D,2,FALSE)</f>
        <v>C</v>
      </c>
      <c r="G219" s="15" t="b">
        <f t="shared" si="3"/>
        <v>1</v>
      </c>
      <c r="H219" s="10" t="str">
        <f>IF(ISERROR(MATCH(A219,'SegEnds_Xtal_Prot#'!B:B, 0)), "NoXtal", "Xtal")</f>
        <v>NoXtal</v>
      </c>
      <c r="J219" s="3"/>
    </row>
    <row r="220" spans="1:10" x14ac:dyDescent="0.2">
      <c r="A220" s="3" t="s">
        <v>118</v>
      </c>
      <c r="B220" s="1" t="s">
        <v>41</v>
      </c>
      <c r="C220" t="s">
        <v>41</v>
      </c>
      <c r="D220" s="28" t="str">
        <f>VLOOKUP(A220,Classification!$A:$D,2,FALSE)</f>
        <v>C</v>
      </c>
      <c r="E220" s="49" t="str">
        <f>VLOOKUP(B220,Classification!$A:$D,2,FALSE)</f>
        <v>C</v>
      </c>
      <c r="F220" s="15" t="str">
        <f>VLOOKUP(C220,Classification!$A:$D,2,FALSE)</f>
        <v>C</v>
      </c>
      <c r="G220" s="15" t="b">
        <f t="shared" si="3"/>
        <v>1</v>
      </c>
      <c r="H220" s="10" t="str">
        <f>IF(ISERROR(MATCH(A220,'SegEnds_Xtal_Prot#'!B:B, 0)), "NoXtal", "Xtal")</f>
        <v>NoXtal</v>
      </c>
      <c r="J220" s="3"/>
    </row>
    <row r="221" spans="1:10" x14ac:dyDescent="0.2">
      <c r="A221" s="3" t="s">
        <v>116</v>
      </c>
      <c r="B221" s="1" t="s">
        <v>41</v>
      </c>
      <c r="C221" t="s">
        <v>41</v>
      </c>
      <c r="D221" s="28" t="str">
        <f>VLOOKUP(A221,Classification!$A:$D,2,FALSE)</f>
        <v>C</v>
      </c>
      <c r="E221" s="49" t="str">
        <f>VLOOKUP(B221,Classification!$A:$D,2,FALSE)</f>
        <v>C</v>
      </c>
      <c r="F221" s="15" t="str">
        <f>VLOOKUP(C221,Classification!$A:$D,2,FALSE)</f>
        <v>C</v>
      </c>
      <c r="G221" s="15" t="b">
        <f t="shared" si="3"/>
        <v>1</v>
      </c>
      <c r="H221" s="10" t="str">
        <f>IF(ISERROR(MATCH(A221,'SegEnds_Xtal_Prot#'!B:B, 0)), "NoXtal", "Xtal")</f>
        <v>NoXtal</v>
      </c>
      <c r="J221" s="3"/>
    </row>
    <row r="222" spans="1:10" x14ac:dyDescent="0.2">
      <c r="A222" s="3" t="s">
        <v>115</v>
      </c>
      <c r="B222" s="1" t="s">
        <v>40</v>
      </c>
      <c r="C222" t="s">
        <v>41</v>
      </c>
      <c r="D222" s="28" t="str">
        <f>VLOOKUP(A222,Classification!$A:$D,2,FALSE)</f>
        <v>C</v>
      </c>
      <c r="E222" s="49" t="str">
        <f>VLOOKUP(B222,Classification!$A:$D,2,FALSE)</f>
        <v>C</v>
      </c>
      <c r="F222" s="15" t="str">
        <f>VLOOKUP(C222,Classification!$A:$D,2,FALSE)</f>
        <v>C</v>
      </c>
      <c r="G222" s="15" t="b">
        <f t="shared" si="3"/>
        <v>1</v>
      </c>
      <c r="H222" s="10" t="str">
        <f>IF(ISERROR(MATCH(A222,'SegEnds_Xtal_Prot#'!B:B, 0)), "NoXtal", "Xtal")</f>
        <v>NoXtal</v>
      </c>
      <c r="J222" s="3"/>
    </row>
    <row r="223" spans="1:10" x14ac:dyDescent="0.2">
      <c r="A223" s="3" t="s">
        <v>120</v>
      </c>
      <c r="B223" s="1" t="s">
        <v>41</v>
      </c>
      <c r="C223" t="s">
        <v>41</v>
      </c>
      <c r="D223" s="28" t="str">
        <f>VLOOKUP(A223,Classification!$A:$D,2,FALSE)</f>
        <v>C</v>
      </c>
      <c r="E223" s="49" t="str">
        <f>VLOOKUP(B223,Classification!$A:$D,2,FALSE)</f>
        <v>C</v>
      </c>
      <c r="F223" s="15" t="str">
        <f>VLOOKUP(C223,Classification!$A:$D,2,FALSE)</f>
        <v>C</v>
      </c>
      <c r="G223" s="15" t="b">
        <f t="shared" si="3"/>
        <v>1</v>
      </c>
      <c r="H223" s="10" t="str">
        <f>IF(ISERROR(MATCH(A223,'SegEnds_Xtal_Prot#'!B:B, 0)), "NoXtal", "Xtal")</f>
        <v>NoXtal</v>
      </c>
      <c r="J223" s="3"/>
    </row>
    <row r="224" spans="1:10" x14ac:dyDescent="0.2">
      <c r="A224" s="3" t="s">
        <v>117</v>
      </c>
      <c r="B224" s="1" t="s">
        <v>41</v>
      </c>
      <c r="C224" t="s">
        <v>41</v>
      </c>
      <c r="D224" s="28" t="str">
        <f>VLOOKUP(A224,Classification!$A:$D,2,FALSE)</f>
        <v>C</v>
      </c>
      <c r="E224" s="49" t="str">
        <f>VLOOKUP(B224,Classification!$A:$D,2,FALSE)</f>
        <v>C</v>
      </c>
      <c r="F224" s="15" t="str">
        <f>VLOOKUP(C224,Classification!$A:$D,2,FALSE)</f>
        <v>C</v>
      </c>
      <c r="G224" s="15" t="b">
        <f t="shared" si="3"/>
        <v>1</v>
      </c>
      <c r="H224" s="10" t="str">
        <f>IF(ISERROR(MATCH(A224,'SegEnds_Xtal_Prot#'!B:B, 0)), "NoXtal", "Xtal")</f>
        <v>NoXtal</v>
      </c>
      <c r="J224" s="3"/>
    </row>
    <row r="225" spans="1:10" x14ac:dyDescent="0.2">
      <c r="A225" s="3" t="s">
        <v>119</v>
      </c>
      <c r="B225" s="1" t="s">
        <v>41</v>
      </c>
      <c r="C225" t="s">
        <v>41</v>
      </c>
      <c r="D225" s="28" t="str">
        <f>VLOOKUP(A225,Classification!$A:$D,2,FALSE)</f>
        <v>C</v>
      </c>
      <c r="E225" s="49" t="str">
        <f>VLOOKUP(B225,Classification!$A:$D,2,FALSE)</f>
        <v>C</v>
      </c>
      <c r="F225" s="15" t="str">
        <f>VLOOKUP(C225,Classification!$A:$D,2,FALSE)</f>
        <v>C</v>
      </c>
      <c r="G225" s="15" t="b">
        <f t="shared" si="3"/>
        <v>1</v>
      </c>
      <c r="H225" s="10" t="str">
        <f>IF(ISERROR(MATCH(A225,'SegEnds_Xtal_Prot#'!B:B, 0)), "NoXtal", "Xtal")</f>
        <v>NoXtal</v>
      </c>
      <c r="J225" s="3"/>
    </row>
    <row r="226" spans="1:10" x14ac:dyDescent="0.2">
      <c r="A226" s="3" t="s">
        <v>107</v>
      </c>
      <c r="B226" s="1" t="s">
        <v>41</v>
      </c>
      <c r="C226" t="s">
        <v>41</v>
      </c>
      <c r="D226" s="28" t="str">
        <f>VLOOKUP(A226,Classification!$A:$D,2,FALSE)</f>
        <v>C</v>
      </c>
      <c r="E226" s="49" t="str">
        <f>VLOOKUP(B226,Classification!$A:$D,2,FALSE)</f>
        <v>C</v>
      </c>
      <c r="F226" s="15" t="str">
        <f>VLOOKUP(C226,Classification!$A:$D,2,FALSE)</f>
        <v>C</v>
      </c>
      <c r="G226" s="15" t="b">
        <f t="shared" si="3"/>
        <v>1</v>
      </c>
      <c r="H226" s="10" t="str">
        <f>IF(ISERROR(MATCH(A226,'SegEnds_Xtal_Prot#'!B:B, 0)), "NoXtal", "Xtal")</f>
        <v>NoXtal</v>
      </c>
      <c r="J226" s="3"/>
    </row>
    <row r="227" spans="1:10" x14ac:dyDescent="0.2">
      <c r="A227" s="3" t="s">
        <v>105</v>
      </c>
      <c r="B227" s="1" t="s">
        <v>41</v>
      </c>
      <c r="C227" t="s">
        <v>41</v>
      </c>
      <c r="D227" s="28" t="str">
        <f>VLOOKUP(A227,Classification!$A:$D,2,FALSE)</f>
        <v>C</v>
      </c>
      <c r="E227" s="49" t="str">
        <f>VLOOKUP(B227,Classification!$A:$D,2,FALSE)</f>
        <v>C</v>
      </c>
      <c r="F227" s="15" t="str">
        <f>VLOOKUP(C227,Classification!$A:$D,2,FALSE)</f>
        <v>C</v>
      </c>
      <c r="G227" s="15" t="b">
        <f t="shared" si="3"/>
        <v>1</v>
      </c>
      <c r="H227" s="10" t="str">
        <f>IF(ISERROR(MATCH(A227,'SegEnds_Xtal_Prot#'!B:B, 0)), "NoXtal", "Xtal")</f>
        <v>NoXtal</v>
      </c>
      <c r="J227" s="3"/>
    </row>
    <row r="228" spans="1:10" x14ac:dyDescent="0.2">
      <c r="A228" s="3" t="s">
        <v>41</v>
      </c>
      <c r="B228" s="1" t="s">
        <v>41</v>
      </c>
      <c r="C228" t="s">
        <v>41</v>
      </c>
      <c r="D228" s="28" t="str">
        <f>VLOOKUP(A228,Classification!$A:$D,2,FALSE)</f>
        <v>C</v>
      </c>
      <c r="E228" s="49" t="str">
        <f>VLOOKUP(B228,Classification!$A:$D,2,FALSE)</f>
        <v>C</v>
      </c>
      <c r="F228" s="15" t="str">
        <f>VLOOKUP(C228,Classification!$A:$D,2,FALSE)</f>
        <v>C</v>
      </c>
      <c r="G228" s="15" t="b">
        <f t="shared" si="3"/>
        <v>1</v>
      </c>
      <c r="H228" s="10" t="str">
        <f>IF(ISERROR(MATCH(A228,'SegEnds_Xtal_Prot#'!B:B, 0)), "NoXtal", "Xtal")</f>
        <v>Xtal</v>
      </c>
      <c r="J228" s="3"/>
    </row>
    <row r="229" spans="1:10" x14ac:dyDescent="0.2">
      <c r="A229" s="3" t="s">
        <v>278</v>
      </c>
      <c r="B229" s="1" t="s">
        <v>278</v>
      </c>
      <c r="C229" t="s">
        <v>278</v>
      </c>
      <c r="D229" s="28" t="str">
        <f>VLOOKUP(A229,Classification!$A:$D,2,FALSE)</f>
        <v>A</v>
      </c>
      <c r="E229" s="49" t="str">
        <f>VLOOKUP(B229,Classification!$A:$D,2,FALSE)</f>
        <v>A</v>
      </c>
      <c r="F229" s="15" t="str">
        <f>VLOOKUP(C229,Classification!$A:$D,2,FALSE)</f>
        <v>A</v>
      </c>
      <c r="G229" s="15" t="b">
        <f t="shared" si="3"/>
        <v>1</v>
      </c>
      <c r="H229" s="10" t="str">
        <f>IF(ISERROR(MATCH(A229,'SegEnds_Xtal_Prot#'!B:B, 0)), "NoXtal", "Xtal")</f>
        <v>Xtal</v>
      </c>
      <c r="J229" s="3"/>
    </row>
    <row r="230" spans="1:10" x14ac:dyDescent="0.2">
      <c r="A230" s="3" t="s">
        <v>219</v>
      </c>
      <c r="B230" s="1" t="s">
        <v>158</v>
      </c>
      <c r="C230" t="s">
        <v>278</v>
      </c>
      <c r="D230" s="28" t="str">
        <f>VLOOKUP(A230,Classification!$A:$D,2,FALSE)</f>
        <v>A</v>
      </c>
      <c r="E230" s="49" t="str">
        <f>VLOOKUP(B230,Classification!$A:$D,2,FALSE)</f>
        <v>A</v>
      </c>
      <c r="F230" s="15" t="str">
        <f>VLOOKUP(C230,Classification!$A:$D,2,FALSE)</f>
        <v>A</v>
      </c>
      <c r="G230" s="15" t="b">
        <f t="shared" si="3"/>
        <v>1</v>
      </c>
      <c r="H230" s="10" t="str">
        <f>IF(ISERROR(MATCH(A230,'SegEnds_Xtal_Prot#'!B:B, 0)), "NoXtal", "Xtal")</f>
        <v>NoXtal</v>
      </c>
      <c r="J230" s="3"/>
    </row>
    <row r="231" spans="1:10" x14ac:dyDescent="0.2">
      <c r="A231" s="3" t="s">
        <v>226</v>
      </c>
      <c r="B231" s="1" t="s">
        <v>355</v>
      </c>
      <c r="C231" t="s">
        <v>278</v>
      </c>
      <c r="D231" s="28" t="str">
        <f>VLOOKUP(A231,Classification!$A:$D,2,FALSE)</f>
        <v>A</v>
      </c>
      <c r="E231" s="49" t="str">
        <f>VLOOKUP(B231,Classification!$A:$D,2,FALSE)</f>
        <v>A</v>
      </c>
      <c r="F231" s="15" t="str">
        <f>VLOOKUP(C231,Classification!$A:$D,2,FALSE)</f>
        <v>A</v>
      </c>
      <c r="G231" s="15" t="b">
        <f t="shared" si="3"/>
        <v>1</v>
      </c>
      <c r="H231" s="10" t="str">
        <f>IF(ISERROR(MATCH(A231,'SegEnds_Xtal_Prot#'!B:B, 0)), "NoXtal", "Xtal")</f>
        <v>NoXtal</v>
      </c>
      <c r="J231" s="3"/>
    </row>
    <row r="232" spans="1:10" x14ac:dyDescent="0.2">
      <c r="A232" s="3" t="s">
        <v>245</v>
      </c>
      <c r="B232" s="1" t="s">
        <v>278</v>
      </c>
      <c r="C232" t="s">
        <v>278</v>
      </c>
      <c r="D232" s="28" t="str">
        <f>VLOOKUP(A232,Classification!$A:$D,2,FALSE)</f>
        <v>A</v>
      </c>
      <c r="E232" s="49" t="str">
        <f>VLOOKUP(B232,Classification!$A:$D,2,FALSE)</f>
        <v>A</v>
      </c>
      <c r="F232" s="15" t="str">
        <f>VLOOKUP(C232,Classification!$A:$D,2,FALSE)</f>
        <v>A</v>
      </c>
      <c r="G232" s="15" t="b">
        <f t="shared" si="3"/>
        <v>1</v>
      </c>
      <c r="H232" s="10" t="str">
        <f>IF(ISERROR(MATCH(A232,'SegEnds_Xtal_Prot#'!B:B, 0)), "NoXtal", "Xtal")</f>
        <v>NoXtal</v>
      </c>
      <c r="J232" s="3"/>
    </row>
    <row r="233" spans="1:10" x14ac:dyDescent="0.2">
      <c r="A233" s="3" t="s">
        <v>249</v>
      </c>
      <c r="B233" s="1" t="s">
        <v>103</v>
      </c>
      <c r="C233" t="s">
        <v>103</v>
      </c>
      <c r="D233" s="28" t="str">
        <f>VLOOKUP(A233,Classification!$A:$D,2,FALSE)</f>
        <v>A</v>
      </c>
      <c r="E233" s="49" t="str">
        <f>VLOOKUP(B233,Classification!$A:$D,2,FALSE)</f>
        <v>A</v>
      </c>
      <c r="F233" s="15" t="str">
        <f>VLOOKUP(C233,Classification!$A:$D,2,FALSE)</f>
        <v>A</v>
      </c>
      <c r="G233" s="15" t="b">
        <f t="shared" si="3"/>
        <v>1</v>
      </c>
      <c r="H233" s="10" t="str">
        <f>IF(ISERROR(MATCH(A233,'SegEnds_Xtal_Prot#'!B:B, 0)), "NoXtal", "Xtal")</f>
        <v>NoXtal</v>
      </c>
      <c r="J233" s="3"/>
    </row>
    <row r="234" spans="1:10" x14ac:dyDescent="0.2">
      <c r="A234" s="3" t="s">
        <v>103</v>
      </c>
      <c r="B234" s="1" t="s">
        <v>103</v>
      </c>
      <c r="C234" t="s">
        <v>103</v>
      </c>
      <c r="D234" s="28" t="str">
        <f>VLOOKUP(A234,Classification!$A:$D,2,FALSE)</f>
        <v>A</v>
      </c>
      <c r="E234" s="49" t="str">
        <f>VLOOKUP(B234,Classification!$A:$D,2,FALSE)</f>
        <v>A</v>
      </c>
      <c r="F234" s="15" t="str">
        <f>VLOOKUP(C234,Classification!$A:$D,2,FALSE)</f>
        <v>A</v>
      </c>
      <c r="G234" s="15" t="b">
        <f t="shared" si="3"/>
        <v>1</v>
      </c>
      <c r="H234" s="10" t="str">
        <f>IF(ISERROR(MATCH(A234,'SegEnds_Xtal_Prot#'!B:B, 0)), "NoXtal", "Xtal")</f>
        <v>Xtal</v>
      </c>
      <c r="J234" s="3"/>
    </row>
    <row r="235" spans="1:10" x14ac:dyDescent="0.2">
      <c r="A235" s="3" t="s">
        <v>286</v>
      </c>
      <c r="B235" s="1" t="s">
        <v>103</v>
      </c>
      <c r="C235" t="s">
        <v>103</v>
      </c>
      <c r="D235" s="28" t="str">
        <f>VLOOKUP(A235,Classification!$A:$D,2,FALSE)</f>
        <v>A</v>
      </c>
      <c r="E235" s="49" t="str">
        <f>VLOOKUP(B235,Classification!$A:$D,2,FALSE)</f>
        <v>A</v>
      </c>
      <c r="F235" s="15" t="str">
        <f>VLOOKUP(C235,Classification!$A:$D,2,FALSE)</f>
        <v>A</v>
      </c>
      <c r="G235" s="15" t="b">
        <f t="shared" si="3"/>
        <v>1</v>
      </c>
      <c r="H235" s="10" t="str">
        <f>IF(ISERROR(MATCH(A235,'SegEnds_Xtal_Prot#'!B:B, 0)), "NoXtal", "Xtal")</f>
        <v>NoXtal</v>
      </c>
      <c r="J235" s="3"/>
    </row>
    <row r="236" spans="1:10" x14ac:dyDescent="0.2">
      <c r="A236" s="3" t="s">
        <v>287</v>
      </c>
      <c r="B236" s="1" t="s">
        <v>103</v>
      </c>
      <c r="C236" t="s">
        <v>103</v>
      </c>
      <c r="D236" s="28" t="str">
        <f>VLOOKUP(A236,Classification!$A:$D,2,FALSE)</f>
        <v>A</v>
      </c>
      <c r="E236" s="49" t="str">
        <f>VLOOKUP(B236,Classification!$A:$D,2,FALSE)</f>
        <v>A</v>
      </c>
      <c r="F236" s="15" t="str">
        <f>VLOOKUP(C236,Classification!$A:$D,2,FALSE)</f>
        <v>A</v>
      </c>
      <c r="G236" s="15" t="b">
        <f t="shared" si="3"/>
        <v>1</v>
      </c>
      <c r="H236" s="10" t="str">
        <f>IF(ISERROR(MATCH(A236,'SegEnds_Xtal_Prot#'!B:B, 0)), "NoXtal", "Xtal")</f>
        <v>NoXtal</v>
      </c>
      <c r="I236" s="10"/>
      <c r="J236" s="3"/>
    </row>
    <row r="237" spans="1:10" x14ac:dyDescent="0.2">
      <c r="A237" s="3" t="s">
        <v>183</v>
      </c>
      <c r="B237" s="1" t="s">
        <v>182</v>
      </c>
      <c r="C237" t="s">
        <v>182</v>
      </c>
      <c r="D237" s="28" t="str">
        <f>VLOOKUP(A237,Classification!$A:$D,2,FALSE)</f>
        <v>A</v>
      </c>
      <c r="E237" s="49" t="str">
        <f>VLOOKUP(B237,Classification!$A:$D,2,FALSE)</f>
        <v>A</v>
      </c>
      <c r="F237" s="15" t="str">
        <f>VLOOKUP(C237,Classification!$A:$D,2,FALSE)</f>
        <v>A</v>
      </c>
      <c r="G237" s="15" t="b">
        <f t="shared" si="3"/>
        <v>1</v>
      </c>
      <c r="H237" s="10" t="str">
        <f>IF(ISERROR(MATCH(A237,'SegEnds_Xtal_Prot#'!B:B, 0)), "NoXtal", "Xtal")</f>
        <v>NoXtal</v>
      </c>
      <c r="J237" s="3"/>
    </row>
    <row r="238" spans="1:10" x14ac:dyDescent="0.2">
      <c r="A238" s="3" t="s">
        <v>182</v>
      </c>
      <c r="B238" s="1" t="s">
        <v>182</v>
      </c>
      <c r="C238" t="s">
        <v>182</v>
      </c>
      <c r="D238" s="28" t="str">
        <f>VLOOKUP(A238,Classification!$A:$D,2,FALSE)</f>
        <v>A</v>
      </c>
      <c r="E238" s="49" t="str">
        <f>VLOOKUP(B238,Classification!$A:$D,2,FALSE)</f>
        <v>A</v>
      </c>
      <c r="F238" s="15" t="str">
        <f>VLOOKUP(C238,Classification!$A:$D,2,FALSE)</f>
        <v>A</v>
      </c>
      <c r="G238" s="15" t="b">
        <f t="shared" si="3"/>
        <v>1</v>
      </c>
      <c r="H238" s="10" t="str">
        <f>IF(ISERROR(MATCH(A238,'SegEnds_Xtal_Prot#'!B:B, 0)), "NoXtal", "Xtal")</f>
        <v>Xtal</v>
      </c>
      <c r="J238" s="3"/>
    </row>
    <row r="239" spans="1:10" x14ac:dyDescent="0.2">
      <c r="A239" s="3" t="s">
        <v>362</v>
      </c>
      <c r="B239" s="1" t="s">
        <v>364</v>
      </c>
      <c r="C239" t="s">
        <v>914</v>
      </c>
      <c r="D239" s="28" t="str">
        <f>VLOOKUP(A239,Classification!$A:$D,2,FALSE)</f>
        <v>A</v>
      </c>
      <c r="E239" s="49" t="str">
        <f>VLOOKUP(B239,Classification!$A:$D,2,FALSE)</f>
        <v>A</v>
      </c>
      <c r="F239" s="15" t="str">
        <f>VLOOKUP(C239,Classification!$A:$D,2,FALSE)</f>
        <v>A</v>
      </c>
      <c r="G239" s="15" t="b">
        <f t="shared" si="3"/>
        <v>1</v>
      </c>
      <c r="H239" s="10" t="str">
        <f>IF(ISERROR(MATCH(A239,'SegEnds_Xtal_Prot#'!B:B, 0)), "NoXtal", "Xtal")</f>
        <v>NoXtal</v>
      </c>
      <c r="J239" s="3"/>
    </row>
    <row r="240" spans="1:10" x14ac:dyDescent="0.2">
      <c r="A240" s="3" t="s">
        <v>209</v>
      </c>
      <c r="B240" s="1" t="s">
        <v>914</v>
      </c>
      <c r="C240" t="s">
        <v>914</v>
      </c>
      <c r="D240" s="28" t="str">
        <f>VLOOKUP(A240,Classification!$A:$D,2,FALSE)</f>
        <v>A</v>
      </c>
      <c r="E240" s="49" t="str">
        <f>VLOOKUP(B240,Classification!$A:$D,2,FALSE)</f>
        <v>A</v>
      </c>
      <c r="F240" s="15" t="str">
        <f>VLOOKUP(C240,Classification!$A:$D,2,FALSE)</f>
        <v>A</v>
      </c>
      <c r="G240" s="15" t="b">
        <f t="shared" si="3"/>
        <v>1</v>
      </c>
      <c r="H240" s="10" t="str">
        <f>IF(ISERROR(MATCH(A240,'SegEnds_Xtal_Prot#'!B:B, 0)), "NoXtal", "Xtal")</f>
        <v>NoXtal</v>
      </c>
      <c r="J240" s="3"/>
    </row>
    <row r="241" spans="1:10" x14ac:dyDescent="0.2">
      <c r="A241" s="3" t="s">
        <v>330</v>
      </c>
      <c r="B241" s="1" t="s">
        <v>914</v>
      </c>
      <c r="C241" t="s">
        <v>914</v>
      </c>
      <c r="D241" s="28" t="str">
        <f>VLOOKUP(A241,Classification!$A:$D,2,FALSE)</f>
        <v>A</v>
      </c>
      <c r="E241" s="49" t="str">
        <f>VLOOKUP(B241,Classification!$A:$D,2,FALSE)</f>
        <v>A</v>
      </c>
      <c r="F241" s="15" t="str">
        <f>VLOOKUP(C241,Classification!$A:$D,2,FALSE)</f>
        <v>A</v>
      </c>
      <c r="G241" s="15" t="b">
        <f t="shared" si="3"/>
        <v>1</v>
      </c>
      <c r="H241" s="10" t="str">
        <f>IF(ISERROR(MATCH(A241,'SegEnds_Xtal_Prot#'!B:B, 0)), "NoXtal", "Xtal")</f>
        <v>NoXtal</v>
      </c>
      <c r="J241" s="3"/>
    </row>
    <row r="242" spans="1:10" x14ac:dyDescent="0.2">
      <c r="A242" s="3" t="s">
        <v>127</v>
      </c>
      <c r="B242" s="1" t="s">
        <v>914</v>
      </c>
      <c r="C242" t="s">
        <v>914</v>
      </c>
      <c r="D242" s="28" t="str">
        <f>VLOOKUP(A242,Classification!$A:$D,2,FALSE)</f>
        <v>A</v>
      </c>
      <c r="E242" s="49" t="str">
        <f>VLOOKUP(B242,Classification!$A:$D,2,FALSE)</f>
        <v>A</v>
      </c>
      <c r="F242" s="15" t="str">
        <f>VLOOKUP(C242,Classification!$A:$D,2,FALSE)</f>
        <v>A</v>
      </c>
      <c r="G242" s="15" t="b">
        <f t="shared" si="3"/>
        <v>1</v>
      </c>
      <c r="H242" s="10" t="str">
        <f>IF(ISERROR(MATCH(A242,'SegEnds_Xtal_Prot#'!B:B, 0)), "NoXtal", "Xtal")</f>
        <v>NoXtal</v>
      </c>
      <c r="J242" s="3"/>
    </row>
    <row r="243" spans="1:10" x14ac:dyDescent="0.2">
      <c r="A243" s="3" t="s">
        <v>914</v>
      </c>
      <c r="B243" s="1" t="s">
        <v>914</v>
      </c>
      <c r="C243" t="s">
        <v>914</v>
      </c>
      <c r="D243" s="28" t="str">
        <f>VLOOKUP(A243,Classification!$A:$D,2,FALSE)</f>
        <v>A</v>
      </c>
      <c r="E243" s="49" t="str">
        <f>VLOOKUP(B243,Classification!$A:$D,2,FALSE)</f>
        <v>A</v>
      </c>
      <c r="F243" s="15" t="str">
        <f>VLOOKUP(C243,Classification!$A:$D,2,FALSE)</f>
        <v>A</v>
      </c>
      <c r="G243" s="15" t="b">
        <f t="shared" si="3"/>
        <v>1</v>
      </c>
      <c r="H243" s="10" t="str">
        <f>IF(ISERROR(MATCH(A243,'SegEnds_Xtal_Prot#'!B:B, 0)), "NoXtal", "Xtal")</f>
        <v>Xtal</v>
      </c>
      <c r="J243" s="3"/>
    </row>
    <row r="244" spans="1:10" x14ac:dyDescent="0.2">
      <c r="A244" s="3" t="s">
        <v>310</v>
      </c>
      <c r="B244" s="1" t="s">
        <v>914</v>
      </c>
      <c r="C244" t="s">
        <v>914</v>
      </c>
      <c r="D244" s="28" t="str">
        <f>VLOOKUP(A244,Classification!$A:$D,2,FALSE)</f>
        <v>A</v>
      </c>
      <c r="E244" s="49" t="str">
        <f>VLOOKUP(B244,Classification!$A:$D,2,FALSE)</f>
        <v>A</v>
      </c>
      <c r="F244" s="15" t="str">
        <f>VLOOKUP(C244,Classification!$A:$D,2,FALSE)</f>
        <v>A</v>
      </c>
      <c r="G244" s="15" t="b">
        <f t="shared" si="3"/>
        <v>1</v>
      </c>
      <c r="H244" s="10" t="str">
        <f>IF(ISERROR(MATCH(A244,'SegEnds_Xtal_Prot#'!B:B, 0)), "NoXtal", "Xtal")</f>
        <v>NoXtal</v>
      </c>
      <c r="J244" s="3"/>
    </row>
    <row r="245" spans="1:10" x14ac:dyDescent="0.2">
      <c r="A245" s="3" t="s">
        <v>216</v>
      </c>
      <c r="B245" s="1" t="s">
        <v>133</v>
      </c>
      <c r="C245" t="s">
        <v>914</v>
      </c>
      <c r="D245" s="28" t="str">
        <f>VLOOKUP(A245,Classification!$A:$D,2,FALSE)</f>
        <v>A</v>
      </c>
      <c r="E245" s="49" t="str">
        <f>VLOOKUP(B245,Classification!$A:$D,2,FALSE)</f>
        <v>A</v>
      </c>
      <c r="F245" s="15" t="str">
        <f>VLOOKUP(C245,Classification!$A:$D,2,FALSE)</f>
        <v>A</v>
      </c>
      <c r="G245" s="15" t="b">
        <f t="shared" si="3"/>
        <v>1</v>
      </c>
      <c r="H245" s="10" t="str">
        <f>IF(ISERROR(MATCH(A245,'SegEnds_Xtal_Prot#'!B:B, 0)), "NoXtal", "Xtal")</f>
        <v>NoXtal</v>
      </c>
      <c r="J245" s="3"/>
    </row>
    <row r="246" spans="1:10" x14ac:dyDescent="0.2">
      <c r="A246" s="3" t="s">
        <v>318</v>
      </c>
      <c r="B246" s="1" t="s">
        <v>914</v>
      </c>
      <c r="C246" t="s">
        <v>914</v>
      </c>
      <c r="D246" s="28" t="str">
        <f>VLOOKUP(A246,Classification!$A:$D,2,FALSE)</f>
        <v>A</v>
      </c>
      <c r="E246" s="49" t="str">
        <f>VLOOKUP(B246,Classification!$A:$D,2,FALSE)</f>
        <v>A</v>
      </c>
      <c r="F246" s="15" t="str">
        <f>VLOOKUP(C246,Classification!$A:$D,2,FALSE)</f>
        <v>A</v>
      </c>
      <c r="G246" s="15" t="b">
        <f t="shared" si="3"/>
        <v>1</v>
      </c>
      <c r="H246" s="10" t="str">
        <f>IF(ISERROR(MATCH(A246,'SegEnds_Xtal_Prot#'!B:B, 0)), "NoXtal", "Xtal")</f>
        <v>NoXtal</v>
      </c>
      <c r="J246" s="3"/>
    </row>
    <row r="247" spans="1:10" x14ac:dyDescent="0.2">
      <c r="A247" s="3" t="s">
        <v>319</v>
      </c>
      <c r="B247" s="1" t="s">
        <v>914</v>
      </c>
      <c r="C247" t="s">
        <v>914</v>
      </c>
      <c r="D247" s="28" t="str">
        <f>VLOOKUP(A247,Classification!$A:$D,2,FALSE)</f>
        <v>A</v>
      </c>
      <c r="E247" s="49" t="str">
        <f>VLOOKUP(B247,Classification!$A:$D,2,FALSE)</f>
        <v>A</v>
      </c>
      <c r="F247" s="15" t="str">
        <f>VLOOKUP(C247,Classification!$A:$D,2,FALSE)</f>
        <v>A</v>
      </c>
      <c r="G247" s="15" t="b">
        <f t="shared" si="3"/>
        <v>1</v>
      </c>
      <c r="H247" s="10" t="str">
        <f>IF(ISERROR(MATCH(A247,'SegEnds_Xtal_Prot#'!B:B, 0)), "NoXtal", "Xtal")</f>
        <v>NoXtal</v>
      </c>
      <c r="J247" s="3"/>
    </row>
    <row r="248" spans="1:10" x14ac:dyDescent="0.2">
      <c r="A248" s="3" t="s">
        <v>256</v>
      </c>
      <c r="B248" s="1" t="s">
        <v>914</v>
      </c>
      <c r="C248" t="s">
        <v>914</v>
      </c>
      <c r="D248" s="28" t="str">
        <f>VLOOKUP(A248,Classification!$A:$D,2,FALSE)</f>
        <v>A</v>
      </c>
      <c r="E248" s="49" t="str">
        <f>VLOOKUP(B248,Classification!$A:$D,2,FALSE)</f>
        <v>A</v>
      </c>
      <c r="F248" s="15" t="str">
        <f>VLOOKUP(C248,Classification!$A:$D,2,FALSE)</f>
        <v>A</v>
      </c>
      <c r="G248" s="15" t="b">
        <f t="shared" si="3"/>
        <v>1</v>
      </c>
      <c r="H248" s="10" t="str">
        <f>IF(ISERROR(MATCH(A248,'SegEnds_Xtal_Prot#'!B:B, 0)), "NoXtal", "Xtal")</f>
        <v>NoXtal</v>
      </c>
      <c r="J248" s="3"/>
    </row>
    <row r="249" spans="1:10" x14ac:dyDescent="0.2">
      <c r="A249" s="3" t="s">
        <v>224</v>
      </c>
      <c r="B249" s="1" t="s">
        <v>360</v>
      </c>
      <c r="C249" t="s">
        <v>914</v>
      </c>
      <c r="D249" s="28" t="str">
        <f>VLOOKUP(A249,Classification!$A:$D,2,FALSE)</f>
        <v>A</v>
      </c>
      <c r="E249" s="49" t="str">
        <f>VLOOKUP(B249,Classification!$A:$D,2,FALSE)</f>
        <v>A</v>
      </c>
      <c r="F249" s="15" t="str">
        <f>VLOOKUP(C249,Classification!$A:$D,2,FALSE)</f>
        <v>A</v>
      </c>
      <c r="G249" s="15" t="b">
        <f t="shared" si="3"/>
        <v>1</v>
      </c>
      <c r="H249" s="10" t="str">
        <f>IF(ISERROR(MATCH(A249,'SegEnds_Xtal_Prot#'!B:B, 0)), "NoXtal", "Xtal")</f>
        <v>NoXtal</v>
      </c>
      <c r="J249" s="3"/>
    </row>
    <row r="250" spans="1:10" x14ac:dyDescent="0.2">
      <c r="A250" s="3" t="s">
        <v>321</v>
      </c>
      <c r="B250" s="1" t="s">
        <v>335</v>
      </c>
      <c r="C250" t="s">
        <v>916</v>
      </c>
      <c r="D250" s="28" t="str">
        <f>VLOOKUP(A250,Classification!$A:$D,2,FALSE)</f>
        <v>A</v>
      </c>
      <c r="E250" s="49" t="str">
        <f>VLOOKUP(B250,Classification!$A:$D,2,FALSE)</f>
        <v>A</v>
      </c>
      <c r="F250" s="15" t="str">
        <f>VLOOKUP(C250,Classification!$A:$D,2,FALSE)</f>
        <v>A</v>
      </c>
      <c r="G250" s="15" t="b">
        <f t="shared" si="3"/>
        <v>1</v>
      </c>
      <c r="H250" s="10" t="str">
        <f>IF(ISERROR(MATCH(A250,'SegEnds_Xtal_Prot#'!B:B, 0)), "NoXtal", "Xtal")</f>
        <v>NoXtal</v>
      </c>
      <c r="J250" s="3"/>
    </row>
    <row r="251" spans="1:10" x14ac:dyDescent="0.2">
      <c r="A251" s="3" t="s">
        <v>268</v>
      </c>
      <c r="B251" s="1" t="s">
        <v>918</v>
      </c>
      <c r="C251" t="s">
        <v>916</v>
      </c>
      <c r="D251" s="28" t="str">
        <f>VLOOKUP(A251,Classification!$A:$D,2,FALSE)</f>
        <v>A</v>
      </c>
      <c r="E251" s="49" t="str">
        <f>VLOOKUP(B251,Classification!$A:$D,2,FALSE)</f>
        <v>A</v>
      </c>
      <c r="F251" s="15" t="str">
        <f>VLOOKUP(C251,Classification!$A:$D,2,FALSE)</f>
        <v>A</v>
      </c>
      <c r="G251" s="15" t="b">
        <f t="shared" si="3"/>
        <v>1</v>
      </c>
      <c r="H251" s="10" t="str">
        <f>IF(ISERROR(MATCH(A251,'SegEnds_Xtal_Prot#'!B:B, 0)), "NoXtal", "Xtal")</f>
        <v>NoXtal</v>
      </c>
      <c r="J251" s="3"/>
    </row>
    <row r="252" spans="1:10" x14ac:dyDescent="0.2">
      <c r="A252" s="3" t="s">
        <v>300</v>
      </c>
      <c r="B252" s="1" t="s">
        <v>335</v>
      </c>
      <c r="C252" t="s">
        <v>916</v>
      </c>
      <c r="D252" s="28" t="str">
        <f>VLOOKUP(A252,Classification!$A:$D,2,FALSE)</f>
        <v>A</v>
      </c>
      <c r="E252" s="49" t="str">
        <f>VLOOKUP(B252,Classification!$A:$D,2,FALSE)</f>
        <v>A</v>
      </c>
      <c r="F252" s="15" t="str">
        <f>VLOOKUP(C252,Classification!$A:$D,2,FALSE)</f>
        <v>A</v>
      </c>
      <c r="G252" s="15" t="b">
        <f t="shared" si="3"/>
        <v>1</v>
      </c>
      <c r="H252" s="10" t="str">
        <f>IF(ISERROR(MATCH(A252,'SegEnds_Xtal_Prot#'!B:B, 0)), "NoXtal", "Xtal")</f>
        <v>NoXtal</v>
      </c>
      <c r="J252" s="3"/>
    </row>
    <row r="253" spans="1:10" x14ac:dyDescent="0.2">
      <c r="A253" s="3" t="s">
        <v>335</v>
      </c>
      <c r="B253" s="1" t="s">
        <v>335</v>
      </c>
      <c r="C253" s="1" t="s">
        <v>335</v>
      </c>
      <c r="D253" s="28" t="str">
        <f>VLOOKUP(A253,Classification!$A:$D,2,FALSE)</f>
        <v>A</v>
      </c>
      <c r="E253" s="49" t="str">
        <f>VLOOKUP(B253,Classification!$A:$D,2,FALSE)</f>
        <v>A</v>
      </c>
      <c r="F253" s="15" t="str">
        <f>VLOOKUP(C253,Classification!$A:$D,2,FALSE)</f>
        <v>A</v>
      </c>
      <c r="G253" s="15" t="b">
        <f t="shared" si="3"/>
        <v>1</v>
      </c>
      <c r="H253" s="10" t="str">
        <f>IF(ISERROR(MATCH(A253,'SegEnds_Xtal_Prot#'!B:B, 0)), "NoXtal", "Xtal")</f>
        <v>Xtal</v>
      </c>
      <c r="J253" s="3"/>
    </row>
    <row r="254" spans="1:10" x14ac:dyDescent="0.2">
      <c r="A254" s="3" t="s">
        <v>916</v>
      </c>
      <c r="B254" s="1" t="s">
        <v>335</v>
      </c>
      <c r="C254" t="s">
        <v>916</v>
      </c>
      <c r="D254" s="28" t="str">
        <f>VLOOKUP(A254,Classification!$A:$D,2,FALSE)</f>
        <v>A</v>
      </c>
      <c r="E254" s="49" t="str">
        <f>VLOOKUP(B254,Classification!$A:$D,2,FALSE)</f>
        <v>A</v>
      </c>
      <c r="F254" s="15" t="str">
        <f>VLOOKUP(C254,Classification!$A:$D,2,FALSE)</f>
        <v>A</v>
      </c>
      <c r="G254" s="15" t="b">
        <f t="shared" si="3"/>
        <v>1</v>
      </c>
      <c r="H254" s="10" t="str">
        <f>IF(ISERROR(MATCH(A254,'SegEnds_Xtal_Prot#'!B:B, 0)), "NoXtal", "Xtal")</f>
        <v>Xtal</v>
      </c>
      <c r="J254" s="3"/>
    </row>
    <row r="255" spans="1:10" x14ac:dyDescent="0.2">
      <c r="A255" s="3" t="s">
        <v>384</v>
      </c>
      <c r="B255" s="1" t="s">
        <v>335</v>
      </c>
      <c r="C255" t="s">
        <v>916</v>
      </c>
      <c r="D255" s="28" t="str">
        <f>VLOOKUP(A255,Classification!$A:$D,2,FALSE)</f>
        <v>A</v>
      </c>
      <c r="E255" s="49" t="str">
        <f>VLOOKUP(B255,Classification!$A:$D,2,FALSE)</f>
        <v>A</v>
      </c>
      <c r="F255" s="15" t="str">
        <f>VLOOKUP(C255,Classification!$A:$D,2,FALSE)</f>
        <v>A</v>
      </c>
      <c r="G255" s="15" t="b">
        <f t="shared" si="3"/>
        <v>1</v>
      </c>
      <c r="H255" s="10" t="str">
        <f>IF(ISERROR(MATCH(A255,'SegEnds_Xtal_Prot#'!B:B, 0)), "NoXtal", "Xtal")</f>
        <v>NoXtal</v>
      </c>
      <c r="J255" s="3"/>
    </row>
    <row r="256" spans="1:10" x14ac:dyDescent="0.2">
      <c r="A256" s="3" t="s">
        <v>360</v>
      </c>
      <c r="B256" s="1" t="s">
        <v>360</v>
      </c>
      <c r="C256" t="s">
        <v>916</v>
      </c>
      <c r="D256" s="28" t="str">
        <f>VLOOKUP(A256,Classification!$A:$D,2,FALSE)</f>
        <v>A</v>
      </c>
      <c r="E256" s="49" t="str">
        <f>VLOOKUP(B256,Classification!$A:$D,2,FALSE)</f>
        <v>A</v>
      </c>
      <c r="F256" s="15" t="str">
        <f>VLOOKUP(C256,Classification!$A:$D,2,FALSE)</f>
        <v>A</v>
      </c>
      <c r="G256" s="15" t="b">
        <f t="shared" si="3"/>
        <v>1</v>
      </c>
      <c r="H256" s="10" t="str">
        <f>IF(ISERROR(MATCH(A256,'SegEnds_Xtal_Prot#'!B:B, 0)), "NoXtal", "Xtal")</f>
        <v>Xtal</v>
      </c>
      <c r="J256" s="3"/>
    </row>
    <row r="257" spans="1:10" x14ac:dyDescent="0.2">
      <c r="A257" s="3" t="s">
        <v>200</v>
      </c>
      <c r="B257" s="1" t="s">
        <v>1176</v>
      </c>
      <c r="C257" t="s">
        <v>336</v>
      </c>
      <c r="D257" s="28" t="str">
        <f>VLOOKUP(A257,Classification!$A:$D,2,FALSE)</f>
        <v>A</v>
      </c>
      <c r="E257" s="49" t="str">
        <f>VLOOKUP(B257,Classification!$A:$D,2,FALSE)</f>
        <v>A</v>
      </c>
      <c r="F257" s="15" t="str">
        <f>VLOOKUP(C257,Classification!$A:$D,2,FALSE)</f>
        <v>A</v>
      </c>
      <c r="G257" s="15" t="b">
        <f t="shared" si="3"/>
        <v>1</v>
      </c>
      <c r="H257" s="10" t="str">
        <f>IF(ISERROR(MATCH(A257,'SegEnds_Xtal_Prot#'!B:B, 0)), "NoXtal", "Xtal")</f>
        <v>NoXtal</v>
      </c>
      <c r="J257" s="3"/>
    </row>
    <row r="258" spans="1:10" x14ac:dyDescent="0.2">
      <c r="A258" s="3" t="s">
        <v>251</v>
      </c>
      <c r="B258" s="1" t="s">
        <v>335</v>
      </c>
      <c r="C258" t="s">
        <v>336</v>
      </c>
      <c r="D258" s="28" t="str">
        <f>VLOOKUP(A258,Classification!$A:$D,2,FALSE)</f>
        <v>A</v>
      </c>
      <c r="E258" s="49" t="str">
        <f>VLOOKUP(B258,Classification!$A:$D,2,FALSE)</f>
        <v>A</v>
      </c>
      <c r="F258" s="15" t="str">
        <f>VLOOKUP(C258,Classification!$A:$D,2,FALSE)</f>
        <v>A</v>
      </c>
      <c r="G258" s="15" t="b">
        <f t="shared" si="3"/>
        <v>1</v>
      </c>
      <c r="H258" s="10" t="str">
        <f>IF(ISERROR(MATCH(A258,'SegEnds_Xtal_Prot#'!B:B, 0)), "NoXtal", "Xtal")</f>
        <v>NoXtal</v>
      </c>
      <c r="J258" s="3"/>
    </row>
    <row r="259" spans="1:10" x14ac:dyDescent="0.2">
      <c r="A259" s="3" t="s">
        <v>164</v>
      </c>
      <c r="B259" s="1" t="s">
        <v>165</v>
      </c>
      <c r="C259" t="s">
        <v>336</v>
      </c>
      <c r="D259" s="28" t="str">
        <f>VLOOKUP(A259,Classification!$A:$D,2,FALSE)</f>
        <v>A</v>
      </c>
      <c r="E259" s="49" t="str">
        <f>VLOOKUP(B259,Classification!$A:$D,2,FALSE)</f>
        <v>A</v>
      </c>
      <c r="F259" s="15" t="str">
        <f>VLOOKUP(C259,Classification!$A:$D,2,FALSE)</f>
        <v>A</v>
      </c>
      <c r="G259" s="15" t="b">
        <f t="shared" ref="G259:G322" si="4">OR(D259=F259,AND(D259="T",F259="A"),AND(D259="B2",F259="B1"),D259="O")</f>
        <v>1</v>
      </c>
      <c r="H259" s="10" t="str">
        <f>IF(ISERROR(MATCH(A259,'SegEnds_Xtal_Prot#'!B:B, 0)), "NoXtal", "Xtal")</f>
        <v>NoXtal</v>
      </c>
      <c r="J259" s="3"/>
    </row>
    <row r="260" spans="1:10" x14ac:dyDescent="0.2">
      <c r="A260" s="3" t="s">
        <v>308</v>
      </c>
      <c r="B260" s="1" t="s">
        <v>165</v>
      </c>
      <c r="C260" t="s">
        <v>336</v>
      </c>
      <c r="D260" s="28" t="str">
        <f>VLOOKUP(A260,Classification!$A:$D,2,FALSE)</f>
        <v>A</v>
      </c>
      <c r="E260" s="49" t="str">
        <f>VLOOKUP(B260,Classification!$A:$D,2,FALSE)</f>
        <v>A</v>
      </c>
      <c r="F260" s="15" t="str">
        <f>VLOOKUP(C260,Classification!$A:$D,2,FALSE)</f>
        <v>A</v>
      </c>
      <c r="G260" s="15" t="b">
        <f t="shared" si="4"/>
        <v>1</v>
      </c>
      <c r="H260" s="10" t="str">
        <f>IF(ISERROR(MATCH(A260,'SegEnds_Xtal_Prot#'!B:B, 0)), "NoXtal", "Xtal")</f>
        <v>NoXtal</v>
      </c>
      <c r="J260" s="3"/>
    </row>
    <row r="261" spans="1:10" x14ac:dyDescent="0.2">
      <c r="A261" s="3" t="s">
        <v>336</v>
      </c>
      <c r="B261" s="1" t="s">
        <v>336</v>
      </c>
      <c r="C261" t="s">
        <v>336</v>
      </c>
      <c r="D261" s="28" t="str">
        <f>VLOOKUP(A261,Classification!$A:$D,2,FALSE)</f>
        <v>A</v>
      </c>
      <c r="E261" s="49" t="str">
        <f>VLOOKUP(B261,Classification!$A:$D,2,FALSE)</f>
        <v>A</v>
      </c>
      <c r="F261" s="15" t="str">
        <f>VLOOKUP(C261,Classification!$A:$D,2,FALSE)</f>
        <v>A</v>
      </c>
      <c r="G261" s="15" t="b">
        <f t="shared" si="4"/>
        <v>1</v>
      </c>
      <c r="H261" s="10" t="str">
        <f>IF(ISERROR(MATCH(A261,'SegEnds_Xtal_Prot#'!B:B, 0)), "NoXtal", "Xtal")</f>
        <v>Xtal</v>
      </c>
      <c r="J261" s="3"/>
    </row>
    <row r="262" spans="1:10" x14ac:dyDescent="0.2">
      <c r="A262" s="3" t="s">
        <v>342</v>
      </c>
      <c r="B262" s="1" t="s">
        <v>360</v>
      </c>
      <c r="C262" t="s">
        <v>336</v>
      </c>
      <c r="D262" s="28" t="str">
        <f>VLOOKUP(A262,Classification!$A:$D,2,FALSE)</f>
        <v>A</v>
      </c>
      <c r="E262" s="49" t="str">
        <f>VLOOKUP(B262,Classification!$A:$D,2,FALSE)</f>
        <v>A</v>
      </c>
      <c r="F262" s="15" t="str">
        <f>VLOOKUP(C262,Classification!$A:$D,2,FALSE)</f>
        <v>A</v>
      </c>
      <c r="G262" s="15" t="b">
        <f t="shared" si="4"/>
        <v>1</v>
      </c>
      <c r="H262" s="10" t="str">
        <f>IF(ISERROR(MATCH(A262,'SegEnds_Xtal_Prot#'!B:B, 0)), "NoXtal", "Xtal")</f>
        <v>NoXtal</v>
      </c>
      <c r="J262" s="3"/>
    </row>
    <row r="263" spans="1:10" x14ac:dyDescent="0.2">
      <c r="A263" s="3" t="s">
        <v>205</v>
      </c>
      <c r="B263" s="1" t="s">
        <v>336</v>
      </c>
      <c r="C263" t="s">
        <v>918</v>
      </c>
      <c r="D263" s="28" t="str">
        <f>VLOOKUP(A263,Classification!$A:$D,2,FALSE)</f>
        <v>A</v>
      </c>
      <c r="E263" s="49" t="str">
        <f>VLOOKUP(B263,Classification!$A:$D,2,FALSE)</f>
        <v>A</v>
      </c>
      <c r="F263" s="15" t="str">
        <f>VLOOKUP(C263,Classification!$A:$D,2,FALSE)</f>
        <v>A</v>
      </c>
      <c r="G263" s="15" t="b">
        <f t="shared" si="4"/>
        <v>1</v>
      </c>
      <c r="H263" s="10" t="str">
        <f>IF(ISERROR(MATCH(A263,'SegEnds_Xtal_Prot#'!B:B, 0)), "NoXtal", "Xtal")</f>
        <v>NoXtal</v>
      </c>
      <c r="J263" s="3"/>
    </row>
    <row r="264" spans="1:10" x14ac:dyDescent="0.2">
      <c r="A264" s="3" t="s">
        <v>382</v>
      </c>
      <c r="B264" s="1" t="s">
        <v>336</v>
      </c>
      <c r="C264" t="s">
        <v>918</v>
      </c>
      <c r="D264" s="28" t="str">
        <f>VLOOKUP(A264,Classification!$A:$D,2,FALSE)</f>
        <v>A</v>
      </c>
      <c r="E264" s="49" t="str">
        <f>VLOOKUP(B264,Classification!$A:$D,2,FALSE)</f>
        <v>A</v>
      </c>
      <c r="F264" s="15" t="str">
        <f>VLOOKUP(C264,Classification!$A:$D,2,FALSE)</f>
        <v>A</v>
      </c>
      <c r="G264" s="15" t="b">
        <f t="shared" si="4"/>
        <v>1</v>
      </c>
      <c r="H264" s="10" t="str">
        <f>IF(ISERROR(MATCH(A264,'SegEnds_Xtal_Prot#'!B:B, 0)), "NoXtal", "Xtal")</f>
        <v>NoXtal</v>
      </c>
      <c r="J264" s="3"/>
    </row>
    <row r="265" spans="1:10" x14ac:dyDescent="0.2">
      <c r="A265" s="3" t="s">
        <v>385</v>
      </c>
      <c r="B265" s="1" t="s">
        <v>336</v>
      </c>
      <c r="C265" t="s">
        <v>918</v>
      </c>
      <c r="D265" s="28" t="str">
        <f>VLOOKUP(A265,Classification!$A:$D,2,FALSE)</f>
        <v>A</v>
      </c>
      <c r="E265" s="49" t="str">
        <f>VLOOKUP(B265,Classification!$A:$D,2,FALSE)</f>
        <v>A</v>
      </c>
      <c r="F265" s="15" t="str">
        <f>VLOOKUP(C265,Classification!$A:$D,2,FALSE)</f>
        <v>A</v>
      </c>
      <c r="G265" s="15" t="b">
        <f t="shared" si="4"/>
        <v>1</v>
      </c>
      <c r="H265" s="10" t="str">
        <f>IF(ISERROR(MATCH(A265,'SegEnds_Xtal_Prot#'!B:B, 0)), "NoXtal", "Xtal")</f>
        <v>NoXtal</v>
      </c>
      <c r="J265" s="3"/>
    </row>
    <row r="266" spans="1:10" x14ac:dyDescent="0.2">
      <c r="A266" s="3" t="s">
        <v>918</v>
      </c>
      <c r="B266" s="1" t="s">
        <v>918</v>
      </c>
      <c r="C266" t="s">
        <v>918</v>
      </c>
      <c r="D266" s="28" t="str">
        <f>VLOOKUP(A266,Classification!$A:$D,2,FALSE)</f>
        <v>A</v>
      </c>
      <c r="E266" s="49" t="str">
        <f>VLOOKUP(B266,Classification!$A:$D,2,FALSE)</f>
        <v>A</v>
      </c>
      <c r="F266" s="15" t="str">
        <f>VLOOKUP(C266,Classification!$A:$D,2,FALSE)</f>
        <v>A</v>
      </c>
      <c r="G266" s="15" t="b">
        <f t="shared" si="4"/>
        <v>1</v>
      </c>
      <c r="H266" s="10" t="str">
        <f>IF(ISERROR(MATCH(A266,'SegEnds_Xtal_Prot#'!B:B, 0)), "NoXtal", "Xtal")</f>
        <v>Xtal</v>
      </c>
      <c r="J266" s="3"/>
    </row>
    <row r="267" spans="1:10" x14ac:dyDescent="0.2">
      <c r="A267" s="3" t="s">
        <v>337</v>
      </c>
      <c r="B267" s="1" t="s">
        <v>918</v>
      </c>
      <c r="C267" t="s">
        <v>918</v>
      </c>
      <c r="D267" s="28" t="str">
        <f>VLOOKUP(A267,Classification!$A:$D,2,FALSE)</f>
        <v>A</v>
      </c>
      <c r="E267" s="49" t="str">
        <f>VLOOKUP(B267,Classification!$A:$D,2,FALSE)</f>
        <v>A</v>
      </c>
      <c r="F267" s="15" t="str">
        <f>VLOOKUP(C267,Classification!$A:$D,2,FALSE)</f>
        <v>A</v>
      </c>
      <c r="G267" s="15" t="b">
        <f t="shared" si="4"/>
        <v>1</v>
      </c>
      <c r="H267" s="10" t="str">
        <f>IF(ISERROR(MATCH(A267,'SegEnds_Xtal_Prot#'!B:B, 0)), "NoXtal", "Xtal")</f>
        <v>NoXtal</v>
      </c>
      <c r="J267" s="3"/>
    </row>
    <row r="268" spans="1:10" x14ac:dyDescent="0.2">
      <c r="A268" s="3" t="s">
        <v>381</v>
      </c>
      <c r="B268" s="1" t="s">
        <v>336</v>
      </c>
      <c r="C268" t="s">
        <v>918</v>
      </c>
      <c r="D268" s="28" t="str">
        <f>VLOOKUP(A268,Classification!$A:$D,2,FALSE)</f>
        <v>A</v>
      </c>
      <c r="E268" s="49" t="str">
        <f>VLOOKUP(B268,Classification!$A:$D,2,FALSE)</f>
        <v>A</v>
      </c>
      <c r="F268" s="15" t="str">
        <f>VLOOKUP(C268,Classification!$A:$D,2,FALSE)</f>
        <v>A</v>
      </c>
      <c r="G268" s="15" t="b">
        <f t="shared" si="4"/>
        <v>1</v>
      </c>
      <c r="H268" s="10" t="str">
        <f>IF(ISERROR(MATCH(A268,'SegEnds_Xtal_Prot#'!B:B, 0)), "NoXtal", "Xtal")</f>
        <v>NoXtal</v>
      </c>
      <c r="J268" s="3"/>
    </row>
    <row r="269" spans="1:10" x14ac:dyDescent="0.2">
      <c r="A269" s="3" t="s">
        <v>397</v>
      </c>
      <c r="B269" s="1" t="s">
        <v>1176</v>
      </c>
      <c r="C269" t="s">
        <v>918</v>
      </c>
      <c r="D269" s="28" t="str">
        <f>VLOOKUP(A269,Classification!$A:$D,2,FALSE)</f>
        <v>A</v>
      </c>
      <c r="E269" s="49" t="str">
        <f>VLOOKUP(B269,Classification!$A:$D,2,FALSE)</f>
        <v>A</v>
      </c>
      <c r="F269" s="15" t="str">
        <f>VLOOKUP(C269,Classification!$A:$D,2,FALSE)</f>
        <v>A</v>
      </c>
      <c r="G269" s="15" t="b">
        <f t="shared" si="4"/>
        <v>1</v>
      </c>
      <c r="H269" s="10" t="str">
        <f>IF(ISERROR(MATCH(A269,'SegEnds_Xtal_Prot#'!B:B, 0)), "NoXtal", "Xtal")</f>
        <v>NoXtal</v>
      </c>
      <c r="J269" s="3"/>
    </row>
    <row r="270" spans="1:10" x14ac:dyDescent="0.2">
      <c r="A270" s="3" t="s">
        <v>207</v>
      </c>
      <c r="B270" s="1" t="s">
        <v>336</v>
      </c>
      <c r="C270" t="s">
        <v>918</v>
      </c>
      <c r="D270" s="28" t="str">
        <f>VLOOKUP(A270,Classification!$A:$D,2,FALSE)</f>
        <v>A</v>
      </c>
      <c r="E270" s="49" t="str">
        <f>VLOOKUP(B270,Classification!$A:$D,2,FALSE)</f>
        <v>A</v>
      </c>
      <c r="F270" s="15" t="str">
        <f>VLOOKUP(C270,Classification!$A:$D,2,FALSE)</f>
        <v>A</v>
      </c>
      <c r="G270" s="15" t="b">
        <f t="shared" si="4"/>
        <v>1</v>
      </c>
      <c r="H270" s="10" t="str">
        <f>IF(ISERROR(MATCH(A270,'SegEnds_Xtal_Prot#'!B:B, 0)), "NoXtal", "Xtal")</f>
        <v>NoXtal</v>
      </c>
      <c r="J270" s="3"/>
    </row>
    <row r="271" spans="1:10" x14ac:dyDescent="0.2">
      <c r="A271" s="3" t="s">
        <v>206</v>
      </c>
      <c r="B271" s="1" t="s">
        <v>336</v>
      </c>
      <c r="C271" t="s">
        <v>918</v>
      </c>
      <c r="D271" s="28" t="str">
        <f>VLOOKUP(A271,Classification!$A:$D,2,FALSE)</f>
        <v>A</v>
      </c>
      <c r="E271" s="49" t="str">
        <f>VLOOKUP(B271,Classification!$A:$D,2,FALSE)</f>
        <v>A</v>
      </c>
      <c r="F271" s="15" t="str">
        <f>VLOOKUP(C271,Classification!$A:$D,2,FALSE)</f>
        <v>A</v>
      </c>
      <c r="G271" s="15" t="b">
        <f t="shared" si="4"/>
        <v>1</v>
      </c>
      <c r="H271" s="10" t="str">
        <f>IF(ISERROR(MATCH(A271,'SegEnds_Xtal_Prot#'!B:B, 0)), "NoXtal", "Xtal")</f>
        <v>NoXtal</v>
      </c>
      <c r="J271" s="3"/>
    </row>
    <row r="272" spans="1:10" x14ac:dyDescent="0.2">
      <c r="A272" s="3" t="s">
        <v>210</v>
      </c>
      <c r="B272" s="1" t="s">
        <v>160</v>
      </c>
      <c r="C272" t="s">
        <v>918</v>
      </c>
      <c r="D272" s="28" t="str">
        <f>VLOOKUP(A272,Classification!$A:$D,2,FALSE)</f>
        <v>A</v>
      </c>
      <c r="E272" s="49" t="str">
        <f>VLOOKUP(B272,Classification!$A:$D,2,FALSE)</f>
        <v>A</v>
      </c>
      <c r="F272" s="15" t="str">
        <f>VLOOKUP(C272,Classification!$A:$D,2,FALSE)</f>
        <v>A</v>
      </c>
      <c r="G272" s="15" t="b">
        <f t="shared" si="4"/>
        <v>1</v>
      </c>
      <c r="H272" s="10" t="str">
        <f>IF(ISERROR(MATCH(A272,'SegEnds_Xtal_Prot#'!B:B, 0)), "NoXtal", "Xtal")</f>
        <v>NoXtal</v>
      </c>
      <c r="J272" s="3"/>
    </row>
    <row r="273" spans="1:10" x14ac:dyDescent="0.2">
      <c r="A273" s="3" t="s">
        <v>217</v>
      </c>
      <c r="B273" s="1" t="s">
        <v>278</v>
      </c>
      <c r="C273" t="s">
        <v>1174</v>
      </c>
      <c r="D273" s="28" t="str">
        <f>VLOOKUP(A273,Classification!$A:$D,2,FALSE)</f>
        <v>A</v>
      </c>
      <c r="E273" s="49" t="str">
        <f>VLOOKUP(B273,Classification!$A:$D,2,FALSE)</f>
        <v>A</v>
      </c>
      <c r="F273" s="15" t="str">
        <f>VLOOKUP(C273,Classification!$A:$D,2,FALSE)</f>
        <v>A</v>
      </c>
      <c r="G273" s="15" t="b">
        <f t="shared" si="4"/>
        <v>1</v>
      </c>
      <c r="H273" s="10" t="str">
        <f>IF(ISERROR(MATCH(A273,'SegEnds_Xtal_Prot#'!B:B, 0)), "NoXtal", "Xtal")</f>
        <v>NoXtal</v>
      </c>
      <c r="J273" s="3"/>
    </row>
    <row r="274" spans="1:10" x14ac:dyDescent="0.2">
      <c r="A274" s="3" t="s">
        <v>320</v>
      </c>
      <c r="B274" s="1" t="s">
        <v>336</v>
      </c>
      <c r="C274" t="s">
        <v>1174</v>
      </c>
      <c r="D274" s="28" t="str">
        <f>VLOOKUP(A274,Classification!$A:$D,2,FALSE)</f>
        <v>A</v>
      </c>
      <c r="E274" s="49" t="str">
        <f>VLOOKUP(B274,Classification!$A:$D,2,FALSE)</f>
        <v>A</v>
      </c>
      <c r="F274" s="15" t="str">
        <f>VLOOKUP(C274,Classification!$A:$D,2,FALSE)</f>
        <v>A</v>
      </c>
      <c r="G274" s="15" t="b">
        <f t="shared" si="4"/>
        <v>1</v>
      </c>
      <c r="H274" s="10" t="str">
        <f>IF(ISERROR(MATCH(A274,'SegEnds_Xtal_Prot#'!B:B, 0)), "NoXtal", "Xtal")</f>
        <v>NoXtal</v>
      </c>
      <c r="J274" s="3"/>
    </row>
    <row r="275" spans="1:10" x14ac:dyDescent="0.2">
      <c r="A275" s="3" t="s">
        <v>299</v>
      </c>
      <c r="B275" s="1" t="s">
        <v>336</v>
      </c>
      <c r="C275" t="s">
        <v>1174</v>
      </c>
      <c r="D275" s="28" t="str">
        <f>VLOOKUP(A275,Classification!$A:$D,2,FALSE)</f>
        <v>A</v>
      </c>
      <c r="E275" s="49" t="str">
        <f>VLOOKUP(B275,Classification!$A:$D,2,FALSE)</f>
        <v>A</v>
      </c>
      <c r="F275" s="15" t="str">
        <f>VLOOKUP(C275,Classification!$A:$D,2,FALSE)</f>
        <v>A</v>
      </c>
      <c r="G275" s="15" t="b">
        <f t="shared" si="4"/>
        <v>1</v>
      </c>
      <c r="H275" s="10" t="str">
        <f>IF(ISERROR(MATCH(A275,'SegEnds_Xtal_Prot#'!B:B, 0)), "NoXtal", "Xtal")</f>
        <v>NoXtal</v>
      </c>
      <c r="J275" s="3"/>
    </row>
    <row r="276" spans="1:10" x14ac:dyDescent="0.2">
      <c r="A276" s="3" t="s">
        <v>399</v>
      </c>
      <c r="B276" s="1" t="s">
        <v>914</v>
      </c>
      <c r="C276" t="s">
        <v>1174</v>
      </c>
      <c r="D276" s="28" t="str">
        <f>VLOOKUP(A276,Classification!$A:$D,2,FALSE)</f>
        <v>A</v>
      </c>
      <c r="E276" s="49" t="str">
        <f>VLOOKUP(B276,Classification!$A:$D,2,FALSE)</f>
        <v>A</v>
      </c>
      <c r="F276" s="15" t="str">
        <f>VLOOKUP(C276,Classification!$A:$D,2,FALSE)</f>
        <v>A</v>
      </c>
      <c r="G276" s="15" t="b">
        <f t="shared" si="4"/>
        <v>1</v>
      </c>
      <c r="H276" s="10" t="str">
        <f>IF(ISERROR(MATCH(A276,'SegEnds_Xtal_Prot#'!B:B, 0)), "NoXtal", "Xtal")</f>
        <v>NoXtal</v>
      </c>
      <c r="J276" s="3"/>
    </row>
    <row r="277" spans="1:10" x14ac:dyDescent="0.2">
      <c r="A277" s="3" t="s">
        <v>218</v>
      </c>
      <c r="B277" s="1" t="s">
        <v>191</v>
      </c>
      <c r="C277" t="s">
        <v>1174</v>
      </c>
      <c r="D277" s="28" t="str">
        <f>VLOOKUP(A277,Classification!$A:$D,2,FALSE)</f>
        <v>A</v>
      </c>
      <c r="E277" s="49" t="str">
        <f>VLOOKUP(B277,Classification!$A:$D,2,FALSE)</f>
        <v>A</v>
      </c>
      <c r="F277" s="15" t="str">
        <f>VLOOKUP(C277,Classification!$A:$D,2,FALSE)</f>
        <v>A</v>
      </c>
      <c r="G277" s="15" t="b">
        <f t="shared" si="4"/>
        <v>1</v>
      </c>
      <c r="H277" s="10" t="str">
        <f>IF(ISERROR(MATCH(A277,'SegEnds_Xtal_Prot#'!B:B, 0)), "NoXtal", "Xtal")</f>
        <v>NoXtal</v>
      </c>
      <c r="J277" s="3"/>
    </row>
    <row r="278" spans="1:10" x14ac:dyDescent="0.2">
      <c r="A278" s="3" t="s">
        <v>1174</v>
      </c>
      <c r="B278" s="1" t="s">
        <v>1174</v>
      </c>
      <c r="C278" t="s">
        <v>1174</v>
      </c>
      <c r="D278" s="28" t="str">
        <f>VLOOKUP(A278,Classification!$A:$D,2,FALSE)</f>
        <v>A</v>
      </c>
      <c r="E278" s="49" t="str">
        <f>VLOOKUP(B278,Classification!$A:$D,2,FALSE)</f>
        <v>A</v>
      </c>
      <c r="F278" s="15" t="str">
        <f>VLOOKUP(C278,Classification!$A:$D,2,FALSE)</f>
        <v>A</v>
      </c>
      <c r="G278" s="15" t="b">
        <f t="shared" si="4"/>
        <v>1</v>
      </c>
      <c r="H278" s="10" t="str">
        <f>IF(ISERROR(MATCH(A278,'SegEnds_Xtal_Prot#'!B:B, 0)), "NoXtal", "Xtal")</f>
        <v>Xtal</v>
      </c>
      <c r="J278" s="3"/>
    </row>
    <row r="279" spans="1:10" x14ac:dyDescent="0.2">
      <c r="A279" s="3" t="s">
        <v>396</v>
      </c>
      <c r="B279" s="1" t="s">
        <v>126</v>
      </c>
      <c r="C279" t="s">
        <v>1174</v>
      </c>
      <c r="D279" s="28" t="str">
        <f>VLOOKUP(A279,Classification!$A:$D,2,FALSE)</f>
        <v>A</v>
      </c>
      <c r="E279" s="49" t="str">
        <f>VLOOKUP(B279,Classification!$A:$D,2,FALSE)</f>
        <v>A</v>
      </c>
      <c r="F279" s="15" t="str">
        <f>VLOOKUP(C279,Classification!$A:$D,2,FALSE)</f>
        <v>A</v>
      </c>
      <c r="G279" s="15" t="b">
        <f t="shared" si="4"/>
        <v>1</v>
      </c>
      <c r="H279" s="10" t="str">
        <f>IF(ISERROR(MATCH(A279,'SegEnds_Xtal_Prot#'!B:B, 0)), "NoXtal", "Xtal")</f>
        <v>NoXtal</v>
      </c>
      <c r="J279" s="3"/>
    </row>
    <row r="280" spans="1:10" x14ac:dyDescent="0.2">
      <c r="A280" s="3" t="s">
        <v>282</v>
      </c>
      <c r="B280" s="1" t="s">
        <v>336</v>
      </c>
      <c r="C280" t="s">
        <v>1174</v>
      </c>
      <c r="D280" s="28" t="str">
        <f>VLOOKUP(A280,Classification!$A:$D,2,FALSE)</f>
        <v>A</v>
      </c>
      <c r="E280" s="49" t="str">
        <f>VLOOKUP(B280,Classification!$A:$D,2,FALSE)</f>
        <v>A</v>
      </c>
      <c r="F280" s="15" t="str">
        <f>VLOOKUP(C280,Classification!$A:$D,2,FALSE)</f>
        <v>A</v>
      </c>
      <c r="G280" s="15" t="b">
        <f t="shared" si="4"/>
        <v>1</v>
      </c>
      <c r="H280" s="10" t="str">
        <f>IF(ISERROR(MATCH(A280,'SegEnds_Xtal_Prot#'!B:B, 0)), "NoXtal", "Xtal")</f>
        <v>NoXtal</v>
      </c>
      <c r="J280" s="3"/>
    </row>
    <row r="281" spans="1:10" x14ac:dyDescent="0.2">
      <c r="A281" s="3" t="s">
        <v>394</v>
      </c>
      <c r="B281" s="1" t="s">
        <v>1174</v>
      </c>
      <c r="C281" t="s">
        <v>1174</v>
      </c>
      <c r="D281" s="28" t="str">
        <f>VLOOKUP(A281,Classification!$A:$D,2,FALSE)</f>
        <v>A</v>
      </c>
      <c r="E281" s="49" t="str">
        <f>VLOOKUP(B281,Classification!$A:$D,2,FALSE)</f>
        <v>A</v>
      </c>
      <c r="F281" s="15" t="str">
        <f>VLOOKUP(C281,Classification!$A:$D,2,FALSE)</f>
        <v>A</v>
      </c>
      <c r="G281" s="15" t="b">
        <f t="shared" si="4"/>
        <v>1</v>
      </c>
      <c r="H281" s="10" t="str">
        <f>IF(ISERROR(MATCH(A281,'SegEnds_Xtal_Prot#'!B:B, 0)), "NoXtal", "Xtal")</f>
        <v>NoXtal</v>
      </c>
      <c r="J281" s="3"/>
    </row>
    <row r="282" spans="1:10" x14ac:dyDescent="0.2">
      <c r="A282" s="3" t="s">
        <v>398</v>
      </c>
      <c r="B282" s="1" t="s">
        <v>914</v>
      </c>
      <c r="C282" t="s">
        <v>1174</v>
      </c>
      <c r="D282" s="28" t="str">
        <f>VLOOKUP(A282,Classification!$A:$D,2,FALSE)</f>
        <v>A</v>
      </c>
      <c r="E282" s="49" t="str">
        <f>VLOOKUP(B282,Classification!$A:$D,2,FALSE)</f>
        <v>A</v>
      </c>
      <c r="F282" s="15" t="str">
        <f>VLOOKUP(C282,Classification!$A:$D,2,FALSE)</f>
        <v>A</v>
      </c>
      <c r="G282" s="15" t="b">
        <f t="shared" si="4"/>
        <v>1</v>
      </c>
      <c r="H282" s="10" t="str">
        <f>IF(ISERROR(MATCH(A282,'SegEnds_Xtal_Prot#'!B:B, 0)), "NoXtal", "Xtal")</f>
        <v>NoXtal</v>
      </c>
      <c r="J282" s="3"/>
    </row>
    <row r="283" spans="1:10" x14ac:dyDescent="0.2">
      <c r="A283" s="3" t="s">
        <v>383</v>
      </c>
      <c r="B283" s="1" t="s">
        <v>336</v>
      </c>
      <c r="C283" t="s">
        <v>1174</v>
      </c>
      <c r="D283" s="28" t="str">
        <f>VLOOKUP(A283,Classification!$A:$D,2,FALSE)</f>
        <v>A</v>
      </c>
      <c r="E283" s="49" t="str">
        <f>VLOOKUP(B283,Classification!$A:$D,2,FALSE)</f>
        <v>A</v>
      </c>
      <c r="F283" s="15" t="str">
        <f>VLOOKUP(C283,Classification!$A:$D,2,FALSE)</f>
        <v>A</v>
      </c>
      <c r="G283" s="15" t="b">
        <f t="shared" si="4"/>
        <v>1</v>
      </c>
      <c r="H283" s="10" t="str">
        <f>IF(ISERROR(MATCH(A283,'SegEnds_Xtal_Prot#'!B:B, 0)), "NoXtal", "Xtal")</f>
        <v>NoXtal</v>
      </c>
      <c r="J283" s="3"/>
    </row>
    <row r="284" spans="1:10" x14ac:dyDescent="0.2">
      <c r="A284" s="3" t="s">
        <v>920</v>
      </c>
      <c r="B284" s="1" t="s">
        <v>920</v>
      </c>
      <c r="C284" t="s">
        <v>920</v>
      </c>
      <c r="D284" s="28" t="str">
        <f>VLOOKUP(A284,Classification!$A:$D,2,FALSE)</f>
        <v>A</v>
      </c>
      <c r="E284" s="49" t="str">
        <f>VLOOKUP(B284,Classification!$A:$D,2,FALSE)</f>
        <v>A</v>
      </c>
      <c r="F284" s="15" t="str">
        <f>VLOOKUP(C284,Classification!$A:$D,2,FALSE)</f>
        <v>A</v>
      </c>
      <c r="G284" s="15" t="b">
        <f t="shared" si="4"/>
        <v>1</v>
      </c>
      <c r="H284" s="10" t="str">
        <f>IF(ISERROR(MATCH(A284,'SegEnds_Xtal_Prot#'!B:B, 0)), "NoXtal", "Xtal")</f>
        <v>Xtal</v>
      </c>
      <c r="J284" s="3"/>
    </row>
    <row r="285" spans="1:10" x14ac:dyDescent="0.2">
      <c r="A285" s="3" t="s">
        <v>332</v>
      </c>
      <c r="B285" s="1" t="s">
        <v>920</v>
      </c>
      <c r="C285" t="s">
        <v>920</v>
      </c>
      <c r="D285" s="28" t="str">
        <f>VLOOKUP(A285,Classification!$A:$D,2,FALSE)</f>
        <v>A</v>
      </c>
      <c r="E285" s="49" t="str">
        <f>VLOOKUP(B285,Classification!$A:$D,2,FALSE)</f>
        <v>A</v>
      </c>
      <c r="F285" s="15" t="str">
        <f>VLOOKUP(C285,Classification!$A:$D,2,FALSE)</f>
        <v>A</v>
      </c>
      <c r="G285" s="15" t="b">
        <f t="shared" si="4"/>
        <v>1</v>
      </c>
      <c r="H285" s="10" t="str">
        <f>IF(ISERROR(MATCH(A285,'SegEnds_Xtal_Prot#'!B:B, 0)), "NoXtal", "Xtal")</f>
        <v>NoXtal</v>
      </c>
      <c r="J285" s="3"/>
    </row>
    <row r="286" spans="1:10" x14ac:dyDescent="0.2">
      <c r="A286" s="3" t="s">
        <v>339</v>
      </c>
      <c r="B286" s="1" t="s">
        <v>339</v>
      </c>
      <c r="C286" t="s">
        <v>339</v>
      </c>
      <c r="D286" s="28" t="str">
        <f>VLOOKUP(A286,Classification!$A:$D,2,FALSE)</f>
        <v>A</v>
      </c>
      <c r="E286" s="49" t="str">
        <f>VLOOKUP(B286,Classification!$A:$D,2,FALSE)</f>
        <v>A</v>
      </c>
      <c r="F286" s="15" t="str">
        <f>VLOOKUP(C286,Classification!$A:$D,2,FALSE)</f>
        <v>A</v>
      </c>
      <c r="G286" s="15" t="b">
        <f t="shared" si="4"/>
        <v>1</v>
      </c>
      <c r="H286" s="10" t="str">
        <f>IF(ISERROR(MATCH(A286,'SegEnds_Xtal_Prot#'!B:B, 0)), "NoXtal", "Xtal")</f>
        <v>Xtal</v>
      </c>
      <c r="J286" s="3"/>
    </row>
    <row r="287" spans="1:10" x14ac:dyDescent="0.2">
      <c r="A287" s="3" t="s">
        <v>340</v>
      </c>
      <c r="B287" s="1" t="s">
        <v>339</v>
      </c>
      <c r="C287" t="s">
        <v>339</v>
      </c>
      <c r="D287" s="28" t="str">
        <f>VLOOKUP(A287,Classification!$A:$D,2,FALSE)</f>
        <v>A</v>
      </c>
      <c r="E287" s="49" t="str">
        <f>VLOOKUP(B287,Classification!$A:$D,2,FALSE)</f>
        <v>A</v>
      </c>
      <c r="F287" s="15" t="str">
        <f>VLOOKUP(C287,Classification!$A:$D,2,FALSE)</f>
        <v>A</v>
      </c>
      <c r="G287" s="15" t="b">
        <f t="shared" si="4"/>
        <v>1</v>
      </c>
      <c r="H287" s="10" t="str">
        <f>IF(ISERROR(MATCH(A287,'SegEnds_Xtal_Prot#'!B:B, 0)), "NoXtal", "Xtal")</f>
        <v>NoXtal</v>
      </c>
      <c r="J287" s="3"/>
    </row>
    <row r="288" spans="1:10" x14ac:dyDescent="0.2">
      <c r="A288" s="3" t="s">
        <v>341</v>
      </c>
      <c r="B288" s="1" t="s">
        <v>339</v>
      </c>
      <c r="C288" t="s">
        <v>339</v>
      </c>
      <c r="D288" s="28" t="str">
        <f>VLOOKUP(A288,Classification!$A:$D,2,FALSE)</f>
        <v>A</v>
      </c>
      <c r="E288" s="49" t="str">
        <f>VLOOKUP(B288,Classification!$A:$D,2,FALSE)</f>
        <v>A</v>
      </c>
      <c r="F288" s="15" t="str">
        <f>VLOOKUP(C288,Classification!$A:$D,2,FALSE)</f>
        <v>A</v>
      </c>
      <c r="G288" s="15" t="b">
        <f t="shared" si="4"/>
        <v>1</v>
      </c>
      <c r="H288" s="10" t="str">
        <f>IF(ISERROR(MATCH(A288,'SegEnds_Xtal_Prot#'!B:B, 0)), "NoXtal", "Xtal")</f>
        <v>NoXtal</v>
      </c>
      <c r="J288" s="3"/>
    </row>
    <row r="289" spans="1:10" x14ac:dyDescent="0.2">
      <c r="A289" s="3" t="s">
        <v>338</v>
      </c>
      <c r="B289" s="1" t="s">
        <v>339</v>
      </c>
      <c r="C289" t="s">
        <v>339</v>
      </c>
      <c r="D289" s="28" t="str">
        <f>VLOOKUP(A289,Classification!$A:$D,2,FALSE)</f>
        <v>A</v>
      </c>
      <c r="E289" s="49" t="str">
        <f>VLOOKUP(B289,Classification!$A:$D,2,FALSE)</f>
        <v>A</v>
      </c>
      <c r="F289" s="15" t="str">
        <f>VLOOKUP(C289,Classification!$A:$D,2,FALSE)</f>
        <v>A</v>
      </c>
      <c r="G289" s="15" t="b">
        <f t="shared" si="4"/>
        <v>1</v>
      </c>
      <c r="H289" s="10" t="str">
        <f>IF(ISERROR(MATCH(A289,'SegEnds_Xtal_Prot#'!B:B, 0)), "NoXtal", "Xtal")</f>
        <v>NoXtal</v>
      </c>
      <c r="J289" s="3"/>
    </row>
    <row r="290" spans="1:10" x14ac:dyDescent="0.2">
      <c r="A290" s="3" t="s">
        <v>285</v>
      </c>
      <c r="B290" s="1" t="s">
        <v>126</v>
      </c>
      <c r="C290" t="s">
        <v>339</v>
      </c>
      <c r="D290" s="28" t="str">
        <f>VLOOKUP(A290,Classification!$A:$D,2,FALSE)</f>
        <v>A</v>
      </c>
      <c r="E290" s="49" t="str">
        <f>VLOOKUP(B290,Classification!$A:$D,2,FALSE)</f>
        <v>A</v>
      </c>
      <c r="F290" s="15" t="str">
        <f>VLOOKUP(C290,Classification!$A:$D,2,FALSE)</f>
        <v>A</v>
      </c>
      <c r="G290" s="15" t="b">
        <f t="shared" si="4"/>
        <v>1</v>
      </c>
      <c r="H290" s="10" t="str">
        <f>IF(ISERROR(MATCH(A290,'SegEnds_Xtal_Prot#'!B:B, 0)), "NoXtal", "Xtal")</f>
        <v>NoXtal</v>
      </c>
      <c r="J290" s="3"/>
    </row>
    <row r="291" spans="1:10" x14ac:dyDescent="0.2">
      <c r="A291" s="3" t="s">
        <v>334</v>
      </c>
      <c r="B291" s="1" t="s">
        <v>920</v>
      </c>
      <c r="C291" t="s">
        <v>922</v>
      </c>
      <c r="D291" s="28" t="str">
        <f>VLOOKUP(A291,Classification!$A:$D,2,FALSE)</f>
        <v>A</v>
      </c>
      <c r="E291" s="49" t="str">
        <f>VLOOKUP(B291,Classification!$A:$D,2,FALSE)</f>
        <v>A</v>
      </c>
      <c r="F291" s="15" t="str">
        <f>VLOOKUP(C291,Classification!$A:$D,2,FALSE)</f>
        <v>A</v>
      </c>
      <c r="G291" s="15" t="b">
        <f t="shared" si="4"/>
        <v>1</v>
      </c>
      <c r="H291" s="10" t="str">
        <f>IF(ISERROR(MATCH(A291,'SegEnds_Xtal_Prot#'!B:B, 0)), "NoXtal", "Xtal")</f>
        <v>NoXtal</v>
      </c>
      <c r="J291" s="3"/>
    </row>
    <row r="292" spans="1:10" x14ac:dyDescent="0.2">
      <c r="A292" s="3" t="s">
        <v>333</v>
      </c>
      <c r="B292" s="1" t="s">
        <v>339</v>
      </c>
      <c r="C292" t="s">
        <v>922</v>
      </c>
      <c r="D292" s="28" t="str">
        <f>VLOOKUP(A292,Classification!$A:$D,2,FALSE)</f>
        <v>A</v>
      </c>
      <c r="E292" s="49" t="str">
        <f>VLOOKUP(B292,Classification!$A:$D,2,FALSE)</f>
        <v>A</v>
      </c>
      <c r="F292" s="15" t="str">
        <f>VLOOKUP(C292,Classification!$A:$D,2,FALSE)</f>
        <v>A</v>
      </c>
      <c r="G292" s="15" t="b">
        <f t="shared" si="4"/>
        <v>1</v>
      </c>
      <c r="H292" s="10" t="str">
        <f>IF(ISERROR(MATCH(A292,'SegEnds_Xtal_Prot#'!B:B, 0)), "NoXtal", "Xtal")</f>
        <v>NoXtal</v>
      </c>
      <c r="J292" s="3"/>
    </row>
    <row r="293" spans="1:10" x14ac:dyDescent="0.2">
      <c r="A293" s="3" t="s">
        <v>922</v>
      </c>
      <c r="B293" s="1" t="s">
        <v>922</v>
      </c>
      <c r="C293" t="s">
        <v>922</v>
      </c>
      <c r="D293" s="28" t="str">
        <f>VLOOKUP(A293,Classification!$A:$D,2,FALSE)</f>
        <v>A</v>
      </c>
      <c r="E293" s="49" t="str">
        <f>VLOOKUP(B293,Classification!$A:$D,2,FALSE)</f>
        <v>A</v>
      </c>
      <c r="F293" s="15" t="str">
        <f>VLOOKUP(C293,Classification!$A:$D,2,FALSE)</f>
        <v>A</v>
      </c>
      <c r="G293" s="15" t="b">
        <f t="shared" si="4"/>
        <v>1</v>
      </c>
      <c r="H293" s="10" t="str">
        <f>IF(ISERROR(MATCH(A293,'SegEnds_Xtal_Prot#'!B:B, 0)), "NoXtal", "Xtal")</f>
        <v>Xtal</v>
      </c>
      <c r="J293" s="3"/>
    </row>
    <row r="294" spans="1:10" x14ac:dyDescent="0.2">
      <c r="A294" s="3" t="s">
        <v>270</v>
      </c>
      <c r="B294" s="1" t="s">
        <v>133</v>
      </c>
      <c r="C294" t="s">
        <v>1175</v>
      </c>
      <c r="D294" s="28" t="str">
        <f>VLOOKUP(A294,Classification!$A:$D,2,FALSE)</f>
        <v>A</v>
      </c>
      <c r="E294" s="49" t="str">
        <f>VLOOKUP(B294,Classification!$A:$D,2,FALSE)</f>
        <v>A</v>
      </c>
      <c r="F294" s="15" t="str">
        <f>VLOOKUP(C294,Classification!$A:$D,2,FALSE)</f>
        <v>A</v>
      </c>
      <c r="G294" s="15" t="b">
        <f t="shared" si="4"/>
        <v>1</v>
      </c>
      <c r="H294" s="10" t="str">
        <f>IF(ISERROR(MATCH(A294,'SegEnds_Xtal_Prot#'!B:B, 0)), "NoXtal", "Xtal")</f>
        <v>NoXtal</v>
      </c>
      <c r="J294" s="3"/>
    </row>
    <row r="295" spans="1:10" x14ac:dyDescent="0.2">
      <c r="A295" s="3" t="s">
        <v>326</v>
      </c>
      <c r="B295" s="1" t="s">
        <v>1176</v>
      </c>
      <c r="C295" t="s">
        <v>1175</v>
      </c>
      <c r="D295" s="28" t="str">
        <f>VLOOKUP(A295,Classification!$A:$D,2,FALSE)</f>
        <v>A</v>
      </c>
      <c r="E295" s="49" t="str">
        <f>VLOOKUP(B295,Classification!$A:$D,2,FALSE)</f>
        <v>A</v>
      </c>
      <c r="F295" s="15" t="str">
        <f>VLOOKUP(C295,Classification!$A:$D,2,FALSE)</f>
        <v>A</v>
      </c>
      <c r="G295" s="15" t="b">
        <f t="shared" si="4"/>
        <v>1</v>
      </c>
      <c r="H295" s="10" t="str">
        <f>IF(ISERROR(MATCH(A295,'SegEnds_Xtal_Prot#'!B:B, 0)), "NoXtal", "Xtal")</f>
        <v>NoXtal</v>
      </c>
      <c r="J295" s="3"/>
    </row>
    <row r="296" spans="1:10" x14ac:dyDescent="0.2">
      <c r="A296" s="3" t="s">
        <v>344</v>
      </c>
      <c r="B296" s="1" t="s">
        <v>1176</v>
      </c>
      <c r="C296" t="s">
        <v>1175</v>
      </c>
      <c r="D296" s="28" t="str">
        <f>VLOOKUP(A296,Classification!$A:$D,2,FALSE)</f>
        <v>A</v>
      </c>
      <c r="E296" s="49" t="str">
        <f>VLOOKUP(B296,Classification!$A:$D,2,FALSE)</f>
        <v>A</v>
      </c>
      <c r="F296" s="15" t="str">
        <f>VLOOKUP(C296,Classification!$A:$D,2,FALSE)</f>
        <v>A</v>
      </c>
      <c r="G296" s="15" t="b">
        <f t="shared" si="4"/>
        <v>1</v>
      </c>
      <c r="H296" s="10" t="str">
        <f>IF(ISERROR(MATCH(A296,'SegEnds_Xtal_Prot#'!B:B, 0)), "NoXtal", "Xtal")</f>
        <v>NoXtal</v>
      </c>
      <c r="J296" s="3"/>
    </row>
    <row r="297" spans="1:10" x14ac:dyDescent="0.2">
      <c r="A297" s="3" t="s">
        <v>1175</v>
      </c>
      <c r="B297" s="1" t="s">
        <v>1175</v>
      </c>
      <c r="C297" t="s">
        <v>1175</v>
      </c>
      <c r="D297" s="28" t="str">
        <f>VLOOKUP(A297,Classification!$A:$D,2,FALSE)</f>
        <v>A</v>
      </c>
      <c r="E297" s="49" t="str">
        <f>VLOOKUP(B297,Classification!$A:$D,2,FALSE)</f>
        <v>A</v>
      </c>
      <c r="F297" s="15" t="str">
        <f>VLOOKUP(C297,Classification!$A:$D,2,FALSE)</f>
        <v>A</v>
      </c>
      <c r="G297" s="15" t="b">
        <f t="shared" si="4"/>
        <v>1</v>
      </c>
      <c r="H297" s="10" t="str">
        <f>IF(ISERROR(MATCH(A297,'SegEnds_Xtal_Prot#'!B:B, 0)), "NoXtal", "Xtal")</f>
        <v>Xtal</v>
      </c>
      <c r="J297" s="3"/>
    </row>
    <row r="298" spans="1:10" x14ac:dyDescent="0.2">
      <c r="A298" s="3" t="s">
        <v>267</v>
      </c>
      <c r="B298" s="1" t="s">
        <v>191</v>
      </c>
      <c r="C298" t="s">
        <v>1175</v>
      </c>
      <c r="D298" s="28" t="str">
        <f>VLOOKUP(A298,Classification!$A:$D,2,FALSE)</f>
        <v>A</v>
      </c>
      <c r="E298" s="49" t="str">
        <f>VLOOKUP(B298,Classification!$A:$D,2,FALSE)</f>
        <v>A</v>
      </c>
      <c r="F298" s="15" t="str">
        <f>VLOOKUP(C298,Classification!$A:$D,2,FALSE)</f>
        <v>A</v>
      </c>
      <c r="G298" s="15" t="b">
        <f t="shared" si="4"/>
        <v>1</v>
      </c>
      <c r="H298" s="10" t="str">
        <f>IF(ISERROR(MATCH(A298,'SegEnds_Xtal_Prot#'!B:B, 0)), "NoXtal", "Xtal")</f>
        <v>NoXtal</v>
      </c>
      <c r="J298" s="3"/>
    </row>
    <row r="299" spans="1:10" x14ac:dyDescent="0.2">
      <c r="A299" s="3" t="s">
        <v>222</v>
      </c>
      <c r="B299" s="1" t="s">
        <v>1176</v>
      </c>
      <c r="C299" t="s">
        <v>1175</v>
      </c>
      <c r="D299" s="28" t="str">
        <f>VLOOKUP(A299,Classification!$A:$D,2,FALSE)</f>
        <v>A</v>
      </c>
      <c r="E299" s="49" t="str">
        <f>VLOOKUP(B299,Classification!$A:$D,2,FALSE)</f>
        <v>A</v>
      </c>
      <c r="F299" s="15" t="str">
        <f>VLOOKUP(C299,Classification!$A:$D,2,FALSE)</f>
        <v>A</v>
      </c>
      <c r="G299" s="15" t="b">
        <f t="shared" si="4"/>
        <v>1</v>
      </c>
      <c r="H299" s="10" t="str">
        <f>IF(ISERROR(MATCH(A299,'SegEnds_Xtal_Prot#'!B:B, 0)), "NoXtal", "Xtal")</f>
        <v>NoXtal</v>
      </c>
      <c r="J299" s="3"/>
    </row>
    <row r="300" spans="1:10" x14ac:dyDescent="0.2">
      <c r="A300" s="3" t="s">
        <v>323</v>
      </c>
      <c r="B300" s="1" t="s">
        <v>1175</v>
      </c>
      <c r="C300" t="s">
        <v>1175</v>
      </c>
      <c r="D300" s="28" t="str">
        <f>VLOOKUP(A300,Classification!$A:$D,2,FALSE)</f>
        <v>A</v>
      </c>
      <c r="E300" s="49" t="str">
        <f>VLOOKUP(B300,Classification!$A:$D,2,FALSE)</f>
        <v>A</v>
      </c>
      <c r="F300" s="15" t="str">
        <f>VLOOKUP(C300,Classification!$A:$D,2,FALSE)</f>
        <v>A</v>
      </c>
      <c r="G300" s="15" t="b">
        <f t="shared" si="4"/>
        <v>1</v>
      </c>
      <c r="H300" s="10" t="str">
        <f>IF(ISERROR(MATCH(A300,'SegEnds_Xtal_Prot#'!B:B, 0)), "NoXtal", "Xtal")</f>
        <v>NoXtal</v>
      </c>
      <c r="J300" s="3"/>
    </row>
    <row r="301" spans="1:10" x14ac:dyDescent="0.2">
      <c r="A301" s="3" t="s">
        <v>315</v>
      </c>
      <c r="B301" s="1" t="s">
        <v>314</v>
      </c>
      <c r="C301" t="s">
        <v>1175</v>
      </c>
      <c r="D301" s="28" t="str">
        <f>VLOOKUP(A301,Classification!$A:$D,2,FALSE)</f>
        <v>A</v>
      </c>
      <c r="E301" s="49" t="str">
        <f>VLOOKUP(B301,Classification!$A:$D,2,FALSE)</f>
        <v>A</v>
      </c>
      <c r="F301" s="15" t="str">
        <f>VLOOKUP(C301,Classification!$A:$D,2,FALSE)</f>
        <v>A</v>
      </c>
      <c r="G301" s="15" t="b">
        <f t="shared" si="4"/>
        <v>1</v>
      </c>
      <c r="H301" s="10" t="str">
        <f>IF(ISERROR(MATCH(A301,'SegEnds_Xtal_Prot#'!B:B, 0)), "NoXtal", "Xtal")</f>
        <v>NoXtal</v>
      </c>
      <c r="J301" s="3"/>
    </row>
    <row r="302" spans="1:10" x14ac:dyDescent="0.2">
      <c r="A302" s="3" t="s">
        <v>215</v>
      </c>
      <c r="B302" s="1" t="s">
        <v>1175</v>
      </c>
      <c r="C302" t="s">
        <v>1175</v>
      </c>
      <c r="D302" s="28" t="str">
        <f>VLOOKUP(A302,Classification!$A:$D,2,FALSE)</f>
        <v>A</v>
      </c>
      <c r="E302" s="49" t="str">
        <f>VLOOKUP(B302,Classification!$A:$D,2,FALSE)</f>
        <v>A</v>
      </c>
      <c r="F302" s="15" t="str">
        <f>VLOOKUP(C302,Classification!$A:$D,2,FALSE)</f>
        <v>A</v>
      </c>
      <c r="G302" s="15" t="b">
        <f t="shared" si="4"/>
        <v>1</v>
      </c>
      <c r="H302" s="10" t="str">
        <f>IF(ISERROR(MATCH(A302,'SegEnds_Xtal_Prot#'!B:B, 0)), "NoXtal", "Xtal")</f>
        <v>NoXtal</v>
      </c>
      <c r="J302" s="3"/>
    </row>
    <row r="303" spans="1:10" x14ac:dyDescent="0.2">
      <c r="A303" s="3" t="s">
        <v>232</v>
      </c>
      <c r="B303" s="1" t="s">
        <v>1175</v>
      </c>
      <c r="C303" t="s">
        <v>1175</v>
      </c>
      <c r="D303" s="28" t="str">
        <f>VLOOKUP(A303,Classification!$A:$D,2,FALSE)</f>
        <v>A</v>
      </c>
      <c r="E303" s="49" t="str">
        <f>VLOOKUP(B303,Classification!$A:$D,2,FALSE)</f>
        <v>A</v>
      </c>
      <c r="F303" s="15" t="str">
        <f>VLOOKUP(C303,Classification!$A:$D,2,FALSE)</f>
        <v>A</v>
      </c>
      <c r="G303" s="15" t="b">
        <f t="shared" si="4"/>
        <v>1</v>
      </c>
      <c r="H303" s="10" t="str">
        <f>IF(ISERROR(MATCH(A303,'SegEnds_Xtal_Prot#'!B:B, 0)), "NoXtal", "Xtal")</f>
        <v>NoXtal</v>
      </c>
      <c r="J303" s="3"/>
    </row>
    <row r="304" spans="1:10" x14ac:dyDescent="0.2">
      <c r="A304" s="3" t="s">
        <v>328</v>
      </c>
      <c r="B304" s="1" t="s">
        <v>325</v>
      </c>
      <c r="C304" t="s">
        <v>1176</v>
      </c>
      <c r="D304" s="28" t="str">
        <f>VLOOKUP(A304,Classification!$A:$D,2,FALSE)</f>
        <v>A</v>
      </c>
      <c r="E304" s="49" t="str">
        <f>VLOOKUP(B304,Classification!$A:$D,2,FALSE)</f>
        <v>A</v>
      </c>
      <c r="F304" s="15" t="str">
        <f>VLOOKUP(C304,Classification!$A:$D,2,FALSE)</f>
        <v>A</v>
      </c>
      <c r="G304" s="15" t="b">
        <f t="shared" si="4"/>
        <v>1</v>
      </c>
      <c r="H304" s="10" t="str">
        <f>IF(ISERROR(MATCH(A304,'SegEnds_Xtal_Prot#'!B:B, 0)), "NoXtal", "Xtal")</f>
        <v>NoXtal</v>
      </c>
      <c r="J304" s="3"/>
    </row>
    <row r="305" spans="1:10" x14ac:dyDescent="0.2">
      <c r="A305" s="3" t="s">
        <v>369</v>
      </c>
      <c r="B305" s="1" t="s">
        <v>1176</v>
      </c>
      <c r="C305" t="s">
        <v>1176</v>
      </c>
      <c r="D305" s="28" t="str">
        <f>VLOOKUP(A305,Classification!$A:$D,2,FALSE)</f>
        <v>A</v>
      </c>
      <c r="E305" s="49" t="str">
        <f>VLOOKUP(B305,Classification!$A:$D,2,FALSE)</f>
        <v>A</v>
      </c>
      <c r="F305" s="15" t="str">
        <f>VLOOKUP(C305,Classification!$A:$D,2,FALSE)</f>
        <v>A</v>
      </c>
      <c r="G305" s="15" t="b">
        <f t="shared" si="4"/>
        <v>1</v>
      </c>
      <c r="H305" s="10" t="str">
        <f>IF(ISERROR(MATCH(A305,'SegEnds_Xtal_Prot#'!B:B, 0)), "NoXtal", "Xtal")</f>
        <v>NoXtal</v>
      </c>
      <c r="J305" s="3"/>
    </row>
    <row r="306" spans="1:10" x14ac:dyDescent="0.2">
      <c r="A306" s="3" t="s">
        <v>359</v>
      </c>
      <c r="B306" s="1" t="s">
        <v>364</v>
      </c>
      <c r="C306" t="s">
        <v>1176</v>
      </c>
      <c r="D306" s="28" t="str">
        <f>VLOOKUP(A306,Classification!$A:$D,2,FALSE)</f>
        <v>A</v>
      </c>
      <c r="E306" s="49" t="str">
        <f>VLOOKUP(B306,Classification!$A:$D,2,FALSE)</f>
        <v>A</v>
      </c>
      <c r="F306" s="15" t="str">
        <f>VLOOKUP(C306,Classification!$A:$D,2,FALSE)</f>
        <v>A</v>
      </c>
      <c r="G306" s="15" t="b">
        <f t="shared" si="4"/>
        <v>1</v>
      </c>
      <c r="H306" s="10" t="str">
        <f>IF(ISERROR(MATCH(A306,'SegEnds_Xtal_Prot#'!B:B, 0)), "NoXtal", "Xtal")</f>
        <v>NoXtal</v>
      </c>
      <c r="J306" s="3"/>
    </row>
    <row r="307" spans="1:10" x14ac:dyDescent="0.2">
      <c r="A307" s="3" t="s">
        <v>324</v>
      </c>
      <c r="B307" s="1" t="s">
        <v>133</v>
      </c>
      <c r="C307" t="s">
        <v>1176</v>
      </c>
      <c r="D307" s="28" t="str">
        <f>VLOOKUP(A307,Classification!$A:$D,2,FALSE)</f>
        <v>A</v>
      </c>
      <c r="E307" s="49" t="str">
        <f>VLOOKUP(B307,Classification!$A:$D,2,FALSE)</f>
        <v>A</v>
      </c>
      <c r="F307" s="15" t="str">
        <f>VLOOKUP(C307,Classification!$A:$D,2,FALSE)</f>
        <v>A</v>
      </c>
      <c r="G307" s="15" t="b">
        <f t="shared" si="4"/>
        <v>1</v>
      </c>
      <c r="H307" s="10" t="str">
        <f>IF(ISERROR(MATCH(A307,'SegEnds_Xtal_Prot#'!B:B, 0)), "NoXtal", "Xtal")</f>
        <v>NoXtal</v>
      </c>
      <c r="J307" s="3"/>
    </row>
    <row r="308" spans="1:10" x14ac:dyDescent="0.2">
      <c r="A308" s="3" t="s">
        <v>247</v>
      </c>
      <c r="B308" s="1" t="s">
        <v>191</v>
      </c>
      <c r="C308" t="s">
        <v>1176</v>
      </c>
      <c r="D308" s="28" t="str">
        <f>VLOOKUP(A308,Classification!$A:$D,2,FALSE)</f>
        <v>A</v>
      </c>
      <c r="E308" s="49" t="str">
        <f>VLOOKUP(B308,Classification!$A:$D,2,FALSE)</f>
        <v>A</v>
      </c>
      <c r="F308" s="15" t="str">
        <f>VLOOKUP(C308,Classification!$A:$D,2,FALSE)</f>
        <v>A</v>
      </c>
      <c r="G308" s="15" t="b">
        <f t="shared" si="4"/>
        <v>1</v>
      </c>
      <c r="H308" s="10" t="str">
        <f>IF(ISERROR(MATCH(A308,'SegEnds_Xtal_Prot#'!B:B, 0)), "NoXtal", "Xtal")</f>
        <v>NoXtal</v>
      </c>
      <c r="J308" s="3"/>
    </row>
    <row r="309" spans="1:10" x14ac:dyDescent="0.2">
      <c r="A309" s="3" t="s">
        <v>260</v>
      </c>
      <c r="B309" s="1" t="s">
        <v>35</v>
      </c>
      <c r="C309" t="s">
        <v>1176</v>
      </c>
      <c r="D309" s="28" t="str">
        <f>VLOOKUP(A309,Classification!$A:$D,2,FALSE)</f>
        <v>A</v>
      </c>
      <c r="E309" s="49" t="str">
        <f>VLOOKUP(B309,Classification!$A:$D,2,FALSE)</f>
        <v>A</v>
      </c>
      <c r="F309" s="15" t="str">
        <f>VLOOKUP(C309,Classification!$A:$D,2,FALSE)</f>
        <v>A</v>
      </c>
      <c r="G309" s="15" t="b">
        <f t="shared" si="4"/>
        <v>1</v>
      </c>
      <c r="H309" s="10" t="str">
        <f>IF(ISERROR(MATCH(A309,'SegEnds_Xtal_Prot#'!B:B, 0)), "NoXtal", "Xtal")</f>
        <v>NoXtal</v>
      </c>
      <c r="J309" s="3"/>
    </row>
    <row r="310" spans="1:10" x14ac:dyDescent="0.2">
      <c r="A310" s="3" t="s">
        <v>244</v>
      </c>
      <c r="B310" s="1" t="s">
        <v>133</v>
      </c>
      <c r="C310" t="s">
        <v>1176</v>
      </c>
      <c r="D310" s="28" t="str">
        <f>VLOOKUP(A310,Classification!$A:$D,2,FALSE)</f>
        <v>A</v>
      </c>
      <c r="E310" s="49" t="str">
        <f>VLOOKUP(B310,Classification!$A:$D,2,FALSE)</f>
        <v>A</v>
      </c>
      <c r="F310" s="15" t="str">
        <f>VLOOKUP(C310,Classification!$A:$D,2,FALSE)</f>
        <v>A</v>
      </c>
      <c r="G310" s="15" t="b">
        <f t="shared" si="4"/>
        <v>1</v>
      </c>
      <c r="H310" s="10" t="str">
        <f>IF(ISERROR(MATCH(A310,'SegEnds_Xtal_Prot#'!B:B, 0)), "NoXtal", "Xtal")</f>
        <v>NoXtal</v>
      </c>
      <c r="J310" s="3"/>
    </row>
    <row r="311" spans="1:10" x14ac:dyDescent="0.2">
      <c r="A311" s="3" t="s">
        <v>368</v>
      </c>
      <c r="B311" s="1" t="s">
        <v>1176</v>
      </c>
      <c r="C311" t="s">
        <v>1176</v>
      </c>
      <c r="D311" s="28" t="str">
        <f>VLOOKUP(A311,Classification!$A:$D,2,FALSE)</f>
        <v>A</v>
      </c>
      <c r="E311" s="49" t="str">
        <f>VLOOKUP(B311,Classification!$A:$D,2,FALSE)</f>
        <v>A</v>
      </c>
      <c r="F311" s="15" t="str">
        <f>VLOOKUP(C311,Classification!$A:$D,2,FALSE)</f>
        <v>A</v>
      </c>
      <c r="G311" s="15" t="b">
        <f t="shared" si="4"/>
        <v>1</v>
      </c>
      <c r="H311" s="10" t="str">
        <f>IF(ISERROR(MATCH(A311,'SegEnds_Xtal_Prot#'!B:B, 0)), "NoXtal", "Xtal")</f>
        <v>NoXtal</v>
      </c>
      <c r="J311" s="3"/>
    </row>
    <row r="312" spans="1:10" x14ac:dyDescent="0.2">
      <c r="A312" s="3" t="s">
        <v>367</v>
      </c>
      <c r="B312" s="1" t="s">
        <v>1175</v>
      </c>
      <c r="C312" t="s">
        <v>1176</v>
      </c>
      <c r="D312" s="28" t="str">
        <f>VLOOKUP(A312,Classification!$A:$D,2,FALSE)</f>
        <v>A</v>
      </c>
      <c r="E312" s="49" t="str">
        <f>VLOOKUP(B312,Classification!$A:$D,2,FALSE)</f>
        <v>A</v>
      </c>
      <c r="F312" s="15" t="str">
        <f>VLOOKUP(C312,Classification!$A:$D,2,FALSE)</f>
        <v>A</v>
      </c>
      <c r="G312" s="15" t="b">
        <f t="shared" si="4"/>
        <v>1</v>
      </c>
      <c r="H312" s="10" t="str">
        <f>IF(ISERROR(MATCH(A312,'SegEnds_Xtal_Prot#'!B:B, 0)), "NoXtal", "Xtal")</f>
        <v>NoXtal</v>
      </c>
      <c r="J312" s="3"/>
    </row>
    <row r="313" spans="1:10" x14ac:dyDescent="0.2">
      <c r="A313" s="3" t="s">
        <v>327</v>
      </c>
      <c r="B313" s="1" t="s">
        <v>325</v>
      </c>
      <c r="C313" t="s">
        <v>1176</v>
      </c>
      <c r="D313" s="28" t="str">
        <f>VLOOKUP(A313,Classification!$A:$D,2,FALSE)</f>
        <v>A</v>
      </c>
      <c r="E313" s="49" t="str">
        <f>VLOOKUP(B313,Classification!$A:$D,2,FALSE)</f>
        <v>A</v>
      </c>
      <c r="F313" s="15" t="str">
        <f>VLOOKUP(C313,Classification!$A:$D,2,FALSE)</f>
        <v>A</v>
      </c>
      <c r="G313" s="15" t="b">
        <f t="shared" si="4"/>
        <v>1</v>
      </c>
      <c r="H313" s="10" t="str">
        <f>IF(ISERROR(MATCH(A313,'SegEnds_Xtal_Prot#'!B:B, 0)), "NoXtal", "Xtal")</f>
        <v>NoXtal</v>
      </c>
      <c r="J313" s="3"/>
    </row>
    <row r="314" spans="1:10" x14ac:dyDescent="0.2">
      <c r="A314" s="3" t="s">
        <v>312</v>
      </c>
      <c r="B314" s="1" t="s">
        <v>1176</v>
      </c>
      <c r="C314" t="s">
        <v>1176</v>
      </c>
      <c r="D314" s="28" t="str">
        <f>VLOOKUP(A314,Classification!$A:$D,2,FALSE)</f>
        <v>A</v>
      </c>
      <c r="E314" s="49" t="str">
        <f>VLOOKUP(B314,Classification!$A:$D,2,FALSE)</f>
        <v>A</v>
      </c>
      <c r="F314" s="15" t="str">
        <f>VLOOKUP(C314,Classification!$A:$D,2,FALSE)</f>
        <v>A</v>
      </c>
      <c r="G314" s="15" t="b">
        <f t="shared" si="4"/>
        <v>1</v>
      </c>
      <c r="H314" s="10" t="str">
        <f>IF(ISERROR(MATCH(A314,'SegEnds_Xtal_Prot#'!B:B, 0)), "NoXtal", "Xtal")</f>
        <v>NoXtal</v>
      </c>
      <c r="J314" s="3"/>
    </row>
    <row r="315" spans="1:10" x14ac:dyDescent="0.2">
      <c r="A315" s="3" t="s">
        <v>208</v>
      </c>
      <c r="B315" s="1" t="s">
        <v>1176</v>
      </c>
      <c r="C315" t="s">
        <v>1176</v>
      </c>
      <c r="D315" s="28" t="str">
        <f>VLOOKUP(A315,Classification!$A:$D,2,FALSE)</f>
        <v>A</v>
      </c>
      <c r="E315" s="49" t="str">
        <f>VLOOKUP(B315,Classification!$A:$D,2,FALSE)</f>
        <v>A</v>
      </c>
      <c r="F315" s="15" t="str">
        <f>VLOOKUP(C315,Classification!$A:$D,2,FALSE)</f>
        <v>A</v>
      </c>
      <c r="G315" s="15" t="b">
        <f t="shared" si="4"/>
        <v>1</v>
      </c>
      <c r="H315" s="10" t="str">
        <f>IF(ISERROR(MATCH(A315,'SegEnds_Xtal_Prot#'!B:B, 0)), "NoXtal", "Xtal")</f>
        <v>NoXtal</v>
      </c>
      <c r="J315" s="3"/>
    </row>
    <row r="316" spans="1:10" x14ac:dyDescent="0.2">
      <c r="A316" s="3" t="s">
        <v>167</v>
      </c>
      <c r="B316" s="1" t="s">
        <v>1175</v>
      </c>
      <c r="C316" t="s">
        <v>1176</v>
      </c>
      <c r="D316" s="28" t="str">
        <f>VLOOKUP(A316,Classification!$A:$D,2,FALSE)</f>
        <v>A</v>
      </c>
      <c r="E316" s="49" t="str">
        <f>VLOOKUP(B316,Classification!$A:$D,2,FALSE)</f>
        <v>A</v>
      </c>
      <c r="F316" s="15" t="str">
        <f>VLOOKUP(C316,Classification!$A:$D,2,FALSE)</f>
        <v>A</v>
      </c>
      <c r="G316" s="15" t="b">
        <f t="shared" si="4"/>
        <v>1</v>
      </c>
      <c r="H316" s="10" t="str">
        <f>IF(ISERROR(MATCH(A316,'SegEnds_Xtal_Prot#'!B:B, 0)), "NoXtal", "Xtal")</f>
        <v>NoXtal</v>
      </c>
      <c r="J316" s="3"/>
    </row>
    <row r="317" spans="1:10" x14ac:dyDescent="0.2">
      <c r="A317" s="3" t="s">
        <v>325</v>
      </c>
      <c r="B317" s="1" t="s">
        <v>325</v>
      </c>
      <c r="C317" t="s">
        <v>1176</v>
      </c>
      <c r="D317" s="28" t="str">
        <f>VLOOKUP(A317,Classification!$A:$D,2,FALSE)</f>
        <v>A</v>
      </c>
      <c r="E317" s="49" t="str">
        <f>VLOOKUP(B317,Classification!$A:$D,2,FALSE)</f>
        <v>A</v>
      </c>
      <c r="F317" s="15" t="str">
        <f>VLOOKUP(C317,Classification!$A:$D,2,FALSE)</f>
        <v>A</v>
      </c>
      <c r="G317" s="15" t="b">
        <f t="shared" si="4"/>
        <v>1</v>
      </c>
      <c r="H317" s="10" t="str">
        <f>IF(ISERROR(MATCH(A317,'SegEnds_Xtal_Prot#'!B:B, 0)), "NoXtal", "Xtal")</f>
        <v>Xtal</v>
      </c>
      <c r="J317" s="3"/>
    </row>
    <row r="318" spans="1:10" x14ac:dyDescent="0.2">
      <c r="A318" s="3" t="s">
        <v>163</v>
      </c>
      <c r="B318" s="1" t="s">
        <v>196</v>
      </c>
      <c r="C318" t="s">
        <v>1176</v>
      </c>
      <c r="D318" s="28" t="str">
        <f>VLOOKUP(A318,Classification!$A:$D,2,FALSE)</f>
        <v>A</v>
      </c>
      <c r="E318" s="49" t="str">
        <f>VLOOKUP(B318,Classification!$A:$D,2,FALSE)</f>
        <v>A</v>
      </c>
      <c r="F318" s="15" t="str">
        <f>VLOOKUP(C318,Classification!$A:$D,2,FALSE)</f>
        <v>A</v>
      </c>
      <c r="G318" s="15" t="b">
        <f t="shared" si="4"/>
        <v>1</v>
      </c>
      <c r="H318" s="10" t="str">
        <f>IF(ISERROR(MATCH(A318,'SegEnds_Xtal_Prot#'!B:B, 0)), "NoXtal", "Xtal")</f>
        <v>NoXtal</v>
      </c>
      <c r="J318" s="3"/>
    </row>
    <row r="319" spans="1:10" x14ac:dyDescent="0.2">
      <c r="A319" s="3" t="s">
        <v>269</v>
      </c>
      <c r="B319" s="1" t="s">
        <v>1176</v>
      </c>
      <c r="C319" t="s">
        <v>1176</v>
      </c>
      <c r="D319" s="28" t="str">
        <f>VLOOKUP(A319,Classification!$A:$D,2,FALSE)</f>
        <v>A</v>
      </c>
      <c r="E319" s="49" t="str">
        <f>VLOOKUP(B319,Classification!$A:$D,2,FALSE)</f>
        <v>A</v>
      </c>
      <c r="F319" s="15" t="str">
        <f>VLOOKUP(C319,Classification!$A:$D,2,FALSE)</f>
        <v>A</v>
      </c>
      <c r="G319" s="15" t="b">
        <f t="shared" si="4"/>
        <v>1</v>
      </c>
      <c r="H319" s="10" t="str">
        <f>IF(ISERROR(MATCH(A319,'SegEnds_Xtal_Prot#'!B:B, 0)), "NoXtal", "Xtal")</f>
        <v>NoXtal</v>
      </c>
      <c r="J319" s="3"/>
    </row>
    <row r="320" spans="1:10" x14ac:dyDescent="0.2">
      <c r="A320" s="3" t="s">
        <v>1176</v>
      </c>
      <c r="B320" s="1" t="s">
        <v>1176</v>
      </c>
      <c r="C320" t="s">
        <v>1176</v>
      </c>
      <c r="D320" s="28" t="str">
        <f>VLOOKUP(A320,Classification!$A:$D,2,FALSE)</f>
        <v>A</v>
      </c>
      <c r="E320" s="49" t="str">
        <f>VLOOKUP(B320,Classification!$A:$D,2,FALSE)</f>
        <v>A</v>
      </c>
      <c r="F320" s="15" t="str">
        <f>VLOOKUP(C320,Classification!$A:$D,2,FALSE)</f>
        <v>A</v>
      </c>
      <c r="G320" s="15" t="b">
        <f t="shared" si="4"/>
        <v>1</v>
      </c>
      <c r="H320" s="10" t="str">
        <f>IF(ISERROR(MATCH(A320,'SegEnds_Xtal_Prot#'!B:B, 0)), "NoXtal", "Xtal")</f>
        <v>Xtal</v>
      </c>
      <c r="J320" s="3"/>
    </row>
    <row r="321" spans="1:10" x14ac:dyDescent="0.2">
      <c r="A321" s="3" t="s">
        <v>242</v>
      </c>
      <c r="B321" s="1" t="s">
        <v>1176</v>
      </c>
      <c r="C321" t="s">
        <v>1176</v>
      </c>
      <c r="D321" s="28" t="str">
        <f>VLOOKUP(A321,Classification!$A:$D,2,FALSE)</f>
        <v>A</v>
      </c>
      <c r="E321" s="49" t="str">
        <f>VLOOKUP(B321,Classification!$A:$D,2,FALSE)</f>
        <v>A</v>
      </c>
      <c r="F321" s="15" t="str">
        <f>VLOOKUP(C321,Classification!$A:$D,2,FALSE)</f>
        <v>A</v>
      </c>
      <c r="G321" s="15" t="b">
        <f t="shared" si="4"/>
        <v>1</v>
      </c>
      <c r="H321" s="10" t="str">
        <f>IF(ISERROR(MATCH(A321,'SegEnds_Xtal_Prot#'!B:B, 0)), "NoXtal", "Xtal")</f>
        <v>NoXtal</v>
      </c>
      <c r="J321" s="3"/>
    </row>
    <row r="322" spans="1:10" x14ac:dyDescent="0.2">
      <c r="A322" s="3" t="s">
        <v>372</v>
      </c>
      <c r="B322" s="1" t="s">
        <v>1176</v>
      </c>
      <c r="C322" t="s">
        <v>1176</v>
      </c>
      <c r="D322" s="28" t="str">
        <f>VLOOKUP(A322,Classification!$A:$D,2,FALSE)</f>
        <v>A</v>
      </c>
      <c r="E322" s="49" t="str">
        <f>VLOOKUP(B322,Classification!$A:$D,2,FALSE)</f>
        <v>A</v>
      </c>
      <c r="F322" s="15" t="str">
        <f>VLOOKUP(C322,Classification!$A:$D,2,FALSE)</f>
        <v>A</v>
      </c>
      <c r="G322" s="15" t="b">
        <f t="shared" si="4"/>
        <v>1</v>
      </c>
      <c r="H322" s="10" t="str">
        <f>IF(ISERROR(MATCH(A322,'SegEnds_Xtal_Prot#'!B:B, 0)), "NoXtal", "Xtal")</f>
        <v>NoXtal</v>
      </c>
      <c r="J322" s="3"/>
    </row>
    <row r="323" spans="1:10" x14ac:dyDescent="0.2">
      <c r="A323" s="3" t="s">
        <v>322</v>
      </c>
      <c r="B323" s="1" t="s">
        <v>1175</v>
      </c>
      <c r="C323" t="s">
        <v>1176</v>
      </c>
      <c r="D323" s="28" t="str">
        <f>VLOOKUP(A323,Classification!$A:$D,2,FALSE)</f>
        <v>A</v>
      </c>
      <c r="E323" s="49" t="str">
        <f>VLOOKUP(B323,Classification!$A:$D,2,FALSE)</f>
        <v>A</v>
      </c>
      <c r="F323" s="15" t="str">
        <f>VLOOKUP(C323,Classification!$A:$D,2,FALSE)</f>
        <v>A</v>
      </c>
      <c r="G323" s="15" t="b">
        <f t="shared" ref="G323:G388" si="5">OR(D323=F323,AND(D323="T",F323="A"),AND(D323="B2",F323="B1"),D323="O")</f>
        <v>1</v>
      </c>
      <c r="H323" s="10" t="str">
        <f>IF(ISERROR(MATCH(A323,'SegEnds_Xtal_Prot#'!B:B, 0)), "NoXtal", "Xtal")</f>
        <v>NoXtal</v>
      </c>
      <c r="J323" s="3"/>
    </row>
    <row r="324" spans="1:10" x14ac:dyDescent="0.2">
      <c r="A324" s="3" t="s">
        <v>314</v>
      </c>
      <c r="B324" s="1" t="s">
        <v>314</v>
      </c>
      <c r="C324" t="s">
        <v>1176</v>
      </c>
      <c r="D324" s="28" t="str">
        <f>VLOOKUP(A324,Classification!$A:$D,2,FALSE)</f>
        <v>A</v>
      </c>
      <c r="E324" s="49" t="str">
        <f>VLOOKUP(B324,Classification!$A:$D,2,FALSE)</f>
        <v>A</v>
      </c>
      <c r="F324" s="15" t="str">
        <f>VLOOKUP(C324,Classification!$A:$D,2,FALSE)</f>
        <v>A</v>
      </c>
      <c r="G324" s="15" t="b">
        <f t="shared" si="5"/>
        <v>1</v>
      </c>
      <c r="H324" s="10" t="str">
        <f>IF(ISERROR(MATCH(A324,'SegEnds_Xtal_Prot#'!B:B, 0)), "NoXtal", "Xtal")</f>
        <v>Xtal</v>
      </c>
      <c r="J324" s="3"/>
    </row>
    <row r="325" spans="1:10" x14ac:dyDescent="0.2">
      <c r="A325" s="3" t="s">
        <v>316</v>
      </c>
      <c r="B325" s="1" t="s">
        <v>314</v>
      </c>
      <c r="C325" t="s">
        <v>1176</v>
      </c>
      <c r="D325" s="28" t="str">
        <f>VLOOKUP(A325,Classification!$A:$D,2,FALSE)</f>
        <v>A</v>
      </c>
      <c r="E325" s="49" t="str">
        <f>VLOOKUP(B325,Classification!$A:$D,2,FALSE)</f>
        <v>A</v>
      </c>
      <c r="F325" s="15" t="str">
        <f>VLOOKUP(C325,Classification!$A:$D,2,FALSE)</f>
        <v>A</v>
      </c>
      <c r="G325" s="15" t="b">
        <f t="shared" si="5"/>
        <v>1</v>
      </c>
      <c r="H325" s="10" t="str">
        <f>IF(ISERROR(MATCH(A325,'SegEnds_Xtal_Prot#'!B:B, 0)), "NoXtal", "Xtal")</f>
        <v>NoXtal</v>
      </c>
      <c r="J325" s="3"/>
    </row>
    <row r="326" spans="1:10" x14ac:dyDescent="0.2">
      <c r="A326" s="3" t="s">
        <v>223</v>
      </c>
      <c r="B326" s="1" t="s">
        <v>159</v>
      </c>
      <c r="C326" t="s">
        <v>1176</v>
      </c>
      <c r="D326" s="28" t="str">
        <f>VLOOKUP(A326,Classification!$A:$D,2,FALSE)</f>
        <v>A</v>
      </c>
      <c r="E326" s="49" t="str">
        <f>VLOOKUP(B326,Classification!$A:$D,2,FALSE)</f>
        <v>A</v>
      </c>
      <c r="F326" s="15" t="str">
        <f>VLOOKUP(C326,Classification!$A:$D,2,FALSE)</f>
        <v>A</v>
      </c>
      <c r="G326" s="15" t="b">
        <f t="shared" si="5"/>
        <v>1</v>
      </c>
      <c r="H326" s="10" t="str">
        <f>IF(ISERROR(MATCH(A326,'SegEnds_Xtal_Prot#'!B:B, 0)), "NoXtal", "Xtal")</f>
        <v>NoXtal</v>
      </c>
      <c r="J326" s="3"/>
    </row>
    <row r="327" spans="1:10" x14ac:dyDescent="0.2">
      <c r="A327" s="3" t="s">
        <v>225</v>
      </c>
      <c r="B327" s="1" t="s">
        <v>1176</v>
      </c>
      <c r="C327" t="s">
        <v>1176</v>
      </c>
      <c r="D327" s="28" t="str">
        <f>VLOOKUP(A327,Classification!$A:$D,2,FALSE)</f>
        <v>A</v>
      </c>
      <c r="E327" s="49" t="str">
        <f>VLOOKUP(B327,Classification!$A:$D,2,FALSE)</f>
        <v>A</v>
      </c>
      <c r="F327" s="15" t="str">
        <f>VLOOKUP(C327,Classification!$A:$D,2,FALSE)</f>
        <v>A</v>
      </c>
      <c r="G327" s="15" t="b">
        <f t="shared" si="5"/>
        <v>1</v>
      </c>
      <c r="H327" s="10" t="str">
        <f>IF(ISERROR(MATCH(A327,'SegEnds_Xtal_Prot#'!B:B, 0)), "NoXtal", "Xtal")</f>
        <v>NoXtal</v>
      </c>
      <c r="J327" s="3"/>
    </row>
    <row r="328" spans="1:10" x14ac:dyDescent="0.2">
      <c r="A328" s="3" t="s">
        <v>313</v>
      </c>
      <c r="B328" s="1" t="s">
        <v>1176</v>
      </c>
      <c r="C328" t="s">
        <v>1176</v>
      </c>
      <c r="D328" s="28" t="str">
        <f>VLOOKUP(A328,Classification!$A:$D,2,FALSE)</f>
        <v>A</v>
      </c>
      <c r="E328" s="49" t="str">
        <f>VLOOKUP(B328,Classification!$A:$D,2,FALSE)</f>
        <v>A</v>
      </c>
      <c r="F328" s="15" t="str">
        <f>VLOOKUP(C328,Classification!$A:$D,2,FALSE)</f>
        <v>A</v>
      </c>
      <c r="G328" s="15" t="b">
        <f t="shared" si="5"/>
        <v>1</v>
      </c>
      <c r="H328" s="10" t="str">
        <f>IF(ISERROR(MATCH(A328,'SegEnds_Xtal_Prot#'!B:B, 0)), "NoXtal", "Xtal")</f>
        <v>NoXtal</v>
      </c>
      <c r="J328" s="3"/>
    </row>
    <row r="329" spans="1:10" x14ac:dyDescent="0.2">
      <c r="A329" s="3" t="s">
        <v>329</v>
      </c>
      <c r="B329" s="1" t="s">
        <v>325</v>
      </c>
      <c r="C329" t="s">
        <v>1176</v>
      </c>
      <c r="D329" s="28" t="str">
        <f>VLOOKUP(A329,Classification!$A:$D,2,FALSE)</f>
        <v>A</v>
      </c>
      <c r="E329" s="49" t="str">
        <f>VLOOKUP(B329,Classification!$A:$D,2,FALSE)</f>
        <v>A</v>
      </c>
      <c r="F329" s="15" t="str">
        <f>VLOOKUP(C329,Classification!$A:$D,2,FALSE)</f>
        <v>A</v>
      </c>
      <c r="G329" s="15" t="b">
        <f t="shared" si="5"/>
        <v>1</v>
      </c>
      <c r="H329" s="10" t="str">
        <f>IF(ISERROR(MATCH(A329,'SegEnds_Xtal_Prot#'!B:B, 0)), "NoXtal", "Xtal")</f>
        <v>NoXtal</v>
      </c>
      <c r="J329" s="3"/>
    </row>
    <row r="330" spans="1:10" x14ac:dyDescent="0.2">
      <c r="A330" s="3" t="s">
        <v>348</v>
      </c>
      <c r="B330" s="1" t="s">
        <v>345</v>
      </c>
      <c r="C330" t="s">
        <v>345</v>
      </c>
      <c r="D330" s="28" t="str">
        <f>VLOOKUP(A330,Classification!$A:$D,2,FALSE)</f>
        <v>A</v>
      </c>
      <c r="E330" s="49" t="str">
        <f>VLOOKUP(B330,Classification!$A:$D,2,FALSE)</f>
        <v>A</v>
      </c>
      <c r="F330" s="15" t="str">
        <f>VLOOKUP(C330,Classification!$A:$D,2,FALSE)</f>
        <v>A</v>
      </c>
      <c r="G330" s="15" t="b">
        <f t="shared" si="5"/>
        <v>1</v>
      </c>
      <c r="H330" s="10" t="str">
        <f>IF(ISERROR(MATCH(A330,'SegEnds_Xtal_Prot#'!B:B, 0)), "NoXtal", "Xtal")</f>
        <v>NoXtal</v>
      </c>
      <c r="J330" s="3"/>
    </row>
    <row r="331" spans="1:10" x14ac:dyDescent="0.2">
      <c r="A331" s="3" t="s">
        <v>350</v>
      </c>
      <c r="B331" s="1" t="s">
        <v>371</v>
      </c>
      <c r="C331" t="s">
        <v>345</v>
      </c>
      <c r="D331" s="28" t="str">
        <f>VLOOKUP(A331,Classification!$A:$D,2,FALSE)</f>
        <v>A</v>
      </c>
      <c r="E331" s="49" t="str">
        <f>VLOOKUP(B331,Classification!$A:$D,2,FALSE)</f>
        <v>A</v>
      </c>
      <c r="F331" s="15" t="str">
        <f>VLOOKUP(C331,Classification!$A:$D,2,FALSE)</f>
        <v>A</v>
      </c>
      <c r="G331" s="15" t="b">
        <f t="shared" si="5"/>
        <v>1</v>
      </c>
      <c r="H331" s="10" t="str">
        <f>IF(ISERROR(MATCH(A331,'SegEnds_Xtal_Prot#'!B:B, 0)), "NoXtal", "Xtal")</f>
        <v>NoXtal</v>
      </c>
      <c r="J331" s="3"/>
    </row>
    <row r="332" spans="1:10" x14ac:dyDescent="0.2">
      <c r="A332" s="3" t="s">
        <v>343</v>
      </c>
      <c r="B332" s="1" t="s">
        <v>345</v>
      </c>
      <c r="C332" t="s">
        <v>345</v>
      </c>
      <c r="D332" s="28" t="str">
        <f>VLOOKUP(A332,Classification!$A:$D,2,FALSE)</f>
        <v>A</v>
      </c>
      <c r="E332" s="49" t="str">
        <f>VLOOKUP(B332,Classification!$A:$D,2,FALSE)</f>
        <v>A</v>
      </c>
      <c r="F332" s="15" t="str">
        <f>VLOOKUP(C332,Classification!$A:$D,2,FALSE)</f>
        <v>A</v>
      </c>
      <c r="G332" s="15" t="b">
        <f t="shared" si="5"/>
        <v>1</v>
      </c>
      <c r="H332" s="10" t="str">
        <f>IF(ISERROR(MATCH(A332,'SegEnds_Xtal_Prot#'!B:B, 0)), "NoXtal", "Xtal")</f>
        <v>NoXtal</v>
      </c>
      <c r="J332" s="3"/>
    </row>
    <row r="333" spans="1:10" x14ac:dyDescent="0.2">
      <c r="A333" s="3" t="s">
        <v>250</v>
      </c>
      <c r="B333" s="1" t="s">
        <v>335</v>
      </c>
      <c r="C333" t="s">
        <v>345</v>
      </c>
      <c r="D333" s="28" t="str">
        <f>VLOOKUP(A333,Classification!$A:$D,2,FALSE)</f>
        <v>A</v>
      </c>
      <c r="E333" s="49" t="str">
        <f>VLOOKUP(B333,Classification!$A:$D,2,FALSE)</f>
        <v>A</v>
      </c>
      <c r="F333" s="15" t="str">
        <f>VLOOKUP(C333,Classification!$A:$D,2,FALSE)</f>
        <v>A</v>
      </c>
      <c r="G333" s="15" t="b">
        <f t="shared" si="5"/>
        <v>1</v>
      </c>
      <c r="H333" s="10" t="str">
        <f>IF(ISERROR(MATCH(A333,'SegEnds_Xtal_Prot#'!B:B, 0)), "NoXtal", "Xtal")</f>
        <v>NoXtal</v>
      </c>
      <c r="J333" s="3"/>
    </row>
    <row r="334" spans="1:10" x14ac:dyDescent="0.2">
      <c r="A334" s="3" t="s">
        <v>386</v>
      </c>
      <c r="B334" s="1" t="s">
        <v>345</v>
      </c>
      <c r="C334" t="s">
        <v>345</v>
      </c>
      <c r="D334" s="28" t="str">
        <f>VLOOKUP(A334,Classification!$A:$D,2,FALSE)</f>
        <v>A</v>
      </c>
      <c r="E334" s="49" t="str">
        <f>VLOOKUP(B334,Classification!$A:$D,2,FALSE)</f>
        <v>A</v>
      </c>
      <c r="F334" s="15" t="str">
        <f>VLOOKUP(C334,Classification!$A:$D,2,FALSE)</f>
        <v>A</v>
      </c>
      <c r="G334" s="15" t="b">
        <f t="shared" si="5"/>
        <v>1</v>
      </c>
      <c r="H334" s="10" t="str">
        <f>IF(ISERROR(MATCH(A334,'SegEnds_Xtal_Prot#'!B:B, 0)), "NoXtal", "Xtal")</f>
        <v>NoXtal</v>
      </c>
      <c r="J334" s="3"/>
    </row>
    <row r="335" spans="1:10" x14ac:dyDescent="0.2">
      <c r="A335" s="3" t="s">
        <v>231</v>
      </c>
      <c r="B335" s="1" t="s">
        <v>345</v>
      </c>
      <c r="C335" t="s">
        <v>345</v>
      </c>
      <c r="D335" s="28" t="str">
        <f>VLOOKUP(A335,Classification!$A:$D,2,FALSE)</f>
        <v>A</v>
      </c>
      <c r="E335" s="49" t="str">
        <f>VLOOKUP(B335,Classification!$A:$D,2,FALSE)</f>
        <v>A</v>
      </c>
      <c r="F335" s="15" t="str">
        <f>VLOOKUP(C335,Classification!$A:$D,2,FALSE)</f>
        <v>A</v>
      </c>
      <c r="G335" s="15" t="b">
        <f t="shared" si="5"/>
        <v>1</v>
      </c>
      <c r="H335" s="10" t="str">
        <f>IF(ISERROR(MATCH(A335,'SegEnds_Xtal_Prot#'!B:B, 0)), "NoXtal", "Xtal")</f>
        <v>NoXtal</v>
      </c>
      <c r="J335" s="3"/>
    </row>
    <row r="336" spans="1:10" x14ac:dyDescent="0.2">
      <c r="A336" s="3" t="s">
        <v>180</v>
      </c>
      <c r="B336" s="1" t="s">
        <v>345</v>
      </c>
      <c r="C336" t="s">
        <v>345</v>
      </c>
      <c r="D336" s="28" t="str">
        <f>VLOOKUP(A336,Classification!$A:$D,2,FALSE)</f>
        <v>A</v>
      </c>
      <c r="E336" s="49" t="str">
        <f>VLOOKUP(B336,Classification!$A:$D,2,FALSE)</f>
        <v>A</v>
      </c>
      <c r="F336" s="15" t="str">
        <f>VLOOKUP(C336,Classification!$A:$D,2,FALSE)</f>
        <v>A</v>
      </c>
      <c r="G336" s="15" t="b">
        <f t="shared" si="5"/>
        <v>1</v>
      </c>
      <c r="H336" s="10" t="str">
        <f>IF(ISERROR(MATCH(A336,'SegEnds_Xtal_Prot#'!B:B, 0)), "NoXtal", "Xtal")</f>
        <v>NoXtal</v>
      </c>
      <c r="J336" s="3"/>
    </row>
    <row r="337" spans="1:10" x14ac:dyDescent="0.2">
      <c r="A337" s="3" t="s">
        <v>179</v>
      </c>
      <c r="B337" s="1" t="s">
        <v>345</v>
      </c>
      <c r="C337" t="s">
        <v>345</v>
      </c>
      <c r="D337" s="28" t="str">
        <f>VLOOKUP(A337,Classification!$A:$D,2,FALSE)</f>
        <v>A</v>
      </c>
      <c r="E337" s="49" t="str">
        <f>VLOOKUP(B337,Classification!$A:$D,2,FALSE)</f>
        <v>A</v>
      </c>
      <c r="F337" s="15" t="str">
        <f>VLOOKUP(C337,Classification!$A:$D,2,FALSE)</f>
        <v>A</v>
      </c>
      <c r="G337" s="15" t="b">
        <f t="shared" si="5"/>
        <v>1</v>
      </c>
      <c r="H337" s="10" t="str">
        <f>IF(ISERROR(MATCH(A337,'SegEnds_Xtal_Prot#'!B:B, 0)), "NoXtal", "Xtal")</f>
        <v>NoXtal</v>
      </c>
      <c r="J337" s="3"/>
    </row>
    <row r="338" spans="1:10" x14ac:dyDescent="0.2">
      <c r="A338" s="3" t="s">
        <v>240</v>
      </c>
      <c r="B338" s="1" t="s">
        <v>160</v>
      </c>
      <c r="C338" t="s">
        <v>345</v>
      </c>
      <c r="D338" s="28" t="str">
        <f>VLOOKUP(A338,Classification!$A:$D,2,FALSE)</f>
        <v>A</v>
      </c>
      <c r="E338" s="49" t="str">
        <f>VLOOKUP(B338,Classification!$A:$D,2,FALSE)</f>
        <v>A</v>
      </c>
      <c r="F338" s="15" t="str">
        <f>VLOOKUP(C338,Classification!$A:$D,2,FALSE)</f>
        <v>A</v>
      </c>
      <c r="G338" s="15" t="b">
        <f t="shared" si="5"/>
        <v>1</v>
      </c>
      <c r="H338" s="10" t="str">
        <f>IF(ISERROR(MATCH(A338,'SegEnds_Xtal_Prot#'!B:B, 0)), "NoXtal", "Xtal")</f>
        <v>NoXtal</v>
      </c>
      <c r="J338" s="3"/>
    </row>
    <row r="339" spans="1:10" x14ac:dyDescent="0.2">
      <c r="A339" s="3" t="s">
        <v>301</v>
      </c>
      <c r="B339" s="1" t="s">
        <v>165</v>
      </c>
      <c r="C339" t="s">
        <v>345</v>
      </c>
      <c r="D339" s="28" t="str">
        <f>VLOOKUP(A339,Classification!$A:$D,2,FALSE)</f>
        <v>A</v>
      </c>
      <c r="E339" s="49" t="str">
        <f>VLOOKUP(B339,Classification!$A:$D,2,FALSE)</f>
        <v>A</v>
      </c>
      <c r="F339" s="15" t="str">
        <f>VLOOKUP(C339,Classification!$A:$D,2,FALSE)</f>
        <v>A</v>
      </c>
      <c r="G339" s="15" t="b">
        <f t="shared" si="5"/>
        <v>1</v>
      </c>
      <c r="H339" s="10" t="str">
        <f>IF(ISERROR(MATCH(A339,'SegEnds_Xtal_Prot#'!B:B, 0)), "NoXtal", "Xtal")</f>
        <v>NoXtal</v>
      </c>
      <c r="J339" s="3"/>
    </row>
    <row r="340" spans="1:10" x14ac:dyDescent="0.2">
      <c r="A340" s="3" t="s">
        <v>241</v>
      </c>
      <c r="B340" s="1" t="s">
        <v>336</v>
      </c>
      <c r="C340" t="s">
        <v>345</v>
      </c>
      <c r="D340" s="28" t="str">
        <f>VLOOKUP(A340,Classification!$A:$D,2,FALSE)</f>
        <v>A</v>
      </c>
      <c r="E340" s="49" t="str">
        <f>VLOOKUP(B340,Classification!$A:$D,2,FALSE)</f>
        <v>A</v>
      </c>
      <c r="F340" s="15" t="str">
        <f>VLOOKUP(C340,Classification!$A:$D,2,FALSE)</f>
        <v>A</v>
      </c>
      <c r="G340" s="15" t="b">
        <f t="shared" si="5"/>
        <v>1</v>
      </c>
      <c r="H340" s="10" t="str">
        <f>IF(ISERROR(MATCH(A340,'SegEnds_Xtal_Prot#'!B:B, 0)), "NoXtal", "Xtal")</f>
        <v>NoXtal</v>
      </c>
      <c r="J340" s="3"/>
    </row>
    <row r="341" spans="1:10" x14ac:dyDescent="0.2">
      <c r="A341" s="3" t="s">
        <v>294</v>
      </c>
      <c r="B341" s="1" t="s">
        <v>158</v>
      </c>
      <c r="C341" t="s">
        <v>345</v>
      </c>
      <c r="D341" s="28" t="str">
        <f>VLOOKUP(A341,Classification!$A:$D,2,FALSE)</f>
        <v>A</v>
      </c>
      <c r="E341" s="49" t="str">
        <f>VLOOKUP(B341,Classification!$A:$D,2,FALSE)</f>
        <v>A</v>
      </c>
      <c r="F341" s="15" t="str">
        <f>VLOOKUP(C341,Classification!$A:$D,2,FALSE)</f>
        <v>A</v>
      </c>
      <c r="G341" s="15" t="b">
        <f t="shared" si="5"/>
        <v>1</v>
      </c>
      <c r="H341" s="10" t="str">
        <f>IF(ISERROR(MATCH(A341,'SegEnds_Xtal_Prot#'!B:B, 0)), "NoXtal", "Xtal")</f>
        <v>NoXtal</v>
      </c>
      <c r="J341" s="3"/>
    </row>
    <row r="342" spans="1:10" x14ac:dyDescent="0.2">
      <c r="A342" s="3" t="s">
        <v>370</v>
      </c>
      <c r="B342" s="1" t="s">
        <v>345</v>
      </c>
      <c r="C342" t="s">
        <v>345</v>
      </c>
      <c r="D342" s="28" t="str">
        <f>VLOOKUP(A342,Classification!$A:$D,2,FALSE)</f>
        <v>A</v>
      </c>
      <c r="E342" s="49" t="str">
        <f>VLOOKUP(B342,Classification!$A:$D,2,FALSE)</f>
        <v>A</v>
      </c>
      <c r="F342" s="15" t="str">
        <f>VLOOKUP(C342,Classification!$A:$D,2,FALSE)</f>
        <v>A</v>
      </c>
      <c r="G342" s="15" t="b">
        <f t="shared" si="5"/>
        <v>1</v>
      </c>
      <c r="H342" s="10" t="str">
        <f>IF(ISERROR(MATCH(A342,'SegEnds_Xtal_Prot#'!B:B, 0)), "NoXtal", "Xtal")</f>
        <v>NoXtal</v>
      </c>
      <c r="J342" s="3"/>
    </row>
    <row r="343" spans="1:10" x14ac:dyDescent="0.2">
      <c r="A343" s="3" t="s">
        <v>345</v>
      </c>
      <c r="B343" s="1" t="s">
        <v>345</v>
      </c>
      <c r="C343" t="s">
        <v>345</v>
      </c>
      <c r="D343" s="28" t="str">
        <f>VLOOKUP(A343,Classification!$A:$D,2,FALSE)</f>
        <v>A</v>
      </c>
      <c r="E343" s="49" t="str">
        <f>VLOOKUP(B343,Classification!$A:$D,2,FALSE)</f>
        <v>A</v>
      </c>
      <c r="F343" s="15" t="str">
        <f>VLOOKUP(C343,Classification!$A:$D,2,FALSE)</f>
        <v>A</v>
      </c>
      <c r="G343" s="15" t="b">
        <f t="shared" si="5"/>
        <v>1</v>
      </c>
      <c r="H343" s="10" t="str">
        <f>IF(ISERROR(MATCH(A343,'SegEnds_Xtal_Prot#'!B:B, 0)), "NoXtal", "Xtal")</f>
        <v>Xtal</v>
      </c>
      <c r="J343" s="3"/>
    </row>
    <row r="344" spans="1:10" x14ac:dyDescent="0.2">
      <c r="A344" s="3" t="s">
        <v>305</v>
      </c>
      <c r="B344" s="1" t="s">
        <v>158</v>
      </c>
      <c r="C344" t="s">
        <v>345</v>
      </c>
      <c r="D344" s="28" t="str">
        <f>VLOOKUP(A344,Classification!$A:$D,2,FALSE)</f>
        <v>A</v>
      </c>
      <c r="E344" s="49" t="str">
        <f>VLOOKUP(B344,Classification!$A:$D,2,FALSE)</f>
        <v>A</v>
      </c>
      <c r="F344" s="15" t="str">
        <f>VLOOKUP(C344,Classification!$A:$D,2,FALSE)</f>
        <v>A</v>
      </c>
      <c r="G344" s="15" t="b">
        <f t="shared" si="5"/>
        <v>1</v>
      </c>
      <c r="H344" s="10" t="str">
        <f>IF(ISERROR(MATCH(A344,'SegEnds_Xtal_Prot#'!B:B, 0)), "NoXtal", "Xtal")</f>
        <v>NoXtal</v>
      </c>
      <c r="J344" s="3"/>
    </row>
    <row r="345" spans="1:10" x14ac:dyDescent="0.2">
      <c r="A345" s="3" t="s">
        <v>290</v>
      </c>
      <c r="B345" s="1" t="s">
        <v>371</v>
      </c>
      <c r="C345" t="s">
        <v>345</v>
      </c>
      <c r="D345" s="28" t="str">
        <f>VLOOKUP(A345,Classification!$A:$D,2,FALSE)</f>
        <v>A</v>
      </c>
      <c r="E345" s="49" t="str">
        <f>VLOOKUP(B345,Classification!$A:$D,2,FALSE)</f>
        <v>A</v>
      </c>
      <c r="F345" s="15" t="str">
        <f>VLOOKUP(C345,Classification!$A:$D,2,FALSE)</f>
        <v>A</v>
      </c>
      <c r="G345" s="15" t="b">
        <f t="shared" si="5"/>
        <v>1</v>
      </c>
      <c r="H345" s="10" t="str">
        <f>IF(ISERROR(MATCH(A345,'SegEnds_Xtal_Prot#'!B:B, 0)), "NoXtal", "Xtal")</f>
        <v>NoXtal</v>
      </c>
      <c r="J345" s="3"/>
    </row>
    <row r="346" spans="1:10" x14ac:dyDescent="0.2">
      <c r="A346" s="3" t="s">
        <v>1451</v>
      </c>
      <c r="B346" s="1" t="s">
        <v>1451</v>
      </c>
      <c r="C346" t="s">
        <v>1451</v>
      </c>
      <c r="D346" s="28" t="str">
        <f>VLOOKUP(A346,Classification!$A:$D,2,FALSE)</f>
        <v>A</v>
      </c>
      <c r="E346" s="49" t="str">
        <f>VLOOKUP(B346,Classification!$A:$D,2,FALSE)</f>
        <v>A</v>
      </c>
      <c r="F346" s="15" t="str">
        <f>VLOOKUP(C346,Classification!$A:$D,2,FALSE)</f>
        <v>A</v>
      </c>
      <c r="G346" s="15" t="b">
        <f>OR(D346=F346,AND(D346="T",F346="A"),AND(D346="B2",F346="B1"),D346="O")</f>
        <v>1</v>
      </c>
      <c r="H346" s="10" t="str">
        <f>IF(ISERROR(MATCH(A346,'SegEnds_Xtal_Prot#'!B:B, 0)), "NoXtal", "Xtal")</f>
        <v>Xtal</v>
      </c>
      <c r="J346" s="3"/>
    </row>
    <row r="347" spans="1:10" x14ac:dyDescent="0.2">
      <c r="A347" s="3" t="s">
        <v>1463</v>
      </c>
      <c r="B347" s="1" t="s">
        <v>1463</v>
      </c>
      <c r="C347" t="s">
        <v>1463</v>
      </c>
      <c r="D347" s="28" t="str">
        <f>VLOOKUP(A347,Classification!$A:$D,2,FALSE)</f>
        <v>A</v>
      </c>
      <c r="E347" s="49" t="str">
        <f>VLOOKUP(B347,Classification!$A:$D,2,FALSE)</f>
        <v>A</v>
      </c>
      <c r="F347" s="15" t="str">
        <f>VLOOKUP(C347,Classification!$A:$D,2,FALSE)</f>
        <v>A</v>
      </c>
      <c r="G347" s="15" t="b">
        <f>OR(D347=F347,AND(D347="T",F347="A"),AND(D347="B2",F347="B1"),D347="O")</f>
        <v>1</v>
      </c>
      <c r="H347" s="10" t="str">
        <f>IF(ISERROR(MATCH(A347,'SegEnds_Xtal_Prot#'!B:B, 0)), "NoXtal", "Xtal")</f>
        <v>Xtal</v>
      </c>
      <c r="J347" s="3"/>
    </row>
    <row r="348" spans="1:10" x14ac:dyDescent="0.2">
      <c r="A348" s="3" t="s">
        <v>303</v>
      </c>
      <c r="B348" s="1" t="s">
        <v>165</v>
      </c>
      <c r="C348" t="s">
        <v>345</v>
      </c>
      <c r="D348" s="28" t="str">
        <f>VLOOKUP(A348,Classification!$A:$D,2,FALSE)</f>
        <v>A</v>
      </c>
      <c r="E348" s="49" t="str">
        <f>VLOOKUP(B348,Classification!$A:$D,2,FALSE)</f>
        <v>A</v>
      </c>
      <c r="F348" s="15" t="str">
        <f>VLOOKUP(C348,Classification!$A:$D,2,FALSE)</f>
        <v>A</v>
      </c>
      <c r="G348" s="15" t="b">
        <f t="shared" si="5"/>
        <v>1</v>
      </c>
      <c r="H348" s="10" t="str">
        <f>IF(ISERROR(MATCH(A348,'SegEnds_Xtal_Prot#'!B:B, 0)), "NoXtal", "Xtal")</f>
        <v>NoXtal</v>
      </c>
      <c r="J348" s="3"/>
    </row>
    <row r="349" spans="1:10" x14ac:dyDescent="0.2">
      <c r="A349" s="3" t="s">
        <v>351</v>
      </c>
      <c r="B349" s="1" t="s">
        <v>345</v>
      </c>
      <c r="C349" t="s">
        <v>345</v>
      </c>
      <c r="D349" s="28" t="str">
        <f>VLOOKUP(A349,Classification!$A:$D,2,FALSE)</f>
        <v>A</v>
      </c>
      <c r="E349" s="49" t="str">
        <f>VLOOKUP(B349,Classification!$A:$D,2,FALSE)</f>
        <v>A</v>
      </c>
      <c r="F349" s="15" t="str">
        <f>VLOOKUP(C349,Classification!$A:$D,2,FALSE)</f>
        <v>A</v>
      </c>
      <c r="G349" s="15" t="b">
        <f t="shared" si="5"/>
        <v>1</v>
      </c>
      <c r="H349" s="10" t="str">
        <f>IF(ISERROR(MATCH(A349,'SegEnds_Xtal_Prot#'!B:B, 0)), "NoXtal", "Xtal")</f>
        <v>NoXtal</v>
      </c>
      <c r="J349" s="3"/>
    </row>
    <row r="350" spans="1:10" x14ac:dyDescent="0.2">
      <c r="A350" s="3" t="s">
        <v>288</v>
      </c>
      <c r="B350" s="1" t="s">
        <v>336</v>
      </c>
      <c r="C350" t="s">
        <v>345</v>
      </c>
      <c r="D350" s="28" t="str">
        <f>VLOOKUP(A350,Classification!$A:$D,2,FALSE)</f>
        <v>A</v>
      </c>
      <c r="E350" s="49" t="str">
        <f>VLOOKUP(B350,Classification!$A:$D,2,FALSE)</f>
        <v>A</v>
      </c>
      <c r="F350" s="15" t="str">
        <f>VLOOKUP(C350,Classification!$A:$D,2,FALSE)</f>
        <v>A</v>
      </c>
      <c r="G350" s="15" t="b">
        <f t="shared" si="5"/>
        <v>1</v>
      </c>
      <c r="H350" s="10" t="str">
        <f>IF(ISERROR(MATCH(A350,'SegEnds_Xtal_Prot#'!B:B, 0)), "NoXtal", "Xtal")</f>
        <v>NoXtal</v>
      </c>
      <c r="J350" s="3"/>
    </row>
    <row r="351" spans="1:10" x14ac:dyDescent="0.2">
      <c r="A351" s="3" t="s">
        <v>347</v>
      </c>
      <c r="B351" s="1" t="s">
        <v>345</v>
      </c>
      <c r="C351" t="s">
        <v>345</v>
      </c>
      <c r="D351" s="28" t="str">
        <f>VLOOKUP(A351,Classification!$A:$D,2,FALSE)</f>
        <v>A</v>
      </c>
      <c r="E351" s="49" t="str">
        <f>VLOOKUP(B351,Classification!$A:$D,2,FALSE)</f>
        <v>A</v>
      </c>
      <c r="F351" s="15" t="str">
        <f>VLOOKUP(C351,Classification!$A:$D,2,FALSE)</f>
        <v>A</v>
      </c>
      <c r="G351" s="15" t="b">
        <f t="shared" si="5"/>
        <v>1</v>
      </c>
      <c r="H351" s="10" t="str">
        <f>IF(ISERROR(MATCH(A351,'SegEnds_Xtal_Prot#'!B:B, 0)), "NoXtal", "Xtal")</f>
        <v>NoXtal</v>
      </c>
      <c r="J351" s="3"/>
    </row>
    <row r="352" spans="1:10" x14ac:dyDescent="0.2">
      <c r="A352" s="3" t="s">
        <v>295</v>
      </c>
      <c r="B352" s="1" t="s">
        <v>177</v>
      </c>
      <c r="C352" t="s">
        <v>345</v>
      </c>
      <c r="D352" s="28" t="str">
        <f>VLOOKUP(A352,Classification!$A:$D,2,FALSE)</f>
        <v>A</v>
      </c>
      <c r="E352" s="49" t="str">
        <f>VLOOKUP(B352,Classification!$A:$D,2,FALSE)</f>
        <v>A</v>
      </c>
      <c r="F352" s="15" t="str">
        <f>VLOOKUP(C352,Classification!$A:$D,2,FALSE)</f>
        <v>A</v>
      </c>
      <c r="G352" s="15" t="b">
        <f t="shared" si="5"/>
        <v>1</v>
      </c>
      <c r="H352" s="10" t="str">
        <f>IF(ISERROR(MATCH(A352,'SegEnds_Xtal_Prot#'!B:B, 0)), "NoXtal", "Xtal")</f>
        <v>NoXtal</v>
      </c>
      <c r="J352" s="3"/>
    </row>
    <row r="353" spans="1:10" x14ac:dyDescent="0.2">
      <c r="A353" s="3" t="s">
        <v>275</v>
      </c>
      <c r="B353" s="1" t="s">
        <v>345</v>
      </c>
      <c r="C353" t="s">
        <v>345</v>
      </c>
      <c r="D353" s="28" t="str">
        <f>VLOOKUP(A353,Classification!$A:$D,2,FALSE)</f>
        <v>A</v>
      </c>
      <c r="E353" s="49" t="str">
        <f>VLOOKUP(B353,Classification!$A:$D,2,FALSE)</f>
        <v>A</v>
      </c>
      <c r="F353" s="15" t="str">
        <f>VLOOKUP(C353,Classification!$A:$D,2,FALSE)</f>
        <v>A</v>
      </c>
      <c r="G353" s="15" t="b">
        <f t="shared" si="5"/>
        <v>1</v>
      </c>
      <c r="H353" s="10" t="str">
        <f>IF(ISERROR(MATCH(A353,'SegEnds_Xtal_Prot#'!B:B, 0)), "NoXtal", "Xtal")</f>
        <v>NoXtal</v>
      </c>
      <c r="J353" s="3"/>
    </row>
    <row r="354" spans="1:10" x14ac:dyDescent="0.2">
      <c r="A354" s="3" t="s">
        <v>276</v>
      </c>
      <c r="B354" s="1" t="s">
        <v>336</v>
      </c>
      <c r="C354" t="s">
        <v>345</v>
      </c>
      <c r="D354" s="28" t="str">
        <f>VLOOKUP(A354,Classification!$A:$D,2,FALSE)</f>
        <v>A</v>
      </c>
      <c r="E354" s="49" t="str">
        <f>VLOOKUP(B354,Classification!$A:$D,2,FALSE)</f>
        <v>A</v>
      </c>
      <c r="F354" s="15" t="str">
        <f>VLOOKUP(C354,Classification!$A:$D,2,FALSE)</f>
        <v>A</v>
      </c>
      <c r="G354" s="15" t="b">
        <f t="shared" si="5"/>
        <v>1</v>
      </c>
      <c r="H354" s="10" t="str">
        <f>IF(ISERROR(MATCH(A354,'SegEnds_Xtal_Prot#'!B:B, 0)), "NoXtal", "Xtal")</f>
        <v>NoXtal</v>
      </c>
      <c r="J354" s="3"/>
    </row>
    <row r="355" spans="1:10" x14ac:dyDescent="0.2">
      <c r="A355" s="3" t="s">
        <v>346</v>
      </c>
      <c r="B355" s="1" t="s">
        <v>345</v>
      </c>
      <c r="C355" t="s">
        <v>345</v>
      </c>
      <c r="D355" s="28" t="str">
        <f>VLOOKUP(A355,Classification!$A:$D,2,FALSE)</f>
        <v>A</v>
      </c>
      <c r="E355" s="49" t="str">
        <f>VLOOKUP(B355,Classification!$A:$D,2,FALSE)</f>
        <v>A</v>
      </c>
      <c r="F355" s="15" t="str">
        <f>VLOOKUP(C355,Classification!$A:$D,2,FALSE)</f>
        <v>A</v>
      </c>
      <c r="G355" s="15" t="b">
        <f t="shared" si="5"/>
        <v>1</v>
      </c>
      <c r="H355" s="10" t="str">
        <f>IF(ISERROR(MATCH(A355,'SegEnds_Xtal_Prot#'!B:B, 0)), "NoXtal", "Xtal")</f>
        <v>NoXtal</v>
      </c>
      <c r="J355" s="3"/>
    </row>
    <row r="356" spans="1:10" x14ac:dyDescent="0.2">
      <c r="A356" s="3" t="s">
        <v>214</v>
      </c>
      <c r="B356" s="1" t="s">
        <v>345</v>
      </c>
      <c r="C356" t="s">
        <v>345</v>
      </c>
      <c r="D356" s="28" t="str">
        <f>VLOOKUP(A356,Classification!$A:$D,2,FALSE)</f>
        <v>A</v>
      </c>
      <c r="E356" s="49" t="str">
        <f>VLOOKUP(B356,Classification!$A:$D,2,FALSE)</f>
        <v>A</v>
      </c>
      <c r="F356" s="15" t="str">
        <f>VLOOKUP(C356,Classification!$A:$D,2,FALSE)</f>
        <v>A</v>
      </c>
      <c r="G356" s="15" t="b">
        <f t="shared" si="5"/>
        <v>1</v>
      </c>
      <c r="H356" s="10" t="str">
        <f>IF(ISERROR(MATCH(A356,'SegEnds_Xtal_Prot#'!B:B, 0)), "NoXtal", "Xtal")</f>
        <v>NoXtal</v>
      </c>
      <c r="J356" s="3"/>
    </row>
    <row r="357" spans="1:10" x14ac:dyDescent="0.2">
      <c r="A357" s="3" t="s">
        <v>289</v>
      </c>
      <c r="B357" s="1" t="s">
        <v>356</v>
      </c>
      <c r="C357" t="s">
        <v>345</v>
      </c>
      <c r="D357" s="28" t="str">
        <f>VLOOKUP(A357,Classification!$A:$D,2,FALSE)</f>
        <v>A</v>
      </c>
      <c r="E357" s="49" t="str">
        <f>VLOOKUP(B357,Classification!$A:$D,2,FALSE)</f>
        <v>A</v>
      </c>
      <c r="F357" s="15" t="str">
        <f>VLOOKUP(C357,Classification!$A:$D,2,FALSE)</f>
        <v>A</v>
      </c>
      <c r="G357" s="15" t="b">
        <f t="shared" si="5"/>
        <v>1</v>
      </c>
      <c r="H357" s="10" t="str">
        <f>IF(ISERROR(MATCH(A357,'SegEnds_Xtal_Prot#'!B:B, 0)), "NoXtal", "Xtal")</f>
        <v>NoXtal</v>
      </c>
      <c r="J357" s="3"/>
    </row>
    <row r="358" spans="1:10" x14ac:dyDescent="0.2">
      <c r="A358" s="3" t="s">
        <v>257</v>
      </c>
      <c r="B358" s="1" t="s">
        <v>371</v>
      </c>
      <c r="C358" t="s">
        <v>345</v>
      </c>
      <c r="D358" s="28" t="str">
        <f>VLOOKUP(A358,Classification!$A:$D,2,FALSE)</f>
        <v>A</v>
      </c>
      <c r="E358" s="49" t="str">
        <f>VLOOKUP(B358,Classification!$A:$D,2,FALSE)</f>
        <v>A</v>
      </c>
      <c r="F358" s="15" t="str">
        <f>VLOOKUP(C358,Classification!$A:$D,2,FALSE)</f>
        <v>A</v>
      </c>
      <c r="G358" s="15" t="b">
        <f t="shared" si="5"/>
        <v>1</v>
      </c>
      <c r="H358" s="10" t="str">
        <f>IF(ISERROR(MATCH(A358,'SegEnds_Xtal_Prot#'!B:B, 0)), "NoXtal", "Xtal")</f>
        <v>NoXtal</v>
      </c>
      <c r="J358" s="3"/>
    </row>
    <row r="359" spans="1:10" x14ac:dyDescent="0.2">
      <c r="A359" s="3" t="s">
        <v>277</v>
      </c>
      <c r="B359" s="1" t="s">
        <v>345</v>
      </c>
      <c r="C359" t="s">
        <v>345</v>
      </c>
      <c r="D359" s="28" t="str">
        <f>VLOOKUP(A359,Classification!$A:$D,2,FALSE)</f>
        <v>A</v>
      </c>
      <c r="E359" s="49" t="str">
        <f>VLOOKUP(B359,Classification!$A:$D,2,FALSE)</f>
        <v>A</v>
      </c>
      <c r="F359" s="15" t="str">
        <f>VLOOKUP(C359,Classification!$A:$D,2,FALSE)</f>
        <v>A</v>
      </c>
      <c r="G359" s="15" t="b">
        <f t="shared" si="5"/>
        <v>1</v>
      </c>
      <c r="H359" s="10" t="str">
        <f>IF(ISERROR(MATCH(A359,'SegEnds_Xtal_Prot#'!B:B, 0)), "NoXtal", "Xtal")</f>
        <v>NoXtal</v>
      </c>
      <c r="J359" s="3"/>
    </row>
    <row r="360" spans="1:10" x14ac:dyDescent="0.2">
      <c r="A360" s="3" t="s">
        <v>229</v>
      </c>
      <c r="B360" s="1" t="s">
        <v>352</v>
      </c>
      <c r="C360" t="s">
        <v>352</v>
      </c>
      <c r="D360" s="28" t="str">
        <f>VLOOKUP(A360,Classification!$A:$D,2,FALSE)</f>
        <v>A</v>
      </c>
      <c r="E360" s="49" t="str">
        <f>VLOOKUP(B360,Classification!$A:$D,2,FALSE)</f>
        <v>A</v>
      </c>
      <c r="F360" s="15" t="str">
        <f>VLOOKUP(C360,Classification!$A:$D,2,FALSE)</f>
        <v>A</v>
      </c>
      <c r="G360" s="15" t="b">
        <f t="shared" si="5"/>
        <v>1</v>
      </c>
      <c r="H360" s="10" t="str">
        <f>IF(ISERROR(MATCH(A360,'SegEnds_Xtal_Prot#'!B:B, 0)), "NoXtal", "Xtal")</f>
        <v>NoXtal</v>
      </c>
      <c r="J360" s="3"/>
    </row>
    <row r="361" spans="1:10" x14ac:dyDescent="0.2">
      <c r="A361" s="3" t="s">
        <v>353</v>
      </c>
      <c r="B361" s="1" t="s">
        <v>352</v>
      </c>
      <c r="C361" t="s">
        <v>352</v>
      </c>
      <c r="D361" s="28" t="str">
        <f>VLOOKUP(A361,Classification!$A:$D,2,FALSE)</f>
        <v>A</v>
      </c>
      <c r="E361" s="49" t="str">
        <f>VLOOKUP(B361,Classification!$A:$D,2,FALSE)</f>
        <v>A</v>
      </c>
      <c r="F361" s="15" t="str">
        <f>VLOOKUP(C361,Classification!$A:$D,2,FALSE)</f>
        <v>A</v>
      </c>
      <c r="G361" s="15" t="b">
        <f t="shared" si="5"/>
        <v>1</v>
      </c>
      <c r="H361" s="10" t="str">
        <f>IF(ISERROR(MATCH(A361,'SegEnds_Xtal_Prot#'!B:B, 0)), "NoXtal", "Xtal")</f>
        <v>NoXtal</v>
      </c>
      <c r="J361" s="3"/>
    </row>
    <row r="362" spans="1:10" x14ac:dyDescent="0.2">
      <c r="A362" s="3" t="s">
        <v>354</v>
      </c>
      <c r="B362" s="1" t="s">
        <v>352</v>
      </c>
      <c r="C362" t="s">
        <v>352</v>
      </c>
      <c r="D362" s="28" t="str">
        <f>VLOOKUP(A362,Classification!$A:$D,2,FALSE)</f>
        <v>A</v>
      </c>
      <c r="E362" s="49" t="str">
        <f>VLOOKUP(B362,Classification!$A:$D,2,FALSE)</f>
        <v>A</v>
      </c>
      <c r="F362" s="15" t="str">
        <f>VLOOKUP(C362,Classification!$A:$D,2,FALSE)</f>
        <v>A</v>
      </c>
      <c r="G362" s="15" t="b">
        <f t="shared" si="5"/>
        <v>1</v>
      </c>
      <c r="H362" s="10" t="str">
        <f>IF(ISERROR(MATCH(A362,'SegEnds_Xtal_Prot#'!B:B, 0)), "NoXtal", "Xtal")</f>
        <v>NoXtal</v>
      </c>
      <c r="J362" s="3"/>
    </row>
    <row r="363" spans="1:10" x14ac:dyDescent="0.2">
      <c r="A363" s="3" t="s">
        <v>352</v>
      </c>
      <c r="B363" s="1" t="s">
        <v>352</v>
      </c>
      <c r="C363" t="s">
        <v>352</v>
      </c>
      <c r="D363" s="28" t="str">
        <f>VLOOKUP(A363,Classification!$A:$D,2,FALSE)</f>
        <v>A</v>
      </c>
      <c r="E363" s="49" t="str">
        <f>VLOOKUP(B363,Classification!$A:$D,2,FALSE)</f>
        <v>A</v>
      </c>
      <c r="F363" s="15" t="str">
        <f>VLOOKUP(C363,Classification!$A:$D,2,FALSE)</f>
        <v>A</v>
      </c>
      <c r="G363" s="15" t="b">
        <f t="shared" si="5"/>
        <v>1</v>
      </c>
      <c r="H363" s="10" t="str">
        <f>IF(ISERROR(MATCH(A363,'SegEnds_Xtal_Prot#'!B:B, 0)), "NoXtal", "Xtal")</f>
        <v>Xtal</v>
      </c>
      <c r="J363" s="3"/>
    </row>
    <row r="364" spans="1:10" x14ac:dyDescent="0.2">
      <c r="A364" s="3" t="s">
        <v>272</v>
      </c>
      <c r="B364" s="1" t="s">
        <v>352</v>
      </c>
      <c r="C364" t="s">
        <v>352</v>
      </c>
      <c r="D364" s="28" t="str">
        <f>VLOOKUP(A364,Classification!$A:$D,2,FALSE)</f>
        <v>A</v>
      </c>
      <c r="E364" s="49" t="str">
        <f>VLOOKUP(B364,Classification!$A:$D,2,FALSE)</f>
        <v>A</v>
      </c>
      <c r="F364" s="15" t="str">
        <f>VLOOKUP(C364,Classification!$A:$D,2,FALSE)</f>
        <v>A</v>
      </c>
      <c r="G364" s="15" t="b">
        <f t="shared" si="5"/>
        <v>1</v>
      </c>
      <c r="H364" s="10" t="str">
        <f>IF(ISERROR(MATCH(A364,'SegEnds_Xtal_Prot#'!B:B, 0)), "NoXtal", "Xtal")</f>
        <v>NoXtal</v>
      </c>
      <c r="J364" s="3"/>
    </row>
    <row r="365" spans="1:10" x14ac:dyDescent="0.2">
      <c r="A365" s="3" t="s">
        <v>307</v>
      </c>
      <c r="B365" s="1" t="s">
        <v>360</v>
      </c>
      <c r="C365" t="s">
        <v>352</v>
      </c>
      <c r="D365" s="28" t="str">
        <f>VLOOKUP(A365,Classification!$A:$D,2,FALSE)</f>
        <v>A</v>
      </c>
      <c r="E365" s="49" t="str">
        <f>VLOOKUP(B365,Classification!$A:$D,2,FALSE)</f>
        <v>A</v>
      </c>
      <c r="F365" s="15" t="str">
        <f>VLOOKUP(C365,Classification!$A:$D,2,FALSE)</f>
        <v>A</v>
      </c>
      <c r="G365" s="15" t="b">
        <f t="shared" si="5"/>
        <v>1</v>
      </c>
      <c r="H365" s="10" t="str">
        <f>IF(ISERROR(MATCH(A365,'SegEnds_Xtal_Prot#'!B:B, 0)), "NoXtal", "Xtal")</f>
        <v>NoXtal</v>
      </c>
      <c r="J365" s="3"/>
    </row>
    <row r="366" spans="1:10" x14ac:dyDescent="0.2">
      <c r="A366" s="3" t="s">
        <v>371</v>
      </c>
      <c r="B366" s="1" t="s">
        <v>371</v>
      </c>
      <c r="C366" t="s">
        <v>352</v>
      </c>
      <c r="D366" s="28" t="str">
        <f>VLOOKUP(A366,Classification!$A:$D,2,FALSE)</f>
        <v>A</v>
      </c>
      <c r="E366" s="49" t="str">
        <f>VLOOKUP(B366,Classification!$A:$D,2,FALSE)</f>
        <v>A</v>
      </c>
      <c r="F366" s="15" t="str">
        <f>VLOOKUP(C366,Classification!$A:$D,2,FALSE)</f>
        <v>A</v>
      </c>
      <c r="G366" s="15" t="b">
        <f t="shared" si="5"/>
        <v>1</v>
      </c>
      <c r="H366" s="10" t="str">
        <f>IF(ISERROR(MATCH(A366,'SegEnds_Xtal_Prot#'!B:B, 0)), "NoXtal", "Xtal")</f>
        <v>Xtal</v>
      </c>
      <c r="J366" s="3"/>
    </row>
    <row r="367" spans="1:10" x14ac:dyDescent="0.2">
      <c r="A367" s="3" t="s">
        <v>234</v>
      </c>
      <c r="B367" s="1" t="s">
        <v>173</v>
      </c>
      <c r="C367" t="s">
        <v>352</v>
      </c>
      <c r="D367" s="28" t="str">
        <f>VLOOKUP(A367,Classification!$A:$D,2,FALSE)</f>
        <v>A</v>
      </c>
      <c r="E367" s="49" t="str">
        <f>VLOOKUP(B367,Classification!$A:$D,2,FALSE)</f>
        <v>A</v>
      </c>
      <c r="F367" s="15" t="str">
        <f>VLOOKUP(C367,Classification!$A:$D,2,FALSE)</f>
        <v>A</v>
      </c>
      <c r="G367" s="15" t="b">
        <f t="shared" si="5"/>
        <v>1</v>
      </c>
      <c r="H367" s="10" t="str">
        <f>IF(ISERROR(MATCH(A367,'SegEnds_Xtal_Prot#'!B:B, 0)), "NoXtal", "Xtal")</f>
        <v>NoXtal</v>
      </c>
      <c r="J367" s="3"/>
    </row>
    <row r="368" spans="1:10" x14ac:dyDescent="0.2">
      <c r="A368" s="3" t="s">
        <v>365</v>
      </c>
      <c r="B368" s="1" t="s">
        <v>363</v>
      </c>
      <c r="C368" t="s">
        <v>352</v>
      </c>
      <c r="D368" s="28" t="str">
        <f>VLOOKUP(A368,Classification!$A:$D,2,FALSE)</f>
        <v>A</v>
      </c>
      <c r="E368" s="49" t="str">
        <f>VLOOKUP(B368,Classification!$A:$D,2,FALSE)</f>
        <v>A</v>
      </c>
      <c r="F368" s="15" t="str">
        <f>VLOOKUP(C368,Classification!$A:$D,2,FALSE)</f>
        <v>A</v>
      </c>
      <c r="G368" s="15" t="b">
        <f t="shared" si="5"/>
        <v>1</v>
      </c>
      <c r="H368" s="10" t="str">
        <f>IF(ISERROR(MATCH(A368,'SegEnds_Xtal_Prot#'!B:B, 0)), "NoXtal", "Xtal")</f>
        <v>NoXtal</v>
      </c>
      <c r="J368" s="3"/>
    </row>
    <row r="369" spans="1:10" x14ac:dyDescent="0.2">
      <c r="A369" s="3" t="s">
        <v>253</v>
      </c>
      <c r="B369" s="1" t="s">
        <v>371</v>
      </c>
      <c r="C369" t="s">
        <v>352</v>
      </c>
      <c r="D369" s="28" t="str">
        <f>VLOOKUP(A369,Classification!$A:$D,2,FALSE)</f>
        <v>A</v>
      </c>
      <c r="E369" s="49" t="str">
        <f>VLOOKUP(B369,Classification!$A:$D,2,FALSE)</f>
        <v>A</v>
      </c>
      <c r="F369" s="15" t="str">
        <f>VLOOKUP(C369,Classification!$A:$D,2,FALSE)</f>
        <v>A</v>
      </c>
      <c r="G369" s="15" t="b">
        <f t="shared" si="5"/>
        <v>1</v>
      </c>
      <c r="H369" s="10" t="str">
        <f>IF(ISERROR(MATCH(A369,'SegEnds_Xtal_Prot#'!B:B, 0)), "NoXtal", "Xtal")</f>
        <v>NoXtal</v>
      </c>
      <c r="J369" s="3"/>
    </row>
    <row r="370" spans="1:10" x14ac:dyDescent="0.2">
      <c r="A370" s="3" t="s">
        <v>364</v>
      </c>
      <c r="B370" s="1" t="s">
        <v>364</v>
      </c>
      <c r="C370" t="s">
        <v>352</v>
      </c>
      <c r="D370" s="28" t="str">
        <f>VLOOKUP(A370,Classification!$A:$D,2,FALSE)</f>
        <v>A</v>
      </c>
      <c r="E370" s="49" t="str">
        <f>VLOOKUP(B370,Classification!$A:$D,2,FALSE)</f>
        <v>A</v>
      </c>
      <c r="F370" s="15" t="str">
        <f>VLOOKUP(C370,Classification!$A:$D,2,FALSE)</f>
        <v>A</v>
      </c>
      <c r="G370" s="15" t="b">
        <f t="shared" si="5"/>
        <v>1</v>
      </c>
      <c r="H370" s="10" t="str">
        <f>IF(ISERROR(MATCH(A370,'SegEnds_Xtal_Prot#'!B:B, 0)), "NoXtal", "Xtal")</f>
        <v>Xtal</v>
      </c>
      <c r="J370" s="3"/>
    </row>
    <row r="371" spans="1:10" x14ac:dyDescent="0.2">
      <c r="A371" s="3" t="s">
        <v>357</v>
      </c>
      <c r="B371" s="1" t="s">
        <v>356</v>
      </c>
      <c r="C371" t="s">
        <v>355</v>
      </c>
      <c r="D371" s="28" t="str">
        <f>VLOOKUP(A371,Classification!$A:$D,2,FALSE)</f>
        <v>A</v>
      </c>
      <c r="E371" s="49" t="str">
        <f>VLOOKUP(B371,Classification!$A:$D,2,FALSE)</f>
        <v>A</v>
      </c>
      <c r="F371" s="15" t="str">
        <f>VLOOKUP(C371,Classification!$A:$D,2,FALSE)</f>
        <v>A</v>
      </c>
      <c r="G371" s="15" t="b">
        <f t="shared" si="5"/>
        <v>1</v>
      </c>
      <c r="H371" s="10" t="str">
        <f>IF(ISERROR(MATCH(A371,'SegEnds_Xtal_Prot#'!B:B, 0)), "NoXtal", "Xtal")</f>
        <v>NoXtal</v>
      </c>
      <c r="J371" s="3"/>
    </row>
    <row r="372" spans="1:10" x14ac:dyDescent="0.2">
      <c r="A372" s="3" t="s">
        <v>261</v>
      </c>
      <c r="B372" s="1" t="s">
        <v>336</v>
      </c>
      <c r="C372" t="s">
        <v>355</v>
      </c>
      <c r="D372" s="28" t="str">
        <f>VLOOKUP(A372,Classification!$A:$D,2,FALSE)</f>
        <v>A</v>
      </c>
      <c r="E372" s="49" t="str">
        <f>VLOOKUP(B372,Classification!$A:$D,2,FALSE)</f>
        <v>A</v>
      </c>
      <c r="F372" s="15" t="str">
        <f>VLOOKUP(C372,Classification!$A:$D,2,FALSE)</f>
        <v>A</v>
      </c>
      <c r="G372" s="15" t="b">
        <f t="shared" si="5"/>
        <v>1</v>
      </c>
      <c r="H372" s="10" t="str">
        <f>IF(ISERROR(MATCH(A372,'SegEnds_Xtal_Prot#'!B:B, 0)), "NoXtal", "Xtal")</f>
        <v>NoXtal</v>
      </c>
      <c r="J372" s="3"/>
    </row>
    <row r="373" spans="1:10" x14ac:dyDescent="0.2">
      <c r="A373" s="3" t="s">
        <v>254</v>
      </c>
      <c r="B373" s="1" t="s">
        <v>170</v>
      </c>
      <c r="C373" t="s">
        <v>355</v>
      </c>
      <c r="D373" s="28" t="str">
        <f>VLOOKUP(A373,Classification!$A:$D,2,FALSE)</f>
        <v>A</v>
      </c>
      <c r="E373" s="49" t="str">
        <f>VLOOKUP(B373,Classification!$A:$D,2,FALSE)</f>
        <v>A</v>
      </c>
      <c r="F373" s="15" t="str">
        <f>VLOOKUP(C373,Classification!$A:$D,2,FALSE)</f>
        <v>A</v>
      </c>
      <c r="G373" s="15" t="b">
        <f t="shared" si="5"/>
        <v>1</v>
      </c>
      <c r="H373" s="10" t="str">
        <f>IF(ISERROR(MATCH(A373,'SegEnds_Xtal_Prot#'!B:B, 0)), "NoXtal", "Xtal")</f>
        <v>NoXtal</v>
      </c>
      <c r="J373" s="3"/>
    </row>
    <row r="374" spans="1:10" x14ac:dyDescent="0.2">
      <c r="A374" s="3" t="s">
        <v>302</v>
      </c>
      <c r="B374" s="1" t="s">
        <v>1172</v>
      </c>
      <c r="C374" t="s">
        <v>355</v>
      </c>
      <c r="D374" s="28" t="str">
        <f>VLOOKUP(A374,Classification!$A:$D,2,FALSE)</f>
        <v>A</v>
      </c>
      <c r="E374" s="49" t="str">
        <f>VLOOKUP(B374,Classification!$A:$D,2,FALSE)</f>
        <v>A</v>
      </c>
      <c r="F374" s="15" t="str">
        <f>VLOOKUP(C374,Classification!$A:$D,2,FALSE)</f>
        <v>A</v>
      </c>
      <c r="G374" s="15" t="b">
        <f t="shared" si="5"/>
        <v>1</v>
      </c>
      <c r="H374" s="10" t="str">
        <f>IF(ISERROR(MATCH(A374,'SegEnds_Xtal_Prot#'!B:B, 0)), "NoXtal", "Xtal")</f>
        <v>NoXtal</v>
      </c>
      <c r="J374" s="3"/>
    </row>
    <row r="375" spans="1:10" x14ac:dyDescent="0.2">
      <c r="A375" s="3" t="s">
        <v>358</v>
      </c>
      <c r="B375" s="1" t="s">
        <v>356</v>
      </c>
      <c r="C375" t="s">
        <v>355</v>
      </c>
      <c r="D375" s="28" t="str">
        <f>VLOOKUP(A375,Classification!$A:$D,2,FALSE)</f>
        <v>A</v>
      </c>
      <c r="E375" s="49" t="str">
        <f>VLOOKUP(B375,Classification!$A:$D,2,FALSE)</f>
        <v>A</v>
      </c>
      <c r="F375" s="15" t="str">
        <f>VLOOKUP(C375,Classification!$A:$D,2,FALSE)</f>
        <v>A</v>
      </c>
      <c r="G375" s="15" t="b">
        <f t="shared" si="5"/>
        <v>1</v>
      </c>
      <c r="H375" s="10" t="str">
        <f>IF(ISERROR(MATCH(A375,'SegEnds_Xtal_Prot#'!B:B, 0)), "NoXtal", "Xtal")</f>
        <v>NoXtal</v>
      </c>
      <c r="J375" s="3"/>
    </row>
    <row r="376" spans="1:10" x14ac:dyDescent="0.2">
      <c r="A376" s="3" t="s">
        <v>356</v>
      </c>
      <c r="B376" s="1" t="s">
        <v>356</v>
      </c>
      <c r="C376" t="s">
        <v>356</v>
      </c>
      <c r="D376" s="28" t="str">
        <f>VLOOKUP(A376,Classification!$A:$D,2,FALSE)</f>
        <v>A</v>
      </c>
      <c r="E376" s="49" t="str">
        <f>VLOOKUP(B376,Classification!$A:$D,2,FALSE)</f>
        <v>A</v>
      </c>
      <c r="F376" s="15" t="str">
        <f>VLOOKUP(C376,Classification!$A:$D,2,FALSE)</f>
        <v>A</v>
      </c>
      <c r="G376" s="15" t="b">
        <f t="shared" si="5"/>
        <v>1</v>
      </c>
      <c r="H376" s="10" t="str">
        <f>IF(ISERROR(MATCH(A376,'SegEnds_Xtal_Prot#'!B:B, 0)), "NoXtal", "Xtal")</f>
        <v>Xtal</v>
      </c>
      <c r="J376" s="3"/>
    </row>
    <row r="377" spans="1:10" x14ac:dyDescent="0.2">
      <c r="A377" s="3" t="s">
        <v>355</v>
      </c>
      <c r="B377" s="1" t="s">
        <v>355</v>
      </c>
      <c r="C377" t="s">
        <v>355</v>
      </c>
      <c r="D377" s="28" t="str">
        <f>VLOOKUP(A377,Classification!$A:$D,2,FALSE)</f>
        <v>A</v>
      </c>
      <c r="E377" s="49" t="str">
        <f>VLOOKUP(B377,Classification!$A:$D,2,FALSE)</f>
        <v>A</v>
      </c>
      <c r="F377" s="15" t="str">
        <f>VLOOKUP(C377,Classification!$A:$D,2,FALSE)</f>
        <v>A</v>
      </c>
      <c r="G377" s="15" t="b">
        <f t="shared" si="5"/>
        <v>1</v>
      </c>
      <c r="H377" s="10" t="str">
        <f>IF(ISERROR(MATCH(A377,'SegEnds_Xtal_Prot#'!B:B, 0)), "NoXtal", "Xtal")</f>
        <v>Xtal</v>
      </c>
      <c r="J377" s="3"/>
    </row>
    <row r="378" spans="1:10" x14ac:dyDescent="0.2">
      <c r="A378" s="3" t="s">
        <v>243</v>
      </c>
      <c r="B378" s="1" t="s">
        <v>336</v>
      </c>
      <c r="C378" t="s">
        <v>355</v>
      </c>
      <c r="D378" s="28" t="str">
        <f>VLOOKUP(A378,Classification!$A:$D,2,FALSE)</f>
        <v>A</v>
      </c>
      <c r="E378" s="49" t="str">
        <f>VLOOKUP(B378,Classification!$A:$D,2,FALSE)</f>
        <v>A</v>
      </c>
      <c r="F378" s="15" t="str">
        <f>VLOOKUP(C378,Classification!$A:$D,2,FALSE)</f>
        <v>A</v>
      </c>
      <c r="G378" s="15" t="b">
        <f t="shared" si="5"/>
        <v>1</v>
      </c>
      <c r="H378" s="10" t="str">
        <f>IF(ISERROR(MATCH(A378,'SegEnds_Xtal_Prot#'!B:B, 0)), "NoXtal", "Xtal")</f>
        <v>NoXtal</v>
      </c>
      <c r="J378" s="3"/>
    </row>
    <row r="379" spans="1:10" x14ac:dyDescent="0.2">
      <c r="A379" s="3" t="s">
        <v>349</v>
      </c>
      <c r="B379" s="1" t="s">
        <v>355</v>
      </c>
      <c r="C379" t="s">
        <v>355</v>
      </c>
      <c r="D379" s="28" t="str">
        <f>VLOOKUP(A379,Classification!$A:$D,2,FALSE)</f>
        <v>A</v>
      </c>
      <c r="E379" s="49" t="str">
        <f>VLOOKUP(B379,Classification!$A:$D,2,FALSE)</f>
        <v>A</v>
      </c>
      <c r="F379" s="15" t="str">
        <f>VLOOKUP(C379,Classification!$A:$D,2,FALSE)</f>
        <v>A</v>
      </c>
      <c r="G379" s="15" t="b">
        <f t="shared" si="5"/>
        <v>1</v>
      </c>
      <c r="H379" s="10" t="str">
        <f>IF(ISERROR(MATCH(A379,'SegEnds_Xtal_Prot#'!B:B, 0)), "NoXtal", "Xtal")</f>
        <v>NoXtal</v>
      </c>
      <c r="J379" s="3"/>
    </row>
    <row r="380" spans="1:10" x14ac:dyDescent="0.2">
      <c r="A380" s="3" t="s">
        <v>199</v>
      </c>
      <c r="B380" s="1" t="s">
        <v>355</v>
      </c>
      <c r="C380" t="s">
        <v>355</v>
      </c>
      <c r="D380" s="28" t="str">
        <f>VLOOKUP(A380,Classification!$A:$D,2,FALSE)</f>
        <v>A</v>
      </c>
      <c r="E380" s="49" t="str">
        <f>VLOOKUP(B380,Classification!$A:$D,2,FALSE)</f>
        <v>A</v>
      </c>
      <c r="F380" s="15" t="str">
        <f>VLOOKUP(C380,Classification!$A:$D,2,FALSE)</f>
        <v>A</v>
      </c>
      <c r="G380" s="15" t="b">
        <f t="shared" si="5"/>
        <v>1</v>
      </c>
      <c r="H380" s="10" t="str">
        <f>IF(ISERROR(MATCH(A380,'SegEnds_Xtal_Prot#'!B:B, 0)), "NoXtal", "Xtal")</f>
        <v>NoXtal</v>
      </c>
      <c r="J380" s="3"/>
    </row>
    <row r="381" spans="1:10" x14ac:dyDescent="0.2">
      <c r="A381" s="3" t="s">
        <v>258</v>
      </c>
      <c r="B381" s="1" t="s">
        <v>355</v>
      </c>
      <c r="C381" t="s">
        <v>355</v>
      </c>
      <c r="D381" s="28" t="str">
        <f>VLOOKUP(A381,Classification!$A:$D,2,FALSE)</f>
        <v>A</v>
      </c>
      <c r="E381" s="49" t="str">
        <f>VLOOKUP(B381,Classification!$A:$D,2,FALSE)</f>
        <v>A</v>
      </c>
      <c r="F381" s="15" t="str">
        <f>VLOOKUP(C381,Classification!$A:$D,2,FALSE)</f>
        <v>A</v>
      </c>
      <c r="G381" s="15" t="b">
        <f t="shared" si="5"/>
        <v>1</v>
      </c>
      <c r="H381" s="10" t="str">
        <f>IF(ISERROR(MATCH(A381,'SegEnds_Xtal_Prot#'!B:B, 0)), "NoXtal", "Xtal")</f>
        <v>NoXtal</v>
      </c>
      <c r="J381" s="3"/>
    </row>
    <row r="382" spans="1:10" x14ac:dyDescent="0.2">
      <c r="A382" s="3" t="s">
        <v>309</v>
      </c>
      <c r="B382" s="1" t="s">
        <v>104</v>
      </c>
      <c r="C382" t="s">
        <v>104</v>
      </c>
      <c r="D382" s="28" t="str">
        <f>VLOOKUP(A382,Classification!$A:$D,2,FALSE)</f>
        <v>A</v>
      </c>
      <c r="E382" s="49" t="str">
        <f>VLOOKUP(B382,Classification!$A:$D,2,FALSE)</f>
        <v>A</v>
      </c>
      <c r="F382" s="15" t="str">
        <f>VLOOKUP(C382,Classification!$A:$D,2,FALSE)</f>
        <v>A</v>
      </c>
      <c r="G382" s="15" t="b">
        <f t="shared" si="5"/>
        <v>1</v>
      </c>
      <c r="H382" s="10" t="str">
        <f>IF(ISERROR(MATCH(A382,'SegEnds_Xtal_Prot#'!B:B, 0)), "NoXtal", "Xtal")</f>
        <v>NoXtal</v>
      </c>
      <c r="J382" s="3"/>
    </row>
    <row r="383" spans="1:10" x14ac:dyDescent="0.2">
      <c r="A383" s="3" t="s">
        <v>151</v>
      </c>
      <c r="B383" s="1" t="s">
        <v>104</v>
      </c>
      <c r="C383" t="s">
        <v>104</v>
      </c>
      <c r="D383" s="28" t="str">
        <f>VLOOKUP(A383,Classification!$A:$D,2,FALSE)</f>
        <v>A</v>
      </c>
      <c r="E383" s="49" t="str">
        <f>VLOOKUP(B383,Classification!$A:$D,2,FALSE)</f>
        <v>A</v>
      </c>
      <c r="F383" s="15" t="str">
        <f>VLOOKUP(C383,Classification!$A:$D,2,FALSE)</f>
        <v>A</v>
      </c>
      <c r="G383" s="15" t="b">
        <f t="shared" si="5"/>
        <v>1</v>
      </c>
      <c r="H383" s="10" t="str">
        <f>IF(ISERROR(MATCH(A383,'SegEnds_Xtal_Prot#'!B:B, 0)), "NoXtal", "Xtal")</f>
        <v>NoXtal</v>
      </c>
      <c r="J383" s="3"/>
    </row>
    <row r="384" spans="1:10" x14ac:dyDescent="0.2">
      <c r="A384" s="3" t="s">
        <v>296</v>
      </c>
      <c r="B384" s="1" t="s">
        <v>103</v>
      </c>
      <c r="C384" t="s">
        <v>104</v>
      </c>
      <c r="D384" s="28" t="str">
        <f>VLOOKUP(A384,Classification!$A:$D,2,FALSE)</f>
        <v>A</v>
      </c>
      <c r="E384" s="49" t="str">
        <f>VLOOKUP(B384,Classification!$A:$D,2,FALSE)</f>
        <v>A</v>
      </c>
      <c r="F384" s="15" t="str">
        <f>VLOOKUP(C384,Classification!$A:$D,2,FALSE)</f>
        <v>A</v>
      </c>
      <c r="G384" s="15" t="b">
        <f t="shared" si="5"/>
        <v>1</v>
      </c>
      <c r="H384" s="10" t="str">
        <f>IF(ISERROR(MATCH(A384,'SegEnds_Xtal_Prot#'!B:B, 0)), "NoXtal", "Xtal")</f>
        <v>NoXtal</v>
      </c>
      <c r="J384" s="3"/>
    </row>
    <row r="385" spans="1:10" x14ac:dyDescent="0.2">
      <c r="A385" s="3" t="s">
        <v>297</v>
      </c>
      <c r="B385" s="1" t="s">
        <v>104</v>
      </c>
      <c r="C385" t="s">
        <v>104</v>
      </c>
      <c r="D385" s="28" t="str">
        <f>VLOOKUP(A385,Classification!$A:$D,2,FALSE)</f>
        <v>A</v>
      </c>
      <c r="E385" s="49" t="str">
        <f>VLOOKUP(B385,Classification!$A:$D,2,FALSE)</f>
        <v>A</v>
      </c>
      <c r="F385" s="15" t="str">
        <f>VLOOKUP(C385,Classification!$A:$D,2,FALSE)</f>
        <v>A</v>
      </c>
      <c r="G385" s="15" t="b">
        <f t="shared" si="5"/>
        <v>1</v>
      </c>
      <c r="H385" s="10" t="str">
        <f>IF(ISERROR(MATCH(A385,'SegEnds_Xtal_Prot#'!B:B, 0)), "NoXtal", "Xtal")</f>
        <v>NoXtal</v>
      </c>
      <c r="J385" s="3"/>
    </row>
    <row r="386" spans="1:10" x14ac:dyDescent="0.2">
      <c r="A386" s="3" t="s">
        <v>238</v>
      </c>
      <c r="B386" s="1" t="s">
        <v>103</v>
      </c>
      <c r="C386" t="s">
        <v>104</v>
      </c>
      <c r="D386" s="28" t="str">
        <f>VLOOKUP(A386,Classification!$A:$D,2,FALSE)</f>
        <v>A</v>
      </c>
      <c r="E386" s="49" t="str">
        <f>VLOOKUP(B386,Classification!$A:$D,2,FALSE)</f>
        <v>A</v>
      </c>
      <c r="F386" s="15" t="str">
        <f>VLOOKUP(C386,Classification!$A:$D,2,FALSE)</f>
        <v>A</v>
      </c>
      <c r="G386" s="15" t="b">
        <f t="shared" si="5"/>
        <v>1</v>
      </c>
      <c r="H386" s="10" t="str">
        <f>IF(ISERROR(MATCH(A386,'SegEnds_Xtal_Prot#'!B:B, 0)), "NoXtal", "Xtal")</f>
        <v>NoXtal</v>
      </c>
      <c r="J386" s="3"/>
    </row>
    <row r="387" spans="1:10" x14ac:dyDescent="0.2">
      <c r="A387" s="3" t="s">
        <v>262</v>
      </c>
      <c r="B387" s="1" t="s">
        <v>104</v>
      </c>
      <c r="C387" t="s">
        <v>104</v>
      </c>
      <c r="D387" s="28" t="str">
        <f>VLOOKUP(A387,Classification!$A:$D,2,FALSE)</f>
        <v>A</v>
      </c>
      <c r="E387" s="49" t="str">
        <f>VLOOKUP(B387,Classification!$A:$D,2,FALSE)</f>
        <v>A</v>
      </c>
      <c r="F387" s="15" t="str">
        <f>VLOOKUP(C387,Classification!$A:$D,2,FALSE)</f>
        <v>A</v>
      </c>
      <c r="G387" s="15" t="b">
        <f t="shared" si="5"/>
        <v>1</v>
      </c>
      <c r="H387" s="10" t="str">
        <f>IF(ISERROR(MATCH(A387,'SegEnds_Xtal_Prot#'!B:B, 0)), "NoXtal", "Xtal")</f>
        <v>NoXtal</v>
      </c>
      <c r="J387" s="3"/>
    </row>
    <row r="388" spans="1:10" x14ac:dyDescent="0.2">
      <c r="A388" s="3" t="s">
        <v>363</v>
      </c>
      <c r="B388" s="1" t="s">
        <v>363</v>
      </c>
      <c r="C388" t="s">
        <v>104</v>
      </c>
      <c r="D388" s="28" t="str">
        <f>VLOOKUP(A388,Classification!$A:$D,2,FALSE)</f>
        <v>A</v>
      </c>
      <c r="E388" s="49" t="str">
        <f>VLOOKUP(B388,Classification!$A:$D,2,FALSE)</f>
        <v>A</v>
      </c>
      <c r="F388" s="15" t="str">
        <f>VLOOKUP(C388,Classification!$A:$D,2,FALSE)</f>
        <v>A</v>
      </c>
      <c r="G388" s="15" t="b">
        <f t="shared" si="5"/>
        <v>1</v>
      </c>
      <c r="H388" s="10" t="str">
        <f>IF(ISERROR(MATCH(A388,'SegEnds_Xtal_Prot#'!B:B, 0)), "NoXtal", "Xtal")</f>
        <v>Xtal</v>
      </c>
      <c r="J388" s="3"/>
    </row>
    <row r="389" spans="1:10" x14ac:dyDescent="0.2">
      <c r="A389" s="3" t="s">
        <v>473</v>
      </c>
      <c r="B389" s="1" t="s">
        <v>363</v>
      </c>
      <c r="C389" t="s">
        <v>104</v>
      </c>
      <c r="D389" s="28" t="str">
        <f>VLOOKUP(A389,Classification!$A:$D,2,FALSE)</f>
        <v>A</v>
      </c>
      <c r="E389" s="49" t="str">
        <f>VLOOKUP(B389,Classification!$A:$D,2,FALSE)</f>
        <v>A</v>
      </c>
      <c r="F389" s="15" t="str">
        <f>VLOOKUP(C389,Classification!$A:$D,2,FALSE)</f>
        <v>A</v>
      </c>
      <c r="G389" s="15" t="b">
        <f t="shared" ref="G389:G408" si="6">OR(D389=F389,AND(D389="T",F389="A"),AND(D389="B2",F389="B1"),D389="O")</f>
        <v>1</v>
      </c>
      <c r="H389" s="10" t="str">
        <f>IF(ISERROR(MATCH(A389,'SegEnds_Xtal_Prot#'!B:B, 0)), "NoXtal", "Xtal")</f>
        <v>NoXtal</v>
      </c>
      <c r="J389" s="3"/>
    </row>
    <row r="390" spans="1:10" x14ac:dyDescent="0.2">
      <c r="A390" s="3" t="s">
        <v>213</v>
      </c>
      <c r="B390" s="1" t="s">
        <v>138</v>
      </c>
      <c r="C390" t="s">
        <v>104</v>
      </c>
      <c r="D390" s="28" t="str">
        <f>VLOOKUP(A390,Classification!$A:$D,2,FALSE)</f>
        <v>A</v>
      </c>
      <c r="E390" s="49" t="str">
        <f>VLOOKUP(B390,Classification!$A:$D,2,FALSE)</f>
        <v>A</v>
      </c>
      <c r="F390" s="15" t="str">
        <f>VLOOKUP(C390,Classification!$A:$D,2,FALSE)</f>
        <v>A</v>
      </c>
      <c r="G390" s="15" t="b">
        <f t="shared" si="6"/>
        <v>1</v>
      </c>
      <c r="H390" s="10" t="str">
        <f>IF(ISERROR(MATCH(A390,'SegEnds_Xtal_Prot#'!B:B, 0)), "NoXtal", "Xtal")</f>
        <v>NoXtal</v>
      </c>
      <c r="J390" s="3"/>
    </row>
    <row r="391" spans="1:10" x14ac:dyDescent="0.2">
      <c r="A391" s="3" t="s">
        <v>377</v>
      </c>
      <c r="B391" s="1" t="s">
        <v>104</v>
      </c>
      <c r="C391" t="s">
        <v>104</v>
      </c>
      <c r="D391" s="28" t="str">
        <f>VLOOKUP(A391,Classification!$A:$D,2,FALSE)</f>
        <v>A</v>
      </c>
      <c r="E391" s="49" t="str">
        <f>VLOOKUP(B391,Classification!$A:$D,2,FALSE)</f>
        <v>A</v>
      </c>
      <c r="F391" s="15" t="str">
        <f>VLOOKUP(C391,Classification!$A:$D,2,FALSE)</f>
        <v>A</v>
      </c>
      <c r="G391" s="15" t="b">
        <f t="shared" si="6"/>
        <v>1</v>
      </c>
      <c r="H391" s="10" t="str">
        <f>IF(ISERROR(MATCH(A391,'SegEnds_Xtal_Prot#'!B:B, 0)), "NoXtal", "Xtal")</f>
        <v>NoXtal</v>
      </c>
      <c r="J391" s="3"/>
    </row>
    <row r="392" spans="1:10" x14ac:dyDescent="0.2">
      <c r="A392" s="3" t="s">
        <v>104</v>
      </c>
      <c r="B392" s="1" t="s">
        <v>104</v>
      </c>
      <c r="C392" t="s">
        <v>104</v>
      </c>
      <c r="D392" s="28" t="str">
        <f>VLOOKUP(A392,Classification!$A:$D,2,FALSE)</f>
        <v>A</v>
      </c>
      <c r="E392" s="49" t="str">
        <f>VLOOKUP(B392,Classification!$A:$D,2,FALSE)</f>
        <v>A</v>
      </c>
      <c r="F392" s="15" t="str">
        <f>VLOOKUP(C392,Classification!$A:$D,2,FALSE)</f>
        <v>A</v>
      </c>
      <c r="G392" s="15" t="b">
        <f t="shared" si="6"/>
        <v>1</v>
      </c>
      <c r="H392" s="10" t="str">
        <f>IF(ISERROR(MATCH(A392,'SegEnds_Xtal_Prot#'!B:B, 0)), "NoXtal", "Xtal")</f>
        <v>Xtal</v>
      </c>
      <c r="J392" s="3"/>
    </row>
    <row r="393" spans="1:10" x14ac:dyDescent="0.2">
      <c r="A393" s="3" t="s">
        <v>379</v>
      </c>
      <c r="B393" s="1" t="s">
        <v>104</v>
      </c>
      <c r="C393" t="s">
        <v>104</v>
      </c>
      <c r="D393" s="28" t="str">
        <f>VLOOKUP(A393,Classification!$A:$D,2,FALSE)</f>
        <v>A</v>
      </c>
      <c r="E393" s="49" t="str">
        <f>VLOOKUP(B393,Classification!$A:$D,2,FALSE)</f>
        <v>A</v>
      </c>
      <c r="F393" s="15" t="str">
        <f>VLOOKUP(C393,Classification!$A:$D,2,FALSE)</f>
        <v>A</v>
      </c>
      <c r="G393" s="15" t="b">
        <f t="shared" si="6"/>
        <v>1</v>
      </c>
      <c r="H393" s="10" t="str">
        <f>IF(ISERROR(MATCH(A393,'SegEnds_Xtal_Prot#'!B:B, 0)), "NoXtal", "Xtal")</f>
        <v>NoXtal</v>
      </c>
      <c r="J393" s="3"/>
    </row>
    <row r="394" spans="1:10" x14ac:dyDescent="0.2">
      <c r="A394" s="3" t="s">
        <v>378</v>
      </c>
      <c r="B394" s="1" t="s">
        <v>104</v>
      </c>
      <c r="C394" t="s">
        <v>104</v>
      </c>
      <c r="D394" s="28" t="str">
        <f>VLOOKUP(A394,Classification!$A:$D,2,FALSE)</f>
        <v>A</v>
      </c>
      <c r="E394" s="49" t="str">
        <f>VLOOKUP(B394,Classification!$A:$D,2,FALSE)</f>
        <v>A</v>
      </c>
      <c r="F394" s="15" t="str">
        <f>VLOOKUP(C394,Classification!$A:$D,2,FALSE)</f>
        <v>A</v>
      </c>
      <c r="G394" s="15" t="b">
        <f t="shared" si="6"/>
        <v>1</v>
      </c>
      <c r="H394" s="10" t="str">
        <f>IF(ISERROR(MATCH(A394,'SegEnds_Xtal_Prot#'!B:B, 0)), "NoXtal", "Xtal")</f>
        <v>NoXtal</v>
      </c>
      <c r="J394" s="3"/>
    </row>
    <row r="395" spans="1:10" x14ac:dyDescent="0.2">
      <c r="A395" s="3" t="s">
        <v>380</v>
      </c>
      <c r="B395" s="1" t="s">
        <v>104</v>
      </c>
      <c r="C395" t="s">
        <v>104</v>
      </c>
      <c r="D395" s="28" t="str">
        <f>VLOOKUP(A395,Classification!$A:$D,2,FALSE)</f>
        <v>A</v>
      </c>
      <c r="E395" s="49" t="str">
        <f>VLOOKUP(B395,Classification!$A:$D,2,FALSE)</f>
        <v>A</v>
      </c>
      <c r="F395" s="15" t="str">
        <f>VLOOKUP(C395,Classification!$A:$D,2,FALSE)</f>
        <v>A</v>
      </c>
      <c r="G395" s="15" t="b">
        <f t="shared" si="6"/>
        <v>1</v>
      </c>
      <c r="H395" s="10" t="str">
        <f>IF(ISERROR(MATCH(A395,'SegEnds_Xtal_Prot#'!B:B, 0)), "NoXtal", "Xtal")</f>
        <v>NoXtal</v>
      </c>
      <c r="J395" s="3"/>
    </row>
    <row r="396" spans="1:10" x14ac:dyDescent="0.2">
      <c r="A396" s="3" t="s">
        <v>448</v>
      </c>
      <c r="B396" s="1" t="s">
        <v>33</v>
      </c>
      <c r="C396" t="s">
        <v>33</v>
      </c>
      <c r="D396" s="28" t="str">
        <f>VLOOKUP(A396,Classification!$A:$D,2,FALSE)</f>
        <v>F</v>
      </c>
      <c r="E396" s="49" t="str">
        <f>VLOOKUP(B396,Classification!$A:$D,2,FALSE)</f>
        <v>F</v>
      </c>
      <c r="F396" s="15" t="str">
        <f>VLOOKUP(C396,Classification!$A:$D,2,FALSE)</f>
        <v>F</v>
      </c>
      <c r="G396" s="15" t="b">
        <f t="shared" si="6"/>
        <v>1</v>
      </c>
      <c r="H396" s="10" t="str">
        <f>IF(ISERROR(MATCH(A396,'SegEnds_Xtal_Prot#'!B:B, 0)), "NoXtal", "Xtal")</f>
        <v>NoXtal</v>
      </c>
      <c r="J396" s="3"/>
    </row>
    <row r="397" spans="1:10" x14ac:dyDescent="0.2">
      <c r="A397" s="3" t="s">
        <v>453</v>
      </c>
      <c r="B397" s="1" t="s">
        <v>33</v>
      </c>
      <c r="C397" t="s">
        <v>33</v>
      </c>
      <c r="D397" s="28" t="str">
        <f>VLOOKUP(A397,Classification!$A:$D,2,FALSE)</f>
        <v>F</v>
      </c>
      <c r="E397" s="49" t="str">
        <f>VLOOKUP(B397,Classification!$A:$D,2,FALSE)</f>
        <v>F</v>
      </c>
      <c r="F397" s="15" t="str">
        <f>VLOOKUP(C397,Classification!$A:$D,2,FALSE)</f>
        <v>F</v>
      </c>
      <c r="G397" s="15" t="b">
        <f t="shared" si="6"/>
        <v>1</v>
      </c>
      <c r="H397" s="10" t="str">
        <f>IF(ISERROR(MATCH(A397,'SegEnds_Xtal_Prot#'!B:B, 0)), "NoXtal", "Xtal")</f>
        <v>NoXtal</v>
      </c>
      <c r="J397" s="3"/>
    </row>
    <row r="398" spans="1:10" x14ac:dyDescent="0.2">
      <c r="A398" s="3" t="s">
        <v>446</v>
      </c>
      <c r="B398" s="1" t="s">
        <v>33</v>
      </c>
      <c r="C398" t="s">
        <v>33</v>
      </c>
      <c r="D398" s="28" t="str">
        <f>VLOOKUP(A398,Classification!$A:$D,2,FALSE)</f>
        <v>F</v>
      </c>
      <c r="E398" s="49" t="str">
        <f>VLOOKUP(B398,Classification!$A:$D,2,FALSE)</f>
        <v>F</v>
      </c>
      <c r="F398" s="15" t="str">
        <f>VLOOKUP(C398,Classification!$A:$D,2,FALSE)</f>
        <v>F</v>
      </c>
      <c r="G398" s="15" t="b">
        <f t="shared" si="6"/>
        <v>1</v>
      </c>
      <c r="H398" s="10" t="str">
        <f>IF(ISERROR(MATCH(A398,'SegEnds_Xtal_Prot#'!B:B, 0)), "NoXtal", "Xtal")</f>
        <v>NoXtal</v>
      </c>
      <c r="J398" s="3"/>
    </row>
    <row r="399" spans="1:10" x14ac:dyDescent="0.2">
      <c r="A399" s="3" t="s">
        <v>450</v>
      </c>
      <c r="B399" s="1" t="s">
        <v>33</v>
      </c>
      <c r="C399" t="s">
        <v>33</v>
      </c>
      <c r="D399" s="28" t="str">
        <f>VLOOKUP(A399,Classification!$A:$D,2,FALSE)</f>
        <v>F</v>
      </c>
      <c r="E399" s="49" t="str">
        <f>VLOOKUP(B399,Classification!$A:$D,2,FALSE)</f>
        <v>F</v>
      </c>
      <c r="F399" s="15" t="str">
        <f>VLOOKUP(C399,Classification!$A:$D,2,FALSE)</f>
        <v>F</v>
      </c>
      <c r="G399" s="15" t="b">
        <f t="shared" si="6"/>
        <v>1</v>
      </c>
      <c r="H399" s="10" t="str">
        <f>IF(ISERROR(MATCH(A399,'SegEnds_Xtal_Prot#'!B:B, 0)), "NoXtal", "Xtal")</f>
        <v>NoXtal</v>
      </c>
      <c r="J399" s="3"/>
    </row>
    <row r="400" spans="1:10" x14ac:dyDescent="0.2">
      <c r="A400" s="3" t="s">
        <v>447</v>
      </c>
      <c r="B400" s="1" t="s">
        <v>33</v>
      </c>
      <c r="C400" t="s">
        <v>33</v>
      </c>
      <c r="D400" s="28" t="str">
        <f>VLOOKUP(A400,Classification!$A:$D,2,FALSE)</f>
        <v>F</v>
      </c>
      <c r="E400" s="49" t="str">
        <f>VLOOKUP(B400,Classification!$A:$D,2,FALSE)</f>
        <v>F</v>
      </c>
      <c r="F400" s="15" t="str">
        <f>VLOOKUP(C400,Classification!$A:$D,2,FALSE)</f>
        <v>F</v>
      </c>
      <c r="G400" s="15" t="b">
        <f t="shared" si="6"/>
        <v>1</v>
      </c>
      <c r="H400" s="10" t="str">
        <f>IF(ISERROR(MATCH(A400,'SegEnds_Xtal_Prot#'!B:B, 0)), "NoXtal", "Xtal")</f>
        <v>NoXtal</v>
      </c>
      <c r="J400" s="3"/>
    </row>
    <row r="401" spans="1:10" x14ac:dyDescent="0.2">
      <c r="A401" s="3" t="s">
        <v>455</v>
      </c>
      <c r="B401" s="1" t="s">
        <v>33</v>
      </c>
      <c r="C401" t="s">
        <v>33</v>
      </c>
      <c r="D401" s="28" t="str">
        <f>VLOOKUP(A401,Classification!$A:$D,2,FALSE)</f>
        <v>F</v>
      </c>
      <c r="E401" s="49" t="str">
        <f>VLOOKUP(B401,Classification!$A:$D,2,FALSE)</f>
        <v>F</v>
      </c>
      <c r="F401" s="15" t="str">
        <f>VLOOKUP(C401,Classification!$A:$D,2,FALSE)</f>
        <v>F</v>
      </c>
      <c r="G401" s="15" t="b">
        <f t="shared" si="6"/>
        <v>1</v>
      </c>
      <c r="H401" s="10" t="str">
        <f>IF(ISERROR(MATCH(A401,'SegEnds_Xtal_Prot#'!B:B, 0)), "NoXtal", "Xtal")</f>
        <v>NoXtal</v>
      </c>
      <c r="J401" s="3"/>
    </row>
    <row r="402" spans="1:10" x14ac:dyDescent="0.2">
      <c r="A402" s="3" t="s">
        <v>451</v>
      </c>
      <c r="B402" s="1" t="s">
        <v>33</v>
      </c>
      <c r="C402" t="s">
        <v>33</v>
      </c>
      <c r="D402" s="28" t="str">
        <f>VLOOKUP(A402,Classification!$A:$D,2,FALSE)</f>
        <v>F</v>
      </c>
      <c r="E402" s="49" t="str">
        <f>VLOOKUP(B402,Classification!$A:$D,2,FALSE)</f>
        <v>F</v>
      </c>
      <c r="F402" s="15" t="str">
        <f>VLOOKUP(C402,Classification!$A:$D,2,FALSE)</f>
        <v>F</v>
      </c>
      <c r="G402" s="15" t="b">
        <f t="shared" si="6"/>
        <v>1</v>
      </c>
      <c r="H402" s="10" t="str">
        <f>IF(ISERROR(MATCH(A402,'SegEnds_Xtal_Prot#'!B:B, 0)), "NoXtal", "Xtal")</f>
        <v>NoXtal</v>
      </c>
      <c r="J402" s="3"/>
    </row>
    <row r="403" spans="1:10" x14ac:dyDescent="0.2">
      <c r="A403" s="3" t="s">
        <v>454</v>
      </c>
      <c r="B403" s="1" t="s">
        <v>33</v>
      </c>
      <c r="C403" t="s">
        <v>33</v>
      </c>
      <c r="D403" s="28" t="str">
        <f>VLOOKUP(A403,Classification!$A:$D,2,FALSE)</f>
        <v>F</v>
      </c>
      <c r="E403" s="49" t="str">
        <f>VLOOKUP(B403,Classification!$A:$D,2,FALSE)</f>
        <v>F</v>
      </c>
      <c r="F403" s="15" t="str">
        <f>VLOOKUP(C403,Classification!$A:$D,2,FALSE)</f>
        <v>F</v>
      </c>
      <c r="G403" s="15" t="b">
        <f t="shared" si="6"/>
        <v>1</v>
      </c>
      <c r="H403" s="10" t="str">
        <f>IF(ISERROR(MATCH(A403,'SegEnds_Xtal_Prot#'!B:B, 0)), "NoXtal", "Xtal")</f>
        <v>NoXtal</v>
      </c>
      <c r="J403" s="3"/>
    </row>
    <row r="404" spans="1:10" x14ac:dyDescent="0.2">
      <c r="A404" s="3" t="s">
        <v>449</v>
      </c>
      <c r="B404" s="1" t="s">
        <v>33</v>
      </c>
      <c r="C404" t="s">
        <v>33</v>
      </c>
      <c r="D404" s="28" t="str">
        <f>VLOOKUP(A404,Classification!$A:$D,2,FALSE)</f>
        <v>F</v>
      </c>
      <c r="E404" s="49" t="str">
        <f>VLOOKUP(B404,Classification!$A:$D,2,FALSE)</f>
        <v>F</v>
      </c>
      <c r="F404" s="15" t="str">
        <f>VLOOKUP(C404,Classification!$A:$D,2,FALSE)</f>
        <v>F</v>
      </c>
      <c r="G404" s="15" t="b">
        <f t="shared" si="6"/>
        <v>1</v>
      </c>
      <c r="H404" s="10" t="str">
        <f>IF(ISERROR(MATCH(A404,'SegEnds_Xtal_Prot#'!B:B, 0)), "NoXtal", "Xtal")</f>
        <v>NoXtal</v>
      </c>
      <c r="J404" s="3"/>
    </row>
    <row r="405" spans="1:10" x14ac:dyDescent="0.2">
      <c r="A405" s="3" t="s">
        <v>452</v>
      </c>
      <c r="B405" s="1" t="s">
        <v>33</v>
      </c>
      <c r="C405" t="s">
        <v>33</v>
      </c>
      <c r="D405" s="28" t="str">
        <f>VLOOKUP(A405,Classification!$A:$D,2,FALSE)</f>
        <v>F</v>
      </c>
      <c r="E405" s="49" t="str">
        <f>VLOOKUP(B405,Classification!$A:$D,2,FALSE)</f>
        <v>F</v>
      </c>
      <c r="F405" s="15" t="str">
        <f>VLOOKUP(C405,Classification!$A:$D,2,FALSE)</f>
        <v>F</v>
      </c>
      <c r="G405" s="15" t="b">
        <f t="shared" si="6"/>
        <v>1</v>
      </c>
      <c r="H405" s="10" t="str">
        <f>IF(ISERROR(MATCH(A405,'SegEnds_Xtal_Prot#'!B:B, 0)), "NoXtal", "Xtal")</f>
        <v>NoXtal</v>
      </c>
      <c r="J405" s="3"/>
    </row>
    <row r="406" spans="1:10" x14ac:dyDescent="0.2">
      <c r="A406" s="3" t="s">
        <v>33</v>
      </c>
      <c r="B406" s="1" t="s">
        <v>33</v>
      </c>
      <c r="C406" t="s">
        <v>33</v>
      </c>
      <c r="D406" s="28" t="str">
        <f>VLOOKUP(A406,Classification!$A:$D,2,FALSE)</f>
        <v>F</v>
      </c>
      <c r="E406" s="49" t="str">
        <f>VLOOKUP(B406,Classification!$A:$D,2,FALSE)</f>
        <v>F</v>
      </c>
      <c r="F406" s="15" t="str">
        <f>VLOOKUP(C406,Classification!$A:$D,2,FALSE)</f>
        <v>F</v>
      </c>
      <c r="G406" s="15" t="b">
        <f t="shared" si="6"/>
        <v>1</v>
      </c>
      <c r="H406" s="10" t="str">
        <f>IF(ISERROR(MATCH(A406,'SegEnds_Xtal_Prot#'!B:B, 0)), "NoXtal", "Xtal")</f>
        <v>Xtal</v>
      </c>
      <c r="J406" s="3"/>
    </row>
    <row r="407" spans="1:10" x14ac:dyDescent="0.2">
      <c r="A407" s="3" t="s">
        <v>924</v>
      </c>
      <c r="B407" s="1" t="s">
        <v>924</v>
      </c>
      <c r="C407" t="s">
        <v>924</v>
      </c>
      <c r="D407" s="28" t="str">
        <f>VLOOKUP(A407,Classification!$A:$D,2,FALSE)</f>
        <v>A</v>
      </c>
      <c r="E407" s="49" t="str">
        <f>VLOOKUP(B407,Classification!$A:$D,2,FALSE)</f>
        <v>A</v>
      </c>
      <c r="F407" s="15" t="str">
        <f>VLOOKUP(C407,Classification!$A:$D,2,FALSE)</f>
        <v>A</v>
      </c>
      <c r="G407" s="15" t="b">
        <f t="shared" si="6"/>
        <v>1</v>
      </c>
      <c r="H407" s="10" t="str">
        <f>IF(ISERROR(MATCH(A407,'SegEnds_Xtal_Prot#'!B:B, 0)), "NoXtal", "Xtal")</f>
        <v>Xtal</v>
      </c>
      <c r="J407" s="3"/>
    </row>
    <row r="408" spans="1:10" x14ac:dyDescent="0.2">
      <c r="A408" s="3" t="s">
        <v>221</v>
      </c>
      <c r="B408" s="1" t="s">
        <v>104</v>
      </c>
      <c r="C408" t="s">
        <v>924</v>
      </c>
      <c r="D408" s="28" t="str">
        <f>VLOOKUP(A408,Classification!$A:$D,2,FALSE)</f>
        <v>A</v>
      </c>
      <c r="E408" s="49" t="str">
        <f>VLOOKUP(B408,Classification!$A:$D,2,FALSE)</f>
        <v>A</v>
      </c>
      <c r="F408" s="15" t="str">
        <f>VLOOKUP(C408,Classification!$A:$D,2,FALSE)</f>
        <v>A</v>
      </c>
      <c r="G408" s="15" t="b">
        <f t="shared" si="6"/>
        <v>1</v>
      </c>
      <c r="H408" s="10" t="str">
        <f>IF(ISERROR(MATCH(A408,'SegEnds_Xtal_Prot#'!B:B, 0)), "NoXtal", "Xtal")</f>
        <v>NoXtal</v>
      </c>
      <c r="J408" s="3"/>
    </row>
    <row r="409" spans="1:10" x14ac:dyDescent="0.2">
      <c r="A409" s="1" t="s">
        <v>1430</v>
      </c>
      <c r="B409" s="1" t="s">
        <v>1430</v>
      </c>
      <c r="C409" t="s">
        <v>1430</v>
      </c>
      <c r="D409" s="28" t="str">
        <f>VLOOKUP(A409,Classification!$A:$D,2,FALSE)</f>
        <v>B1</v>
      </c>
      <c r="E409" s="49" t="str">
        <f>VLOOKUP(B409,Classification!$A:$D,2,FALSE)</f>
        <v>B1</v>
      </c>
      <c r="F409" s="15" t="str">
        <f>VLOOKUP(C409,Classification!$A:$D,2,FALSE)</f>
        <v>B1</v>
      </c>
      <c r="G409" s="15" t="b">
        <f>OR(D409=F409,AND(D409="T",F409="A"),AND(D409="B2",F409="B1"),D409="O")</f>
        <v>1</v>
      </c>
      <c r="H409" s="10" t="str">
        <f>IF(ISERROR(MATCH(A409,'SegEnds_Xtal_Prot#'!B:B, 0)), "NoXtal", "Xtal")</f>
        <v>Xtal</v>
      </c>
    </row>
    <row r="410" spans="1:10" x14ac:dyDescent="0.2">
      <c r="A410" s="1" t="s">
        <v>1510</v>
      </c>
      <c r="B410" s="1" t="s">
        <v>1510</v>
      </c>
      <c r="C410" s="122" t="s">
        <v>1510</v>
      </c>
      <c r="D410" s="28" t="str">
        <f>VLOOKUP(A410,Classification!$A:$D,2,FALSE)</f>
        <v>F</v>
      </c>
      <c r="E410" s="49" t="str">
        <f>VLOOKUP(B410,Classification!$A:$D,2,FALSE)</f>
        <v>F</v>
      </c>
      <c r="F410" s="15" t="str">
        <f>VLOOKUP(C410,Classification!$A:$D,2,FALSE)</f>
        <v>F</v>
      </c>
      <c r="G410" s="15" t="b">
        <f>OR(D410=F410,AND(D410="T",F410="A"),AND(D410="B2",F410="B1"),D410="O")</f>
        <v>1</v>
      </c>
      <c r="H410" s="10" t="str">
        <f>IF(ISERROR(MATCH(A410,'SegEnds_Xtal_Prot#'!B:B, 0)), "NoXtal", "Xtal")</f>
        <v>Xtal</v>
      </c>
    </row>
    <row r="411" spans="1:10" x14ac:dyDescent="0.2">
      <c r="A411" s="1" t="s">
        <v>1524</v>
      </c>
      <c r="B411" s="1" t="s">
        <v>1524</v>
      </c>
      <c r="C411" s="122" t="s">
        <v>1524</v>
      </c>
      <c r="D411" s="28" t="str">
        <f>VLOOKUP(A411,Classification!$A:$D,2,FALSE)</f>
        <v>A</v>
      </c>
      <c r="E411" s="49" t="str">
        <f>VLOOKUP(B411,Classification!$A:$D,2,FALSE)</f>
        <v>A</v>
      </c>
      <c r="F411" s="15" t="str">
        <f>VLOOKUP(C411,Classification!$A:$D,2,FALSE)</f>
        <v>A</v>
      </c>
      <c r="G411" s="15" t="b">
        <f>OR(D411=F411,AND(D411="T",F411="A"),AND(D411="B2",F411="B1"),D411="O")</f>
        <v>1</v>
      </c>
      <c r="H411" s="10" t="str">
        <f>IF(ISERROR(MATCH(A411,'SegEnds_Xtal_Prot#'!B:B, 0)), "NoXtal", "Xtal")</f>
        <v>Xtal</v>
      </c>
    </row>
    <row r="434" spans="4:7" ht="17" customHeight="1" x14ac:dyDescent="0.2">
      <c r="D434" s="7"/>
      <c r="E434" s="7"/>
      <c r="F434" s="7"/>
      <c r="G434" s="7"/>
    </row>
  </sheetData>
  <sortState ref="A2:I432">
    <sortCondition ref="G2:G432"/>
    <sortCondition ref="B2:B432"/>
    <sortCondition ref="D2:D432"/>
    <sortCondition ref="F2:F432"/>
  </sortState>
  <customSheetViews>
    <customSheetView guid="{3E3401AF-8459-8641-BD70-AD04F80E86ED}" topLeftCell="A141">
      <selection activeCell="C165" sqref="C165"/>
      <pageMargins left="0.7" right="0.7" top="0.75" bottom="0.75" header="0.3" footer="0.3"/>
    </customSheetView>
  </customSheetViews>
  <conditionalFormatting sqref="G1 G412:G1048576">
    <cfRule type="cellIs" dxfId="3" priority="5" operator="equal">
      <formula>FALSE</formula>
    </cfRule>
  </conditionalFormatting>
  <conditionalFormatting sqref="G2:G411">
    <cfRule type="cellIs" dxfId="2" priority="4" operator="equal">
      <formula>FALSE</formula>
    </cfRule>
  </conditionalFormatting>
  <conditionalFormatting sqref="H2:H1048576">
    <cfRule type="cellIs" dxfId="1" priority="1" operator="equal">
      <formula>"Xtal"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43"/>
  <sheetViews>
    <sheetView workbookViewId="0">
      <pane ySplit="1" topLeftCell="A83" activePane="bottomLeft" state="frozenSplit"/>
      <selection pane="bottomLeft" activeCell="E106" sqref="E106"/>
    </sheetView>
  </sheetViews>
  <sheetFormatPr baseColWidth="10" defaultColWidth="10.83203125" defaultRowHeight="16" x14ac:dyDescent="0.2"/>
  <cols>
    <col min="1" max="1" width="16.1640625" style="3" customWidth="1"/>
    <col min="2" max="2" width="4.1640625" style="3" bestFit="1" customWidth="1"/>
    <col min="3" max="3" width="9.83203125" style="3" customWidth="1"/>
    <col min="4" max="4" width="19" style="3" customWidth="1"/>
    <col min="5" max="16384" width="10.83203125" style="3"/>
  </cols>
  <sheetData>
    <row r="1" spans="1:4" s="10" customFormat="1" x14ac:dyDescent="0.2">
      <c r="A1" s="10" t="s">
        <v>101</v>
      </c>
      <c r="B1" s="10" t="s">
        <v>932</v>
      </c>
      <c r="C1" s="10" t="s">
        <v>935</v>
      </c>
      <c r="D1" s="10" t="s">
        <v>936</v>
      </c>
    </row>
    <row r="2" spans="1:4" x14ac:dyDescent="0.2">
      <c r="A2" s="3" t="s">
        <v>128</v>
      </c>
      <c r="B2" s="3" t="s">
        <v>1</v>
      </c>
      <c r="C2" s="3" t="s">
        <v>2</v>
      </c>
      <c r="D2" s="3" t="s">
        <v>937</v>
      </c>
    </row>
    <row r="3" spans="1:4" x14ac:dyDescent="0.2">
      <c r="A3" s="3" t="s">
        <v>34</v>
      </c>
      <c r="B3" s="3" t="s">
        <v>1</v>
      </c>
      <c r="C3" s="3" t="s">
        <v>2</v>
      </c>
      <c r="D3" s="3" t="s">
        <v>937</v>
      </c>
    </row>
    <row r="4" spans="1:4" x14ac:dyDescent="0.2">
      <c r="A4" s="3" t="s">
        <v>129</v>
      </c>
      <c r="B4" s="3" t="s">
        <v>1</v>
      </c>
      <c r="C4" s="3" t="s">
        <v>2</v>
      </c>
      <c r="D4" s="3" t="s">
        <v>937</v>
      </c>
    </row>
    <row r="5" spans="1:4" x14ac:dyDescent="0.2">
      <c r="A5" s="3" t="s">
        <v>130</v>
      </c>
      <c r="B5" s="3" t="s">
        <v>1</v>
      </c>
      <c r="C5" s="3" t="s">
        <v>2</v>
      </c>
      <c r="D5" s="3" t="s">
        <v>937</v>
      </c>
    </row>
    <row r="6" spans="1:4" x14ac:dyDescent="0.2">
      <c r="A6" s="3" t="s">
        <v>131</v>
      </c>
      <c r="B6" s="3" t="s">
        <v>1</v>
      </c>
      <c r="C6" s="3" t="s">
        <v>2</v>
      </c>
      <c r="D6" s="3" t="s">
        <v>937</v>
      </c>
    </row>
    <row r="7" spans="1:4" x14ac:dyDescent="0.2">
      <c r="A7" s="3" t="s">
        <v>132</v>
      </c>
      <c r="B7" s="3" t="s">
        <v>1</v>
      </c>
      <c r="C7" s="3" t="s">
        <v>2</v>
      </c>
      <c r="D7" s="3" t="s">
        <v>937</v>
      </c>
    </row>
    <row r="8" spans="1:4" x14ac:dyDescent="0.2">
      <c r="A8" s="3" t="s">
        <v>35</v>
      </c>
      <c r="B8" s="3" t="s">
        <v>1</v>
      </c>
      <c r="C8" s="3" t="s">
        <v>2</v>
      </c>
      <c r="D8" s="3" t="s">
        <v>937</v>
      </c>
    </row>
    <row r="9" spans="1:4" x14ac:dyDescent="0.2">
      <c r="A9" s="3" t="s">
        <v>133</v>
      </c>
      <c r="B9" s="3" t="s">
        <v>1</v>
      </c>
      <c r="C9" s="3" t="s">
        <v>2</v>
      </c>
      <c r="D9" s="3" t="s">
        <v>937</v>
      </c>
    </row>
    <row r="10" spans="1:4" x14ac:dyDescent="0.2">
      <c r="A10" s="3" t="s">
        <v>134</v>
      </c>
      <c r="B10" s="3" t="s">
        <v>1</v>
      </c>
      <c r="C10" s="3" t="s">
        <v>2</v>
      </c>
      <c r="D10" s="3" t="s">
        <v>937</v>
      </c>
    </row>
    <row r="11" spans="1:4" x14ac:dyDescent="0.2">
      <c r="A11" s="3" t="s">
        <v>135</v>
      </c>
      <c r="B11" s="3" t="s">
        <v>1</v>
      </c>
      <c r="C11" s="3" t="s">
        <v>2</v>
      </c>
      <c r="D11" s="3" t="s">
        <v>937</v>
      </c>
    </row>
    <row r="12" spans="1:4" x14ac:dyDescent="0.2">
      <c r="A12" s="3" t="s">
        <v>136</v>
      </c>
      <c r="B12" s="3" t="s">
        <v>1</v>
      </c>
      <c r="C12" s="3" t="s">
        <v>2</v>
      </c>
      <c r="D12" s="3" t="s">
        <v>937</v>
      </c>
    </row>
    <row r="13" spans="1:4" x14ac:dyDescent="0.2">
      <c r="A13" s="3" t="s">
        <v>137</v>
      </c>
      <c r="B13" s="3" t="s">
        <v>1</v>
      </c>
      <c r="C13" s="3" t="s">
        <v>2</v>
      </c>
      <c r="D13" s="3" t="s">
        <v>937</v>
      </c>
    </row>
    <row r="14" spans="1:4" x14ac:dyDescent="0.2">
      <c r="A14" s="3" t="s">
        <v>146</v>
      </c>
      <c r="B14" s="3" t="s">
        <v>1</v>
      </c>
      <c r="C14" s="3" t="s">
        <v>2</v>
      </c>
      <c r="D14" s="3" t="s">
        <v>939</v>
      </c>
    </row>
    <row r="15" spans="1:4" x14ac:dyDescent="0.2">
      <c r="A15" s="3" t="s">
        <v>147</v>
      </c>
      <c r="B15" s="3" t="s">
        <v>1</v>
      </c>
      <c r="C15" s="3" t="s">
        <v>2</v>
      </c>
      <c r="D15" s="3" t="s">
        <v>939</v>
      </c>
    </row>
    <row r="16" spans="1:4" x14ac:dyDescent="0.2">
      <c r="A16" s="3" t="s">
        <v>148</v>
      </c>
      <c r="B16" s="3" t="s">
        <v>1</v>
      </c>
      <c r="C16" s="3" t="s">
        <v>2</v>
      </c>
      <c r="D16" s="3" t="s">
        <v>939</v>
      </c>
    </row>
    <row r="17" spans="1:4" x14ac:dyDescent="0.2">
      <c r="A17" s="3" t="s">
        <v>48</v>
      </c>
      <c r="B17" s="3" t="s">
        <v>1</v>
      </c>
      <c r="C17" s="3" t="s">
        <v>2</v>
      </c>
      <c r="D17" s="3" t="s">
        <v>939</v>
      </c>
    </row>
    <row r="18" spans="1:4" x14ac:dyDescent="0.2">
      <c r="A18" s="3" t="s">
        <v>149</v>
      </c>
      <c r="B18" s="3" t="s">
        <v>1</v>
      </c>
      <c r="C18" s="3" t="s">
        <v>2</v>
      </c>
      <c r="D18" s="3" t="s">
        <v>939</v>
      </c>
    </row>
    <row r="19" spans="1:4" x14ac:dyDescent="0.2">
      <c r="A19" s="3" t="s">
        <v>150</v>
      </c>
      <c r="B19" s="3" t="s">
        <v>1</v>
      </c>
      <c r="C19" s="3" t="s">
        <v>2</v>
      </c>
      <c r="D19" s="3" t="s">
        <v>939</v>
      </c>
    </row>
    <row r="20" spans="1:4" x14ac:dyDescent="0.2">
      <c r="A20" s="3" t="s">
        <v>138</v>
      </c>
      <c r="B20" s="3" t="s">
        <v>1</v>
      </c>
      <c r="C20" s="3" t="s">
        <v>938</v>
      </c>
      <c r="D20" s="3" t="s">
        <v>15</v>
      </c>
    </row>
    <row r="21" spans="1:4" x14ac:dyDescent="0.2">
      <c r="A21" s="3" t="s">
        <v>139</v>
      </c>
      <c r="B21" s="3" t="s">
        <v>1</v>
      </c>
      <c r="C21" s="3" t="s">
        <v>938</v>
      </c>
      <c r="D21" s="3" t="s">
        <v>15</v>
      </c>
    </row>
    <row r="22" spans="1:4" x14ac:dyDescent="0.2">
      <c r="A22" s="3" t="s">
        <v>140</v>
      </c>
      <c r="B22" s="3" t="s">
        <v>1</v>
      </c>
      <c r="C22" s="3" t="s">
        <v>938</v>
      </c>
      <c r="D22" s="3" t="s">
        <v>15</v>
      </c>
    </row>
    <row r="23" spans="1:4" x14ac:dyDescent="0.2">
      <c r="A23" s="3" t="s">
        <v>141</v>
      </c>
      <c r="B23" s="3" t="s">
        <v>1</v>
      </c>
      <c r="C23" s="3" t="s">
        <v>938</v>
      </c>
      <c r="D23" s="3" t="s">
        <v>15</v>
      </c>
    </row>
    <row r="24" spans="1:4" x14ac:dyDescent="0.2">
      <c r="A24" s="3" t="s">
        <v>414</v>
      </c>
      <c r="B24" s="3" t="s">
        <v>944</v>
      </c>
      <c r="C24" s="3" t="s">
        <v>945</v>
      </c>
      <c r="D24" s="3" t="s">
        <v>946</v>
      </c>
    </row>
    <row r="25" spans="1:4" x14ac:dyDescent="0.2">
      <c r="A25" s="3" t="s">
        <v>415</v>
      </c>
      <c r="B25" s="3" t="s">
        <v>944</v>
      </c>
      <c r="C25" s="3" t="s">
        <v>945</v>
      </c>
      <c r="D25" s="3" t="s">
        <v>946</v>
      </c>
    </row>
    <row r="26" spans="1:4" x14ac:dyDescent="0.2">
      <c r="A26" s="3" t="s">
        <v>416</v>
      </c>
      <c r="B26" s="3" t="s">
        <v>944</v>
      </c>
      <c r="C26" s="3" t="s">
        <v>945</v>
      </c>
      <c r="D26" s="3" t="s">
        <v>946</v>
      </c>
    </row>
    <row r="27" spans="1:4" x14ac:dyDescent="0.2">
      <c r="A27" s="3" t="s">
        <v>417</v>
      </c>
      <c r="B27" s="3" t="s">
        <v>944</v>
      </c>
      <c r="C27" s="3" t="s">
        <v>945</v>
      </c>
      <c r="D27" s="3" t="s">
        <v>946</v>
      </c>
    </row>
    <row r="28" spans="1:4" x14ac:dyDescent="0.2">
      <c r="A28" s="3" t="s">
        <v>418</v>
      </c>
      <c r="B28" s="3" t="s">
        <v>944</v>
      </c>
      <c r="C28" s="3" t="s">
        <v>945</v>
      </c>
      <c r="D28" s="3" t="s">
        <v>946</v>
      </c>
    </row>
    <row r="29" spans="1:4" x14ac:dyDescent="0.2">
      <c r="A29" s="3" t="s">
        <v>419</v>
      </c>
      <c r="B29" s="3" t="s">
        <v>944</v>
      </c>
      <c r="C29" s="3" t="s">
        <v>945</v>
      </c>
      <c r="D29" s="3" t="s">
        <v>946</v>
      </c>
    </row>
    <row r="30" spans="1:4" x14ac:dyDescent="0.2">
      <c r="A30" s="3" t="s">
        <v>420</v>
      </c>
      <c r="B30" s="3" t="s">
        <v>944</v>
      </c>
      <c r="C30" s="3" t="s">
        <v>945</v>
      </c>
      <c r="D30" s="3" t="s">
        <v>946</v>
      </c>
    </row>
    <row r="31" spans="1:4" x14ac:dyDescent="0.2">
      <c r="A31" s="3" t="s">
        <v>421</v>
      </c>
      <c r="B31" s="3" t="s">
        <v>944</v>
      </c>
      <c r="C31" s="3" t="s">
        <v>945</v>
      </c>
      <c r="D31" s="3" t="s">
        <v>946</v>
      </c>
    </row>
    <row r="32" spans="1:4" x14ac:dyDescent="0.2">
      <c r="A32" s="3" t="s">
        <v>422</v>
      </c>
      <c r="B32" s="3" t="s">
        <v>944</v>
      </c>
      <c r="C32" s="3" t="s">
        <v>945</v>
      </c>
      <c r="D32" s="3" t="s">
        <v>946</v>
      </c>
    </row>
    <row r="33" spans="1:4" x14ac:dyDescent="0.2">
      <c r="A33" s="3" t="s">
        <v>423</v>
      </c>
      <c r="B33" s="3" t="s">
        <v>944</v>
      </c>
      <c r="C33" s="3" t="s">
        <v>945</v>
      </c>
      <c r="D33" s="3" t="s">
        <v>946</v>
      </c>
    </row>
    <row r="34" spans="1:4" x14ac:dyDescent="0.2">
      <c r="A34" s="3" t="s">
        <v>424</v>
      </c>
      <c r="B34" s="3" t="s">
        <v>944</v>
      </c>
      <c r="C34" s="3" t="s">
        <v>945</v>
      </c>
      <c r="D34" s="3" t="s">
        <v>946</v>
      </c>
    </row>
    <row r="35" spans="1:4" x14ac:dyDescent="0.2">
      <c r="A35" s="3" t="s">
        <v>425</v>
      </c>
      <c r="B35" s="3" t="s">
        <v>944</v>
      </c>
      <c r="C35" s="3" t="s">
        <v>945</v>
      </c>
      <c r="D35" s="3" t="s">
        <v>946</v>
      </c>
    </row>
    <row r="36" spans="1:4" x14ac:dyDescent="0.2">
      <c r="A36" s="3" t="s">
        <v>426</v>
      </c>
      <c r="B36" s="3" t="s">
        <v>944</v>
      </c>
      <c r="C36" s="3" t="s">
        <v>945</v>
      </c>
      <c r="D36" s="3" t="s">
        <v>946</v>
      </c>
    </row>
    <row r="37" spans="1:4" x14ac:dyDescent="0.2">
      <c r="A37" s="3" t="s">
        <v>427</v>
      </c>
      <c r="B37" s="3" t="s">
        <v>944</v>
      </c>
      <c r="C37" s="3" t="s">
        <v>945</v>
      </c>
      <c r="D37" s="3" t="s">
        <v>946</v>
      </c>
    </row>
    <row r="38" spans="1:4" x14ac:dyDescent="0.2">
      <c r="A38" s="3" t="s">
        <v>428</v>
      </c>
      <c r="B38" s="3" t="s">
        <v>944</v>
      </c>
      <c r="C38" s="3" t="s">
        <v>945</v>
      </c>
      <c r="D38" s="3" t="s">
        <v>946</v>
      </c>
    </row>
    <row r="39" spans="1:4" x14ac:dyDescent="0.2">
      <c r="A39" s="3" t="s">
        <v>429</v>
      </c>
      <c r="B39" s="3" t="s">
        <v>944</v>
      </c>
      <c r="C39" s="3" t="s">
        <v>945</v>
      </c>
      <c r="D39" s="3" t="s">
        <v>946</v>
      </c>
    </row>
    <row r="40" spans="1:4" x14ac:dyDescent="0.2">
      <c r="A40" s="3" t="s">
        <v>430</v>
      </c>
      <c r="B40" s="3" t="s">
        <v>944</v>
      </c>
      <c r="C40" s="3" t="s">
        <v>945</v>
      </c>
      <c r="D40" s="3" t="s">
        <v>946</v>
      </c>
    </row>
    <row r="41" spans="1:4" x14ac:dyDescent="0.2">
      <c r="A41" s="3" t="s">
        <v>431</v>
      </c>
      <c r="B41" s="3" t="s">
        <v>944</v>
      </c>
      <c r="C41" s="3" t="s">
        <v>945</v>
      </c>
      <c r="D41" s="3" t="s">
        <v>946</v>
      </c>
    </row>
    <row r="42" spans="1:4" x14ac:dyDescent="0.2">
      <c r="A42" s="3" t="s">
        <v>432</v>
      </c>
      <c r="B42" s="3" t="s">
        <v>944</v>
      </c>
      <c r="C42" s="3" t="s">
        <v>945</v>
      </c>
      <c r="D42" s="3" t="s">
        <v>946</v>
      </c>
    </row>
    <row r="43" spans="1:4" x14ac:dyDescent="0.2">
      <c r="A43" s="3" t="s">
        <v>433</v>
      </c>
      <c r="B43" s="3" t="s">
        <v>944</v>
      </c>
      <c r="C43" s="3" t="s">
        <v>945</v>
      </c>
      <c r="D43" s="3" t="s">
        <v>946</v>
      </c>
    </row>
    <row r="44" spans="1:4" x14ac:dyDescent="0.2">
      <c r="A44" s="3" t="s">
        <v>434</v>
      </c>
      <c r="B44" s="3" t="s">
        <v>944</v>
      </c>
      <c r="C44" s="3" t="s">
        <v>945</v>
      </c>
      <c r="D44" s="3" t="s">
        <v>946</v>
      </c>
    </row>
    <row r="45" spans="1:4" x14ac:dyDescent="0.2">
      <c r="A45" s="3" t="s">
        <v>435</v>
      </c>
      <c r="B45" s="3" t="s">
        <v>944</v>
      </c>
      <c r="C45" s="3" t="s">
        <v>945</v>
      </c>
      <c r="D45" s="3" t="s">
        <v>946</v>
      </c>
    </row>
    <row r="46" spans="1:4" x14ac:dyDescent="0.2">
      <c r="A46" s="3" t="s">
        <v>1423</v>
      </c>
      <c r="B46" s="3" t="s">
        <v>944</v>
      </c>
      <c r="C46" s="3" t="s">
        <v>945</v>
      </c>
      <c r="D46" s="3" t="s">
        <v>946</v>
      </c>
    </row>
    <row r="47" spans="1:4" x14ac:dyDescent="0.2">
      <c r="A47" s="3" t="s">
        <v>436</v>
      </c>
      <c r="B47" s="3" t="s">
        <v>944</v>
      </c>
      <c r="C47" s="3" t="s">
        <v>945</v>
      </c>
      <c r="D47" s="3" t="s">
        <v>946</v>
      </c>
    </row>
    <row r="48" spans="1:4" x14ac:dyDescent="0.2">
      <c r="A48" s="3" t="s">
        <v>437</v>
      </c>
      <c r="B48" s="3" t="s">
        <v>944</v>
      </c>
      <c r="C48" s="3" t="s">
        <v>945</v>
      </c>
      <c r="D48" s="3" t="s">
        <v>946</v>
      </c>
    </row>
    <row r="49" spans="1:4" x14ac:dyDescent="0.2">
      <c r="A49" s="3" t="s">
        <v>438</v>
      </c>
      <c r="B49" s="3" t="s">
        <v>944</v>
      </c>
      <c r="C49" s="3" t="s">
        <v>945</v>
      </c>
      <c r="D49" s="3" t="s">
        <v>946</v>
      </c>
    </row>
    <row r="50" spans="1:4" x14ac:dyDescent="0.2">
      <c r="A50" s="3" t="s">
        <v>439</v>
      </c>
      <c r="B50" s="3" t="s">
        <v>944</v>
      </c>
      <c r="C50" s="3" t="s">
        <v>945</v>
      </c>
      <c r="D50" s="3" t="s">
        <v>946</v>
      </c>
    </row>
    <row r="51" spans="1:4" x14ac:dyDescent="0.2">
      <c r="A51" s="3" t="s">
        <v>440</v>
      </c>
      <c r="B51" s="3" t="s">
        <v>944</v>
      </c>
      <c r="C51" s="3" t="s">
        <v>945</v>
      </c>
      <c r="D51" s="3" t="s">
        <v>946</v>
      </c>
    </row>
    <row r="52" spans="1:4" x14ac:dyDescent="0.2">
      <c r="A52" s="3" t="s">
        <v>441</v>
      </c>
      <c r="B52" s="3" t="s">
        <v>944</v>
      </c>
      <c r="C52" s="3" t="s">
        <v>945</v>
      </c>
      <c r="D52" s="3" t="s">
        <v>946</v>
      </c>
    </row>
    <row r="53" spans="1:4" x14ac:dyDescent="0.2">
      <c r="A53" s="3" t="s">
        <v>442</v>
      </c>
      <c r="B53" s="3" t="s">
        <v>944</v>
      </c>
      <c r="C53" s="3" t="s">
        <v>945</v>
      </c>
      <c r="D53" s="3" t="s">
        <v>946</v>
      </c>
    </row>
    <row r="54" spans="1:4" x14ac:dyDescent="0.2">
      <c r="A54" s="3" t="s">
        <v>443</v>
      </c>
      <c r="B54" s="3" t="s">
        <v>944</v>
      </c>
      <c r="C54" s="3" t="s">
        <v>945</v>
      </c>
      <c r="D54" s="3" t="s">
        <v>946</v>
      </c>
    </row>
    <row r="55" spans="1:4" x14ac:dyDescent="0.2">
      <c r="A55" s="3" t="s">
        <v>444</v>
      </c>
      <c r="B55" s="3" t="s">
        <v>944</v>
      </c>
      <c r="C55" s="3" t="s">
        <v>945</v>
      </c>
      <c r="D55" s="3" t="s">
        <v>946</v>
      </c>
    </row>
    <row r="56" spans="1:4" x14ac:dyDescent="0.2">
      <c r="A56" s="3" t="s">
        <v>445</v>
      </c>
      <c r="B56" s="3" t="s">
        <v>944</v>
      </c>
      <c r="C56" s="3" t="s">
        <v>945</v>
      </c>
      <c r="D56" s="3" t="s">
        <v>946</v>
      </c>
    </row>
    <row r="57" spans="1:4" x14ac:dyDescent="0.2">
      <c r="A57" s="3" t="s">
        <v>152</v>
      </c>
      <c r="B57" s="3" t="s">
        <v>1</v>
      </c>
      <c r="C57" s="3" t="s">
        <v>2</v>
      </c>
      <c r="D57" s="3" t="s">
        <v>941</v>
      </c>
    </row>
    <row r="58" spans="1:4" x14ac:dyDescent="0.2">
      <c r="A58" s="3" t="s">
        <v>153</v>
      </c>
      <c r="B58" s="3" t="s">
        <v>1</v>
      </c>
      <c r="C58" s="3" t="s">
        <v>2</v>
      </c>
      <c r="D58" s="3" t="s">
        <v>941</v>
      </c>
    </row>
    <row r="59" spans="1:4" x14ac:dyDescent="0.2">
      <c r="A59" s="3" t="s">
        <v>154</v>
      </c>
      <c r="B59" s="3" t="s">
        <v>1</v>
      </c>
      <c r="C59" s="3" t="s">
        <v>2</v>
      </c>
      <c r="D59" s="3" t="s">
        <v>941</v>
      </c>
    </row>
    <row r="60" spans="1:4" x14ac:dyDescent="0.2">
      <c r="A60" s="3" t="s">
        <v>155</v>
      </c>
      <c r="B60" s="3" t="s">
        <v>1</v>
      </c>
      <c r="C60" s="3" t="s">
        <v>2</v>
      </c>
      <c r="D60" s="3" t="s">
        <v>941</v>
      </c>
    </row>
    <row r="61" spans="1:4" x14ac:dyDescent="0.2">
      <c r="A61" s="3" t="s">
        <v>156</v>
      </c>
      <c r="B61" s="3" t="s">
        <v>1</v>
      </c>
      <c r="C61" s="3" t="s">
        <v>2</v>
      </c>
      <c r="D61" s="3" t="s">
        <v>941</v>
      </c>
    </row>
    <row r="62" spans="1:4" x14ac:dyDescent="0.2">
      <c r="A62" s="3" t="s">
        <v>157</v>
      </c>
      <c r="B62" s="3" t="s">
        <v>1</v>
      </c>
      <c r="C62" s="3" t="s">
        <v>2</v>
      </c>
      <c r="D62" s="3" t="s">
        <v>941</v>
      </c>
    </row>
    <row r="63" spans="1:4" x14ac:dyDescent="0.2">
      <c r="A63" s="3" t="s">
        <v>125</v>
      </c>
      <c r="B63" s="3" t="s">
        <v>1</v>
      </c>
      <c r="C63" s="3" t="s">
        <v>2</v>
      </c>
      <c r="D63" s="3" t="s">
        <v>941</v>
      </c>
    </row>
    <row r="64" spans="1:4" x14ac:dyDescent="0.2">
      <c r="A64" s="3" t="s">
        <v>47</v>
      </c>
      <c r="B64" s="3" t="s">
        <v>1</v>
      </c>
      <c r="C64" s="3" t="s">
        <v>2</v>
      </c>
      <c r="D64" s="3" t="s">
        <v>941</v>
      </c>
    </row>
    <row r="65" spans="1:4" x14ac:dyDescent="0.2">
      <c r="A65" s="3" t="s">
        <v>126</v>
      </c>
      <c r="B65" s="3" t="s">
        <v>1</v>
      </c>
      <c r="C65" s="3" t="s">
        <v>2</v>
      </c>
      <c r="D65" s="3" t="s">
        <v>941</v>
      </c>
    </row>
    <row r="66" spans="1:4" x14ac:dyDescent="0.2">
      <c r="A66" s="3" t="s">
        <v>102</v>
      </c>
      <c r="B66" s="3" t="s">
        <v>1</v>
      </c>
      <c r="C66" s="3" t="s">
        <v>2</v>
      </c>
      <c r="D66" s="3" t="s">
        <v>941</v>
      </c>
    </row>
    <row r="67" spans="1:4" x14ac:dyDescent="0.2">
      <c r="A67" s="3" t="s">
        <v>158</v>
      </c>
      <c r="B67" s="3" t="s">
        <v>1</v>
      </c>
      <c r="C67" s="3" t="s">
        <v>17</v>
      </c>
      <c r="D67" s="3" t="s">
        <v>942</v>
      </c>
    </row>
    <row r="68" spans="1:4" x14ac:dyDescent="0.2">
      <c r="A68" s="3" t="s">
        <v>159</v>
      </c>
      <c r="B68" s="3" t="s">
        <v>1</v>
      </c>
      <c r="C68" s="3" t="s">
        <v>17</v>
      </c>
      <c r="D68" s="3" t="s">
        <v>942</v>
      </c>
    </row>
    <row r="69" spans="1:4" x14ac:dyDescent="0.2">
      <c r="A69" s="3" t="s">
        <v>160</v>
      </c>
      <c r="B69" s="3" t="s">
        <v>1</v>
      </c>
      <c r="C69" s="3" t="s">
        <v>17</v>
      </c>
      <c r="D69" s="3" t="s">
        <v>943</v>
      </c>
    </row>
    <row r="70" spans="1:4" x14ac:dyDescent="0.2">
      <c r="A70" s="3" t="s">
        <v>235</v>
      </c>
      <c r="B70" s="3" t="s">
        <v>1</v>
      </c>
      <c r="C70" s="3" t="s">
        <v>975</v>
      </c>
      <c r="D70" s="3" t="s">
        <v>976</v>
      </c>
    </row>
    <row r="71" spans="1:4" x14ac:dyDescent="0.2">
      <c r="A71" s="3" t="s">
        <v>163</v>
      </c>
      <c r="B71" s="3" t="s">
        <v>1</v>
      </c>
      <c r="C71" s="3" t="s">
        <v>17</v>
      </c>
      <c r="D71" s="3" t="s">
        <v>948</v>
      </c>
    </row>
    <row r="72" spans="1:4" x14ac:dyDescent="0.2">
      <c r="A72" s="3" t="s">
        <v>274</v>
      </c>
      <c r="B72" s="3" t="s">
        <v>1</v>
      </c>
      <c r="C72" s="3" t="s">
        <v>17</v>
      </c>
      <c r="D72" s="3" t="s">
        <v>948</v>
      </c>
    </row>
    <row r="73" spans="1:4" x14ac:dyDescent="0.2">
      <c r="A73" s="3" t="s">
        <v>317</v>
      </c>
      <c r="B73" s="3" t="s">
        <v>1</v>
      </c>
      <c r="C73" s="3" t="s">
        <v>17</v>
      </c>
      <c r="D73" s="3" t="s">
        <v>948</v>
      </c>
    </row>
    <row r="74" spans="1:4" x14ac:dyDescent="0.2">
      <c r="A74" s="3" t="s">
        <v>161</v>
      </c>
      <c r="B74" s="3" t="s">
        <v>1</v>
      </c>
      <c r="C74" s="3" t="s">
        <v>17</v>
      </c>
      <c r="D74" s="3" t="s">
        <v>947</v>
      </c>
    </row>
    <row r="75" spans="1:4" x14ac:dyDescent="0.2">
      <c r="A75" s="3" t="s">
        <v>162</v>
      </c>
      <c r="B75" s="3" t="s">
        <v>1</v>
      </c>
      <c r="C75" s="3" t="s">
        <v>17</v>
      </c>
      <c r="D75" s="3" t="s">
        <v>947</v>
      </c>
    </row>
    <row r="76" spans="1:4" x14ac:dyDescent="0.2">
      <c r="A76" s="3" t="s">
        <v>401</v>
      </c>
      <c r="B76" s="3" t="s">
        <v>950</v>
      </c>
      <c r="C76" s="3" t="s">
        <v>17</v>
      </c>
      <c r="D76" s="3" t="s">
        <v>951</v>
      </c>
    </row>
    <row r="77" spans="1:4" x14ac:dyDescent="0.2">
      <c r="A77" s="3" t="s">
        <v>402</v>
      </c>
      <c r="B77" s="3" t="s">
        <v>950</v>
      </c>
      <c r="C77" s="3" t="s">
        <v>17</v>
      </c>
      <c r="D77" s="3" t="s">
        <v>951</v>
      </c>
    </row>
    <row r="78" spans="1:4" x14ac:dyDescent="0.2">
      <c r="A78" s="3" t="s">
        <v>105</v>
      </c>
      <c r="B78" s="3" t="s">
        <v>27</v>
      </c>
      <c r="C78" s="3" t="s">
        <v>952</v>
      </c>
      <c r="D78" s="3" t="s">
        <v>953</v>
      </c>
    </row>
    <row r="79" spans="1:4" x14ac:dyDescent="0.2">
      <c r="A79" s="3" t="s">
        <v>114</v>
      </c>
      <c r="B79" s="3" t="s">
        <v>27</v>
      </c>
      <c r="C79" s="3" t="s">
        <v>952</v>
      </c>
      <c r="D79" s="3" t="s">
        <v>953</v>
      </c>
    </row>
    <row r="80" spans="1:4" x14ac:dyDescent="0.2">
      <c r="A80" s="3" t="s">
        <v>182</v>
      </c>
      <c r="B80" s="3" t="s">
        <v>1</v>
      </c>
      <c r="C80" s="3" t="s">
        <v>19</v>
      </c>
      <c r="D80" s="3" t="s">
        <v>957</v>
      </c>
    </row>
    <row r="81" spans="1:4" x14ac:dyDescent="0.2">
      <c r="A81" s="3" t="s">
        <v>183</v>
      </c>
      <c r="B81" s="3" t="s">
        <v>1</v>
      </c>
      <c r="C81" s="3" t="s">
        <v>19</v>
      </c>
      <c r="D81" s="3" t="s">
        <v>957</v>
      </c>
    </row>
    <row r="82" spans="1:4" x14ac:dyDescent="0.2">
      <c r="A82" s="3" t="s">
        <v>181</v>
      </c>
      <c r="B82" s="3" t="s">
        <v>1</v>
      </c>
      <c r="C82" s="3" t="s">
        <v>29</v>
      </c>
      <c r="D82" s="3" t="s">
        <v>956</v>
      </c>
    </row>
    <row r="83" spans="1:4" x14ac:dyDescent="0.2">
      <c r="A83" s="3" t="s">
        <v>142</v>
      </c>
      <c r="B83" s="3" t="s">
        <v>1</v>
      </c>
      <c r="C83" s="3" t="s">
        <v>29</v>
      </c>
      <c r="D83" s="3" t="s">
        <v>933</v>
      </c>
    </row>
    <row r="84" spans="1:4" x14ac:dyDescent="0.2">
      <c r="A84" s="3" t="s">
        <v>143</v>
      </c>
      <c r="B84" s="3" t="s">
        <v>1</v>
      </c>
      <c r="C84" s="3" t="s">
        <v>29</v>
      </c>
      <c r="D84" s="3" t="s">
        <v>933</v>
      </c>
    </row>
    <row r="85" spans="1:4" x14ac:dyDescent="0.2">
      <c r="A85" s="3" t="s">
        <v>144</v>
      </c>
      <c r="B85" s="3" t="s">
        <v>1</v>
      </c>
      <c r="C85" s="3" t="s">
        <v>29</v>
      </c>
      <c r="D85" s="3" t="s">
        <v>933</v>
      </c>
    </row>
    <row r="86" spans="1:4" x14ac:dyDescent="0.2">
      <c r="A86" s="3" t="s">
        <v>145</v>
      </c>
      <c r="B86" s="3" t="s">
        <v>1</v>
      </c>
      <c r="C86" s="3" t="s">
        <v>29</v>
      </c>
      <c r="D86" s="3" t="s">
        <v>933</v>
      </c>
    </row>
    <row r="87" spans="1:4" x14ac:dyDescent="0.2">
      <c r="A87" s="3" t="s">
        <v>168</v>
      </c>
      <c r="B87" s="3" t="s">
        <v>1</v>
      </c>
      <c r="C87" s="3" t="s">
        <v>29</v>
      </c>
      <c r="D87" s="3" t="s">
        <v>933</v>
      </c>
    </row>
    <row r="88" spans="1:4" x14ac:dyDescent="0.2">
      <c r="A88" s="3" t="s">
        <v>169</v>
      </c>
      <c r="B88" s="3" t="s">
        <v>1</v>
      </c>
      <c r="C88" s="3" t="s">
        <v>29</v>
      </c>
      <c r="D88" s="3" t="s">
        <v>933</v>
      </c>
    </row>
    <row r="89" spans="1:4" x14ac:dyDescent="0.2">
      <c r="A89" s="3" t="s">
        <v>170</v>
      </c>
      <c r="B89" s="3" t="s">
        <v>1</v>
      </c>
      <c r="C89" s="3" t="s">
        <v>29</v>
      </c>
      <c r="D89" s="3" t="s">
        <v>933</v>
      </c>
    </row>
    <row r="90" spans="1:4" x14ac:dyDescent="0.2">
      <c r="A90" s="3" t="s">
        <v>171</v>
      </c>
      <c r="B90" s="3" t="s">
        <v>1</v>
      </c>
      <c r="C90" s="3" t="s">
        <v>29</v>
      </c>
      <c r="D90" s="3" t="s">
        <v>933</v>
      </c>
    </row>
    <row r="91" spans="1:4" x14ac:dyDescent="0.2">
      <c r="A91" s="3" t="s">
        <v>172</v>
      </c>
      <c r="B91" s="3" t="s">
        <v>1</v>
      </c>
      <c r="C91" s="3" t="s">
        <v>29</v>
      </c>
      <c r="D91" s="3" t="s">
        <v>933</v>
      </c>
    </row>
    <row r="92" spans="1:4" x14ac:dyDescent="0.2">
      <c r="A92" s="3" t="s">
        <v>173</v>
      </c>
      <c r="B92" s="3" t="s">
        <v>1</v>
      </c>
      <c r="C92" s="3" t="s">
        <v>29</v>
      </c>
      <c r="D92" s="3" t="s">
        <v>933</v>
      </c>
    </row>
    <row r="93" spans="1:4" x14ac:dyDescent="0.2">
      <c r="A93" s="3" t="s">
        <v>174</v>
      </c>
      <c r="B93" s="3" t="s">
        <v>1</v>
      </c>
      <c r="C93" s="3" t="s">
        <v>29</v>
      </c>
      <c r="D93" s="3" t="s">
        <v>933</v>
      </c>
    </row>
    <row r="94" spans="1:4" x14ac:dyDescent="0.2">
      <c r="A94" s="3" t="s">
        <v>175</v>
      </c>
      <c r="B94" s="3" t="s">
        <v>1</v>
      </c>
      <c r="C94" s="3" t="s">
        <v>29</v>
      </c>
      <c r="D94" s="3" t="s">
        <v>933</v>
      </c>
    </row>
    <row r="95" spans="1:4" x14ac:dyDescent="0.2">
      <c r="A95" s="3" t="s">
        <v>176</v>
      </c>
      <c r="B95" s="3" t="s">
        <v>1</v>
      </c>
      <c r="C95" s="3" t="s">
        <v>29</v>
      </c>
      <c r="D95" s="3" t="s">
        <v>933</v>
      </c>
    </row>
    <row r="96" spans="1:4" x14ac:dyDescent="0.2">
      <c r="A96" s="3" t="s">
        <v>177</v>
      </c>
      <c r="B96" s="3" t="s">
        <v>1</v>
      </c>
      <c r="C96" s="3" t="s">
        <v>29</v>
      </c>
      <c r="D96" s="3" t="s">
        <v>933</v>
      </c>
    </row>
    <row r="97" spans="1:4" x14ac:dyDescent="0.2">
      <c r="A97" s="3" t="s">
        <v>178</v>
      </c>
      <c r="B97" s="3" t="s">
        <v>1</v>
      </c>
      <c r="C97" s="3" t="s">
        <v>29</v>
      </c>
      <c r="D97" s="3" t="s">
        <v>933</v>
      </c>
    </row>
    <row r="98" spans="1:4" x14ac:dyDescent="0.2">
      <c r="A98" s="3" t="s">
        <v>184</v>
      </c>
      <c r="B98" s="3" t="s">
        <v>1</v>
      </c>
      <c r="C98" s="3" t="s">
        <v>29</v>
      </c>
      <c r="D98" s="3" t="s">
        <v>933</v>
      </c>
    </row>
    <row r="99" spans="1:4" x14ac:dyDescent="0.2">
      <c r="A99" s="3" t="s">
        <v>185</v>
      </c>
      <c r="B99" s="3" t="s">
        <v>1</v>
      </c>
      <c r="C99" s="3" t="s">
        <v>29</v>
      </c>
      <c r="D99" s="3" t="s">
        <v>933</v>
      </c>
    </row>
    <row r="100" spans="1:4" x14ac:dyDescent="0.2">
      <c r="A100" s="3" t="s">
        <v>186</v>
      </c>
      <c r="B100" s="3" t="s">
        <v>1</v>
      </c>
      <c r="C100" s="3" t="s">
        <v>29</v>
      </c>
      <c r="D100" s="3" t="s">
        <v>933</v>
      </c>
    </row>
    <row r="101" spans="1:4" x14ac:dyDescent="0.2">
      <c r="A101" s="3" t="s">
        <v>187</v>
      </c>
      <c r="B101" s="3" t="s">
        <v>1</v>
      </c>
      <c r="C101" s="3" t="s">
        <v>29</v>
      </c>
      <c r="D101" s="3" t="s">
        <v>933</v>
      </c>
    </row>
    <row r="102" spans="1:4" x14ac:dyDescent="0.2">
      <c r="A102" s="3" t="s">
        <v>1031</v>
      </c>
      <c r="B102" s="3" t="s">
        <v>1</v>
      </c>
      <c r="C102" s="3" t="s">
        <v>29</v>
      </c>
      <c r="D102" s="3" t="s">
        <v>933</v>
      </c>
    </row>
    <row r="103" spans="1:4" x14ac:dyDescent="0.2">
      <c r="A103" s="3" t="s">
        <v>188</v>
      </c>
      <c r="B103" s="3" t="s">
        <v>1</v>
      </c>
      <c r="C103" s="3" t="s">
        <v>29</v>
      </c>
      <c r="D103" s="3" t="s">
        <v>933</v>
      </c>
    </row>
    <row r="104" spans="1:4" x14ac:dyDescent="0.2">
      <c r="A104" s="3" t="s">
        <v>189</v>
      </c>
      <c r="B104" s="3" t="s">
        <v>1</v>
      </c>
      <c r="C104" s="3" t="s">
        <v>29</v>
      </c>
      <c r="D104" s="3" t="s">
        <v>933</v>
      </c>
    </row>
    <row r="105" spans="1:4" x14ac:dyDescent="0.2">
      <c r="A105" s="3" t="s">
        <v>42</v>
      </c>
      <c r="B105" s="3" t="s">
        <v>1</v>
      </c>
      <c r="C105" s="3" t="s">
        <v>17</v>
      </c>
      <c r="D105" s="3" t="s">
        <v>933</v>
      </c>
    </row>
    <row r="106" spans="1:4" x14ac:dyDescent="0.2">
      <c r="A106" s="3" t="s">
        <v>1524</v>
      </c>
      <c r="B106" s="3" t="s">
        <v>1</v>
      </c>
      <c r="C106" s="3" t="s">
        <v>17</v>
      </c>
      <c r="D106" s="3" t="s">
        <v>933</v>
      </c>
    </row>
    <row r="107" spans="1:4" x14ac:dyDescent="0.2">
      <c r="A107" s="3" t="s">
        <v>400</v>
      </c>
      <c r="B107" s="3" t="s">
        <v>1</v>
      </c>
      <c r="C107" s="3" t="s">
        <v>29</v>
      </c>
      <c r="D107" s="3" t="s">
        <v>933</v>
      </c>
    </row>
    <row r="108" spans="1:4" x14ac:dyDescent="0.2">
      <c r="A108" s="3" t="s">
        <v>167</v>
      </c>
      <c r="B108" s="3" t="s">
        <v>1</v>
      </c>
      <c r="C108" s="3" t="s">
        <v>17</v>
      </c>
      <c r="D108" s="3" t="s">
        <v>954</v>
      </c>
    </row>
    <row r="109" spans="1:4" x14ac:dyDescent="0.2">
      <c r="A109" s="3" t="s">
        <v>208</v>
      </c>
      <c r="B109" s="3" t="s">
        <v>1</v>
      </c>
      <c r="C109" s="3" t="s">
        <v>17</v>
      </c>
      <c r="D109" s="3" t="s">
        <v>954</v>
      </c>
    </row>
    <row r="110" spans="1:4" x14ac:dyDescent="0.2">
      <c r="A110" s="3" t="s">
        <v>197</v>
      </c>
      <c r="B110" s="3" t="s">
        <v>1</v>
      </c>
      <c r="C110" s="3" t="s">
        <v>945</v>
      </c>
      <c r="D110" s="3" t="s">
        <v>961</v>
      </c>
    </row>
    <row r="111" spans="1:4" x14ac:dyDescent="0.2">
      <c r="A111" s="3" t="s">
        <v>212</v>
      </c>
      <c r="B111" s="3" t="s">
        <v>1</v>
      </c>
      <c r="C111" s="3" t="s">
        <v>945</v>
      </c>
      <c r="D111" s="3" t="s">
        <v>961</v>
      </c>
    </row>
    <row r="112" spans="1:4" x14ac:dyDescent="0.2">
      <c r="A112" s="3" t="s">
        <v>214</v>
      </c>
      <c r="B112" s="3" t="s">
        <v>1</v>
      </c>
      <c r="C112" s="3" t="s">
        <v>945</v>
      </c>
      <c r="D112" s="3" t="s">
        <v>961</v>
      </c>
    </row>
    <row r="113" spans="1:4" x14ac:dyDescent="0.2">
      <c r="A113" s="3" t="s">
        <v>215</v>
      </c>
      <c r="B113" s="3" t="s">
        <v>1</v>
      </c>
      <c r="C113" s="3" t="s">
        <v>945</v>
      </c>
      <c r="D113" s="3" t="s">
        <v>961</v>
      </c>
    </row>
    <row r="114" spans="1:4" x14ac:dyDescent="0.2">
      <c r="A114" s="3" t="s">
        <v>216</v>
      </c>
      <c r="B114" s="3" t="s">
        <v>1</v>
      </c>
      <c r="C114" s="3" t="s">
        <v>945</v>
      </c>
      <c r="D114" s="3" t="s">
        <v>961</v>
      </c>
    </row>
    <row r="115" spans="1:4" x14ac:dyDescent="0.2">
      <c r="A115" s="3" t="s">
        <v>217</v>
      </c>
      <c r="B115" s="3" t="s">
        <v>1</v>
      </c>
      <c r="C115" s="3" t="s">
        <v>945</v>
      </c>
      <c r="D115" s="3" t="s">
        <v>961</v>
      </c>
    </row>
    <row r="116" spans="1:4" x14ac:dyDescent="0.2">
      <c r="A116" s="3" t="s">
        <v>218</v>
      </c>
      <c r="B116" s="3" t="s">
        <v>1</v>
      </c>
      <c r="C116" s="3" t="s">
        <v>945</v>
      </c>
      <c r="D116" s="3" t="s">
        <v>961</v>
      </c>
    </row>
    <row r="117" spans="1:4" x14ac:dyDescent="0.2">
      <c r="A117" s="3" t="s">
        <v>219</v>
      </c>
      <c r="B117" s="3" t="s">
        <v>1</v>
      </c>
      <c r="C117" s="3" t="s">
        <v>945</v>
      </c>
      <c r="D117" s="3" t="s">
        <v>961</v>
      </c>
    </row>
    <row r="118" spans="1:4" x14ac:dyDescent="0.2">
      <c r="A118" s="3" t="s">
        <v>220</v>
      </c>
      <c r="B118" s="3" t="s">
        <v>1</v>
      </c>
      <c r="C118" s="3" t="s">
        <v>945</v>
      </c>
      <c r="D118" s="3" t="s">
        <v>961</v>
      </c>
    </row>
    <row r="119" spans="1:4" x14ac:dyDescent="0.2">
      <c r="A119" s="3" t="s">
        <v>221</v>
      </c>
      <c r="B119" s="3" t="s">
        <v>1</v>
      </c>
      <c r="C119" s="3" t="s">
        <v>945</v>
      </c>
      <c r="D119" s="3" t="s">
        <v>961</v>
      </c>
    </row>
    <row r="120" spans="1:4" x14ac:dyDescent="0.2">
      <c r="A120" s="3" t="s">
        <v>222</v>
      </c>
      <c r="B120" s="3" t="s">
        <v>1</v>
      </c>
      <c r="C120" s="3" t="s">
        <v>945</v>
      </c>
      <c r="D120" s="3" t="s">
        <v>961</v>
      </c>
    </row>
    <row r="121" spans="1:4" x14ac:dyDescent="0.2">
      <c r="A121" s="3" t="s">
        <v>223</v>
      </c>
      <c r="B121" s="3" t="s">
        <v>1</v>
      </c>
      <c r="C121" s="3" t="s">
        <v>945</v>
      </c>
      <c r="D121" s="3" t="s">
        <v>961</v>
      </c>
    </row>
    <row r="122" spans="1:4" x14ac:dyDescent="0.2">
      <c r="A122" s="3" t="s">
        <v>224</v>
      </c>
      <c r="B122" s="3" t="s">
        <v>1</v>
      </c>
      <c r="C122" s="3" t="s">
        <v>945</v>
      </c>
      <c r="D122" s="3" t="s">
        <v>961</v>
      </c>
    </row>
    <row r="123" spans="1:4" x14ac:dyDescent="0.2">
      <c r="A123" s="3" t="s">
        <v>225</v>
      </c>
      <c r="B123" s="3" t="s">
        <v>1</v>
      </c>
      <c r="C123" s="3" t="s">
        <v>945</v>
      </c>
      <c r="D123" s="3" t="s">
        <v>961</v>
      </c>
    </row>
    <row r="124" spans="1:4" x14ac:dyDescent="0.2">
      <c r="A124" s="3" t="s">
        <v>226</v>
      </c>
      <c r="B124" s="3" t="s">
        <v>1</v>
      </c>
      <c r="C124" s="3" t="s">
        <v>945</v>
      </c>
      <c r="D124" s="3" t="s">
        <v>961</v>
      </c>
    </row>
    <row r="125" spans="1:4" x14ac:dyDescent="0.2">
      <c r="A125" s="3" t="s">
        <v>227</v>
      </c>
      <c r="B125" s="3" t="s">
        <v>1</v>
      </c>
      <c r="C125" s="3" t="s">
        <v>945</v>
      </c>
      <c r="D125" s="3" t="s">
        <v>961</v>
      </c>
    </row>
    <row r="126" spans="1:4" x14ac:dyDescent="0.2">
      <c r="A126" s="3" t="s">
        <v>228</v>
      </c>
      <c r="B126" s="3" t="s">
        <v>1</v>
      </c>
      <c r="C126" s="3" t="s">
        <v>945</v>
      </c>
      <c r="D126" s="3" t="s">
        <v>961</v>
      </c>
    </row>
    <row r="127" spans="1:4" x14ac:dyDescent="0.2">
      <c r="A127" s="3" t="s">
        <v>229</v>
      </c>
      <c r="B127" s="3" t="s">
        <v>1</v>
      </c>
      <c r="C127" s="3" t="s">
        <v>945</v>
      </c>
      <c r="D127" s="3" t="s">
        <v>961</v>
      </c>
    </row>
    <row r="128" spans="1:4" x14ac:dyDescent="0.2">
      <c r="A128" s="3" t="s">
        <v>230</v>
      </c>
      <c r="B128" s="3" t="s">
        <v>1</v>
      </c>
      <c r="C128" s="3" t="s">
        <v>945</v>
      </c>
      <c r="D128" s="3" t="s">
        <v>961</v>
      </c>
    </row>
    <row r="129" spans="1:4" x14ac:dyDescent="0.2">
      <c r="A129" s="3" t="s">
        <v>231</v>
      </c>
      <c r="B129" s="3" t="s">
        <v>1</v>
      </c>
      <c r="C129" s="3" t="s">
        <v>945</v>
      </c>
      <c r="D129" s="3" t="s">
        <v>961</v>
      </c>
    </row>
    <row r="130" spans="1:4" x14ac:dyDescent="0.2">
      <c r="A130" s="3" t="s">
        <v>232</v>
      </c>
      <c r="B130" s="3" t="s">
        <v>1</v>
      </c>
      <c r="C130" s="3" t="s">
        <v>945</v>
      </c>
      <c r="D130" s="3" t="s">
        <v>961</v>
      </c>
    </row>
    <row r="131" spans="1:4" x14ac:dyDescent="0.2">
      <c r="A131" s="3" t="s">
        <v>233</v>
      </c>
      <c r="B131" s="3" t="s">
        <v>1</v>
      </c>
      <c r="C131" s="3" t="s">
        <v>945</v>
      </c>
      <c r="D131" s="3" t="s">
        <v>961</v>
      </c>
    </row>
    <row r="132" spans="1:4" x14ac:dyDescent="0.2">
      <c r="A132" s="3" t="s">
        <v>234</v>
      </c>
      <c r="B132" s="3" t="s">
        <v>1</v>
      </c>
      <c r="C132" s="3" t="s">
        <v>945</v>
      </c>
      <c r="D132" s="3" t="s">
        <v>961</v>
      </c>
    </row>
    <row r="133" spans="1:4" x14ac:dyDescent="0.2">
      <c r="A133" s="3" t="s">
        <v>237</v>
      </c>
      <c r="B133" s="3" t="s">
        <v>1</v>
      </c>
      <c r="C133" s="3" t="s">
        <v>945</v>
      </c>
      <c r="D133" s="3" t="s">
        <v>961</v>
      </c>
    </row>
    <row r="134" spans="1:4" x14ac:dyDescent="0.2">
      <c r="A134" s="3" t="s">
        <v>238</v>
      </c>
      <c r="B134" s="3" t="s">
        <v>1</v>
      </c>
      <c r="C134" s="3" t="s">
        <v>945</v>
      </c>
      <c r="D134" s="3" t="s">
        <v>961</v>
      </c>
    </row>
    <row r="135" spans="1:4" x14ac:dyDescent="0.2">
      <c r="A135" s="3" t="s">
        <v>239</v>
      </c>
      <c r="B135" s="3" t="s">
        <v>1</v>
      </c>
      <c r="C135" s="3" t="s">
        <v>945</v>
      </c>
      <c r="D135" s="3" t="s">
        <v>961</v>
      </c>
    </row>
    <row r="136" spans="1:4" x14ac:dyDescent="0.2">
      <c r="A136" s="3" t="s">
        <v>240</v>
      </c>
      <c r="B136" s="3" t="s">
        <v>1</v>
      </c>
      <c r="C136" s="3" t="s">
        <v>945</v>
      </c>
      <c r="D136" s="3" t="s">
        <v>961</v>
      </c>
    </row>
    <row r="137" spans="1:4" x14ac:dyDescent="0.2">
      <c r="A137" s="3" t="s">
        <v>242</v>
      </c>
      <c r="B137" s="3" t="s">
        <v>1</v>
      </c>
      <c r="C137" s="3" t="s">
        <v>945</v>
      </c>
      <c r="D137" s="3" t="s">
        <v>961</v>
      </c>
    </row>
    <row r="138" spans="1:4" x14ac:dyDescent="0.2">
      <c r="A138" s="3" t="s">
        <v>243</v>
      </c>
      <c r="B138" s="3" t="s">
        <v>1</v>
      </c>
      <c r="C138" s="3" t="s">
        <v>945</v>
      </c>
      <c r="D138" s="3" t="s">
        <v>961</v>
      </c>
    </row>
    <row r="139" spans="1:4" x14ac:dyDescent="0.2">
      <c r="A139" s="3" t="s">
        <v>244</v>
      </c>
      <c r="B139" s="3" t="s">
        <v>1</v>
      </c>
      <c r="C139" s="3" t="s">
        <v>945</v>
      </c>
      <c r="D139" s="3" t="s">
        <v>961</v>
      </c>
    </row>
    <row r="140" spans="1:4" x14ac:dyDescent="0.2">
      <c r="A140" s="3" t="s">
        <v>245</v>
      </c>
      <c r="B140" s="3" t="s">
        <v>1</v>
      </c>
      <c r="C140" s="3" t="s">
        <v>945</v>
      </c>
      <c r="D140" s="3" t="s">
        <v>961</v>
      </c>
    </row>
    <row r="141" spans="1:4" x14ac:dyDescent="0.2">
      <c r="A141" s="3" t="s">
        <v>246</v>
      </c>
      <c r="B141" s="3" t="s">
        <v>1</v>
      </c>
      <c r="C141" s="3" t="s">
        <v>945</v>
      </c>
      <c r="D141" s="3" t="s">
        <v>961</v>
      </c>
    </row>
    <row r="142" spans="1:4" x14ac:dyDescent="0.2">
      <c r="A142" s="3" t="s">
        <v>247</v>
      </c>
      <c r="B142" s="3" t="s">
        <v>1</v>
      </c>
      <c r="C142" s="3" t="s">
        <v>945</v>
      </c>
      <c r="D142" s="3" t="s">
        <v>961</v>
      </c>
    </row>
    <row r="143" spans="1:4" x14ac:dyDescent="0.2">
      <c r="A143" s="3" t="s">
        <v>248</v>
      </c>
      <c r="B143" s="3" t="s">
        <v>1</v>
      </c>
      <c r="C143" s="3" t="s">
        <v>945</v>
      </c>
      <c r="D143" s="3" t="s">
        <v>961</v>
      </c>
    </row>
    <row r="144" spans="1:4" x14ac:dyDescent="0.2">
      <c r="A144" s="3" t="s">
        <v>249</v>
      </c>
      <c r="B144" s="3" t="s">
        <v>1</v>
      </c>
      <c r="C144" s="3" t="s">
        <v>945</v>
      </c>
      <c r="D144" s="3" t="s">
        <v>961</v>
      </c>
    </row>
    <row r="145" spans="1:4" x14ac:dyDescent="0.2">
      <c r="A145" s="3" t="s">
        <v>250</v>
      </c>
      <c r="B145" s="3" t="s">
        <v>1</v>
      </c>
      <c r="C145" s="3" t="s">
        <v>945</v>
      </c>
      <c r="D145" s="3" t="s">
        <v>961</v>
      </c>
    </row>
    <row r="146" spans="1:4" x14ac:dyDescent="0.2">
      <c r="A146" s="3" t="s">
        <v>251</v>
      </c>
      <c r="B146" s="3" t="s">
        <v>1</v>
      </c>
      <c r="C146" s="3" t="s">
        <v>945</v>
      </c>
      <c r="D146" s="3" t="s">
        <v>961</v>
      </c>
    </row>
    <row r="147" spans="1:4" x14ac:dyDescent="0.2">
      <c r="A147" s="3" t="s">
        <v>252</v>
      </c>
      <c r="B147" s="3" t="s">
        <v>1</v>
      </c>
      <c r="C147" s="3" t="s">
        <v>945</v>
      </c>
      <c r="D147" s="3" t="s">
        <v>961</v>
      </c>
    </row>
    <row r="148" spans="1:4" x14ac:dyDescent="0.2">
      <c r="A148" s="3" t="s">
        <v>253</v>
      </c>
      <c r="B148" s="3" t="s">
        <v>1</v>
      </c>
      <c r="C148" s="3" t="s">
        <v>945</v>
      </c>
      <c r="D148" s="3" t="s">
        <v>961</v>
      </c>
    </row>
    <row r="149" spans="1:4" x14ac:dyDescent="0.2">
      <c r="A149" s="3" t="s">
        <v>254</v>
      </c>
      <c r="B149" s="3" t="s">
        <v>1</v>
      </c>
      <c r="C149" s="3" t="s">
        <v>945</v>
      </c>
      <c r="D149" s="3" t="s">
        <v>961</v>
      </c>
    </row>
    <row r="150" spans="1:4" x14ac:dyDescent="0.2">
      <c r="A150" s="3" t="s">
        <v>255</v>
      </c>
      <c r="B150" s="3" t="s">
        <v>1</v>
      </c>
      <c r="C150" s="3" t="s">
        <v>945</v>
      </c>
      <c r="D150" s="3" t="s">
        <v>961</v>
      </c>
    </row>
    <row r="151" spans="1:4" x14ac:dyDescent="0.2">
      <c r="A151" s="3" t="s">
        <v>256</v>
      </c>
      <c r="B151" s="3" t="s">
        <v>1</v>
      </c>
      <c r="C151" s="3" t="s">
        <v>945</v>
      </c>
      <c r="D151" s="3" t="s">
        <v>961</v>
      </c>
    </row>
    <row r="152" spans="1:4" x14ac:dyDescent="0.2">
      <c r="A152" s="3" t="s">
        <v>257</v>
      </c>
      <c r="B152" s="3" t="s">
        <v>1</v>
      </c>
      <c r="C152" s="3" t="s">
        <v>945</v>
      </c>
      <c r="D152" s="3" t="s">
        <v>961</v>
      </c>
    </row>
    <row r="153" spans="1:4" x14ac:dyDescent="0.2">
      <c r="A153" s="3" t="s">
        <v>259</v>
      </c>
      <c r="B153" s="3" t="s">
        <v>1</v>
      </c>
      <c r="C153" s="3" t="s">
        <v>945</v>
      </c>
      <c r="D153" s="3" t="s">
        <v>961</v>
      </c>
    </row>
    <row r="154" spans="1:4" x14ac:dyDescent="0.2">
      <c r="A154" s="3" t="s">
        <v>260</v>
      </c>
      <c r="B154" s="3" t="s">
        <v>1</v>
      </c>
      <c r="C154" s="3" t="s">
        <v>945</v>
      </c>
      <c r="D154" s="3" t="s">
        <v>961</v>
      </c>
    </row>
    <row r="155" spans="1:4" x14ac:dyDescent="0.2">
      <c r="A155" s="3" t="s">
        <v>262</v>
      </c>
      <c r="B155" s="3" t="s">
        <v>1</v>
      </c>
      <c r="C155" s="3" t="s">
        <v>945</v>
      </c>
      <c r="D155" s="3" t="s">
        <v>961</v>
      </c>
    </row>
    <row r="156" spans="1:4" x14ac:dyDescent="0.2">
      <c r="A156" s="3" t="s">
        <v>263</v>
      </c>
      <c r="B156" s="3" t="s">
        <v>1</v>
      </c>
      <c r="C156" s="3" t="s">
        <v>945</v>
      </c>
      <c r="D156" s="3" t="s">
        <v>961</v>
      </c>
    </row>
    <row r="157" spans="1:4" x14ac:dyDescent="0.2">
      <c r="A157" s="3" t="s">
        <v>264</v>
      </c>
      <c r="B157" s="3" t="s">
        <v>1</v>
      </c>
      <c r="C157" s="3" t="s">
        <v>945</v>
      </c>
      <c r="D157" s="3" t="s">
        <v>961</v>
      </c>
    </row>
    <row r="158" spans="1:4" x14ac:dyDescent="0.2">
      <c r="A158" s="3" t="s">
        <v>265</v>
      </c>
      <c r="B158" s="3" t="s">
        <v>1</v>
      </c>
      <c r="C158" s="3" t="s">
        <v>945</v>
      </c>
      <c r="D158" s="3" t="s">
        <v>961</v>
      </c>
    </row>
    <row r="159" spans="1:4" x14ac:dyDescent="0.2">
      <c r="A159" s="3" t="s">
        <v>266</v>
      </c>
      <c r="B159" s="3" t="s">
        <v>1</v>
      </c>
      <c r="C159" s="3" t="s">
        <v>945</v>
      </c>
      <c r="D159" s="3" t="s">
        <v>961</v>
      </c>
    </row>
    <row r="160" spans="1:4" x14ac:dyDescent="0.2">
      <c r="A160" s="3" t="s">
        <v>267</v>
      </c>
      <c r="B160" s="3" t="s">
        <v>1</v>
      </c>
      <c r="C160" s="3" t="s">
        <v>945</v>
      </c>
      <c r="D160" s="3" t="s">
        <v>961</v>
      </c>
    </row>
    <row r="161" spans="1:4" x14ac:dyDescent="0.2">
      <c r="A161" s="3" t="s">
        <v>268</v>
      </c>
      <c r="B161" s="3" t="s">
        <v>1</v>
      </c>
      <c r="C161" s="3" t="s">
        <v>945</v>
      </c>
      <c r="D161" s="3" t="s">
        <v>961</v>
      </c>
    </row>
    <row r="162" spans="1:4" x14ac:dyDescent="0.2">
      <c r="A162" s="3" t="s">
        <v>269</v>
      </c>
      <c r="B162" s="3" t="s">
        <v>1</v>
      </c>
      <c r="C162" s="3" t="s">
        <v>945</v>
      </c>
      <c r="D162" s="3" t="s">
        <v>961</v>
      </c>
    </row>
    <row r="163" spans="1:4" x14ac:dyDescent="0.2">
      <c r="A163" s="3" t="s">
        <v>270</v>
      </c>
      <c r="B163" s="3" t="s">
        <v>1</v>
      </c>
      <c r="C163" s="3" t="s">
        <v>945</v>
      </c>
      <c r="D163" s="3" t="s">
        <v>961</v>
      </c>
    </row>
    <row r="164" spans="1:4" x14ac:dyDescent="0.2">
      <c r="A164" s="3" t="s">
        <v>271</v>
      </c>
      <c r="B164" s="3" t="s">
        <v>1</v>
      </c>
      <c r="C164" s="3" t="s">
        <v>945</v>
      </c>
      <c r="D164" s="3" t="s">
        <v>961</v>
      </c>
    </row>
    <row r="165" spans="1:4" x14ac:dyDescent="0.2">
      <c r="A165" s="3" t="s">
        <v>272</v>
      </c>
      <c r="B165" s="3" t="s">
        <v>1</v>
      </c>
      <c r="C165" s="3" t="s">
        <v>945</v>
      </c>
      <c r="D165" s="3" t="s">
        <v>961</v>
      </c>
    </row>
    <row r="166" spans="1:4" x14ac:dyDescent="0.2">
      <c r="A166" s="3" t="s">
        <v>273</v>
      </c>
      <c r="B166" s="3" t="s">
        <v>1</v>
      </c>
      <c r="C166" s="3" t="s">
        <v>945</v>
      </c>
      <c r="D166" s="3" t="s">
        <v>961</v>
      </c>
    </row>
    <row r="167" spans="1:4" x14ac:dyDescent="0.2">
      <c r="A167" s="3" t="s">
        <v>283</v>
      </c>
      <c r="B167" s="3" t="s">
        <v>1</v>
      </c>
      <c r="C167" s="3" t="s">
        <v>945</v>
      </c>
      <c r="D167" s="3" t="s">
        <v>961</v>
      </c>
    </row>
    <row r="168" spans="1:4" x14ac:dyDescent="0.2">
      <c r="A168" s="3" t="s">
        <v>284</v>
      </c>
      <c r="B168" s="3" t="s">
        <v>1</v>
      </c>
      <c r="C168" s="3" t="s">
        <v>945</v>
      </c>
      <c r="D168" s="3" t="s">
        <v>961</v>
      </c>
    </row>
    <row r="169" spans="1:4" x14ac:dyDescent="0.2">
      <c r="A169" s="3" t="s">
        <v>285</v>
      </c>
      <c r="B169" s="3" t="s">
        <v>1</v>
      </c>
      <c r="C169" s="3" t="s">
        <v>945</v>
      </c>
      <c r="D169" s="3" t="s">
        <v>961</v>
      </c>
    </row>
    <row r="170" spans="1:4" x14ac:dyDescent="0.2">
      <c r="A170" s="3" t="s">
        <v>294</v>
      </c>
      <c r="B170" s="3" t="s">
        <v>1</v>
      </c>
      <c r="C170" s="3" t="s">
        <v>945</v>
      </c>
      <c r="D170" s="3" t="s">
        <v>961</v>
      </c>
    </row>
    <row r="171" spans="1:4" x14ac:dyDescent="0.2">
      <c r="A171" s="3" t="s">
        <v>295</v>
      </c>
      <c r="B171" s="3" t="s">
        <v>1</v>
      </c>
      <c r="C171" s="3" t="s">
        <v>945</v>
      </c>
      <c r="D171" s="3" t="s">
        <v>961</v>
      </c>
    </row>
    <row r="172" spans="1:4" x14ac:dyDescent="0.2">
      <c r="A172" s="3" t="s">
        <v>301</v>
      </c>
      <c r="B172" s="3" t="s">
        <v>1</v>
      </c>
      <c r="C172" s="3" t="s">
        <v>945</v>
      </c>
      <c r="D172" s="3" t="s">
        <v>961</v>
      </c>
    </row>
    <row r="173" spans="1:4" x14ac:dyDescent="0.2">
      <c r="A173" s="3" t="s">
        <v>302</v>
      </c>
      <c r="B173" s="3" t="s">
        <v>1</v>
      </c>
      <c r="C173" s="3" t="s">
        <v>945</v>
      </c>
      <c r="D173" s="3" t="s">
        <v>961</v>
      </c>
    </row>
    <row r="174" spans="1:4" x14ac:dyDescent="0.2">
      <c r="A174" s="3" t="s">
        <v>303</v>
      </c>
      <c r="B174" s="3" t="s">
        <v>1</v>
      </c>
      <c r="C174" s="3" t="s">
        <v>945</v>
      </c>
      <c r="D174" s="3" t="s">
        <v>961</v>
      </c>
    </row>
    <row r="175" spans="1:4" x14ac:dyDescent="0.2">
      <c r="A175" s="3" t="s">
        <v>304</v>
      </c>
      <c r="B175" s="3" t="s">
        <v>1</v>
      </c>
      <c r="C175" s="3" t="s">
        <v>945</v>
      </c>
      <c r="D175" s="3" t="s">
        <v>961</v>
      </c>
    </row>
    <row r="176" spans="1:4" x14ac:dyDescent="0.2">
      <c r="A176" s="3" t="s">
        <v>305</v>
      </c>
      <c r="B176" s="3" t="s">
        <v>1</v>
      </c>
      <c r="C176" s="3" t="s">
        <v>945</v>
      </c>
      <c r="D176" s="3" t="s">
        <v>961</v>
      </c>
    </row>
    <row r="177" spans="1:4" x14ac:dyDescent="0.2">
      <c r="A177" s="3" t="s">
        <v>306</v>
      </c>
      <c r="B177" s="3" t="s">
        <v>1</v>
      </c>
      <c r="C177" s="3" t="s">
        <v>945</v>
      </c>
      <c r="D177" s="3" t="s">
        <v>961</v>
      </c>
    </row>
    <row r="178" spans="1:4" x14ac:dyDescent="0.2">
      <c r="A178" s="3" t="s">
        <v>307</v>
      </c>
      <c r="B178" s="3" t="s">
        <v>1</v>
      </c>
      <c r="C178" s="3" t="s">
        <v>945</v>
      </c>
      <c r="D178" s="3" t="s">
        <v>961</v>
      </c>
    </row>
    <row r="179" spans="1:4" x14ac:dyDescent="0.2">
      <c r="A179" s="3" t="s">
        <v>308</v>
      </c>
      <c r="B179" s="3" t="s">
        <v>1</v>
      </c>
      <c r="C179" s="3" t="s">
        <v>945</v>
      </c>
      <c r="D179" s="3" t="s">
        <v>961</v>
      </c>
    </row>
    <row r="180" spans="1:4" x14ac:dyDescent="0.2">
      <c r="A180" s="3" t="s">
        <v>313</v>
      </c>
      <c r="B180" s="3" t="s">
        <v>1</v>
      </c>
      <c r="C180" s="3" t="s">
        <v>945</v>
      </c>
      <c r="D180" s="3" t="s">
        <v>961</v>
      </c>
    </row>
    <row r="181" spans="1:4" x14ac:dyDescent="0.2">
      <c r="A181" s="3" t="s">
        <v>331</v>
      </c>
      <c r="B181" s="3" t="s">
        <v>1</v>
      </c>
      <c r="C181" s="3" t="s">
        <v>945</v>
      </c>
      <c r="D181" s="3" t="s">
        <v>961</v>
      </c>
    </row>
    <row r="182" spans="1:4" x14ac:dyDescent="0.2">
      <c r="A182" s="3" t="s">
        <v>349</v>
      </c>
      <c r="B182" s="3" t="s">
        <v>1</v>
      </c>
      <c r="C182" s="3" t="s">
        <v>945</v>
      </c>
      <c r="D182" s="3" t="s">
        <v>961</v>
      </c>
    </row>
    <row r="183" spans="1:4" x14ac:dyDescent="0.2">
      <c r="A183" s="3" t="s">
        <v>350</v>
      </c>
      <c r="B183" s="3" t="s">
        <v>1</v>
      </c>
      <c r="C183" s="3" t="s">
        <v>945</v>
      </c>
      <c r="D183" s="3" t="s">
        <v>961</v>
      </c>
    </row>
    <row r="184" spans="1:4" x14ac:dyDescent="0.2">
      <c r="A184" s="3" t="s">
        <v>370</v>
      </c>
      <c r="B184" s="3" t="s">
        <v>1</v>
      </c>
      <c r="C184" s="3" t="s">
        <v>945</v>
      </c>
      <c r="D184" s="3" t="s">
        <v>961</v>
      </c>
    </row>
    <row r="185" spans="1:4" x14ac:dyDescent="0.2">
      <c r="A185" s="3" t="s">
        <v>388</v>
      </c>
      <c r="B185" s="3" t="s">
        <v>1</v>
      </c>
      <c r="C185" s="3" t="s">
        <v>945</v>
      </c>
      <c r="D185" s="3" t="s">
        <v>961</v>
      </c>
    </row>
    <row r="186" spans="1:4" x14ac:dyDescent="0.2">
      <c r="A186" s="3" t="s">
        <v>389</v>
      </c>
      <c r="B186" s="3" t="s">
        <v>1</v>
      </c>
      <c r="C186" s="3" t="s">
        <v>945</v>
      </c>
      <c r="D186" s="3" t="s">
        <v>961</v>
      </c>
    </row>
    <row r="187" spans="1:4" x14ac:dyDescent="0.2">
      <c r="A187" s="3" t="s">
        <v>390</v>
      </c>
      <c r="B187" s="3" t="s">
        <v>1</v>
      </c>
      <c r="C187" s="3" t="s">
        <v>945</v>
      </c>
      <c r="D187" s="3" t="s">
        <v>961</v>
      </c>
    </row>
    <row r="188" spans="1:4" x14ac:dyDescent="0.2">
      <c r="A188" s="3" t="s">
        <v>391</v>
      </c>
      <c r="B188" s="3" t="s">
        <v>1</v>
      </c>
      <c r="C188" s="3" t="s">
        <v>945</v>
      </c>
      <c r="D188" s="3" t="s">
        <v>961</v>
      </c>
    </row>
    <row r="189" spans="1:4" x14ac:dyDescent="0.2">
      <c r="A189" s="3" t="s">
        <v>392</v>
      </c>
      <c r="B189" s="3" t="s">
        <v>1</v>
      </c>
      <c r="C189" s="3" t="s">
        <v>945</v>
      </c>
      <c r="D189" s="3" t="s">
        <v>961</v>
      </c>
    </row>
    <row r="190" spans="1:4" x14ac:dyDescent="0.2">
      <c r="A190" s="3" t="s">
        <v>393</v>
      </c>
      <c r="B190" s="3" t="s">
        <v>1</v>
      </c>
      <c r="C190" s="3" t="s">
        <v>945</v>
      </c>
      <c r="D190" s="3" t="s">
        <v>961</v>
      </c>
    </row>
    <row r="191" spans="1:4" x14ac:dyDescent="0.2">
      <c r="A191" s="3" t="s">
        <v>108</v>
      </c>
      <c r="B191" s="3" t="s">
        <v>27</v>
      </c>
      <c r="C191" s="3" t="s">
        <v>945</v>
      </c>
      <c r="D191" s="3" t="s">
        <v>974</v>
      </c>
    </row>
    <row r="192" spans="1:4" x14ac:dyDescent="0.2">
      <c r="A192" s="3" t="s">
        <v>109</v>
      </c>
      <c r="B192" s="3" t="s">
        <v>27</v>
      </c>
      <c r="C192" s="3" t="s">
        <v>945</v>
      </c>
      <c r="D192" s="3" t="s">
        <v>974</v>
      </c>
    </row>
    <row r="193" spans="1:4" x14ac:dyDescent="0.2">
      <c r="A193" s="3" t="s">
        <v>110</v>
      </c>
      <c r="B193" s="3" t="s">
        <v>27</v>
      </c>
      <c r="C193" s="3" t="s">
        <v>945</v>
      </c>
      <c r="D193" s="3" t="s">
        <v>974</v>
      </c>
    </row>
    <row r="194" spans="1:4" x14ac:dyDescent="0.2">
      <c r="A194" s="3" t="s">
        <v>111</v>
      </c>
      <c r="B194" s="3" t="s">
        <v>27</v>
      </c>
      <c r="C194" s="3" t="s">
        <v>945</v>
      </c>
      <c r="D194" s="3" t="s">
        <v>974</v>
      </c>
    </row>
    <row r="195" spans="1:4" x14ac:dyDescent="0.2">
      <c r="A195" s="3" t="s">
        <v>112</v>
      </c>
      <c r="B195" s="3" t="s">
        <v>27</v>
      </c>
      <c r="C195" s="3" t="s">
        <v>945</v>
      </c>
      <c r="D195" s="3" t="s">
        <v>974</v>
      </c>
    </row>
    <row r="196" spans="1:4" x14ac:dyDescent="0.2">
      <c r="A196" s="3" t="s">
        <v>113</v>
      </c>
      <c r="B196" s="3" t="s">
        <v>27</v>
      </c>
      <c r="C196" s="3" t="s">
        <v>945</v>
      </c>
      <c r="D196" s="3" t="s">
        <v>974</v>
      </c>
    </row>
    <row r="197" spans="1:4" x14ac:dyDescent="0.2">
      <c r="A197" s="3" t="s">
        <v>121</v>
      </c>
      <c r="B197" s="3" t="s">
        <v>27</v>
      </c>
      <c r="C197" s="3" t="s">
        <v>945</v>
      </c>
      <c r="D197" s="3" t="s">
        <v>974</v>
      </c>
    </row>
    <row r="198" spans="1:4" x14ac:dyDescent="0.2">
      <c r="A198" s="3" t="s">
        <v>164</v>
      </c>
      <c r="B198" s="3" t="s">
        <v>1</v>
      </c>
      <c r="C198" s="3" t="s">
        <v>17</v>
      </c>
      <c r="D198" s="3" t="s">
        <v>949</v>
      </c>
    </row>
    <row r="199" spans="1:4" x14ac:dyDescent="0.2">
      <c r="A199" s="3" t="s">
        <v>165</v>
      </c>
      <c r="B199" s="3" t="s">
        <v>1</v>
      </c>
      <c r="C199" s="3" t="s">
        <v>17</v>
      </c>
      <c r="D199" s="3" t="s">
        <v>949</v>
      </c>
    </row>
    <row r="200" spans="1:4" x14ac:dyDescent="0.2">
      <c r="A200" s="3" t="s">
        <v>166</v>
      </c>
      <c r="B200" s="3" t="s">
        <v>1</v>
      </c>
      <c r="C200" s="3" t="s">
        <v>17</v>
      </c>
      <c r="D200" s="3" t="s">
        <v>949</v>
      </c>
    </row>
    <row r="201" spans="1:4" x14ac:dyDescent="0.2">
      <c r="A201" s="3" t="s">
        <v>38</v>
      </c>
      <c r="B201" s="3" t="s">
        <v>950</v>
      </c>
      <c r="C201" s="3" t="s">
        <v>17</v>
      </c>
      <c r="D201" s="3" t="s">
        <v>958</v>
      </c>
    </row>
    <row r="202" spans="1:4" x14ac:dyDescent="0.2">
      <c r="A202" s="3" t="s">
        <v>403</v>
      </c>
      <c r="B202" s="3" t="s">
        <v>950</v>
      </c>
      <c r="C202" s="3" t="s">
        <v>17</v>
      </c>
      <c r="D202" s="3" t="s">
        <v>958</v>
      </c>
    </row>
    <row r="203" spans="1:4" x14ac:dyDescent="0.2">
      <c r="A203" s="3" t="s">
        <v>190</v>
      </c>
      <c r="B203" s="3" t="s">
        <v>1</v>
      </c>
      <c r="C203" s="3" t="s">
        <v>2</v>
      </c>
      <c r="D203" s="3" t="s">
        <v>959</v>
      </c>
    </row>
    <row r="204" spans="1:4" x14ac:dyDescent="0.2">
      <c r="A204" s="3" t="s">
        <v>191</v>
      </c>
      <c r="B204" s="3" t="s">
        <v>1</v>
      </c>
      <c r="C204" s="3" t="s">
        <v>2</v>
      </c>
      <c r="D204" s="3" t="s">
        <v>959</v>
      </c>
    </row>
    <row r="205" spans="1:4" x14ac:dyDescent="0.2">
      <c r="A205" s="3" t="s">
        <v>192</v>
      </c>
      <c r="B205" s="3" t="s">
        <v>1</v>
      </c>
      <c r="C205" s="3" t="s">
        <v>2</v>
      </c>
      <c r="D205" s="3" t="s">
        <v>959</v>
      </c>
    </row>
    <row r="206" spans="1:4" x14ac:dyDescent="0.2">
      <c r="A206" s="3" t="s">
        <v>193</v>
      </c>
      <c r="B206" s="3" t="s">
        <v>1</v>
      </c>
      <c r="C206" s="3" t="s">
        <v>2</v>
      </c>
      <c r="D206" s="3" t="s">
        <v>959</v>
      </c>
    </row>
    <row r="207" spans="1:4" x14ac:dyDescent="0.2">
      <c r="A207" s="3" t="s">
        <v>194</v>
      </c>
      <c r="B207" s="3" t="s">
        <v>1</v>
      </c>
      <c r="C207" s="3" t="s">
        <v>2</v>
      </c>
      <c r="D207" s="3" t="s">
        <v>959</v>
      </c>
    </row>
    <row r="208" spans="1:4" x14ac:dyDescent="0.2">
      <c r="A208" s="3" t="s">
        <v>195</v>
      </c>
      <c r="B208" s="3" t="s">
        <v>1</v>
      </c>
      <c r="C208" s="3" t="s">
        <v>17</v>
      </c>
      <c r="D208" s="3" t="s">
        <v>960</v>
      </c>
    </row>
    <row r="209" spans="1:4" x14ac:dyDescent="0.2">
      <c r="A209" s="3" t="s">
        <v>196</v>
      </c>
      <c r="B209" s="3" t="s">
        <v>1</v>
      </c>
      <c r="C209" s="3" t="s">
        <v>17</v>
      </c>
      <c r="D209" s="3" t="s">
        <v>960</v>
      </c>
    </row>
    <row r="210" spans="1:4" x14ac:dyDescent="0.2">
      <c r="A210" s="3" t="s">
        <v>236</v>
      </c>
      <c r="B210" s="3" t="s">
        <v>1</v>
      </c>
      <c r="C210" s="3" t="s">
        <v>975</v>
      </c>
      <c r="D210" s="3" t="s">
        <v>977</v>
      </c>
    </row>
    <row r="211" spans="1:4" x14ac:dyDescent="0.2">
      <c r="A211" s="3" t="s">
        <v>201</v>
      </c>
      <c r="B211" s="3" t="s">
        <v>1</v>
      </c>
      <c r="C211" s="3" t="s">
        <v>17</v>
      </c>
      <c r="D211" s="3" t="s">
        <v>963</v>
      </c>
    </row>
    <row r="212" spans="1:4" x14ac:dyDescent="0.2">
      <c r="A212" s="3" t="s">
        <v>202</v>
      </c>
      <c r="B212" s="3" t="s">
        <v>1</v>
      </c>
      <c r="C212" s="3" t="s">
        <v>17</v>
      </c>
      <c r="D212" s="3" t="s">
        <v>963</v>
      </c>
    </row>
    <row r="213" spans="1:4" x14ac:dyDescent="0.2">
      <c r="A213" s="3" t="s">
        <v>203</v>
      </c>
      <c r="B213" s="3" t="s">
        <v>1</v>
      </c>
      <c r="C213" s="3" t="s">
        <v>17</v>
      </c>
      <c r="D213" s="3" t="s">
        <v>963</v>
      </c>
    </row>
    <row r="214" spans="1:4" x14ac:dyDescent="0.2">
      <c r="A214" s="3" t="s">
        <v>1149</v>
      </c>
      <c r="B214" s="3" t="s">
        <v>1</v>
      </c>
      <c r="C214" s="3" t="s">
        <v>19</v>
      </c>
      <c r="D214" s="3" t="s">
        <v>962</v>
      </c>
    </row>
    <row r="215" spans="1:4" x14ac:dyDescent="0.2">
      <c r="A215" s="3" t="s">
        <v>198</v>
      </c>
      <c r="B215" s="3" t="s">
        <v>1</v>
      </c>
      <c r="C215" s="3" t="s">
        <v>19</v>
      </c>
      <c r="D215" s="3" t="s">
        <v>962</v>
      </c>
    </row>
    <row r="216" spans="1:4" x14ac:dyDescent="0.2">
      <c r="A216" s="3" t="s">
        <v>199</v>
      </c>
      <c r="B216" s="3" t="s">
        <v>1</v>
      </c>
      <c r="C216" s="3" t="s">
        <v>19</v>
      </c>
      <c r="D216" s="3" t="s">
        <v>962</v>
      </c>
    </row>
    <row r="217" spans="1:4" x14ac:dyDescent="0.2">
      <c r="A217" s="3" t="s">
        <v>200</v>
      </c>
      <c r="B217" s="3" t="s">
        <v>1</v>
      </c>
      <c r="C217" s="3" t="s">
        <v>19</v>
      </c>
      <c r="D217" s="3" t="s">
        <v>962</v>
      </c>
    </row>
    <row r="218" spans="1:4" x14ac:dyDescent="0.2">
      <c r="A218" s="3" t="s">
        <v>258</v>
      </c>
      <c r="B218" s="3" t="s">
        <v>1</v>
      </c>
      <c r="C218" s="3" t="s">
        <v>19</v>
      </c>
      <c r="D218" s="3" t="s">
        <v>962</v>
      </c>
    </row>
    <row r="219" spans="1:4" x14ac:dyDescent="0.2">
      <c r="A219" s="3" t="s">
        <v>446</v>
      </c>
      <c r="B219" s="3" t="s">
        <v>28</v>
      </c>
      <c r="C219" s="3" t="s">
        <v>29</v>
      </c>
      <c r="D219" s="3" t="s">
        <v>965</v>
      </c>
    </row>
    <row r="220" spans="1:4" x14ac:dyDescent="0.2">
      <c r="A220" s="3" t="s">
        <v>447</v>
      </c>
      <c r="B220" s="3" t="s">
        <v>28</v>
      </c>
      <c r="C220" s="3" t="s">
        <v>29</v>
      </c>
      <c r="D220" s="3" t="s">
        <v>965</v>
      </c>
    </row>
    <row r="221" spans="1:4" x14ac:dyDescent="0.2">
      <c r="A221" s="3" t="s">
        <v>448</v>
      </c>
      <c r="B221" s="3" t="s">
        <v>28</v>
      </c>
      <c r="C221" s="3" t="s">
        <v>29</v>
      </c>
      <c r="D221" s="3" t="s">
        <v>965</v>
      </c>
    </row>
    <row r="222" spans="1:4" x14ac:dyDescent="0.2">
      <c r="A222" s="3" t="s">
        <v>449</v>
      </c>
      <c r="B222" s="3" t="s">
        <v>28</v>
      </c>
      <c r="C222" s="3" t="s">
        <v>29</v>
      </c>
      <c r="D222" s="3" t="s">
        <v>965</v>
      </c>
    </row>
    <row r="223" spans="1:4" x14ac:dyDescent="0.2">
      <c r="A223" s="3" t="s">
        <v>450</v>
      </c>
      <c r="B223" s="3" t="s">
        <v>28</v>
      </c>
      <c r="C223" s="3" t="s">
        <v>29</v>
      </c>
      <c r="D223" s="3" t="s">
        <v>965</v>
      </c>
    </row>
    <row r="224" spans="1:4" x14ac:dyDescent="0.2">
      <c r="A224" s="3" t="s">
        <v>451</v>
      </c>
      <c r="B224" s="3" t="s">
        <v>28</v>
      </c>
      <c r="C224" s="3" t="s">
        <v>29</v>
      </c>
      <c r="D224" s="3" t="s">
        <v>965</v>
      </c>
    </row>
    <row r="225" spans="1:4" x14ac:dyDescent="0.2">
      <c r="A225" s="3" t="s">
        <v>452</v>
      </c>
      <c r="B225" s="3" t="s">
        <v>28</v>
      </c>
      <c r="C225" s="3" t="s">
        <v>29</v>
      </c>
      <c r="D225" s="3" t="s">
        <v>965</v>
      </c>
    </row>
    <row r="226" spans="1:4" x14ac:dyDescent="0.2">
      <c r="A226" s="3" t="s">
        <v>453</v>
      </c>
      <c r="B226" s="3" t="s">
        <v>28</v>
      </c>
      <c r="C226" s="3" t="s">
        <v>29</v>
      </c>
      <c r="D226" s="3" t="s">
        <v>965</v>
      </c>
    </row>
    <row r="227" spans="1:4" x14ac:dyDescent="0.2">
      <c r="A227" s="3" t="s">
        <v>454</v>
      </c>
      <c r="B227" s="3" t="s">
        <v>28</v>
      </c>
      <c r="C227" s="3" t="s">
        <v>29</v>
      </c>
      <c r="D227" s="3" t="s">
        <v>965</v>
      </c>
    </row>
    <row r="228" spans="1:4" x14ac:dyDescent="0.2">
      <c r="A228" s="3" t="s">
        <v>455</v>
      </c>
      <c r="B228" s="3" t="s">
        <v>28</v>
      </c>
      <c r="C228" s="3" t="s">
        <v>29</v>
      </c>
      <c r="D228" s="3" t="s">
        <v>965</v>
      </c>
    </row>
    <row r="229" spans="1:4" x14ac:dyDescent="0.2">
      <c r="A229" s="3" t="s">
        <v>33</v>
      </c>
      <c r="B229" s="3" t="s">
        <v>28</v>
      </c>
      <c r="C229" s="3" t="s">
        <v>29</v>
      </c>
      <c r="D229" s="3" t="s">
        <v>965</v>
      </c>
    </row>
    <row r="230" spans="1:4" x14ac:dyDescent="0.2">
      <c r="A230" s="122" t="s">
        <v>1510</v>
      </c>
      <c r="B230" s="3" t="s">
        <v>28</v>
      </c>
      <c r="C230" s="3" t="s">
        <v>29</v>
      </c>
      <c r="D230" s="3" t="s">
        <v>965</v>
      </c>
    </row>
    <row r="231" spans="1:4" x14ac:dyDescent="0.2">
      <c r="A231" s="3" t="s">
        <v>106</v>
      </c>
      <c r="B231" s="3" t="s">
        <v>27</v>
      </c>
      <c r="C231" s="3" t="s">
        <v>967</v>
      </c>
      <c r="D231" s="3" t="s">
        <v>968</v>
      </c>
    </row>
    <row r="232" spans="1:4" x14ac:dyDescent="0.2">
      <c r="A232" s="3" t="s">
        <v>107</v>
      </c>
      <c r="B232" s="3" t="s">
        <v>27</v>
      </c>
      <c r="C232" s="3" t="s">
        <v>967</v>
      </c>
      <c r="D232" s="3" t="s">
        <v>968</v>
      </c>
    </row>
    <row r="233" spans="1:4" x14ac:dyDescent="0.2">
      <c r="A233" s="3" t="s">
        <v>205</v>
      </c>
      <c r="B233" s="3" t="s">
        <v>1</v>
      </c>
      <c r="C233" s="3" t="s">
        <v>17</v>
      </c>
      <c r="D233" s="3" t="s">
        <v>969</v>
      </c>
    </row>
    <row r="234" spans="1:4" x14ac:dyDescent="0.2">
      <c r="A234" s="3" t="s">
        <v>206</v>
      </c>
      <c r="B234" s="3" t="s">
        <v>1</v>
      </c>
      <c r="C234" s="3" t="s">
        <v>17</v>
      </c>
      <c r="D234" s="3" t="s">
        <v>969</v>
      </c>
    </row>
    <row r="235" spans="1:4" x14ac:dyDescent="0.2">
      <c r="A235" s="3" t="s">
        <v>207</v>
      </c>
      <c r="B235" s="3" t="s">
        <v>1</v>
      </c>
      <c r="C235" s="3" t="s">
        <v>17</v>
      </c>
      <c r="D235" s="3" t="s">
        <v>969</v>
      </c>
    </row>
    <row r="236" spans="1:4" x14ac:dyDescent="0.2">
      <c r="A236" s="3" t="s">
        <v>209</v>
      </c>
      <c r="B236" s="3" t="s">
        <v>1</v>
      </c>
      <c r="C236" s="3" t="s">
        <v>17</v>
      </c>
      <c r="D236" s="3" t="s">
        <v>971</v>
      </c>
    </row>
    <row r="237" spans="1:4" x14ac:dyDescent="0.2">
      <c r="A237" s="3" t="s">
        <v>404</v>
      </c>
      <c r="B237" s="3" t="s">
        <v>950</v>
      </c>
      <c r="C237" s="3" t="s">
        <v>17</v>
      </c>
      <c r="D237" s="3" t="s">
        <v>970</v>
      </c>
    </row>
    <row r="238" spans="1:4" x14ac:dyDescent="0.2">
      <c r="A238" s="3" t="s">
        <v>405</v>
      </c>
      <c r="B238" s="3" t="s">
        <v>950</v>
      </c>
      <c r="C238" s="3" t="s">
        <v>17</v>
      </c>
      <c r="D238" s="3" t="s">
        <v>970</v>
      </c>
    </row>
    <row r="239" spans="1:4" x14ac:dyDescent="0.2">
      <c r="A239" s="3" t="s">
        <v>406</v>
      </c>
      <c r="B239" s="3" t="s">
        <v>950</v>
      </c>
      <c r="C239" s="3" t="s">
        <v>17</v>
      </c>
      <c r="D239" s="3" t="s">
        <v>970</v>
      </c>
    </row>
    <row r="240" spans="1:4" x14ac:dyDescent="0.2">
      <c r="A240" s="3" t="s">
        <v>407</v>
      </c>
      <c r="B240" s="3" t="s">
        <v>950</v>
      </c>
      <c r="C240" s="3" t="s">
        <v>17</v>
      </c>
      <c r="D240" s="3" t="s">
        <v>970</v>
      </c>
    </row>
    <row r="241" spans="1:4" x14ac:dyDescent="0.2">
      <c r="A241" s="3" t="s">
        <v>32</v>
      </c>
      <c r="B241" s="3" t="s">
        <v>950</v>
      </c>
      <c r="C241" s="3" t="s">
        <v>17</v>
      </c>
      <c r="D241" s="3" t="s">
        <v>970</v>
      </c>
    </row>
    <row r="242" spans="1:4" x14ac:dyDescent="0.2">
      <c r="A242" s="3" t="s">
        <v>411</v>
      </c>
      <c r="B242" s="3" t="s">
        <v>950</v>
      </c>
      <c r="C242" s="3" t="s">
        <v>17</v>
      </c>
      <c r="D242" s="3" t="s">
        <v>970</v>
      </c>
    </row>
    <row r="243" spans="1:4" x14ac:dyDescent="0.2">
      <c r="A243" s="3" t="s">
        <v>1430</v>
      </c>
      <c r="B243" s="3" t="s">
        <v>950</v>
      </c>
      <c r="C243" s="3" t="s">
        <v>17</v>
      </c>
      <c r="D243" s="3" t="s">
        <v>970</v>
      </c>
    </row>
    <row r="244" spans="1:4" x14ac:dyDescent="0.2">
      <c r="A244" s="3" t="s">
        <v>204</v>
      </c>
      <c r="B244" s="3" t="s">
        <v>1</v>
      </c>
      <c r="C244" s="3" t="s">
        <v>29</v>
      </c>
      <c r="D244" s="3" t="s">
        <v>964</v>
      </c>
    </row>
    <row r="245" spans="1:4" x14ac:dyDescent="0.2">
      <c r="A245" s="3" t="s">
        <v>291</v>
      </c>
      <c r="B245" s="3" t="s">
        <v>1</v>
      </c>
      <c r="C245" s="3" t="s">
        <v>29</v>
      </c>
      <c r="D245" s="3" t="s">
        <v>964</v>
      </c>
    </row>
    <row r="246" spans="1:4" x14ac:dyDescent="0.2">
      <c r="A246" s="3" t="s">
        <v>395</v>
      </c>
      <c r="B246" s="3" t="s">
        <v>1</v>
      </c>
      <c r="C246" s="3" t="s">
        <v>29</v>
      </c>
      <c r="D246" s="3" t="s">
        <v>964</v>
      </c>
    </row>
    <row r="247" spans="1:4" x14ac:dyDescent="0.2">
      <c r="A247" s="3" t="s">
        <v>210</v>
      </c>
      <c r="B247" s="3" t="s">
        <v>1</v>
      </c>
      <c r="C247" s="3" t="s">
        <v>17</v>
      </c>
      <c r="D247" s="3" t="s">
        <v>972</v>
      </c>
    </row>
    <row r="248" spans="1:4" x14ac:dyDescent="0.2">
      <c r="A248" s="3" t="s">
        <v>211</v>
      </c>
      <c r="B248" s="3" t="s">
        <v>1</v>
      </c>
      <c r="C248" s="3" t="s">
        <v>17</v>
      </c>
      <c r="D248" s="3" t="s">
        <v>972</v>
      </c>
    </row>
    <row r="249" spans="1:4" x14ac:dyDescent="0.2">
      <c r="A249" s="3" t="s">
        <v>213</v>
      </c>
      <c r="B249" s="3" t="s">
        <v>1</v>
      </c>
      <c r="C249" s="3" t="s">
        <v>19</v>
      </c>
      <c r="D249" s="3" t="s">
        <v>973</v>
      </c>
    </row>
    <row r="250" spans="1:4" x14ac:dyDescent="0.2">
      <c r="A250" s="3" t="s">
        <v>241</v>
      </c>
      <c r="B250" s="3" t="s">
        <v>1</v>
      </c>
      <c r="C250" s="3" t="s">
        <v>19</v>
      </c>
      <c r="D250" s="3" t="s">
        <v>973</v>
      </c>
    </row>
    <row r="251" spans="1:4" x14ac:dyDescent="0.2">
      <c r="A251" s="3" t="s">
        <v>261</v>
      </c>
      <c r="B251" s="3" t="s">
        <v>1</v>
      </c>
      <c r="C251" s="3" t="s">
        <v>19</v>
      </c>
      <c r="D251" s="3" t="s">
        <v>973</v>
      </c>
    </row>
    <row r="252" spans="1:4" x14ac:dyDescent="0.2">
      <c r="A252" s="3" t="s">
        <v>278</v>
      </c>
      <c r="B252" s="3" t="s">
        <v>1</v>
      </c>
      <c r="C252" s="3" t="s">
        <v>2</v>
      </c>
      <c r="D252" s="3" t="s">
        <v>981</v>
      </c>
    </row>
    <row r="253" spans="1:4" x14ac:dyDescent="0.2">
      <c r="A253" s="3" t="s">
        <v>279</v>
      </c>
      <c r="B253" s="3" t="s">
        <v>1</v>
      </c>
      <c r="C253" s="3" t="s">
        <v>2</v>
      </c>
      <c r="D253" s="3" t="s">
        <v>981</v>
      </c>
    </row>
    <row r="254" spans="1:4" x14ac:dyDescent="0.2">
      <c r="A254" s="3" t="s">
        <v>280</v>
      </c>
      <c r="B254" s="3" t="s">
        <v>1</v>
      </c>
      <c r="C254" s="3" t="s">
        <v>2</v>
      </c>
      <c r="D254" s="3" t="s">
        <v>981</v>
      </c>
    </row>
    <row r="255" spans="1:4" x14ac:dyDescent="0.2">
      <c r="A255" s="3" t="s">
        <v>281</v>
      </c>
      <c r="B255" s="3" t="s">
        <v>1</v>
      </c>
      <c r="C255" s="3" t="s">
        <v>2</v>
      </c>
      <c r="D255" s="3" t="s">
        <v>981</v>
      </c>
    </row>
    <row r="256" spans="1:4" x14ac:dyDescent="0.2">
      <c r="A256" s="3" t="s">
        <v>275</v>
      </c>
      <c r="B256" s="3" t="s">
        <v>1</v>
      </c>
      <c r="C256" s="3" t="s">
        <v>979</v>
      </c>
      <c r="D256" s="3" t="s">
        <v>980</v>
      </c>
    </row>
    <row r="257" spans="1:4" x14ac:dyDescent="0.2">
      <c r="A257" s="3" t="s">
        <v>276</v>
      </c>
      <c r="B257" s="3" t="s">
        <v>1</v>
      </c>
      <c r="C257" s="3" t="s">
        <v>979</v>
      </c>
      <c r="D257" s="3" t="s">
        <v>980</v>
      </c>
    </row>
    <row r="258" spans="1:4" x14ac:dyDescent="0.2">
      <c r="A258" s="3" t="s">
        <v>277</v>
      </c>
      <c r="B258" s="3" t="s">
        <v>1</v>
      </c>
      <c r="C258" s="3" t="s">
        <v>979</v>
      </c>
      <c r="D258" s="3" t="s">
        <v>980</v>
      </c>
    </row>
    <row r="259" spans="1:4" x14ac:dyDescent="0.2">
      <c r="A259" s="3" t="s">
        <v>282</v>
      </c>
      <c r="B259" s="3" t="s">
        <v>1</v>
      </c>
      <c r="C259" s="3" t="s">
        <v>17</v>
      </c>
      <c r="D259" s="3" t="s">
        <v>982</v>
      </c>
    </row>
    <row r="260" spans="1:4" x14ac:dyDescent="0.2">
      <c r="A260" s="3" t="s">
        <v>179</v>
      </c>
      <c r="B260" s="3" t="s">
        <v>1</v>
      </c>
      <c r="C260" s="3" t="s">
        <v>19</v>
      </c>
      <c r="D260" s="3" t="s">
        <v>955</v>
      </c>
    </row>
    <row r="261" spans="1:4" x14ac:dyDescent="0.2">
      <c r="A261" s="3" t="s">
        <v>180</v>
      </c>
      <c r="B261" s="3" t="s">
        <v>1</v>
      </c>
      <c r="C261" s="3" t="s">
        <v>19</v>
      </c>
      <c r="D261" s="3" t="s">
        <v>955</v>
      </c>
    </row>
    <row r="262" spans="1:4" x14ac:dyDescent="0.2">
      <c r="A262" s="3" t="s">
        <v>292</v>
      </c>
      <c r="B262" s="3" t="s">
        <v>1</v>
      </c>
      <c r="C262" s="3" t="s">
        <v>19</v>
      </c>
      <c r="D262" s="3" t="s">
        <v>955</v>
      </c>
    </row>
    <row r="263" spans="1:4" x14ac:dyDescent="0.2">
      <c r="A263" s="3" t="s">
        <v>293</v>
      </c>
      <c r="B263" s="3" t="s">
        <v>1</v>
      </c>
      <c r="C263" s="3" t="s">
        <v>19</v>
      </c>
      <c r="D263" s="3" t="s">
        <v>955</v>
      </c>
    </row>
    <row r="264" spans="1:4" x14ac:dyDescent="0.2">
      <c r="A264" s="3" t="s">
        <v>342</v>
      </c>
      <c r="B264" s="3" t="s">
        <v>1</v>
      </c>
      <c r="C264" s="3" t="s">
        <v>19</v>
      </c>
      <c r="D264" s="3" t="s">
        <v>955</v>
      </c>
    </row>
    <row r="265" spans="1:4" x14ac:dyDescent="0.2">
      <c r="A265" s="3" t="s">
        <v>1463</v>
      </c>
      <c r="B265" s="3" t="s">
        <v>1</v>
      </c>
      <c r="C265" s="3" t="s">
        <v>19</v>
      </c>
      <c r="D265" s="3" t="s">
        <v>955</v>
      </c>
    </row>
    <row r="266" spans="1:4" x14ac:dyDescent="0.2">
      <c r="A266" s="3" t="s">
        <v>103</v>
      </c>
      <c r="B266" s="3" t="s">
        <v>1</v>
      </c>
      <c r="C266" s="3" t="s">
        <v>19</v>
      </c>
      <c r="D266" s="3" t="s">
        <v>983</v>
      </c>
    </row>
    <row r="267" spans="1:4" x14ac:dyDescent="0.2">
      <c r="A267" s="3" t="s">
        <v>286</v>
      </c>
      <c r="B267" s="3" t="s">
        <v>1</v>
      </c>
      <c r="C267" s="3" t="s">
        <v>19</v>
      </c>
      <c r="D267" s="3" t="s">
        <v>983</v>
      </c>
    </row>
    <row r="268" spans="1:4" x14ac:dyDescent="0.2">
      <c r="A268" s="3" t="s">
        <v>287</v>
      </c>
      <c r="B268" s="3" t="s">
        <v>1</v>
      </c>
      <c r="C268" s="3" t="s">
        <v>19</v>
      </c>
      <c r="D268" s="3" t="s">
        <v>983</v>
      </c>
    </row>
    <row r="269" spans="1:4" x14ac:dyDescent="0.2">
      <c r="A269" s="3" t="s">
        <v>288</v>
      </c>
      <c r="B269" s="3" t="s">
        <v>1</v>
      </c>
      <c r="C269" s="3" t="s">
        <v>19</v>
      </c>
      <c r="D269" s="3" t="s">
        <v>983</v>
      </c>
    </row>
    <row r="270" spans="1:4" x14ac:dyDescent="0.2">
      <c r="A270" s="3" t="s">
        <v>289</v>
      </c>
      <c r="B270" s="3" t="s">
        <v>1</v>
      </c>
      <c r="C270" s="3" t="s">
        <v>19</v>
      </c>
      <c r="D270" s="3" t="s">
        <v>983</v>
      </c>
    </row>
    <row r="271" spans="1:4" x14ac:dyDescent="0.2">
      <c r="A271" s="3" t="s">
        <v>290</v>
      </c>
      <c r="B271" s="3" t="s">
        <v>1</v>
      </c>
      <c r="C271" s="3" t="s">
        <v>19</v>
      </c>
      <c r="D271" s="3" t="s">
        <v>983</v>
      </c>
    </row>
    <row r="272" spans="1:4" x14ac:dyDescent="0.2">
      <c r="A272" s="3" t="s">
        <v>1451</v>
      </c>
      <c r="B272" s="3" t="s">
        <v>1</v>
      </c>
      <c r="C272" s="3" t="s">
        <v>19</v>
      </c>
      <c r="D272" s="3" t="s">
        <v>983</v>
      </c>
    </row>
    <row r="273" spans="1:4" x14ac:dyDescent="0.2">
      <c r="A273" s="3" t="s">
        <v>104</v>
      </c>
      <c r="B273" s="3" t="s">
        <v>1</v>
      </c>
      <c r="C273" s="3" t="s">
        <v>19</v>
      </c>
      <c r="D273" s="3" t="s">
        <v>1009</v>
      </c>
    </row>
    <row r="274" spans="1:4" x14ac:dyDescent="0.2">
      <c r="A274" s="3" t="s">
        <v>377</v>
      </c>
      <c r="B274" s="3" t="s">
        <v>1</v>
      </c>
      <c r="C274" s="3" t="s">
        <v>19</v>
      </c>
      <c r="D274" s="3" t="s">
        <v>1009</v>
      </c>
    </row>
    <row r="275" spans="1:4" x14ac:dyDescent="0.2">
      <c r="A275" s="3" t="s">
        <v>378</v>
      </c>
      <c r="B275" s="3" t="s">
        <v>1</v>
      </c>
      <c r="C275" s="3" t="s">
        <v>19</v>
      </c>
      <c r="D275" s="3" t="s">
        <v>1009</v>
      </c>
    </row>
    <row r="276" spans="1:4" x14ac:dyDescent="0.2">
      <c r="A276" s="3" t="s">
        <v>379</v>
      </c>
      <c r="B276" s="3" t="s">
        <v>1</v>
      </c>
      <c r="C276" s="3" t="s">
        <v>19</v>
      </c>
      <c r="D276" s="3" t="s">
        <v>1009</v>
      </c>
    </row>
    <row r="277" spans="1:4" x14ac:dyDescent="0.2">
      <c r="A277" s="3" t="s">
        <v>380</v>
      </c>
      <c r="B277" s="3" t="s">
        <v>1</v>
      </c>
      <c r="C277" s="3" t="s">
        <v>19</v>
      </c>
      <c r="D277" s="3" t="s">
        <v>1009</v>
      </c>
    </row>
    <row r="278" spans="1:4" x14ac:dyDescent="0.2">
      <c r="A278" s="3" t="s">
        <v>299</v>
      </c>
      <c r="B278" s="3" t="s">
        <v>1</v>
      </c>
      <c r="C278" s="3" t="s">
        <v>17</v>
      </c>
      <c r="D278" s="3" t="s">
        <v>984</v>
      </c>
    </row>
    <row r="279" spans="1:4" x14ac:dyDescent="0.2">
      <c r="A279" s="3" t="s">
        <v>300</v>
      </c>
      <c r="B279" s="3" t="s">
        <v>1</v>
      </c>
      <c r="C279" s="3" t="s">
        <v>17</v>
      </c>
      <c r="D279" s="3" t="s">
        <v>984</v>
      </c>
    </row>
    <row r="280" spans="1:4" x14ac:dyDescent="0.2">
      <c r="A280" s="3" t="s">
        <v>151</v>
      </c>
      <c r="B280" s="3" t="s">
        <v>1</v>
      </c>
      <c r="C280" s="3" t="s">
        <v>17</v>
      </c>
      <c r="D280" s="3" t="s">
        <v>940</v>
      </c>
    </row>
    <row r="281" spans="1:4" x14ac:dyDescent="0.2">
      <c r="A281" s="3" t="s">
        <v>296</v>
      </c>
      <c r="B281" s="3" t="s">
        <v>1</v>
      </c>
      <c r="C281" s="3" t="s">
        <v>17</v>
      </c>
      <c r="D281" s="3" t="s">
        <v>940</v>
      </c>
    </row>
    <row r="282" spans="1:4" x14ac:dyDescent="0.2">
      <c r="A282" s="3" t="s">
        <v>297</v>
      </c>
      <c r="B282" s="3" t="s">
        <v>1</v>
      </c>
      <c r="C282" s="3" t="s">
        <v>17</v>
      </c>
      <c r="D282" s="3" t="s">
        <v>940</v>
      </c>
    </row>
    <row r="283" spans="1:4" x14ac:dyDescent="0.2">
      <c r="A283" s="3" t="s">
        <v>298</v>
      </c>
      <c r="B283" s="3" t="s">
        <v>1</v>
      </c>
      <c r="C283" s="3" t="s">
        <v>17</v>
      </c>
      <c r="D283" s="3" t="s">
        <v>940</v>
      </c>
    </row>
    <row r="284" spans="1:4" x14ac:dyDescent="0.2">
      <c r="A284" s="3" t="s">
        <v>309</v>
      </c>
      <c r="B284" s="3" t="s">
        <v>1</v>
      </c>
      <c r="C284" s="3" t="s">
        <v>17</v>
      </c>
      <c r="D284" s="3" t="s">
        <v>940</v>
      </c>
    </row>
    <row r="285" spans="1:4" x14ac:dyDescent="0.2">
      <c r="A285" s="3" t="s">
        <v>311</v>
      </c>
      <c r="B285" s="3" t="s">
        <v>1</v>
      </c>
      <c r="C285" s="3" t="s">
        <v>986</v>
      </c>
      <c r="D285" s="3" t="s">
        <v>986</v>
      </c>
    </row>
    <row r="286" spans="1:4" x14ac:dyDescent="0.2">
      <c r="A286" s="3" t="s">
        <v>312</v>
      </c>
      <c r="B286" s="3" t="s">
        <v>1</v>
      </c>
      <c r="C286" s="3" t="s">
        <v>986</v>
      </c>
      <c r="D286" s="3" t="s">
        <v>986</v>
      </c>
    </row>
    <row r="287" spans="1:4" x14ac:dyDescent="0.2">
      <c r="A287" s="3" t="s">
        <v>40</v>
      </c>
      <c r="B287" s="3" t="s">
        <v>27</v>
      </c>
      <c r="C287" s="3" t="s">
        <v>967</v>
      </c>
      <c r="D287" s="3" t="s">
        <v>978</v>
      </c>
    </row>
    <row r="288" spans="1:4" x14ac:dyDescent="0.2">
      <c r="A288" s="3" t="s">
        <v>115</v>
      </c>
      <c r="B288" s="3" t="s">
        <v>27</v>
      </c>
      <c r="C288" s="3" t="s">
        <v>967</v>
      </c>
      <c r="D288" s="3" t="s">
        <v>978</v>
      </c>
    </row>
    <row r="289" spans="1:4" x14ac:dyDescent="0.2">
      <c r="A289" s="3" t="s">
        <v>116</v>
      </c>
      <c r="B289" s="3" t="s">
        <v>27</v>
      </c>
      <c r="C289" s="3" t="s">
        <v>967</v>
      </c>
      <c r="D289" s="3" t="s">
        <v>978</v>
      </c>
    </row>
    <row r="290" spans="1:4" x14ac:dyDescent="0.2">
      <c r="A290" s="3" t="s">
        <v>117</v>
      </c>
      <c r="B290" s="3" t="s">
        <v>27</v>
      </c>
      <c r="C290" s="3" t="s">
        <v>967</v>
      </c>
      <c r="D290" s="3" t="s">
        <v>978</v>
      </c>
    </row>
    <row r="291" spans="1:4" x14ac:dyDescent="0.2">
      <c r="A291" s="3" t="s">
        <v>41</v>
      </c>
      <c r="B291" s="3" t="s">
        <v>27</v>
      </c>
      <c r="C291" s="3" t="s">
        <v>967</v>
      </c>
      <c r="D291" s="3" t="s">
        <v>978</v>
      </c>
    </row>
    <row r="292" spans="1:4" x14ac:dyDescent="0.2">
      <c r="A292" s="3" t="s">
        <v>118</v>
      </c>
      <c r="B292" s="3" t="s">
        <v>27</v>
      </c>
      <c r="C292" s="3" t="s">
        <v>967</v>
      </c>
      <c r="D292" s="3" t="s">
        <v>978</v>
      </c>
    </row>
    <row r="293" spans="1:4" x14ac:dyDescent="0.2">
      <c r="A293" s="3" t="s">
        <v>119</v>
      </c>
      <c r="B293" s="3" t="s">
        <v>27</v>
      </c>
      <c r="C293" s="3" t="s">
        <v>967</v>
      </c>
      <c r="D293" s="3" t="s">
        <v>978</v>
      </c>
    </row>
    <row r="294" spans="1:4" x14ac:dyDescent="0.2">
      <c r="A294" s="3" t="s">
        <v>120</v>
      </c>
      <c r="B294" s="3" t="s">
        <v>27</v>
      </c>
      <c r="C294" s="3" t="s">
        <v>967</v>
      </c>
      <c r="D294" s="3" t="s">
        <v>978</v>
      </c>
    </row>
    <row r="295" spans="1:4" x14ac:dyDescent="0.2">
      <c r="A295" s="3" t="s">
        <v>310</v>
      </c>
      <c r="B295" s="3" t="s">
        <v>1</v>
      </c>
      <c r="C295" s="3" t="s">
        <v>17</v>
      </c>
      <c r="D295" s="3" t="s">
        <v>985</v>
      </c>
    </row>
    <row r="296" spans="1:4" x14ac:dyDescent="0.2">
      <c r="A296" s="3" t="s">
        <v>318</v>
      </c>
      <c r="B296" s="3" t="s">
        <v>1</v>
      </c>
      <c r="C296" s="3" t="s">
        <v>17</v>
      </c>
      <c r="D296" s="3" t="s">
        <v>988</v>
      </c>
    </row>
    <row r="297" spans="1:4" x14ac:dyDescent="0.2">
      <c r="A297" s="3" t="s">
        <v>319</v>
      </c>
      <c r="B297" s="3" t="s">
        <v>1</v>
      </c>
      <c r="C297" s="3" t="s">
        <v>17</v>
      </c>
      <c r="D297" s="3" t="s">
        <v>988</v>
      </c>
    </row>
    <row r="298" spans="1:4" x14ac:dyDescent="0.2">
      <c r="A298" s="3" t="s">
        <v>322</v>
      </c>
      <c r="B298" s="3" t="s">
        <v>1</v>
      </c>
      <c r="C298" s="3" t="s">
        <v>17</v>
      </c>
      <c r="D298" s="3" t="s">
        <v>990</v>
      </c>
    </row>
    <row r="299" spans="1:4" x14ac:dyDescent="0.2">
      <c r="A299" s="3" t="s">
        <v>323</v>
      </c>
      <c r="B299" s="3" t="s">
        <v>1</v>
      </c>
      <c r="C299" s="3" t="s">
        <v>17</v>
      </c>
      <c r="D299" s="3" t="s">
        <v>990</v>
      </c>
    </row>
    <row r="300" spans="1:4" x14ac:dyDescent="0.2">
      <c r="A300" s="3" t="s">
        <v>324</v>
      </c>
      <c r="B300" s="3" t="s">
        <v>1</v>
      </c>
      <c r="C300" s="3" t="s">
        <v>17</v>
      </c>
      <c r="D300" s="3" t="s">
        <v>991</v>
      </c>
    </row>
    <row r="301" spans="1:4" x14ac:dyDescent="0.2">
      <c r="A301" s="3" t="s">
        <v>320</v>
      </c>
      <c r="B301" s="3" t="s">
        <v>1</v>
      </c>
      <c r="C301" s="3" t="s">
        <v>17</v>
      </c>
      <c r="D301" s="3" t="s">
        <v>989</v>
      </c>
    </row>
    <row r="302" spans="1:4" x14ac:dyDescent="0.2">
      <c r="A302" s="3" t="s">
        <v>321</v>
      </c>
      <c r="B302" s="3" t="s">
        <v>1</v>
      </c>
      <c r="C302" s="3" t="s">
        <v>17</v>
      </c>
      <c r="D302" s="3" t="s">
        <v>989</v>
      </c>
    </row>
    <row r="303" spans="1:4" x14ac:dyDescent="0.2">
      <c r="A303" s="3" t="s">
        <v>325</v>
      </c>
      <c r="B303" s="3" t="s">
        <v>1</v>
      </c>
      <c r="C303" s="3" t="s">
        <v>17</v>
      </c>
      <c r="D303" s="3" t="s">
        <v>992</v>
      </c>
    </row>
    <row r="304" spans="1:4" x14ac:dyDescent="0.2">
      <c r="A304" s="3" t="s">
        <v>326</v>
      </c>
      <c r="B304" s="3" t="s">
        <v>1</v>
      </c>
      <c r="C304" s="3" t="s">
        <v>17</v>
      </c>
      <c r="D304" s="3" t="s">
        <v>992</v>
      </c>
    </row>
    <row r="305" spans="1:4" x14ac:dyDescent="0.2">
      <c r="A305" s="3" t="s">
        <v>327</v>
      </c>
      <c r="B305" s="3" t="s">
        <v>1</v>
      </c>
      <c r="C305" s="3" t="s">
        <v>17</v>
      </c>
      <c r="D305" s="3" t="s">
        <v>992</v>
      </c>
    </row>
    <row r="306" spans="1:4" x14ac:dyDescent="0.2">
      <c r="A306" s="3" t="s">
        <v>328</v>
      </c>
      <c r="B306" s="3" t="s">
        <v>1</v>
      </c>
      <c r="C306" s="3" t="s">
        <v>17</v>
      </c>
      <c r="D306" s="3" t="s">
        <v>992</v>
      </c>
    </row>
    <row r="307" spans="1:4" x14ac:dyDescent="0.2">
      <c r="A307" s="3" t="s">
        <v>329</v>
      </c>
      <c r="B307" s="3" t="s">
        <v>1</v>
      </c>
      <c r="C307" s="3" t="s">
        <v>17</v>
      </c>
      <c r="D307" s="3" t="s">
        <v>992</v>
      </c>
    </row>
    <row r="308" spans="1:4" x14ac:dyDescent="0.2">
      <c r="A308" s="3" t="s">
        <v>127</v>
      </c>
      <c r="B308" s="3" t="s">
        <v>1</v>
      </c>
      <c r="C308" s="3" t="s">
        <v>17</v>
      </c>
      <c r="D308" s="3" t="s">
        <v>993</v>
      </c>
    </row>
    <row r="309" spans="1:4" x14ac:dyDescent="0.2">
      <c r="A309" s="3" t="s">
        <v>46</v>
      </c>
      <c r="B309" s="3" t="s">
        <v>1</v>
      </c>
      <c r="C309" s="3" t="s">
        <v>17</v>
      </c>
      <c r="D309" s="3" t="s">
        <v>993</v>
      </c>
    </row>
    <row r="310" spans="1:4" x14ac:dyDescent="0.2">
      <c r="A310" s="3" t="s">
        <v>330</v>
      </c>
      <c r="B310" s="3" t="s">
        <v>1</v>
      </c>
      <c r="C310" s="3" t="s">
        <v>17</v>
      </c>
      <c r="D310" s="3" t="s">
        <v>993</v>
      </c>
    </row>
    <row r="311" spans="1:4" x14ac:dyDescent="0.2">
      <c r="A311" s="3" t="s">
        <v>335</v>
      </c>
      <c r="B311" s="3" t="s">
        <v>1</v>
      </c>
      <c r="C311" s="3" t="s">
        <v>17</v>
      </c>
      <c r="D311" s="3" t="s">
        <v>934</v>
      </c>
    </row>
    <row r="312" spans="1:4" x14ac:dyDescent="0.2">
      <c r="A312" s="3" t="s">
        <v>45</v>
      </c>
      <c r="B312" s="3" t="s">
        <v>1</v>
      </c>
      <c r="C312" s="3" t="s">
        <v>17</v>
      </c>
      <c r="D312" s="3" t="s">
        <v>934</v>
      </c>
    </row>
    <row r="313" spans="1:4" x14ac:dyDescent="0.2">
      <c r="A313" s="3" t="s">
        <v>336</v>
      </c>
      <c r="B313" s="3" t="s">
        <v>1</v>
      </c>
      <c r="C313" s="3" t="s">
        <v>17</v>
      </c>
      <c r="D313" s="3" t="s">
        <v>934</v>
      </c>
    </row>
    <row r="314" spans="1:4" x14ac:dyDescent="0.2">
      <c r="A314" s="3" t="s">
        <v>337</v>
      </c>
      <c r="B314" s="3" t="s">
        <v>1</v>
      </c>
      <c r="C314" s="3" t="s">
        <v>17</v>
      </c>
      <c r="D314" s="3" t="s">
        <v>934</v>
      </c>
    </row>
    <row r="315" spans="1:4" x14ac:dyDescent="0.2">
      <c r="A315" s="3" t="s">
        <v>44</v>
      </c>
      <c r="B315" s="3" t="s">
        <v>1</v>
      </c>
      <c r="C315" s="3" t="s">
        <v>17</v>
      </c>
      <c r="D315" s="3" t="s">
        <v>934</v>
      </c>
    </row>
    <row r="316" spans="1:4" x14ac:dyDescent="0.2">
      <c r="A316" s="3" t="s">
        <v>1154</v>
      </c>
      <c r="B316" s="3" t="s">
        <v>1</v>
      </c>
      <c r="C316" s="3" t="s">
        <v>17</v>
      </c>
      <c r="D316" s="3" t="s">
        <v>934</v>
      </c>
    </row>
    <row r="317" spans="1:4" x14ac:dyDescent="0.2">
      <c r="A317" s="3" t="s">
        <v>332</v>
      </c>
      <c r="B317" s="3" t="s">
        <v>1</v>
      </c>
      <c r="C317" s="3" t="s">
        <v>994</v>
      </c>
      <c r="D317" s="3" t="s">
        <v>995</v>
      </c>
    </row>
    <row r="318" spans="1:4" x14ac:dyDescent="0.2">
      <c r="A318" s="3" t="s">
        <v>333</v>
      </c>
      <c r="B318" s="3" t="s">
        <v>1</v>
      </c>
      <c r="C318" s="3" t="s">
        <v>994</v>
      </c>
      <c r="D318" s="3" t="s">
        <v>995</v>
      </c>
    </row>
    <row r="319" spans="1:4" x14ac:dyDescent="0.2">
      <c r="A319" s="3" t="s">
        <v>334</v>
      </c>
      <c r="B319" s="3" t="s">
        <v>1</v>
      </c>
      <c r="C319" s="3" t="s">
        <v>994</v>
      </c>
      <c r="D319" s="3" t="s">
        <v>995</v>
      </c>
    </row>
    <row r="320" spans="1:4" x14ac:dyDescent="0.2">
      <c r="A320" s="3" t="s">
        <v>338</v>
      </c>
      <c r="B320" s="3" t="s">
        <v>1</v>
      </c>
      <c r="C320" s="3" t="s">
        <v>994</v>
      </c>
      <c r="D320" s="3" t="s">
        <v>995</v>
      </c>
    </row>
    <row r="321" spans="1:4" x14ac:dyDescent="0.2">
      <c r="A321" s="3" t="s">
        <v>43</v>
      </c>
      <c r="B321" s="3" t="s">
        <v>1</v>
      </c>
      <c r="C321" s="3" t="s">
        <v>994</v>
      </c>
      <c r="D321" s="3" t="s">
        <v>995</v>
      </c>
    </row>
    <row r="322" spans="1:4" x14ac:dyDescent="0.2">
      <c r="A322" s="3" t="s">
        <v>339</v>
      </c>
      <c r="B322" s="3" t="s">
        <v>1</v>
      </c>
      <c r="C322" s="3" t="s">
        <v>994</v>
      </c>
      <c r="D322" s="3" t="s">
        <v>995</v>
      </c>
    </row>
    <row r="323" spans="1:4" x14ac:dyDescent="0.2">
      <c r="A323" s="3" t="s">
        <v>98</v>
      </c>
      <c r="B323" s="3" t="s">
        <v>1</v>
      </c>
      <c r="C323" s="3" t="s">
        <v>994</v>
      </c>
      <c r="D323" s="3" t="s">
        <v>995</v>
      </c>
    </row>
    <row r="324" spans="1:4" x14ac:dyDescent="0.2">
      <c r="A324" s="3" t="s">
        <v>340</v>
      </c>
      <c r="B324" s="3" t="s">
        <v>1</v>
      </c>
      <c r="C324" s="3" t="s">
        <v>994</v>
      </c>
      <c r="D324" s="3" t="s">
        <v>995</v>
      </c>
    </row>
    <row r="325" spans="1:4" x14ac:dyDescent="0.2">
      <c r="A325" s="3" t="s">
        <v>341</v>
      </c>
      <c r="B325" s="3" t="s">
        <v>1</v>
      </c>
      <c r="C325" s="3" t="s">
        <v>994</v>
      </c>
      <c r="D325" s="3" t="s">
        <v>995</v>
      </c>
    </row>
    <row r="326" spans="1:4" x14ac:dyDescent="0.2">
      <c r="A326" s="3" t="s">
        <v>1155</v>
      </c>
      <c r="B326" s="3" t="s">
        <v>1</v>
      </c>
      <c r="C326" s="3" t="s">
        <v>17</v>
      </c>
      <c r="D326" s="3" t="s">
        <v>996</v>
      </c>
    </row>
    <row r="327" spans="1:4" x14ac:dyDescent="0.2">
      <c r="A327" s="3" t="s">
        <v>1156</v>
      </c>
      <c r="B327" s="3" t="s">
        <v>1</v>
      </c>
      <c r="C327" s="3" t="s">
        <v>17</v>
      </c>
      <c r="D327" s="3" t="s">
        <v>996</v>
      </c>
    </row>
    <row r="328" spans="1:4" x14ac:dyDescent="0.2">
      <c r="A328" s="3" t="s">
        <v>481</v>
      </c>
      <c r="B328" s="3" t="s">
        <v>931</v>
      </c>
      <c r="C328" s="3" t="s">
        <v>945</v>
      </c>
      <c r="D328" s="3" t="s">
        <v>966</v>
      </c>
    </row>
    <row r="329" spans="1:4" x14ac:dyDescent="0.2">
      <c r="A329" s="3" t="s">
        <v>482</v>
      </c>
      <c r="B329" s="3" t="s">
        <v>931</v>
      </c>
      <c r="C329" s="3" t="s">
        <v>945</v>
      </c>
      <c r="D329" s="3" t="s">
        <v>966</v>
      </c>
    </row>
    <row r="330" spans="1:4" x14ac:dyDescent="0.2">
      <c r="A330" s="3" t="s">
        <v>485</v>
      </c>
      <c r="B330" s="3" t="s">
        <v>931</v>
      </c>
      <c r="C330" s="3" t="s">
        <v>945</v>
      </c>
      <c r="D330" s="3" t="s">
        <v>966</v>
      </c>
    </row>
    <row r="331" spans="1:4" x14ac:dyDescent="0.2">
      <c r="A331" s="3" t="s">
        <v>486</v>
      </c>
      <c r="B331" s="3" t="s">
        <v>931</v>
      </c>
      <c r="C331" s="3" t="s">
        <v>945</v>
      </c>
      <c r="D331" s="3" t="s">
        <v>966</v>
      </c>
    </row>
    <row r="332" spans="1:4" x14ac:dyDescent="0.2">
      <c r="A332" s="3" t="s">
        <v>483</v>
      </c>
      <c r="B332" s="3" t="s">
        <v>931</v>
      </c>
      <c r="C332" s="3" t="s">
        <v>945</v>
      </c>
      <c r="D332" s="3" t="s">
        <v>966</v>
      </c>
    </row>
    <row r="333" spans="1:4" x14ac:dyDescent="0.2">
      <c r="A333" s="3" t="s">
        <v>484</v>
      </c>
      <c r="B333" s="3" t="s">
        <v>931</v>
      </c>
      <c r="C333" s="3" t="s">
        <v>945</v>
      </c>
      <c r="D333" s="3" t="s">
        <v>966</v>
      </c>
    </row>
    <row r="334" spans="1:4" x14ac:dyDescent="0.2">
      <c r="A334" s="3" t="s">
        <v>343</v>
      </c>
      <c r="B334" s="3" t="s">
        <v>1</v>
      </c>
      <c r="C334" s="3" t="s">
        <v>979</v>
      </c>
      <c r="D334" s="3" t="s">
        <v>997</v>
      </c>
    </row>
    <row r="335" spans="1:4" x14ac:dyDescent="0.2">
      <c r="A335" s="3" t="s">
        <v>345</v>
      </c>
      <c r="B335" s="3" t="s">
        <v>1</v>
      </c>
      <c r="C335" s="3" t="s">
        <v>938</v>
      </c>
      <c r="D335" s="3" t="s">
        <v>999</v>
      </c>
    </row>
    <row r="336" spans="1:4" x14ac:dyDescent="0.2">
      <c r="A336" s="3" t="s">
        <v>346</v>
      </c>
      <c r="B336" s="3" t="s">
        <v>1</v>
      </c>
      <c r="C336" s="3" t="s">
        <v>938</v>
      </c>
      <c r="D336" s="3" t="s">
        <v>999</v>
      </c>
    </row>
    <row r="337" spans="1:4" x14ac:dyDescent="0.2">
      <c r="A337" s="3" t="s">
        <v>347</v>
      </c>
      <c r="B337" s="3" t="s">
        <v>1</v>
      </c>
      <c r="C337" s="3" t="s">
        <v>938</v>
      </c>
      <c r="D337" s="3" t="s">
        <v>999</v>
      </c>
    </row>
    <row r="338" spans="1:4" x14ac:dyDescent="0.2">
      <c r="A338" s="3" t="s">
        <v>348</v>
      </c>
      <c r="B338" s="3" t="s">
        <v>1</v>
      </c>
      <c r="C338" s="3" t="s">
        <v>938</v>
      </c>
      <c r="D338" s="3" t="s">
        <v>999</v>
      </c>
    </row>
    <row r="339" spans="1:4" x14ac:dyDescent="0.2">
      <c r="A339" s="3" t="s">
        <v>351</v>
      </c>
      <c r="B339" s="3" t="s">
        <v>1</v>
      </c>
      <c r="C339" s="3" t="s">
        <v>938</v>
      </c>
      <c r="D339" s="3" t="s">
        <v>999</v>
      </c>
    </row>
    <row r="340" spans="1:4" x14ac:dyDescent="0.2">
      <c r="A340" s="3" t="s">
        <v>352</v>
      </c>
      <c r="B340" s="3" t="s">
        <v>1</v>
      </c>
      <c r="C340" s="3" t="s">
        <v>938</v>
      </c>
      <c r="D340" s="3" t="s">
        <v>999</v>
      </c>
    </row>
    <row r="341" spans="1:4" x14ac:dyDescent="0.2">
      <c r="A341" s="3" t="s">
        <v>353</v>
      </c>
      <c r="B341" s="3" t="s">
        <v>1</v>
      </c>
      <c r="C341" s="3" t="s">
        <v>938</v>
      </c>
      <c r="D341" s="3" t="s">
        <v>999</v>
      </c>
    </row>
    <row r="342" spans="1:4" x14ac:dyDescent="0.2">
      <c r="A342" s="3" t="s">
        <v>354</v>
      </c>
      <c r="B342" s="3" t="s">
        <v>1</v>
      </c>
      <c r="C342" s="3" t="s">
        <v>938</v>
      </c>
      <c r="D342" s="3" t="s">
        <v>999</v>
      </c>
    </row>
    <row r="343" spans="1:4" x14ac:dyDescent="0.2">
      <c r="A343" s="3" t="s">
        <v>409</v>
      </c>
      <c r="B343" s="3" t="s">
        <v>950</v>
      </c>
      <c r="C343" s="3" t="s">
        <v>17</v>
      </c>
      <c r="D343" s="3" t="s">
        <v>1006</v>
      </c>
    </row>
    <row r="344" spans="1:4" x14ac:dyDescent="0.2">
      <c r="A344" s="3" t="s">
        <v>410</v>
      </c>
      <c r="B344" s="3" t="s">
        <v>950</v>
      </c>
      <c r="C344" s="3" t="s">
        <v>17</v>
      </c>
      <c r="D344" s="3" t="s">
        <v>1006</v>
      </c>
    </row>
    <row r="345" spans="1:4" x14ac:dyDescent="0.2">
      <c r="A345" s="3" t="s">
        <v>372</v>
      </c>
      <c r="B345" s="3" t="s">
        <v>1</v>
      </c>
      <c r="C345" s="3" t="s">
        <v>17</v>
      </c>
      <c r="D345" s="3" t="s">
        <v>1007</v>
      </c>
    </row>
    <row r="346" spans="1:4" x14ac:dyDescent="0.2">
      <c r="A346" s="3" t="s">
        <v>371</v>
      </c>
      <c r="B346" s="3" t="s">
        <v>1</v>
      </c>
      <c r="C346" s="3" t="s">
        <v>19</v>
      </c>
      <c r="D346" s="3" t="s">
        <v>1005</v>
      </c>
    </row>
    <row r="347" spans="1:4" x14ac:dyDescent="0.2">
      <c r="A347" s="3" t="s">
        <v>367</v>
      </c>
      <c r="B347" s="3" t="s">
        <v>1</v>
      </c>
      <c r="C347" s="3" t="s">
        <v>29</v>
      </c>
      <c r="D347" s="3" t="s">
        <v>1003</v>
      </c>
    </row>
    <row r="348" spans="1:4" x14ac:dyDescent="0.2">
      <c r="A348" s="3" t="s">
        <v>368</v>
      </c>
      <c r="B348" s="3" t="s">
        <v>1</v>
      </c>
      <c r="C348" s="3" t="s">
        <v>29</v>
      </c>
      <c r="D348" s="3" t="s">
        <v>1003</v>
      </c>
    </row>
    <row r="349" spans="1:4" x14ac:dyDescent="0.2">
      <c r="A349" s="3" t="s">
        <v>369</v>
      </c>
      <c r="B349" s="3" t="s">
        <v>1</v>
      </c>
      <c r="C349" s="3" t="s">
        <v>17</v>
      </c>
      <c r="D349" s="3" t="s">
        <v>1004</v>
      </c>
    </row>
    <row r="350" spans="1:4" x14ac:dyDescent="0.2">
      <c r="A350" s="3" t="s">
        <v>359</v>
      </c>
      <c r="B350" s="3" t="s">
        <v>1</v>
      </c>
      <c r="C350" s="3" t="s">
        <v>19</v>
      </c>
      <c r="D350" s="3" t="s">
        <v>1002</v>
      </c>
    </row>
    <row r="351" spans="1:4" x14ac:dyDescent="0.2">
      <c r="A351" s="3" t="s">
        <v>360</v>
      </c>
      <c r="B351" s="3" t="s">
        <v>1</v>
      </c>
      <c r="C351" s="3" t="s">
        <v>19</v>
      </c>
      <c r="D351" s="3" t="s">
        <v>1002</v>
      </c>
    </row>
    <row r="352" spans="1:4" x14ac:dyDescent="0.2">
      <c r="A352" s="3" t="s">
        <v>361</v>
      </c>
      <c r="B352" s="3" t="s">
        <v>1</v>
      </c>
      <c r="C352" s="3" t="s">
        <v>19</v>
      </c>
      <c r="D352" s="3" t="s">
        <v>1002</v>
      </c>
    </row>
    <row r="353" spans="1:4" x14ac:dyDescent="0.2">
      <c r="A353" s="3" t="s">
        <v>362</v>
      </c>
      <c r="B353" s="3" t="s">
        <v>1</v>
      </c>
      <c r="C353" s="3" t="s">
        <v>19</v>
      </c>
      <c r="D353" s="3" t="s">
        <v>1002</v>
      </c>
    </row>
    <row r="354" spans="1:4" x14ac:dyDescent="0.2">
      <c r="A354" s="3" t="s">
        <v>363</v>
      </c>
      <c r="B354" s="3" t="s">
        <v>1</v>
      </c>
      <c r="C354" s="3" t="s">
        <v>19</v>
      </c>
      <c r="D354" s="3" t="s">
        <v>1002</v>
      </c>
    </row>
    <row r="355" spans="1:4" x14ac:dyDescent="0.2">
      <c r="A355" s="3" t="s">
        <v>364</v>
      </c>
      <c r="B355" s="3" t="s">
        <v>1</v>
      </c>
      <c r="C355" s="3" t="s">
        <v>19</v>
      </c>
      <c r="D355" s="3" t="s">
        <v>1002</v>
      </c>
    </row>
    <row r="356" spans="1:4" x14ac:dyDescent="0.2">
      <c r="A356" s="3" t="s">
        <v>365</v>
      </c>
      <c r="B356" s="3" t="s">
        <v>1</v>
      </c>
      <c r="C356" s="3" t="s">
        <v>19</v>
      </c>
      <c r="D356" s="3" t="s">
        <v>1002</v>
      </c>
    </row>
    <row r="357" spans="1:4" x14ac:dyDescent="0.2">
      <c r="A357" s="3" t="s">
        <v>366</v>
      </c>
      <c r="B357" s="3" t="s">
        <v>1</v>
      </c>
      <c r="C357" s="3" t="s">
        <v>19</v>
      </c>
      <c r="D357" s="3" t="s">
        <v>1002</v>
      </c>
    </row>
    <row r="358" spans="1:4" x14ac:dyDescent="0.2">
      <c r="A358" s="3" t="s">
        <v>473</v>
      </c>
      <c r="B358" s="3" t="s">
        <v>1</v>
      </c>
      <c r="C358" s="3" t="s">
        <v>19</v>
      </c>
      <c r="D358" s="3" t="s">
        <v>1002</v>
      </c>
    </row>
    <row r="359" spans="1:4" x14ac:dyDescent="0.2">
      <c r="A359" s="3" t="s">
        <v>355</v>
      </c>
      <c r="B359" s="3" t="s">
        <v>1</v>
      </c>
      <c r="C359" s="3" t="s">
        <v>17</v>
      </c>
      <c r="D359" s="3" t="s">
        <v>1001</v>
      </c>
    </row>
    <row r="360" spans="1:4" x14ac:dyDescent="0.2">
      <c r="A360" s="3" t="s">
        <v>356</v>
      </c>
      <c r="B360" s="3" t="s">
        <v>1</v>
      </c>
      <c r="C360" s="3" t="s">
        <v>17</v>
      </c>
      <c r="D360" s="3" t="s">
        <v>1001</v>
      </c>
    </row>
    <row r="361" spans="1:4" x14ac:dyDescent="0.2">
      <c r="A361" s="3" t="s">
        <v>357</v>
      </c>
      <c r="B361" s="3" t="s">
        <v>1</v>
      </c>
      <c r="C361" s="3" t="s">
        <v>17</v>
      </c>
      <c r="D361" s="3" t="s">
        <v>1001</v>
      </c>
    </row>
    <row r="362" spans="1:4" x14ac:dyDescent="0.2">
      <c r="A362" s="3" t="s">
        <v>358</v>
      </c>
      <c r="B362" s="3" t="s">
        <v>1</v>
      </c>
      <c r="C362" s="3" t="s">
        <v>17</v>
      </c>
      <c r="D362" s="3" t="s">
        <v>1001</v>
      </c>
    </row>
    <row r="363" spans="1:4" x14ac:dyDescent="0.2">
      <c r="A363" s="3" t="s">
        <v>373</v>
      </c>
      <c r="B363" s="3" t="s">
        <v>1</v>
      </c>
      <c r="C363" s="3" t="s">
        <v>17</v>
      </c>
      <c r="D363" s="3" t="s">
        <v>1008</v>
      </c>
    </row>
    <row r="364" spans="1:4" x14ac:dyDescent="0.2">
      <c r="A364" s="3" t="s">
        <v>374</v>
      </c>
      <c r="B364" s="3" t="s">
        <v>1</v>
      </c>
      <c r="C364" s="3" t="s">
        <v>17</v>
      </c>
      <c r="D364" s="3" t="s">
        <v>1008</v>
      </c>
    </row>
    <row r="365" spans="1:4" x14ac:dyDescent="0.2">
      <c r="A365" s="3" t="s">
        <v>375</v>
      </c>
      <c r="B365" s="3" t="s">
        <v>1</v>
      </c>
      <c r="C365" s="3" t="s">
        <v>17</v>
      </c>
      <c r="D365" s="3" t="s">
        <v>1008</v>
      </c>
    </row>
    <row r="366" spans="1:4" x14ac:dyDescent="0.2">
      <c r="A366" s="3" t="s">
        <v>376</v>
      </c>
      <c r="B366" s="3" t="s">
        <v>1</v>
      </c>
      <c r="C366" s="3" t="s">
        <v>17</v>
      </c>
      <c r="D366" s="3" t="s">
        <v>1008</v>
      </c>
    </row>
    <row r="367" spans="1:4" x14ac:dyDescent="0.2">
      <c r="A367" s="3" t="s">
        <v>381</v>
      </c>
      <c r="B367" s="3" t="s">
        <v>1</v>
      </c>
      <c r="C367" s="3" t="s">
        <v>17</v>
      </c>
      <c r="D367" s="3" t="s">
        <v>1010</v>
      </c>
    </row>
    <row r="368" spans="1:4" x14ac:dyDescent="0.2">
      <c r="A368" s="3" t="s">
        <v>382</v>
      </c>
      <c r="B368" s="3" t="s">
        <v>1</v>
      </c>
      <c r="C368" s="3" t="s">
        <v>17</v>
      </c>
      <c r="D368" s="3" t="s">
        <v>1010</v>
      </c>
    </row>
    <row r="369" spans="1:4" x14ac:dyDescent="0.2">
      <c r="A369" s="3" t="s">
        <v>383</v>
      </c>
      <c r="B369" s="3" t="s">
        <v>1</v>
      </c>
      <c r="C369" s="3" t="s">
        <v>17</v>
      </c>
      <c r="D369" s="3" t="s">
        <v>1010</v>
      </c>
    </row>
    <row r="370" spans="1:4" x14ac:dyDescent="0.2">
      <c r="A370" s="3" t="s">
        <v>384</v>
      </c>
      <c r="B370" s="3" t="s">
        <v>1</v>
      </c>
      <c r="C370" s="3" t="s">
        <v>17</v>
      </c>
      <c r="D370" s="3" t="s">
        <v>1010</v>
      </c>
    </row>
    <row r="371" spans="1:4" x14ac:dyDescent="0.2">
      <c r="A371" s="3" t="s">
        <v>385</v>
      </c>
      <c r="B371" s="3" t="s">
        <v>1</v>
      </c>
      <c r="C371" s="3" t="s">
        <v>17</v>
      </c>
      <c r="D371" s="3" t="s">
        <v>1010</v>
      </c>
    </row>
    <row r="372" spans="1:4" x14ac:dyDescent="0.2">
      <c r="A372" s="3" t="s">
        <v>386</v>
      </c>
      <c r="B372" s="3" t="s">
        <v>1</v>
      </c>
      <c r="C372" s="3" t="s">
        <v>979</v>
      </c>
      <c r="D372" s="3" t="s">
        <v>1011</v>
      </c>
    </row>
    <row r="373" spans="1:4" x14ac:dyDescent="0.2">
      <c r="A373" s="3" t="s">
        <v>314</v>
      </c>
      <c r="B373" s="3" t="s">
        <v>1</v>
      </c>
      <c r="C373" s="3" t="s">
        <v>17</v>
      </c>
      <c r="D373" s="3" t="s">
        <v>987</v>
      </c>
    </row>
    <row r="374" spans="1:4" x14ac:dyDescent="0.2">
      <c r="A374" s="3" t="s">
        <v>315</v>
      </c>
      <c r="B374" s="3" t="s">
        <v>1</v>
      </c>
      <c r="C374" s="3" t="s">
        <v>17</v>
      </c>
      <c r="D374" s="3" t="s">
        <v>987</v>
      </c>
    </row>
    <row r="375" spans="1:4" x14ac:dyDescent="0.2">
      <c r="A375" s="3" t="s">
        <v>316</v>
      </c>
      <c r="B375" s="3" t="s">
        <v>1</v>
      </c>
      <c r="C375" s="3" t="s">
        <v>17</v>
      </c>
      <c r="D375" s="3" t="s">
        <v>987</v>
      </c>
    </row>
    <row r="376" spans="1:4" x14ac:dyDescent="0.2">
      <c r="A376" s="3" t="s">
        <v>122</v>
      </c>
      <c r="B376" s="3" t="s">
        <v>27</v>
      </c>
      <c r="C376" s="3" t="s">
        <v>994</v>
      </c>
      <c r="D376" s="3" t="s">
        <v>1015</v>
      </c>
    </row>
    <row r="377" spans="1:4" x14ac:dyDescent="0.2">
      <c r="A377" s="3" t="s">
        <v>123</v>
      </c>
      <c r="B377" s="3" t="s">
        <v>27</v>
      </c>
      <c r="C377" s="3" t="s">
        <v>994</v>
      </c>
      <c r="D377" s="3" t="s">
        <v>1015</v>
      </c>
    </row>
    <row r="378" spans="1:4" x14ac:dyDescent="0.2">
      <c r="A378" s="3" t="s">
        <v>124</v>
      </c>
      <c r="B378" s="3" t="s">
        <v>27</v>
      </c>
      <c r="C378" s="3" t="s">
        <v>994</v>
      </c>
      <c r="D378" s="3" t="s">
        <v>1015</v>
      </c>
    </row>
    <row r="379" spans="1:4" x14ac:dyDescent="0.2">
      <c r="A379" s="3" t="s">
        <v>456</v>
      </c>
      <c r="B379" s="3" t="s">
        <v>1159</v>
      </c>
      <c r="C379" s="3" t="s">
        <v>994</v>
      </c>
      <c r="D379" s="3" t="s">
        <v>1012</v>
      </c>
    </row>
    <row r="380" spans="1:4" x14ac:dyDescent="0.2">
      <c r="A380" s="3" t="s">
        <v>457</v>
      </c>
      <c r="B380" s="3" t="s">
        <v>1159</v>
      </c>
      <c r="C380" s="3" t="s">
        <v>994</v>
      </c>
      <c r="D380" s="3" t="s">
        <v>1012</v>
      </c>
    </row>
    <row r="381" spans="1:4" x14ac:dyDescent="0.2">
      <c r="A381" s="3" t="s">
        <v>458</v>
      </c>
      <c r="B381" s="3" t="s">
        <v>1159</v>
      </c>
      <c r="C381" s="3" t="s">
        <v>994</v>
      </c>
      <c r="D381" s="3" t="s">
        <v>1012</v>
      </c>
    </row>
    <row r="382" spans="1:4" x14ac:dyDescent="0.2">
      <c r="A382" s="3" t="s">
        <v>459</v>
      </c>
      <c r="B382" s="3" t="s">
        <v>1159</v>
      </c>
      <c r="C382" s="3" t="s">
        <v>994</v>
      </c>
      <c r="D382" s="3" t="s">
        <v>1012</v>
      </c>
    </row>
    <row r="383" spans="1:4" x14ac:dyDescent="0.2">
      <c r="A383" s="3" t="s">
        <v>461</v>
      </c>
      <c r="B383" s="3" t="s">
        <v>1159</v>
      </c>
      <c r="C383" s="3" t="s">
        <v>994</v>
      </c>
      <c r="D383" s="3" t="s">
        <v>1012</v>
      </c>
    </row>
    <row r="384" spans="1:4" x14ac:dyDescent="0.2">
      <c r="A384" s="3" t="s">
        <v>462</v>
      </c>
      <c r="B384" s="3" t="s">
        <v>1159</v>
      </c>
      <c r="C384" s="3" t="s">
        <v>994</v>
      </c>
      <c r="D384" s="3" t="s">
        <v>1012</v>
      </c>
    </row>
    <row r="385" spans="1:4" x14ac:dyDescent="0.2">
      <c r="A385" s="3" t="s">
        <v>463</v>
      </c>
      <c r="B385" s="3" t="s">
        <v>1159</v>
      </c>
      <c r="C385" s="3" t="s">
        <v>994</v>
      </c>
      <c r="D385" s="3" t="s">
        <v>1012</v>
      </c>
    </row>
    <row r="386" spans="1:4" x14ac:dyDescent="0.2">
      <c r="A386" s="3" t="s">
        <v>464</v>
      </c>
      <c r="B386" s="3" t="s">
        <v>1159</v>
      </c>
      <c r="C386" s="3" t="s">
        <v>994</v>
      </c>
      <c r="D386" s="3" t="s">
        <v>1012</v>
      </c>
    </row>
    <row r="387" spans="1:4" x14ac:dyDescent="0.2">
      <c r="A387" s="3" t="s">
        <v>465</v>
      </c>
      <c r="B387" s="3" t="s">
        <v>1159</v>
      </c>
      <c r="C387" s="3" t="s">
        <v>994</v>
      </c>
      <c r="D387" s="3" t="s">
        <v>1012</v>
      </c>
    </row>
    <row r="388" spans="1:4" x14ac:dyDescent="0.2">
      <c r="A388" s="3" t="s">
        <v>466</v>
      </c>
      <c r="B388" s="3" t="s">
        <v>1159</v>
      </c>
      <c r="C388" s="3" t="s">
        <v>994</v>
      </c>
      <c r="D388" s="3" t="s">
        <v>1012</v>
      </c>
    </row>
    <row r="389" spans="1:4" x14ac:dyDescent="0.2">
      <c r="A389" s="3" t="s">
        <v>467</v>
      </c>
      <c r="B389" s="3" t="s">
        <v>1159</v>
      </c>
      <c r="C389" s="3" t="s">
        <v>994</v>
      </c>
      <c r="D389" s="3" t="s">
        <v>1012</v>
      </c>
    </row>
    <row r="390" spans="1:4" x14ac:dyDescent="0.2">
      <c r="A390" s="3" t="s">
        <v>468</v>
      </c>
      <c r="B390" s="3" t="s">
        <v>1159</v>
      </c>
      <c r="C390" s="3" t="s">
        <v>994</v>
      </c>
      <c r="D390" s="3" t="s">
        <v>1012</v>
      </c>
    </row>
    <row r="391" spans="1:4" x14ac:dyDescent="0.2">
      <c r="A391" s="3" t="s">
        <v>469</v>
      </c>
      <c r="B391" s="3" t="s">
        <v>1159</v>
      </c>
      <c r="C391" s="3" t="s">
        <v>994</v>
      </c>
      <c r="D391" s="3" t="s">
        <v>1012</v>
      </c>
    </row>
    <row r="392" spans="1:4" x14ac:dyDescent="0.2">
      <c r="A392" s="3" t="s">
        <v>930</v>
      </c>
      <c r="B392" s="3" t="s">
        <v>1159</v>
      </c>
      <c r="C392" s="3" t="s">
        <v>994</v>
      </c>
      <c r="D392" s="3" t="s">
        <v>1012</v>
      </c>
    </row>
    <row r="393" spans="1:4" x14ac:dyDescent="0.2">
      <c r="A393" s="3" t="s">
        <v>470</v>
      </c>
      <c r="B393" s="3" t="s">
        <v>1159</v>
      </c>
      <c r="C393" s="3" t="s">
        <v>994</v>
      </c>
      <c r="D393" s="3" t="s">
        <v>1012</v>
      </c>
    </row>
    <row r="394" spans="1:4" x14ac:dyDescent="0.2">
      <c r="A394" s="3" t="s">
        <v>471</v>
      </c>
      <c r="B394" s="3" t="s">
        <v>1159</v>
      </c>
      <c r="C394" s="3" t="s">
        <v>994</v>
      </c>
      <c r="D394" s="3" t="s">
        <v>1012</v>
      </c>
    </row>
    <row r="395" spans="1:4" x14ac:dyDescent="0.2">
      <c r="A395" s="3" t="s">
        <v>472</v>
      </c>
      <c r="B395" s="3" t="s">
        <v>1159</v>
      </c>
      <c r="C395" s="3" t="s">
        <v>994</v>
      </c>
      <c r="D395" s="3" t="s">
        <v>1012</v>
      </c>
    </row>
    <row r="396" spans="1:4" x14ac:dyDescent="0.2">
      <c r="A396" s="3" t="s">
        <v>474</v>
      </c>
      <c r="B396" s="3" t="s">
        <v>1159</v>
      </c>
      <c r="C396" s="3" t="s">
        <v>994</v>
      </c>
      <c r="D396" s="3" t="s">
        <v>1012</v>
      </c>
    </row>
    <row r="397" spans="1:4" x14ac:dyDescent="0.2">
      <c r="A397" s="3" t="s">
        <v>475</v>
      </c>
      <c r="B397" s="3" t="s">
        <v>1159</v>
      </c>
      <c r="C397" s="3" t="s">
        <v>994</v>
      </c>
      <c r="D397" s="3" t="s">
        <v>1012</v>
      </c>
    </row>
    <row r="398" spans="1:4" x14ac:dyDescent="0.2">
      <c r="A398" s="3" t="s">
        <v>476</v>
      </c>
      <c r="B398" s="3" t="s">
        <v>1159</v>
      </c>
      <c r="C398" s="3" t="s">
        <v>994</v>
      </c>
      <c r="D398" s="3" t="s">
        <v>1012</v>
      </c>
    </row>
    <row r="399" spans="1:4" x14ac:dyDescent="0.2">
      <c r="A399" s="7" t="s">
        <v>477</v>
      </c>
      <c r="B399" s="3" t="s">
        <v>1159</v>
      </c>
      <c r="C399" s="3" t="s">
        <v>994</v>
      </c>
      <c r="D399" s="3" t="s">
        <v>1012</v>
      </c>
    </row>
    <row r="400" spans="1:4" x14ac:dyDescent="0.2">
      <c r="A400" s="3" t="s">
        <v>478</v>
      </c>
      <c r="B400" s="3" t="s">
        <v>1159</v>
      </c>
      <c r="C400" s="3" t="s">
        <v>994</v>
      </c>
      <c r="D400" s="3" t="s">
        <v>1012</v>
      </c>
    </row>
    <row r="401" spans="1:4" x14ac:dyDescent="0.2">
      <c r="A401" s="3" t="s">
        <v>479</v>
      </c>
      <c r="B401" s="3" t="s">
        <v>1159</v>
      </c>
      <c r="C401" s="3" t="s">
        <v>994</v>
      </c>
      <c r="D401" s="3" t="s">
        <v>1012</v>
      </c>
    </row>
    <row r="402" spans="1:4" x14ac:dyDescent="0.2">
      <c r="A402" s="3" t="s">
        <v>480</v>
      </c>
      <c r="B402" s="3" t="s">
        <v>1159</v>
      </c>
      <c r="C402" s="3" t="s">
        <v>994</v>
      </c>
      <c r="D402" s="3" t="s">
        <v>1012</v>
      </c>
    </row>
    <row r="403" spans="1:4" x14ac:dyDescent="0.2">
      <c r="A403" s="3" t="s">
        <v>929</v>
      </c>
      <c r="B403" s="3" t="s">
        <v>1159</v>
      </c>
      <c r="C403" s="3" t="s">
        <v>994</v>
      </c>
      <c r="D403" s="3" t="s">
        <v>1012</v>
      </c>
    </row>
    <row r="404" spans="1:4" x14ac:dyDescent="0.2">
      <c r="A404" s="3" t="s">
        <v>928</v>
      </c>
      <c r="B404" s="3" t="s">
        <v>1159</v>
      </c>
      <c r="C404" s="3" t="s">
        <v>994</v>
      </c>
      <c r="D404" s="3" t="s">
        <v>1012</v>
      </c>
    </row>
    <row r="405" spans="1:4" x14ac:dyDescent="0.2">
      <c r="A405" s="3" t="s">
        <v>394</v>
      </c>
      <c r="B405" s="3" t="s">
        <v>1</v>
      </c>
      <c r="C405" s="3" t="s">
        <v>17</v>
      </c>
      <c r="D405" s="3" t="s">
        <v>1014</v>
      </c>
    </row>
    <row r="406" spans="1:4" x14ac:dyDescent="0.2">
      <c r="A406" s="3" t="s">
        <v>387</v>
      </c>
      <c r="B406" s="3" t="s">
        <v>1</v>
      </c>
      <c r="C406" s="3" t="s">
        <v>2</v>
      </c>
      <c r="D406" s="3" t="s">
        <v>1013</v>
      </c>
    </row>
    <row r="407" spans="1:4" x14ac:dyDescent="0.2">
      <c r="A407" s="3" t="s">
        <v>926</v>
      </c>
      <c r="B407" s="3" t="s">
        <v>1</v>
      </c>
      <c r="C407" s="3" t="s">
        <v>22</v>
      </c>
      <c r="D407" s="3" t="s">
        <v>1017</v>
      </c>
    </row>
    <row r="408" spans="1:4" x14ac:dyDescent="0.2">
      <c r="A408" s="3" t="s">
        <v>396</v>
      </c>
      <c r="B408" s="3" t="s">
        <v>1</v>
      </c>
      <c r="C408" s="3" t="s">
        <v>17</v>
      </c>
      <c r="D408" s="3" t="s">
        <v>1016</v>
      </c>
    </row>
    <row r="409" spans="1:4" x14ac:dyDescent="0.2">
      <c r="A409" s="3" t="s">
        <v>344</v>
      </c>
      <c r="B409" s="3" t="s">
        <v>1</v>
      </c>
      <c r="C409" s="3" t="s">
        <v>17</v>
      </c>
      <c r="D409" s="3" t="s">
        <v>998</v>
      </c>
    </row>
    <row r="410" spans="1:4" x14ac:dyDescent="0.2">
      <c r="A410" s="3" t="s">
        <v>397</v>
      </c>
      <c r="B410" s="3" t="s">
        <v>1</v>
      </c>
      <c r="C410" s="3" t="s">
        <v>17</v>
      </c>
      <c r="D410" s="3" t="s">
        <v>998</v>
      </c>
    </row>
    <row r="411" spans="1:4" x14ac:dyDescent="0.2">
      <c r="A411" s="3" t="s">
        <v>398</v>
      </c>
      <c r="B411" s="3" t="s">
        <v>1</v>
      </c>
      <c r="C411" s="3" t="s">
        <v>17</v>
      </c>
      <c r="D411" s="3" t="s">
        <v>998</v>
      </c>
    </row>
    <row r="412" spans="1:4" x14ac:dyDescent="0.2">
      <c r="A412" s="3" t="s">
        <v>399</v>
      </c>
      <c r="B412" s="3" t="s">
        <v>1</v>
      </c>
      <c r="C412" s="3" t="s">
        <v>17</v>
      </c>
      <c r="D412" s="3" t="s">
        <v>998</v>
      </c>
    </row>
    <row r="413" spans="1:4" x14ac:dyDescent="0.2">
      <c r="A413" s="3" t="s">
        <v>408</v>
      </c>
      <c r="B413" s="3" t="s">
        <v>950</v>
      </c>
      <c r="C413" s="3" t="s">
        <v>17</v>
      </c>
      <c r="D413" s="3" t="s">
        <v>1000</v>
      </c>
    </row>
    <row r="414" spans="1:4" x14ac:dyDescent="0.2">
      <c r="A414" s="3" t="s">
        <v>927</v>
      </c>
      <c r="B414" s="3" t="s">
        <v>950</v>
      </c>
      <c r="C414" s="3" t="s">
        <v>17</v>
      </c>
      <c r="D414" s="3" t="s">
        <v>1000</v>
      </c>
    </row>
    <row r="415" spans="1:4" x14ac:dyDescent="0.2">
      <c r="A415" s="25" t="s">
        <v>412</v>
      </c>
      <c r="B415" s="3" t="s">
        <v>950</v>
      </c>
      <c r="C415" s="3" t="s">
        <v>17</v>
      </c>
      <c r="D415" s="3" t="s">
        <v>1000</v>
      </c>
    </row>
    <row r="416" spans="1:4" x14ac:dyDescent="0.2">
      <c r="A416" s="3" t="s">
        <v>413</v>
      </c>
      <c r="B416" s="3" t="s">
        <v>950</v>
      </c>
      <c r="C416" s="3" t="s">
        <v>17</v>
      </c>
      <c r="D416" s="3" t="s">
        <v>1000</v>
      </c>
    </row>
    <row r="417" spans="1:4" x14ac:dyDescent="0.2">
      <c r="A417" s="25" t="s">
        <v>884</v>
      </c>
      <c r="B417" s="3" t="s">
        <v>944</v>
      </c>
      <c r="C417" s="3" t="s">
        <v>945</v>
      </c>
      <c r="D417" s="3" t="s">
        <v>946</v>
      </c>
    </row>
    <row r="418" spans="1:4" x14ac:dyDescent="0.2">
      <c r="A418" s="7" t="s">
        <v>885</v>
      </c>
      <c r="B418" s="3" t="s">
        <v>944</v>
      </c>
      <c r="C418" s="3" t="s">
        <v>945</v>
      </c>
      <c r="D418" s="3" t="s">
        <v>946</v>
      </c>
    </row>
    <row r="419" spans="1:4" x14ac:dyDescent="0.2">
      <c r="A419" s="1" t="s">
        <v>886</v>
      </c>
      <c r="B419" s="3" t="s">
        <v>944</v>
      </c>
      <c r="C419" s="3" t="s">
        <v>945</v>
      </c>
      <c r="D419" s="3" t="s">
        <v>946</v>
      </c>
    </row>
    <row r="420" spans="1:4" x14ac:dyDescent="0.2">
      <c r="A420" s="1" t="s">
        <v>887</v>
      </c>
      <c r="B420" s="3" t="s">
        <v>944</v>
      </c>
      <c r="C420" s="3" t="s">
        <v>945</v>
      </c>
      <c r="D420" s="3" t="s">
        <v>946</v>
      </c>
    </row>
    <row r="421" spans="1:4" x14ac:dyDescent="0.2">
      <c r="A421" s="1" t="s">
        <v>888</v>
      </c>
      <c r="B421" s="3" t="s">
        <v>944</v>
      </c>
      <c r="C421" s="3" t="s">
        <v>945</v>
      </c>
      <c r="D421" s="3" t="s">
        <v>946</v>
      </c>
    </row>
    <row r="422" spans="1:4" x14ac:dyDescent="0.2">
      <c r="A422" s="1" t="s">
        <v>889</v>
      </c>
      <c r="B422" s="3" t="s">
        <v>944</v>
      </c>
      <c r="C422" s="3" t="s">
        <v>945</v>
      </c>
      <c r="D422" s="3" t="s">
        <v>946</v>
      </c>
    </row>
    <row r="423" spans="1:4" x14ac:dyDescent="0.2">
      <c r="A423" s="1" t="s">
        <v>890</v>
      </c>
      <c r="B423" s="3" t="s">
        <v>944</v>
      </c>
      <c r="C423" s="3" t="s">
        <v>945</v>
      </c>
      <c r="D423" s="3" t="s">
        <v>946</v>
      </c>
    </row>
    <row r="424" spans="1:4" x14ac:dyDescent="0.2">
      <c r="A424" s="1" t="s">
        <v>891</v>
      </c>
      <c r="B424" s="3" t="s">
        <v>944</v>
      </c>
      <c r="C424" s="3" t="s">
        <v>945</v>
      </c>
      <c r="D424" s="3" t="s">
        <v>946</v>
      </c>
    </row>
    <row r="425" spans="1:4" x14ac:dyDescent="0.2">
      <c r="A425" s="7" t="s">
        <v>892</v>
      </c>
      <c r="B425" s="3" t="s">
        <v>944</v>
      </c>
      <c r="C425" s="3" t="s">
        <v>945</v>
      </c>
      <c r="D425" s="3" t="s">
        <v>946</v>
      </c>
    </row>
    <row r="426" spans="1:4" x14ac:dyDescent="0.2">
      <c r="A426" s="7" t="s">
        <v>893</v>
      </c>
      <c r="B426" s="3" t="s">
        <v>944</v>
      </c>
      <c r="C426" s="3" t="s">
        <v>945</v>
      </c>
      <c r="D426" s="3" t="s">
        <v>946</v>
      </c>
    </row>
    <row r="427" spans="1:4" x14ac:dyDescent="0.2">
      <c r="A427" s="1" t="s">
        <v>894</v>
      </c>
      <c r="B427" s="3" t="s">
        <v>944</v>
      </c>
      <c r="C427" s="3" t="s">
        <v>945</v>
      </c>
      <c r="D427" s="3" t="s">
        <v>946</v>
      </c>
    </row>
    <row r="428" spans="1:4" x14ac:dyDescent="0.2">
      <c r="A428" s="1" t="s">
        <v>895</v>
      </c>
      <c r="B428" s="3" t="s">
        <v>944</v>
      </c>
      <c r="C428" s="3" t="s">
        <v>945</v>
      </c>
      <c r="D428" s="3" t="s">
        <v>946</v>
      </c>
    </row>
    <row r="429" spans="1:4" x14ac:dyDescent="0.2">
      <c r="A429" s="1" t="s">
        <v>896</v>
      </c>
      <c r="B429" s="3" t="s">
        <v>944</v>
      </c>
      <c r="C429" s="3" t="s">
        <v>945</v>
      </c>
      <c r="D429" s="3" t="s">
        <v>946</v>
      </c>
    </row>
    <row r="430" spans="1:4" x14ac:dyDescent="0.2">
      <c r="A430" s="1" t="s">
        <v>897</v>
      </c>
      <c r="B430" s="3" t="s">
        <v>944</v>
      </c>
      <c r="C430" s="3" t="s">
        <v>945</v>
      </c>
      <c r="D430" s="3" t="s">
        <v>946</v>
      </c>
    </row>
    <row r="431" spans="1:4" x14ac:dyDescent="0.2">
      <c r="A431" s="1" t="s">
        <v>898</v>
      </c>
      <c r="B431" s="3" t="s">
        <v>944</v>
      </c>
      <c r="C431" s="3" t="s">
        <v>945</v>
      </c>
      <c r="D431" s="3" t="s">
        <v>946</v>
      </c>
    </row>
    <row r="432" spans="1:4" x14ac:dyDescent="0.2">
      <c r="A432" s="1" t="s">
        <v>899</v>
      </c>
      <c r="B432" s="3" t="s">
        <v>944</v>
      </c>
      <c r="C432" s="3" t="s">
        <v>945</v>
      </c>
      <c r="D432" s="3" t="s">
        <v>946</v>
      </c>
    </row>
    <row r="433" spans="1:4" x14ac:dyDescent="0.2">
      <c r="A433" s="1" t="s">
        <v>900</v>
      </c>
      <c r="B433" s="3" t="s">
        <v>944</v>
      </c>
      <c r="C433" s="3" t="s">
        <v>945</v>
      </c>
      <c r="D433" s="3" t="s">
        <v>946</v>
      </c>
    </row>
    <row r="434" spans="1:4" x14ac:dyDescent="0.2">
      <c r="A434" s="1" t="s">
        <v>901</v>
      </c>
      <c r="B434" s="3" t="s">
        <v>944</v>
      </c>
      <c r="C434" s="3" t="s">
        <v>945</v>
      </c>
      <c r="D434" s="3" t="s">
        <v>946</v>
      </c>
    </row>
    <row r="435" spans="1:4" x14ac:dyDescent="0.2">
      <c r="A435" s="1" t="s">
        <v>902</v>
      </c>
      <c r="B435" s="3" t="s">
        <v>944</v>
      </c>
      <c r="C435" s="3" t="s">
        <v>945</v>
      </c>
      <c r="D435" s="3" t="s">
        <v>946</v>
      </c>
    </row>
    <row r="436" spans="1:4" x14ac:dyDescent="0.2">
      <c r="A436" s="1" t="s">
        <v>903</v>
      </c>
      <c r="B436" s="3" t="s">
        <v>944</v>
      </c>
      <c r="C436" s="3" t="s">
        <v>945</v>
      </c>
      <c r="D436" s="3" t="s">
        <v>946</v>
      </c>
    </row>
    <row r="437" spans="1:4" x14ac:dyDescent="0.2">
      <c r="A437" s="1" t="s">
        <v>904</v>
      </c>
      <c r="B437" s="3" t="s">
        <v>944</v>
      </c>
      <c r="C437" s="3" t="s">
        <v>945</v>
      </c>
      <c r="D437" s="3" t="s">
        <v>946</v>
      </c>
    </row>
    <row r="438" spans="1:4" x14ac:dyDescent="0.2">
      <c r="A438" s="1" t="s">
        <v>905</v>
      </c>
      <c r="B438" s="3" t="s">
        <v>944</v>
      </c>
      <c r="C438" s="3" t="s">
        <v>945</v>
      </c>
      <c r="D438" s="3" t="s">
        <v>946</v>
      </c>
    </row>
    <row r="439" spans="1:4" x14ac:dyDescent="0.2">
      <c r="A439" s="1" t="s">
        <v>906</v>
      </c>
      <c r="B439" s="3" t="s">
        <v>944</v>
      </c>
      <c r="C439" s="3" t="s">
        <v>945</v>
      </c>
      <c r="D439" s="3" t="s">
        <v>946</v>
      </c>
    </row>
    <row r="440" spans="1:4" x14ac:dyDescent="0.2">
      <c r="A440" s="1" t="s">
        <v>907</v>
      </c>
      <c r="B440" s="3" t="s">
        <v>944</v>
      </c>
      <c r="C440" s="3" t="s">
        <v>945</v>
      </c>
      <c r="D440" s="3" t="s">
        <v>946</v>
      </c>
    </row>
    <row r="441" spans="1:4" x14ac:dyDescent="0.2">
      <c r="A441" s="1" t="s">
        <v>908</v>
      </c>
      <c r="B441" s="3" t="s">
        <v>944</v>
      </c>
      <c r="C441" s="3" t="s">
        <v>945</v>
      </c>
      <c r="D441" s="3" t="s">
        <v>946</v>
      </c>
    </row>
    <row r="442" spans="1:4" x14ac:dyDescent="0.2">
      <c r="A442" s="1" t="s">
        <v>909</v>
      </c>
      <c r="B442" s="3" t="s">
        <v>944</v>
      </c>
      <c r="C442" s="3" t="s">
        <v>945</v>
      </c>
      <c r="D442" s="3" t="s">
        <v>946</v>
      </c>
    </row>
    <row r="443" spans="1:4" x14ac:dyDescent="0.2">
      <c r="A443" s="7" t="s">
        <v>460</v>
      </c>
      <c r="B443" s="3" t="s">
        <v>1159</v>
      </c>
      <c r="C443" s="3" t="s">
        <v>994</v>
      </c>
      <c r="D443" s="3" t="s">
        <v>1012</v>
      </c>
    </row>
  </sheetData>
  <sortState ref="A2:D438">
    <sortCondition ref="D2:D438"/>
  </sortState>
  <customSheetViews>
    <customSheetView guid="{3E3401AF-8459-8641-BD70-AD04F80E86ED}">
      <pane ySplit="1" topLeftCell="A265" activePane="bottomLeft" state="frozenSplit"/>
      <selection pane="bottomLeft" activeCell="D1" sqref="D1:D1048576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6"/>
  <sheetViews>
    <sheetView zoomScale="142" zoomScaleNormal="142" zoomScalePageLayoutView="142" workbookViewId="0">
      <selection activeCell="G15" sqref="G15"/>
    </sheetView>
  </sheetViews>
  <sheetFormatPr baseColWidth="10" defaultColWidth="10.83203125" defaultRowHeight="16" x14ac:dyDescent="0.2"/>
  <cols>
    <col min="1" max="1" width="10.83203125" style="3"/>
    <col min="2" max="2" width="19.33203125" style="3" customWidth="1"/>
    <col min="3" max="3" width="13.33203125" style="3" bestFit="1" customWidth="1"/>
    <col min="4" max="4" width="5.6640625" style="3" bestFit="1" customWidth="1"/>
    <col min="5" max="5" width="7.5" style="3" bestFit="1" customWidth="1"/>
    <col min="6" max="6" width="7.83203125" style="3" bestFit="1" customWidth="1"/>
    <col min="7" max="7" width="10.83203125" style="3"/>
    <col min="8" max="8" width="5" style="3" bestFit="1" customWidth="1"/>
    <col min="9" max="9" width="9.1640625" style="16" customWidth="1"/>
    <col min="10" max="10" width="9.5" style="2" customWidth="1"/>
    <col min="11" max="13" width="6.5" style="2" customWidth="1"/>
    <col min="14" max="14" width="7.6640625" style="2" customWidth="1"/>
    <col min="15" max="15" width="7.5" style="2" customWidth="1"/>
    <col min="16" max="16" width="3" style="15" customWidth="1"/>
    <col min="17" max="17" width="6" style="16" bestFit="1" customWidth="1"/>
    <col min="18" max="18" width="7" style="3" bestFit="1" customWidth="1"/>
    <col min="19" max="19" width="6" style="3" customWidth="1"/>
    <col min="20" max="20" width="9.83203125" style="3" bestFit="1" customWidth="1"/>
    <col min="21" max="21" width="6" style="16" bestFit="1" customWidth="1"/>
    <col min="22" max="22" width="8.1640625" style="3" bestFit="1" customWidth="1"/>
    <col min="23" max="23" width="9.83203125" style="23" bestFit="1" customWidth="1"/>
    <col min="24" max="24" width="10.83203125" style="16"/>
    <col min="25" max="16384" width="10.83203125" style="3"/>
  </cols>
  <sheetData>
    <row r="1" spans="1:24" s="17" customFormat="1" ht="17" thickBot="1" x14ac:dyDescent="0.25">
      <c r="B1" s="17" t="s">
        <v>1129</v>
      </c>
      <c r="C1" s="17" t="s">
        <v>31</v>
      </c>
      <c r="D1" s="17" t="s">
        <v>30</v>
      </c>
      <c r="E1" s="17" t="s">
        <v>1101</v>
      </c>
      <c r="F1" s="17" t="s">
        <v>1099</v>
      </c>
      <c r="G1" s="17" t="s">
        <v>1116</v>
      </c>
      <c r="H1" s="17" t="s">
        <v>1100</v>
      </c>
      <c r="I1" s="83" t="s">
        <v>1146</v>
      </c>
      <c r="J1" s="19" t="s">
        <v>1138</v>
      </c>
      <c r="K1" s="19" t="s">
        <v>1136</v>
      </c>
      <c r="L1" s="19" t="s">
        <v>1135</v>
      </c>
      <c r="M1" s="19" t="s">
        <v>1137</v>
      </c>
      <c r="N1" s="19" t="s">
        <v>1139</v>
      </c>
      <c r="O1" s="19" t="s">
        <v>1108</v>
      </c>
      <c r="P1" s="17" t="s">
        <v>1021</v>
      </c>
      <c r="Q1" s="17" t="s">
        <v>1103</v>
      </c>
      <c r="R1" s="17" t="s">
        <v>1130</v>
      </c>
      <c r="S1" s="17" t="s">
        <v>1127</v>
      </c>
      <c r="T1" s="17" t="s">
        <v>1126</v>
      </c>
      <c r="U1" s="17" t="s">
        <v>1134</v>
      </c>
      <c r="V1" s="17" t="s">
        <v>1132</v>
      </c>
      <c r="W1" s="22" t="s">
        <v>1133</v>
      </c>
      <c r="X1" s="17" t="s">
        <v>1110</v>
      </c>
    </row>
    <row r="2" spans="1:24" ht="17" thickTop="1" x14ac:dyDescent="0.2">
      <c r="A2" s="3" t="s">
        <v>1140</v>
      </c>
      <c r="B2" s="3" t="str">
        <f t="shared" ref="B2:B13" si="0">CONCATENATE(C2,"_",D2)</f>
        <v>US28_hcmva_4XT1</v>
      </c>
      <c r="C2" s="2" t="s">
        <v>42</v>
      </c>
      <c r="D2" s="3" t="s">
        <v>1124</v>
      </c>
      <c r="E2" s="3" t="s">
        <v>1106</v>
      </c>
      <c r="F2" s="3" t="s">
        <v>1112</v>
      </c>
      <c r="G2" s="3" t="s">
        <v>1125</v>
      </c>
      <c r="H2" s="3" t="s">
        <v>1115</v>
      </c>
      <c r="I2" s="16" t="s">
        <v>1143</v>
      </c>
      <c r="J2" s="18" t="e">
        <f>VLOOKUP(CONCATENATE(B2,"_TM6"),#REF!,13,FALSE)-VLOOKUP(CONCATENATE(B2,"_TM5"),#REF!,13,FALSE)</f>
        <v>#REF!</v>
      </c>
      <c r="K2" s="18" t="e">
        <f t="shared" ref="K2:K12" si="1">U2-R2-1</f>
        <v>#REF!</v>
      </c>
      <c r="L2" s="18" t="e">
        <f>K2</f>
        <v>#REF!</v>
      </c>
      <c r="M2" s="18" t="e">
        <f t="shared" ref="M2:M12" si="2">K2-L2</f>
        <v>#REF!</v>
      </c>
      <c r="N2" s="18" t="e">
        <f>J2-K2</f>
        <v>#REF!</v>
      </c>
      <c r="O2" s="18" t="s">
        <v>1128</v>
      </c>
      <c r="R2" s="3" t="e">
        <f>VLOOKUP(CONCATENATE(B2,"_TM5"),#REF!,15,FALSE)</f>
        <v>#REF!</v>
      </c>
      <c r="S2" s="3" t="e">
        <f>VLOOKUP(CONCATENATE(B2,"_TM5"),#REF!,15,FALSE)-VLOOKUP(CONCATENATE(B2,"_TM5"),#REF!,13,FALSE)+50</f>
        <v>#REF!</v>
      </c>
      <c r="T2" s="3">
        <v>66</v>
      </c>
      <c r="U2" s="16" t="e">
        <f>VLOOKUP(CONCATENATE(B2,"_TM6"),#REF!,12,FALSE)</f>
        <v>#REF!</v>
      </c>
      <c r="V2" s="3" t="e">
        <f>VLOOKUP(CONCATENATE(B2,"_TM6"),#REF!,12,FALSE)-VLOOKUP(CONCATENATE(B2,"_TM6"),#REF!,13,FALSE)+50</f>
        <v>#REF!</v>
      </c>
      <c r="W2" s="23" t="e">
        <f>VLOOKUP(CONCATENATE(B2,"_TM6"),#REF!,15,FALSE)</f>
        <v>#REF!</v>
      </c>
      <c r="X2" s="84" t="s">
        <v>1123</v>
      </c>
    </row>
    <row r="3" spans="1:24" x14ac:dyDescent="0.2">
      <c r="A3" s="3" t="s">
        <v>1142</v>
      </c>
      <c r="B3" s="3" t="str">
        <f t="shared" si="0"/>
        <v>OPRM_mouse_5C1M</v>
      </c>
      <c r="C3" s="3" t="s">
        <v>44</v>
      </c>
      <c r="D3" s="3" t="s">
        <v>84</v>
      </c>
      <c r="E3" s="3" t="s">
        <v>1106</v>
      </c>
      <c r="F3" s="3" t="s">
        <v>1112</v>
      </c>
      <c r="G3" s="3" t="s">
        <v>1125</v>
      </c>
      <c r="H3" s="3" t="s">
        <v>1115</v>
      </c>
      <c r="I3" s="16" t="s">
        <v>1143</v>
      </c>
      <c r="J3" s="18" t="e">
        <f>VLOOKUP(CONCATENATE(B3,"_TM6"),#REF!,13,FALSE)-VLOOKUP(CONCATENATE(B3,"_TM5"),#REF!,13,FALSE)</f>
        <v>#REF!</v>
      </c>
      <c r="K3" s="18" t="e">
        <f t="shared" si="1"/>
        <v>#REF!</v>
      </c>
      <c r="L3" s="18" t="e">
        <f>K3</f>
        <v>#REF!</v>
      </c>
      <c r="M3" s="18" t="e">
        <f t="shared" si="2"/>
        <v>#REF!</v>
      </c>
      <c r="N3" s="18" t="e">
        <f>J3-K3</f>
        <v>#REF!</v>
      </c>
      <c r="O3" s="18" t="s">
        <v>1128</v>
      </c>
      <c r="R3" s="3" t="e">
        <f>VLOOKUP(CONCATENATE(B3,"_TM5"),#REF!,15,FALSE)</f>
        <v>#REF!</v>
      </c>
      <c r="S3" s="3" t="e">
        <f>VLOOKUP(CONCATENATE(B3,"_TM5"),#REF!,15,FALSE)-VLOOKUP(CONCATENATE(B3,"_TM5"),#REF!,13,FALSE)+50</f>
        <v>#REF!</v>
      </c>
      <c r="T3" s="3">
        <v>68</v>
      </c>
      <c r="U3" s="16" t="e">
        <f>VLOOKUP(CONCATENATE(B3,"_TM6"),#REF!,12,FALSE)</f>
        <v>#REF!</v>
      </c>
      <c r="V3" s="3" t="e">
        <f>VLOOKUP(CONCATENATE(B3,"_TM6"),#REF!,12,FALSE)-VLOOKUP(CONCATENATE(B3,"_TM6"),#REF!,13,FALSE)+50</f>
        <v>#REF!</v>
      </c>
      <c r="W3" s="23" t="e">
        <f>VLOOKUP(CONCATENATE(B3,"_TM6"),#REF!,15,FALSE)</f>
        <v>#REF!</v>
      </c>
      <c r="X3" s="84" t="s">
        <v>1123</v>
      </c>
    </row>
    <row r="4" spans="1:24" x14ac:dyDescent="0.2">
      <c r="A4" s="3" t="s">
        <v>1141</v>
      </c>
      <c r="B4" s="3" t="str">
        <f t="shared" si="0"/>
        <v>OPSD_bovin_3DQB</v>
      </c>
      <c r="C4" s="3" t="s">
        <v>43</v>
      </c>
      <c r="D4" s="14" t="s">
        <v>54</v>
      </c>
      <c r="E4" s="3" t="s">
        <v>1106</v>
      </c>
      <c r="F4" s="14" t="s">
        <v>24</v>
      </c>
      <c r="G4" s="3" t="s">
        <v>1125</v>
      </c>
      <c r="H4" s="3" t="s">
        <v>1115</v>
      </c>
      <c r="I4" s="16" t="s">
        <v>1143</v>
      </c>
      <c r="J4" s="18" t="e">
        <f>VLOOKUP(CONCATENATE(B4,"_TM6"),#REF!,13,FALSE)-VLOOKUP(CONCATENATE(B4,"_TM5"),#REF!,13,FALSE)</f>
        <v>#REF!</v>
      </c>
      <c r="K4" s="18" t="e">
        <f t="shared" si="1"/>
        <v>#REF!</v>
      </c>
      <c r="L4" s="18" t="e">
        <f>K4</f>
        <v>#REF!</v>
      </c>
      <c r="M4" s="18" t="e">
        <f t="shared" si="2"/>
        <v>#REF!</v>
      </c>
      <c r="N4" s="18" t="e">
        <f>J4-K4</f>
        <v>#REF!</v>
      </c>
      <c r="O4" s="18" t="s">
        <v>1118</v>
      </c>
      <c r="P4" s="15" t="s">
        <v>1020</v>
      </c>
      <c r="Q4" s="16">
        <v>237</v>
      </c>
      <c r="R4" s="3" t="e">
        <f>VLOOKUP(CONCATENATE(B4,"_TM5"),#REF!,15,FALSE)</f>
        <v>#REF!</v>
      </c>
      <c r="S4" s="3" t="e">
        <f>VLOOKUP(CONCATENATE(B4,"_TM5"),#REF!,15,FALSE)-VLOOKUP(CONCATENATE(B4,"_TM5"),#REF!,13,FALSE)+50</f>
        <v>#REF!</v>
      </c>
      <c r="T4" s="3">
        <v>72</v>
      </c>
      <c r="U4" s="16" t="e">
        <f>VLOOKUP(CONCATENATE(B4,"_TM6"),#REF!,12,FALSE)</f>
        <v>#REF!</v>
      </c>
      <c r="V4" s="3" t="e">
        <f>VLOOKUP(CONCATENATE(B4,"_TM6"),#REF!,12,FALSE)-VLOOKUP(CONCATENATE(B4,"_TM6"),#REF!,13,FALSE)+50</f>
        <v>#REF!</v>
      </c>
      <c r="W4" s="23" t="e">
        <f>VLOOKUP(CONCATENATE(B4,"_TM6"),#REF!,15,FALSE)</f>
        <v>#REF!</v>
      </c>
    </row>
    <row r="5" spans="1:24" x14ac:dyDescent="0.2">
      <c r="B5" s="3" t="str">
        <f t="shared" si="0"/>
        <v>AA2AR_human_2YDV</v>
      </c>
      <c r="C5" s="2" t="s">
        <v>36</v>
      </c>
      <c r="D5" s="14" t="s">
        <v>80</v>
      </c>
      <c r="E5" s="3" t="s">
        <v>1106</v>
      </c>
      <c r="F5" s="3" t="s">
        <v>1102</v>
      </c>
      <c r="G5" s="3" t="s">
        <v>1125</v>
      </c>
      <c r="H5" s="3" t="s">
        <v>1115</v>
      </c>
      <c r="I5" s="16" t="s">
        <v>1144</v>
      </c>
      <c r="J5" s="18" t="e">
        <f>VLOOKUP(CONCATENATE(B5,"_TM6"),#REF!,13,FALSE)-VLOOKUP(CONCATENATE(B5,"_TM5"),#REF!,13,FALSE)</f>
        <v>#REF!</v>
      </c>
      <c r="K5" s="18" t="e">
        <f t="shared" si="1"/>
        <v>#REF!</v>
      </c>
      <c r="L5" s="18" t="e">
        <f>K5</f>
        <v>#REF!</v>
      </c>
      <c r="M5" s="18" t="e">
        <f t="shared" si="2"/>
        <v>#REF!</v>
      </c>
      <c r="N5" s="18" t="e">
        <f>J5-K5</f>
        <v>#REF!</v>
      </c>
      <c r="O5" s="2" t="s">
        <v>1118</v>
      </c>
      <c r="P5" s="15" t="s">
        <v>1019</v>
      </c>
      <c r="Q5" s="16">
        <v>213</v>
      </c>
      <c r="R5" s="3" t="e">
        <f>VLOOKUP(CONCATENATE(B5,"_TM5"),#REF!,15,FALSE)</f>
        <v>#REF!</v>
      </c>
      <c r="S5" s="3" t="e">
        <f>VLOOKUP(CONCATENATE(B5,"_TM5"),#REF!,15,FALSE)-VLOOKUP(CONCATENATE(B5,"_TM5"),#REF!,13,FALSE)+50</f>
        <v>#REF!</v>
      </c>
      <c r="T5" s="3">
        <v>74</v>
      </c>
      <c r="U5" s="16" t="e">
        <f>VLOOKUP(CONCATENATE(B5,"_TM6"),#REF!,12,FALSE)</f>
        <v>#REF!</v>
      </c>
      <c r="V5" s="3" t="e">
        <f>VLOOKUP(CONCATENATE(B5,"_TM6"),#REF!,12,FALSE)-VLOOKUP(CONCATENATE(B5,"_TM6"),#REF!,13,FALSE)+50</f>
        <v>#REF!</v>
      </c>
      <c r="W5" s="23" t="e">
        <f>VLOOKUP(CONCATENATE(B5,"_TM6"),#REF!,15,FALSE)</f>
        <v>#REF!</v>
      </c>
      <c r="X5" s="16" t="s">
        <v>1111</v>
      </c>
    </row>
    <row r="6" spans="1:24" x14ac:dyDescent="0.2">
      <c r="B6" s="3" t="str">
        <f t="shared" si="0"/>
        <v>ADRB2_human__wt</v>
      </c>
      <c r="C6" s="3" t="s">
        <v>37</v>
      </c>
      <c r="D6" s="14" t="s">
        <v>100</v>
      </c>
      <c r="E6" s="3" t="s">
        <v>1106</v>
      </c>
      <c r="F6" s="3" t="s">
        <v>16</v>
      </c>
      <c r="G6" s="3" t="s">
        <v>1148</v>
      </c>
      <c r="H6" s="3" t="s">
        <v>1115</v>
      </c>
      <c r="I6" s="16" t="s">
        <v>1144</v>
      </c>
      <c r="J6" s="18" t="e">
        <f>VLOOKUP(CONCATENATE(B6,"_TM6"),#REF!,13,FALSE)-VLOOKUP(CONCATENATE(B6,"_TM5"),#REF!,13,FALSE)</f>
        <v>#REF!</v>
      </c>
      <c r="K6" s="18" t="e">
        <f t="shared" si="1"/>
        <v>#REF!</v>
      </c>
      <c r="L6" s="18" t="e">
        <f>K6</f>
        <v>#REF!</v>
      </c>
      <c r="M6" s="18" t="e">
        <f t="shared" si="2"/>
        <v>#REF!</v>
      </c>
      <c r="N6" s="18" t="e">
        <f>J6-K6</f>
        <v>#REF!</v>
      </c>
      <c r="O6" s="2" t="s">
        <v>1117</v>
      </c>
      <c r="R6" s="3" t="e">
        <f>VLOOKUP(CONCATENATE(B6,"_TM5"),#REF!,15,FALSE)</f>
        <v>#REF!</v>
      </c>
      <c r="S6" s="3" t="e">
        <f>VLOOKUP(CONCATENATE(B6,"_TM5"),#REF!,15,FALSE)-VLOOKUP(CONCATENATE(B6,"_TM5"),#REF!,13,FALSE)+50</f>
        <v>#REF!</v>
      </c>
      <c r="T6" s="3">
        <v>76</v>
      </c>
      <c r="U6" s="16" t="e">
        <f>VLOOKUP(CONCATENATE(B6,"_TM6"),#REF!,12,FALSE)</f>
        <v>#REF!</v>
      </c>
      <c r="V6" s="3" t="e">
        <f>VLOOKUP(CONCATENATE(B6,"_TM6"),#REF!,12,FALSE)-VLOOKUP(CONCATENATE(B6,"_TM6"),#REF!,13,FALSE)+50</f>
        <v>#REF!</v>
      </c>
      <c r="W6" s="23" t="e">
        <f>VLOOKUP(CONCATENATE(B6,"_TM6"),#REF!,15,FALSE)</f>
        <v>#REF!</v>
      </c>
    </row>
    <row r="7" spans="1:24" x14ac:dyDescent="0.2">
      <c r="B7" s="3" t="str">
        <f t="shared" si="0"/>
        <v>ADRB2_human_3P0G</v>
      </c>
      <c r="C7" s="3" t="s">
        <v>37</v>
      </c>
      <c r="D7" s="14" t="s">
        <v>66</v>
      </c>
      <c r="E7" s="3" t="s">
        <v>1106</v>
      </c>
      <c r="F7" s="3" t="s">
        <v>1112</v>
      </c>
      <c r="J7" s="18" t="e">
        <f>VLOOKUP(CONCATENATE(B7,"_TM6"),#REF!,13,FALSE)-VLOOKUP(CONCATENATE(B7,"_TM5"),#REF!,13,FALSE)</f>
        <v>#REF!</v>
      </c>
      <c r="K7" s="18" t="e">
        <f t="shared" si="1"/>
        <v>#REF!</v>
      </c>
      <c r="L7" s="18"/>
      <c r="M7" s="18" t="e">
        <f t="shared" si="2"/>
        <v>#REF!</v>
      </c>
      <c r="N7" s="18"/>
      <c r="O7" s="2" t="s">
        <v>1119</v>
      </c>
      <c r="R7" s="3" t="e">
        <f>VLOOKUP(CONCATENATE(B7,"_TM5"),#REF!,15,FALSE)</f>
        <v>#REF!</v>
      </c>
      <c r="S7" s="3" t="e">
        <f>VLOOKUP(CONCATENATE(B7,"_TM5"),#REF!,15,FALSE)-VLOOKUP(CONCATENATE(B7,"_TM5"),#REF!,13,FALSE)+50</f>
        <v>#REF!</v>
      </c>
      <c r="T7" s="3">
        <v>67</v>
      </c>
      <c r="U7" s="16" t="e">
        <f>VLOOKUP(CONCATENATE(B7,"_TM6"),#REF!,12,FALSE)</f>
        <v>#REF!</v>
      </c>
      <c r="V7" s="3" t="e">
        <f>VLOOKUP(CONCATENATE(B7,"_TM6"),#REF!,12,FALSE)-VLOOKUP(CONCATENATE(B7,"_TM6"),#REF!,13,FALSE)+50</f>
        <v>#REF!</v>
      </c>
      <c r="W7" s="23" t="e">
        <f>VLOOKUP(CONCATENATE(B7,"_TM6"),#REF!,15,FALSE)</f>
        <v>#REF!</v>
      </c>
      <c r="X7" s="84" t="s">
        <v>1113</v>
      </c>
    </row>
    <row r="8" spans="1:24" x14ac:dyDescent="0.2">
      <c r="B8" s="3" t="str">
        <f t="shared" si="0"/>
        <v>ADRB2_human_4LDE</v>
      </c>
      <c r="C8" s="3" t="s">
        <v>37</v>
      </c>
      <c r="D8" s="14" t="s">
        <v>77</v>
      </c>
      <c r="E8" s="3" t="s">
        <v>1106</v>
      </c>
      <c r="F8" s="3" t="s">
        <v>1112</v>
      </c>
      <c r="J8" s="18" t="e">
        <f>VLOOKUP(CONCATENATE(B8,"_TM6"),#REF!,13,FALSE)-VLOOKUP(CONCATENATE(B8,"_TM5"),#REF!,13,FALSE)</f>
        <v>#REF!</v>
      </c>
      <c r="K8" s="18" t="e">
        <f t="shared" si="1"/>
        <v>#REF!</v>
      </c>
      <c r="L8" s="18"/>
      <c r="M8" s="18" t="e">
        <f t="shared" si="2"/>
        <v>#REF!</v>
      </c>
      <c r="N8" s="18"/>
      <c r="O8" s="2" t="s">
        <v>1119</v>
      </c>
      <c r="R8" s="3" t="e">
        <f>VLOOKUP(CONCATENATE(B8,"_TM5"),#REF!,15,FALSE)</f>
        <v>#REF!</v>
      </c>
      <c r="S8" s="3" t="e">
        <f>VLOOKUP(CONCATENATE(B8,"_TM5"),#REF!,15,FALSE)-VLOOKUP(CONCATENATE(B8,"_TM5"),#REF!,13,FALSE)+50</f>
        <v>#REF!</v>
      </c>
      <c r="T8" s="3">
        <v>67</v>
      </c>
      <c r="U8" s="16" t="e">
        <f>VLOOKUP(CONCATENATE(B8,"_TM6"),#REF!,12,FALSE)</f>
        <v>#REF!</v>
      </c>
      <c r="V8" s="3" t="e">
        <f>VLOOKUP(CONCATENATE(B8,"_TM6"),#REF!,12,FALSE)-VLOOKUP(CONCATENATE(B8,"_TM6"),#REF!,13,FALSE)+50</f>
        <v>#REF!</v>
      </c>
      <c r="W8" s="23" t="e">
        <f>VLOOKUP(CONCATENATE(B8,"_TM6"),#REF!,15,FALSE)</f>
        <v>#REF!</v>
      </c>
      <c r="X8" s="84" t="s">
        <v>1113</v>
      </c>
    </row>
    <row r="9" spans="1:24" x14ac:dyDescent="0.2">
      <c r="B9" s="3" t="str">
        <f t="shared" si="0"/>
        <v>ADRB2_human_4QKX</v>
      </c>
      <c r="C9" s="3" t="s">
        <v>37</v>
      </c>
      <c r="D9" s="3" t="s">
        <v>78</v>
      </c>
      <c r="E9" s="3" t="s">
        <v>1106</v>
      </c>
      <c r="F9" s="3" t="s">
        <v>1112</v>
      </c>
      <c r="J9" s="18" t="e">
        <f>VLOOKUP(CONCATENATE(B9,"_TM6"),#REF!,13,FALSE)-VLOOKUP(CONCATENATE(B9,"_TM5"),#REF!,13,FALSE)</f>
        <v>#REF!</v>
      </c>
      <c r="K9" s="18" t="e">
        <f t="shared" si="1"/>
        <v>#REF!</v>
      </c>
      <c r="L9" s="18"/>
      <c r="M9" s="18" t="e">
        <f t="shared" si="2"/>
        <v>#REF!</v>
      </c>
      <c r="N9" s="18"/>
      <c r="O9" s="2" t="s">
        <v>1119</v>
      </c>
      <c r="R9" s="3" t="e">
        <f>VLOOKUP(CONCATENATE(B9,"_TM5"),#REF!,15,FALSE)</f>
        <v>#REF!</v>
      </c>
      <c r="S9" s="3" t="e">
        <f>VLOOKUP(CONCATENATE(B9,"_TM5"),#REF!,15,FALSE)-VLOOKUP(CONCATENATE(B9,"_TM5"),#REF!,13,FALSE)+50</f>
        <v>#REF!</v>
      </c>
      <c r="T9" s="3">
        <v>67</v>
      </c>
      <c r="U9" s="16" t="e">
        <f>VLOOKUP(CONCATENATE(B9,"_TM6"),#REF!,12,FALSE)</f>
        <v>#REF!</v>
      </c>
      <c r="V9" s="3" t="e">
        <f>VLOOKUP(CONCATENATE(B9,"_TM6"),#REF!,12,FALSE)-VLOOKUP(CONCATENATE(B9,"_TM6"),#REF!,13,FALSE)+50</f>
        <v>#REF!</v>
      </c>
      <c r="W9" s="23" t="e">
        <f>VLOOKUP(CONCATENATE(B9,"_TM6"),#REF!,15,FALSE)</f>
        <v>#REF!</v>
      </c>
      <c r="X9" s="84" t="s">
        <v>1113</v>
      </c>
    </row>
    <row r="10" spans="1:24" x14ac:dyDescent="0.2">
      <c r="B10" s="3" t="str">
        <f t="shared" si="0"/>
        <v xml:space="preserve">ACM2_human_4MQS </v>
      </c>
      <c r="C10" s="3" t="s">
        <v>39</v>
      </c>
      <c r="D10" s="3" t="s">
        <v>1114</v>
      </c>
      <c r="E10" s="3" t="s">
        <v>1106</v>
      </c>
      <c r="F10" s="3" t="s">
        <v>1112</v>
      </c>
      <c r="H10" s="3" t="s">
        <v>1115</v>
      </c>
      <c r="J10" s="18" t="e">
        <f>VLOOKUP(CONCATENATE(B10,"_TM6"),#REF!,13,FALSE)-VLOOKUP(CONCATENATE(B10,"_TM5"),#REF!,13,FALSE)</f>
        <v>#REF!</v>
      </c>
      <c r="K10" s="18" t="e">
        <f t="shared" si="1"/>
        <v>#REF!</v>
      </c>
      <c r="L10" s="18"/>
      <c r="M10" s="18" t="e">
        <f t="shared" si="2"/>
        <v>#REF!</v>
      </c>
      <c r="N10" s="18"/>
      <c r="R10" s="3" t="e">
        <f>VLOOKUP(CONCATENATE(B10,"_TM5"),#REF!,15,FALSE)</f>
        <v>#REF!</v>
      </c>
      <c r="S10" s="3" t="e">
        <f>VLOOKUP(CONCATENATE(B10,"_TM5"),#REF!,15,FALSE)-VLOOKUP(CONCATENATE(B10,"_TM5"),#REF!,13,FALSE)+50</f>
        <v>#REF!</v>
      </c>
      <c r="T10" s="3">
        <v>67</v>
      </c>
      <c r="U10" s="16" t="e">
        <f>VLOOKUP(CONCATENATE(B10,"_TM6"),#REF!,12,FALSE)</f>
        <v>#REF!</v>
      </c>
      <c r="V10" s="3" t="e">
        <f>VLOOKUP(CONCATENATE(B10,"_TM6"),#REF!,12,FALSE)-VLOOKUP(CONCATENATE(B10,"_TM6"),#REF!,13,FALSE)+50</f>
        <v>#REF!</v>
      </c>
      <c r="W10" s="23" t="e">
        <f>VLOOKUP(CONCATENATE(B10,"_TM6"),#REF!,15,FALSE)</f>
        <v>#REF!</v>
      </c>
      <c r="X10" s="84" t="s">
        <v>1113</v>
      </c>
    </row>
    <row r="11" spans="1:24" x14ac:dyDescent="0.2">
      <c r="B11" s="3" t="str">
        <f t="shared" si="0"/>
        <v>ACM2_human_4MQT</v>
      </c>
      <c r="C11" s="3" t="s">
        <v>39</v>
      </c>
      <c r="D11" s="14" t="s">
        <v>1047</v>
      </c>
      <c r="E11" s="3" t="s">
        <v>1106</v>
      </c>
      <c r="F11" s="3" t="s">
        <v>1112</v>
      </c>
      <c r="J11" s="18" t="e">
        <f>VLOOKUP(CONCATENATE(B11,"_TM6"),#REF!,13,FALSE)-VLOOKUP(CONCATENATE(B11,"_TM5"),#REF!,13,FALSE)</f>
        <v>#REF!</v>
      </c>
      <c r="K11" s="18" t="e">
        <f t="shared" si="1"/>
        <v>#REF!</v>
      </c>
      <c r="L11" s="18"/>
      <c r="M11" s="18" t="e">
        <f t="shared" si="2"/>
        <v>#REF!</v>
      </c>
      <c r="N11" s="18"/>
      <c r="R11" s="3" t="e">
        <f>VLOOKUP(CONCATENATE(B11,"_TM5"),#REF!,15,FALSE)</f>
        <v>#REF!</v>
      </c>
      <c r="S11" s="3" t="e">
        <f>VLOOKUP(CONCATENATE(B11,"_TM5"),#REF!,15,FALSE)-VLOOKUP(CONCATENATE(B11,"_TM5"),#REF!,13,FALSE)+50</f>
        <v>#REF!</v>
      </c>
      <c r="T11" s="3">
        <v>67</v>
      </c>
      <c r="U11" s="16" t="e">
        <f>VLOOKUP(CONCATENATE(B11,"_TM6"),#REF!,12,FALSE)</f>
        <v>#REF!</v>
      </c>
      <c r="V11" s="3" t="e">
        <f>VLOOKUP(CONCATENATE(B11,"_TM6"),#REF!,12,FALSE)-VLOOKUP(CONCATENATE(B11,"_TM6"),#REF!,13,FALSE)+50</f>
        <v>#REF!</v>
      </c>
      <c r="W11" s="23" t="e">
        <f>VLOOKUP(CONCATENATE(B11,"_TM6"),#REF!,15,FALSE)</f>
        <v>#REF!</v>
      </c>
      <c r="X11" s="84" t="s">
        <v>1113</v>
      </c>
    </row>
    <row r="12" spans="1:24" x14ac:dyDescent="0.2">
      <c r="B12" s="3" t="str">
        <f t="shared" si="0"/>
        <v>AA2AR_human_2YDO</v>
      </c>
      <c r="C12" s="2" t="s">
        <v>36</v>
      </c>
      <c r="D12" s="3" t="s">
        <v>1029</v>
      </c>
      <c r="E12" s="3" t="s">
        <v>1106</v>
      </c>
      <c r="F12" s="3" t="s">
        <v>1102</v>
      </c>
      <c r="J12" s="18" t="e">
        <f>VLOOKUP(CONCATENATE(B12,"_TM6"),#REF!,13,FALSE)-VLOOKUP(CONCATENATE(B12,"_TM5"),#REF!,13,FALSE)</f>
        <v>#REF!</v>
      </c>
      <c r="K12" s="18" t="e">
        <f t="shared" si="1"/>
        <v>#REF!</v>
      </c>
      <c r="L12" s="18"/>
      <c r="M12" s="18" t="e">
        <f t="shared" si="2"/>
        <v>#REF!</v>
      </c>
      <c r="N12" s="18"/>
      <c r="O12" s="2" t="s">
        <v>1118</v>
      </c>
      <c r="P12" s="15" t="s">
        <v>1019</v>
      </c>
      <c r="Q12" s="16">
        <v>213</v>
      </c>
      <c r="R12" s="3" t="e">
        <f>VLOOKUP(CONCATENATE(B12,"_TM5"),#REF!,15,FALSE)</f>
        <v>#REF!</v>
      </c>
      <c r="S12" s="3" t="e">
        <f>VLOOKUP(CONCATENATE(B12,"_TM5"),#REF!,15,FALSE)-VLOOKUP(CONCATENATE(B12,"_TM5"),#REF!,13,FALSE)+50</f>
        <v>#REF!</v>
      </c>
      <c r="T12" s="3">
        <v>74</v>
      </c>
      <c r="U12" s="16" t="e">
        <f>VLOOKUP(CONCATENATE(B12,"_TM6"),#REF!,12,FALSE)</f>
        <v>#REF!</v>
      </c>
      <c r="V12" s="3" t="e">
        <f>VLOOKUP(CONCATENATE(B12,"_TM6"),#REF!,12,FALSE)-VLOOKUP(CONCATENATE(B12,"_TM6"),#REF!,13,FALSE)+50</f>
        <v>#REF!</v>
      </c>
      <c r="W12" s="23" t="e">
        <f>VLOOKUP(CONCATENATE(B12,"_TM6"),#REF!,15,FALSE)</f>
        <v>#REF!</v>
      </c>
      <c r="X12" s="16" t="s">
        <v>1111</v>
      </c>
    </row>
    <row r="13" spans="1:24" x14ac:dyDescent="0.2">
      <c r="B13" s="3" t="str">
        <f t="shared" si="0"/>
        <v>FFAR1_human_4PHU</v>
      </c>
      <c r="C13" s="2" t="s">
        <v>1149</v>
      </c>
      <c r="D13" s="14" t="s">
        <v>52</v>
      </c>
      <c r="E13" s="3" t="s">
        <v>1105</v>
      </c>
      <c r="F13" s="3" t="s">
        <v>23</v>
      </c>
      <c r="G13" s="3" t="s">
        <v>1150</v>
      </c>
      <c r="J13" s="18" t="e">
        <f>VLOOKUP(CONCATENATE(B13,"_TM6"),#REF!,13,FALSE)-VLOOKUP(CONCATENATE(B13,"_TM5"),#REF!,13,FALSE)</f>
        <v>#REF!</v>
      </c>
      <c r="K13" s="18"/>
      <c r="L13" s="18"/>
      <c r="M13" s="18"/>
      <c r="N13" s="18"/>
      <c r="R13" s="3" t="e">
        <f>VLOOKUP(CONCATENATE(B13,"_TM5"),#REF!,15,FALSE)</f>
        <v>#REF!</v>
      </c>
      <c r="S13" s="3" t="e">
        <f>VLOOKUP(CONCATENATE(B13,"_TM5"),#REF!,15,FALSE)-VLOOKUP(CONCATENATE(B13,"_TM5"),#REF!,13,FALSE)+50</f>
        <v>#REF!</v>
      </c>
      <c r="T13" s="3">
        <v>67</v>
      </c>
      <c r="U13" s="16" t="e">
        <f>VLOOKUP(CONCATENATE(B13,"_TM6"),#REF!,12,FALSE)</f>
        <v>#REF!</v>
      </c>
      <c r="V13" s="3" t="e">
        <f>VLOOKUP(CONCATENATE(B13,"_TM6"),#REF!,12,FALSE)-VLOOKUP(CONCATENATE(B13,"_TM6"),#REF!,13,FALSE)+50</f>
        <v>#REF!</v>
      </c>
      <c r="W13" s="23" t="e">
        <f>VLOOKUP(CONCATENATE(B13,"_TM6"),#REF!,15,FALSE)</f>
        <v>#REF!</v>
      </c>
    </row>
    <row r="14" spans="1:24" x14ac:dyDescent="0.2">
      <c r="C14" s="2" t="s">
        <v>36</v>
      </c>
      <c r="D14" s="14" t="s">
        <v>1035</v>
      </c>
      <c r="E14" s="3" t="s">
        <v>1105</v>
      </c>
      <c r="F14" s="14"/>
      <c r="I14" s="16" t="s">
        <v>1143</v>
      </c>
      <c r="J14" s="18"/>
      <c r="K14" s="18"/>
      <c r="L14" s="18"/>
      <c r="M14" s="18"/>
      <c r="N14" s="18"/>
      <c r="O14" s="18"/>
    </row>
    <row r="15" spans="1:24" x14ac:dyDescent="0.2">
      <c r="B15" s="3" t="str">
        <f t="shared" ref="B15:B26" si="3">CONCATENATE(C15,"_",D15)</f>
        <v>OPSD_todpa_2Z73</v>
      </c>
      <c r="C15" s="2" t="s">
        <v>98</v>
      </c>
      <c r="D15" s="14" t="s">
        <v>97</v>
      </c>
      <c r="E15" s="3" t="s">
        <v>1105</v>
      </c>
      <c r="F15" s="3" t="s">
        <v>23</v>
      </c>
      <c r="G15" s="3" t="s">
        <v>1147</v>
      </c>
      <c r="I15" s="16" t="s">
        <v>1143</v>
      </c>
      <c r="J15" s="18" t="e">
        <f>VLOOKUP(CONCATENATE(B15,"_TM6"),#REF!,13,FALSE)-VLOOKUP(CONCATENATE(B15,"_TM5"),#REF!,13,FALSE)</f>
        <v>#REF!</v>
      </c>
      <c r="K15" s="18" t="e">
        <f>U15-R15-1</f>
        <v>#REF!</v>
      </c>
      <c r="L15" s="18" t="e">
        <f>K15</f>
        <v>#REF!</v>
      </c>
      <c r="M15" s="18" t="e">
        <f>K15-L15</f>
        <v>#REF!</v>
      </c>
      <c r="N15" s="18" t="e">
        <f>J15-K15</f>
        <v>#REF!</v>
      </c>
      <c r="O15" s="2" t="s">
        <v>1117</v>
      </c>
      <c r="R15" s="3" t="e">
        <f>VLOOKUP(CONCATENATE(B15,"_TM5"),#REF!,15,FALSE)</f>
        <v>#REF!</v>
      </c>
      <c r="S15" s="3" t="e">
        <f>VLOOKUP(CONCATENATE(B15,"_TM5"),#REF!,15,FALSE)-VLOOKUP(CONCATENATE(B15,"_TM5"),#REF!,13,FALSE)+50</f>
        <v>#REF!</v>
      </c>
      <c r="T15" s="3">
        <v>77</v>
      </c>
      <c r="U15" s="16" t="e">
        <f>VLOOKUP(CONCATENATE(B15,"_TM6"),#REF!,12,FALSE)</f>
        <v>#REF!</v>
      </c>
      <c r="V15" s="3" t="e">
        <f>VLOOKUP(CONCATENATE(B15,"_TM6"),#REF!,12,FALSE)-VLOOKUP(CONCATENATE(B15,"_TM6"),#REF!,13,FALSE)+50</f>
        <v>#REF!</v>
      </c>
      <c r="W15" s="23" t="e">
        <f>VLOOKUP(CONCATENATE(B15,"_TM6"),#REF!,15,FALSE)</f>
        <v>#REF!</v>
      </c>
    </row>
    <row r="16" spans="1:24" x14ac:dyDescent="0.2">
      <c r="B16" s="3" t="str">
        <f t="shared" si="3"/>
        <v>ADRB1_melga_2YCW</v>
      </c>
      <c r="C16" s="2" t="s">
        <v>47</v>
      </c>
      <c r="D16" s="3" t="s">
        <v>1027</v>
      </c>
      <c r="E16" s="3" t="s">
        <v>1105</v>
      </c>
      <c r="F16" s="3" t="s">
        <v>23</v>
      </c>
      <c r="G16" s="3" t="s">
        <v>1125</v>
      </c>
      <c r="I16" s="16" t="s">
        <v>1145</v>
      </c>
      <c r="J16" s="18" t="e">
        <f>VLOOKUP(CONCATENATE(B16,"_TM6"),#REF!,13,FALSE)-VLOOKUP(CONCATENATE(B16,"_TM5"),#REF!,13,FALSE)</f>
        <v>#REF!</v>
      </c>
      <c r="K16" s="18" t="e">
        <f>U16-R16-1</f>
        <v>#REF!</v>
      </c>
      <c r="L16" s="18" t="e">
        <f>K16</f>
        <v>#REF!</v>
      </c>
      <c r="M16" s="18" t="e">
        <f>K16-L16</f>
        <v>#REF!</v>
      </c>
      <c r="N16" s="18" t="e">
        <f>J16-K16</f>
        <v>#REF!</v>
      </c>
      <c r="O16" s="2" t="s">
        <v>1117</v>
      </c>
      <c r="R16" s="3" t="e">
        <f>VLOOKUP(CONCATENATE(B16,"_TM5"),#REF!,15,FALSE)</f>
        <v>#REF!</v>
      </c>
      <c r="S16" s="3" t="e">
        <f>VLOOKUP(CONCATENATE(B16,"_TM5"),#REF!,15,FALSE)-VLOOKUP(CONCATENATE(B16,"_TM5"),#REF!,13,FALSE)+50</f>
        <v>#REF!</v>
      </c>
      <c r="T16" s="3">
        <v>78</v>
      </c>
      <c r="U16" s="16" t="e">
        <f>VLOOKUP(CONCATENATE(B16,"_TM6"),#REF!,12,FALSE)</f>
        <v>#REF!</v>
      </c>
      <c r="V16" s="3" t="e">
        <f>VLOOKUP(CONCATENATE(B16,"_TM6"),#REF!,12,FALSE)-VLOOKUP(CONCATENATE(B16,"_TM6"),#REF!,13,FALSE)+50</f>
        <v>#REF!</v>
      </c>
      <c r="W16" s="23" t="e">
        <f>VLOOKUP(CONCATENATE(B16,"_TM6"),#REF!,15,FALSE)</f>
        <v>#REF!</v>
      </c>
    </row>
    <row r="17" spans="2:24" x14ac:dyDescent="0.2">
      <c r="B17" s="3" t="str">
        <f t="shared" si="3"/>
        <v>OPSD_bovin_most</v>
      </c>
      <c r="C17" s="3" t="s">
        <v>43</v>
      </c>
      <c r="D17" s="3" t="s">
        <v>1120</v>
      </c>
      <c r="E17" s="3" t="s">
        <v>1105</v>
      </c>
      <c r="J17" s="18" t="e">
        <f>VLOOKUP(CONCATENATE(B17,"_TM6"),#REF!,13,FALSE)-VLOOKUP(CONCATENATE(B17,"_TM5"),#REF!,13,FALSE)</f>
        <v>#REF!</v>
      </c>
      <c r="K17" s="18" t="e">
        <f>U17-R17-1</f>
        <v>#REF!</v>
      </c>
      <c r="L17" s="18"/>
      <c r="M17" s="18" t="e">
        <f>K17-L17</f>
        <v>#REF!</v>
      </c>
      <c r="N17" s="18"/>
      <c r="R17" s="3" t="e">
        <f>VLOOKUP(CONCATENATE(B17,"_TM5"),#REF!,15,FALSE)</f>
        <v>#REF!</v>
      </c>
      <c r="S17" s="3" t="e">
        <f>VLOOKUP(CONCATENATE(B17,"_TM5"),#REF!,15,FALSE)-VLOOKUP(CONCATENATE(B17,"_TM5"),#REF!,13,FALSE)+50</f>
        <v>#REF!</v>
      </c>
      <c r="T17" s="3">
        <v>61</v>
      </c>
      <c r="U17" s="16" t="e">
        <f>VLOOKUP(CONCATENATE(B17,"_TM6"),#REF!,12,FALSE)</f>
        <v>#REF!</v>
      </c>
      <c r="V17" s="3" t="e">
        <f>VLOOKUP(CONCATENATE(B17,"_TM6"),#REF!,12,FALSE)-VLOOKUP(CONCATENATE(B17,"_TM6"),#REF!,13,FALSE)+50</f>
        <v>#REF!</v>
      </c>
      <c r="W17" s="23" t="e">
        <f>VLOOKUP(CONCATENATE(B17,"_TM6"),#REF!,15,FALSE)</f>
        <v>#REF!</v>
      </c>
    </row>
    <row r="18" spans="2:24" x14ac:dyDescent="0.2">
      <c r="B18" s="3" t="str">
        <f t="shared" si="3"/>
        <v>ADRB2_human_most</v>
      </c>
      <c r="C18" s="3" t="s">
        <v>37</v>
      </c>
      <c r="D18" s="14" t="s">
        <v>1120</v>
      </c>
      <c r="E18" s="3" t="s">
        <v>1105</v>
      </c>
      <c r="F18" s="3" t="s">
        <v>23</v>
      </c>
      <c r="J18" s="18" t="e">
        <f>VLOOKUP(CONCATENATE(B18,"_TM6"),#REF!,13,FALSE)-VLOOKUP(CONCATENATE(B18,"_TM5"),#REF!,13,FALSE)</f>
        <v>#REF!</v>
      </c>
      <c r="K18" s="18" t="e">
        <f>U18-R18-1</f>
        <v>#REF!</v>
      </c>
      <c r="L18" s="18"/>
      <c r="M18" s="18" t="e">
        <f>K18-L18</f>
        <v>#REF!</v>
      </c>
      <c r="N18" s="18"/>
      <c r="R18" s="3" t="e">
        <f>VLOOKUP(CONCATENATE(B18,"_TM5"),#REF!,15,FALSE)</f>
        <v>#REF!</v>
      </c>
      <c r="S18" s="3" t="e">
        <f>VLOOKUP(CONCATENATE(B18,"_TM5"),#REF!,15,FALSE)-VLOOKUP(CONCATENATE(B18,"_TM5"),#REF!,13,FALSE)+50</f>
        <v>#REF!</v>
      </c>
      <c r="T18" s="3">
        <v>67</v>
      </c>
      <c r="U18" s="16" t="e">
        <f>VLOOKUP(CONCATENATE(B18,"_TM6"),#REF!,12,FALSE)</f>
        <v>#REF!</v>
      </c>
      <c r="V18" s="3" t="e">
        <f>VLOOKUP(CONCATENATE(B18,"_TM6"),#REF!,12,FALSE)-VLOOKUP(CONCATENATE(B18,"_TM6"),#REF!,13,FALSE)+50</f>
        <v>#REF!</v>
      </c>
      <c r="W18" s="23" t="e">
        <f>VLOOKUP(CONCATENATE(B18,"_TM6"),#REF!,15,FALSE)</f>
        <v>#REF!</v>
      </c>
    </row>
    <row r="19" spans="2:24" x14ac:dyDescent="0.2">
      <c r="B19" s="3" t="str">
        <f t="shared" si="3"/>
        <v>NTR1_rat__wt</v>
      </c>
      <c r="C19" s="3" t="s">
        <v>46</v>
      </c>
      <c r="D19" s="3" t="s">
        <v>100</v>
      </c>
      <c r="E19" s="3" t="s">
        <v>1105</v>
      </c>
      <c r="F19" s="3" t="s">
        <v>23</v>
      </c>
      <c r="G19" s="3" t="s">
        <v>1151</v>
      </c>
      <c r="J19" s="18" t="e">
        <f>VLOOKUP(CONCATENATE(B19,"_TM6"),#REF!,13,FALSE)-VLOOKUP(CONCATENATE(B19,"_TM5"),#REF!,13,FALSE)</f>
        <v>#REF!</v>
      </c>
      <c r="K19" s="18"/>
      <c r="L19" s="18"/>
      <c r="M19" s="18"/>
      <c r="N19" s="18"/>
      <c r="O19" s="18"/>
      <c r="S19" s="3" t="e">
        <f>VLOOKUP(CONCATENATE(B19,"_TM5"),#REF!,15,FALSE)-VLOOKUP(CONCATENATE(B19,"_TM5"),#REF!,13,FALSE)+50</f>
        <v>#REF!</v>
      </c>
      <c r="T19" s="3">
        <v>71</v>
      </c>
      <c r="U19" s="16" t="e">
        <f>VLOOKUP(CONCATENATE(B19,"_TM6"),#REF!,12,FALSE)</f>
        <v>#REF!</v>
      </c>
      <c r="V19" s="3" t="e">
        <f>VLOOKUP(CONCATENATE(B19,"_TM6"),#REF!,12,FALSE)-VLOOKUP(CONCATENATE(B19,"_TM6"),#REF!,13,FALSE)+50</f>
        <v>#REF!</v>
      </c>
      <c r="W19" s="23">
        <v>25</v>
      </c>
      <c r="X19" s="84"/>
    </row>
    <row r="20" spans="2:24" x14ac:dyDescent="0.2">
      <c r="B20" s="3" t="str">
        <f t="shared" si="3"/>
        <v>ACM2_human_most</v>
      </c>
      <c r="C20" s="3" t="s">
        <v>39</v>
      </c>
      <c r="D20" s="14" t="s">
        <v>1120</v>
      </c>
      <c r="E20" s="3" t="s">
        <v>1105</v>
      </c>
      <c r="J20" s="18" t="e">
        <f>VLOOKUP(CONCATENATE(B20,"_TM6"),#REF!,13,FALSE)-VLOOKUP(CONCATENATE(B20,"_TM5"),#REF!,13,FALSE)</f>
        <v>#REF!</v>
      </c>
      <c r="K20" s="18" t="e">
        <f t="shared" ref="K20:K26" si="4">U20-R20-1</f>
        <v>#REF!</v>
      </c>
      <c r="L20" s="18"/>
      <c r="M20" s="18" t="e">
        <f t="shared" ref="M20:M26" si="5">K20-L20</f>
        <v>#REF!</v>
      </c>
      <c r="N20" s="18"/>
      <c r="R20" s="3" t="e">
        <f>VLOOKUP(CONCATENATE(B20,"_TM5"),#REF!,15,FALSE)</f>
        <v>#REF!</v>
      </c>
      <c r="S20" s="3" t="e">
        <f>VLOOKUP(CONCATENATE(B20,"_TM5"),#REF!,15,FALSE)-VLOOKUP(CONCATENATE(B20,"_TM5"),#REF!,13,FALSE)+50</f>
        <v>#REF!</v>
      </c>
      <c r="T20" s="3">
        <v>67</v>
      </c>
      <c r="U20" s="16" t="e">
        <f>VLOOKUP(CONCATENATE(B20,"_TM6"),#REF!,12,FALSE)</f>
        <v>#REF!</v>
      </c>
      <c r="V20" s="3" t="e">
        <f>VLOOKUP(CONCATENATE(B20,"_TM6"),#REF!,12,FALSE)-VLOOKUP(CONCATENATE(B20,"_TM6"),#REF!,13,FALSE)+50</f>
        <v>#REF!</v>
      </c>
      <c r="W20" s="23" t="e">
        <f>VLOOKUP(CONCATENATE(B20,"_TM6"),#REF!,15,FALSE)</f>
        <v>#REF!</v>
      </c>
    </row>
    <row r="21" spans="2:24" x14ac:dyDescent="0.2">
      <c r="B21" s="3" t="str">
        <f t="shared" si="3"/>
        <v>OPRM_human_most</v>
      </c>
      <c r="C21" s="3" t="s">
        <v>1098</v>
      </c>
      <c r="D21" s="3" t="s">
        <v>1120</v>
      </c>
      <c r="E21" s="3" t="s">
        <v>1105</v>
      </c>
      <c r="J21" s="18" t="e">
        <f>VLOOKUP(CONCATENATE(B21,"_TM6"),#REF!,13,FALSE)-VLOOKUP(CONCATENATE(B21,"_TM5"),#REF!,13,FALSE)</f>
        <v>#REF!</v>
      </c>
      <c r="K21" s="18" t="e">
        <f t="shared" si="4"/>
        <v>#REF!</v>
      </c>
      <c r="L21" s="18"/>
      <c r="M21" s="18" t="e">
        <f t="shared" si="5"/>
        <v>#REF!</v>
      </c>
      <c r="N21" s="18"/>
      <c r="P21" s="15" t="s">
        <v>1018</v>
      </c>
      <c r="Q21" s="16">
        <v>262</v>
      </c>
      <c r="R21" s="3" t="e">
        <f>VLOOKUP(CONCATENATE(B21,"_TM5"),#REF!,15,FALSE)</f>
        <v>#REF!</v>
      </c>
      <c r="S21" s="3" t="e">
        <f>VLOOKUP(CONCATENATE(B21,"_TM5"),#REF!,15,FALSE)-VLOOKUP(CONCATENATE(B21,"_TM5"),#REF!,13,FALSE)+50</f>
        <v>#REF!</v>
      </c>
      <c r="T21" s="3">
        <v>68</v>
      </c>
      <c r="U21" s="16" t="e">
        <f>VLOOKUP(CONCATENATE(B21,"_TM6"),#REF!,12,FALSE)</f>
        <v>#REF!</v>
      </c>
      <c r="V21" s="3" t="e">
        <f>VLOOKUP(CONCATENATE(B21,"_TM6"),#REF!,12,FALSE)-VLOOKUP(CONCATENATE(B21,"_TM6"),#REF!,13,FALSE)+50</f>
        <v>#REF!</v>
      </c>
      <c r="W21" s="23" t="e">
        <f>VLOOKUP(CONCATENATE(B21,"_TM6"),#REF!,15,FALSE)</f>
        <v>#REF!</v>
      </c>
    </row>
    <row r="22" spans="2:24" x14ac:dyDescent="0.2">
      <c r="B22" s="3" t="str">
        <f t="shared" si="3"/>
        <v>ADRB2_human_4GBR</v>
      </c>
      <c r="C22" s="3" t="s">
        <v>37</v>
      </c>
      <c r="D22" s="14" t="s">
        <v>1107</v>
      </c>
      <c r="E22" s="3" t="s">
        <v>1105</v>
      </c>
      <c r="F22" s="3" t="s">
        <v>23</v>
      </c>
      <c r="J22" s="18" t="e">
        <f>VLOOKUP(CONCATENATE(B22,"_TM6"),#REF!,13,FALSE)-VLOOKUP(CONCATENATE(B22,"_TM5"),#REF!,13,FALSE)</f>
        <v>#REF!</v>
      </c>
      <c r="K22" s="18" t="e">
        <f t="shared" si="4"/>
        <v>#REF!</v>
      </c>
      <c r="L22" s="18"/>
      <c r="M22" s="18" t="e">
        <f t="shared" si="5"/>
        <v>#REF!</v>
      </c>
      <c r="N22" s="18"/>
      <c r="P22" s="15" t="s">
        <v>1022</v>
      </c>
      <c r="Q22" s="16">
        <v>237</v>
      </c>
      <c r="R22" s="3" t="e">
        <f>VLOOKUP(CONCATENATE(B22,"_TM5"),#REF!,15,FALSE)</f>
        <v>#REF!</v>
      </c>
      <c r="S22" s="3" t="e">
        <f>VLOOKUP(CONCATENATE(B22,"_TM5"),#REF!,15,FALSE)-VLOOKUP(CONCATENATE(B22,"_TM5"),#REF!,13,FALSE)+50</f>
        <v>#REF!</v>
      </c>
      <c r="T22" s="3">
        <v>71</v>
      </c>
      <c r="U22" s="16" t="e">
        <f>VLOOKUP(CONCATENATE(B22,"_TM6"),#REF!,12,FALSE)</f>
        <v>#REF!</v>
      </c>
      <c r="V22" s="3" t="e">
        <f>VLOOKUP(CONCATENATE(B22,"_TM6"),#REF!,12,FALSE)-VLOOKUP(CONCATENATE(B22,"_TM6"),#REF!,13,FALSE)+50</f>
        <v>#REF!</v>
      </c>
      <c r="W22" s="23" t="e">
        <f>VLOOKUP(CONCATENATE(B22,"_TM6"),#REF!,15,FALSE)</f>
        <v>#REF!</v>
      </c>
      <c r="X22" s="16" t="s">
        <v>1109</v>
      </c>
    </row>
    <row r="23" spans="2:24" x14ac:dyDescent="0.2">
      <c r="B23" s="3" t="str">
        <f t="shared" si="3"/>
        <v>OPSD_bovin_2J4Y</v>
      </c>
      <c r="C23" s="3" t="s">
        <v>43</v>
      </c>
      <c r="D23" s="14" t="s">
        <v>1131</v>
      </c>
      <c r="E23" s="3" t="s">
        <v>1105</v>
      </c>
      <c r="J23" s="18" t="e">
        <f>VLOOKUP(CONCATENATE(B23,"_TM6"),#REF!,13,FALSE)-VLOOKUP(CONCATENATE(B23,"_TM5"),#REF!,13,FALSE)</f>
        <v>#REF!</v>
      </c>
      <c r="K23" s="18" t="e">
        <f t="shared" si="4"/>
        <v>#REF!</v>
      </c>
      <c r="L23" s="18"/>
      <c r="M23" s="18" t="e">
        <f t="shared" si="5"/>
        <v>#REF!</v>
      </c>
      <c r="N23" s="18"/>
      <c r="O23" s="18" t="s">
        <v>1118</v>
      </c>
      <c r="P23" s="15" t="s">
        <v>1020</v>
      </c>
      <c r="Q23" s="16">
        <v>237</v>
      </c>
      <c r="R23" s="3" t="e">
        <f>VLOOKUP(CONCATENATE(B23,"_TM5"),#REF!,15,FALSE)</f>
        <v>#REF!</v>
      </c>
      <c r="S23" s="3" t="e">
        <f>VLOOKUP(CONCATENATE(B23,"_TM5"),#REF!,15,FALSE)-VLOOKUP(CONCATENATE(B23,"_TM5"),#REF!,13,FALSE)+50</f>
        <v>#REF!</v>
      </c>
      <c r="T23" s="3">
        <v>72</v>
      </c>
      <c r="U23" s="16" t="e">
        <f>VLOOKUP(CONCATENATE(B23,"_TM6"),#REF!,12,FALSE)</f>
        <v>#REF!</v>
      </c>
      <c r="V23" s="3" t="e">
        <f>VLOOKUP(CONCATENATE(B23,"_TM6"),#REF!,12,FALSE)-VLOOKUP(CONCATENATE(B23,"_TM6"),#REF!,13,FALSE)+50</f>
        <v>#REF!</v>
      </c>
      <c r="W23" s="23" t="e">
        <f>VLOOKUP(CONCATENATE(B23,"_TM6"),#REF!,15,FALSE)</f>
        <v>#REF!</v>
      </c>
      <c r="X23" s="84" t="s">
        <v>1122</v>
      </c>
    </row>
    <row r="24" spans="2:24" x14ac:dyDescent="0.2">
      <c r="B24" s="3" t="str">
        <f t="shared" si="3"/>
        <v>OPSD_bovin_3C9M</v>
      </c>
      <c r="C24" s="3" t="s">
        <v>43</v>
      </c>
      <c r="D24" s="14" t="s">
        <v>1121</v>
      </c>
      <c r="E24" s="3" t="s">
        <v>1105</v>
      </c>
      <c r="J24" s="18" t="e">
        <f>VLOOKUP(CONCATENATE(B24,"_TM6"),#REF!,13,FALSE)-VLOOKUP(CONCATENATE(B24,"_TM5"),#REF!,13,FALSE)</f>
        <v>#REF!</v>
      </c>
      <c r="K24" s="18" t="e">
        <f t="shared" si="4"/>
        <v>#REF!</v>
      </c>
      <c r="L24" s="18"/>
      <c r="M24" s="18" t="e">
        <f t="shared" si="5"/>
        <v>#REF!</v>
      </c>
      <c r="N24" s="18"/>
      <c r="O24" s="18" t="s">
        <v>1118</v>
      </c>
      <c r="P24" s="15" t="s">
        <v>1020</v>
      </c>
      <c r="Q24" s="16">
        <v>237</v>
      </c>
      <c r="R24" s="3" t="e">
        <f>VLOOKUP(CONCATENATE(B24,"_TM5"),#REF!,15,FALSE)</f>
        <v>#REF!</v>
      </c>
      <c r="S24" s="3" t="e">
        <f>VLOOKUP(CONCATENATE(B24,"_TM5"),#REF!,15,FALSE)-VLOOKUP(CONCATENATE(B24,"_TM5"),#REF!,13,FALSE)+50</f>
        <v>#REF!</v>
      </c>
      <c r="T24" s="3">
        <v>72</v>
      </c>
      <c r="U24" s="16" t="e">
        <f>VLOOKUP(CONCATENATE(B24,"_TM6"),#REF!,12,FALSE)</f>
        <v>#REF!</v>
      </c>
      <c r="V24" s="3" t="e">
        <f>VLOOKUP(CONCATENATE(B24,"_TM6"),#REF!,12,FALSE)-VLOOKUP(CONCATENATE(B24,"_TM6"),#REF!,13,FALSE)+50</f>
        <v>#REF!</v>
      </c>
      <c r="W24" s="23" t="e">
        <f>VLOOKUP(CONCATENATE(B24,"_TM6"),#REF!,15,FALSE)</f>
        <v>#REF!</v>
      </c>
      <c r="X24" s="84" t="s">
        <v>1122</v>
      </c>
    </row>
    <row r="25" spans="2:24" x14ac:dyDescent="0.2">
      <c r="B25" s="3" t="str">
        <f t="shared" si="3"/>
        <v>AA2AR_human_3REY</v>
      </c>
      <c r="C25" s="2" t="s">
        <v>36</v>
      </c>
      <c r="D25" s="14" t="s">
        <v>83</v>
      </c>
      <c r="E25" s="3" t="s">
        <v>1105</v>
      </c>
      <c r="F25" s="3" t="s">
        <v>23</v>
      </c>
      <c r="J25" s="18" t="e">
        <f>VLOOKUP(CONCATENATE(B25,"_TM6"),#REF!,13,FALSE)-VLOOKUP(CONCATENATE(B25,"_TM5"),#REF!,13,FALSE)</f>
        <v>#REF!</v>
      </c>
      <c r="K25" s="18" t="e">
        <f t="shared" si="4"/>
        <v>#REF!</v>
      </c>
      <c r="L25" s="18"/>
      <c r="M25" s="18" t="e">
        <f t="shared" si="5"/>
        <v>#REF!</v>
      </c>
      <c r="N25" s="18"/>
      <c r="P25" s="15" t="s">
        <v>1019</v>
      </c>
      <c r="Q25" s="16">
        <v>213</v>
      </c>
      <c r="R25" s="3" t="e">
        <f>VLOOKUP(CONCATENATE(B25,"_TM5"),#REF!,15,FALSE)</f>
        <v>#REF!</v>
      </c>
      <c r="S25" s="3" t="e">
        <f>VLOOKUP(CONCATENATE(B25,"_TM5"),#REF!,15,FALSE)-VLOOKUP(CONCATENATE(B25,"_TM5"),#REF!,13,FALSE)+50</f>
        <v>#REF!</v>
      </c>
      <c r="T25" s="3">
        <v>74</v>
      </c>
      <c r="U25" s="16" t="e">
        <f>VLOOKUP(CONCATENATE(B25,"_TM6"),#REF!,12,FALSE)</f>
        <v>#REF!</v>
      </c>
      <c r="V25" s="3" t="e">
        <f>VLOOKUP(CONCATENATE(B25,"_TM6"),#REF!,12,FALSE)-VLOOKUP(CONCATENATE(B25,"_TM6"),#REF!,13,FALSE)+50</f>
        <v>#REF!</v>
      </c>
      <c r="W25" s="23" t="e">
        <f>VLOOKUP(CONCATENATE(B25,"_TM6"),#REF!,15,FALSE)</f>
        <v>#REF!</v>
      </c>
    </row>
    <row r="26" spans="2:24" x14ac:dyDescent="0.2">
      <c r="B26" s="3" t="str">
        <f t="shared" si="3"/>
        <v>AA2AR_human_3VG9</v>
      </c>
      <c r="C26" s="2" t="s">
        <v>36</v>
      </c>
      <c r="D26" s="14" t="s">
        <v>1104</v>
      </c>
      <c r="E26" s="3" t="s">
        <v>1105</v>
      </c>
      <c r="F26" s="3" t="s">
        <v>23</v>
      </c>
      <c r="J26" s="18" t="e">
        <f>VLOOKUP(CONCATENATE(B26,"_TM6"),#REF!,13,FALSE)-VLOOKUP(CONCATENATE(B26,"_TM5"),#REF!,13,FALSE)</f>
        <v>#REF!</v>
      </c>
      <c r="K26" s="18" t="e">
        <f t="shared" si="4"/>
        <v>#REF!</v>
      </c>
      <c r="L26" s="18"/>
      <c r="M26" s="18" t="e">
        <f t="shared" si="5"/>
        <v>#REF!</v>
      </c>
      <c r="N26" s="18"/>
      <c r="P26" s="15" t="s">
        <v>1019</v>
      </c>
      <c r="Q26" s="16">
        <v>213</v>
      </c>
      <c r="R26" s="3" t="e">
        <f>VLOOKUP(CONCATENATE(B26,"_TM5"),#REF!,15,FALSE)</f>
        <v>#REF!</v>
      </c>
      <c r="S26" s="3" t="e">
        <f>VLOOKUP(CONCATENATE(B26,"_TM5"),#REF!,15,FALSE)-VLOOKUP(CONCATENATE(B26,"_TM5"),#REF!,13,FALSE)+50</f>
        <v>#REF!</v>
      </c>
      <c r="T26" s="3">
        <v>74</v>
      </c>
      <c r="U26" s="16" t="e">
        <f>VLOOKUP(CONCATENATE(B26,"_TM6"),#REF!,12,FALSE)</f>
        <v>#REF!</v>
      </c>
      <c r="V26" s="3" t="e">
        <f>VLOOKUP(CONCATENATE(B26,"_TM6"),#REF!,12,FALSE)-VLOOKUP(CONCATENATE(B26,"_TM6"),#REF!,13,FALSE)+50</f>
        <v>#REF!</v>
      </c>
      <c r="W26" s="23" t="e">
        <f>VLOOKUP(CONCATENATE(B26,"_TM6"),#REF!,15,FALSE)</f>
        <v>#REF!</v>
      </c>
    </row>
  </sheetData>
  <sortState ref="A2:X26">
    <sortCondition ref="E2:E26"/>
  </sortState>
  <customSheetViews>
    <customSheetView guid="{3E3401AF-8459-8641-BD70-AD04F80E86ED}" scale="142">
      <selection activeCell="G15" sqref="G15"/>
      <pageMargins left="0.7" right="0.7" top="0.75" bottom="0.75" header="0.3" footer="0.3"/>
    </customSheetView>
  </customSheetViews>
  <conditionalFormatting sqref="E1:E1048576">
    <cfRule type="cellIs" dxfId="0" priority="1" operator="equal">
      <formula>"active"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"/>
  <sheetViews>
    <sheetView workbookViewId="0">
      <selection activeCell="B2" sqref="B2"/>
    </sheetView>
  </sheetViews>
  <sheetFormatPr baseColWidth="10" defaultColWidth="10.83203125" defaultRowHeight="16" x14ac:dyDescent="0.2"/>
  <cols>
    <col min="1" max="1" width="4.6640625" style="1" bestFit="1" customWidth="1"/>
    <col min="2" max="3" width="3.1640625" style="1" bestFit="1" customWidth="1"/>
    <col min="4" max="5" width="3.6640625" style="1" bestFit="1" customWidth="1"/>
    <col min="6" max="7" width="3.1640625" style="1" bestFit="1" customWidth="1"/>
    <col min="8" max="9" width="4.1640625" style="1" bestFit="1" customWidth="1"/>
    <col min="10" max="11" width="3.1640625" style="1" bestFit="1" customWidth="1"/>
    <col min="12" max="13" width="3.6640625" style="1" bestFit="1" customWidth="1"/>
    <col min="14" max="15" width="3.1640625" style="1" bestFit="1" customWidth="1"/>
    <col min="16" max="17" width="4.1640625" style="1" bestFit="1" customWidth="1"/>
    <col min="18" max="25" width="3.1640625" style="1" bestFit="1" customWidth="1"/>
    <col min="26" max="16384" width="10.83203125" style="1"/>
  </cols>
  <sheetData>
    <row r="1" spans="1:25" x14ac:dyDescent="0.2">
      <c r="B1" s="26" t="s">
        <v>1061</v>
      </c>
      <c r="C1" s="8" t="s">
        <v>1062</v>
      </c>
      <c r="D1" s="8" t="s">
        <v>1078</v>
      </c>
      <c r="E1" s="8" t="s">
        <v>1079</v>
      </c>
      <c r="F1" s="8" t="s">
        <v>1063</v>
      </c>
      <c r="G1" s="8" t="s">
        <v>1064</v>
      </c>
      <c r="H1" s="8" t="s">
        <v>1080</v>
      </c>
      <c r="I1" s="8" t="s">
        <v>1081</v>
      </c>
      <c r="J1" s="8" t="s">
        <v>1065</v>
      </c>
      <c r="K1" s="8" t="s">
        <v>1066</v>
      </c>
      <c r="L1" s="8" t="s">
        <v>1093</v>
      </c>
      <c r="M1" s="8" t="s">
        <v>1094</v>
      </c>
      <c r="N1" s="8" t="s">
        <v>1067</v>
      </c>
      <c r="O1" s="8" t="s">
        <v>1068</v>
      </c>
      <c r="P1" s="8" t="s">
        <v>1096</v>
      </c>
      <c r="Q1" s="8" t="s">
        <v>1097</v>
      </c>
      <c r="R1" s="8" t="s">
        <v>1069</v>
      </c>
      <c r="S1" s="8" t="s">
        <v>1070</v>
      </c>
      <c r="T1" s="8" t="s">
        <v>1071</v>
      </c>
      <c r="U1" s="8" t="s">
        <v>1072</v>
      </c>
      <c r="V1" s="8" t="s">
        <v>1073</v>
      </c>
      <c r="W1" s="8" t="s">
        <v>1074</v>
      </c>
      <c r="X1" s="8" t="s">
        <v>1075</v>
      </c>
      <c r="Y1" s="8" t="s">
        <v>1076</v>
      </c>
    </row>
    <row r="2" spans="1:25" x14ac:dyDescent="0.2">
      <c r="A2" s="1" t="s">
        <v>1331</v>
      </c>
      <c r="B2" s="1">
        <f>MIN('SegEnds_NonXtal_BW#'!C:C)</f>
        <v>19</v>
      </c>
      <c r="C2" s="1">
        <f>MAX('SegEnds_NonXtal_BW#'!D:D)</f>
        <v>64</v>
      </c>
      <c r="D2" s="1">
        <f>MIN('SegEnds_NonXtal_BW#'!E:E)</f>
        <v>47</v>
      </c>
      <c r="E2" s="1">
        <f>MAX('SegEnds_NonXtal_BW#'!F:F)</f>
        <v>53</v>
      </c>
      <c r="F2" s="1">
        <f>MIN('SegEnds_NonXtal_BW#'!G:G)</f>
        <v>36</v>
      </c>
      <c r="G2" s="1">
        <f>MAX('SegEnds_NonXtal_BW#'!H:H)</f>
        <v>74</v>
      </c>
      <c r="H2" s="1">
        <f>MIN('SegEnds_NonXtal_BW#'!I:I)</f>
        <v>47</v>
      </c>
      <c r="I2" s="1">
        <f>MAX('SegEnds_NonXtal_BW#'!J:J)</f>
        <v>56</v>
      </c>
      <c r="J2" s="1">
        <f>MIN('SegEnds_NonXtal_BW#'!K:K)</f>
        <v>18</v>
      </c>
      <c r="K2" s="1">
        <f>MAX('SegEnds_NonXtal_BW#'!L:L)</f>
        <v>59</v>
      </c>
      <c r="L2" s="1">
        <f>MIN('SegEnds_NonXtal_BW#'!M:M)</f>
        <v>50</v>
      </c>
      <c r="M2" s="1">
        <f>MAX('SegEnds_NonXtal_BW#'!N:N)</f>
        <v>58</v>
      </c>
      <c r="N2" s="1">
        <f>MIN('SegEnds_NonXtal_BW#'!O:O)</f>
        <v>35</v>
      </c>
      <c r="O2" s="1">
        <f>MAX('SegEnds_NonXtal_BW#'!P:P)</f>
        <v>69</v>
      </c>
      <c r="P2" s="1">
        <f>MIN('SegEnds_NonXtal_BW#'!Q:Q)</f>
        <v>50</v>
      </c>
      <c r="Q2" s="1">
        <f>MAX('SegEnds_NonXtal_BW#'!R:R)</f>
        <v>52</v>
      </c>
      <c r="R2" s="1">
        <f>MIN('SegEnds_NonXtal_BW#'!S:S)</f>
        <v>26</v>
      </c>
      <c r="S2" s="1">
        <f>MAX('SegEnds_NonXtal_BW#'!T:T)</f>
        <v>76</v>
      </c>
      <c r="T2" s="1">
        <f>MIN('SegEnds_NonXtal_BW#'!U:U)</f>
        <v>20</v>
      </c>
      <c r="U2" s="1">
        <f>MAX('SegEnds_NonXtal_BW#'!V:V)</f>
        <v>81</v>
      </c>
      <c r="V2" s="1">
        <f>MIN('SegEnds_NonXtal_BW#'!W:W)</f>
        <v>24</v>
      </c>
      <c r="W2" s="1">
        <f>MAX('SegEnds_NonXtal_BW#'!X:X)</f>
        <v>64</v>
      </c>
      <c r="X2" s="1">
        <f>MIN('SegEnds_NonXtal_BW#'!Y:Y)</f>
        <v>44</v>
      </c>
      <c r="Y2" s="1">
        <f>MAX('SegEnds_NonXtal_BW#'!Z:Z)</f>
        <v>72</v>
      </c>
    </row>
  </sheetData>
  <customSheetViews>
    <customSheetView guid="{3E3401AF-8459-8641-BD70-AD04F80E86ED}">
      <selection activeCell="B2" sqref="B2"/>
      <pageMargins left="0.7" right="0.7" top="0.75" bottom="0.75" header="0.3" footer="0.3"/>
    </customSheetView>
  </customSheetView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SegEnds_Xtal_Prot#</vt:lpstr>
      <vt:lpstr>SegEnds_Xtal_BW#</vt:lpstr>
      <vt:lpstr>ICL3_classA</vt:lpstr>
      <vt:lpstr>ICL3_classB</vt:lpstr>
      <vt:lpstr>ICL3_classF</vt:lpstr>
      <vt:lpstr>SegEnds_NonXtal_BW#</vt:lpstr>
      <vt:lpstr>SegEnds_NonXtal_Prot#</vt:lpstr>
      <vt:lpstr>Bulges_Constr_NonXtal_GPCRdb#</vt:lpstr>
      <vt:lpstr>Seqs</vt:lpstr>
      <vt:lpstr>Seqs4TemplSearch</vt:lpstr>
      <vt:lpstr>Xtal_Templ</vt:lpstr>
      <vt:lpstr>Classification</vt:lpstr>
      <vt:lpstr>OLD-Templates_ICL3</vt:lpstr>
      <vt:lpstr>SegLen</vt:lpstr>
    </vt:vector>
  </TitlesOfParts>
  <Manager/>
  <Company>University of Copenhagen</Company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David Gloriam</dc:creator>
  <cp:keywords/>
  <dc:description/>
  <cp:lastModifiedBy>Gaspar Pandy</cp:lastModifiedBy>
  <cp:revision/>
  <dcterms:created xsi:type="dcterms:W3CDTF">2016-02-16T16:06:34Z</dcterms:created>
  <dcterms:modified xsi:type="dcterms:W3CDTF">2019-01-07T13:47:22Z</dcterms:modified>
  <cp:category/>
  <cp:contentStatus/>
</cp:coreProperties>
</file>